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Questa_cartella_di_lavoro"/>
  <mc:AlternateContent xmlns:mc="http://schemas.openxmlformats.org/markup-compatibility/2006">
    <mc:Choice Requires="x15">
      <x15ac:absPath xmlns:x15ac="http://schemas.microsoft.com/office/spreadsheetml/2010/11/ac" url="C:\Users\alfre\Desktop\ASCO FILTRI\"/>
    </mc:Choice>
  </mc:AlternateContent>
  <xr:revisionPtr revIDLastSave="0" documentId="8_{777FF38E-576B-4BDE-8947-93AFEF837B5A}" xr6:coauthVersionLast="47" xr6:coauthVersionMax="47" xr10:uidLastSave="{00000000-0000-0000-0000-000000000000}"/>
  <bookViews>
    <workbookView xWindow="28680" yWindow="-120" windowWidth="51840" windowHeight="21120" firstSheet="6" activeTab="6" xr2:uid="{00000000-000D-0000-FFFF-FFFF00000000}"/>
  </bookViews>
  <sheets>
    <sheet name="MCE info" sheetId="35" r:id="rId1"/>
    <sheet name="General info" sheetId="34" r:id="rId2"/>
    <sheet name="Notes" sheetId="27" state="hidden" r:id="rId3"/>
    <sheet name="Piping Class" sheetId="13" r:id="rId4"/>
    <sheet name="Valve Data" sheetId="18" r:id="rId5"/>
    <sheet name="Equipment Weight Calc" sheetId="22" r:id="rId6"/>
    <sheet name="Proposal Cost Report" sheetId="31" r:id="rId7"/>
    <sheet name="Cost Type" sheetId="39" state="hidden" r:id="rId8"/>
    <sheet name="Proposal Quantity Report" sheetId="20" r:id="rId9"/>
    <sheet name="Module Fabrication Price List" sheetId="10" r:id="rId10"/>
    <sheet name="Engeneering" sheetId="32" r:id="rId11"/>
    <sheet name="Steel Structure List" sheetId="11" r:id="rId12"/>
    <sheet name="Bolting Chart" sheetId="29" state="hidden" r:id="rId13"/>
    <sheet name="Flange List" sheetId="33" r:id="rId14"/>
    <sheet name="Piping Material List" sheetId="12" r:id="rId15"/>
    <sheet name="Instrument List" sheetId="21" r:id="rId16"/>
    <sheet name="Valve List" sheetId="16" r:id="rId17"/>
    <sheet name="Equip&amp;Mach List" sheetId="26" r:id="rId18"/>
    <sheet name="Equip Spare List" sheetId="30" r:id="rId19"/>
    <sheet name="Blank Sheet 1" sheetId="36" r:id="rId20"/>
    <sheet name="List" sheetId="7" r:id="rId21"/>
    <sheet name="Blank Sheet 2" sheetId="37" r:id="rId22"/>
    <sheet name="Blank Sheet 3" sheetId="38" r:id="rId23"/>
    <sheet name="ASME II Tab 1A" sheetId="23" state="hidden" r:id="rId24"/>
    <sheet name="ASME II Tab 5A" sheetId="24" state="hidden" r:id="rId25"/>
    <sheet name="Manual Valves Chart" sheetId="28" state="hidden" r:id="rId26"/>
    <sheet name="Ball Valves Chart" sheetId="17" state="hidden" r:id="rId27"/>
    <sheet name="Valve Index" sheetId="19" state="hidden" r:id="rId28"/>
    <sheet name="Steel Structure Chart" sheetId="5" state="hidden" r:id="rId29"/>
    <sheet name="Flanges Chart" sheetId="15" state="hidden" r:id="rId30"/>
    <sheet name="Fitting Chart" sheetId="14" state="hidden" r:id="rId31"/>
    <sheet name="Thickness Tab" sheetId="6" state="hidden" r:id="rId32"/>
  </sheets>
  <definedNames>
    <definedName name="_xlnm._FilterDatabase" localSheetId="23" hidden="1">'ASME II Tab 1A'!$A$6:$AZ$1428</definedName>
    <definedName name="_xlnm._FilterDatabase" localSheetId="24" hidden="1">'ASME II Tab 5A'!$A$5:$AZ$582</definedName>
    <definedName name="_xlnm._FilterDatabase" localSheetId="18" hidden="1">'Equip Spare List'!$A$4:$AN$4</definedName>
    <definedName name="_xlnm._FilterDatabase" localSheetId="5" hidden="1">'Equipment Weight Calc'!$A$1:$N$1</definedName>
    <definedName name="_xlnm._FilterDatabase" localSheetId="30" hidden="1">'Fitting Chart'!$A$1:$K$558</definedName>
    <definedName name="_xlnm._FilterDatabase" localSheetId="15" hidden="1">'Instrument List'!$A$3:$EC$73</definedName>
    <definedName name="_xlnm._FilterDatabase" localSheetId="14" hidden="1">'Piping Material List'!$A$2:$FF$139</definedName>
    <definedName name="_xlnm._FilterDatabase" localSheetId="4" hidden="1">'Valve Data'!$A$1:$AD$101</definedName>
    <definedName name="_xlnm._FilterDatabase" localSheetId="16" hidden="1">'Valve List'!$A$2:$DN$99</definedName>
    <definedName name="ASME_VIII_division">List!$AP$3:$AP$4</definedName>
    <definedName name="Ball_valve">List!$N$2:$N$3</definedName>
    <definedName name="BDV">List!$AG$2:$AG$4</definedName>
    <definedName name="Bolting_Dia">List!$BG$2:$BG$3</definedName>
    <definedName name="Bore">List!$N$2:$N$3</definedName>
    <definedName name="Bundle_Type">List!$BC$2:$BC$3</definedName>
    <definedName name="Butterfly_valve">List!$N$6</definedName>
    <definedName name="Category">List!$BJ$2:$BJ$16</definedName>
    <definedName name="Check_valve">List!$N$5</definedName>
    <definedName name="Columns">'Valve Data'!$G$1:$AD$1</definedName>
    <definedName name="COST_CAT">'Cost Type'!$A$2:$A$209</definedName>
    <definedName name="CV">List!$AC$2:$AC$4</definedName>
    <definedName name="DBB">List!$N$2:$N$3</definedName>
    <definedName name="DN">List!$E$2:$E$34</definedName>
    <definedName name="DN_0.5">'Valve Index'!$G$2:$G$101</definedName>
    <definedName name="DN_0.75">'Valve Index'!$H$2:$H$101</definedName>
    <definedName name="DN_1">'Valve Index'!$I$2:$I$101</definedName>
    <definedName name="DN_1.5">'Valve Index'!$J$2:$J$101</definedName>
    <definedName name="DN_10">'Valve Index'!$R$2:$R$101</definedName>
    <definedName name="DN_12">'Valve Index'!$S$2:$S$101</definedName>
    <definedName name="DN_14">'Valve Index'!$T$2:$T$101</definedName>
    <definedName name="DN_16">'Valve Index'!$U$2:$U$101</definedName>
    <definedName name="DN_18">'Valve Index'!$V$2:$V$101</definedName>
    <definedName name="DN_2">'Valve Index'!$K$2:$K$101</definedName>
    <definedName name="DN_2.5">'Valve Index'!$L$2:$L$101</definedName>
    <definedName name="DN_20">'Valve Index'!$W$2:$W$101</definedName>
    <definedName name="DN_22">'Valve Index'!$X$2:$X$101</definedName>
    <definedName name="DN_24">'Valve Index'!$Y$2:$Y$101</definedName>
    <definedName name="DN_26">'Valve Index'!$Z$2:$Z$101</definedName>
    <definedName name="DN_28">'Valve Index'!$AA$2:$AA$101</definedName>
    <definedName name="DN_3">'Valve Index'!$M$2:$M$101</definedName>
    <definedName name="DN_30">'Valve Index'!$AB$2:$AB$101</definedName>
    <definedName name="DN_32">'Valve Index'!$AC$2:$AC$101</definedName>
    <definedName name="DN_34">'Valve Index'!$AD$2:$AD$101</definedName>
    <definedName name="DN_36">'Valve Index'!$AE$2:$AE$101</definedName>
    <definedName name="DN_38">'Valve Index'!$AF$2:$AF$101</definedName>
    <definedName name="DN_4">'Valve Index'!$N$2:$N$101</definedName>
    <definedName name="DN_40">'Valve Index'!$AG$2:$AG$101</definedName>
    <definedName name="DN_42">'Valve Index'!$AH$2:$AH$101</definedName>
    <definedName name="DN_5">'Valve Index'!$O$2:$O$101</definedName>
    <definedName name="DN_6">'Valve Index'!$P$2:$P$101</definedName>
    <definedName name="DN_8">'Valve Index'!$Q$2:$Q$101</definedName>
    <definedName name="Equipment_insulation">List!$BM$2:$BM$9</definedName>
    <definedName name="ESDV">List!$AI$2:$AI$4</definedName>
    <definedName name="FE">List!$Q$2:$Q$5</definedName>
    <definedName name="FI">List!$R$2:$R$3</definedName>
    <definedName name="Fitting">List!$J$2:$J$8</definedName>
    <definedName name="Flange">List!$I$2:$I$3</definedName>
    <definedName name="Flange_Face">List!$BI$2:$BI$3</definedName>
    <definedName name="Flange_Type">List!$AT$3:$AT$8</definedName>
    <definedName name="FT">List!$P$2:$P$12</definedName>
    <definedName name="FV">List!$AF$2:$AF$4</definedName>
    <definedName name="Gate_valve">List!$N$5</definedName>
    <definedName name="Globe_valve">List!$N$5</definedName>
    <definedName name="Instrument_type">List!$P$1:$AJ$1</definedName>
    <definedName name="Joint_Type">List!$G$2:$G$3</definedName>
    <definedName name="LI">List!$T$2:$T$5</definedName>
    <definedName name="LT">List!$S$2:$S$12</definedName>
    <definedName name="LV">List!$AD$2:$AD$4</definedName>
    <definedName name="Material_Code">List!$AO$3:$AO$20</definedName>
    <definedName name="Material_Group">List!$D$2:$D$6</definedName>
    <definedName name="MOV">List!$AJ$2:$AJ$3</definedName>
    <definedName name="Nozzle_DN">List!$E$2:$E$34</definedName>
    <definedName name="Nozzle_Rating">List!$O$2:$O$7</definedName>
    <definedName name="NPS">'Thickness Tab'!$A$3:$A$34</definedName>
    <definedName name="Painting_cycle">List!$BK$2:$BK$13</definedName>
    <definedName name="PDI">List!$W$2</definedName>
    <definedName name="PDT">List!$V$2</definedName>
    <definedName name="PI">List!$X$2</definedName>
    <definedName name="PID">'Valve List'!$AG$2:$AU$2</definedName>
    <definedName name="Piping">List!$H$2:$H$3</definedName>
    <definedName name="Piping_Class">List!$BH$2:$BH$14</definedName>
    <definedName name="Piping_insulation">List!$BL$2:$BL$10</definedName>
    <definedName name="Piping_Type">List!$H$1:$J$1</definedName>
    <definedName name="Piping_Units">List!$B$2:$B$3</definedName>
    <definedName name="Pressure_Units">List!$AU$3:$AU$6</definedName>
    <definedName name="_xlnm.Print_Area" localSheetId="12">'Bolting Chart'!$A$1:$K$160</definedName>
    <definedName name="_xlnm.Print_Area" localSheetId="17">'Equip&amp;Mach List'!$A$1:$V$75,'Equip&amp;Mach List'!$X$1:$AA$29,'Equip&amp;Mach List'!$AC$1:$AI$52</definedName>
    <definedName name="_xlnm.Print_Area" localSheetId="5">'Equipment Weight Calc'!$A$1:$I$2026</definedName>
    <definedName name="_xlnm.Print_Area" localSheetId="30">'Fitting Chart'!$A$1:$K$558</definedName>
    <definedName name="_xlnm.Print_Area" localSheetId="13">'Flange List'!$A$1:$O$29</definedName>
    <definedName name="_xlnm.Print_Area" localSheetId="29">'Flanges Chart'!$A$1:$AX$445</definedName>
    <definedName name="_xlnm.Print_Area" localSheetId="15">'Instrument List'!$A$1:$AH$73</definedName>
    <definedName name="_xlnm.Print_Area" localSheetId="9">'Module Fabrication Price List'!$A$1:$L$439</definedName>
    <definedName name="_xlnm.Print_Area" localSheetId="14">'Piping Material List'!$A$1:$W$139,'Piping Material List'!$Z$1:$AX$139</definedName>
    <definedName name="_xlnm.Print_Area" localSheetId="6">'Proposal Cost Report'!$A$1:$I$115</definedName>
    <definedName name="_xlnm.Print_Area" localSheetId="8">'Proposal Quantity Report'!$A$1:$I$61</definedName>
    <definedName name="_xlnm.Print_Area" localSheetId="11">'Steel Structure List'!$A$1:$I$114,'Steel Structure List'!$K$1:$R$48</definedName>
    <definedName name="_xlnm.Print_Area" localSheetId="4">'Valve Data'!$A$1:$AD$101</definedName>
    <definedName name="_xlnm.Print_Area" localSheetId="16">'Valve List'!$A$1:$BA$99</definedName>
    <definedName name="_xlnm.Print_Titles" localSheetId="15">'Instrument List'!$1:$3</definedName>
    <definedName name="_xlnm.Print_Titles" localSheetId="9">'Module Fabrication Price List'!$1:$1</definedName>
    <definedName name="_xlnm.Print_Titles" localSheetId="14">'Piping Material List'!$A:$D,'Piping Material List'!$1:$2</definedName>
    <definedName name="_xlnm.Print_Titles" localSheetId="16">'Valve List'!$1:$2</definedName>
    <definedName name="PSV">List!$AB$2:$AB$3</definedName>
    <definedName name="PT">List!$U$2:$U$3</definedName>
    <definedName name="SCH">'Thickness Tab'!$D$1:$U$1</definedName>
    <definedName name="SDV">List!$AH$2:$AH$3</definedName>
    <definedName name="Skid_section">List!$BF$2:$BF$17</definedName>
    <definedName name="Spec._No._Gen">List!$AK$3:$AK$118</definedName>
    <definedName name="Structural_Units">List!$C$2:$C$3</definedName>
    <definedName name="Structure_Profile">'Steel Structure Chart'!$A$5:$A$76</definedName>
    <definedName name="Supply_Type">List!$BD$2:$BD$3</definedName>
    <definedName name="System">List!$BE$2:$BE$4</definedName>
    <definedName name="TE">List!$Z$2</definedName>
    <definedName name="Temperature_Units">List!$AZ$3:$AZ$4</definedName>
    <definedName name="TI">List!$AA$2:$AA$3</definedName>
    <definedName name="TT">List!$Y$2</definedName>
    <definedName name="Type_Grade_Gen">List!$AL$3:$AL$404</definedName>
    <definedName name="Valve_Type">List!$M$2:$M$8</definedName>
    <definedName name="Vessel_Orientation">List!$AQ$3:$AQ$4</definedName>
    <definedName name="Welds_Unit">List!$F$2:$F$4</definedName>
    <definedName name="XV">List!$AE$2:$AE$4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31" l="1"/>
  <c r="H27" i="31"/>
  <c r="H29" i="31"/>
  <c r="H33" i="31" l="1"/>
  <c r="F6" i="21" l="1"/>
  <c r="F5" i="21"/>
  <c r="F30" i="21"/>
  <c r="F4" i="21"/>
  <c r="V34" i="6" l="1"/>
  <c r="V32" i="6"/>
  <c r="V31" i="6"/>
  <c r="V30" i="6"/>
  <c r="V29" i="6"/>
  <c r="V28" i="6"/>
  <c r="V27" i="6"/>
  <c r="V26" i="6"/>
  <c r="V25" i="6"/>
  <c r="V24" i="6"/>
  <c r="V23" i="6"/>
  <c r="V22" i="6"/>
  <c r="V21" i="6"/>
  <c r="V20" i="6"/>
  <c r="V19" i="6"/>
  <c r="V18" i="6"/>
  <c r="V17" i="6"/>
  <c r="V16" i="6"/>
  <c r="V15" i="6"/>
  <c r="V14" i="6"/>
  <c r="V13" i="6"/>
  <c r="V12" i="6"/>
  <c r="V11" i="6"/>
  <c r="V10" i="6"/>
  <c r="V9" i="6"/>
  <c r="V8" i="6"/>
  <c r="V7" i="6"/>
  <c r="V6" i="6"/>
  <c r="V5" i="6"/>
  <c r="V4" i="6"/>
  <c r="V3" i="6"/>
  <c r="K559" i="14"/>
  <c r="J559" i="14"/>
  <c r="I559" i="14"/>
  <c r="H559" i="14"/>
  <c r="G559" i="14"/>
  <c r="F559" i="14"/>
  <c r="D559" i="14"/>
  <c r="A559" i="14"/>
  <c r="K558" i="14"/>
  <c r="J558" i="14"/>
  <c r="I558" i="14"/>
  <c r="H558" i="14"/>
  <c r="G558" i="14"/>
  <c r="F558" i="14"/>
  <c r="D558" i="14"/>
  <c r="A558" i="14"/>
  <c r="K557" i="14"/>
  <c r="J557" i="14"/>
  <c r="I557" i="14"/>
  <c r="H557" i="14"/>
  <c r="G557" i="14"/>
  <c r="F557" i="14"/>
  <c r="E557" i="14"/>
  <c r="D557" i="14"/>
  <c r="A557" i="14"/>
  <c r="K556" i="14"/>
  <c r="J556" i="14"/>
  <c r="I556" i="14"/>
  <c r="H556" i="14"/>
  <c r="G556" i="14"/>
  <c r="F556" i="14"/>
  <c r="E556" i="14"/>
  <c r="D556" i="14"/>
  <c r="A556" i="14"/>
  <c r="K555" i="14"/>
  <c r="J555" i="14"/>
  <c r="I555" i="14"/>
  <c r="H555" i="14"/>
  <c r="G555" i="14"/>
  <c r="F555" i="14"/>
  <c r="E555" i="14"/>
  <c r="D555" i="14"/>
  <c r="A555" i="14"/>
  <c r="K554" i="14"/>
  <c r="J554" i="14"/>
  <c r="I554" i="14"/>
  <c r="H554" i="14"/>
  <c r="G554" i="14"/>
  <c r="F554" i="14"/>
  <c r="E554" i="14"/>
  <c r="D554" i="14"/>
  <c r="A554" i="14"/>
  <c r="K553" i="14"/>
  <c r="J553" i="14"/>
  <c r="I553" i="14"/>
  <c r="H553" i="14"/>
  <c r="G553" i="14"/>
  <c r="F553" i="14"/>
  <c r="E553" i="14"/>
  <c r="D553" i="14"/>
  <c r="A553" i="14"/>
  <c r="K552" i="14"/>
  <c r="J552" i="14"/>
  <c r="I552" i="14"/>
  <c r="H552" i="14"/>
  <c r="G552" i="14"/>
  <c r="F552" i="14"/>
  <c r="E552" i="14"/>
  <c r="D552" i="14"/>
  <c r="A552" i="14"/>
  <c r="D551" i="14"/>
  <c r="A551" i="14"/>
  <c r="D550" i="14"/>
  <c r="A550" i="14"/>
  <c r="D549" i="14"/>
  <c r="A549" i="14"/>
  <c r="D548" i="14"/>
  <c r="A548" i="14"/>
  <c r="D547" i="14"/>
  <c r="A547" i="14"/>
  <c r="D546" i="14"/>
  <c r="A546" i="14"/>
  <c r="D545" i="14"/>
  <c r="A545" i="14"/>
  <c r="D544" i="14"/>
  <c r="A544" i="14"/>
  <c r="D543" i="14"/>
  <c r="A543" i="14"/>
  <c r="D542" i="14"/>
  <c r="A542" i="14"/>
  <c r="D541" i="14"/>
  <c r="A541" i="14"/>
  <c r="D540" i="14"/>
  <c r="A540" i="14"/>
  <c r="D539" i="14"/>
  <c r="A539" i="14"/>
  <c r="D538" i="14"/>
  <c r="A538" i="14"/>
  <c r="D537" i="14"/>
  <c r="A537" i="14"/>
  <c r="D536" i="14"/>
  <c r="A536" i="14"/>
  <c r="D535" i="14"/>
  <c r="A535" i="14"/>
  <c r="D534" i="14"/>
  <c r="A534" i="14"/>
  <c r="D533" i="14"/>
  <c r="A533" i="14"/>
  <c r="D532" i="14"/>
  <c r="A532" i="14"/>
  <c r="D531" i="14"/>
  <c r="A531" i="14"/>
  <c r="D530" i="14"/>
  <c r="A530" i="14"/>
  <c r="D529" i="14"/>
  <c r="A529" i="14"/>
  <c r="K528" i="14"/>
  <c r="J528" i="14"/>
  <c r="I528" i="14"/>
  <c r="H528" i="14"/>
  <c r="G528" i="14"/>
  <c r="F528" i="14"/>
  <c r="D528" i="14"/>
  <c r="A528" i="14"/>
  <c r="K527" i="14"/>
  <c r="J527" i="14"/>
  <c r="I527" i="14"/>
  <c r="H527" i="14"/>
  <c r="G527" i="14"/>
  <c r="F527" i="14"/>
  <c r="D527" i="14"/>
  <c r="A527" i="14"/>
  <c r="K526" i="14"/>
  <c r="J526" i="14"/>
  <c r="I526" i="14"/>
  <c r="H526" i="14"/>
  <c r="G526" i="14"/>
  <c r="F526" i="14"/>
  <c r="E526" i="14"/>
  <c r="D526" i="14"/>
  <c r="A526" i="14"/>
  <c r="K525" i="14"/>
  <c r="J525" i="14"/>
  <c r="I525" i="14"/>
  <c r="H525" i="14"/>
  <c r="G525" i="14"/>
  <c r="F525" i="14"/>
  <c r="E525" i="14"/>
  <c r="D525" i="14"/>
  <c r="A525" i="14"/>
  <c r="K524" i="14"/>
  <c r="J524" i="14"/>
  <c r="I524" i="14"/>
  <c r="H524" i="14"/>
  <c r="G524" i="14"/>
  <c r="F524" i="14"/>
  <c r="E524" i="14"/>
  <c r="D524" i="14"/>
  <c r="A524" i="14"/>
  <c r="K523" i="14"/>
  <c r="J523" i="14"/>
  <c r="I523" i="14"/>
  <c r="H523" i="14"/>
  <c r="G523" i="14"/>
  <c r="F523" i="14"/>
  <c r="E523" i="14"/>
  <c r="D523" i="14"/>
  <c r="A523" i="14"/>
  <c r="K522" i="14"/>
  <c r="J522" i="14"/>
  <c r="I522" i="14"/>
  <c r="H522" i="14"/>
  <c r="G522" i="14"/>
  <c r="F522" i="14"/>
  <c r="E522" i="14"/>
  <c r="D522" i="14"/>
  <c r="A522" i="14"/>
  <c r="K521" i="14"/>
  <c r="J521" i="14"/>
  <c r="I521" i="14"/>
  <c r="H521" i="14"/>
  <c r="G521" i="14"/>
  <c r="F521" i="14"/>
  <c r="E521" i="14"/>
  <c r="D521" i="14"/>
  <c r="A521" i="14"/>
  <c r="D520" i="14"/>
  <c r="A520" i="14"/>
  <c r="D519" i="14"/>
  <c r="A519" i="14"/>
  <c r="D518" i="14"/>
  <c r="A518" i="14"/>
  <c r="D517" i="14"/>
  <c r="A517" i="14"/>
  <c r="D516" i="14"/>
  <c r="A516" i="14"/>
  <c r="D515" i="14"/>
  <c r="A515" i="14"/>
  <c r="D514" i="14"/>
  <c r="A514" i="14"/>
  <c r="D513" i="14"/>
  <c r="A513" i="14"/>
  <c r="D512" i="14"/>
  <c r="A512" i="14"/>
  <c r="D511" i="14"/>
  <c r="A511" i="14"/>
  <c r="D510" i="14"/>
  <c r="A510" i="14"/>
  <c r="D509" i="14"/>
  <c r="A509" i="14"/>
  <c r="D508" i="14"/>
  <c r="A508" i="14"/>
  <c r="D507" i="14"/>
  <c r="A507" i="14"/>
  <c r="D506" i="14"/>
  <c r="A506" i="14"/>
  <c r="D505" i="14"/>
  <c r="A505" i="14"/>
  <c r="D504" i="14"/>
  <c r="A504" i="14"/>
  <c r="D503" i="14"/>
  <c r="A503" i="14"/>
  <c r="D502" i="14"/>
  <c r="A502" i="14"/>
  <c r="D501" i="14"/>
  <c r="A501" i="14"/>
  <c r="D500" i="14"/>
  <c r="A500" i="14"/>
  <c r="D499" i="14"/>
  <c r="A499" i="14"/>
  <c r="D498" i="14"/>
  <c r="A498" i="14"/>
  <c r="K497" i="14"/>
  <c r="J497" i="14"/>
  <c r="I497" i="14"/>
  <c r="H497" i="14"/>
  <c r="G497" i="14"/>
  <c r="F497" i="14"/>
  <c r="D497" i="14"/>
  <c r="A497" i="14"/>
  <c r="K496" i="14"/>
  <c r="J496" i="14"/>
  <c r="I496" i="14"/>
  <c r="H496" i="14"/>
  <c r="G496" i="14"/>
  <c r="F496" i="14"/>
  <c r="D496" i="14"/>
  <c r="A496" i="14"/>
  <c r="K495" i="14"/>
  <c r="J495" i="14"/>
  <c r="I495" i="14"/>
  <c r="H495" i="14"/>
  <c r="G495" i="14"/>
  <c r="F495" i="14"/>
  <c r="E495" i="14"/>
  <c r="D495" i="14"/>
  <c r="A495" i="14"/>
  <c r="K494" i="14"/>
  <c r="J494" i="14"/>
  <c r="I494" i="14"/>
  <c r="H494" i="14"/>
  <c r="G494" i="14"/>
  <c r="F494" i="14"/>
  <c r="E494" i="14"/>
  <c r="D494" i="14"/>
  <c r="A494" i="14"/>
  <c r="K493" i="14"/>
  <c r="J493" i="14"/>
  <c r="I493" i="14"/>
  <c r="H493" i="14"/>
  <c r="G493" i="14"/>
  <c r="F493" i="14"/>
  <c r="E493" i="14"/>
  <c r="D493" i="14"/>
  <c r="A493" i="14"/>
  <c r="K492" i="14"/>
  <c r="J492" i="14"/>
  <c r="I492" i="14"/>
  <c r="H492" i="14"/>
  <c r="G492" i="14"/>
  <c r="F492" i="14"/>
  <c r="E492" i="14"/>
  <c r="D492" i="14"/>
  <c r="A492" i="14"/>
  <c r="K491" i="14"/>
  <c r="J491" i="14"/>
  <c r="I491" i="14"/>
  <c r="H491" i="14"/>
  <c r="G491" i="14"/>
  <c r="F491" i="14"/>
  <c r="E491" i="14"/>
  <c r="D491" i="14"/>
  <c r="A491" i="14"/>
  <c r="K490" i="14"/>
  <c r="J490" i="14"/>
  <c r="I490" i="14"/>
  <c r="H490" i="14"/>
  <c r="G490" i="14"/>
  <c r="F490" i="14"/>
  <c r="E490" i="14"/>
  <c r="D490" i="14"/>
  <c r="A490" i="14"/>
  <c r="D489" i="14"/>
  <c r="A489" i="14"/>
  <c r="D488" i="14"/>
  <c r="A488" i="14"/>
  <c r="D487" i="14"/>
  <c r="A487" i="14"/>
  <c r="D486" i="14"/>
  <c r="A486" i="14"/>
  <c r="D485" i="14"/>
  <c r="A485" i="14"/>
  <c r="D484" i="14"/>
  <c r="A484" i="14"/>
  <c r="D483" i="14"/>
  <c r="A483" i="14"/>
  <c r="D482" i="14"/>
  <c r="A482" i="14"/>
  <c r="D481" i="14"/>
  <c r="A481" i="14"/>
  <c r="D480" i="14"/>
  <c r="A480" i="14"/>
  <c r="D479" i="14"/>
  <c r="A479" i="14"/>
  <c r="D478" i="14"/>
  <c r="A478" i="14"/>
  <c r="D477" i="14"/>
  <c r="A477" i="14"/>
  <c r="D476" i="14"/>
  <c r="A476" i="14"/>
  <c r="D475" i="14"/>
  <c r="A475" i="14"/>
  <c r="D474" i="14"/>
  <c r="A474" i="14"/>
  <c r="D473" i="14"/>
  <c r="A473" i="14"/>
  <c r="D472" i="14"/>
  <c r="A472" i="14"/>
  <c r="D471" i="14"/>
  <c r="A471" i="14"/>
  <c r="D470" i="14"/>
  <c r="A470" i="14"/>
  <c r="D469" i="14"/>
  <c r="A469" i="14"/>
  <c r="D468" i="14"/>
  <c r="A468" i="14"/>
  <c r="D467" i="14"/>
  <c r="A467" i="14"/>
  <c r="K466" i="14"/>
  <c r="J466" i="14"/>
  <c r="I466" i="14"/>
  <c r="H466" i="14"/>
  <c r="G466" i="14"/>
  <c r="F466" i="14"/>
  <c r="D466" i="14"/>
  <c r="A466" i="14"/>
  <c r="K465" i="14"/>
  <c r="J465" i="14"/>
  <c r="I465" i="14"/>
  <c r="H465" i="14"/>
  <c r="G465" i="14"/>
  <c r="F465" i="14"/>
  <c r="D465" i="14"/>
  <c r="A465" i="14"/>
  <c r="K464" i="14"/>
  <c r="J464" i="14"/>
  <c r="I464" i="14"/>
  <c r="H464" i="14"/>
  <c r="G464" i="14"/>
  <c r="F464" i="14"/>
  <c r="E464" i="14"/>
  <c r="D464" i="14"/>
  <c r="A464" i="14"/>
  <c r="K463" i="14"/>
  <c r="J463" i="14"/>
  <c r="I463" i="14"/>
  <c r="H463" i="14"/>
  <c r="G463" i="14"/>
  <c r="F463" i="14"/>
  <c r="E463" i="14"/>
  <c r="D463" i="14"/>
  <c r="A463" i="14"/>
  <c r="K462" i="14"/>
  <c r="J462" i="14"/>
  <c r="I462" i="14"/>
  <c r="H462" i="14"/>
  <c r="G462" i="14"/>
  <c r="F462" i="14"/>
  <c r="E462" i="14"/>
  <c r="D462" i="14"/>
  <c r="A462" i="14"/>
  <c r="K461" i="14"/>
  <c r="J461" i="14"/>
  <c r="I461" i="14"/>
  <c r="H461" i="14"/>
  <c r="G461" i="14"/>
  <c r="F461" i="14"/>
  <c r="E461" i="14"/>
  <c r="D461" i="14"/>
  <c r="A461" i="14"/>
  <c r="K460" i="14"/>
  <c r="J460" i="14"/>
  <c r="I460" i="14"/>
  <c r="H460" i="14"/>
  <c r="G460" i="14"/>
  <c r="F460" i="14"/>
  <c r="E460" i="14"/>
  <c r="D460" i="14"/>
  <c r="A460" i="14"/>
  <c r="K459" i="14"/>
  <c r="J459" i="14"/>
  <c r="I459" i="14"/>
  <c r="H459" i="14"/>
  <c r="G459" i="14"/>
  <c r="F459" i="14"/>
  <c r="E459" i="14"/>
  <c r="D459" i="14"/>
  <c r="A459" i="14"/>
  <c r="D458" i="14"/>
  <c r="A458" i="14"/>
  <c r="D457" i="14"/>
  <c r="A457" i="14"/>
  <c r="D456" i="14"/>
  <c r="A456" i="14"/>
  <c r="D455" i="14"/>
  <c r="A455" i="14"/>
  <c r="D454" i="14"/>
  <c r="A454" i="14"/>
  <c r="D453" i="14"/>
  <c r="A453" i="14"/>
  <c r="D452" i="14"/>
  <c r="A452" i="14"/>
  <c r="D451" i="14"/>
  <c r="A451" i="14"/>
  <c r="D450" i="14"/>
  <c r="A450" i="14"/>
  <c r="D449" i="14"/>
  <c r="A449" i="14"/>
  <c r="D448" i="14"/>
  <c r="A448" i="14"/>
  <c r="D447" i="14"/>
  <c r="A447" i="14"/>
  <c r="D446" i="14"/>
  <c r="A446" i="14"/>
  <c r="D445" i="14"/>
  <c r="A445" i="14"/>
  <c r="D444" i="14"/>
  <c r="A444" i="14"/>
  <c r="D443" i="14"/>
  <c r="A443" i="14"/>
  <c r="D442" i="14"/>
  <c r="A442" i="14"/>
  <c r="D441" i="14"/>
  <c r="A441" i="14"/>
  <c r="D440" i="14"/>
  <c r="A440" i="14"/>
  <c r="D439" i="14"/>
  <c r="A439" i="14"/>
  <c r="D438" i="14"/>
  <c r="A438" i="14"/>
  <c r="D437" i="14"/>
  <c r="A437" i="14"/>
  <c r="D436" i="14"/>
  <c r="A436" i="14"/>
  <c r="K435" i="14"/>
  <c r="J435" i="14"/>
  <c r="I435" i="14"/>
  <c r="H435" i="14"/>
  <c r="G435" i="14"/>
  <c r="F435" i="14"/>
  <c r="D435" i="14"/>
  <c r="A435" i="14"/>
  <c r="K434" i="14"/>
  <c r="J434" i="14"/>
  <c r="I434" i="14"/>
  <c r="H434" i="14"/>
  <c r="G434" i="14"/>
  <c r="F434" i="14"/>
  <c r="D434" i="14"/>
  <c r="A434" i="14"/>
  <c r="K433" i="14"/>
  <c r="J433" i="14"/>
  <c r="I433" i="14"/>
  <c r="H433" i="14"/>
  <c r="G433" i="14"/>
  <c r="F433" i="14"/>
  <c r="E433" i="14"/>
  <c r="D433" i="14"/>
  <c r="A433" i="14"/>
  <c r="K432" i="14"/>
  <c r="J432" i="14"/>
  <c r="I432" i="14"/>
  <c r="H432" i="14"/>
  <c r="G432" i="14"/>
  <c r="F432" i="14"/>
  <c r="E432" i="14"/>
  <c r="D432" i="14"/>
  <c r="A432" i="14"/>
  <c r="K431" i="14"/>
  <c r="J431" i="14"/>
  <c r="I431" i="14"/>
  <c r="H431" i="14"/>
  <c r="G431" i="14"/>
  <c r="F431" i="14"/>
  <c r="E431" i="14"/>
  <c r="D431" i="14"/>
  <c r="A431" i="14"/>
  <c r="K430" i="14"/>
  <c r="J430" i="14"/>
  <c r="I430" i="14"/>
  <c r="H430" i="14"/>
  <c r="G430" i="14"/>
  <c r="F430" i="14"/>
  <c r="E430" i="14"/>
  <c r="D430" i="14"/>
  <c r="A430" i="14"/>
  <c r="K429" i="14"/>
  <c r="J429" i="14"/>
  <c r="I429" i="14"/>
  <c r="H429" i="14"/>
  <c r="G429" i="14"/>
  <c r="F429" i="14"/>
  <c r="E429" i="14"/>
  <c r="D429" i="14"/>
  <c r="A429" i="14"/>
  <c r="K428" i="14"/>
  <c r="J428" i="14"/>
  <c r="I428" i="14"/>
  <c r="H428" i="14"/>
  <c r="G428" i="14"/>
  <c r="F428" i="14"/>
  <c r="E428" i="14"/>
  <c r="D428" i="14"/>
  <c r="A428" i="14"/>
  <c r="D427" i="14"/>
  <c r="A427" i="14"/>
  <c r="D426" i="14"/>
  <c r="A426" i="14"/>
  <c r="D425" i="14"/>
  <c r="A425" i="14"/>
  <c r="D424" i="14"/>
  <c r="A424" i="14"/>
  <c r="D423" i="14"/>
  <c r="A423" i="14"/>
  <c r="D422" i="14"/>
  <c r="A422" i="14"/>
  <c r="D421" i="14"/>
  <c r="A421" i="14"/>
  <c r="D420" i="14"/>
  <c r="A420" i="14"/>
  <c r="D419" i="14"/>
  <c r="A419" i="14"/>
  <c r="D418" i="14"/>
  <c r="A418" i="14"/>
  <c r="D417" i="14"/>
  <c r="A417" i="14"/>
  <c r="D416" i="14"/>
  <c r="A416" i="14"/>
  <c r="D415" i="14"/>
  <c r="A415" i="14"/>
  <c r="D414" i="14"/>
  <c r="A414" i="14"/>
  <c r="D413" i="14"/>
  <c r="A413" i="14"/>
  <c r="D412" i="14"/>
  <c r="A412" i="14"/>
  <c r="D411" i="14"/>
  <c r="A411" i="14"/>
  <c r="D410" i="14"/>
  <c r="A410" i="14"/>
  <c r="D409" i="14"/>
  <c r="A409" i="14"/>
  <c r="D408" i="14"/>
  <c r="A408" i="14"/>
  <c r="D407" i="14"/>
  <c r="A407" i="14"/>
  <c r="D406" i="14"/>
  <c r="A406" i="14"/>
  <c r="D405" i="14"/>
  <c r="A405" i="14"/>
  <c r="D404" i="14"/>
  <c r="D403" i="14"/>
  <c r="D402" i="14"/>
  <c r="D401" i="14"/>
  <c r="D400" i="14"/>
  <c r="D399" i="14"/>
  <c r="D398" i="14"/>
  <c r="D397" i="14"/>
  <c r="D396" i="14"/>
  <c r="D395" i="14"/>
  <c r="D394" i="14"/>
  <c r="D393" i="14"/>
  <c r="D392" i="14"/>
  <c r="D391" i="14"/>
  <c r="D390" i="14"/>
  <c r="D389" i="14"/>
  <c r="D388" i="14"/>
  <c r="D387" i="14"/>
  <c r="D386" i="14"/>
  <c r="D385" i="14"/>
  <c r="D384" i="14"/>
  <c r="D383" i="14"/>
  <c r="D382" i="14"/>
  <c r="D381" i="14"/>
  <c r="D380" i="14"/>
  <c r="D379" i="14"/>
  <c r="D378" i="14"/>
  <c r="D377" i="14"/>
  <c r="D376" i="14"/>
  <c r="D375" i="14"/>
  <c r="D374" i="14"/>
  <c r="D373" i="14"/>
  <c r="D372" i="14"/>
  <c r="D371" i="14"/>
  <c r="D370" i="14"/>
  <c r="D369" i="14"/>
  <c r="D368" i="14"/>
  <c r="D367" i="14"/>
  <c r="D366" i="14"/>
  <c r="D365" i="14"/>
  <c r="D364" i="14"/>
  <c r="D363" i="14"/>
  <c r="D362" i="14"/>
  <c r="D361" i="14"/>
  <c r="D360" i="14"/>
  <c r="D359" i="14"/>
  <c r="D358" i="14"/>
  <c r="D357" i="14"/>
  <c r="D356" i="14"/>
  <c r="D355" i="14"/>
  <c r="D354" i="14"/>
  <c r="D353" i="14"/>
  <c r="D352" i="14"/>
  <c r="D351" i="14"/>
  <c r="D350" i="14"/>
  <c r="D349" i="14"/>
  <c r="D348" i="14"/>
  <c r="D347" i="14"/>
  <c r="D346" i="14"/>
  <c r="D345" i="14"/>
  <c r="D344" i="14"/>
  <c r="D343" i="14"/>
  <c r="D342" i="14"/>
  <c r="D341" i="14"/>
  <c r="D340" i="14"/>
  <c r="D339" i="14"/>
  <c r="D338" i="14"/>
  <c r="D337" i="14"/>
  <c r="D336" i="14"/>
  <c r="D335" i="14"/>
  <c r="D334" i="14"/>
  <c r="D333" i="14"/>
  <c r="D332" i="14"/>
  <c r="D331" i="14"/>
  <c r="D330" i="14"/>
  <c r="D329" i="14"/>
  <c r="D328" i="14"/>
  <c r="D327" i="14"/>
  <c r="K326" i="14"/>
  <c r="J326" i="14"/>
  <c r="I326" i="14"/>
  <c r="H326" i="14"/>
  <c r="G326" i="14"/>
  <c r="F326" i="14"/>
  <c r="E326" i="14"/>
  <c r="D326" i="14"/>
  <c r="K325" i="14"/>
  <c r="J325" i="14"/>
  <c r="I325" i="14"/>
  <c r="H325" i="14"/>
  <c r="G325" i="14"/>
  <c r="F325" i="14"/>
  <c r="E325" i="14"/>
  <c r="D325" i="14"/>
  <c r="K324" i="14"/>
  <c r="J324" i="14"/>
  <c r="I324" i="14"/>
  <c r="H324" i="14"/>
  <c r="G324" i="14"/>
  <c r="F324" i="14"/>
  <c r="E324" i="14"/>
  <c r="D324" i="14"/>
  <c r="K323" i="14"/>
  <c r="J323" i="14"/>
  <c r="I323" i="14"/>
  <c r="H323" i="14"/>
  <c r="G323" i="14"/>
  <c r="F323" i="14"/>
  <c r="E323" i="14"/>
  <c r="D323" i="14"/>
  <c r="K322" i="14"/>
  <c r="J322" i="14"/>
  <c r="I322" i="14"/>
  <c r="H322" i="14"/>
  <c r="G322" i="14"/>
  <c r="F322" i="14"/>
  <c r="E322" i="14"/>
  <c r="D322" i="14"/>
  <c r="K321" i="14"/>
  <c r="J321" i="14"/>
  <c r="I321" i="14"/>
  <c r="H321" i="14"/>
  <c r="G321" i="14"/>
  <c r="F321" i="14"/>
  <c r="E321" i="14"/>
  <c r="D321" i="14"/>
  <c r="K320" i="14"/>
  <c r="J320" i="14"/>
  <c r="I320" i="14"/>
  <c r="H320" i="14"/>
  <c r="G320" i="14"/>
  <c r="F320" i="14"/>
  <c r="E320" i="14"/>
  <c r="D320" i="14"/>
  <c r="K319" i="14"/>
  <c r="J319" i="14"/>
  <c r="I319" i="14"/>
  <c r="H319" i="14"/>
  <c r="G319" i="14"/>
  <c r="F319" i="14"/>
  <c r="E319" i="14"/>
  <c r="D319" i="14"/>
  <c r="K318" i="14"/>
  <c r="J318" i="14"/>
  <c r="I318" i="14"/>
  <c r="H318" i="14"/>
  <c r="G318" i="14"/>
  <c r="F318" i="14"/>
  <c r="E318" i="14"/>
  <c r="D318" i="14"/>
  <c r="K317" i="14"/>
  <c r="J317" i="14"/>
  <c r="I317" i="14"/>
  <c r="H317" i="14"/>
  <c r="G317" i="14"/>
  <c r="F317" i="14"/>
  <c r="E317" i="14"/>
  <c r="D317" i="14"/>
  <c r="K316" i="14"/>
  <c r="J316" i="14"/>
  <c r="I316" i="14"/>
  <c r="H316" i="14"/>
  <c r="G316" i="14"/>
  <c r="F316" i="14"/>
  <c r="E316" i="14"/>
  <c r="D316" i="14"/>
  <c r="K315" i="14"/>
  <c r="J315" i="14"/>
  <c r="I315" i="14"/>
  <c r="H315" i="14"/>
  <c r="G315" i="14"/>
  <c r="F315" i="14"/>
  <c r="E315" i="14"/>
  <c r="D315" i="14"/>
  <c r="K314" i="14"/>
  <c r="J314" i="14"/>
  <c r="I314" i="14"/>
  <c r="H314" i="14"/>
  <c r="G314" i="14"/>
  <c r="F314" i="14"/>
  <c r="E314" i="14"/>
  <c r="D314" i="14"/>
  <c r="D313" i="14"/>
  <c r="D312" i="14"/>
  <c r="D311" i="14"/>
  <c r="D310" i="14"/>
  <c r="D309" i="14"/>
  <c r="D308" i="14"/>
  <c r="D307" i="14"/>
  <c r="D306" i="14"/>
  <c r="D305" i="14"/>
  <c r="D304" i="14"/>
  <c r="D303" i="14"/>
  <c r="D302" i="14"/>
  <c r="D301" i="14"/>
  <c r="K300" i="14"/>
  <c r="J300" i="14"/>
  <c r="I300" i="14"/>
  <c r="H300" i="14"/>
  <c r="G300" i="14"/>
  <c r="F300" i="14"/>
  <c r="E300" i="14"/>
  <c r="D300" i="14"/>
  <c r="D299" i="14"/>
  <c r="D298" i="14"/>
  <c r="D297" i="14"/>
  <c r="D296" i="14"/>
  <c r="D295" i="14"/>
  <c r="D294" i="14"/>
  <c r="D293" i="14"/>
  <c r="D292" i="14"/>
  <c r="D291" i="14"/>
  <c r="D290" i="14"/>
  <c r="D289" i="14"/>
  <c r="D288" i="14"/>
  <c r="D287" i="14"/>
  <c r="D286" i="14"/>
  <c r="D285" i="14"/>
  <c r="D284" i="14"/>
  <c r="D283" i="14"/>
  <c r="D282" i="14"/>
  <c r="D281" i="14"/>
  <c r="D280" i="14"/>
  <c r="D279" i="14"/>
  <c r="D278" i="14"/>
  <c r="D277" i="14"/>
  <c r="D276" i="14"/>
  <c r="D275" i="14"/>
  <c r="D274" i="14"/>
  <c r="D273" i="14"/>
  <c r="D272" i="14"/>
  <c r="D271" i="14"/>
  <c r="D270" i="14"/>
  <c r="D269" i="14"/>
  <c r="D268" i="14"/>
  <c r="D267" i="14"/>
  <c r="D266" i="14"/>
  <c r="D265" i="14"/>
  <c r="D264" i="14"/>
  <c r="D263" i="14"/>
  <c r="D262" i="14"/>
  <c r="D261" i="14"/>
  <c r="D260" i="14"/>
  <c r="D259" i="14"/>
  <c r="D258" i="14"/>
  <c r="D257" i="14"/>
  <c r="D256" i="14"/>
  <c r="D255" i="14"/>
  <c r="D254" i="14"/>
  <c r="D253" i="14"/>
  <c r="D252" i="14"/>
  <c r="D251" i="14"/>
  <c r="D250" i="14"/>
  <c r="D249" i="14"/>
  <c r="D248" i="14"/>
  <c r="D247" i="14"/>
  <c r="D246" i="14"/>
  <c r="D245" i="14"/>
  <c r="D244" i="14"/>
  <c r="D243" i="14"/>
  <c r="D242" i="14"/>
  <c r="D241" i="14"/>
  <c r="D240" i="14"/>
  <c r="D239" i="14"/>
  <c r="D238" i="14"/>
  <c r="D237" i="14"/>
  <c r="D236" i="14"/>
  <c r="D235" i="14"/>
  <c r="D234" i="14"/>
  <c r="D233" i="14"/>
  <c r="D232" i="14"/>
  <c r="D231" i="14"/>
  <c r="D230" i="14"/>
  <c r="D229" i="14"/>
  <c r="D228" i="14"/>
  <c r="D227" i="14"/>
  <c r="D226" i="14"/>
  <c r="D225" i="14"/>
  <c r="D224" i="14"/>
  <c r="D223" i="14"/>
  <c r="D222" i="14"/>
  <c r="D221" i="14"/>
  <c r="D220" i="14"/>
  <c r="D219" i="14"/>
  <c r="D218" i="14"/>
  <c r="D217" i="14"/>
  <c r="D216" i="14"/>
  <c r="D215" i="14"/>
  <c r="D214" i="14"/>
  <c r="D213" i="14"/>
  <c r="D212" i="14"/>
  <c r="D211" i="14"/>
  <c r="D210" i="14"/>
  <c r="D209" i="14"/>
  <c r="D208" i="14"/>
  <c r="D207" i="14"/>
  <c r="D206" i="14"/>
  <c r="D205" i="14"/>
  <c r="D204" i="14"/>
  <c r="D203" i="14"/>
  <c r="D202" i="14"/>
  <c r="D201" i="14"/>
  <c r="D200" i="14"/>
  <c r="D199" i="14"/>
  <c r="D198" i="14"/>
  <c r="D197" i="14"/>
  <c r="D196" i="14"/>
  <c r="D195" i="14"/>
  <c r="D194" i="14"/>
  <c r="D193" i="14"/>
  <c r="D192" i="14"/>
  <c r="D191" i="14"/>
  <c r="D190" i="14"/>
  <c r="D189" i="14"/>
  <c r="D188" i="14"/>
  <c r="D187" i="14"/>
  <c r="D186" i="14"/>
  <c r="D185" i="14"/>
  <c r="D184" i="14"/>
  <c r="D183" i="14"/>
  <c r="D182" i="14"/>
  <c r="D181" i="14"/>
  <c r="D180" i="14"/>
  <c r="D179" i="14"/>
  <c r="D178" i="14"/>
  <c r="D177" i="14"/>
  <c r="D176" i="14"/>
  <c r="D175" i="14"/>
  <c r="D174" i="14"/>
  <c r="D173" i="14"/>
  <c r="D172" i="14"/>
  <c r="D171" i="14"/>
  <c r="D170" i="14"/>
  <c r="D169" i="14"/>
  <c r="D168" i="14"/>
  <c r="D167" i="14"/>
  <c r="D166" i="14"/>
  <c r="D165" i="14"/>
  <c r="D164" i="14"/>
  <c r="D163" i="14"/>
  <c r="D162" i="14"/>
  <c r="D161" i="14"/>
  <c r="D160" i="14"/>
  <c r="D159" i="14"/>
  <c r="D158" i="14"/>
  <c r="D157" i="14"/>
  <c r="D156" i="14"/>
  <c r="D155" i="14"/>
  <c r="D154" i="14"/>
  <c r="D153" i="14"/>
  <c r="D152" i="14"/>
  <c r="D151" i="14"/>
  <c r="D150" i="14"/>
  <c r="D149" i="14"/>
  <c r="D148" i="14"/>
  <c r="D147" i="14"/>
  <c r="D146" i="14"/>
  <c r="D145" i="14"/>
  <c r="D144" i="14"/>
  <c r="D143" i="14"/>
  <c r="D142" i="14"/>
  <c r="D141" i="14"/>
  <c r="D140" i="14"/>
  <c r="D139" i="14"/>
  <c r="D138" i="14"/>
  <c r="D137" i="14"/>
  <c r="D136" i="14"/>
  <c r="D135" i="14"/>
  <c r="D134" i="14"/>
  <c r="D133" i="14"/>
  <c r="D132" i="14"/>
  <c r="D131" i="14"/>
  <c r="D130" i="14"/>
  <c r="D129" i="14"/>
  <c r="D128" i="14"/>
  <c r="D127" i="14"/>
  <c r="D126" i="14"/>
  <c r="D125" i="14"/>
  <c r="D124" i="14"/>
  <c r="D123" i="14"/>
  <c r="D122" i="14"/>
  <c r="D121" i="14"/>
  <c r="D120" i="14"/>
  <c r="D119" i="14"/>
  <c r="D118" i="14"/>
  <c r="D117" i="14"/>
  <c r="D116" i="14"/>
  <c r="D115" i="14"/>
  <c r="D114" i="14"/>
  <c r="D113" i="14"/>
  <c r="D112" i="14"/>
  <c r="D111" i="14"/>
  <c r="D110" i="14"/>
  <c r="D109" i="14"/>
  <c r="D108" i="14"/>
  <c r="D107" i="14"/>
  <c r="D106" i="14"/>
  <c r="D105" i="14"/>
  <c r="D104" i="14"/>
  <c r="D103" i="14"/>
  <c r="D102" i="14"/>
  <c r="D101" i="14"/>
  <c r="D100" i="14"/>
  <c r="D99" i="14"/>
  <c r="D98" i="14"/>
  <c r="D97" i="14"/>
  <c r="D96" i="14"/>
  <c r="D95" i="14"/>
  <c r="D94" i="14"/>
  <c r="D93" i="14"/>
  <c r="D92" i="14"/>
  <c r="D91" i="14"/>
  <c r="D90" i="14"/>
  <c r="D89" i="14"/>
  <c r="D88" i="14"/>
  <c r="D87" i="14"/>
  <c r="D86" i="14"/>
  <c r="D85" i="14"/>
  <c r="D84" i="14"/>
  <c r="D83" i="14"/>
  <c r="D82" i="14"/>
  <c r="D81" i="14"/>
  <c r="D80" i="14"/>
  <c r="D79" i="14"/>
  <c r="D78" i="14"/>
  <c r="D77" i="14"/>
  <c r="D76" i="14"/>
  <c r="D75" i="14"/>
  <c r="D74" i="14"/>
  <c r="D73" i="14"/>
  <c r="D72" i="14"/>
  <c r="D71" i="14"/>
  <c r="D70" i="14"/>
  <c r="D69" i="14"/>
  <c r="D68" i="14"/>
  <c r="D67" i="14"/>
  <c r="D66" i="14"/>
  <c r="D65" i="14"/>
  <c r="D64" i="14"/>
  <c r="D63" i="14"/>
  <c r="D62" i="14"/>
  <c r="D61" i="14"/>
  <c r="D60" i="14"/>
  <c r="D59" i="14"/>
  <c r="D58" i="14"/>
  <c r="D57" i="14"/>
  <c r="D56" i="14"/>
  <c r="D55" i="14"/>
  <c r="D54" i="14"/>
  <c r="D53" i="14"/>
  <c r="D52" i="14"/>
  <c r="D51" i="14"/>
  <c r="D50" i="14"/>
  <c r="D49" i="14"/>
  <c r="D48" i="14"/>
  <c r="D47" i="14"/>
  <c r="D46" i="14"/>
  <c r="D45" i="14"/>
  <c r="D44" i="14"/>
  <c r="D43" i="14"/>
  <c r="D42" i="14"/>
  <c r="D41" i="14"/>
  <c r="D40" i="14"/>
  <c r="D39" i="14"/>
  <c r="D38" i="14"/>
  <c r="D37" i="14"/>
  <c r="D36" i="14"/>
  <c r="D35" i="14"/>
  <c r="D34" i="14"/>
  <c r="D33" i="14"/>
  <c r="D32" i="14"/>
  <c r="D31" i="14"/>
  <c r="D30" i="14"/>
  <c r="D29" i="14"/>
  <c r="D28" i="14"/>
  <c r="D27" i="14"/>
  <c r="D26" i="14"/>
  <c r="D25" i="14"/>
  <c r="D24" i="14"/>
  <c r="D23" i="14"/>
  <c r="D22" i="14"/>
  <c r="D21" i="14"/>
  <c r="D20" i="14"/>
  <c r="D19" i="14"/>
  <c r="D18" i="14"/>
  <c r="D17" i="14"/>
  <c r="D16" i="14"/>
  <c r="D15" i="14"/>
  <c r="D14" i="14"/>
  <c r="D13" i="14"/>
  <c r="D12" i="14"/>
  <c r="D11" i="14"/>
  <c r="D10" i="14"/>
  <c r="D9" i="14"/>
  <c r="D8" i="14"/>
  <c r="D7" i="14"/>
  <c r="D6" i="14"/>
  <c r="D5" i="14"/>
  <c r="D4" i="14"/>
  <c r="D3" i="14"/>
  <c r="D2" i="14"/>
  <c r="AI445" i="15"/>
  <c r="AH445" i="15"/>
  <c r="AG445" i="15"/>
  <c r="AF445" i="15"/>
  <c r="AE445" i="15"/>
  <c r="AD445" i="15"/>
  <c r="AC445" i="15"/>
  <c r="AI444" i="15"/>
  <c r="AH444" i="15"/>
  <c r="AG444" i="15"/>
  <c r="AF444" i="15"/>
  <c r="AE444" i="15"/>
  <c r="AD444" i="15"/>
  <c r="AC444" i="15"/>
  <c r="AI443" i="15"/>
  <c r="AH443" i="15"/>
  <c r="AG443" i="15"/>
  <c r="AF443" i="15"/>
  <c r="AE443" i="15"/>
  <c r="AD443" i="15"/>
  <c r="AC443" i="15"/>
  <c r="AI442" i="15"/>
  <c r="AH442" i="15"/>
  <c r="AG442" i="15"/>
  <c r="AF442" i="15"/>
  <c r="AE442" i="15"/>
  <c r="AD442" i="15"/>
  <c r="AC442" i="15"/>
  <c r="AI441" i="15"/>
  <c r="AH441" i="15"/>
  <c r="AG441" i="15"/>
  <c r="AF441" i="15"/>
  <c r="AE441" i="15"/>
  <c r="AD441" i="15"/>
  <c r="AC441" i="15"/>
  <c r="AI440" i="15"/>
  <c r="AH440" i="15"/>
  <c r="AG440" i="15"/>
  <c r="AF440" i="15"/>
  <c r="AE440" i="15"/>
  <c r="AD440" i="15"/>
  <c r="AC440" i="15"/>
  <c r="AX438" i="15"/>
  <c r="AX437" i="15"/>
  <c r="AX436" i="15"/>
  <c r="AW436" i="15"/>
  <c r="AI435" i="15"/>
  <c r="AH435" i="15"/>
  <c r="AG435" i="15"/>
  <c r="AF435" i="15"/>
  <c r="AE435" i="15"/>
  <c r="AD435" i="15"/>
  <c r="AC435" i="15"/>
  <c r="AI434" i="15"/>
  <c r="AH434" i="15"/>
  <c r="AG434" i="15"/>
  <c r="AF434" i="15"/>
  <c r="AE434" i="15"/>
  <c r="AD434" i="15"/>
  <c r="AC434" i="15"/>
  <c r="AI433" i="15"/>
  <c r="AH433" i="15"/>
  <c r="AG433" i="15"/>
  <c r="AF433" i="15"/>
  <c r="AE433" i="15"/>
  <c r="AD433" i="15"/>
  <c r="AC433" i="15"/>
  <c r="AI432" i="15"/>
  <c r="AH432" i="15"/>
  <c r="AG432" i="15"/>
  <c r="AF432" i="15"/>
  <c r="AE432" i="15"/>
  <c r="AD432" i="15"/>
  <c r="AC432" i="15"/>
  <c r="AI431" i="15"/>
  <c r="AH431" i="15"/>
  <c r="AG431" i="15"/>
  <c r="AF431" i="15"/>
  <c r="AE431" i="15"/>
  <c r="AD431" i="15"/>
  <c r="AC431" i="15"/>
  <c r="AI430" i="15"/>
  <c r="AH430" i="15"/>
  <c r="AG430" i="15"/>
  <c r="AF430" i="15"/>
  <c r="AE430" i="15"/>
  <c r="AD430" i="15"/>
  <c r="AC430" i="15"/>
  <c r="AX428" i="15"/>
  <c r="AX427" i="15"/>
  <c r="AX426" i="15"/>
  <c r="AW426" i="15"/>
  <c r="AI425" i="15"/>
  <c r="AH425" i="15"/>
  <c r="AG425" i="15"/>
  <c r="AF425" i="15"/>
  <c r="AE425" i="15"/>
  <c r="AD425" i="15"/>
  <c r="AC425" i="15"/>
  <c r="AI424" i="15"/>
  <c r="AH424" i="15"/>
  <c r="AG424" i="15"/>
  <c r="AF424" i="15"/>
  <c r="AE424" i="15"/>
  <c r="AD424" i="15"/>
  <c r="AC424" i="15"/>
  <c r="AI423" i="15"/>
  <c r="AH423" i="15"/>
  <c r="AG423" i="15"/>
  <c r="AF423" i="15"/>
  <c r="AE423" i="15"/>
  <c r="AD423" i="15"/>
  <c r="AC423" i="15"/>
  <c r="AI422" i="15"/>
  <c r="AH422" i="15"/>
  <c r="AG422" i="15"/>
  <c r="AF422" i="15"/>
  <c r="AE422" i="15"/>
  <c r="AD422" i="15"/>
  <c r="AC422" i="15"/>
  <c r="AI421" i="15"/>
  <c r="AH421" i="15"/>
  <c r="AG421" i="15"/>
  <c r="AF421" i="15"/>
  <c r="AE421" i="15"/>
  <c r="AD421" i="15"/>
  <c r="AC421" i="15"/>
  <c r="AI420" i="15"/>
  <c r="AH420" i="15"/>
  <c r="AG420" i="15"/>
  <c r="AF420" i="15"/>
  <c r="AE420" i="15"/>
  <c r="AD420" i="15"/>
  <c r="AC420" i="15"/>
  <c r="AX418" i="15"/>
  <c r="AX417" i="15"/>
  <c r="AX416" i="15"/>
  <c r="AW416" i="15"/>
  <c r="AI415" i="15"/>
  <c r="AH415" i="15"/>
  <c r="AG415" i="15"/>
  <c r="AF415" i="15"/>
  <c r="AE415" i="15"/>
  <c r="AD415" i="15"/>
  <c r="AC415" i="15"/>
  <c r="AI414" i="15"/>
  <c r="AH414" i="15"/>
  <c r="AG414" i="15"/>
  <c r="AF414" i="15"/>
  <c r="AE414" i="15"/>
  <c r="AD414" i="15"/>
  <c r="AC414" i="15"/>
  <c r="AI413" i="15"/>
  <c r="AH413" i="15"/>
  <c r="AG413" i="15"/>
  <c r="AF413" i="15"/>
  <c r="AE413" i="15"/>
  <c r="AD413" i="15"/>
  <c r="AC413" i="15"/>
  <c r="AI412" i="15"/>
  <c r="AH412" i="15"/>
  <c r="AG412" i="15"/>
  <c r="AF412" i="15"/>
  <c r="AE412" i="15"/>
  <c r="AD412" i="15"/>
  <c r="AC412" i="15"/>
  <c r="AI411" i="15"/>
  <c r="AH411" i="15"/>
  <c r="AG411" i="15"/>
  <c r="AF411" i="15"/>
  <c r="AE411" i="15"/>
  <c r="AD411" i="15"/>
  <c r="AC411" i="15"/>
  <c r="AI410" i="15"/>
  <c r="AH410" i="15"/>
  <c r="AG410" i="15"/>
  <c r="AF410" i="15"/>
  <c r="AE410" i="15"/>
  <c r="AD410" i="15"/>
  <c r="AC410" i="15"/>
  <c r="AI409" i="15"/>
  <c r="AH409" i="15"/>
  <c r="AG409" i="15"/>
  <c r="AF409" i="15"/>
  <c r="AE409" i="15"/>
  <c r="AD409" i="15"/>
  <c r="AC409" i="15"/>
  <c r="AI408" i="15"/>
  <c r="AH408" i="15"/>
  <c r="AG408" i="15"/>
  <c r="AF408" i="15"/>
  <c r="AE408" i="15"/>
  <c r="AD408" i="15"/>
  <c r="AC408" i="15"/>
  <c r="AI407" i="15"/>
  <c r="AH407" i="15"/>
  <c r="AG407" i="15"/>
  <c r="AF407" i="15"/>
  <c r="AE407" i="15"/>
  <c r="AD407" i="15"/>
  <c r="AC407" i="15"/>
  <c r="AI406" i="15"/>
  <c r="AH406" i="15"/>
  <c r="AG406" i="15"/>
  <c r="AF406" i="15"/>
  <c r="AE406" i="15"/>
  <c r="AD406" i="15"/>
  <c r="AC406" i="15"/>
  <c r="AI405" i="15"/>
  <c r="AH405" i="15"/>
  <c r="AG405" i="15"/>
  <c r="AF405" i="15"/>
  <c r="AE405" i="15"/>
  <c r="AD405" i="15"/>
  <c r="AC405" i="15"/>
  <c r="AI404" i="15"/>
  <c r="AH404" i="15"/>
  <c r="AG404" i="15"/>
  <c r="AF404" i="15"/>
  <c r="AE404" i="15"/>
  <c r="AD404" i="15"/>
  <c r="AC404" i="15"/>
  <c r="AI403" i="15"/>
  <c r="AH403" i="15"/>
  <c r="AG403" i="15"/>
  <c r="AF403" i="15"/>
  <c r="AE403" i="15"/>
  <c r="AD403" i="15"/>
  <c r="AC403" i="15"/>
  <c r="AI402" i="15"/>
  <c r="AH402" i="15"/>
  <c r="AG402" i="15"/>
  <c r="AF402" i="15"/>
  <c r="AE402" i="15"/>
  <c r="AD402" i="15"/>
  <c r="AC402" i="15"/>
  <c r="AI401" i="15"/>
  <c r="AH401" i="15"/>
  <c r="AG401" i="15"/>
  <c r="AF401" i="15"/>
  <c r="AE401" i="15"/>
  <c r="AD401" i="15"/>
  <c r="AC401" i="15"/>
  <c r="AI400" i="15"/>
  <c r="AH400" i="15"/>
  <c r="AG400" i="15"/>
  <c r="AF400" i="15"/>
  <c r="AE400" i="15"/>
  <c r="AD400" i="15"/>
  <c r="AC400" i="15"/>
  <c r="AI399" i="15"/>
  <c r="AH399" i="15"/>
  <c r="AG399" i="15"/>
  <c r="AF399" i="15"/>
  <c r="AE399" i="15"/>
  <c r="AD399" i="15"/>
  <c r="AC399" i="15"/>
  <c r="AI398" i="15"/>
  <c r="AH398" i="15"/>
  <c r="AG398" i="15"/>
  <c r="AF398" i="15"/>
  <c r="AE398" i="15"/>
  <c r="AD398" i="15"/>
  <c r="AC398" i="15"/>
  <c r="AX396" i="15"/>
  <c r="AX395" i="15"/>
  <c r="AX394" i="15"/>
  <c r="AW394" i="15"/>
  <c r="AI393" i="15"/>
  <c r="AH393" i="15"/>
  <c r="AG393" i="15"/>
  <c r="AF393" i="15"/>
  <c r="AE393" i="15"/>
  <c r="AD393" i="15"/>
  <c r="AC393" i="15"/>
  <c r="AI392" i="15"/>
  <c r="AH392" i="15"/>
  <c r="AG392" i="15"/>
  <c r="AF392" i="15"/>
  <c r="AE392" i="15"/>
  <c r="AD392" i="15"/>
  <c r="AC392" i="15"/>
  <c r="AI391" i="15"/>
  <c r="AH391" i="15"/>
  <c r="AG391" i="15"/>
  <c r="AF391" i="15"/>
  <c r="AE391" i="15"/>
  <c r="AD391" i="15"/>
  <c r="AC391" i="15"/>
  <c r="AI390" i="15"/>
  <c r="AH390" i="15"/>
  <c r="AG390" i="15"/>
  <c r="AF390" i="15"/>
  <c r="AE390" i="15"/>
  <c r="AD390" i="15"/>
  <c r="AC390" i="15"/>
  <c r="AI389" i="15"/>
  <c r="AH389" i="15"/>
  <c r="AG389" i="15"/>
  <c r="AF389" i="15"/>
  <c r="AE389" i="15"/>
  <c r="AD389" i="15"/>
  <c r="AC389" i="15"/>
  <c r="AI388" i="15"/>
  <c r="AH388" i="15"/>
  <c r="AG388" i="15"/>
  <c r="AF388" i="15"/>
  <c r="AE388" i="15"/>
  <c r="AD388" i="15"/>
  <c r="AC388" i="15"/>
  <c r="AI387" i="15"/>
  <c r="AH387" i="15"/>
  <c r="AG387" i="15"/>
  <c r="AF387" i="15"/>
  <c r="AE387" i="15"/>
  <c r="AD387" i="15"/>
  <c r="AC387" i="15"/>
  <c r="AI386" i="15"/>
  <c r="AH386" i="15"/>
  <c r="AG386" i="15"/>
  <c r="AF386" i="15"/>
  <c r="AE386" i="15"/>
  <c r="AD386" i="15"/>
  <c r="AC386" i="15"/>
  <c r="AI385" i="15"/>
  <c r="AH385" i="15"/>
  <c r="AG385" i="15"/>
  <c r="AF385" i="15"/>
  <c r="AE385" i="15"/>
  <c r="AD385" i="15"/>
  <c r="AC385" i="15"/>
  <c r="AI384" i="15"/>
  <c r="AH384" i="15"/>
  <c r="AG384" i="15"/>
  <c r="AF384" i="15"/>
  <c r="AE384" i="15"/>
  <c r="AD384" i="15"/>
  <c r="AC384" i="15"/>
  <c r="AI383" i="15"/>
  <c r="AH383" i="15"/>
  <c r="AG383" i="15"/>
  <c r="AF383" i="15"/>
  <c r="AE383" i="15"/>
  <c r="AD383" i="15"/>
  <c r="AC383" i="15"/>
  <c r="AI382" i="15"/>
  <c r="AH382" i="15"/>
  <c r="AG382" i="15"/>
  <c r="AF382" i="15"/>
  <c r="AE382" i="15"/>
  <c r="AD382" i="15"/>
  <c r="AC382" i="15"/>
  <c r="AI381" i="15"/>
  <c r="AH381" i="15"/>
  <c r="AG381" i="15"/>
  <c r="AF381" i="15"/>
  <c r="AE381" i="15"/>
  <c r="AD381" i="15"/>
  <c r="AC381" i="15"/>
  <c r="AI380" i="15"/>
  <c r="AH380" i="15"/>
  <c r="AG380" i="15"/>
  <c r="AF380" i="15"/>
  <c r="AE380" i="15"/>
  <c r="AD380" i="15"/>
  <c r="AC380" i="15"/>
  <c r="AI379" i="15"/>
  <c r="AH379" i="15"/>
  <c r="AG379" i="15"/>
  <c r="AF379" i="15"/>
  <c r="AE379" i="15"/>
  <c r="AD379" i="15"/>
  <c r="AC379" i="15"/>
  <c r="AI378" i="15"/>
  <c r="AH378" i="15"/>
  <c r="AG378" i="15"/>
  <c r="AF378" i="15"/>
  <c r="AE378" i="15"/>
  <c r="AD378" i="15"/>
  <c r="AC378" i="15"/>
  <c r="AI377" i="15"/>
  <c r="AH377" i="15"/>
  <c r="AG377" i="15"/>
  <c r="AF377" i="15"/>
  <c r="AE377" i="15"/>
  <c r="AD377" i="15"/>
  <c r="AC377" i="15"/>
  <c r="AI376" i="15"/>
  <c r="AH376" i="15"/>
  <c r="AG376" i="15"/>
  <c r="AF376" i="15"/>
  <c r="AE376" i="15"/>
  <c r="AD376" i="15"/>
  <c r="AC376" i="15"/>
  <c r="AX374" i="15"/>
  <c r="AX373" i="15"/>
  <c r="AX372" i="15"/>
  <c r="AW372" i="15"/>
  <c r="AI347" i="15"/>
  <c r="AH347" i="15"/>
  <c r="AG347" i="15"/>
  <c r="AF347" i="15"/>
  <c r="AE347" i="15"/>
  <c r="AD347" i="15"/>
  <c r="AC347" i="15"/>
  <c r="AI346" i="15"/>
  <c r="AH346" i="15"/>
  <c r="AG346" i="15"/>
  <c r="AF346" i="15"/>
  <c r="AE346" i="15"/>
  <c r="AD346" i="15"/>
  <c r="AC346" i="15"/>
  <c r="AI345" i="15"/>
  <c r="AH345" i="15"/>
  <c r="AG345" i="15"/>
  <c r="AF345" i="15"/>
  <c r="AE345" i="15"/>
  <c r="AD345" i="15"/>
  <c r="AC345" i="15"/>
  <c r="AI344" i="15"/>
  <c r="AH344" i="15"/>
  <c r="AG344" i="15"/>
  <c r="AF344" i="15"/>
  <c r="AE344" i="15"/>
  <c r="AD344" i="15"/>
  <c r="AC344" i="15"/>
  <c r="AI343" i="15"/>
  <c r="AH343" i="15"/>
  <c r="AG343" i="15"/>
  <c r="AF343" i="15"/>
  <c r="AE343" i="15"/>
  <c r="AD343" i="15"/>
  <c r="AC343" i="15"/>
  <c r="AI342" i="15"/>
  <c r="AH342" i="15"/>
  <c r="AG342" i="15"/>
  <c r="AF342" i="15"/>
  <c r="AE342" i="15"/>
  <c r="AD342" i="15"/>
  <c r="AC342" i="15"/>
  <c r="AX340" i="15"/>
  <c r="AX339" i="15"/>
  <c r="AX338" i="15"/>
  <c r="AW338" i="15"/>
  <c r="AI310" i="15"/>
  <c r="AH310" i="15"/>
  <c r="AG310" i="15"/>
  <c r="AF310" i="15"/>
  <c r="AE310" i="15"/>
  <c r="AD310" i="15"/>
  <c r="AC310" i="15"/>
  <c r="AI309" i="15"/>
  <c r="AH309" i="15"/>
  <c r="AG309" i="15"/>
  <c r="AF309" i="15"/>
  <c r="AE309" i="15"/>
  <c r="AD309" i="15"/>
  <c r="AC309" i="15"/>
  <c r="AI308" i="15"/>
  <c r="AH308" i="15"/>
  <c r="AG308" i="15"/>
  <c r="AF308" i="15"/>
  <c r="AE308" i="15"/>
  <c r="AD308" i="15"/>
  <c r="AC308" i="15"/>
  <c r="AI307" i="15"/>
  <c r="AH307" i="15"/>
  <c r="AG307" i="15"/>
  <c r="AF307" i="15"/>
  <c r="AE307" i="15"/>
  <c r="AD307" i="15"/>
  <c r="AC307" i="15"/>
  <c r="AI306" i="15"/>
  <c r="AH306" i="15"/>
  <c r="AG306" i="15"/>
  <c r="AF306" i="15"/>
  <c r="AE306" i="15"/>
  <c r="AD306" i="15"/>
  <c r="AC306" i="15"/>
  <c r="AI305" i="15"/>
  <c r="AH305" i="15"/>
  <c r="AG305" i="15"/>
  <c r="AF305" i="15"/>
  <c r="AE305" i="15"/>
  <c r="AD305" i="15"/>
  <c r="AC305" i="15"/>
  <c r="AX303" i="15"/>
  <c r="AX302" i="15"/>
  <c r="AX301" i="15"/>
  <c r="AW301" i="15"/>
  <c r="AI287" i="15"/>
  <c r="AH287" i="15"/>
  <c r="AG287" i="15"/>
  <c r="AF287" i="15"/>
  <c r="AE287" i="15"/>
  <c r="AD287" i="15"/>
  <c r="AC287" i="15"/>
  <c r="AI286" i="15"/>
  <c r="AH286" i="15"/>
  <c r="AG286" i="15"/>
  <c r="AF286" i="15"/>
  <c r="AE286" i="15"/>
  <c r="AD286" i="15"/>
  <c r="AC286" i="15"/>
  <c r="AI285" i="15"/>
  <c r="AH285" i="15"/>
  <c r="AG285" i="15"/>
  <c r="AF285" i="15"/>
  <c r="AE285" i="15"/>
  <c r="AD285" i="15"/>
  <c r="AC285" i="15"/>
  <c r="AI284" i="15"/>
  <c r="AH284" i="15"/>
  <c r="AG284" i="15"/>
  <c r="AF284" i="15"/>
  <c r="AE284" i="15"/>
  <c r="AD284" i="15"/>
  <c r="AC284" i="15"/>
  <c r="AI283" i="15"/>
  <c r="AH283" i="15"/>
  <c r="AG283" i="15"/>
  <c r="AF283" i="15"/>
  <c r="AE283" i="15"/>
  <c r="AD283" i="15"/>
  <c r="AC283" i="15"/>
  <c r="AI282" i="15"/>
  <c r="AH282" i="15"/>
  <c r="AG282" i="15"/>
  <c r="AF282" i="15"/>
  <c r="AE282" i="15"/>
  <c r="AD282" i="15"/>
  <c r="AC282" i="15"/>
  <c r="AX280" i="15"/>
  <c r="AX279" i="15"/>
  <c r="AX278" i="15"/>
  <c r="AW278" i="15"/>
  <c r="AI264" i="15"/>
  <c r="AH264" i="15"/>
  <c r="AG264" i="15"/>
  <c r="AF264" i="15"/>
  <c r="AE264" i="15"/>
  <c r="AD264" i="15"/>
  <c r="AC264" i="15"/>
  <c r="AI263" i="15"/>
  <c r="AH263" i="15"/>
  <c r="AG263" i="15"/>
  <c r="AF263" i="15"/>
  <c r="AE263" i="15"/>
  <c r="AD263" i="15"/>
  <c r="AC263" i="15"/>
  <c r="AI262" i="15"/>
  <c r="AH262" i="15"/>
  <c r="AG262" i="15"/>
  <c r="AF262" i="15"/>
  <c r="AE262" i="15"/>
  <c r="AD262" i="15"/>
  <c r="AC262" i="15"/>
  <c r="AI261" i="15"/>
  <c r="AH261" i="15"/>
  <c r="AG261" i="15"/>
  <c r="AF261" i="15"/>
  <c r="AE261" i="15"/>
  <c r="AD261" i="15"/>
  <c r="AC261" i="15"/>
  <c r="AI260" i="15"/>
  <c r="AH260" i="15"/>
  <c r="AG260" i="15"/>
  <c r="AF260" i="15"/>
  <c r="AE260" i="15"/>
  <c r="AD260" i="15"/>
  <c r="AC260" i="15"/>
  <c r="AI259" i="15"/>
  <c r="AH259" i="15"/>
  <c r="AG259" i="15"/>
  <c r="AF259" i="15"/>
  <c r="AE259" i="15"/>
  <c r="AD259" i="15"/>
  <c r="AC259" i="15"/>
  <c r="AX257" i="15"/>
  <c r="AX256" i="15"/>
  <c r="AX255" i="15"/>
  <c r="AW255" i="15"/>
  <c r="AI247" i="15"/>
  <c r="AH247" i="15"/>
  <c r="AG247" i="15"/>
  <c r="AF247" i="15"/>
  <c r="AE247" i="15"/>
  <c r="AD247" i="15"/>
  <c r="AC247" i="15"/>
  <c r="AI246" i="15"/>
  <c r="AH246" i="15"/>
  <c r="AG246" i="15"/>
  <c r="AF246" i="15"/>
  <c r="AE246" i="15"/>
  <c r="AD246" i="15"/>
  <c r="AC246" i="15"/>
  <c r="AI245" i="15"/>
  <c r="AH245" i="15"/>
  <c r="AG245" i="15"/>
  <c r="AF245" i="15"/>
  <c r="AE245" i="15"/>
  <c r="AD245" i="15"/>
  <c r="AC245" i="15"/>
  <c r="AI244" i="15"/>
  <c r="AH244" i="15"/>
  <c r="AG244" i="15"/>
  <c r="AF244" i="15"/>
  <c r="AE244" i="15"/>
  <c r="AD244" i="15"/>
  <c r="AC244" i="15"/>
  <c r="AI243" i="15"/>
  <c r="AH243" i="15"/>
  <c r="AG243" i="15"/>
  <c r="AF243" i="15"/>
  <c r="AE243" i="15"/>
  <c r="AD243" i="15"/>
  <c r="AC243" i="15"/>
  <c r="AI242" i="15"/>
  <c r="AH242" i="15"/>
  <c r="AG242" i="15"/>
  <c r="AF242" i="15"/>
  <c r="AE242" i="15"/>
  <c r="AD242" i="15"/>
  <c r="AC242" i="15"/>
  <c r="AI241" i="15"/>
  <c r="AH241" i="15"/>
  <c r="AG241" i="15"/>
  <c r="AF241" i="15"/>
  <c r="AE241" i="15"/>
  <c r="AD241" i="15"/>
  <c r="AC241" i="15"/>
  <c r="AI240" i="15"/>
  <c r="AH240" i="15"/>
  <c r="AG240" i="15"/>
  <c r="AF240" i="15"/>
  <c r="AE240" i="15"/>
  <c r="AD240" i="15"/>
  <c r="AC240" i="15"/>
  <c r="AI239" i="15"/>
  <c r="AH239" i="15"/>
  <c r="AG239" i="15"/>
  <c r="AF239" i="15"/>
  <c r="AE239" i="15"/>
  <c r="AD239" i="15"/>
  <c r="AC239" i="15"/>
  <c r="AI238" i="15"/>
  <c r="AH238" i="15"/>
  <c r="AG238" i="15"/>
  <c r="AF238" i="15"/>
  <c r="AE238" i="15"/>
  <c r="AD238" i="15"/>
  <c r="AC238" i="15"/>
  <c r="AI237" i="15"/>
  <c r="AH237" i="15"/>
  <c r="AG237" i="15"/>
  <c r="AF237" i="15"/>
  <c r="AE237" i="15"/>
  <c r="AD237" i="15"/>
  <c r="AC237" i="15"/>
  <c r="AI236" i="15"/>
  <c r="AH236" i="15"/>
  <c r="AG236" i="15"/>
  <c r="AF236" i="15"/>
  <c r="AE236" i="15"/>
  <c r="AD236" i="15"/>
  <c r="AC236" i="15"/>
  <c r="AX234" i="15"/>
  <c r="AX233" i="15"/>
  <c r="AX232" i="15"/>
  <c r="AW232" i="15"/>
  <c r="AI214" i="15"/>
  <c r="AH214" i="15"/>
  <c r="AG214" i="15"/>
  <c r="AF214" i="15"/>
  <c r="AE214" i="15"/>
  <c r="AD214" i="15"/>
  <c r="AC214" i="15"/>
  <c r="AI213" i="15"/>
  <c r="AH213" i="15"/>
  <c r="AG213" i="15"/>
  <c r="AF213" i="15"/>
  <c r="AE213" i="15"/>
  <c r="AD213" i="15"/>
  <c r="AC213" i="15"/>
  <c r="AI212" i="15"/>
  <c r="AH212" i="15"/>
  <c r="AG212" i="15"/>
  <c r="AF212" i="15"/>
  <c r="AE212" i="15"/>
  <c r="AD212" i="15"/>
  <c r="AC212" i="15"/>
  <c r="AI211" i="15"/>
  <c r="AH211" i="15"/>
  <c r="AG211" i="15"/>
  <c r="AF211" i="15"/>
  <c r="AE211" i="15"/>
  <c r="AD211" i="15"/>
  <c r="AC211" i="15"/>
  <c r="AI210" i="15"/>
  <c r="AH210" i="15"/>
  <c r="AG210" i="15"/>
  <c r="AF210" i="15"/>
  <c r="AE210" i="15"/>
  <c r="AD210" i="15"/>
  <c r="AC210" i="15"/>
  <c r="AI209" i="15"/>
  <c r="AH209" i="15"/>
  <c r="AG209" i="15"/>
  <c r="AF209" i="15"/>
  <c r="AE209" i="15"/>
  <c r="AD209" i="15"/>
  <c r="AC209" i="15"/>
  <c r="AI208" i="15"/>
  <c r="AH208" i="15"/>
  <c r="AG208" i="15"/>
  <c r="AF208" i="15"/>
  <c r="AE208" i="15"/>
  <c r="AD208" i="15"/>
  <c r="AC208" i="15"/>
  <c r="AI207" i="15"/>
  <c r="AH207" i="15"/>
  <c r="AG207" i="15"/>
  <c r="AF207" i="15"/>
  <c r="AE207" i="15"/>
  <c r="AD207" i="15"/>
  <c r="AC207" i="15"/>
  <c r="AI206" i="15"/>
  <c r="AH206" i="15"/>
  <c r="AG206" i="15"/>
  <c r="AF206" i="15"/>
  <c r="AE206" i="15"/>
  <c r="AD206" i="15"/>
  <c r="AC206" i="15"/>
  <c r="AI205" i="15"/>
  <c r="AH205" i="15"/>
  <c r="AG205" i="15"/>
  <c r="AF205" i="15"/>
  <c r="AE205" i="15"/>
  <c r="AD205" i="15"/>
  <c r="AC205" i="15"/>
  <c r="AI204" i="15"/>
  <c r="AH204" i="15"/>
  <c r="AG204" i="15"/>
  <c r="AF204" i="15"/>
  <c r="AE204" i="15"/>
  <c r="AD204" i="15"/>
  <c r="AC204" i="15"/>
  <c r="AI203" i="15"/>
  <c r="AH203" i="15"/>
  <c r="AG203" i="15"/>
  <c r="AF203" i="15"/>
  <c r="AE203" i="15"/>
  <c r="AD203" i="15"/>
  <c r="AC203" i="15"/>
  <c r="AI202" i="15"/>
  <c r="AH202" i="15"/>
  <c r="AG202" i="15"/>
  <c r="AF202" i="15"/>
  <c r="AE202" i="15"/>
  <c r="AD202" i="15"/>
  <c r="AC202" i="15"/>
  <c r="AI201" i="15"/>
  <c r="AH201" i="15"/>
  <c r="AG201" i="15"/>
  <c r="AF201" i="15"/>
  <c r="AE201" i="15"/>
  <c r="AD201" i="15"/>
  <c r="AC201" i="15"/>
  <c r="AX199" i="15"/>
  <c r="AX198" i="15"/>
  <c r="AX197" i="15"/>
  <c r="AW197" i="15"/>
  <c r="AX179" i="15"/>
  <c r="AW179" i="15"/>
  <c r="AI179" i="15"/>
  <c r="AH179" i="15"/>
  <c r="AG179" i="15"/>
  <c r="AF179" i="15"/>
  <c r="AE179" i="15"/>
  <c r="AD179" i="15"/>
  <c r="AC179" i="15"/>
  <c r="AX178" i="15"/>
  <c r="AW178" i="15"/>
  <c r="AI178" i="15"/>
  <c r="AH178" i="15"/>
  <c r="AG178" i="15"/>
  <c r="AF178" i="15"/>
  <c r="AE178" i="15"/>
  <c r="AD178" i="15"/>
  <c r="AC178" i="15"/>
  <c r="AX177" i="15"/>
  <c r="AW177" i="15"/>
  <c r="AI177" i="15"/>
  <c r="AH177" i="15"/>
  <c r="AG177" i="15"/>
  <c r="AF177" i="15"/>
  <c r="AE177" i="15"/>
  <c r="AD177" i="15"/>
  <c r="AC177" i="15"/>
  <c r="AX176" i="15"/>
  <c r="AW176" i="15"/>
  <c r="AI176" i="15"/>
  <c r="AH176" i="15"/>
  <c r="AG176" i="15"/>
  <c r="AF176" i="15"/>
  <c r="AE176" i="15"/>
  <c r="AD176" i="15"/>
  <c r="AC176" i="15"/>
  <c r="AX175" i="15"/>
  <c r="AW175" i="15"/>
  <c r="AI175" i="15"/>
  <c r="AH175" i="15"/>
  <c r="AG175" i="15"/>
  <c r="AF175" i="15"/>
  <c r="AE175" i="15"/>
  <c r="AD175" i="15"/>
  <c r="AC175" i="15"/>
  <c r="AX174" i="15"/>
  <c r="AW174" i="15"/>
  <c r="AI174" i="15"/>
  <c r="AH174" i="15"/>
  <c r="AG174" i="15"/>
  <c r="AF174" i="15"/>
  <c r="AE174" i="15"/>
  <c r="AD174" i="15"/>
  <c r="AC174" i="15"/>
  <c r="AX173" i="15"/>
  <c r="AW173" i="15"/>
  <c r="AI173" i="15"/>
  <c r="AH173" i="15"/>
  <c r="AG173" i="15"/>
  <c r="AF173" i="15"/>
  <c r="AE173" i="15"/>
  <c r="AD173" i="15"/>
  <c r="AC173" i="15"/>
  <c r="AX172" i="15"/>
  <c r="AW172" i="15"/>
  <c r="AI172" i="15"/>
  <c r="AH172" i="15"/>
  <c r="AG172" i="15"/>
  <c r="AF172" i="15"/>
  <c r="AE172" i="15"/>
  <c r="AD172" i="15"/>
  <c r="AC172" i="15"/>
  <c r="AX171" i="15"/>
  <c r="AW171" i="15"/>
  <c r="AI171" i="15"/>
  <c r="AH171" i="15"/>
  <c r="AG171" i="15"/>
  <c r="AF171" i="15"/>
  <c r="AE171" i="15"/>
  <c r="AD171" i="15"/>
  <c r="AC171" i="15"/>
  <c r="AX170" i="15"/>
  <c r="AW170" i="15"/>
  <c r="AI170" i="15"/>
  <c r="AH170" i="15"/>
  <c r="AG170" i="15"/>
  <c r="AF170" i="15"/>
  <c r="AE170" i="15"/>
  <c r="AD170" i="15"/>
  <c r="AC170" i="15"/>
  <c r="AX169" i="15"/>
  <c r="AW169" i="15"/>
  <c r="AI169" i="15"/>
  <c r="AH169" i="15"/>
  <c r="AG169" i="15"/>
  <c r="AF169" i="15"/>
  <c r="AE169" i="15"/>
  <c r="AD169" i="15"/>
  <c r="AC169" i="15"/>
  <c r="AX168" i="15"/>
  <c r="AW168" i="15"/>
  <c r="AI168" i="15"/>
  <c r="AH168" i="15"/>
  <c r="AG168" i="15"/>
  <c r="AF168" i="15"/>
  <c r="AE168" i="15"/>
  <c r="AD168" i="15"/>
  <c r="AC168" i="15"/>
  <c r="AX167" i="15"/>
  <c r="AW167" i="15"/>
  <c r="AI167" i="15"/>
  <c r="AH167" i="15"/>
  <c r="AG167" i="15"/>
  <c r="AF167" i="15"/>
  <c r="AE167" i="15"/>
  <c r="AD167" i="15"/>
  <c r="AC167" i="15"/>
  <c r="AX166" i="15"/>
  <c r="AW166" i="15"/>
  <c r="AI166" i="15"/>
  <c r="AH166" i="15"/>
  <c r="AG166" i="15"/>
  <c r="AF166" i="15"/>
  <c r="AE166" i="15"/>
  <c r="AD166" i="15"/>
  <c r="AC166" i="15"/>
  <c r="AX165" i="15"/>
  <c r="AW165" i="15"/>
  <c r="AI165" i="15"/>
  <c r="AH165" i="15"/>
  <c r="AG165" i="15"/>
  <c r="AF165" i="15"/>
  <c r="AE165" i="15"/>
  <c r="AD165" i="15"/>
  <c r="AC165" i="15"/>
  <c r="AX164" i="15"/>
  <c r="AW164" i="15"/>
  <c r="AI164" i="15"/>
  <c r="AH164" i="15"/>
  <c r="AG164" i="15"/>
  <c r="AF164" i="15"/>
  <c r="AE164" i="15"/>
  <c r="AD164" i="15"/>
  <c r="AC164" i="15"/>
  <c r="AX163" i="15"/>
  <c r="AW163" i="15"/>
  <c r="AI163" i="15"/>
  <c r="AH163" i="15"/>
  <c r="AG163" i="15"/>
  <c r="AF163" i="15"/>
  <c r="AE163" i="15"/>
  <c r="AD163" i="15"/>
  <c r="AC163" i="15"/>
  <c r="AX162" i="15"/>
  <c r="AW162" i="15"/>
  <c r="AI162" i="15"/>
  <c r="AH162" i="15"/>
  <c r="AG162" i="15"/>
  <c r="AF162" i="15"/>
  <c r="AE162" i="15"/>
  <c r="AD162" i="15"/>
  <c r="AC162" i="15"/>
  <c r="AX161" i="15"/>
  <c r="AW161" i="15"/>
  <c r="AI161" i="15"/>
  <c r="AH161" i="15"/>
  <c r="AG161" i="15"/>
  <c r="AF161" i="15"/>
  <c r="AE161" i="15"/>
  <c r="AD161" i="15"/>
  <c r="AC161" i="15"/>
  <c r="AX159" i="15"/>
  <c r="AX158" i="15"/>
  <c r="AX157" i="15"/>
  <c r="AW157" i="15"/>
  <c r="AX156" i="15"/>
  <c r="AW156" i="15"/>
  <c r="AI156" i="15"/>
  <c r="AH156" i="15"/>
  <c r="AG156" i="15"/>
  <c r="AF156" i="15"/>
  <c r="AE156" i="15"/>
  <c r="AD156" i="15"/>
  <c r="AC156" i="15"/>
  <c r="AX155" i="15"/>
  <c r="AW155" i="15"/>
  <c r="AI155" i="15"/>
  <c r="AH155" i="15"/>
  <c r="AG155" i="15"/>
  <c r="AF155" i="15"/>
  <c r="AE155" i="15"/>
  <c r="AD155" i="15"/>
  <c r="AC155" i="15"/>
  <c r="AX154" i="15"/>
  <c r="AW154" i="15"/>
  <c r="AI154" i="15"/>
  <c r="AH154" i="15"/>
  <c r="AG154" i="15"/>
  <c r="AF154" i="15"/>
  <c r="AE154" i="15"/>
  <c r="AD154" i="15"/>
  <c r="AC154" i="15"/>
  <c r="AX153" i="15"/>
  <c r="AW153" i="15"/>
  <c r="AI153" i="15"/>
  <c r="AH153" i="15"/>
  <c r="AG153" i="15"/>
  <c r="AF153" i="15"/>
  <c r="AE153" i="15"/>
  <c r="AD153" i="15"/>
  <c r="AC153" i="15"/>
  <c r="AX152" i="15"/>
  <c r="AW152" i="15"/>
  <c r="AI152" i="15"/>
  <c r="AH152" i="15"/>
  <c r="AG152" i="15"/>
  <c r="AF152" i="15"/>
  <c r="AE152" i="15"/>
  <c r="AD152" i="15"/>
  <c r="AC152" i="15"/>
  <c r="AX151" i="15"/>
  <c r="AW151" i="15"/>
  <c r="AI151" i="15"/>
  <c r="AH151" i="15"/>
  <c r="AG151" i="15"/>
  <c r="AF151" i="15"/>
  <c r="AE151" i="15"/>
  <c r="AD151" i="15"/>
  <c r="AC151" i="15"/>
  <c r="AX150" i="15"/>
  <c r="AW150" i="15"/>
  <c r="AI150" i="15"/>
  <c r="AH150" i="15"/>
  <c r="AG150" i="15"/>
  <c r="AF150" i="15"/>
  <c r="AE150" i="15"/>
  <c r="AD150" i="15"/>
  <c r="AC150" i="15"/>
  <c r="AX149" i="15"/>
  <c r="AW149" i="15"/>
  <c r="AI149" i="15"/>
  <c r="AH149" i="15"/>
  <c r="AG149" i="15"/>
  <c r="AF149" i="15"/>
  <c r="AE149" i="15"/>
  <c r="AD149" i="15"/>
  <c r="AC149" i="15"/>
  <c r="AX148" i="15"/>
  <c r="AW148" i="15"/>
  <c r="AI148" i="15"/>
  <c r="AH148" i="15"/>
  <c r="AG148" i="15"/>
  <c r="AF148" i="15"/>
  <c r="AE148" i="15"/>
  <c r="AD148" i="15"/>
  <c r="AC148" i="15"/>
  <c r="AX147" i="15"/>
  <c r="AW147" i="15"/>
  <c r="AI147" i="15"/>
  <c r="AH147" i="15"/>
  <c r="AG147" i="15"/>
  <c r="AF147" i="15"/>
  <c r="AE147" i="15"/>
  <c r="AD147" i="15"/>
  <c r="AC147" i="15"/>
  <c r="AX146" i="15"/>
  <c r="AW146" i="15"/>
  <c r="AI146" i="15"/>
  <c r="AH146" i="15"/>
  <c r="AG146" i="15"/>
  <c r="AF146" i="15"/>
  <c r="AE146" i="15"/>
  <c r="AD146" i="15"/>
  <c r="AC146" i="15"/>
  <c r="AX145" i="15"/>
  <c r="AW145" i="15"/>
  <c r="AI145" i="15"/>
  <c r="AH145" i="15"/>
  <c r="AG145" i="15"/>
  <c r="AF145" i="15"/>
  <c r="AE145" i="15"/>
  <c r="AD145" i="15"/>
  <c r="AC145" i="15"/>
  <c r="AX144" i="15"/>
  <c r="AW144" i="15"/>
  <c r="AI144" i="15"/>
  <c r="AH144" i="15"/>
  <c r="AG144" i="15"/>
  <c r="AF144" i="15"/>
  <c r="AE144" i="15"/>
  <c r="AD144" i="15"/>
  <c r="AC144" i="15"/>
  <c r="AX143" i="15"/>
  <c r="AW143" i="15"/>
  <c r="AI143" i="15"/>
  <c r="AH143" i="15"/>
  <c r="AG143" i="15"/>
  <c r="AF143" i="15"/>
  <c r="AE143" i="15"/>
  <c r="AD143" i="15"/>
  <c r="AC143" i="15"/>
  <c r="AX142" i="15"/>
  <c r="AW142" i="15"/>
  <c r="AI142" i="15"/>
  <c r="AH142" i="15"/>
  <c r="AG142" i="15"/>
  <c r="AF142" i="15"/>
  <c r="AE142" i="15"/>
  <c r="AD142" i="15"/>
  <c r="AC142" i="15"/>
  <c r="AX141" i="15"/>
  <c r="AW141" i="15"/>
  <c r="AI141" i="15"/>
  <c r="AH141" i="15"/>
  <c r="AG141" i="15"/>
  <c r="AF141" i="15"/>
  <c r="AE141" i="15"/>
  <c r="AD141" i="15"/>
  <c r="AC141" i="15"/>
  <c r="AX140" i="15"/>
  <c r="AW140" i="15"/>
  <c r="AI140" i="15"/>
  <c r="AH140" i="15"/>
  <c r="AG140" i="15"/>
  <c r="AF140" i="15"/>
  <c r="AE140" i="15"/>
  <c r="AD140" i="15"/>
  <c r="AC140" i="15"/>
  <c r="AX139" i="15"/>
  <c r="AW139" i="15"/>
  <c r="AI139" i="15"/>
  <c r="AH139" i="15"/>
  <c r="AG139" i="15"/>
  <c r="AF139" i="15"/>
  <c r="AE139" i="15"/>
  <c r="AD139" i="15"/>
  <c r="AC139" i="15"/>
  <c r="AX138" i="15"/>
  <c r="AW138" i="15"/>
  <c r="AI138" i="15"/>
  <c r="AH138" i="15"/>
  <c r="AG138" i="15"/>
  <c r="AF138" i="15"/>
  <c r="AE138" i="15"/>
  <c r="AD138" i="15"/>
  <c r="AC138" i="15"/>
  <c r="AX136" i="15"/>
  <c r="AX135" i="15"/>
  <c r="AX134" i="15"/>
  <c r="AW134" i="15"/>
  <c r="AX133" i="15"/>
  <c r="AW133" i="15"/>
  <c r="AI133" i="15"/>
  <c r="AH133" i="15"/>
  <c r="AG133" i="15"/>
  <c r="AF133" i="15"/>
  <c r="AE133" i="15"/>
  <c r="AD133" i="15"/>
  <c r="AC133" i="15"/>
  <c r="AX132" i="15"/>
  <c r="AW132" i="15"/>
  <c r="AI132" i="15"/>
  <c r="AH132" i="15"/>
  <c r="AG132" i="15"/>
  <c r="AF132" i="15"/>
  <c r="AE132" i="15"/>
  <c r="AD132" i="15"/>
  <c r="AC132" i="15"/>
  <c r="AX131" i="15"/>
  <c r="AW131" i="15"/>
  <c r="AI131" i="15"/>
  <c r="AH131" i="15"/>
  <c r="AG131" i="15"/>
  <c r="AF131" i="15"/>
  <c r="AE131" i="15"/>
  <c r="AD131" i="15"/>
  <c r="AC131" i="15"/>
  <c r="AX130" i="15"/>
  <c r="AW130" i="15"/>
  <c r="AI130" i="15"/>
  <c r="AH130" i="15"/>
  <c r="AG130" i="15"/>
  <c r="AF130" i="15"/>
  <c r="AE130" i="15"/>
  <c r="AD130" i="15"/>
  <c r="AC130" i="15"/>
  <c r="AX129" i="15"/>
  <c r="AW129" i="15"/>
  <c r="AI129" i="15"/>
  <c r="AH129" i="15"/>
  <c r="AG129" i="15"/>
  <c r="AF129" i="15"/>
  <c r="AE129" i="15"/>
  <c r="AD129" i="15"/>
  <c r="AC129" i="15"/>
  <c r="AX128" i="15"/>
  <c r="AW128" i="15"/>
  <c r="AI128" i="15"/>
  <c r="AH128" i="15"/>
  <c r="AG128" i="15"/>
  <c r="AF128" i="15"/>
  <c r="AE128" i="15"/>
  <c r="AD128" i="15"/>
  <c r="AC128" i="15"/>
  <c r="AX127" i="15"/>
  <c r="AW127" i="15"/>
  <c r="AI127" i="15"/>
  <c r="AH127" i="15"/>
  <c r="AG127" i="15"/>
  <c r="AF127" i="15"/>
  <c r="AE127" i="15"/>
  <c r="AD127" i="15"/>
  <c r="AC127" i="15"/>
  <c r="AX126" i="15"/>
  <c r="AW126" i="15"/>
  <c r="AI126" i="15"/>
  <c r="AH126" i="15"/>
  <c r="AG126" i="15"/>
  <c r="AF126" i="15"/>
  <c r="AE126" i="15"/>
  <c r="AD126" i="15"/>
  <c r="AC126" i="15"/>
  <c r="AX125" i="15"/>
  <c r="AW125" i="15"/>
  <c r="AI125" i="15"/>
  <c r="AH125" i="15"/>
  <c r="AG125" i="15"/>
  <c r="AF125" i="15"/>
  <c r="AE125" i="15"/>
  <c r="AD125" i="15"/>
  <c r="AC125" i="15"/>
  <c r="AX124" i="15"/>
  <c r="AW124" i="15"/>
  <c r="AI124" i="15"/>
  <c r="AH124" i="15"/>
  <c r="AG124" i="15"/>
  <c r="AF124" i="15"/>
  <c r="AE124" i="15"/>
  <c r="AD124" i="15"/>
  <c r="AC124" i="15"/>
  <c r="AX123" i="15"/>
  <c r="AW123" i="15"/>
  <c r="AI123" i="15"/>
  <c r="AH123" i="15"/>
  <c r="AG123" i="15"/>
  <c r="AF123" i="15"/>
  <c r="AE123" i="15"/>
  <c r="AD123" i="15"/>
  <c r="AC123" i="15"/>
  <c r="AX122" i="15"/>
  <c r="AW122" i="15"/>
  <c r="AI122" i="15"/>
  <c r="AH122" i="15"/>
  <c r="AG122" i="15"/>
  <c r="AF122" i="15"/>
  <c r="AE122" i="15"/>
  <c r="AD122" i="15"/>
  <c r="AC122" i="15"/>
  <c r="AX121" i="15"/>
  <c r="AW121" i="15"/>
  <c r="AI121" i="15"/>
  <c r="AH121" i="15"/>
  <c r="AG121" i="15"/>
  <c r="AF121" i="15"/>
  <c r="AE121" i="15"/>
  <c r="AD121" i="15"/>
  <c r="AC121" i="15"/>
  <c r="AX120" i="15"/>
  <c r="AW120" i="15"/>
  <c r="AI120" i="15"/>
  <c r="AH120" i="15"/>
  <c r="AG120" i="15"/>
  <c r="AF120" i="15"/>
  <c r="AE120" i="15"/>
  <c r="AD120" i="15"/>
  <c r="AC120" i="15"/>
  <c r="AX119" i="15"/>
  <c r="AW119" i="15"/>
  <c r="AI119" i="15"/>
  <c r="AH119" i="15"/>
  <c r="AG119" i="15"/>
  <c r="AF119" i="15"/>
  <c r="AE119" i="15"/>
  <c r="AD119" i="15"/>
  <c r="AC119" i="15"/>
  <c r="AX118" i="15"/>
  <c r="AW118" i="15"/>
  <c r="AI118" i="15"/>
  <c r="AH118" i="15"/>
  <c r="AG118" i="15"/>
  <c r="AF118" i="15"/>
  <c r="AE118" i="15"/>
  <c r="AD118" i="15"/>
  <c r="AC118" i="15"/>
  <c r="AX117" i="15"/>
  <c r="AW117" i="15"/>
  <c r="AI117" i="15"/>
  <c r="AH117" i="15"/>
  <c r="AG117" i="15"/>
  <c r="AF117" i="15"/>
  <c r="AE117" i="15"/>
  <c r="AD117" i="15"/>
  <c r="AC117" i="15"/>
  <c r="AX116" i="15"/>
  <c r="AW116" i="15"/>
  <c r="AI116" i="15"/>
  <c r="AH116" i="15"/>
  <c r="AG116" i="15"/>
  <c r="AF116" i="15"/>
  <c r="AE116" i="15"/>
  <c r="AD116" i="15"/>
  <c r="AC116" i="15"/>
  <c r="AX115" i="15"/>
  <c r="AW115" i="15"/>
  <c r="AI115" i="15"/>
  <c r="AH115" i="15"/>
  <c r="AG115" i="15"/>
  <c r="AF115" i="15"/>
  <c r="AE115" i="15"/>
  <c r="AD115" i="15"/>
  <c r="AC115" i="15"/>
  <c r="AX114" i="15"/>
  <c r="AW114" i="15"/>
  <c r="AI114" i="15"/>
  <c r="AH114" i="15"/>
  <c r="AG114" i="15"/>
  <c r="AF114" i="15"/>
  <c r="AE114" i="15"/>
  <c r="AD114" i="15"/>
  <c r="AC114" i="15"/>
  <c r="AX112" i="15"/>
  <c r="AX111" i="15"/>
  <c r="AX110" i="15"/>
  <c r="AW110" i="15"/>
  <c r="AX109" i="15"/>
  <c r="AW109" i="15"/>
  <c r="AI109" i="15"/>
  <c r="AH109" i="15"/>
  <c r="AG109" i="15"/>
  <c r="AF109" i="15"/>
  <c r="AE109" i="15"/>
  <c r="AD109" i="15"/>
  <c r="AC109" i="15"/>
  <c r="AX108" i="15"/>
  <c r="AW108" i="15"/>
  <c r="AI108" i="15"/>
  <c r="AH108" i="15"/>
  <c r="AG108" i="15"/>
  <c r="AF108" i="15"/>
  <c r="AE108" i="15"/>
  <c r="AD108" i="15"/>
  <c r="AC108" i="15"/>
  <c r="AX107" i="15"/>
  <c r="AW107" i="15"/>
  <c r="AI107" i="15"/>
  <c r="AH107" i="15"/>
  <c r="AG107" i="15"/>
  <c r="AF107" i="15"/>
  <c r="AE107" i="15"/>
  <c r="AD107" i="15"/>
  <c r="AC107" i="15"/>
  <c r="AX106" i="15"/>
  <c r="AW106" i="15"/>
  <c r="AI106" i="15"/>
  <c r="AH106" i="15"/>
  <c r="AG106" i="15"/>
  <c r="AF106" i="15"/>
  <c r="AE106" i="15"/>
  <c r="AD106" i="15"/>
  <c r="AC106" i="15"/>
  <c r="AX105" i="15"/>
  <c r="AW105" i="15"/>
  <c r="AI105" i="15"/>
  <c r="AH105" i="15"/>
  <c r="AG105" i="15"/>
  <c r="AF105" i="15"/>
  <c r="AE105" i="15"/>
  <c r="AD105" i="15"/>
  <c r="AC105" i="15"/>
  <c r="AX104" i="15"/>
  <c r="AW104" i="15"/>
  <c r="AI104" i="15"/>
  <c r="AH104" i="15"/>
  <c r="AG104" i="15"/>
  <c r="AF104" i="15"/>
  <c r="AE104" i="15"/>
  <c r="AD104" i="15"/>
  <c r="AC104" i="15"/>
  <c r="AX103" i="15"/>
  <c r="AW103" i="15"/>
  <c r="AI103" i="15"/>
  <c r="AH103" i="15"/>
  <c r="AG103" i="15"/>
  <c r="AF103" i="15"/>
  <c r="AE103" i="15"/>
  <c r="AD103" i="15"/>
  <c r="AC103" i="15"/>
  <c r="AX102" i="15"/>
  <c r="AW102" i="15"/>
  <c r="AI102" i="15"/>
  <c r="AH102" i="15"/>
  <c r="AG102" i="15"/>
  <c r="AF102" i="15"/>
  <c r="AE102" i="15"/>
  <c r="AD102" i="15"/>
  <c r="AC102" i="15"/>
  <c r="AX101" i="15"/>
  <c r="AW101" i="15"/>
  <c r="AI101" i="15"/>
  <c r="AH101" i="15"/>
  <c r="AG101" i="15"/>
  <c r="AF101" i="15"/>
  <c r="AE101" i="15"/>
  <c r="AD101" i="15"/>
  <c r="AC101" i="15"/>
  <c r="AX100" i="15"/>
  <c r="AW100" i="15"/>
  <c r="AI100" i="15"/>
  <c r="AH100" i="15"/>
  <c r="AG100" i="15"/>
  <c r="AF100" i="15"/>
  <c r="AE100" i="15"/>
  <c r="AD100" i="15"/>
  <c r="AC100" i="15"/>
  <c r="AX99" i="15"/>
  <c r="AW99" i="15"/>
  <c r="AI99" i="15"/>
  <c r="AH99" i="15"/>
  <c r="AG99" i="15"/>
  <c r="AF99" i="15"/>
  <c r="AE99" i="15"/>
  <c r="AD99" i="15"/>
  <c r="AC99" i="15"/>
  <c r="AX98" i="15"/>
  <c r="AW98" i="15"/>
  <c r="AI98" i="15"/>
  <c r="AH98" i="15"/>
  <c r="AG98" i="15"/>
  <c r="AF98" i="15"/>
  <c r="AE98" i="15"/>
  <c r="AD98" i="15"/>
  <c r="AC98" i="15"/>
  <c r="AX97" i="15"/>
  <c r="AW97" i="15"/>
  <c r="AI97" i="15"/>
  <c r="AH97" i="15"/>
  <c r="AG97" i="15"/>
  <c r="AF97" i="15"/>
  <c r="AE97" i="15"/>
  <c r="AD97" i="15"/>
  <c r="AC97" i="15"/>
  <c r="AX96" i="15"/>
  <c r="AW96" i="15"/>
  <c r="AI96" i="15"/>
  <c r="AH96" i="15"/>
  <c r="AG96" i="15"/>
  <c r="AF96" i="15"/>
  <c r="AE96" i="15"/>
  <c r="AD96" i="15"/>
  <c r="AC96" i="15"/>
  <c r="AX95" i="15"/>
  <c r="AW95" i="15"/>
  <c r="AI95" i="15"/>
  <c r="AH95" i="15"/>
  <c r="AG95" i="15"/>
  <c r="AF95" i="15"/>
  <c r="AE95" i="15"/>
  <c r="AD95" i="15"/>
  <c r="AC95" i="15"/>
  <c r="AX94" i="15"/>
  <c r="AW94" i="15"/>
  <c r="AI94" i="15"/>
  <c r="AH94" i="15"/>
  <c r="AG94" i="15"/>
  <c r="AF94" i="15"/>
  <c r="AE94" i="15"/>
  <c r="AD94" i="15"/>
  <c r="AC94" i="15"/>
  <c r="AX93" i="15"/>
  <c r="AW93" i="15"/>
  <c r="AI93" i="15"/>
  <c r="AH93" i="15"/>
  <c r="AG93" i="15"/>
  <c r="AF93" i="15"/>
  <c r="AE93" i="15"/>
  <c r="AD93" i="15"/>
  <c r="AC93" i="15"/>
  <c r="AX92" i="15"/>
  <c r="AW92" i="15"/>
  <c r="AI92" i="15"/>
  <c r="AH92" i="15"/>
  <c r="AG92" i="15"/>
  <c r="AF92" i="15"/>
  <c r="AE92" i="15"/>
  <c r="AD92" i="15"/>
  <c r="AC92" i="15"/>
  <c r="AX91" i="15"/>
  <c r="AW91" i="15"/>
  <c r="AI91" i="15"/>
  <c r="AH91" i="15"/>
  <c r="AG91" i="15"/>
  <c r="AF91" i="15"/>
  <c r="AE91" i="15"/>
  <c r="AD91" i="15"/>
  <c r="AC91" i="15"/>
  <c r="AX90" i="15"/>
  <c r="AW90" i="15"/>
  <c r="AI90" i="15"/>
  <c r="AH90" i="15"/>
  <c r="AG90" i="15"/>
  <c r="AF90" i="15"/>
  <c r="AE90" i="15"/>
  <c r="AD90" i="15"/>
  <c r="AC90" i="15"/>
  <c r="AX88" i="15"/>
  <c r="AX87" i="15"/>
  <c r="AX86" i="15"/>
  <c r="AW86" i="15"/>
  <c r="AX85" i="15"/>
  <c r="AW85" i="15"/>
  <c r="AI85" i="15"/>
  <c r="AH85" i="15"/>
  <c r="AG85" i="15"/>
  <c r="AF85" i="15"/>
  <c r="AE85" i="15"/>
  <c r="AD85" i="15"/>
  <c r="AC85" i="15"/>
  <c r="AX84" i="15"/>
  <c r="AW84" i="15"/>
  <c r="AI84" i="15"/>
  <c r="AH84" i="15"/>
  <c r="AG84" i="15"/>
  <c r="AF84" i="15"/>
  <c r="AE84" i="15"/>
  <c r="AD84" i="15"/>
  <c r="AC84" i="15"/>
  <c r="AX83" i="15"/>
  <c r="AW83" i="15"/>
  <c r="AI83" i="15"/>
  <c r="AH83" i="15"/>
  <c r="AG83" i="15"/>
  <c r="AF83" i="15"/>
  <c r="AE83" i="15"/>
  <c r="AD83" i="15"/>
  <c r="AC83" i="15"/>
  <c r="AX82" i="15"/>
  <c r="AW82" i="15"/>
  <c r="AI82" i="15"/>
  <c r="AH82" i="15"/>
  <c r="AG82" i="15"/>
  <c r="AF82" i="15"/>
  <c r="AE82" i="15"/>
  <c r="AD82" i="15"/>
  <c r="AC82" i="15"/>
  <c r="AX81" i="15"/>
  <c r="AW81" i="15"/>
  <c r="AI81" i="15"/>
  <c r="AH81" i="15"/>
  <c r="AG81" i="15"/>
  <c r="AF81" i="15"/>
  <c r="AE81" i="15"/>
  <c r="AD81" i="15"/>
  <c r="AC81" i="15"/>
  <c r="AX80" i="15"/>
  <c r="AW80" i="15"/>
  <c r="AI80" i="15"/>
  <c r="AH80" i="15"/>
  <c r="AG80" i="15"/>
  <c r="AF80" i="15"/>
  <c r="AE80" i="15"/>
  <c r="AD80" i="15"/>
  <c r="AC80" i="15"/>
  <c r="AX79" i="15"/>
  <c r="AW79" i="15"/>
  <c r="AI79" i="15"/>
  <c r="AH79" i="15"/>
  <c r="AG79" i="15"/>
  <c r="AF79" i="15"/>
  <c r="AE79" i="15"/>
  <c r="AD79" i="15"/>
  <c r="AC79" i="15"/>
  <c r="AX78" i="15"/>
  <c r="AW78" i="15"/>
  <c r="AI78" i="15"/>
  <c r="AH78" i="15"/>
  <c r="AG78" i="15"/>
  <c r="AF78" i="15"/>
  <c r="AE78" i="15"/>
  <c r="AD78" i="15"/>
  <c r="AC78" i="15"/>
  <c r="AX77" i="15"/>
  <c r="AW77" i="15"/>
  <c r="AI77" i="15"/>
  <c r="AH77" i="15"/>
  <c r="AG77" i="15"/>
  <c r="AF77" i="15"/>
  <c r="AE77" i="15"/>
  <c r="AD77" i="15"/>
  <c r="AC77" i="15"/>
  <c r="AX76" i="15"/>
  <c r="AW76" i="15"/>
  <c r="AI76" i="15"/>
  <c r="AH76" i="15"/>
  <c r="AG76" i="15"/>
  <c r="AF76" i="15"/>
  <c r="AE76" i="15"/>
  <c r="AD76" i="15"/>
  <c r="AC76" i="15"/>
  <c r="AX75" i="15"/>
  <c r="AW75" i="15"/>
  <c r="AI75" i="15"/>
  <c r="AH75" i="15"/>
  <c r="AG75" i="15"/>
  <c r="AF75" i="15"/>
  <c r="AE75" i="15"/>
  <c r="AD75" i="15"/>
  <c r="AC75" i="15"/>
  <c r="AX74" i="15"/>
  <c r="AW74" i="15"/>
  <c r="AI74" i="15"/>
  <c r="AH74" i="15"/>
  <c r="AG74" i="15"/>
  <c r="AF74" i="15"/>
  <c r="AE74" i="15"/>
  <c r="AD74" i="15"/>
  <c r="AC74" i="15"/>
  <c r="AX73" i="15"/>
  <c r="AW73" i="15"/>
  <c r="AI73" i="15"/>
  <c r="AH73" i="15"/>
  <c r="AG73" i="15"/>
  <c r="AF73" i="15"/>
  <c r="AE73" i="15"/>
  <c r="AD73" i="15"/>
  <c r="AC73" i="15"/>
  <c r="AX72" i="15"/>
  <c r="AW72" i="15"/>
  <c r="AI72" i="15"/>
  <c r="AH72" i="15"/>
  <c r="AG72" i="15"/>
  <c r="AF72" i="15"/>
  <c r="AE72" i="15"/>
  <c r="AD72" i="15"/>
  <c r="AC72" i="15"/>
  <c r="AX71" i="15"/>
  <c r="AW71" i="15"/>
  <c r="AI71" i="15"/>
  <c r="AH71" i="15"/>
  <c r="AG71" i="15"/>
  <c r="AF71" i="15"/>
  <c r="AE71" i="15"/>
  <c r="AD71" i="15"/>
  <c r="AC71" i="15"/>
  <c r="AX70" i="15"/>
  <c r="AW70" i="15"/>
  <c r="AI70" i="15"/>
  <c r="AH70" i="15"/>
  <c r="AG70" i="15"/>
  <c r="AF70" i="15"/>
  <c r="AE70" i="15"/>
  <c r="AD70" i="15"/>
  <c r="AC70" i="15"/>
  <c r="AX69" i="15"/>
  <c r="AW69" i="15"/>
  <c r="AI69" i="15"/>
  <c r="AH69" i="15"/>
  <c r="AG69" i="15"/>
  <c r="AF69" i="15"/>
  <c r="AE69" i="15"/>
  <c r="AD69" i="15"/>
  <c r="AC69" i="15"/>
  <c r="AX68" i="15"/>
  <c r="AW68" i="15"/>
  <c r="AI68" i="15"/>
  <c r="AH68" i="15"/>
  <c r="AG68" i="15"/>
  <c r="AF68" i="15"/>
  <c r="AE68" i="15"/>
  <c r="AD68" i="15"/>
  <c r="AC68" i="15"/>
  <c r="AX67" i="15"/>
  <c r="AW67" i="15"/>
  <c r="AI67" i="15"/>
  <c r="AH67" i="15"/>
  <c r="AG67" i="15"/>
  <c r="AF67" i="15"/>
  <c r="AE67" i="15"/>
  <c r="AD67" i="15"/>
  <c r="AC67" i="15"/>
  <c r="AX66" i="15"/>
  <c r="AW66" i="15"/>
  <c r="AI66" i="15"/>
  <c r="AH66" i="15"/>
  <c r="AG66" i="15"/>
  <c r="AF66" i="15"/>
  <c r="AE66" i="15"/>
  <c r="AD66" i="15"/>
  <c r="AC66" i="15"/>
  <c r="AX64" i="15"/>
  <c r="AX63" i="15"/>
  <c r="AX62" i="15"/>
  <c r="AW62" i="15"/>
  <c r="AX44" i="15"/>
  <c r="AW44" i="15"/>
  <c r="AI44" i="15"/>
  <c r="AH44" i="15"/>
  <c r="AG44" i="15"/>
  <c r="AF44" i="15"/>
  <c r="AE44" i="15"/>
  <c r="AD44" i="15"/>
  <c r="AC44" i="15"/>
  <c r="AX43" i="15"/>
  <c r="AW43" i="15"/>
  <c r="AI43" i="15"/>
  <c r="AH43" i="15"/>
  <c r="AG43" i="15"/>
  <c r="AF43" i="15"/>
  <c r="AE43" i="15"/>
  <c r="AD43" i="15"/>
  <c r="AC43" i="15"/>
  <c r="AX42" i="15"/>
  <c r="AW42" i="15"/>
  <c r="AI42" i="15"/>
  <c r="AH42" i="15"/>
  <c r="AG42" i="15"/>
  <c r="AF42" i="15"/>
  <c r="AE42" i="15"/>
  <c r="AD42" i="15"/>
  <c r="AC42" i="15"/>
  <c r="AX41" i="15"/>
  <c r="AW41" i="15"/>
  <c r="AI41" i="15"/>
  <c r="AH41" i="15"/>
  <c r="AG41" i="15"/>
  <c r="AF41" i="15"/>
  <c r="AE41" i="15"/>
  <c r="AD41" i="15"/>
  <c r="AC41" i="15"/>
  <c r="AX40" i="15"/>
  <c r="AW40" i="15"/>
  <c r="AI40" i="15"/>
  <c r="AH40" i="15"/>
  <c r="AG40" i="15"/>
  <c r="AF40" i="15"/>
  <c r="AE40" i="15"/>
  <c r="AD40" i="15"/>
  <c r="AC40" i="15"/>
  <c r="AX39" i="15"/>
  <c r="AW39" i="15"/>
  <c r="AI39" i="15"/>
  <c r="AH39" i="15"/>
  <c r="AG39" i="15"/>
  <c r="AF39" i="15"/>
  <c r="AE39" i="15"/>
  <c r="AD39" i="15"/>
  <c r="AC39" i="15"/>
  <c r="AX38" i="15"/>
  <c r="AW38" i="15"/>
  <c r="AI38" i="15"/>
  <c r="AH38" i="15"/>
  <c r="AG38" i="15"/>
  <c r="AF38" i="15"/>
  <c r="AE38" i="15"/>
  <c r="AD38" i="15"/>
  <c r="AC38" i="15"/>
  <c r="AX37" i="15"/>
  <c r="AW37" i="15"/>
  <c r="AI37" i="15"/>
  <c r="AH37" i="15"/>
  <c r="AG37" i="15"/>
  <c r="AF37" i="15"/>
  <c r="AE37" i="15"/>
  <c r="AD37" i="15"/>
  <c r="AC37" i="15"/>
  <c r="AX36" i="15"/>
  <c r="AW36" i="15"/>
  <c r="AI36" i="15"/>
  <c r="AH36" i="15"/>
  <c r="AG36" i="15"/>
  <c r="AF36" i="15"/>
  <c r="AE36" i="15"/>
  <c r="AD36" i="15"/>
  <c r="AC36" i="15"/>
  <c r="AX35" i="15"/>
  <c r="AW35" i="15"/>
  <c r="AI35" i="15"/>
  <c r="AH35" i="15"/>
  <c r="AG35" i="15"/>
  <c r="AF35" i="15"/>
  <c r="AE35" i="15"/>
  <c r="AD35" i="15"/>
  <c r="AC35" i="15"/>
  <c r="AX34" i="15"/>
  <c r="AW34" i="15"/>
  <c r="AI34" i="15"/>
  <c r="AH34" i="15"/>
  <c r="AG34" i="15"/>
  <c r="AF34" i="15"/>
  <c r="AE34" i="15"/>
  <c r="AD34" i="15"/>
  <c r="AC34" i="15"/>
  <c r="AX33" i="15"/>
  <c r="AW33" i="15"/>
  <c r="AI33" i="15"/>
  <c r="AH33" i="15"/>
  <c r="AG33" i="15"/>
  <c r="AF33" i="15"/>
  <c r="AE33" i="15"/>
  <c r="AD33" i="15"/>
  <c r="AC33" i="15"/>
  <c r="AX32" i="15"/>
  <c r="AW32" i="15"/>
  <c r="AI32" i="15"/>
  <c r="AH32" i="15"/>
  <c r="AG32" i="15"/>
  <c r="AF32" i="15"/>
  <c r="AE32" i="15"/>
  <c r="AD32" i="15"/>
  <c r="AC32" i="15"/>
  <c r="AX31" i="15"/>
  <c r="AW31" i="15"/>
  <c r="AI31" i="15"/>
  <c r="AH31" i="15"/>
  <c r="AG31" i="15"/>
  <c r="AF31" i="15"/>
  <c r="AE31" i="15"/>
  <c r="AD31" i="15"/>
  <c r="AC31" i="15"/>
  <c r="AX30" i="15"/>
  <c r="AW30" i="15"/>
  <c r="AI30" i="15"/>
  <c r="AH30" i="15"/>
  <c r="AG30" i="15"/>
  <c r="AF30" i="15"/>
  <c r="AE30" i="15"/>
  <c r="AD30" i="15"/>
  <c r="AC30" i="15"/>
  <c r="AX29" i="15"/>
  <c r="AW29" i="15"/>
  <c r="AI29" i="15"/>
  <c r="AH29" i="15"/>
  <c r="AG29" i="15"/>
  <c r="AF29" i="15"/>
  <c r="AE29" i="15"/>
  <c r="AD29" i="15"/>
  <c r="AC29" i="15"/>
  <c r="AX28" i="15"/>
  <c r="AW28" i="15"/>
  <c r="AI28" i="15"/>
  <c r="AH28" i="15"/>
  <c r="AG28" i="15"/>
  <c r="AF28" i="15"/>
  <c r="AE28" i="15"/>
  <c r="AD28" i="15"/>
  <c r="AC28" i="15"/>
  <c r="AX27" i="15"/>
  <c r="AW27" i="15"/>
  <c r="AI27" i="15"/>
  <c r="AH27" i="15"/>
  <c r="AG27" i="15"/>
  <c r="AF27" i="15"/>
  <c r="AE27" i="15"/>
  <c r="AD27" i="15"/>
  <c r="AC27" i="15"/>
  <c r="AX26" i="15"/>
  <c r="AW26" i="15"/>
  <c r="AI26" i="15"/>
  <c r="AH26" i="15"/>
  <c r="AG26" i="15"/>
  <c r="AF26" i="15"/>
  <c r="AE26" i="15"/>
  <c r="AD26" i="15"/>
  <c r="AC26" i="15"/>
  <c r="AX25" i="15"/>
  <c r="AW25" i="15"/>
  <c r="AI25" i="15"/>
  <c r="AH25" i="15"/>
  <c r="AG25" i="15"/>
  <c r="AF25" i="15"/>
  <c r="AE25" i="15"/>
  <c r="AD25" i="15"/>
  <c r="AC25" i="15"/>
  <c r="AX1" i="15"/>
  <c r="AW1" i="15"/>
  <c r="AI1" i="15"/>
  <c r="AF1" i="15"/>
  <c r="AB1" i="15"/>
  <c r="Y1" i="15"/>
  <c r="X1" i="15"/>
  <c r="V1" i="15"/>
  <c r="R1" i="15"/>
  <c r="O1" i="15"/>
  <c r="B133" i="5"/>
  <c r="B132" i="5"/>
  <c r="B131" i="5"/>
  <c r="B130" i="5"/>
  <c r="B129" i="5"/>
  <c r="B128" i="5"/>
  <c r="B127" i="5"/>
  <c r="B126" i="5"/>
  <c r="B125" i="5"/>
  <c r="B124" i="5"/>
  <c r="B123" i="5"/>
  <c r="B122" i="5"/>
  <c r="B121" i="5"/>
  <c r="B120" i="5"/>
  <c r="B119" i="5"/>
  <c r="B118" i="5"/>
  <c r="B117" i="5"/>
  <c r="B116" i="5"/>
  <c r="B115" i="5"/>
  <c r="B114" i="5"/>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P76" i="5"/>
  <c r="P75" i="5"/>
  <c r="P74" i="5"/>
  <c r="P73" i="5"/>
  <c r="P72" i="5"/>
  <c r="P71" i="5"/>
  <c r="P70" i="5"/>
  <c r="P69" i="5"/>
  <c r="P68" i="5"/>
  <c r="P67" i="5"/>
  <c r="P66" i="5"/>
  <c r="P65" i="5"/>
  <c r="P64" i="5"/>
  <c r="P63" i="5"/>
  <c r="P62" i="5"/>
  <c r="P61" i="5"/>
  <c r="P60" i="5"/>
  <c r="P59" i="5"/>
  <c r="P58" i="5"/>
  <c r="P57" i="5"/>
  <c r="P56" i="5"/>
  <c r="P55" i="5"/>
  <c r="P54" i="5"/>
  <c r="P53" i="5"/>
  <c r="P52" i="5"/>
  <c r="P51" i="5"/>
  <c r="P50" i="5"/>
  <c r="P49" i="5"/>
  <c r="P48" i="5"/>
  <c r="P47" i="5"/>
  <c r="P46" i="5"/>
  <c r="P45" i="5"/>
  <c r="P44" i="5"/>
  <c r="P43" i="5"/>
  <c r="P42" i="5"/>
  <c r="P41" i="5"/>
  <c r="P40" i="5"/>
  <c r="P39" i="5"/>
  <c r="P38" i="5"/>
  <c r="P37"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P8" i="5"/>
  <c r="P7" i="5"/>
  <c r="P6" i="5"/>
  <c r="P5" i="5"/>
  <c r="AF101" i="19"/>
  <c r="AE101" i="19"/>
  <c r="AD101" i="19"/>
  <c r="U101" i="19"/>
  <c r="S101" i="19"/>
  <c r="F101" i="19"/>
  <c r="AG101" i="19" s="1"/>
  <c r="E101" i="19"/>
  <c r="D101" i="19"/>
  <c r="C101" i="19"/>
  <c r="B101" i="19"/>
  <c r="AD100" i="19"/>
  <c r="F100" i="19"/>
  <c r="E100" i="19"/>
  <c r="D100" i="19"/>
  <c r="C100" i="19"/>
  <c r="B100" i="19"/>
  <c r="AG99" i="19"/>
  <c r="AF99" i="19"/>
  <c r="AA99" i="19"/>
  <c r="Z99" i="19"/>
  <c r="Y99" i="19"/>
  <c r="X99" i="19"/>
  <c r="U99" i="19"/>
  <c r="T99" i="19"/>
  <c r="O99" i="19"/>
  <c r="N99" i="19"/>
  <c r="M99" i="19"/>
  <c r="L99" i="19"/>
  <c r="I99" i="19"/>
  <c r="H99" i="19"/>
  <c r="F99" i="19"/>
  <c r="E99" i="19"/>
  <c r="AE99" i="19" s="1"/>
  <c r="D99" i="19"/>
  <c r="C99" i="19"/>
  <c r="B99" i="19"/>
  <c r="AH98" i="19"/>
  <c r="AG98" i="19"/>
  <c r="X98" i="19"/>
  <c r="W98" i="19"/>
  <c r="V98" i="19"/>
  <c r="U98" i="19"/>
  <c r="L98" i="19"/>
  <c r="K98" i="19"/>
  <c r="J98" i="19"/>
  <c r="I98" i="19"/>
  <c r="F98" i="19"/>
  <c r="E98" i="19"/>
  <c r="AD98" i="19" s="1"/>
  <c r="D98" i="19"/>
  <c r="C98" i="19"/>
  <c r="B98" i="19"/>
  <c r="AG97" i="19"/>
  <c r="AF97" i="19"/>
  <c r="G97" i="19"/>
  <c r="F97" i="19"/>
  <c r="E97" i="19"/>
  <c r="AC97" i="19" s="1"/>
  <c r="D97" i="19"/>
  <c r="C97" i="19"/>
  <c r="B97" i="19"/>
  <c r="P96" i="19"/>
  <c r="O96" i="19"/>
  <c r="F96" i="19"/>
  <c r="E96" i="19"/>
  <c r="D96" i="19"/>
  <c r="C96" i="19"/>
  <c r="B96" i="19"/>
  <c r="AG95" i="19"/>
  <c r="AF95" i="19"/>
  <c r="AB95" i="19"/>
  <c r="AA95" i="19"/>
  <c r="Z95" i="19"/>
  <c r="Y95" i="19"/>
  <c r="X95" i="19"/>
  <c r="U95" i="19"/>
  <c r="T95" i="19"/>
  <c r="P95" i="19"/>
  <c r="O95" i="19"/>
  <c r="N95" i="19"/>
  <c r="M95" i="19"/>
  <c r="L95" i="19"/>
  <c r="I95" i="19"/>
  <c r="H95" i="19"/>
  <c r="F95" i="19"/>
  <c r="E95" i="19"/>
  <c r="AE95" i="19" s="1"/>
  <c r="D95" i="19"/>
  <c r="C95" i="19"/>
  <c r="B95" i="19"/>
  <c r="AG94" i="19"/>
  <c r="X94" i="19"/>
  <c r="W94" i="19"/>
  <c r="V94" i="19"/>
  <c r="R94" i="19"/>
  <c r="Q94" i="19"/>
  <c r="L94" i="19"/>
  <c r="K94" i="19"/>
  <c r="I94" i="19"/>
  <c r="F94" i="19"/>
  <c r="E94" i="19"/>
  <c r="U94" i="19" s="1"/>
  <c r="D94" i="19"/>
  <c r="C94" i="19"/>
  <c r="B94" i="19"/>
  <c r="AF93" i="19"/>
  <c r="AD93" i="19"/>
  <c r="F93" i="19"/>
  <c r="AE93" i="19" s="1"/>
  <c r="E93" i="19"/>
  <c r="D93" i="19"/>
  <c r="C93" i="19"/>
  <c r="B93" i="19"/>
  <c r="AB92" i="19"/>
  <c r="AA92" i="19"/>
  <c r="W92" i="19"/>
  <c r="R92" i="19"/>
  <c r="Q92" i="19"/>
  <c r="P92" i="19"/>
  <c r="L92" i="19"/>
  <c r="F92" i="19"/>
  <c r="E92" i="19"/>
  <c r="X92" i="19" s="1"/>
  <c r="D92" i="19"/>
  <c r="C92" i="19"/>
  <c r="B92" i="19"/>
  <c r="AG91" i="19"/>
  <c r="AF91" i="19"/>
  <c r="AB91" i="19"/>
  <c r="AA91" i="19"/>
  <c r="Z91" i="19"/>
  <c r="Y91" i="19"/>
  <c r="X91" i="19"/>
  <c r="U91" i="19"/>
  <c r="T91" i="19"/>
  <c r="P91" i="19"/>
  <c r="O91" i="19"/>
  <c r="N91" i="19"/>
  <c r="M91" i="19"/>
  <c r="L91" i="19"/>
  <c r="I91" i="19"/>
  <c r="H91" i="19"/>
  <c r="F91" i="19"/>
  <c r="E91" i="19"/>
  <c r="AE91" i="19" s="1"/>
  <c r="D91" i="19"/>
  <c r="C91" i="19"/>
  <c r="B91" i="19"/>
  <c r="X90" i="19"/>
  <c r="W90" i="19"/>
  <c r="V90" i="19"/>
  <c r="F90" i="19"/>
  <c r="E90" i="19"/>
  <c r="D90" i="19"/>
  <c r="C90" i="19"/>
  <c r="B90" i="19"/>
  <c r="AF89" i="19"/>
  <c r="AA89" i="19"/>
  <c r="Z89" i="19"/>
  <c r="U89" i="19"/>
  <c r="S89" i="19"/>
  <c r="R89" i="19"/>
  <c r="O89" i="19"/>
  <c r="N89" i="19"/>
  <c r="H89" i="19"/>
  <c r="F89" i="19"/>
  <c r="T89" i="19" s="1"/>
  <c r="E89" i="19"/>
  <c r="AC89" i="19" s="1"/>
  <c r="D89" i="19"/>
  <c r="C89" i="19"/>
  <c r="B89" i="19"/>
  <c r="F88" i="19"/>
  <c r="AB88" i="19" s="1"/>
  <c r="E88" i="19"/>
  <c r="D88" i="19"/>
  <c r="C88" i="19"/>
  <c r="B88" i="19"/>
  <c r="AG87" i="19"/>
  <c r="AF87" i="19"/>
  <c r="AB87" i="19"/>
  <c r="AA87" i="19"/>
  <c r="Z87" i="19"/>
  <c r="Y87" i="19"/>
  <c r="X87" i="19"/>
  <c r="U87" i="19"/>
  <c r="T87" i="19"/>
  <c r="P87" i="19"/>
  <c r="O87" i="19"/>
  <c r="N87" i="19"/>
  <c r="M87" i="19"/>
  <c r="L87" i="19"/>
  <c r="I87" i="19"/>
  <c r="H87" i="19"/>
  <c r="F87" i="19"/>
  <c r="E87" i="19"/>
  <c r="AE87" i="19" s="1"/>
  <c r="D87" i="19"/>
  <c r="C87" i="19"/>
  <c r="B87" i="19"/>
  <c r="AH86" i="19"/>
  <c r="V86" i="19"/>
  <c r="U86" i="19"/>
  <c r="R86" i="19"/>
  <c r="Q86" i="19"/>
  <c r="L86" i="19"/>
  <c r="F86" i="19"/>
  <c r="I86" i="19" s="1"/>
  <c r="E86" i="19"/>
  <c r="W86" i="19" s="1"/>
  <c r="D86" i="19"/>
  <c r="C86" i="19"/>
  <c r="B86" i="19"/>
  <c r="AH85" i="19"/>
  <c r="AG85" i="19"/>
  <c r="AE85" i="19"/>
  <c r="V85" i="19"/>
  <c r="S85" i="19"/>
  <c r="R85" i="19"/>
  <c r="O85" i="19"/>
  <c r="N85" i="19"/>
  <c r="I85" i="19"/>
  <c r="F85" i="19"/>
  <c r="U85" i="19" s="1"/>
  <c r="E85" i="19"/>
  <c r="AC85" i="19" s="1"/>
  <c r="D85" i="19"/>
  <c r="C85" i="19"/>
  <c r="B85" i="19"/>
  <c r="F84" i="19"/>
  <c r="E84" i="19"/>
  <c r="D84" i="19"/>
  <c r="C84" i="19"/>
  <c r="B84" i="19"/>
  <c r="AG83" i="19"/>
  <c r="AF83" i="19"/>
  <c r="AB83" i="19"/>
  <c r="AA83" i="19"/>
  <c r="Z83" i="19"/>
  <c r="Y83" i="19"/>
  <c r="X83" i="19"/>
  <c r="U83" i="19"/>
  <c r="T83" i="19"/>
  <c r="P83" i="19"/>
  <c r="O83" i="19"/>
  <c r="N83" i="19"/>
  <c r="M83" i="19"/>
  <c r="L83" i="19"/>
  <c r="I83" i="19"/>
  <c r="H83" i="19"/>
  <c r="F83" i="19"/>
  <c r="E83" i="19"/>
  <c r="AE83" i="19" s="1"/>
  <c r="D83" i="19"/>
  <c r="C83" i="19"/>
  <c r="B83" i="19"/>
  <c r="AC82" i="19"/>
  <c r="W82" i="19"/>
  <c r="V82" i="19"/>
  <c r="U82" i="19"/>
  <c r="R82" i="19"/>
  <c r="M82" i="19"/>
  <c r="I82" i="19"/>
  <c r="F82" i="19"/>
  <c r="AH82" i="19" s="1"/>
  <c r="E82" i="19"/>
  <c r="D82" i="19"/>
  <c r="C82" i="19"/>
  <c r="B82" i="19"/>
  <c r="J81" i="19"/>
  <c r="F81" i="19"/>
  <c r="AF81" i="19" s="1"/>
  <c r="E81" i="19"/>
  <c r="D81" i="19"/>
  <c r="C81" i="19"/>
  <c r="B81" i="19"/>
  <c r="AE80" i="19"/>
  <c r="AB80" i="19"/>
  <c r="S80" i="19"/>
  <c r="L80" i="19"/>
  <c r="F80" i="19"/>
  <c r="E80" i="19"/>
  <c r="D80" i="19"/>
  <c r="C80" i="19"/>
  <c r="B80" i="19"/>
  <c r="AG79" i="19"/>
  <c r="AF79" i="19"/>
  <c r="AB79" i="19"/>
  <c r="AA79" i="19"/>
  <c r="Z79" i="19"/>
  <c r="Y79" i="19"/>
  <c r="X79" i="19"/>
  <c r="U79" i="19"/>
  <c r="T79" i="19"/>
  <c r="P79" i="19"/>
  <c r="O79" i="19"/>
  <c r="N79" i="19"/>
  <c r="M79" i="19"/>
  <c r="L79" i="19"/>
  <c r="I79" i="19"/>
  <c r="H79" i="19"/>
  <c r="F79" i="19"/>
  <c r="E79" i="19"/>
  <c r="AE79" i="19" s="1"/>
  <c r="D79" i="19"/>
  <c r="C79" i="19"/>
  <c r="B79" i="19"/>
  <c r="F78" i="19"/>
  <c r="E78" i="19"/>
  <c r="D78" i="19"/>
  <c r="C78" i="19"/>
  <c r="B78" i="19"/>
  <c r="AG77" i="19"/>
  <c r="AD77" i="19"/>
  <c r="AA77" i="19"/>
  <c r="Z77" i="19"/>
  <c r="S77" i="19"/>
  <c r="R77" i="19"/>
  <c r="N77" i="19"/>
  <c r="G77" i="19"/>
  <c r="F77" i="19"/>
  <c r="U77" i="19" s="1"/>
  <c r="E77" i="19"/>
  <c r="D77" i="19"/>
  <c r="C77" i="19"/>
  <c r="B77" i="19"/>
  <c r="AE76" i="19"/>
  <c r="AC76" i="19"/>
  <c r="X76" i="19"/>
  <c r="W76" i="19"/>
  <c r="S76" i="19"/>
  <c r="Q76" i="19"/>
  <c r="P76" i="19"/>
  <c r="O76" i="19"/>
  <c r="L76" i="19"/>
  <c r="G76" i="19"/>
  <c r="F76" i="19"/>
  <c r="E76" i="19"/>
  <c r="R76" i="19" s="1"/>
  <c r="D76" i="19"/>
  <c r="C76" i="19"/>
  <c r="B76" i="19"/>
  <c r="AG75" i="19"/>
  <c r="AF75" i="19"/>
  <c r="AE75" i="19"/>
  <c r="AB75" i="19"/>
  <c r="AA75" i="19"/>
  <c r="Z75" i="19"/>
  <c r="Y75" i="19"/>
  <c r="X75" i="19"/>
  <c r="U75" i="19"/>
  <c r="T75" i="19"/>
  <c r="S75" i="19"/>
  <c r="P75" i="19"/>
  <c r="O75" i="19"/>
  <c r="N75" i="19"/>
  <c r="M75" i="19"/>
  <c r="L75" i="19"/>
  <c r="I75" i="19"/>
  <c r="H75" i="19"/>
  <c r="G75" i="19"/>
  <c r="F75" i="19"/>
  <c r="E75" i="19"/>
  <c r="AD75" i="19" s="1"/>
  <c r="D75" i="19"/>
  <c r="C75" i="19"/>
  <c r="B75" i="19"/>
  <c r="AG74" i="19"/>
  <c r="AB74" i="19"/>
  <c r="X74" i="19"/>
  <c r="U74" i="19"/>
  <c r="R74" i="19"/>
  <c r="J74" i="19"/>
  <c r="F74" i="19"/>
  <c r="AD74" i="19" s="1"/>
  <c r="E74" i="19"/>
  <c r="AH74" i="19" s="1"/>
  <c r="D74" i="19"/>
  <c r="C74" i="19"/>
  <c r="B74" i="19"/>
  <c r="AH73" i="19"/>
  <c r="AF73" i="19"/>
  <c r="AE73" i="19"/>
  <c r="AD73" i="19"/>
  <c r="AA73" i="19"/>
  <c r="Y73" i="19"/>
  <c r="U73" i="19"/>
  <c r="T73" i="19"/>
  <c r="S73" i="19"/>
  <c r="R73" i="19"/>
  <c r="N73" i="19"/>
  <c r="M73" i="19"/>
  <c r="J73" i="19"/>
  <c r="I73" i="19"/>
  <c r="G73" i="19"/>
  <c r="F73" i="19"/>
  <c r="AG73" i="19" s="1"/>
  <c r="E73" i="19"/>
  <c r="AC73" i="19" s="1"/>
  <c r="D73" i="19"/>
  <c r="C73" i="19"/>
  <c r="B73" i="19"/>
  <c r="AE72" i="19"/>
  <c r="AC72" i="19"/>
  <c r="AB72" i="19"/>
  <c r="V72" i="19"/>
  <c r="S72" i="19"/>
  <c r="R72" i="19"/>
  <c r="M72" i="19"/>
  <c r="F72" i="19"/>
  <c r="E72" i="19"/>
  <c r="Y72" i="19" s="1"/>
  <c r="D72" i="19"/>
  <c r="C72" i="19"/>
  <c r="B72" i="19"/>
  <c r="AH71" i="19"/>
  <c r="AG71" i="19"/>
  <c r="AF71" i="19"/>
  <c r="AE71" i="19"/>
  <c r="AB71" i="19"/>
  <c r="AA71" i="19"/>
  <c r="Z71" i="19"/>
  <c r="Y71" i="19"/>
  <c r="X71" i="19"/>
  <c r="V71" i="19"/>
  <c r="U71" i="19"/>
  <c r="T71" i="19"/>
  <c r="S71" i="19"/>
  <c r="P71" i="19"/>
  <c r="O71" i="19"/>
  <c r="N71" i="19"/>
  <c r="M71" i="19"/>
  <c r="L71" i="19"/>
  <c r="J71" i="19"/>
  <c r="I71" i="19"/>
  <c r="H71" i="19"/>
  <c r="G71" i="19"/>
  <c r="F71" i="19"/>
  <c r="E71" i="19"/>
  <c r="AD71" i="19" s="1"/>
  <c r="D71" i="19"/>
  <c r="C71" i="19"/>
  <c r="B71" i="19"/>
  <c r="F70" i="19"/>
  <c r="E70" i="19"/>
  <c r="D70" i="19"/>
  <c r="C70" i="19"/>
  <c r="B70" i="19"/>
  <c r="AE69" i="19"/>
  <c r="Z69" i="19"/>
  <c r="Y69" i="19"/>
  <c r="T69" i="19"/>
  <c r="R69" i="19"/>
  <c r="P69" i="19"/>
  <c r="O69" i="19"/>
  <c r="F69" i="19"/>
  <c r="W69" i="19" s="1"/>
  <c r="E69" i="19"/>
  <c r="D69" i="19"/>
  <c r="C69" i="19"/>
  <c r="B69" i="19"/>
  <c r="M68" i="19"/>
  <c r="H68" i="19"/>
  <c r="F68" i="19"/>
  <c r="E68" i="19"/>
  <c r="D68" i="19"/>
  <c r="C68" i="19"/>
  <c r="B68" i="19"/>
  <c r="AH67" i="19"/>
  <c r="AG67" i="19"/>
  <c r="AE67" i="19"/>
  <c r="AB67" i="19"/>
  <c r="AA67" i="19"/>
  <c r="Z67" i="19"/>
  <c r="U67" i="19"/>
  <c r="T67" i="19"/>
  <c r="S67" i="19"/>
  <c r="N67" i="19"/>
  <c r="F67" i="19"/>
  <c r="E67" i="19"/>
  <c r="D67" i="19"/>
  <c r="C67" i="19"/>
  <c r="G67" i="19" s="1"/>
  <c r="B67" i="19"/>
  <c r="AG66" i="19"/>
  <c r="AE66" i="19"/>
  <c r="Z66" i="19"/>
  <c r="Y66" i="19"/>
  <c r="S66" i="19"/>
  <c r="R66" i="19"/>
  <c r="Q66" i="19"/>
  <c r="L66" i="19"/>
  <c r="K66" i="19"/>
  <c r="J66" i="19"/>
  <c r="H66" i="19"/>
  <c r="F66" i="19"/>
  <c r="M66" i="19" s="1"/>
  <c r="E66" i="19"/>
  <c r="D66" i="19"/>
  <c r="C66" i="19"/>
  <c r="B66" i="19"/>
  <c r="AF65" i="19"/>
  <c r="F65" i="19"/>
  <c r="E65" i="19"/>
  <c r="AC65" i="19" s="1"/>
  <c r="D65" i="19"/>
  <c r="C65" i="19"/>
  <c r="B65" i="19"/>
  <c r="AH64" i="19"/>
  <c r="AF64" i="19"/>
  <c r="AE64" i="19"/>
  <c r="AD64" i="19"/>
  <c r="AB64" i="19"/>
  <c r="W64" i="19"/>
  <c r="V64" i="19"/>
  <c r="T64" i="19"/>
  <c r="R64" i="19"/>
  <c r="Q64" i="19"/>
  <c r="L64" i="19"/>
  <c r="H64" i="19"/>
  <c r="G64" i="19"/>
  <c r="F64" i="19"/>
  <c r="E64" i="19"/>
  <c r="D64" i="19"/>
  <c r="C64" i="19"/>
  <c r="B64" i="19"/>
  <c r="AA63" i="19"/>
  <c r="W63" i="19"/>
  <c r="U63" i="19"/>
  <c r="S63" i="19"/>
  <c r="R63" i="19"/>
  <c r="Q63" i="19"/>
  <c r="G63" i="19"/>
  <c r="F63" i="19"/>
  <c r="E63" i="19"/>
  <c r="D63" i="19"/>
  <c r="C63" i="19"/>
  <c r="B63" i="19"/>
  <c r="AF62" i="19"/>
  <c r="AE62" i="19"/>
  <c r="AD62" i="19"/>
  <c r="AA62" i="19"/>
  <c r="Z62" i="19"/>
  <c r="Y62" i="19"/>
  <c r="X62" i="19"/>
  <c r="W62" i="19"/>
  <c r="U62" i="19"/>
  <c r="R62" i="19"/>
  <c r="P62" i="19"/>
  <c r="O62" i="19"/>
  <c r="M62" i="19"/>
  <c r="L62" i="19"/>
  <c r="K62" i="19"/>
  <c r="I62" i="19"/>
  <c r="H62" i="19"/>
  <c r="G62" i="19"/>
  <c r="F62" i="19"/>
  <c r="T62" i="19" s="1"/>
  <c r="E62" i="19"/>
  <c r="D62" i="19"/>
  <c r="C62" i="19"/>
  <c r="B62" i="19"/>
  <c r="AG61" i="19"/>
  <c r="AF61" i="19"/>
  <c r="AD61" i="19"/>
  <c r="V61" i="19"/>
  <c r="R61" i="19"/>
  <c r="P61" i="19"/>
  <c r="O61" i="19"/>
  <c r="M61" i="19"/>
  <c r="L61" i="19"/>
  <c r="F61" i="19"/>
  <c r="E61" i="19"/>
  <c r="D61" i="19"/>
  <c r="C61" i="19"/>
  <c r="B61" i="19"/>
  <c r="AG60" i="19"/>
  <c r="AF60" i="19"/>
  <c r="AC60" i="19"/>
  <c r="AA60" i="19"/>
  <c r="T60" i="19"/>
  <c r="S60" i="19"/>
  <c r="R60" i="19"/>
  <c r="M60" i="19"/>
  <c r="L60" i="19"/>
  <c r="I60" i="19"/>
  <c r="H60" i="19"/>
  <c r="F60" i="19"/>
  <c r="E60" i="19"/>
  <c r="U60" i="19" s="1"/>
  <c r="D60" i="19"/>
  <c r="C60" i="19"/>
  <c r="B60" i="19"/>
  <c r="AH59" i="19"/>
  <c r="AE59" i="19"/>
  <c r="AC59" i="19"/>
  <c r="AB59" i="19"/>
  <c r="AA59" i="19"/>
  <c r="W59" i="19"/>
  <c r="S59" i="19"/>
  <c r="R59" i="19"/>
  <c r="Q59" i="19"/>
  <c r="O59" i="19"/>
  <c r="L59" i="19"/>
  <c r="K59" i="19"/>
  <c r="F59" i="19"/>
  <c r="Z59" i="19" s="1"/>
  <c r="E59" i="19"/>
  <c r="D59" i="19"/>
  <c r="C59" i="19"/>
  <c r="B59" i="19"/>
  <c r="AG58" i="19"/>
  <c r="AF58" i="19"/>
  <c r="AD58" i="19"/>
  <c r="AC58" i="19"/>
  <c r="Z58" i="19"/>
  <c r="Y58" i="19"/>
  <c r="T58" i="19"/>
  <c r="S58" i="19"/>
  <c r="R58" i="19"/>
  <c r="Q58" i="19"/>
  <c r="P58" i="19"/>
  <c r="L58" i="19"/>
  <c r="K58" i="19"/>
  <c r="H58" i="19"/>
  <c r="G58" i="19"/>
  <c r="F58" i="19"/>
  <c r="X58" i="19" s="1"/>
  <c r="E58" i="19"/>
  <c r="D58" i="19"/>
  <c r="C58" i="19"/>
  <c r="B58" i="19"/>
  <c r="AF57" i="19"/>
  <c r="AA57" i="19"/>
  <c r="T57" i="19"/>
  <c r="Q57" i="19"/>
  <c r="F57" i="19"/>
  <c r="O57" i="19" s="1"/>
  <c r="E57" i="19"/>
  <c r="D57" i="19"/>
  <c r="C57" i="19"/>
  <c r="B57" i="19"/>
  <c r="AH56" i="19"/>
  <c r="AG56" i="19"/>
  <c r="AF56" i="19"/>
  <c r="AD56" i="19"/>
  <c r="Z56" i="19"/>
  <c r="Y56" i="19"/>
  <c r="X56" i="19"/>
  <c r="T56" i="19"/>
  <c r="S56" i="19"/>
  <c r="R56" i="19"/>
  <c r="Q56" i="19"/>
  <c r="M56" i="19"/>
  <c r="K56" i="19"/>
  <c r="I56" i="19"/>
  <c r="H56" i="19"/>
  <c r="G56" i="19"/>
  <c r="F56" i="19"/>
  <c r="V56" i="19" s="1"/>
  <c r="E56" i="19"/>
  <c r="D56" i="19"/>
  <c r="C56" i="19"/>
  <c r="B56" i="19"/>
  <c r="AH55" i="19"/>
  <c r="AG55" i="19"/>
  <c r="AD55" i="19"/>
  <c r="AC55" i="19"/>
  <c r="AB55" i="19"/>
  <c r="AA55" i="19"/>
  <c r="Z55" i="19"/>
  <c r="U55" i="19"/>
  <c r="T55" i="19"/>
  <c r="S55" i="19"/>
  <c r="Q55" i="19"/>
  <c r="P55" i="19"/>
  <c r="N55" i="19"/>
  <c r="L55" i="19"/>
  <c r="K55" i="19"/>
  <c r="H55" i="19"/>
  <c r="F55" i="19"/>
  <c r="E55" i="19"/>
  <c r="D55" i="19"/>
  <c r="C55" i="19"/>
  <c r="B55" i="19"/>
  <c r="AE54" i="19"/>
  <c r="AA54" i="19"/>
  <c r="Z54" i="19"/>
  <c r="U54" i="19"/>
  <c r="T54" i="19"/>
  <c r="S54" i="19"/>
  <c r="R54" i="19"/>
  <c r="O54" i="19"/>
  <c r="M54" i="19"/>
  <c r="H54" i="19"/>
  <c r="F54" i="19"/>
  <c r="E54" i="19"/>
  <c r="D54" i="19"/>
  <c r="C54" i="19"/>
  <c r="B54" i="19"/>
  <c r="AH53" i="19"/>
  <c r="AD53" i="19"/>
  <c r="AC53" i="19"/>
  <c r="AB53" i="19"/>
  <c r="AA53" i="19"/>
  <c r="Z53" i="19"/>
  <c r="P53" i="19"/>
  <c r="N53" i="19"/>
  <c r="M53" i="19"/>
  <c r="L53" i="19"/>
  <c r="I53" i="19"/>
  <c r="H53" i="19"/>
  <c r="F53" i="19"/>
  <c r="E53" i="19"/>
  <c r="D53" i="19"/>
  <c r="V53" i="19" s="1"/>
  <c r="C53" i="19"/>
  <c r="B53" i="19"/>
  <c r="AF52" i="19"/>
  <c r="AC52" i="19"/>
  <c r="AA52" i="19"/>
  <c r="Z52" i="19"/>
  <c r="V52" i="19"/>
  <c r="O52" i="19"/>
  <c r="K52" i="19"/>
  <c r="J52" i="19"/>
  <c r="I52" i="19"/>
  <c r="F52" i="19"/>
  <c r="AH52" i="19" s="1"/>
  <c r="E52" i="19"/>
  <c r="D52" i="19"/>
  <c r="C52" i="19"/>
  <c r="B52" i="19"/>
  <c r="AD51" i="19"/>
  <c r="W51" i="19"/>
  <c r="U51" i="19"/>
  <c r="S51" i="19"/>
  <c r="R51" i="19"/>
  <c r="P51" i="19"/>
  <c r="F51" i="19"/>
  <c r="E51" i="19"/>
  <c r="V51" i="19" s="1"/>
  <c r="D51" i="19"/>
  <c r="C51" i="19"/>
  <c r="B51" i="19"/>
  <c r="AG50" i="19"/>
  <c r="AD50" i="19"/>
  <c r="AC50" i="19"/>
  <c r="AB50" i="19"/>
  <c r="Z50" i="19"/>
  <c r="Y50" i="19"/>
  <c r="X50" i="19"/>
  <c r="W50" i="19"/>
  <c r="U50" i="19"/>
  <c r="T50" i="19"/>
  <c r="Q50" i="19"/>
  <c r="P50" i="19"/>
  <c r="O50" i="19"/>
  <c r="M50" i="19"/>
  <c r="L50" i="19"/>
  <c r="K50" i="19"/>
  <c r="I50" i="19"/>
  <c r="H50" i="19"/>
  <c r="G50" i="19"/>
  <c r="F50" i="19"/>
  <c r="AF50" i="19" s="1"/>
  <c r="E50" i="19"/>
  <c r="D50" i="19"/>
  <c r="C50" i="19"/>
  <c r="B50" i="19"/>
  <c r="AD49" i="19"/>
  <c r="AC49" i="19"/>
  <c r="AB49" i="19"/>
  <c r="W49" i="19"/>
  <c r="V49" i="19"/>
  <c r="O49" i="19"/>
  <c r="N49" i="19"/>
  <c r="F49" i="19"/>
  <c r="E49" i="19"/>
  <c r="Q49" i="19" s="1"/>
  <c r="D49" i="19"/>
  <c r="C49" i="19"/>
  <c r="B49" i="19"/>
  <c r="K48" i="19"/>
  <c r="F48" i="19"/>
  <c r="E48" i="19"/>
  <c r="D48" i="19"/>
  <c r="C48" i="19"/>
  <c r="B48" i="19"/>
  <c r="AD47" i="19"/>
  <c r="AC47" i="19"/>
  <c r="S47" i="19"/>
  <c r="R47" i="19"/>
  <c r="P47" i="19"/>
  <c r="L47" i="19"/>
  <c r="F47" i="19"/>
  <c r="E47" i="19"/>
  <c r="AE47" i="19" s="1"/>
  <c r="D47" i="19"/>
  <c r="C47" i="19"/>
  <c r="B47" i="19"/>
  <c r="AD46" i="19"/>
  <c r="AB46" i="19"/>
  <c r="AA46" i="19"/>
  <c r="F46" i="19"/>
  <c r="E46" i="19"/>
  <c r="X46" i="19" s="1"/>
  <c r="D46" i="19"/>
  <c r="C46" i="19"/>
  <c r="B46" i="19"/>
  <c r="W45" i="19"/>
  <c r="T45" i="19"/>
  <c r="S45" i="19"/>
  <c r="R45" i="19"/>
  <c r="N45" i="19"/>
  <c r="F45" i="19"/>
  <c r="Z45" i="19" s="1"/>
  <c r="E45" i="19"/>
  <c r="D45" i="19"/>
  <c r="X45" i="19" s="1"/>
  <c r="C45" i="19"/>
  <c r="B45" i="19"/>
  <c r="AA44" i="19"/>
  <c r="F44" i="19"/>
  <c r="E44" i="19"/>
  <c r="D44" i="19"/>
  <c r="C44" i="19"/>
  <c r="B44" i="19"/>
  <c r="F43" i="19"/>
  <c r="E43" i="19"/>
  <c r="X43" i="19" s="1"/>
  <c r="D43" i="19"/>
  <c r="C43" i="19"/>
  <c r="B43" i="19"/>
  <c r="AH42" i="19"/>
  <c r="AG42" i="19"/>
  <c r="AC42" i="19"/>
  <c r="Z42" i="19"/>
  <c r="Y42" i="19"/>
  <c r="U42" i="19"/>
  <c r="S42" i="19"/>
  <c r="R42" i="19"/>
  <c r="N42" i="19"/>
  <c r="M42" i="19"/>
  <c r="L42" i="19"/>
  <c r="K42" i="19"/>
  <c r="J42" i="19"/>
  <c r="G42" i="19"/>
  <c r="F42" i="19"/>
  <c r="V42" i="19" s="1"/>
  <c r="E42" i="19"/>
  <c r="D42" i="19"/>
  <c r="C42" i="19"/>
  <c r="B42" i="19"/>
  <c r="AF41" i="19"/>
  <c r="AE41" i="19"/>
  <c r="AD41" i="19"/>
  <c r="AA41" i="19"/>
  <c r="J41" i="19"/>
  <c r="I41" i="19"/>
  <c r="F41" i="19"/>
  <c r="E41" i="19"/>
  <c r="AC41" i="19" s="1"/>
  <c r="D41" i="19"/>
  <c r="C41" i="19"/>
  <c r="B41" i="19"/>
  <c r="W40" i="19"/>
  <c r="U40" i="19"/>
  <c r="T40" i="19"/>
  <c r="F40" i="19"/>
  <c r="E40" i="19"/>
  <c r="D40" i="19"/>
  <c r="C40" i="19"/>
  <c r="B40" i="19"/>
  <c r="V39" i="19"/>
  <c r="S39" i="19"/>
  <c r="P39" i="19"/>
  <c r="O39" i="19"/>
  <c r="F39" i="19"/>
  <c r="E39" i="19"/>
  <c r="X39" i="19" s="1"/>
  <c r="D39" i="19"/>
  <c r="Y39" i="19" s="1"/>
  <c r="C39" i="19"/>
  <c r="B39" i="19"/>
  <c r="AE38" i="19"/>
  <c r="AD38" i="19"/>
  <c r="AC38" i="19"/>
  <c r="X38" i="19"/>
  <c r="W38" i="19"/>
  <c r="V38" i="19"/>
  <c r="S38" i="19"/>
  <c r="R38" i="19"/>
  <c r="L38" i="19"/>
  <c r="K38" i="19"/>
  <c r="J38" i="19"/>
  <c r="I38" i="19"/>
  <c r="F38" i="19"/>
  <c r="M38" i="19" s="1"/>
  <c r="E38" i="19"/>
  <c r="D38" i="19"/>
  <c r="C38" i="19"/>
  <c r="B38" i="19"/>
  <c r="F37" i="19"/>
  <c r="E37" i="19"/>
  <c r="AC37" i="19" s="1"/>
  <c r="D37" i="19"/>
  <c r="C37" i="19"/>
  <c r="B37" i="19"/>
  <c r="U36" i="19"/>
  <c r="T36" i="19"/>
  <c r="S36" i="19"/>
  <c r="M36" i="19"/>
  <c r="F36" i="19"/>
  <c r="E36" i="19"/>
  <c r="W36" i="19" s="1"/>
  <c r="D36" i="19"/>
  <c r="C36" i="19"/>
  <c r="B36" i="19"/>
  <c r="AG35" i="19"/>
  <c r="AF35" i="19"/>
  <c r="V35" i="19"/>
  <c r="U35" i="19"/>
  <c r="P35" i="19"/>
  <c r="O35" i="19"/>
  <c r="N35" i="19"/>
  <c r="M35" i="19"/>
  <c r="F35" i="19"/>
  <c r="AA35" i="19" s="1"/>
  <c r="E35" i="19"/>
  <c r="T35" i="19" s="1"/>
  <c r="D35" i="19"/>
  <c r="C35" i="19"/>
  <c r="B35" i="19"/>
  <c r="AH34" i="19"/>
  <c r="AG34" i="19"/>
  <c r="AC34" i="19"/>
  <c r="AB34" i="19"/>
  <c r="AA34" i="19"/>
  <c r="Y34" i="19"/>
  <c r="W34" i="19"/>
  <c r="V34" i="19"/>
  <c r="U34" i="19"/>
  <c r="O34" i="19"/>
  <c r="N34" i="19"/>
  <c r="M34" i="19"/>
  <c r="L34" i="19"/>
  <c r="J34" i="19"/>
  <c r="I34" i="19"/>
  <c r="G34" i="19"/>
  <c r="F34" i="19"/>
  <c r="E34" i="19"/>
  <c r="AD34" i="19" s="1"/>
  <c r="D34" i="19"/>
  <c r="C34" i="19"/>
  <c r="B34" i="19"/>
  <c r="AH33" i="19"/>
  <c r="AG33" i="19"/>
  <c r="AF33" i="19"/>
  <c r="AD33" i="19"/>
  <c r="AC33" i="19"/>
  <c r="AB33" i="19"/>
  <c r="AA33" i="19"/>
  <c r="V33" i="19"/>
  <c r="Q33" i="19"/>
  <c r="P33" i="19"/>
  <c r="L33" i="19"/>
  <c r="K33" i="19"/>
  <c r="J33" i="19"/>
  <c r="I33" i="19"/>
  <c r="F33" i="19"/>
  <c r="E33" i="19"/>
  <c r="D33" i="19"/>
  <c r="C33" i="19"/>
  <c r="W33" i="19" s="1"/>
  <c r="B33" i="19"/>
  <c r="AG32" i="19"/>
  <c r="AE32" i="19"/>
  <c r="AD32" i="19"/>
  <c r="AC32" i="19"/>
  <c r="AA32" i="19"/>
  <c r="Q32" i="19"/>
  <c r="N32" i="19"/>
  <c r="M32" i="19"/>
  <c r="L32" i="19"/>
  <c r="K32" i="19"/>
  <c r="F32" i="19"/>
  <c r="E32" i="19"/>
  <c r="AF32" i="19" s="1"/>
  <c r="D32" i="19"/>
  <c r="C32" i="19"/>
  <c r="B32" i="19"/>
  <c r="T32" i="19" s="1"/>
  <c r="AH31" i="19"/>
  <c r="AF31" i="19"/>
  <c r="AD31" i="19"/>
  <c r="AA31" i="19"/>
  <c r="Z31" i="19"/>
  <c r="Q31" i="19"/>
  <c r="L31" i="19"/>
  <c r="K31" i="19"/>
  <c r="J31" i="19"/>
  <c r="I31" i="19"/>
  <c r="F31" i="19"/>
  <c r="E31" i="19"/>
  <c r="AG31" i="19" s="1"/>
  <c r="D31" i="19"/>
  <c r="C31" i="19"/>
  <c r="B31" i="19"/>
  <c r="U31" i="19" s="1"/>
  <c r="AE30" i="19"/>
  <c r="AD30" i="19"/>
  <c r="AC30" i="19"/>
  <c r="AA30" i="19"/>
  <c r="Z30" i="19"/>
  <c r="Y30" i="19"/>
  <c r="X30" i="19"/>
  <c r="U30" i="19"/>
  <c r="T30" i="19"/>
  <c r="Q30" i="19"/>
  <c r="N30" i="19"/>
  <c r="L30" i="19"/>
  <c r="K30" i="19"/>
  <c r="I30" i="19"/>
  <c r="H30" i="19"/>
  <c r="G30" i="19"/>
  <c r="F30" i="19"/>
  <c r="E30" i="19"/>
  <c r="D30" i="19"/>
  <c r="C30" i="19"/>
  <c r="B30" i="19"/>
  <c r="O30" i="19" s="1"/>
  <c r="AH29" i="19"/>
  <c r="AF29" i="19"/>
  <c r="AD29" i="19"/>
  <c r="AC29" i="19"/>
  <c r="AB29" i="19"/>
  <c r="U29" i="19"/>
  <c r="T29" i="19"/>
  <c r="R29" i="19"/>
  <c r="Q29" i="19"/>
  <c r="O29" i="19"/>
  <c r="N29" i="19"/>
  <c r="L29" i="19"/>
  <c r="K29" i="19"/>
  <c r="F29" i="19"/>
  <c r="E29" i="19"/>
  <c r="AG29" i="19" s="1"/>
  <c r="D29" i="19"/>
  <c r="C29" i="19"/>
  <c r="B29" i="19"/>
  <c r="AG28" i="19"/>
  <c r="AE28" i="19"/>
  <c r="AD28" i="19"/>
  <c r="Z28" i="19"/>
  <c r="Y28" i="19"/>
  <c r="Q28" i="19"/>
  <c r="L28" i="19"/>
  <c r="K28" i="19"/>
  <c r="I28" i="19"/>
  <c r="H28" i="19"/>
  <c r="F28" i="19"/>
  <c r="E28" i="19"/>
  <c r="AF28" i="19" s="1"/>
  <c r="D28" i="19"/>
  <c r="C28" i="19"/>
  <c r="B28" i="19"/>
  <c r="T28" i="19" s="1"/>
  <c r="AF27" i="19"/>
  <c r="AC27" i="19"/>
  <c r="AB27" i="19"/>
  <c r="AA27" i="19"/>
  <c r="Z27" i="19"/>
  <c r="N27" i="19"/>
  <c r="L27" i="19"/>
  <c r="K27" i="19"/>
  <c r="J27" i="19"/>
  <c r="F27" i="19"/>
  <c r="AG27" i="19" s="1"/>
  <c r="E27" i="19"/>
  <c r="D27" i="19"/>
  <c r="C27" i="19"/>
  <c r="B27" i="19"/>
  <c r="U27" i="19" s="1"/>
  <c r="AF26" i="19"/>
  <c r="AE26" i="19"/>
  <c r="AD26" i="19"/>
  <c r="AC26" i="19"/>
  <c r="S26" i="19"/>
  <c r="Q26" i="19"/>
  <c r="O26" i="19"/>
  <c r="N26" i="19"/>
  <c r="M26" i="19"/>
  <c r="F26" i="19"/>
  <c r="E26" i="19"/>
  <c r="AG26" i="19" s="1"/>
  <c r="D26" i="19"/>
  <c r="C26" i="19"/>
  <c r="B26" i="19"/>
  <c r="AH25" i="19"/>
  <c r="AG25" i="19"/>
  <c r="AF25" i="19"/>
  <c r="T25" i="19"/>
  <c r="R25" i="19"/>
  <c r="Q25" i="19"/>
  <c r="P25" i="19"/>
  <c r="F25" i="19"/>
  <c r="AA25" i="19" s="1"/>
  <c r="E25" i="19"/>
  <c r="AB25" i="19" s="1"/>
  <c r="D25" i="19"/>
  <c r="C25" i="19"/>
  <c r="B25" i="19"/>
  <c r="AF24" i="19"/>
  <c r="U24" i="19"/>
  <c r="T24" i="19"/>
  <c r="R24" i="19"/>
  <c r="Q24" i="19"/>
  <c r="F24" i="19"/>
  <c r="E24" i="19"/>
  <c r="G24" i="19" s="1"/>
  <c r="D24" i="19"/>
  <c r="C24" i="19"/>
  <c r="B24" i="19"/>
  <c r="AE23" i="19"/>
  <c r="AD23" i="19"/>
  <c r="AB23" i="19"/>
  <c r="Z23" i="19"/>
  <c r="X23" i="19"/>
  <c r="W23" i="19"/>
  <c r="L23" i="19"/>
  <c r="K23" i="19"/>
  <c r="J23" i="19"/>
  <c r="I23" i="19"/>
  <c r="F23" i="19"/>
  <c r="E23" i="19"/>
  <c r="AF23" i="19" s="1"/>
  <c r="D23" i="19"/>
  <c r="C23" i="19"/>
  <c r="B23" i="19"/>
  <c r="Q23" i="19" s="1"/>
  <c r="AE22" i="19"/>
  <c r="AD22" i="19"/>
  <c r="AC22" i="19"/>
  <c r="AB22" i="19"/>
  <c r="Q22" i="19"/>
  <c r="P22" i="19"/>
  <c r="O22" i="19"/>
  <c r="N22" i="19"/>
  <c r="F22" i="19"/>
  <c r="E22" i="19"/>
  <c r="AF22" i="19" s="1"/>
  <c r="D22" i="19"/>
  <c r="C22" i="19"/>
  <c r="B22" i="19"/>
  <c r="AH21" i="19"/>
  <c r="F21" i="19"/>
  <c r="E21" i="19"/>
  <c r="D21" i="19"/>
  <c r="C21" i="19"/>
  <c r="B21" i="19"/>
  <c r="AF20" i="19"/>
  <c r="AE20" i="19"/>
  <c r="AD20" i="19"/>
  <c r="AC20" i="19"/>
  <c r="Z20" i="19"/>
  <c r="Y20" i="19"/>
  <c r="X20" i="19"/>
  <c r="W20" i="19"/>
  <c r="R20" i="19"/>
  <c r="Q20" i="19"/>
  <c r="O20" i="19"/>
  <c r="N20" i="19"/>
  <c r="L20" i="19"/>
  <c r="K20" i="19"/>
  <c r="J20" i="19"/>
  <c r="I20" i="19"/>
  <c r="F20" i="19"/>
  <c r="E20" i="19"/>
  <c r="AA20" i="19" s="1"/>
  <c r="D20" i="19"/>
  <c r="C20" i="19"/>
  <c r="B20" i="19"/>
  <c r="AF19" i="19"/>
  <c r="AE19" i="19"/>
  <c r="AD19" i="19"/>
  <c r="AB19" i="19"/>
  <c r="R19" i="19"/>
  <c r="Q19" i="19"/>
  <c r="O19" i="19"/>
  <c r="N19" i="19"/>
  <c r="F19" i="19"/>
  <c r="X19" i="19" s="1"/>
  <c r="E19" i="19"/>
  <c r="Z19" i="19" s="1"/>
  <c r="D19" i="19"/>
  <c r="C19" i="19"/>
  <c r="B19" i="19"/>
  <c r="AG18" i="19"/>
  <c r="X18" i="19"/>
  <c r="U18" i="19"/>
  <c r="H18" i="19"/>
  <c r="F18" i="19"/>
  <c r="E18" i="19"/>
  <c r="T18" i="19" s="1"/>
  <c r="D18" i="19"/>
  <c r="C18" i="19"/>
  <c r="B18" i="19"/>
  <c r="AF17" i="19"/>
  <c r="AD17" i="19"/>
  <c r="AA17" i="19"/>
  <c r="Z17" i="19"/>
  <c r="Y17" i="19"/>
  <c r="X17" i="19"/>
  <c r="Q17" i="19"/>
  <c r="O17" i="19"/>
  <c r="M17" i="19"/>
  <c r="L17" i="19"/>
  <c r="K17" i="19"/>
  <c r="J17" i="19"/>
  <c r="F17" i="19"/>
  <c r="E17" i="19"/>
  <c r="AG17" i="19" s="1"/>
  <c r="D17" i="19"/>
  <c r="C17" i="19"/>
  <c r="B17" i="19"/>
  <c r="R16" i="19"/>
  <c r="Q16" i="19"/>
  <c r="O16" i="19"/>
  <c r="F16" i="19"/>
  <c r="E16" i="19"/>
  <c r="D16" i="19"/>
  <c r="C16" i="19"/>
  <c r="B16" i="19"/>
  <c r="AF15" i="19"/>
  <c r="AD15" i="19"/>
  <c r="AC15" i="19"/>
  <c r="AB15" i="19"/>
  <c r="AA15" i="19"/>
  <c r="X15" i="19"/>
  <c r="W15" i="19"/>
  <c r="V15" i="19"/>
  <c r="U15" i="19"/>
  <c r="P15" i="19"/>
  <c r="O15" i="19"/>
  <c r="N15" i="19"/>
  <c r="L15" i="19"/>
  <c r="J15" i="19"/>
  <c r="I15" i="19"/>
  <c r="H15" i="19"/>
  <c r="G15" i="19"/>
  <c r="F15" i="19"/>
  <c r="Z15" i="19" s="1"/>
  <c r="E15" i="19"/>
  <c r="D15" i="19"/>
  <c r="C15" i="19"/>
  <c r="B15" i="19"/>
  <c r="Q15" i="19" s="1"/>
  <c r="AF14" i="19"/>
  <c r="AD14" i="19"/>
  <c r="AC14" i="19"/>
  <c r="AB14" i="19"/>
  <c r="AA14" i="19"/>
  <c r="O14" i="19"/>
  <c r="N14" i="19"/>
  <c r="M14" i="19"/>
  <c r="F14" i="19"/>
  <c r="E14" i="19"/>
  <c r="AE14" i="19" s="1"/>
  <c r="D14" i="19"/>
  <c r="C14" i="19"/>
  <c r="B14" i="19"/>
  <c r="R14" i="19" s="1"/>
  <c r="T13" i="19"/>
  <c r="Q13" i="19"/>
  <c r="F13" i="19"/>
  <c r="E13" i="19"/>
  <c r="D13" i="19"/>
  <c r="C13" i="19"/>
  <c r="B13" i="19"/>
  <c r="AF12" i="19"/>
  <c r="AE12" i="19"/>
  <c r="AD12" i="19"/>
  <c r="AC12" i="19"/>
  <c r="Z12" i="19"/>
  <c r="X12" i="19"/>
  <c r="W12" i="19"/>
  <c r="V12" i="19"/>
  <c r="R12" i="19"/>
  <c r="Q12" i="19"/>
  <c r="N12" i="19"/>
  <c r="K12" i="19"/>
  <c r="J12" i="19"/>
  <c r="I12" i="19"/>
  <c r="H12" i="19"/>
  <c r="F12" i="19"/>
  <c r="E12" i="19"/>
  <c r="AA12" i="19" s="1"/>
  <c r="D12" i="19"/>
  <c r="C12" i="19"/>
  <c r="B12" i="19"/>
  <c r="O12" i="19" s="1"/>
  <c r="AE11" i="19"/>
  <c r="AD11" i="19"/>
  <c r="AC11" i="19"/>
  <c r="AB11" i="19"/>
  <c r="Q11" i="19"/>
  <c r="P11" i="19"/>
  <c r="O11" i="19"/>
  <c r="N11" i="19"/>
  <c r="F11" i="19"/>
  <c r="E11" i="19"/>
  <c r="AF11" i="19" s="1"/>
  <c r="D11" i="19"/>
  <c r="C11" i="19"/>
  <c r="B11" i="19"/>
  <c r="F10" i="19"/>
  <c r="E10" i="19"/>
  <c r="D10" i="19"/>
  <c r="C10" i="19"/>
  <c r="B10" i="19"/>
  <c r="AG9" i="19"/>
  <c r="AF9" i="19"/>
  <c r="AD9" i="19"/>
  <c r="AC9" i="19"/>
  <c r="AB9" i="19"/>
  <c r="Z9" i="19"/>
  <c r="Y9" i="19"/>
  <c r="X9" i="19"/>
  <c r="W9" i="19"/>
  <c r="R9" i="19"/>
  <c r="Q9" i="19"/>
  <c r="P9" i="19"/>
  <c r="O9" i="19"/>
  <c r="N9" i="19"/>
  <c r="L9" i="19"/>
  <c r="K9" i="19"/>
  <c r="J9" i="19"/>
  <c r="I9" i="19"/>
  <c r="F9" i="19"/>
  <c r="AA9" i="19" s="1"/>
  <c r="E9" i="19"/>
  <c r="D9" i="19"/>
  <c r="C9" i="19"/>
  <c r="B9" i="19"/>
  <c r="F8" i="19"/>
  <c r="E8" i="19"/>
  <c r="D8" i="19"/>
  <c r="C8" i="19"/>
  <c r="B8" i="19"/>
  <c r="AC7" i="19"/>
  <c r="AB7" i="19"/>
  <c r="Z7" i="19"/>
  <c r="X7" i="19"/>
  <c r="W7" i="19"/>
  <c r="V7" i="19"/>
  <c r="P7" i="19"/>
  <c r="O7" i="19"/>
  <c r="L7" i="19"/>
  <c r="K7" i="19"/>
  <c r="J7" i="19"/>
  <c r="I7" i="19"/>
  <c r="F7" i="19"/>
  <c r="E7" i="19"/>
  <c r="AD7" i="19" s="1"/>
  <c r="D7" i="19"/>
  <c r="C7" i="19"/>
  <c r="B7" i="19"/>
  <c r="AD6" i="19"/>
  <c r="AC6" i="19"/>
  <c r="S6" i="19"/>
  <c r="R6" i="19"/>
  <c r="Q6" i="19"/>
  <c r="F6" i="19"/>
  <c r="E6" i="19"/>
  <c r="AF6" i="19" s="1"/>
  <c r="D6" i="19"/>
  <c r="C6" i="19"/>
  <c r="B6" i="19"/>
  <c r="AC5" i="19"/>
  <c r="AB5" i="19"/>
  <c r="Z5" i="19"/>
  <c r="Y5" i="19"/>
  <c r="X5" i="19"/>
  <c r="W5" i="19"/>
  <c r="P5" i="19"/>
  <c r="O5" i="19"/>
  <c r="M5" i="19"/>
  <c r="L5" i="19"/>
  <c r="K5" i="19"/>
  <c r="J5" i="19"/>
  <c r="F5" i="19"/>
  <c r="E5" i="19"/>
  <c r="AD5" i="19" s="1"/>
  <c r="D5" i="19"/>
  <c r="C5" i="19"/>
  <c r="B5" i="19"/>
  <c r="F4" i="19"/>
  <c r="AG4" i="19" s="1"/>
  <c r="E4" i="19"/>
  <c r="D4" i="19"/>
  <c r="C4" i="19"/>
  <c r="B4" i="19"/>
  <c r="AD3" i="19"/>
  <c r="AB3" i="19"/>
  <c r="AA3" i="19"/>
  <c r="Z3" i="19"/>
  <c r="N3" i="19"/>
  <c r="L3" i="19"/>
  <c r="K3" i="19"/>
  <c r="F3" i="19"/>
  <c r="E3" i="19"/>
  <c r="AC3" i="19" s="1"/>
  <c r="D3" i="19"/>
  <c r="C3" i="19"/>
  <c r="B3" i="19"/>
  <c r="Q3" i="19" s="1"/>
  <c r="U2" i="19"/>
  <c r="T2" i="19"/>
  <c r="S2" i="19"/>
  <c r="R2" i="19"/>
  <c r="K2" i="19"/>
  <c r="F2" i="19"/>
  <c r="AF2" i="19" s="1"/>
  <c r="E2" i="19"/>
  <c r="H2" i="19" s="1"/>
  <c r="D2" i="19"/>
  <c r="C2" i="19"/>
  <c r="B2" i="19"/>
  <c r="I55" i="17"/>
  <c r="H55" i="17"/>
  <c r="F55" i="17"/>
  <c r="E55" i="17"/>
  <c r="D55" i="17"/>
  <c r="I54" i="17"/>
  <c r="H54" i="17"/>
  <c r="F54" i="17"/>
  <c r="E54" i="17"/>
  <c r="D54" i="17"/>
  <c r="I53" i="17"/>
  <c r="H53" i="17"/>
  <c r="F53" i="17"/>
  <c r="E53" i="17"/>
  <c r="D53" i="17"/>
  <c r="I52" i="17"/>
  <c r="H52" i="17"/>
  <c r="D52" i="17"/>
  <c r="I51" i="17"/>
  <c r="H51" i="17"/>
  <c r="F51" i="17"/>
  <c r="E51" i="17"/>
  <c r="D51" i="17"/>
  <c r="I50" i="17"/>
  <c r="H50" i="17"/>
  <c r="I49" i="17"/>
  <c r="H49" i="17"/>
  <c r="I48" i="17"/>
  <c r="H48" i="17"/>
  <c r="I47" i="17"/>
  <c r="H47" i="17"/>
  <c r="A45" i="17"/>
  <c r="A44" i="17"/>
  <c r="A43" i="17"/>
  <c r="A42" i="17"/>
  <c r="A41" i="17"/>
  <c r="A40" i="17"/>
  <c r="A39" i="17"/>
  <c r="A38" i="17"/>
  <c r="A37" i="17"/>
  <c r="I36" i="17"/>
  <c r="H36" i="17"/>
  <c r="A36" i="17"/>
  <c r="I35" i="17"/>
  <c r="H35" i="17"/>
  <c r="A35" i="17"/>
  <c r="A34" i="17"/>
  <c r="A33" i="17"/>
  <c r="A32" i="17"/>
  <c r="A31" i="17"/>
  <c r="I28" i="17"/>
  <c r="H28" i="17"/>
  <c r="F28" i="17"/>
  <c r="E28" i="17"/>
  <c r="D28" i="17"/>
  <c r="I27" i="17"/>
  <c r="H27" i="17"/>
  <c r="F27" i="17"/>
  <c r="E27" i="17"/>
  <c r="D27" i="17"/>
  <c r="I26" i="17"/>
  <c r="H26" i="17"/>
  <c r="F26" i="17"/>
  <c r="E26" i="17"/>
  <c r="D26" i="17"/>
  <c r="I25" i="17"/>
  <c r="H25" i="17"/>
  <c r="D25" i="17"/>
  <c r="I24" i="17"/>
  <c r="H24" i="17"/>
  <c r="F24" i="17"/>
  <c r="E24" i="17"/>
  <c r="D24" i="17"/>
  <c r="I23" i="17"/>
  <c r="H23" i="17"/>
  <c r="I22" i="17"/>
  <c r="H22" i="17"/>
  <c r="I21" i="17"/>
  <c r="H21" i="17"/>
  <c r="I20" i="17"/>
  <c r="H20" i="17"/>
  <c r="A18" i="17"/>
  <c r="A17" i="17"/>
  <c r="A16" i="17"/>
  <c r="A15" i="17"/>
  <c r="A14" i="17"/>
  <c r="A13" i="17"/>
  <c r="A12" i="17"/>
  <c r="A11" i="17"/>
  <c r="A10" i="17"/>
  <c r="A9" i="17"/>
  <c r="A8" i="17"/>
  <c r="A7" i="17"/>
  <c r="A6" i="17"/>
  <c r="A5" i="17"/>
  <c r="A4" i="17"/>
  <c r="F79" i="28"/>
  <c r="E79" i="28"/>
  <c r="D79" i="28"/>
  <c r="B79" i="28"/>
  <c r="A79" i="28"/>
  <c r="F78" i="28"/>
  <c r="E78" i="28"/>
  <c r="D78" i="28"/>
  <c r="B78" i="28"/>
  <c r="A78" i="28"/>
  <c r="F77" i="28"/>
  <c r="E77" i="28"/>
  <c r="D77" i="28"/>
  <c r="B77" i="28"/>
  <c r="A77" i="28"/>
  <c r="F76" i="28"/>
  <c r="E76" i="28"/>
  <c r="D76" i="28"/>
  <c r="B76" i="28"/>
  <c r="A76" i="28"/>
  <c r="F75" i="28"/>
  <c r="E75" i="28"/>
  <c r="D75" i="28"/>
  <c r="B75" i="28"/>
  <c r="A75" i="28"/>
  <c r="F74" i="28"/>
  <c r="E74" i="28"/>
  <c r="D74" i="28"/>
  <c r="B74" i="28"/>
  <c r="A74" i="28"/>
  <c r="F73" i="28"/>
  <c r="E73" i="28"/>
  <c r="D73" i="28"/>
  <c r="B73" i="28"/>
  <c r="A73" i="28"/>
  <c r="F72" i="28"/>
  <c r="E72" i="28"/>
  <c r="D72" i="28"/>
  <c r="B72" i="28"/>
  <c r="A72" i="28"/>
  <c r="F71" i="28"/>
  <c r="E71" i="28"/>
  <c r="D71" i="28"/>
  <c r="B71" i="28"/>
  <c r="A71" i="28"/>
  <c r="B70" i="28"/>
  <c r="A70" i="28"/>
  <c r="B69" i="28"/>
  <c r="A69" i="28"/>
  <c r="B68" i="28"/>
  <c r="A68" i="28"/>
  <c r="B67" i="28"/>
  <c r="A67" i="28"/>
  <c r="B66" i="28"/>
  <c r="A66" i="28"/>
  <c r="B65" i="28"/>
  <c r="A65" i="28"/>
  <c r="B64" i="28"/>
  <c r="A64" i="28"/>
  <c r="B63" i="28"/>
  <c r="A63" i="28"/>
  <c r="B62" i="28"/>
  <c r="A62" i="28"/>
  <c r="B61" i="28"/>
  <c r="A61" i="28"/>
  <c r="B60" i="28"/>
  <c r="A60" i="28"/>
  <c r="B59" i="28"/>
  <c r="A59" i="28"/>
  <c r="B58" i="28"/>
  <c r="A58" i="28"/>
  <c r="B57" i="28"/>
  <c r="A57" i="28"/>
  <c r="B56" i="28"/>
  <c r="A56" i="28"/>
  <c r="B55" i="28"/>
  <c r="A55" i="28"/>
  <c r="F53" i="28"/>
  <c r="E53" i="28"/>
  <c r="D53" i="28"/>
  <c r="B53" i="28"/>
  <c r="A53" i="28"/>
  <c r="F52" i="28"/>
  <c r="E52" i="28"/>
  <c r="D52" i="28"/>
  <c r="B52" i="28"/>
  <c r="A52" i="28"/>
  <c r="F51" i="28"/>
  <c r="E51" i="28"/>
  <c r="D51" i="28"/>
  <c r="B51" i="28"/>
  <c r="A51" i="28"/>
  <c r="F50" i="28"/>
  <c r="E50" i="28"/>
  <c r="D50" i="28"/>
  <c r="B50" i="28"/>
  <c r="A50" i="28"/>
  <c r="F49" i="28"/>
  <c r="E49" i="28"/>
  <c r="D49" i="28"/>
  <c r="B49" i="28"/>
  <c r="A49" i="28"/>
  <c r="F48" i="28"/>
  <c r="E48" i="28"/>
  <c r="D48" i="28"/>
  <c r="B48" i="28"/>
  <c r="A48" i="28"/>
  <c r="F47" i="28"/>
  <c r="E47" i="28"/>
  <c r="D47" i="28"/>
  <c r="B47" i="28"/>
  <c r="A47" i="28"/>
  <c r="F46" i="28"/>
  <c r="E46" i="28"/>
  <c r="D46" i="28"/>
  <c r="B46" i="28"/>
  <c r="A46" i="28"/>
  <c r="F45" i="28"/>
  <c r="E45" i="28"/>
  <c r="D45" i="28"/>
  <c r="B45" i="28"/>
  <c r="A45" i="28"/>
  <c r="B44" i="28"/>
  <c r="A44" i="28"/>
  <c r="B43" i="28"/>
  <c r="A43" i="28"/>
  <c r="B42" i="28"/>
  <c r="A42" i="28"/>
  <c r="B41" i="28"/>
  <c r="A41" i="28"/>
  <c r="B40" i="28"/>
  <c r="A40" i="28"/>
  <c r="B39" i="28"/>
  <c r="A39" i="28"/>
  <c r="B38" i="28"/>
  <c r="A38" i="28"/>
  <c r="B37" i="28"/>
  <c r="A37" i="28"/>
  <c r="B36" i="28"/>
  <c r="A36" i="28"/>
  <c r="B35" i="28"/>
  <c r="A35" i="28"/>
  <c r="B34" i="28"/>
  <c r="A34" i="28"/>
  <c r="B33" i="28"/>
  <c r="A33" i="28"/>
  <c r="B32" i="28"/>
  <c r="A32" i="28"/>
  <c r="B31" i="28"/>
  <c r="A31" i="28"/>
  <c r="B30" i="28"/>
  <c r="A30" i="28"/>
  <c r="B29" i="28"/>
  <c r="A29" i="28"/>
  <c r="F27" i="28"/>
  <c r="E27" i="28"/>
  <c r="D27" i="28"/>
  <c r="B27" i="28"/>
  <c r="A27" i="28"/>
  <c r="F26" i="28"/>
  <c r="E26" i="28"/>
  <c r="D26" i="28"/>
  <c r="B26" i="28"/>
  <c r="A26" i="28"/>
  <c r="F25" i="28"/>
  <c r="E25" i="28"/>
  <c r="D25" i="28"/>
  <c r="B25" i="28"/>
  <c r="A25" i="28"/>
  <c r="F24" i="28"/>
  <c r="E24" i="28"/>
  <c r="D24" i="28"/>
  <c r="B24" i="28"/>
  <c r="A24" i="28"/>
  <c r="F23" i="28"/>
  <c r="E23" i="28"/>
  <c r="D23" i="28"/>
  <c r="B23" i="28"/>
  <c r="A23" i="28"/>
  <c r="F22" i="28"/>
  <c r="E22" i="28"/>
  <c r="D22" i="28"/>
  <c r="B22" i="28"/>
  <c r="A22" i="28"/>
  <c r="F21" i="28"/>
  <c r="E21" i="28"/>
  <c r="D21" i="28"/>
  <c r="B21" i="28"/>
  <c r="A21" i="28"/>
  <c r="F20" i="28"/>
  <c r="E20" i="28"/>
  <c r="D20" i="28"/>
  <c r="B20" i="28"/>
  <c r="A20" i="28"/>
  <c r="F19" i="28"/>
  <c r="E19" i="28"/>
  <c r="D19" i="28"/>
  <c r="B19" i="28"/>
  <c r="A19" i="28"/>
  <c r="B18" i="28"/>
  <c r="A18" i="28"/>
  <c r="B17" i="28"/>
  <c r="A17" i="28"/>
  <c r="B16" i="28"/>
  <c r="A16" i="28"/>
  <c r="B15" i="28"/>
  <c r="A15" i="28"/>
  <c r="B14" i="28"/>
  <c r="A14" i="28"/>
  <c r="B13" i="28"/>
  <c r="A13" i="28"/>
  <c r="B12" i="28"/>
  <c r="A12" i="28"/>
  <c r="B11" i="28"/>
  <c r="A11" i="28"/>
  <c r="B10" i="28"/>
  <c r="A10" i="28"/>
  <c r="B9" i="28"/>
  <c r="A9" i="28"/>
  <c r="B8" i="28"/>
  <c r="A8" i="28"/>
  <c r="B7" i="28"/>
  <c r="A7" i="28"/>
  <c r="B6" i="28"/>
  <c r="A6" i="28"/>
  <c r="B5" i="28"/>
  <c r="A5" i="28"/>
  <c r="B4" i="28"/>
  <c r="A4" i="28"/>
  <c r="B3" i="28"/>
  <c r="A3" i="28"/>
  <c r="A582" i="24"/>
  <c r="A581" i="24"/>
  <c r="A580" i="24"/>
  <c r="A579" i="24"/>
  <c r="A578" i="24"/>
  <c r="A577" i="24"/>
  <c r="A576" i="24"/>
  <c r="A575" i="24"/>
  <c r="A574" i="24"/>
  <c r="A573" i="24"/>
  <c r="A572" i="24"/>
  <c r="A571" i="24"/>
  <c r="A570" i="24"/>
  <c r="A569" i="24"/>
  <c r="A568" i="24"/>
  <c r="A567" i="24"/>
  <c r="A566" i="24"/>
  <c r="A565" i="24"/>
  <c r="A564" i="24"/>
  <c r="A563" i="24"/>
  <c r="A562" i="24"/>
  <c r="A561" i="24"/>
  <c r="A560" i="24"/>
  <c r="A559" i="24"/>
  <c r="A558" i="24"/>
  <c r="A557" i="24"/>
  <c r="A556" i="24"/>
  <c r="A555" i="24"/>
  <c r="A554" i="24"/>
  <c r="A553" i="24"/>
  <c r="A552" i="24"/>
  <c r="A551" i="24"/>
  <c r="A550" i="24"/>
  <c r="A549" i="24"/>
  <c r="A548" i="24"/>
  <c r="A547" i="24"/>
  <c r="A546" i="24"/>
  <c r="A545" i="24"/>
  <c r="A544" i="24"/>
  <c r="A543" i="24"/>
  <c r="A542" i="24"/>
  <c r="A541" i="24"/>
  <c r="A540" i="24"/>
  <c r="A539" i="24"/>
  <c r="A538" i="24"/>
  <c r="A537" i="24"/>
  <c r="A536" i="24"/>
  <c r="A535" i="24"/>
  <c r="A534" i="24"/>
  <c r="A533" i="24"/>
  <c r="A532" i="24"/>
  <c r="A531" i="24"/>
  <c r="A530" i="24"/>
  <c r="A529" i="24"/>
  <c r="A528" i="24"/>
  <c r="A527" i="24"/>
  <c r="A526" i="24"/>
  <c r="A525" i="24"/>
  <c r="A524" i="24"/>
  <c r="A523" i="24"/>
  <c r="A522" i="24"/>
  <c r="A521" i="24"/>
  <c r="A520" i="24"/>
  <c r="A519" i="24"/>
  <c r="A518" i="24"/>
  <c r="A517" i="24"/>
  <c r="A516" i="24"/>
  <c r="A515" i="24"/>
  <c r="A514" i="24"/>
  <c r="A513" i="24"/>
  <c r="A512" i="24"/>
  <c r="A511" i="24"/>
  <c r="A510" i="24"/>
  <c r="A509" i="24"/>
  <c r="A508" i="24"/>
  <c r="A507" i="24"/>
  <c r="A506" i="24"/>
  <c r="A505" i="24"/>
  <c r="A504" i="24"/>
  <c r="A503" i="24"/>
  <c r="A502" i="24"/>
  <c r="A501" i="24"/>
  <c r="A500" i="24"/>
  <c r="A499" i="24"/>
  <c r="A498" i="24"/>
  <c r="A497" i="24"/>
  <c r="A496" i="24"/>
  <c r="A495" i="24"/>
  <c r="A494" i="24"/>
  <c r="A493" i="24"/>
  <c r="A492" i="24"/>
  <c r="A491" i="24"/>
  <c r="A490" i="24"/>
  <c r="A489" i="24"/>
  <c r="A488" i="24"/>
  <c r="A487" i="24"/>
  <c r="A486" i="24"/>
  <c r="A485" i="24"/>
  <c r="A484" i="24"/>
  <c r="A483" i="24"/>
  <c r="A482" i="24"/>
  <c r="A481" i="24"/>
  <c r="A480" i="24"/>
  <c r="A479" i="24"/>
  <c r="A478" i="24"/>
  <c r="A477" i="24"/>
  <c r="A476" i="24"/>
  <c r="A475" i="24"/>
  <c r="A474" i="24"/>
  <c r="A473" i="24"/>
  <c r="A472" i="24"/>
  <c r="A471" i="24"/>
  <c r="A470" i="24"/>
  <c r="A469" i="24"/>
  <c r="A468" i="24"/>
  <c r="A467" i="24"/>
  <c r="A466" i="24"/>
  <c r="A465" i="24"/>
  <c r="A464" i="24"/>
  <c r="A463" i="24"/>
  <c r="A462" i="24"/>
  <c r="A461" i="24"/>
  <c r="A460" i="24"/>
  <c r="A459" i="24"/>
  <c r="A458" i="24"/>
  <c r="A457" i="24"/>
  <c r="A456" i="24"/>
  <c r="A455" i="24"/>
  <c r="A454" i="24"/>
  <c r="A453" i="24"/>
  <c r="A452" i="24"/>
  <c r="A451" i="24"/>
  <c r="A450" i="24"/>
  <c r="A449" i="24"/>
  <c r="A448" i="24"/>
  <c r="A447" i="24"/>
  <c r="A446" i="24"/>
  <c r="A445" i="24"/>
  <c r="A444" i="24"/>
  <c r="A443" i="24"/>
  <c r="A442" i="24"/>
  <c r="A441" i="24"/>
  <c r="A440" i="24"/>
  <c r="A439" i="24"/>
  <c r="A438" i="24"/>
  <c r="A437" i="24"/>
  <c r="A436" i="24"/>
  <c r="A435" i="24"/>
  <c r="A434" i="24"/>
  <c r="A433" i="24"/>
  <c r="A432" i="24"/>
  <c r="A431" i="24"/>
  <c r="A430" i="24"/>
  <c r="A429" i="24"/>
  <c r="A428" i="24"/>
  <c r="A427" i="24"/>
  <c r="A426" i="24"/>
  <c r="A425" i="24"/>
  <c r="A424" i="24"/>
  <c r="A423" i="24"/>
  <c r="A422" i="24"/>
  <c r="A421" i="24"/>
  <c r="A420" i="24"/>
  <c r="A419" i="24"/>
  <c r="A418" i="24"/>
  <c r="A417" i="24"/>
  <c r="A416" i="24"/>
  <c r="A415" i="24"/>
  <c r="A414" i="24"/>
  <c r="A413" i="24"/>
  <c r="A412" i="24"/>
  <c r="A411" i="24"/>
  <c r="A410" i="24"/>
  <c r="A409" i="24"/>
  <c r="A408" i="24"/>
  <c r="A407" i="24"/>
  <c r="A406" i="24"/>
  <c r="A405" i="24"/>
  <c r="A404" i="24"/>
  <c r="A403" i="24"/>
  <c r="A402" i="24"/>
  <c r="A401" i="24"/>
  <c r="A400" i="24"/>
  <c r="A399" i="24"/>
  <c r="A398" i="24"/>
  <c r="A397" i="24"/>
  <c r="A396" i="24"/>
  <c r="A395" i="24"/>
  <c r="A394" i="24"/>
  <c r="A393" i="24"/>
  <c r="A392" i="24"/>
  <c r="A391" i="24"/>
  <c r="A390" i="24"/>
  <c r="A389" i="24"/>
  <c r="A388" i="24"/>
  <c r="A387" i="24"/>
  <c r="A386" i="24"/>
  <c r="A385" i="24"/>
  <c r="A384" i="24"/>
  <c r="A383" i="24"/>
  <c r="A382" i="24"/>
  <c r="A381" i="24"/>
  <c r="A380" i="24"/>
  <c r="A379" i="24"/>
  <c r="A378" i="24"/>
  <c r="A377" i="24"/>
  <c r="A376" i="24"/>
  <c r="A375" i="24"/>
  <c r="A374" i="24"/>
  <c r="A373" i="24"/>
  <c r="A372" i="24"/>
  <c r="A371" i="24"/>
  <c r="A370" i="24"/>
  <c r="A369" i="24"/>
  <c r="A368" i="24"/>
  <c r="A367" i="24"/>
  <c r="A366" i="24"/>
  <c r="A365" i="24"/>
  <c r="A364" i="24"/>
  <c r="A363" i="24"/>
  <c r="A362" i="24"/>
  <c r="A361" i="24"/>
  <c r="A360" i="24"/>
  <c r="A359" i="24"/>
  <c r="A358" i="24"/>
  <c r="A357" i="24"/>
  <c r="A356" i="24"/>
  <c r="A355" i="24"/>
  <c r="A354" i="24"/>
  <c r="A353" i="24"/>
  <c r="A352" i="24"/>
  <c r="A351" i="24"/>
  <c r="A350" i="24"/>
  <c r="A349" i="24"/>
  <c r="A348" i="24"/>
  <c r="A347" i="24"/>
  <c r="A346" i="24"/>
  <c r="A345" i="24"/>
  <c r="A344" i="24"/>
  <c r="A343" i="24"/>
  <c r="A342" i="24"/>
  <c r="A341" i="24"/>
  <c r="A340" i="24"/>
  <c r="A339" i="24"/>
  <c r="A338" i="24"/>
  <c r="A337" i="24"/>
  <c r="A336" i="24"/>
  <c r="A335" i="24"/>
  <c r="A334" i="24"/>
  <c r="A333" i="24"/>
  <c r="A332" i="24"/>
  <c r="A331" i="24"/>
  <c r="A330" i="24"/>
  <c r="A329" i="24"/>
  <c r="A328" i="24"/>
  <c r="A327" i="24"/>
  <c r="A326" i="24"/>
  <c r="A325" i="24"/>
  <c r="A324" i="24"/>
  <c r="A323" i="24"/>
  <c r="A322" i="24"/>
  <c r="A321" i="24"/>
  <c r="A320" i="24"/>
  <c r="A319" i="24"/>
  <c r="A318" i="24"/>
  <c r="A317" i="24"/>
  <c r="A316" i="24"/>
  <c r="A315" i="24"/>
  <c r="A314" i="24"/>
  <c r="A313" i="24"/>
  <c r="A312" i="24"/>
  <c r="A311" i="24"/>
  <c r="A310" i="24"/>
  <c r="A309" i="24"/>
  <c r="A308" i="24"/>
  <c r="A307" i="24"/>
  <c r="A306" i="24"/>
  <c r="A305" i="24"/>
  <c r="A304" i="24"/>
  <c r="A303" i="24"/>
  <c r="A302" i="24"/>
  <c r="A301" i="24"/>
  <c r="A300" i="24"/>
  <c r="A299" i="24"/>
  <c r="A298" i="24"/>
  <c r="A297" i="24"/>
  <c r="A296" i="24"/>
  <c r="A295" i="24"/>
  <c r="A294" i="24"/>
  <c r="A293" i="24"/>
  <c r="A292" i="24"/>
  <c r="A291" i="24"/>
  <c r="A290" i="24"/>
  <c r="A289" i="24"/>
  <c r="A288" i="24"/>
  <c r="A287" i="24"/>
  <c r="A286" i="24"/>
  <c r="A285" i="24"/>
  <c r="A284" i="24"/>
  <c r="A283" i="24"/>
  <c r="A282" i="24"/>
  <c r="A281" i="24"/>
  <c r="A280" i="24"/>
  <c r="A279" i="24"/>
  <c r="A278" i="24"/>
  <c r="A277" i="24"/>
  <c r="A276" i="24"/>
  <c r="A275" i="24"/>
  <c r="A274" i="24"/>
  <c r="A273" i="24"/>
  <c r="A272" i="24"/>
  <c r="A271" i="24"/>
  <c r="A270" i="24"/>
  <c r="A269" i="24"/>
  <c r="A268" i="24"/>
  <c r="A267" i="24"/>
  <c r="A266" i="24"/>
  <c r="A265" i="24"/>
  <c r="A264" i="24"/>
  <c r="A263" i="24"/>
  <c r="A262" i="24"/>
  <c r="A261" i="24"/>
  <c r="A260" i="24"/>
  <c r="A259" i="24"/>
  <c r="A258" i="24"/>
  <c r="A257" i="24"/>
  <c r="A256" i="24"/>
  <c r="A255" i="24"/>
  <c r="A254" i="24"/>
  <c r="A253" i="24"/>
  <c r="A252" i="24"/>
  <c r="A251" i="24"/>
  <c r="A250" i="24"/>
  <c r="A249" i="24"/>
  <c r="A248" i="24"/>
  <c r="A247" i="24"/>
  <c r="A246" i="24"/>
  <c r="A245" i="24"/>
  <c r="A244" i="24"/>
  <c r="A243" i="24"/>
  <c r="A242" i="24"/>
  <c r="A241" i="24"/>
  <c r="A240" i="24"/>
  <c r="A239" i="24"/>
  <c r="A238" i="24"/>
  <c r="A237" i="24"/>
  <c r="A236" i="24"/>
  <c r="A235" i="24"/>
  <c r="A234" i="24"/>
  <c r="A233" i="24"/>
  <c r="A232" i="24"/>
  <c r="A231" i="24"/>
  <c r="A230" i="24"/>
  <c r="A229" i="24"/>
  <c r="A228" i="24"/>
  <c r="A227" i="24"/>
  <c r="A226" i="24"/>
  <c r="A225" i="24"/>
  <c r="A224" i="24"/>
  <c r="A223" i="24"/>
  <c r="A222" i="24"/>
  <c r="A221" i="24"/>
  <c r="A220" i="24"/>
  <c r="A219" i="24"/>
  <c r="A218" i="24"/>
  <c r="A217" i="24"/>
  <c r="A216" i="24"/>
  <c r="A215" i="24"/>
  <c r="A214" i="24"/>
  <c r="A213" i="24"/>
  <c r="A212" i="24"/>
  <c r="A211" i="24"/>
  <c r="A210" i="24"/>
  <c r="A209" i="24"/>
  <c r="A208" i="24"/>
  <c r="A207" i="24"/>
  <c r="A206" i="24"/>
  <c r="A205" i="24"/>
  <c r="A204" i="24"/>
  <c r="A203" i="24"/>
  <c r="A202" i="24"/>
  <c r="A201" i="24"/>
  <c r="A200" i="24"/>
  <c r="A199" i="24"/>
  <c r="A198" i="24"/>
  <c r="A197" i="24"/>
  <c r="A196" i="24"/>
  <c r="A195" i="24"/>
  <c r="A194" i="24"/>
  <c r="A193" i="24"/>
  <c r="A192" i="24"/>
  <c r="A191" i="24"/>
  <c r="A190" i="24"/>
  <c r="A189" i="24"/>
  <c r="A188" i="24"/>
  <c r="A187" i="24"/>
  <c r="A186" i="24"/>
  <c r="A185" i="24"/>
  <c r="A184" i="24"/>
  <c r="A183" i="24"/>
  <c r="A182" i="24"/>
  <c r="A181" i="24"/>
  <c r="A180" i="24"/>
  <c r="A179" i="24"/>
  <c r="A178" i="24"/>
  <c r="A177" i="24"/>
  <c r="A176" i="24"/>
  <c r="A175" i="24"/>
  <c r="A174" i="24"/>
  <c r="A173" i="24"/>
  <c r="A172" i="24"/>
  <c r="A171" i="24"/>
  <c r="A170" i="24"/>
  <c r="A169" i="24"/>
  <c r="A168" i="24"/>
  <c r="A167" i="24"/>
  <c r="A166" i="24"/>
  <c r="A165" i="24"/>
  <c r="A164" i="24"/>
  <c r="A163" i="24"/>
  <c r="A162" i="24"/>
  <c r="A161" i="24"/>
  <c r="A160" i="24"/>
  <c r="A159" i="24"/>
  <c r="A158" i="24"/>
  <c r="A157" i="24"/>
  <c r="A156" i="24"/>
  <c r="A155" i="24"/>
  <c r="A154" i="24"/>
  <c r="A153" i="24"/>
  <c r="A152" i="24"/>
  <c r="A151" i="24"/>
  <c r="A150" i="24"/>
  <c r="A149" i="24"/>
  <c r="A148" i="24"/>
  <c r="A147" i="24"/>
  <c r="A146" i="24"/>
  <c r="A145" i="24"/>
  <c r="A144" i="24"/>
  <c r="A143" i="24"/>
  <c r="A142" i="24"/>
  <c r="A141" i="24"/>
  <c r="A140" i="24"/>
  <c r="A139" i="24"/>
  <c r="A138" i="24"/>
  <c r="A137" i="24"/>
  <c r="A136" i="24"/>
  <c r="A135" i="24"/>
  <c r="A134" i="24"/>
  <c r="A133" i="24"/>
  <c r="A132" i="24"/>
  <c r="A131" i="24"/>
  <c r="A130" i="24"/>
  <c r="A129" i="24"/>
  <c r="A128" i="24"/>
  <c r="A127" i="24"/>
  <c r="A126" i="24"/>
  <c r="A125" i="24"/>
  <c r="A124" i="24"/>
  <c r="A123" i="24"/>
  <c r="A122" i="24"/>
  <c r="A121" i="24"/>
  <c r="A120" i="24"/>
  <c r="A119" i="24"/>
  <c r="A118" i="24"/>
  <c r="A117" i="24"/>
  <c r="A116" i="24"/>
  <c r="A115" i="24"/>
  <c r="A114" i="24"/>
  <c r="A113" i="24"/>
  <c r="A112" i="24"/>
  <c r="A111" i="24"/>
  <c r="A110" i="24"/>
  <c r="A109" i="24"/>
  <c r="A108" i="24"/>
  <c r="A107" i="24"/>
  <c r="A106" i="24"/>
  <c r="A105" i="24"/>
  <c r="A104" i="24"/>
  <c r="A103" i="24"/>
  <c r="A102" i="24"/>
  <c r="A101" i="24"/>
  <c r="A100" i="24"/>
  <c r="A99" i="24"/>
  <c r="A98" i="24"/>
  <c r="A97" i="24"/>
  <c r="A96" i="24"/>
  <c r="A95" i="24"/>
  <c r="A94" i="24"/>
  <c r="A93" i="24"/>
  <c r="A92" i="24"/>
  <c r="A91" i="24"/>
  <c r="A90" i="24"/>
  <c r="A89" i="24"/>
  <c r="A88" i="24"/>
  <c r="A87" i="24"/>
  <c r="A86" i="24"/>
  <c r="A85" i="24"/>
  <c r="A84" i="24"/>
  <c r="A83" i="24"/>
  <c r="A82" i="24"/>
  <c r="A81" i="24"/>
  <c r="A80" i="24"/>
  <c r="A79" i="24"/>
  <c r="A78" i="24"/>
  <c r="A77" i="24"/>
  <c r="A76" i="24"/>
  <c r="A75" i="24"/>
  <c r="A74" i="24"/>
  <c r="A73" i="24"/>
  <c r="A72" i="24"/>
  <c r="A71" i="24"/>
  <c r="A70" i="24"/>
  <c r="A69" i="24"/>
  <c r="A68" i="24"/>
  <c r="A67" i="24"/>
  <c r="A66" i="24"/>
  <c r="A65" i="24"/>
  <c r="A64" i="24"/>
  <c r="A63" i="24"/>
  <c r="A62" i="24"/>
  <c r="A61" i="24"/>
  <c r="A60" i="24"/>
  <c r="A59" i="24"/>
  <c r="A58" i="24"/>
  <c r="A57" i="24"/>
  <c r="A56" i="24"/>
  <c r="A55" i="24"/>
  <c r="A54" i="24"/>
  <c r="A53" i="24"/>
  <c r="A52" i="24"/>
  <c r="A51" i="24"/>
  <c r="A50" i="24"/>
  <c r="A49" i="24"/>
  <c r="A48" i="24"/>
  <c r="A47" i="24"/>
  <c r="A46" i="24"/>
  <c r="A45" i="24"/>
  <c r="A44" i="24"/>
  <c r="A43" i="24"/>
  <c r="A42" i="24"/>
  <c r="A41" i="24"/>
  <c r="A40" i="24"/>
  <c r="A39" i="24"/>
  <c r="A38" i="24"/>
  <c r="A37" i="24"/>
  <c r="A36" i="24"/>
  <c r="A35" i="24"/>
  <c r="A34" i="24"/>
  <c r="A33" i="24"/>
  <c r="A32" i="24"/>
  <c r="A31" i="24"/>
  <c r="A30" i="24"/>
  <c r="A29" i="24"/>
  <c r="A28" i="24"/>
  <c r="A27" i="24"/>
  <c r="A26" i="24"/>
  <c r="A25" i="24"/>
  <c r="A24" i="24"/>
  <c r="A23" i="24"/>
  <c r="A22" i="24"/>
  <c r="A21" i="24"/>
  <c r="A20" i="24"/>
  <c r="A19" i="24"/>
  <c r="A18" i="24"/>
  <c r="A17" i="24"/>
  <c r="A16" i="24"/>
  <c r="A15" i="24"/>
  <c r="A14" i="24"/>
  <c r="A13" i="24"/>
  <c r="A12" i="24"/>
  <c r="A11" i="24"/>
  <c r="A10" i="24"/>
  <c r="A9" i="24"/>
  <c r="A8" i="24"/>
  <c r="A7" i="24"/>
  <c r="A6" i="24"/>
  <c r="A1428" i="23"/>
  <c r="A1427" i="23"/>
  <c r="A1426" i="23"/>
  <c r="A1425" i="23"/>
  <c r="A1424" i="23"/>
  <c r="A1423" i="23"/>
  <c r="A1422" i="23"/>
  <c r="A1421" i="23"/>
  <c r="A1420" i="23"/>
  <c r="A1419" i="23"/>
  <c r="A1418" i="23"/>
  <c r="A1417" i="23"/>
  <c r="A1416" i="23"/>
  <c r="A1415" i="23"/>
  <c r="A1414" i="23"/>
  <c r="A1413" i="23"/>
  <c r="A1412" i="23"/>
  <c r="A1411" i="23"/>
  <c r="A1410" i="23"/>
  <c r="A1409" i="23"/>
  <c r="A1408" i="23"/>
  <c r="A1407" i="23"/>
  <c r="A1406" i="23"/>
  <c r="A1405" i="23"/>
  <c r="A1404" i="23"/>
  <c r="A1403" i="23"/>
  <c r="A1402" i="23"/>
  <c r="A1401" i="23"/>
  <c r="A1400" i="23"/>
  <c r="A1399" i="23"/>
  <c r="A1398" i="23"/>
  <c r="A1397" i="23"/>
  <c r="A1396" i="23"/>
  <c r="A1395" i="23"/>
  <c r="A1394" i="23"/>
  <c r="A1393" i="23"/>
  <c r="A1392" i="23"/>
  <c r="A1391" i="23"/>
  <c r="A1390" i="23"/>
  <c r="A1389" i="23"/>
  <c r="A1388" i="23"/>
  <c r="A1387" i="23"/>
  <c r="A1386" i="23"/>
  <c r="A1385" i="23"/>
  <c r="A1384" i="23"/>
  <c r="A1383" i="23"/>
  <c r="A1382" i="23"/>
  <c r="A1381" i="23"/>
  <c r="A1380" i="23"/>
  <c r="A1379" i="23"/>
  <c r="A1378" i="23"/>
  <c r="A1377" i="23"/>
  <c r="A1376" i="23"/>
  <c r="A1375" i="23"/>
  <c r="A1374" i="23"/>
  <c r="A1373" i="23"/>
  <c r="A1372" i="23"/>
  <c r="A1371" i="23"/>
  <c r="A1370" i="23"/>
  <c r="A1369" i="23"/>
  <c r="A1368" i="23"/>
  <c r="A1367" i="23"/>
  <c r="A1366" i="23"/>
  <c r="A1365" i="23"/>
  <c r="A1364" i="23"/>
  <c r="A1363" i="23"/>
  <c r="A1362" i="23"/>
  <c r="A1361" i="23"/>
  <c r="A1360" i="23"/>
  <c r="A1359" i="23"/>
  <c r="A1358" i="23"/>
  <c r="A1357" i="23"/>
  <c r="A1356" i="23"/>
  <c r="A1355" i="23"/>
  <c r="A1354" i="23"/>
  <c r="A1353" i="23"/>
  <c r="A1352" i="23"/>
  <c r="A1351" i="23"/>
  <c r="A1350" i="23"/>
  <c r="A1349" i="23"/>
  <c r="A1348" i="23"/>
  <c r="A1347" i="23"/>
  <c r="A1346" i="23"/>
  <c r="A1345" i="23"/>
  <c r="A1344" i="23"/>
  <c r="A1343" i="23"/>
  <c r="A1342" i="23"/>
  <c r="A1341" i="23"/>
  <c r="A1340" i="23"/>
  <c r="A1339" i="23"/>
  <c r="A1338" i="23"/>
  <c r="A1337" i="23"/>
  <c r="A1336" i="23"/>
  <c r="A1335" i="23"/>
  <c r="A1334" i="23"/>
  <c r="A1333" i="23"/>
  <c r="A1332" i="23"/>
  <c r="A1331" i="23"/>
  <c r="A1330" i="23"/>
  <c r="A1329" i="23"/>
  <c r="A1328" i="23"/>
  <c r="A1327" i="23"/>
  <c r="A1326" i="23"/>
  <c r="A1325" i="23"/>
  <c r="A1324" i="23"/>
  <c r="A1323" i="23"/>
  <c r="A1322" i="23"/>
  <c r="A1321" i="23"/>
  <c r="A1320" i="23"/>
  <c r="A1319" i="23"/>
  <c r="A1318" i="23"/>
  <c r="A1317" i="23"/>
  <c r="A1316" i="23"/>
  <c r="A1315" i="23"/>
  <c r="A1314" i="23"/>
  <c r="A1313" i="23"/>
  <c r="A1312" i="23"/>
  <c r="A1311" i="23"/>
  <c r="A1310" i="23"/>
  <c r="A1309" i="23"/>
  <c r="A1308" i="23"/>
  <c r="A1307" i="23"/>
  <c r="A1306" i="23"/>
  <c r="A1305" i="23"/>
  <c r="A1304" i="23"/>
  <c r="A1303" i="23"/>
  <c r="A1302" i="23"/>
  <c r="A1301" i="23"/>
  <c r="A1300" i="23"/>
  <c r="A1299" i="23"/>
  <c r="A1298" i="23"/>
  <c r="A1297" i="23"/>
  <c r="A1296" i="23"/>
  <c r="A1295" i="23"/>
  <c r="A1294" i="23"/>
  <c r="A1293" i="23"/>
  <c r="A1292" i="23"/>
  <c r="A1291" i="23"/>
  <c r="A1290" i="23"/>
  <c r="A1289" i="23"/>
  <c r="A1288" i="23"/>
  <c r="A1287" i="23"/>
  <c r="A1286" i="23"/>
  <c r="A1285" i="23"/>
  <c r="A1284" i="23"/>
  <c r="A1283" i="23"/>
  <c r="A1282" i="23"/>
  <c r="A1281" i="23"/>
  <c r="A1280" i="23"/>
  <c r="A1279" i="23"/>
  <c r="A1278" i="23"/>
  <c r="A1277" i="23"/>
  <c r="A1276" i="23"/>
  <c r="A1275" i="23"/>
  <c r="A1274" i="23"/>
  <c r="A1273" i="23"/>
  <c r="A1272" i="23"/>
  <c r="A1271" i="23"/>
  <c r="A1270" i="23"/>
  <c r="A1269" i="23"/>
  <c r="A1268" i="23"/>
  <c r="A1267" i="23"/>
  <c r="A1266" i="23"/>
  <c r="A1265" i="23"/>
  <c r="A1264" i="23"/>
  <c r="A1263" i="23"/>
  <c r="A1262" i="23"/>
  <c r="A1261" i="23"/>
  <c r="A1260" i="23"/>
  <c r="A1259" i="23"/>
  <c r="A1258" i="23"/>
  <c r="A1257" i="23"/>
  <c r="A1256" i="23"/>
  <c r="A1255" i="23"/>
  <c r="A1254" i="23"/>
  <c r="A1253" i="23"/>
  <c r="A1252" i="23"/>
  <c r="A1251" i="23"/>
  <c r="A1250" i="23"/>
  <c r="A1249" i="23"/>
  <c r="A1248" i="23"/>
  <c r="A1247" i="23"/>
  <c r="A1246" i="23"/>
  <c r="A1245" i="23"/>
  <c r="A1244" i="23"/>
  <c r="A1243" i="23"/>
  <c r="A1242" i="23"/>
  <c r="A1241" i="23"/>
  <c r="A1240" i="23"/>
  <c r="A1239" i="23"/>
  <c r="A1238" i="23"/>
  <c r="A1237" i="23"/>
  <c r="A1236" i="23"/>
  <c r="A1235" i="23"/>
  <c r="A1234" i="23"/>
  <c r="A1233" i="23"/>
  <c r="A1232" i="23"/>
  <c r="A1231" i="23"/>
  <c r="A1230" i="23"/>
  <c r="A1229" i="23"/>
  <c r="A1228" i="23"/>
  <c r="A1227" i="23"/>
  <c r="A1226" i="23"/>
  <c r="A1225" i="23"/>
  <c r="A1224" i="23"/>
  <c r="A1223" i="23"/>
  <c r="A1222" i="23"/>
  <c r="A1221" i="23"/>
  <c r="A1220" i="23"/>
  <c r="A1219" i="23"/>
  <c r="A1218" i="23"/>
  <c r="A1217" i="23"/>
  <c r="A1216" i="23"/>
  <c r="A1215" i="23"/>
  <c r="A1214" i="23"/>
  <c r="A1213" i="23"/>
  <c r="A1212" i="23"/>
  <c r="A1211" i="23"/>
  <c r="A1210" i="23"/>
  <c r="A1209" i="23"/>
  <c r="A1208" i="23"/>
  <c r="A1207" i="23"/>
  <c r="A1206" i="23"/>
  <c r="A1205" i="23"/>
  <c r="A1204" i="23"/>
  <c r="A1203" i="23"/>
  <c r="A1202" i="23"/>
  <c r="A1201" i="23"/>
  <c r="A1200" i="23"/>
  <c r="A1199" i="23"/>
  <c r="A1198" i="23"/>
  <c r="A1197" i="23"/>
  <c r="A1196" i="23"/>
  <c r="A1195" i="23"/>
  <c r="A1194" i="23"/>
  <c r="A1193" i="23"/>
  <c r="A1192" i="23"/>
  <c r="A1191" i="23"/>
  <c r="A1190" i="23"/>
  <c r="A1189" i="23"/>
  <c r="A1188" i="23"/>
  <c r="A1187" i="23"/>
  <c r="A1186" i="23"/>
  <c r="A1185" i="23"/>
  <c r="A1184" i="23"/>
  <c r="A1183" i="23"/>
  <c r="A1182" i="23"/>
  <c r="A1181" i="23"/>
  <c r="A1180" i="23"/>
  <c r="A1179" i="23"/>
  <c r="A1178" i="23"/>
  <c r="A1177" i="23"/>
  <c r="A1176" i="23"/>
  <c r="A1175" i="23"/>
  <c r="A1174" i="23"/>
  <c r="A1173" i="23"/>
  <c r="A1172" i="23"/>
  <c r="A1171" i="23"/>
  <c r="A1170" i="23"/>
  <c r="A1169" i="23"/>
  <c r="A1168" i="23"/>
  <c r="A1167" i="23"/>
  <c r="A1166" i="23"/>
  <c r="A1165" i="23"/>
  <c r="A1164" i="23"/>
  <c r="A1163" i="23"/>
  <c r="A1162" i="23"/>
  <c r="A1161" i="23"/>
  <c r="A1160" i="23"/>
  <c r="A1159" i="23"/>
  <c r="A1158" i="23"/>
  <c r="A1157" i="23"/>
  <c r="A1156" i="23"/>
  <c r="A1155" i="23"/>
  <c r="A1154" i="23"/>
  <c r="A1153" i="23"/>
  <c r="A1152" i="23"/>
  <c r="A1151" i="23"/>
  <c r="A1150" i="23"/>
  <c r="A1149" i="23"/>
  <c r="A1148" i="23"/>
  <c r="A1147" i="23"/>
  <c r="A1146" i="23"/>
  <c r="A1145" i="23"/>
  <c r="A1144" i="23"/>
  <c r="A1143" i="23"/>
  <c r="A1142" i="23"/>
  <c r="A1141" i="23"/>
  <c r="A1140" i="23"/>
  <c r="A1139" i="23"/>
  <c r="A1138" i="23"/>
  <c r="A1137" i="23"/>
  <c r="A1136" i="23"/>
  <c r="A1135" i="23"/>
  <c r="A1134" i="23"/>
  <c r="A1133" i="23"/>
  <c r="A1132" i="23"/>
  <c r="A1131" i="23"/>
  <c r="A1130" i="23"/>
  <c r="A1129" i="23"/>
  <c r="A1128" i="23"/>
  <c r="A1127" i="23"/>
  <c r="A1126" i="23"/>
  <c r="A1125" i="23"/>
  <c r="A1124" i="23"/>
  <c r="A1123" i="23"/>
  <c r="A1122" i="23"/>
  <c r="A1121" i="23"/>
  <c r="A1120" i="23"/>
  <c r="A1119" i="23"/>
  <c r="A1118" i="23"/>
  <c r="A1117" i="23"/>
  <c r="A1116" i="23"/>
  <c r="A1115" i="23"/>
  <c r="A1114" i="23"/>
  <c r="A1113" i="23"/>
  <c r="A1112" i="23"/>
  <c r="A1111" i="23"/>
  <c r="A1110" i="23"/>
  <c r="A1109" i="23"/>
  <c r="A1108" i="23"/>
  <c r="A1107" i="23"/>
  <c r="A1106" i="23"/>
  <c r="A1105" i="23"/>
  <c r="A1104" i="23"/>
  <c r="A1103" i="23"/>
  <c r="A1102" i="23"/>
  <c r="A1101" i="23"/>
  <c r="A1100" i="23"/>
  <c r="A1099" i="23"/>
  <c r="A1098" i="23"/>
  <c r="A1097" i="23"/>
  <c r="A1096" i="23"/>
  <c r="A1095" i="23"/>
  <c r="A1094" i="23"/>
  <c r="A1093" i="23"/>
  <c r="A1092" i="23"/>
  <c r="A1091" i="23"/>
  <c r="A1090" i="23"/>
  <c r="A1089" i="23"/>
  <c r="A1088" i="23"/>
  <c r="A1087" i="23"/>
  <c r="A1086" i="23"/>
  <c r="A1085" i="23"/>
  <c r="A1084" i="23"/>
  <c r="A1083" i="23"/>
  <c r="A1082" i="23"/>
  <c r="A1081" i="23"/>
  <c r="A1080" i="23"/>
  <c r="A1079" i="23"/>
  <c r="A1078" i="23"/>
  <c r="A1077" i="23"/>
  <c r="A1076" i="23"/>
  <c r="A1075" i="23"/>
  <c r="A1074" i="23"/>
  <c r="A1073" i="23"/>
  <c r="A1072" i="23"/>
  <c r="A1071" i="23"/>
  <c r="A1070" i="23"/>
  <c r="A1069" i="23"/>
  <c r="A1068" i="23"/>
  <c r="A1067" i="23"/>
  <c r="A1066" i="23"/>
  <c r="A1065" i="23"/>
  <c r="A1064" i="23"/>
  <c r="A1063" i="23"/>
  <c r="A1062" i="23"/>
  <c r="A1061" i="23"/>
  <c r="A1060" i="23"/>
  <c r="A1059" i="23"/>
  <c r="A1058" i="23"/>
  <c r="A1057" i="23"/>
  <c r="A1056" i="23"/>
  <c r="A1055" i="23"/>
  <c r="A1054" i="23"/>
  <c r="A1053" i="23"/>
  <c r="A1052" i="23"/>
  <c r="A1051" i="23"/>
  <c r="A1050" i="23"/>
  <c r="A1049" i="23"/>
  <c r="A1048" i="23"/>
  <c r="A1047" i="23"/>
  <c r="A1046" i="23"/>
  <c r="A1045" i="23"/>
  <c r="A1044" i="23"/>
  <c r="A1043" i="23"/>
  <c r="A1042" i="23"/>
  <c r="A1041" i="23"/>
  <c r="A1040" i="23"/>
  <c r="A1039" i="23"/>
  <c r="A1038" i="23"/>
  <c r="A1037" i="23"/>
  <c r="A1036" i="23"/>
  <c r="A1035" i="23"/>
  <c r="A1034" i="23"/>
  <c r="A1033" i="23"/>
  <c r="A1032" i="23"/>
  <c r="A1031" i="23"/>
  <c r="A1030" i="23"/>
  <c r="A1029" i="23"/>
  <c r="A1028" i="23"/>
  <c r="A1027" i="23"/>
  <c r="A1026" i="23"/>
  <c r="A1025" i="23"/>
  <c r="A1024" i="23"/>
  <c r="A1023" i="23"/>
  <c r="A1022" i="23"/>
  <c r="A1021" i="23"/>
  <c r="A1020" i="23"/>
  <c r="A1019" i="23"/>
  <c r="A1018" i="23"/>
  <c r="A1017" i="23"/>
  <c r="A1016" i="23"/>
  <c r="A1015" i="23"/>
  <c r="A1014" i="23"/>
  <c r="A1013" i="23"/>
  <c r="A1012" i="23"/>
  <c r="A1011" i="23"/>
  <c r="A1010" i="23"/>
  <c r="A1009" i="23"/>
  <c r="A1008" i="23"/>
  <c r="A1007" i="23"/>
  <c r="A1006" i="23"/>
  <c r="A1005" i="23"/>
  <c r="A1004" i="23"/>
  <c r="A1003" i="23"/>
  <c r="A1002" i="23"/>
  <c r="A1001" i="23"/>
  <c r="A1000" i="23"/>
  <c r="A999" i="23"/>
  <c r="A998" i="23"/>
  <c r="A997" i="23"/>
  <c r="A996" i="23"/>
  <c r="A995" i="23"/>
  <c r="A994" i="23"/>
  <c r="A993" i="23"/>
  <c r="A992" i="23"/>
  <c r="A991" i="23"/>
  <c r="A990" i="23"/>
  <c r="A989" i="23"/>
  <c r="A988" i="23"/>
  <c r="A987" i="23"/>
  <c r="A986" i="23"/>
  <c r="A985" i="23"/>
  <c r="A984" i="23"/>
  <c r="A983" i="23"/>
  <c r="A982" i="23"/>
  <c r="A981" i="23"/>
  <c r="A980" i="23"/>
  <c r="A979" i="23"/>
  <c r="A978" i="23"/>
  <c r="A977" i="23"/>
  <c r="A976" i="23"/>
  <c r="A975" i="23"/>
  <c r="A974" i="23"/>
  <c r="A973" i="23"/>
  <c r="A972" i="23"/>
  <c r="A971" i="23"/>
  <c r="A970" i="23"/>
  <c r="A969" i="23"/>
  <c r="A968" i="23"/>
  <c r="A967" i="23"/>
  <c r="A966" i="23"/>
  <c r="A965" i="23"/>
  <c r="A964" i="23"/>
  <c r="A963" i="23"/>
  <c r="A962" i="23"/>
  <c r="A961" i="23"/>
  <c r="A960" i="23"/>
  <c r="A959" i="23"/>
  <c r="A958" i="23"/>
  <c r="A957" i="23"/>
  <c r="A956" i="23"/>
  <c r="A955" i="23"/>
  <c r="A954" i="23"/>
  <c r="A953" i="23"/>
  <c r="A952" i="23"/>
  <c r="A951" i="23"/>
  <c r="A950" i="23"/>
  <c r="A949" i="23"/>
  <c r="A948" i="23"/>
  <c r="A947" i="23"/>
  <c r="A946" i="23"/>
  <c r="A945" i="23"/>
  <c r="A944" i="23"/>
  <c r="A943" i="23"/>
  <c r="A942" i="23"/>
  <c r="A941" i="23"/>
  <c r="A940" i="23"/>
  <c r="A939" i="23"/>
  <c r="A938" i="23"/>
  <c r="A937" i="23"/>
  <c r="A936" i="23"/>
  <c r="A935" i="23"/>
  <c r="A934" i="23"/>
  <c r="A933" i="23"/>
  <c r="A932" i="23"/>
  <c r="A931" i="23"/>
  <c r="A930" i="23"/>
  <c r="A929" i="23"/>
  <c r="A928" i="23"/>
  <c r="A927" i="23"/>
  <c r="A926" i="23"/>
  <c r="A925" i="23"/>
  <c r="A924" i="23"/>
  <c r="A923" i="23"/>
  <c r="A922" i="23"/>
  <c r="A921" i="23"/>
  <c r="A920" i="23"/>
  <c r="A919" i="23"/>
  <c r="A918" i="23"/>
  <c r="A917" i="23"/>
  <c r="A916" i="23"/>
  <c r="A915" i="23"/>
  <c r="A914" i="23"/>
  <c r="A913" i="23"/>
  <c r="A912" i="23"/>
  <c r="A911" i="23"/>
  <c r="A910" i="23"/>
  <c r="A909" i="23"/>
  <c r="A908" i="23"/>
  <c r="A907" i="23"/>
  <c r="A906" i="23"/>
  <c r="A905" i="23"/>
  <c r="A904" i="23"/>
  <c r="A903" i="23"/>
  <c r="A902" i="23"/>
  <c r="A901" i="23"/>
  <c r="A900" i="23"/>
  <c r="A899" i="23"/>
  <c r="A898" i="23"/>
  <c r="A897" i="23"/>
  <c r="A896" i="23"/>
  <c r="A895" i="23"/>
  <c r="A894" i="23"/>
  <c r="A893" i="23"/>
  <c r="A892" i="23"/>
  <c r="A891" i="23"/>
  <c r="A890" i="23"/>
  <c r="A889" i="23"/>
  <c r="A888" i="23"/>
  <c r="A887" i="23"/>
  <c r="A886" i="23"/>
  <c r="A885" i="23"/>
  <c r="A884" i="23"/>
  <c r="A883" i="23"/>
  <c r="A882" i="23"/>
  <c r="A881" i="23"/>
  <c r="A880" i="23"/>
  <c r="A879" i="23"/>
  <c r="A878" i="23"/>
  <c r="A877" i="23"/>
  <c r="A876" i="23"/>
  <c r="A875" i="23"/>
  <c r="A874" i="23"/>
  <c r="A873" i="23"/>
  <c r="A872" i="23"/>
  <c r="A871" i="23"/>
  <c r="A870" i="23"/>
  <c r="A869" i="23"/>
  <c r="A868" i="23"/>
  <c r="A867" i="23"/>
  <c r="A866" i="23"/>
  <c r="A865" i="23"/>
  <c r="A864" i="23"/>
  <c r="A863" i="23"/>
  <c r="A862" i="23"/>
  <c r="A861" i="23"/>
  <c r="A860" i="23"/>
  <c r="A859" i="23"/>
  <c r="A858" i="23"/>
  <c r="A857" i="23"/>
  <c r="A856" i="23"/>
  <c r="A855" i="23"/>
  <c r="A854" i="23"/>
  <c r="A853" i="23"/>
  <c r="A852" i="23"/>
  <c r="A851" i="23"/>
  <c r="A850" i="23"/>
  <c r="A849" i="23"/>
  <c r="A848" i="23"/>
  <c r="A847" i="23"/>
  <c r="A846" i="23"/>
  <c r="A845" i="23"/>
  <c r="A844" i="23"/>
  <c r="A843" i="23"/>
  <c r="A842" i="23"/>
  <c r="A841" i="23"/>
  <c r="A840" i="23"/>
  <c r="A839" i="23"/>
  <c r="A838" i="23"/>
  <c r="A837" i="23"/>
  <c r="A836" i="23"/>
  <c r="A835" i="23"/>
  <c r="A834" i="23"/>
  <c r="A833" i="23"/>
  <c r="A832" i="23"/>
  <c r="A831" i="23"/>
  <c r="A830" i="23"/>
  <c r="A829" i="23"/>
  <c r="A828" i="23"/>
  <c r="A827" i="23"/>
  <c r="A826" i="23"/>
  <c r="A825" i="23"/>
  <c r="A824" i="23"/>
  <c r="A823" i="23"/>
  <c r="A822" i="23"/>
  <c r="A821" i="23"/>
  <c r="A820" i="23"/>
  <c r="A819" i="23"/>
  <c r="A818" i="23"/>
  <c r="A817" i="23"/>
  <c r="A816" i="23"/>
  <c r="A815" i="23"/>
  <c r="A814" i="23"/>
  <c r="A813" i="23"/>
  <c r="A812" i="23"/>
  <c r="A811" i="23"/>
  <c r="A810" i="23"/>
  <c r="A809" i="23"/>
  <c r="A808" i="23"/>
  <c r="A807" i="23"/>
  <c r="A806" i="23"/>
  <c r="A805" i="23"/>
  <c r="A804" i="23"/>
  <c r="A803" i="23"/>
  <c r="A802" i="23"/>
  <c r="A801" i="23"/>
  <c r="A800" i="23"/>
  <c r="A799" i="23"/>
  <c r="A798" i="23"/>
  <c r="A797" i="23"/>
  <c r="A796" i="23"/>
  <c r="A795" i="23"/>
  <c r="A794" i="23"/>
  <c r="A793" i="23"/>
  <c r="A792" i="23"/>
  <c r="A791" i="23"/>
  <c r="A790" i="23"/>
  <c r="A789" i="23"/>
  <c r="A788" i="23"/>
  <c r="A787" i="23"/>
  <c r="A786" i="23"/>
  <c r="A785" i="23"/>
  <c r="A784" i="23"/>
  <c r="A783" i="23"/>
  <c r="A782" i="23"/>
  <c r="A781" i="23"/>
  <c r="A780" i="23"/>
  <c r="A779" i="23"/>
  <c r="A778" i="23"/>
  <c r="A777" i="23"/>
  <c r="A776" i="23"/>
  <c r="A775" i="23"/>
  <c r="A774" i="23"/>
  <c r="A773" i="23"/>
  <c r="A772" i="23"/>
  <c r="A771" i="23"/>
  <c r="A770" i="23"/>
  <c r="A769" i="23"/>
  <c r="A768" i="23"/>
  <c r="A767" i="23"/>
  <c r="A766" i="23"/>
  <c r="A765" i="23"/>
  <c r="A764" i="23"/>
  <c r="A763" i="23"/>
  <c r="A762" i="23"/>
  <c r="A761" i="23"/>
  <c r="A760" i="23"/>
  <c r="A759" i="23"/>
  <c r="A758" i="23"/>
  <c r="A757" i="23"/>
  <c r="A756" i="23"/>
  <c r="A755" i="23"/>
  <c r="A754" i="23"/>
  <c r="A753" i="23"/>
  <c r="A752" i="23"/>
  <c r="A751" i="23"/>
  <c r="A750" i="23"/>
  <c r="A749" i="23"/>
  <c r="A748" i="23"/>
  <c r="A747" i="23"/>
  <c r="A746" i="23"/>
  <c r="A745" i="23"/>
  <c r="A744" i="23"/>
  <c r="A743" i="23"/>
  <c r="A742" i="23"/>
  <c r="A741" i="23"/>
  <c r="A740" i="23"/>
  <c r="A739" i="23"/>
  <c r="A738" i="23"/>
  <c r="A737" i="23"/>
  <c r="A736" i="23"/>
  <c r="A735" i="23"/>
  <c r="A734" i="23"/>
  <c r="A733" i="23"/>
  <c r="A732" i="23"/>
  <c r="A731" i="23"/>
  <c r="A730" i="23"/>
  <c r="A729" i="23"/>
  <c r="A728" i="23"/>
  <c r="A727" i="23"/>
  <c r="A726" i="23"/>
  <c r="A725" i="23"/>
  <c r="A724" i="23"/>
  <c r="A723" i="23"/>
  <c r="A722" i="23"/>
  <c r="A721" i="23"/>
  <c r="A720" i="23"/>
  <c r="A719" i="23"/>
  <c r="A718" i="23"/>
  <c r="A717" i="23"/>
  <c r="A716" i="23"/>
  <c r="A715" i="23"/>
  <c r="A714" i="23"/>
  <c r="A713" i="23"/>
  <c r="A712" i="23"/>
  <c r="A711" i="23"/>
  <c r="A710" i="23"/>
  <c r="A709" i="23"/>
  <c r="A708" i="23"/>
  <c r="A707" i="23"/>
  <c r="A706" i="23"/>
  <c r="A705" i="23"/>
  <c r="A704" i="23"/>
  <c r="A703" i="23"/>
  <c r="A702" i="23"/>
  <c r="A701" i="23"/>
  <c r="A700" i="23"/>
  <c r="A699" i="23"/>
  <c r="A698" i="23"/>
  <c r="A697" i="23"/>
  <c r="A696" i="23"/>
  <c r="A695" i="23"/>
  <c r="A694" i="23"/>
  <c r="A693" i="23"/>
  <c r="A692" i="23"/>
  <c r="A691" i="23"/>
  <c r="A690" i="23"/>
  <c r="A689" i="23"/>
  <c r="A688" i="23"/>
  <c r="A687" i="23"/>
  <c r="A686" i="23"/>
  <c r="A685" i="23"/>
  <c r="A684" i="23"/>
  <c r="A683" i="23"/>
  <c r="A682" i="23"/>
  <c r="A681" i="23"/>
  <c r="A680" i="23"/>
  <c r="A679" i="23"/>
  <c r="A678" i="23"/>
  <c r="A677" i="23"/>
  <c r="A676" i="23"/>
  <c r="A675" i="23"/>
  <c r="A674" i="23"/>
  <c r="A673" i="23"/>
  <c r="A672" i="23"/>
  <c r="A671" i="23"/>
  <c r="A670" i="23"/>
  <c r="A669" i="23"/>
  <c r="A668" i="23"/>
  <c r="A667" i="23"/>
  <c r="A666" i="23"/>
  <c r="A665" i="23"/>
  <c r="A664" i="23"/>
  <c r="A663" i="23"/>
  <c r="A662" i="23"/>
  <c r="A661" i="23"/>
  <c r="A660" i="23"/>
  <c r="A659" i="23"/>
  <c r="A658" i="23"/>
  <c r="A657" i="23"/>
  <c r="A656" i="23"/>
  <c r="A655" i="23"/>
  <c r="A654" i="23"/>
  <c r="A653" i="23"/>
  <c r="A652" i="23"/>
  <c r="A651" i="23"/>
  <c r="A650" i="23"/>
  <c r="A649" i="23"/>
  <c r="A648" i="23"/>
  <c r="A647" i="23"/>
  <c r="A646" i="23"/>
  <c r="A645" i="23"/>
  <c r="A644" i="23"/>
  <c r="A643" i="23"/>
  <c r="A642" i="23"/>
  <c r="A641" i="23"/>
  <c r="A640" i="23"/>
  <c r="A639" i="23"/>
  <c r="A638" i="23"/>
  <c r="A637" i="23"/>
  <c r="A636" i="23"/>
  <c r="A635" i="23"/>
  <c r="A634" i="23"/>
  <c r="A633" i="23"/>
  <c r="A632" i="23"/>
  <c r="A631" i="23"/>
  <c r="A630" i="23"/>
  <c r="A629" i="23"/>
  <c r="A628" i="23"/>
  <c r="A627" i="23"/>
  <c r="A626" i="23"/>
  <c r="A625" i="23"/>
  <c r="A624" i="23"/>
  <c r="A623" i="23"/>
  <c r="A622" i="23"/>
  <c r="A621" i="23"/>
  <c r="A620" i="23"/>
  <c r="A619" i="23"/>
  <c r="A618" i="23"/>
  <c r="A617" i="23"/>
  <c r="A616" i="23"/>
  <c r="A615" i="23"/>
  <c r="A614" i="23"/>
  <c r="A613" i="23"/>
  <c r="A612" i="23"/>
  <c r="A611" i="23"/>
  <c r="A610" i="23"/>
  <c r="A609" i="23"/>
  <c r="A608" i="23"/>
  <c r="A607" i="23"/>
  <c r="A606" i="23"/>
  <c r="A605" i="23"/>
  <c r="A604" i="23"/>
  <c r="A603" i="23"/>
  <c r="A602" i="23"/>
  <c r="A601" i="23"/>
  <c r="A600" i="23"/>
  <c r="A599" i="23"/>
  <c r="A598" i="23"/>
  <c r="A597" i="23"/>
  <c r="A596" i="23"/>
  <c r="A595" i="23"/>
  <c r="A594" i="23"/>
  <c r="A593" i="23"/>
  <c r="A592" i="23"/>
  <c r="A591" i="23"/>
  <c r="A590" i="23"/>
  <c r="A589" i="23"/>
  <c r="A588" i="23"/>
  <c r="A587" i="23"/>
  <c r="A586" i="23"/>
  <c r="A585" i="23"/>
  <c r="A584" i="23"/>
  <c r="A583" i="23"/>
  <c r="A582" i="23"/>
  <c r="A581" i="23"/>
  <c r="A580" i="23"/>
  <c r="A579" i="23"/>
  <c r="A578" i="23"/>
  <c r="A577" i="23"/>
  <c r="A576" i="23"/>
  <c r="A575" i="23"/>
  <c r="A574" i="23"/>
  <c r="A573" i="23"/>
  <c r="A572" i="23"/>
  <c r="A571" i="23"/>
  <c r="A570" i="23"/>
  <c r="A569" i="23"/>
  <c r="A568" i="23"/>
  <c r="A567" i="23"/>
  <c r="A566" i="23"/>
  <c r="A565" i="23"/>
  <c r="A564" i="23"/>
  <c r="A563" i="23"/>
  <c r="A562" i="23"/>
  <c r="A561" i="23"/>
  <c r="A560" i="23"/>
  <c r="A559" i="23"/>
  <c r="A558" i="23"/>
  <c r="A557" i="23"/>
  <c r="A556" i="23"/>
  <c r="A555" i="23"/>
  <c r="A554" i="23"/>
  <c r="A553" i="23"/>
  <c r="A552" i="23"/>
  <c r="A551" i="23"/>
  <c r="A550" i="23"/>
  <c r="A549" i="23"/>
  <c r="A548" i="23"/>
  <c r="A547" i="23"/>
  <c r="A546" i="23"/>
  <c r="A545" i="23"/>
  <c r="A544" i="23"/>
  <c r="A543" i="23"/>
  <c r="A542" i="23"/>
  <c r="A541" i="23"/>
  <c r="A540" i="23"/>
  <c r="A539" i="23"/>
  <c r="A538" i="23"/>
  <c r="A537" i="23"/>
  <c r="A536" i="23"/>
  <c r="A535" i="23"/>
  <c r="A534" i="23"/>
  <c r="A533" i="23"/>
  <c r="A532" i="23"/>
  <c r="A531" i="23"/>
  <c r="A530" i="23"/>
  <c r="A529" i="23"/>
  <c r="A528" i="23"/>
  <c r="A527" i="23"/>
  <c r="A526" i="23"/>
  <c r="A525" i="23"/>
  <c r="A524" i="23"/>
  <c r="A523" i="23"/>
  <c r="A522" i="23"/>
  <c r="A521" i="23"/>
  <c r="A520" i="23"/>
  <c r="A519" i="23"/>
  <c r="A518" i="23"/>
  <c r="A517" i="23"/>
  <c r="A516" i="23"/>
  <c r="A515" i="23"/>
  <c r="A514" i="23"/>
  <c r="A513" i="23"/>
  <c r="A512" i="23"/>
  <c r="A511" i="23"/>
  <c r="A510" i="23"/>
  <c r="A509" i="23"/>
  <c r="A508" i="23"/>
  <c r="A507" i="23"/>
  <c r="A506" i="23"/>
  <c r="A505" i="23"/>
  <c r="A504" i="23"/>
  <c r="A503" i="23"/>
  <c r="A502" i="23"/>
  <c r="A501" i="23"/>
  <c r="A500" i="23"/>
  <c r="A499" i="23"/>
  <c r="A498" i="23"/>
  <c r="A497" i="23"/>
  <c r="A496" i="23"/>
  <c r="A495" i="23"/>
  <c r="A494" i="23"/>
  <c r="A493" i="23"/>
  <c r="A492" i="23"/>
  <c r="A491" i="23"/>
  <c r="A490" i="23"/>
  <c r="A489" i="23"/>
  <c r="A488" i="23"/>
  <c r="A487" i="23"/>
  <c r="A486" i="23"/>
  <c r="A485" i="23"/>
  <c r="A484" i="23"/>
  <c r="A483" i="23"/>
  <c r="A482" i="23"/>
  <c r="A481" i="23"/>
  <c r="A480" i="23"/>
  <c r="A479" i="23"/>
  <c r="A478" i="23"/>
  <c r="A477" i="23"/>
  <c r="A476" i="23"/>
  <c r="A475" i="23"/>
  <c r="A474" i="23"/>
  <c r="A473" i="23"/>
  <c r="A472" i="23"/>
  <c r="A471" i="23"/>
  <c r="A470" i="23"/>
  <c r="A469" i="23"/>
  <c r="A468" i="23"/>
  <c r="A467" i="23"/>
  <c r="A466" i="23"/>
  <c r="A465" i="23"/>
  <c r="A464" i="23"/>
  <c r="A463" i="23"/>
  <c r="A462" i="23"/>
  <c r="A461" i="23"/>
  <c r="A460" i="23"/>
  <c r="A459" i="23"/>
  <c r="A458" i="23"/>
  <c r="A457" i="23"/>
  <c r="A456" i="23"/>
  <c r="A455" i="23"/>
  <c r="A454" i="23"/>
  <c r="A453" i="23"/>
  <c r="A452" i="23"/>
  <c r="A451" i="23"/>
  <c r="A450" i="23"/>
  <c r="A449" i="23"/>
  <c r="A448" i="23"/>
  <c r="A447" i="23"/>
  <c r="A446" i="23"/>
  <c r="A445" i="23"/>
  <c r="A444" i="23"/>
  <c r="A443" i="23"/>
  <c r="A442" i="23"/>
  <c r="A441" i="23"/>
  <c r="A440" i="23"/>
  <c r="A439" i="23"/>
  <c r="A438" i="23"/>
  <c r="A437" i="23"/>
  <c r="A436" i="23"/>
  <c r="A435" i="23"/>
  <c r="A434" i="23"/>
  <c r="A433" i="23"/>
  <c r="A432" i="23"/>
  <c r="A431" i="23"/>
  <c r="A430" i="23"/>
  <c r="A429" i="23"/>
  <c r="A428" i="23"/>
  <c r="A427" i="23"/>
  <c r="A426" i="23"/>
  <c r="A425" i="23"/>
  <c r="A424" i="23"/>
  <c r="A423" i="23"/>
  <c r="A422" i="23"/>
  <c r="A421" i="23"/>
  <c r="A420" i="23"/>
  <c r="A419" i="23"/>
  <c r="A418" i="23"/>
  <c r="A417" i="23"/>
  <c r="A416" i="23"/>
  <c r="A415" i="23"/>
  <c r="A414" i="23"/>
  <c r="A413" i="23"/>
  <c r="A412" i="23"/>
  <c r="A411" i="23"/>
  <c r="A410" i="23"/>
  <c r="A409" i="23"/>
  <c r="A408" i="23"/>
  <c r="A407" i="23"/>
  <c r="A406" i="23"/>
  <c r="A405" i="23"/>
  <c r="A404" i="23"/>
  <c r="A403" i="23"/>
  <c r="A402" i="23"/>
  <c r="A401" i="23"/>
  <c r="A400" i="23"/>
  <c r="A399" i="23"/>
  <c r="A398" i="23"/>
  <c r="A397" i="23"/>
  <c r="A396" i="23"/>
  <c r="A395" i="23"/>
  <c r="A394" i="23"/>
  <c r="A393" i="23"/>
  <c r="A392" i="23"/>
  <c r="A391" i="23"/>
  <c r="A390" i="23"/>
  <c r="A389" i="23"/>
  <c r="A388" i="23"/>
  <c r="A387" i="23"/>
  <c r="A386" i="23"/>
  <c r="A385" i="23"/>
  <c r="A384" i="23"/>
  <c r="A383" i="23"/>
  <c r="A382" i="23"/>
  <c r="A381" i="23"/>
  <c r="A380" i="23"/>
  <c r="A379" i="23"/>
  <c r="A378" i="23"/>
  <c r="A377" i="23"/>
  <c r="A376" i="23"/>
  <c r="A375" i="23"/>
  <c r="A374" i="23"/>
  <c r="A373" i="23"/>
  <c r="A372" i="23"/>
  <c r="A371" i="23"/>
  <c r="A370" i="23"/>
  <c r="A369" i="23"/>
  <c r="A368" i="23"/>
  <c r="A367" i="23"/>
  <c r="A366" i="23"/>
  <c r="A365" i="23"/>
  <c r="A364" i="23"/>
  <c r="A363" i="23"/>
  <c r="A362" i="23"/>
  <c r="A361" i="23"/>
  <c r="A360" i="23"/>
  <c r="A359" i="23"/>
  <c r="A358" i="23"/>
  <c r="A357" i="23"/>
  <c r="A356" i="23"/>
  <c r="A355" i="23"/>
  <c r="A354" i="23"/>
  <c r="A353" i="23"/>
  <c r="A352" i="23"/>
  <c r="A351" i="23"/>
  <c r="A350" i="23"/>
  <c r="A349" i="23"/>
  <c r="A348" i="23"/>
  <c r="A347" i="23"/>
  <c r="A346" i="23"/>
  <c r="A345" i="23"/>
  <c r="A344" i="23"/>
  <c r="A343" i="23"/>
  <c r="A342" i="23"/>
  <c r="A341" i="23"/>
  <c r="A340" i="23"/>
  <c r="A339" i="23"/>
  <c r="A338" i="23"/>
  <c r="A337" i="23"/>
  <c r="A336" i="23"/>
  <c r="A335" i="23"/>
  <c r="A334" i="23"/>
  <c r="A333" i="23"/>
  <c r="A332" i="23"/>
  <c r="A331" i="23"/>
  <c r="A330" i="23"/>
  <c r="A329" i="23"/>
  <c r="A328" i="23"/>
  <c r="A327" i="23"/>
  <c r="A326" i="23"/>
  <c r="A325" i="23"/>
  <c r="A324" i="23"/>
  <c r="A323" i="23"/>
  <c r="A322" i="23"/>
  <c r="A321" i="23"/>
  <c r="A320" i="23"/>
  <c r="A319" i="23"/>
  <c r="A318" i="23"/>
  <c r="A317" i="23"/>
  <c r="A316" i="23"/>
  <c r="A315" i="23"/>
  <c r="A314" i="23"/>
  <c r="A313" i="23"/>
  <c r="A312" i="23"/>
  <c r="A311" i="23"/>
  <c r="A310" i="23"/>
  <c r="A309" i="23"/>
  <c r="A308" i="23"/>
  <c r="A307" i="23"/>
  <c r="A306" i="23"/>
  <c r="A305" i="23"/>
  <c r="A304" i="23"/>
  <c r="A303" i="23"/>
  <c r="A302" i="23"/>
  <c r="A301" i="23"/>
  <c r="A300" i="23"/>
  <c r="A299" i="23"/>
  <c r="A298" i="23"/>
  <c r="A297" i="23"/>
  <c r="A296" i="23"/>
  <c r="A295" i="23"/>
  <c r="A294" i="23"/>
  <c r="A293" i="23"/>
  <c r="A292" i="23"/>
  <c r="A291" i="23"/>
  <c r="A290" i="23"/>
  <c r="A289" i="23"/>
  <c r="A288" i="23"/>
  <c r="A287" i="23"/>
  <c r="A286" i="23"/>
  <c r="A285" i="23"/>
  <c r="A284" i="23"/>
  <c r="A283" i="23"/>
  <c r="A282" i="23"/>
  <c r="A281" i="23"/>
  <c r="A280" i="23"/>
  <c r="A279" i="23"/>
  <c r="A278" i="23"/>
  <c r="A277" i="23"/>
  <c r="A276" i="23"/>
  <c r="A275" i="23"/>
  <c r="A274" i="23"/>
  <c r="A273" i="23"/>
  <c r="A272" i="23"/>
  <c r="A271" i="23"/>
  <c r="A270" i="23"/>
  <c r="A269" i="23"/>
  <c r="A268" i="23"/>
  <c r="A267" i="23"/>
  <c r="A266" i="23"/>
  <c r="A265" i="23"/>
  <c r="A264" i="23"/>
  <c r="A263" i="23"/>
  <c r="A262" i="23"/>
  <c r="A261" i="23"/>
  <c r="A260" i="23"/>
  <c r="A259" i="23"/>
  <c r="A258" i="23"/>
  <c r="A257" i="23"/>
  <c r="A256" i="23"/>
  <c r="A255" i="23"/>
  <c r="A254" i="23"/>
  <c r="A253" i="23"/>
  <c r="A252" i="23"/>
  <c r="A251" i="23"/>
  <c r="A250" i="23"/>
  <c r="A249" i="23"/>
  <c r="A248" i="23"/>
  <c r="A247" i="23"/>
  <c r="A246" i="23"/>
  <c r="A245" i="23"/>
  <c r="A244" i="23"/>
  <c r="A243" i="23"/>
  <c r="A242" i="23"/>
  <c r="A241" i="23"/>
  <c r="A240" i="23"/>
  <c r="A239" i="23"/>
  <c r="A238" i="23"/>
  <c r="A237" i="23"/>
  <c r="A236" i="23"/>
  <c r="A235" i="23"/>
  <c r="A234" i="23"/>
  <c r="A233" i="23"/>
  <c r="A232" i="23"/>
  <c r="A231" i="23"/>
  <c r="A230" i="23"/>
  <c r="A229" i="23"/>
  <c r="A228" i="23"/>
  <c r="A227" i="23"/>
  <c r="A226" i="23"/>
  <c r="A225" i="23"/>
  <c r="A224" i="23"/>
  <c r="A223" i="23"/>
  <c r="A222" i="23"/>
  <c r="A221" i="23"/>
  <c r="A220" i="23"/>
  <c r="A219" i="23"/>
  <c r="A218" i="23"/>
  <c r="A217" i="23"/>
  <c r="A216" i="23"/>
  <c r="A215" i="23"/>
  <c r="A214" i="23"/>
  <c r="A213" i="23"/>
  <c r="A212" i="23"/>
  <c r="A211" i="23"/>
  <c r="A210" i="23"/>
  <c r="A209" i="23"/>
  <c r="A208" i="23"/>
  <c r="A207" i="23"/>
  <c r="A206" i="23"/>
  <c r="A205" i="23"/>
  <c r="A204" i="23"/>
  <c r="A203" i="23"/>
  <c r="A202" i="23"/>
  <c r="A201" i="23"/>
  <c r="A200" i="23"/>
  <c r="A199" i="23"/>
  <c r="A198" i="23"/>
  <c r="A197" i="23"/>
  <c r="A196" i="23"/>
  <c r="A195" i="23"/>
  <c r="A194" i="23"/>
  <c r="A193" i="23"/>
  <c r="A192" i="23"/>
  <c r="A191" i="23"/>
  <c r="A190" i="23"/>
  <c r="A189" i="23"/>
  <c r="A188" i="23"/>
  <c r="A187" i="23"/>
  <c r="A186" i="23"/>
  <c r="A185" i="23"/>
  <c r="A184" i="23"/>
  <c r="A183" i="23"/>
  <c r="A182" i="23"/>
  <c r="A181" i="23"/>
  <c r="A180" i="23"/>
  <c r="A179" i="23"/>
  <c r="A178" i="23"/>
  <c r="A177" i="23"/>
  <c r="A176" i="23"/>
  <c r="A175" i="23"/>
  <c r="A174" i="23"/>
  <c r="A173" i="23"/>
  <c r="A172" i="23"/>
  <c r="A171" i="23"/>
  <c r="A170" i="23"/>
  <c r="A169" i="23"/>
  <c r="A168" i="23"/>
  <c r="A167" i="23"/>
  <c r="A166" i="23"/>
  <c r="A165" i="23"/>
  <c r="A164" i="23"/>
  <c r="A163" i="23"/>
  <c r="A162" i="23"/>
  <c r="A161" i="23"/>
  <c r="A160" i="23"/>
  <c r="A159" i="23"/>
  <c r="A158" i="23"/>
  <c r="A157" i="23"/>
  <c r="A156" i="23"/>
  <c r="A155" i="23"/>
  <c r="A154" i="23"/>
  <c r="A153" i="23"/>
  <c r="A152" i="23"/>
  <c r="A151" i="23"/>
  <c r="A150" i="23"/>
  <c r="A149" i="23"/>
  <c r="A148" i="23"/>
  <c r="A147" i="23"/>
  <c r="A146" i="23"/>
  <c r="A145" i="23"/>
  <c r="A144" i="23"/>
  <c r="A143" i="23"/>
  <c r="A142" i="23"/>
  <c r="A141" i="23"/>
  <c r="A140" i="23"/>
  <c r="A139" i="23"/>
  <c r="A138" i="23"/>
  <c r="A137" i="23"/>
  <c r="A136" i="23"/>
  <c r="A135" i="23"/>
  <c r="A134" i="23"/>
  <c r="A133" i="23"/>
  <c r="A132" i="23"/>
  <c r="A131" i="23"/>
  <c r="A130" i="23"/>
  <c r="A129" i="23"/>
  <c r="A128" i="23"/>
  <c r="A127" i="23"/>
  <c r="A126" i="23"/>
  <c r="A125" i="23"/>
  <c r="A124" i="23"/>
  <c r="A123" i="23"/>
  <c r="A122" i="23"/>
  <c r="A121" i="23"/>
  <c r="A120" i="23"/>
  <c r="A119" i="23"/>
  <c r="A118" i="23"/>
  <c r="A117" i="23"/>
  <c r="A116" i="23"/>
  <c r="A115" i="23"/>
  <c r="A114" i="23"/>
  <c r="A113" i="23"/>
  <c r="A112" i="23"/>
  <c r="A111" i="23"/>
  <c r="A110" i="23"/>
  <c r="A109" i="23"/>
  <c r="A108" i="23"/>
  <c r="A107" i="23"/>
  <c r="A106" i="23"/>
  <c r="A105" i="23"/>
  <c r="A104" i="23"/>
  <c r="A103" i="23"/>
  <c r="A102" i="23"/>
  <c r="A101" i="23"/>
  <c r="A100" i="23"/>
  <c r="A99" i="23"/>
  <c r="A98" i="23"/>
  <c r="A97" i="23"/>
  <c r="A96" i="23"/>
  <c r="A95" i="23"/>
  <c r="A94" i="23"/>
  <c r="A93" i="23"/>
  <c r="A92" i="23"/>
  <c r="A91" i="23"/>
  <c r="A90" i="23"/>
  <c r="A89" i="23"/>
  <c r="A88" i="23"/>
  <c r="A87" i="23"/>
  <c r="A86" i="23"/>
  <c r="A85" i="23"/>
  <c r="A84" i="23"/>
  <c r="A83" i="23"/>
  <c r="A82" i="23"/>
  <c r="A81" i="23"/>
  <c r="A80" i="23"/>
  <c r="A79" i="23"/>
  <c r="A78" i="23"/>
  <c r="A77" i="23"/>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E30" i="36"/>
  <c r="E27" i="36"/>
  <c r="E26" i="36"/>
  <c r="E25" i="36"/>
  <c r="E24" i="36"/>
  <c r="E23" i="36"/>
  <c r="E22" i="36"/>
  <c r="E21" i="36"/>
  <c r="A21" i="36"/>
  <c r="E20" i="36"/>
  <c r="A20" i="36"/>
  <c r="E19" i="36"/>
  <c r="E18" i="36"/>
  <c r="E17" i="36"/>
  <c r="E16" i="36"/>
  <c r="E15" i="36"/>
  <c r="E14" i="36"/>
  <c r="E13" i="36"/>
  <c r="E12" i="36"/>
  <c r="E11" i="36"/>
  <c r="E10" i="36"/>
  <c r="E9" i="36"/>
  <c r="E8" i="36"/>
  <c r="E7" i="36"/>
  <c r="E6" i="36"/>
  <c r="AO20" i="7"/>
  <c r="AO19" i="7"/>
  <c r="AO18" i="7"/>
  <c r="BF17" i="7"/>
  <c r="AO17" i="7"/>
  <c r="BF16" i="7"/>
  <c r="AO16" i="7"/>
  <c r="BF15" i="7"/>
  <c r="AO15" i="7"/>
  <c r="BK14" i="7"/>
  <c r="BH14" i="7"/>
  <c r="BF14" i="7"/>
  <c r="AO14" i="7"/>
  <c r="BK13" i="7"/>
  <c r="BH13" i="7"/>
  <c r="BF13" i="7"/>
  <c r="AO13" i="7"/>
  <c r="BK12" i="7"/>
  <c r="BH12" i="7"/>
  <c r="BF12" i="7"/>
  <c r="AO12" i="7"/>
  <c r="BK11" i="7"/>
  <c r="BH11" i="7"/>
  <c r="BF11" i="7"/>
  <c r="AO11" i="7"/>
  <c r="BK10" i="7"/>
  <c r="BH10" i="7"/>
  <c r="BF10" i="7"/>
  <c r="AO10" i="7"/>
  <c r="BK9" i="7"/>
  <c r="BH9" i="7"/>
  <c r="BF9" i="7"/>
  <c r="AO9" i="7"/>
  <c r="BK8" i="7"/>
  <c r="BH8" i="7"/>
  <c r="BF8" i="7"/>
  <c r="AO8" i="7"/>
  <c r="BK7" i="7"/>
  <c r="BH7" i="7"/>
  <c r="BF7" i="7"/>
  <c r="AO7" i="7"/>
  <c r="BK6" i="7"/>
  <c r="BH6" i="7"/>
  <c r="BF6" i="7"/>
  <c r="AO6" i="7"/>
  <c r="BK5" i="7"/>
  <c r="BH5" i="7"/>
  <c r="BF5" i="7"/>
  <c r="AN3" i="26" s="1"/>
  <c r="AO5" i="7"/>
  <c r="BK4" i="7"/>
  <c r="BH4" i="7"/>
  <c r="BZ2" i="16" s="1"/>
  <c r="BF4" i="7"/>
  <c r="AO4" i="7"/>
  <c r="BK3" i="7"/>
  <c r="BH3" i="7"/>
  <c r="BF3" i="7"/>
  <c r="AO3" i="7"/>
  <c r="BK2" i="7"/>
  <c r="BH2" i="7"/>
  <c r="I73" i="30"/>
  <c r="U73" i="30" s="1"/>
  <c r="H73" i="30"/>
  <c r="G73" i="30"/>
  <c r="T73" i="30" s="1"/>
  <c r="F73" i="30"/>
  <c r="D73" i="30"/>
  <c r="C73" i="30"/>
  <c r="AE73" i="30" s="1"/>
  <c r="B73" i="30"/>
  <c r="A73" i="30"/>
  <c r="I72" i="30"/>
  <c r="U72" i="30" s="1"/>
  <c r="H72" i="30"/>
  <c r="G72" i="30"/>
  <c r="T72" i="30" s="1"/>
  <c r="F72" i="30"/>
  <c r="D72" i="30"/>
  <c r="C72" i="30"/>
  <c r="AE72" i="30" s="1"/>
  <c r="B72" i="30"/>
  <c r="A72" i="30"/>
  <c r="I71" i="30"/>
  <c r="U71" i="30" s="1"/>
  <c r="H71" i="30"/>
  <c r="G71" i="30"/>
  <c r="F71" i="30"/>
  <c r="D71" i="30"/>
  <c r="C71" i="30"/>
  <c r="AJ71" i="30" s="1"/>
  <c r="B71" i="30"/>
  <c r="A71" i="30"/>
  <c r="I70" i="30"/>
  <c r="U70" i="30" s="1"/>
  <c r="H70" i="30"/>
  <c r="G70" i="30"/>
  <c r="T70" i="30" s="1"/>
  <c r="F70" i="30"/>
  <c r="D70" i="30"/>
  <c r="C70" i="30"/>
  <c r="B70" i="30"/>
  <c r="A70" i="30"/>
  <c r="I69" i="30"/>
  <c r="U69" i="30" s="1"/>
  <c r="H69" i="30"/>
  <c r="G69" i="30"/>
  <c r="T69" i="30" s="1"/>
  <c r="F69" i="30"/>
  <c r="D69" i="30"/>
  <c r="C69" i="30"/>
  <c r="B69" i="30"/>
  <c r="A69" i="30"/>
  <c r="I68" i="30"/>
  <c r="U68" i="30" s="1"/>
  <c r="H68" i="30"/>
  <c r="G68" i="30"/>
  <c r="F68" i="30"/>
  <c r="D68" i="30"/>
  <c r="C68" i="30"/>
  <c r="B68" i="30"/>
  <c r="A68" i="30"/>
  <c r="I67" i="30"/>
  <c r="U67" i="30" s="1"/>
  <c r="H67" i="30"/>
  <c r="G67" i="30"/>
  <c r="T67" i="30" s="1"/>
  <c r="F67" i="30"/>
  <c r="D67" i="30"/>
  <c r="C67" i="30"/>
  <c r="AJ67" i="30" s="1"/>
  <c r="B67" i="30"/>
  <c r="A67" i="30"/>
  <c r="I66" i="30"/>
  <c r="U66" i="30" s="1"/>
  <c r="H66" i="30"/>
  <c r="G66" i="30"/>
  <c r="T66" i="30" s="1"/>
  <c r="F66" i="30"/>
  <c r="D66" i="30"/>
  <c r="C66" i="30"/>
  <c r="B66" i="30"/>
  <c r="A66" i="30"/>
  <c r="I65" i="30"/>
  <c r="U65" i="30" s="1"/>
  <c r="H65" i="30"/>
  <c r="G65" i="30"/>
  <c r="F65" i="30"/>
  <c r="D65" i="30"/>
  <c r="C65" i="30"/>
  <c r="AJ65" i="30" s="1"/>
  <c r="B65" i="30"/>
  <c r="A65" i="30"/>
  <c r="I64" i="30"/>
  <c r="U64" i="30" s="1"/>
  <c r="H64" i="30"/>
  <c r="G64" i="30"/>
  <c r="T64" i="30" s="1"/>
  <c r="F64" i="30"/>
  <c r="D64" i="30"/>
  <c r="C64" i="30"/>
  <c r="AJ64" i="30" s="1"/>
  <c r="B64" i="30"/>
  <c r="A64" i="30"/>
  <c r="I63" i="30"/>
  <c r="U63" i="30" s="1"/>
  <c r="H63" i="30"/>
  <c r="G63" i="30"/>
  <c r="T63" i="30" s="1"/>
  <c r="F63" i="30"/>
  <c r="D63" i="30"/>
  <c r="C63" i="30"/>
  <c r="B63" i="30"/>
  <c r="A63" i="30"/>
  <c r="I62" i="30"/>
  <c r="U62" i="30" s="1"/>
  <c r="H62" i="30"/>
  <c r="G62" i="30"/>
  <c r="F62" i="30"/>
  <c r="D62" i="30"/>
  <c r="C62" i="30"/>
  <c r="B62" i="30"/>
  <c r="A62" i="30"/>
  <c r="I61" i="30"/>
  <c r="U61" i="30" s="1"/>
  <c r="H61" i="30"/>
  <c r="G61" i="30"/>
  <c r="T61" i="30" s="1"/>
  <c r="F61" i="30"/>
  <c r="D61" i="30"/>
  <c r="C61" i="30"/>
  <c r="B61" i="30"/>
  <c r="A61" i="30"/>
  <c r="I60" i="30"/>
  <c r="U60" i="30" s="1"/>
  <c r="H60" i="30"/>
  <c r="G60" i="30"/>
  <c r="T60" i="30" s="1"/>
  <c r="F60" i="30"/>
  <c r="D60" i="30"/>
  <c r="C60" i="30"/>
  <c r="B60" i="30"/>
  <c r="A60" i="30"/>
  <c r="I59" i="30"/>
  <c r="U59" i="30" s="1"/>
  <c r="H59" i="30"/>
  <c r="G59" i="30"/>
  <c r="F59" i="30"/>
  <c r="D59" i="30"/>
  <c r="C59" i="30"/>
  <c r="B59" i="30"/>
  <c r="A59" i="30"/>
  <c r="I58" i="30"/>
  <c r="U58" i="30" s="1"/>
  <c r="H58" i="30"/>
  <c r="G58" i="30"/>
  <c r="T58" i="30" s="1"/>
  <c r="F58" i="30"/>
  <c r="D58" i="30"/>
  <c r="C58" i="30"/>
  <c r="B58" i="30"/>
  <c r="A58" i="30"/>
  <c r="I57" i="30"/>
  <c r="U57" i="30" s="1"/>
  <c r="H57" i="30"/>
  <c r="G57" i="30"/>
  <c r="T57" i="30" s="1"/>
  <c r="F57" i="30"/>
  <c r="D57" i="30"/>
  <c r="C57" i="30"/>
  <c r="B57" i="30"/>
  <c r="A57" i="30"/>
  <c r="I56" i="30"/>
  <c r="U56" i="30" s="1"/>
  <c r="H56" i="30"/>
  <c r="G56" i="30"/>
  <c r="F56" i="30"/>
  <c r="D56" i="30"/>
  <c r="C56" i="30"/>
  <c r="B56" i="30"/>
  <c r="A56" i="30"/>
  <c r="I55" i="30"/>
  <c r="U55" i="30" s="1"/>
  <c r="H55" i="30"/>
  <c r="G55" i="30"/>
  <c r="T55" i="30" s="1"/>
  <c r="F55" i="30"/>
  <c r="D55" i="30"/>
  <c r="C55" i="30"/>
  <c r="B55" i="30"/>
  <c r="A55" i="30"/>
  <c r="I54" i="30"/>
  <c r="U54" i="30" s="1"/>
  <c r="H54" i="30"/>
  <c r="G54" i="30"/>
  <c r="T54" i="30" s="1"/>
  <c r="F54" i="30"/>
  <c r="D54" i="30"/>
  <c r="C54" i="30"/>
  <c r="B54" i="30"/>
  <c r="A54" i="30"/>
  <c r="I53" i="30"/>
  <c r="U53" i="30" s="1"/>
  <c r="H53" i="30"/>
  <c r="G53" i="30"/>
  <c r="F53" i="30"/>
  <c r="D53" i="30"/>
  <c r="C53" i="30"/>
  <c r="AJ53" i="30" s="1"/>
  <c r="B53" i="30"/>
  <c r="A53" i="30"/>
  <c r="I52" i="30"/>
  <c r="U52" i="30" s="1"/>
  <c r="H52" i="30"/>
  <c r="G52" i="30"/>
  <c r="T52" i="30" s="1"/>
  <c r="F52" i="30"/>
  <c r="D52" i="30"/>
  <c r="C52" i="30"/>
  <c r="B52" i="30"/>
  <c r="A52" i="30"/>
  <c r="I51" i="30"/>
  <c r="U51" i="30" s="1"/>
  <c r="H51" i="30"/>
  <c r="G51" i="30"/>
  <c r="T51" i="30" s="1"/>
  <c r="F51" i="30"/>
  <c r="D51" i="30"/>
  <c r="C51" i="30"/>
  <c r="B51" i="30"/>
  <c r="A51" i="30"/>
  <c r="I50" i="30"/>
  <c r="U50" i="30" s="1"/>
  <c r="H50" i="30"/>
  <c r="G50" i="30"/>
  <c r="T50" i="30" s="1"/>
  <c r="F50" i="30"/>
  <c r="D50" i="30"/>
  <c r="C50" i="30"/>
  <c r="B50" i="30"/>
  <c r="A50" i="30"/>
  <c r="I49" i="30"/>
  <c r="U49" i="30" s="1"/>
  <c r="H49" i="30"/>
  <c r="G49" i="30"/>
  <c r="T49" i="30" s="1"/>
  <c r="F49" i="30"/>
  <c r="D49" i="30"/>
  <c r="C49" i="30"/>
  <c r="B49" i="30"/>
  <c r="A49" i="30"/>
  <c r="I48" i="30"/>
  <c r="U48" i="30" s="1"/>
  <c r="H48" i="30"/>
  <c r="G48" i="30"/>
  <c r="T48" i="30" s="1"/>
  <c r="F48" i="30"/>
  <c r="D48" i="30"/>
  <c r="C48" i="30"/>
  <c r="B48" i="30"/>
  <c r="A48" i="30"/>
  <c r="I47" i="30"/>
  <c r="U47" i="30" s="1"/>
  <c r="H47" i="30"/>
  <c r="G47" i="30"/>
  <c r="T47" i="30" s="1"/>
  <c r="F47" i="30"/>
  <c r="D47" i="30"/>
  <c r="C47" i="30"/>
  <c r="AJ47" i="30" s="1"/>
  <c r="B47" i="30"/>
  <c r="A47" i="30"/>
  <c r="I46" i="30"/>
  <c r="U46" i="30" s="1"/>
  <c r="H46" i="30"/>
  <c r="G46" i="30"/>
  <c r="T46" i="30" s="1"/>
  <c r="F46" i="30"/>
  <c r="D46" i="30"/>
  <c r="C46" i="30"/>
  <c r="AE46" i="30" s="1"/>
  <c r="B46" i="30"/>
  <c r="A46" i="30"/>
  <c r="I45" i="30"/>
  <c r="U45" i="30" s="1"/>
  <c r="H45" i="30"/>
  <c r="G45" i="30"/>
  <c r="T45" i="30" s="1"/>
  <c r="F45" i="30"/>
  <c r="D45" i="30"/>
  <c r="C45" i="30"/>
  <c r="B45" i="30"/>
  <c r="A45" i="30"/>
  <c r="I44" i="30"/>
  <c r="U44" i="30" s="1"/>
  <c r="H44" i="30"/>
  <c r="G44" i="30"/>
  <c r="T44" i="30" s="1"/>
  <c r="F44" i="30"/>
  <c r="D44" i="30"/>
  <c r="C44" i="30"/>
  <c r="AJ44" i="30" s="1"/>
  <c r="B44" i="30"/>
  <c r="A44" i="30"/>
  <c r="I43" i="30"/>
  <c r="U43" i="30" s="1"/>
  <c r="H43" i="30"/>
  <c r="G43" i="30"/>
  <c r="T43" i="30" s="1"/>
  <c r="F43" i="30"/>
  <c r="D43" i="30"/>
  <c r="C43" i="30"/>
  <c r="AE43" i="30" s="1"/>
  <c r="AI43" i="30" s="1"/>
  <c r="B43" i="30"/>
  <c r="A43" i="30"/>
  <c r="I42" i="30"/>
  <c r="U42" i="30" s="1"/>
  <c r="H42" i="30"/>
  <c r="G42" i="30"/>
  <c r="T42" i="30" s="1"/>
  <c r="F42" i="30"/>
  <c r="D42" i="30"/>
  <c r="C42" i="30"/>
  <c r="B42" i="30"/>
  <c r="A42" i="30"/>
  <c r="I41" i="30"/>
  <c r="U41" i="30" s="1"/>
  <c r="H41" i="30"/>
  <c r="G41" i="30"/>
  <c r="T41" i="30" s="1"/>
  <c r="F41" i="30"/>
  <c r="D41" i="30"/>
  <c r="C41" i="30"/>
  <c r="B41" i="30"/>
  <c r="A41" i="30"/>
  <c r="I40" i="30"/>
  <c r="U40" i="30" s="1"/>
  <c r="H40" i="30"/>
  <c r="G40" i="30"/>
  <c r="T40" i="30" s="1"/>
  <c r="F40" i="30"/>
  <c r="D40" i="30"/>
  <c r="C40" i="30"/>
  <c r="AE40" i="30" s="1"/>
  <c r="AI40" i="30" s="1"/>
  <c r="B40" i="30"/>
  <c r="A40" i="30"/>
  <c r="I39" i="30"/>
  <c r="U39" i="30" s="1"/>
  <c r="H39" i="30"/>
  <c r="G39" i="30"/>
  <c r="T39" i="30" s="1"/>
  <c r="F39" i="30"/>
  <c r="D39" i="30"/>
  <c r="C39" i="30"/>
  <c r="B39" i="30"/>
  <c r="A39" i="30"/>
  <c r="I38" i="30"/>
  <c r="U38" i="30" s="1"/>
  <c r="H38" i="30"/>
  <c r="G38" i="30"/>
  <c r="T38" i="30" s="1"/>
  <c r="F38" i="30"/>
  <c r="D38" i="30"/>
  <c r="C38" i="30"/>
  <c r="B38" i="30"/>
  <c r="A38" i="30"/>
  <c r="I37" i="30"/>
  <c r="U37" i="30" s="1"/>
  <c r="H37" i="30"/>
  <c r="G37" i="30"/>
  <c r="T37" i="30" s="1"/>
  <c r="F37" i="30"/>
  <c r="D37" i="30"/>
  <c r="C37" i="30"/>
  <c r="B37" i="30"/>
  <c r="A37" i="30"/>
  <c r="I36" i="30"/>
  <c r="U36" i="30" s="1"/>
  <c r="H36" i="30"/>
  <c r="G36" i="30"/>
  <c r="T36" i="30" s="1"/>
  <c r="F36" i="30"/>
  <c r="D36" i="30"/>
  <c r="C36" i="30"/>
  <c r="B36" i="30"/>
  <c r="A36" i="30"/>
  <c r="I35" i="30"/>
  <c r="U35" i="30" s="1"/>
  <c r="H35" i="30"/>
  <c r="G35" i="30"/>
  <c r="T35" i="30" s="1"/>
  <c r="F35" i="30"/>
  <c r="D35" i="30"/>
  <c r="C35" i="30"/>
  <c r="B35" i="30"/>
  <c r="A35" i="30"/>
  <c r="I34" i="30"/>
  <c r="U34" i="30" s="1"/>
  <c r="H34" i="30"/>
  <c r="G34" i="30"/>
  <c r="T34" i="30" s="1"/>
  <c r="F34" i="30"/>
  <c r="D34" i="30"/>
  <c r="C34" i="30"/>
  <c r="B34" i="30"/>
  <c r="A34" i="30"/>
  <c r="I33" i="30"/>
  <c r="U33" i="30" s="1"/>
  <c r="H33" i="30"/>
  <c r="G33" i="30"/>
  <c r="T33" i="30" s="1"/>
  <c r="F33" i="30"/>
  <c r="D33" i="30"/>
  <c r="C33" i="30"/>
  <c r="B33" i="30"/>
  <c r="A33" i="30"/>
  <c r="I32" i="30"/>
  <c r="U32" i="30" s="1"/>
  <c r="H32" i="30"/>
  <c r="G32" i="30"/>
  <c r="T32" i="30" s="1"/>
  <c r="F32" i="30"/>
  <c r="D32" i="30"/>
  <c r="C32" i="30"/>
  <c r="AJ32" i="30" s="1"/>
  <c r="B32" i="30"/>
  <c r="A32" i="30"/>
  <c r="I31" i="30"/>
  <c r="U31" i="30" s="1"/>
  <c r="H31" i="30"/>
  <c r="G31" i="30"/>
  <c r="T31" i="30" s="1"/>
  <c r="F31" i="30"/>
  <c r="D31" i="30"/>
  <c r="C31" i="30"/>
  <c r="B31" i="30"/>
  <c r="A31" i="30"/>
  <c r="I30" i="30"/>
  <c r="U30" i="30" s="1"/>
  <c r="H30" i="30"/>
  <c r="G30" i="30"/>
  <c r="T30" i="30" s="1"/>
  <c r="F30" i="30"/>
  <c r="D30" i="30"/>
  <c r="C30" i="30"/>
  <c r="B30" i="30"/>
  <c r="A30" i="30"/>
  <c r="I29" i="30"/>
  <c r="U29" i="30" s="1"/>
  <c r="H29" i="30"/>
  <c r="G29" i="30"/>
  <c r="T29" i="30" s="1"/>
  <c r="F29" i="30"/>
  <c r="D29" i="30"/>
  <c r="C29" i="30"/>
  <c r="B29" i="30"/>
  <c r="A29" i="30"/>
  <c r="I28" i="30"/>
  <c r="U28" i="30" s="1"/>
  <c r="H28" i="30"/>
  <c r="G28" i="30"/>
  <c r="T28" i="30" s="1"/>
  <c r="F28" i="30"/>
  <c r="D28" i="30"/>
  <c r="C28" i="30"/>
  <c r="B28" i="30"/>
  <c r="A28" i="30"/>
  <c r="I27" i="30"/>
  <c r="U27" i="30" s="1"/>
  <c r="H27" i="30"/>
  <c r="G27" i="30"/>
  <c r="T27" i="30" s="1"/>
  <c r="F27" i="30"/>
  <c r="D27" i="30"/>
  <c r="C27" i="30"/>
  <c r="B27" i="30"/>
  <c r="A27" i="30"/>
  <c r="I26" i="30"/>
  <c r="U26" i="30" s="1"/>
  <c r="H26" i="30"/>
  <c r="G26" i="30"/>
  <c r="F26" i="30"/>
  <c r="D26" i="30"/>
  <c r="C26" i="30"/>
  <c r="AJ26" i="30" s="1"/>
  <c r="B26" i="30"/>
  <c r="A26" i="30"/>
  <c r="I25" i="30"/>
  <c r="U25" i="30" s="1"/>
  <c r="H25" i="30"/>
  <c r="G25" i="30"/>
  <c r="T25" i="30" s="1"/>
  <c r="F25" i="30"/>
  <c r="D25" i="30"/>
  <c r="C25" i="30"/>
  <c r="AE25" i="30" s="1"/>
  <c r="B25" i="30"/>
  <c r="A25" i="30"/>
  <c r="I24" i="30"/>
  <c r="U24" i="30" s="1"/>
  <c r="H24" i="30"/>
  <c r="G24" i="30"/>
  <c r="T24" i="30" s="1"/>
  <c r="F24" i="30"/>
  <c r="D24" i="30"/>
  <c r="C24" i="30"/>
  <c r="B24" i="30"/>
  <c r="A24" i="30"/>
  <c r="I23" i="30"/>
  <c r="U23" i="30" s="1"/>
  <c r="H23" i="30"/>
  <c r="G23" i="30"/>
  <c r="T23" i="30" s="1"/>
  <c r="F23" i="30"/>
  <c r="D23" i="30"/>
  <c r="C23" i="30"/>
  <c r="B23" i="30"/>
  <c r="A23" i="30"/>
  <c r="I22" i="30"/>
  <c r="U22" i="30" s="1"/>
  <c r="H22" i="30"/>
  <c r="G22" i="30"/>
  <c r="T22" i="30" s="1"/>
  <c r="F22" i="30"/>
  <c r="D22" i="30"/>
  <c r="C22" i="30"/>
  <c r="B22" i="30"/>
  <c r="A22" i="30"/>
  <c r="I21" i="30"/>
  <c r="U21" i="30" s="1"/>
  <c r="H21" i="30"/>
  <c r="G21" i="30"/>
  <c r="T21" i="30" s="1"/>
  <c r="F21" i="30"/>
  <c r="D21" i="30"/>
  <c r="C21" i="30"/>
  <c r="AJ21" i="30" s="1"/>
  <c r="AK21" i="30" s="1"/>
  <c r="B21" i="30"/>
  <c r="A21" i="30"/>
  <c r="I20" i="30"/>
  <c r="U20" i="30" s="1"/>
  <c r="H20" i="30"/>
  <c r="G20" i="30"/>
  <c r="T20" i="30" s="1"/>
  <c r="F20" i="30"/>
  <c r="D20" i="30"/>
  <c r="C20" i="30"/>
  <c r="AJ20" i="30" s="1"/>
  <c r="AK20" i="30" s="1"/>
  <c r="B20" i="30"/>
  <c r="A20" i="30"/>
  <c r="I19" i="30"/>
  <c r="U19" i="30" s="1"/>
  <c r="H19" i="30"/>
  <c r="G19" i="30"/>
  <c r="F19" i="30"/>
  <c r="D19" i="30"/>
  <c r="C19" i="30"/>
  <c r="AJ19" i="30" s="1"/>
  <c r="AM19" i="30" s="1"/>
  <c r="B19" i="30"/>
  <c r="A19" i="30"/>
  <c r="I18" i="30"/>
  <c r="U18" i="30" s="1"/>
  <c r="H18" i="30"/>
  <c r="G18" i="30"/>
  <c r="F18" i="30"/>
  <c r="D18" i="30"/>
  <c r="C18" i="30"/>
  <c r="B18" i="30"/>
  <c r="A18" i="30"/>
  <c r="I17" i="30"/>
  <c r="U17" i="30" s="1"/>
  <c r="H17" i="30"/>
  <c r="G17" i="30"/>
  <c r="T17" i="30" s="1"/>
  <c r="F17" i="30"/>
  <c r="D17" i="30"/>
  <c r="C17" i="30"/>
  <c r="B17" i="30"/>
  <c r="A17" i="30"/>
  <c r="I16" i="30"/>
  <c r="U16" i="30" s="1"/>
  <c r="H16" i="30"/>
  <c r="G16" i="30"/>
  <c r="F16" i="30"/>
  <c r="D16" i="30"/>
  <c r="C16" i="30"/>
  <c r="B16" i="30"/>
  <c r="A16" i="30"/>
  <c r="I15" i="30"/>
  <c r="U15" i="30" s="1"/>
  <c r="H15" i="30"/>
  <c r="G15" i="30"/>
  <c r="T15" i="30" s="1"/>
  <c r="F15" i="30"/>
  <c r="D15" i="30"/>
  <c r="C15" i="30"/>
  <c r="B15" i="30"/>
  <c r="A15" i="30"/>
  <c r="I14" i="30"/>
  <c r="U14" i="30" s="1"/>
  <c r="H14" i="30"/>
  <c r="G14" i="30"/>
  <c r="T14" i="30" s="1"/>
  <c r="F14" i="30"/>
  <c r="D14" i="30"/>
  <c r="C14" i="30"/>
  <c r="B14" i="30"/>
  <c r="A14" i="30"/>
  <c r="I13" i="30"/>
  <c r="U13" i="30" s="1"/>
  <c r="H13" i="30"/>
  <c r="G13" i="30"/>
  <c r="T13" i="30" s="1"/>
  <c r="F13" i="30"/>
  <c r="D13" i="30"/>
  <c r="C13" i="30"/>
  <c r="B13" i="30"/>
  <c r="A13" i="30"/>
  <c r="I12" i="30"/>
  <c r="U12" i="30" s="1"/>
  <c r="H12" i="30"/>
  <c r="G12" i="30"/>
  <c r="T12" i="30" s="1"/>
  <c r="F12" i="30"/>
  <c r="D12" i="30"/>
  <c r="C12" i="30"/>
  <c r="B12" i="30"/>
  <c r="A12" i="30"/>
  <c r="I11" i="30"/>
  <c r="U11" i="30" s="1"/>
  <c r="H11" i="30"/>
  <c r="G11" i="30"/>
  <c r="T11" i="30" s="1"/>
  <c r="F11" i="30"/>
  <c r="D11" i="30"/>
  <c r="C11" i="30"/>
  <c r="B11" i="30"/>
  <c r="A11" i="30"/>
  <c r="I10" i="30"/>
  <c r="U10" i="30" s="1"/>
  <c r="H10" i="30"/>
  <c r="G10" i="30"/>
  <c r="T10" i="30" s="1"/>
  <c r="F10" i="30"/>
  <c r="D10" i="30"/>
  <c r="C10" i="30"/>
  <c r="B10" i="30"/>
  <c r="A10" i="30"/>
  <c r="I9" i="30"/>
  <c r="U9" i="30" s="1"/>
  <c r="H9" i="30"/>
  <c r="G9" i="30"/>
  <c r="T9" i="30" s="1"/>
  <c r="F9" i="30"/>
  <c r="D9" i="30"/>
  <c r="C9" i="30"/>
  <c r="B9" i="30"/>
  <c r="A9" i="30"/>
  <c r="I8" i="30"/>
  <c r="U8" i="30" s="1"/>
  <c r="H8" i="30"/>
  <c r="G8" i="30"/>
  <c r="T8" i="30" s="1"/>
  <c r="F8" i="30"/>
  <c r="D8" i="30"/>
  <c r="C8" i="30"/>
  <c r="B8" i="30"/>
  <c r="A8" i="30"/>
  <c r="I7" i="30"/>
  <c r="U7" i="30" s="1"/>
  <c r="H7" i="30"/>
  <c r="G7" i="30"/>
  <c r="T7" i="30" s="1"/>
  <c r="F7" i="30"/>
  <c r="D7" i="30"/>
  <c r="C7" i="30"/>
  <c r="B7" i="30"/>
  <c r="I6" i="30"/>
  <c r="U6" i="30" s="1"/>
  <c r="H6" i="30"/>
  <c r="G6" i="30"/>
  <c r="F6" i="30"/>
  <c r="D6" i="30"/>
  <c r="C6" i="30"/>
  <c r="B6" i="30"/>
  <c r="I5" i="30"/>
  <c r="U5" i="30" s="1"/>
  <c r="H5" i="30"/>
  <c r="G5" i="30"/>
  <c r="T5" i="30" s="1"/>
  <c r="F5" i="30"/>
  <c r="D5" i="30"/>
  <c r="C5" i="30"/>
  <c r="B5" i="30"/>
  <c r="BA75" i="26"/>
  <c r="V75" i="26"/>
  <c r="T75" i="26"/>
  <c r="S75" i="26"/>
  <c r="R75" i="26"/>
  <c r="BA74" i="26"/>
  <c r="V74" i="26"/>
  <c r="T74" i="26"/>
  <c r="S74" i="26"/>
  <c r="R74" i="26"/>
  <c r="BA73" i="26"/>
  <c r="V73" i="26"/>
  <c r="T73" i="26"/>
  <c r="S73" i="26"/>
  <c r="R73" i="26"/>
  <c r="BA72" i="26"/>
  <c r="AY72" i="26"/>
  <c r="V72" i="26"/>
  <c r="T72" i="26"/>
  <c r="S72" i="26"/>
  <c r="R72" i="26"/>
  <c r="BA71" i="26"/>
  <c r="AX71" i="26"/>
  <c r="V71" i="26"/>
  <c r="T71" i="26"/>
  <c r="S71" i="26"/>
  <c r="R71" i="26"/>
  <c r="BA70" i="26"/>
  <c r="AX70" i="26"/>
  <c r="V70" i="26"/>
  <c r="T70" i="26"/>
  <c r="S70" i="26"/>
  <c r="R70" i="26"/>
  <c r="BA69" i="26"/>
  <c r="AS69" i="26"/>
  <c r="V69" i="26"/>
  <c r="T69" i="26"/>
  <c r="S69" i="26"/>
  <c r="R69" i="26"/>
  <c r="BA68" i="26"/>
  <c r="AP68" i="26"/>
  <c r="V68" i="26"/>
  <c r="T68" i="26"/>
  <c r="S68" i="26"/>
  <c r="R68" i="26"/>
  <c r="BA67" i="26"/>
  <c r="AV67" i="26"/>
  <c r="V67" i="26"/>
  <c r="T67" i="26"/>
  <c r="S67" i="26"/>
  <c r="R67" i="26"/>
  <c r="BA66" i="26"/>
  <c r="V66" i="26"/>
  <c r="T66" i="26"/>
  <c r="S66" i="26"/>
  <c r="R66" i="26"/>
  <c r="BA65" i="26"/>
  <c r="AQ65" i="26"/>
  <c r="V65" i="26"/>
  <c r="T65" i="26"/>
  <c r="S65" i="26"/>
  <c r="R65" i="26"/>
  <c r="BA64" i="26"/>
  <c r="V64" i="26"/>
  <c r="T64" i="26"/>
  <c r="S64" i="26"/>
  <c r="R64" i="26"/>
  <c r="BA63" i="26"/>
  <c r="V63" i="26"/>
  <c r="T63" i="26"/>
  <c r="S63" i="26"/>
  <c r="R63" i="26"/>
  <c r="BA62" i="26"/>
  <c r="AS62" i="26"/>
  <c r="V62" i="26"/>
  <c r="T62" i="26"/>
  <c r="S62" i="26"/>
  <c r="R62" i="26"/>
  <c r="BA61" i="26"/>
  <c r="V61" i="26"/>
  <c r="T61" i="26"/>
  <c r="S61" i="26"/>
  <c r="R61" i="26"/>
  <c r="BA60" i="26"/>
  <c r="V60" i="26"/>
  <c r="T60" i="26"/>
  <c r="S60" i="26"/>
  <c r="R60" i="26"/>
  <c r="BA59" i="26"/>
  <c r="AK59" i="26"/>
  <c r="V59" i="26"/>
  <c r="T59" i="26"/>
  <c r="S59" i="26"/>
  <c r="R59" i="26"/>
  <c r="BA58" i="26"/>
  <c r="V58" i="26"/>
  <c r="V53" i="26" s="1"/>
  <c r="T58" i="26"/>
  <c r="S58" i="26"/>
  <c r="R58" i="26"/>
  <c r="BA57" i="26"/>
  <c r="V57" i="26"/>
  <c r="T57" i="26"/>
  <c r="S57" i="26"/>
  <c r="R57" i="26"/>
  <c r="BA56" i="26"/>
  <c r="V56" i="26"/>
  <c r="T56" i="26"/>
  <c r="S56" i="26"/>
  <c r="R56" i="26"/>
  <c r="BA55" i="26"/>
  <c r="BA54" i="26"/>
  <c r="BA53" i="26"/>
  <c r="AK53" i="26"/>
  <c r="BA52" i="26"/>
  <c r="AI52" i="26"/>
  <c r="AG52" i="26"/>
  <c r="AF52" i="26"/>
  <c r="V52" i="26"/>
  <c r="T52" i="26"/>
  <c r="S52" i="26"/>
  <c r="R52" i="26"/>
  <c r="BA51" i="26"/>
  <c r="AI51" i="26"/>
  <c r="AG51" i="26"/>
  <c r="AF51" i="26"/>
  <c r="V51" i="26"/>
  <c r="T51" i="26"/>
  <c r="S51" i="26"/>
  <c r="R51" i="26"/>
  <c r="BA50" i="26"/>
  <c r="AI50" i="26"/>
  <c r="AG50" i="26"/>
  <c r="AF50" i="26"/>
  <c r="V50" i="26"/>
  <c r="T50" i="26"/>
  <c r="S50" i="26"/>
  <c r="R50" i="26"/>
  <c r="BA49" i="26"/>
  <c r="AQ49" i="26"/>
  <c r="AI49" i="26"/>
  <c r="AG49" i="26"/>
  <c r="AF49" i="26"/>
  <c r="V49" i="26"/>
  <c r="T49" i="26"/>
  <c r="S49" i="26"/>
  <c r="R49" i="26"/>
  <c r="BA48" i="26"/>
  <c r="AI48" i="26"/>
  <c r="AG48" i="26"/>
  <c r="AF48" i="26"/>
  <c r="V48" i="26"/>
  <c r="T48" i="26"/>
  <c r="S48" i="26"/>
  <c r="R48" i="26"/>
  <c r="BA47" i="26"/>
  <c r="AI47" i="26"/>
  <c r="AG47" i="26"/>
  <c r="AF47" i="26"/>
  <c r="V47" i="26"/>
  <c r="T47" i="26"/>
  <c r="S47" i="26"/>
  <c r="R47" i="26"/>
  <c r="BA46" i="26"/>
  <c r="AQ46" i="26"/>
  <c r="AI46" i="26"/>
  <c r="AG46" i="26"/>
  <c r="AF46" i="26"/>
  <c r="V46" i="26"/>
  <c r="T46" i="26"/>
  <c r="S46" i="26"/>
  <c r="R46" i="26"/>
  <c r="BA45" i="26"/>
  <c r="AI45" i="26"/>
  <c r="AG45" i="26"/>
  <c r="AF45" i="26"/>
  <c r="V45" i="26"/>
  <c r="T45" i="26"/>
  <c r="S45" i="26"/>
  <c r="R45" i="26"/>
  <c r="BA44" i="26"/>
  <c r="AO44" i="26"/>
  <c r="AI44" i="26"/>
  <c r="AG44" i="26"/>
  <c r="AF44" i="26"/>
  <c r="V44" i="26"/>
  <c r="T44" i="26"/>
  <c r="S44" i="26"/>
  <c r="R44" i="26"/>
  <c r="BA43" i="26"/>
  <c r="AW43" i="26"/>
  <c r="AI43" i="26"/>
  <c r="AG43" i="26"/>
  <c r="AF43" i="26"/>
  <c r="V43" i="26"/>
  <c r="T43" i="26"/>
  <c r="S43" i="26"/>
  <c r="R43" i="26"/>
  <c r="BA42" i="26"/>
  <c r="AQ42" i="26"/>
  <c r="AI42" i="26"/>
  <c r="AG42" i="26"/>
  <c r="AF42" i="26"/>
  <c r="V42" i="26"/>
  <c r="T42" i="26"/>
  <c r="S42" i="26"/>
  <c r="R42" i="26"/>
  <c r="BA41" i="26"/>
  <c r="AI41" i="26"/>
  <c r="AG41" i="26"/>
  <c r="AF41" i="26"/>
  <c r="V41" i="26"/>
  <c r="T41" i="26"/>
  <c r="S41" i="26"/>
  <c r="R41" i="26"/>
  <c r="BA40" i="26"/>
  <c r="AS40" i="26"/>
  <c r="AI40" i="26"/>
  <c r="AG40" i="26"/>
  <c r="AF40" i="26"/>
  <c r="V40" i="26"/>
  <c r="T40" i="26"/>
  <c r="S40" i="26"/>
  <c r="R40" i="26"/>
  <c r="BA39" i="26"/>
  <c r="AI39" i="26"/>
  <c r="AG39" i="26"/>
  <c r="AF39" i="26"/>
  <c r="V39" i="26"/>
  <c r="T39" i="26"/>
  <c r="S39" i="26"/>
  <c r="R39" i="26"/>
  <c r="BA38" i="26"/>
  <c r="AV38" i="26"/>
  <c r="AI38" i="26"/>
  <c r="AG38" i="26"/>
  <c r="AF38" i="26"/>
  <c r="V38" i="26"/>
  <c r="T38" i="26"/>
  <c r="S38" i="26"/>
  <c r="J345" i="10" s="1"/>
  <c r="L345" i="10" s="1"/>
  <c r="R38" i="26"/>
  <c r="BA37" i="26"/>
  <c r="AP37" i="26"/>
  <c r="AI37" i="26"/>
  <c r="AG37" i="26"/>
  <c r="AF37" i="26"/>
  <c r="V37" i="26"/>
  <c r="T37" i="26"/>
  <c r="S37" i="26"/>
  <c r="R37" i="26"/>
  <c r="BA36" i="26"/>
  <c r="AI36" i="26"/>
  <c r="AG36" i="26"/>
  <c r="AF36" i="26"/>
  <c r="V36" i="26"/>
  <c r="T36" i="26"/>
  <c r="S36" i="26"/>
  <c r="R36" i="26"/>
  <c r="BA35" i="26"/>
  <c r="AR35" i="26"/>
  <c r="AI35" i="26"/>
  <c r="AG35" i="26"/>
  <c r="AF35" i="26"/>
  <c r="V35" i="26"/>
  <c r="T35" i="26"/>
  <c r="S35" i="26"/>
  <c r="J342" i="10" s="1"/>
  <c r="L342" i="10" s="1"/>
  <c r="R35" i="26"/>
  <c r="BA34" i="26"/>
  <c r="AK34" i="26"/>
  <c r="AI34" i="26"/>
  <c r="AG34" i="26"/>
  <c r="AF34" i="26"/>
  <c r="V34" i="26"/>
  <c r="T34" i="26"/>
  <c r="S34" i="26"/>
  <c r="J341" i="10" s="1"/>
  <c r="R34" i="26"/>
  <c r="BA33" i="26"/>
  <c r="AI33" i="26"/>
  <c r="AG33" i="26"/>
  <c r="AF33" i="26"/>
  <c r="V33" i="26"/>
  <c r="T33" i="26"/>
  <c r="S33" i="26"/>
  <c r="J340" i="10" s="1"/>
  <c r="L340" i="10" s="1"/>
  <c r="R33" i="26"/>
  <c r="BA32" i="26"/>
  <c r="AO32" i="26"/>
  <c r="BA31" i="26"/>
  <c r="AO31" i="26"/>
  <c r="BA30" i="26"/>
  <c r="AP30" i="26"/>
  <c r="BT29" i="26"/>
  <c r="BS29" i="26"/>
  <c r="BR29" i="26"/>
  <c r="BQ29" i="26"/>
  <c r="ES29" i="26" s="1"/>
  <c r="BP29" i="26"/>
  <c r="DO29" i="26" s="1"/>
  <c r="BO29" i="26"/>
  <c r="CT29" i="26" s="1"/>
  <c r="BN29" i="26"/>
  <c r="BM29" i="26"/>
  <c r="BL29" i="26"/>
  <c r="BK29" i="26"/>
  <c r="EH29" i="26" s="1"/>
  <c r="BJ29" i="26"/>
  <c r="DM29" i="26" s="1"/>
  <c r="BI29" i="26"/>
  <c r="CF29" i="26" s="1"/>
  <c r="BH29" i="26"/>
  <c r="BG29" i="26"/>
  <c r="BF29" i="26"/>
  <c r="BE29" i="26"/>
  <c r="DX29" i="26" s="1"/>
  <c r="BD29" i="26"/>
  <c r="CZ29" i="26" s="1"/>
  <c r="BC29" i="26"/>
  <c r="CB29" i="26" s="1"/>
  <c r="BA29" i="26"/>
  <c r="AG29" i="26"/>
  <c r="AI29" i="26" s="1"/>
  <c r="AF29" i="26"/>
  <c r="AA29" i="26"/>
  <c r="Y29" i="26"/>
  <c r="Q29" i="26"/>
  <c r="R29" i="26" s="1"/>
  <c r="N29" i="26"/>
  <c r="M29" i="26"/>
  <c r="L29" i="26"/>
  <c r="K29" i="26"/>
  <c r="I29" i="26"/>
  <c r="H29" i="26"/>
  <c r="G29" i="26"/>
  <c r="F29" i="26"/>
  <c r="E29" i="26"/>
  <c r="BT28" i="26"/>
  <c r="BS28" i="26"/>
  <c r="BR28" i="26"/>
  <c r="BQ28" i="26"/>
  <c r="EQ28" i="26" s="1"/>
  <c r="BP28" i="26"/>
  <c r="DS28" i="26" s="1"/>
  <c r="BO28" i="26"/>
  <c r="CN28" i="26" s="1"/>
  <c r="BN28" i="26"/>
  <c r="BM28" i="26"/>
  <c r="BL28" i="26"/>
  <c r="BK28" i="26"/>
  <c r="EN28" i="26" s="1"/>
  <c r="BJ28" i="26"/>
  <c r="DH28" i="26" s="1"/>
  <c r="BI28" i="26"/>
  <c r="CJ28" i="26" s="1"/>
  <c r="BH28" i="26"/>
  <c r="BG28" i="26"/>
  <c r="BF28" i="26"/>
  <c r="BE28" i="26"/>
  <c r="DZ28" i="26" s="1"/>
  <c r="BD28" i="26"/>
  <c r="BC28" i="26"/>
  <c r="BZ28" i="26" s="1"/>
  <c r="BA28" i="26"/>
  <c r="AY28" i="26"/>
  <c r="AI28" i="26"/>
  <c r="AG28" i="26"/>
  <c r="AF28" i="26"/>
  <c r="AA28" i="26"/>
  <c r="Y28" i="26"/>
  <c r="Q28" i="26"/>
  <c r="R28" i="26" s="1"/>
  <c r="N28" i="26"/>
  <c r="M28" i="26"/>
  <c r="L28" i="26"/>
  <c r="K28" i="26"/>
  <c r="I28" i="26"/>
  <c r="H28" i="26"/>
  <c r="G28" i="26"/>
  <c r="F28" i="26"/>
  <c r="E28" i="26"/>
  <c r="BT27" i="26"/>
  <c r="BS27" i="26"/>
  <c r="BR27" i="26"/>
  <c r="BQ27" i="26"/>
  <c r="BP27" i="26"/>
  <c r="DO27" i="26" s="1"/>
  <c r="BO27" i="26"/>
  <c r="CN27" i="26" s="1"/>
  <c r="BN27" i="26"/>
  <c r="BM27" i="26"/>
  <c r="BL27" i="26"/>
  <c r="BK27" i="26"/>
  <c r="EM27" i="26" s="1"/>
  <c r="BJ27" i="26"/>
  <c r="DM27" i="26" s="1"/>
  <c r="BI27" i="26"/>
  <c r="CL27" i="26" s="1"/>
  <c r="BH27" i="26"/>
  <c r="BG27" i="26"/>
  <c r="BF27" i="26"/>
  <c r="BE27" i="26"/>
  <c r="EB27" i="26" s="1"/>
  <c r="BD27" i="26"/>
  <c r="CW27" i="26" s="1"/>
  <c r="BC27" i="26"/>
  <c r="BZ27" i="26" s="1"/>
  <c r="BA27" i="26"/>
  <c r="AW27" i="26"/>
  <c r="AG27" i="26"/>
  <c r="AI27" i="26" s="1"/>
  <c r="AF27" i="26"/>
  <c r="Y27" i="26"/>
  <c r="AA27" i="26" s="1"/>
  <c r="Q27" i="26"/>
  <c r="R27" i="26" s="1"/>
  <c r="N27" i="26"/>
  <c r="M27" i="26"/>
  <c r="L27" i="26"/>
  <c r="K27" i="26"/>
  <c r="I27" i="26"/>
  <c r="H27" i="26"/>
  <c r="G27" i="26"/>
  <c r="F27" i="26"/>
  <c r="E27" i="26"/>
  <c r="BT26" i="26"/>
  <c r="BS26" i="26"/>
  <c r="BR26" i="26"/>
  <c r="BQ26" i="26"/>
  <c r="EP26" i="26" s="1"/>
  <c r="BP26" i="26"/>
  <c r="DO26" i="26" s="1"/>
  <c r="BO26" i="26"/>
  <c r="BN26" i="26"/>
  <c r="BM26" i="26"/>
  <c r="BL26" i="26"/>
  <c r="BK26" i="26"/>
  <c r="EK26" i="26" s="1"/>
  <c r="BJ26" i="26"/>
  <c r="DG26" i="26" s="1"/>
  <c r="BI26" i="26"/>
  <c r="CI26" i="26" s="1"/>
  <c r="BH26" i="26"/>
  <c r="BG26" i="26"/>
  <c r="BF26" i="26"/>
  <c r="BE26" i="26"/>
  <c r="DZ26" i="26" s="1"/>
  <c r="BD26" i="26"/>
  <c r="DD26" i="26" s="1"/>
  <c r="BC26" i="26"/>
  <c r="CC26" i="26" s="1"/>
  <c r="BA26" i="26"/>
  <c r="AU26" i="26"/>
  <c r="AI26" i="26"/>
  <c r="AG26" i="26"/>
  <c r="AF26" i="26"/>
  <c r="AA26" i="26"/>
  <c r="Y26" i="26"/>
  <c r="Q26" i="26"/>
  <c r="R26" i="26" s="1"/>
  <c r="N26" i="26"/>
  <c r="M26" i="26"/>
  <c r="L26" i="26"/>
  <c r="K26" i="26"/>
  <c r="I26" i="26"/>
  <c r="H26" i="26"/>
  <c r="G26" i="26"/>
  <c r="F26" i="26"/>
  <c r="E26" i="26"/>
  <c r="BT25" i="26"/>
  <c r="BS25" i="26"/>
  <c r="BR25" i="26"/>
  <c r="BQ25" i="26"/>
  <c r="EU25" i="26" s="1"/>
  <c r="BP25" i="26"/>
  <c r="DU25" i="26" s="1"/>
  <c r="BO25" i="26"/>
  <c r="CP25" i="26" s="1"/>
  <c r="BN25" i="26"/>
  <c r="BM25" i="26"/>
  <c r="BL25" i="26"/>
  <c r="BK25" i="26"/>
  <c r="EL25" i="26" s="1"/>
  <c r="BJ25" i="26"/>
  <c r="DL25" i="26" s="1"/>
  <c r="BI25" i="26"/>
  <c r="CH25" i="26" s="1"/>
  <c r="BH25" i="26"/>
  <c r="BG25" i="26"/>
  <c r="BF25" i="26"/>
  <c r="BE25" i="26"/>
  <c r="EB25" i="26" s="1"/>
  <c r="BD25" i="26"/>
  <c r="CZ25" i="26" s="1"/>
  <c r="BC25" i="26"/>
  <c r="CC25" i="26" s="1"/>
  <c r="BA25" i="26"/>
  <c r="AI25" i="26"/>
  <c r="AG25" i="26"/>
  <c r="AF25" i="26"/>
  <c r="AA25" i="26"/>
  <c r="Y25" i="26"/>
  <c r="Q25" i="26"/>
  <c r="R25" i="26" s="1"/>
  <c r="N25" i="26"/>
  <c r="M25" i="26"/>
  <c r="L25" i="26"/>
  <c r="K25" i="26"/>
  <c r="I25" i="26"/>
  <c r="H25" i="26"/>
  <c r="G25" i="26"/>
  <c r="F25" i="26"/>
  <c r="E25" i="26"/>
  <c r="BT24" i="26"/>
  <c r="BS24" i="26"/>
  <c r="BR24" i="26"/>
  <c r="BQ24" i="26"/>
  <c r="BP24" i="26"/>
  <c r="BO24" i="26"/>
  <c r="CO24" i="26" s="1"/>
  <c r="BN24" i="26"/>
  <c r="BM24" i="26"/>
  <c r="BL24" i="26"/>
  <c r="BK24" i="26"/>
  <c r="EK24" i="26" s="1"/>
  <c r="BJ24" i="26"/>
  <c r="DK24" i="26" s="1"/>
  <c r="BI24" i="26"/>
  <c r="CK24" i="26" s="1"/>
  <c r="BH24" i="26"/>
  <c r="BG24" i="26"/>
  <c r="BF24" i="26"/>
  <c r="BE24" i="26"/>
  <c r="BD24" i="26"/>
  <c r="DB24" i="26" s="1"/>
  <c r="BC24" i="26"/>
  <c r="BA24" i="26"/>
  <c r="AS24" i="26"/>
  <c r="AI24" i="26"/>
  <c r="AG24" i="26"/>
  <c r="AF24" i="26"/>
  <c r="Y24" i="26"/>
  <c r="AA24" i="26" s="1"/>
  <c r="Q24" i="26"/>
  <c r="R24" i="26" s="1"/>
  <c r="N24" i="26"/>
  <c r="S24" i="26" s="1"/>
  <c r="V24" i="26" s="1"/>
  <c r="M24" i="26"/>
  <c r="L24" i="26"/>
  <c r="K24" i="26"/>
  <c r="I24" i="26"/>
  <c r="H24" i="26"/>
  <c r="G24" i="26"/>
  <c r="F24" i="26"/>
  <c r="E24" i="26"/>
  <c r="BT23" i="26"/>
  <c r="BS23" i="26"/>
  <c r="BR23" i="26"/>
  <c r="BQ23" i="26"/>
  <c r="EU23" i="26" s="1"/>
  <c r="BP23" i="26"/>
  <c r="DP23" i="26" s="1"/>
  <c r="BO23" i="26"/>
  <c r="BN23" i="26"/>
  <c r="BM23" i="26"/>
  <c r="BL23" i="26"/>
  <c r="BK23" i="26"/>
  <c r="EL23" i="26" s="1"/>
  <c r="BJ23" i="26"/>
  <c r="DF23" i="26" s="1"/>
  <c r="BI23" i="26"/>
  <c r="CL23" i="26" s="1"/>
  <c r="BH23" i="26"/>
  <c r="BG23" i="26"/>
  <c r="BF23" i="26"/>
  <c r="BE23" i="26"/>
  <c r="DZ23" i="26" s="1"/>
  <c r="BD23" i="26"/>
  <c r="CW23" i="26" s="1"/>
  <c r="BC23" i="26"/>
  <c r="BA23" i="26"/>
  <c r="AS23" i="26"/>
  <c r="AG23" i="26"/>
  <c r="AI23" i="26" s="1"/>
  <c r="AF23" i="26"/>
  <c r="Y23" i="26"/>
  <c r="AA23" i="26" s="1"/>
  <c r="Q23" i="26"/>
  <c r="R23" i="26" s="1"/>
  <c r="N23" i="26"/>
  <c r="U23" i="26" s="1"/>
  <c r="M23" i="26"/>
  <c r="L23" i="26"/>
  <c r="K23" i="26"/>
  <c r="I23" i="26"/>
  <c r="H23" i="26"/>
  <c r="G23" i="26"/>
  <c r="F23" i="26"/>
  <c r="E23" i="26"/>
  <c r="BT22" i="26"/>
  <c r="BS22" i="26"/>
  <c r="BR22" i="26"/>
  <c r="BQ22" i="26"/>
  <c r="ET22" i="26" s="1"/>
  <c r="BP22" i="26"/>
  <c r="DO22" i="26" s="1"/>
  <c r="BO22" i="26"/>
  <c r="CQ22" i="26" s="1"/>
  <c r="BN22" i="26"/>
  <c r="BM22" i="26"/>
  <c r="BL22" i="26"/>
  <c r="BK22" i="26"/>
  <c r="BJ22" i="26"/>
  <c r="DM22" i="26" s="1"/>
  <c r="BI22" i="26"/>
  <c r="CJ22" i="26" s="1"/>
  <c r="BH22" i="26"/>
  <c r="BG22" i="26"/>
  <c r="BF22" i="26"/>
  <c r="BE22" i="26"/>
  <c r="ED22" i="26" s="1"/>
  <c r="BD22" i="26"/>
  <c r="CZ22" i="26" s="1"/>
  <c r="BC22" i="26"/>
  <c r="BA22" i="26"/>
  <c r="AG22" i="26"/>
  <c r="AI22" i="26" s="1"/>
  <c r="AF22" i="26"/>
  <c r="Y22" i="26"/>
  <c r="AA22" i="26" s="1"/>
  <c r="Q22" i="26"/>
  <c r="R22" i="26" s="1"/>
  <c r="N22" i="26"/>
  <c r="U22" i="26" s="1"/>
  <c r="M22" i="26"/>
  <c r="L22" i="26"/>
  <c r="K22" i="26"/>
  <c r="I22" i="26"/>
  <c r="H22" i="26"/>
  <c r="G22" i="26"/>
  <c r="F22" i="26"/>
  <c r="E22" i="26"/>
  <c r="BT21" i="26"/>
  <c r="BS21" i="26"/>
  <c r="BR21" i="26"/>
  <c r="BQ21" i="26"/>
  <c r="EQ21" i="26" s="1"/>
  <c r="BP21" i="26"/>
  <c r="DV21" i="26" s="1"/>
  <c r="BO21" i="26"/>
  <c r="CT21" i="26" s="1"/>
  <c r="BN21" i="26"/>
  <c r="BM21" i="26"/>
  <c r="BL21" i="26"/>
  <c r="BK21" i="26"/>
  <c r="BJ21" i="26"/>
  <c r="DK21" i="26" s="1"/>
  <c r="BI21" i="26"/>
  <c r="CK21" i="26" s="1"/>
  <c r="BH21" i="26"/>
  <c r="BG21" i="26"/>
  <c r="BF21" i="26"/>
  <c r="BE21" i="26"/>
  <c r="EA21" i="26" s="1"/>
  <c r="BD21" i="26"/>
  <c r="CX21" i="26" s="1"/>
  <c r="BC21" i="26"/>
  <c r="BW21" i="26" s="1"/>
  <c r="BA21" i="26"/>
  <c r="AV21" i="26"/>
  <c r="AI21" i="26"/>
  <c r="AG21" i="26"/>
  <c r="AF21" i="26"/>
  <c r="AA21" i="26"/>
  <c r="Y21" i="26"/>
  <c r="Q21" i="26"/>
  <c r="R21" i="26" s="1"/>
  <c r="N21" i="26"/>
  <c r="M21" i="26"/>
  <c r="L21" i="26"/>
  <c r="K21" i="26"/>
  <c r="I21" i="26"/>
  <c r="H21" i="26"/>
  <c r="G21" i="26"/>
  <c r="F21" i="26"/>
  <c r="E21" i="26"/>
  <c r="BT20" i="26"/>
  <c r="BS20" i="26"/>
  <c r="BR20" i="26"/>
  <c r="BQ20" i="26"/>
  <c r="BP20" i="26"/>
  <c r="BO20" i="26"/>
  <c r="CR20" i="26" s="1"/>
  <c r="BN20" i="26"/>
  <c r="BM20" i="26"/>
  <c r="BL20" i="26"/>
  <c r="BK20" i="26"/>
  <c r="EH20" i="26" s="1"/>
  <c r="BJ20" i="26"/>
  <c r="DL20" i="26" s="1"/>
  <c r="BI20" i="26"/>
  <c r="CJ20" i="26" s="1"/>
  <c r="BH20" i="26"/>
  <c r="BG20" i="26"/>
  <c r="BF20" i="26"/>
  <c r="BE20" i="26"/>
  <c r="EA20" i="26" s="1"/>
  <c r="BD20" i="26"/>
  <c r="BC20" i="26"/>
  <c r="BA20" i="26"/>
  <c r="AX20" i="26"/>
  <c r="AG20" i="26"/>
  <c r="AI20" i="26" s="1"/>
  <c r="AF20" i="26"/>
  <c r="AA20" i="26"/>
  <c r="Y20" i="26"/>
  <c r="Q20" i="26"/>
  <c r="R20" i="26" s="1"/>
  <c r="N20" i="26"/>
  <c r="S20" i="26" s="1"/>
  <c r="J335" i="10" s="1"/>
  <c r="L335" i="10" s="1"/>
  <c r="M20" i="26"/>
  <c r="L20" i="26"/>
  <c r="K20" i="26"/>
  <c r="I20" i="26"/>
  <c r="H20" i="26"/>
  <c r="G20" i="26"/>
  <c r="F20" i="26"/>
  <c r="E20" i="26"/>
  <c r="BT19" i="26"/>
  <c r="BS19" i="26"/>
  <c r="BR19" i="26"/>
  <c r="BQ19" i="26"/>
  <c r="ES19" i="26" s="1"/>
  <c r="BP19" i="26"/>
  <c r="DR19" i="26" s="1"/>
  <c r="BO19" i="26"/>
  <c r="CS19" i="26" s="1"/>
  <c r="BN19" i="26"/>
  <c r="BM19" i="26"/>
  <c r="BL19" i="26"/>
  <c r="BK19" i="26"/>
  <c r="BJ19" i="26"/>
  <c r="DG19" i="26" s="1"/>
  <c r="BI19" i="26"/>
  <c r="BH19" i="26"/>
  <c r="BG19" i="26"/>
  <c r="BF19" i="26"/>
  <c r="BE19" i="26"/>
  <c r="EA19" i="26" s="1"/>
  <c r="BD19" i="26"/>
  <c r="DC19" i="26" s="1"/>
  <c r="BC19" i="26"/>
  <c r="CC19" i="26" s="1"/>
  <c r="BA19" i="26"/>
  <c r="AG19" i="26"/>
  <c r="AI19" i="26" s="1"/>
  <c r="AF19" i="26"/>
  <c r="AA19" i="26"/>
  <c r="Y19" i="26"/>
  <c r="Q19" i="26"/>
  <c r="R19" i="26" s="1"/>
  <c r="N19" i="26"/>
  <c r="M19" i="26"/>
  <c r="L19" i="26"/>
  <c r="K19" i="26"/>
  <c r="I19" i="26"/>
  <c r="H19" i="26"/>
  <c r="G19" i="26"/>
  <c r="F19" i="26"/>
  <c r="E19" i="26"/>
  <c r="BT18" i="26"/>
  <c r="BS18" i="26"/>
  <c r="BR18" i="26"/>
  <c r="BQ18" i="26"/>
  <c r="BP18" i="26"/>
  <c r="DT18" i="26" s="1"/>
  <c r="BO18" i="26"/>
  <c r="CP18" i="26" s="1"/>
  <c r="BN18" i="26"/>
  <c r="BM18" i="26"/>
  <c r="BL18" i="26"/>
  <c r="BK18" i="26"/>
  <c r="EN18" i="26" s="1"/>
  <c r="BJ18" i="26"/>
  <c r="DL18" i="26" s="1"/>
  <c r="BI18" i="26"/>
  <c r="CK18" i="26" s="1"/>
  <c r="BH18" i="26"/>
  <c r="BG18" i="26"/>
  <c r="BF18" i="26"/>
  <c r="BE18" i="26"/>
  <c r="BD18" i="26"/>
  <c r="DD18" i="26" s="1"/>
  <c r="BC18" i="26"/>
  <c r="CC18" i="26" s="1"/>
  <c r="BA18" i="26"/>
  <c r="AY18" i="26"/>
  <c r="AP18" i="26"/>
  <c r="AG18" i="26"/>
  <c r="AI18" i="26" s="1"/>
  <c r="AF18" i="26"/>
  <c r="AA18" i="26"/>
  <c r="Y18" i="26"/>
  <c r="Q18" i="26"/>
  <c r="R18" i="26" s="1"/>
  <c r="N18" i="26"/>
  <c r="U18" i="26" s="1"/>
  <c r="M18" i="26"/>
  <c r="L18" i="26"/>
  <c r="K18" i="26"/>
  <c r="I18" i="26"/>
  <c r="H18" i="26"/>
  <c r="G18" i="26"/>
  <c r="F18" i="26"/>
  <c r="E18" i="26"/>
  <c r="BT17" i="26"/>
  <c r="BS17" i="26"/>
  <c r="BR17" i="26"/>
  <c r="BQ17" i="26"/>
  <c r="EV17" i="26" s="1"/>
  <c r="BP17" i="26"/>
  <c r="DS17" i="26" s="1"/>
  <c r="BO17" i="26"/>
  <c r="CR17" i="26" s="1"/>
  <c r="BN17" i="26"/>
  <c r="BM17" i="26"/>
  <c r="BL17" i="26"/>
  <c r="BK17" i="26"/>
  <c r="EM17" i="26" s="1"/>
  <c r="BJ17" i="26"/>
  <c r="DK17" i="26" s="1"/>
  <c r="BI17" i="26"/>
  <c r="CL17" i="26" s="1"/>
  <c r="BH17" i="26"/>
  <c r="BG17" i="26"/>
  <c r="BF17" i="26"/>
  <c r="BE17" i="26"/>
  <c r="ED17" i="26" s="1"/>
  <c r="BD17" i="26"/>
  <c r="CZ17" i="26" s="1"/>
  <c r="BC17" i="26"/>
  <c r="BA17" i="26"/>
  <c r="AY17" i="26"/>
  <c r="AR17" i="26"/>
  <c r="AI17" i="26"/>
  <c r="AG17" i="26"/>
  <c r="AF17" i="26"/>
  <c r="Y17" i="26"/>
  <c r="AA17" i="26" s="1"/>
  <c r="Q17" i="26"/>
  <c r="R17" i="26" s="1"/>
  <c r="N17" i="26"/>
  <c r="M17" i="26"/>
  <c r="L17" i="26"/>
  <c r="K17" i="26"/>
  <c r="I17" i="26"/>
  <c r="H17" i="26"/>
  <c r="G17" i="26"/>
  <c r="F17" i="26"/>
  <c r="E17" i="26"/>
  <c r="BT16" i="26"/>
  <c r="BS16" i="26"/>
  <c r="BR16" i="26"/>
  <c r="BQ16" i="26"/>
  <c r="ER16" i="26" s="1"/>
  <c r="BP16" i="26"/>
  <c r="BO16" i="26"/>
  <c r="CP16" i="26" s="1"/>
  <c r="BN16" i="26"/>
  <c r="BM16" i="26"/>
  <c r="BL16" i="26"/>
  <c r="BK16" i="26"/>
  <c r="EM16" i="26" s="1"/>
  <c r="BJ16" i="26"/>
  <c r="DL16" i="26" s="1"/>
  <c r="BI16" i="26"/>
  <c r="BH16" i="26"/>
  <c r="BG16" i="26"/>
  <c r="BF16" i="26"/>
  <c r="BE16" i="26"/>
  <c r="BD16" i="26"/>
  <c r="DD16" i="26" s="1"/>
  <c r="BC16" i="26"/>
  <c r="CC16" i="26" s="1"/>
  <c r="BA16" i="26"/>
  <c r="AG16" i="26"/>
  <c r="AI16" i="26" s="1"/>
  <c r="AF16" i="26"/>
  <c r="Y16" i="26"/>
  <c r="AA16" i="26" s="1"/>
  <c r="Q16" i="26"/>
  <c r="R16" i="26" s="1"/>
  <c r="N16" i="26"/>
  <c r="S16" i="26" s="1"/>
  <c r="V16" i="26" s="1"/>
  <c r="M16" i="26"/>
  <c r="L16" i="26"/>
  <c r="K16" i="26"/>
  <c r="I16" i="26"/>
  <c r="H16" i="26"/>
  <c r="G16" i="26"/>
  <c r="F16" i="26"/>
  <c r="E16" i="26"/>
  <c r="BT15" i="26"/>
  <c r="BS15" i="26"/>
  <c r="BR15" i="26"/>
  <c r="BQ15" i="26"/>
  <c r="EP15" i="26" s="1"/>
  <c r="BP15" i="26"/>
  <c r="DO15" i="26" s="1"/>
  <c r="BO15" i="26"/>
  <c r="CS15" i="26" s="1"/>
  <c r="BN15" i="26"/>
  <c r="BM15" i="26"/>
  <c r="BL15" i="26"/>
  <c r="BK15" i="26"/>
  <c r="EK15" i="26" s="1"/>
  <c r="BJ15" i="26"/>
  <c r="DK15" i="26" s="1"/>
  <c r="BI15" i="26"/>
  <c r="CL15" i="26" s="1"/>
  <c r="BH15" i="26"/>
  <c r="BG15" i="26"/>
  <c r="BF15" i="26"/>
  <c r="BE15" i="26"/>
  <c r="EE15" i="26" s="1"/>
  <c r="BD15" i="26"/>
  <c r="DD15" i="26" s="1"/>
  <c r="BC15" i="26"/>
  <c r="CC15" i="26" s="1"/>
  <c r="BA15" i="26"/>
  <c r="AV15" i="26"/>
  <c r="AI15" i="26"/>
  <c r="AG15" i="26"/>
  <c r="AF15" i="26"/>
  <c r="AA15" i="26"/>
  <c r="Y15" i="26"/>
  <c r="Q15" i="26"/>
  <c r="R15" i="26" s="1"/>
  <c r="N15" i="26"/>
  <c r="M15" i="26"/>
  <c r="L15" i="26"/>
  <c r="K15" i="26"/>
  <c r="I15" i="26"/>
  <c r="H15" i="26"/>
  <c r="G15" i="26"/>
  <c r="F15" i="26"/>
  <c r="E15" i="26"/>
  <c r="BT14" i="26"/>
  <c r="BS14" i="26"/>
  <c r="BR14" i="26"/>
  <c r="BQ14" i="26"/>
  <c r="EW14" i="26" s="1"/>
  <c r="BP14" i="26"/>
  <c r="DV14" i="26" s="1"/>
  <c r="BO14" i="26"/>
  <c r="CU14" i="26" s="1"/>
  <c r="BN14" i="26"/>
  <c r="BM14" i="26"/>
  <c r="BL14" i="26"/>
  <c r="BK14" i="26"/>
  <c r="EM14" i="26" s="1"/>
  <c r="BJ14" i="26"/>
  <c r="DL14" i="26" s="1"/>
  <c r="BI14" i="26"/>
  <c r="CF14" i="26" s="1"/>
  <c r="BH14" i="26"/>
  <c r="BG14" i="26"/>
  <c r="BF14" i="26"/>
  <c r="BE14" i="26"/>
  <c r="EA14" i="26" s="1"/>
  <c r="BD14" i="26"/>
  <c r="BC14" i="26"/>
  <c r="CC14" i="26" s="1"/>
  <c r="BA14" i="26"/>
  <c r="AX14" i="26"/>
  <c r="AG14" i="26"/>
  <c r="AI14" i="26" s="1"/>
  <c r="AF14" i="26"/>
  <c r="AA14" i="26"/>
  <c r="Y14" i="26"/>
  <c r="Q14" i="26"/>
  <c r="R14" i="26" s="1"/>
  <c r="N14" i="26"/>
  <c r="U14" i="26" s="1"/>
  <c r="M14" i="26"/>
  <c r="L14" i="26"/>
  <c r="K14" i="26"/>
  <c r="I14" i="26"/>
  <c r="H14" i="26"/>
  <c r="G14" i="26"/>
  <c r="F14" i="26"/>
  <c r="E14" i="26"/>
  <c r="BT13" i="26"/>
  <c r="BS13" i="26"/>
  <c r="BR13" i="26"/>
  <c r="BQ13" i="26"/>
  <c r="EW13" i="26" s="1"/>
  <c r="BP13" i="26"/>
  <c r="DS13" i="26" s="1"/>
  <c r="BO13" i="26"/>
  <c r="CR13" i="26" s="1"/>
  <c r="BN13" i="26"/>
  <c r="BM13" i="26"/>
  <c r="BL13" i="26"/>
  <c r="BK13" i="26"/>
  <c r="EG13" i="26" s="1"/>
  <c r="BJ13" i="26"/>
  <c r="DF13" i="26" s="1"/>
  <c r="BI13" i="26"/>
  <c r="CL13" i="26" s="1"/>
  <c r="BH13" i="26"/>
  <c r="BG13" i="26"/>
  <c r="BF13" i="26"/>
  <c r="BE13" i="26"/>
  <c r="ED13" i="26" s="1"/>
  <c r="BD13" i="26"/>
  <c r="DD13" i="26" s="1"/>
  <c r="BC13" i="26"/>
  <c r="CC13" i="26" s="1"/>
  <c r="BA13" i="26"/>
  <c r="AG13" i="26"/>
  <c r="AI13" i="26" s="1"/>
  <c r="AF13" i="26"/>
  <c r="AA13" i="26"/>
  <c r="Y13" i="26"/>
  <c r="V13" i="26"/>
  <c r="S13" i="26"/>
  <c r="Q13" i="26"/>
  <c r="R13" i="26" s="1"/>
  <c r="L13" i="26"/>
  <c r="K13" i="26"/>
  <c r="I13" i="26"/>
  <c r="H13" i="26"/>
  <c r="G13" i="26"/>
  <c r="F13" i="26"/>
  <c r="E13" i="26"/>
  <c r="BT12" i="26"/>
  <c r="BS12" i="26"/>
  <c r="BR12" i="26"/>
  <c r="BQ12" i="26"/>
  <c r="EW12" i="26" s="1"/>
  <c r="BP12" i="26"/>
  <c r="DQ12" i="26" s="1"/>
  <c r="BO12" i="26"/>
  <c r="CQ12" i="26" s="1"/>
  <c r="BN12" i="26"/>
  <c r="BM12" i="26"/>
  <c r="BL12" i="26"/>
  <c r="BK12" i="26"/>
  <c r="EN12" i="26" s="1"/>
  <c r="BJ12" i="26"/>
  <c r="BI12" i="26"/>
  <c r="CL12" i="26" s="1"/>
  <c r="BH12" i="26"/>
  <c r="BG12" i="26"/>
  <c r="BF12" i="26"/>
  <c r="BE12" i="26"/>
  <c r="EB12" i="26" s="1"/>
  <c r="BD12" i="26"/>
  <c r="CZ12" i="26" s="1"/>
  <c r="BC12" i="26"/>
  <c r="CB12" i="26" s="1"/>
  <c r="BA12" i="26"/>
  <c r="AY12" i="26"/>
  <c r="AP12" i="26"/>
  <c r="AG12" i="26"/>
  <c r="AI12" i="26" s="1"/>
  <c r="AF12" i="26"/>
  <c r="AA12" i="26"/>
  <c r="Y12" i="26"/>
  <c r="Q12" i="26"/>
  <c r="R12" i="26" s="1"/>
  <c r="N12" i="26"/>
  <c r="S12" i="26" s="1"/>
  <c r="V12" i="26" s="1"/>
  <c r="M12" i="26"/>
  <c r="L12" i="26"/>
  <c r="K12" i="26"/>
  <c r="I12" i="26"/>
  <c r="H12" i="26"/>
  <c r="G12" i="26"/>
  <c r="F12" i="26"/>
  <c r="E12" i="26"/>
  <c r="BT11" i="26"/>
  <c r="BS11" i="26"/>
  <c r="BR11" i="26"/>
  <c r="BQ11" i="26"/>
  <c r="EV11" i="26" s="1"/>
  <c r="BP11" i="26"/>
  <c r="BO11" i="26"/>
  <c r="CT11" i="26" s="1"/>
  <c r="BN11" i="26"/>
  <c r="BM11" i="26"/>
  <c r="BL11" i="26"/>
  <c r="BK11" i="26"/>
  <c r="EJ11" i="26" s="1"/>
  <c r="BJ11" i="26"/>
  <c r="DM11" i="26" s="1"/>
  <c r="BI11" i="26"/>
  <c r="CJ11" i="26" s="1"/>
  <c r="BH11" i="26"/>
  <c r="BG11" i="26"/>
  <c r="BF11" i="26"/>
  <c r="BE11" i="26"/>
  <c r="DY11" i="26" s="1"/>
  <c r="BD11" i="26"/>
  <c r="BC11" i="26"/>
  <c r="BA11" i="26"/>
  <c r="AY11" i="26"/>
  <c r="AR11" i="26"/>
  <c r="AI11" i="26"/>
  <c r="AG11" i="26"/>
  <c r="AF11" i="26"/>
  <c r="Y11" i="26"/>
  <c r="AA11" i="26" s="1"/>
  <c r="Q11" i="26"/>
  <c r="R11" i="26" s="1"/>
  <c r="N11" i="26"/>
  <c r="U11" i="26" s="1"/>
  <c r="M11" i="26"/>
  <c r="L11" i="26"/>
  <c r="K11" i="26"/>
  <c r="I11" i="26"/>
  <c r="H11" i="26"/>
  <c r="G11" i="26"/>
  <c r="F11" i="26"/>
  <c r="E11" i="26"/>
  <c r="BT10" i="26"/>
  <c r="BS10" i="26"/>
  <c r="BR10" i="26"/>
  <c r="BQ10" i="26"/>
  <c r="ET10" i="26" s="1"/>
  <c r="BP10" i="26"/>
  <c r="DR10" i="26" s="1"/>
  <c r="BO10" i="26"/>
  <c r="CS10" i="26" s="1"/>
  <c r="BN10" i="26"/>
  <c r="BM10" i="26"/>
  <c r="BL10" i="26"/>
  <c r="BK10" i="26"/>
  <c r="EN10" i="26" s="1"/>
  <c r="BJ10" i="26"/>
  <c r="DJ10" i="26" s="1"/>
  <c r="BI10" i="26"/>
  <c r="CH10" i="26" s="1"/>
  <c r="BH10" i="26"/>
  <c r="BG10" i="26"/>
  <c r="BF10" i="26"/>
  <c r="BE10" i="26"/>
  <c r="EE10" i="26" s="1"/>
  <c r="BD10" i="26"/>
  <c r="BC10" i="26"/>
  <c r="CC10" i="26" s="1"/>
  <c r="BA10" i="26"/>
  <c r="AY10" i="26"/>
  <c r="AG10" i="26"/>
  <c r="AI10" i="26" s="1"/>
  <c r="AF10" i="26"/>
  <c r="Y10" i="26"/>
  <c r="AA10" i="26" s="1"/>
  <c r="Q10" i="26"/>
  <c r="R10" i="26" s="1"/>
  <c r="N10" i="26"/>
  <c r="U10" i="26" s="1"/>
  <c r="M10" i="26"/>
  <c r="L10" i="26"/>
  <c r="K10" i="26"/>
  <c r="I10" i="26"/>
  <c r="H10" i="26"/>
  <c r="G10" i="26"/>
  <c r="F10" i="26"/>
  <c r="E10" i="26"/>
  <c r="BT9" i="26"/>
  <c r="BS9" i="26"/>
  <c r="BR9" i="26"/>
  <c r="BQ9" i="26"/>
  <c r="EU9" i="26" s="1"/>
  <c r="BP9" i="26"/>
  <c r="DP9" i="26" s="1"/>
  <c r="BO9" i="26"/>
  <c r="CP9" i="26" s="1"/>
  <c r="BN9" i="26"/>
  <c r="BM9" i="26"/>
  <c r="BL9" i="26"/>
  <c r="BK9" i="26"/>
  <c r="EM9" i="26" s="1"/>
  <c r="BJ9" i="26"/>
  <c r="DL9" i="26" s="1"/>
  <c r="BI9" i="26"/>
  <c r="CK9" i="26" s="1"/>
  <c r="BH9" i="26"/>
  <c r="BG9" i="26"/>
  <c r="BF9" i="26"/>
  <c r="BE9" i="26"/>
  <c r="EE9" i="26" s="1"/>
  <c r="BD9" i="26"/>
  <c r="DD9" i="26" s="1"/>
  <c r="BC9" i="26"/>
  <c r="CC9" i="26" s="1"/>
  <c r="BA9" i="26"/>
  <c r="AV9" i="26"/>
  <c r="AI9" i="26"/>
  <c r="AG9" i="26"/>
  <c r="AF9" i="26"/>
  <c r="AA9" i="26"/>
  <c r="Y9" i="26"/>
  <c r="Q9" i="26"/>
  <c r="R9" i="26" s="1"/>
  <c r="N9" i="26"/>
  <c r="U9" i="26" s="1"/>
  <c r="M9" i="26"/>
  <c r="L9" i="26"/>
  <c r="K9" i="26"/>
  <c r="I9" i="26"/>
  <c r="H9" i="26"/>
  <c r="G9" i="26"/>
  <c r="F9" i="26"/>
  <c r="E9" i="26"/>
  <c r="BT8" i="26"/>
  <c r="BS8" i="26"/>
  <c r="BR8" i="26"/>
  <c r="BQ8" i="26"/>
  <c r="ET8" i="26" s="1"/>
  <c r="BP8" i="26"/>
  <c r="DR8" i="26" s="1"/>
  <c r="BO8" i="26"/>
  <c r="CP8" i="26" s="1"/>
  <c r="BN8" i="26"/>
  <c r="BM8" i="26"/>
  <c r="BL8" i="26"/>
  <c r="BK8" i="26"/>
  <c r="EN8" i="26" s="1"/>
  <c r="BJ8" i="26"/>
  <c r="BI8" i="26"/>
  <c r="CH8" i="26" s="1"/>
  <c r="BH8" i="26"/>
  <c r="BG8" i="26"/>
  <c r="BF8" i="26"/>
  <c r="BE8" i="26"/>
  <c r="EE8" i="26" s="1"/>
  <c r="BD8" i="26"/>
  <c r="DD8" i="26" s="1"/>
  <c r="BC8" i="26"/>
  <c r="BW8" i="26" s="1"/>
  <c r="BA8" i="26"/>
  <c r="AX8" i="26"/>
  <c r="AG8" i="26"/>
  <c r="AI8" i="26" s="1"/>
  <c r="AF8" i="26"/>
  <c r="AA8" i="26"/>
  <c r="Y8" i="26"/>
  <c r="Q8" i="26"/>
  <c r="R8" i="26" s="1"/>
  <c r="N8" i="26"/>
  <c r="U8" i="26" s="1"/>
  <c r="M8" i="26"/>
  <c r="L8" i="26"/>
  <c r="K8" i="26"/>
  <c r="I8" i="26"/>
  <c r="H8" i="26"/>
  <c r="G8" i="26"/>
  <c r="F8" i="26"/>
  <c r="E8" i="26"/>
  <c r="BT7" i="26"/>
  <c r="BS7" i="26"/>
  <c r="BR7" i="26"/>
  <c r="BQ7" i="26"/>
  <c r="EV7" i="26" s="1"/>
  <c r="BP7" i="26"/>
  <c r="DR7" i="26" s="1"/>
  <c r="BO7" i="26"/>
  <c r="CO7" i="26" s="1"/>
  <c r="BN7" i="26"/>
  <c r="BK7" i="26"/>
  <c r="EM7" i="26" s="1"/>
  <c r="BJ7" i="26"/>
  <c r="DK7" i="26" s="1"/>
  <c r="BI7" i="26"/>
  <c r="CJ7" i="26" s="1"/>
  <c r="BE7" i="26"/>
  <c r="DX7" i="26" s="1"/>
  <c r="BD7" i="26"/>
  <c r="DB7" i="26" s="1"/>
  <c r="BC7" i="26"/>
  <c r="CC7" i="26" s="1"/>
  <c r="BA7" i="26"/>
  <c r="AG7" i="26"/>
  <c r="AI7" i="26" s="1"/>
  <c r="AF7" i="26"/>
  <c r="Y7" i="26"/>
  <c r="AA7" i="26" s="1"/>
  <c r="L7" i="26"/>
  <c r="K7" i="26"/>
  <c r="I7" i="26"/>
  <c r="F7" i="26"/>
  <c r="E7" i="26"/>
  <c r="BT6" i="26"/>
  <c r="BS6" i="26"/>
  <c r="BR6" i="26"/>
  <c r="BQ6" i="26"/>
  <c r="ET6" i="26" s="1"/>
  <c r="BP6" i="26"/>
  <c r="DR6" i="26" s="1"/>
  <c r="BO6" i="26"/>
  <c r="CS6" i="26" s="1"/>
  <c r="BN6" i="26"/>
  <c r="BK6" i="26"/>
  <c r="EM6" i="26" s="1"/>
  <c r="BJ6" i="26"/>
  <c r="DK6" i="26" s="1"/>
  <c r="BI6" i="26"/>
  <c r="CJ6" i="26" s="1"/>
  <c r="BA6" i="26"/>
  <c r="AY6" i="26"/>
  <c r="AI6" i="26"/>
  <c r="AG6" i="26"/>
  <c r="AF6" i="26"/>
  <c r="Y6" i="26"/>
  <c r="AA6" i="26" s="1"/>
  <c r="I6" i="26"/>
  <c r="F6" i="26"/>
  <c r="E6" i="26"/>
  <c r="BT5" i="26"/>
  <c r="BS5" i="26"/>
  <c r="BR5" i="26"/>
  <c r="BQ5" i="26"/>
  <c r="ES5" i="26" s="1"/>
  <c r="BP5" i="26"/>
  <c r="DQ5" i="26" s="1"/>
  <c r="BO5" i="26"/>
  <c r="CO5" i="26" s="1"/>
  <c r="BN5" i="26"/>
  <c r="BK5" i="26"/>
  <c r="EM5" i="26" s="1"/>
  <c r="BJ5" i="26"/>
  <c r="DK5" i="26" s="1"/>
  <c r="BI5" i="26"/>
  <c r="CI5" i="26" s="1"/>
  <c r="BC5" i="26"/>
  <c r="CB5" i="26" s="1"/>
  <c r="BA5" i="26"/>
  <c r="AY5" i="26"/>
  <c r="AX5" i="26"/>
  <c r="AP5" i="26"/>
  <c r="AG5" i="26"/>
  <c r="AI5" i="26" s="1"/>
  <c r="AF5" i="26"/>
  <c r="Y5" i="26"/>
  <c r="AA5" i="26" s="1"/>
  <c r="H21" i="31" s="1"/>
  <c r="F21" i="31" s="1"/>
  <c r="I5" i="26"/>
  <c r="F5" i="26"/>
  <c r="E5" i="26"/>
  <c r="BT4" i="26"/>
  <c r="BS4" i="26"/>
  <c r="BR4" i="26"/>
  <c r="BQ4" i="26"/>
  <c r="ET4" i="26" s="1"/>
  <c r="BP4" i="26"/>
  <c r="DR4" i="26" s="1"/>
  <c r="BO4" i="26"/>
  <c r="CS4" i="26" s="1"/>
  <c r="BN4" i="26"/>
  <c r="BK4" i="26"/>
  <c r="EM4" i="26" s="1"/>
  <c r="BJ4" i="26"/>
  <c r="DK4" i="26" s="1"/>
  <c r="BI4" i="26"/>
  <c r="CJ4" i="26" s="1"/>
  <c r="BA4" i="26"/>
  <c r="AV4" i="26"/>
  <c r="AQ4" i="26"/>
  <c r="AP4" i="26"/>
  <c r="AO4" i="26"/>
  <c r="AI4" i="26"/>
  <c r="AG4" i="26"/>
  <c r="AF4" i="26"/>
  <c r="Y4" i="26"/>
  <c r="AA4" i="26" s="1"/>
  <c r="I4" i="26"/>
  <c r="F4" i="26"/>
  <c r="E4" i="26"/>
  <c r="AZ3" i="26"/>
  <c r="AY3" i="26"/>
  <c r="AY55" i="26" s="1"/>
  <c r="AX3" i="26"/>
  <c r="AX55" i="26" s="1"/>
  <c r="AW3" i="26"/>
  <c r="AW39" i="26" s="1"/>
  <c r="AV3" i="26"/>
  <c r="AV47" i="26" s="1"/>
  <c r="AU3" i="26"/>
  <c r="AU61" i="26" s="1"/>
  <c r="AT3" i="26"/>
  <c r="AT32" i="26" s="1"/>
  <c r="AS3" i="26"/>
  <c r="AS61" i="26" s="1"/>
  <c r="AR3" i="26"/>
  <c r="AR64" i="26" s="1"/>
  <c r="AQ3" i="26"/>
  <c r="AQ61" i="26" s="1"/>
  <c r="AP3" i="26"/>
  <c r="AP61" i="26" s="1"/>
  <c r="AO3" i="26"/>
  <c r="AM3" i="26"/>
  <c r="AM67" i="26" s="1"/>
  <c r="AL3" i="26"/>
  <c r="AL67" i="26" s="1"/>
  <c r="AK3" i="26"/>
  <c r="AK67" i="26" s="1"/>
  <c r="DG99" i="16"/>
  <c r="DF99" i="16"/>
  <c r="DE99" i="16"/>
  <c r="DD99" i="16"/>
  <c r="DC99" i="16"/>
  <c r="DB99" i="16"/>
  <c r="DA99" i="16"/>
  <c r="CZ99" i="16"/>
  <c r="CY99" i="16"/>
  <c r="CX99" i="16"/>
  <c r="CW99" i="16"/>
  <c r="CV99" i="16"/>
  <c r="CU99" i="16"/>
  <c r="CQ99" i="16"/>
  <c r="CJ99" i="16"/>
  <c r="CI99" i="16"/>
  <c r="CH99" i="16"/>
  <c r="CG99" i="16"/>
  <c r="CF99" i="16"/>
  <c r="CE99" i="16"/>
  <c r="CD99" i="16"/>
  <c r="CC99" i="16"/>
  <c r="CB99" i="16"/>
  <c r="CA99" i="16"/>
  <c r="BX99" i="16"/>
  <c r="BV99" i="16"/>
  <c r="BU99" i="16"/>
  <c r="BT99" i="16"/>
  <c r="BS99" i="16"/>
  <c r="BR99" i="16"/>
  <c r="BQ99" i="16"/>
  <c r="BP99" i="16"/>
  <c r="BO99" i="16"/>
  <c r="BN99" i="16"/>
  <c r="BM99" i="16"/>
  <c r="BL99" i="16"/>
  <c r="BK99" i="16"/>
  <c r="BJ99" i="16"/>
  <c r="BI99" i="16"/>
  <c r="BH99" i="16"/>
  <c r="BG99" i="16"/>
  <c r="BF99" i="16"/>
  <c r="BE99" i="16"/>
  <c r="AV99" i="16"/>
  <c r="BA99" i="16" s="1"/>
  <c r="DG98" i="16"/>
  <c r="DF98" i="16"/>
  <c r="DE98" i="16"/>
  <c r="DD98" i="16"/>
  <c r="DC98" i="16"/>
  <c r="DB98" i="16"/>
  <c r="DA98" i="16"/>
  <c r="CZ98" i="16"/>
  <c r="CY98" i="16"/>
  <c r="CX98" i="16"/>
  <c r="CW98" i="16"/>
  <c r="CV98" i="16"/>
  <c r="CU98" i="16"/>
  <c r="CQ98" i="16"/>
  <c r="CJ98" i="16"/>
  <c r="CI98" i="16"/>
  <c r="CH98" i="16"/>
  <c r="CG98" i="16"/>
  <c r="CF98" i="16"/>
  <c r="CE98" i="16"/>
  <c r="CD98" i="16"/>
  <c r="CC98" i="16"/>
  <c r="CB98" i="16"/>
  <c r="CA98" i="16"/>
  <c r="BX98" i="16"/>
  <c r="BV98" i="16"/>
  <c r="BU98" i="16"/>
  <c r="BT98" i="16"/>
  <c r="BS98" i="16"/>
  <c r="BR98" i="16"/>
  <c r="BQ98" i="16"/>
  <c r="BP98" i="16"/>
  <c r="BO98" i="16"/>
  <c r="BN98" i="16"/>
  <c r="BM98" i="16"/>
  <c r="BL98" i="16"/>
  <c r="BK98" i="16"/>
  <c r="BJ98" i="16"/>
  <c r="BI98" i="16"/>
  <c r="BH98" i="16"/>
  <c r="BG98" i="16"/>
  <c r="BF98" i="16"/>
  <c r="BE98" i="16"/>
  <c r="AV98" i="16"/>
  <c r="BA98" i="16" s="1"/>
  <c r="DG97" i="16"/>
  <c r="DF97" i="16"/>
  <c r="DE97" i="16"/>
  <c r="DD97" i="16"/>
  <c r="DC97" i="16"/>
  <c r="DB97" i="16"/>
  <c r="DA97" i="16"/>
  <c r="CZ97" i="16"/>
  <c r="CY97" i="16"/>
  <c r="CX97" i="16"/>
  <c r="CW97" i="16"/>
  <c r="CV97" i="16"/>
  <c r="CU97" i="16"/>
  <c r="CQ97" i="16"/>
  <c r="CJ97" i="16"/>
  <c r="CI97" i="16"/>
  <c r="CH97" i="16"/>
  <c r="CG97" i="16"/>
  <c r="CF97" i="16"/>
  <c r="CE97" i="16"/>
  <c r="CD97" i="16"/>
  <c r="CC97" i="16"/>
  <c r="CB97" i="16"/>
  <c r="CA97" i="16"/>
  <c r="BX97" i="16"/>
  <c r="BV97" i="16"/>
  <c r="BU97" i="16"/>
  <c r="BT97" i="16"/>
  <c r="BS97" i="16"/>
  <c r="BR97" i="16"/>
  <c r="BQ97" i="16"/>
  <c r="BP97" i="16"/>
  <c r="BO97" i="16"/>
  <c r="BN97" i="16"/>
  <c r="BM97" i="16"/>
  <c r="BL97" i="16"/>
  <c r="BK97" i="16"/>
  <c r="BJ97" i="16"/>
  <c r="BI97" i="16"/>
  <c r="BH97" i="16"/>
  <c r="BG97" i="16"/>
  <c r="BF97" i="16"/>
  <c r="BE97" i="16"/>
  <c r="AV97" i="16"/>
  <c r="BA97" i="16" s="1"/>
  <c r="DG96" i="16"/>
  <c r="DF96" i="16"/>
  <c r="DE96" i="16"/>
  <c r="DD96" i="16"/>
  <c r="DC96" i="16"/>
  <c r="DB96" i="16"/>
  <c r="DA96" i="16"/>
  <c r="CZ96" i="16"/>
  <c r="CY96" i="16"/>
  <c r="CX96" i="16"/>
  <c r="CW96" i="16"/>
  <c r="CV96" i="16"/>
  <c r="CU96" i="16"/>
  <c r="CQ96" i="16"/>
  <c r="CJ96" i="16"/>
  <c r="CI96" i="16"/>
  <c r="CH96" i="16"/>
  <c r="CG96" i="16"/>
  <c r="CF96" i="16"/>
  <c r="CE96" i="16"/>
  <c r="CD96" i="16"/>
  <c r="CC96" i="16"/>
  <c r="CB96" i="16"/>
  <c r="CA96" i="16"/>
  <c r="BX96" i="16"/>
  <c r="BV96" i="16"/>
  <c r="BU96" i="16"/>
  <c r="BT96" i="16"/>
  <c r="BS96" i="16"/>
  <c r="BR96" i="16"/>
  <c r="BQ96" i="16"/>
  <c r="BP96" i="16"/>
  <c r="BO96" i="16"/>
  <c r="BN96" i="16"/>
  <c r="BM96" i="16"/>
  <c r="BL96" i="16"/>
  <c r="BK96" i="16"/>
  <c r="BJ96" i="16"/>
  <c r="BI96" i="16"/>
  <c r="BH96" i="16"/>
  <c r="BG96" i="16"/>
  <c r="BF96" i="16"/>
  <c r="BE96" i="16"/>
  <c r="AV96" i="16"/>
  <c r="BA96" i="16" s="1"/>
  <c r="DG95" i="16"/>
  <c r="DF95" i="16"/>
  <c r="DE95" i="16"/>
  <c r="DD95" i="16"/>
  <c r="DC95" i="16"/>
  <c r="DB95" i="16"/>
  <c r="DA95" i="16"/>
  <c r="CZ95" i="16"/>
  <c r="CY95" i="16"/>
  <c r="CX95" i="16"/>
  <c r="CW95" i="16"/>
  <c r="CV95" i="16"/>
  <c r="CU95" i="16"/>
  <c r="CQ95" i="16"/>
  <c r="CJ95" i="16"/>
  <c r="CI95" i="16"/>
  <c r="CH95" i="16"/>
  <c r="CG95" i="16"/>
  <c r="CF95" i="16"/>
  <c r="CE95" i="16"/>
  <c r="CD95" i="16"/>
  <c r="CC95" i="16"/>
  <c r="CB95" i="16"/>
  <c r="CA95" i="16"/>
  <c r="BX95" i="16"/>
  <c r="BV95" i="16"/>
  <c r="BU95" i="16"/>
  <c r="BT95" i="16"/>
  <c r="BS95" i="16"/>
  <c r="BR95" i="16"/>
  <c r="BQ95" i="16"/>
  <c r="BP95" i="16"/>
  <c r="BO95" i="16"/>
  <c r="BN95" i="16"/>
  <c r="BM95" i="16"/>
  <c r="BL95" i="16"/>
  <c r="BK95" i="16"/>
  <c r="BJ95" i="16"/>
  <c r="BI95" i="16"/>
  <c r="BH95" i="16"/>
  <c r="BG95" i="16"/>
  <c r="BF95" i="16"/>
  <c r="BE95" i="16"/>
  <c r="AV95" i="16"/>
  <c r="BA95" i="16" s="1"/>
  <c r="DG94" i="16"/>
  <c r="DF94" i="16"/>
  <c r="DE94" i="16"/>
  <c r="DD94" i="16"/>
  <c r="DC94" i="16"/>
  <c r="DB94" i="16"/>
  <c r="DA94" i="16"/>
  <c r="CZ94" i="16"/>
  <c r="CY94" i="16"/>
  <c r="CX94" i="16"/>
  <c r="CW94" i="16"/>
  <c r="CV94" i="16"/>
  <c r="CU94" i="16"/>
  <c r="CQ94" i="16"/>
  <c r="CJ94" i="16"/>
  <c r="CI94" i="16"/>
  <c r="CH94" i="16"/>
  <c r="CG94" i="16"/>
  <c r="CF94" i="16"/>
  <c r="CE94" i="16"/>
  <c r="CD94" i="16"/>
  <c r="CC94" i="16"/>
  <c r="CB94" i="16"/>
  <c r="CA94" i="16"/>
  <c r="BY94" i="16"/>
  <c r="BX94" i="16"/>
  <c r="BV94" i="16"/>
  <c r="BU94" i="16"/>
  <c r="BT94" i="16"/>
  <c r="BS94" i="16"/>
  <c r="BR94" i="16"/>
  <c r="BQ94" i="16"/>
  <c r="BP94" i="16"/>
  <c r="BO94" i="16"/>
  <c r="BN94" i="16"/>
  <c r="BM94" i="16"/>
  <c r="BL94" i="16"/>
  <c r="BK94" i="16"/>
  <c r="BJ94" i="16"/>
  <c r="BI94" i="16"/>
  <c r="BH94" i="16"/>
  <c r="BG94" i="16"/>
  <c r="BF94" i="16"/>
  <c r="BE94" i="16"/>
  <c r="AV94" i="16"/>
  <c r="BA94" i="16" s="1"/>
  <c r="DG93" i="16"/>
  <c r="DF93" i="16"/>
  <c r="DE93" i="16"/>
  <c r="DD93" i="16"/>
  <c r="DC93" i="16"/>
  <c r="DB93" i="16"/>
  <c r="DA93" i="16"/>
  <c r="CZ93" i="16"/>
  <c r="CY93" i="16"/>
  <c r="CX93" i="16"/>
  <c r="CW93" i="16"/>
  <c r="CV93" i="16"/>
  <c r="CU93" i="16"/>
  <c r="CQ93" i="16"/>
  <c r="CJ93" i="16"/>
  <c r="CI93" i="16"/>
  <c r="CH93" i="16"/>
  <c r="CG93" i="16"/>
  <c r="CF93" i="16"/>
  <c r="CE93" i="16"/>
  <c r="CD93" i="16"/>
  <c r="CC93" i="16"/>
  <c r="CB93" i="16"/>
  <c r="CA93" i="16"/>
  <c r="BX93" i="16"/>
  <c r="BV93" i="16"/>
  <c r="BU93" i="16"/>
  <c r="BT93" i="16"/>
  <c r="BS93" i="16"/>
  <c r="BR93" i="16"/>
  <c r="BQ93" i="16"/>
  <c r="BP93" i="16"/>
  <c r="BO93" i="16"/>
  <c r="BN93" i="16"/>
  <c r="BM93" i="16"/>
  <c r="BL93" i="16"/>
  <c r="BK93" i="16"/>
  <c r="BJ93" i="16"/>
  <c r="BI93" i="16"/>
  <c r="BH93" i="16"/>
  <c r="BG93" i="16"/>
  <c r="BF93" i="16"/>
  <c r="BE93" i="16"/>
  <c r="AV93" i="16"/>
  <c r="BA93" i="16" s="1"/>
  <c r="DG92" i="16"/>
  <c r="DF92" i="16"/>
  <c r="DE92" i="16"/>
  <c r="DD92" i="16"/>
  <c r="DC92" i="16"/>
  <c r="DB92" i="16"/>
  <c r="DA92" i="16"/>
  <c r="CZ92" i="16"/>
  <c r="CY92" i="16"/>
  <c r="CX92" i="16"/>
  <c r="CW92" i="16"/>
  <c r="CV92" i="16"/>
  <c r="CU92" i="16"/>
  <c r="CQ92" i="16"/>
  <c r="CJ92" i="16"/>
  <c r="CI92" i="16"/>
  <c r="CH92" i="16"/>
  <c r="CG92" i="16"/>
  <c r="CF92" i="16"/>
  <c r="CE92" i="16"/>
  <c r="CD92" i="16"/>
  <c r="CC92" i="16"/>
  <c r="CB92" i="16"/>
  <c r="CA92" i="16"/>
  <c r="BX92" i="16"/>
  <c r="BV92" i="16"/>
  <c r="BU92" i="16"/>
  <c r="BT92" i="16"/>
  <c r="BS92" i="16"/>
  <c r="BR92" i="16"/>
  <c r="BQ92" i="16"/>
  <c r="BP92" i="16"/>
  <c r="BO92" i="16"/>
  <c r="BN92" i="16"/>
  <c r="BM92" i="16"/>
  <c r="BL92" i="16"/>
  <c r="BK92" i="16"/>
  <c r="BJ92" i="16"/>
  <c r="BI92" i="16"/>
  <c r="BH92" i="16"/>
  <c r="BG92" i="16"/>
  <c r="BF92" i="16"/>
  <c r="BE92" i="16"/>
  <c r="BA92" i="16"/>
  <c r="AV92" i="16"/>
  <c r="DG91" i="16"/>
  <c r="DF91" i="16"/>
  <c r="DE91" i="16"/>
  <c r="DD91" i="16"/>
  <c r="DC91" i="16"/>
  <c r="DB91" i="16"/>
  <c r="DA91" i="16"/>
  <c r="CZ91" i="16"/>
  <c r="CY91" i="16"/>
  <c r="CX91" i="16"/>
  <c r="CW91" i="16"/>
  <c r="CV91" i="16"/>
  <c r="CU91" i="16"/>
  <c r="CR91" i="16"/>
  <c r="CQ91" i="16"/>
  <c r="CJ91" i="16"/>
  <c r="CI91" i="16"/>
  <c r="CH91" i="16"/>
  <c r="CG91" i="16"/>
  <c r="CF91" i="16"/>
  <c r="CE91" i="16"/>
  <c r="CD91" i="16"/>
  <c r="CC91" i="16"/>
  <c r="CB91" i="16"/>
  <c r="CA91" i="16"/>
  <c r="BX91" i="16"/>
  <c r="BV91" i="16"/>
  <c r="BU91" i="16"/>
  <c r="BT91" i="16"/>
  <c r="BS91" i="16"/>
  <c r="BR91" i="16"/>
  <c r="BQ91" i="16"/>
  <c r="BP91" i="16"/>
  <c r="BO91" i="16"/>
  <c r="BN91" i="16"/>
  <c r="BM91" i="16"/>
  <c r="BL91" i="16"/>
  <c r="BK91" i="16"/>
  <c r="BJ91" i="16"/>
  <c r="BI91" i="16"/>
  <c r="BH91" i="16"/>
  <c r="BG91" i="16"/>
  <c r="BF91" i="16"/>
  <c r="BE91" i="16"/>
  <c r="AV91" i="16"/>
  <c r="BA91" i="16" s="1"/>
  <c r="DG90" i="16"/>
  <c r="DF90" i="16"/>
  <c r="DE90" i="16"/>
  <c r="DD90" i="16"/>
  <c r="DC90" i="16"/>
  <c r="DB90" i="16"/>
  <c r="DA90" i="16"/>
  <c r="CZ90" i="16"/>
  <c r="CY90" i="16"/>
  <c r="CX90" i="16"/>
  <c r="CW90" i="16"/>
  <c r="CV90" i="16"/>
  <c r="CU90" i="16"/>
  <c r="CQ90" i="16"/>
  <c r="CJ90" i="16"/>
  <c r="CI90" i="16"/>
  <c r="CH90" i="16"/>
  <c r="CG90" i="16"/>
  <c r="CF90" i="16"/>
  <c r="CE90" i="16"/>
  <c r="CD90" i="16"/>
  <c r="CC90" i="16"/>
  <c r="CB90" i="16"/>
  <c r="CA90" i="16"/>
  <c r="BX90" i="16"/>
  <c r="BV90" i="16"/>
  <c r="BU90" i="16"/>
  <c r="BT90" i="16"/>
  <c r="BS90" i="16"/>
  <c r="BR90" i="16"/>
  <c r="BQ90" i="16"/>
  <c r="BP90" i="16"/>
  <c r="BO90" i="16"/>
  <c r="BN90" i="16"/>
  <c r="BM90" i="16"/>
  <c r="BL90" i="16"/>
  <c r="BK90" i="16"/>
  <c r="BJ90" i="16"/>
  <c r="BI90" i="16"/>
  <c r="BH90" i="16"/>
  <c r="BG90" i="16"/>
  <c r="BF90" i="16"/>
  <c r="BE90" i="16"/>
  <c r="AV90" i="16"/>
  <c r="BA90" i="16" s="1"/>
  <c r="DG89" i="16"/>
  <c r="DF89" i="16"/>
  <c r="DE89" i="16"/>
  <c r="DD89" i="16"/>
  <c r="DC89" i="16"/>
  <c r="DB89" i="16"/>
  <c r="DA89" i="16"/>
  <c r="CZ89" i="16"/>
  <c r="CY89" i="16"/>
  <c r="CX89" i="16"/>
  <c r="CW89" i="16"/>
  <c r="CV89" i="16"/>
  <c r="CU89" i="16"/>
  <c r="CR89" i="16"/>
  <c r="CQ89" i="16"/>
  <c r="CJ89" i="16"/>
  <c r="CI89" i="16"/>
  <c r="CH89" i="16"/>
  <c r="CG89" i="16"/>
  <c r="CF89" i="16"/>
  <c r="CE89" i="16"/>
  <c r="CD89" i="16"/>
  <c r="CC89" i="16"/>
  <c r="CB89" i="16"/>
  <c r="CA89" i="16"/>
  <c r="BX89" i="16"/>
  <c r="BV89" i="16"/>
  <c r="BU89" i="16"/>
  <c r="BT89" i="16"/>
  <c r="BS89" i="16"/>
  <c r="BR89" i="16"/>
  <c r="BQ89" i="16"/>
  <c r="BP89" i="16"/>
  <c r="BO89" i="16"/>
  <c r="BN89" i="16"/>
  <c r="BM89" i="16"/>
  <c r="BL89" i="16"/>
  <c r="BK89" i="16"/>
  <c r="BJ89" i="16"/>
  <c r="BI89" i="16"/>
  <c r="BH89" i="16"/>
  <c r="BG89" i="16"/>
  <c r="BF89" i="16"/>
  <c r="BE89" i="16"/>
  <c r="AV89" i="16"/>
  <c r="BA89" i="16" s="1"/>
  <c r="DN88" i="16"/>
  <c r="DM88" i="16"/>
  <c r="DL88" i="16"/>
  <c r="DK88" i="16"/>
  <c r="DJ88" i="16"/>
  <c r="DI88" i="16"/>
  <c r="DG88" i="16"/>
  <c r="DF88" i="16"/>
  <c r="DE88" i="16"/>
  <c r="DD88" i="16"/>
  <c r="DC88" i="16"/>
  <c r="DB88" i="16"/>
  <c r="DA88" i="16"/>
  <c r="CZ88" i="16"/>
  <c r="CY88" i="16"/>
  <c r="CX88" i="16"/>
  <c r="CW88" i="16"/>
  <c r="CV88" i="16"/>
  <c r="CU88" i="16"/>
  <c r="CQ88" i="16"/>
  <c r="CO88" i="16"/>
  <c r="CN88" i="16"/>
  <c r="CM88" i="16"/>
  <c r="CL88" i="16"/>
  <c r="CJ88" i="16"/>
  <c r="CI88" i="16"/>
  <c r="CH88" i="16"/>
  <c r="CG88" i="16"/>
  <c r="CF88" i="16"/>
  <c r="CE88" i="16"/>
  <c r="CD88" i="16"/>
  <c r="CC88" i="16"/>
  <c r="CB88" i="16"/>
  <c r="CA88" i="16"/>
  <c r="BX88" i="16"/>
  <c r="BV88" i="16"/>
  <c r="BU88" i="16"/>
  <c r="BT88" i="16"/>
  <c r="BS88" i="16"/>
  <c r="BR88" i="16"/>
  <c r="BQ88" i="16"/>
  <c r="BP88" i="16"/>
  <c r="BO88" i="16"/>
  <c r="BN88" i="16"/>
  <c r="BM88" i="16"/>
  <c r="BL88" i="16"/>
  <c r="BK88" i="16"/>
  <c r="BJ88" i="16"/>
  <c r="BI88" i="16"/>
  <c r="BH88" i="16"/>
  <c r="BG88" i="16"/>
  <c r="BF88" i="16"/>
  <c r="BE88" i="16"/>
  <c r="AY88" i="16"/>
  <c r="AX88" i="16"/>
  <c r="BC88" i="16" s="1"/>
  <c r="AV88" i="16"/>
  <c r="BA88" i="16" s="1"/>
  <c r="DN87" i="16"/>
  <c r="DM87" i="16"/>
  <c r="DL87" i="16"/>
  <c r="DK87" i="16"/>
  <c r="DJ87" i="16"/>
  <c r="DI87" i="16"/>
  <c r="DG87" i="16"/>
  <c r="DF87" i="16"/>
  <c r="DE87" i="16"/>
  <c r="DD87" i="16"/>
  <c r="DC87" i="16"/>
  <c r="DB87" i="16"/>
  <c r="DA87" i="16"/>
  <c r="CZ87" i="16"/>
  <c r="CY87" i="16"/>
  <c r="CX87" i="16"/>
  <c r="CW87" i="16"/>
  <c r="CV87" i="16"/>
  <c r="CU87" i="16"/>
  <c r="CR87" i="16"/>
  <c r="CQ87" i="16"/>
  <c r="CO87" i="16"/>
  <c r="CN87" i="16"/>
  <c r="CM87" i="16"/>
  <c r="CL87" i="16"/>
  <c r="CJ87" i="16"/>
  <c r="CI87" i="16"/>
  <c r="CH87" i="16"/>
  <c r="CG87" i="16"/>
  <c r="CF87" i="16"/>
  <c r="CE87" i="16"/>
  <c r="CD87" i="16"/>
  <c r="CC87" i="16"/>
  <c r="CB87" i="16"/>
  <c r="CA87" i="16"/>
  <c r="BX87" i="16"/>
  <c r="BV87" i="16"/>
  <c r="BU87" i="16"/>
  <c r="BT87" i="16"/>
  <c r="BS87" i="16"/>
  <c r="BR87" i="16"/>
  <c r="BQ87" i="16"/>
  <c r="BP87" i="16"/>
  <c r="BO87" i="16"/>
  <c r="BN87" i="16"/>
  <c r="BM87" i="16"/>
  <c r="BL87" i="16"/>
  <c r="BK87" i="16"/>
  <c r="BJ87" i="16"/>
  <c r="BI87" i="16"/>
  <c r="BH87" i="16"/>
  <c r="BG87" i="16"/>
  <c r="BF87" i="16"/>
  <c r="BE87" i="16"/>
  <c r="AY87" i="16"/>
  <c r="AX87" i="16"/>
  <c r="BC87" i="16" s="1"/>
  <c r="AV87" i="16"/>
  <c r="BA87" i="16" s="1"/>
  <c r="DN86" i="16"/>
  <c r="DM86" i="16"/>
  <c r="DL86" i="16"/>
  <c r="DK86" i="16"/>
  <c r="DJ86" i="16"/>
  <c r="DI86" i="16"/>
  <c r="DG86" i="16"/>
  <c r="DF86" i="16"/>
  <c r="DE86" i="16"/>
  <c r="DD86" i="16"/>
  <c r="DC86" i="16"/>
  <c r="DB86" i="16"/>
  <c r="DA86" i="16"/>
  <c r="CZ86" i="16"/>
  <c r="CY86" i="16"/>
  <c r="CX86" i="16"/>
  <c r="CW86" i="16"/>
  <c r="CV86" i="16"/>
  <c r="CU86" i="16"/>
  <c r="CQ86" i="16"/>
  <c r="CO86" i="16"/>
  <c r="CN86" i="16"/>
  <c r="CM86" i="16"/>
  <c r="CL86" i="16"/>
  <c r="CJ86" i="16"/>
  <c r="CI86" i="16"/>
  <c r="CH86" i="16"/>
  <c r="CG86" i="16"/>
  <c r="CF86" i="16"/>
  <c r="CE86" i="16"/>
  <c r="CD86" i="16"/>
  <c r="CC86" i="16"/>
  <c r="CB86" i="16"/>
  <c r="CA86" i="16"/>
  <c r="BX86" i="16"/>
  <c r="BV86" i="16"/>
  <c r="BU86" i="16"/>
  <c r="BT86" i="16"/>
  <c r="BS86" i="16"/>
  <c r="BR86" i="16"/>
  <c r="BQ86" i="16"/>
  <c r="BP86" i="16"/>
  <c r="BO86" i="16"/>
  <c r="BN86" i="16"/>
  <c r="BM86" i="16"/>
  <c r="BL86" i="16"/>
  <c r="BK86" i="16"/>
  <c r="BJ86" i="16"/>
  <c r="BI86" i="16"/>
  <c r="BH86" i="16"/>
  <c r="BG86" i="16"/>
  <c r="BF86" i="16"/>
  <c r="BE86" i="16"/>
  <c r="AX86" i="16"/>
  <c r="BC86" i="16" s="1"/>
  <c r="AV86" i="16"/>
  <c r="BA86" i="16" s="1"/>
  <c r="DN85" i="16"/>
  <c r="DM85" i="16"/>
  <c r="DL85" i="16"/>
  <c r="DK85" i="16"/>
  <c r="DJ85" i="16"/>
  <c r="DI85" i="16"/>
  <c r="DG85" i="16"/>
  <c r="DF85" i="16"/>
  <c r="DE85" i="16"/>
  <c r="DD85" i="16"/>
  <c r="DC85" i="16"/>
  <c r="DB85" i="16"/>
  <c r="DA85" i="16"/>
  <c r="CZ85" i="16"/>
  <c r="CY85" i="16"/>
  <c r="CX85" i="16"/>
  <c r="CW85" i="16"/>
  <c r="CV85" i="16"/>
  <c r="CU85" i="16"/>
  <c r="CQ85" i="16"/>
  <c r="CO85" i="16"/>
  <c r="CN85" i="16"/>
  <c r="CM85" i="16"/>
  <c r="CL85" i="16"/>
  <c r="CJ85" i="16"/>
  <c r="CI85" i="16"/>
  <c r="CH85" i="16"/>
  <c r="CG85" i="16"/>
  <c r="CF85" i="16"/>
  <c r="CE85" i="16"/>
  <c r="CD85" i="16"/>
  <c r="CC85" i="16"/>
  <c r="CB85" i="16"/>
  <c r="CA85" i="16"/>
  <c r="BX85" i="16"/>
  <c r="BV85" i="16"/>
  <c r="BU85" i="16"/>
  <c r="BT85" i="16"/>
  <c r="BS85" i="16"/>
  <c r="BR85" i="16"/>
  <c r="BQ85" i="16"/>
  <c r="BP85" i="16"/>
  <c r="BO85" i="16"/>
  <c r="BN85" i="16"/>
  <c r="BM85" i="16"/>
  <c r="BL85" i="16"/>
  <c r="BK85" i="16"/>
  <c r="BJ85" i="16"/>
  <c r="BI85" i="16"/>
  <c r="BH85" i="16"/>
  <c r="BG85" i="16"/>
  <c r="BF85" i="16"/>
  <c r="BE85" i="16"/>
  <c r="AX85" i="16"/>
  <c r="BC85" i="16" s="1"/>
  <c r="AV85" i="16"/>
  <c r="BA85" i="16" s="1"/>
  <c r="DN84" i="16"/>
  <c r="DM84" i="16"/>
  <c r="DL84" i="16"/>
  <c r="DK84" i="16"/>
  <c r="DJ84" i="16"/>
  <c r="DI84" i="16"/>
  <c r="DG84" i="16"/>
  <c r="DF84" i="16"/>
  <c r="DE84" i="16"/>
  <c r="DD84" i="16"/>
  <c r="DC84" i="16"/>
  <c r="DB84" i="16"/>
  <c r="DA84" i="16"/>
  <c r="CZ84" i="16"/>
  <c r="CY84" i="16"/>
  <c r="CX84" i="16"/>
  <c r="CW84" i="16"/>
  <c r="CV84" i="16"/>
  <c r="CU84" i="16"/>
  <c r="CQ84" i="16"/>
  <c r="CO84" i="16"/>
  <c r="CN84" i="16"/>
  <c r="CM84" i="16"/>
  <c r="CL84" i="16"/>
  <c r="CJ84" i="16"/>
  <c r="CI84" i="16"/>
  <c r="CH84" i="16"/>
  <c r="CG84" i="16"/>
  <c r="CF84" i="16"/>
  <c r="CE84" i="16"/>
  <c r="CD84" i="16"/>
  <c r="CC84" i="16"/>
  <c r="CB84" i="16"/>
  <c r="CA84" i="16"/>
  <c r="BX84" i="16"/>
  <c r="BV84" i="16"/>
  <c r="BU84" i="16"/>
  <c r="BT84" i="16"/>
  <c r="BS84" i="16"/>
  <c r="BR84" i="16"/>
  <c r="BQ84" i="16"/>
  <c r="BP84" i="16"/>
  <c r="BO84" i="16"/>
  <c r="BN84" i="16"/>
  <c r="BM84" i="16"/>
  <c r="BL84" i="16"/>
  <c r="BK84" i="16"/>
  <c r="BJ84" i="16"/>
  <c r="BI84" i="16"/>
  <c r="BH84" i="16"/>
  <c r="BG84" i="16"/>
  <c r="BF84" i="16"/>
  <c r="BE84" i="16"/>
  <c r="AX84" i="16"/>
  <c r="BC84" i="16" s="1"/>
  <c r="AV84" i="16"/>
  <c r="BA84" i="16" s="1"/>
  <c r="DN83" i="16"/>
  <c r="DM83" i="16"/>
  <c r="DL83" i="16"/>
  <c r="DK83" i="16"/>
  <c r="DJ83" i="16"/>
  <c r="DI83" i="16"/>
  <c r="DG83" i="16"/>
  <c r="DF83" i="16"/>
  <c r="DE83" i="16"/>
  <c r="DD83" i="16"/>
  <c r="DC83" i="16"/>
  <c r="DB83" i="16"/>
  <c r="DA83" i="16"/>
  <c r="CZ83" i="16"/>
  <c r="CY83" i="16"/>
  <c r="CX83" i="16"/>
  <c r="CW83" i="16"/>
  <c r="CV83" i="16"/>
  <c r="CU83" i="16"/>
  <c r="CS83" i="16"/>
  <c r="CQ83" i="16"/>
  <c r="CO83" i="16"/>
  <c r="CN83" i="16"/>
  <c r="CM83" i="16"/>
  <c r="CL83" i="16"/>
  <c r="CJ83" i="16"/>
  <c r="CI83" i="16"/>
  <c r="CH83" i="16"/>
  <c r="CG83" i="16"/>
  <c r="CF83" i="16"/>
  <c r="CE83" i="16"/>
  <c r="CD83" i="16"/>
  <c r="CC83" i="16"/>
  <c r="CB83" i="16"/>
  <c r="CA83" i="16"/>
  <c r="BX83" i="16"/>
  <c r="BV83" i="16"/>
  <c r="BU83" i="16"/>
  <c r="BT83" i="16"/>
  <c r="BS83" i="16"/>
  <c r="BR83" i="16"/>
  <c r="BQ83" i="16"/>
  <c r="BP83" i="16"/>
  <c r="BO83" i="16"/>
  <c r="BN83" i="16"/>
  <c r="BM83" i="16"/>
  <c r="BL83" i="16"/>
  <c r="BK83" i="16"/>
  <c r="BJ83" i="16"/>
  <c r="BI83" i="16"/>
  <c r="BH83" i="16"/>
  <c r="BG83" i="16"/>
  <c r="BF83" i="16"/>
  <c r="BE83" i="16"/>
  <c r="AX83" i="16"/>
  <c r="BC83" i="16" s="1"/>
  <c r="AV83" i="16"/>
  <c r="BA83" i="16" s="1"/>
  <c r="DN82" i="16"/>
  <c r="DM82" i="16"/>
  <c r="DL82" i="16"/>
  <c r="DK82" i="16"/>
  <c r="DJ82" i="16"/>
  <c r="DI82" i="16"/>
  <c r="DG82" i="16"/>
  <c r="DF82" i="16"/>
  <c r="DE82" i="16"/>
  <c r="DD82" i="16"/>
  <c r="DC82" i="16"/>
  <c r="DB82" i="16"/>
  <c r="DA82" i="16"/>
  <c r="CZ82" i="16"/>
  <c r="CY82" i="16"/>
  <c r="CX82" i="16"/>
  <c r="CW82" i="16"/>
  <c r="CV82" i="16"/>
  <c r="CU82" i="16"/>
  <c r="CS82" i="16"/>
  <c r="CQ82" i="16"/>
  <c r="CO82" i="16"/>
  <c r="CN82" i="16"/>
  <c r="CM82" i="16"/>
  <c r="CL82" i="16"/>
  <c r="CJ82" i="16"/>
  <c r="CI82" i="16"/>
  <c r="CH82" i="16"/>
  <c r="CG82" i="16"/>
  <c r="CF82" i="16"/>
  <c r="CE82" i="16"/>
  <c r="CD82" i="16"/>
  <c r="CC82" i="16"/>
  <c r="CB82" i="16"/>
  <c r="CA82" i="16"/>
  <c r="BX82" i="16"/>
  <c r="BV82" i="16"/>
  <c r="BU82" i="16"/>
  <c r="BT82" i="16"/>
  <c r="BS82" i="16"/>
  <c r="BR82" i="16"/>
  <c r="BQ82" i="16"/>
  <c r="BP82" i="16"/>
  <c r="BO82" i="16"/>
  <c r="BN82" i="16"/>
  <c r="BM82" i="16"/>
  <c r="BL82" i="16"/>
  <c r="BK82" i="16"/>
  <c r="BJ82" i="16"/>
  <c r="BI82" i="16"/>
  <c r="BH82" i="16"/>
  <c r="BG82" i="16"/>
  <c r="BF82" i="16"/>
  <c r="BE82" i="16"/>
  <c r="AX82" i="16"/>
  <c r="BC82" i="16" s="1"/>
  <c r="AV82" i="16"/>
  <c r="BA82" i="16" s="1"/>
  <c r="DN81" i="16"/>
  <c r="DM81" i="16"/>
  <c r="DL81" i="16"/>
  <c r="DK81" i="16"/>
  <c r="DJ81" i="16"/>
  <c r="DI81" i="16"/>
  <c r="DG81" i="16"/>
  <c r="DF81" i="16"/>
  <c r="DE81" i="16"/>
  <c r="DD81" i="16"/>
  <c r="DC81" i="16"/>
  <c r="DB81" i="16"/>
  <c r="DA81" i="16"/>
  <c r="CZ81" i="16"/>
  <c r="CY81" i="16"/>
  <c r="CX81" i="16"/>
  <c r="CW81" i="16"/>
  <c r="CV81" i="16"/>
  <c r="CU81" i="16"/>
  <c r="CR81" i="16"/>
  <c r="CQ81" i="16"/>
  <c r="CO81" i="16"/>
  <c r="CN81" i="16"/>
  <c r="CM81" i="16"/>
  <c r="CL81" i="16"/>
  <c r="CJ81" i="16"/>
  <c r="CI81" i="16"/>
  <c r="CH81" i="16"/>
  <c r="CG81" i="16"/>
  <c r="CF81" i="16"/>
  <c r="CE81" i="16"/>
  <c r="CD81" i="16"/>
  <c r="CC81" i="16"/>
  <c r="CB81" i="16"/>
  <c r="CA81" i="16"/>
  <c r="BX81" i="16"/>
  <c r="BV81" i="16"/>
  <c r="BU81" i="16"/>
  <c r="BT81" i="16"/>
  <c r="BS81" i="16"/>
  <c r="BR81" i="16"/>
  <c r="BQ81" i="16"/>
  <c r="BP81" i="16"/>
  <c r="BO81" i="16"/>
  <c r="BN81" i="16"/>
  <c r="BM81" i="16"/>
  <c r="BL81" i="16"/>
  <c r="BK81" i="16"/>
  <c r="BJ81" i="16"/>
  <c r="BI81" i="16"/>
  <c r="BH81" i="16"/>
  <c r="BG81" i="16"/>
  <c r="BF81" i="16"/>
  <c r="BE81" i="16"/>
  <c r="AX81" i="16"/>
  <c r="BC81" i="16" s="1"/>
  <c r="AV81" i="16"/>
  <c r="BA81" i="16" s="1"/>
  <c r="DN80" i="16"/>
  <c r="DM80" i="16"/>
  <c r="DL80" i="16"/>
  <c r="DK80" i="16"/>
  <c r="DJ80" i="16"/>
  <c r="DI80" i="16"/>
  <c r="DG80" i="16"/>
  <c r="DF80" i="16"/>
  <c r="DE80" i="16"/>
  <c r="DD80" i="16"/>
  <c r="DC80" i="16"/>
  <c r="DB80" i="16"/>
  <c r="DA80" i="16"/>
  <c r="CZ80" i="16"/>
  <c r="CY80" i="16"/>
  <c r="CX80" i="16"/>
  <c r="CW80" i="16"/>
  <c r="CV80" i="16"/>
  <c r="CU80" i="16"/>
  <c r="CQ80" i="16"/>
  <c r="CO80" i="16"/>
  <c r="CN80" i="16"/>
  <c r="CM80" i="16"/>
  <c r="CL80" i="16"/>
  <c r="CJ80" i="16"/>
  <c r="CI80" i="16"/>
  <c r="CH80" i="16"/>
  <c r="CG80" i="16"/>
  <c r="CF80" i="16"/>
  <c r="CE80" i="16"/>
  <c r="CD80" i="16"/>
  <c r="CC80" i="16"/>
  <c r="CB80" i="16"/>
  <c r="CA80" i="16"/>
  <c r="BX80" i="16"/>
  <c r="BV80" i="16"/>
  <c r="BU80" i="16"/>
  <c r="BT80" i="16"/>
  <c r="BS80" i="16"/>
  <c r="BR80" i="16"/>
  <c r="BQ80" i="16"/>
  <c r="BP80" i="16"/>
  <c r="BO80" i="16"/>
  <c r="BN80" i="16"/>
  <c r="BM80" i="16"/>
  <c r="BL80" i="16"/>
  <c r="BK80" i="16"/>
  <c r="BJ80" i="16"/>
  <c r="BI80" i="16"/>
  <c r="BH80" i="16"/>
  <c r="BG80" i="16"/>
  <c r="BF80" i="16"/>
  <c r="BE80" i="16"/>
  <c r="BC80" i="16"/>
  <c r="AX80" i="16"/>
  <c r="AV80" i="16"/>
  <c r="BA80" i="16" s="1"/>
  <c r="DN79" i="16"/>
  <c r="DM79" i="16"/>
  <c r="DL79" i="16"/>
  <c r="DK79" i="16"/>
  <c r="DJ79" i="16"/>
  <c r="DI79" i="16"/>
  <c r="DG79" i="16"/>
  <c r="DF79" i="16"/>
  <c r="DE79" i="16"/>
  <c r="DD79" i="16"/>
  <c r="DC79" i="16"/>
  <c r="DB79" i="16"/>
  <c r="DA79" i="16"/>
  <c r="CZ79" i="16"/>
  <c r="CY79" i="16"/>
  <c r="CX79" i="16"/>
  <c r="CW79" i="16"/>
  <c r="CV79" i="16"/>
  <c r="CU79" i="16"/>
  <c r="CQ79" i="16"/>
  <c r="CO79" i="16"/>
  <c r="CN79" i="16"/>
  <c r="CM79" i="16"/>
  <c r="CL79" i="16"/>
  <c r="CJ79" i="16"/>
  <c r="CI79" i="16"/>
  <c r="CH79" i="16"/>
  <c r="CG79" i="16"/>
  <c r="CF79" i="16"/>
  <c r="CE79" i="16"/>
  <c r="CD79" i="16"/>
  <c r="CC79" i="16"/>
  <c r="CB79" i="16"/>
  <c r="CA79" i="16"/>
  <c r="BX79" i="16"/>
  <c r="BV79" i="16"/>
  <c r="BU79" i="16"/>
  <c r="BT79" i="16"/>
  <c r="BS79" i="16"/>
  <c r="BR79" i="16"/>
  <c r="BQ79" i="16"/>
  <c r="BP79" i="16"/>
  <c r="BO79" i="16"/>
  <c r="BN79" i="16"/>
  <c r="BM79" i="16"/>
  <c r="BL79" i="16"/>
  <c r="BK79" i="16"/>
  <c r="BJ79" i="16"/>
  <c r="BI79" i="16"/>
  <c r="BH79" i="16"/>
  <c r="BG79" i="16"/>
  <c r="BF79" i="16"/>
  <c r="BE79" i="16"/>
  <c r="BA79" i="16"/>
  <c r="AX79" i="16"/>
  <c r="BC79" i="16" s="1"/>
  <c r="AV79" i="16"/>
  <c r="AY79" i="16" s="1"/>
  <c r="DN78" i="16"/>
  <c r="DM78" i="16"/>
  <c r="DL78" i="16"/>
  <c r="DK78" i="16"/>
  <c r="DJ78" i="16"/>
  <c r="DI78" i="16"/>
  <c r="DG78" i="16"/>
  <c r="DF78" i="16"/>
  <c r="DE78" i="16"/>
  <c r="DD78" i="16"/>
  <c r="DC78" i="16"/>
  <c r="DB78" i="16"/>
  <c r="DA78" i="16"/>
  <c r="CZ78" i="16"/>
  <c r="CY78" i="16"/>
  <c r="CX78" i="16"/>
  <c r="CW78" i="16"/>
  <c r="CV78" i="16"/>
  <c r="CU78" i="16"/>
  <c r="CQ78" i="16"/>
  <c r="CO78" i="16"/>
  <c r="CN78" i="16"/>
  <c r="CM78" i="16"/>
  <c r="CL78" i="16"/>
  <c r="CJ78" i="16"/>
  <c r="CI78" i="16"/>
  <c r="CH78" i="16"/>
  <c r="CG78" i="16"/>
  <c r="CF78" i="16"/>
  <c r="CE78" i="16"/>
  <c r="CD78" i="16"/>
  <c r="CC78" i="16"/>
  <c r="CB78" i="16"/>
  <c r="CA78" i="16"/>
  <c r="BX78" i="16"/>
  <c r="BV78" i="16"/>
  <c r="BU78" i="16"/>
  <c r="BT78" i="16"/>
  <c r="BS78" i="16"/>
  <c r="BR78" i="16"/>
  <c r="BQ78" i="16"/>
  <c r="BP78" i="16"/>
  <c r="BO78" i="16"/>
  <c r="BN78" i="16"/>
  <c r="BM78" i="16"/>
  <c r="BL78" i="16"/>
  <c r="BK78" i="16"/>
  <c r="BJ78" i="16"/>
  <c r="BI78" i="16"/>
  <c r="BH78" i="16"/>
  <c r="BG78" i="16"/>
  <c r="BF78" i="16"/>
  <c r="BE78" i="16"/>
  <c r="BC78" i="16"/>
  <c r="AY78" i="16"/>
  <c r="AX78" i="16"/>
  <c r="AV78" i="16"/>
  <c r="BA78" i="16" s="1"/>
  <c r="DN77" i="16"/>
  <c r="DM77" i="16"/>
  <c r="DL77" i="16"/>
  <c r="DK77" i="16"/>
  <c r="DJ77" i="16"/>
  <c r="DI77" i="16"/>
  <c r="DG77" i="16"/>
  <c r="DF77" i="16"/>
  <c r="DE77" i="16"/>
  <c r="DD77" i="16"/>
  <c r="DC77" i="16"/>
  <c r="DB77" i="16"/>
  <c r="DA77" i="16"/>
  <c r="CZ77" i="16"/>
  <c r="CY77" i="16"/>
  <c r="CX77" i="16"/>
  <c r="CW77" i="16"/>
  <c r="CV77" i="16"/>
  <c r="CU77" i="16"/>
  <c r="CQ77" i="16"/>
  <c r="CO77" i="16"/>
  <c r="CN77" i="16"/>
  <c r="CM77" i="16"/>
  <c r="CL77" i="16"/>
  <c r="CJ77" i="16"/>
  <c r="CI77" i="16"/>
  <c r="CH77" i="16"/>
  <c r="CG77" i="16"/>
  <c r="CF77" i="16"/>
  <c r="CE77" i="16"/>
  <c r="CD77" i="16"/>
  <c r="CC77" i="16"/>
  <c r="CB77" i="16"/>
  <c r="CA77" i="16"/>
  <c r="BX77" i="16"/>
  <c r="BV77" i="16"/>
  <c r="BU77" i="16"/>
  <c r="BT77" i="16"/>
  <c r="BS77" i="16"/>
  <c r="BR77" i="16"/>
  <c r="BQ77" i="16"/>
  <c r="BP77" i="16"/>
  <c r="BO77" i="16"/>
  <c r="BN77" i="16"/>
  <c r="BM77" i="16"/>
  <c r="BL77" i="16"/>
  <c r="BK77" i="16"/>
  <c r="BJ77" i="16"/>
  <c r="BI77" i="16"/>
  <c r="BH77" i="16"/>
  <c r="BG77" i="16"/>
  <c r="BF77" i="16"/>
  <c r="BE77" i="16"/>
  <c r="BA77" i="16"/>
  <c r="AX77" i="16"/>
  <c r="BC77" i="16" s="1"/>
  <c r="AV77" i="16"/>
  <c r="AY77" i="16" s="1"/>
  <c r="DN76" i="16"/>
  <c r="DM76" i="16"/>
  <c r="DL76" i="16"/>
  <c r="DK76" i="16"/>
  <c r="DJ76" i="16"/>
  <c r="DI76" i="16"/>
  <c r="DG76" i="16"/>
  <c r="DF76" i="16"/>
  <c r="DE76" i="16"/>
  <c r="DD76" i="16"/>
  <c r="DC76" i="16"/>
  <c r="DB76" i="16"/>
  <c r="DA76" i="16"/>
  <c r="CZ76" i="16"/>
  <c r="CY76" i="16"/>
  <c r="CX76" i="16"/>
  <c r="CW76" i="16"/>
  <c r="CV76" i="16"/>
  <c r="CU76" i="16"/>
  <c r="CQ76" i="16"/>
  <c r="CO76" i="16"/>
  <c r="CN76" i="16"/>
  <c r="CM76" i="16"/>
  <c r="CL76" i="16"/>
  <c r="CJ76" i="16"/>
  <c r="CI76" i="16"/>
  <c r="CH76" i="16"/>
  <c r="CG76" i="16"/>
  <c r="CF76" i="16"/>
  <c r="CE76" i="16"/>
  <c r="CD76" i="16"/>
  <c r="CC76" i="16"/>
  <c r="CB76" i="16"/>
  <c r="CA76" i="16"/>
  <c r="BX76" i="16"/>
  <c r="BV76" i="16"/>
  <c r="BU76" i="16"/>
  <c r="BT76" i="16"/>
  <c r="BS76" i="16"/>
  <c r="BR76" i="16"/>
  <c r="BQ76" i="16"/>
  <c r="BP76" i="16"/>
  <c r="BO76" i="16"/>
  <c r="BN76" i="16"/>
  <c r="BM76" i="16"/>
  <c r="BL76" i="16"/>
  <c r="BK76" i="16"/>
  <c r="BJ76" i="16"/>
  <c r="BI76" i="16"/>
  <c r="BH76" i="16"/>
  <c r="BG76" i="16"/>
  <c r="BF76" i="16"/>
  <c r="BE76" i="16"/>
  <c r="AX76" i="16"/>
  <c r="BC76" i="16" s="1"/>
  <c r="AV76" i="16"/>
  <c r="BA76" i="16" s="1"/>
  <c r="DN75" i="16"/>
  <c r="DM75" i="16"/>
  <c r="DL75" i="16"/>
  <c r="DK75" i="16"/>
  <c r="DJ75" i="16"/>
  <c r="DI75" i="16"/>
  <c r="DG75" i="16"/>
  <c r="DF75" i="16"/>
  <c r="DE75" i="16"/>
  <c r="DD75" i="16"/>
  <c r="DC75" i="16"/>
  <c r="DB75" i="16"/>
  <c r="DA75" i="16"/>
  <c r="CZ75" i="16"/>
  <c r="CY75" i="16"/>
  <c r="CX75" i="16"/>
  <c r="CW75" i="16"/>
  <c r="CV75" i="16"/>
  <c r="CU75" i="16"/>
  <c r="CR75" i="16"/>
  <c r="CQ75" i="16"/>
  <c r="CO75" i="16"/>
  <c r="CN75" i="16"/>
  <c r="CM75" i="16"/>
  <c r="CL75" i="16"/>
  <c r="CJ75" i="16"/>
  <c r="CI75" i="16"/>
  <c r="CH75" i="16"/>
  <c r="CG75" i="16"/>
  <c r="CF75" i="16"/>
  <c r="CE75" i="16"/>
  <c r="CD75" i="16"/>
  <c r="CC75" i="16"/>
  <c r="CB75" i="16"/>
  <c r="CA75" i="16"/>
  <c r="BX75" i="16"/>
  <c r="BV75" i="16"/>
  <c r="BU75" i="16"/>
  <c r="BT75" i="16"/>
  <c r="BS75" i="16"/>
  <c r="BR75" i="16"/>
  <c r="BQ75" i="16"/>
  <c r="BP75" i="16"/>
  <c r="BO75" i="16"/>
  <c r="BN75" i="16"/>
  <c r="BM75" i="16"/>
  <c r="BL75" i="16"/>
  <c r="BK75" i="16"/>
  <c r="BJ75" i="16"/>
  <c r="BI75" i="16"/>
  <c r="BH75" i="16"/>
  <c r="BG75" i="16"/>
  <c r="BF75" i="16"/>
  <c r="BE75" i="16"/>
  <c r="AX75" i="16"/>
  <c r="BC75" i="16" s="1"/>
  <c r="AV75" i="16"/>
  <c r="BA75" i="16" s="1"/>
  <c r="DN74" i="16"/>
  <c r="DM74" i="16"/>
  <c r="DL74" i="16"/>
  <c r="DK74" i="16"/>
  <c r="DJ74" i="16"/>
  <c r="DI74" i="16"/>
  <c r="DG74" i="16"/>
  <c r="DF74" i="16"/>
  <c r="DE74" i="16"/>
  <c r="DD74" i="16"/>
  <c r="DC74" i="16"/>
  <c r="DB74" i="16"/>
  <c r="DA74" i="16"/>
  <c r="CZ74" i="16"/>
  <c r="CY74" i="16"/>
  <c r="CX74" i="16"/>
  <c r="CW74" i="16"/>
  <c r="CV74" i="16"/>
  <c r="CU74" i="16"/>
  <c r="CQ74" i="16"/>
  <c r="CO74" i="16"/>
  <c r="CN74" i="16"/>
  <c r="CM74" i="16"/>
  <c r="CL74" i="16"/>
  <c r="CJ74" i="16"/>
  <c r="CI74" i="16"/>
  <c r="CH74" i="16"/>
  <c r="CG74" i="16"/>
  <c r="CF74" i="16"/>
  <c r="CE74" i="16"/>
  <c r="CD74" i="16"/>
  <c r="CC74" i="16"/>
  <c r="CB74" i="16"/>
  <c r="CA74" i="16"/>
  <c r="BX74" i="16"/>
  <c r="BV74" i="16"/>
  <c r="BU74" i="16"/>
  <c r="BT74" i="16"/>
  <c r="BS74" i="16"/>
  <c r="BR74" i="16"/>
  <c r="BQ74" i="16"/>
  <c r="BP74" i="16"/>
  <c r="BO74" i="16"/>
  <c r="BN74" i="16"/>
  <c r="BM74" i="16"/>
  <c r="BL74" i="16"/>
  <c r="BK74" i="16"/>
  <c r="BJ74" i="16"/>
  <c r="BI74" i="16"/>
  <c r="BH74" i="16"/>
  <c r="BG74" i="16"/>
  <c r="BF74" i="16"/>
  <c r="BE74" i="16"/>
  <c r="AX74" i="16"/>
  <c r="BC74" i="16" s="1"/>
  <c r="AV74" i="16"/>
  <c r="BA74" i="16" s="1"/>
  <c r="DG73" i="16"/>
  <c r="DF73" i="16"/>
  <c r="DE73" i="16"/>
  <c r="DD73" i="16"/>
  <c r="DC73" i="16"/>
  <c r="DB73" i="16"/>
  <c r="DA73" i="16"/>
  <c r="CZ73" i="16"/>
  <c r="CY73" i="16"/>
  <c r="CX73" i="16"/>
  <c r="CW73" i="16"/>
  <c r="CV73" i="16"/>
  <c r="CU73" i="16"/>
  <c r="CQ73" i="16"/>
  <c r="CJ73" i="16"/>
  <c r="CI73" i="16"/>
  <c r="CH73" i="16"/>
  <c r="CG73" i="16"/>
  <c r="CF73" i="16"/>
  <c r="CE73" i="16"/>
  <c r="CD73" i="16"/>
  <c r="CC73" i="16"/>
  <c r="CB73" i="16"/>
  <c r="CA73" i="16"/>
  <c r="BX73" i="16"/>
  <c r="BV73" i="16"/>
  <c r="BU73" i="16"/>
  <c r="BT73" i="16"/>
  <c r="BS73" i="16"/>
  <c r="BR73" i="16"/>
  <c r="BQ73" i="16"/>
  <c r="BP73" i="16"/>
  <c r="BO73" i="16"/>
  <c r="BN73" i="16"/>
  <c r="BM73" i="16"/>
  <c r="BL73" i="16"/>
  <c r="BK73" i="16"/>
  <c r="BJ73" i="16"/>
  <c r="BI73" i="16"/>
  <c r="BH73" i="16"/>
  <c r="BG73" i="16"/>
  <c r="BF73" i="16"/>
  <c r="BE73" i="16"/>
  <c r="AV73" i="16"/>
  <c r="BA73" i="16" s="1"/>
  <c r="DG72" i="16"/>
  <c r="DF72" i="16"/>
  <c r="DE72" i="16"/>
  <c r="DD72" i="16"/>
  <c r="DC72" i="16"/>
  <c r="DB72" i="16"/>
  <c r="DA72" i="16"/>
  <c r="CZ72" i="16"/>
  <c r="CY72" i="16"/>
  <c r="CX72" i="16"/>
  <c r="CW72" i="16"/>
  <c r="CV72" i="16"/>
  <c r="CU72" i="16"/>
  <c r="CQ72" i="16"/>
  <c r="CJ72" i="16"/>
  <c r="CI72" i="16"/>
  <c r="CH72" i="16"/>
  <c r="CG72" i="16"/>
  <c r="CF72" i="16"/>
  <c r="CE72" i="16"/>
  <c r="CD72" i="16"/>
  <c r="CC72" i="16"/>
  <c r="CB72" i="16"/>
  <c r="CA72" i="16"/>
  <c r="BY72" i="16"/>
  <c r="BX72" i="16"/>
  <c r="BV72" i="16"/>
  <c r="BU72" i="16"/>
  <c r="BT72" i="16"/>
  <c r="BS72" i="16"/>
  <c r="BR72" i="16"/>
  <c r="BQ72" i="16"/>
  <c r="BP72" i="16"/>
  <c r="BO72" i="16"/>
  <c r="BN72" i="16"/>
  <c r="BM72" i="16"/>
  <c r="BL72" i="16"/>
  <c r="BK72" i="16"/>
  <c r="BJ72" i="16"/>
  <c r="BI72" i="16"/>
  <c r="BH72" i="16"/>
  <c r="BG72" i="16"/>
  <c r="BF72" i="16"/>
  <c r="BE72" i="16"/>
  <c r="BA72" i="16"/>
  <c r="AV72" i="16"/>
  <c r="DG71" i="16"/>
  <c r="DF71" i="16"/>
  <c r="DE71" i="16"/>
  <c r="DD71" i="16"/>
  <c r="DC71" i="16"/>
  <c r="DB71" i="16"/>
  <c r="DA71" i="16"/>
  <c r="CZ71" i="16"/>
  <c r="CY71" i="16"/>
  <c r="CX71" i="16"/>
  <c r="CW71" i="16"/>
  <c r="CV71" i="16"/>
  <c r="CU71" i="16"/>
  <c r="CR71" i="16"/>
  <c r="CQ71" i="16"/>
  <c r="CJ71" i="16"/>
  <c r="CI71" i="16"/>
  <c r="CH71" i="16"/>
  <c r="CG71" i="16"/>
  <c r="CF71" i="16"/>
  <c r="CE71" i="16"/>
  <c r="CD71" i="16"/>
  <c r="CC71" i="16"/>
  <c r="CB71" i="16"/>
  <c r="CA71" i="16"/>
  <c r="BX71" i="16"/>
  <c r="BV71" i="16"/>
  <c r="BU71" i="16"/>
  <c r="BT71" i="16"/>
  <c r="BS71" i="16"/>
  <c r="BR71" i="16"/>
  <c r="BQ71" i="16"/>
  <c r="BP71" i="16"/>
  <c r="BO71" i="16"/>
  <c r="BN71" i="16"/>
  <c r="BM71" i="16"/>
  <c r="BL71" i="16"/>
  <c r="BK71" i="16"/>
  <c r="BJ71" i="16"/>
  <c r="BI71" i="16"/>
  <c r="BH71" i="16"/>
  <c r="BG71" i="16"/>
  <c r="BF71" i="16"/>
  <c r="BE71" i="16"/>
  <c r="BA71" i="16"/>
  <c r="AV71" i="16"/>
  <c r="DG70" i="16"/>
  <c r="DF70" i="16"/>
  <c r="DE70" i="16"/>
  <c r="DD70" i="16"/>
  <c r="DC70" i="16"/>
  <c r="DB70" i="16"/>
  <c r="DA70" i="16"/>
  <c r="CZ70" i="16"/>
  <c r="CY70" i="16"/>
  <c r="CX70" i="16"/>
  <c r="CW70" i="16"/>
  <c r="CV70" i="16"/>
  <c r="CU70" i="16"/>
  <c r="CQ70" i="16"/>
  <c r="CJ70" i="16"/>
  <c r="CI70" i="16"/>
  <c r="CH70" i="16"/>
  <c r="CG70" i="16"/>
  <c r="CF70" i="16"/>
  <c r="CE70" i="16"/>
  <c r="CD70" i="16"/>
  <c r="CC70" i="16"/>
  <c r="CB70" i="16"/>
  <c r="CA70" i="16"/>
  <c r="BX70" i="16"/>
  <c r="BV70" i="16"/>
  <c r="BU70" i="16"/>
  <c r="BT70" i="16"/>
  <c r="BS70" i="16"/>
  <c r="BR70" i="16"/>
  <c r="BQ70" i="16"/>
  <c r="BP70" i="16"/>
  <c r="BO70" i="16"/>
  <c r="BN70" i="16"/>
  <c r="BM70" i="16"/>
  <c r="BL70" i="16"/>
  <c r="BK70" i="16"/>
  <c r="BJ70" i="16"/>
  <c r="BI70" i="16"/>
  <c r="BH70" i="16"/>
  <c r="BG70" i="16"/>
  <c r="BF70" i="16"/>
  <c r="BE70" i="16"/>
  <c r="BA70" i="16"/>
  <c r="AV70" i="16"/>
  <c r="DG69" i="16"/>
  <c r="DF69" i="16"/>
  <c r="DE69" i="16"/>
  <c r="DD69" i="16"/>
  <c r="DC69" i="16"/>
  <c r="DB69" i="16"/>
  <c r="DA69" i="16"/>
  <c r="CZ69" i="16"/>
  <c r="CY69" i="16"/>
  <c r="CX69" i="16"/>
  <c r="CW69" i="16"/>
  <c r="CV69" i="16"/>
  <c r="CU69" i="16"/>
  <c r="CR69" i="16"/>
  <c r="CQ69" i="16"/>
  <c r="CJ69" i="16"/>
  <c r="CI69" i="16"/>
  <c r="CH69" i="16"/>
  <c r="CG69" i="16"/>
  <c r="CF69" i="16"/>
  <c r="CE69" i="16"/>
  <c r="CD69" i="16"/>
  <c r="CC69" i="16"/>
  <c r="CB69" i="16"/>
  <c r="CA69" i="16"/>
  <c r="BX69" i="16"/>
  <c r="BV69" i="16"/>
  <c r="BU69" i="16"/>
  <c r="BT69" i="16"/>
  <c r="BS69" i="16"/>
  <c r="BR69" i="16"/>
  <c r="BQ69" i="16"/>
  <c r="BP69" i="16"/>
  <c r="BO69" i="16"/>
  <c r="BN69" i="16"/>
  <c r="BM69" i="16"/>
  <c r="BL69" i="16"/>
  <c r="BK69" i="16"/>
  <c r="BJ69" i="16"/>
  <c r="BI69" i="16"/>
  <c r="BH69" i="16"/>
  <c r="BG69" i="16"/>
  <c r="BF69" i="16"/>
  <c r="BE69" i="16"/>
  <c r="AV69" i="16"/>
  <c r="BA69" i="16" s="1"/>
  <c r="DG68" i="16"/>
  <c r="DF68" i="16"/>
  <c r="DE68" i="16"/>
  <c r="DD68" i="16"/>
  <c r="DC68" i="16"/>
  <c r="DB68" i="16"/>
  <c r="DA68" i="16"/>
  <c r="CZ68" i="16"/>
  <c r="CY68" i="16"/>
  <c r="CX68" i="16"/>
  <c r="CW68" i="16"/>
  <c r="CV68" i="16"/>
  <c r="CU68" i="16"/>
  <c r="CQ68" i="16"/>
  <c r="CJ68" i="16"/>
  <c r="CI68" i="16"/>
  <c r="CH68" i="16"/>
  <c r="CG68" i="16"/>
  <c r="CF68" i="16"/>
  <c r="CE68" i="16"/>
  <c r="CD68" i="16"/>
  <c r="CC68" i="16"/>
  <c r="CB68" i="16"/>
  <c r="CA68" i="16"/>
  <c r="BX68" i="16"/>
  <c r="BV68" i="16"/>
  <c r="BU68" i="16"/>
  <c r="BT68" i="16"/>
  <c r="BS68" i="16"/>
  <c r="BR68" i="16"/>
  <c r="BQ68" i="16"/>
  <c r="BP68" i="16"/>
  <c r="BO68" i="16"/>
  <c r="BN68" i="16"/>
  <c r="BM68" i="16"/>
  <c r="BL68" i="16"/>
  <c r="BK68" i="16"/>
  <c r="BJ68" i="16"/>
  <c r="BI68" i="16"/>
  <c r="BH68" i="16"/>
  <c r="BG68" i="16"/>
  <c r="BF68" i="16"/>
  <c r="BE68" i="16"/>
  <c r="AV68" i="16"/>
  <c r="BA68" i="16" s="1"/>
  <c r="DG67" i="16"/>
  <c r="DF67" i="16"/>
  <c r="DE67" i="16"/>
  <c r="DD67" i="16"/>
  <c r="DC67" i="16"/>
  <c r="DB67" i="16"/>
  <c r="DA67" i="16"/>
  <c r="CZ67" i="16"/>
  <c r="CY67" i="16"/>
  <c r="CX67" i="16"/>
  <c r="CW67" i="16"/>
  <c r="CV67" i="16"/>
  <c r="CU67" i="16"/>
  <c r="CQ67" i="16"/>
  <c r="CJ67" i="16"/>
  <c r="CI67" i="16"/>
  <c r="CH67" i="16"/>
  <c r="CG67" i="16"/>
  <c r="CF67" i="16"/>
  <c r="CE67" i="16"/>
  <c r="CD67" i="16"/>
  <c r="CC67" i="16"/>
  <c r="CB67" i="16"/>
  <c r="CA67" i="16"/>
  <c r="BX67" i="16"/>
  <c r="BV67" i="16"/>
  <c r="BU67" i="16"/>
  <c r="BT67" i="16"/>
  <c r="BS67" i="16"/>
  <c r="BR67" i="16"/>
  <c r="BQ67" i="16"/>
  <c r="BP67" i="16"/>
  <c r="BO67" i="16"/>
  <c r="BN67" i="16"/>
  <c r="BM67" i="16"/>
  <c r="BL67" i="16"/>
  <c r="BK67" i="16"/>
  <c r="BJ67" i="16"/>
  <c r="BI67" i="16"/>
  <c r="BH67" i="16"/>
  <c r="BG67" i="16"/>
  <c r="BF67" i="16"/>
  <c r="BE67" i="16"/>
  <c r="AV67" i="16"/>
  <c r="BA67" i="16" s="1"/>
  <c r="DG66" i="16"/>
  <c r="DF66" i="16"/>
  <c r="DE66" i="16"/>
  <c r="DD66" i="16"/>
  <c r="DC66" i="16"/>
  <c r="DB66" i="16"/>
  <c r="DA66" i="16"/>
  <c r="CZ66" i="16"/>
  <c r="CY66" i="16"/>
  <c r="CX66" i="16"/>
  <c r="CW66" i="16"/>
  <c r="CV66" i="16"/>
  <c r="CU66" i="16"/>
  <c r="CQ66" i="16"/>
  <c r="CJ66" i="16"/>
  <c r="CI66" i="16"/>
  <c r="CH66" i="16"/>
  <c r="CG66" i="16"/>
  <c r="CF66" i="16"/>
  <c r="CE66" i="16"/>
  <c r="CD66" i="16"/>
  <c r="CC66" i="16"/>
  <c r="CB66" i="16"/>
  <c r="CA66" i="16"/>
  <c r="BY66" i="16"/>
  <c r="BX66" i="16"/>
  <c r="BV66" i="16"/>
  <c r="BU66" i="16"/>
  <c r="BT66" i="16"/>
  <c r="BS66" i="16"/>
  <c r="BR66" i="16"/>
  <c r="BQ66" i="16"/>
  <c r="BP66" i="16"/>
  <c r="BO66" i="16"/>
  <c r="BN66" i="16"/>
  <c r="BM66" i="16"/>
  <c r="BL66" i="16"/>
  <c r="BK66" i="16"/>
  <c r="BJ66" i="16"/>
  <c r="BI66" i="16"/>
  <c r="BH66" i="16"/>
  <c r="BG66" i="16"/>
  <c r="BF66" i="16"/>
  <c r="BE66" i="16"/>
  <c r="BA66" i="16"/>
  <c r="AV66" i="16"/>
  <c r="DG65" i="16"/>
  <c r="DF65" i="16"/>
  <c r="DE65" i="16"/>
  <c r="DD65" i="16"/>
  <c r="DC65" i="16"/>
  <c r="DB65" i="16"/>
  <c r="DA65" i="16"/>
  <c r="CZ65" i="16"/>
  <c r="CY65" i="16"/>
  <c r="CX65" i="16"/>
  <c r="CW65" i="16"/>
  <c r="CV65" i="16"/>
  <c r="CU65" i="16"/>
  <c r="CQ65" i="16"/>
  <c r="CJ65" i="16"/>
  <c r="CI65" i="16"/>
  <c r="CH65" i="16"/>
  <c r="CG65" i="16"/>
  <c r="CF65" i="16"/>
  <c r="CE65" i="16"/>
  <c r="CD65" i="16"/>
  <c r="CC65" i="16"/>
  <c r="CB65" i="16"/>
  <c r="CA65" i="16"/>
  <c r="BX65" i="16"/>
  <c r="BV65" i="16"/>
  <c r="BU65" i="16"/>
  <c r="BT65" i="16"/>
  <c r="BS65" i="16"/>
  <c r="BR65" i="16"/>
  <c r="BQ65" i="16"/>
  <c r="BP65" i="16"/>
  <c r="BO65" i="16"/>
  <c r="BN65" i="16"/>
  <c r="BM65" i="16"/>
  <c r="BL65" i="16"/>
  <c r="BK65" i="16"/>
  <c r="BJ65" i="16"/>
  <c r="BI65" i="16"/>
  <c r="BH65" i="16"/>
  <c r="BG65" i="16"/>
  <c r="BF65" i="16"/>
  <c r="BE65" i="16"/>
  <c r="BA65" i="16"/>
  <c r="AV65" i="16"/>
  <c r="DG64" i="16"/>
  <c r="DF64" i="16"/>
  <c r="DE64" i="16"/>
  <c r="DD64" i="16"/>
  <c r="DC64" i="16"/>
  <c r="DB64" i="16"/>
  <c r="DA64" i="16"/>
  <c r="CZ64" i="16"/>
  <c r="CY64" i="16"/>
  <c r="CX64" i="16"/>
  <c r="CW64" i="16"/>
  <c r="CV64" i="16"/>
  <c r="CU64" i="16"/>
  <c r="CQ64" i="16"/>
  <c r="CJ64" i="16"/>
  <c r="CI64" i="16"/>
  <c r="CH64" i="16"/>
  <c r="CG64" i="16"/>
  <c r="CF64" i="16"/>
  <c r="CE64" i="16"/>
  <c r="CD64" i="16"/>
  <c r="CC64" i="16"/>
  <c r="CB64" i="16"/>
  <c r="CA64" i="16"/>
  <c r="BX64" i="16"/>
  <c r="BV64" i="16"/>
  <c r="BU64" i="16"/>
  <c r="BT64" i="16"/>
  <c r="BS64" i="16"/>
  <c r="BR64" i="16"/>
  <c r="BQ64" i="16"/>
  <c r="BP64" i="16"/>
  <c r="BO64" i="16"/>
  <c r="BN64" i="16"/>
  <c r="BM64" i="16"/>
  <c r="BL64" i="16"/>
  <c r="BK64" i="16"/>
  <c r="BJ64" i="16"/>
  <c r="BI64" i="16"/>
  <c r="BH64" i="16"/>
  <c r="BG64" i="16"/>
  <c r="BF64" i="16"/>
  <c r="BE64" i="16"/>
  <c r="BA64" i="16"/>
  <c r="AV64" i="16"/>
  <c r="DG63" i="16"/>
  <c r="DF63" i="16"/>
  <c r="DE63" i="16"/>
  <c r="DD63" i="16"/>
  <c r="DC63" i="16"/>
  <c r="DB63" i="16"/>
  <c r="DA63" i="16"/>
  <c r="CZ63" i="16"/>
  <c r="CY63" i="16"/>
  <c r="CX63" i="16"/>
  <c r="CW63" i="16"/>
  <c r="CV63" i="16"/>
  <c r="CU63" i="16"/>
  <c r="CQ63" i="16"/>
  <c r="CJ63" i="16"/>
  <c r="CI63" i="16"/>
  <c r="CH63" i="16"/>
  <c r="CG63" i="16"/>
  <c r="CF63" i="16"/>
  <c r="CE63" i="16"/>
  <c r="CD63" i="16"/>
  <c r="CC63" i="16"/>
  <c r="CB63" i="16"/>
  <c r="CA63" i="16"/>
  <c r="BX63" i="16"/>
  <c r="BV63" i="16"/>
  <c r="BU63" i="16"/>
  <c r="BT63" i="16"/>
  <c r="BS63" i="16"/>
  <c r="BR63" i="16"/>
  <c r="BQ63" i="16"/>
  <c r="BP63" i="16"/>
  <c r="BO63" i="16"/>
  <c r="BN63" i="16"/>
  <c r="BM63" i="16"/>
  <c r="BL63" i="16"/>
  <c r="BK63" i="16"/>
  <c r="BJ63" i="16"/>
  <c r="BI63" i="16"/>
  <c r="BH63" i="16"/>
  <c r="BG63" i="16"/>
  <c r="BF63" i="16"/>
  <c r="BE63" i="16"/>
  <c r="BA63" i="16"/>
  <c r="AV63" i="16"/>
  <c r="DG62" i="16"/>
  <c r="DF62" i="16"/>
  <c r="DE62" i="16"/>
  <c r="DD62" i="16"/>
  <c r="DC62" i="16"/>
  <c r="DB62" i="16"/>
  <c r="DA62" i="16"/>
  <c r="CZ62" i="16"/>
  <c r="CY62" i="16"/>
  <c r="CX62" i="16"/>
  <c r="CW62" i="16"/>
  <c r="CV62" i="16"/>
  <c r="CU62" i="16"/>
  <c r="CQ62" i="16"/>
  <c r="CJ62" i="16"/>
  <c r="CI62" i="16"/>
  <c r="CH62" i="16"/>
  <c r="CG62" i="16"/>
  <c r="CF62" i="16"/>
  <c r="CE62" i="16"/>
  <c r="CD62" i="16"/>
  <c r="CC62" i="16"/>
  <c r="CB62" i="16"/>
  <c r="CA62" i="16"/>
  <c r="BX62" i="16"/>
  <c r="BV62" i="16"/>
  <c r="BU62" i="16"/>
  <c r="BT62" i="16"/>
  <c r="BS62" i="16"/>
  <c r="BR62" i="16"/>
  <c r="BQ62" i="16"/>
  <c r="BP62" i="16"/>
  <c r="BO62" i="16"/>
  <c r="BN62" i="16"/>
  <c r="BM62" i="16"/>
  <c r="BL62" i="16"/>
  <c r="BK62" i="16"/>
  <c r="BJ62" i="16"/>
  <c r="BI62" i="16"/>
  <c r="BH62" i="16"/>
  <c r="BG62" i="16"/>
  <c r="BF62" i="16"/>
  <c r="BE62" i="16"/>
  <c r="BA62" i="16"/>
  <c r="AV62" i="16"/>
  <c r="DG61" i="16"/>
  <c r="DF61" i="16"/>
  <c r="DE61" i="16"/>
  <c r="DD61" i="16"/>
  <c r="DC61" i="16"/>
  <c r="DB61" i="16"/>
  <c r="DA61" i="16"/>
  <c r="CZ61" i="16"/>
  <c r="CY61" i="16"/>
  <c r="CX61" i="16"/>
  <c r="CW61" i="16"/>
  <c r="CV61" i="16"/>
  <c r="CU61" i="16"/>
  <c r="CR61" i="16"/>
  <c r="CQ61" i="16"/>
  <c r="CJ61" i="16"/>
  <c r="CI61" i="16"/>
  <c r="CH61" i="16"/>
  <c r="CG61" i="16"/>
  <c r="CF61" i="16"/>
  <c r="CE61" i="16"/>
  <c r="CD61" i="16"/>
  <c r="CC61" i="16"/>
  <c r="CB61" i="16"/>
  <c r="CA61" i="16"/>
  <c r="BX61" i="16"/>
  <c r="BV61" i="16"/>
  <c r="BU61" i="16"/>
  <c r="BT61" i="16"/>
  <c r="BS61" i="16"/>
  <c r="BR61" i="16"/>
  <c r="BQ61" i="16"/>
  <c r="BP61" i="16"/>
  <c r="BO61" i="16"/>
  <c r="BN61" i="16"/>
  <c r="BM61" i="16"/>
  <c r="BL61" i="16"/>
  <c r="BK61" i="16"/>
  <c r="BJ61" i="16"/>
  <c r="BI61" i="16"/>
  <c r="BH61" i="16"/>
  <c r="BG61" i="16"/>
  <c r="BF61" i="16"/>
  <c r="BE61" i="16"/>
  <c r="AV61" i="16"/>
  <c r="BA61" i="16" s="1"/>
  <c r="DG60" i="16"/>
  <c r="DF60" i="16"/>
  <c r="DE60" i="16"/>
  <c r="DD60" i="16"/>
  <c r="DC60" i="16"/>
  <c r="DB60" i="16"/>
  <c r="DA60" i="16"/>
  <c r="CZ60" i="16"/>
  <c r="CY60" i="16"/>
  <c r="CX60" i="16"/>
  <c r="CW60" i="16"/>
  <c r="CV60" i="16"/>
  <c r="CU60" i="16"/>
  <c r="CR60" i="16"/>
  <c r="CQ60" i="16"/>
  <c r="CJ60" i="16"/>
  <c r="CI60" i="16"/>
  <c r="CH60" i="16"/>
  <c r="CG60" i="16"/>
  <c r="CF60" i="16"/>
  <c r="CE60" i="16"/>
  <c r="CD60" i="16"/>
  <c r="CC60" i="16"/>
  <c r="CB60" i="16"/>
  <c r="CA60" i="16"/>
  <c r="BY60" i="16"/>
  <c r="BX60" i="16"/>
  <c r="BV60" i="16"/>
  <c r="BU60" i="16"/>
  <c r="BT60" i="16"/>
  <c r="BS60" i="16"/>
  <c r="BR60" i="16"/>
  <c r="BQ60" i="16"/>
  <c r="BP60" i="16"/>
  <c r="BO60" i="16"/>
  <c r="BN60" i="16"/>
  <c r="BM60" i="16"/>
  <c r="BL60" i="16"/>
  <c r="BK60" i="16"/>
  <c r="BJ60" i="16"/>
  <c r="BI60" i="16"/>
  <c r="BH60" i="16"/>
  <c r="BG60" i="16"/>
  <c r="BF60" i="16"/>
  <c r="BE60" i="16"/>
  <c r="AV60" i="16"/>
  <c r="BA60" i="16" s="1"/>
  <c r="DG59" i="16"/>
  <c r="DF59" i="16"/>
  <c r="DE59" i="16"/>
  <c r="DD59" i="16"/>
  <c r="DC59" i="16"/>
  <c r="DB59" i="16"/>
  <c r="DA59" i="16"/>
  <c r="CZ59" i="16"/>
  <c r="CY59" i="16"/>
  <c r="CX59" i="16"/>
  <c r="CW59" i="16"/>
  <c r="CV59" i="16"/>
  <c r="CU59" i="16"/>
  <c r="CS59" i="16"/>
  <c r="CR59" i="16"/>
  <c r="CQ59" i="16"/>
  <c r="CJ59" i="16"/>
  <c r="CI59" i="16"/>
  <c r="CH59" i="16"/>
  <c r="CG59" i="16"/>
  <c r="CF59" i="16"/>
  <c r="CE59" i="16"/>
  <c r="CD59" i="16"/>
  <c r="CC59" i="16"/>
  <c r="CB59" i="16"/>
  <c r="CA59" i="16"/>
  <c r="BX59" i="16"/>
  <c r="BV59" i="16"/>
  <c r="BU59" i="16"/>
  <c r="BT59" i="16"/>
  <c r="BS59" i="16"/>
  <c r="BR59" i="16"/>
  <c r="BQ59" i="16"/>
  <c r="BP59" i="16"/>
  <c r="BO59" i="16"/>
  <c r="BN59" i="16"/>
  <c r="BM59" i="16"/>
  <c r="BL59" i="16"/>
  <c r="BK59" i="16"/>
  <c r="BJ59" i="16"/>
  <c r="BI59" i="16"/>
  <c r="BH59" i="16"/>
  <c r="BG59" i="16"/>
  <c r="BF59" i="16"/>
  <c r="BE59" i="16"/>
  <c r="AV59" i="16"/>
  <c r="BA59" i="16" s="1"/>
  <c r="DG58" i="16"/>
  <c r="DF58" i="16"/>
  <c r="DE58" i="16"/>
  <c r="DD58" i="16"/>
  <c r="DC58" i="16"/>
  <c r="DB58" i="16"/>
  <c r="DA58" i="16"/>
  <c r="CZ58" i="16"/>
  <c r="CY58" i="16"/>
  <c r="CX58" i="16"/>
  <c r="CW58" i="16"/>
  <c r="CV58" i="16"/>
  <c r="CU58" i="16"/>
  <c r="CQ58" i="16"/>
  <c r="CJ58" i="16"/>
  <c r="CI58" i="16"/>
  <c r="CH58" i="16"/>
  <c r="CG58" i="16"/>
  <c r="CF58" i="16"/>
  <c r="CE58" i="16"/>
  <c r="CD58" i="16"/>
  <c r="CC58" i="16"/>
  <c r="CB58" i="16"/>
  <c r="CA58" i="16"/>
  <c r="BX58" i="16"/>
  <c r="BV58" i="16"/>
  <c r="BU58" i="16"/>
  <c r="BT58" i="16"/>
  <c r="BS58" i="16"/>
  <c r="BR58" i="16"/>
  <c r="BQ58" i="16"/>
  <c r="BP58" i="16"/>
  <c r="BO58" i="16"/>
  <c r="BN58" i="16"/>
  <c r="BM58" i="16"/>
  <c r="BL58" i="16"/>
  <c r="BK58" i="16"/>
  <c r="BJ58" i="16"/>
  <c r="BI58" i="16"/>
  <c r="BH58" i="16"/>
  <c r="BG58" i="16"/>
  <c r="BF58" i="16"/>
  <c r="BE58" i="16"/>
  <c r="AV58" i="16"/>
  <c r="BA58" i="16" s="1"/>
  <c r="DG57" i="16"/>
  <c r="DF57" i="16"/>
  <c r="DE57" i="16"/>
  <c r="DD57" i="16"/>
  <c r="DC57" i="16"/>
  <c r="DB57" i="16"/>
  <c r="DA57" i="16"/>
  <c r="CZ57" i="16"/>
  <c r="CY57" i="16"/>
  <c r="CX57" i="16"/>
  <c r="CW57" i="16"/>
  <c r="CV57" i="16"/>
  <c r="CU57" i="16"/>
  <c r="CQ57" i="16"/>
  <c r="CJ57" i="16"/>
  <c r="CI57" i="16"/>
  <c r="CH57" i="16"/>
  <c r="CG57" i="16"/>
  <c r="CF57" i="16"/>
  <c r="CE57" i="16"/>
  <c r="CD57" i="16"/>
  <c r="CC57" i="16"/>
  <c r="CB57" i="16"/>
  <c r="CA57" i="16"/>
  <c r="BX57" i="16"/>
  <c r="BV57" i="16"/>
  <c r="BU57" i="16"/>
  <c r="BT57" i="16"/>
  <c r="BS57" i="16"/>
  <c r="BR57" i="16"/>
  <c r="BQ57" i="16"/>
  <c r="BP57" i="16"/>
  <c r="BO57" i="16"/>
  <c r="BN57" i="16"/>
  <c r="BM57" i="16"/>
  <c r="BL57" i="16"/>
  <c r="BK57" i="16"/>
  <c r="BJ57" i="16"/>
  <c r="BI57" i="16"/>
  <c r="BH57" i="16"/>
  <c r="BG57" i="16"/>
  <c r="BF57" i="16"/>
  <c r="BE57" i="16"/>
  <c r="AV57" i="16"/>
  <c r="BA57" i="16" s="1"/>
  <c r="DG56" i="16"/>
  <c r="DF56" i="16"/>
  <c r="DE56" i="16"/>
  <c r="DD56" i="16"/>
  <c r="DC56" i="16"/>
  <c r="DB56" i="16"/>
  <c r="DA56" i="16"/>
  <c r="CZ56" i="16"/>
  <c r="CY56" i="16"/>
  <c r="CX56" i="16"/>
  <c r="CW56" i="16"/>
  <c r="CV56" i="16"/>
  <c r="CU56" i="16"/>
  <c r="CQ56" i="16"/>
  <c r="CJ56" i="16"/>
  <c r="CI56" i="16"/>
  <c r="CH56" i="16"/>
  <c r="CG56" i="16"/>
  <c r="CF56" i="16"/>
  <c r="CE56" i="16"/>
  <c r="CD56" i="16"/>
  <c r="CC56" i="16"/>
  <c r="CB56" i="16"/>
  <c r="CA56" i="16"/>
  <c r="BX56" i="16"/>
  <c r="BV56" i="16"/>
  <c r="BU56" i="16"/>
  <c r="BT56" i="16"/>
  <c r="BS56" i="16"/>
  <c r="BR56" i="16"/>
  <c r="BQ56" i="16"/>
  <c r="BP56" i="16"/>
  <c r="BO56" i="16"/>
  <c r="BN56" i="16"/>
  <c r="BM56" i="16"/>
  <c r="BL56" i="16"/>
  <c r="BK56" i="16"/>
  <c r="BJ56" i="16"/>
  <c r="BI56" i="16"/>
  <c r="BH56" i="16"/>
  <c r="BG56" i="16"/>
  <c r="BF56" i="16"/>
  <c r="BE56" i="16"/>
  <c r="BA56" i="16"/>
  <c r="AV56" i="16"/>
  <c r="DG55" i="16"/>
  <c r="DF55" i="16"/>
  <c r="DE55" i="16"/>
  <c r="DD55" i="16"/>
  <c r="DC55" i="16"/>
  <c r="DB55" i="16"/>
  <c r="DA55" i="16"/>
  <c r="CZ55" i="16"/>
  <c r="CY55" i="16"/>
  <c r="CX55" i="16"/>
  <c r="CW55" i="16"/>
  <c r="CV55" i="16"/>
  <c r="CU55" i="16"/>
  <c r="CQ55" i="16"/>
  <c r="CJ55" i="16"/>
  <c r="CI55" i="16"/>
  <c r="CH55" i="16"/>
  <c r="CG55" i="16"/>
  <c r="CF55" i="16"/>
  <c r="CE55" i="16"/>
  <c r="CD55" i="16"/>
  <c r="CC55" i="16"/>
  <c r="CB55" i="16"/>
  <c r="CA55" i="16"/>
  <c r="BX55" i="16"/>
  <c r="BV55" i="16"/>
  <c r="BU55" i="16"/>
  <c r="BT55" i="16"/>
  <c r="BS55" i="16"/>
  <c r="BR55" i="16"/>
  <c r="BQ55" i="16"/>
  <c r="BP55" i="16"/>
  <c r="BO55" i="16"/>
  <c r="BN55" i="16"/>
  <c r="BM55" i="16"/>
  <c r="BL55" i="16"/>
  <c r="BK55" i="16"/>
  <c r="BJ55" i="16"/>
  <c r="BI55" i="16"/>
  <c r="BH55" i="16"/>
  <c r="BG55" i="16"/>
  <c r="BF55" i="16"/>
  <c r="BE55" i="16"/>
  <c r="BA55" i="16"/>
  <c r="AV55" i="16"/>
  <c r="DG54" i="16"/>
  <c r="DF54" i="16"/>
  <c r="DE54" i="16"/>
  <c r="DD54" i="16"/>
  <c r="DC54" i="16"/>
  <c r="DB54" i="16"/>
  <c r="DA54" i="16"/>
  <c r="CZ54" i="16"/>
  <c r="CY54" i="16"/>
  <c r="CX54" i="16"/>
  <c r="CW54" i="16"/>
  <c r="CV54" i="16"/>
  <c r="CU54" i="16"/>
  <c r="CQ54" i="16"/>
  <c r="CJ54" i="16"/>
  <c r="CI54" i="16"/>
  <c r="CH54" i="16"/>
  <c r="CG54" i="16"/>
  <c r="CF54" i="16"/>
  <c r="CE54" i="16"/>
  <c r="CD54" i="16"/>
  <c r="CC54" i="16"/>
  <c r="CB54" i="16"/>
  <c r="CA54" i="16"/>
  <c r="BY54" i="16"/>
  <c r="BX54" i="16"/>
  <c r="BV54" i="16"/>
  <c r="BU54" i="16"/>
  <c r="BT54" i="16"/>
  <c r="BS54" i="16"/>
  <c r="BR54" i="16"/>
  <c r="BQ54" i="16"/>
  <c r="BP54" i="16"/>
  <c r="BO54" i="16"/>
  <c r="BN54" i="16"/>
  <c r="BM54" i="16"/>
  <c r="BL54" i="16"/>
  <c r="BK54" i="16"/>
  <c r="BJ54" i="16"/>
  <c r="BI54" i="16"/>
  <c r="BH54" i="16"/>
  <c r="BG54" i="16"/>
  <c r="BF54" i="16"/>
  <c r="BE54" i="16"/>
  <c r="AV54" i="16"/>
  <c r="BA54" i="16" s="1"/>
  <c r="DG53" i="16"/>
  <c r="DF53" i="16"/>
  <c r="DE53" i="16"/>
  <c r="DD53" i="16"/>
  <c r="DC53" i="16"/>
  <c r="DB53" i="16"/>
  <c r="DA53" i="16"/>
  <c r="CZ53" i="16"/>
  <c r="CY53" i="16"/>
  <c r="CX53" i="16"/>
  <c r="CW53" i="16"/>
  <c r="CV53" i="16"/>
  <c r="CU53" i="16"/>
  <c r="CQ53" i="16"/>
  <c r="CJ53" i="16"/>
  <c r="CI53" i="16"/>
  <c r="CH53" i="16"/>
  <c r="CG53" i="16"/>
  <c r="CF53" i="16"/>
  <c r="CE53" i="16"/>
  <c r="CD53" i="16"/>
  <c r="CC53" i="16"/>
  <c r="CB53" i="16"/>
  <c r="CA53" i="16"/>
  <c r="BX53" i="16"/>
  <c r="BV53" i="16"/>
  <c r="BU53" i="16"/>
  <c r="BT53" i="16"/>
  <c r="BS53" i="16"/>
  <c r="BR53" i="16"/>
  <c r="BQ53" i="16"/>
  <c r="BP53" i="16"/>
  <c r="BO53" i="16"/>
  <c r="BN53" i="16"/>
  <c r="BM53" i="16"/>
  <c r="BL53" i="16"/>
  <c r="BK53" i="16"/>
  <c r="BJ53" i="16"/>
  <c r="BI53" i="16"/>
  <c r="BH53" i="16"/>
  <c r="BG53" i="16"/>
  <c r="BF53" i="16"/>
  <c r="BE53" i="16"/>
  <c r="AV53" i="16"/>
  <c r="BA53" i="16" s="1"/>
  <c r="DG52" i="16"/>
  <c r="DF52" i="16"/>
  <c r="DE52" i="16"/>
  <c r="DD52" i="16"/>
  <c r="DC52" i="16"/>
  <c r="DB52" i="16"/>
  <c r="DA52" i="16"/>
  <c r="CZ52" i="16"/>
  <c r="CY52" i="16"/>
  <c r="CX52" i="16"/>
  <c r="CW52" i="16"/>
  <c r="CV52" i="16"/>
  <c r="CU52" i="16"/>
  <c r="CQ52" i="16"/>
  <c r="CJ52" i="16"/>
  <c r="CI52" i="16"/>
  <c r="CH52" i="16"/>
  <c r="CG52" i="16"/>
  <c r="CF52" i="16"/>
  <c r="CE52" i="16"/>
  <c r="CD52" i="16"/>
  <c r="CC52" i="16"/>
  <c r="CB52" i="16"/>
  <c r="CA52" i="16"/>
  <c r="BX52" i="16"/>
  <c r="BV52" i="16"/>
  <c r="BU52" i="16"/>
  <c r="BT52" i="16"/>
  <c r="BS52" i="16"/>
  <c r="BR52" i="16"/>
  <c r="BQ52" i="16"/>
  <c r="BP52" i="16"/>
  <c r="BO52" i="16"/>
  <c r="BN52" i="16"/>
  <c r="BM52" i="16"/>
  <c r="BL52" i="16"/>
  <c r="BK52" i="16"/>
  <c r="BJ52" i="16"/>
  <c r="BI52" i="16"/>
  <c r="BH52" i="16"/>
  <c r="BG52" i="16"/>
  <c r="BF52" i="16"/>
  <c r="BE52" i="16"/>
  <c r="BA52" i="16"/>
  <c r="AV52" i="16"/>
  <c r="DG51" i="16"/>
  <c r="DF51" i="16"/>
  <c r="DE51" i="16"/>
  <c r="DD51" i="16"/>
  <c r="DC51" i="16"/>
  <c r="DB51" i="16"/>
  <c r="DA51" i="16"/>
  <c r="CZ51" i="16"/>
  <c r="CY51" i="16"/>
  <c r="CX51" i="16"/>
  <c r="CW51" i="16"/>
  <c r="CV51" i="16"/>
  <c r="CU51" i="16"/>
  <c r="CR51" i="16"/>
  <c r="CQ51" i="16"/>
  <c r="CJ51" i="16"/>
  <c r="CI51" i="16"/>
  <c r="CH51" i="16"/>
  <c r="CG51" i="16"/>
  <c r="CF51" i="16"/>
  <c r="CE51" i="16"/>
  <c r="CD51" i="16"/>
  <c r="CC51" i="16"/>
  <c r="CB51" i="16"/>
  <c r="CA51" i="16"/>
  <c r="BX51" i="16"/>
  <c r="BV51" i="16"/>
  <c r="BU51" i="16"/>
  <c r="BT51" i="16"/>
  <c r="BS51" i="16"/>
  <c r="BR51" i="16"/>
  <c r="BQ51" i="16"/>
  <c r="BP51" i="16"/>
  <c r="BO51" i="16"/>
  <c r="BN51" i="16"/>
  <c r="BM51" i="16"/>
  <c r="BL51" i="16"/>
  <c r="BK51" i="16"/>
  <c r="BJ51" i="16"/>
  <c r="BI51" i="16"/>
  <c r="BH51" i="16"/>
  <c r="BG51" i="16"/>
  <c r="BF51" i="16"/>
  <c r="BE51" i="16"/>
  <c r="AV51" i="16"/>
  <c r="BA51" i="16" s="1"/>
  <c r="DG50" i="16"/>
  <c r="DF50" i="16"/>
  <c r="DE50" i="16"/>
  <c r="DD50" i="16"/>
  <c r="DC50" i="16"/>
  <c r="DB50" i="16"/>
  <c r="DA50" i="16"/>
  <c r="CZ50" i="16"/>
  <c r="CY50" i="16"/>
  <c r="CX50" i="16"/>
  <c r="CW50" i="16"/>
  <c r="CV50" i="16"/>
  <c r="CU50" i="16"/>
  <c r="CR50" i="16"/>
  <c r="CQ50" i="16"/>
  <c r="CJ50" i="16"/>
  <c r="CI50" i="16"/>
  <c r="CH50" i="16"/>
  <c r="CG50" i="16"/>
  <c r="CF50" i="16"/>
  <c r="CE50" i="16"/>
  <c r="CD50" i="16"/>
  <c r="CC50" i="16"/>
  <c r="CB50" i="16"/>
  <c r="CA50" i="16"/>
  <c r="BX50" i="16"/>
  <c r="BV50" i="16"/>
  <c r="BU50" i="16"/>
  <c r="BT50" i="16"/>
  <c r="BS50" i="16"/>
  <c r="BR50" i="16"/>
  <c r="BQ50" i="16"/>
  <c r="BP50" i="16"/>
  <c r="BO50" i="16"/>
  <c r="BN50" i="16"/>
  <c r="BM50" i="16"/>
  <c r="BL50" i="16"/>
  <c r="BK50" i="16"/>
  <c r="BJ50" i="16"/>
  <c r="BI50" i="16"/>
  <c r="BH50" i="16"/>
  <c r="BG50" i="16"/>
  <c r="BF50" i="16"/>
  <c r="BE50" i="16"/>
  <c r="BA50" i="16"/>
  <c r="AV50" i="16"/>
  <c r="DG49" i="16"/>
  <c r="DF49" i="16"/>
  <c r="DE49" i="16"/>
  <c r="DD49" i="16"/>
  <c r="DC49" i="16"/>
  <c r="DB49" i="16"/>
  <c r="DA49" i="16"/>
  <c r="CZ49" i="16"/>
  <c r="CY49" i="16"/>
  <c r="CX49" i="16"/>
  <c r="CW49" i="16"/>
  <c r="CV49" i="16"/>
  <c r="CU49" i="16"/>
  <c r="CQ49" i="16"/>
  <c r="CJ49" i="16"/>
  <c r="CI49" i="16"/>
  <c r="CH49" i="16"/>
  <c r="CG49" i="16"/>
  <c r="CF49" i="16"/>
  <c r="CE49" i="16"/>
  <c r="CD49" i="16"/>
  <c r="CC49" i="16"/>
  <c r="CB49" i="16"/>
  <c r="CA49" i="16"/>
  <c r="BX49" i="16"/>
  <c r="BV49" i="16"/>
  <c r="BU49" i="16"/>
  <c r="BT49" i="16"/>
  <c r="BS49" i="16"/>
  <c r="BR49" i="16"/>
  <c r="BQ49" i="16"/>
  <c r="BP49" i="16"/>
  <c r="BO49" i="16"/>
  <c r="BN49" i="16"/>
  <c r="BM49" i="16"/>
  <c r="BL49" i="16"/>
  <c r="BK49" i="16"/>
  <c r="BJ49" i="16"/>
  <c r="BI49" i="16"/>
  <c r="BH49" i="16"/>
  <c r="BG49" i="16"/>
  <c r="BF49" i="16"/>
  <c r="BE49" i="16"/>
  <c r="AV49" i="16"/>
  <c r="BA49" i="16" s="1"/>
  <c r="DG48" i="16"/>
  <c r="DF48" i="16"/>
  <c r="DE48" i="16"/>
  <c r="DD48" i="16"/>
  <c r="DC48" i="16"/>
  <c r="DB48" i="16"/>
  <c r="DA48" i="16"/>
  <c r="CZ48" i="16"/>
  <c r="CY48" i="16"/>
  <c r="CX48" i="16"/>
  <c r="CW48" i="16"/>
  <c r="CV48" i="16"/>
  <c r="CU48" i="16"/>
  <c r="CR48" i="16"/>
  <c r="CQ48" i="16"/>
  <c r="CJ48" i="16"/>
  <c r="CI48" i="16"/>
  <c r="CH48" i="16"/>
  <c r="CG48" i="16"/>
  <c r="CF48" i="16"/>
  <c r="CE48" i="16"/>
  <c r="CD48" i="16"/>
  <c r="CC48" i="16"/>
  <c r="CB48" i="16"/>
  <c r="CA48" i="16"/>
  <c r="BY48" i="16"/>
  <c r="BX48" i="16"/>
  <c r="BV48" i="16"/>
  <c r="BU48" i="16"/>
  <c r="BT48" i="16"/>
  <c r="BS48" i="16"/>
  <c r="BR48" i="16"/>
  <c r="BQ48" i="16"/>
  <c r="BP48" i="16"/>
  <c r="BO48" i="16"/>
  <c r="BN48" i="16"/>
  <c r="BM48" i="16"/>
  <c r="BL48" i="16"/>
  <c r="BK48" i="16"/>
  <c r="BJ48" i="16"/>
  <c r="BI48" i="16"/>
  <c r="BH48" i="16"/>
  <c r="BG48" i="16"/>
  <c r="BF48" i="16"/>
  <c r="BE48" i="16"/>
  <c r="AV48" i="16"/>
  <c r="BA48" i="16" s="1"/>
  <c r="DG47" i="16"/>
  <c r="DF47" i="16"/>
  <c r="DE47" i="16"/>
  <c r="DD47" i="16"/>
  <c r="DC47" i="16"/>
  <c r="DB47" i="16"/>
  <c r="DA47" i="16"/>
  <c r="CZ47" i="16"/>
  <c r="CY47" i="16"/>
  <c r="CX47" i="16"/>
  <c r="CW47" i="16"/>
  <c r="CV47" i="16"/>
  <c r="CU47" i="16"/>
  <c r="CQ47" i="16"/>
  <c r="CJ47" i="16"/>
  <c r="CI47" i="16"/>
  <c r="CH47" i="16"/>
  <c r="CG47" i="16"/>
  <c r="CF47" i="16"/>
  <c r="CE47" i="16"/>
  <c r="CD47" i="16"/>
  <c r="CC47" i="16"/>
  <c r="CB47" i="16"/>
  <c r="CA47" i="16"/>
  <c r="BX47" i="16"/>
  <c r="BV47" i="16"/>
  <c r="BU47" i="16"/>
  <c r="BT47" i="16"/>
  <c r="BS47" i="16"/>
  <c r="BR47" i="16"/>
  <c r="BQ47" i="16"/>
  <c r="BP47" i="16"/>
  <c r="BO47" i="16"/>
  <c r="BN47" i="16"/>
  <c r="BM47" i="16"/>
  <c r="BL47" i="16"/>
  <c r="BK47" i="16"/>
  <c r="BJ47" i="16"/>
  <c r="BI47" i="16"/>
  <c r="BH47" i="16"/>
  <c r="BG47" i="16"/>
  <c r="BF47" i="16"/>
  <c r="BE47" i="16"/>
  <c r="AV47" i="16"/>
  <c r="BA47" i="16" s="1"/>
  <c r="DG46" i="16"/>
  <c r="DF46" i="16"/>
  <c r="DE46" i="16"/>
  <c r="DD46" i="16"/>
  <c r="DC46" i="16"/>
  <c r="DB46" i="16"/>
  <c r="DA46" i="16"/>
  <c r="CZ46" i="16"/>
  <c r="CY46" i="16"/>
  <c r="CX46" i="16"/>
  <c r="CW46" i="16"/>
  <c r="CV46" i="16"/>
  <c r="CU46" i="16"/>
  <c r="CQ46" i="16"/>
  <c r="CJ46" i="16"/>
  <c r="CI46" i="16"/>
  <c r="CH46" i="16"/>
  <c r="CG46" i="16"/>
  <c r="CF46" i="16"/>
  <c r="CE46" i="16"/>
  <c r="CD46" i="16"/>
  <c r="CC46" i="16"/>
  <c r="CB46" i="16"/>
  <c r="CA46" i="16"/>
  <c r="BX46" i="16"/>
  <c r="BV46" i="16"/>
  <c r="BU46" i="16"/>
  <c r="BT46" i="16"/>
  <c r="BS46" i="16"/>
  <c r="BR46" i="16"/>
  <c r="BQ46" i="16"/>
  <c r="BP46" i="16"/>
  <c r="BO46" i="16"/>
  <c r="BN46" i="16"/>
  <c r="BM46" i="16"/>
  <c r="BL46" i="16"/>
  <c r="BK46" i="16"/>
  <c r="BJ46" i="16"/>
  <c r="BI46" i="16"/>
  <c r="BH46" i="16"/>
  <c r="BG46" i="16"/>
  <c r="BF46" i="16"/>
  <c r="BE46" i="16"/>
  <c r="AV46" i="16"/>
  <c r="BA46" i="16" s="1"/>
  <c r="DG45" i="16"/>
  <c r="DF45" i="16"/>
  <c r="DE45" i="16"/>
  <c r="DD45" i="16"/>
  <c r="DC45" i="16"/>
  <c r="DB45" i="16"/>
  <c r="DA45" i="16"/>
  <c r="CZ45" i="16"/>
  <c r="CY45" i="16"/>
  <c r="CX45" i="16"/>
  <c r="CW45" i="16"/>
  <c r="CV45" i="16"/>
  <c r="CU45" i="16"/>
  <c r="CQ45" i="16"/>
  <c r="CJ45" i="16"/>
  <c r="CI45" i="16"/>
  <c r="CH45" i="16"/>
  <c r="CG45" i="16"/>
  <c r="CF45" i="16"/>
  <c r="CE45" i="16"/>
  <c r="CD45" i="16"/>
  <c r="CC45" i="16"/>
  <c r="CB45" i="16"/>
  <c r="CA45" i="16"/>
  <c r="BX45" i="16"/>
  <c r="BV45" i="16"/>
  <c r="BU45" i="16"/>
  <c r="BT45" i="16"/>
  <c r="BS45" i="16"/>
  <c r="BR45" i="16"/>
  <c r="BQ45" i="16"/>
  <c r="BP45" i="16"/>
  <c r="BO45" i="16"/>
  <c r="BN45" i="16"/>
  <c r="BM45" i="16"/>
  <c r="BL45" i="16"/>
  <c r="BK45" i="16"/>
  <c r="BJ45" i="16"/>
  <c r="BI45" i="16"/>
  <c r="BH45" i="16"/>
  <c r="BG45" i="16"/>
  <c r="BF45" i="16"/>
  <c r="BE45" i="16"/>
  <c r="AV45" i="16"/>
  <c r="BA45" i="16" s="1"/>
  <c r="DG44" i="16"/>
  <c r="DF44" i="16"/>
  <c r="DE44" i="16"/>
  <c r="DD44" i="16"/>
  <c r="DC44" i="16"/>
  <c r="DB44" i="16"/>
  <c r="DA44" i="16"/>
  <c r="CZ44" i="16"/>
  <c r="CY44" i="16"/>
  <c r="CX44" i="16"/>
  <c r="CW44" i="16"/>
  <c r="CV44" i="16"/>
  <c r="CU44" i="16"/>
  <c r="CQ44" i="16"/>
  <c r="CJ44" i="16"/>
  <c r="CI44" i="16"/>
  <c r="CH44" i="16"/>
  <c r="CG44" i="16"/>
  <c r="CF44" i="16"/>
  <c r="CE44" i="16"/>
  <c r="CD44" i="16"/>
  <c r="CC44" i="16"/>
  <c r="CB44" i="16"/>
  <c r="CA44" i="16"/>
  <c r="BX44" i="16"/>
  <c r="BV44" i="16"/>
  <c r="BU44" i="16"/>
  <c r="BT44" i="16"/>
  <c r="BS44" i="16"/>
  <c r="BR44" i="16"/>
  <c r="BQ44" i="16"/>
  <c r="BP44" i="16"/>
  <c r="BO44" i="16"/>
  <c r="BN44" i="16"/>
  <c r="BM44" i="16"/>
  <c r="BL44" i="16"/>
  <c r="BK44" i="16"/>
  <c r="BJ44" i="16"/>
  <c r="BI44" i="16"/>
  <c r="BH44" i="16"/>
  <c r="BG44" i="16"/>
  <c r="BF44" i="16"/>
  <c r="BE44" i="16"/>
  <c r="BA44" i="16"/>
  <c r="AV44" i="16"/>
  <c r="DG43" i="16"/>
  <c r="DF43" i="16"/>
  <c r="DE43" i="16"/>
  <c r="DD43" i="16"/>
  <c r="DC43" i="16"/>
  <c r="DB43" i="16"/>
  <c r="DA43" i="16"/>
  <c r="CZ43" i="16"/>
  <c r="CY43" i="16"/>
  <c r="CX43" i="16"/>
  <c r="CW43" i="16"/>
  <c r="CV43" i="16"/>
  <c r="CU43" i="16"/>
  <c r="CT43" i="16"/>
  <c r="CQ43" i="16"/>
  <c r="CJ43" i="16"/>
  <c r="CI43" i="16"/>
  <c r="CH43" i="16"/>
  <c r="CG43" i="16"/>
  <c r="CF43" i="16"/>
  <c r="CE43" i="16"/>
  <c r="CD43" i="16"/>
  <c r="CC43" i="16"/>
  <c r="CB43" i="16"/>
  <c r="CA43" i="16"/>
  <c r="BX43" i="16"/>
  <c r="BV43" i="16"/>
  <c r="BU43" i="16"/>
  <c r="BT43" i="16"/>
  <c r="BS43" i="16"/>
  <c r="BR43" i="16"/>
  <c r="BQ43" i="16"/>
  <c r="BP43" i="16"/>
  <c r="BO43" i="16"/>
  <c r="BN43" i="16"/>
  <c r="BM43" i="16"/>
  <c r="BL43" i="16"/>
  <c r="BK43" i="16"/>
  <c r="BJ43" i="16"/>
  <c r="BI43" i="16"/>
  <c r="BH43" i="16"/>
  <c r="BG43" i="16"/>
  <c r="BF43" i="16"/>
  <c r="BE43" i="16"/>
  <c r="AV43" i="16"/>
  <c r="BA43" i="16" s="1"/>
  <c r="DG42" i="16"/>
  <c r="DF42" i="16"/>
  <c r="DE42" i="16"/>
  <c r="DD42" i="16"/>
  <c r="DC42" i="16"/>
  <c r="DB42" i="16"/>
  <c r="DA42" i="16"/>
  <c r="CZ42" i="16"/>
  <c r="CY42" i="16"/>
  <c r="CX42" i="16"/>
  <c r="CW42" i="16"/>
  <c r="CV42" i="16"/>
  <c r="CU42" i="16"/>
  <c r="CT42" i="16"/>
  <c r="CQ42" i="16"/>
  <c r="CJ42" i="16"/>
  <c r="CI42" i="16"/>
  <c r="CH42" i="16"/>
  <c r="CG42" i="16"/>
  <c r="CF42" i="16"/>
  <c r="CE42" i="16"/>
  <c r="CD42" i="16"/>
  <c r="CC42" i="16"/>
  <c r="CB42" i="16"/>
  <c r="CA42" i="16"/>
  <c r="BY42" i="16"/>
  <c r="BX42" i="16"/>
  <c r="BV42" i="16"/>
  <c r="BU42" i="16"/>
  <c r="BT42" i="16"/>
  <c r="BS42" i="16"/>
  <c r="BR42" i="16"/>
  <c r="BQ42" i="16"/>
  <c r="BP42" i="16"/>
  <c r="BO42" i="16"/>
  <c r="BN42" i="16"/>
  <c r="BM42" i="16"/>
  <c r="BL42" i="16"/>
  <c r="BK42" i="16"/>
  <c r="BJ42" i="16"/>
  <c r="BI42" i="16"/>
  <c r="BH42" i="16"/>
  <c r="BG42" i="16"/>
  <c r="BF42" i="16"/>
  <c r="BE42" i="16"/>
  <c r="AV42" i="16"/>
  <c r="BA42" i="16" s="1"/>
  <c r="DG41" i="16"/>
  <c r="DF41" i="16"/>
  <c r="DE41" i="16"/>
  <c r="DD41" i="16"/>
  <c r="DC41" i="16"/>
  <c r="DB41" i="16"/>
  <c r="DA41" i="16"/>
  <c r="CZ41" i="16"/>
  <c r="CY41" i="16"/>
  <c r="CX41" i="16"/>
  <c r="CW41" i="16"/>
  <c r="CV41" i="16"/>
  <c r="CU41" i="16"/>
  <c r="CT41" i="16"/>
  <c r="CR41" i="16"/>
  <c r="CQ41" i="16"/>
  <c r="CJ41" i="16"/>
  <c r="CI41" i="16"/>
  <c r="CH41" i="16"/>
  <c r="CG41" i="16"/>
  <c r="CF41" i="16"/>
  <c r="CE41" i="16"/>
  <c r="CD41" i="16"/>
  <c r="CC41" i="16"/>
  <c r="CB41" i="16"/>
  <c r="CA41" i="16"/>
  <c r="BX41" i="16"/>
  <c r="BV41" i="16"/>
  <c r="BU41" i="16"/>
  <c r="BT41" i="16"/>
  <c r="BS41" i="16"/>
  <c r="BR41" i="16"/>
  <c r="BQ41" i="16"/>
  <c r="BP41" i="16"/>
  <c r="BO41" i="16"/>
  <c r="BN41" i="16"/>
  <c r="BM41" i="16"/>
  <c r="BL41" i="16"/>
  <c r="BK41" i="16"/>
  <c r="BJ41" i="16"/>
  <c r="BI41" i="16"/>
  <c r="BH41" i="16"/>
  <c r="BG41" i="16"/>
  <c r="BF41" i="16"/>
  <c r="BE41" i="16"/>
  <c r="AV41" i="16"/>
  <c r="BA41" i="16" s="1"/>
  <c r="DG40" i="16"/>
  <c r="DF40" i="16"/>
  <c r="DE40" i="16"/>
  <c r="DD40" i="16"/>
  <c r="DC40" i="16"/>
  <c r="DB40" i="16"/>
  <c r="DA40" i="16"/>
  <c r="CZ40" i="16"/>
  <c r="CY40" i="16"/>
  <c r="CX40" i="16"/>
  <c r="CW40" i="16"/>
  <c r="CV40" i="16"/>
  <c r="CU40" i="16"/>
  <c r="CT40" i="16"/>
  <c r="CR40" i="16"/>
  <c r="CQ40" i="16"/>
  <c r="CJ40" i="16"/>
  <c r="CI40" i="16"/>
  <c r="CH40" i="16"/>
  <c r="CG40" i="16"/>
  <c r="CF40" i="16"/>
  <c r="CE40" i="16"/>
  <c r="CD40" i="16"/>
  <c r="CC40" i="16"/>
  <c r="CB40" i="16"/>
  <c r="CA40" i="16"/>
  <c r="BX40" i="16"/>
  <c r="BV40" i="16"/>
  <c r="BU40" i="16"/>
  <c r="BT40" i="16"/>
  <c r="BS40" i="16"/>
  <c r="BR40" i="16"/>
  <c r="BQ40" i="16"/>
  <c r="BP40" i="16"/>
  <c r="BO40" i="16"/>
  <c r="BN40" i="16"/>
  <c r="BM40" i="16"/>
  <c r="BL40" i="16"/>
  <c r="BK40" i="16"/>
  <c r="BJ40" i="16"/>
  <c r="BI40" i="16"/>
  <c r="BH40" i="16"/>
  <c r="BG40" i="16"/>
  <c r="BF40" i="16"/>
  <c r="BE40" i="16"/>
  <c r="AV40" i="16"/>
  <c r="BA40" i="16" s="1"/>
  <c r="DG39" i="16"/>
  <c r="DF39" i="16"/>
  <c r="DE39" i="16"/>
  <c r="DD39" i="16"/>
  <c r="DC39" i="16"/>
  <c r="DB39" i="16"/>
  <c r="DA39" i="16"/>
  <c r="CZ39" i="16"/>
  <c r="CY39" i="16"/>
  <c r="CX39" i="16"/>
  <c r="CW39" i="16"/>
  <c r="CV39" i="16"/>
  <c r="CU39" i="16"/>
  <c r="CT39" i="16"/>
  <c r="CQ39" i="16"/>
  <c r="CJ39" i="16"/>
  <c r="CI39" i="16"/>
  <c r="CH39" i="16"/>
  <c r="CG39" i="16"/>
  <c r="CF39" i="16"/>
  <c r="CE39" i="16"/>
  <c r="CD39" i="16"/>
  <c r="CC39" i="16"/>
  <c r="CB39" i="16"/>
  <c r="CA39" i="16"/>
  <c r="BX39" i="16"/>
  <c r="BV39" i="16"/>
  <c r="BU39" i="16"/>
  <c r="BT39" i="16"/>
  <c r="BS39" i="16"/>
  <c r="BR39" i="16"/>
  <c r="BQ39" i="16"/>
  <c r="BP39" i="16"/>
  <c r="BO39" i="16"/>
  <c r="BN39" i="16"/>
  <c r="BM39" i="16"/>
  <c r="BL39" i="16"/>
  <c r="BK39" i="16"/>
  <c r="BJ39" i="16"/>
  <c r="BI39" i="16"/>
  <c r="BH39" i="16"/>
  <c r="BG39" i="16"/>
  <c r="BF39" i="16"/>
  <c r="BE39" i="16"/>
  <c r="BA39" i="16"/>
  <c r="AV39" i="16"/>
  <c r="DG38" i="16"/>
  <c r="DF38" i="16"/>
  <c r="DE38" i="16"/>
  <c r="DD38" i="16"/>
  <c r="DC38" i="16"/>
  <c r="DB38" i="16"/>
  <c r="DA38" i="16"/>
  <c r="CZ38" i="16"/>
  <c r="CY38" i="16"/>
  <c r="CX38" i="16"/>
  <c r="CW38" i="16"/>
  <c r="CV38" i="16"/>
  <c r="CU38" i="16"/>
  <c r="CR38" i="16"/>
  <c r="CQ38" i="16"/>
  <c r="CJ38" i="16"/>
  <c r="CI38" i="16"/>
  <c r="CH38" i="16"/>
  <c r="CG38" i="16"/>
  <c r="CF38" i="16"/>
  <c r="CE38" i="16"/>
  <c r="CD38" i="16"/>
  <c r="CC38" i="16"/>
  <c r="CB38" i="16"/>
  <c r="CA38" i="16"/>
  <c r="BX38" i="16"/>
  <c r="BV38" i="16"/>
  <c r="BU38" i="16"/>
  <c r="BT38" i="16"/>
  <c r="BS38" i="16"/>
  <c r="BR38" i="16"/>
  <c r="BQ38" i="16"/>
  <c r="BP38" i="16"/>
  <c r="BO38" i="16"/>
  <c r="BN38" i="16"/>
  <c r="BM38" i="16"/>
  <c r="BL38" i="16"/>
  <c r="BK38" i="16"/>
  <c r="BJ38" i="16"/>
  <c r="BI38" i="16"/>
  <c r="BH38" i="16"/>
  <c r="BG38" i="16"/>
  <c r="BF38" i="16"/>
  <c r="BE38" i="16"/>
  <c r="BA38" i="16"/>
  <c r="AV38" i="16"/>
  <c r="DG37" i="16"/>
  <c r="DF37" i="16"/>
  <c r="DE37" i="16"/>
  <c r="DD37" i="16"/>
  <c r="DC37" i="16"/>
  <c r="DB37" i="16"/>
  <c r="DA37" i="16"/>
  <c r="CZ37" i="16"/>
  <c r="CY37" i="16"/>
  <c r="CX37" i="16"/>
  <c r="CW37" i="16"/>
  <c r="CV37" i="16"/>
  <c r="CU37" i="16"/>
  <c r="CQ37" i="16"/>
  <c r="CJ37" i="16"/>
  <c r="CI37" i="16"/>
  <c r="CH37" i="16"/>
  <c r="CG37" i="16"/>
  <c r="CF37" i="16"/>
  <c r="CE37" i="16"/>
  <c r="CD37" i="16"/>
  <c r="CC37" i="16"/>
  <c r="CB37" i="16"/>
  <c r="CA37" i="16"/>
  <c r="BX37" i="16"/>
  <c r="BV37" i="16"/>
  <c r="BU37" i="16"/>
  <c r="BT37" i="16"/>
  <c r="BS37" i="16"/>
  <c r="BR37" i="16"/>
  <c r="BQ37" i="16"/>
  <c r="BP37" i="16"/>
  <c r="BO37" i="16"/>
  <c r="BN37" i="16"/>
  <c r="BM37" i="16"/>
  <c r="BL37" i="16"/>
  <c r="BK37" i="16"/>
  <c r="BJ37" i="16"/>
  <c r="BI37" i="16"/>
  <c r="BH37" i="16"/>
  <c r="BG37" i="16"/>
  <c r="BF37" i="16"/>
  <c r="BE37" i="16"/>
  <c r="BA37" i="16"/>
  <c r="AV37" i="16"/>
  <c r="DG36" i="16"/>
  <c r="DF36" i="16"/>
  <c r="DE36" i="16"/>
  <c r="DD36" i="16"/>
  <c r="DC36" i="16"/>
  <c r="DB36" i="16"/>
  <c r="DA36" i="16"/>
  <c r="CZ36" i="16"/>
  <c r="CY36" i="16"/>
  <c r="CX36" i="16"/>
  <c r="CW36" i="16"/>
  <c r="CV36" i="16"/>
  <c r="CU36" i="16"/>
  <c r="CQ36" i="16"/>
  <c r="CJ36" i="16"/>
  <c r="CI36" i="16"/>
  <c r="CH36" i="16"/>
  <c r="CG36" i="16"/>
  <c r="CF36" i="16"/>
  <c r="CE36" i="16"/>
  <c r="CD36" i="16"/>
  <c r="CC36" i="16"/>
  <c r="CB36" i="16"/>
  <c r="CA36" i="16"/>
  <c r="BY36" i="16"/>
  <c r="BX36" i="16"/>
  <c r="BV36" i="16"/>
  <c r="BU36" i="16"/>
  <c r="BT36" i="16"/>
  <c r="BS36" i="16"/>
  <c r="BR36" i="16"/>
  <c r="BQ36" i="16"/>
  <c r="BP36" i="16"/>
  <c r="BO36" i="16"/>
  <c r="BN36" i="16"/>
  <c r="BM36" i="16"/>
  <c r="BL36" i="16"/>
  <c r="BK36" i="16"/>
  <c r="BJ36" i="16"/>
  <c r="BI36" i="16"/>
  <c r="BH36" i="16"/>
  <c r="BG36" i="16"/>
  <c r="BF36" i="16"/>
  <c r="BE36" i="16"/>
  <c r="AV36" i="16"/>
  <c r="BA36" i="16" s="1"/>
  <c r="DG35" i="16"/>
  <c r="DF35" i="16"/>
  <c r="DE35" i="16"/>
  <c r="DD35" i="16"/>
  <c r="DC35" i="16"/>
  <c r="DB35" i="16"/>
  <c r="DA35" i="16"/>
  <c r="CZ35" i="16"/>
  <c r="CY35" i="16"/>
  <c r="CX35" i="16"/>
  <c r="CW35" i="16"/>
  <c r="CV35" i="16"/>
  <c r="CU35" i="16"/>
  <c r="CS35" i="16"/>
  <c r="CQ35" i="16"/>
  <c r="CJ35" i="16"/>
  <c r="CI35" i="16"/>
  <c r="CH35" i="16"/>
  <c r="CG35" i="16"/>
  <c r="CF35" i="16"/>
  <c r="CE35" i="16"/>
  <c r="CD35" i="16"/>
  <c r="CC35" i="16"/>
  <c r="CB35" i="16"/>
  <c r="CA35" i="16"/>
  <c r="BX35" i="16"/>
  <c r="BV35" i="16"/>
  <c r="BU35" i="16"/>
  <c r="BT35" i="16"/>
  <c r="BS35" i="16"/>
  <c r="BR35" i="16"/>
  <c r="BQ35" i="16"/>
  <c r="BP35" i="16"/>
  <c r="BO35" i="16"/>
  <c r="BN35" i="16"/>
  <c r="BM35" i="16"/>
  <c r="BL35" i="16"/>
  <c r="BK35" i="16"/>
  <c r="BJ35" i="16"/>
  <c r="BI35" i="16"/>
  <c r="BH35" i="16"/>
  <c r="BG35" i="16"/>
  <c r="BF35" i="16"/>
  <c r="BE35" i="16"/>
  <c r="BA35" i="16"/>
  <c r="AV35" i="16"/>
  <c r="DG34" i="16"/>
  <c r="DF34" i="16"/>
  <c r="DE34" i="16"/>
  <c r="DD34" i="16"/>
  <c r="DC34" i="16"/>
  <c r="DB34" i="16"/>
  <c r="DA34" i="16"/>
  <c r="CZ34" i="16"/>
  <c r="CY34" i="16"/>
  <c r="CX34" i="16"/>
  <c r="CW34" i="16"/>
  <c r="CV34" i="16"/>
  <c r="CU34" i="16"/>
  <c r="CS34" i="16"/>
  <c r="CQ34" i="16"/>
  <c r="CJ34" i="16"/>
  <c r="CI34" i="16"/>
  <c r="CH34" i="16"/>
  <c r="CG34" i="16"/>
  <c r="CF34" i="16"/>
  <c r="CE34" i="16"/>
  <c r="CD34" i="16"/>
  <c r="CC34" i="16"/>
  <c r="CB34" i="16"/>
  <c r="CA34" i="16"/>
  <c r="BX34" i="16"/>
  <c r="BV34" i="16"/>
  <c r="BU34" i="16"/>
  <c r="BT34" i="16"/>
  <c r="BS34" i="16"/>
  <c r="BR34" i="16"/>
  <c r="BQ34" i="16"/>
  <c r="BP34" i="16"/>
  <c r="BO34" i="16"/>
  <c r="BN34" i="16"/>
  <c r="BM34" i="16"/>
  <c r="BL34" i="16"/>
  <c r="BK34" i="16"/>
  <c r="BJ34" i="16"/>
  <c r="BI34" i="16"/>
  <c r="BH34" i="16"/>
  <c r="BG34" i="16"/>
  <c r="BF34" i="16"/>
  <c r="BE34" i="16"/>
  <c r="AV34" i="16"/>
  <c r="BA34" i="16" s="1"/>
  <c r="DG33" i="16"/>
  <c r="DF33" i="16"/>
  <c r="DE33" i="16"/>
  <c r="DD33" i="16"/>
  <c r="DC33" i="16"/>
  <c r="DB33" i="16"/>
  <c r="DA33" i="16"/>
  <c r="CZ33" i="16"/>
  <c r="CY33" i="16"/>
  <c r="CX33" i="16"/>
  <c r="CW33" i="16"/>
  <c r="CV33" i="16"/>
  <c r="CU33" i="16"/>
  <c r="CS33" i="16"/>
  <c r="CQ33" i="16"/>
  <c r="CJ33" i="16"/>
  <c r="CI33" i="16"/>
  <c r="CH33" i="16"/>
  <c r="CG33" i="16"/>
  <c r="CF33" i="16"/>
  <c r="CE33" i="16"/>
  <c r="CD33" i="16"/>
  <c r="CC33" i="16"/>
  <c r="CB33" i="16"/>
  <c r="CA33" i="16"/>
  <c r="BX33" i="16"/>
  <c r="BV33" i="16"/>
  <c r="BU33" i="16"/>
  <c r="BT33" i="16"/>
  <c r="BS33" i="16"/>
  <c r="BR33" i="16"/>
  <c r="BQ33" i="16"/>
  <c r="BP33" i="16"/>
  <c r="BO33" i="16"/>
  <c r="BN33" i="16"/>
  <c r="BM33" i="16"/>
  <c r="BL33" i="16"/>
  <c r="BK33" i="16"/>
  <c r="BJ33" i="16"/>
  <c r="BI33" i="16"/>
  <c r="BH33" i="16"/>
  <c r="BG33" i="16"/>
  <c r="BF33" i="16"/>
  <c r="BE33" i="16"/>
  <c r="AV33" i="16"/>
  <c r="BA33" i="16" s="1"/>
  <c r="DG32" i="16"/>
  <c r="DF32" i="16"/>
  <c r="DE32" i="16"/>
  <c r="DD32" i="16"/>
  <c r="DC32" i="16"/>
  <c r="DB32" i="16"/>
  <c r="DA32" i="16"/>
  <c r="CZ32" i="16"/>
  <c r="CY32" i="16"/>
  <c r="CX32" i="16"/>
  <c r="CW32" i="16"/>
  <c r="CV32" i="16"/>
  <c r="CU32" i="16"/>
  <c r="CS32" i="16"/>
  <c r="CQ32" i="16"/>
  <c r="CJ32" i="16"/>
  <c r="CI32" i="16"/>
  <c r="CH32" i="16"/>
  <c r="CG32" i="16"/>
  <c r="CF32" i="16"/>
  <c r="CE32" i="16"/>
  <c r="CD32" i="16"/>
  <c r="CC32" i="16"/>
  <c r="CB32" i="16"/>
  <c r="CA32" i="16"/>
  <c r="BX32" i="16"/>
  <c r="BV32" i="16"/>
  <c r="BU32" i="16"/>
  <c r="BT32" i="16"/>
  <c r="BS32" i="16"/>
  <c r="BR32" i="16"/>
  <c r="BQ32" i="16"/>
  <c r="BP32" i="16"/>
  <c r="BO32" i="16"/>
  <c r="BN32" i="16"/>
  <c r="BM32" i="16"/>
  <c r="BL32" i="16"/>
  <c r="BK32" i="16"/>
  <c r="BJ32" i="16"/>
  <c r="BI32" i="16"/>
  <c r="BH32" i="16"/>
  <c r="BG32" i="16"/>
  <c r="BF32" i="16"/>
  <c r="BE32" i="16"/>
  <c r="AV32" i="16"/>
  <c r="BA32" i="16" s="1"/>
  <c r="DG31" i="16"/>
  <c r="DF31" i="16"/>
  <c r="DE31" i="16"/>
  <c r="DD31" i="16"/>
  <c r="DC31" i="16"/>
  <c r="DB31" i="16"/>
  <c r="DA31" i="16"/>
  <c r="CZ31" i="16"/>
  <c r="CY31" i="16"/>
  <c r="CX31" i="16"/>
  <c r="CW31" i="16"/>
  <c r="CV31" i="16"/>
  <c r="CU31" i="16"/>
  <c r="CS31" i="16"/>
  <c r="CQ31" i="16"/>
  <c r="CJ31" i="16"/>
  <c r="CI31" i="16"/>
  <c r="CH31" i="16"/>
  <c r="CG31" i="16"/>
  <c r="CF31" i="16"/>
  <c r="CE31" i="16"/>
  <c r="CD31" i="16"/>
  <c r="CC31" i="16"/>
  <c r="CB31" i="16"/>
  <c r="CA31" i="16"/>
  <c r="BX31" i="16"/>
  <c r="BV31" i="16"/>
  <c r="BU31" i="16"/>
  <c r="BT31" i="16"/>
  <c r="BS31" i="16"/>
  <c r="BR31" i="16"/>
  <c r="BQ31" i="16"/>
  <c r="BP31" i="16"/>
  <c r="BO31" i="16"/>
  <c r="BN31" i="16"/>
  <c r="BM31" i="16"/>
  <c r="BL31" i="16"/>
  <c r="BK31" i="16"/>
  <c r="BJ31" i="16"/>
  <c r="BI31" i="16"/>
  <c r="BH31" i="16"/>
  <c r="BG31" i="16"/>
  <c r="BF31" i="16"/>
  <c r="BE31" i="16"/>
  <c r="AV31" i="16"/>
  <c r="BA31" i="16" s="1"/>
  <c r="DG30" i="16"/>
  <c r="DF30" i="16"/>
  <c r="DE30" i="16"/>
  <c r="DD30" i="16"/>
  <c r="DC30" i="16"/>
  <c r="DB30" i="16"/>
  <c r="DA30" i="16"/>
  <c r="CZ30" i="16"/>
  <c r="CY30" i="16"/>
  <c r="CX30" i="16"/>
  <c r="CW30" i="16"/>
  <c r="CV30" i="16"/>
  <c r="CU30" i="16"/>
  <c r="CS30" i="16"/>
  <c r="CR30" i="16"/>
  <c r="CQ30" i="16"/>
  <c r="CJ30" i="16"/>
  <c r="CI30" i="16"/>
  <c r="CH30" i="16"/>
  <c r="CG30" i="16"/>
  <c r="CF30" i="16"/>
  <c r="CE30" i="16"/>
  <c r="CD30" i="16"/>
  <c r="CC30" i="16"/>
  <c r="CB30" i="16"/>
  <c r="CA30" i="16"/>
  <c r="BY30" i="16"/>
  <c r="BX30" i="16"/>
  <c r="BV30" i="16"/>
  <c r="BU30" i="16"/>
  <c r="BT30" i="16"/>
  <c r="BS30" i="16"/>
  <c r="BR30" i="16"/>
  <c r="BQ30" i="16"/>
  <c r="BP30" i="16"/>
  <c r="BO30" i="16"/>
  <c r="BN30" i="16"/>
  <c r="BM30" i="16"/>
  <c r="BL30" i="16"/>
  <c r="BK30" i="16"/>
  <c r="BJ30" i="16"/>
  <c r="BI30" i="16"/>
  <c r="BH30" i="16"/>
  <c r="BG30" i="16"/>
  <c r="BF30" i="16"/>
  <c r="BE30" i="16"/>
  <c r="AV30" i="16"/>
  <c r="BA30" i="16" s="1"/>
  <c r="DG29" i="16"/>
  <c r="DF29" i="16"/>
  <c r="DE29" i="16"/>
  <c r="DD29" i="16"/>
  <c r="DC29" i="16"/>
  <c r="DB29" i="16"/>
  <c r="DA29" i="16"/>
  <c r="CZ29" i="16"/>
  <c r="CY29" i="16"/>
  <c r="CX29" i="16"/>
  <c r="CW29" i="16"/>
  <c r="CV29" i="16"/>
  <c r="CU29" i="16"/>
  <c r="CT29" i="16"/>
  <c r="CQ29" i="16"/>
  <c r="CJ29" i="16"/>
  <c r="CI29" i="16"/>
  <c r="CH29" i="16"/>
  <c r="CG29" i="16"/>
  <c r="CF29" i="16"/>
  <c r="CE29" i="16"/>
  <c r="CD29" i="16"/>
  <c r="CC29" i="16"/>
  <c r="CB29" i="16"/>
  <c r="CA29" i="16"/>
  <c r="BX29" i="16"/>
  <c r="BV29" i="16"/>
  <c r="BU29" i="16"/>
  <c r="BT29" i="16"/>
  <c r="BS29" i="16"/>
  <c r="BR29" i="16"/>
  <c r="BQ29" i="16"/>
  <c r="BP29" i="16"/>
  <c r="BO29" i="16"/>
  <c r="BN29" i="16"/>
  <c r="BM29" i="16"/>
  <c r="BL29" i="16"/>
  <c r="BK29" i="16"/>
  <c r="BJ29" i="16"/>
  <c r="BI29" i="16"/>
  <c r="BH29" i="16"/>
  <c r="BG29" i="16"/>
  <c r="BF29" i="16"/>
  <c r="BE29" i="16"/>
  <c r="AV29" i="16"/>
  <c r="BA29" i="16" s="1"/>
  <c r="DG28" i="16"/>
  <c r="DF28" i="16"/>
  <c r="DE28" i="16"/>
  <c r="DD28" i="16"/>
  <c r="DC28" i="16"/>
  <c r="DB28" i="16"/>
  <c r="DA28" i="16"/>
  <c r="CZ28" i="16"/>
  <c r="CY28" i="16"/>
  <c r="CX28" i="16"/>
  <c r="CW28" i="16"/>
  <c r="CV28" i="16"/>
  <c r="CU28" i="16"/>
  <c r="CR28" i="16"/>
  <c r="CQ28" i="16"/>
  <c r="CJ28" i="16"/>
  <c r="CI28" i="16"/>
  <c r="CH28" i="16"/>
  <c r="CG28" i="16"/>
  <c r="CF28" i="16"/>
  <c r="CE28" i="16"/>
  <c r="CD28" i="16"/>
  <c r="CC28" i="16"/>
  <c r="CB28" i="16"/>
  <c r="CA28" i="16"/>
  <c r="BX28" i="16"/>
  <c r="BV28" i="16"/>
  <c r="BU28" i="16"/>
  <c r="BT28" i="16"/>
  <c r="BS28" i="16"/>
  <c r="BR28" i="16"/>
  <c r="BQ28" i="16"/>
  <c r="BP28" i="16"/>
  <c r="BO28" i="16"/>
  <c r="BN28" i="16"/>
  <c r="BM28" i="16"/>
  <c r="BL28" i="16"/>
  <c r="BK28" i="16"/>
  <c r="BJ28" i="16"/>
  <c r="BI28" i="16"/>
  <c r="BH28" i="16"/>
  <c r="BG28" i="16"/>
  <c r="BF28" i="16"/>
  <c r="BE28" i="16"/>
  <c r="BA28" i="16"/>
  <c r="AV28" i="16"/>
  <c r="DG27" i="16"/>
  <c r="DF27" i="16"/>
  <c r="DE27" i="16"/>
  <c r="DD27" i="16"/>
  <c r="DC27" i="16"/>
  <c r="DB27" i="16"/>
  <c r="DA27" i="16"/>
  <c r="CZ27" i="16"/>
  <c r="CY27" i="16"/>
  <c r="CX27" i="16"/>
  <c r="CW27" i="16"/>
  <c r="CV27" i="16"/>
  <c r="CU27" i="16"/>
  <c r="CQ27" i="16"/>
  <c r="CJ27" i="16"/>
  <c r="CI27" i="16"/>
  <c r="CH27" i="16"/>
  <c r="CG27" i="16"/>
  <c r="CF27" i="16"/>
  <c r="CE27" i="16"/>
  <c r="CD27" i="16"/>
  <c r="CC27" i="16"/>
  <c r="CB27" i="16"/>
  <c r="CA27" i="16"/>
  <c r="BX27" i="16"/>
  <c r="BV27" i="16"/>
  <c r="BU27" i="16"/>
  <c r="BT27" i="16"/>
  <c r="BS27" i="16"/>
  <c r="BR27" i="16"/>
  <c r="BQ27" i="16"/>
  <c r="BP27" i="16"/>
  <c r="BO27" i="16"/>
  <c r="BN27" i="16"/>
  <c r="BM27" i="16"/>
  <c r="BL27" i="16"/>
  <c r="BK27" i="16"/>
  <c r="BJ27" i="16"/>
  <c r="BI27" i="16"/>
  <c r="BH27" i="16"/>
  <c r="BG27" i="16"/>
  <c r="BF27" i="16"/>
  <c r="BE27" i="16"/>
  <c r="AV27" i="16"/>
  <c r="BA27" i="16" s="1"/>
  <c r="DG26" i="16"/>
  <c r="DF26" i="16"/>
  <c r="DE26" i="16"/>
  <c r="DD26" i="16"/>
  <c r="DC26" i="16"/>
  <c r="DB26" i="16"/>
  <c r="DA26" i="16"/>
  <c r="CZ26" i="16"/>
  <c r="CY26" i="16"/>
  <c r="CX26" i="16"/>
  <c r="CW26" i="16"/>
  <c r="CV26" i="16"/>
  <c r="CU26" i="16"/>
  <c r="CQ26" i="16"/>
  <c r="CJ26" i="16"/>
  <c r="CI26" i="16"/>
  <c r="CH26" i="16"/>
  <c r="CG26" i="16"/>
  <c r="CF26" i="16"/>
  <c r="CE26" i="16"/>
  <c r="CD26" i="16"/>
  <c r="CC26" i="16"/>
  <c r="CB26" i="16"/>
  <c r="CA26" i="16"/>
  <c r="BX26" i="16"/>
  <c r="BV26" i="16"/>
  <c r="BU26" i="16"/>
  <c r="BT26" i="16"/>
  <c r="BS26" i="16"/>
  <c r="BR26" i="16"/>
  <c r="BQ26" i="16"/>
  <c r="BP26" i="16"/>
  <c r="BO26" i="16"/>
  <c r="BN26" i="16"/>
  <c r="BM26" i="16"/>
  <c r="BL26" i="16"/>
  <c r="BK26" i="16"/>
  <c r="BJ26" i="16"/>
  <c r="BI26" i="16"/>
  <c r="BH26" i="16"/>
  <c r="BG26" i="16"/>
  <c r="BF26" i="16"/>
  <c r="BE26" i="16"/>
  <c r="AV26" i="16"/>
  <c r="BA26" i="16" s="1"/>
  <c r="DG25" i="16"/>
  <c r="DF25" i="16"/>
  <c r="DE25" i="16"/>
  <c r="DD25" i="16"/>
  <c r="DC25" i="16"/>
  <c r="DB25" i="16"/>
  <c r="DA25" i="16"/>
  <c r="CZ25" i="16"/>
  <c r="CY25" i="16"/>
  <c r="CX25" i="16"/>
  <c r="CW25" i="16"/>
  <c r="CV25" i="16"/>
  <c r="CU25" i="16"/>
  <c r="CQ25" i="16"/>
  <c r="CJ25" i="16"/>
  <c r="CI25" i="16"/>
  <c r="CH25" i="16"/>
  <c r="CG25" i="16"/>
  <c r="CF25" i="16"/>
  <c r="CE25" i="16"/>
  <c r="CD25" i="16"/>
  <c r="CC25" i="16"/>
  <c r="CB25" i="16"/>
  <c r="CA25" i="16"/>
  <c r="BX25" i="16"/>
  <c r="BV25" i="16"/>
  <c r="BU25" i="16"/>
  <c r="BT25" i="16"/>
  <c r="BS25" i="16"/>
  <c r="BR25" i="16"/>
  <c r="BQ25" i="16"/>
  <c r="BP25" i="16"/>
  <c r="BO25" i="16"/>
  <c r="BN25" i="16"/>
  <c r="BM25" i="16"/>
  <c r="BL25" i="16"/>
  <c r="BK25" i="16"/>
  <c r="BJ25" i="16"/>
  <c r="BI25" i="16"/>
  <c r="BH25" i="16"/>
  <c r="BG25" i="16"/>
  <c r="BF25" i="16"/>
  <c r="BE25" i="16"/>
  <c r="AV25" i="16"/>
  <c r="BA25" i="16" s="1"/>
  <c r="DG24" i="16"/>
  <c r="DF24" i="16"/>
  <c r="DE24" i="16"/>
  <c r="DD24" i="16"/>
  <c r="DC24" i="16"/>
  <c r="DB24" i="16"/>
  <c r="DA24" i="16"/>
  <c r="CZ24" i="16"/>
  <c r="CY24" i="16"/>
  <c r="CX24" i="16"/>
  <c r="CW24" i="16"/>
  <c r="CV24" i="16"/>
  <c r="CU24" i="16"/>
  <c r="CQ24" i="16"/>
  <c r="CJ24" i="16"/>
  <c r="CI24" i="16"/>
  <c r="CH24" i="16"/>
  <c r="CG24" i="16"/>
  <c r="CF24" i="16"/>
  <c r="CE24" i="16"/>
  <c r="CD24" i="16"/>
  <c r="CC24" i="16"/>
  <c r="CB24" i="16"/>
  <c r="CA24" i="16"/>
  <c r="BY24" i="16"/>
  <c r="BX24" i="16"/>
  <c r="BV24" i="16"/>
  <c r="BU24" i="16"/>
  <c r="BT24" i="16"/>
  <c r="BS24" i="16"/>
  <c r="BR24" i="16"/>
  <c r="BQ24" i="16"/>
  <c r="BP24" i="16"/>
  <c r="BO24" i="16"/>
  <c r="BN24" i="16"/>
  <c r="BM24" i="16"/>
  <c r="BL24" i="16"/>
  <c r="BK24" i="16"/>
  <c r="BJ24" i="16"/>
  <c r="BI24" i="16"/>
  <c r="BH24" i="16"/>
  <c r="BG24" i="16"/>
  <c r="BF24" i="16"/>
  <c r="BE24" i="16"/>
  <c r="BA24" i="16"/>
  <c r="AV24" i="16"/>
  <c r="DG23" i="16"/>
  <c r="DF23" i="16"/>
  <c r="DE23" i="16"/>
  <c r="DD23" i="16"/>
  <c r="DC23" i="16"/>
  <c r="DB23" i="16"/>
  <c r="DA23" i="16"/>
  <c r="CZ23" i="16"/>
  <c r="CY23" i="16"/>
  <c r="CX23" i="16"/>
  <c r="CW23" i="16"/>
  <c r="CV23" i="16"/>
  <c r="CU23" i="16"/>
  <c r="CQ23" i="16"/>
  <c r="CJ23" i="16"/>
  <c r="CI23" i="16"/>
  <c r="CH23" i="16"/>
  <c r="CG23" i="16"/>
  <c r="CF23" i="16"/>
  <c r="CE23" i="16"/>
  <c r="CD23" i="16"/>
  <c r="CC23" i="16"/>
  <c r="CB23" i="16"/>
  <c r="CA23" i="16"/>
  <c r="BX23" i="16"/>
  <c r="BV23" i="16"/>
  <c r="BU23" i="16"/>
  <c r="BT23" i="16"/>
  <c r="BS23" i="16"/>
  <c r="BR23" i="16"/>
  <c r="BQ23" i="16"/>
  <c r="BP23" i="16"/>
  <c r="BO23" i="16"/>
  <c r="BN23" i="16"/>
  <c r="BM23" i="16"/>
  <c r="BL23" i="16"/>
  <c r="BK23" i="16"/>
  <c r="BJ23" i="16"/>
  <c r="BI23" i="16"/>
  <c r="BH23" i="16"/>
  <c r="BG23" i="16"/>
  <c r="BF23" i="16"/>
  <c r="BE23" i="16"/>
  <c r="AV23" i="16"/>
  <c r="BA23" i="16" s="1"/>
  <c r="DG22" i="16"/>
  <c r="DF22" i="16"/>
  <c r="DE22" i="16"/>
  <c r="DD22" i="16"/>
  <c r="DC22" i="16"/>
  <c r="DB22" i="16"/>
  <c r="DA22" i="16"/>
  <c r="CZ22" i="16"/>
  <c r="CY22" i="16"/>
  <c r="CX22" i="16"/>
  <c r="CW22" i="16"/>
  <c r="CV22" i="16"/>
  <c r="CU22" i="16"/>
  <c r="CQ22" i="16"/>
  <c r="CJ22" i="16"/>
  <c r="CI22" i="16"/>
  <c r="CH22" i="16"/>
  <c r="CG22" i="16"/>
  <c r="CF22" i="16"/>
  <c r="CE22" i="16"/>
  <c r="CD22" i="16"/>
  <c r="CC22" i="16"/>
  <c r="CB22" i="16"/>
  <c r="CA22" i="16"/>
  <c r="BX22" i="16"/>
  <c r="BV22" i="16"/>
  <c r="BU22" i="16"/>
  <c r="BT22" i="16"/>
  <c r="BS22" i="16"/>
  <c r="BR22" i="16"/>
  <c r="BQ22" i="16"/>
  <c r="BP22" i="16"/>
  <c r="BO22" i="16"/>
  <c r="BN22" i="16"/>
  <c r="BM22" i="16"/>
  <c r="BL22" i="16"/>
  <c r="BK22" i="16"/>
  <c r="BJ22" i="16"/>
  <c r="BI22" i="16"/>
  <c r="BH22" i="16"/>
  <c r="BG22" i="16"/>
  <c r="BF22" i="16"/>
  <c r="BE22" i="16"/>
  <c r="AV22" i="16"/>
  <c r="BA22" i="16" s="1"/>
  <c r="DG21" i="16"/>
  <c r="DF21" i="16"/>
  <c r="DE21" i="16"/>
  <c r="DD21" i="16"/>
  <c r="DC21" i="16"/>
  <c r="DB21" i="16"/>
  <c r="DA21" i="16"/>
  <c r="CZ21" i="16"/>
  <c r="CY21" i="16"/>
  <c r="CX21" i="16"/>
  <c r="CW21" i="16"/>
  <c r="CV21" i="16"/>
  <c r="CU21" i="16"/>
  <c r="CQ21" i="16"/>
  <c r="CJ21" i="16"/>
  <c r="CI21" i="16"/>
  <c r="CH21" i="16"/>
  <c r="CG21" i="16"/>
  <c r="CF21" i="16"/>
  <c r="CE21" i="16"/>
  <c r="CD21" i="16"/>
  <c r="CC21" i="16"/>
  <c r="CB21" i="16"/>
  <c r="CA21" i="16"/>
  <c r="BX21" i="16"/>
  <c r="BV21" i="16"/>
  <c r="BU21" i="16"/>
  <c r="BT21" i="16"/>
  <c r="BS21" i="16"/>
  <c r="BR21" i="16"/>
  <c r="BQ21" i="16"/>
  <c r="BP21" i="16"/>
  <c r="BO21" i="16"/>
  <c r="BN21" i="16"/>
  <c r="BM21" i="16"/>
  <c r="BL21" i="16"/>
  <c r="BK21" i="16"/>
  <c r="BJ21" i="16"/>
  <c r="BI21" i="16"/>
  <c r="BH21" i="16"/>
  <c r="BG21" i="16"/>
  <c r="BF21" i="16"/>
  <c r="BE21" i="16"/>
  <c r="AV21" i="16"/>
  <c r="BA21" i="16" s="1"/>
  <c r="DG20" i="16"/>
  <c r="DF20" i="16"/>
  <c r="DE20" i="16"/>
  <c r="DD20" i="16"/>
  <c r="DC20" i="16"/>
  <c r="DB20" i="16"/>
  <c r="DA20" i="16"/>
  <c r="CZ20" i="16"/>
  <c r="CY20" i="16"/>
  <c r="CX20" i="16"/>
  <c r="CW20" i="16"/>
  <c r="CV20" i="16"/>
  <c r="CU20" i="16"/>
  <c r="CR20" i="16"/>
  <c r="CQ20" i="16"/>
  <c r="CJ20" i="16"/>
  <c r="CI20" i="16"/>
  <c r="CH20" i="16"/>
  <c r="CG20" i="16"/>
  <c r="CF20" i="16"/>
  <c r="CE20" i="16"/>
  <c r="CD20" i="16"/>
  <c r="CC20" i="16"/>
  <c r="CB20" i="16"/>
  <c r="CA20" i="16"/>
  <c r="BX20" i="16"/>
  <c r="BV20" i="16"/>
  <c r="BU20" i="16"/>
  <c r="BT20" i="16"/>
  <c r="BS20" i="16"/>
  <c r="BR20" i="16"/>
  <c r="BQ20" i="16"/>
  <c r="BP20" i="16"/>
  <c r="BO20" i="16"/>
  <c r="BN20" i="16"/>
  <c r="BM20" i="16"/>
  <c r="BL20" i="16"/>
  <c r="BK20" i="16"/>
  <c r="BJ20" i="16"/>
  <c r="BI20" i="16"/>
  <c r="BH20" i="16"/>
  <c r="BG20" i="16"/>
  <c r="BF20" i="16"/>
  <c r="BE20" i="16"/>
  <c r="AV20" i="16"/>
  <c r="BA20" i="16" s="1"/>
  <c r="DG19" i="16"/>
  <c r="DF19" i="16"/>
  <c r="DE19" i="16"/>
  <c r="DD19" i="16"/>
  <c r="DC19" i="16"/>
  <c r="DB19" i="16"/>
  <c r="DA19" i="16"/>
  <c r="CZ19" i="16"/>
  <c r="CY19" i="16"/>
  <c r="CX19" i="16"/>
  <c r="CW19" i="16"/>
  <c r="CV19" i="16"/>
  <c r="CU19" i="16"/>
  <c r="CR19" i="16"/>
  <c r="CQ19" i="16"/>
  <c r="CJ19" i="16"/>
  <c r="CI19" i="16"/>
  <c r="CH19" i="16"/>
  <c r="CG19" i="16"/>
  <c r="CF19" i="16"/>
  <c r="CE19" i="16"/>
  <c r="CD19" i="16"/>
  <c r="CC19" i="16"/>
  <c r="CB19" i="16"/>
  <c r="CA19" i="16"/>
  <c r="BX19" i="16"/>
  <c r="BV19" i="16"/>
  <c r="BU19" i="16"/>
  <c r="BT19" i="16"/>
  <c r="BS19" i="16"/>
  <c r="BR19" i="16"/>
  <c r="BQ19" i="16"/>
  <c r="BP19" i="16"/>
  <c r="BO19" i="16"/>
  <c r="BN19" i="16"/>
  <c r="BM19" i="16"/>
  <c r="BL19" i="16"/>
  <c r="BK19" i="16"/>
  <c r="BJ19" i="16"/>
  <c r="BI19" i="16"/>
  <c r="BH19" i="16"/>
  <c r="BG19" i="16"/>
  <c r="BF19" i="16"/>
  <c r="BE19" i="16"/>
  <c r="BA19" i="16"/>
  <c r="AV19" i="16"/>
  <c r="DG18" i="16"/>
  <c r="DF18" i="16"/>
  <c r="DE18" i="16"/>
  <c r="DD18" i="16"/>
  <c r="DC18" i="16"/>
  <c r="DB18" i="16"/>
  <c r="DA18" i="16"/>
  <c r="CZ18" i="16"/>
  <c r="CY18" i="16"/>
  <c r="CX18" i="16"/>
  <c r="CW18" i="16"/>
  <c r="CV18" i="16"/>
  <c r="CU18" i="16"/>
  <c r="CQ18" i="16"/>
  <c r="CJ18" i="16"/>
  <c r="CI18" i="16"/>
  <c r="CH18" i="16"/>
  <c r="CG18" i="16"/>
  <c r="CF18" i="16"/>
  <c r="CE18" i="16"/>
  <c r="CD18" i="16"/>
  <c r="CC18" i="16"/>
  <c r="CB18" i="16"/>
  <c r="CA18" i="16"/>
  <c r="BY18" i="16"/>
  <c r="BX18" i="16"/>
  <c r="BV18" i="16"/>
  <c r="BU18" i="16"/>
  <c r="BT18" i="16"/>
  <c r="BS18" i="16"/>
  <c r="BR18" i="16"/>
  <c r="BQ18" i="16"/>
  <c r="BP18" i="16"/>
  <c r="BO18" i="16"/>
  <c r="BN18" i="16"/>
  <c r="BM18" i="16"/>
  <c r="BL18" i="16"/>
  <c r="BK18" i="16"/>
  <c r="BJ18" i="16"/>
  <c r="BI18" i="16"/>
  <c r="BH18" i="16"/>
  <c r="BG18" i="16"/>
  <c r="BF18" i="16"/>
  <c r="BE18" i="16"/>
  <c r="AV18" i="16"/>
  <c r="BA18" i="16" s="1"/>
  <c r="DG17" i="16"/>
  <c r="DF17" i="16"/>
  <c r="DE17" i="16"/>
  <c r="DD17" i="16"/>
  <c r="DC17" i="16"/>
  <c r="DB17" i="16"/>
  <c r="DA17" i="16"/>
  <c r="CZ17" i="16"/>
  <c r="CY17" i="16"/>
  <c r="CX17" i="16"/>
  <c r="CW17" i="16"/>
  <c r="CV17" i="16"/>
  <c r="CU17" i="16"/>
  <c r="CQ17" i="16"/>
  <c r="CJ17" i="16"/>
  <c r="CI17" i="16"/>
  <c r="CH17" i="16"/>
  <c r="CG17" i="16"/>
  <c r="CF17" i="16"/>
  <c r="CE17" i="16"/>
  <c r="CD17" i="16"/>
  <c r="CC17" i="16"/>
  <c r="CB17" i="16"/>
  <c r="CA17" i="16"/>
  <c r="BX17" i="16"/>
  <c r="BV17" i="16"/>
  <c r="BU17" i="16"/>
  <c r="BT17" i="16"/>
  <c r="BS17" i="16"/>
  <c r="BR17" i="16"/>
  <c r="BQ17" i="16"/>
  <c r="BP17" i="16"/>
  <c r="BO17" i="16"/>
  <c r="BN17" i="16"/>
  <c r="BM17" i="16"/>
  <c r="BL17" i="16"/>
  <c r="BK17" i="16"/>
  <c r="BJ17" i="16"/>
  <c r="BI17" i="16"/>
  <c r="BH17" i="16"/>
  <c r="BG17" i="16"/>
  <c r="BF17" i="16"/>
  <c r="BE17" i="16"/>
  <c r="AV17" i="16"/>
  <c r="BA17" i="16" s="1"/>
  <c r="DG16" i="16"/>
  <c r="DF16" i="16"/>
  <c r="DE16" i="16"/>
  <c r="DD16" i="16"/>
  <c r="DC16" i="16"/>
  <c r="DB16" i="16"/>
  <c r="DA16" i="16"/>
  <c r="CZ16" i="16"/>
  <c r="CY16" i="16"/>
  <c r="CX16" i="16"/>
  <c r="CW16" i="16"/>
  <c r="CV16" i="16"/>
  <c r="CU16" i="16"/>
  <c r="CQ16" i="16"/>
  <c r="CJ16" i="16"/>
  <c r="CI16" i="16"/>
  <c r="CH16" i="16"/>
  <c r="CG16" i="16"/>
  <c r="CF16" i="16"/>
  <c r="CE16" i="16"/>
  <c r="CD16" i="16"/>
  <c r="CC16" i="16"/>
  <c r="CB16" i="16"/>
  <c r="CA16" i="16"/>
  <c r="BX16" i="16"/>
  <c r="BV16" i="16"/>
  <c r="BU16" i="16"/>
  <c r="BT16" i="16"/>
  <c r="BS16" i="16"/>
  <c r="BR16" i="16"/>
  <c r="BQ16" i="16"/>
  <c r="BP16" i="16"/>
  <c r="BO16" i="16"/>
  <c r="BN16" i="16"/>
  <c r="BM16" i="16"/>
  <c r="BL16" i="16"/>
  <c r="BK16" i="16"/>
  <c r="BJ16" i="16"/>
  <c r="BI16" i="16"/>
  <c r="BH16" i="16"/>
  <c r="BG16" i="16"/>
  <c r="BF16" i="16"/>
  <c r="BE16" i="16"/>
  <c r="AV16" i="16"/>
  <c r="BA16" i="16" s="1"/>
  <c r="DG15" i="16"/>
  <c r="DF15" i="16"/>
  <c r="DE15" i="16"/>
  <c r="DD15" i="16"/>
  <c r="DC15" i="16"/>
  <c r="DB15" i="16"/>
  <c r="DA15" i="16"/>
  <c r="CZ15" i="16"/>
  <c r="CY15" i="16"/>
  <c r="CX15" i="16"/>
  <c r="CW15" i="16"/>
  <c r="CV15" i="16"/>
  <c r="CU15" i="16"/>
  <c r="CQ15" i="16"/>
  <c r="CJ15" i="16"/>
  <c r="CI15" i="16"/>
  <c r="CH15" i="16"/>
  <c r="CG15" i="16"/>
  <c r="CF15" i="16"/>
  <c r="CE15" i="16"/>
  <c r="CD15" i="16"/>
  <c r="CC15" i="16"/>
  <c r="CB15" i="16"/>
  <c r="CA15" i="16"/>
  <c r="BX15" i="16"/>
  <c r="BV15" i="16"/>
  <c r="BU15" i="16"/>
  <c r="BT15" i="16"/>
  <c r="BS15" i="16"/>
  <c r="BR15" i="16"/>
  <c r="BQ15" i="16"/>
  <c r="BP15" i="16"/>
  <c r="BO15" i="16"/>
  <c r="BN15" i="16"/>
  <c r="BM15" i="16"/>
  <c r="BL15" i="16"/>
  <c r="BK15" i="16"/>
  <c r="BJ15" i="16"/>
  <c r="BI15" i="16"/>
  <c r="BH15" i="16"/>
  <c r="BG15" i="16"/>
  <c r="BF15" i="16"/>
  <c r="BE15" i="16"/>
  <c r="AV15" i="16"/>
  <c r="BA15" i="16" s="1"/>
  <c r="DG14" i="16"/>
  <c r="DF14" i="16"/>
  <c r="DE14" i="16"/>
  <c r="DD14" i="16"/>
  <c r="DC14" i="16"/>
  <c r="DB14" i="16"/>
  <c r="DA14" i="16"/>
  <c r="CZ14" i="16"/>
  <c r="CY14" i="16"/>
  <c r="CX14" i="16"/>
  <c r="CW14" i="16"/>
  <c r="CV14" i="16"/>
  <c r="CU14" i="16"/>
  <c r="CQ14" i="16"/>
  <c r="CJ14" i="16"/>
  <c r="CI14" i="16"/>
  <c r="CH14" i="16"/>
  <c r="CG14" i="16"/>
  <c r="CF14" i="16"/>
  <c r="CE14" i="16"/>
  <c r="CD14" i="16"/>
  <c r="CC14" i="16"/>
  <c r="CB14" i="16"/>
  <c r="CA14" i="16"/>
  <c r="BX14" i="16"/>
  <c r="BV14" i="16"/>
  <c r="BU14" i="16"/>
  <c r="BT14" i="16"/>
  <c r="BS14" i="16"/>
  <c r="BR14" i="16"/>
  <c r="BQ14" i="16"/>
  <c r="BP14" i="16"/>
  <c r="BO14" i="16"/>
  <c r="BN14" i="16"/>
  <c r="BM14" i="16"/>
  <c r="BL14" i="16"/>
  <c r="BK14" i="16"/>
  <c r="BJ14" i="16"/>
  <c r="BI14" i="16"/>
  <c r="BH14" i="16"/>
  <c r="BG14" i="16"/>
  <c r="BF14" i="16"/>
  <c r="BE14" i="16"/>
  <c r="BA14" i="16"/>
  <c r="AV14" i="16"/>
  <c r="DG13" i="16"/>
  <c r="DF13" i="16"/>
  <c r="DE13" i="16"/>
  <c r="DD13" i="16"/>
  <c r="DC13" i="16"/>
  <c r="DB13" i="16"/>
  <c r="DA13" i="16"/>
  <c r="CZ13" i="16"/>
  <c r="CY13" i="16"/>
  <c r="CX13" i="16"/>
  <c r="CW13" i="16"/>
  <c r="CV13" i="16"/>
  <c r="CU13" i="16"/>
  <c r="CT13" i="16"/>
  <c r="CQ13" i="16"/>
  <c r="CJ13" i="16"/>
  <c r="CI13" i="16"/>
  <c r="CH13" i="16"/>
  <c r="CG13" i="16"/>
  <c r="CF13" i="16"/>
  <c r="CE13" i="16"/>
  <c r="CD13" i="16"/>
  <c r="CC13" i="16"/>
  <c r="CB13" i="16"/>
  <c r="CA13" i="16"/>
  <c r="BX13" i="16"/>
  <c r="BV13" i="16"/>
  <c r="BU13" i="16"/>
  <c r="BT13" i="16"/>
  <c r="BS13" i="16"/>
  <c r="BR13" i="16"/>
  <c r="BQ13" i="16"/>
  <c r="BP13" i="16"/>
  <c r="BO13" i="16"/>
  <c r="BN13" i="16"/>
  <c r="BM13" i="16"/>
  <c r="BL13" i="16"/>
  <c r="BK13" i="16"/>
  <c r="BJ13" i="16"/>
  <c r="BI13" i="16"/>
  <c r="BH13" i="16"/>
  <c r="BG13" i="16"/>
  <c r="BF13" i="16"/>
  <c r="BE13" i="16"/>
  <c r="AV13" i="16"/>
  <c r="BA13" i="16" s="1"/>
  <c r="DG12" i="16"/>
  <c r="DF12" i="16"/>
  <c r="DE12" i="16"/>
  <c r="DD12" i="16"/>
  <c r="DC12" i="16"/>
  <c r="DB12" i="16"/>
  <c r="DA12" i="16"/>
  <c r="CZ12" i="16"/>
  <c r="CY12" i="16"/>
  <c r="CX12" i="16"/>
  <c r="CW12" i="16"/>
  <c r="CV12" i="16"/>
  <c r="CU12" i="16"/>
  <c r="CT12" i="16"/>
  <c r="CQ12" i="16"/>
  <c r="CJ12" i="16"/>
  <c r="CI12" i="16"/>
  <c r="CH12" i="16"/>
  <c r="CG12" i="16"/>
  <c r="CF12" i="16"/>
  <c r="CE12" i="16"/>
  <c r="CD12" i="16"/>
  <c r="CC12" i="16"/>
  <c r="CB12" i="16"/>
  <c r="CA12" i="16"/>
  <c r="BY12" i="16"/>
  <c r="BX12" i="16"/>
  <c r="BV12" i="16"/>
  <c r="BU12" i="16"/>
  <c r="BT12" i="16"/>
  <c r="BS12" i="16"/>
  <c r="BR12" i="16"/>
  <c r="BQ12" i="16"/>
  <c r="BP12" i="16"/>
  <c r="BO12" i="16"/>
  <c r="BN12" i="16"/>
  <c r="BM12" i="16"/>
  <c r="BL12" i="16"/>
  <c r="BK12" i="16"/>
  <c r="BJ12" i="16"/>
  <c r="BI12" i="16"/>
  <c r="BH12" i="16"/>
  <c r="BG12" i="16"/>
  <c r="BF12" i="16"/>
  <c r="BE12" i="16"/>
  <c r="AV12" i="16"/>
  <c r="BA12" i="16" s="1"/>
  <c r="DG11" i="16"/>
  <c r="DF11" i="16"/>
  <c r="DE11" i="16"/>
  <c r="DD11" i="16"/>
  <c r="DC11" i="16"/>
  <c r="DB11" i="16"/>
  <c r="DA11" i="16"/>
  <c r="CZ11" i="16"/>
  <c r="CY11" i="16"/>
  <c r="CX11" i="16"/>
  <c r="CW11" i="16"/>
  <c r="CV11" i="16"/>
  <c r="CU11" i="16"/>
  <c r="CT11" i="16"/>
  <c r="CQ11" i="16"/>
  <c r="CJ11" i="16"/>
  <c r="CI11" i="16"/>
  <c r="CH11" i="16"/>
  <c r="CG11" i="16"/>
  <c r="CF11" i="16"/>
  <c r="CE11" i="16"/>
  <c r="CD11" i="16"/>
  <c r="CC11" i="16"/>
  <c r="CB11" i="16"/>
  <c r="CA11" i="16"/>
  <c r="BX11" i="16"/>
  <c r="BV11" i="16"/>
  <c r="BU11" i="16"/>
  <c r="BT11" i="16"/>
  <c r="BS11" i="16"/>
  <c r="BR11" i="16"/>
  <c r="BQ11" i="16"/>
  <c r="BP11" i="16"/>
  <c r="BO11" i="16"/>
  <c r="BN11" i="16"/>
  <c r="BM11" i="16"/>
  <c r="BL11" i="16"/>
  <c r="BK11" i="16"/>
  <c r="BJ11" i="16"/>
  <c r="BI11" i="16"/>
  <c r="BH11" i="16"/>
  <c r="BG11" i="16"/>
  <c r="BF11" i="16"/>
  <c r="BE11" i="16"/>
  <c r="AV11" i="16"/>
  <c r="BA11" i="16" s="1"/>
  <c r="DG10" i="16"/>
  <c r="DF10" i="16"/>
  <c r="DE10" i="16"/>
  <c r="DD10" i="16"/>
  <c r="DC10" i="16"/>
  <c r="DB10" i="16"/>
  <c r="DA10" i="16"/>
  <c r="CZ10" i="16"/>
  <c r="CY10" i="16"/>
  <c r="CX10" i="16"/>
  <c r="CW10" i="16"/>
  <c r="CV10" i="16"/>
  <c r="CU10" i="16"/>
  <c r="CR10" i="16"/>
  <c r="CQ10" i="16"/>
  <c r="CJ10" i="16"/>
  <c r="CI10" i="16"/>
  <c r="CH10" i="16"/>
  <c r="CG10" i="16"/>
  <c r="CF10" i="16"/>
  <c r="CE10" i="16"/>
  <c r="CD10" i="16"/>
  <c r="CC10" i="16"/>
  <c r="CB10" i="16"/>
  <c r="CA10" i="16"/>
  <c r="BX10" i="16"/>
  <c r="BV10" i="16"/>
  <c r="BU10" i="16"/>
  <c r="BT10" i="16"/>
  <c r="BS10" i="16"/>
  <c r="BR10" i="16"/>
  <c r="BQ10" i="16"/>
  <c r="BP10" i="16"/>
  <c r="BO10" i="16"/>
  <c r="BN10" i="16"/>
  <c r="BM10" i="16"/>
  <c r="BL10" i="16"/>
  <c r="BK10" i="16"/>
  <c r="BJ10" i="16"/>
  <c r="BI10" i="16"/>
  <c r="BH10" i="16"/>
  <c r="BG10" i="16"/>
  <c r="BF10" i="16"/>
  <c r="BE10" i="16"/>
  <c r="BA10" i="16"/>
  <c r="AV10" i="16"/>
  <c r="DG9" i="16"/>
  <c r="DF9" i="16"/>
  <c r="DE9" i="16"/>
  <c r="DD9" i="16"/>
  <c r="DC9" i="16"/>
  <c r="DB9" i="16"/>
  <c r="DA9" i="16"/>
  <c r="CZ9" i="16"/>
  <c r="CY9" i="16"/>
  <c r="CX9" i="16"/>
  <c r="CW9" i="16"/>
  <c r="CV9" i="16"/>
  <c r="CU9" i="16"/>
  <c r="CR9" i="16"/>
  <c r="CQ9" i="16"/>
  <c r="CJ9" i="16"/>
  <c r="CI9" i="16"/>
  <c r="CH9" i="16"/>
  <c r="CG9" i="16"/>
  <c r="CF9" i="16"/>
  <c r="CE9" i="16"/>
  <c r="CD9" i="16"/>
  <c r="CC9" i="16"/>
  <c r="CB9" i="16"/>
  <c r="CA9" i="16"/>
  <c r="BX9" i="16"/>
  <c r="BV9" i="16"/>
  <c r="BU9" i="16"/>
  <c r="BT9" i="16"/>
  <c r="BS9" i="16"/>
  <c r="BR9" i="16"/>
  <c r="BQ9" i="16"/>
  <c r="BP9" i="16"/>
  <c r="BO9" i="16"/>
  <c r="BN9" i="16"/>
  <c r="BM9" i="16"/>
  <c r="BL9" i="16"/>
  <c r="BK9" i="16"/>
  <c r="BJ9" i="16"/>
  <c r="BI9" i="16"/>
  <c r="BH9" i="16"/>
  <c r="BG9" i="16"/>
  <c r="BF9" i="16"/>
  <c r="BE9" i="16"/>
  <c r="AV9" i="16"/>
  <c r="BA9" i="16" s="1"/>
  <c r="DG8" i="16"/>
  <c r="DF8" i="16"/>
  <c r="DE8" i="16"/>
  <c r="DD8" i="16"/>
  <c r="DC8" i="16"/>
  <c r="DB8" i="16"/>
  <c r="DA8" i="16"/>
  <c r="CZ8" i="16"/>
  <c r="CY8" i="16"/>
  <c r="CX8" i="16"/>
  <c r="CW8" i="16"/>
  <c r="CV8" i="16"/>
  <c r="CU8" i="16"/>
  <c r="CQ8" i="16"/>
  <c r="CJ8" i="16"/>
  <c r="CI8" i="16"/>
  <c r="CH8" i="16"/>
  <c r="CG8" i="16"/>
  <c r="CF8" i="16"/>
  <c r="CE8" i="16"/>
  <c r="CD8" i="16"/>
  <c r="CC8" i="16"/>
  <c r="CB8" i="16"/>
  <c r="CA8" i="16"/>
  <c r="BX8" i="16"/>
  <c r="BV8" i="16"/>
  <c r="BU8" i="16"/>
  <c r="BT8" i="16"/>
  <c r="BS8" i="16"/>
  <c r="BR8" i="16"/>
  <c r="BQ8" i="16"/>
  <c r="BP8" i="16"/>
  <c r="BO8" i="16"/>
  <c r="BN8" i="16"/>
  <c r="BM8" i="16"/>
  <c r="BL8" i="16"/>
  <c r="BK8" i="16"/>
  <c r="BJ8" i="16"/>
  <c r="BI8" i="16"/>
  <c r="BH8" i="16"/>
  <c r="BG8" i="16"/>
  <c r="BF8" i="16"/>
  <c r="BE8" i="16"/>
  <c r="AV8" i="16"/>
  <c r="BA8" i="16" s="1"/>
  <c r="DG7" i="16"/>
  <c r="DF7" i="16"/>
  <c r="DE7" i="16"/>
  <c r="DD7" i="16"/>
  <c r="DC7" i="16"/>
  <c r="DB7" i="16"/>
  <c r="DA7" i="16"/>
  <c r="CZ7" i="16"/>
  <c r="CY7" i="16"/>
  <c r="CX7" i="16"/>
  <c r="CW7" i="16"/>
  <c r="CV7" i="16"/>
  <c r="CU7" i="16"/>
  <c r="CQ7" i="16"/>
  <c r="CJ7" i="16"/>
  <c r="CI7" i="16"/>
  <c r="CH7" i="16"/>
  <c r="CG7" i="16"/>
  <c r="CF7" i="16"/>
  <c r="CE7" i="16"/>
  <c r="CD7" i="16"/>
  <c r="CC7" i="16"/>
  <c r="CB7" i="16"/>
  <c r="CA7" i="16"/>
  <c r="BX7" i="16"/>
  <c r="BV7" i="16"/>
  <c r="BU7" i="16"/>
  <c r="BT7" i="16"/>
  <c r="BS7" i="16"/>
  <c r="BR7" i="16"/>
  <c r="BQ7" i="16"/>
  <c r="BP7" i="16"/>
  <c r="BO7" i="16"/>
  <c r="BN7" i="16"/>
  <c r="BM7" i="16"/>
  <c r="BL7" i="16"/>
  <c r="BK7" i="16"/>
  <c r="BJ7" i="16"/>
  <c r="BI7" i="16"/>
  <c r="BH7" i="16"/>
  <c r="BG7" i="16"/>
  <c r="BF7" i="16"/>
  <c r="BE7" i="16"/>
  <c r="AV7" i="16"/>
  <c r="BA7" i="16" s="1"/>
  <c r="DG6" i="16"/>
  <c r="DF6" i="16"/>
  <c r="DE6" i="16"/>
  <c r="DD6" i="16"/>
  <c r="DC6" i="16"/>
  <c r="DB6" i="16"/>
  <c r="DA6" i="16"/>
  <c r="CZ6" i="16"/>
  <c r="CY6" i="16"/>
  <c r="CX6" i="16"/>
  <c r="CW6" i="16"/>
  <c r="CV6" i="16"/>
  <c r="CU6" i="16"/>
  <c r="CQ6" i="16"/>
  <c r="CJ6" i="16"/>
  <c r="CI6" i="16"/>
  <c r="CH6" i="16"/>
  <c r="CG6" i="16"/>
  <c r="CF6" i="16"/>
  <c r="CE6" i="16"/>
  <c r="CD6" i="16"/>
  <c r="CC6" i="16"/>
  <c r="CB6" i="16"/>
  <c r="CA6" i="16"/>
  <c r="BX6" i="16"/>
  <c r="BV6" i="16"/>
  <c r="BU6" i="16"/>
  <c r="BT6" i="16"/>
  <c r="BS6" i="16"/>
  <c r="BR6" i="16"/>
  <c r="BQ6" i="16"/>
  <c r="BP6" i="16"/>
  <c r="BO6" i="16"/>
  <c r="BN6" i="16"/>
  <c r="BM6" i="16"/>
  <c r="BL6" i="16"/>
  <c r="BK6" i="16"/>
  <c r="BJ6" i="16"/>
  <c r="BI6" i="16"/>
  <c r="BH6" i="16"/>
  <c r="BG6" i="16"/>
  <c r="BF6" i="16"/>
  <c r="BE6" i="16"/>
  <c r="AV6" i="16"/>
  <c r="BA6" i="16" s="1"/>
  <c r="DG5" i="16"/>
  <c r="DF5" i="16"/>
  <c r="DE5" i="16"/>
  <c r="DD5" i="16"/>
  <c r="DC5" i="16"/>
  <c r="DB5" i="16"/>
  <c r="DA5" i="16"/>
  <c r="CZ5" i="16"/>
  <c r="CY5" i="16"/>
  <c r="CX5" i="16"/>
  <c r="CW5" i="16"/>
  <c r="CV5" i="16"/>
  <c r="CU5" i="16"/>
  <c r="CQ5" i="16"/>
  <c r="CJ5" i="16"/>
  <c r="CI5" i="16"/>
  <c r="CH5" i="16"/>
  <c r="CG5" i="16"/>
  <c r="CF5" i="16"/>
  <c r="CE5" i="16"/>
  <c r="CD5" i="16"/>
  <c r="CC5" i="16"/>
  <c r="CB5" i="16"/>
  <c r="CA5" i="16"/>
  <c r="BX5" i="16"/>
  <c r="BV5" i="16"/>
  <c r="BU5" i="16"/>
  <c r="BT5" i="16"/>
  <c r="BS5" i="16"/>
  <c r="BR5" i="16"/>
  <c r="BQ5" i="16"/>
  <c r="BP5" i="16"/>
  <c r="BO5" i="16"/>
  <c r="BN5" i="16"/>
  <c r="BM5" i="16"/>
  <c r="BL5" i="16"/>
  <c r="BK5" i="16"/>
  <c r="BJ5" i="16"/>
  <c r="BI5" i="16"/>
  <c r="BH5" i="16"/>
  <c r="BG5" i="16"/>
  <c r="BF5" i="16"/>
  <c r="BE5" i="16"/>
  <c r="AV5" i="16"/>
  <c r="BA5" i="16" s="1"/>
  <c r="DG4" i="16"/>
  <c r="DF4" i="16"/>
  <c r="DE4" i="16"/>
  <c r="DD4" i="16"/>
  <c r="DC4" i="16"/>
  <c r="DB4" i="16"/>
  <c r="DA4" i="16"/>
  <c r="CZ4" i="16"/>
  <c r="CY4" i="16"/>
  <c r="CX4" i="16"/>
  <c r="CW4" i="16"/>
  <c r="CV4" i="16"/>
  <c r="CU4" i="16"/>
  <c r="CR4" i="16"/>
  <c r="CQ4" i="16"/>
  <c r="CJ4" i="16"/>
  <c r="CI4" i="16"/>
  <c r="CH4" i="16"/>
  <c r="CG4" i="16"/>
  <c r="CF4" i="16"/>
  <c r="CE4" i="16"/>
  <c r="CD4" i="16"/>
  <c r="CC4" i="16"/>
  <c r="CB4" i="16"/>
  <c r="CA4" i="16"/>
  <c r="BY4" i="16"/>
  <c r="BX4" i="16"/>
  <c r="BV4" i="16"/>
  <c r="BU4" i="16"/>
  <c r="BT4" i="16"/>
  <c r="BS4" i="16"/>
  <c r="BR4" i="16"/>
  <c r="BQ4" i="16"/>
  <c r="BP4" i="16"/>
  <c r="BO4" i="16"/>
  <c r="BN4" i="16"/>
  <c r="BM4" i="16"/>
  <c r="BL4" i="16"/>
  <c r="BK4" i="16"/>
  <c r="BJ4" i="16"/>
  <c r="BI4" i="16"/>
  <c r="BH4" i="16"/>
  <c r="BG4" i="16"/>
  <c r="BF4" i="16"/>
  <c r="BE4" i="16"/>
  <c r="AV4" i="16"/>
  <c r="DG3" i="16"/>
  <c r="DF3" i="16"/>
  <c r="DE3" i="16"/>
  <c r="DD3" i="16"/>
  <c r="DC3" i="16"/>
  <c r="DB3" i="16"/>
  <c r="DA3" i="16"/>
  <c r="CZ3" i="16"/>
  <c r="CY3" i="16"/>
  <c r="CX3" i="16"/>
  <c r="CW3" i="16"/>
  <c r="CV3" i="16"/>
  <c r="CU3" i="16"/>
  <c r="CQ3" i="16"/>
  <c r="CJ3" i="16"/>
  <c r="CI3" i="16"/>
  <c r="CH3" i="16"/>
  <c r="CG3" i="16"/>
  <c r="CF3" i="16"/>
  <c r="CE3" i="16"/>
  <c r="CD3" i="16"/>
  <c r="CC3" i="16"/>
  <c r="CB3" i="16"/>
  <c r="CA3" i="16"/>
  <c r="BX3" i="16"/>
  <c r="BV3" i="16"/>
  <c r="BU3" i="16"/>
  <c r="BT3" i="16"/>
  <c r="BS3" i="16"/>
  <c r="BR3" i="16"/>
  <c r="BQ3" i="16"/>
  <c r="BP3" i="16"/>
  <c r="BO3" i="16"/>
  <c r="BN3" i="16"/>
  <c r="BM3" i="16"/>
  <c r="BL3" i="16"/>
  <c r="BK3" i="16"/>
  <c r="BJ3" i="16"/>
  <c r="BI3" i="16"/>
  <c r="BH3" i="16"/>
  <c r="BG3" i="16"/>
  <c r="BF3" i="16"/>
  <c r="BE3" i="16"/>
  <c r="AV3" i="16"/>
  <c r="BA3" i="16" s="1"/>
  <c r="DF2" i="16"/>
  <c r="DE2" i="16"/>
  <c r="DD2" i="16"/>
  <c r="DC2" i="16"/>
  <c r="DB2" i="16"/>
  <c r="DA2" i="16"/>
  <c r="CZ2" i="16"/>
  <c r="CY2" i="16"/>
  <c r="CX2" i="16"/>
  <c r="CW2" i="16"/>
  <c r="CV2" i="16"/>
  <c r="CU2" i="16"/>
  <c r="CT2" i="16"/>
  <c r="CT92" i="16" s="1"/>
  <c r="CS2" i="16"/>
  <c r="CS81" i="16" s="1"/>
  <c r="CR2" i="16"/>
  <c r="CR99" i="16" s="1"/>
  <c r="CQ2" i="16"/>
  <c r="CJ2" i="16"/>
  <c r="CI2" i="16"/>
  <c r="CH2" i="16"/>
  <c r="CG2" i="16"/>
  <c r="CF2" i="16"/>
  <c r="CE2" i="16"/>
  <c r="CD2" i="16"/>
  <c r="CC2" i="16"/>
  <c r="CB2" i="16"/>
  <c r="CA2" i="16"/>
  <c r="BY2" i="16"/>
  <c r="BY87" i="16" s="1"/>
  <c r="BX2" i="16"/>
  <c r="AG73" i="21"/>
  <c r="AE73" i="21"/>
  <c r="AC73" i="21"/>
  <c r="AJ72" i="21"/>
  <c r="AG72" i="21"/>
  <c r="AE72" i="21"/>
  <c r="AC72" i="21"/>
  <c r="AJ71" i="21"/>
  <c r="AG71" i="21"/>
  <c r="AE71" i="21"/>
  <c r="AC71" i="21"/>
  <c r="AJ70" i="21"/>
  <c r="AG70" i="21"/>
  <c r="AE70" i="21"/>
  <c r="AC70" i="21"/>
  <c r="AJ69" i="21"/>
  <c r="AG69" i="21"/>
  <c r="AE69" i="21"/>
  <c r="AC69" i="21"/>
  <c r="AJ68" i="21"/>
  <c r="AG68" i="21"/>
  <c r="AE68" i="21"/>
  <c r="AC68" i="21"/>
  <c r="AJ67" i="21"/>
  <c r="AG67" i="21"/>
  <c r="AE67" i="21"/>
  <c r="AC67" i="21"/>
  <c r="AJ66" i="21"/>
  <c r="AG66" i="21"/>
  <c r="AE66" i="21"/>
  <c r="AC66" i="21"/>
  <c r="AJ65" i="21"/>
  <c r="AG65" i="21"/>
  <c r="AE65" i="21"/>
  <c r="AC65" i="21"/>
  <c r="AJ64" i="21"/>
  <c r="AG64" i="21"/>
  <c r="AE64" i="21"/>
  <c r="AC64" i="21"/>
  <c r="AJ63" i="21"/>
  <c r="AG63" i="21"/>
  <c r="AE63" i="21"/>
  <c r="AC63" i="21"/>
  <c r="AJ62" i="21"/>
  <c r="AG62" i="21"/>
  <c r="AE62" i="21"/>
  <c r="AC62" i="21"/>
  <c r="AJ61" i="21"/>
  <c r="AG61" i="21"/>
  <c r="AE61" i="21"/>
  <c r="AC61" i="21"/>
  <c r="AJ60" i="21"/>
  <c r="AB42" i="21" s="1"/>
  <c r="AC42" i="21" s="1"/>
  <c r="AG60" i="21"/>
  <c r="AE60" i="21"/>
  <c r="AC60" i="21"/>
  <c r="AJ59" i="21"/>
  <c r="AG59" i="21"/>
  <c r="AE59" i="21"/>
  <c r="AC59" i="21"/>
  <c r="AJ58" i="21"/>
  <c r="AG58" i="21"/>
  <c r="AE58" i="21"/>
  <c r="AC58" i="21"/>
  <c r="AJ57" i="21"/>
  <c r="AG57" i="21"/>
  <c r="AE57" i="21"/>
  <c r="AC57" i="21"/>
  <c r="AG56" i="21"/>
  <c r="AE56" i="21"/>
  <c r="AC56" i="21"/>
  <c r="AF55" i="21"/>
  <c r="AG55" i="21" s="1"/>
  <c r="AE55" i="21"/>
  <c r="AC55" i="21"/>
  <c r="AG54" i="21"/>
  <c r="AE54" i="21"/>
  <c r="AC54" i="21"/>
  <c r="AG53" i="21"/>
  <c r="AE53" i="21"/>
  <c r="AC53" i="21"/>
  <c r="AG52" i="21"/>
  <c r="AE52" i="21"/>
  <c r="AC52" i="21"/>
  <c r="AG51" i="21"/>
  <c r="AE51" i="21"/>
  <c r="AC51" i="21"/>
  <c r="AG50" i="21"/>
  <c r="AE50" i="21"/>
  <c r="AC50" i="21"/>
  <c r="EC43" i="21"/>
  <c r="EB43" i="21"/>
  <c r="EA43" i="21"/>
  <c r="DZ43" i="21"/>
  <c r="DY43" i="21"/>
  <c r="DX43" i="21"/>
  <c r="DW43" i="21"/>
  <c r="DV43" i="21"/>
  <c r="DU43" i="21"/>
  <c r="DT43" i="21"/>
  <c r="DQ43" i="21"/>
  <c r="DJ43" i="21"/>
  <c r="DI43" i="21"/>
  <c r="DH43" i="21"/>
  <c r="DG43" i="21"/>
  <c r="DF43" i="21"/>
  <c r="DE43" i="21"/>
  <c r="DD43" i="21"/>
  <c r="DC43" i="21"/>
  <c r="DB43" i="21"/>
  <c r="DA43" i="21"/>
  <c r="CZ43" i="21"/>
  <c r="CY43" i="21"/>
  <c r="CX43" i="21"/>
  <c r="CW43" i="21"/>
  <c r="CV43" i="21"/>
  <c r="CU43" i="21"/>
  <c r="CT43" i="21"/>
  <c r="CS43" i="21"/>
  <c r="CR43" i="21"/>
  <c r="CQ43" i="21"/>
  <c r="CP43" i="21"/>
  <c r="CO43" i="21"/>
  <c r="CN43" i="21"/>
  <c r="CM43" i="21"/>
  <c r="CL43" i="21"/>
  <c r="CK43" i="21"/>
  <c r="CJ43" i="21"/>
  <c r="CH43" i="21"/>
  <c r="CG43" i="21"/>
  <c r="CF43" i="21"/>
  <c r="CE43" i="21"/>
  <c r="CD43" i="21"/>
  <c r="CC43" i="21"/>
  <c r="CB43" i="21"/>
  <c r="CA43" i="21"/>
  <c r="BZ43" i="21"/>
  <c r="BY43" i="21"/>
  <c r="BX43" i="21"/>
  <c r="BW43" i="21"/>
  <c r="BV43" i="21"/>
  <c r="BR43" i="21"/>
  <c r="BP43" i="21"/>
  <c r="BO43" i="21"/>
  <c r="BI43" i="21"/>
  <c r="BH43" i="21"/>
  <c r="BF43" i="21"/>
  <c r="BE43" i="21"/>
  <c r="BD43" i="21"/>
  <c r="BC43" i="21"/>
  <c r="BB43" i="21"/>
  <c r="BA43" i="21"/>
  <c r="AZ43" i="21"/>
  <c r="AY43" i="21"/>
  <c r="DO43" i="21" s="1"/>
  <c r="AX43" i="21"/>
  <c r="AW43" i="21"/>
  <c r="AV43" i="21"/>
  <c r="AU43" i="21"/>
  <c r="AT43" i="21"/>
  <c r="AS43" i="21"/>
  <c r="AR43" i="21"/>
  <c r="AQ43" i="21"/>
  <c r="AP43" i="21"/>
  <c r="AO43" i="21"/>
  <c r="AN43" i="21"/>
  <c r="DM43" i="21" s="1"/>
  <c r="AG43" i="21"/>
  <c r="Z43" i="21"/>
  <c r="AE43" i="21" s="1"/>
  <c r="J43" i="21"/>
  <c r="BL43" i="21" s="1"/>
  <c r="EC42" i="21"/>
  <c r="EB42" i="21"/>
  <c r="EA42" i="21"/>
  <c r="DZ42" i="21"/>
  <c r="DY42" i="21"/>
  <c r="DX42" i="21"/>
  <c r="DW42" i="21"/>
  <c r="DV42" i="21"/>
  <c r="DU42" i="21"/>
  <c r="DT42" i="21"/>
  <c r="DQ42" i="21"/>
  <c r="DJ42" i="21"/>
  <c r="DI42" i="21"/>
  <c r="DH42" i="21"/>
  <c r="DG42" i="21"/>
  <c r="DF42" i="21"/>
  <c r="DE42" i="21"/>
  <c r="DD42" i="21"/>
  <c r="DC42" i="21"/>
  <c r="DB42" i="21"/>
  <c r="DA42" i="21"/>
  <c r="CZ42" i="21"/>
  <c r="CY42" i="21"/>
  <c r="CX42" i="21"/>
  <c r="CW42" i="21"/>
  <c r="CV42" i="21"/>
  <c r="CU42" i="21"/>
  <c r="CT42" i="21"/>
  <c r="CS42" i="21"/>
  <c r="CR42" i="21"/>
  <c r="CQ42" i="21"/>
  <c r="CP42" i="21"/>
  <c r="CO42" i="21"/>
  <c r="CN42" i="21"/>
  <c r="CM42" i="21"/>
  <c r="CL42" i="21"/>
  <c r="CK42" i="21"/>
  <c r="CJ42" i="21"/>
  <c r="CH42" i="21"/>
  <c r="CG42" i="21"/>
  <c r="CF42" i="21"/>
  <c r="CE42" i="21"/>
  <c r="CD42" i="21"/>
  <c r="CC42" i="21"/>
  <c r="CB42" i="21"/>
  <c r="CA42" i="21"/>
  <c r="BZ42" i="21"/>
  <c r="BY42" i="21"/>
  <c r="BX42" i="21"/>
  <c r="BW42" i="21"/>
  <c r="BV42" i="21"/>
  <c r="BR42" i="21"/>
  <c r="BP42" i="21"/>
  <c r="BO42" i="21"/>
  <c r="BI42" i="21"/>
  <c r="BH42" i="21"/>
  <c r="BF42" i="21"/>
  <c r="BE42" i="21"/>
  <c r="BD42" i="21"/>
  <c r="DM42" i="21" s="1"/>
  <c r="BC42" i="21"/>
  <c r="BB42" i="21"/>
  <c r="BA42" i="21"/>
  <c r="AZ42" i="21"/>
  <c r="AY42" i="21"/>
  <c r="DO42" i="21" s="1"/>
  <c r="AX42" i="21"/>
  <c r="AW42" i="21"/>
  <c r="AV42" i="21"/>
  <c r="AU42" i="21"/>
  <c r="AT42" i="21"/>
  <c r="AS42" i="21"/>
  <c r="AR42" i="21"/>
  <c r="AQ42" i="21"/>
  <c r="AP42" i="21"/>
  <c r="AO42" i="21"/>
  <c r="AN42" i="21"/>
  <c r="AG42" i="21"/>
  <c r="AE42" i="21"/>
  <c r="Z42" i="21"/>
  <c r="J42" i="21"/>
  <c r="BL42" i="21" s="1"/>
  <c r="EC41" i="21"/>
  <c r="EB41" i="21"/>
  <c r="EA41" i="21"/>
  <c r="DZ41" i="21"/>
  <c r="DY41" i="21"/>
  <c r="DX41" i="21"/>
  <c r="DW41" i="21"/>
  <c r="DV41" i="21"/>
  <c r="DU41" i="21"/>
  <c r="DT41" i="21"/>
  <c r="DQ41" i="21"/>
  <c r="DJ41" i="21"/>
  <c r="DI41" i="21"/>
  <c r="DH41" i="21"/>
  <c r="DG41" i="21"/>
  <c r="DF41" i="21"/>
  <c r="DE41" i="21"/>
  <c r="DD41" i="21"/>
  <c r="DC41" i="21"/>
  <c r="DB41" i="21"/>
  <c r="DA41" i="21"/>
  <c r="CZ41" i="21"/>
  <c r="CY41" i="21"/>
  <c r="CX41" i="21"/>
  <c r="CW41" i="21"/>
  <c r="CV41" i="21"/>
  <c r="CU41" i="21"/>
  <c r="CT41" i="21"/>
  <c r="CS41" i="21"/>
  <c r="CR41" i="21"/>
  <c r="CQ41" i="21"/>
  <c r="CP41" i="21"/>
  <c r="CO41" i="21"/>
  <c r="CN41" i="21"/>
  <c r="CM41" i="21"/>
  <c r="CL41" i="21"/>
  <c r="CK41" i="21"/>
  <c r="CJ41" i="21"/>
  <c r="CH41" i="21"/>
  <c r="CG41" i="21"/>
  <c r="CF41" i="21"/>
  <c r="CE41" i="21"/>
  <c r="CD41" i="21"/>
  <c r="CC41" i="21"/>
  <c r="CB41" i="21"/>
  <c r="CA41" i="21"/>
  <c r="BZ41" i="21"/>
  <c r="BY41" i="21"/>
  <c r="BX41" i="21"/>
  <c r="BW41" i="21"/>
  <c r="BV41" i="21"/>
  <c r="BR41" i="21"/>
  <c r="BP41" i="21"/>
  <c r="BO41" i="21"/>
  <c r="BI41" i="21"/>
  <c r="BH41" i="21"/>
  <c r="BF41" i="21"/>
  <c r="BE41" i="21"/>
  <c r="BD41" i="21"/>
  <c r="BC41" i="21"/>
  <c r="BB41" i="21"/>
  <c r="BA41" i="21"/>
  <c r="AZ41" i="21"/>
  <c r="AY41" i="21"/>
  <c r="DO41" i="21" s="1"/>
  <c r="AX41" i="21"/>
  <c r="AW41" i="21"/>
  <c r="AV41" i="21"/>
  <c r="AU41" i="21"/>
  <c r="AT41" i="21"/>
  <c r="AS41" i="21"/>
  <c r="AR41" i="21"/>
  <c r="AQ41" i="21"/>
  <c r="AP41" i="21"/>
  <c r="AO41" i="21"/>
  <c r="AN41" i="21"/>
  <c r="DM41" i="21" s="1"/>
  <c r="AG41" i="21"/>
  <c r="AE41" i="21"/>
  <c r="Z41" i="21"/>
  <c r="J41" i="21"/>
  <c r="BL41" i="21" s="1"/>
  <c r="EC40" i="21"/>
  <c r="EB40" i="21"/>
  <c r="EA40" i="21"/>
  <c r="DZ40" i="21"/>
  <c r="DY40" i="21"/>
  <c r="DX40" i="21"/>
  <c r="DW40" i="21"/>
  <c r="DV40" i="21"/>
  <c r="DU40" i="21"/>
  <c r="DT40" i="21"/>
  <c r="DQ40" i="21"/>
  <c r="DJ40" i="21"/>
  <c r="DI40" i="21"/>
  <c r="DH40" i="21"/>
  <c r="DG40" i="21"/>
  <c r="DF40" i="21"/>
  <c r="DE40" i="21"/>
  <c r="DD40" i="21"/>
  <c r="DC40" i="21"/>
  <c r="DB40" i="21"/>
  <c r="DA40" i="21"/>
  <c r="CZ40" i="21"/>
  <c r="CY40" i="21"/>
  <c r="CX40" i="21"/>
  <c r="CW40" i="21"/>
  <c r="CV40" i="21"/>
  <c r="CU40" i="21"/>
  <c r="CT40" i="21"/>
  <c r="CS40" i="21"/>
  <c r="CR40" i="21"/>
  <c r="CQ40" i="21"/>
  <c r="CP40" i="21"/>
  <c r="CO40" i="21"/>
  <c r="CN40" i="21"/>
  <c r="CM40" i="21"/>
  <c r="CL40" i="21"/>
  <c r="CK40" i="21"/>
  <c r="CJ40" i="21"/>
  <c r="CH40" i="21"/>
  <c r="CG40" i="21"/>
  <c r="CF40" i="21"/>
  <c r="CE40" i="21"/>
  <c r="CD40" i="21"/>
  <c r="CC40" i="21"/>
  <c r="CB40" i="21"/>
  <c r="CA40" i="21"/>
  <c r="BZ40" i="21"/>
  <c r="BY40" i="21"/>
  <c r="BX40" i="21"/>
  <c r="BW40" i="21"/>
  <c r="BV40" i="21"/>
  <c r="BR40" i="21"/>
  <c r="BP40" i="21"/>
  <c r="BO40" i="21"/>
  <c r="BI40" i="21"/>
  <c r="BH40" i="21"/>
  <c r="BF40" i="21"/>
  <c r="BE40" i="21"/>
  <c r="BD40" i="21"/>
  <c r="BC40" i="21"/>
  <c r="BB40" i="21"/>
  <c r="BA40" i="21"/>
  <c r="AZ40" i="21"/>
  <c r="DO40" i="21" s="1"/>
  <c r="AY40" i="21"/>
  <c r="AX40" i="21"/>
  <c r="AW40" i="21"/>
  <c r="AV40" i="21"/>
  <c r="AU40" i="21"/>
  <c r="AT40" i="21"/>
  <c r="AS40" i="21"/>
  <c r="AR40" i="21"/>
  <c r="AQ40" i="21"/>
  <c r="AP40" i="21"/>
  <c r="AO40" i="21"/>
  <c r="AN40" i="21"/>
  <c r="DM40" i="21" s="1"/>
  <c r="Z40" i="21"/>
  <c r="AG40" i="21" s="1"/>
  <c r="J40" i="21"/>
  <c r="BL40" i="21" s="1"/>
  <c r="EC39" i="21"/>
  <c r="EB39" i="21"/>
  <c r="EA39" i="21"/>
  <c r="DZ39" i="21"/>
  <c r="DY39" i="21"/>
  <c r="DX39" i="21"/>
  <c r="DW39" i="21"/>
  <c r="DV39" i="21"/>
  <c r="DU39" i="21"/>
  <c r="DT39" i="21"/>
  <c r="DQ39" i="21"/>
  <c r="DO39" i="21"/>
  <c r="DM39" i="21"/>
  <c r="DJ39" i="21"/>
  <c r="DI39" i="21"/>
  <c r="DH39" i="21"/>
  <c r="DG39" i="21"/>
  <c r="DF39" i="21"/>
  <c r="DE39" i="21"/>
  <c r="DD39" i="21"/>
  <c r="DC39" i="21"/>
  <c r="DB39" i="21"/>
  <c r="DA39" i="21"/>
  <c r="CZ39" i="21"/>
  <c r="CY39" i="21"/>
  <c r="CX39" i="21"/>
  <c r="CW39" i="21"/>
  <c r="CV39" i="21"/>
  <c r="CU39" i="21"/>
  <c r="CT39" i="21"/>
  <c r="CS39" i="21"/>
  <c r="CR39" i="21"/>
  <c r="CQ39" i="21"/>
  <c r="CP39" i="21"/>
  <c r="CO39" i="21"/>
  <c r="CN39" i="21"/>
  <c r="CM39" i="21"/>
  <c r="CL39" i="21"/>
  <c r="CK39" i="21"/>
  <c r="CJ39" i="21"/>
  <c r="CH39" i="21"/>
  <c r="CG39" i="21"/>
  <c r="CF39" i="21"/>
  <c r="CE39" i="21"/>
  <c r="CD39" i="21"/>
  <c r="CC39" i="21"/>
  <c r="CB39" i="21"/>
  <c r="CA39" i="21"/>
  <c r="BZ39" i="21"/>
  <c r="BY39" i="21"/>
  <c r="BX39" i="21"/>
  <c r="BW39" i="21"/>
  <c r="BV39" i="21"/>
  <c r="BT39" i="21"/>
  <c r="BR39" i="21"/>
  <c r="BP39" i="21"/>
  <c r="BO39" i="21"/>
  <c r="BI39" i="21"/>
  <c r="BH39" i="21"/>
  <c r="BF39" i="21"/>
  <c r="BE39" i="21"/>
  <c r="BD39" i="21"/>
  <c r="BC39" i="21"/>
  <c r="BB39" i="21"/>
  <c r="BA39" i="21"/>
  <c r="AZ39" i="21"/>
  <c r="AY39" i="21"/>
  <c r="AX39" i="21"/>
  <c r="AW39" i="21"/>
  <c r="AV39" i="21"/>
  <c r="AU39" i="21"/>
  <c r="AT39" i="21"/>
  <c r="AS39" i="21"/>
  <c r="AR39" i="21"/>
  <c r="AQ39" i="21"/>
  <c r="AP39" i="21"/>
  <c r="AO39" i="21"/>
  <c r="AN39" i="21"/>
  <c r="Z39" i="21"/>
  <c r="AG39" i="21" s="1"/>
  <c r="J39" i="21"/>
  <c r="BK39" i="21" s="1"/>
  <c r="EC38" i="21"/>
  <c r="EB38" i="21"/>
  <c r="EA38" i="21"/>
  <c r="DZ38" i="21"/>
  <c r="DY38" i="21"/>
  <c r="DX38" i="21"/>
  <c r="DW38" i="21"/>
  <c r="DV38" i="21"/>
  <c r="DU38" i="21"/>
  <c r="DT38" i="21"/>
  <c r="DQ38" i="21"/>
  <c r="DJ38" i="21"/>
  <c r="DI38" i="21"/>
  <c r="DH38" i="21"/>
  <c r="DG38" i="21"/>
  <c r="DF38" i="21"/>
  <c r="DE38" i="21"/>
  <c r="DD38" i="21"/>
  <c r="DC38" i="21"/>
  <c r="DB38" i="21"/>
  <c r="DA38" i="21"/>
  <c r="CZ38" i="21"/>
  <c r="CY38" i="21"/>
  <c r="CX38" i="21"/>
  <c r="CW38" i="21"/>
  <c r="CV38" i="21"/>
  <c r="CU38" i="21"/>
  <c r="CT38" i="21"/>
  <c r="CS38" i="21"/>
  <c r="CR38" i="21"/>
  <c r="CQ38" i="21"/>
  <c r="CP38" i="21"/>
  <c r="CO38" i="21"/>
  <c r="CN38" i="21"/>
  <c r="CM38" i="21"/>
  <c r="CL38" i="21"/>
  <c r="CK38" i="21"/>
  <c r="CJ38" i="21"/>
  <c r="CH38" i="21"/>
  <c r="CG38" i="21"/>
  <c r="CF38" i="21"/>
  <c r="CE38" i="21"/>
  <c r="CD38" i="21"/>
  <c r="CC38" i="21"/>
  <c r="CB38" i="21"/>
  <c r="CA38" i="21"/>
  <c r="BZ38" i="21"/>
  <c r="BY38" i="21"/>
  <c r="BX38" i="21"/>
  <c r="BW38" i="21"/>
  <c r="BV38" i="21"/>
  <c r="BR38" i="21"/>
  <c r="BP38" i="21"/>
  <c r="BO38" i="21"/>
  <c r="BI38" i="21"/>
  <c r="BH38" i="21"/>
  <c r="BF38" i="21"/>
  <c r="BE38" i="21"/>
  <c r="BD38" i="21"/>
  <c r="BC38" i="21"/>
  <c r="BB38" i="21"/>
  <c r="BA38" i="21"/>
  <c r="AZ38" i="21"/>
  <c r="AY38" i="21"/>
  <c r="DO38" i="21" s="1"/>
  <c r="AX38" i="21"/>
  <c r="AW38" i="21"/>
  <c r="AV38" i="21"/>
  <c r="AU38" i="21"/>
  <c r="AT38" i="21"/>
  <c r="AS38" i="21"/>
  <c r="AR38" i="21"/>
  <c r="AQ38" i="21"/>
  <c r="AP38" i="21"/>
  <c r="AO38" i="21"/>
  <c r="AN38" i="21"/>
  <c r="DM38" i="21" s="1"/>
  <c r="AE38" i="21"/>
  <c r="Z38" i="21"/>
  <c r="AG38" i="21" s="1"/>
  <c r="J38" i="21"/>
  <c r="BL38" i="21" s="1"/>
  <c r="EC37" i="21"/>
  <c r="EB37" i="21"/>
  <c r="EA37" i="21"/>
  <c r="DZ37" i="21"/>
  <c r="DY37" i="21"/>
  <c r="DX37" i="21"/>
  <c r="DW37" i="21"/>
  <c r="DV37" i="21"/>
  <c r="DU37" i="21"/>
  <c r="DT37" i="21"/>
  <c r="DQ37" i="21"/>
  <c r="DJ37" i="21"/>
  <c r="DI37" i="21"/>
  <c r="DH37" i="21"/>
  <c r="DG37" i="21"/>
  <c r="DF37" i="21"/>
  <c r="DE37" i="21"/>
  <c r="DD37" i="21"/>
  <c r="DC37" i="21"/>
  <c r="DB37" i="21"/>
  <c r="DA37" i="21"/>
  <c r="CZ37" i="21"/>
  <c r="CY37" i="21"/>
  <c r="CX37" i="21"/>
  <c r="CW37" i="21"/>
  <c r="CV37" i="21"/>
  <c r="CU37" i="21"/>
  <c r="CT37" i="21"/>
  <c r="CS37" i="21"/>
  <c r="CR37" i="21"/>
  <c r="CQ37" i="21"/>
  <c r="CP37" i="21"/>
  <c r="CO37" i="21"/>
  <c r="CN37" i="21"/>
  <c r="CM37" i="21"/>
  <c r="CL37" i="21"/>
  <c r="CK37" i="21"/>
  <c r="CJ37" i="21"/>
  <c r="CH37" i="21"/>
  <c r="CG37" i="21"/>
  <c r="CF37" i="21"/>
  <c r="CE37" i="21"/>
  <c r="CD37" i="21"/>
  <c r="CC37" i="21"/>
  <c r="CB37" i="21"/>
  <c r="CA37" i="21"/>
  <c r="BZ37" i="21"/>
  <c r="BY37" i="21"/>
  <c r="BX37" i="21"/>
  <c r="BW37" i="21"/>
  <c r="BV37" i="21"/>
  <c r="BS37" i="21"/>
  <c r="BR37" i="21"/>
  <c r="BP37" i="21"/>
  <c r="BO37" i="21"/>
  <c r="BI37" i="21"/>
  <c r="BH37" i="21"/>
  <c r="BF37" i="21"/>
  <c r="BE37" i="21"/>
  <c r="DO37" i="21" s="1"/>
  <c r="BD37" i="21"/>
  <c r="BC37" i="21"/>
  <c r="BB37" i="21"/>
  <c r="BA37" i="21"/>
  <c r="AZ37" i="21"/>
  <c r="AY37" i="21"/>
  <c r="AX37" i="21"/>
  <c r="AW37" i="21"/>
  <c r="AV37" i="21"/>
  <c r="AU37" i="21"/>
  <c r="AT37" i="21"/>
  <c r="AS37" i="21"/>
  <c r="AR37" i="21"/>
  <c r="AQ37" i="21"/>
  <c r="AP37" i="21"/>
  <c r="AO37" i="21"/>
  <c r="AN37" i="21"/>
  <c r="Z37" i="21"/>
  <c r="AG37" i="21" s="1"/>
  <c r="J37" i="21"/>
  <c r="BL37" i="21" s="1"/>
  <c r="EC36" i="21"/>
  <c r="EB36" i="21"/>
  <c r="EA36" i="21"/>
  <c r="DZ36" i="21"/>
  <c r="DY36" i="21"/>
  <c r="DX36" i="21"/>
  <c r="DW36" i="21"/>
  <c r="DV36" i="21"/>
  <c r="DU36" i="21"/>
  <c r="DT36" i="21"/>
  <c r="DQ36" i="21"/>
  <c r="DJ36" i="21"/>
  <c r="DI36" i="21"/>
  <c r="DH36" i="21"/>
  <c r="DG36" i="21"/>
  <c r="DF36" i="21"/>
  <c r="DE36" i="21"/>
  <c r="DD36" i="21"/>
  <c r="DC36" i="21"/>
  <c r="DB36" i="21"/>
  <c r="DA36" i="21"/>
  <c r="CZ36" i="21"/>
  <c r="CY36" i="21"/>
  <c r="CX36" i="21"/>
  <c r="CW36" i="21"/>
  <c r="CV36" i="21"/>
  <c r="CU36" i="21"/>
  <c r="CT36" i="21"/>
  <c r="CS36" i="21"/>
  <c r="CR36" i="21"/>
  <c r="CQ36" i="21"/>
  <c r="CP36" i="21"/>
  <c r="CO36" i="21"/>
  <c r="CN36" i="21"/>
  <c r="CM36" i="21"/>
  <c r="CL36" i="21"/>
  <c r="CK36" i="21"/>
  <c r="CJ36" i="21"/>
  <c r="CH36" i="21"/>
  <c r="CG36" i="21"/>
  <c r="CF36" i="21"/>
  <c r="CE36" i="21"/>
  <c r="CD36" i="21"/>
  <c r="CC36" i="21"/>
  <c r="CB36" i="21"/>
  <c r="CA36" i="21"/>
  <c r="BZ36" i="21"/>
  <c r="BY36" i="21"/>
  <c r="BX36" i="21"/>
  <c r="BW36" i="21"/>
  <c r="BV36" i="21"/>
  <c r="BR36" i="21"/>
  <c r="BP36" i="21"/>
  <c r="BO36" i="21"/>
  <c r="BI36" i="21"/>
  <c r="BH36" i="21"/>
  <c r="BF36" i="21"/>
  <c r="BE36" i="21"/>
  <c r="BD36" i="21"/>
  <c r="BC36" i="21"/>
  <c r="BB36" i="21"/>
  <c r="BA36" i="21"/>
  <c r="AZ36" i="21"/>
  <c r="AY36" i="21"/>
  <c r="DO36" i="21" s="1"/>
  <c r="AX36" i="21"/>
  <c r="AW36" i="21"/>
  <c r="AV36" i="21"/>
  <c r="AU36" i="21"/>
  <c r="AT36" i="21"/>
  <c r="AS36" i="21"/>
  <c r="AR36" i="21"/>
  <c r="AQ36" i="21"/>
  <c r="AP36" i="21"/>
  <c r="AO36" i="21"/>
  <c r="AN36" i="21"/>
  <c r="DM36" i="21" s="1"/>
  <c r="AG36" i="21"/>
  <c r="AE36" i="21"/>
  <c r="Z36" i="21"/>
  <c r="J36" i="21"/>
  <c r="BL36" i="21" s="1"/>
  <c r="EC35" i="21"/>
  <c r="EB35" i="21"/>
  <c r="EA35" i="21"/>
  <c r="DZ35" i="21"/>
  <c r="DY35" i="21"/>
  <c r="DX35" i="21"/>
  <c r="DW35" i="21"/>
  <c r="DV35" i="21"/>
  <c r="DU35" i="21"/>
  <c r="DT35" i="21"/>
  <c r="DQ35" i="21"/>
  <c r="DJ35" i="21"/>
  <c r="DI35" i="21"/>
  <c r="DH35" i="21"/>
  <c r="DG35" i="21"/>
  <c r="DF35" i="21"/>
  <c r="DE35" i="21"/>
  <c r="DD35" i="21"/>
  <c r="DC35" i="21"/>
  <c r="DB35" i="21"/>
  <c r="DA35" i="21"/>
  <c r="CZ35" i="21"/>
  <c r="CY35" i="21"/>
  <c r="CX35" i="21"/>
  <c r="CW35" i="21"/>
  <c r="CV35" i="21"/>
  <c r="CU35" i="21"/>
  <c r="CT35" i="21"/>
  <c r="CS35" i="21"/>
  <c r="CR35" i="21"/>
  <c r="CQ35" i="21"/>
  <c r="CP35" i="21"/>
  <c r="CO35" i="21"/>
  <c r="CN35" i="21"/>
  <c r="CM35" i="21"/>
  <c r="CL35" i="21"/>
  <c r="CK35" i="21"/>
  <c r="CJ35" i="21"/>
  <c r="CH35" i="21"/>
  <c r="CG35" i="21"/>
  <c r="CF35" i="21"/>
  <c r="CE35" i="21"/>
  <c r="CD35" i="21"/>
  <c r="CC35" i="21"/>
  <c r="CB35" i="21"/>
  <c r="CA35" i="21"/>
  <c r="BZ35" i="21"/>
  <c r="BY35" i="21"/>
  <c r="BX35" i="21"/>
  <c r="BW35" i="21"/>
  <c r="BV35" i="21"/>
  <c r="BR35" i="21"/>
  <c r="BP35" i="21"/>
  <c r="BO35" i="21"/>
  <c r="BI35" i="21"/>
  <c r="BH35" i="21"/>
  <c r="BF35" i="21"/>
  <c r="BE35" i="21"/>
  <c r="BD35" i="21"/>
  <c r="BC35" i="21"/>
  <c r="BB35" i="21"/>
  <c r="BA35" i="21"/>
  <c r="AZ35" i="21"/>
  <c r="DO35" i="21" s="1"/>
  <c r="AY35" i="21"/>
  <c r="AX35" i="21"/>
  <c r="AW35" i="21"/>
  <c r="AV35" i="21"/>
  <c r="AU35" i="21"/>
  <c r="AT35" i="21"/>
  <c r="AS35" i="21"/>
  <c r="AR35" i="21"/>
  <c r="AQ35" i="21"/>
  <c r="AP35" i="21"/>
  <c r="AO35" i="21"/>
  <c r="AN35" i="21"/>
  <c r="DM35" i="21" s="1"/>
  <c r="AE35" i="21"/>
  <c r="Z35" i="21"/>
  <c r="AG35" i="21" s="1"/>
  <c r="J35" i="21"/>
  <c r="BL35" i="21" s="1"/>
  <c r="EC34" i="21"/>
  <c r="EB34" i="21"/>
  <c r="EA34" i="21"/>
  <c r="DZ34" i="21"/>
  <c r="DY34" i="21"/>
  <c r="DX34" i="21"/>
  <c r="DW34" i="21"/>
  <c r="DV34" i="21"/>
  <c r="DU34" i="21"/>
  <c r="DT34" i="21"/>
  <c r="DQ34" i="21"/>
  <c r="DO34" i="21"/>
  <c r="DJ34" i="21"/>
  <c r="DI34" i="21"/>
  <c r="DH34" i="21"/>
  <c r="DG34" i="21"/>
  <c r="DF34" i="21"/>
  <c r="DE34" i="21"/>
  <c r="DD34" i="21"/>
  <c r="DC34" i="21"/>
  <c r="DB34" i="21"/>
  <c r="DA34" i="21"/>
  <c r="CZ34" i="21"/>
  <c r="CY34" i="21"/>
  <c r="CX34" i="21"/>
  <c r="CW34" i="21"/>
  <c r="CV34" i="21"/>
  <c r="CU34" i="21"/>
  <c r="CT34" i="21"/>
  <c r="CS34" i="21"/>
  <c r="CR34" i="21"/>
  <c r="CQ34" i="21"/>
  <c r="CP34" i="21"/>
  <c r="CO34" i="21"/>
  <c r="CN34" i="21"/>
  <c r="CM34" i="21"/>
  <c r="CL34" i="21"/>
  <c r="CK34" i="21"/>
  <c r="CJ34" i="21"/>
  <c r="CH34" i="21"/>
  <c r="CG34" i="21"/>
  <c r="CF34" i="21"/>
  <c r="CE34" i="21"/>
  <c r="CD34" i="21"/>
  <c r="CC34" i="21"/>
  <c r="CB34" i="21"/>
  <c r="CA34" i="21"/>
  <c r="BZ34" i="21"/>
  <c r="BY34" i="21"/>
  <c r="BX34" i="21"/>
  <c r="BW34" i="21"/>
  <c r="BV34" i="21"/>
  <c r="BR34" i="21"/>
  <c r="BP34" i="21"/>
  <c r="BO34" i="21"/>
  <c r="BI34" i="21"/>
  <c r="BH34" i="21"/>
  <c r="BF34" i="21"/>
  <c r="BE34" i="21"/>
  <c r="BD34" i="21"/>
  <c r="BC34" i="21"/>
  <c r="BB34" i="21"/>
  <c r="BA34" i="21"/>
  <c r="AZ34" i="21"/>
  <c r="AY34" i="21"/>
  <c r="DM34" i="21" s="1"/>
  <c r="AX34" i="21"/>
  <c r="AW34" i="21"/>
  <c r="AV34" i="21"/>
  <c r="AU34" i="21"/>
  <c r="AT34" i="21"/>
  <c r="AS34" i="21"/>
  <c r="AR34" i="21"/>
  <c r="AQ34" i="21"/>
  <c r="AP34" i="21"/>
  <c r="AO34" i="21"/>
  <c r="AN34" i="21"/>
  <c r="Z34" i="21"/>
  <c r="AG34" i="21" s="1"/>
  <c r="J34" i="21"/>
  <c r="BK34" i="21" s="1"/>
  <c r="EC33" i="21"/>
  <c r="EB33" i="21"/>
  <c r="EA33" i="21"/>
  <c r="DZ33" i="21"/>
  <c r="DY33" i="21"/>
  <c r="DX33" i="21"/>
  <c r="DW33" i="21"/>
  <c r="DV33" i="21"/>
  <c r="DU33" i="21"/>
  <c r="DT33" i="21"/>
  <c r="DQ33" i="21"/>
  <c r="DJ33" i="21"/>
  <c r="DI33" i="21"/>
  <c r="DH33" i="21"/>
  <c r="DG33" i="21"/>
  <c r="DF33" i="21"/>
  <c r="DE33" i="21"/>
  <c r="DD33" i="21"/>
  <c r="DC33" i="21"/>
  <c r="DB33" i="21"/>
  <c r="DA33" i="21"/>
  <c r="CZ33" i="21"/>
  <c r="CY33" i="21"/>
  <c r="CX33" i="21"/>
  <c r="CW33" i="21"/>
  <c r="CV33" i="21"/>
  <c r="CU33" i="21"/>
  <c r="CT33" i="21"/>
  <c r="CS33" i="21"/>
  <c r="CR33" i="21"/>
  <c r="CQ33" i="21"/>
  <c r="CP33" i="21"/>
  <c r="CO33" i="21"/>
  <c r="CN33" i="21"/>
  <c r="CM33" i="21"/>
  <c r="CL33" i="21"/>
  <c r="CK33" i="21"/>
  <c r="CJ33" i="21"/>
  <c r="CH33" i="21"/>
  <c r="CG33" i="21"/>
  <c r="CF33" i="21"/>
  <c r="CE33" i="21"/>
  <c r="CD33" i="21"/>
  <c r="CC33" i="21"/>
  <c r="CB33" i="21"/>
  <c r="CA33" i="21"/>
  <c r="BZ33" i="21"/>
  <c r="BY33" i="21"/>
  <c r="BX33" i="21"/>
  <c r="BW33" i="21"/>
  <c r="BV33" i="21"/>
  <c r="BT33" i="21"/>
  <c r="BR33" i="21"/>
  <c r="BP33" i="21"/>
  <c r="BO33" i="21"/>
  <c r="BI33" i="21"/>
  <c r="BH33" i="21"/>
  <c r="BF33" i="21"/>
  <c r="BE33" i="21"/>
  <c r="BD33" i="21"/>
  <c r="BC33" i="21"/>
  <c r="BB33" i="21"/>
  <c r="BA33" i="21"/>
  <c r="AZ33" i="21"/>
  <c r="AY33" i="21"/>
  <c r="DO33" i="21" s="1"/>
  <c r="AX33" i="21"/>
  <c r="AW33" i="21"/>
  <c r="AV33" i="21"/>
  <c r="AU33" i="21"/>
  <c r="AT33" i="21"/>
  <c r="AS33" i="21"/>
  <c r="AR33" i="21"/>
  <c r="AQ33" i="21"/>
  <c r="AP33" i="21"/>
  <c r="AO33" i="21"/>
  <c r="DM33" i="21" s="1"/>
  <c r="AN33" i="21"/>
  <c r="AG33" i="21"/>
  <c r="Z33" i="21"/>
  <c r="AE33" i="21" s="1"/>
  <c r="J33" i="21"/>
  <c r="BL33" i="21" s="1"/>
  <c r="EC32" i="21"/>
  <c r="EB32" i="21"/>
  <c r="EA32" i="21"/>
  <c r="DZ32" i="21"/>
  <c r="DY32" i="21"/>
  <c r="DX32" i="21"/>
  <c r="DW32" i="21"/>
  <c r="DV32" i="21"/>
  <c r="DU32" i="21"/>
  <c r="DT32" i="21"/>
  <c r="DQ32" i="21"/>
  <c r="DJ32" i="21"/>
  <c r="DI32" i="21"/>
  <c r="DH32" i="21"/>
  <c r="DG32" i="21"/>
  <c r="DF32" i="21"/>
  <c r="DE32" i="21"/>
  <c r="DD32" i="21"/>
  <c r="DC32" i="21"/>
  <c r="DB32" i="21"/>
  <c r="DA32" i="21"/>
  <c r="CZ32" i="21"/>
  <c r="CY32" i="21"/>
  <c r="CX32" i="21"/>
  <c r="CW32" i="21"/>
  <c r="CV32" i="21"/>
  <c r="CU32" i="21"/>
  <c r="CT32" i="21"/>
  <c r="CS32" i="21"/>
  <c r="CR32" i="21"/>
  <c r="CQ32" i="21"/>
  <c r="CP32" i="21"/>
  <c r="CO32" i="21"/>
  <c r="CN32" i="21"/>
  <c r="CM32" i="21"/>
  <c r="CL32" i="21"/>
  <c r="CK32" i="21"/>
  <c r="CJ32" i="21"/>
  <c r="CH32" i="21"/>
  <c r="CG32" i="21"/>
  <c r="CF32" i="21"/>
  <c r="CE32" i="21"/>
  <c r="CD32" i="21"/>
  <c r="CC32" i="21"/>
  <c r="CB32" i="21"/>
  <c r="CA32" i="21"/>
  <c r="BZ32" i="21"/>
  <c r="BY32" i="21"/>
  <c r="BX32" i="21"/>
  <c r="BW32" i="21"/>
  <c r="BV32" i="21"/>
  <c r="BR32" i="21"/>
  <c r="BP32" i="21"/>
  <c r="BO32" i="21"/>
  <c r="BI32" i="21"/>
  <c r="BH32" i="21"/>
  <c r="BF32" i="21"/>
  <c r="BE32" i="21"/>
  <c r="BD32" i="21"/>
  <c r="BC32" i="21"/>
  <c r="BB32" i="21"/>
  <c r="BA32" i="21"/>
  <c r="AZ32" i="21"/>
  <c r="AY32" i="21"/>
  <c r="AX32" i="21"/>
  <c r="AW32" i="21"/>
  <c r="AV32" i="21"/>
  <c r="AU32" i="21"/>
  <c r="AT32" i="21"/>
  <c r="AS32" i="21"/>
  <c r="AR32" i="21"/>
  <c r="AQ32" i="21"/>
  <c r="AP32" i="21"/>
  <c r="AO32" i="21"/>
  <c r="AN32" i="21"/>
  <c r="Z32" i="21"/>
  <c r="AG32" i="21" s="1"/>
  <c r="J32" i="21"/>
  <c r="BL32" i="21" s="1"/>
  <c r="EC31" i="21"/>
  <c r="EB31" i="21"/>
  <c r="EA31" i="21"/>
  <c r="DZ31" i="21"/>
  <c r="DY31" i="21"/>
  <c r="DX31" i="21"/>
  <c r="DW31" i="21"/>
  <c r="DV31" i="21"/>
  <c r="DU31" i="21"/>
  <c r="DT31" i="21"/>
  <c r="DQ31" i="21"/>
  <c r="DJ31" i="21"/>
  <c r="DI31" i="21"/>
  <c r="DH31" i="21"/>
  <c r="DG31" i="21"/>
  <c r="DF31" i="21"/>
  <c r="DE31" i="21"/>
  <c r="DD31" i="21"/>
  <c r="DC31" i="21"/>
  <c r="DB31" i="21"/>
  <c r="DA31" i="21"/>
  <c r="CZ31" i="21"/>
  <c r="CY31" i="21"/>
  <c r="CX31" i="21"/>
  <c r="CW31" i="21"/>
  <c r="CV31" i="21"/>
  <c r="CU31" i="21"/>
  <c r="CT31" i="21"/>
  <c r="CS31" i="21"/>
  <c r="CR31" i="21"/>
  <c r="CQ31" i="21"/>
  <c r="CP31" i="21"/>
  <c r="CO31" i="21"/>
  <c r="CN31" i="21"/>
  <c r="CM31" i="21"/>
  <c r="CL31" i="21"/>
  <c r="CK31" i="21"/>
  <c r="CJ31" i="21"/>
  <c r="CH31" i="21"/>
  <c r="CG31" i="21"/>
  <c r="CF31" i="21"/>
  <c r="CE31" i="21"/>
  <c r="CD31" i="21"/>
  <c r="CC31" i="21"/>
  <c r="CB31" i="21"/>
  <c r="CA31" i="21"/>
  <c r="BZ31" i="21"/>
  <c r="BY31" i="21"/>
  <c r="BX31" i="21"/>
  <c r="BW31" i="21"/>
  <c r="BV31" i="21"/>
  <c r="BR31" i="21"/>
  <c r="BP31" i="21"/>
  <c r="BO31" i="21"/>
  <c r="BI31" i="21"/>
  <c r="BH31" i="21"/>
  <c r="BF31" i="21"/>
  <c r="BE31" i="21"/>
  <c r="BD31" i="21"/>
  <c r="BC31" i="21"/>
  <c r="BB31" i="21"/>
  <c r="BA31" i="21"/>
  <c r="AZ31" i="21"/>
  <c r="AY31" i="21"/>
  <c r="AX31" i="21"/>
  <c r="AW31" i="21"/>
  <c r="AV31" i="21"/>
  <c r="AU31" i="21"/>
  <c r="AT31" i="21"/>
  <c r="AS31" i="21"/>
  <c r="AR31" i="21"/>
  <c r="AQ31" i="21"/>
  <c r="AP31" i="21"/>
  <c r="AO31" i="21"/>
  <c r="AN31" i="21"/>
  <c r="AB31" i="21"/>
  <c r="AC31" i="21" s="1"/>
  <c r="Z31" i="21"/>
  <c r="AE31" i="21" s="1"/>
  <c r="J31" i="21"/>
  <c r="BK31" i="21" s="1"/>
  <c r="EC30" i="21"/>
  <c r="EB30" i="21"/>
  <c r="EA30" i="21"/>
  <c r="DZ30" i="21"/>
  <c r="DY30" i="21"/>
  <c r="DX30" i="21"/>
  <c r="DW30" i="21"/>
  <c r="DV30" i="21"/>
  <c r="DU30" i="21"/>
  <c r="DT30" i="21"/>
  <c r="DQ30" i="21"/>
  <c r="DJ30" i="21"/>
  <c r="DI30" i="21"/>
  <c r="DH30" i="21"/>
  <c r="DG30" i="21"/>
  <c r="DF30" i="21"/>
  <c r="DE30" i="21"/>
  <c r="DD30" i="21"/>
  <c r="DC30" i="21"/>
  <c r="DB30" i="21"/>
  <c r="DA30" i="21"/>
  <c r="CZ30" i="21"/>
  <c r="CY30" i="21"/>
  <c r="CX30" i="21"/>
  <c r="CW30" i="21"/>
  <c r="CV30" i="21"/>
  <c r="CU30" i="21"/>
  <c r="CT30" i="21"/>
  <c r="CS30" i="21"/>
  <c r="CR30" i="21"/>
  <c r="CQ30" i="21"/>
  <c r="CP30" i="21"/>
  <c r="CO30" i="21"/>
  <c r="CN30" i="21"/>
  <c r="CM30" i="21"/>
  <c r="CL30" i="21"/>
  <c r="CK30" i="21"/>
  <c r="CJ30" i="21"/>
  <c r="CH30" i="21"/>
  <c r="CG30" i="21"/>
  <c r="CF30" i="21"/>
  <c r="CE30" i="21"/>
  <c r="CD30" i="21"/>
  <c r="CC30" i="21"/>
  <c r="CB30" i="21"/>
  <c r="CA30" i="21"/>
  <c r="BZ30" i="21"/>
  <c r="BY30" i="21"/>
  <c r="BX30" i="21"/>
  <c r="BW30" i="21"/>
  <c r="BV30" i="21"/>
  <c r="BR30" i="21"/>
  <c r="BP30" i="21"/>
  <c r="BO30" i="21"/>
  <c r="BI30" i="21"/>
  <c r="BH30" i="21"/>
  <c r="BF30" i="21"/>
  <c r="BE30" i="21"/>
  <c r="BD30" i="21"/>
  <c r="DM30" i="21" s="1"/>
  <c r="BC30" i="21"/>
  <c r="BB30" i="21"/>
  <c r="BA30" i="21"/>
  <c r="AZ30" i="21"/>
  <c r="AY30" i="21"/>
  <c r="AX30" i="21"/>
  <c r="AW30" i="21"/>
  <c r="AV30" i="21"/>
  <c r="AU30" i="21"/>
  <c r="AT30" i="21"/>
  <c r="AS30" i="21"/>
  <c r="AR30" i="21"/>
  <c r="AQ30" i="21"/>
  <c r="AP30" i="21"/>
  <c r="AO30" i="21"/>
  <c r="AN30" i="21"/>
  <c r="AE30" i="21"/>
  <c r="AB30" i="21"/>
  <c r="AC30" i="21" s="1"/>
  <c r="Z30" i="21"/>
  <c r="AG30" i="21" s="1"/>
  <c r="J30" i="21"/>
  <c r="BL30" i="21" s="1"/>
  <c r="EC29" i="21"/>
  <c r="EB29" i="21"/>
  <c r="EA29" i="21"/>
  <c r="DZ29" i="21"/>
  <c r="DY29" i="21"/>
  <c r="DX29" i="21"/>
  <c r="DW29" i="21"/>
  <c r="DV29" i="21"/>
  <c r="DU29" i="21"/>
  <c r="DT29" i="21"/>
  <c r="DQ29" i="21"/>
  <c r="CH29" i="21"/>
  <c r="CG29" i="21"/>
  <c r="CF29" i="21"/>
  <c r="CE29" i="21"/>
  <c r="CD29" i="21"/>
  <c r="CC29" i="21"/>
  <c r="CB29" i="21"/>
  <c r="CA29" i="21"/>
  <c r="BZ29" i="21"/>
  <c r="BY29" i="21"/>
  <c r="BX29" i="21"/>
  <c r="BW29" i="21"/>
  <c r="BV29" i="21"/>
  <c r="BT29" i="21"/>
  <c r="BS29" i="21"/>
  <c r="BR29" i="21"/>
  <c r="BP29" i="21"/>
  <c r="BO29" i="21"/>
  <c r="BI29" i="21"/>
  <c r="BH29" i="21"/>
  <c r="BF29" i="21"/>
  <c r="BE29" i="21"/>
  <c r="BD29" i="21"/>
  <c r="BC29" i="21"/>
  <c r="BB29" i="21"/>
  <c r="BA29" i="21"/>
  <c r="AZ29" i="21"/>
  <c r="AY29" i="21"/>
  <c r="DO29" i="21" s="1"/>
  <c r="AX29" i="21"/>
  <c r="AW29" i="21"/>
  <c r="AV29" i="21"/>
  <c r="AU29" i="21"/>
  <c r="AT29" i="21"/>
  <c r="AS29" i="21"/>
  <c r="AR29" i="21"/>
  <c r="AQ29" i="21"/>
  <c r="AP29" i="21"/>
  <c r="AO29" i="21"/>
  <c r="AN29" i="21"/>
  <c r="Z29" i="21"/>
  <c r="AG29" i="21" s="1"/>
  <c r="DJ29" i="21"/>
  <c r="EC28" i="21"/>
  <c r="EB28" i="21"/>
  <c r="EA28" i="21"/>
  <c r="DZ28" i="21"/>
  <c r="DY28" i="21"/>
  <c r="DX28" i="21"/>
  <c r="DW28" i="21"/>
  <c r="DV28" i="21"/>
  <c r="DU28" i="21"/>
  <c r="DT28" i="21"/>
  <c r="DQ28" i="21"/>
  <c r="DJ28" i="21"/>
  <c r="DI28" i="21"/>
  <c r="DH28" i="21"/>
  <c r="DG28" i="21"/>
  <c r="DF28" i="21"/>
  <c r="DE28" i="21"/>
  <c r="DD28" i="21"/>
  <c r="DC28" i="21"/>
  <c r="DB28" i="21"/>
  <c r="DA28" i="21"/>
  <c r="CZ28" i="21"/>
  <c r="CY28" i="21"/>
  <c r="CX28" i="21"/>
  <c r="CW28" i="21"/>
  <c r="CV28" i="21"/>
  <c r="CU28" i="21"/>
  <c r="CT28" i="21"/>
  <c r="CS28" i="21"/>
  <c r="CR28" i="21"/>
  <c r="CQ28" i="21"/>
  <c r="CP28" i="21"/>
  <c r="CO28" i="21"/>
  <c r="CN28" i="21"/>
  <c r="CM28" i="21"/>
  <c r="CL28" i="21"/>
  <c r="CK28" i="21"/>
  <c r="CJ28" i="21"/>
  <c r="CH28" i="21"/>
  <c r="CG28" i="21"/>
  <c r="CF28" i="21"/>
  <c r="CE28" i="21"/>
  <c r="CD28" i="21"/>
  <c r="CC28" i="21"/>
  <c r="CB28" i="21"/>
  <c r="CA28" i="21"/>
  <c r="BZ28" i="21"/>
  <c r="BY28" i="21"/>
  <c r="BX28" i="21"/>
  <c r="BW28" i="21"/>
  <c r="BV28" i="21"/>
  <c r="BT28" i="21"/>
  <c r="BS28" i="21"/>
  <c r="BR28" i="21"/>
  <c r="BP28" i="21"/>
  <c r="BO28" i="21"/>
  <c r="BI28" i="21"/>
  <c r="BH28" i="21"/>
  <c r="BF28" i="21"/>
  <c r="BE28" i="21"/>
  <c r="BD28" i="21"/>
  <c r="BC28" i="21"/>
  <c r="BB28" i="21"/>
  <c r="BA28" i="21"/>
  <c r="AZ28" i="21"/>
  <c r="AY28" i="21"/>
  <c r="DO28" i="21" s="1"/>
  <c r="AX28" i="21"/>
  <c r="AW28" i="21"/>
  <c r="AV28" i="21"/>
  <c r="AU28" i="21"/>
  <c r="AT28" i="21"/>
  <c r="AS28" i="21"/>
  <c r="AR28" i="21"/>
  <c r="AQ28" i="21"/>
  <c r="AP28" i="21"/>
  <c r="AO28" i="21"/>
  <c r="AN28" i="21"/>
  <c r="DM28" i="21" s="1"/>
  <c r="AG28" i="21"/>
  <c r="AE28" i="21"/>
  <c r="AB28" i="21"/>
  <c r="AC28" i="21" s="1"/>
  <c r="Z28" i="21"/>
  <c r="J28" i="21"/>
  <c r="BL28" i="21" s="1"/>
  <c r="EC27" i="21"/>
  <c r="EB27" i="21"/>
  <c r="EA27" i="21"/>
  <c r="DZ27" i="21"/>
  <c r="DY27" i="21"/>
  <c r="DX27" i="21"/>
  <c r="DW27" i="21"/>
  <c r="DV27" i="21"/>
  <c r="DU27" i="21"/>
  <c r="DT27" i="21"/>
  <c r="DR27" i="21"/>
  <c r="DQ27" i="21"/>
  <c r="DO27" i="21"/>
  <c r="DJ27" i="21"/>
  <c r="DI27" i="21"/>
  <c r="DH27" i="21"/>
  <c r="DG27" i="21"/>
  <c r="DF27" i="21"/>
  <c r="DE27" i="21"/>
  <c r="DD27" i="21"/>
  <c r="DC27" i="21"/>
  <c r="DB27" i="21"/>
  <c r="DA27" i="21"/>
  <c r="CZ27" i="21"/>
  <c r="CY27" i="21"/>
  <c r="CX27" i="21"/>
  <c r="CW27" i="21"/>
  <c r="CV27" i="21"/>
  <c r="CU27" i="21"/>
  <c r="CT27" i="21"/>
  <c r="CS27" i="21"/>
  <c r="CR27" i="21"/>
  <c r="CQ27" i="21"/>
  <c r="CP27" i="21"/>
  <c r="CO27" i="21"/>
  <c r="CN27" i="21"/>
  <c r="CM27" i="21"/>
  <c r="CL27" i="21"/>
  <c r="CK27" i="21"/>
  <c r="CJ27" i="21"/>
  <c r="CH27" i="21"/>
  <c r="CG27" i="21"/>
  <c r="CF27" i="21"/>
  <c r="CE27" i="21"/>
  <c r="CD27" i="21"/>
  <c r="CC27" i="21"/>
  <c r="CB27" i="21"/>
  <c r="CA27" i="21"/>
  <c r="BZ27" i="21"/>
  <c r="BY27" i="21"/>
  <c r="BX27" i="21"/>
  <c r="BW27" i="21"/>
  <c r="BV27" i="21"/>
  <c r="BR27" i="21"/>
  <c r="BP27" i="21"/>
  <c r="BO27" i="21"/>
  <c r="BI27" i="21"/>
  <c r="BH27" i="21"/>
  <c r="BF27" i="21"/>
  <c r="BE27" i="21"/>
  <c r="BD27" i="21"/>
  <c r="BC27" i="21"/>
  <c r="BB27" i="21"/>
  <c r="BA27" i="21"/>
  <c r="AZ27" i="21"/>
  <c r="AY27" i="21"/>
  <c r="DM27" i="21" s="1"/>
  <c r="AX27" i="21"/>
  <c r="AW27" i="21"/>
  <c r="AV27" i="21"/>
  <c r="AU27" i="21"/>
  <c r="AT27" i="21"/>
  <c r="AS27" i="21"/>
  <c r="AR27" i="21"/>
  <c r="AQ27" i="21"/>
  <c r="AP27" i="21"/>
  <c r="AO27" i="21"/>
  <c r="AN27" i="21"/>
  <c r="AB27" i="21"/>
  <c r="Z27" i="21"/>
  <c r="AG27" i="21" s="1"/>
  <c r="J27" i="21"/>
  <c r="BL27" i="21" s="1"/>
  <c r="EC26" i="21"/>
  <c r="EB26" i="21"/>
  <c r="EA26" i="21"/>
  <c r="DZ26" i="21"/>
  <c r="DY26" i="21"/>
  <c r="DX26" i="21"/>
  <c r="DW26" i="21"/>
  <c r="DV26" i="21"/>
  <c r="DU26" i="21"/>
  <c r="DT26" i="21"/>
  <c r="DQ26" i="21"/>
  <c r="DJ26" i="21"/>
  <c r="DI26" i="21"/>
  <c r="DH26" i="21"/>
  <c r="DG26" i="21"/>
  <c r="DF26" i="21"/>
  <c r="DE26" i="21"/>
  <c r="DD26" i="21"/>
  <c r="DC26" i="21"/>
  <c r="DB26" i="21"/>
  <c r="DA26" i="21"/>
  <c r="CZ26" i="21"/>
  <c r="CY26" i="21"/>
  <c r="CX26" i="21"/>
  <c r="CW26" i="21"/>
  <c r="CV26" i="21"/>
  <c r="CU26" i="21"/>
  <c r="CT26" i="21"/>
  <c r="CS26" i="21"/>
  <c r="CR26" i="21"/>
  <c r="CQ26" i="21"/>
  <c r="CP26" i="21"/>
  <c r="CO26" i="21"/>
  <c r="CN26" i="21"/>
  <c r="CM26" i="21"/>
  <c r="CL26" i="21"/>
  <c r="CK26" i="21"/>
  <c r="CJ26" i="21"/>
  <c r="CH26" i="21"/>
  <c r="CG26" i="21"/>
  <c r="CF26" i="21"/>
  <c r="CE26" i="21"/>
  <c r="CD26" i="21"/>
  <c r="CC26" i="21"/>
  <c r="CB26" i="21"/>
  <c r="CA26" i="21"/>
  <c r="BZ26" i="21"/>
  <c r="BY26" i="21"/>
  <c r="BX26" i="21"/>
  <c r="BW26" i="21"/>
  <c r="BV26" i="21"/>
  <c r="BS26" i="21"/>
  <c r="BR26" i="21"/>
  <c r="BP26" i="21"/>
  <c r="BO26" i="21"/>
  <c r="BI26" i="21"/>
  <c r="BH26" i="21"/>
  <c r="BF26" i="21"/>
  <c r="BE26" i="21"/>
  <c r="BD26" i="21"/>
  <c r="BC26" i="21"/>
  <c r="BB26" i="21"/>
  <c r="BA26" i="21"/>
  <c r="AZ26" i="21"/>
  <c r="AY26" i="21"/>
  <c r="DO26" i="21" s="1"/>
  <c r="AX26" i="21"/>
  <c r="AW26" i="21"/>
  <c r="AV26" i="21"/>
  <c r="AU26" i="21"/>
  <c r="AT26" i="21"/>
  <c r="AS26" i="21"/>
  <c r="AR26" i="21"/>
  <c r="AQ26" i="21"/>
  <c r="AP26" i="21"/>
  <c r="AO26" i="21"/>
  <c r="DM26" i="21" s="1"/>
  <c r="AN26" i="21"/>
  <c r="AG26" i="21"/>
  <c r="AB26" i="21"/>
  <c r="Z26" i="21"/>
  <c r="AE26" i="21" s="1"/>
  <c r="J26" i="21"/>
  <c r="BK26" i="21" s="1"/>
  <c r="EC25" i="21"/>
  <c r="EB25" i="21"/>
  <c r="EA25" i="21"/>
  <c r="DZ25" i="21"/>
  <c r="DY25" i="21"/>
  <c r="DX25" i="21"/>
  <c r="DW25" i="21"/>
  <c r="DV25" i="21"/>
  <c r="DU25" i="21"/>
  <c r="DT25" i="21"/>
  <c r="DR25" i="21"/>
  <c r="DQ25" i="21"/>
  <c r="DJ25" i="21"/>
  <c r="DI25" i="21"/>
  <c r="DH25" i="21"/>
  <c r="DG25" i="21"/>
  <c r="DF25" i="21"/>
  <c r="DE25" i="21"/>
  <c r="DD25" i="21"/>
  <c r="DC25" i="21"/>
  <c r="DB25" i="21"/>
  <c r="DA25" i="21"/>
  <c r="CZ25" i="21"/>
  <c r="CY25" i="21"/>
  <c r="CX25" i="21"/>
  <c r="CW25" i="21"/>
  <c r="CV25" i="21"/>
  <c r="CU25" i="21"/>
  <c r="CT25" i="21"/>
  <c r="CS25" i="21"/>
  <c r="CR25" i="21"/>
  <c r="CQ25" i="21"/>
  <c r="CP25" i="21"/>
  <c r="CO25" i="21"/>
  <c r="CN25" i="21"/>
  <c r="CM25" i="21"/>
  <c r="CL25" i="21"/>
  <c r="CK25" i="21"/>
  <c r="CJ25" i="21"/>
  <c r="CH25" i="21"/>
  <c r="CG25" i="21"/>
  <c r="CF25" i="21"/>
  <c r="CE25" i="21"/>
  <c r="CD25" i="21"/>
  <c r="CC25" i="21"/>
  <c r="CB25" i="21"/>
  <c r="CA25" i="21"/>
  <c r="BZ25" i="21"/>
  <c r="BY25" i="21"/>
  <c r="BX25" i="21"/>
  <c r="BW25" i="21"/>
  <c r="BV25" i="21"/>
  <c r="BS25" i="21"/>
  <c r="BR25" i="21"/>
  <c r="BP25" i="21"/>
  <c r="BO25" i="21"/>
  <c r="BI25" i="21"/>
  <c r="BH25" i="21"/>
  <c r="BF25" i="21"/>
  <c r="DO25" i="21" s="1"/>
  <c r="BE25" i="21"/>
  <c r="BD25" i="21"/>
  <c r="BC25" i="21"/>
  <c r="BB25" i="21"/>
  <c r="BA25" i="21"/>
  <c r="AZ25" i="21"/>
  <c r="AY25" i="21"/>
  <c r="AX25" i="21"/>
  <c r="AW25" i="21"/>
  <c r="AV25" i="21"/>
  <c r="AU25" i="21"/>
  <c r="AT25" i="21"/>
  <c r="AS25" i="21"/>
  <c r="AR25" i="21"/>
  <c r="AQ25" i="21"/>
  <c r="AP25" i="21"/>
  <c r="AO25" i="21"/>
  <c r="AN25" i="21"/>
  <c r="AB25" i="21"/>
  <c r="Z25" i="21"/>
  <c r="AG25" i="21" s="1"/>
  <c r="J25" i="21"/>
  <c r="BL25" i="21" s="1"/>
  <c r="EC24" i="21"/>
  <c r="EB24" i="21"/>
  <c r="EA24" i="21"/>
  <c r="DZ24" i="21"/>
  <c r="DY24" i="21"/>
  <c r="DX24" i="21"/>
  <c r="DW24" i="21"/>
  <c r="DV24" i="21"/>
  <c r="DU24" i="21"/>
  <c r="DT24" i="21"/>
  <c r="DQ24" i="21"/>
  <c r="DJ24" i="21"/>
  <c r="DI24" i="21"/>
  <c r="DH24" i="21"/>
  <c r="DG24" i="21"/>
  <c r="DF24" i="21"/>
  <c r="DE24" i="21"/>
  <c r="DD24" i="21"/>
  <c r="DC24" i="21"/>
  <c r="DB24" i="21"/>
  <c r="DA24" i="21"/>
  <c r="CZ24" i="21"/>
  <c r="CY24" i="21"/>
  <c r="CX24" i="21"/>
  <c r="CW24" i="21"/>
  <c r="CV24" i="21"/>
  <c r="CU24" i="21"/>
  <c r="CT24" i="21"/>
  <c r="CS24" i="21"/>
  <c r="CR24" i="21"/>
  <c r="CQ24" i="21"/>
  <c r="CP24" i="21"/>
  <c r="CO24" i="21"/>
  <c r="CN24" i="21"/>
  <c r="CM24" i="21"/>
  <c r="CL24" i="21"/>
  <c r="CK24" i="21"/>
  <c r="CJ24" i="21"/>
  <c r="CH24" i="21"/>
  <c r="CG24" i="21"/>
  <c r="CF24" i="21"/>
  <c r="CE24" i="21"/>
  <c r="CD24" i="21"/>
  <c r="CC24" i="21"/>
  <c r="CB24" i="21"/>
  <c r="CA24" i="21"/>
  <c r="BZ24" i="21"/>
  <c r="BY24" i="21"/>
  <c r="BX24" i="21"/>
  <c r="BW24" i="21"/>
  <c r="BV24" i="21"/>
  <c r="BU24" i="21"/>
  <c r="BR24" i="21"/>
  <c r="BP24" i="21"/>
  <c r="BO24" i="21"/>
  <c r="BI24" i="21"/>
  <c r="BH24" i="21"/>
  <c r="BF24" i="21"/>
  <c r="BE24" i="21"/>
  <c r="BD24" i="21"/>
  <c r="BC24" i="21"/>
  <c r="BB24" i="21"/>
  <c r="BA24" i="21"/>
  <c r="AZ24" i="21"/>
  <c r="AY24" i="21"/>
  <c r="DO24" i="21" s="1"/>
  <c r="AX24" i="21"/>
  <c r="AW24" i="21"/>
  <c r="AV24" i="21"/>
  <c r="AU24" i="21"/>
  <c r="AT24" i="21"/>
  <c r="AS24" i="21"/>
  <c r="AR24" i="21"/>
  <c r="AQ24" i="21"/>
  <c r="AP24" i="21"/>
  <c r="AO24" i="21"/>
  <c r="AN24" i="21"/>
  <c r="DM24" i="21" s="1"/>
  <c r="AG24" i="21"/>
  <c r="AE24" i="21"/>
  <c r="AB24" i="21"/>
  <c r="AC24" i="21" s="1"/>
  <c r="Z24" i="21"/>
  <c r="J24" i="21"/>
  <c r="BL24" i="21" s="1"/>
  <c r="EC23" i="21"/>
  <c r="EB23" i="21"/>
  <c r="EA23" i="21"/>
  <c r="DZ23" i="21"/>
  <c r="DY23" i="21"/>
  <c r="DX23" i="21"/>
  <c r="DW23" i="21"/>
  <c r="DV23" i="21"/>
  <c r="DU23" i="21"/>
  <c r="DT23" i="21"/>
  <c r="DQ23" i="21"/>
  <c r="DJ23" i="21"/>
  <c r="DI23" i="21"/>
  <c r="DH23" i="21"/>
  <c r="DG23" i="21"/>
  <c r="DF23" i="21"/>
  <c r="DE23" i="21"/>
  <c r="DD23" i="21"/>
  <c r="DC23" i="21"/>
  <c r="DB23" i="21"/>
  <c r="DA23" i="21"/>
  <c r="CZ23" i="21"/>
  <c r="CY23" i="21"/>
  <c r="CX23" i="21"/>
  <c r="CW23" i="21"/>
  <c r="CV23" i="21"/>
  <c r="CU23" i="21"/>
  <c r="CT23" i="21"/>
  <c r="CS23" i="21"/>
  <c r="CR23" i="21"/>
  <c r="CQ23" i="21"/>
  <c r="CP23" i="21"/>
  <c r="CO23" i="21"/>
  <c r="CN23" i="21"/>
  <c r="CM23" i="21"/>
  <c r="CL23" i="21"/>
  <c r="CK23" i="21"/>
  <c r="CJ23" i="21"/>
  <c r="CH23" i="21"/>
  <c r="CG23" i="21"/>
  <c r="CF23" i="21"/>
  <c r="CE23" i="21"/>
  <c r="CD23" i="21"/>
  <c r="CC23" i="21"/>
  <c r="CB23" i="21"/>
  <c r="CA23" i="21"/>
  <c r="BZ23" i="21"/>
  <c r="BY23" i="21"/>
  <c r="BX23" i="21"/>
  <c r="BW23" i="21"/>
  <c r="BV23" i="21"/>
  <c r="BR23" i="21"/>
  <c r="BP23" i="21"/>
  <c r="BO23" i="21"/>
  <c r="BI23" i="21"/>
  <c r="BH23" i="21"/>
  <c r="BF23" i="21"/>
  <c r="BE23" i="21"/>
  <c r="BD23" i="21"/>
  <c r="DM23" i="21" s="1"/>
  <c r="BC23" i="21"/>
  <c r="BB23" i="21"/>
  <c r="BA23" i="21"/>
  <c r="AZ23" i="21"/>
  <c r="AY23" i="21"/>
  <c r="DO23" i="21" s="1"/>
  <c r="AX23" i="21"/>
  <c r="AW23" i="21"/>
  <c r="AV23" i="21"/>
  <c r="AU23" i="21"/>
  <c r="AT23" i="21"/>
  <c r="AS23" i="21"/>
  <c r="AR23" i="21"/>
  <c r="AQ23" i="21"/>
  <c r="AP23" i="21"/>
  <c r="AO23" i="21"/>
  <c r="AN23" i="21"/>
  <c r="AB23" i="21"/>
  <c r="Z23" i="21"/>
  <c r="AG23" i="21" s="1"/>
  <c r="J23" i="21"/>
  <c r="BL23" i="21" s="1"/>
  <c r="EC22" i="21"/>
  <c r="EB22" i="21"/>
  <c r="EA22" i="21"/>
  <c r="DZ22" i="21"/>
  <c r="DY22" i="21"/>
  <c r="DX22" i="21"/>
  <c r="DW22" i="21"/>
  <c r="DV22" i="21"/>
  <c r="DU22" i="21"/>
  <c r="DT22" i="21"/>
  <c r="DQ22" i="21"/>
  <c r="DJ22" i="21"/>
  <c r="DI22" i="21"/>
  <c r="DH22" i="21"/>
  <c r="DG22" i="21"/>
  <c r="DF22" i="21"/>
  <c r="DE22" i="21"/>
  <c r="DD22" i="21"/>
  <c r="DC22" i="21"/>
  <c r="DB22" i="21"/>
  <c r="DA22" i="21"/>
  <c r="CZ22" i="21"/>
  <c r="CY22" i="21"/>
  <c r="CX22" i="21"/>
  <c r="CW22" i="21"/>
  <c r="CV22" i="21"/>
  <c r="CU22" i="21"/>
  <c r="CT22" i="21"/>
  <c r="CS22" i="21"/>
  <c r="CR22" i="21"/>
  <c r="CQ22" i="21"/>
  <c r="CP22" i="21"/>
  <c r="CO22" i="21"/>
  <c r="CN22" i="21"/>
  <c r="CM22" i="21"/>
  <c r="CL22" i="21"/>
  <c r="CK22" i="21"/>
  <c r="CJ22" i="21"/>
  <c r="CH22" i="21"/>
  <c r="CG22" i="21"/>
  <c r="CF22" i="21"/>
  <c r="CE22" i="21"/>
  <c r="CD22" i="21"/>
  <c r="CC22" i="21"/>
  <c r="CB22" i="21"/>
  <c r="CA22" i="21"/>
  <c r="BZ22" i="21"/>
  <c r="BY22" i="21"/>
  <c r="BX22" i="21"/>
  <c r="BW22" i="21"/>
  <c r="BV22" i="21"/>
  <c r="BR22" i="21"/>
  <c r="BP22" i="21"/>
  <c r="BO22" i="21"/>
  <c r="BI22" i="21"/>
  <c r="BH22" i="21"/>
  <c r="BF22" i="21"/>
  <c r="BE22" i="21"/>
  <c r="BD22" i="21"/>
  <c r="BC22" i="21"/>
  <c r="BB22" i="21"/>
  <c r="BA22" i="21"/>
  <c r="AZ22" i="21"/>
  <c r="AY22" i="21"/>
  <c r="DO22" i="21" s="1"/>
  <c r="AX22" i="21"/>
  <c r="AW22" i="21"/>
  <c r="AV22" i="21"/>
  <c r="AU22" i="21"/>
  <c r="AT22" i="21"/>
  <c r="AS22" i="21"/>
  <c r="AR22" i="21"/>
  <c r="AQ22" i="21"/>
  <c r="AP22" i="21"/>
  <c r="AO22" i="21"/>
  <c r="AN22" i="21"/>
  <c r="DM22" i="21" s="1"/>
  <c r="AB22" i="21"/>
  <c r="Z22" i="21"/>
  <c r="AG22" i="21" s="1"/>
  <c r="J22" i="21"/>
  <c r="BL22" i="21" s="1"/>
  <c r="EC21" i="21"/>
  <c r="EB21" i="21"/>
  <c r="EA21" i="21"/>
  <c r="DZ21" i="21"/>
  <c r="DY21" i="21"/>
  <c r="DX21" i="21"/>
  <c r="DW21" i="21"/>
  <c r="DV21" i="21"/>
  <c r="DU21" i="21"/>
  <c r="DT21" i="21"/>
  <c r="DQ21" i="21"/>
  <c r="DJ21" i="21"/>
  <c r="DI21" i="21"/>
  <c r="DH21" i="21"/>
  <c r="DG21" i="21"/>
  <c r="DF21" i="21"/>
  <c r="DE21" i="21"/>
  <c r="DD21" i="21"/>
  <c r="DC21" i="21"/>
  <c r="DB21" i="21"/>
  <c r="DA21" i="21"/>
  <c r="CZ21" i="21"/>
  <c r="CY21" i="21"/>
  <c r="CX21" i="21"/>
  <c r="CW21" i="21"/>
  <c r="CV21" i="21"/>
  <c r="CU21" i="21"/>
  <c r="CT21" i="21"/>
  <c r="CS21" i="21"/>
  <c r="CR21" i="21"/>
  <c r="CQ21" i="21"/>
  <c r="CP21" i="21"/>
  <c r="CO21" i="21"/>
  <c r="CN21" i="21"/>
  <c r="CM21" i="21"/>
  <c r="CL21" i="21"/>
  <c r="CK21" i="21"/>
  <c r="CJ21" i="21"/>
  <c r="CH21" i="21"/>
  <c r="CG21" i="21"/>
  <c r="CF21" i="21"/>
  <c r="CE21" i="21"/>
  <c r="CD21" i="21"/>
  <c r="CC21" i="21"/>
  <c r="CB21" i="21"/>
  <c r="CA21" i="21"/>
  <c r="BZ21" i="21"/>
  <c r="BY21" i="21"/>
  <c r="BX21" i="21"/>
  <c r="BW21" i="21"/>
  <c r="BV21" i="21"/>
  <c r="BR21" i="21"/>
  <c r="BP21" i="21"/>
  <c r="BO21" i="21"/>
  <c r="BI21" i="21"/>
  <c r="BH21" i="21"/>
  <c r="BF21" i="21"/>
  <c r="BE21" i="21"/>
  <c r="BD21" i="21"/>
  <c r="BC21" i="21"/>
  <c r="BB21" i="21"/>
  <c r="BA21" i="21"/>
  <c r="AZ21" i="21"/>
  <c r="DO21" i="21" s="1"/>
  <c r="AY21" i="21"/>
  <c r="AX21" i="21"/>
  <c r="AW21" i="21"/>
  <c r="AV21" i="21"/>
  <c r="AU21" i="21"/>
  <c r="AT21" i="21"/>
  <c r="AS21" i="21"/>
  <c r="AR21" i="21"/>
  <c r="AQ21" i="21"/>
  <c r="AP21" i="21"/>
  <c r="AO21" i="21"/>
  <c r="AN21" i="21"/>
  <c r="DM21" i="21" s="1"/>
  <c r="AB21" i="21"/>
  <c r="Z21" i="21"/>
  <c r="AG21" i="21" s="1"/>
  <c r="J21" i="21"/>
  <c r="BL21" i="21" s="1"/>
  <c r="EC20" i="21"/>
  <c r="EB20" i="21"/>
  <c r="EA20" i="21"/>
  <c r="DZ20" i="21"/>
  <c r="DY20" i="21"/>
  <c r="DX20" i="21"/>
  <c r="DW20" i="21"/>
  <c r="DV20" i="21"/>
  <c r="DU20" i="21"/>
  <c r="DT20" i="21"/>
  <c r="DQ20" i="21"/>
  <c r="DO20" i="21"/>
  <c r="DM20" i="21"/>
  <c r="DJ20" i="21"/>
  <c r="DI20" i="21"/>
  <c r="DH20" i="21"/>
  <c r="DG20" i="21"/>
  <c r="DF20" i="21"/>
  <c r="DE20" i="21"/>
  <c r="DD20" i="21"/>
  <c r="DC20" i="21"/>
  <c r="DB20" i="21"/>
  <c r="DA20" i="21"/>
  <c r="CZ20" i="21"/>
  <c r="CY20" i="21"/>
  <c r="CX20" i="21"/>
  <c r="CW20" i="21"/>
  <c r="CV20" i="21"/>
  <c r="CU20" i="21"/>
  <c r="CT20" i="21"/>
  <c r="CS20" i="21"/>
  <c r="CR20" i="21"/>
  <c r="CQ20" i="21"/>
  <c r="CP20" i="21"/>
  <c r="CO20" i="21"/>
  <c r="CN20" i="21"/>
  <c r="CM20" i="21"/>
  <c r="CL20" i="21"/>
  <c r="CK20" i="21"/>
  <c r="CJ20" i="21"/>
  <c r="CH20" i="21"/>
  <c r="CG20" i="21"/>
  <c r="CF20" i="21"/>
  <c r="CE20" i="21"/>
  <c r="CD20" i="21"/>
  <c r="CC20" i="21"/>
  <c r="CB20" i="21"/>
  <c r="CA20" i="21"/>
  <c r="BZ20" i="21"/>
  <c r="BY20" i="21"/>
  <c r="BX20" i="21"/>
  <c r="BW20" i="21"/>
  <c r="BV20" i="21"/>
  <c r="BU20" i="21"/>
  <c r="BT20" i="21"/>
  <c r="BR20" i="21"/>
  <c r="BP20" i="21"/>
  <c r="BO20" i="21"/>
  <c r="BI20" i="21"/>
  <c r="BH20" i="21"/>
  <c r="BF20" i="21"/>
  <c r="BE20" i="21"/>
  <c r="BD20" i="21"/>
  <c r="BC20" i="21"/>
  <c r="BB20" i="21"/>
  <c r="BA20" i="21"/>
  <c r="AZ20" i="21"/>
  <c r="AY20" i="21"/>
  <c r="AX20" i="21"/>
  <c r="AW20" i="21"/>
  <c r="AV20" i="21"/>
  <c r="AU20" i="21"/>
  <c r="AT20" i="21"/>
  <c r="AS20" i="21"/>
  <c r="AR20" i="21"/>
  <c r="AQ20" i="21"/>
  <c r="AP20" i="21"/>
  <c r="AO20" i="21"/>
  <c r="AN20" i="21"/>
  <c r="AB20" i="21"/>
  <c r="Z20" i="21"/>
  <c r="AG20" i="21" s="1"/>
  <c r="J20" i="21"/>
  <c r="BL20" i="21" s="1"/>
  <c r="EC19" i="21"/>
  <c r="EB19" i="21"/>
  <c r="EA19" i="21"/>
  <c r="DZ19" i="21"/>
  <c r="DY19" i="21"/>
  <c r="DX19" i="21"/>
  <c r="DW19" i="21"/>
  <c r="DV19" i="21"/>
  <c r="DU19" i="21"/>
  <c r="DT19" i="21"/>
  <c r="DQ19" i="21"/>
  <c r="DJ19" i="21"/>
  <c r="DI19" i="21"/>
  <c r="DH19" i="21"/>
  <c r="DG19" i="21"/>
  <c r="DF19" i="21"/>
  <c r="DE19" i="21"/>
  <c r="DD19" i="21"/>
  <c r="DC19" i="21"/>
  <c r="DB19" i="21"/>
  <c r="DA19" i="21"/>
  <c r="CZ19" i="21"/>
  <c r="CY19" i="21"/>
  <c r="CX19" i="21"/>
  <c r="CW19" i="21"/>
  <c r="CV19" i="21"/>
  <c r="CU19" i="21"/>
  <c r="CT19" i="21"/>
  <c r="CS19" i="21"/>
  <c r="CR19" i="21"/>
  <c r="CQ19" i="21"/>
  <c r="CP19" i="21"/>
  <c r="CO19" i="21"/>
  <c r="CN19" i="21"/>
  <c r="CM19" i="21"/>
  <c r="CL19" i="21"/>
  <c r="CK19" i="21"/>
  <c r="CJ19" i="21"/>
  <c r="CH19" i="21"/>
  <c r="CG19" i="21"/>
  <c r="CF19" i="21"/>
  <c r="CE19" i="21"/>
  <c r="CD19" i="21"/>
  <c r="CC19" i="21"/>
  <c r="CB19" i="21"/>
  <c r="CA19" i="21"/>
  <c r="BZ19" i="21"/>
  <c r="BY19" i="21"/>
  <c r="BX19" i="21"/>
  <c r="BW19" i="21"/>
  <c r="BV19" i="21"/>
  <c r="BR19" i="21"/>
  <c r="BP19" i="21"/>
  <c r="BO19" i="21"/>
  <c r="BI19" i="21"/>
  <c r="BH19" i="21"/>
  <c r="BF19" i="21"/>
  <c r="BE19" i="21"/>
  <c r="BD19" i="21"/>
  <c r="BC19" i="21"/>
  <c r="BB19" i="21"/>
  <c r="BA19" i="21"/>
  <c r="AZ19" i="21"/>
  <c r="DO19" i="21" s="1"/>
  <c r="AY19" i="21"/>
  <c r="AX19" i="21"/>
  <c r="AW19" i="21"/>
  <c r="AV19" i="21"/>
  <c r="AU19" i="21"/>
  <c r="AT19" i="21"/>
  <c r="AS19" i="21"/>
  <c r="AR19" i="21"/>
  <c r="AQ19" i="21"/>
  <c r="AP19" i="21"/>
  <c r="AO19" i="21"/>
  <c r="AN19" i="21"/>
  <c r="DM19" i="21" s="1"/>
  <c r="AB19" i="21"/>
  <c r="Z19" i="21"/>
  <c r="AG19" i="21" s="1"/>
  <c r="J19" i="21"/>
  <c r="BL19" i="21" s="1"/>
  <c r="EC18" i="21"/>
  <c r="EB18" i="21"/>
  <c r="EA18" i="21"/>
  <c r="DZ18" i="21"/>
  <c r="DY18" i="21"/>
  <c r="DX18" i="21"/>
  <c r="DW18" i="21"/>
  <c r="DV18" i="21"/>
  <c r="DU18" i="21"/>
  <c r="DT18" i="21"/>
  <c r="DQ18" i="21"/>
  <c r="DJ18" i="21"/>
  <c r="DI18" i="21"/>
  <c r="DH18" i="21"/>
  <c r="DG18" i="21"/>
  <c r="DF18" i="21"/>
  <c r="DE18" i="21"/>
  <c r="DD18" i="21"/>
  <c r="DC18" i="21"/>
  <c r="DB18" i="21"/>
  <c r="DA18" i="21"/>
  <c r="CZ18" i="21"/>
  <c r="CY18" i="21"/>
  <c r="CX18" i="21"/>
  <c r="CW18" i="21"/>
  <c r="CV18" i="21"/>
  <c r="CU18" i="21"/>
  <c r="CT18" i="21"/>
  <c r="CS18" i="21"/>
  <c r="CR18" i="21"/>
  <c r="CQ18" i="21"/>
  <c r="CP18" i="21"/>
  <c r="CO18" i="21"/>
  <c r="CN18" i="21"/>
  <c r="CM18" i="21"/>
  <c r="CL18" i="21"/>
  <c r="CK18" i="21"/>
  <c r="CJ18" i="21"/>
  <c r="CH18" i="21"/>
  <c r="CG18" i="21"/>
  <c r="CF18" i="21"/>
  <c r="CE18" i="21"/>
  <c r="CD18" i="21"/>
  <c r="CC18" i="21"/>
  <c r="CB18" i="21"/>
  <c r="CA18" i="21"/>
  <c r="BZ18" i="21"/>
  <c r="BY18" i="21"/>
  <c r="BX18" i="21"/>
  <c r="BW18" i="21"/>
  <c r="BV18" i="21"/>
  <c r="BR18" i="21"/>
  <c r="BP18" i="21"/>
  <c r="BO18" i="21"/>
  <c r="BI18" i="21"/>
  <c r="BH18" i="21"/>
  <c r="BF18" i="21"/>
  <c r="BE18" i="21"/>
  <c r="DO18" i="21" s="1"/>
  <c r="BD18" i="21"/>
  <c r="BC18" i="21"/>
  <c r="BB18" i="21"/>
  <c r="BA18" i="21"/>
  <c r="AZ18" i="21"/>
  <c r="AY18" i="21"/>
  <c r="AX18" i="21"/>
  <c r="AW18" i="21"/>
  <c r="AV18" i="21"/>
  <c r="AU18" i="21"/>
  <c r="AT18" i="21"/>
  <c r="AS18" i="21"/>
  <c r="AR18" i="21"/>
  <c r="AQ18" i="21"/>
  <c r="AP18" i="21"/>
  <c r="AO18" i="21"/>
  <c r="AN18" i="21"/>
  <c r="AB18" i="21"/>
  <c r="Z18" i="21"/>
  <c r="AE18" i="21" s="1"/>
  <c r="J18" i="21"/>
  <c r="BL18" i="21" s="1"/>
  <c r="EC17" i="21"/>
  <c r="EB17" i="21"/>
  <c r="EA17" i="21"/>
  <c r="DZ17" i="21"/>
  <c r="DY17" i="21"/>
  <c r="DX17" i="21"/>
  <c r="DW17" i="21"/>
  <c r="DV17" i="21"/>
  <c r="DU17" i="21"/>
  <c r="DT17" i="21"/>
  <c r="DR17" i="21"/>
  <c r="DQ17" i="21"/>
  <c r="DJ17" i="21"/>
  <c r="DI17" i="21"/>
  <c r="DH17" i="21"/>
  <c r="DG17" i="21"/>
  <c r="DF17" i="21"/>
  <c r="DE17" i="21"/>
  <c r="DD17" i="21"/>
  <c r="DC17" i="21"/>
  <c r="DB17" i="21"/>
  <c r="DA17" i="21"/>
  <c r="CZ17" i="21"/>
  <c r="CY17" i="21"/>
  <c r="CX17" i="21"/>
  <c r="CW17" i="21"/>
  <c r="CV17" i="21"/>
  <c r="CU17" i="21"/>
  <c r="CT17" i="21"/>
  <c r="CS17" i="21"/>
  <c r="CR17" i="21"/>
  <c r="CQ17" i="21"/>
  <c r="CP17" i="21"/>
  <c r="CO17" i="21"/>
  <c r="CN17" i="21"/>
  <c r="CM17" i="21"/>
  <c r="CL17" i="21"/>
  <c r="CK17" i="21"/>
  <c r="CJ17" i="21"/>
  <c r="CH17" i="21"/>
  <c r="CG17" i="21"/>
  <c r="CF17" i="21"/>
  <c r="CE17" i="21"/>
  <c r="CD17" i="21"/>
  <c r="CC17" i="21"/>
  <c r="CB17" i="21"/>
  <c r="CA17" i="21"/>
  <c r="BZ17" i="21"/>
  <c r="BY17" i="21"/>
  <c r="BX17" i="21"/>
  <c r="BW17" i="21"/>
  <c r="BV17" i="21"/>
  <c r="BS17" i="21"/>
  <c r="BR17" i="21"/>
  <c r="BP17" i="21"/>
  <c r="BO17" i="21"/>
  <c r="BI17" i="21"/>
  <c r="BH17" i="21"/>
  <c r="BF17" i="21"/>
  <c r="BE17" i="21"/>
  <c r="BD17" i="21"/>
  <c r="BC17" i="21"/>
  <c r="BB17" i="21"/>
  <c r="BA17" i="21"/>
  <c r="AZ17" i="21"/>
  <c r="AY17" i="21"/>
  <c r="DO17" i="21" s="1"/>
  <c r="AX17" i="21"/>
  <c r="AW17" i="21"/>
  <c r="AV17" i="21"/>
  <c r="AU17" i="21"/>
  <c r="AT17" i="21"/>
  <c r="AS17" i="21"/>
  <c r="AR17" i="21"/>
  <c r="AQ17" i="21"/>
  <c r="AP17" i="21"/>
  <c r="AO17" i="21"/>
  <c r="AN17" i="21"/>
  <c r="DM17" i="21" s="1"/>
  <c r="AB17" i="21"/>
  <c r="Z17" i="21"/>
  <c r="AE17" i="21" s="1"/>
  <c r="J17" i="21"/>
  <c r="BL17" i="21" s="1"/>
  <c r="EC16" i="21"/>
  <c r="EB16" i="21"/>
  <c r="EA16" i="21"/>
  <c r="DZ16" i="21"/>
  <c r="DY16" i="21"/>
  <c r="DX16" i="21"/>
  <c r="DW16" i="21"/>
  <c r="DV16" i="21"/>
  <c r="DU16" i="21"/>
  <c r="DT16" i="21"/>
  <c r="DQ16" i="21"/>
  <c r="DJ16" i="21"/>
  <c r="DI16" i="21"/>
  <c r="DH16" i="21"/>
  <c r="DG16" i="21"/>
  <c r="DF16" i="21"/>
  <c r="DE16" i="21"/>
  <c r="DD16" i="21"/>
  <c r="DC16" i="21"/>
  <c r="DB16" i="21"/>
  <c r="DA16" i="21"/>
  <c r="CZ16" i="21"/>
  <c r="CY16" i="21"/>
  <c r="CX16" i="21"/>
  <c r="CW16" i="21"/>
  <c r="CV16" i="21"/>
  <c r="CU16" i="21"/>
  <c r="CT16" i="21"/>
  <c r="CS16" i="21"/>
  <c r="CR16" i="21"/>
  <c r="CQ16" i="21"/>
  <c r="CP16" i="21"/>
  <c r="CO16" i="21"/>
  <c r="CN16" i="21"/>
  <c r="CM16" i="21"/>
  <c r="CL16" i="21"/>
  <c r="CK16" i="21"/>
  <c r="CJ16" i="21"/>
  <c r="CH16" i="21"/>
  <c r="CG16" i="21"/>
  <c r="CF16" i="21"/>
  <c r="CE16" i="21"/>
  <c r="CD16" i="21"/>
  <c r="CC16" i="21"/>
  <c r="CB16" i="21"/>
  <c r="CA16" i="21"/>
  <c r="BZ16" i="21"/>
  <c r="BY16" i="21"/>
  <c r="BX16" i="21"/>
  <c r="BW16" i="21"/>
  <c r="BV16" i="21"/>
  <c r="BS16" i="21"/>
  <c r="BR16" i="21"/>
  <c r="BP16" i="21"/>
  <c r="BO16" i="21"/>
  <c r="BI16" i="21"/>
  <c r="BH16" i="21"/>
  <c r="BF16" i="21"/>
  <c r="BE16" i="21"/>
  <c r="BD16" i="21"/>
  <c r="BC16" i="21"/>
  <c r="BB16" i="21"/>
  <c r="BA16" i="21"/>
  <c r="AZ16" i="21"/>
  <c r="DO16" i="21" s="1"/>
  <c r="AY16" i="21"/>
  <c r="AX16" i="21"/>
  <c r="AW16" i="21"/>
  <c r="AV16" i="21"/>
  <c r="AU16" i="21"/>
  <c r="AT16" i="21"/>
  <c r="AS16" i="21"/>
  <c r="AR16" i="21"/>
  <c r="AQ16" i="21"/>
  <c r="AP16" i="21"/>
  <c r="AO16" i="21"/>
  <c r="AN16" i="21"/>
  <c r="DM16" i="21" s="1"/>
  <c r="AE16" i="21"/>
  <c r="AB16" i="21"/>
  <c r="Z16" i="21"/>
  <c r="AG16" i="21" s="1"/>
  <c r="J16" i="21"/>
  <c r="BL16" i="21" s="1"/>
  <c r="EC15" i="21"/>
  <c r="EB15" i="21"/>
  <c r="EA15" i="21"/>
  <c r="DZ15" i="21"/>
  <c r="DY15" i="21"/>
  <c r="DX15" i="21"/>
  <c r="DW15" i="21"/>
  <c r="DV15" i="21"/>
  <c r="DU15" i="21"/>
  <c r="DT15" i="21"/>
  <c r="DR15" i="21"/>
  <c r="DQ15" i="21"/>
  <c r="DO15" i="21"/>
  <c r="DM15" i="21"/>
  <c r="DJ15" i="21"/>
  <c r="DI15" i="21"/>
  <c r="DH15" i="21"/>
  <c r="DG15" i="21"/>
  <c r="DF15" i="21"/>
  <c r="DE15" i="21"/>
  <c r="DD15" i="21"/>
  <c r="DC15" i="21"/>
  <c r="DB15" i="21"/>
  <c r="DA15" i="21"/>
  <c r="CZ15" i="21"/>
  <c r="CY15" i="21"/>
  <c r="CX15" i="21"/>
  <c r="CW15" i="21"/>
  <c r="CV15" i="21"/>
  <c r="CU15" i="21"/>
  <c r="CT15" i="21"/>
  <c r="CS15" i="21"/>
  <c r="CR15" i="21"/>
  <c r="CQ15" i="21"/>
  <c r="CP15" i="21"/>
  <c r="CO15" i="21"/>
  <c r="CN15" i="21"/>
  <c r="CM15" i="21"/>
  <c r="CL15" i="21"/>
  <c r="CK15" i="21"/>
  <c r="CJ15" i="21"/>
  <c r="CH15" i="21"/>
  <c r="CG15" i="21"/>
  <c r="CF15" i="21"/>
  <c r="CE15" i="21"/>
  <c r="CD15" i="21"/>
  <c r="CC15" i="21"/>
  <c r="CB15" i="21"/>
  <c r="CA15" i="21"/>
  <c r="BZ15" i="21"/>
  <c r="BY15" i="21"/>
  <c r="BX15" i="21"/>
  <c r="BW15" i="21"/>
  <c r="BV15" i="21"/>
  <c r="BS15" i="21"/>
  <c r="BR15" i="21"/>
  <c r="BP15" i="21"/>
  <c r="BO15" i="21"/>
  <c r="BI15" i="21"/>
  <c r="BH15" i="21"/>
  <c r="BF15" i="21"/>
  <c r="BE15" i="21"/>
  <c r="BD15" i="21"/>
  <c r="BC15" i="21"/>
  <c r="BB15" i="21"/>
  <c r="BA15" i="21"/>
  <c r="AZ15" i="21"/>
  <c r="AY15" i="21"/>
  <c r="AX15" i="21"/>
  <c r="AW15" i="21"/>
  <c r="AV15" i="21"/>
  <c r="AU15" i="21"/>
  <c r="AT15" i="21"/>
  <c r="AS15" i="21"/>
  <c r="AR15" i="21"/>
  <c r="AQ15" i="21"/>
  <c r="AP15" i="21"/>
  <c r="AO15" i="21"/>
  <c r="AN15" i="21"/>
  <c r="AB15" i="21"/>
  <c r="Z15" i="21"/>
  <c r="AG15" i="21" s="1"/>
  <c r="J15" i="21"/>
  <c r="BL15" i="21" s="1"/>
  <c r="EC14" i="21"/>
  <c r="EB14" i="21"/>
  <c r="EA14" i="21"/>
  <c r="DZ14" i="21"/>
  <c r="DY14" i="21"/>
  <c r="DX14" i="21"/>
  <c r="DW14" i="21"/>
  <c r="DV14" i="21"/>
  <c r="DU14" i="21"/>
  <c r="DT14" i="21"/>
  <c r="DR14" i="21"/>
  <c r="DQ14" i="21"/>
  <c r="DJ14" i="21"/>
  <c r="DI14" i="21"/>
  <c r="DH14" i="21"/>
  <c r="DG14" i="21"/>
  <c r="DF14" i="21"/>
  <c r="DE14" i="21"/>
  <c r="DD14" i="21"/>
  <c r="DC14" i="21"/>
  <c r="DB14" i="21"/>
  <c r="DA14" i="21"/>
  <c r="CZ14" i="21"/>
  <c r="CY14" i="21"/>
  <c r="CX14" i="21"/>
  <c r="CW14" i="21"/>
  <c r="CV14" i="21"/>
  <c r="CU14" i="21"/>
  <c r="CT14" i="21"/>
  <c r="CS14" i="21"/>
  <c r="CR14" i="21"/>
  <c r="CQ14" i="21"/>
  <c r="CP14" i="21"/>
  <c r="CO14" i="21"/>
  <c r="CN14" i="21"/>
  <c r="CM14" i="21"/>
  <c r="CL14" i="21"/>
  <c r="CK14" i="21"/>
  <c r="CJ14" i="21"/>
  <c r="CH14" i="21"/>
  <c r="CG14" i="21"/>
  <c r="CF14" i="21"/>
  <c r="CE14" i="21"/>
  <c r="CD14" i="21"/>
  <c r="CC14" i="21"/>
  <c r="CB14" i="21"/>
  <c r="CA14" i="21"/>
  <c r="BZ14" i="21"/>
  <c r="BY14" i="21"/>
  <c r="BX14" i="21"/>
  <c r="BW14" i="21"/>
  <c r="BV14" i="21"/>
  <c r="BR14" i="21"/>
  <c r="BP14" i="21"/>
  <c r="BO14" i="21"/>
  <c r="BI14" i="21"/>
  <c r="BH14" i="21"/>
  <c r="BF14" i="21"/>
  <c r="BE14" i="21"/>
  <c r="BD14" i="21"/>
  <c r="BC14" i="21"/>
  <c r="BB14" i="21"/>
  <c r="BA14" i="21"/>
  <c r="AZ14" i="21"/>
  <c r="DO14" i="21" s="1"/>
  <c r="AY14" i="21"/>
  <c r="AX14" i="21"/>
  <c r="AW14" i="21"/>
  <c r="AV14" i="21"/>
  <c r="AU14" i="21"/>
  <c r="AT14" i="21"/>
  <c r="AS14" i="21"/>
  <c r="AR14" i="21"/>
  <c r="AQ14" i="21"/>
  <c r="AP14" i="21"/>
  <c r="AO14" i="21"/>
  <c r="AN14" i="21"/>
  <c r="DM14" i="21" s="1"/>
  <c r="AB14" i="21"/>
  <c r="Z14" i="21"/>
  <c r="AG14" i="21" s="1"/>
  <c r="J14" i="21"/>
  <c r="BL14" i="21" s="1"/>
  <c r="EC13" i="21"/>
  <c r="EB13" i="21"/>
  <c r="EA13" i="21"/>
  <c r="DZ13" i="21"/>
  <c r="DY13" i="21"/>
  <c r="DX13" i="21"/>
  <c r="DW13" i="21"/>
  <c r="DV13" i="21"/>
  <c r="DU13" i="21"/>
  <c r="DT13" i="21"/>
  <c r="DQ13" i="21"/>
  <c r="DJ13" i="21"/>
  <c r="DI13" i="21"/>
  <c r="DH13" i="21"/>
  <c r="DG13" i="21"/>
  <c r="DF13" i="21"/>
  <c r="DE13" i="21"/>
  <c r="DD13" i="21"/>
  <c r="DC13" i="21"/>
  <c r="DB13" i="21"/>
  <c r="DA13" i="21"/>
  <c r="CZ13" i="21"/>
  <c r="CY13" i="21"/>
  <c r="CX13" i="21"/>
  <c r="CW13" i="21"/>
  <c r="CV13" i="21"/>
  <c r="CU13" i="21"/>
  <c r="CT13" i="21"/>
  <c r="CS13" i="21"/>
  <c r="CR13" i="21"/>
  <c r="CQ13" i="21"/>
  <c r="CP13" i="21"/>
  <c r="CO13" i="21"/>
  <c r="CN13" i="21"/>
  <c r="CM13" i="21"/>
  <c r="CL13" i="21"/>
  <c r="CK13" i="21"/>
  <c r="CJ13" i="21"/>
  <c r="CH13" i="21"/>
  <c r="CG13" i="21"/>
  <c r="CF13" i="21"/>
  <c r="CE13" i="21"/>
  <c r="CD13" i="21"/>
  <c r="CC13" i="21"/>
  <c r="CB13" i="21"/>
  <c r="CA13" i="21"/>
  <c r="BZ13" i="21"/>
  <c r="BY13" i="21"/>
  <c r="BX13" i="21"/>
  <c r="BW13" i="21"/>
  <c r="BV13" i="21"/>
  <c r="BS13" i="21"/>
  <c r="BR13" i="21"/>
  <c r="BP13" i="21"/>
  <c r="BO13" i="21"/>
  <c r="BI13" i="21"/>
  <c r="BH13" i="21"/>
  <c r="BF13" i="21"/>
  <c r="BE13" i="21"/>
  <c r="DM13" i="21" s="1"/>
  <c r="BD13" i="21"/>
  <c r="BC13" i="21"/>
  <c r="BB13" i="21"/>
  <c r="BA13" i="21"/>
  <c r="AZ13" i="21"/>
  <c r="AY13" i="21"/>
  <c r="AX13" i="21"/>
  <c r="AW13" i="21"/>
  <c r="AV13" i="21"/>
  <c r="AU13" i="21"/>
  <c r="AT13" i="21"/>
  <c r="AS13" i="21"/>
  <c r="AR13" i="21"/>
  <c r="AQ13" i="21"/>
  <c r="AP13" i="21"/>
  <c r="AO13" i="21"/>
  <c r="AN13" i="21"/>
  <c r="AB13" i="21"/>
  <c r="Z13" i="21"/>
  <c r="AG13" i="21" s="1"/>
  <c r="J13" i="21"/>
  <c r="BL13" i="21" s="1"/>
  <c r="EC12" i="21"/>
  <c r="EB12" i="21"/>
  <c r="EA12" i="21"/>
  <c r="DZ12" i="21"/>
  <c r="DY12" i="21"/>
  <c r="DX12" i="21"/>
  <c r="DW12" i="21"/>
  <c r="DV12" i="21"/>
  <c r="DU12" i="21"/>
  <c r="DT12" i="21"/>
  <c r="DQ12" i="21"/>
  <c r="DJ12" i="21"/>
  <c r="DI12" i="21"/>
  <c r="DH12" i="21"/>
  <c r="DG12" i="21"/>
  <c r="DF12" i="21"/>
  <c r="DE12" i="21"/>
  <c r="DD12" i="21"/>
  <c r="DC12" i="21"/>
  <c r="DB12" i="21"/>
  <c r="DA12" i="21"/>
  <c r="CZ12" i="21"/>
  <c r="CY12" i="21"/>
  <c r="CX12" i="21"/>
  <c r="CW12" i="21"/>
  <c r="CV12" i="21"/>
  <c r="CU12" i="21"/>
  <c r="CT12" i="21"/>
  <c r="CS12" i="21"/>
  <c r="CR12" i="21"/>
  <c r="CQ12" i="21"/>
  <c r="CP12" i="21"/>
  <c r="CO12" i="21"/>
  <c r="CN12" i="21"/>
  <c r="CM12" i="21"/>
  <c r="CL12" i="21"/>
  <c r="CK12" i="21"/>
  <c r="CJ12" i="21"/>
  <c r="CH12" i="21"/>
  <c r="CG12" i="21"/>
  <c r="CF12" i="21"/>
  <c r="CE12" i="21"/>
  <c r="CD12" i="21"/>
  <c r="CC12" i="21"/>
  <c r="CB12" i="21"/>
  <c r="CA12" i="21"/>
  <c r="BZ12" i="21"/>
  <c r="BY12" i="21"/>
  <c r="BX12" i="21"/>
  <c r="BW12" i="21"/>
  <c r="BV12" i="21"/>
  <c r="BT12" i="21"/>
  <c r="BR12" i="21"/>
  <c r="BP12" i="21"/>
  <c r="BO12" i="21"/>
  <c r="BI12" i="21"/>
  <c r="BH12" i="21"/>
  <c r="BF12" i="21"/>
  <c r="BE12" i="21"/>
  <c r="BD12" i="21"/>
  <c r="BC12" i="21"/>
  <c r="BB12" i="21"/>
  <c r="BA12" i="21"/>
  <c r="AZ12" i="21"/>
  <c r="AY12" i="21"/>
  <c r="DO12" i="21" s="1"/>
  <c r="AX12" i="21"/>
  <c r="AW12" i="21"/>
  <c r="AV12" i="21"/>
  <c r="AU12" i="21"/>
  <c r="AT12" i="21"/>
  <c r="AS12" i="21"/>
  <c r="AR12" i="21"/>
  <c r="AQ12" i="21"/>
  <c r="AP12" i="21"/>
  <c r="AO12" i="21"/>
  <c r="AN12" i="21"/>
  <c r="AE12" i="21"/>
  <c r="AB12" i="21"/>
  <c r="Z12" i="21"/>
  <c r="AG12" i="21" s="1"/>
  <c r="J12" i="21"/>
  <c r="BL12" i="21" s="1"/>
  <c r="EC11" i="21"/>
  <c r="EB11" i="21"/>
  <c r="EA11" i="21"/>
  <c r="DZ11" i="21"/>
  <c r="DY11" i="21"/>
  <c r="DX11" i="21"/>
  <c r="DW11" i="21"/>
  <c r="DV11" i="21"/>
  <c r="DU11" i="21"/>
  <c r="DT11" i="21"/>
  <c r="DQ11" i="21"/>
  <c r="DJ11" i="21"/>
  <c r="DI11" i="21"/>
  <c r="DH11" i="21"/>
  <c r="DG11" i="21"/>
  <c r="DF11" i="21"/>
  <c r="DE11" i="21"/>
  <c r="DD11" i="21"/>
  <c r="DC11" i="21"/>
  <c r="DB11" i="21"/>
  <c r="DA11" i="21"/>
  <c r="CZ11" i="21"/>
  <c r="CY11" i="21"/>
  <c r="CX11" i="21"/>
  <c r="CW11" i="21"/>
  <c r="CV11" i="21"/>
  <c r="CU11" i="21"/>
  <c r="CT11" i="21"/>
  <c r="CS11" i="21"/>
  <c r="CR11" i="21"/>
  <c r="CQ11" i="21"/>
  <c r="CP11" i="21"/>
  <c r="CO11" i="21"/>
  <c r="CN11" i="21"/>
  <c r="CM11" i="21"/>
  <c r="CL11" i="21"/>
  <c r="CK11" i="21"/>
  <c r="CJ11" i="21"/>
  <c r="CH11" i="21"/>
  <c r="CG11" i="21"/>
  <c r="CF11" i="21"/>
  <c r="CE11" i="21"/>
  <c r="CD11" i="21"/>
  <c r="CC11" i="21"/>
  <c r="CB11" i="21"/>
  <c r="CA11" i="21"/>
  <c r="BZ11" i="21"/>
  <c r="BY11" i="21"/>
  <c r="BX11" i="21"/>
  <c r="BW11" i="21"/>
  <c r="BV11" i="21"/>
  <c r="BT11" i="21"/>
  <c r="BR11" i="21"/>
  <c r="BP11" i="21"/>
  <c r="BO11" i="21"/>
  <c r="BI11" i="21"/>
  <c r="BH11" i="21"/>
  <c r="BF11" i="21"/>
  <c r="BE11" i="21"/>
  <c r="BD11" i="21"/>
  <c r="BC11" i="21"/>
  <c r="BB11" i="21"/>
  <c r="BA11" i="21"/>
  <c r="AZ11" i="21"/>
  <c r="AY11" i="21"/>
  <c r="DO11" i="21" s="1"/>
  <c r="AX11" i="21"/>
  <c r="AW11" i="21"/>
  <c r="AV11" i="21"/>
  <c r="AU11" i="21"/>
  <c r="AT11" i="21"/>
  <c r="AS11" i="21"/>
  <c r="AR11" i="21"/>
  <c r="AQ11" i="21"/>
  <c r="AP11" i="21"/>
  <c r="AO11" i="21"/>
  <c r="AN11" i="21"/>
  <c r="DM11" i="21" s="1"/>
  <c r="AB11" i="21"/>
  <c r="Z11" i="21"/>
  <c r="AG11" i="21" s="1"/>
  <c r="J11" i="21"/>
  <c r="BL11" i="21" s="1"/>
  <c r="EC10" i="21"/>
  <c r="EB10" i="21"/>
  <c r="EA10" i="21"/>
  <c r="DZ10" i="21"/>
  <c r="DY10" i="21"/>
  <c r="DX10" i="21"/>
  <c r="DW10" i="21"/>
  <c r="DV10" i="21"/>
  <c r="DU10" i="21"/>
  <c r="DT10" i="21"/>
  <c r="DQ10" i="21"/>
  <c r="DO10" i="21"/>
  <c r="DJ10" i="21"/>
  <c r="DI10" i="21"/>
  <c r="DH10" i="21"/>
  <c r="DG10" i="21"/>
  <c r="DF10" i="21"/>
  <c r="DE10" i="21"/>
  <c r="DD10" i="21"/>
  <c r="DC10" i="21"/>
  <c r="DB10" i="21"/>
  <c r="DA10" i="21"/>
  <c r="CZ10" i="21"/>
  <c r="CY10" i="21"/>
  <c r="CX10" i="21"/>
  <c r="CW10" i="21"/>
  <c r="CV10" i="21"/>
  <c r="CU10" i="21"/>
  <c r="CT10" i="21"/>
  <c r="CS10" i="21"/>
  <c r="CR10" i="21"/>
  <c r="CQ10" i="21"/>
  <c r="CP10" i="21"/>
  <c r="CO10" i="21"/>
  <c r="CN10" i="21"/>
  <c r="CM10" i="21"/>
  <c r="CL10" i="21"/>
  <c r="CK10" i="21"/>
  <c r="CJ10" i="21"/>
  <c r="CH10" i="21"/>
  <c r="CG10" i="21"/>
  <c r="CF10" i="21"/>
  <c r="CE10" i="21"/>
  <c r="CD10" i="21"/>
  <c r="CC10" i="21"/>
  <c r="CB10" i="21"/>
  <c r="CA10" i="21"/>
  <c r="BZ10" i="21"/>
  <c r="BY10" i="21"/>
  <c r="BX10" i="21"/>
  <c r="BW10" i="21"/>
  <c r="BV10" i="21"/>
  <c r="BS10" i="21"/>
  <c r="BR10" i="21"/>
  <c r="BP10" i="21"/>
  <c r="BO10" i="21"/>
  <c r="BI10" i="21"/>
  <c r="BH10" i="21"/>
  <c r="BF10" i="21"/>
  <c r="BE10" i="21"/>
  <c r="BD10" i="21"/>
  <c r="BC10" i="21"/>
  <c r="BB10" i="21"/>
  <c r="BA10" i="21"/>
  <c r="AZ10" i="21"/>
  <c r="AY10" i="21"/>
  <c r="DM10" i="21" s="1"/>
  <c r="AX10" i="21"/>
  <c r="AW10" i="21"/>
  <c r="AV10" i="21"/>
  <c r="AU10" i="21"/>
  <c r="AT10" i="21"/>
  <c r="AS10" i="21"/>
  <c r="AR10" i="21"/>
  <c r="AQ10" i="21"/>
  <c r="AP10" i="21"/>
  <c r="AO10" i="21"/>
  <c r="AN10" i="21"/>
  <c r="AB10" i="21"/>
  <c r="Z10" i="21"/>
  <c r="AG10" i="21" s="1"/>
  <c r="J10" i="21"/>
  <c r="BL10" i="21" s="1"/>
  <c r="EC9" i="21"/>
  <c r="EB9" i="21"/>
  <c r="EA9" i="21"/>
  <c r="DZ9" i="21"/>
  <c r="DY9" i="21"/>
  <c r="DX9" i="21"/>
  <c r="DW9" i="21"/>
  <c r="DV9" i="21"/>
  <c r="DU9" i="21"/>
  <c r="DT9" i="21"/>
  <c r="DQ9" i="21"/>
  <c r="DJ9" i="21"/>
  <c r="DI9" i="21"/>
  <c r="DH9" i="21"/>
  <c r="DG9" i="21"/>
  <c r="DF9" i="21"/>
  <c r="DE9" i="21"/>
  <c r="DD9" i="21"/>
  <c r="DC9" i="21"/>
  <c r="DB9" i="21"/>
  <c r="DA9" i="21"/>
  <c r="CZ9" i="21"/>
  <c r="CY9" i="21"/>
  <c r="CX9" i="21"/>
  <c r="CW9" i="21"/>
  <c r="CV9" i="21"/>
  <c r="CU9" i="21"/>
  <c r="CT9" i="21"/>
  <c r="CS9" i="21"/>
  <c r="CR9" i="21"/>
  <c r="CQ9" i="21"/>
  <c r="CP9" i="21"/>
  <c r="CO9" i="21"/>
  <c r="CN9" i="21"/>
  <c r="CM9" i="21"/>
  <c r="CL9" i="21"/>
  <c r="CK9" i="21"/>
  <c r="CJ9" i="21"/>
  <c r="CH9" i="21"/>
  <c r="CG9" i="21"/>
  <c r="CF9" i="21"/>
  <c r="CE9" i="21"/>
  <c r="CD9" i="21"/>
  <c r="CC9" i="21"/>
  <c r="CB9" i="21"/>
  <c r="CA9" i="21"/>
  <c r="BZ9" i="21"/>
  <c r="BY9" i="21"/>
  <c r="BX9" i="21"/>
  <c r="BW9" i="21"/>
  <c r="BV9" i="21"/>
  <c r="BU9" i="21"/>
  <c r="BS9" i="21"/>
  <c r="BR9" i="21"/>
  <c r="BP9" i="21"/>
  <c r="BO9" i="21"/>
  <c r="BI9" i="21"/>
  <c r="BH9" i="21"/>
  <c r="BF9" i="21"/>
  <c r="BE9" i="21"/>
  <c r="BD9" i="21"/>
  <c r="BC9" i="21"/>
  <c r="BB9" i="21"/>
  <c r="BA9" i="21"/>
  <c r="AZ9" i="21"/>
  <c r="AY9" i="21"/>
  <c r="DO9" i="21" s="1"/>
  <c r="AX9" i="21"/>
  <c r="AW9" i="21"/>
  <c r="AV9" i="21"/>
  <c r="AU9" i="21"/>
  <c r="AT9" i="21"/>
  <c r="AS9" i="21"/>
  <c r="AR9" i="21"/>
  <c r="AQ9" i="21"/>
  <c r="AP9" i="21"/>
  <c r="AO9" i="21"/>
  <c r="DM9" i="21" s="1"/>
  <c r="AN9" i="21"/>
  <c r="AG9" i="21"/>
  <c r="AB9" i="21"/>
  <c r="AC9" i="21" s="1"/>
  <c r="Z9" i="21"/>
  <c r="AE9" i="21" s="1"/>
  <c r="J9" i="21"/>
  <c r="BL9" i="21" s="1"/>
  <c r="EC8" i="21"/>
  <c r="EB8" i="21"/>
  <c r="EA8" i="21"/>
  <c r="DZ8" i="21"/>
  <c r="DY8" i="21"/>
  <c r="DX8" i="21"/>
  <c r="DW8" i="21"/>
  <c r="DV8" i="21"/>
  <c r="DU8" i="21"/>
  <c r="DT8" i="21"/>
  <c r="DQ8" i="21"/>
  <c r="DJ8" i="21"/>
  <c r="DI8" i="21"/>
  <c r="DH8" i="21"/>
  <c r="DG8" i="21"/>
  <c r="DF8" i="21"/>
  <c r="DE8" i="21"/>
  <c r="DD8" i="21"/>
  <c r="DC8" i="21"/>
  <c r="DB8" i="21"/>
  <c r="DA8" i="21"/>
  <c r="CZ8" i="21"/>
  <c r="CY8" i="21"/>
  <c r="CX8" i="21"/>
  <c r="CW8" i="21"/>
  <c r="CV8" i="21"/>
  <c r="CU8" i="21"/>
  <c r="CT8" i="21"/>
  <c r="CS8" i="21"/>
  <c r="CR8" i="21"/>
  <c r="CQ8" i="21"/>
  <c r="CP8" i="21"/>
  <c r="CO8" i="21"/>
  <c r="CN8" i="21"/>
  <c r="CM8" i="21"/>
  <c r="CL8" i="21"/>
  <c r="CK8" i="21"/>
  <c r="CJ8" i="21"/>
  <c r="CH8" i="21"/>
  <c r="CG8" i="21"/>
  <c r="CF8" i="21"/>
  <c r="CE8" i="21"/>
  <c r="CD8" i="21"/>
  <c r="CC8" i="21"/>
  <c r="CB8" i="21"/>
  <c r="CA8" i="21"/>
  <c r="BZ8" i="21"/>
  <c r="BY8" i="21"/>
  <c r="BX8" i="21"/>
  <c r="BW8" i="21"/>
  <c r="BV8" i="21"/>
  <c r="BS8" i="21"/>
  <c r="BR8" i="21"/>
  <c r="BP8" i="21"/>
  <c r="BO8" i="21"/>
  <c r="BI8" i="21"/>
  <c r="BH8" i="21"/>
  <c r="BF8" i="21"/>
  <c r="DM8" i="21" s="1"/>
  <c r="BE8" i="21"/>
  <c r="BD8" i="21"/>
  <c r="BC8" i="21"/>
  <c r="BB8" i="21"/>
  <c r="BA8" i="21"/>
  <c r="AZ8" i="21"/>
  <c r="AY8" i="21"/>
  <c r="AX8" i="21"/>
  <c r="AW8" i="21"/>
  <c r="AV8" i="21"/>
  <c r="AU8" i="21"/>
  <c r="AT8" i="21"/>
  <c r="AS8" i="21"/>
  <c r="AR8" i="21"/>
  <c r="AQ8" i="21"/>
  <c r="AP8" i="21"/>
  <c r="AO8" i="21"/>
  <c r="AN8" i="21"/>
  <c r="AB8" i="21"/>
  <c r="Z8" i="21"/>
  <c r="J8" i="21"/>
  <c r="BL8" i="21" s="1"/>
  <c r="EC7" i="21"/>
  <c r="EB7" i="21"/>
  <c r="EA7" i="21"/>
  <c r="DZ7" i="21"/>
  <c r="DY7" i="21"/>
  <c r="DX7" i="21"/>
  <c r="DW7" i="21"/>
  <c r="DV7" i="21"/>
  <c r="DU7" i="21"/>
  <c r="DT7" i="21"/>
  <c r="DQ7" i="21"/>
  <c r="DJ7" i="21"/>
  <c r="DI7" i="21"/>
  <c r="DH7" i="21"/>
  <c r="DG7" i="21"/>
  <c r="DF7" i="21"/>
  <c r="DE7" i="21"/>
  <c r="DD7" i="21"/>
  <c r="DC7" i="21"/>
  <c r="DB7" i="21"/>
  <c r="DA7" i="21"/>
  <c r="CZ7" i="21"/>
  <c r="CY7" i="21"/>
  <c r="CX7" i="21"/>
  <c r="CW7" i="21"/>
  <c r="CV7" i="21"/>
  <c r="CU7" i="21"/>
  <c r="CT7" i="21"/>
  <c r="CS7" i="21"/>
  <c r="CR7" i="21"/>
  <c r="CQ7" i="21"/>
  <c r="CP7" i="21"/>
  <c r="CO7" i="21"/>
  <c r="CN7" i="21"/>
  <c r="CM7" i="21"/>
  <c r="CL7" i="21"/>
  <c r="CK7" i="21"/>
  <c r="CJ7" i="21"/>
  <c r="CH7" i="21"/>
  <c r="CG7" i="21"/>
  <c r="CF7" i="21"/>
  <c r="CE7" i="21"/>
  <c r="CD7" i="21"/>
  <c r="CC7" i="21"/>
  <c r="CB7" i="21"/>
  <c r="CA7" i="21"/>
  <c r="BZ7" i="21"/>
  <c r="BY7" i="21"/>
  <c r="BX7" i="21"/>
  <c r="BW7" i="21"/>
  <c r="BV7" i="21"/>
  <c r="BS7" i="21"/>
  <c r="BR7" i="21"/>
  <c r="BP7" i="21"/>
  <c r="BO7" i="21"/>
  <c r="BI7" i="21"/>
  <c r="BH7" i="21"/>
  <c r="BF7" i="21"/>
  <c r="BE7" i="21"/>
  <c r="BD7" i="21"/>
  <c r="BC7" i="21"/>
  <c r="BB7" i="21"/>
  <c r="BA7" i="21"/>
  <c r="AZ7" i="21"/>
  <c r="AY7" i="21"/>
  <c r="DO7" i="21" s="1"/>
  <c r="AX7" i="21"/>
  <c r="AW7" i="21"/>
  <c r="AV7" i="21"/>
  <c r="AU7" i="21"/>
  <c r="AT7" i="21"/>
  <c r="AS7" i="21"/>
  <c r="AR7" i="21"/>
  <c r="AQ7" i="21"/>
  <c r="AP7" i="21"/>
  <c r="AO7" i="21"/>
  <c r="AN7" i="21"/>
  <c r="DM7" i="21" s="1"/>
  <c r="AB7" i="21"/>
  <c r="Z7" i="21"/>
  <c r="AG7" i="21" s="1"/>
  <c r="J7" i="21"/>
  <c r="BL7" i="21" s="1"/>
  <c r="EC6" i="21"/>
  <c r="EB6" i="21"/>
  <c r="EA6" i="21"/>
  <c r="DZ6" i="21"/>
  <c r="DY6" i="21"/>
  <c r="DX6" i="21"/>
  <c r="DW6" i="21"/>
  <c r="DV6" i="21"/>
  <c r="DU6" i="21"/>
  <c r="DT6" i="21"/>
  <c r="DR6" i="21"/>
  <c r="DQ6" i="21"/>
  <c r="DJ6" i="21"/>
  <c r="DI6" i="21"/>
  <c r="DH6" i="21"/>
  <c r="DG6" i="21"/>
  <c r="DF6" i="21"/>
  <c r="DE6" i="21"/>
  <c r="DD6" i="21"/>
  <c r="DC6" i="21"/>
  <c r="DB6" i="21"/>
  <c r="DA6" i="21"/>
  <c r="CZ6" i="21"/>
  <c r="CY6" i="21"/>
  <c r="CX6" i="21"/>
  <c r="CW6" i="21"/>
  <c r="CV6" i="21"/>
  <c r="CU6" i="21"/>
  <c r="CT6" i="21"/>
  <c r="CS6" i="21"/>
  <c r="CR6" i="21"/>
  <c r="CQ6" i="21"/>
  <c r="CP6" i="21"/>
  <c r="CO6" i="21"/>
  <c r="CN6" i="21"/>
  <c r="CM6" i="21"/>
  <c r="CL6" i="21"/>
  <c r="CK6" i="21"/>
  <c r="CJ6" i="21"/>
  <c r="CH6" i="21"/>
  <c r="CG6" i="21"/>
  <c r="CF6" i="21"/>
  <c r="CE6" i="21"/>
  <c r="CD6" i="21"/>
  <c r="CC6" i="21"/>
  <c r="CB6" i="21"/>
  <c r="CA6" i="21"/>
  <c r="BZ6" i="21"/>
  <c r="BY6" i="21"/>
  <c r="BX6" i="21"/>
  <c r="BW6" i="21"/>
  <c r="BV6" i="21"/>
  <c r="BS6" i="21"/>
  <c r="BR6" i="21"/>
  <c r="BP6" i="21"/>
  <c r="BO6" i="21"/>
  <c r="BI6" i="21"/>
  <c r="BH6" i="21"/>
  <c r="BF6" i="21"/>
  <c r="BE6" i="21"/>
  <c r="BD6" i="21"/>
  <c r="BC6" i="21"/>
  <c r="BB6" i="21"/>
  <c r="BA6" i="21"/>
  <c r="AZ6" i="21"/>
  <c r="DO6" i="21" s="1"/>
  <c r="AY6" i="21"/>
  <c r="AX6" i="21"/>
  <c r="AW6" i="21"/>
  <c r="AV6" i="21"/>
  <c r="AU6" i="21"/>
  <c r="AT6" i="21"/>
  <c r="AS6" i="21"/>
  <c r="AR6" i="21"/>
  <c r="AQ6" i="21"/>
  <c r="AP6" i="21"/>
  <c r="AO6" i="21"/>
  <c r="AN6" i="21"/>
  <c r="DM6" i="21" s="1"/>
  <c r="AB6" i="21"/>
  <c r="Z6" i="21"/>
  <c r="AG6" i="21" s="1"/>
  <c r="J6" i="21"/>
  <c r="BL6" i="21" s="1"/>
  <c r="EC5" i="21"/>
  <c r="EB5" i="21"/>
  <c r="EA5" i="21"/>
  <c r="DZ5" i="21"/>
  <c r="DY5" i="21"/>
  <c r="DX5" i="21"/>
  <c r="DW5" i="21"/>
  <c r="DV5" i="21"/>
  <c r="DU5" i="21"/>
  <c r="DT5" i="21"/>
  <c r="DQ5" i="21"/>
  <c r="DJ5" i="21"/>
  <c r="DI5" i="21"/>
  <c r="DH5" i="21"/>
  <c r="DG5" i="21"/>
  <c r="DF5" i="21"/>
  <c r="DE5" i="21"/>
  <c r="DD5" i="21"/>
  <c r="DC5" i="21"/>
  <c r="DB5" i="21"/>
  <c r="DA5" i="21"/>
  <c r="CZ5" i="21"/>
  <c r="CY5" i="21"/>
  <c r="CX5" i="21"/>
  <c r="CW5" i="21"/>
  <c r="CV5" i="21"/>
  <c r="CU5" i="21"/>
  <c r="CT5" i="21"/>
  <c r="CS5" i="21"/>
  <c r="CR5" i="21"/>
  <c r="CQ5" i="21"/>
  <c r="CP5" i="21"/>
  <c r="CO5" i="21"/>
  <c r="CN5" i="21"/>
  <c r="CM5" i="21"/>
  <c r="CL5" i="21"/>
  <c r="CK5" i="21"/>
  <c r="CJ5" i="21"/>
  <c r="CH5" i="21"/>
  <c r="CG5" i="21"/>
  <c r="CF5" i="21"/>
  <c r="CE5" i="21"/>
  <c r="CD5" i="21"/>
  <c r="CC5" i="21"/>
  <c r="CB5" i="21"/>
  <c r="CA5" i="21"/>
  <c r="BZ5" i="21"/>
  <c r="BY5" i="21"/>
  <c r="BX5" i="21"/>
  <c r="BW5" i="21"/>
  <c r="BV5" i="21"/>
  <c r="BU5" i="21"/>
  <c r="BS5" i="21"/>
  <c r="BR5" i="21"/>
  <c r="BP5" i="21"/>
  <c r="BO5" i="21"/>
  <c r="BI5" i="21"/>
  <c r="BH5" i="21"/>
  <c r="BF5" i="21"/>
  <c r="BE5" i="21"/>
  <c r="DO5" i="21" s="1"/>
  <c r="BD5" i="21"/>
  <c r="BC5" i="21"/>
  <c r="BB5" i="21"/>
  <c r="BA5" i="21"/>
  <c r="AZ5" i="21"/>
  <c r="AY5" i="21"/>
  <c r="AX5" i="21"/>
  <c r="AW5" i="21"/>
  <c r="AV5" i="21"/>
  <c r="AU5" i="21"/>
  <c r="AT5" i="21"/>
  <c r="AS5" i="21"/>
  <c r="AR5" i="21"/>
  <c r="AQ5" i="21"/>
  <c r="AP5" i="21"/>
  <c r="AO5" i="21"/>
  <c r="AN5" i="21"/>
  <c r="AB5" i="21"/>
  <c r="Z5" i="21"/>
  <c r="AG5" i="21" s="1"/>
  <c r="J5" i="21"/>
  <c r="BL5" i="21" s="1"/>
  <c r="EC4" i="21"/>
  <c r="EB4" i="21"/>
  <c r="EA4" i="21"/>
  <c r="DZ4" i="21"/>
  <c r="DY4" i="21"/>
  <c r="DX4" i="21"/>
  <c r="DW4" i="21"/>
  <c r="DV4" i="21"/>
  <c r="DU4" i="21"/>
  <c r="DT4" i="21"/>
  <c r="DQ4" i="21"/>
  <c r="DJ4" i="21"/>
  <c r="DI4" i="21"/>
  <c r="DH4" i="21"/>
  <c r="DG4" i="21"/>
  <c r="DF4" i="21"/>
  <c r="DE4" i="21"/>
  <c r="DD4" i="21"/>
  <c r="DC4" i="21"/>
  <c r="DB4" i="21"/>
  <c r="DA4" i="21"/>
  <c r="CZ4" i="21"/>
  <c r="CY4" i="21"/>
  <c r="CX4" i="21"/>
  <c r="CW4" i="21"/>
  <c r="CV4" i="21"/>
  <c r="CU4" i="21"/>
  <c r="CT4" i="21"/>
  <c r="CS4" i="21"/>
  <c r="CR4" i="21"/>
  <c r="CQ4" i="21"/>
  <c r="CP4" i="21"/>
  <c r="CO4" i="21"/>
  <c r="CN4" i="21"/>
  <c r="CM4" i="21"/>
  <c r="CL4" i="21"/>
  <c r="CK4" i="21"/>
  <c r="CJ4" i="21"/>
  <c r="CH4" i="21"/>
  <c r="CG4" i="21"/>
  <c r="CF4" i="21"/>
  <c r="CE4" i="21"/>
  <c r="CD4" i="21"/>
  <c r="CC4" i="21"/>
  <c r="CB4" i="21"/>
  <c r="CA4" i="21"/>
  <c r="BZ4" i="21"/>
  <c r="BY4" i="21"/>
  <c r="BX4" i="21"/>
  <c r="BW4" i="21"/>
  <c r="BV4" i="21"/>
  <c r="BT4" i="21"/>
  <c r="BS4" i="21"/>
  <c r="BR4" i="21"/>
  <c r="BP4" i="21"/>
  <c r="BO4" i="21"/>
  <c r="BI4" i="21"/>
  <c r="BH4" i="21"/>
  <c r="BF4" i="21"/>
  <c r="BE4" i="21"/>
  <c r="BD4" i="21"/>
  <c r="BC4" i="21"/>
  <c r="BB4" i="21"/>
  <c r="BA4" i="21"/>
  <c r="AZ4" i="21"/>
  <c r="AY4" i="21"/>
  <c r="DO4" i="21" s="1"/>
  <c r="AX4" i="21"/>
  <c r="AW4" i="21"/>
  <c r="AV4" i="21"/>
  <c r="AU4" i="21"/>
  <c r="AT4" i="21"/>
  <c r="AS4" i="21"/>
  <c r="AR4" i="21"/>
  <c r="AQ4" i="21"/>
  <c r="AP4" i="21"/>
  <c r="AO4" i="21"/>
  <c r="AN4" i="21"/>
  <c r="DM4" i="21" s="1"/>
  <c r="AG4" i="21"/>
  <c r="AE4" i="21"/>
  <c r="AB4" i="21"/>
  <c r="Z4" i="21"/>
  <c r="J4" i="21"/>
  <c r="BL4" i="21" s="1"/>
  <c r="EC3" i="21"/>
  <c r="EB3" i="21"/>
  <c r="EA3" i="21"/>
  <c r="DZ3" i="21"/>
  <c r="DY3" i="21"/>
  <c r="DX3" i="21"/>
  <c r="DW3" i="21"/>
  <c r="DV3" i="21"/>
  <c r="DU3" i="21"/>
  <c r="DT3" i="21"/>
  <c r="DR3" i="21"/>
  <c r="DR35" i="21" s="1"/>
  <c r="DQ3" i="21"/>
  <c r="CG3" i="21"/>
  <c r="CF3" i="21"/>
  <c r="CE3" i="21"/>
  <c r="CD3" i="21"/>
  <c r="CC3" i="21"/>
  <c r="CB3" i="21"/>
  <c r="CA3" i="21"/>
  <c r="BZ3" i="21"/>
  <c r="BY3" i="21"/>
  <c r="BX3" i="21"/>
  <c r="BW3" i="21"/>
  <c r="BV3" i="21"/>
  <c r="BU3" i="21"/>
  <c r="BU30" i="21" s="1"/>
  <c r="BT3" i="21"/>
  <c r="BT27" i="21" s="1"/>
  <c r="BS3" i="21"/>
  <c r="BS42" i="21" s="1"/>
  <c r="BR3" i="21"/>
  <c r="BF3" i="21"/>
  <c r="AZ3" i="21"/>
  <c r="AY3" i="21"/>
  <c r="AX3" i="21"/>
  <c r="AW3" i="21"/>
  <c r="AV3" i="21"/>
  <c r="AS3" i="21"/>
  <c r="AR3" i="21"/>
  <c r="AQ3" i="21"/>
  <c r="AP3" i="21"/>
  <c r="AO3" i="21"/>
  <c r="AN3" i="21"/>
  <c r="Y3" i="21"/>
  <c r="X3" i="21"/>
  <c r="W3" i="21"/>
  <c r="V3" i="21"/>
  <c r="U3" i="21"/>
  <c r="T3" i="21"/>
  <c r="S3" i="21"/>
  <c r="R3" i="21"/>
  <c r="Q3" i="21"/>
  <c r="P3" i="21"/>
  <c r="O3" i="21"/>
  <c r="N3" i="21"/>
  <c r="M3" i="21"/>
  <c r="L3" i="21"/>
  <c r="K3" i="21"/>
  <c r="GD139" i="12"/>
  <c r="GC139" i="12"/>
  <c r="GB139" i="12"/>
  <c r="GA139" i="12"/>
  <c r="FZ139" i="12"/>
  <c r="FY139" i="12"/>
  <c r="FX139" i="12"/>
  <c r="FW139" i="12"/>
  <c r="FV139" i="12"/>
  <c r="FT139" i="12" s="1"/>
  <c r="FQ139" i="12" s="1"/>
  <c r="FF139" i="12"/>
  <c r="FE139" i="12"/>
  <c r="FD139" i="12"/>
  <c r="FC139" i="12"/>
  <c r="FB139" i="12"/>
  <c r="FA139" i="12"/>
  <c r="EZ139" i="12"/>
  <c r="EY139" i="12"/>
  <c r="EX139" i="12"/>
  <c r="EW139" i="12"/>
  <c r="EV139" i="12"/>
  <c r="EU139" i="12"/>
  <c r="ET139" i="12"/>
  <c r="EQ139" i="12"/>
  <c r="EP139" i="12"/>
  <c r="DB139" i="12"/>
  <c r="DA139" i="12"/>
  <c r="CZ139" i="12"/>
  <c r="CY139" i="12"/>
  <c r="CX139" i="12"/>
  <c r="CW139" i="12"/>
  <c r="CV139" i="12"/>
  <c r="CU139" i="12"/>
  <c r="CT139" i="12"/>
  <c r="CS139" i="12"/>
  <c r="CR139" i="12"/>
  <c r="CQ139" i="12"/>
  <c r="CP139" i="12"/>
  <c r="CO139" i="12"/>
  <c r="CN139" i="12"/>
  <c r="CM139" i="12"/>
  <c r="CL139" i="12"/>
  <c r="CK139" i="12"/>
  <c r="CJ139" i="12"/>
  <c r="CI139" i="12"/>
  <c r="CH139" i="12"/>
  <c r="CG139" i="12"/>
  <c r="CF139" i="12"/>
  <c r="CE139" i="12"/>
  <c r="CD139" i="12"/>
  <c r="CC139" i="12"/>
  <c r="CB139" i="12"/>
  <c r="BZ139" i="12"/>
  <c r="BY139" i="12"/>
  <c r="BX139" i="12"/>
  <c r="BW139" i="12"/>
  <c r="BV139" i="12"/>
  <c r="BU139" i="12"/>
  <c r="BT139" i="12"/>
  <c r="BS139" i="12"/>
  <c r="BR139" i="12"/>
  <c r="BQ139" i="12"/>
  <c r="BP139" i="12"/>
  <c r="BO139" i="12"/>
  <c r="BN139" i="12"/>
  <c r="BM139" i="12"/>
  <c r="BL139" i="12"/>
  <c r="BK139" i="12"/>
  <c r="BJ139" i="12"/>
  <c r="BI139" i="12"/>
  <c r="BH139" i="12"/>
  <c r="BG139" i="12"/>
  <c r="BF139" i="12"/>
  <c r="BE139" i="12"/>
  <c r="BD139" i="12"/>
  <c r="BC139" i="12"/>
  <c r="BB139" i="12"/>
  <c r="BA139" i="12"/>
  <c r="AZ139" i="12"/>
  <c r="DD139" i="12" s="1"/>
  <c r="AM139" i="12"/>
  <c r="AF139" i="12"/>
  <c r="AE139" i="12"/>
  <c r="S139" i="12"/>
  <c r="N139" i="12"/>
  <c r="M139" i="12" s="1"/>
  <c r="L139" i="12"/>
  <c r="DZ139" i="12" s="1"/>
  <c r="G139" i="12"/>
  <c r="F139" i="12"/>
  <c r="E139" i="12"/>
  <c r="GD138" i="12"/>
  <c r="GC138" i="12"/>
  <c r="GB138" i="12"/>
  <c r="GA138" i="12"/>
  <c r="FZ138" i="12"/>
  <c r="FY138" i="12"/>
  <c r="FX138" i="12"/>
  <c r="FW138" i="12"/>
  <c r="FV138" i="12"/>
  <c r="FT138" i="12" s="1"/>
  <c r="FJ138" i="12" s="1"/>
  <c r="FF138" i="12"/>
  <c r="FE138" i="12"/>
  <c r="FD138" i="12"/>
  <c r="FC138" i="12"/>
  <c r="FB138" i="12"/>
  <c r="FA138" i="12"/>
  <c r="EZ138" i="12"/>
  <c r="EY138" i="12"/>
  <c r="EX138" i="12"/>
  <c r="EW138" i="12"/>
  <c r="EV138" i="12"/>
  <c r="EU138" i="12"/>
  <c r="ET138" i="12"/>
  <c r="EP138" i="12"/>
  <c r="DB138" i="12"/>
  <c r="DA138" i="12"/>
  <c r="CZ138" i="12"/>
  <c r="CY138" i="12"/>
  <c r="CX138" i="12"/>
  <c r="CW138" i="12"/>
  <c r="CV138" i="12"/>
  <c r="CU138" i="12"/>
  <c r="CT138" i="12"/>
  <c r="CS138" i="12"/>
  <c r="CR138" i="12"/>
  <c r="CQ138" i="12"/>
  <c r="CP138" i="12"/>
  <c r="CO138" i="12"/>
  <c r="CN138" i="12"/>
  <c r="CM138" i="12"/>
  <c r="CL138" i="12"/>
  <c r="CK138" i="12"/>
  <c r="CJ138" i="12"/>
  <c r="CI138" i="12"/>
  <c r="CH138" i="12"/>
  <c r="CG138" i="12"/>
  <c r="CF138" i="12"/>
  <c r="CE138" i="12"/>
  <c r="CD138" i="12"/>
  <c r="CC138" i="12"/>
  <c r="CB138" i="12"/>
  <c r="BZ138" i="12"/>
  <c r="BY138" i="12"/>
  <c r="BX138" i="12"/>
  <c r="BW138" i="12"/>
  <c r="BV138" i="12"/>
  <c r="BU138" i="12"/>
  <c r="BT138" i="12"/>
  <c r="BS138" i="12"/>
  <c r="BR138" i="12"/>
  <c r="BQ138" i="12"/>
  <c r="BP138" i="12"/>
  <c r="BO138" i="12"/>
  <c r="BN138" i="12"/>
  <c r="BM138" i="12"/>
  <c r="BL138" i="12"/>
  <c r="BK138" i="12"/>
  <c r="BJ138" i="12"/>
  <c r="BI138" i="12"/>
  <c r="BH138" i="12"/>
  <c r="BG138" i="12"/>
  <c r="BF138" i="12"/>
  <c r="BE138" i="12"/>
  <c r="BD138" i="12"/>
  <c r="BC138" i="12"/>
  <c r="BB138" i="12"/>
  <c r="BA138" i="12"/>
  <c r="AZ138" i="12"/>
  <c r="AM138" i="12"/>
  <c r="AF138" i="12"/>
  <c r="AE138" i="12"/>
  <c r="AG138" i="12" s="1"/>
  <c r="S138" i="12"/>
  <c r="N138" i="12"/>
  <c r="M138" i="12" s="1"/>
  <c r="L138" i="12"/>
  <c r="G138" i="12"/>
  <c r="F138" i="12"/>
  <c r="AS138" i="12" s="1"/>
  <c r="E138" i="12"/>
  <c r="GD137" i="12"/>
  <c r="GC137" i="12"/>
  <c r="GB137" i="12"/>
  <c r="GA137" i="12"/>
  <c r="FZ137" i="12"/>
  <c r="FY137" i="12"/>
  <c r="FX137" i="12"/>
  <c r="FW137" i="12"/>
  <c r="FV137" i="12"/>
  <c r="FT137" i="12" s="1"/>
  <c r="FS137" i="12" s="1"/>
  <c r="FF137" i="12"/>
  <c r="FE137" i="12"/>
  <c r="FD137" i="12"/>
  <c r="FC137" i="12"/>
  <c r="FB137" i="12"/>
  <c r="FA137" i="12"/>
  <c r="EZ137" i="12"/>
  <c r="EY137" i="12"/>
  <c r="EX137" i="12"/>
  <c r="EW137" i="12"/>
  <c r="EV137" i="12"/>
  <c r="EU137" i="12"/>
  <c r="ET137" i="12"/>
  <c r="EP137" i="12"/>
  <c r="DB137" i="12"/>
  <c r="DA137" i="12"/>
  <c r="CZ137" i="12"/>
  <c r="CY137" i="12"/>
  <c r="CX137" i="12"/>
  <c r="CW137" i="12"/>
  <c r="CV137" i="12"/>
  <c r="CU137" i="12"/>
  <c r="CT137" i="12"/>
  <c r="CS137" i="12"/>
  <c r="CR137" i="12"/>
  <c r="CQ137" i="12"/>
  <c r="CP137" i="12"/>
  <c r="CO137" i="12"/>
  <c r="CN137" i="12"/>
  <c r="CM137" i="12"/>
  <c r="CL137" i="12"/>
  <c r="CK137" i="12"/>
  <c r="CJ137" i="12"/>
  <c r="CI137" i="12"/>
  <c r="CH137" i="12"/>
  <c r="CG137" i="12"/>
  <c r="CF137" i="12"/>
  <c r="CE137" i="12"/>
  <c r="CD137" i="12"/>
  <c r="CC137" i="12"/>
  <c r="CB137" i="12"/>
  <c r="BZ137" i="12"/>
  <c r="BY137" i="12"/>
  <c r="BX137" i="12"/>
  <c r="BW137" i="12"/>
  <c r="BV137" i="12"/>
  <c r="BU137" i="12"/>
  <c r="BT137" i="12"/>
  <c r="BS137" i="12"/>
  <c r="BR137" i="12"/>
  <c r="BQ137" i="12"/>
  <c r="BP137" i="12"/>
  <c r="BO137" i="12"/>
  <c r="BN137" i="12"/>
  <c r="BM137" i="12"/>
  <c r="BL137" i="12"/>
  <c r="BK137" i="12"/>
  <c r="BJ137" i="12"/>
  <c r="BI137" i="12"/>
  <c r="BH137" i="12"/>
  <c r="BG137" i="12"/>
  <c r="BF137" i="12"/>
  <c r="BE137" i="12"/>
  <c r="BD137" i="12"/>
  <c r="BC137" i="12"/>
  <c r="BB137" i="12"/>
  <c r="BA137" i="12"/>
  <c r="AZ137" i="12"/>
  <c r="AM137" i="12"/>
  <c r="AF137" i="12"/>
  <c r="AE137" i="12"/>
  <c r="S137" i="12"/>
  <c r="N137" i="12"/>
  <c r="M137" i="12" s="1"/>
  <c r="L137" i="12"/>
  <c r="EF137" i="12" s="1"/>
  <c r="G137" i="12"/>
  <c r="F137" i="12"/>
  <c r="Z137" i="12" s="1"/>
  <c r="E137" i="12"/>
  <c r="GD136" i="12"/>
  <c r="GC136" i="12"/>
  <c r="GB136" i="12"/>
  <c r="GA136" i="12"/>
  <c r="FZ136" i="12"/>
  <c r="FY136" i="12"/>
  <c r="FX136" i="12"/>
  <c r="FW136" i="12"/>
  <c r="FV136" i="12"/>
  <c r="FT136" i="12" s="1"/>
  <c r="FF136" i="12"/>
  <c r="FE136" i="12"/>
  <c r="FD136" i="12"/>
  <c r="FC136" i="12"/>
  <c r="FB136" i="12"/>
  <c r="FA136" i="12"/>
  <c r="EZ136" i="12"/>
  <c r="EY136" i="12"/>
  <c r="EX136" i="12"/>
  <c r="EW136" i="12"/>
  <c r="EV136" i="12"/>
  <c r="EU136" i="12"/>
  <c r="ET136" i="12"/>
  <c r="EP136" i="12"/>
  <c r="DB136" i="12"/>
  <c r="DA136" i="12"/>
  <c r="CZ136" i="12"/>
  <c r="CY136" i="12"/>
  <c r="CX136" i="12"/>
  <c r="CW136" i="12"/>
  <c r="CV136" i="12"/>
  <c r="CU136" i="12"/>
  <c r="CT136" i="12"/>
  <c r="CS136" i="12"/>
  <c r="CR136" i="12"/>
  <c r="CQ136" i="12"/>
  <c r="CP136" i="12"/>
  <c r="CO136" i="12"/>
  <c r="CN136" i="12"/>
  <c r="CM136" i="12"/>
  <c r="CL136" i="12"/>
  <c r="CK136" i="12"/>
  <c r="CJ136" i="12"/>
  <c r="CI136" i="12"/>
  <c r="CH136" i="12"/>
  <c r="CG136" i="12"/>
  <c r="CF136" i="12"/>
  <c r="CE136" i="12"/>
  <c r="CD136" i="12"/>
  <c r="CC136" i="12"/>
  <c r="CB136" i="12"/>
  <c r="BZ136" i="12"/>
  <c r="BY136" i="12"/>
  <c r="BX136" i="12"/>
  <c r="BW136" i="12"/>
  <c r="BV136" i="12"/>
  <c r="BU136" i="12"/>
  <c r="BT136" i="12"/>
  <c r="BS136" i="12"/>
  <c r="BR136" i="12"/>
  <c r="BQ136" i="12"/>
  <c r="BP136" i="12"/>
  <c r="BO136" i="12"/>
  <c r="BN136" i="12"/>
  <c r="BM136" i="12"/>
  <c r="BL136" i="12"/>
  <c r="BK136" i="12"/>
  <c r="BJ136" i="12"/>
  <c r="BI136" i="12"/>
  <c r="BH136" i="12"/>
  <c r="BG136" i="12"/>
  <c r="BF136" i="12"/>
  <c r="BE136" i="12"/>
  <c r="BD136" i="12"/>
  <c r="BC136" i="12"/>
  <c r="BB136" i="12"/>
  <c r="BA136" i="12"/>
  <c r="AZ136" i="12"/>
  <c r="AM136" i="12"/>
  <c r="AF136" i="12"/>
  <c r="AE136" i="12"/>
  <c r="S136" i="12"/>
  <c r="N136" i="12"/>
  <c r="M136" i="12" s="1"/>
  <c r="L136" i="12"/>
  <c r="EC136" i="12" s="1"/>
  <c r="G136" i="12"/>
  <c r="F136" i="12"/>
  <c r="E136" i="12"/>
  <c r="GD135" i="12"/>
  <c r="GC135" i="12"/>
  <c r="GB135" i="12"/>
  <c r="GA135" i="12"/>
  <c r="FZ135" i="12"/>
  <c r="FY135" i="12"/>
  <c r="FX135" i="12"/>
  <c r="FW135" i="12"/>
  <c r="FV135" i="12"/>
  <c r="FT135" i="12" s="1"/>
  <c r="FQ135" i="12" s="1"/>
  <c r="FF135" i="12"/>
  <c r="FE135" i="12"/>
  <c r="FD135" i="12"/>
  <c r="FC135" i="12"/>
  <c r="FB135" i="12"/>
  <c r="FA135" i="12"/>
  <c r="EZ135" i="12"/>
  <c r="EY135" i="12"/>
  <c r="EX135" i="12"/>
  <c r="EW135" i="12"/>
  <c r="EV135" i="12"/>
  <c r="EU135" i="12"/>
  <c r="ET135" i="12"/>
  <c r="EP135" i="12"/>
  <c r="DB135" i="12"/>
  <c r="DA135" i="12"/>
  <c r="CZ135" i="12"/>
  <c r="CY135" i="12"/>
  <c r="CX135" i="12"/>
  <c r="CW135" i="12"/>
  <c r="CV135" i="12"/>
  <c r="CU135" i="12"/>
  <c r="CT135" i="12"/>
  <c r="CS135" i="12"/>
  <c r="CR135" i="12"/>
  <c r="CQ135" i="12"/>
  <c r="CP135" i="12"/>
  <c r="CO135" i="12"/>
  <c r="CN135" i="12"/>
  <c r="CM135" i="12"/>
  <c r="CL135" i="12"/>
  <c r="CK135" i="12"/>
  <c r="CJ135" i="12"/>
  <c r="CI135" i="12"/>
  <c r="CH135" i="12"/>
  <c r="CG135" i="12"/>
  <c r="CF135" i="12"/>
  <c r="CE135" i="12"/>
  <c r="CD135" i="12"/>
  <c r="CC135" i="12"/>
  <c r="CB135" i="12"/>
  <c r="BZ135" i="12"/>
  <c r="BY135" i="12"/>
  <c r="BX135" i="12"/>
  <c r="BW135" i="12"/>
  <c r="BV135" i="12"/>
  <c r="BU135" i="12"/>
  <c r="BT135" i="12"/>
  <c r="BS135" i="12"/>
  <c r="BR135" i="12"/>
  <c r="BQ135" i="12"/>
  <c r="BP135" i="12"/>
  <c r="BO135" i="12"/>
  <c r="BN135" i="12"/>
  <c r="BM135" i="12"/>
  <c r="BL135" i="12"/>
  <c r="BK135" i="12"/>
  <c r="BJ135" i="12"/>
  <c r="BI135" i="12"/>
  <c r="BH135" i="12"/>
  <c r="BG135" i="12"/>
  <c r="BF135" i="12"/>
  <c r="BE135" i="12"/>
  <c r="BD135" i="12"/>
  <c r="BC135" i="12"/>
  <c r="BB135" i="12"/>
  <c r="BA135" i="12"/>
  <c r="AZ135" i="12"/>
  <c r="AM135" i="12"/>
  <c r="AF135" i="12"/>
  <c r="AG135" i="12" s="1"/>
  <c r="AE135" i="12"/>
  <c r="S135" i="12"/>
  <c r="N135" i="12"/>
  <c r="M135" i="12" s="1"/>
  <c r="L135" i="12"/>
  <c r="DR135" i="12" s="1"/>
  <c r="G135" i="12"/>
  <c r="F135" i="12"/>
  <c r="AO135" i="12" s="1"/>
  <c r="E135" i="12"/>
  <c r="GD134" i="12"/>
  <c r="GC134" i="12"/>
  <c r="GB134" i="12"/>
  <c r="GA134" i="12"/>
  <c r="FZ134" i="12"/>
  <c r="FY134" i="12"/>
  <c r="FX134" i="12"/>
  <c r="FW134" i="12"/>
  <c r="FV134" i="12"/>
  <c r="FT134" i="12" s="1"/>
  <c r="FF134" i="12"/>
  <c r="FE134" i="12"/>
  <c r="FD134" i="12"/>
  <c r="FC134" i="12"/>
  <c r="FB134" i="12"/>
  <c r="FA134" i="12"/>
  <c r="EZ134" i="12"/>
  <c r="EY134" i="12"/>
  <c r="EX134" i="12"/>
  <c r="EW134" i="12"/>
  <c r="EV134" i="12"/>
  <c r="EU134" i="12"/>
  <c r="ET134" i="12"/>
  <c r="EP134" i="12"/>
  <c r="DB134" i="12"/>
  <c r="DA134" i="12"/>
  <c r="CZ134" i="12"/>
  <c r="CY134" i="12"/>
  <c r="CX134" i="12"/>
  <c r="CW134" i="12"/>
  <c r="CV134" i="12"/>
  <c r="CU134" i="12"/>
  <c r="CT134" i="12"/>
  <c r="CS134" i="12"/>
  <c r="CR134" i="12"/>
  <c r="CQ134" i="12"/>
  <c r="CP134" i="12"/>
  <c r="CO134" i="12"/>
  <c r="CN134" i="12"/>
  <c r="CM134" i="12"/>
  <c r="CL134" i="12"/>
  <c r="CK134" i="12"/>
  <c r="CJ134" i="12"/>
  <c r="CI134" i="12"/>
  <c r="CH134" i="12"/>
  <c r="CG134" i="12"/>
  <c r="CF134" i="12"/>
  <c r="CE134" i="12"/>
  <c r="CD134" i="12"/>
  <c r="CC134" i="12"/>
  <c r="CB134" i="12"/>
  <c r="BZ134" i="12"/>
  <c r="BY134" i="12"/>
  <c r="BX134" i="12"/>
  <c r="BW134" i="12"/>
  <c r="BV134" i="12"/>
  <c r="BU134" i="12"/>
  <c r="BT134" i="12"/>
  <c r="BS134" i="12"/>
  <c r="BR134" i="12"/>
  <c r="BQ134" i="12"/>
  <c r="BP134" i="12"/>
  <c r="BO134" i="12"/>
  <c r="BN134" i="12"/>
  <c r="BM134" i="12"/>
  <c r="BL134" i="12"/>
  <c r="BK134" i="12"/>
  <c r="BJ134" i="12"/>
  <c r="BI134" i="12"/>
  <c r="BH134" i="12"/>
  <c r="BG134" i="12"/>
  <c r="BF134" i="12"/>
  <c r="BE134" i="12"/>
  <c r="BD134" i="12"/>
  <c r="BC134" i="12"/>
  <c r="BB134" i="12"/>
  <c r="BA134" i="12"/>
  <c r="AZ134" i="12"/>
  <c r="AM134" i="12"/>
  <c r="AF134" i="12"/>
  <c r="AE134" i="12"/>
  <c r="S134" i="12"/>
  <c r="N134" i="12"/>
  <c r="M134" i="12" s="1"/>
  <c r="L134" i="12"/>
  <c r="K134" i="12" s="1"/>
  <c r="G134" i="12"/>
  <c r="F134" i="12"/>
  <c r="Z134" i="12" s="1"/>
  <c r="AA134" i="12" s="1"/>
  <c r="E134" i="12"/>
  <c r="GD133" i="12"/>
  <c r="GC133" i="12"/>
  <c r="GB133" i="12"/>
  <c r="GA133" i="12"/>
  <c r="FZ133" i="12"/>
  <c r="FY133" i="12"/>
  <c r="FX133" i="12"/>
  <c r="FW133" i="12"/>
  <c r="FV133" i="12"/>
  <c r="FT133" i="12" s="1"/>
  <c r="FJ133" i="12" s="1"/>
  <c r="FF133" i="12"/>
  <c r="FE133" i="12"/>
  <c r="FD133" i="12"/>
  <c r="FC133" i="12"/>
  <c r="FB133" i="12"/>
  <c r="FA133" i="12"/>
  <c r="EZ133" i="12"/>
  <c r="EY133" i="12"/>
  <c r="EX133" i="12"/>
  <c r="EW133" i="12"/>
  <c r="EV133" i="12"/>
  <c r="EU133" i="12"/>
  <c r="ET133" i="12"/>
  <c r="EP133" i="12"/>
  <c r="DB133" i="12"/>
  <c r="DA133" i="12"/>
  <c r="CZ133" i="12"/>
  <c r="CY133" i="12"/>
  <c r="CX133" i="12"/>
  <c r="CW133" i="12"/>
  <c r="CV133" i="12"/>
  <c r="CU133" i="12"/>
  <c r="CT133" i="12"/>
  <c r="CS133" i="12"/>
  <c r="CR133" i="12"/>
  <c r="CQ133" i="12"/>
  <c r="CP133" i="12"/>
  <c r="CO133" i="12"/>
  <c r="CN133" i="12"/>
  <c r="CM133" i="12"/>
  <c r="CL133" i="12"/>
  <c r="CK133" i="12"/>
  <c r="CJ133" i="12"/>
  <c r="CI133" i="12"/>
  <c r="CH133" i="12"/>
  <c r="CG133" i="12"/>
  <c r="CF133" i="12"/>
  <c r="CE133" i="12"/>
  <c r="CD133" i="12"/>
  <c r="CC133" i="12"/>
  <c r="CB133" i="12"/>
  <c r="BZ133" i="12"/>
  <c r="BY133" i="12"/>
  <c r="BX133" i="12"/>
  <c r="BW133" i="12"/>
  <c r="BV133" i="12"/>
  <c r="BU133" i="12"/>
  <c r="BT133" i="12"/>
  <c r="BS133" i="12"/>
  <c r="BR133" i="12"/>
  <c r="BQ133" i="12"/>
  <c r="BP133" i="12"/>
  <c r="BO133" i="12"/>
  <c r="BN133" i="12"/>
  <c r="BM133" i="12"/>
  <c r="BL133" i="12"/>
  <c r="BK133" i="12"/>
  <c r="BJ133" i="12"/>
  <c r="BI133" i="12"/>
  <c r="BH133" i="12"/>
  <c r="BG133" i="12"/>
  <c r="BF133" i="12"/>
  <c r="BE133" i="12"/>
  <c r="BD133" i="12"/>
  <c r="BC133" i="12"/>
  <c r="BB133" i="12"/>
  <c r="BA133" i="12"/>
  <c r="AZ133" i="12"/>
  <c r="AM133" i="12"/>
  <c r="AF133" i="12"/>
  <c r="AE133" i="12"/>
  <c r="S133" i="12"/>
  <c r="N133" i="12"/>
  <c r="M133" i="12" s="1"/>
  <c r="L133" i="12"/>
  <c r="EF133" i="12" s="1"/>
  <c r="G133" i="12"/>
  <c r="F133" i="12"/>
  <c r="E133" i="12"/>
  <c r="GD132" i="12"/>
  <c r="GC132" i="12"/>
  <c r="GB132" i="12"/>
  <c r="GA132" i="12"/>
  <c r="FZ132" i="12"/>
  <c r="FY132" i="12"/>
  <c r="FX132" i="12"/>
  <c r="FW132" i="12"/>
  <c r="FV132" i="12"/>
  <c r="FT132" i="12"/>
  <c r="FS132" i="12" s="1"/>
  <c r="FF132" i="12"/>
  <c r="FE132" i="12"/>
  <c r="FD132" i="12"/>
  <c r="FC132" i="12"/>
  <c r="FB132" i="12"/>
  <c r="FA132" i="12"/>
  <c r="EZ132" i="12"/>
  <c r="EY132" i="12"/>
  <c r="EX132" i="12"/>
  <c r="EW132" i="12"/>
  <c r="EV132" i="12"/>
  <c r="EU132" i="12"/>
  <c r="ET132" i="12"/>
  <c r="EP132" i="12"/>
  <c r="DB132" i="12"/>
  <c r="DA132" i="12"/>
  <c r="CZ132" i="12"/>
  <c r="CY132" i="12"/>
  <c r="CX132" i="12"/>
  <c r="CW132" i="12"/>
  <c r="CV132" i="12"/>
  <c r="CU132" i="12"/>
  <c r="CT132" i="12"/>
  <c r="CS132" i="12"/>
  <c r="CR132" i="12"/>
  <c r="CQ132" i="12"/>
  <c r="CP132" i="12"/>
  <c r="CO132" i="12"/>
  <c r="CN132" i="12"/>
  <c r="CM132" i="12"/>
  <c r="CL132" i="12"/>
  <c r="CK132" i="12"/>
  <c r="CJ132" i="12"/>
  <c r="CI132" i="12"/>
  <c r="CH132" i="12"/>
  <c r="CG132" i="12"/>
  <c r="CF132" i="12"/>
  <c r="CE132" i="12"/>
  <c r="CD132" i="12"/>
  <c r="CC132" i="12"/>
  <c r="CB132" i="12"/>
  <c r="BZ132" i="12"/>
  <c r="BY132" i="12"/>
  <c r="BX132" i="12"/>
  <c r="BW132" i="12"/>
  <c r="BV132" i="12"/>
  <c r="BU132" i="12"/>
  <c r="BT132" i="12"/>
  <c r="BS132" i="12"/>
  <c r="BR132" i="12"/>
  <c r="BQ132" i="12"/>
  <c r="BP132" i="12"/>
  <c r="BO132" i="12"/>
  <c r="BN132" i="12"/>
  <c r="BM132" i="12"/>
  <c r="BL132" i="12"/>
  <c r="BK132" i="12"/>
  <c r="BJ132" i="12"/>
  <c r="BI132" i="12"/>
  <c r="BH132" i="12"/>
  <c r="BG132" i="12"/>
  <c r="BF132" i="12"/>
  <c r="BE132" i="12"/>
  <c r="BD132" i="12"/>
  <c r="BC132" i="12"/>
  <c r="BB132" i="12"/>
  <c r="BA132" i="12"/>
  <c r="AZ132" i="12"/>
  <c r="AM132" i="12"/>
  <c r="AF132" i="12"/>
  <c r="AE132" i="12"/>
  <c r="S132" i="12"/>
  <c r="N132" i="12"/>
  <c r="M132" i="12" s="1"/>
  <c r="L132" i="12"/>
  <c r="EC132" i="12" s="1"/>
  <c r="G132" i="12"/>
  <c r="F132" i="12"/>
  <c r="Z132" i="12" s="1"/>
  <c r="AC132" i="12" s="1"/>
  <c r="AD132" i="12" s="1"/>
  <c r="E132" i="12"/>
  <c r="GD131" i="12"/>
  <c r="GC131" i="12"/>
  <c r="GB131" i="12"/>
  <c r="GA131" i="12"/>
  <c r="FZ131" i="12"/>
  <c r="FY131" i="12"/>
  <c r="FX131" i="12"/>
  <c r="FW131" i="12"/>
  <c r="FV131" i="12"/>
  <c r="FT131" i="12" s="1"/>
  <c r="FF131" i="12"/>
  <c r="FE131" i="12"/>
  <c r="FD131" i="12"/>
  <c r="FC131" i="12"/>
  <c r="FB131" i="12"/>
  <c r="FA131" i="12"/>
  <c r="EZ131" i="12"/>
  <c r="EY131" i="12"/>
  <c r="EX131" i="12"/>
  <c r="EW131" i="12"/>
  <c r="EV131" i="12"/>
  <c r="EU131" i="12"/>
  <c r="ET131" i="12"/>
  <c r="EP131" i="12"/>
  <c r="DB131" i="12"/>
  <c r="DA131" i="12"/>
  <c r="CZ131" i="12"/>
  <c r="CY131" i="12"/>
  <c r="CX131" i="12"/>
  <c r="CW131" i="12"/>
  <c r="CV131" i="12"/>
  <c r="CU131" i="12"/>
  <c r="CT131" i="12"/>
  <c r="CS131" i="12"/>
  <c r="CR131" i="12"/>
  <c r="CQ131" i="12"/>
  <c r="CP131" i="12"/>
  <c r="CO131" i="12"/>
  <c r="CN131" i="12"/>
  <c r="CM131" i="12"/>
  <c r="CL131" i="12"/>
  <c r="CK131" i="12"/>
  <c r="CJ131" i="12"/>
  <c r="CI131" i="12"/>
  <c r="CH131" i="12"/>
  <c r="CG131" i="12"/>
  <c r="CF131" i="12"/>
  <c r="CE131" i="12"/>
  <c r="CD131" i="12"/>
  <c r="CC131" i="12"/>
  <c r="CB131" i="12"/>
  <c r="BZ131" i="12"/>
  <c r="BY131" i="12"/>
  <c r="BX131" i="12"/>
  <c r="BW131" i="12"/>
  <c r="BV131" i="12"/>
  <c r="BU131" i="12"/>
  <c r="BT131" i="12"/>
  <c r="BS131" i="12"/>
  <c r="BR131" i="12"/>
  <c r="BQ131" i="12"/>
  <c r="BP131" i="12"/>
  <c r="BO131" i="12"/>
  <c r="BN131" i="12"/>
  <c r="BM131" i="12"/>
  <c r="BL131" i="12"/>
  <c r="BK131" i="12"/>
  <c r="BJ131" i="12"/>
  <c r="BI131" i="12"/>
  <c r="BH131" i="12"/>
  <c r="BG131" i="12"/>
  <c r="BF131" i="12"/>
  <c r="BE131" i="12"/>
  <c r="BD131" i="12"/>
  <c r="BC131" i="12"/>
  <c r="BB131" i="12"/>
  <c r="BA131" i="12"/>
  <c r="AZ131" i="12"/>
  <c r="DD131" i="12" s="1"/>
  <c r="AM131" i="12"/>
  <c r="AF131" i="12"/>
  <c r="AE131" i="12"/>
  <c r="AG131" i="12" s="1"/>
  <c r="S131" i="12"/>
  <c r="N131" i="12"/>
  <c r="M131" i="12" s="1"/>
  <c r="L131" i="12"/>
  <c r="G131" i="12"/>
  <c r="F131" i="12"/>
  <c r="E131" i="12"/>
  <c r="GD130" i="12"/>
  <c r="GC130" i="12"/>
  <c r="GB130" i="12"/>
  <c r="GA130" i="12"/>
  <c r="FZ130" i="12"/>
  <c r="FY130" i="12"/>
  <c r="FX130" i="12"/>
  <c r="FW130" i="12"/>
  <c r="FV130" i="12"/>
  <c r="FT130" i="12" s="1"/>
  <c r="FS130" i="12" s="1"/>
  <c r="FF130" i="12"/>
  <c r="FE130" i="12"/>
  <c r="FD130" i="12"/>
  <c r="FC130" i="12"/>
  <c r="FB130" i="12"/>
  <c r="FA130" i="12"/>
  <c r="EZ130" i="12"/>
  <c r="EY130" i="12"/>
  <c r="EX130" i="12"/>
  <c r="EW130" i="12"/>
  <c r="EV130" i="12"/>
  <c r="EU130" i="12"/>
  <c r="ET130" i="12"/>
  <c r="EQ130" i="12"/>
  <c r="EP130" i="12"/>
  <c r="DB130" i="12"/>
  <c r="DA130" i="12"/>
  <c r="CZ130" i="12"/>
  <c r="CY130" i="12"/>
  <c r="CX130" i="12"/>
  <c r="CW130" i="12"/>
  <c r="CV130" i="12"/>
  <c r="CU130" i="12"/>
  <c r="CT130" i="12"/>
  <c r="CS130" i="12"/>
  <c r="CR130" i="12"/>
  <c r="CQ130" i="12"/>
  <c r="CP130" i="12"/>
  <c r="CO130" i="12"/>
  <c r="CN130" i="12"/>
  <c r="CM130" i="12"/>
  <c r="CL130" i="12"/>
  <c r="CK130" i="12"/>
  <c r="CJ130" i="12"/>
  <c r="CI130" i="12"/>
  <c r="CH130" i="12"/>
  <c r="CG130" i="12"/>
  <c r="CF130" i="12"/>
  <c r="CE130" i="12"/>
  <c r="CD130" i="12"/>
  <c r="CC130" i="12"/>
  <c r="CB130" i="12"/>
  <c r="BZ130" i="12"/>
  <c r="BY130" i="12"/>
  <c r="BX130" i="12"/>
  <c r="BW130" i="12"/>
  <c r="BV130" i="12"/>
  <c r="BU130" i="12"/>
  <c r="BT130" i="12"/>
  <c r="BS130" i="12"/>
  <c r="BR130" i="12"/>
  <c r="BQ130" i="12"/>
  <c r="BP130" i="12"/>
  <c r="BO130" i="12"/>
  <c r="BN130" i="12"/>
  <c r="BM130" i="12"/>
  <c r="BL130" i="12"/>
  <c r="BK130" i="12"/>
  <c r="BJ130" i="12"/>
  <c r="BI130" i="12"/>
  <c r="BH130" i="12"/>
  <c r="BG130" i="12"/>
  <c r="BF130" i="12"/>
  <c r="BE130" i="12"/>
  <c r="BD130" i="12"/>
  <c r="BC130" i="12"/>
  <c r="BB130" i="12"/>
  <c r="BA130" i="12"/>
  <c r="AZ130" i="12"/>
  <c r="AM130" i="12"/>
  <c r="AF130" i="12"/>
  <c r="AE130" i="12"/>
  <c r="AG130" i="12" s="1"/>
  <c r="S130" i="12"/>
  <c r="N130" i="12"/>
  <c r="M130" i="12" s="1"/>
  <c r="L130" i="12"/>
  <c r="K130" i="12" s="1"/>
  <c r="G130" i="12"/>
  <c r="F130" i="12"/>
  <c r="AS130" i="12" s="1"/>
  <c r="E130" i="12"/>
  <c r="GD129" i="12"/>
  <c r="GC129" i="12"/>
  <c r="GB129" i="12"/>
  <c r="GA129" i="12"/>
  <c r="FZ129" i="12"/>
  <c r="FY129" i="12"/>
  <c r="FX129" i="12"/>
  <c r="FW129" i="12"/>
  <c r="FV129" i="12"/>
  <c r="FT129" i="12" s="1"/>
  <c r="FF129" i="12"/>
  <c r="FE129" i="12"/>
  <c r="FD129" i="12"/>
  <c r="FC129" i="12"/>
  <c r="FB129" i="12"/>
  <c r="FA129" i="12"/>
  <c r="EZ129" i="12"/>
  <c r="EY129" i="12"/>
  <c r="EX129" i="12"/>
  <c r="EW129" i="12"/>
  <c r="EV129" i="12"/>
  <c r="EU129" i="12"/>
  <c r="ET129" i="12"/>
  <c r="ES129" i="12"/>
  <c r="EP129" i="12"/>
  <c r="DB129" i="12"/>
  <c r="DA129" i="12"/>
  <c r="CZ129" i="12"/>
  <c r="CY129" i="12"/>
  <c r="CX129" i="12"/>
  <c r="CW129" i="12"/>
  <c r="CV129" i="12"/>
  <c r="CU129" i="12"/>
  <c r="CT129" i="12"/>
  <c r="CS129" i="12"/>
  <c r="CR129" i="12"/>
  <c r="CQ129" i="12"/>
  <c r="CP129" i="12"/>
  <c r="CO129" i="12"/>
  <c r="CN129" i="12"/>
  <c r="CM129" i="12"/>
  <c r="CL129" i="12"/>
  <c r="CK129" i="12"/>
  <c r="CJ129" i="12"/>
  <c r="CI129" i="12"/>
  <c r="CH129" i="12"/>
  <c r="CG129" i="12"/>
  <c r="CF129" i="12"/>
  <c r="CE129" i="12"/>
  <c r="CD129" i="12"/>
  <c r="CC129" i="12"/>
  <c r="CB129" i="12"/>
  <c r="BZ129" i="12"/>
  <c r="BY129" i="12"/>
  <c r="BX129" i="12"/>
  <c r="BW129" i="12"/>
  <c r="BV129" i="12"/>
  <c r="BU129" i="12"/>
  <c r="BT129" i="12"/>
  <c r="BS129" i="12"/>
  <c r="BR129" i="12"/>
  <c r="BQ129" i="12"/>
  <c r="BP129" i="12"/>
  <c r="BO129" i="12"/>
  <c r="BN129" i="12"/>
  <c r="BM129" i="12"/>
  <c r="BL129" i="12"/>
  <c r="BK129" i="12"/>
  <c r="BJ129" i="12"/>
  <c r="BI129" i="12"/>
  <c r="BH129" i="12"/>
  <c r="BG129" i="12"/>
  <c r="BF129" i="12"/>
  <c r="BE129" i="12"/>
  <c r="BD129" i="12"/>
  <c r="BC129" i="12"/>
  <c r="BB129" i="12"/>
  <c r="BA129" i="12"/>
  <c r="AZ129" i="12"/>
  <c r="AM129" i="12"/>
  <c r="AF129" i="12"/>
  <c r="AE129" i="12"/>
  <c r="S129" i="12"/>
  <c r="N129" i="12"/>
  <c r="M129" i="12" s="1"/>
  <c r="L129" i="12"/>
  <c r="DX129" i="12" s="1"/>
  <c r="EL129" i="12" s="1"/>
  <c r="G129" i="12"/>
  <c r="F129" i="12"/>
  <c r="E129" i="12"/>
  <c r="GD128" i="12"/>
  <c r="GC128" i="12"/>
  <c r="GB128" i="12"/>
  <c r="GA128" i="12"/>
  <c r="FZ128" i="12"/>
  <c r="FY128" i="12"/>
  <c r="FX128" i="12"/>
  <c r="FW128" i="12"/>
  <c r="FV128" i="12"/>
  <c r="FT128" i="12"/>
  <c r="FF128" i="12"/>
  <c r="FE128" i="12"/>
  <c r="FD128" i="12"/>
  <c r="FC128" i="12"/>
  <c r="FB128" i="12"/>
  <c r="FA128" i="12"/>
  <c r="EZ128" i="12"/>
  <c r="EY128" i="12"/>
  <c r="EX128" i="12"/>
  <c r="EW128" i="12"/>
  <c r="EV128" i="12"/>
  <c r="EU128" i="12"/>
  <c r="ET128" i="12"/>
  <c r="EP128" i="12"/>
  <c r="DB128" i="12"/>
  <c r="DA128" i="12"/>
  <c r="CZ128" i="12"/>
  <c r="CY128" i="12"/>
  <c r="CX128" i="12"/>
  <c r="CW128" i="12"/>
  <c r="CV128" i="12"/>
  <c r="CU128" i="12"/>
  <c r="CT128" i="12"/>
  <c r="CS128" i="12"/>
  <c r="CR128" i="12"/>
  <c r="CQ128" i="12"/>
  <c r="CP128" i="12"/>
  <c r="CO128" i="12"/>
  <c r="CN128" i="12"/>
  <c r="CM128" i="12"/>
  <c r="CL128" i="12"/>
  <c r="CK128" i="12"/>
  <c r="CJ128" i="12"/>
  <c r="CI128" i="12"/>
  <c r="CH128" i="12"/>
  <c r="CG128" i="12"/>
  <c r="CF128" i="12"/>
  <c r="CE128" i="12"/>
  <c r="CD128" i="12"/>
  <c r="CC128" i="12"/>
  <c r="CB128" i="12"/>
  <c r="BZ128" i="12"/>
  <c r="BY128" i="12"/>
  <c r="BX128" i="12"/>
  <c r="BW128" i="12"/>
  <c r="BV128" i="12"/>
  <c r="BU128" i="12"/>
  <c r="BT128" i="12"/>
  <c r="BS128" i="12"/>
  <c r="BR128" i="12"/>
  <c r="BQ128" i="12"/>
  <c r="BP128" i="12"/>
  <c r="BO128" i="12"/>
  <c r="BN128" i="12"/>
  <c r="BM128" i="12"/>
  <c r="BL128" i="12"/>
  <c r="BK128" i="12"/>
  <c r="BJ128" i="12"/>
  <c r="BI128" i="12"/>
  <c r="BH128" i="12"/>
  <c r="BG128" i="12"/>
  <c r="BF128" i="12"/>
  <c r="BE128" i="12"/>
  <c r="BD128" i="12"/>
  <c r="BC128" i="12"/>
  <c r="BB128" i="12"/>
  <c r="BA128" i="12"/>
  <c r="AZ128" i="12"/>
  <c r="AM128" i="12"/>
  <c r="AF128" i="12"/>
  <c r="AE128" i="12"/>
  <c r="S128" i="12"/>
  <c r="N128" i="12"/>
  <c r="M128" i="12" s="1"/>
  <c r="L128" i="12"/>
  <c r="EC128" i="12" s="1"/>
  <c r="G128" i="12"/>
  <c r="F128" i="12"/>
  <c r="E128" i="12"/>
  <c r="GD127" i="12"/>
  <c r="GC127" i="12"/>
  <c r="GB127" i="12"/>
  <c r="GA127" i="12"/>
  <c r="FZ127" i="12"/>
  <c r="FY127" i="12"/>
  <c r="FX127" i="12"/>
  <c r="FW127" i="12"/>
  <c r="FV127" i="12"/>
  <c r="FT127" i="12" s="1"/>
  <c r="FQ127" i="12" s="1"/>
  <c r="FF127" i="12"/>
  <c r="FE127" i="12"/>
  <c r="FD127" i="12"/>
  <c r="FC127" i="12"/>
  <c r="FB127" i="12"/>
  <c r="FA127" i="12"/>
  <c r="EZ127" i="12"/>
  <c r="EY127" i="12"/>
  <c r="EX127" i="12"/>
  <c r="EW127" i="12"/>
  <c r="EV127" i="12"/>
  <c r="EU127" i="12"/>
  <c r="ET127" i="12"/>
  <c r="EP127" i="12"/>
  <c r="DB127" i="12"/>
  <c r="DA127" i="12"/>
  <c r="CZ127" i="12"/>
  <c r="CY127" i="12"/>
  <c r="CX127" i="12"/>
  <c r="CW127" i="12"/>
  <c r="CV127" i="12"/>
  <c r="CU127" i="12"/>
  <c r="CT127" i="12"/>
  <c r="CS127" i="12"/>
  <c r="CR127" i="12"/>
  <c r="CQ127" i="12"/>
  <c r="CP127" i="12"/>
  <c r="CO127" i="12"/>
  <c r="CN127" i="12"/>
  <c r="CM127" i="12"/>
  <c r="CL127" i="12"/>
  <c r="CK127" i="12"/>
  <c r="CJ127" i="12"/>
  <c r="CI127" i="12"/>
  <c r="CH127" i="12"/>
  <c r="CG127" i="12"/>
  <c r="CF127" i="12"/>
  <c r="CE127" i="12"/>
  <c r="CD127" i="12"/>
  <c r="CC127" i="12"/>
  <c r="CB127" i="12"/>
  <c r="BZ127" i="12"/>
  <c r="BY127" i="12"/>
  <c r="BX127" i="12"/>
  <c r="BW127" i="12"/>
  <c r="BV127" i="12"/>
  <c r="BU127" i="12"/>
  <c r="BT127" i="12"/>
  <c r="BS127" i="12"/>
  <c r="BR127" i="12"/>
  <c r="BQ127" i="12"/>
  <c r="BP127" i="12"/>
  <c r="BO127" i="12"/>
  <c r="BN127" i="12"/>
  <c r="BM127" i="12"/>
  <c r="BL127" i="12"/>
  <c r="BK127" i="12"/>
  <c r="BJ127" i="12"/>
  <c r="BI127" i="12"/>
  <c r="BH127" i="12"/>
  <c r="BG127" i="12"/>
  <c r="BF127" i="12"/>
  <c r="BE127" i="12"/>
  <c r="BD127" i="12"/>
  <c r="BC127" i="12"/>
  <c r="BB127" i="12"/>
  <c r="BA127" i="12"/>
  <c r="AZ127" i="12"/>
  <c r="AM127" i="12"/>
  <c r="AF127" i="12"/>
  <c r="AE127" i="12"/>
  <c r="AG127" i="12" s="1"/>
  <c r="S127" i="12"/>
  <c r="N127" i="12"/>
  <c r="M127" i="12" s="1"/>
  <c r="L127" i="12"/>
  <c r="T127" i="12" s="1"/>
  <c r="U127" i="12" s="1"/>
  <c r="AN127" i="12" s="1"/>
  <c r="G127" i="12"/>
  <c r="F127" i="12"/>
  <c r="AS127" i="12" s="1"/>
  <c r="E127" i="12"/>
  <c r="GD126" i="12"/>
  <c r="GC126" i="12"/>
  <c r="GB126" i="12"/>
  <c r="GA126" i="12"/>
  <c r="FZ126" i="12"/>
  <c r="FY126" i="12"/>
  <c r="FX126" i="12"/>
  <c r="FW126" i="12"/>
  <c r="FV126" i="12"/>
  <c r="FT126" i="12" s="1"/>
  <c r="FN126" i="12" s="1"/>
  <c r="FM126" i="12"/>
  <c r="FF126" i="12"/>
  <c r="FE126" i="12"/>
  <c r="FD126" i="12"/>
  <c r="FC126" i="12"/>
  <c r="FB126" i="12"/>
  <c r="FA126" i="12"/>
  <c r="EZ126" i="12"/>
  <c r="EY126" i="12"/>
  <c r="EX126" i="12"/>
  <c r="EW126" i="12"/>
  <c r="EV126" i="12"/>
  <c r="EU126" i="12"/>
  <c r="ET126" i="12"/>
  <c r="ER126" i="12"/>
  <c r="EP126" i="12"/>
  <c r="DB126" i="12"/>
  <c r="DA126" i="12"/>
  <c r="CZ126" i="12"/>
  <c r="CY126" i="12"/>
  <c r="CX126" i="12"/>
  <c r="CW126" i="12"/>
  <c r="CV126" i="12"/>
  <c r="CU126" i="12"/>
  <c r="CT126" i="12"/>
  <c r="CS126" i="12"/>
  <c r="CR126" i="12"/>
  <c r="CQ126" i="12"/>
  <c r="CP126" i="12"/>
  <c r="CO126" i="12"/>
  <c r="CN126" i="12"/>
  <c r="CM126" i="12"/>
  <c r="CL126" i="12"/>
  <c r="CK126" i="12"/>
  <c r="CJ126" i="12"/>
  <c r="CI126" i="12"/>
  <c r="CH126" i="12"/>
  <c r="CG126" i="12"/>
  <c r="CF126" i="12"/>
  <c r="CE126" i="12"/>
  <c r="CD126" i="12"/>
  <c r="CC126" i="12"/>
  <c r="CB126" i="12"/>
  <c r="BZ126" i="12"/>
  <c r="BY126" i="12"/>
  <c r="BX126" i="12"/>
  <c r="BW126" i="12"/>
  <c r="BV126" i="12"/>
  <c r="BU126" i="12"/>
  <c r="BT126" i="12"/>
  <c r="BS126" i="12"/>
  <c r="BR126" i="12"/>
  <c r="BQ126" i="12"/>
  <c r="BP126" i="12"/>
  <c r="BO126" i="12"/>
  <c r="BN126" i="12"/>
  <c r="BM126" i="12"/>
  <c r="BL126" i="12"/>
  <c r="BK126" i="12"/>
  <c r="BJ126" i="12"/>
  <c r="BI126" i="12"/>
  <c r="BH126" i="12"/>
  <c r="BG126" i="12"/>
  <c r="BF126" i="12"/>
  <c r="BE126" i="12"/>
  <c r="BD126" i="12"/>
  <c r="BC126" i="12"/>
  <c r="BB126" i="12"/>
  <c r="BA126" i="12"/>
  <c r="AZ126" i="12"/>
  <c r="AM126" i="12"/>
  <c r="AG126" i="12"/>
  <c r="AF126" i="12"/>
  <c r="AE126" i="12"/>
  <c r="S126" i="12"/>
  <c r="N126" i="12"/>
  <c r="M126" i="12" s="1"/>
  <c r="L126" i="12"/>
  <c r="EA126" i="12" s="1"/>
  <c r="G126" i="12"/>
  <c r="F126" i="12"/>
  <c r="Z126" i="12" s="1"/>
  <c r="E126" i="12"/>
  <c r="GD125" i="12"/>
  <c r="GC125" i="12"/>
  <c r="GB125" i="12"/>
  <c r="GA125" i="12"/>
  <c r="FZ125" i="12"/>
  <c r="FY125" i="12"/>
  <c r="FX125" i="12"/>
  <c r="FW125" i="12"/>
  <c r="FV125" i="12"/>
  <c r="FT125" i="12"/>
  <c r="FQ125" i="12" s="1"/>
  <c r="FF125" i="12"/>
  <c r="FE125" i="12"/>
  <c r="FD125" i="12"/>
  <c r="FC125" i="12"/>
  <c r="FB125" i="12"/>
  <c r="FA125" i="12"/>
  <c r="EZ125" i="12"/>
  <c r="EY125" i="12"/>
  <c r="EX125" i="12"/>
  <c r="EW125" i="12"/>
  <c r="EV125" i="12"/>
  <c r="EU125" i="12"/>
  <c r="ET125" i="12"/>
  <c r="EP125" i="12"/>
  <c r="DB125" i="12"/>
  <c r="DA125" i="12"/>
  <c r="CZ125" i="12"/>
  <c r="CY125" i="12"/>
  <c r="CX125" i="12"/>
  <c r="CW125" i="12"/>
  <c r="CV125" i="12"/>
  <c r="CU125" i="12"/>
  <c r="CT125" i="12"/>
  <c r="CS125" i="12"/>
  <c r="CR125" i="12"/>
  <c r="CQ125" i="12"/>
  <c r="CP125" i="12"/>
  <c r="CO125" i="12"/>
  <c r="CN125" i="12"/>
  <c r="CM125" i="12"/>
  <c r="CL125" i="12"/>
  <c r="CK125" i="12"/>
  <c r="CJ125" i="12"/>
  <c r="CI125" i="12"/>
  <c r="CH125" i="12"/>
  <c r="CG125" i="12"/>
  <c r="CF125" i="12"/>
  <c r="CE125" i="12"/>
  <c r="CD125" i="12"/>
  <c r="CC125" i="12"/>
  <c r="CB125" i="12"/>
  <c r="BZ125" i="12"/>
  <c r="BY125" i="12"/>
  <c r="BX125" i="12"/>
  <c r="BW125" i="12"/>
  <c r="BV125" i="12"/>
  <c r="BU125" i="12"/>
  <c r="BT125" i="12"/>
  <c r="BS125" i="12"/>
  <c r="BR125" i="12"/>
  <c r="BQ125" i="12"/>
  <c r="BP125" i="12"/>
  <c r="BO125" i="12"/>
  <c r="BN125" i="12"/>
  <c r="BM125" i="12"/>
  <c r="BL125" i="12"/>
  <c r="BK125" i="12"/>
  <c r="BJ125" i="12"/>
  <c r="BI125" i="12"/>
  <c r="BH125" i="12"/>
  <c r="BG125" i="12"/>
  <c r="BF125" i="12"/>
  <c r="BE125" i="12"/>
  <c r="BD125" i="12"/>
  <c r="BC125" i="12"/>
  <c r="BB125" i="12"/>
  <c r="BA125" i="12"/>
  <c r="AZ125" i="12"/>
  <c r="AO125" i="12"/>
  <c r="AU125" i="12" s="1"/>
  <c r="AM125" i="12"/>
  <c r="AF125" i="12"/>
  <c r="AE125" i="12"/>
  <c r="S125" i="12"/>
  <c r="N125" i="12"/>
  <c r="M125" i="12" s="1"/>
  <c r="L125" i="12"/>
  <c r="G125" i="12"/>
  <c r="F125" i="12"/>
  <c r="Z125" i="12" s="1"/>
  <c r="AA125" i="12" s="1"/>
  <c r="E125" i="12"/>
  <c r="GD124" i="12"/>
  <c r="GC124" i="12"/>
  <c r="GB124" i="12"/>
  <c r="GA124" i="12"/>
  <c r="FZ124" i="12"/>
  <c r="FY124" i="12"/>
  <c r="FX124" i="12"/>
  <c r="FW124" i="12"/>
  <c r="FV124" i="12"/>
  <c r="FT124" i="12" s="1"/>
  <c r="FF124" i="12"/>
  <c r="FE124" i="12"/>
  <c r="FD124" i="12"/>
  <c r="FC124" i="12"/>
  <c r="FB124" i="12"/>
  <c r="FA124" i="12"/>
  <c r="EZ124" i="12"/>
  <c r="EY124" i="12"/>
  <c r="EX124" i="12"/>
  <c r="EW124" i="12"/>
  <c r="EV124" i="12"/>
  <c r="EU124" i="12"/>
  <c r="ET124" i="12"/>
  <c r="ER124" i="12"/>
  <c r="EP124" i="12"/>
  <c r="DB124" i="12"/>
  <c r="DA124" i="12"/>
  <c r="CZ124" i="12"/>
  <c r="CY124" i="12"/>
  <c r="CX124" i="12"/>
  <c r="CW124" i="12"/>
  <c r="CV124" i="12"/>
  <c r="CU124" i="12"/>
  <c r="CT124" i="12"/>
  <c r="CS124" i="12"/>
  <c r="CR124" i="12"/>
  <c r="CQ124" i="12"/>
  <c r="CP124" i="12"/>
  <c r="CO124" i="12"/>
  <c r="CN124" i="12"/>
  <c r="CM124" i="12"/>
  <c r="CL124" i="12"/>
  <c r="CK124" i="12"/>
  <c r="CJ124" i="12"/>
  <c r="CI124" i="12"/>
  <c r="CH124" i="12"/>
  <c r="CG124" i="12"/>
  <c r="CF124" i="12"/>
  <c r="CE124" i="12"/>
  <c r="CD124" i="12"/>
  <c r="CC124" i="12"/>
  <c r="CB124" i="12"/>
  <c r="BZ124" i="12"/>
  <c r="BY124" i="12"/>
  <c r="BX124" i="12"/>
  <c r="BW124" i="12"/>
  <c r="BV124" i="12"/>
  <c r="BU124" i="12"/>
  <c r="BT124" i="12"/>
  <c r="BS124" i="12"/>
  <c r="BR124" i="12"/>
  <c r="BQ124" i="12"/>
  <c r="BP124" i="12"/>
  <c r="BO124" i="12"/>
  <c r="BN124" i="12"/>
  <c r="BM124" i="12"/>
  <c r="BL124" i="12"/>
  <c r="BK124" i="12"/>
  <c r="BJ124" i="12"/>
  <c r="BI124" i="12"/>
  <c r="BH124" i="12"/>
  <c r="BG124" i="12"/>
  <c r="BF124" i="12"/>
  <c r="BE124" i="12"/>
  <c r="BD124" i="12"/>
  <c r="BC124" i="12"/>
  <c r="BB124" i="12"/>
  <c r="BA124" i="12"/>
  <c r="AZ124" i="12"/>
  <c r="AM124" i="12"/>
  <c r="AF124" i="12"/>
  <c r="AE124" i="12"/>
  <c r="S124" i="12"/>
  <c r="N124" i="12"/>
  <c r="M124" i="12" s="1"/>
  <c r="L124" i="12"/>
  <c r="DZ124" i="12" s="1"/>
  <c r="G124" i="12"/>
  <c r="F124" i="12"/>
  <c r="E124" i="12"/>
  <c r="GD123" i="12"/>
  <c r="GC123" i="12"/>
  <c r="GB123" i="12"/>
  <c r="GA123" i="12"/>
  <c r="FZ123" i="12"/>
  <c r="FY123" i="12"/>
  <c r="FX123" i="12"/>
  <c r="FW123" i="12"/>
  <c r="FV123" i="12"/>
  <c r="FT123" i="12" s="1"/>
  <c r="FF123" i="12"/>
  <c r="FE123" i="12"/>
  <c r="FD123" i="12"/>
  <c r="FC123" i="12"/>
  <c r="FB123" i="12"/>
  <c r="FA123" i="12"/>
  <c r="EZ123" i="12"/>
  <c r="EY123" i="12"/>
  <c r="EX123" i="12"/>
  <c r="EW123" i="12"/>
  <c r="EV123" i="12"/>
  <c r="EU123" i="12"/>
  <c r="ET123" i="12"/>
  <c r="EP123" i="12"/>
  <c r="DB123" i="12"/>
  <c r="DA123" i="12"/>
  <c r="CZ123" i="12"/>
  <c r="CY123" i="12"/>
  <c r="CX123" i="12"/>
  <c r="CW123" i="12"/>
  <c r="CV123" i="12"/>
  <c r="CU123" i="12"/>
  <c r="CT123" i="12"/>
  <c r="CS123" i="12"/>
  <c r="CR123" i="12"/>
  <c r="CQ123" i="12"/>
  <c r="CP123" i="12"/>
  <c r="CO123" i="12"/>
  <c r="CN123" i="12"/>
  <c r="CM123" i="12"/>
  <c r="CL123" i="12"/>
  <c r="CK123" i="12"/>
  <c r="CJ123" i="12"/>
  <c r="CI123" i="12"/>
  <c r="CH123" i="12"/>
  <c r="CG123" i="12"/>
  <c r="CF123" i="12"/>
  <c r="CE123" i="12"/>
  <c r="CD123" i="12"/>
  <c r="CC123" i="12"/>
  <c r="CB123" i="12"/>
  <c r="BZ123" i="12"/>
  <c r="BY123" i="12"/>
  <c r="BX123" i="12"/>
  <c r="BW123" i="12"/>
  <c r="BV123" i="12"/>
  <c r="BU123" i="12"/>
  <c r="BT123" i="12"/>
  <c r="BS123" i="12"/>
  <c r="BR123" i="12"/>
  <c r="BQ123" i="12"/>
  <c r="BP123" i="12"/>
  <c r="BO123" i="12"/>
  <c r="BN123" i="12"/>
  <c r="BM123" i="12"/>
  <c r="BL123" i="12"/>
  <c r="BK123" i="12"/>
  <c r="BJ123" i="12"/>
  <c r="BI123" i="12"/>
  <c r="BH123" i="12"/>
  <c r="BG123" i="12"/>
  <c r="BF123" i="12"/>
  <c r="BE123" i="12"/>
  <c r="BD123" i="12"/>
  <c r="BC123" i="12"/>
  <c r="BB123" i="12"/>
  <c r="BA123" i="12"/>
  <c r="AZ123" i="12"/>
  <c r="AM123" i="12"/>
  <c r="AF123" i="12"/>
  <c r="AE123" i="12"/>
  <c r="AG123" i="12" s="1"/>
  <c r="S123" i="12"/>
  <c r="N123" i="12"/>
  <c r="M123" i="12" s="1"/>
  <c r="L123" i="12"/>
  <c r="ED123" i="12" s="1"/>
  <c r="G123" i="12"/>
  <c r="F123" i="12"/>
  <c r="Z123" i="12" s="1"/>
  <c r="E123" i="12"/>
  <c r="GD122" i="12"/>
  <c r="GC122" i="12"/>
  <c r="GB122" i="12"/>
  <c r="GA122" i="12"/>
  <c r="FZ122" i="12"/>
  <c r="FY122" i="12"/>
  <c r="FX122" i="12"/>
  <c r="FW122" i="12"/>
  <c r="FV122" i="12"/>
  <c r="FT122" i="12" s="1"/>
  <c r="FF122" i="12"/>
  <c r="FE122" i="12"/>
  <c r="FD122" i="12"/>
  <c r="FC122" i="12"/>
  <c r="FB122" i="12"/>
  <c r="FA122" i="12"/>
  <c r="EZ122" i="12"/>
  <c r="EY122" i="12"/>
  <c r="EX122" i="12"/>
  <c r="EW122" i="12"/>
  <c r="EV122" i="12"/>
  <c r="EU122" i="12"/>
  <c r="ET122" i="12"/>
  <c r="EP122" i="12"/>
  <c r="DB122" i="12"/>
  <c r="DA122" i="12"/>
  <c r="CZ122" i="12"/>
  <c r="CY122" i="12"/>
  <c r="CX122" i="12"/>
  <c r="CW122" i="12"/>
  <c r="CV122" i="12"/>
  <c r="CU122" i="12"/>
  <c r="CT122" i="12"/>
  <c r="CS122" i="12"/>
  <c r="CR122" i="12"/>
  <c r="CQ122" i="12"/>
  <c r="CP122" i="12"/>
  <c r="CO122" i="12"/>
  <c r="CN122" i="12"/>
  <c r="CM122" i="12"/>
  <c r="CL122" i="12"/>
  <c r="CK122" i="12"/>
  <c r="CJ122" i="12"/>
  <c r="CI122" i="12"/>
  <c r="CH122" i="12"/>
  <c r="CG122" i="12"/>
  <c r="CF122" i="12"/>
  <c r="CE122" i="12"/>
  <c r="CD122" i="12"/>
  <c r="CC122" i="12"/>
  <c r="CB122" i="12"/>
  <c r="BZ122" i="12"/>
  <c r="BY122" i="12"/>
  <c r="BX122" i="12"/>
  <c r="BW122" i="12"/>
  <c r="BV122" i="12"/>
  <c r="BU122" i="12"/>
  <c r="BT122" i="12"/>
  <c r="BS122" i="12"/>
  <c r="BR122" i="12"/>
  <c r="BQ122" i="12"/>
  <c r="BP122" i="12"/>
  <c r="BO122" i="12"/>
  <c r="BN122" i="12"/>
  <c r="BM122" i="12"/>
  <c r="BL122" i="12"/>
  <c r="BK122" i="12"/>
  <c r="BJ122" i="12"/>
  <c r="DF122" i="12" s="1"/>
  <c r="BI122" i="12"/>
  <c r="BH122" i="12"/>
  <c r="BG122" i="12"/>
  <c r="BF122" i="12"/>
  <c r="BE122" i="12"/>
  <c r="BD122" i="12"/>
  <c r="BC122" i="12"/>
  <c r="BB122" i="12"/>
  <c r="BA122" i="12"/>
  <c r="AZ122" i="12"/>
  <c r="AM122" i="12"/>
  <c r="AF122" i="12"/>
  <c r="AE122" i="12"/>
  <c r="S122" i="12"/>
  <c r="N122" i="12"/>
  <c r="M122" i="12" s="1"/>
  <c r="L122" i="12"/>
  <c r="DP122" i="12" s="1"/>
  <c r="G122" i="12"/>
  <c r="F122" i="12"/>
  <c r="AO122" i="12" s="1"/>
  <c r="AU122" i="12" s="1"/>
  <c r="E122" i="12"/>
  <c r="GD121" i="12"/>
  <c r="GC121" i="12"/>
  <c r="GB121" i="12"/>
  <c r="GA121" i="12"/>
  <c r="FZ121" i="12"/>
  <c r="FY121" i="12"/>
  <c r="FX121" i="12"/>
  <c r="FW121" i="12"/>
  <c r="FV121" i="12"/>
  <c r="FT121" i="12" s="1"/>
  <c r="FQ121" i="12" s="1"/>
  <c r="FF121" i="12"/>
  <c r="FE121" i="12"/>
  <c r="FD121" i="12"/>
  <c r="FC121" i="12"/>
  <c r="FB121" i="12"/>
  <c r="FA121" i="12"/>
  <c r="EZ121" i="12"/>
  <c r="EY121" i="12"/>
  <c r="EX121" i="12"/>
  <c r="EW121" i="12"/>
  <c r="EV121" i="12"/>
  <c r="EU121" i="12"/>
  <c r="ET121" i="12"/>
  <c r="ER121" i="12"/>
  <c r="EQ121" i="12"/>
  <c r="EP121" i="12"/>
  <c r="DB121" i="12"/>
  <c r="DA121" i="12"/>
  <c r="CZ121" i="12"/>
  <c r="CY121" i="12"/>
  <c r="CX121" i="12"/>
  <c r="CW121" i="12"/>
  <c r="CV121" i="12"/>
  <c r="CU121" i="12"/>
  <c r="CT121" i="12"/>
  <c r="CS121" i="12"/>
  <c r="CR121" i="12"/>
  <c r="CQ121" i="12"/>
  <c r="CP121" i="12"/>
  <c r="CO121" i="12"/>
  <c r="CN121" i="12"/>
  <c r="CM121" i="12"/>
  <c r="CL121" i="12"/>
  <c r="CK121" i="12"/>
  <c r="CJ121" i="12"/>
  <c r="CI121" i="12"/>
  <c r="CH121" i="12"/>
  <c r="CG121" i="12"/>
  <c r="CF121" i="12"/>
  <c r="CE121" i="12"/>
  <c r="CD121" i="12"/>
  <c r="CC121" i="12"/>
  <c r="CB121" i="12"/>
  <c r="BZ121" i="12"/>
  <c r="BY121" i="12"/>
  <c r="BX121" i="12"/>
  <c r="BW121" i="12"/>
  <c r="BV121" i="12"/>
  <c r="BU121" i="12"/>
  <c r="BT121" i="12"/>
  <c r="BS121" i="12"/>
  <c r="BR121" i="12"/>
  <c r="BQ121" i="12"/>
  <c r="BP121" i="12"/>
  <c r="BO121" i="12"/>
  <c r="BN121" i="12"/>
  <c r="BM121" i="12"/>
  <c r="BL121" i="12"/>
  <c r="BK121" i="12"/>
  <c r="BJ121" i="12"/>
  <c r="BI121" i="12"/>
  <c r="BH121" i="12"/>
  <c r="BG121" i="12"/>
  <c r="BF121" i="12"/>
  <c r="BE121" i="12"/>
  <c r="BD121" i="12"/>
  <c r="BC121" i="12"/>
  <c r="BB121" i="12"/>
  <c r="BA121" i="12"/>
  <c r="AZ121" i="12"/>
  <c r="DD121" i="12" s="1"/>
  <c r="AM121" i="12"/>
  <c r="AF121" i="12"/>
  <c r="AE121" i="12"/>
  <c r="S121" i="12"/>
  <c r="N121" i="12"/>
  <c r="M121" i="12" s="1"/>
  <c r="L121" i="12"/>
  <c r="DX121" i="12" s="1"/>
  <c r="EL121" i="12" s="1"/>
  <c r="G121" i="12"/>
  <c r="F121" i="12"/>
  <c r="AS121" i="12" s="1"/>
  <c r="E121" i="12"/>
  <c r="GD120" i="12"/>
  <c r="GC120" i="12"/>
  <c r="GB120" i="12"/>
  <c r="GA120" i="12"/>
  <c r="FZ120" i="12"/>
  <c r="FY120" i="12"/>
  <c r="FX120" i="12"/>
  <c r="FW120" i="12"/>
  <c r="FV120" i="12"/>
  <c r="FT120" i="12"/>
  <c r="FF120" i="12"/>
  <c r="FE120" i="12"/>
  <c r="FD120" i="12"/>
  <c r="FC120" i="12"/>
  <c r="FB120" i="12"/>
  <c r="FA120" i="12"/>
  <c r="EZ120" i="12"/>
  <c r="EY120" i="12"/>
  <c r="EX120" i="12"/>
  <c r="EW120" i="12"/>
  <c r="EV120" i="12"/>
  <c r="EU120" i="12"/>
  <c r="ET120" i="12"/>
  <c r="EP120" i="12"/>
  <c r="DB120" i="12"/>
  <c r="DA120" i="12"/>
  <c r="CZ120" i="12"/>
  <c r="CY120" i="12"/>
  <c r="CX120" i="12"/>
  <c r="CW120" i="12"/>
  <c r="CV120" i="12"/>
  <c r="CU120" i="12"/>
  <c r="CT120" i="12"/>
  <c r="CS120" i="12"/>
  <c r="CR120" i="12"/>
  <c r="CQ120" i="12"/>
  <c r="CP120" i="12"/>
  <c r="CO120" i="12"/>
  <c r="CN120" i="12"/>
  <c r="CM120" i="12"/>
  <c r="CL120" i="12"/>
  <c r="CK120" i="12"/>
  <c r="CJ120" i="12"/>
  <c r="CI120" i="12"/>
  <c r="CH120" i="12"/>
  <c r="CG120" i="12"/>
  <c r="CF120" i="12"/>
  <c r="CE120" i="12"/>
  <c r="CD120" i="12"/>
  <c r="CC120" i="12"/>
  <c r="CB120" i="12"/>
  <c r="BZ120" i="12"/>
  <c r="BY120" i="12"/>
  <c r="BX120" i="12"/>
  <c r="BW120" i="12"/>
  <c r="BV120" i="12"/>
  <c r="BU120" i="12"/>
  <c r="BT120" i="12"/>
  <c r="BS120" i="12"/>
  <c r="BR120" i="12"/>
  <c r="BQ120" i="12"/>
  <c r="BP120" i="12"/>
  <c r="BO120" i="12"/>
  <c r="BN120" i="12"/>
  <c r="BM120" i="12"/>
  <c r="BL120" i="12"/>
  <c r="BK120" i="12"/>
  <c r="BJ120" i="12"/>
  <c r="BI120" i="12"/>
  <c r="BH120" i="12"/>
  <c r="BG120" i="12"/>
  <c r="BF120" i="12"/>
  <c r="BE120" i="12"/>
  <c r="BD120" i="12"/>
  <c r="BC120" i="12"/>
  <c r="BB120" i="12"/>
  <c r="BA120" i="12"/>
  <c r="AZ120" i="12"/>
  <c r="AM120" i="12"/>
  <c r="AF120" i="12"/>
  <c r="AE120" i="12"/>
  <c r="S120" i="12"/>
  <c r="N120" i="12"/>
  <c r="M120" i="12" s="1"/>
  <c r="L120" i="12"/>
  <c r="G120" i="12"/>
  <c r="F120" i="12"/>
  <c r="AO120" i="12" s="1"/>
  <c r="E120" i="12"/>
  <c r="GD119" i="12"/>
  <c r="GC119" i="12"/>
  <c r="GB119" i="12"/>
  <c r="GA119" i="12"/>
  <c r="FZ119" i="12"/>
  <c r="FY119" i="12"/>
  <c r="FX119" i="12"/>
  <c r="FW119" i="12"/>
  <c r="FV119" i="12"/>
  <c r="FT119" i="12" s="1"/>
  <c r="FS119" i="12" s="1"/>
  <c r="FF119" i="12"/>
  <c r="FE119" i="12"/>
  <c r="FD119" i="12"/>
  <c r="FC119" i="12"/>
  <c r="FB119" i="12"/>
  <c r="FA119" i="12"/>
  <c r="EZ119" i="12"/>
  <c r="EY119" i="12"/>
  <c r="EX119" i="12"/>
  <c r="EW119" i="12"/>
  <c r="EV119" i="12"/>
  <c r="EU119" i="12"/>
  <c r="ET119" i="12"/>
  <c r="EP119" i="12"/>
  <c r="DB119" i="12"/>
  <c r="DA119" i="12"/>
  <c r="CZ119" i="12"/>
  <c r="CY119" i="12"/>
  <c r="CX119" i="12"/>
  <c r="CW119" i="12"/>
  <c r="CV119" i="12"/>
  <c r="CU119" i="12"/>
  <c r="CT119" i="12"/>
  <c r="CS119" i="12"/>
  <c r="CR119" i="12"/>
  <c r="CQ119" i="12"/>
  <c r="CP119" i="12"/>
  <c r="CO119" i="12"/>
  <c r="CN119" i="12"/>
  <c r="CM119" i="12"/>
  <c r="CL119" i="12"/>
  <c r="CK119" i="12"/>
  <c r="CJ119" i="12"/>
  <c r="CI119" i="12"/>
  <c r="CH119" i="12"/>
  <c r="CG119" i="12"/>
  <c r="CF119" i="12"/>
  <c r="CE119" i="12"/>
  <c r="CD119" i="12"/>
  <c r="CC119" i="12"/>
  <c r="CB119" i="12"/>
  <c r="BZ119" i="12"/>
  <c r="BY119" i="12"/>
  <c r="BX119" i="12"/>
  <c r="BW119" i="12"/>
  <c r="BV119" i="12"/>
  <c r="BU119" i="12"/>
  <c r="BT119" i="12"/>
  <c r="BS119" i="12"/>
  <c r="BR119" i="12"/>
  <c r="BQ119" i="12"/>
  <c r="BP119" i="12"/>
  <c r="BO119" i="12"/>
  <c r="BN119" i="12"/>
  <c r="BM119" i="12"/>
  <c r="BL119" i="12"/>
  <c r="BK119" i="12"/>
  <c r="BJ119" i="12"/>
  <c r="BI119" i="12"/>
  <c r="BH119" i="12"/>
  <c r="BG119" i="12"/>
  <c r="BF119" i="12"/>
  <c r="BE119" i="12"/>
  <c r="BD119" i="12"/>
  <c r="BC119" i="12"/>
  <c r="BB119" i="12"/>
  <c r="BA119" i="12"/>
  <c r="AZ119" i="12"/>
  <c r="AM119" i="12"/>
  <c r="AF119" i="12"/>
  <c r="AE119" i="12"/>
  <c r="S119" i="12"/>
  <c r="N119" i="12"/>
  <c r="M119" i="12" s="1"/>
  <c r="L119" i="12"/>
  <c r="DU119" i="12" s="1"/>
  <c r="G119" i="12"/>
  <c r="F119" i="12"/>
  <c r="AO119" i="12" s="1"/>
  <c r="AQ119" i="12" s="1"/>
  <c r="E119" i="12"/>
  <c r="GD118" i="12"/>
  <c r="GC118" i="12"/>
  <c r="GB118" i="12"/>
  <c r="GA118" i="12"/>
  <c r="FZ118" i="12"/>
  <c r="FY118" i="12"/>
  <c r="FX118" i="12"/>
  <c r="FW118" i="12"/>
  <c r="FV118" i="12"/>
  <c r="FT118" i="12" s="1"/>
  <c r="FN118" i="12" s="1"/>
  <c r="FF118" i="12"/>
  <c r="FE118" i="12"/>
  <c r="FD118" i="12"/>
  <c r="FC118" i="12"/>
  <c r="FB118" i="12"/>
  <c r="FA118" i="12"/>
  <c r="EZ118" i="12"/>
  <c r="EY118" i="12"/>
  <c r="EX118" i="12"/>
  <c r="EW118" i="12"/>
  <c r="EV118" i="12"/>
  <c r="EU118" i="12"/>
  <c r="ET118" i="12"/>
  <c r="EP118" i="12"/>
  <c r="DB118" i="12"/>
  <c r="DA118" i="12"/>
  <c r="CZ118" i="12"/>
  <c r="CY118" i="12"/>
  <c r="CX118" i="12"/>
  <c r="CW118" i="12"/>
  <c r="CV118" i="12"/>
  <c r="CU118" i="12"/>
  <c r="CT118" i="12"/>
  <c r="CS118" i="12"/>
  <c r="CR118" i="12"/>
  <c r="CQ118" i="12"/>
  <c r="CP118" i="12"/>
  <c r="CO118" i="12"/>
  <c r="CN118" i="12"/>
  <c r="CM118" i="12"/>
  <c r="CL118" i="12"/>
  <c r="CK118" i="12"/>
  <c r="CJ118" i="12"/>
  <c r="CI118" i="12"/>
  <c r="CH118" i="12"/>
  <c r="CG118" i="12"/>
  <c r="CF118" i="12"/>
  <c r="CE118" i="12"/>
  <c r="CD118" i="12"/>
  <c r="CC118" i="12"/>
  <c r="CB118" i="12"/>
  <c r="BZ118" i="12"/>
  <c r="BY118" i="12"/>
  <c r="BX118" i="12"/>
  <c r="BW118" i="12"/>
  <c r="BV118" i="12"/>
  <c r="BU118" i="12"/>
  <c r="BT118" i="12"/>
  <c r="BS118" i="12"/>
  <c r="BR118" i="12"/>
  <c r="BQ118" i="12"/>
  <c r="BP118" i="12"/>
  <c r="BO118" i="12"/>
  <c r="BN118" i="12"/>
  <c r="BM118" i="12"/>
  <c r="BL118" i="12"/>
  <c r="BK118" i="12"/>
  <c r="BJ118" i="12"/>
  <c r="BI118" i="12"/>
  <c r="BH118" i="12"/>
  <c r="BG118" i="12"/>
  <c r="BF118" i="12"/>
  <c r="BE118" i="12"/>
  <c r="BD118" i="12"/>
  <c r="BC118" i="12"/>
  <c r="BB118" i="12"/>
  <c r="BA118" i="12"/>
  <c r="AZ118" i="12"/>
  <c r="AM118" i="12"/>
  <c r="AF118" i="12"/>
  <c r="AE118" i="12"/>
  <c r="AG118" i="12" s="1"/>
  <c r="S118" i="12"/>
  <c r="N118" i="12"/>
  <c r="M118" i="12" s="1"/>
  <c r="L118" i="12"/>
  <c r="DT118" i="12" s="1"/>
  <c r="EI118" i="12" s="1"/>
  <c r="G118" i="12"/>
  <c r="F118" i="12"/>
  <c r="Z118" i="12" s="1"/>
  <c r="E118" i="12"/>
  <c r="GD117" i="12"/>
  <c r="GC117" i="12"/>
  <c r="GB117" i="12"/>
  <c r="GA117" i="12"/>
  <c r="FZ117" i="12"/>
  <c r="FY117" i="12"/>
  <c r="FX117" i="12"/>
  <c r="FW117" i="12"/>
  <c r="FV117" i="12"/>
  <c r="FT117" i="12" s="1"/>
  <c r="FQ117" i="12" s="1"/>
  <c r="FF117" i="12"/>
  <c r="FE117" i="12"/>
  <c r="FD117" i="12"/>
  <c r="FC117" i="12"/>
  <c r="FB117" i="12"/>
  <c r="FA117" i="12"/>
  <c r="EZ117" i="12"/>
  <c r="EY117" i="12"/>
  <c r="EX117" i="12"/>
  <c r="EW117" i="12"/>
  <c r="EV117" i="12"/>
  <c r="EU117" i="12"/>
  <c r="ET117" i="12"/>
  <c r="EQ117" i="12"/>
  <c r="EP117" i="12"/>
  <c r="DB117" i="12"/>
  <c r="DA117" i="12"/>
  <c r="CZ117" i="12"/>
  <c r="CY117" i="12"/>
  <c r="CX117" i="12"/>
  <c r="CW117" i="12"/>
  <c r="CV117" i="12"/>
  <c r="CU117" i="12"/>
  <c r="CT117" i="12"/>
  <c r="CS117" i="12"/>
  <c r="CR117" i="12"/>
  <c r="CQ117" i="12"/>
  <c r="CP117" i="12"/>
  <c r="CO117" i="12"/>
  <c r="CN117" i="12"/>
  <c r="CM117" i="12"/>
  <c r="CL117" i="12"/>
  <c r="CK117" i="12"/>
  <c r="CJ117" i="12"/>
  <c r="CI117" i="12"/>
  <c r="CH117" i="12"/>
  <c r="CG117" i="12"/>
  <c r="CF117" i="12"/>
  <c r="CE117" i="12"/>
  <c r="CD117" i="12"/>
  <c r="CC117" i="12"/>
  <c r="CB117" i="12"/>
  <c r="BZ117" i="12"/>
  <c r="BY117" i="12"/>
  <c r="BX117" i="12"/>
  <c r="BW117" i="12"/>
  <c r="BV117" i="12"/>
  <c r="BU117" i="12"/>
  <c r="BT117" i="12"/>
  <c r="BS117" i="12"/>
  <c r="BR117" i="12"/>
  <c r="BQ117" i="12"/>
  <c r="BP117" i="12"/>
  <c r="BO117" i="12"/>
  <c r="BN117" i="12"/>
  <c r="BM117" i="12"/>
  <c r="BL117" i="12"/>
  <c r="BK117" i="12"/>
  <c r="BJ117" i="12"/>
  <c r="BI117" i="12"/>
  <c r="BH117" i="12"/>
  <c r="BG117" i="12"/>
  <c r="BF117" i="12"/>
  <c r="BE117" i="12"/>
  <c r="BD117" i="12"/>
  <c r="BC117" i="12"/>
  <c r="BB117" i="12"/>
  <c r="BA117" i="12"/>
  <c r="AZ117" i="12"/>
  <c r="AM117" i="12"/>
  <c r="AG117" i="12"/>
  <c r="AF117" i="12"/>
  <c r="AE117" i="12"/>
  <c r="S117" i="12"/>
  <c r="N117" i="12"/>
  <c r="M117" i="12" s="1"/>
  <c r="L117" i="12"/>
  <c r="G117" i="12"/>
  <c r="F117" i="12"/>
  <c r="Z117" i="12" s="1"/>
  <c r="E117" i="12"/>
  <c r="GD116" i="12"/>
  <c r="GC116" i="12"/>
  <c r="GB116" i="12"/>
  <c r="GA116" i="12"/>
  <c r="FZ116" i="12"/>
  <c r="FY116" i="12"/>
  <c r="FX116" i="12"/>
  <c r="FW116" i="12"/>
  <c r="FV116" i="12"/>
  <c r="FT116" i="12" s="1"/>
  <c r="FF116" i="12"/>
  <c r="FE116" i="12"/>
  <c r="FD116" i="12"/>
  <c r="FC116" i="12"/>
  <c r="FB116" i="12"/>
  <c r="FA116" i="12"/>
  <c r="EZ116" i="12"/>
  <c r="EY116" i="12"/>
  <c r="EX116" i="12"/>
  <c r="EW116" i="12"/>
  <c r="EV116" i="12"/>
  <c r="EU116" i="12"/>
  <c r="ET116" i="12"/>
  <c r="ER116" i="12"/>
  <c r="EP116" i="12"/>
  <c r="DB116" i="12"/>
  <c r="DA116" i="12"/>
  <c r="CZ116" i="12"/>
  <c r="CY116" i="12"/>
  <c r="CX116" i="12"/>
  <c r="CW116" i="12"/>
  <c r="CV116" i="12"/>
  <c r="CU116" i="12"/>
  <c r="CT116" i="12"/>
  <c r="CS116" i="12"/>
  <c r="CR116" i="12"/>
  <c r="CQ116" i="12"/>
  <c r="CP116" i="12"/>
  <c r="CO116" i="12"/>
  <c r="CN116" i="12"/>
  <c r="CM116" i="12"/>
  <c r="CL116" i="12"/>
  <c r="CK116" i="12"/>
  <c r="CJ116" i="12"/>
  <c r="CI116" i="12"/>
  <c r="CH116" i="12"/>
  <c r="CG116" i="12"/>
  <c r="CF116" i="12"/>
  <c r="CE116" i="12"/>
  <c r="CD116" i="12"/>
  <c r="CC116" i="12"/>
  <c r="CB116" i="12"/>
  <c r="BZ116" i="12"/>
  <c r="BY116" i="12"/>
  <c r="BX116" i="12"/>
  <c r="BW116" i="12"/>
  <c r="BV116" i="12"/>
  <c r="BU116" i="12"/>
  <c r="BT116" i="12"/>
  <c r="BS116" i="12"/>
  <c r="BR116" i="12"/>
  <c r="BQ116" i="12"/>
  <c r="BP116" i="12"/>
  <c r="BO116" i="12"/>
  <c r="BN116" i="12"/>
  <c r="BM116" i="12"/>
  <c r="BL116" i="12"/>
  <c r="BK116" i="12"/>
  <c r="BJ116" i="12"/>
  <c r="BI116" i="12"/>
  <c r="BH116" i="12"/>
  <c r="BG116" i="12"/>
  <c r="BF116" i="12"/>
  <c r="BE116" i="12"/>
  <c r="BD116" i="12"/>
  <c r="BC116" i="12"/>
  <c r="BB116" i="12"/>
  <c r="BA116" i="12"/>
  <c r="AZ116" i="12"/>
  <c r="AM116" i="12"/>
  <c r="AF116" i="12"/>
  <c r="AE116" i="12"/>
  <c r="AG116" i="12" s="1"/>
  <c r="S116" i="12"/>
  <c r="N116" i="12"/>
  <c r="M116" i="12" s="1"/>
  <c r="L116" i="12"/>
  <c r="DV116" i="12" s="1"/>
  <c r="G116" i="12"/>
  <c r="F116" i="12"/>
  <c r="E116" i="12"/>
  <c r="GD115" i="12"/>
  <c r="GC115" i="12"/>
  <c r="GB115" i="12"/>
  <c r="GA115" i="12"/>
  <c r="FZ115" i="12"/>
  <c r="FY115" i="12"/>
  <c r="FX115" i="12"/>
  <c r="FW115" i="12"/>
  <c r="FV115" i="12"/>
  <c r="FT115" i="12" s="1"/>
  <c r="FO115" i="12" s="1"/>
  <c r="FF115" i="12"/>
  <c r="FE115" i="12"/>
  <c r="FD115" i="12"/>
  <c r="FC115" i="12"/>
  <c r="FB115" i="12"/>
  <c r="FA115" i="12"/>
  <c r="EZ115" i="12"/>
  <c r="EY115" i="12"/>
  <c r="EX115" i="12"/>
  <c r="EW115" i="12"/>
  <c r="EV115" i="12"/>
  <c r="EU115" i="12"/>
  <c r="ET115" i="12"/>
  <c r="EP115" i="12"/>
  <c r="DB115" i="12"/>
  <c r="DA115" i="12"/>
  <c r="CZ115" i="12"/>
  <c r="CY115" i="12"/>
  <c r="CX115" i="12"/>
  <c r="CW115" i="12"/>
  <c r="CV115" i="12"/>
  <c r="CU115" i="12"/>
  <c r="CT115" i="12"/>
  <c r="CS115" i="12"/>
  <c r="CR115" i="12"/>
  <c r="CQ115" i="12"/>
  <c r="CP115" i="12"/>
  <c r="CO115" i="12"/>
  <c r="CN115" i="12"/>
  <c r="CM115" i="12"/>
  <c r="CL115" i="12"/>
  <c r="CK115" i="12"/>
  <c r="CJ115" i="12"/>
  <c r="CI115" i="12"/>
  <c r="CH115" i="12"/>
  <c r="CG115" i="12"/>
  <c r="CF115" i="12"/>
  <c r="CE115" i="12"/>
  <c r="CD115" i="12"/>
  <c r="CC115" i="12"/>
  <c r="CB115" i="12"/>
  <c r="BZ115" i="12"/>
  <c r="BY115" i="12"/>
  <c r="BX115" i="12"/>
  <c r="BW115" i="12"/>
  <c r="BV115" i="12"/>
  <c r="BU115" i="12"/>
  <c r="BT115" i="12"/>
  <c r="BS115" i="12"/>
  <c r="BR115" i="12"/>
  <c r="BQ115" i="12"/>
  <c r="BP115" i="12"/>
  <c r="BO115" i="12"/>
  <c r="BN115" i="12"/>
  <c r="BM115" i="12"/>
  <c r="BL115" i="12"/>
  <c r="BK115" i="12"/>
  <c r="BJ115" i="12"/>
  <c r="BI115" i="12"/>
  <c r="BH115" i="12"/>
  <c r="BG115" i="12"/>
  <c r="BF115" i="12"/>
  <c r="BE115" i="12"/>
  <c r="BD115" i="12"/>
  <c r="BC115" i="12"/>
  <c r="BB115" i="12"/>
  <c r="BA115" i="12"/>
  <c r="AZ115" i="12"/>
  <c r="AM115" i="12"/>
  <c r="AF115" i="12"/>
  <c r="AE115" i="12"/>
  <c r="S115" i="12"/>
  <c r="N115" i="12"/>
  <c r="M115" i="12" s="1"/>
  <c r="L115" i="12"/>
  <c r="DO115" i="12" s="1"/>
  <c r="G115" i="12"/>
  <c r="F115" i="12"/>
  <c r="AO115" i="12" s="1"/>
  <c r="AR115" i="12" s="1"/>
  <c r="E115" i="12"/>
  <c r="GD114" i="12"/>
  <c r="GC114" i="12"/>
  <c r="GB114" i="12"/>
  <c r="GA114" i="12"/>
  <c r="FZ114" i="12"/>
  <c r="FY114" i="12"/>
  <c r="FX114" i="12"/>
  <c r="FW114" i="12"/>
  <c r="FV114" i="12"/>
  <c r="FT114" i="12" s="1"/>
  <c r="FH114" i="12" s="1"/>
  <c r="FF114" i="12"/>
  <c r="FE114" i="12"/>
  <c r="FD114" i="12"/>
  <c r="FC114" i="12"/>
  <c r="FB114" i="12"/>
  <c r="FA114" i="12"/>
  <c r="EZ114" i="12"/>
  <c r="EY114" i="12"/>
  <c r="EX114" i="12"/>
  <c r="EW114" i="12"/>
  <c r="EV114" i="12"/>
  <c r="EU114" i="12"/>
  <c r="ET114" i="12"/>
  <c r="EP114" i="12"/>
  <c r="DB114" i="12"/>
  <c r="DA114" i="12"/>
  <c r="CZ114" i="12"/>
  <c r="CY114" i="12"/>
  <c r="CX114" i="12"/>
  <c r="CW114" i="12"/>
  <c r="CV114" i="12"/>
  <c r="CU114" i="12"/>
  <c r="CT114" i="12"/>
  <c r="CS114" i="12"/>
  <c r="CR114" i="12"/>
  <c r="CQ114" i="12"/>
  <c r="CP114" i="12"/>
  <c r="CO114" i="12"/>
  <c r="CN114" i="12"/>
  <c r="CM114" i="12"/>
  <c r="CL114" i="12"/>
  <c r="CK114" i="12"/>
  <c r="CJ114" i="12"/>
  <c r="CI114" i="12"/>
  <c r="CH114" i="12"/>
  <c r="CG114" i="12"/>
  <c r="CF114" i="12"/>
  <c r="CE114" i="12"/>
  <c r="CD114" i="12"/>
  <c r="CC114" i="12"/>
  <c r="CB114" i="12"/>
  <c r="BZ114" i="12"/>
  <c r="BY114" i="12"/>
  <c r="BX114" i="12"/>
  <c r="BW114" i="12"/>
  <c r="BV114" i="12"/>
  <c r="BU114" i="12"/>
  <c r="BT114" i="12"/>
  <c r="BS114" i="12"/>
  <c r="BR114" i="12"/>
  <c r="BQ114" i="12"/>
  <c r="BP114" i="12"/>
  <c r="BO114" i="12"/>
  <c r="BN114" i="12"/>
  <c r="BM114" i="12"/>
  <c r="BL114" i="12"/>
  <c r="BK114" i="12"/>
  <c r="BJ114" i="12"/>
  <c r="BI114" i="12"/>
  <c r="BH114" i="12"/>
  <c r="BG114" i="12"/>
  <c r="BF114" i="12"/>
  <c r="BE114" i="12"/>
  <c r="BD114" i="12"/>
  <c r="BC114" i="12"/>
  <c r="BB114" i="12"/>
  <c r="BA114" i="12"/>
  <c r="AZ114" i="12"/>
  <c r="AM114" i="12"/>
  <c r="AF114" i="12"/>
  <c r="AE114" i="12"/>
  <c r="AG114" i="12" s="1"/>
  <c r="S114" i="12"/>
  <c r="N114" i="12"/>
  <c r="M114" i="12" s="1"/>
  <c r="L114" i="12"/>
  <c r="ED114" i="12" s="1"/>
  <c r="G114" i="12"/>
  <c r="F114" i="12"/>
  <c r="E114" i="12"/>
  <c r="GD113" i="12"/>
  <c r="GC113" i="12"/>
  <c r="GB113" i="12"/>
  <c r="GA113" i="12"/>
  <c r="FZ113" i="12"/>
  <c r="FY113" i="12"/>
  <c r="FX113" i="12"/>
  <c r="FW113" i="12"/>
  <c r="FV113" i="12"/>
  <c r="FT113" i="12" s="1"/>
  <c r="FH113" i="12" s="1"/>
  <c r="FF113" i="12"/>
  <c r="FE113" i="12"/>
  <c r="FD113" i="12"/>
  <c r="FC113" i="12"/>
  <c r="FB113" i="12"/>
  <c r="FA113" i="12"/>
  <c r="EZ113" i="12"/>
  <c r="EY113" i="12"/>
  <c r="EX113" i="12"/>
  <c r="EW113" i="12"/>
  <c r="EV113" i="12"/>
  <c r="EU113" i="12"/>
  <c r="ET113" i="12"/>
  <c r="EP113" i="12"/>
  <c r="DB113" i="12"/>
  <c r="DA113" i="12"/>
  <c r="CZ113" i="12"/>
  <c r="CY113" i="12"/>
  <c r="CX113" i="12"/>
  <c r="CW113" i="12"/>
  <c r="CV113" i="12"/>
  <c r="CU113" i="12"/>
  <c r="CT113" i="12"/>
  <c r="CS113" i="12"/>
  <c r="CR113" i="12"/>
  <c r="CQ113" i="12"/>
  <c r="CP113" i="12"/>
  <c r="CO113" i="12"/>
  <c r="CN113" i="12"/>
  <c r="CM113" i="12"/>
  <c r="CL113" i="12"/>
  <c r="CK113" i="12"/>
  <c r="CJ113" i="12"/>
  <c r="CI113" i="12"/>
  <c r="CH113" i="12"/>
  <c r="CG113" i="12"/>
  <c r="CF113" i="12"/>
  <c r="CE113" i="12"/>
  <c r="CD113" i="12"/>
  <c r="CC113" i="12"/>
  <c r="CB113" i="12"/>
  <c r="BZ113" i="12"/>
  <c r="BY113" i="12"/>
  <c r="BX113" i="12"/>
  <c r="BW113" i="12"/>
  <c r="BV113" i="12"/>
  <c r="BU113" i="12"/>
  <c r="BT113" i="12"/>
  <c r="BS113" i="12"/>
  <c r="BR113" i="12"/>
  <c r="BQ113" i="12"/>
  <c r="BP113" i="12"/>
  <c r="BO113" i="12"/>
  <c r="BN113" i="12"/>
  <c r="BM113" i="12"/>
  <c r="BL113" i="12"/>
  <c r="BK113" i="12"/>
  <c r="BJ113" i="12"/>
  <c r="BI113" i="12"/>
  <c r="DF113" i="12" s="1"/>
  <c r="BH113" i="12"/>
  <c r="BG113" i="12"/>
  <c r="BF113" i="12"/>
  <c r="BE113" i="12"/>
  <c r="BD113" i="12"/>
  <c r="BC113" i="12"/>
  <c r="BB113" i="12"/>
  <c r="BA113" i="12"/>
  <c r="AZ113" i="12"/>
  <c r="AM113" i="12"/>
  <c r="AF113" i="12"/>
  <c r="AE113" i="12"/>
  <c r="S113" i="12"/>
  <c r="N113" i="12"/>
  <c r="M113" i="12" s="1"/>
  <c r="L113" i="12"/>
  <c r="EC113" i="12" s="1"/>
  <c r="G113" i="12"/>
  <c r="F113" i="12"/>
  <c r="Z113" i="12" s="1"/>
  <c r="E113" i="12"/>
  <c r="GD112" i="12"/>
  <c r="GC112" i="12"/>
  <c r="GB112" i="12"/>
  <c r="GA112" i="12"/>
  <c r="FZ112" i="12"/>
  <c r="FY112" i="12"/>
  <c r="FX112" i="12"/>
  <c r="FW112" i="12"/>
  <c r="FV112" i="12"/>
  <c r="FT112" i="12" s="1"/>
  <c r="FF112" i="12"/>
  <c r="FE112" i="12"/>
  <c r="FD112" i="12"/>
  <c r="FC112" i="12"/>
  <c r="FB112" i="12"/>
  <c r="FA112" i="12"/>
  <c r="EZ112" i="12"/>
  <c r="EY112" i="12"/>
  <c r="EX112" i="12"/>
  <c r="EW112" i="12"/>
  <c r="EV112" i="12"/>
  <c r="EU112" i="12"/>
  <c r="ET112" i="12"/>
  <c r="EP112" i="12"/>
  <c r="DB112" i="12"/>
  <c r="DA112" i="12"/>
  <c r="CZ112" i="12"/>
  <c r="CY112" i="12"/>
  <c r="CX112" i="12"/>
  <c r="CW112" i="12"/>
  <c r="CV112" i="12"/>
  <c r="CU112" i="12"/>
  <c r="CT112" i="12"/>
  <c r="CS112" i="12"/>
  <c r="CR112" i="12"/>
  <c r="CQ112" i="12"/>
  <c r="CP112" i="12"/>
  <c r="CO112" i="12"/>
  <c r="CN112" i="12"/>
  <c r="CM112" i="12"/>
  <c r="CL112" i="12"/>
  <c r="CK112" i="12"/>
  <c r="CJ112" i="12"/>
  <c r="CI112" i="12"/>
  <c r="CH112" i="12"/>
  <c r="CG112" i="12"/>
  <c r="CF112" i="12"/>
  <c r="CE112" i="12"/>
  <c r="CD112" i="12"/>
  <c r="CC112" i="12"/>
  <c r="CB112" i="12"/>
  <c r="BZ112" i="12"/>
  <c r="BY112" i="12"/>
  <c r="BX112" i="12"/>
  <c r="BW112" i="12"/>
  <c r="BV112" i="12"/>
  <c r="BU112" i="12"/>
  <c r="BT112" i="12"/>
  <c r="BS112" i="12"/>
  <c r="BR112" i="12"/>
  <c r="BQ112" i="12"/>
  <c r="BP112" i="12"/>
  <c r="BO112" i="12"/>
  <c r="BN112" i="12"/>
  <c r="BM112" i="12"/>
  <c r="BL112" i="12"/>
  <c r="BK112" i="12"/>
  <c r="BJ112" i="12"/>
  <c r="BI112" i="12"/>
  <c r="BH112" i="12"/>
  <c r="BG112" i="12"/>
  <c r="BF112" i="12"/>
  <c r="BE112" i="12"/>
  <c r="BD112" i="12"/>
  <c r="BC112" i="12"/>
  <c r="BB112" i="12"/>
  <c r="BA112" i="12"/>
  <c r="AZ112" i="12"/>
  <c r="AM112" i="12"/>
  <c r="AF112" i="12"/>
  <c r="AE112" i="12"/>
  <c r="S112" i="12"/>
  <c r="N112" i="12"/>
  <c r="M112" i="12" s="1"/>
  <c r="L112" i="12"/>
  <c r="DQ112" i="12" s="1"/>
  <c r="G112" i="12"/>
  <c r="F112" i="12"/>
  <c r="E112" i="12"/>
  <c r="GD111" i="12"/>
  <c r="GC111" i="12"/>
  <c r="GB111" i="12"/>
  <c r="GA111" i="12"/>
  <c r="FZ111" i="12"/>
  <c r="FY111" i="12"/>
  <c r="FX111" i="12"/>
  <c r="FW111" i="12"/>
  <c r="FV111" i="12"/>
  <c r="FT111" i="12" s="1"/>
  <c r="FR111" i="12" s="1"/>
  <c r="FQ111" i="12"/>
  <c r="FI111" i="12"/>
  <c r="FF111" i="12"/>
  <c r="FE111" i="12"/>
  <c r="FD111" i="12"/>
  <c r="FC111" i="12"/>
  <c r="FB111" i="12"/>
  <c r="FA111" i="12"/>
  <c r="EZ111" i="12"/>
  <c r="EY111" i="12"/>
  <c r="EX111" i="12"/>
  <c r="EW111" i="12"/>
  <c r="EV111" i="12"/>
  <c r="EU111" i="12"/>
  <c r="ET111" i="12"/>
  <c r="ER111" i="12"/>
  <c r="EP111" i="12"/>
  <c r="DB111" i="12"/>
  <c r="DA111" i="12"/>
  <c r="CZ111" i="12"/>
  <c r="CY111" i="12"/>
  <c r="CX111" i="12"/>
  <c r="CW111" i="12"/>
  <c r="CV111" i="12"/>
  <c r="CU111" i="12"/>
  <c r="CT111" i="12"/>
  <c r="CS111" i="12"/>
  <c r="CR111" i="12"/>
  <c r="CQ111" i="12"/>
  <c r="CP111" i="12"/>
  <c r="CO111" i="12"/>
  <c r="CN111" i="12"/>
  <c r="CM111" i="12"/>
  <c r="CL111" i="12"/>
  <c r="CK111" i="12"/>
  <c r="CJ111" i="12"/>
  <c r="CI111" i="12"/>
  <c r="CH111" i="12"/>
  <c r="CG111" i="12"/>
  <c r="CF111" i="12"/>
  <c r="CE111" i="12"/>
  <c r="CD111" i="12"/>
  <c r="CC111" i="12"/>
  <c r="CB111" i="12"/>
  <c r="BZ111" i="12"/>
  <c r="BY111" i="12"/>
  <c r="BX111" i="12"/>
  <c r="BW111" i="12"/>
  <c r="BV111" i="12"/>
  <c r="BU111" i="12"/>
  <c r="BT111" i="12"/>
  <c r="BS111" i="12"/>
  <c r="BR111" i="12"/>
  <c r="BQ111" i="12"/>
  <c r="BP111" i="12"/>
  <c r="BO111" i="12"/>
  <c r="BN111" i="12"/>
  <c r="BM111" i="12"/>
  <c r="BL111" i="12"/>
  <c r="BK111" i="12"/>
  <c r="BJ111" i="12"/>
  <c r="BI111" i="12"/>
  <c r="BH111" i="12"/>
  <c r="BG111" i="12"/>
  <c r="BF111" i="12"/>
  <c r="BE111" i="12"/>
  <c r="BD111" i="12"/>
  <c r="BC111" i="12"/>
  <c r="BB111" i="12"/>
  <c r="BA111" i="12"/>
  <c r="AZ111" i="12"/>
  <c r="AM111" i="12"/>
  <c r="AF111" i="12"/>
  <c r="AE111" i="12"/>
  <c r="AG111" i="12" s="1"/>
  <c r="S111" i="12"/>
  <c r="N111" i="12"/>
  <c r="M111" i="12" s="1"/>
  <c r="L111" i="12"/>
  <c r="EC111" i="12" s="1"/>
  <c r="G111" i="12"/>
  <c r="F111" i="12"/>
  <c r="E111" i="12"/>
  <c r="GD110" i="12"/>
  <c r="GC110" i="12"/>
  <c r="GB110" i="12"/>
  <c r="GA110" i="12"/>
  <c r="FZ110" i="12"/>
  <c r="FY110" i="12"/>
  <c r="FX110" i="12"/>
  <c r="FW110" i="12"/>
  <c r="FV110" i="12"/>
  <c r="FT110" i="12" s="1"/>
  <c r="FN110" i="12" s="1"/>
  <c r="FF110" i="12"/>
  <c r="FE110" i="12"/>
  <c r="FD110" i="12"/>
  <c r="FC110" i="12"/>
  <c r="FB110" i="12"/>
  <c r="FA110" i="12"/>
  <c r="EZ110" i="12"/>
  <c r="EY110" i="12"/>
  <c r="EX110" i="12"/>
  <c r="EW110" i="12"/>
  <c r="EV110" i="12"/>
  <c r="EU110" i="12"/>
  <c r="ET110" i="12"/>
  <c r="EP110" i="12"/>
  <c r="DB110" i="12"/>
  <c r="DA110" i="12"/>
  <c r="CZ110" i="12"/>
  <c r="CY110" i="12"/>
  <c r="CX110" i="12"/>
  <c r="CW110" i="12"/>
  <c r="CV110" i="12"/>
  <c r="CU110" i="12"/>
  <c r="CT110" i="12"/>
  <c r="CS110" i="12"/>
  <c r="CR110" i="12"/>
  <c r="CQ110" i="12"/>
  <c r="CP110" i="12"/>
  <c r="CO110" i="12"/>
  <c r="CN110" i="12"/>
  <c r="CM110" i="12"/>
  <c r="CL110" i="12"/>
  <c r="CK110" i="12"/>
  <c r="CJ110" i="12"/>
  <c r="CI110" i="12"/>
  <c r="CH110" i="12"/>
  <c r="CG110" i="12"/>
  <c r="CF110" i="12"/>
  <c r="CE110" i="12"/>
  <c r="CD110" i="12"/>
  <c r="CC110" i="12"/>
  <c r="CB110" i="12"/>
  <c r="BZ110" i="12"/>
  <c r="BY110" i="12"/>
  <c r="BX110" i="12"/>
  <c r="BW110" i="12"/>
  <c r="BV110" i="12"/>
  <c r="BU110" i="12"/>
  <c r="BT110" i="12"/>
  <c r="BS110" i="12"/>
  <c r="BR110" i="12"/>
  <c r="BQ110" i="12"/>
  <c r="BP110" i="12"/>
  <c r="BO110" i="12"/>
  <c r="BN110" i="12"/>
  <c r="BM110" i="12"/>
  <c r="BL110" i="12"/>
  <c r="BK110" i="12"/>
  <c r="BJ110" i="12"/>
  <c r="BI110" i="12"/>
  <c r="BH110" i="12"/>
  <c r="BG110" i="12"/>
  <c r="BF110" i="12"/>
  <c r="BE110" i="12"/>
  <c r="BD110" i="12"/>
  <c r="BC110" i="12"/>
  <c r="BB110" i="12"/>
  <c r="BA110" i="12"/>
  <c r="AZ110" i="12"/>
  <c r="AM110" i="12"/>
  <c r="AF110" i="12"/>
  <c r="AE110" i="12"/>
  <c r="S110" i="12"/>
  <c r="N110" i="12"/>
  <c r="M110" i="12" s="1"/>
  <c r="L110" i="12"/>
  <c r="G110" i="12"/>
  <c r="F110" i="12"/>
  <c r="E110" i="12"/>
  <c r="GD109" i="12"/>
  <c r="GC109" i="12"/>
  <c r="GB109" i="12"/>
  <c r="GA109" i="12"/>
  <c r="FZ109" i="12"/>
  <c r="FY109" i="12"/>
  <c r="FX109" i="12"/>
  <c r="FW109" i="12"/>
  <c r="FV109" i="12"/>
  <c r="FT109" i="12" s="1"/>
  <c r="FH109" i="12" s="1"/>
  <c r="FF109" i="12"/>
  <c r="FE109" i="12"/>
  <c r="FD109" i="12"/>
  <c r="FC109" i="12"/>
  <c r="FB109" i="12"/>
  <c r="FA109" i="12"/>
  <c r="EZ109" i="12"/>
  <c r="EY109" i="12"/>
  <c r="EX109" i="12"/>
  <c r="EW109" i="12"/>
  <c r="EV109" i="12"/>
  <c r="EU109" i="12"/>
  <c r="ET109" i="12"/>
  <c r="EP109" i="12"/>
  <c r="DB109" i="12"/>
  <c r="DA109" i="12"/>
  <c r="CZ109" i="12"/>
  <c r="CY109" i="12"/>
  <c r="CX109" i="12"/>
  <c r="CW109" i="12"/>
  <c r="CV109" i="12"/>
  <c r="CU109" i="12"/>
  <c r="CT109" i="12"/>
  <c r="CS109" i="12"/>
  <c r="CR109" i="12"/>
  <c r="CQ109" i="12"/>
  <c r="CP109" i="12"/>
  <c r="CO109" i="12"/>
  <c r="CN109" i="12"/>
  <c r="CM109" i="12"/>
  <c r="CL109" i="12"/>
  <c r="CK109" i="12"/>
  <c r="CJ109" i="12"/>
  <c r="CI109" i="12"/>
  <c r="CH109" i="12"/>
  <c r="CG109" i="12"/>
  <c r="CF109" i="12"/>
  <c r="CE109" i="12"/>
  <c r="CD109" i="12"/>
  <c r="CC109" i="12"/>
  <c r="CB109" i="12"/>
  <c r="BZ109" i="12"/>
  <c r="BY109" i="12"/>
  <c r="BX109" i="12"/>
  <c r="BW109" i="12"/>
  <c r="BV109" i="12"/>
  <c r="BU109" i="12"/>
  <c r="BT109" i="12"/>
  <c r="BS109" i="12"/>
  <c r="BR109" i="12"/>
  <c r="BQ109" i="12"/>
  <c r="BP109" i="12"/>
  <c r="BO109" i="12"/>
  <c r="BN109" i="12"/>
  <c r="BM109" i="12"/>
  <c r="BL109" i="12"/>
  <c r="BK109" i="12"/>
  <c r="BJ109" i="12"/>
  <c r="BI109" i="12"/>
  <c r="BH109" i="12"/>
  <c r="BG109" i="12"/>
  <c r="BF109" i="12"/>
  <c r="BE109" i="12"/>
  <c r="BD109" i="12"/>
  <c r="BC109" i="12"/>
  <c r="BB109" i="12"/>
  <c r="BA109" i="12"/>
  <c r="AZ109" i="12"/>
  <c r="AM109" i="12"/>
  <c r="AF109" i="12"/>
  <c r="AE109" i="12"/>
  <c r="S109" i="12"/>
  <c r="N109" i="12"/>
  <c r="M109" i="12" s="1"/>
  <c r="L109" i="12"/>
  <c r="G109" i="12"/>
  <c r="F109" i="12"/>
  <c r="Z109" i="12" s="1"/>
  <c r="AC109" i="12" s="1"/>
  <c r="AD109" i="12" s="1"/>
  <c r="E109" i="12"/>
  <c r="GD108" i="12"/>
  <c r="GC108" i="12"/>
  <c r="GB108" i="12"/>
  <c r="GA108" i="12"/>
  <c r="FZ108" i="12"/>
  <c r="FY108" i="12"/>
  <c r="FX108" i="12"/>
  <c r="FW108" i="12"/>
  <c r="FV108" i="12"/>
  <c r="FT108" i="12" s="1"/>
  <c r="FF108" i="12"/>
  <c r="FE108" i="12"/>
  <c r="FD108" i="12"/>
  <c r="FC108" i="12"/>
  <c r="FB108" i="12"/>
  <c r="FA108" i="12"/>
  <c r="EZ108" i="12"/>
  <c r="EY108" i="12"/>
  <c r="EX108" i="12"/>
  <c r="EW108" i="12"/>
  <c r="EV108" i="12"/>
  <c r="EU108" i="12"/>
  <c r="ET108" i="12"/>
  <c r="ER108" i="12"/>
  <c r="EQ108" i="12"/>
  <c r="EP108" i="12"/>
  <c r="DB108" i="12"/>
  <c r="DA108" i="12"/>
  <c r="CZ108" i="12"/>
  <c r="CY108" i="12"/>
  <c r="CX108" i="12"/>
  <c r="CW108" i="12"/>
  <c r="CV108" i="12"/>
  <c r="CU108" i="12"/>
  <c r="CT108" i="12"/>
  <c r="CS108" i="12"/>
  <c r="CR108" i="12"/>
  <c r="CQ108" i="12"/>
  <c r="CP108" i="12"/>
  <c r="CO108" i="12"/>
  <c r="CN108" i="12"/>
  <c r="CM108" i="12"/>
  <c r="CL108" i="12"/>
  <c r="CK108" i="12"/>
  <c r="CJ108" i="12"/>
  <c r="CI108" i="12"/>
  <c r="CH108" i="12"/>
  <c r="CG108" i="12"/>
  <c r="CF108" i="12"/>
  <c r="CE108" i="12"/>
  <c r="CD108" i="12"/>
  <c r="CC108" i="12"/>
  <c r="CB108" i="12"/>
  <c r="BZ108" i="12"/>
  <c r="BY108" i="12"/>
  <c r="BX108" i="12"/>
  <c r="BW108" i="12"/>
  <c r="BV108" i="12"/>
  <c r="BU108" i="12"/>
  <c r="BT108" i="12"/>
  <c r="BS108" i="12"/>
  <c r="BR108" i="12"/>
  <c r="BQ108" i="12"/>
  <c r="BP108" i="12"/>
  <c r="BO108" i="12"/>
  <c r="BN108" i="12"/>
  <c r="BM108" i="12"/>
  <c r="BL108" i="12"/>
  <c r="BK108" i="12"/>
  <c r="BJ108" i="12"/>
  <c r="BI108" i="12"/>
  <c r="DF108" i="12" s="1"/>
  <c r="BH108" i="12"/>
  <c r="BG108" i="12"/>
  <c r="BF108" i="12"/>
  <c r="BE108" i="12"/>
  <c r="BD108" i="12"/>
  <c r="BC108" i="12"/>
  <c r="BB108" i="12"/>
  <c r="BA108" i="12"/>
  <c r="AZ108" i="12"/>
  <c r="AM108" i="12"/>
  <c r="AF108" i="12"/>
  <c r="AE108" i="12"/>
  <c r="S108" i="12"/>
  <c r="N108" i="12"/>
  <c r="M108" i="12" s="1"/>
  <c r="L108" i="12"/>
  <c r="DQ108" i="12" s="1"/>
  <c r="G108" i="12"/>
  <c r="F108" i="12"/>
  <c r="AS108" i="12" s="1"/>
  <c r="E108" i="12"/>
  <c r="GD107" i="12"/>
  <c r="GC107" i="12"/>
  <c r="GB107" i="12"/>
  <c r="GA107" i="12"/>
  <c r="FZ107" i="12"/>
  <c r="FY107" i="12"/>
  <c r="FX107" i="12"/>
  <c r="FW107" i="12"/>
  <c r="FV107" i="12"/>
  <c r="FT107" i="12" s="1"/>
  <c r="FN107" i="12" s="1"/>
  <c r="FF107" i="12"/>
  <c r="FE107" i="12"/>
  <c r="FD107" i="12"/>
  <c r="FC107" i="12"/>
  <c r="FB107" i="12"/>
  <c r="FA107" i="12"/>
  <c r="EZ107" i="12"/>
  <c r="EY107" i="12"/>
  <c r="EX107" i="12"/>
  <c r="EW107" i="12"/>
  <c r="EV107" i="12"/>
  <c r="EU107" i="12"/>
  <c r="ET107" i="12"/>
  <c r="EP107" i="12"/>
  <c r="DB107" i="12"/>
  <c r="DA107" i="12"/>
  <c r="CZ107" i="12"/>
  <c r="CY107" i="12"/>
  <c r="CX107" i="12"/>
  <c r="CW107" i="12"/>
  <c r="CV107" i="12"/>
  <c r="CU107" i="12"/>
  <c r="CT107" i="12"/>
  <c r="CS107" i="12"/>
  <c r="CR107" i="12"/>
  <c r="CQ107" i="12"/>
  <c r="CP107" i="12"/>
  <c r="CO107" i="12"/>
  <c r="CN107" i="12"/>
  <c r="CM107" i="12"/>
  <c r="CL107" i="12"/>
  <c r="CK107" i="12"/>
  <c r="CJ107" i="12"/>
  <c r="CI107" i="12"/>
  <c r="CH107" i="12"/>
  <c r="CG107" i="12"/>
  <c r="CF107" i="12"/>
  <c r="CE107" i="12"/>
  <c r="CD107" i="12"/>
  <c r="CC107" i="12"/>
  <c r="CB107" i="12"/>
  <c r="BZ107" i="12"/>
  <c r="BY107" i="12"/>
  <c r="BX107" i="12"/>
  <c r="BW107" i="12"/>
  <c r="BV107" i="12"/>
  <c r="BU107" i="12"/>
  <c r="BT107" i="12"/>
  <c r="BS107" i="12"/>
  <c r="BR107" i="12"/>
  <c r="BQ107" i="12"/>
  <c r="BP107" i="12"/>
  <c r="BO107" i="12"/>
  <c r="BN107" i="12"/>
  <c r="BM107" i="12"/>
  <c r="BL107" i="12"/>
  <c r="BK107" i="12"/>
  <c r="BJ107" i="12"/>
  <c r="BI107" i="12"/>
  <c r="BH107" i="12"/>
  <c r="BG107" i="12"/>
  <c r="BF107" i="12"/>
  <c r="BE107" i="12"/>
  <c r="BD107" i="12"/>
  <c r="BC107" i="12"/>
  <c r="BB107" i="12"/>
  <c r="BA107" i="12"/>
  <c r="AZ107" i="12"/>
  <c r="AM107" i="12"/>
  <c r="AF107" i="12"/>
  <c r="AE107" i="12"/>
  <c r="S107" i="12"/>
  <c r="N107" i="12"/>
  <c r="M107" i="12" s="1"/>
  <c r="L107" i="12"/>
  <c r="G107" i="12"/>
  <c r="F107" i="12"/>
  <c r="E107" i="12"/>
  <c r="GD106" i="12"/>
  <c r="GC106" i="12"/>
  <c r="GB106" i="12"/>
  <c r="GA106" i="12"/>
  <c r="FZ106" i="12"/>
  <c r="FY106" i="12"/>
  <c r="FX106" i="12"/>
  <c r="FW106" i="12"/>
  <c r="FV106" i="12"/>
  <c r="FT106" i="12" s="1"/>
  <c r="FF106" i="12"/>
  <c r="FE106" i="12"/>
  <c r="FD106" i="12"/>
  <c r="FC106" i="12"/>
  <c r="FB106" i="12"/>
  <c r="FA106" i="12"/>
  <c r="EZ106" i="12"/>
  <c r="EY106" i="12"/>
  <c r="EX106" i="12"/>
  <c r="EW106" i="12"/>
  <c r="EV106" i="12"/>
  <c r="EU106" i="12"/>
  <c r="ET106" i="12"/>
  <c r="EQ106" i="12"/>
  <c r="EP106" i="12"/>
  <c r="DB106" i="12"/>
  <c r="DA106" i="12"/>
  <c r="CZ106" i="12"/>
  <c r="CY106" i="12"/>
  <c r="CX106" i="12"/>
  <c r="CW106" i="12"/>
  <c r="CV106" i="12"/>
  <c r="CU106" i="12"/>
  <c r="CT106" i="12"/>
  <c r="CS106" i="12"/>
  <c r="CR106" i="12"/>
  <c r="CQ106" i="12"/>
  <c r="CP106" i="12"/>
  <c r="CO106" i="12"/>
  <c r="CN106" i="12"/>
  <c r="CM106" i="12"/>
  <c r="CL106" i="12"/>
  <c r="CK106" i="12"/>
  <c r="CJ106" i="12"/>
  <c r="CI106" i="12"/>
  <c r="CH106" i="12"/>
  <c r="CG106" i="12"/>
  <c r="CF106" i="12"/>
  <c r="CE106" i="12"/>
  <c r="CD106" i="12"/>
  <c r="CC106" i="12"/>
  <c r="CB106" i="12"/>
  <c r="BZ106" i="12"/>
  <c r="BY106" i="12"/>
  <c r="BX106" i="12"/>
  <c r="BW106" i="12"/>
  <c r="BV106" i="12"/>
  <c r="BU106" i="12"/>
  <c r="BT106" i="12"/>
  <c r="BS106" i="12"/>
  <c r="BR106" i="12"/>
  <c r="BQ106" i="12"/>
  <c r="BP106" i="12"/>
  <c r="BO106" i="12"/>
  <c r="BN106" i="12"/>
  <c r="BM106" i="12"/>
  <c r="BL106" i="12"/>
  <c r="BK106" i="12"/>
  <c r="BJ106" i="12"/>
  <c r="BI106" i="12"/>
  <c r="BH106" i="12"/>
  <c r="BG106" i="12"/>
  <c r="BF106" i="12"/>
  <c r="BE106" i="12"/>
  <c r="BD106" i="12"/>
  <c r="BC106" i="12"/>
  <c r="BB106" i="12"/>
  <c r="BA106" i="12"/>
  <c r="AZ106" i="12"/>
  <c r="AM106" i="12"/>
  <c r="AF106" i="12"/>
  <c r="AE106" i="12"/>
  <c r="S106" i="12"/>
  <c r="N106" i="12"/>
  <c r="M106" i="12" s="1"/>
  <c r="L106" i="12"/>
  <c r="EB106" i="12" s="1"/>
  <c r="G106" i="12"/>
  <c r="F106" i="12"/>
  <c r="E106" i="12"/>
  <c r="GD105" i="12"/>
  <c r="GC105" i="12"/>
  <c r="GB105" i="12"/>
  <c r="GA105" i="12"/>
  <c r="FZ105" i="12"/>
  <c r="FY105" i="12"/>
  <c r="FX105" i="12"/>
  <c r="FW105" i="12"/>
  <c r="FV105" i="12"/>
  <c r="FT105" i="12" s="1"/>
  <c r="FL105" i="12" s="1"/>
  <c r="FF105" i="12"/>
  <c r="FE105" i="12"/>
  <c r="FD105" i="12"/>
  <c r="FC105" i="12"/>
  <c r="FB105" i="12"/>
  <c r="FA105" i="12"/>
  <c r="EZ105" i="12"/>
  <c r="EY105" i="12"/>
  <c r="EX105" i="12"/>
  <c r="EW105" i="12"/>
  <c r="EV105" i="12"/>
  <c r="EU105" i="12"/>
  <c r="ET105" i="12"/>
  <c r="EP105" i="12"/>
  <c r="DB105" i="12"/>
  <c r="DA105" i="12"/>
  <c r="CZ105" i="12"/>
  <c r="CY105" i="12"/>
  <c r="CX105" i="12"/>
  <c r="CW105" i="12"/>
  <c r="CV105" i="12"/>
  <c r="CU105" i="12"/>
  <c r="CT105" i="12"/>
  <c r="CS105" i="12"/>
  <c r="CR105" i="12"/>
  <c r="CQ105" i="12"/>
  <c r="CP105" i="12"/>
  <c r="CO105" i="12"/>
  <c r="CN105" i="12"/>
  <c r="CM105" i="12"/>
  <c r="CL105" i="12"/>
  <c r="CK105" i="12"/>
  <c r="CJ105" i="12"/>
  <c r="CI105" i="12"/>
  <c r="CH105" i="12"/>
  <c r="CG105" i="12"/>
  <c r="CF105" i="12"/>
  <c r="CE105" i="12"/>
  <c r="CD105" i="12"/>
  <c r="CC105" i="12"/>
  <c r="CB105" i="12"/>
  <c r="BZ105" i="12"/>
  <c r="BY105" i="12"/>
  <c r="BX105" i="12"/>
  <c r="BW105" i="12"/>
  <c r="BV105" i="12"/>
  <c r="BU105" i="12"/>
  <c r="BT105" i="12"/>
  <c r="BS105" i="12"/>
  <c r="BR105" i="12"/>
  <c r="BQ105" i="12"/>
  <c r="BP105" i="12"/>
  <c r="BO105" i="12"/>
  <c r="BN105" i="12"/>
  <c r="BM105" i="12"/>
  <c r="BL105" i="12"/>
  <c r="BK105" i="12"/>
  <c r="BJ105" i="12"/>
  <c r="BI105" i="12"/>
  <c r="BH105" i="12"/>
  <c r="BG105" i="12"/>
  <c r="BF105" i="12"/>
  <c r="BE105" i="12"/>
  <c r="BD105" i="12"/>
  <c r="BC105" i="12"/>
  <c r="BB105" i="12"/>
  <c r="BA105" i="12"/>
  <c r="AZ105" i="12"/>
  <c r="AM105" i="12"/>
  <c r="AF105" i="12"/>
  <c r="AE105" i="12"/>
  <c r="S105" i="12"/>
  <c r="N105" i="12"/>
  <c r="M105" i="12" s="1"/>
  <c r="L105" i="12"/>
  <c r="DR105" i="12" s="1"/>
  <c r="G105" i="12"/>
  <c r="F105" i="12"/>
  <c r="Z105" i="12" s="1"/>
  <c r="E105" i="12"/>
  <c r="GD104" i="12"/>
  <c r="GC104" i="12"/>
  <c r="GB104" i="12"/>
  <c r="GA104" i="12"/>
  <c r="FZ104" i="12"/>
  <c r="FY104" i="12"/>
  <c r="FX104" i="12"/>
  <c r="FW104" i="12"/>
  <c r="FV104" i="12"/>
  <c r="FT104" i="12" s="1"/>
  <c r="FS104" i="12" s="1"/>
  <c r="FF104" i="12"/>
  <c r="FE104" i="12"/>
  <c r="FD104" i="12"/>
  <c r="FC104" i="12"/>
  <c r="FB104" i="12"/>
  <c r="FA104" i="12"/>
  <c r="EZ104" i="12"/>
  <c r="EY104" i="12"/>
  <c r="EX104" i="12"/>
  <c r="EW104" i="12"/>
  <c r="EV104" i="12"/>
  <c r="EU104" i="12"/>
  <c r="ET104" i="12"/>
  <c r="EP104" i="12"/>
  <c r="DB104" i="12"/>
  <c r="DA104" i="12"/>
  <c r="CZ104" i="12"/>
  <c r="CY104" i="12"/>
  <c r="CX104" i="12"/>
  <c r="CW104" i="12"/>
  <c r="CV104" i="12"/>
  <c r="CU104" i="12"/>
  <c r="CT104" i="12"/>
  <c r="CS104" i="12"/>
  <c r="CR104" i="12"/>
  <c r="CQ104" i="12"/>
  <c r="CP104" i="12"/>
  <c r="CO104" i="12"/>
  <c r="CN104" i="12"/>
  <c r="CM104" i="12"/>
  <c r="CL104" i="12"/>
  <c r="CK104" i="12"/>
  <c r="CJ104" i="12"/>
  <c r="CI104" i="12"/>
  <c r="CH104" i="12"/>
  <c r="CG104" i="12"/>
  <c r="CF104" i="12"/>
  <c r="CE104" i="12"/>
  <c r="CD104" i="12"/>
  <c r="CC104" i="12"/>
  <c r="CB104" i="12"/>
  <c r="BZ104" i="12"/>
  <c r="BY104" i="12"/>
  <c r="BX104" i="12"/>
  <c r="BW104" i="12"/>
  <c r="BV104" i="12"/>
  <c r="BU104" i="12"/>
  <c r="BT104" i="12"/>
  <c r="BS104" i="12"/>
  <c r="BR104" i="12"/>
  <c r="BQ104" i="12"/>
  <c r="BP104" i="12"/>
  <c r="BO104" i="12"/>
  <c r="BN104" i="12"/>
  <c r="BM104" i="12"/>
  <c r="BL104" i="12"/>
  <c r="BK104" i="12"/>
  <c r="BJ104" i="12"/>
  <c r="BI104" i="12"/>
  <c r="BH104" i="12"/>
  <c r="BG104" i="12"/>
  <c r="BF104" i="12"/>
  <c r="BE104" i="12"/>
  <c r="BD104" i="12"/>
  <c r="BC104" i="12"/>
  <c r="BB104" i="12"/>
  <c r="BA104" i="12"/>
  <c r="AZ104" i="12"/>
  <c r="AS104" i="12"/>
  <c r="AO104" i="12"/>
  <c r="AM104" i="12"/>
  <c r="AF104" i="12"/>
  <c r="AE104" i="12"/>
  <c r="S104" i="12"/>
  <c r="N104" i="12"/>
  <c r="M104" i="12" s="1"/>
  <c r="L104" i="12"/>
  <c r="EB104" i="12" s="1"/>
  <c r="G104" i="12"/>
  <c r="F104" i="12"/>
  <c r="Z104" i="12" s="1"/>
  <c r="AA104" i="12" s="1"/>
  <c r="E104" i="12"/>
  <c r="GD103" i="12"/>
  <c r="GC103" i="12"/>
  <c r="GB103" i="12"/>
  <c r="GA103" i="12"/>
  <c r="FZ103" i="12"/>
  <c r="FY103" i="12"/>
  <c r="FX103" i="12"/>
  <c r="FW103" i="12"/>
  <c r="FV103" i="12"/>
  <c r="FT103" i="12" s="1"/>
  <c r="FF103" i="12"/>
  <c r="FE103" i="12"/>
  <c r="FD103" i="12"/>
  <c r="FC103" i="12"/>
  <c r="FB103" i="12"/>
  <c r="FA103" i="12"/>
  <c r="EZ103" i="12"/>
  <c r="EY103" i="12"/>
  <c r="EX103" i="12"/>
  <c r="EW103" i="12"/>
  <c r="EV103" i="12"/>
  <c r="EU103" i="12"/>
  <c r="ET103" i="12"/>
  <c r="EP103" i="12"/>
  <c r="DB103" i="12"/>
  <c r="DA103" i="12"/>
  <c r="CZ103" i="12"/>
  <c r="CY103" i="12"/>
  <c r="CX103" i="12"/>
  <c r="CW103" i="12"/>
  <c r="CV103" i="12"/>
  <c r="CU103" i="12"/>
  <c r="CT103" i="12"/>
  <c r="CS103" i="12"/>
  <c r="CR103" i="12"/>
  <c r="CQ103" i="12"/>
  <c r="CP103" i="12"/>
  <c r="CO103" i="12"/>
  <c r="CN103" i="12"/>
  <c r="CM103" i="12"/>
  <c r="CL103" i="12"/>
  <c r="CK103" i="12"/>
  <c r="CJ103" i="12"/>
  <c r="CI103" i="12"/>
  <c r="CH103" i="12"/>
  <c r="CG103" i="12"/>
  <c r="CF103" i="12"/>
  <c r="CE103" i="12"/>
  <c r="CD103" i="12"/>
  <c r="CC103" i="12"/>
  <c r="CB103" i="12"/>
  <c r="BZ103" i="12"/>
  <c r="BY103" i="12"/>
  <c r="BX103" i="12"/>
  <c r="BW103" i="12"/>
  <c r="BV103" i="12"/>
  <c r="BU103" i="12"/>
  <c r="BT103" i="12"/>
  <c r="BS103" i="12"/>
  <c r="BR103" i="12"/>
  <c r="BQ103" i="12"/>
  <c r="BP103" i="12"/>
  <c r="BO103" i="12"/>
  <c r="BN103" i="12"/>
  <c r="BM103" i="12"/>
  <c r="BL103" i="12"/>
  <c r="BK103" i="12"/>
  <c r="BJ103" i="12"/>
  <c r="BI103" i="12"/>
  <c r="BH103" i="12"/>
  <c r="BG103" i="12"/>
  <c r="BF103" i="12"/>
  <c r="BE103" i="12"/>
  <c r="BD103" i="12"/>
  <c r="BC103" i="12"/>
  <c r="BB103" i="12"/>
  <c r="BA103" i="12"/>
  <c r="AZ103" i="12"/>
  <c r="AM103" i="12"/>
  <c r="AF103" i="12"/>
  <c r="AG103" i="12" s="1"/>
  <c r="AE103" i="12"/>
  <c r="S103" i="12"/>
  <c r="N103" i="12"/>
  <c r="M103" i="12" s="1"/>
  <c r="L103" i="12"/>
  <c r="DX103" i="12" s="1"/>
  <c r="EL103" i="12" s="1"/>
  <c r="G103" i="12"/>
  <c r="F103" i="12"/>
  <c r="E103" i="12"/>
  <c r="GD102" i="12"/>
  <c r="GC102" i="12"/>
  <c r="GB102" i="12"/>
  <c r="GA102" i="12"/>
  <c r="FZ102" i="12"/>
  <c r="FY102" i="12"/>
  <c r="FX102" i="12"/>
  <c r="FW102" i="12"/>
  <c r="FV102" i="12"/>
  <c r="FT102" i="12" s="1"/>
  <c r="FN102" i="12" s="1"/>
  <c r="FJ102" i="12"/>
  <c r="FF102" i="12"/>
  <c r="FE102" i="12"/>
  <c r="FD102" i="12"/>
  <c r="FC102" i="12"/>
  <c r="FB102" i="12"/>
  <c r="FA102" i="12"/>
  <c r="EZ102" i="12"/>
  <c r="EY102" i="12"/>
  <c r="EX102" i="12"/>
  <c r="EW102" i="12"/>
  <c r="EV102" i="12"/>
  <c r="EU102" i="12"/>
  <c r="ET102" i="12"/>
  <c r="EQ102" i="12"/>
  <c r="EP102" i="12"/>
  <c r="DB102" i="12"/>
  <c r="DA102" i="12"/>
  <c r="CZ102" i="12"/>
  <c r="CY102" i="12"/>
  <c r="CX102" i="12"/>
  <c r="CW102" i="12"/>
  <c r="CV102" i="12"/>
  <c r="CU102" i="12"/>
  <c r="CT102" i="12"/>
  <c r="CS102" i="12"/>
  <c r="CR102" i="12"/>
  <c r="CQ102" i="12"/>
  <c r="CP102" i="12"/>
  <c r="CO102" i="12"/>
  <c r="CN102" i="12"/>
  <c r="CM102" i="12"/>
  <c r="CL102" i="12"/>
  <c r="CK102" i="12"/>
  <c r="CJ102" i="12"/>
  <c r="CI102" i="12"/>
  <c r="CH102" i="12"/>
  <c r="CG102" i="12"/>
  <c r="CF102" i="12"/>
  <c r="CE102" i="12"/>
  <c r="CD102" i="12"/>
  <c r="CC102" i="12"/>
  <c r="CB102" i="12"/>
  <c r="BZ102" i="12"/>
  <c r="BY102" i="12"/>
  <c r="BX102" i="12"/>
  <c r="BW102" i="12"/>
  <c r="BV102" i="12"/>
  <c r="BU102" i="12"/>
  <c r="BT102" i="12"/>
  <c r="BS102" i="12"/>
  <c r="BR102" i="12"/>
  <c r="BQ102" i="12"/>
  <c r="BP102" i="12"/>
  <c r="BO102" i="12"/>
  <c r="BN102" i="12"/>
  <c r="BM102" i="12"/>
  <c r="BL102" i="12"/>
  <c r="BK102" i="12"/>
  <c r="BJ102" i="12"/>
  <c r="BI102" i="12"/>
  <c r="BH102" i="12"/>
  <c r="BG102" i="12"/>
  <c r="BF102" i="12"/>
  <c r="BE102" i="12"/>
  <c r="BD102" i="12"/>
  <c r="BC102" i="12"/>
  <c r="BB102" i="12"/>
  <c r="BA102" i="12"/>
  <c r="AZ102" i="12"/>
  <c r="AM102" i="12"/>
  <c r="AF102" i="12"/>
  <c r="AE102" i="12"/>
  <c r="S102" i="12"/>
  <c r="N102" i="12"/>
  <c r="M102" i="12" s="1"/>
  <c r="L102" i="12"/>
  <c r="G102" i="12"/>
  <c r="F102" i="12"/>
  <c r="AO102" i="12" s="1"/>
  <c r="E102" i="12"/>
  <c r="GD101" i="12"/>
  <c r="GC101" i="12"/>
  <c r="GB101" i="12"/>
  <c r="GA101" i="12"/>
  <c r="FZ101" i="12"/>
  <c r="FY101" i="12"/>
  <c r="FX101" i="12"/>
  <c r="FW101" i="12"/>
  <c r="FV101" i="12"/>
  <c r="FT101" i="12" s="1"/>
  <c r="FF101" i="12"/>
  <c r="FE101" i="12"/>
  <c r="FD101" i="12"/>
  <c r="FC101" i="12"/>
  <c r="FB101" i="12"/>
  <c r="FA101" i="12"/>
  <c r="EZ101" i="12"/>
  <c r="EY101" i="12"/>
  <c r="EX101" i="12"/>
  <c r="EW101" i="12"/>
  <c r="EV101" i="12"/>
  <c r="EU101" i="12"/>
  <c r="ET101" i="12"/>
  <c r="ER101" i="12"/>
  <c r="EP101" i="12"/>
  <c r="DB101" i="12"/>
  <c r="DA101" i="12"/>
  <c r="CZ101" i="12"/>
  <c r="CY101" i="12"/>
  <c r="CX101" i="12"/>
  <c r="CW101" i="12"/>
  <c r="CV101" i="12"/>
  <c r="CU101" i="12"/>
  <c r="CT101" i="12"/>
  <c r="CS101" i="12"/>
  <c r="CR101" i="12"/>
  <c r="CQ101" i="12"/>
  <c r="CP101" i="12"/>
  <c r="CO101" i="12"/>
  <c r="CN101" i="12"/>
  <c r="CM101" i="12"/>
  <c r="CL101" i="12"/>
  <c r="CK101" i="12"/>
  <c r="CJ101" i="12"/>
  <c r="CI101" i="12"/>
  <c r="CH101" i="12"/>
  <c r="CG101" i="12"/>
  <c r="CF101" i="12"/>
  <c r="CE101" i="12"/>
  <c r="CD101" i="12"/>
  <c r="CC101" i="12"/>
  <c r="CB101" i="12"/>
  <c r="BZ101" i="12"/>
  <c r="BY101" i="12"/>
  <c r="BX101" i="12"/>
  <c r="BW101" i="12"/>
  <c r="BV101" i="12"/>
  <c r="BU101" i="12"/>
  <c r="BT101" i="12"/>
  <c r="BS101" i="12"/>
  <c r="BR101" i="12"/>
  <c r="BQ101" i="12"/>
  <c r="BP101" i="12"/>
  <c r="BO101" i="12"/>
  <c r="BN101" i="12"/>
  <c r="BM101" i="12"/>
  <c r="BL101" i="12"/>
  <c r="BK101" i="12"/>
  <c r="BJ101" i="12"/>
  <c r="BI101" i="12"/>
  <c r="BH101" i="12"/>
  <c r="BG101" i="12"/>
  <c r="BF101" i="12"/>
  <c r="BE101" i="12"/>
  <c r="BD101" i="12"/>
  <c r="BC101" i="12"/>
  <c r="BB101" i="12"/>
  <c r="BA101" i="12"/>
  <c r="AZ101" i="12"/>
  <c r="AM101" i="12"/>
  <c r="AF101" i="12"/>
  <c r="AE101" i="12"/>
  <c r="AG101" i="12" s="1"/>
  <c r="S101" i="12"/>
  <c r="N101" i="12"/>
  <c r="M101" i="12" s="1"/>
  <c r="L101" i="12"/>
  <c r="DQ101" i="12" s="1"/>
  <c r="G101" i="12"/>
  <c r="F101" i="12"/>
  <c r="Z101" i="12" s="1"/>
  <c r="AC101" i="12" s="1"/>
  <c r="AD101" i="12" s="1"/>
  <c r="E101" i="12"/>
  <c r="GD100" i="12"/>
  <c r="GC100" i="12"/>
  <c r="GB100" i="12"/>
  <c r="GA100" i="12"/>
  <c r="FZ100" i="12"/>
  <c r="FY100" i="12"/>
  <c r="FX100" i="12"/>
  <c r="FW100" i="12"/>
  <c r="FV100" i="12"/>
  <c r="FT100" i="12" s="1"/>
  <c r="FI100" i="12" s="1"/>
  <c r="FF100" i="12"/>
  <c r="FE100" i="12"/>
  <c r="FD100" i="12"/>
  <c r="FC100" i="12"/>
  <c r="FB100" i="12"/>
  <c r="FA100" i="12"/>
  <c r="EZ100" i="12"/>
  <c r="EY100" i="12"/>
  <c r="EX100" i="12"/>
  <c r="EW100" i="12"/>
  <c r="EV100" i="12"/>
  <c r="EU100" i="12"/>
  <c r="ET100" i="12"/>
  <c r="EP100" i="12"/>
  <c r="DB100" i="12"/>
  <c r="DA100" i="12"/>
  <c r="CZ100" i="12"/>
  <c r="CY100" i="12"/>
  <c r="CX100" i="12"/>
  <c r="CW100" i="12"/>
  <c r="CV100" i="12"/>
  <c r="CU100" i="12"/>
  <c r="CT100" i="12"/>
  <c r="CS100" i="12"/>
  <c r="CR100" i="12"/>
  <c r="CQ100" i="12"/>
  <c r="CP100" i="12"/>
  <c r="CO100" i="12"/>
  <c r="CN100" i="12"/>
  <c r="CM100" i="12"/>
  <c r="CL100" i="12"/>
  <c r="CK100" i="12"/>
  <c r="CJ100" i="12"/>
  <c r="CI100" i="12"/>
  <c r="CH100" i="12"/>
  <c r="CG100" i="12"/>
  <c r="CF100" i="12"/>
  <c r="CE100" i="12"/>
  <c r="CD100" i="12"/>
  <c r="CC100" i="12"/>
  <c r="CB100" i="12"/>
  <c r="BZ100" i="12"/>
  <c r="BY100" i="12"/>
  <c r="BX100" i="12"/>
  <c r="BW100" i="12"/>
  <c r="BV100" i="12"/>
  <c r="BU100" i="12"/>
  <c r="BT100" i="12"/>
  <c r="BS100" i="12"/>
  <c r="BR100" i="12"/>
  <c r="BQ100" i="12"/>
  <c r="BP100" i="12"/>
  <c r="BO100" i="12"/>
  <c r="BN100" i="12"/>
  <c r="BM100" i="12"/>
  <c r="BL100" i="12"/>
  <c r="BK100" i="12"/>
  <c r="BJ100" i="12"/>
  <c r="BI100" i="12"/>
  <c r="BH100" i="12"/>
  <c r="BG100" i="12"/>
  <c r="BF100" i="12"/>
  <c r="BE100" i="12"/>
  <c r="BD100" i="12"/>
  <c r="BC100" i="12"/>
  <c r="BB100" i="12"/>
  <c r="BA100" i="12"/>
  <c r="AZ100" i="12"/>
  <c r="AM100" i="12"/>
  <c r="AF100" i="12"/>
  <c r="AE100" i="12"/>
  <c r="S100" i="12"/>
  <c r="N100" i="12"/>
  <c r="M100" i="12" s="1"/>
  <c r="L100" i="12"/>
  <c r="DV100" i="12" s="1"/>
  <c r="G100" i="12"/>
  <c r="F100" i="12"/>
  <c r="E100" i="12"/>
  <c r="GD99" i="12"/>
  <c r="GC99" i="12"/>
  <c r="GB99" i="12"/>
  <c r="GA99" i="12"/>
  <c r="FZ99" i="12"/>
  <c r="FY99" i="12"/>
  <c r="FX99" i="12"/>
  <c r="FW99" i="12"/>
  <c r="FV99" i="12"/>
  <c r="FT99" i="12" s="1"/>
  <c r="FQ99" i="12" s="1"/>
  <c r="FF99" i="12"/>
  <c r="FE99" i="12"/>
  <c r="FD99" i="12"/>
  <c r="FC99" i="12"/>
  <c r="FB99" i="12"/>
  <c r="FA99" i="12"/>
  <c r="EZ99" i="12"/>
  <c r="EY99" i="12"/>
  <c r="EX99" i="12"/>
  <c r="EW99" i="12"/>
  <c r="EV99" i="12"/>
  <c r="EU99" i="12"/>
  <c r="ET99" i="12"/>
  <c r="EP99" i="12"/>
  <c r="DB99" i="12"/>
  <c r="DA99" i="12"/>
  <c r="CZ99" i="12"/>
  <c r="CY99" i="12"/>
  <c r="CX99" i="12"/>
  <c r="CW99" i="12"/>
  <c r="CV99" i="12"/>
  <c r="CU99" i="12"/>
  <c r="CT99" i="12"/>
  <c r="CS99" i="12"/>
  <c r="CR99" i="12"/>
  <c r="CQ99" i="12"/>
  <c r="CP99" i="12"/>
  <c r="CO99" i="12"/>
  <c r="CN99" i="12"/>
  <c r="CM99" i="12"/>
  <c r="CL99" i="12"/>
  <c r="CK99" i="12"/>
  <c r="CJ99" i="12"/>
  <c r="CI99" i="12"/>
  <c r="CH99" i="12"/>
  <c r="CG99" i="12"/>
  <c r="CF99" i="12"/>
  <c r="CE99" i="12"/>
  <c r="CD99" i="12"/>
  <c r="CC99" i="12"/>
  <c r="CB99" i="12"/>
  <c r="BZ99" i="12"/>
  <c r="BY99" i="12"/>
  <c r="BX99" i="12"/>
  <c r="BW99" i="12"/>
  <c r="BV99" i="12"/>
  <c r="BU99" i="12"/>
  <c r="BT99" i="12"/>
  <c r="BS99" i="12"/>
  <c r="BR99" i="12"/>
  <c r="BQ99" i="12"/>
  <c r="BP99" i="12"/>
  <c r="BO99" i="12"/>
  <c r="BN99" i="12"/>
  <c r="BM99" i="12"/>
  <c r="BL99" i="12"/>
  <c r="BK99" i="12"/>
  <c r="BJ99" i="12"/>
  <c r="BI99" i="12"/>
  <c r="BH99" i="12"/>
  <c r="BG99" i="12"/>
  <c r="BF99" i="12"/>
  <c r="BE99" i="12"/>
  <c r="BD99" i="12"/>
  <c r="BC99" i="12"/>
  <c r="BB99" i="12"/>
  <c r="BA99" i="12"/>
  <c r="AZ99" i="12"/>
  <c r="AM99" i="12"/>
  <c r="AF99" i="12"/>
  <c r="AE99" i="12"/>
  <c r="S99" i="12"/>
  <c r="N99" i="12"/>
  <c r="M99" i="12" s="1"/>
  <c r="L99" i="12"/>
  <c r="G99" i="12"/>
  <c r="F99" i="12"/>
  <c r="E99" i="12"/>
  <c r="GD98" i="12"/>
  <c r="GC98" i="12"/>
  <c r="GB98" i="12"/>
  <c r="GA98" i="12"/>
  <c r="FZ98" i="12"/>
  <c r="FY98" i="12"/>
  <c r="FX98" i="12"/>
  <c r="FW98" i="12"/>
  <c r="FV98" i="12"/>
  <c r="FT98" i="12"/>
  <c r="FN98" i="12" s="1"/>
  <c r="FF98" i="12"/>
  <c r="FE98" i="12"/>
  <c r="FD98" i="12"/>
  <c r="FC98" i="12"/>
  <c r="FB98" i="12"/>
  <c r="FA98" i="12"/>
  <c r="EZ98" i="12"/>
  <c r="EY98" i="12"/>
  <c r="EX98" i="12"/>
  <c r="EW98" i="12"/>
  <c r="EV98" i="12"/>
  <c r="EU98" i="12"/>
  <c r="ET98" i="12"/>
  <c r="ER98" i="12"/>
  <c r="EP98" i="12"/>
  <c r="DB98" i="12"/>
  <c r="DA98" i="12"/>
  <c r="CZ98" i="12"/>
  <c r="CY98" i="12"/>
  <c r="CX98" i="12"/>
  <c r="CW98" i="12"/>
  <c r="CV98" i="12"/>
  <c r="CU98" i="12"/>
  <c r="CT98" i="12"/>
  <c r="CS98" i="12"/>
  <c r="CR98" i="12"/>
  <c r="CQ98" i="12"/>
  <c r="CP98" i="12"/>
  <c r="CO98" i="12"/>
  <c r="CN98" i="12"/>
  <c r="CM98" i="12"/>
  <c r="CL98" i="12"/>
  <c r="CK98" i="12"/>
  <c r="CJ98" i="12"/>
  <c r="CI98" i="12"/>
  <c r="CH98" i="12"/>
  <c r="CG98" i="12"/>
  <c r="CF98" i="12"/>
  <c r="CE98" i="12"/>
  <c r="CD98" i="12"/>
  <c r="CC98" i="12"/>
  <c r="CB98" i="12"/>
  <c r="BZ98" i="12"/>
  <c r="BY98" i="12"/>
  <c r="BX98" i="12"/>
  <c r="BW98" i="12"/>
  <c r="BV98" i="12"/>
  <c r="BU98" i="12"/>
  <c r="BT98" i="12"/>
  <c r="BS98" i="12"/>
  <c r="BR98" i="12"/>
  <c r="BQ98" i="12"/>
  <c r="BP98" i="12"/>
  <c r="BO98" i="12"/>
  <c r="BN98" i="12"/>
  <c r="BM98" i="12"/>
  <c r="BL98" i="12"/>
  <c r="BK98" i="12"/>
  <c r="BJ98" i="12"/>
  <c r="BI98" i="12"/>
  <c r="BH98" i="12"/>
  <c r="BG98" i="12"/>
  <c r="BF98" i="12"/>
  <c r="BE98" i="12"/>
  <c r="BD98" i="12"/>
  <c r="BC98" i="12"/>
  <c r="BB98" i="12"/>
  <c r="BA98" i="12"/>
  <c r="AZ98" i="12"/>
  <c r="AM98" i="12"/>
  <c r="AF98" i="12"/>
  <c r="AE98" i="12"/>
  <c r="S98" i="12"/>
  <c r="N98" i="12"/>
  <c r="M98" i="12" s="1"/>
  <c r="L98" i="12"/>
  <c r="EF98" i="12" s="1"/>
  <c r="G98" i="12"/>
  <c r="F98" i="12"/>
  <c r="Z98" i="12" s="1"/>
  <c r="AA98" i="12" s="1"/>
  <c r="E98" i="12"/>
  <c r="GD97" i="12"/>
  <c r="GC97" i="12"/>
  <c r="GB97" i="12"/>
  <c r="GA97" i="12"/>
  <c r="FZ97" i="12"/>
  <c r="FY97" i="12"/>
  <c r="FX97" i="12"/>
  <c r="FW97" i="12"/>
  <c r="FV97" i="12"/>
  <c r="FT97" i="12"/>
  <c r="FF97" i="12"/>
  <c r="FE97" i="12"/>
  <c r="FD97" i="12"/>
  <c r="FC97" i="12"/>
  <c r="FB97" i="12"/>
  <c r="FA97" i="12"/>
  <c r="EZ97" i="12"/>
  <c r="EY97" i="12"/>
  <c r="EX97" i="12"/>
  <c r="EW97" i="12"/>
  <c r="EV97" i="12"/>
  <c r="EU97" i="12"/>
  <c r="ET97" i="12"/>
  <c r="EP97" i="12"/>
  <c r="DB97" i="12"/>
  <c r="DA97" i="12"/>
  <c r="CZ97" i="12"/>
  <c r="CY97" i="12"/>
  <c r="CX97" i="12"/>
  <c r="CW97" i="12"/>
  <c r="CV97" i="12"/>
  <c r="CU97" i="12"/>
  <c r="CT97" i="12"/>
  <c r="CS97" i="12"/>
  <c r="CR97" i="12"/>
  <c r="CQ97" i="12"/>
  <c r="CP97" i="12"/>
  <c r="CO97" i="12"/>
  <c r="CN97" i="12"/>
  <c r="CM97" i="12"/>
  <c r="CL97" i="12"/>
  <c r="CK97" i="12"/>
  <c r="CJ97" i="12"/>
  <c r="CI97" i="12"/>
  <c r="CH97" i="12"/>
  <c r="CG97" i="12"/>
  <c r="CF97" i="12"/>
  <c r="CE97" i="12"/>
  <c r="CD97" i="12"/>
  <c r="CC97" i="12"/>
  <c r="CB97" i="12"/>
  <c r="BZ97" i="12"/>
  <c r="BY97" i="12"/>
  <c r="BX97" i="12"/>
  <c r="BW97" i="12"/>
  <c r="BV97" i="12"/>
  <c r="BU97" i="12"/>
  <c r="BT97" i="12"/>
  <c r="BS97" i="12"/>
  <c r="BR97" i="12"/>
  <c r="BQ97" i="12"/>
  <c r="BP97" i="12"/>
  <c r="BO97" i="12"/>
  <c r="BN97" i="12"/>
  <c r="BM97" i="12"/>
  <c r="BL97" i="12"/>
  <c r="BK97" i="12"/>
  <c r="BJ97" i="12"/>
  <c r="BI97" i="12"/>
  <c r="BH97" i="12"/>
  <c r="BG97" i="12"/>
  <c r="BF97" i="12"/>
  <c r="BE97" i="12"/>
  <c r="BD97" i="12"/>
  <c r="BC97" i="12"/>
  <c r="BB97" i="12"/>
  <c r="BA97" i="12"/>
  <c r="AZ97" i="12"/>
  <c r="AM97" i="12"/>
  <c r="AF97" i="12"/>
  <c r="AE97" i="12"/>
  <c r="S97" i="12"/>
  <c r="N97" i="12"/>
  <c r="M97" i="12" s="1"/>
  <c r="L97" i="12"/>
  <c r="DP97" i="12" s="1"/>
  <c r="G97" i="12"/>
  <c r="F97" i="12"/>
  <c r="Z97" i="12" s="1"/>
  <c r="E97" i="12"/>
  <c r="GD96" i="12"/>
  <c r="GC96" i="12"/>
  <c r="GB96" i="12"/>
  <c r="GA96" i="12"/>
  <c r="FZ96" i="12"/>
  <c r="FY96" i="12"/>
  <c r="FX96" i="12"/>
  <c r="FW96" i="12"/>
  <c r="FV96" i="12"/>
  <c r="FT96" i="12" s="1"/>
  <c r="FS96" i="12" s="1"/>
  <c r="FF96" i="12"/>
  <c r="FE96" i="12"/>
  <c r="FD96" i="12"/>
  <c r="FC96" i="12"/>
  <c r="FB96" i="12"/>
  <c r="FA96" i="12"/>
  <c r="EZ96" i="12"/>
  <c r="EY96" i="12"/>
  <c r="EX96" i="12"/>
  <c r="EW96" i="12"/>
  <c r="EV96" i="12"/>
  <c r="EU96" i="12"/>
  <c r="ET96" i="12"/>
  <c r="EP96" i="12"/>
  <c r="DB96" i="12"/>
  <c r="DA96" i="12"/>
  <c r="CZ96" i="12"/>
  <c r="CY96" i="12"/>
  <c r="CX96" i="12"/>
  <c r="CW96" i="12"/>
  <c r="CV96" i="12"/>
  <c r="CU96" i="12"/>
  <c r="CT96" i="12"/>
  <c r="CS96" i="12"/>
  <c r="CR96" i="12"/>
  <c r="CQ96" i="12"/>
  <c r="CP96" i="12"/>
  <c r="CO96" i="12"/>
  <c r="CN96" i="12"/>
  <c r="CM96" i="12"/>
  <c r="CL96" i="12"/>
  <c r="CK96" i="12"/>
  <c r="CJ96" i="12"/>
  <c r="CI96" i="12"/>
  <c r="CH96" i="12"/>
  <c r="CG96" i="12"/>
  <c r="CF96" i="12"/>
  <c r="CE96" i="12"/>
  <c r="CD96" i="12"/>
  <c r="CC96" i="12"/>
  <c r="CB96" i="12"/>
  <c r="BZ96" i="12"/>
  <c r="BY96" i="12"/>
  <c r="BX96" i="12"/>
  <c r="BW96" i="12"/>
  <c r="BV96" i="12"/>
  <c r="BU96" i="12"/>
  <c r="BT96" i="12"/>
  <c r="BS96" i="12"/>
  <c r="BR96" i="12"/>
  <c r="BQ96" i="12"/>
  <c r="BP96" i="12"/>
  <c r="BO96" i="12"/>
  <c r="BN96" i="12"/>
  <c r="BM96" i="12"/>
  <c r="BL96" i="12"/>
  <c r="BK96" i="12"/>
  <c r="BJ96" i="12"/>
  <c r="BI96" i="12"/>
  <c r="BH96" i="12"/>
  <c r="BG96" i="12"/>
  <c r="BF96" i="12"/>
  <c r="BE96" i="12"/>
  <c r="BD96" i="12"/>
  <c r="BC96" i="12"/>
  <c r="BB96" i="12"/>
  <c r="BA96" i="12"/>
  <c r="AZ96" i="12"/>
  <c r="AM96" i="12"/>
  <c r="AF96" i="12"/>
  <c r="AE96" i="12"/>
  <c r="S96" i="12"/>
  <c r="N96" i="12"/>
  <c r="M96" i="12" s="1"/>
  <c r="L96" i="12"/>
  <c r="G96" i="12"/>
  <c r="F96" i="12"/>
  <c r="AS96" i="12" s="1"/>
  <c r="E96" i="12"/>
  <c r="GD95" i="12"/>
  <c r="GC95" i="12"/>
  <c r="GB95" i="12"/>
  <c r="GA95" i="12"/>
  <c r="FZ95" i="12"/>
  <c r="FY95" i="12"/>
  <c r="FX95" i="12"/>
  <c r="FW95" i="12"/>
  <c r="FV95" i="12"/>
  <c r="FT95" i="12"/>
  <c r="FP95" i="12" s="1"/>
  <c r="FF95" i="12"/>
  <c r="FE95" i="12"/>
  <c r="FD95" i="12"/>
  <c r="FC95" i="12"/>
  <c r="FB95" i="12"/>
  <c r="FA95" i="12"/>
  <c r="EZ95" i="12"/>
  <c r="EY95" i="12"/>
  <c r="EX95" i="12"/>
  <c r="EW95" i="12"/>
  <c r="EV95" i="12"/>
  <c r="EU95" i="12"/>
  <c r="ET95" i="12"/>
  <c r="EP95" i="12"/>
  <c r="DB95" i="12"/>
  <c r="DA95" i="12"/>
  <c r="CZ95" i="12"/>
  <c r="CY95" i="12"/>
  <c r="CX95" i="12"/>
  <c r="CW95" i="12"/>
  <c r="CV95" i="12"/>
  <c r="CU95" i="12"/>
  <c r="CT95" i="12"/>
  <c r="CS95" i="12"/>
  <c r="CR95" i="12"/>
  <c r="CQ95" i="12"/>
  <c r="CP95" i="12"/>
  <c r="CO95" i="12"/>
  <c r="CN95" i="12"/>
  <c r="CM95" i="12"/>
  <c r="CL95" i="12"/>
  <c r="CK95" i="12"/>
  <c r="CJ95" i="12"/>
  <c r="CI95" i="12"/>
  <c r="CH95" i="12"/>
  <c r="CG95" i="12"/>
  <c r="CF95" i="12"/>
  <c r="CE95" i="12"/>
  <c r="CD95" i="12"/>
  <c r="CC95" i="12"/>
  <c r="CB95" i="12"/>
  <c r="BZ95" i="12"/>
  <c r="BY95" i="12"/>
  <c r="BX95" i="12"/>
  <c r="BW95" i="12"/>
  <c r="BV95" i="12"/>
  <c r="BU95" i="12"/>
  <c r="BT95" i="12"/>
  <c r="BS95" i="12"/>
  <c r="BR95" i="12"/>
  <c r="BQ95" i="12"/>
  <c r="BP95" i="12"/>
  <c r="BO95" i="12"/>
  <c r="BN95" i="12"/>
  <c r="BM95" i="12"/>
  <c r="BL95" i="12"/>
  <c r="BK95" i="12"/>
  <c r="BJ95" i="12"/>
  <c r="BI95" i="12"/>
  <c r="BH95" i="12"/>
  <c r="BG95" i="12"/>
  <c r="BF95" i="12"/>
  <c r="BE95" i="12"/>
  <c r="BD95" i="12"/>
  <c r="BC95" i="12"/>
  <c r="BB95" i="12"/>
  <c r="BA95" i="12"/>
  <c r="AZ95" i="12"/>
  <c r="AM95" i="12"/>
  <c r="AF95" i="12"/>
  <c r="AE95" i="12"/>
  <c r="S95" i="12"/>
  <c r="N95" i="12"/>
  <c r="M95" i="12" s="1"/>
  <c r="L95" i="12"/>
  <c r="DY95" i="12" s="1"/>
  <c r="EM95" i="12" s="1"/>
  <c r="G95" i="12"/>
  <c r="F95" i="12"/>
  <c r="E95" i="12"/>
  <c r="GD94" i="12"/>
  <c r="GC94" i="12"/>
  <c r="GB94" i="12"/>
  <c r="GA94" i="12"/>
  <c r="FZ94" i="12"/>
  <c r="FY94" i="12"/>
  <c r="FX94" i="12"/>
  <c r="FW94" i="12"/>
  <c r="FV94" i="12"/>
  <c r="FT94" i="12" s="1"/>
  <c r="FF94" i="12"/>
  <c r="FE94" i="12"/>
  <c r="FD94" i="12"/>
  <c r="FC94" i="12"/>
  <c r="FB94" i="12"/>
  <c r="FA94" i="12"/>
  <c r="EZ94" i="12"/>
  <c r="EY94" i="12"/>
  <c r="EX94" i="12"/>
  <c r="EW94" i="12"/>
  <c r="EV94" i="12"/>
  <c r="EU94" i="12"/>
  <c r="ET94" i="12"/>
  <c r="EP94" i="12"/>
  <c r="DB94" i="12"/>
  <c r="DA94" i="12"/>
  <c r="CZ94" i="12"/>
  <c r="CY94" i="12"/>
  <c r="CX94" i="12"/>
  <c r="CW94" i="12"/>
  <c r="CV94" i="12"/>
  <c r="CU94" i="12"/>
  <c r="CT94" i="12"/>
  <c r="CS94" i="12"/>
  <c r="CR94" i="12"/>
  <c r="CQ94" i="12"/>
  <c r="CP94" i="12"/>
  <c r="CO94" i="12"/>
  <c r="CN94" i="12"/>
  <c r="CM94" i="12"/>
  <c r="CL94" i="12"/>
  <c r="CK94" i="12"/>
  <c r="CJ94" i="12"/>
  <c r="CI94" i="12"/>
  <c r="CH94" i="12"/>
  <c r="CG94" i="12"/>
  <c r="CF94" i="12"/>
  <c r="CE94" i="12"/>
  <c r="CD94" i="12"/>
  <c r="CC94" i="12"/>
  <c r="CB94" i="12"/>
  <c r="BZ94" i="12"/>
  <c r="BY94" i="12"/>
  <c r="BX94" i="12"/>
  <c r="BW94" i="12"/>
  <c r="BV94" i="12"/>
  <c r="BU94" i="12"/>
  <c r="BT94" i="12"/>
  <c r="BS94" i="12"/>
  <c r="BR94" i="12"/>
  <c r="BQ94" i="12"/>
  <c r="BP94" i="12"/>
  <c r="BO94" i="12"/>
  <c r="BN94" i="12"/>
  <c r="BM94" i="12"/>
  <c r="BL94" i="12"/>
  <c r="BK94" i="12"/>
  <c r="BJ94" i="12"/>
  <c r="BI94" i="12"/>
  <c r="DF94" i="12" s="1"/>
  <c r="BH94" i="12"/>
  <c r="BG94" i="12"/>
  <c r="BF94" i="12"/>
  <c r="BE94" i="12"/>
  <c r="BD94" i="12"/>
  <c r="BC94" i="12"/>
  <c r="BB94" i="12"/>
  <c r="BA94" i="12"/>
  <c r="AZ94" i="12"/>
  <c r="AM94" i="12"/>
  <c r="AF94" i="12"/>
  <c r="AE94" i="12"/>
  <c r="S94" i="12"/>
  <c r="N94" i="12"/>
  <c r="M94" i="12" s="1"/>
  <c r="L94" i="12"/>
  <c r="DW94" i="12" s="1"/>
  <c r="EK94" i="12" s="1"/>
  <c r="G94" i="12"/>
  <c r="F94" i="12"/>
  <c r="AS94" i="12" s="1"/>
  <c r="E94" i="12"/>
  <c r="GD93" i="12"/>
  <c r="GC93" i="12"/>
  <c r="GB93" i="12"/>
  <c r="GA93" i="12"/>
  <c r="FZ93" i="12"/>
  <c r="FY93" i="12"/>
  <c r="FX93" i="12"/>
  <c r="FW93" i="12"/>
  <c r="FV93" i="12"/>
  <c r="FT93" i="12" s="1"/>
  <c r="FF93" i="12"/>
  <c r="FE93" i="12"/>
  <c r="FD93" i="12"/>
  <c r="FC93" i="12"/>
  <c r="FB93" i="12"/>
  <c r="FA93" i="12"/>
  <c r="EZ93" i="12"/>
  <c r="EY93" i="12"/>
  <c r="EX93" i="12"/>
  <c r="EW93" i="12"/>
  <c r="EV93" i="12"/>
  <c r="EU93" i="12"/>
  <c r="ET93" i="12"/>
  <c r="ER93" i="12"/>
  <c r="EP93" i="12"/>
  <c r="DB93" i="12"/>
  <c r="DA93" i="12"/>
  <c r="CZ93" i="12"/>
  <c r="CY93" i="12"/>
  <c r="CX93" i="12"/>
  <c r="CW93" i="12"/>
  <c r="CV93" i="12"/>
  <c r="CU93" i="12"/>
  <c r="CT93" i="12"/>
  <c r="CS93" i="12"/>
  <c r="CR93" i="12"/>
  <c r="CQ93" i="12"/>
  <c r="CP93" i="12"/>
  <c r="CO93" i="12"/>
  <c r="CN93" i="12"/>
  <c r="CM93" i="12"/>
  <c r="CL93" i="12"/>
  <c r="CK93" i="12"/>
  <c r="CJ93" i="12"/>
  <c r="CI93" i="12"/>
  <c r="CH93" i="12"/>
  <c r="CG93" i="12"/>
  <c r="CF93" i="12"/>
  <c r="CE93" i="12"/>
  <c r="CD93" i="12"/>
  <c r="CC93" i="12"/>
  <c r="CB93" i="12"/>
  <c r="BZ93" i="12"/>
  <c r="BY93" i="12"/>
  <c r="BX93" i="12"/>
  <c r="BW93" i="12"/>
  <c r="BV93" i="12"/>
  <c r="BU93" i="12"/>
  <c r="BT93" i="12"/>
  <c r="BS93" i="12"/>
  <c r="BR93" i="12"/>
  <c r="BQ93" i="12"/>
  <c r="BP93" i="12"/>
  <c r="BO93" i="12"/>
  <c r="BN93" i="12"/>
  <c r="BM93" i="12"/>
  <c r="BL93" i="12"/>
  <c r="BK93" i="12"/>
  <c r="BJ93" i="12"/>
  <c r="BI93" i="12"/>
  <c r="BH93" i="12"/>
  <c r="BG93" i="12"/>
  <c r="BF93" i="12"/>
  <c r="BE93" i="12"/>
  <c r="BD93" i="12"/>
  <c r="BC93" i="12"/>
  <c r="BB93" i="12"/>
  <c r="BA93" i="12"/>
  <c r="AZ93" i="12"/>
  <c r="AM93" i="12"/>
  <c r="AF93" i="12"/>
  <c r="AE93" i="12"/>
  <c r="AG93" i="12" s="1"/>
  <c r="S93" i="12"/>
  <c r="N93" i="12"/>
  <c r="M93" i="12" s="1"/>
  <c r="L93" i="12"/>
  <c r="G93" i="12"/>
  <c r="F93" i="12"/>
  <c r="Z93" i="12" s="1"/>
  <c r="AC93" i="12" s="1"/>
  <c r="AD93" i="12" s="1"/>
  <c r="E93" i="12"/>
  <c r="GD92" i="12"/>
  <c r="GC92" i="12"/>
  <c r="GB92" i="12"/>
  <c r="GA92" i="12"/>
  <c r="FZ92" i="12"/>
  <c r="FY92" i="12"/>
  <c r="FX92" i="12"/>
  <c r="FW92" i="12"/>
  <c r="FV92" i="12"/>
  <c r="FT92" i="12" s="1"/>
  <c r="FF92" i="12"/>
  <c r="FE92" i="12"/>
  <c r="FD92" i="12"/>
  <c r="FC92" i="12"/>
  <c r="FB92" i="12"/>
  <c r="FA92" i="12"/>
  <c r="EZ92" i="12"/>
  <c r="EY92" i="12"/>
  <c r="EX92" i="12"/>
  <c r="EW92" i="12"/>
  <c r="EV92" i="12"/>
  <c r="EU92" i="12"/>
  <c r="ET92" i="12"/>
  <c r="EP92" i="12"/>
  <c r="DB92" i="12"/>
  <c r="DA92" i="12"/>
  <c r="CZ92" i="12"/>
  <c r="CY92" i="12"/>
  <c r="CX92" i="12"/>
  <c r="CW92" i="12"/>
  <c r="CV92" i="12"/>
  <c r="CU92" i="12"/>
  <c r="CT92" i="12"/>
  <c r="CS92" i="12"/>
  <c r="CR92" i="12"/>
  <c r="CQ92" i="12"/>
  <c r="CP92" i="12"/>
  <c r="CO92" i="12"/>
  <c r="CN92" i="12"/>
  <c r="CM92" i="12"/>
  <c r="CL92" i="12"/>
  <c r="CK92" i="12"/>
  <c r="CJ92" i="12"/>
  <c r="CI92" i="12"/>
  <c r="CH92" i="12"/>
  <c r="CG92" i="12"/>
  <c r="CF92" i="12"/>
  <c r="CE92" i="12"/>
  <c r="CD92" i="12"/>
  <c r="CC92" i="12"/>
  <c r="CB92" i="12"/>
  <c r="BZ92" i="12"/>
  <c r="BY92" i="12"/>
  <c r="BX92" i="12"/>
  <c r="BW92" i="12"/>
  <c r="BV92" i="12"/>
  <c r="BU92" i="12"/>
  <c r="BT92" i="12"/>
  <c r="BS92" i="12"/>
  <c r="BR92" i="12"/>
  <c r="BQ92" i="12"/>
  <c r="BP92" i="12"/>
  <c r="BO92" i="12"/>
  <c r="BN92" i="12"/>
  <c r="BM92" i="12"/>
  <c r="BL92" i="12"/>
  <c r="BK92" i="12"/>
  <c r="BJ92" i="12"/>
  <c r="BI92" i="12"/>
  <c r="DF92" i="12" s="1"/>
  <c r="BH92" i="12"/>
  <c r="BG92" i="12"/>
  <c r="BF92" i="12"/>
  <c r="BE92" i="12"/>
  <c r="BD92" i="12"/>
  <c r="BC92" i="12"/>
  <c r="BB92" i="12"/>
  <c r="BA92" i="12"/>
  <c r="AZ92" i="12"/>
  <c r="AM92" i="12"/>
  <c r="AF92" i="12"/>
  <c r="AE92" i="12"/>
  <c r="AG92" i="12" s="1"/>
  <c r="S92" i="12"/>
  <c r="N92" i="12"/>
  <c r="M92" i="12" s="1"/>
  <c r="L92" i="12"/>
  <c r="EA92" i="12" s="1"/>
  <c r="G92" i="12"/>
  <c r="F92" i="12"/>
  <c r="Z92" i="12" s="1"/>
  <c r="AA92" i="12" s="1"/>
  <c r="E92" i="12"/>
  <c r="GD91" i="12"/>
  <c r="GC91" i="12"/>
  <c r="GB91" i="12"/>
  <c r="GA91" i="12"/>
  <c r="FZ91" i="12"/>
  <c r="FY91" i="12"/>
  <c r="FX91" i="12"/>
  <c r="FW91" i="12"/>
  <c r="FV91" i="12"/>
  <c r="FT91" i="12" s="1"/>
  <c r="FH91" i="12" s="1"/>
  <c r="FM91" i="12"/>
  <c r="FF91" i="12"/>
  <c r="FE91" i="12"/>
  <c r="FD91" i="12"/>
  <c r="FC91" i="12"/>
  <c r="FB91" i="12"/>
  <c r="FA91" i="12"/>
  <c r="EZ91" i="12"/>
  <c r="EY91" i="12"/>
  <c r="EX91" i="12"/>
  <c r="EW91" i="12"/>
  <c r="EV91" i="12"/>
  <c r="EU91" i="12"/>
  <c r="ET91" i="12"/>
  <c r="EP91" i="12"/>
  <c r="DB91" i="12"/>
  <c r="DA91" i="12"/>
  <c r="CZ91" i="12"/>
  <c r="CY91" i="12"/>
  <c r="CX91" i="12"/>
  <c r="CW91" i="12"/>
  <c r="CV91" i="12"/>
  <c r="CU91" i="12"/>
  <c r="CT91" i="12"/>
  <c r="CS91" i="12"/>
  <c r="CR91" i="12"/>
  <c r="CQ91" i="12"/>
  <c r="CP91" i="12"/>
  <c r="CO91" i="12"/>
  <c r="CN91" i="12"/>
  <c r="CM91" i="12"/>
  <c r="CL91" i="12"/>
  <c r="CK91" i="12"/>
  <c r="CJ91" i="12"/>
  <c r="CI91" i="12"/>
  <c r="CH91" i="12"/>
  <c r="CG91" i="12"/>
  <c r="CF91" i="12"/>
  <c r="CE91" i="12"/>
  <c r="CD91" i="12"/>
  <c r="CC91" i="12"/>
  <c r="CB91" i="12"/>
  <c r="BZ91" i="12"/>
  <c r="BY91" i="12"/>
  <c r="BX91" i="12"/>
  <c r="BW91" i="12"/>
  <c r="BV91" i="12"/>
  <c r="BU91" i="12"/>
  <c r="BT91" i="12"/>
  <c r="BS91" i="12"/>
  <c r="BR91" i="12"/>
  <c r="BQ91" i="12"/>
  <c r="BP91" i="12"/>
  <c r="BO91" i="12"/>
  <c r="BN91" i="12"/>
  <c r="BM91" i="12"/>
  <c r="BL91" i="12"/>
  <c r="BK91" i="12"/>
  <c r="BJ91" i="12"/>
  <c r="BI91" i="12"/>
  <c r="BH91" i="12"/>
  <c r="BG91" i="12"/>
  <c r="BF91" i="12"/>
  <c r="BE91" i="12"/>
  <c r="BD91" i="12"/>
  <c r="BC91" i="12"/>
  <c r="BB91" i="12"/>
  <c r="BA91" i="12"/>
  <c r="AZ91" i="12"/>
  <c r="AM91" i="12"/>
  <c r="AF91" i="12"/>
  <c r="AE91" i="12"/>
  <c r="S91" i="12"/>
  <c r="N91" i="12"/>
  <c r="M91" i="12" s="1"/>
  <c r="L91" i="12"/>
  <c r="DZ91" i="12" s="1"/>
  <c r="G91" i="12"/>
  <c r="F91" i="12"/>
  <c r="AO91" i="12" s="1"/>
  <c r="E91" i="12"/>
  <c r="GD90" i="12"/>
  <c r="GC90" i="12"/>
  <c r="GB90" i="12"/>
  <c r="GA90" i="12"/>
  <c r="FZ90" i="12"/>
  <c r="FY90" i="12"/>
  <c r="FX90" i="12"/>
  <c r="FW90" i="12"/>
  <c r="FV90" i="12"/>
  <c r="FT90" i="12" s="1"/>
  <c r="FM90" i="12" s="1"/>
  <c r="FF90" i="12"/>
  <c r="FE90" i="12"/>
  <c r="FD90" i="12"/>
  <c r="FC90" i="12"/>
  <c r="FB90" i="12"/>
  <c r="FA90" i="12"/>
  <c r="EZ90" i="12"/>
  <c r="EY90" i="12"/>
  <c r="EX90" i="12"/>
  <c r="EW90" i="12"/>
  <c r="EV90" i="12"/>
  <c r="EU90" i="12"/>
  <c r="ET90" i="12"/>
  <c r="EP90" i="12"/>
  <c r="DB90" i="12"/>
  <c r="DA90" i="12"/>
  <c r="CZ90" i="12"/>
  <c r="CY90" i="12"/>
  <c r="CX90" i="12"/>
  <c r="CW90" i="12"/>
  <c r="CV90" i="12"/>
  <c r="CU90" i="12"/>
  <c r="CT90" i="12"/>
  <c r="CS90" i="12"/>
  <c r="CR90" i="12"/>
  <c r="CQ90" i="12"/>
  <c r="CP90" i="12"/>
  <c r="CO90" i="12"/>
  <c r="CN90" i="12"/>
  <c r="CM90" i="12"/>
  <c r="CL90" i="12"/>
  <c r="CK90" i="12"/>
  <c r="CJ90" i="12"/>
  <c r="CI90" i="12"/>
  <c r="CH90" i="12"/>
  <c r="CG90" i="12"/>
  <c r="CF90" i="12"/>
  <c r="CE90" i="12"/>
  <c r="CD90" i="12"/>
  <c r="CC90" i="12"/>
  <c r="CB90" i="12"/>
  <c r="BZ90" i="12"/>
  <c r="BY90" i="12"/>
  <c r="BX90" i="12"/>
  <c r="BW90" i="12"/>
  <c r="BV90" i="12"/>
  <c r="BU90" i="12"/>
  <c r="BT90" i="12"/>
  <c r="BS90" i="12"/>
  <c r="BR90" i="12"/>
  <c r="BQ90" i="12"/>
  <c r="BP90" i="12"/>
  <c r="BO90" i="12"/>
  <c r="BN90" i="12"/>
  <c r="BM90" i="12"/>
  <c r="BL90" i="12"/>
  <c r="BK90" i="12"/>
  <c r="BJ90" i="12"/>
  <c r="BI90" i="12"/>
  <c r="BH90" i="12"/>
  <c r="BG90" i="12"/>
  <c r="BF90" i="12"/>
  <c r="BE90" i="12"/>
  <c r="BD90" i="12"/>
  <c r="BC90" i="12"/>
  <c r="BB90" i="12"/>
  <c r="BA90" i="12"/>
  <c r="AZ90" i="12"/>
  <c r="AM90" i="12"/>
  <c r="AF90" i="12"/>
  <c r="AE90" i="12"/>
  <c r="S90" i="12"/>
  <c r="N90" i="12"/>
  <c r="M90" i="12" s="1"/>
  <c r="L90" i="12"/>
  <c r="EF90" i="12" s="1"/>
  <c r="G90" i="12"/>
  <c r="F90" i="12"/>
  <c r="Z90" i="12" s="1"/>
  <c r="AA90" i="12" s="1"/>
  <c r="E90" i="12"/>
  <c r="GD89" i="12"/>
  <c r="GC89" i="12"/>
  <c r="GB89" i="12"/>
  <c r="GA89" i="12"/>
  <c r="FZ89" i="12"/>
  <c r="FY89" i="12"/>
  <c r="FX89" i="12"/>
  <c r="FW89" i="12"/>
  <c r="FV89" i="12"/>
  <c r="FT89" i="12" s="1"/>
  <c r="FQ89" i="12" s="1"/>
  <c r="FS89" i="12"/>
  <c r="FN89" i="12"/>
  <c r="FJ89" i="12"/>
  <c r="FH89" i="12"/>
  <c r="FF89" i="12"/>
  <c r="FE89" i="12"/>
  <c r="FD89" i="12"/>
  <c r="FC89" i="12"/>
  <c r="FB89" i="12"/>
  <c r="FA89" i="12"/>
  <c r="EZ89" i="12"/>
  <c r="EY89" i="12"/>
  <c r="EX89" i="12"/>
  <c r="EW89" i="12"/>
  <c r="EV89" i="12"/>
  <c r="EU89" i="12"/>
  <c r="ET89" i="12"/>
  <c r="EP89" i="12"/>
  <c r="DB89" i="12"/>
  <c r="DA89" i="12"/>
  <c r="CZ89" i="12"/>
  <c r="CY89" i="12"/>
  <c r="CX89" i="12"/>
  <c r="CW89" i="12"/>
  <c r="CV89" i="12"/>
  <c r="CU89" i="12"/>
  <c r="CT89" i="12"/>
  <c r="CS89" i="12"/>
  <c r="CR89" i="12"/>
  <c r="CQ89" i="12"/>
  <c r="CP89" i="12"/>
  <c r="CO89" i="12"/>
  <c r="CN89" i="12"/>
  <c r="CM89" i="12"/>
  <c r="CL89" i="12"/>
  <c r="CK89" i="12"/>
  <c r="CJ89" i="12"/>
  <c r="CI89" i="12"/>
  <c r="CH89" i="12"/>
  <c r="CG89" i="12"/>
  <c r="CF89" i="12"/>
  <c r="CE89" i="12"/>
  <c r="CD89" i="12"/>
  <c r="CC89" i="12"/>
  <c r="CB89" i="12"/>
  <c r="BZ89" i="12"/>
  <c r="BY89" i="12"/>
  <c r="BX89" i="12"/>
  <c r="BW89" i="12"/>
  <c r="BV89" i="12"/>
  <c r="BU89" i="12"/>
  <c r="BT89" i="12"/>
  <c r="BS89" i="12"/>
  <c r="BR89" i="12"/>
  <c r="BQ89" i="12"/>
  <c r="BP89" i="12"/>
  <c r="BO89" i="12"/>
  <c r="BN89" i="12"/>
  <c r="BM89" i="12"/>
  <c r="BL89" i="12"/>
  <c r="BK89" i="12"/>
  <c r="BJ89" i="12"/>
  <c r="BI89" i="12"/>
  <c r="BH89" i="12"/>
  <c r="BG89" i="12"/>
  <c r="BF89" i="12"/>
  <c r="BE89" i="12"/>
  <c r="BD89" i="12"/>
  <c r="BC89" i="12"/>
  <c r="BB89" i="12"/>
  <c r="BA89" i="12"/>
  <c r="AZ89" i="12"/>
  <c r="AM89" i="12"/>
  <c r="AF89" i="12"/>
  <c r="AE89" i="12"/>
  <c r="S89" i="12"/>
  <c r="N89" i="12"/>
  <c r="M89" i="12" s="1"/>
  <c r="L89" i="12"/>
  <c r="EC89" i="12" s="1"/>
  <c r="G89" i="12"/>
  <c r="F89" i="12"/>
  <c r="E89" i="12"/>
  <c r="GD88" i="12"/>
  <c r="GC88" i="12"/>
  <c r="GB88" i="12"/>
  <c r="GA88" i="12"/>
  <c r="FZ88" i="12"/>
  <c r="FY88" i="12"/>
  <c r="FX88" i="12"/>
  <c r="FW88" i="12"/>
  <c r="FV88" i="12"/>
  <c r="FT88" i="12" s="1"/>
  <c r="FS88" i="12" s="1"/>
  <c r="FF88" i="12"/>
  <c r="FE88" i="12"/>
  <c r="FD88" i="12"/>
  <c r="FC88" i="12"/>
  <c r="FB88" i="12"/>
  <c r="FA88" i="12"/>
  <c r="EZ88" i="12"/>
  <c r="EY88" i="12"/>
  <c r="EX88" i="12"/>
  <c r="EW88" i="12"/>
  <c r="EV88" i="12"/>
  <c r="EU88" i="12"/>
  <c r="ET88" i="12"/>
  <c r="EP88" i="12"/>
  <c r="DB88" i="12"/>
  <c r="DA88" i="12"/>
  <c r="CZ88" i="12"/>
  <c r="CY88" i="12"/>
  <c r="CX88" i="12"/>
  <c r="CW88" i="12"/>
  <c r="CV88" i="12"/>
  <c r="CU88" i="12"/>
  <c r="CT88" i="12"/>
  <c r="CS88" i="12"/>
  <c r="CR88" i="12"/>
  <c r="CQ88" i="12"/>
  <c r="CP88" i="12"/>
  <c r="CO88" i="12"/>
  <c r="CN88" i="12"/>
  <c r="CM88" i="12"/>
  <c r="CL88" i="12"/>
  <c r="CK88" i="12"/>
  <c r="CJ88" i="12"/>
  <c r="CI88" i="12"/>
  <c r="CH88" i="12"/>
  <c r="CG88" i="12"/>
  <c r="CF88" i="12"/>
  <c r="CE88" i="12"/>
  <c r="CD88" i="12"/>
  <c r="CC88" i="12"/>
  <c r="CB88" i="12"/>
  <c r="BZ88" i="12"/>
  <c r="BY88" i="12"/>
  <c r="BX88" i="12"/>
  <c r="BW88" i="12"/>
  <c r="BV88" i="12"/>
  <c r="BU88" i="12"/>
  <c r="BT88" i="12"/>
  <c r="BS88" i="12"/>
  <c r="BR88" i="12"/>
  <c r="BQ88" i="12"/>
  <c r="BP88" i="12"/>
  <c r="BO88" i="12"/>
  <c r="BN88" i="12"/>
  <c r="BM88" i="12"/>
  <c r="BL88" i="12"/>
  <c r="BK88" i="12"/>
  <c r="BJ88" i="12"/>
  <c r="BI88" i="12"/>
  <c r="BH88" i="12"/>
  <c r="BG88" i="12"/>
  <c r="BF88" i="12"/>
  <c r="BE88" i="12"/>
  <c r="BD88" i="12"/>
  <c r="BC88" i="12"/>
  <c r="BB88" i="12"/>
  <c r="BA88" i="12"/>
  <c r="AZ88" i="12"/>
  <c r="AM88" i="12"/>
  <c r="AF88" i="12"/>
  <c r="AE88" i="12"/>
  <c r="S88" i="12"/>
  <c r="N88" i="12"/>
  <c r="M88" i="12" s="1"/>
  <c r="L88" i="12"/>
  <c r="T88" i="12" s="1"/>
  <c r="U88" i="12" s="1"/>
  <c r="G88" i="12"/>
  <c r="F88" i="12"/>
  <c r="Z88" i="12" s="1"/>
  <c r="E88" i="12"/>
  <c r="GD87" i="12"/>
  <c r="GC87" i="12"/>
  <c r="GB87" i="12"/>
  <c r="GA87" i="12"/>
  <c r="FZ87" i="12"/>
  <c r="FY87" i="12"/>
  <c r="FX87" i="12"/>
  <c r="FW87" i="12"/>
  <c r="FV87" i="12"/>
  <c r="FT87" i="12" s="1"/>
  <c r="FR87" i="12" s="1"/>
  <c r="FF87" i="12"/>
  <c r="FE87" i="12"/>
  <c r="FD87" i="12"/>
  <c r="FC87" i="12"/>
  <c r="FB87" i="12"/>
  <c r="FA87" i="12"/>
  <c r="EZ87" i="12"/>
  <c r="EY87" i="12"/>
  <c r="EX87" i="12"/>
  <c r="EW87" i="12"/>
  <c r="EV87" i="12"/>
  <c r="EU87" i="12"/>
  <c r="ET87" i="12"/>
  <c r="EP87" i="12"/>
  <c r="DB87" i="12"/>
  <c r="DA87" i="12"/>
  <c r="CZ87" i="12"/>
  <c r="CY87" i="12"/>
  <c r="CX87" i="12"/>
  <c r="CW87" i="12"/>
  <c r="CV87" i="12"/>
  <c r="CU87" i="12"/>
  <c r="CT87" i="12"/>
  <c r="CS87" i="12"/>
  <c r="CR87" i="12"/>
  <c r="CQ87" i="12"/>
  <c r="CP87" i="12"/>
  <c r="CO87" i="12"/>
  <c r="CN87" i="12"/>
  <c r="CM87" i="12"/>
  <c r="CL87" i="12"/>
  <c r="CK87" i="12"/>
  <c r="CJ87" i="12"/>
  <c r="CI87" i="12"/>
  <c r="CH87" i="12"/>
  <c r="CG87" i="12"/>
  <c r="CF87" i="12"/>
  <c r="CE87" i="12"/>
  <c r="CD87" i="12"/>
  <c r="CC87" i="12"/>
  <c r="CB87" i="12"/>
  <c r="BZ87" i="12"/>
  <c r="BY87" i="12"/>
  <c r="BX87" i="12"/>
  <c r="BW87" i="12"/>
  <c r="BV87" i="12"/>
  <c r="BU87" i="12"/>
  <c r="BT87" i="12"/>
  <c r="BS87" i="12"/>
  <c r="BR87" i="12"/>
  <c r="BQ87" i="12"/>
  <c r="BP87" i="12"/>
  <c r="BO87" i="12"/>
  <c r="BN87" i="12"/>
  <c r="BM87" i="12"/>
  <c r="BL87" i="12"/>
  <c r="BK87" i="12"/>
  <c r="BJ87" i="12"/>
  <c r="BI87" i="12"/>
  <c r="BH87" i="12"/>
  <c r="BG87" i="12"/>
  <c r="BF87" i="12"/>
  <c r="BE87" i="12"/>
  <c r="BD87" i="12"/>
  <c r="BC87" i="12"/>
  <c r="BB87" i="12"/>
  <c r="BA87" i="12"/>
  <c r="AZ87" i="12"/>
  <c r="AM87" i="12"/>
  <c r="AF87" i="12"/>
  <c r="AE87" i="12"/>
  <c r="AG87" i="12" s="1"/>
  <c r="S87" i="12"/>
  <c r="N87" i="12"/>
  <c r="M87" i="12" s="1"/>
  <c r="L87" i="12"/>
  <c r="DU87" i="12" s="1"/>
  <c r="G87" i="12"/>
  <c r="F87" i="12"/>
  <c r="AS87" i="12" s="1"/>
  <c r="E87" i="12"/>
  <c r="GD86" i="12"/>
  <c r="GC86" i="12"/>
  <c r="GB86" i="12"/>
  <c r="GA86" i="12"/>
  <c r="FZ86" i="12"/>
  <c r="FY86" i="12"/>
  <c r="FX86" i="12"/>
  <c r="FW86" i="12"/>
  <c r="FV86" i="12"/>
  <c r="FT86" i="12" s="1"/>
  <c r="FJ86" i="12"/>
  <c r="FF86" i="12"/>
  <c r="FE86" i="12"/>
  <c r="FD86" i="12"/>
  <c r="FC86" i="12"/>
  <c r="FB86" i="12"/>
  <c r="FA86" i="12"/>
  <c r="EZ86" i="12"/>
  <c r="EY86" i="12"/>
  <c r="EX86" i="12"/>
  <c r="EW86" i="12"/>
  <c r="EV86" i="12"/>
  <c r="EU86" i="12"/>
  <c r="ET86" i="12"/>
  <c r="ER86" i="12"/>
  <c r="EP86" i="12"/>
  <c r="DB86" i="12"/>
  <c r="DA86" i="12"/>
  <c r="CZ86" i="12"/>
  <c r="CY86" i="12"/>
  <c r="CX86" i="12"/>
  <c r="CW86" i="12"/>
  <c r="CV86" i="12"/>
  <c r="CU86" i="12"/>
  <c r="CT86" i="12"/>
  <c r="CS86" i="12"/>
  <c r="CR86" i="12"/>
  <c r="CQ86" i="12"/>
  <c r="CP86" i="12"/>
  <c r="CO86" i="12"/>
  <c r="CN86" i="12"/>
  <c r="CM86" i="12"/>
  <c r="CL86" i="12"/>
  <c r="CK86" i="12"/>
  <c r="CJ86" i="12"/>
  <c r="CI86" i="12"/>
  <c r="CH86" i="12"/>
  <c r="CG86" i="12"/>
  <c r="CF86" i="12"/>
  <c r="CE86" i="12"/>
  <c r="CD86" i="12"/>
  <c r="CC86" i="12"/>
  <c r="CB86" i="12"/>
  <c r="BZ86" i="12"/>
  <c r="BY86" i="12"/>
  <c r="BX86" i="12"/>
  <c r="BW86" i="12"/>
  <c r="BV86" i="12"/>
  <c r="BU86" i="12"/>
  <c r="BT86" i="12"/>
  <c r="BS86" i="12"/>
  <c r="BR86" i="12"/>
  <c r="BQ86" i="12"/>
  <c r="BP86" i="12"/>
  <c r="BO86" i="12"/>
  <c r="BN86" i="12"/>
  <c r="BM86" i="12"/>
  <c r="BL86" i="12"/>
  <c r="BK86" i="12"/>
  <c r="BJ86" i="12"/>
  <c r="BI86" i="12"/>
  <c r="BH86" i="12"/>
  <c r="BG86" i="12"/>
  <c r="BF86" i="12"/>
  <c r="BE86" i="12"/>
  <c r="BD86" i="12"/>
  <c r="BC86" i="12"/>
  <c r="BB86" i="12"/>
  <c r="BA86" i="12"/>
  <c r="AZ86" i="12"/>
  <c r="AM86" i="12"/>
  <c r="AF86" i="12"/>
  <c r="AE86" i="12"/>
  <c r="S86" i="12"/>
  <c r="N86" i="12"/>
  <c r="M86" i="12" s="1"/>
  <c r="L86" i="12"/>
  <c r="T86" i="12" s="1"/>
  <c r="U86" i="12" s="1"/>
  <c r="G86" i="12"/>
  <c r="F86" i="12"/>
  <c r="E86" i="12"/>
  <c r="GD85" i="12"/>
  <c r="GC85" i="12"/>
  <c r="GB85" i="12"/>
  <c r="GA85" i="12"/>
  <c r="FZ85" i="12"/>
  <c r="FY85" i="12"/>
  <c r="FX85" i="12"/>
  <c r="FW85" i="12"/>
  <c r="FV85" i="12"/>
  <c r="FT85" i="12" s="1"/>
  <c r="FR85" i="12" s="1"/>
  <c r="FF85" i="12"/>
  <c r="FE85" i="12"/>
  <c r="FD85" i="12"/>
  <c r="FC85" i="12"/>
  <c r="FB85" i="12"/>
  <c r="FA85" i="12"/>
  <c r="EZ85" i="12"/>
  <c r="EY85" i="12"/>
  <c r="EX85" i="12"/>
  <c r="EW85" i="12"/>
  <c r="EV85" i="12"/>
  <c r="EU85" i="12"/>
  <c r="ET85" i="12"/>
  <c r="EP85" i="12"/>
  <c r="DB85" i="12"/>
  <c r="DA85" i="12"/>
  <c r="CZ85" i="12"/>
  <c r="CY85" i="12"/>
  <c r="CX85" i="12"/>
  <c r="CW85" i="12"/>
  <c r="CV85" i="12"/>
  <c r="CU85" i="12"/>
  <c r="CT85" i="12"/>
  <c r="CS85" i="12"/>
  <c r="CR85" i="12"/>
  <c r="CQ85" i="12"/>
  <c r="CP85" i="12"/>
  <c r="CO85" i="12"/>
  <c r="CN85" i="12"/>
  <c r="CM85" i="12"/>
  <c r="CL85" i="12"/>
  <c r="CK85" i="12"/>
  <c r="CJ85" i="12"/>
  <c r="CI85" i="12"/>
  <c r="CH85" i="12"/>
  <c r="CG85" i="12"/>
  <c r="CF85" i="12"/>
  <c r="CE85" i="12"/>
  <c r="CD85" i="12"/>
  <c r="CC85" i="12"/>
  <c r="CB85" i="12"/>
  <c r="BZ85" i="12"/>
  <c r="BY85" i="12"/>
  <c r="BX85" i="12"/>
  <c r="BW85" i="12"/>
  <c r="BV85" i="12"/>
  <c r="BU85" i="12"/>
  <c r="BT85" i="12"/>
  <c r="BS85" i="12"/>
  <c r="BR85" i="12"/>
  <c r="BQ85" i="12"/>
  <c r="BP85" i="12"/>
  <c r="BO85" i="12"/>
  <c r="BN85" i="12"/>
  <c r="BM85" i="12"/>
  <c r="BL85" i="12"/>
  <c r="BK85" i="12"/>
  <c r="BJ85" i="12"/>
  <c r="BI85" i="12"/>
  <c r="BH85" i="12"/>
  <c r="BG85" i="12"/>
  <c r="BF85" i="12"/>
  <c r="BE85" i="12"/>
  <c r="BD85" i="12"/>
  <c r="BC85" i="12"/>
  <c r="BB85" i="12"/>
  <c r="BA85" i="12"/>
  <c r="AZ85" i="12"/>
  <c r="AM85" i="12"/>
  <c r="AF85" i="12"/>
  <c r="AE85" i="12"/>
  <c r="S85" i="12"/>
  <c r="N85" i="12"/>
  <c r="M85" i="12" s="1"/>
  <c r="L85" i="12"/>
  <c r="G85" i="12"/>
  <c r="F85" i="12"/>
  <c r="AO85" i="12" s="1"/>
  <c r="AQ85" i="12" s="1"/>
  <c r="E85" i="12"/>
  <c r="GD84" i="12"/>
  <c r="GC84" i="12"/>
  <c r="GB84" i="12"/>
  <c r="GA84" i="12"/>
  <c r="FZ84" i="12"/>
  <c r="FY84" i="12"/>
  <c r="FX84" i="12"/>
  <c r="FW84" i="12"/>
  <c r="FV84" i="12"/>
  <c r="FT84" i="12" s="1"/>
  <c r="FF84" i="12"/>
  <c r="FE84" i="12"/>
  <c r="FD84" i="12"/>
  <c r="FC84" i="12"/>
  <c r="FB84" i="12"/>
  <c r="FA84" i="12"/>
  <c r="EZ84" i="12"/>
  <c r="EY84" i="12"/>
  <c r="EX84" i="12"/>
  <c r="EW84" i="12"/>
  <c r="EV84" i="12"/>
  <c r="EU84" i="12"/>
  <c r="ET84" i="12"/>
  <c r="EP84" i="12"/>
  <c r="DB84" i="12"/>
  <c r="DA84" i="12"/>
  <c r="CZ84" i="12"/>
  <c r="CY84" i="12"/>
  <c r="CX84" i="12"/>
  <c r="CW84" i="12"/>
  <c r="CV84" i="12"/>
  <c r="CU84" i="12"/>
  <c r="CT84" i="12"/>
  <c r="CS84" i="12"/>
  <c r="CR84" i="12"/>
  <c r="CQ84" i="12"/>
  <c r="CP84" i="12"/>
  <c r="CO84" i="12"/>
  <c r="CN84" i="12"/>
  <c r="CM84" i="12"/>
  <c r="CL84" i="12"/>
  <c r="CK84" i="12"/>
  <c r="CJ84" i="12"/>
  <c r="CI84" i="12"/>
  <c r="CH84" i="12"/>
  <c r="CG84" i="12"/>
  <c r="CF84" i="12"/>
  <c r="CE84" i="12"/>
  <c r="CD84" i="12"/>
  <c r="CC84" i="12"/>
  <c r="CB84" i="12"/>
  <c r="BZ84" i="12"/>
  <c r="BY84" i="12"/>
  <c r="BX84" i="12"/>
  <c r="BW84" i="12"/>
  <c r="BV84" i="12"/>
  <c r="BU84" i="12"/>
  <c r="BT84" i="12"/>
  <c r="BS84" i="12"/>
  <c r="BR84" i="12"/>
  <c r="BQ84" i="12"/>
  <c r="BP84" i="12"/>
  <c r="BO84" i="12"/>
  <c r="BN84" i="12"/>
  <c r="BM84" i="12"/>
  <c r="BL84" i="12"/>
  <c r="BK84" i="12"/>
  <c r="BJ84" i="12"/>
  <c r="BI84" i="12"/>
  <c r="BH84" i="12"/>
  <c r="BG84" i="12"/>
  <c r="BF84" i="12"/>
  <c r="BE84" i="12"/>
  <c r="BD84" i="12"/>
  <c r="BC84" i="12"/>
  <c r="BB84" i="12"/>
  <c r="BA84" i="12"/>
  <c r="AZ84" i="12"/>
  <c r="AM84" i="12"/>
  <c r="AF84" i="12"/>
  <c r="AE84" i="12"/>
  <c r="S84" i="12"/>
  <c r="N84" i="12"/>
  <c r="M84" i="12" s="1"/>
  <c r="L84" i="12"/>
  <c r="G84" i="12"/>
  <c r="F84" i="12"/>
  <c r="AO84" i="12" s="1"/>
  <c r="AR84" i="12" s="1"/>
  <c r="E84" i="12"/>
  <c r="GD83" i="12"/>
  <c r="GC83" i="12"/>
  <c r="GB83" i="12"/>
  <c r="GA83" i="12"/>
  <c r="FZ83" i="12"/>
  <c r="FY83" i="12"/>
  <c r="FX83" i="12"/>
  <c r="FW83" i="12"/>
  <c r="FV83" i="12"/>
  <c r="FT83" i="12" s="1"/>
  <c r="FF83" i="12"/>
  <c r="FE83" i="12"/>
  <c r="FD83" i="12"/>
  <c r="FC83" i="12"/>
  <c r="FB83" i="12"/>
  <c r="FA83" i="12"/>
  <c r="EZ83" i="12"/>
  <c r="EY83" i="12"/>
  <c r="EX83" i="12"/>
  <c r="EW83" i="12"/>
  <c r="EV83" i="12"/>
  <c r="EU83" i="12"/>
  <c r="ET83" i="12"/>
  <c r="ER83" i="12"/>
  <c r="EP83" i="12"/>
  <c r="DB83" i="12"/>
  <c r="DA83" i="12"/>
  <c r="CZ83" i="12"/>
  <c r="CY83" i="12"/>
  <c r="CX83" i="12"/>
  <c r="CW83" i="12"/>
  <c r="CV83" i="12"/>
  <c r="CU83" i="12"/>
  <c r="CT83" i="12"/>
  <c r="CS83" i="12"/>
  <c r="CR83" i="12"/>
  <c r="CQ83" i="12"/>
  <c r="CP83" i="12"/>
  <c r="CO83" i="12"/>
  <c r="CN83" i="12"/>
  <c r="CM83" i="12"/>
  <c r="CL83" i="12"/>
  <c r="CK83" i="12"/>
  <c r="CJ83" i="12"/>
  <c r="CI83" i="12"/>
  <c r="CH83" i="12"/>
  <c r="CG83" i="12"/>
  <c r="CF83" i="12"/>
  <c r="CE83" i="12"/>
  <c r="CD83" i="12"/>
  <c r="CC83" i="12"/>
  <c r="CB83" i="12"/>
  <c r="BZ83" i="12"/>
  <c r="BY83" i="12"/>
  <c r="BX83" i="12"/>
  <c r="BW83" i="12"/>
  <c r="BV83" i="12"/>
  <c r="BU83" i="12"/>
  <c r="BT83" i="12"/>
  <c r="BS83" i="12"/>
  <c r="BR83" i="12"/>
  <c r="BQ83" i="12"/>
  <c r="BP83" i="12"/>
  <c r="BO83" i="12"/>
  <c r="BN83" i="12"/>
  <c r="BM83" i="12"/>
  <c r="BL83" i="12"/>
  <c r="BK83" i="12"/>
  <c r="BJ83" i="12"/>
  <c r="BI83" i="12"/>
  <c r="BH83" i="12"/>
  <c r="BG83" i="12"/>
  <c r="BF83" i="12"/>
  <c r="BE83" i="12"/>
  <c r="BD83" i="12"/>
  <c r="BC83" i="12"/>
  <c r="BB83" i="12"/>
  <c r="BA83" i="12"/>
  <c r="AZ83" i="12"/>
  <c r="AM83" i="12"/>
  <c r="AF83" i="12"/>
  <c r="AG83" i="12" s="1"/>
  <c r="AE83" i="12"/>
  <c r="S83" i="12"/>
  <c r="N83" i="12"/>
  <c r="M83" i="12" s="1"/>
  <c r="L83" i="12"/>
  <c r="DR83" i="12" s="1"/>
  <c r="G83" i="12"/>
  <c r="F83" i="12"/>
  <c r="Z83" i="12" s="1"/>
  <c r="E83" i="12"/>
  <c r="GD82" i="12"/>
  <c r="GC82" i="12"/>
  <c r="GB82" i="12"/>
  <c r="GA82" i="12"/>
  <c r="FZ82" i="12"/>
  <c r="FY82" i="12"/>
  <c r="FX82" i="12"/>
  <c r="FW82" i="12"/>
  <c r="FV82" i="12"/>
  <c r="FT82" i="12" s="1"/>
  <c r="FJ82" i="12" s="1"/>
  <c r="FN82" i="12"/>
  <c r="FK82" i="12"/>
  <c r="FF82" i="12"/>
  <c r="FE82" i="12"/>
  <c r="FD82" i="12"/>
  <c r="FC82" i="12"/>
  <c r="FB82" i="12"/>
  <c r="FA82" i="12"/>
  <c r="EZ82" i="12"/>
  <c r="EY82" i="12"/>
  <c r="EX82" i="12"/>
  <c r="EW82" i="12"/>
  <c r="EV82" i="12"/>
  <c r="EU82" i="12"/>
  <c r="ET82" i="12"/>
  <c r="EP82" i="12"/>
  <c r="DB82" i="12"/>
  <c r="DA82" i="12"/>
  <c r="CZ82" i="12"/>
  <c r="CY82" i="12"/>
  <c r="CX82" i="12"/>
  <c r="CW82" i="12"/>
  <c r="CV82" i="12"/>
  <c r="CU82" i="12"/>
  <c r="CT82" i="12"/>
  <c r="CS82" i="12"/>
  <c r="CR82" i="12"/>
  <c r="CQ82" i="12"/>
  <c r="CP82" i="12"/>
  <c r="CO82" i="12"/>
  <c r="CN82" i="12"/>
  <c r="CM82" i="12"/>
  <c r="CL82" i="12"/>
  <c r="CK82" i="12"/>
  <c r="CJ82" i="12"/>
  <c r="CI82" i="12"/>
  <c r="CH82" i="12"/>
  <c r="CG82" i="12"/>
  <c r="CF82" i="12"/>
  <c r="CE82" i="12"/>
  <c r="CD82" i="12"/>
  <c r="CC82" i="12"/>
  <c r="CB82" i="12"/>
  <c r="BZ82" i="12"/>
  <c r="BY82" i="12"/>
  <c r="BX82" i="12"/>
  <c r="BW82" i="12"/>
  <c r="BV82" i="12"/>
  <c r="BU82" i="12"/>
  <c r="BT82" i="12"/>
  <c r="BS82" i="12"/>
  <c r="BR82" i="12"/>
  <c r="BQ82" i="12"/>
  <c r="BP82" i="12"/>
  <c r="BO82" i="12"/>
  <c r="BN82" i="12"/>
  <c r="BM82" i="12"/>
  <c r="BL82" i="12"/>
  <c r="BK82" i="12"/>
  <c r="BJ82" i="12"/>
  <c r="BI82" i="12"/>
  <c r="BH82" i="12"/>
  <c r="BG82" i="12"/>
  <c r="BF82" i="12"/>
  <c r="BE82" i="12"/>
  <c r="BD82" i="12"/>
  <c r="BC82" i="12"/>
  <c r="BB82" i="12"/>
  <c r="BA82" i="12"/>
  <c r="AZ82" i="12"/>
  <c r="AM82" i="12"/>
  <c r="AF82" i="12"/>
  <c r="AE82" i="12"/>
  <c r="S82" i="12"/>
  <c r="N82" i="12"/>
  <c r="M82" i="12" s="1"/>
  <c r="L82" i="12"/>
  <c r="DT82" i="12" s="1"/>
  <c r="EI82" i="12" s="1"/>
  <c r="G82" i="12"/>
  <c r="F82" i="12"/>
  <c r="AS82" i="12" s="1"/>
  <c r="E82" i="12"/>
  <c r="GD81" i="12"/>
  <c r="GC81" i="12"/>
  <c r="GB81" i="12"/>
  <c r="GA81" i="12"/>
  <c r="FZ81" i="12"/>
  <c r="FY81" i="12"/>
  <c r="FX81" i="12"/>
  <c r="FW81" i="12"/>
  <c r="FV81" i="12"/>
  <c r="FT81" i="12" s="1"/>
  <c r="FF81" i="12"/>
  <c r="FE81" i="12"/>
  <c r="FD81" i="12"/>
  <c r="FC81" i="12"/>
  <c r="FB81" i="12"/>
  <c r="FA81" i="12"/>
  <c r="EZ81" i="12"/>
  <c r="EY81" i="12"/>
  <c r="EX81" i="12"/>
  <c r="EW81" i="12"/>
  <c r="EV81" i="12"/>
  <c r="EU81" i="12"/>
  <c r="ET81" i="12"/>
  <c r="EQ81" i="12"/>
  <c r="EP81" i="12"/>
  <c r="DB81" i="12"/>
  <c r="DA81" i="12"/>
  <c r="CZ81" i="12"/>
  <c r="CY81" i="12"/>
  <c r="CX81" i="12"/>
  <c r="CW81" i="12"/>
  <c r="CV81" i="12"/>
  <c r="CU81" i="12"/>
  <c r="CT81" i="12"/>
  <c r="CS81" i="12"/>
  <c r="CR81" i="12"/>
  <c r="CQ81" i="12"/>
  <c r="CP81" i="12"/>
  <c r="CO81" i="12"/>
  <c r="CN81" i="12"/>
  <c r="CM81" i="12"/>
  <c r="CL81" i="12"/>
  <c r="CK81" i="12"/>
  <c r="CJ81" i="12"/>
  <c r="CI81" i="12"/>
  <c r="CH81" i="12"/>
  <c r="CG81" i="12"/>
  <c r="CF81" i="12"/>
  <c r="CE81" i="12"/>
  <c r="CD81" i="12"/>
  <c r="CC81" i="12"/>
  <c r="CB81" i="12"/>
  <c r="BZ81" i="12"/>
  <c r="BY81" i="12"/>
  <c r="BX81" i="12"/>
  <c r="BW81" i="12"/>
  <c r="BV81" i="12"/>
  <c r="BU81" i="12"/>
  <c r="BT81" i="12"/>
  <c r="BS81" i="12"/>
  <c r="BR81" i="12"/>
  <c r="BQ81" i="12"/>
  <c r="BP81" i="12"/>
  <c r="BO81" i="12"/>
  <c r="BN81" i="12"/>
  <c r="BM81" i="12"/>
  <c r="BL81" i="12"/>
  <c r="BK81" i="12"/>
  <c r="BJ81" i="12"/>
  <c r="BI81" i="12"/>
  <c r="BH81" i="12"/>
  <c r="BG81" i="12"/>
  <c r="BF81" i="12"/>
  <c r="BE81" i="12"/>
  <c r="BD81" i="12"/>
  <c r="BC81" i="12"/>
  <c r="BB81" i="12"/>
  <c r="BA81" i="12"/>
  <c r="AZ81" i="12"/>
  <c r="AM81" i="12"/>
  <c r="AF81" i="12"/>
  <c r="AE81" i="12"/>
  <c r="AG81" i="12" s="1"/>
  <c r="S81" i="12"/>
  <c r="N81" i="12"/>
  <c r="M81" i="12" s="1"/>
  <c r="L81" i="12"/>
  <c r="EF81" i="12" s="1"/>
  <c r="G81" i="12"/>
  <c r="F81" i="12"/>
  <c r="E81" i="12"/>
  <c r="GD80" i="12"/>
  <c r="GC80" i="12"/>
  <c r="GB80" i="12"/>
  <c r="GA80" i="12"/>
  <c r="FZ80" i="12"/>
  <c r="FY80" i="12"/>
  <c r="FX80" i="12"/>
  <c r="FW80" i="12"/>
  <c r="FV80" i="12"/>
  <c r="FT80" i="12" s="1"/>
  <c r="FS80" i="12" s="1"/>
  <c r="FF80" i="12"/>
  <c r="FE80" i="12"/>
  <c r="FD80" i="12"/>
  <c r="FC80" i="12"/>
  <c r="FB80" i="12"/>
  <c r="FA80" i="12"/>
  <c r="EZ80" i="12"/>
  <c r="EY80" i="12"/>
  <c r="EX80" i="12"/>
  <c r="EW80" i="12"/>
  <c r="EV80" i="12"/>
  <c r="EU80" i="12"/>
  <c r="ET80" i="12"/>
  <c r="EP80" i="12"/>
  <c r="DB80" i="12"/>
  <c r="DA80" i="12"/>
  <c r="CZ80" i="12"/>
  <c r="CY80" i="12"/>
  <c r="CX80" i="12"/>
  <c r="CW80" i="12"/>
  <c r="CV80" i="12"/>
  <c r="CU80" i="12"/>
  <c r="CT80" i="12"/>
  <c r="CS80" i="12"/>
  <c r="CR80" i="12"/>
  <c r="CQ80" i="12"/>
  <c r="CP80" i="12"/>
  <c r="CO80" i="12"/>
  <c r="CN80" i="12"/>
  <c r="CM80" i="12"/>
  <c r="CL80" i="12"/>
  <c r="CK80" i="12"/>
  <c r="CJ80" i="12"/>
  <c r="CI80" i="12"/>
  <c r="CH80" i="12"/>
  <c r="CG80" i="12"/>
  <c r="CF80" i="12"/>
  <c r="CE80" i="12"/>
  <c r="CD80" i="12"/>
  <c r="CC80" i="12"/>
  <c r="CB80" i="12"/>
  <c r="BZ80" i="12"/>
  <c r="BY80" i="12"/>
  <c r="BX80" i="12"/>
  <c r="BW80" i="12"/>
  <c r="BV80" i="12"/>
  <c r="BU80" i="12"/>
  <c r="BT80" i="12"/>
  <c r="BS80" i="12"/>
  <c r="BR80" i="12"/>
  <c r="BQ80" i="12"/>
  <c r="BP80" i="12"/>
  <c r="BO80" i="12"/>
  <c r="BN80" i="12"/>
  <c r="BM80" i="12"/>
  <c r="BL80" i="12"/>
  <c r="BK80" i="12"/>
  <c r="BJ80" i="12"/>
  <c r="BI80" i="12"/>
  <c r="BH80" i="12"/>
  <c r="BG80" i="12"/>
  <c r="BF80" i="12"/>
  <c r="BE80" i="12"/>
  <c r="BD80" i="12"/>
  <c r="BC80" i="12"/>
  <c r="BB80" i="12"/>
  <c r="BA80" i="12"/>
  <c r="AZ80" i="12"/>
  <c r="AM80" i="12"/>
  <c r="AF80" i="12"/>
  <c r="AE80" i="12"/>
  <c r="AG80" i="12" s="1"/>
  <c r="S80" i="12"/>
  <c r="N80" i="12"/>
  <c r="M80" i="12" s="1"/>
  <c r="L80" i="12"/>
  <c r="G80" i="12"/>
  <c r="F80" i="12"/>
  <c r="Z80" i="12" s="1"/>
  <c r="E80" i="12"/>
  <c r="GD79" i="12"/>
  <c r="GC79" i="12"/>
  <c r="GB79" i="12"/>
  <c r="GA79" i="12"/>
  <c r="FZ79" i="12"/>
  <c r="FY79" i="12"/>
  <c r="FX79" i="12"/>
  <c r="FW79" i="12"/>
  <c r="FV79" i="12"/>
  <c r="FT79" i="12" s="1"/>
  <c r="FN79" i="12" s="1"/>
  <c r="FF79" i="12"/>
  <c r="FE79" i="12"/>
  <c r="FD79" i="12"/>
  <c r="FC79" i="12"/>
  <c r="FB79" i="12"/>
  <c r="FA79" i="12"/>
  <c r="EZ79" i="12"/>
  <c r="EY79" i="12"/>
  <c r="EX79" i="12"/>
  <c r="EW79" i="12"/>
  <c r="EV79" i="12"/>
  <c r="EU79" i="12"/>
  <c r="ET79" i="12"/>
  <c r="EP79" i="12"/>
  <c r="DB79" i="12"/>
  <c r="DA79" i="12"/>
  <c r="CZ79" i="12"/>
  <c r="CY79" i="12"/>
  <c r="CX79" i="12"/>
  <c r="CW79" i="12"/>
  <c r="CV79" i="12"/>
  <c r="CU79" i="12"/>
  <c r="CT79" i="12"/>
  <c r="CS79" i="12"/>
  <c r="CR79" i="12"/>
  <c r="CQ79" i="12"/>
  <c r="CP79" i="12"/>
  <c r="CO79" i="12"/>
  <c r="CN79" i="12"/>
  <c r="CM79" i="12"/>
  <c r="CL79" i="12"/>
  <c r="CK79" i="12"/>
  <c r="CJ79" i="12"/>
  <c r="CI79" i="12"/>
  <c r="CH79" i="12"/>
  <c r="CG79" i="12"/>
  <c r="CF79" i="12"/>
  <c r="CE79" i="12"/>
  <c r="CD79" i="12"/>
  <c r="CC79" i="12"/>
  <c r="CB79" i="12"/>
  <c r="BZ79" i="12"/>
  <c r="BY79" i="12"/>
  <c r="BX79" i="12"/>
  <c r="BW79" i="12"/>
  <c r="BV79" i="12"/>
  <c r="BU79" i="12"/>
  <c r="BT79" i="12"/>
  <c r="BS79" i="12"/>
  <c r="BR79" i="12"/>
  <c r="BQ79" i="12"/>
  <c r="BP79" i="12"/>
  <c r="BO79" i="12"/>
  <c r="BN79" i="12"/>
  <c r="BM79" i="12"/>
  <c r="BL79" i="12"/>
  <c r="BK79" i="12"/>
  <c r="BJ79" i="12"/>
  <c r="BI79" i="12"/>
  <c r="BH79" i="12"/>
  <c r="BG79" i="12"/>
  <c r="BF79" i="12"/>
  <c r="BE79" i="12"/>
  <c r="BD79" i="12"/>
  <c r="BC79" i="12"/>
  <c r="BB79" i="12"/>
  <c r="BA79" i="12"/>
  <c r="AZ79" i="12"/>
  <c r="AM79" i="12"/>
  <c r="AF79" i="12"/>
  <c r="AE79" i="12"/>
  <c r="S79" i="12"/>
  <c r="N79" i="12"/>
  <c r="M79" i="12" s="1"/>
  <c r="L79" i="12"/>
  <c r="DO79" i="12" s="1"/>
  <c r="G79" i="12"/>
  <c r="F79" i="12"/>
  <c r="E79" i="12"/>
  <c r="GD78" i="12"/>
  <c r="GC78" i="12"/>
  <c r="GB78" i="12"/>
  <c r="GA78" i="12"/>
  <c r="FZ78" i="12"/>
  <c r="FY78" i="12"/>
  <c r="FX78" i="12"/>
  <c r="FW78" i="12"/>
  <c r="FV78" i="12"/>
  <c r="FT78" i="12" s="1"/>
  <c r="FQ78" i="12" s="1"/>
  <c r="FF78" i="12"/>
  <c r="FE78" i="12"/>
  <c r="FD78" i="12"/>
  <c r="FC78" i="12"/>
  <c r="FB78" i="12"/>
  <c r="FA78" i="12"/>
  <c r="EZ78" i="12"/>
  <c r="EY78" i="12"/>
  <c r="EX78" i="12"/>
  <c r="EW78" i="12"/>
  <c r="EV78" i="12"/>
  <c r="EU78" i="12"/>
  <c r="ET78" i="12"/>
  <c r="ER78" i="12"/>
  <c r="EP78" i="12"/>
  <c r="DB78" i="12"/>
  <c r="DA78" i="12"/>
  <c r="CZ78" i="12"/>
  <c r="CY78" i="12"/>
  <c r="CX78" i="12"/>
  <c r="CW78" i="12"/>
  <c r="CV78" i="12"/>
  <c r="CU78" i="12"/>
  <c r="CT78" i="12"/>
  <c r="CS78" i="12"/>
  <c r="CR78" i="12"/>
  <c r="CQ78" i="12"/>
  <c r="CP78" i="12"/>
  <c r="CO78" i="12"/>
  <c r="CN78" i="12"/>
  <c r="CM78" i="12"/>
  <c r="CL78" i="12"/>
  <c r="CK78" i="12"/>
  <c r="CJ78" i="12"/>
  <c r="CI78" i="12"/>
  <c r="CH78" i="12"/>
  <c r="CG78" i="12"/>
  <c r="CF78" i="12"/>
  <c r="CE78" i="12"/>
  <c r="CD78" i="12"/>
  <c r="CC78" i="12"/>
  <c r="CB78" i="12"/>
  <c r="BZ78" i="12"/>
  <c r="BY78" i="12"/>
  <c r="BX78" i="12"/>
  <c r="BW78" i="12"/>
  <c r="BV78" i="12"/>
  <c r="BU78" i="12"/>
  <c r="BT78" i="12"/>
  <c r="BS78" i="12"/>
  <c r="BR78" i="12"/>
  <c r="BQ78" i="12"/>
  <c r="BP78" i="12"/>
  <c r="BO78" i="12"/>
  <c r="BN78" i="12"/>
  <c r="BM78" i="12"/>
  <c r="BL78" i="12"/>
  <c r="BK78" i="12"/>
  <c r="BJ78" i="12"/>
  <c r="BI78" i="12"/>
  <c r="BH78" i="12"/>
  <c r="BG78" i="12"/>
  <c r="BF78" i="12"/>
  <c r="BE78" i="12"/>
  <c r="BD78" i="12"/>
  <c r="BC78" i="12"/>
  <c r="BB78" i="12"/>
  <c r="BA78" i="12"/>
  <c r="AZ78" i="12"/>
  <c r="AM78" i="12"/>
  <c r="AG78" i="12"/>
  <c r="AF78" i="12"/>
  <c r="AE78" i="12"/>
  <c r="S78" i="12"/>
  <c r="N78" i="12"/>
  <c r="M78" i="12" s="1"/>
  <c r="L78" i="12"/>
  <c r="G78" i="12"/>
  <c r="F78" i="12"/>
  <c r="Z78" i="12" s="1"/>
  <c r="E78" i="12"/>
  <c r="GD77" i="12"/>
  <c r="GC77" i="12"/>
  <c r="GB77" i="12"/>
  <c r="GA77" i="12"/>
  <c r="FZ77" i="12"/>
  <c r="FY77" i="12"/>
  <c r="FX77" i="12"/>
  <c r="FW77" i="12"/>
  <c r="FV77" i="12"/>
  <c r="FT77" i="12" s="1"/>
  <c r="FQ77" i="12"/>
  <c r="FF77" i="12"/>
  <c r="FE77" i="12"/>
  <c r="FD77" i="12"/>
  <c r="FC77" i="12"/>
  <c r="FB77" i="12"/>
  <c r="FA77" i="12"/>
  <c r="EZ77" i="12"/>
  <c r="EY77" i="12"/>
  <c r="EX77" i="12"/>
  <c r="EW77" i="12"/>
  <c r="EV77" i="12"/>
  <c r="EU77" i="12"/>
  <c r="ET77" i="12"/>
  <c r="EP77" i="12"/>
  <c r="DB77" i="12"/>
  <c r="DA77" i="12"/>
  <c r="CZ77" i="12"/>
  <c r="CY77" i="12"/>
  <c r="CX77" i="12"/>
  <c r="CW77" i="12"/>
  <c r="CV77" i="12"/>
  <c r="CU77" i="12"/>
  <c r="CT77" i="12"/>
  <c r="CS77" i="12"/>
  <c r="CR77" i="12"/>
  <c r="CQ77" i="12"/>
  <c r="CP77" i="12"/>
  <c r="CO77" i="12"/>
  <c r="CN77" i="12"/>
  <c r="CM77" i="12"/>
  <c r="CL77" i="12"/>
  <c r="CK77" i="12"/>
  <c r="CJ77" i="12"/>
  <c r="CI77" i="12"/>
  <c r="CH77" i="12"/>
  <c r="CG77" i="12"/>
  <c r="CF77" i="12"/>
  <c r="CE77" i="12"/>
  <c r="CD77" i="12"/>
  <c r="CC77" i="12"/>
  <c r="CB77" i="12"/>
  <c r="BZ77" i="12"/>
  <c r="BY77" i="12"/>
  <c r="BX77" i="12"/>
  <c r="BW77" i="12"/>
  <c r="BV77" i="12"/>
  <c r="BU77" i="12"/>
  <c r="BT77" i="12"/>
  <c r="BS77" i="12"/>
  <c r="BR77" i="12"/>
  <c r="BQ77" i="12"/>
  <c r="BP77" i="12"/>
  <c r="BO77" i="12"/>
  <c r="BN77" i="12"/>
  <c r="BM77" i="12"/>
  <c r="BL77" i="12"/>
  <c r="BK77" i="12"/>
  <c r="BJ77" i="12"/>
  <c r="BI77" i="12"/>
  <c r="BH77" i="12"/>
  <c r="BG77" i="12"/>
  <c r="BF77" i="12"/>
  <c r="BE77" i="12"/>
  <c r="BD77" i="12"/>
  <c r="BC77" i="12"/>
  <c r="BB77" i="12"/>
  <c r="BA77" i="12"/>
  <c r="AZ77" i="12"/>
  <c r="AM77" i="12"/>
  <c r="AF77" i="12"/>
  <c r="AE77" i="12"/>
  <c r="S77" i="12"/>
  <c r="N77" i="12"/>
  <c r="M77" i="12" s="1"/>
  <c r="L77" i="12"/>
  <c r="EC77" i="12" s="1"/>
  <c r="G77" i="12"/>
  <c r="F77" i="12"/>
  <c r="AS77" i="12" s="1"/>
  <c r="E77" i="12"/>
  <c r="GD76" i="12"/>
  <c r="GC76" i="12"/>
  <c r="GB76" i="12"/>
  <c r="GA76" i="12"/>
  <c r="FZ76" i="12"/>
  <c r="FY76" i="12"/>
  <c r="FX76" i="12"/>
  <c r="FW76" i="12"/>
  <c r="FV76" i="12"/>
  <c r="FT76" i="12" s="1"/>
  <c r="FS76" i="12" s="1"/>
  <c r="FL76" i="12"/>
  <c r="FF76" i="12"/>
  <c r="FE76" i="12"/>
  <c r="FD76" i="12"/>
  <c r="FC76" i="12"/>
  <c r="FB76" i="12"/>
  <c r="FA76" i="12"/>
  <c r="EZ76" i="12"/>
  <c r="EY76" i="12"/>
  <c r="EX76" i="12"/>
  <c r="EW76" i="12"/>
  <c r="EV76" i="12"/>
  <c r="EU76" i="12"/>
  <c r="ET76" i="12"/>
  <c r="ER76" i="12"/>
  <c r="EP76" i="12"/>
  <c r="DB76" i="12"/>
  <c r="DA76" i="12"/>
  <c r="CZ76" i="12"/>
  <c r="CY76" i="12"/>
  <c r="CX76" i="12"/>
  <c r="CW76" i="12"/>
  <c r="CV76" i="12"/>
  <c r="CU76" i="12"/>
  <c r="CT76" i="12"/>
  <c r="CS76" i="12"/>
  <c r="CR76" i="12"/>
  <c r="CQ76" i="12"/>
  <c r="CP76" i="12"/>
  <c r="CO76" i="12"/>
  <c r="CN76" i="12"/>
  <c r="CM76" i="12"/>
  <c r="CL76" i="12"/>
  <c r="CK76" i="12"/>
  <c r="CJ76" i="12"/>
  <c r="CI76" i="12"/>
  <c r="CH76" i="12"/>
  <c r="CG76" i="12"/>
  <c r="CF76" i="12"/>
  <c r="CE76" i="12"/>
  <c r="CD76" i="12"/>
  <c r="CC76" i="12"/>
  <c r="CB76" i="12"/>
  <c r="BZ76" i="12"/>
  <c r="BY76" i="12"/>
  <c r="BX76" i="12"/>
  <c r="BW76" i="12"/>
  <c r="BV76" i="12"/>
  <c r="BU76" i="12"/>
  <c r="BT76" i="12"/>
  <c r="BS76" i="12"/>
  <c r="BR76" i="12"/>
  <c r="BQ76" i="12"/>
  <c r="BP76" i="12"/>
  <c r="BO76" i="12"/>
  <c r="BN76" i="12"/>
  <c r="BM76" i="12"/>
  <c r="BL76" i="12"/>
  <c r="BK76" i="12"/>
  <c r="BJ76" i="12"/>
  <c r="BI76" i="12"/>
  <c r="BH76" i="12"/>
  <c r="BG76" i="12"/>
  <c r="BF76" i="12"/>
  <c r="BE76" i="12"/>
  <c r="BD76" i="12"/>
  <c r="BC76" i="12"/>
  <c r="BB76" i="12"/>
  <c r="BA76" i="12"/>
  <c r="AZ76" i="12"/>
  <c r="AM76" i="12"/>
  <c r="AF76" i="12"/>
  <c r="AE76" i="12"/>
  <c r="S76" i="12"/>
  <c r="N76" i="12"/>
  <c r="M76" i="12" s="1"/>
  <c r="L76" i="12"/>
  <c r="EB76" i="12" s="1"/>
  <c r="G76" i="12"/>
  <c r="F76" i="12"/>
  <c r="Z76" i="12" s="1"/>
  <c r="E76" i="12"/>
  <c r="GD75" i="12"/>
  <c r="GC75" i="12"/>
  <c r="GB75" i="12"/>
  <c r="GA75" i="12"/>
  <c r="FZ75" i="12"/>
  <c r="FY75" i="12"/>
  <c r="FX75" i="12"/>
  <c r="FW75" i="12"/>
  <c r="FV75" i="12"/>
  <c r="FT75" i="12"/>
  <c r="FM75" i="12"/>
  <c r="FF75" i="12"/>
  <c r="FE75" i="12"/>
  <c r="FD75" i="12"/>
  <c r="FC75" i="12"/>
  <c r="FB75" i="12"/>
  <c r="FA75" i="12"/>
  <c r="EZ75" i="12"/>
  <c r="EY75" i="12"/>
  <c r="EX75" i="12"/>
  <c r="EW75" i="12"/>
  <c r="EV75" i="12"/>
  <c r="EU75" i="12"/>
  <c r="ET75" i="12"/>
  <c r="EP75" i="12"/>
  <c r="DB75" i="12"/>
  <c r="DA75" i="12"/>
  <c r="CZ75" i="12"/>
  <c r="CY75" i="12"/>
  <c r="CX75" i="12"/>
  <c r="CW75" i="12"/>
  <c r="CV75" i="12"/>
  <c r="CU75" i="12"/>
  <c r="CT75" i="12"/>
  <c r="CS75" i="12"/>
  <c r="CR75" i="12"/>
  <c r="CQ75" i="12"/>
  <c r="CP75" i="12"/>
  <c r="CO75" i="12"/>
  <c r="CN75" i="12"/>
  <c r="CM75" i="12"/>
  <c r="CL75" i="12"/>
  <c r="CK75" i="12"/>
  <c r="CJ75" i="12"/>
  <c r="CI75" i="12"/>
  <c r="CH75" i="12"/>
  <c r="CG75" i="12"/>
  <c r="CF75" i="12"/>
  <c r="CE75" i="12"/>
  <c r="CD75" i="12"/>
  <c r="CC75" i="12"/>
  <c r="CB75" i="12"/>
  <c r="BZ75" i="12"/>
  <c r="BY75" i="12"/>
  <c r="BX75" i="12"/>
  <c r="BW75" i="12"/>
  <c r="BV75" i="12"/>
  <c r="BU75" i="12"/>
  <c r="BT75" i="12"/>
  <c r="BS75" i="12"/>
  <c r="BR75" i="12"/>
  <c r="BQ75" i="12"/>
  <c r="BP75" i="12"/>
  <c r="BO75" i="12"/>
  <c r="BN75" i="12"/>
  <c r="BM75" i="12"/>
  <c r="BL75" i="12"/>
  <c r="BK75" i="12"/>
  <c r="BJ75" i="12"/>
  <c r="BI75" i="12"/>
  <c r="BH75" i="12"/>
  <c r="BG75" i="12"/>
  <c r="BF75" i="12"/>
  <c r="BE75" i="12"/>
  <c r="BD75" i="12"/>
  <c r="BC75" i="12"/>
  <c r="BB75" i="12"/>
  <c r="BA75" i="12"/>
  <c r="AZ75" i="12"/>
  <c r="AM75" i="12"/>
  <c r="AF75" i="12"/>
  <c r="AE75" i="12"/>
  <c r="S75" i="12"/>
  <c r="N75" i="12"/>
  <c r="M75" i="12" s="1"/>
  <c r="L75" i="12"/>
  <c r="K75" i="12" s="1"/>
  <c r="G75" i="12"/>
  <c r="F75" i="12"/>
  <c r="Z75" i="12" s="1"/>
  <c r="AA75" i="12" s="1"/>
  <c r="E75" i="12"/>
  <c r="GD74" i="12"/>
  <c r="GC74" i="12"/>
  <c r="GB74" i="12"/>
  <c r="GA74" i="12"/>
  <c r="FZ74" i="12"/>
  <c r="FY74" i="12"/>
  <c r="FX74" i="12"/>
  <c r="FW74" i="12"/>
  <c r="FV74" i="12"/>
  <c r="FT74" i="12" s="1"/>
  <c r="FS74" i="12" s="1"/>
  <c r="FJ74" i="12"/>
  <c r="FF74" i="12"/>
  <c r="FE74" i="12"/>
  <c r="FD74" i="12"/>
  <c r="FC74" i="12"/>
  <c r="FB74" i="12"/>
  <c r="FA74" i="12"/>
  <c r="EZ74" i="12"/>
  <c r="EY74" i="12"/>
  <c r="EX74" i="12"/>
  <c r="EW74" i="12"/>
  <c r="EV74" i="12"/>
  <c r="EU74" i="12"/>
  <c r="ET74" i="12"/>
  <c r="ER74" i="12"/>
  <c r="EP74" i="12"/>
  <c r="DB74" i="12"/>
  <c r="DA74" i="12"/>
  <c r="CZ74" i="12"/>
  <c r="CY74" i="12"/>
  <c r="CX74" i="12"/>
  <c r="CW74" i="12"/>
  <c r="CV74" i="12"/>
  <c r="CU74" i="12"/>
  <c r="CT74" i="12"/>
  <c r="CS74" i="12"/>
  <c r="CR74" i="12"/>
  <c r="CQ74" i="12"/>
  <c r="CP74" i="12"/>
  <c r="CO74" i="12"/>
  <c r="CN74" i="12"/>
  <c r="CM74" i="12"/>
  <c r="CL74" i="12"/>
  <c r="CK74" i="12"/>
  <c r="CJ74" i="12"/>
  <c r="CI74" i="12"/>
  <c r="CH74" i="12"/>
  <c r="CG74" i="12"/>
  <c r="CF74" i="12"/>
  <c r="CE74" i="12"/>
  <c r="CD74" i="12"/>
  <c r="CC74" i="12"/>
  <c r="CB74" i="12"/>
  <c r="BZ74" i="12"/>
  <c r="BY74" i="12"/>
  <c r="BX74" i="12"/>
  <c r="BW74" i="12"/>
  <c r="BV74" i="12"/>
  <c r="BU74" i="12"/>
  <c r="BT74" i="12"/>
  <c r="BS74" i="12"/>
  <c r="BR74" i="12"/>
  <c r="BQ74" i="12"/>
  <c r="BP74" i="12"/>
  <c r="BO74" i="12"/>
  <c r="BN74" i="12"/>
  <c r="BM74" i="12"/>
  <c r="BL74" i="12"/>
  <c r="BK74" i="12"/>
  <c r="BJ74" i="12"/>
  <c r="BI74" i="12"/>
  <c r="BH74" i="12"/>
  <c r="BG74" i="12"/>
  <c r="BF74" i="12"/>
  <c r="BE74" i="12"/>
  <c r="BD74" i="12"/>
  <c r="BC74" i="12"/>
  <c r="BB74" i="12"/>
  <c r="BA74" i="12"/>
  <c r="AZ74" i="12"/>
  <c r="AM74" i="12"/>
  <c r="AF74" i="12"/>
  <c r="AE74" i="12"/>
  <c r="S74" i="12"/>
  <c r="N74" i="12"/>
  <c r="M74" i="12" s="1"/>
  <c r="L74" i="12"/>
  <c r="DX74" i="12" s="1"/>
  <c r="EL74" i="12" s="1"/>
  <c r="G74" i="12"/>
  <c r="F74" i="12"/>
  <c r="E74" i="12"/>
  <c r="GD73" i="12"/>
  <c r="GC73" i="12"/>
  <c r="GB73" i="12"/>
  <c r="GA73" i="12"/>
  <c r="FZ73" i="12"/>
  <c r="FY73" i="12"/>
  <c r="FX73" i="12"/>
  <c r="FW73" i="12"/>
  <c r="FV73" i="12"/>
  <c r="FT73" i="12" s="1"/>
  <c r="FR73" i="12" s="1"/>
  <c r="FF73" i="12"/>
  <c r="FE73" i="12"/>
  <c r="FD73" i="12"/>
  <c r="FC73" i="12"/>
  <c r="FB73" i="12"/>
  <c r="FA73" i="12"/>
  <c r="EZ73" i="12"/>
  <c r="EY73" i="12"/>
  <c r="EX73" i="12"/>
  <c r="EW73" i="12"/>
  <c r="EV73" i="12"/>
  <c r="EU73" i="12"/>
  <c r="ET73" i="12"/>
  <c r="EQ73" i="12"/>
  <c r="EP73" i="12"/>
  <c r="DB73" i="12"/>
  <c r="DA73" i="12"/>
  <c r="CZ73" i="12"/>
  <c r="CY73" i="12"/>
  <c r="CX73" i="12"/>
  <c r="CW73" i="12"/>
  <c r="CV73" i="12"/>
  <c r="CU73" i="12"/>
  <c r="CT73" i="12"/>
  <c r="CS73" i="12"/>
  <c r="CR73" i="12"/>
  <c r="CQ73" i="12"/>
  <c r="CP73" i="12"/>
  <c r="CO73" i="12"/>
  <c r="CN73" i="12"/>
  <c r="CM73" i="12"/>
  <c r="CL73" i="12"/>
  <c r="CK73" i="12"/>
  <c r="CJ73" i="12"/>
  <c r="CI73" i="12"/>
  <c r="CH73" i="12"/>
  <c r="CG73" i="12"/>
  <c r="CF73" i="12"/>
  <c r="CE73" i="12"/>
  <c r="CD73" i="12"/>
  <c r="CC73" i="12"/>
  <c r="CB73" i="12"/>
  <c r="BZ73" i="12"/>
  <c r="BY73" i="12"/>
  <c r="BX73" i="12"/>
  <c r="BW73" i="12"/>
  <c r="BV73" i="12"/>
  <c r="BU73" i="12"/>
  <c r="BT73" i="12"/>
  <c r="BS73" i="12"/>
  <c r="BR73" i="12"/>
  <c r="BQ73" i="12"/>
  <c r="BP73" i="12"/>
  <c r="BO73" i="12"/>
  <c r="BN73" i="12"/>
  <c r="BM73" i="12"/>
  <c r="BL73" i="12"/>
  <c r="BK73" i="12"/>
  <c r="BJ73" i="12"/>
  <c r="BI73" i="12"/>
  <c r="BH73" i="12"/>
  <c r="BG73" i="12"/>
  <c r="BF73" i="12"/>
  <c r="BE73" i="12"/>
  <c r="BD73" i="12"/>
  <c r="BC73" i="12"/>
  <c r="BB73" i="12"/>
  <c r="BA73" i="12"/>
  <c r="AZ73" i="12"/>
  <c r="AM73" i="12"/>
  <c r="AF73" i="12"/>
  <c r="AE73" i="12"/>
  <c r="S73" i="12"/>
  <c r="N73" i="12"/>
  <c r="M73" i="12" s="1"/>
  <c r="L73" i="12"/>
  <c r="ED73" i="12" s="1"/>
  <c r="G73" i="12"/>
  <c r="F73" i="12"/>
  <c r="E73" i="12"/>
  <c r="GD72" i="12"/>
  <c r="GC72" i="12"/>
  <c r="GB72" i="12"/>
  <c r="GA72" i="12"/>
  <c r="FZ72" i="12"/>
  <c r="FY72" i="12"/>
  <c r="FX72" i="12"/>
  <c r="FW72" i="12"/>
  <c r="FV72" i="12"/>
  <c r="FT72" i="12" s="1"/>
  <c r="FJ72" i="12" s="1"/>
  <c r="FL72" i="12"/>
  <c r="FI72" i="12"/>
  <c r="FF72" i="12"/>
  <c r="FE72" i="12"/>
  <c r="FD72" i="12"/>
  <c r="FC72" i="12"/>
  <c r="FB72" i="12"/>
  <c r="FA72" i="12"/>
  <c r="EZ72" i="12"/>
  <c r="EY72" i="12"/>
  <c r="EX72" i="12"/>
  <c r="EW72" i="12"/>
  <c r="EV72" i="12"/>
  <c r="EU72" i="12"/>
  <c r="ET72" i="12"/>
  <c r="EP72" i="12"/>
  <c r="DB72" i="12"/>
  <c r="DA72" i="12"/>
  <c r="CZ72" i="12"/>
  <c r="CY72" i="12"/>
  <c r="CX72" i="12"/>
  <c r="CW72" i="12"/>
  <c r="CV72" i="12"/>
  <c r="CU72" i="12"/>
  <c r="CT72" i="12"/>
  <c r="CS72" i="12"/>
  <c r="CR72" i="12"/>
  <c r="CQ72" i="12"/>
  <c r="CP72" i="12"/>
  <c r="CO72" i="12"/>
  <c r="CN72" i="12"/>
  <c r="CM72" i="12"/>
  <c r="CL72" i="12"/>
  <c r="CK72" i="12"/>
  <c r="CJ72" i="12"/>
  <c r="CI72" i="12"/>
  <c r="CH72" i="12"/>
  <c r="CG72" i="12"/>
  <c r="CF72" i="12"/>
  <c r="CE72" i="12"/>
  <c r="CD72" i="12"/>
  <c r="CC72" i="12"/>
  <c r="CB72" i="12"/>
  <c r="BZ72" i="12"/>
  <c r="BY72" i="12"/>
  <c r="BX72" i="12"/>
  <c r="BW72" i="12"/>
  <c r="BV72" i="12"/>
  <c r="BU72" i="12"/>
  <c r="BT72" i="12"/>
  <c r="BS72" i="12"/>
  <c r="BR72" i="12"/>
  <c r="BQ72" i="12"/>
  <c r="BP72" i="12"/>
  <c r="BO72" i="12"/>
  <c r="BN72" i="12"/>
  <c r="BM72" i="12"/>
  <c r="BL72" i="12"/>
  <c r="BK72" i="12"/>
  <c r="BJ72" i="12"/>
  <c r="BI72" i="12"/>
  <c r="BH72" i="12"/>
  <c r="BG72" i="12"/>
  <c r="BF72" i="12"/>
  <c r="BE72" i="12"/>
  <c r="BD72" i="12"/>
  <c r="BC72" i="12"/>
  <c r="BB72" i="12"/>
  <c r="BA72" i="12"/>
  <c r="AZ72" i="12"/>
  <c r="AM72" i="12"/>
  <c r="AF72" i="12"/>
  <c r="AE72" i="12"/>
  <c r="S72" i="12"/>
  <c r="N72" i="12"/>
  <c r="M72" i="12" s="1"/>
  <c r="L72" i="12"/>
  <c r="DS72" i="12" s="1"/>
  <c r="G72" i="12"/>
  <c r="F72" i="12"/>
  <c r="Z72" i="12" s="1"/>
  <c r="E72" i="12"/>
  <c r="GD71" i="12"/>
  <c r="GC71" i="12"/>
  <c r="GB71" i="12"/>
  <c r="GA71" i="12"/>
  <c r="FZ71" i="12"/>
  <c r="FY71" i="12"/>
  <c r="FX71" i="12"/>
  <c r="FW71" i="12"/>
  <c r="FV71" i="12"/>
  <c r="FT71" i="12"/>
  <c r="FR71" i="12" s="1"/>
  <c r="FF71" i="12"/>
  <c r="FE71" i="12"/>
  <c r="FD71" i="12"/>
  <c r="FC71" i="12"/>
  <c r="FB71" i="12"/>
  <c r="FA71" i="12"/>
  <c r="EZ71" i="12"/>
  <c r="EY71" i="12"/>
  <c r="EX71" i="12"/>
  <c r="EW71" i="12"/>
  <c r="EV71" i="12"/>
  <c r="EU71" i="12"/>
  <c r="ET71" i="12"/>
  <c r="EP71" i="12"/>
  <c r="DB71" i="12"/>
  <c r="DA71" i="12"/>
  <c r="CZ71" i="12"/>
  <c r="CY71" i="12"/>
  <c r="CX71" i="12"/>
  <c r="CW71" i="12"/>
  <c r="CV71" i="12"/>
  <c r="CU71" i="12"/>
  <c r="CT71" i="12"/>
  <c r="CS71" i="12"/>
  <c r="CR71" i="12"/>
  <c r="CQ71" i="12"/>
  <c r="CP71" i="12"/>
  <c r="CO71" i="12"/>
  <c r="CN71" i="12"/>
  <c r="CM71" i="12"/>
  <c r="CL71" i="12"/>
  <c r="CK71" i="12"/>
  <c r="CJ71" i="12"/>
  <c r="CI71" i="12"/>
  <c r="CH71" i="12"/>
  <c r="CG71" i="12"/>
  <c r="CF71" i="12"/>
  <c r="CE71" i="12"/>
  <c r="CD71" i="12"/>
  <c r="CC71" i="12"/>
  <c r="CB71" i="12"/>
  <c r="BZ71" i="12"/>
  <c r="BY71" i="12"/>
  <c r="BX71" i="12"/>
  <c r="BW71" i="12"/>
  <c r="BV71" i="12"/>
  <c r="BU71" i="12"/>
  <c r="BT71" i="12"/>
  <c r="BS71" i="12"/>
  <c r="BR71" i="12"/>
  <c r="BQ71" i="12"/>
  <c r="BP71" i="12"/>
  <c r="BO71" i="12"/>
  <c r="BN71" i="12"/>
  <c r="BM71" i="12"/>
  <c r="BL71" i="12"/>
  <c r="BK71" i="12"/>
  <c r="BJ71" i="12"/>
  <c r="BI71" i="12"/>
  <c r="BH71" i="12"/>
  <c r="BG71" i="12"/>
  <c r="BF71" i="12"/>
  <c r="BE71" i="12"/>
  <c r="BD71" i="12"/>
  <c r="BC71" i="12"/>
  <c r="BB71" i="12"/>
  <c r="BA71" i="12"/>
  <c r="AZ71" i="12"/>
  <c r="AM71" i="12"/>
  <c r="AF71" i="12"/>
  <c r="AE71" i="12"/>
  <c r="S71" i="12"/>
  <c r="N71" i="12"/>
  <c r="M71" i="12" s="1"/>
  <c r="L71" i="12"/>
  <c r="DX71" i="12" s="1"/>
  <c r="EL71" i="12" s="1"/>
  <c r="G71" i="12"/>
  <c r="F71" i="12"/>
  <c r="E71" i="12"/>
  <c r="GD70" i="12"/>
  <c r="GC70" i="12"/>
  <c r="GB70" i="12"/>
  <c r="GA70" i="12"/>
  <c r="FZ70" i="12"/>
  <c r="FY70" i="12"/>
  <c r="FX70" i="12"/>
  <c r="FW70" i="12"/>
  <c r="FV70" i="12"/>
  <c r="FT70" i="12" s="1"/>
  <c r="FP70" i="12" s="1"/>
  <c r="FF70" i="12"/>
  <c r="FE70" i="12"/>
  <c r="FD70" i="12"/>
  <c r="FC70" i="12"/>
  <c r="FB70" i="12"/>
  <c r="FA70" i="12"/>
  <c r="EZ70" i="12"/>
  <c r="EY70" i="12"/>
  <c r="EX70" i="12"/>
  <c r="EW70" i="12"/>
  <c r="EV70" i="12"/>
  <c r="EU70" i="12"/>
  <c r="ET70" i="12"/>
  <c r="EP70" i="12"/>
  <c r="DB70" i="12"/>
  <c r="DA70" i="12"/>
  <c r="CZ70" i="12"/>
  <c r="CY70" i="12"/>
  <c r="CX70" i="12"/>
  <c r="CW70" i="12"/>
  <c r="CV70" i="12"/>
  <c r="CU70" i="12"/>
  <c r="CT70" i="12"/>
  <c r="CS70" i="12"/>
  <c r="CR70" i="12"/>
  <c r="CQ70" i="12"/>
  <c r="CP70" i="12"/>
  <c r="CO70" i="12"/>
  <c r="CN70" i="12"/>
  <c r="CM70" i="12"/>
  <c r="CL70" i="12"/>
  <c r="CK70" i="12"/>
  <c r="CJ70" i="12"/>
  <c r="CI70" i="12"/>
  <c r="CH70" i="12"/>
  <c r="CG70" i="12"/>
  <c r="CF70" i="12"/>
  <c r="CE70" i="12"/>
  <c r="CD70" i="12"/>
  <c r="CC70" i="12"/>
  <c r="CB70" i="12"/>
  <c r="BZ70" i="12"/>
  <c r="BY70" i="12"/>
  <c r="BX70" i="12"/>
  <c r="BW70" i="12"/>
  <c r="BV70" i="12"/>
  <c r="BU70" i="12"/>
  <c r="BT70" i="12"/>
  <c r="BS70" i="12"/>
  <c r="BR70" i="12"/>
  <c r="BQ70" i="12"/>
  <c r="BP70" i="12"/>
  <c r="BO70" i="12"/>
  <c r="BN70" i="12"/>
  <c r="BM70" i="12"/>
  <c r="BL70" i="12"/>
  <c r="BK70" i="12"/>
  <c r="BJ70" i="12"/>
  <c r="BI70" i="12"/>
  <c r="BH70" i="12"/>
  <c r="BG70" i="12"/>
  <c r="BF70" i="12"/>
  <c r="BE70" i="12"/>
  <c r="BD70" i="12"/>
  <c r="BC70" i="12"/>
  <c r="BB70" i="12"/>
  <c r="BA70" i="12"/>
  <c r="AZ70" i="12"/>
  <c r="AM70" i="12"/>
  <c r="AF70" i="12"/>
  <c r="AE70" i="12"/>
  <c r="AG70" i="12" s="1"/>
  <c r="S70" i="12"/>
  <c r="N70" i="12"/>
  <c r="M70" i="12" s="1"/>
  <c r="L70" i="12"/>
  <c r="EC70" i="12" s="1"/>
  <c r="G70" i="12"/>
  <c r="F70" i="12"/>
  <c r="E70" i="12"/>
  <c r="GD69" i="12"/>
  <c r="GC69" i="12"/>
  <c r="GB69" i="12"/>
  <c r="GA69" i="12"/>
  <c r="FZ69" i="12"/>
  <c r="FY69" i="12"/>
  <c r="FX69" i="12"/>
  <c r="FW69" i="12"/>
  <c r="FV69" i="12"/>
  <c r="FT69" i="12" s="1"/>
  <c r="FM69" i="12" s="1"/>
  <c r="FI69" i="12"/>
  <c r="FF69" i="12"/>
  <c r="FE69" i="12"/>
  <c r="FD69" i="12"/>
  <c r="FC69" i="12"/>
  <c r="FB69" i="12"/>
  <c r="FA69" i="12"/>
  <c r="EZ69" i="12"/>
  <c r="EY69" i="12"/>
  <c r="EX69" i="12"/>
  <c r="EW69" i="12"/>
  <c r="EV69" i="12"/>
  <c r="EU69" i="12"/>
  <c r="ET69" i="12"/>
  <c r="EP69" i="12"/>
  <c r="DB69" i="12"/>
  <c r="DA69" i="12"/>
  <c r="CZ69" i="12"/>
  <c r="CY69" i="12"/>
  <c r="CX69" i="12"/>
  <c r="CW69" i="12"/>
  <c r="CV69" i="12"/>
  <c r="CU69" i="12"/>
  <c r="CT69" i="12"/>
  <c r="CS69" i="12"/>
  <c r="CR69" i="12"/>
  <c r="CQ69" i="12"/>
  <c r="CP69" i="12"/>
  <c r="CO69" i="12"/>
  <c r="CN69" i="12"/>
  <c r="CM69" i="12"/>
  <c r="CL69" i="12"/>
  <c r="CK69" i="12"/>
  <c r="CJ69" i="12"/>
  <c r="CI69" i="12"/>
  <c r="CH69" i="12"/>
  <c r="CG69" i="12"/>
  <c r="CF69" i="12"/>
  <c r="CE69" i="12"/>
  <c r="CD69" i="12"/>
  <c r="CC69" i="12"/>
  <c r="CB69" i="12"/>
  <c r="BZ69" i="12"/>
  <c r="BY69" i="12"/>
  <c r="BX69" i="12"/>
  <c r="BW69" i="12"/>
  <c r="BV69" i="12"/>
  <c r="BU69" i="12"/>
  <c r="BT69" i="12"/>
  <c r="BS69" i="12"/>
  <c r="BR69" i="12"/>
  <c r="BQ69" i="12"/>
  <c r="BP69" i="12"/>
  <c r="BO69" i="12"/>
  <c r="BN69" i="12"/>
  <c r="BM69" i="12"/>
  <c r="BL69" i="12"/>
  <c r="BK69" i="12"/>
  <c r="BJ69" i="12"/>
  <c r="BI69" i="12"/>
  <c r="BH69" i="12"/>
  <c r="BG69" i="12"/>
  <c r="BF69" i="12"/>
  <c r="BE69" i="12"/>
  <c r="BD69" i="12"/>
  <c r="BC69" i="12"/>
  <c r="BB69" i="12"/>
  <c r="BA69" i="12"/>
  <c r="AZ69" i="12"/>
  <c r="AM69" i="12"/>
  <c r="AF69" i="12"/>
  <c r="AE69" i="12"/>
  <c r="S69" i="12"/>
  <c r="N69" i="12"/>
  <c r="M69" i="12" s="1"/>
  <c r="L69" i="12"/>
  <c r="K69" i="12" s="1"/>
  <c r="G69" i="12"/>
  <c r="F69" i="12"/>
  <c r="E69" i="12"/>
  <c r="GD68" i="12"/>
  <c r="GC68" i="12"/>
  <c r="GB68" i="12"/>
  <c r="GA68" i="12"/>
  <c r="FZ68" i="12"/>
  <c r="FY68" i="12"/>
  <c r="FX68" i="12"/>
  <c r="FW68" i="12"/>
  <c r="FV68" i="12"/>
  <c r="FT68" i="12"/>
  <c r="FR68" i="12" s="1"/>
  <c r="FF68" i="12"/>
  <c r="FE68" i="12"/>
  <c r="FD68" i="12"/>
  <c r="FC68" i="12"/>
  <c r="FB68" i="12"/>
  <c r="FA68" i="12"/>
  <c r="EZ68" i="12"/>
  <c r="EY68" i="12"/>
  <c r="EX68" i="12"/>
  <c r="EW68" i="12"/>
  <c r="EV68" i="12"/>
  <c r="EU68" i="12"/>
  <c r="ET68" i="12"/>
  <c r="EP68" i="12"/>
  <c r="DB68" i="12"/>
  <c r="DA68" i="12"/>
  <c r="CZ68" i="12"/>
  <c r="CY68" i="12"/>
  <c r="CX68" i="12"/>
  <c r="CW68" i="12"/>
  <c r="CV68" i="12"/>
  <c r="CU68" i="12"/>
  <c r="CT68" i="12"/>
  <c r="CS68" i="12"/>
  <c r="CR68" i="12"/>
  <c r="CQ68" i="12"/>
  <c r="CP68" i="12"/>
  <c r="CO68" i="12"/>
  <c r="CN68" i="12"/>
  <c r="CM68" i="12"/>
  <c r="CL68" i="12"/>
  <c r="CK68" i="12"/>
  <c r="CJ68" i="12"/>
  <c r="CI68" i="12"/>
  <c r="CH68" i="12"/>
  <c r="CG68" i="12"/>
  <c r="CF68" i="12"/>
  <c r="CE68" i="12"/>
  <c r="CD68" i="12"/>
  <c r="CC68" i="12"/>
  <c r="CB68" i="12"/>
  <c r="BZ68" i="12"/>
  <c r="BY68" i="12"/>
  <c r="BX68" i="12"/>
  <c r="BW68" i="12"/>
  <c r="BV68" i="12"/>
  <c r="BU68" i="12"/>
  <c r="BT68" i="12"/>
  <c r="BS68" i="12"/>
  <c r="BR68" i="12"/>
  <c r="BQ68" i="12"/>
  <c r="BP68" i="12"/>
  <c r="BO68" i="12"/>
  <c r="BN68" i="12"/>
  <c r="BM68" i="12"/>
  <c r="BL68" i="12"/>
  <c r="BK68" i="12"/>
  <c r="BJ68" i="12"/>
  <c r="BI68" i="12"/>
  <c r="BH68" i="12"/>
  <c r="BG68" i="12"/>
  <c r="BF68" i="12"/>
  <c r="BE68" i="12"/>
  <c r="BD68" i="12"/>
  <c r="BC68" i="12"/>
  <c r="BB68" i="12"/>
  <c r="BA68" i="12"/>
  <c r="AZ68" i="12"/>
  <c r="AM68" i="12"/>
  <c r="AF68" i="12"/>
  <c r="AE68" i="12"/>
  <c r="S68" i="12"/>
  <c r="N68" i="12"/>
  <c r="M68" i="12" s="1"/>
  <c r="L68" i="12"/>
  <c r="G68" i="12"/>
  <c r="F68" i="12"/>
  <c r="E68" i="12"/>
  <c r="GD67" i="12"/>
  <c r="GC67" i="12"/>
  <c r="GB67" i="12"/>
  <c r="GA67" i="12"/>
  <c r="FZ67" i="12"/>
  <c r="FY67" i="12"/>
  <c r="FX67" i="12"/>
  <c r="FW67" i="12"/>
  <c r="FV67" i="12"/>
  <c r="FT67" i="12" s="1"/>
  <c r="FI67" i="12" s="1"/>
  <c r="FF67" i="12"/>
  <c r="FE67" i="12"/>
  <c r="FD67" i="12"/>
  <c r="FC67" i="12"/>
  <c r="FB67" i="12"/>
  <c r="FA67" i="12"/>
  <c r="EZ67" i="12"/>
  <c r="EY67" i="12"/>
  <c r="EX67" i="12"/>
  <c r="EW67" i="12"/>
  <c r="EV67" i="12"/>
  <c r="EU67" i="12"/>
  <c r="ET67" i="12"/>
  <c r="EQ67" i="12"/>
  <c r="EP67" i="12"/>
  <c r="DB67" i="12"/>
  <c r="DA67" i="12"/>
  <c r="CZ67" i="12"/>
  <c r="CY67" i="12"/>
  <c r="CX67" i="12"/>
  <c r="CW67" i="12"/>
  <c r="CV67" i="12"/>
  <c r="CU67" i="12"/>
  <c r="CT67" i="12"/>
  <c r="CS67" i="12"/>
  <c r="CR67" i="12"/>
  <c r="CQ67" i="12"/>
  <c r="CP67" i="12"/>
  <c r="CO67" i="12"/>
  <c r="CN67" i="12"/>
  <c r="CM67" i="12"/>
  <c r="CL67" i="12"/>
  <c r="CK67" i="12"/>
  <c r="CJ67" i="12"/>
  <c r="CI67" i="12"/>
  <c r="CH67" i="12"/>
  <c r="CG67" i="12"/>
  <c r="CF67" i="12"/>
  <c r="CE67" i="12"/>
  <c r="CD67" i="12"/>
  <c r="CC67" i="12"/>
  <c r="CB67" i="12"/>
  <c r="BZ67" i="12"/>
  <c r="BY67" i="12"/>
  <c r="BX67" i="12"/>
  <c r="BW67" i="12"/>
  <c r="BV67" i="12"/>
  <c r="BU67" i="12"/>
  <c r="BT67" i="12"/>
  <c r="BS67" i="12"/>
  <c r="BR67" i="12"/>
  <c r="BQ67" i="12"/>
  <c r="BP67" i="12"/>
  <c r="BO67" i="12"/>
  <c r="BN67" i="12"/>
  <c r="BM67" i="12"/>
  <c r="BL67" i="12"/>
  <c r="BK67" i="12"/>
  <c r="BJ67" i="12"/>
  <c r="BI67" i="12"/>
  <c r="BH67" i="12"/>
  <c r="BG67" i="12"/>
  <c r="BF67" i="12"/>
  <c r="BE67" i="12"/>
  <c r="BD67" i="12"/>
  <c r="BC67" i="12"/>
  <c r="BB67" i="12"/>
  <c r="BA67" i="12"/>
  <c r="AZ67" i="12"/>
  <c r="AM67" i="12"/>
  <c r="AF67" i="12"/>
  <c r="AE67" i="12"/>
  <c r="S67" i="12"/>
  <c r="N67" i="12"/>
  <c r="M67" i="12" s="1"/>
  <c r="L67" i="12"/>
  <c r="DU67" i="12" s="1"/>
  <c r="G67" i="12"/>
  <c r="F67" i="12"/>
  <c r="E67" i="12"/>
  <c r="GD66" i="12"/>
  <c r="GC66" i="12"/>
  <c r="GB66" i="12"/>
  <c r="GA66" i="12"/>
  <c r="FZ66" i="12"/>
  <c r="FY66" i="12"/>
  <c r="FX66" i="12"/>
  <c r="FW66" i="12"/>
  <c r="FV66" i="12"/>
  <c r="FT66" i="12" s="1"/>
  <c r="FN66" i="12" s="1"/>
  <c r="FF66" i="12"/>
  <c r="FE66" i="12"/>
  <c r="FD66" i="12"/>
  <c r="FC66" i="12"/>
  <c r="FB66" i="12"/>
  <c r="FA66" i="12"/>
  <c r="EZ66" i="12"/>
  <c r="EY66" i="12"/>
  <c r="EX66" i="12"/>
  <c r="EW66" i="12"/>
  <c r="EV66" i="12"/>
  <c r="EU66" i="12"/>
  <c r="ET66" i="12"/>
  <c r="EP66" i="12"/>
  <c r="DB66" i="12"/>
  <c r="DA66" i="12"/>
  <c r="CZ66" i="12"/>
  <c r="CY66" i="12"/>
  <c r="CX66" i="12"/>
  <c r="CW66" i="12"/>
  <c r="CV66" i="12"/>
  <c r="CU66" i="12"/>
  <c r="CT66" i="12"/>
  <c r="CS66" i="12"/>
  <c r="CR66" i="12"/>
  <c r="CQ66" i="12"/>
  <c r="CP66" i="12"/>
  <c r="CO66" i="12"/>
  <c r="CN66" i="12"/>
  <c r="CM66" i="12"/>
  <c r="CL66" i="12"/>
  <c r="CK66" i="12"/>
  <c r="CJ66" i="12"/>
  <c r="CI66" i="12"/>
  <c r="CH66" i="12"/>
  <c r="CG66" i="12"/>
  <c r="CF66" i="12"/>
  <c r="CE66" i="12"/>
  <c r="CD66" i="12"/>
  <c r="CC66" i="12"/>
  <c r="CB66" i="12"/>
  <c r="BZ66" i="12"/>
  <c r="BY66" i="12"/>
  <c r="BX66" i="12"/>
  <c r="BW66" i="12"/>
  <c r="BV66" i="12"/>
  <c r="BU66" i="12"/>
  <c r="BT66" i="12"/>
  <c r="BS66" i="12"/>
  <c r="BR66" i="12"/>
  <c r="BQ66" i="12"/>
  <c r="BP66" i="12"/>
  <c r="BO66" i="12"/>
  <c r="BN66" i="12"/>
  <c r="BM66" i="12"/>
  <c r="BL66" i="12"/>
  <c r="BK66" i="12"/>
  <c r="BJ66" i="12"/>
  <c r="BI66" i="12"/>
  <c r="BH66" i="12"/>
  <c r="BG66" i="12"/>
  <c r="BF66" i="12"/>
  <c r="BE66" i="12"/>
  <c r="BD66" i="12"/>
  <c r="BC66" i="12"/>
  <c r="BB66" i="12"/>
  <c r="BA66" i="12"/>
  <c r="AZ66" i="12"/>
  <c r="AM66" i="12"/>
  <c r="AF66" i="12"/>
  <c r="AE66" i="12"/>
  <c r="S66" i="12"/>
  <c r="N66" i="12"/>
  <c r="M66" i="12" s="1"/>
  <c r="L66" i="12"/>
  <c r="DQ66" i="12" s="1"/>
  <c r="G66" i="12"/>
  <c r="F66" i="12"/>
  <c r="E66" i="12"/>
  <c r="GD65" i="12"/>
  <c r="GC65" i="12"/>
  <c r="GB65" i="12"/>
  <c r="GA65" i="12"/>
  <c r="FZ65" i="12"/>
  <c r="FY65" i="12"/>
  <c r="FX65" i="12"/>
  <c r="FW65" i="12"/>
  <c r="FV65" i="12"/>
  <c r="FT65" i="12" s="1"/>
  <c r="FQ65" i="12" s="1"/>
  <c r="FR65" i="12"/>
  <c r="FF65" i="12"/>
  <c r="FE65" i="12"/>
  <c r="FD65" i="12"/>
  <c r="FC65" i="12"/>
  <c r="FB65" i="12"/>
  <c r="FA65" i="12"/>
  <c r="EZ65" i="12"/>
  <c r="EY65" i="12"/>
  <c r="EX65" i="12"/>
  <c r="EW65" i="12"/>
  <c r="EV65" i="12"/>
  <c r="EU65" i="12"/>
  <c r="ET65" i="12"/>
  <c r="EP65" i="12"/>
  <c r="DD65" i="12"/>
  <c r="DB65" i="12"/>
  <c r="DA65" i="12"/>
  <c r="CZ65" i="12"/>
  <c r="CY65" i="12"/>
  <c r="CX65" i="12"/>
  <c r="CW65" i="12"/>
  <c r="CV65" i="12"/>
  <c r="CU65" i="12"/>
  <c r="CT65" i="12"/>
  <c r="CS65" i="12"/>
  <c r="CR65" i="12"/>
  <c r="CQ65" i="12"/>
  <c r="CP65" i="12"/>
  <c r="CO65" i="12"/>
  <c r="CN65" i="12"/>
  <c r="CM65" i="12"/>
  <c r="CL65" i="12"/>
  <c r="CK65" i="12"/>
  <c r="CJ65" i="12"/>
  <c r="CI65" i="12"/>
  <c r="CH65" i="12"/>
  <c r="CG65" i="12"/>
  <c r="CF65" i="12"/>
  <c r="CE65" i="12"/>
  <c r="CD65" i="12"/>
  <c r="CC65" i="12"/>
  <c r="CB65" i="12"/>
  <c r="BZ65" i="12"/>
  <c r="BY65" i="12"/>
  <c r="BX65" i="12"/>
  <c r="BW65" i="12"/>
  <c r="BV65" i="12"/>
  <c r="BU65" i="12"/>
  <c r="BT65" i="12"/>
  <c r="BS65" i="12"/>
  <c r="BR65" i="12"/>
  <c r="BQ65" i="12"/>
  <c r="BP65" i="12"/>
  <c r="BO65" i="12"/>
  <c r="BN65" i="12"/>
  <c r="BM65" i="12"/>
  <c r="BL65" i="12"/>
  <c r="BK65" i="12"/>
  <c r="BJ65" i="12"/>
  <c r="BI65" i="12"/>
  <c r="BH65" i="12"/>
  <c r="BG65" i="12"/>
  <c r="BF65" i="12"/>
  <c r="BE65" i="12"/>
  <c r="BD65" i="12"/>
  <c r="BC65" i="12"/>
  <c r="BB65" i="12"/>
  <c r="BA65" i="12"/>
  <c r="AZ65" i="12"/>
  <c r="AM65" i="12"/>
  <c r="AF65" i="12"/>
  <c r="AE65" i="12"/>
  <c r="S65" i="12"/>
  <c r="N65" i="12"/>
  <c r="M65" i="12" s="1"/>
  <c r="L65" i="12"/>
  <c r="K65" i="12" s="1"/>
  <c r="G65" i="12"/>
  <c r="F65" i="12"/>
  <c r="AS65" i="12" s="1"/>
  <c r="E65" i="12"/>
  <c r="GD64" i="12"/>
  <c r="GC64" i="12"/>
  <c r="GB64" i="12"/>
  <c r="GA64" i="12"/>
  <c r="FZ64" i="12"/>
  <c r="FY64" i="12"/>
  <c r="FX64" i="12"/>
  <c r="FW64" i="12"/>
  <c r="FV64" i="12"/>
  <c r="FT64" i="12" s="1"/>
  <c r="FH64" i="12" s="1"/>
  <c r="FF64" i="12"/>
  <c r="FE64" i="12"/>
  <c r="FD64" i="12"/>
  <c r="FC64" i="12"/>
  <c r="FB64" i="12"/>
  <c r="FA64" i="12"/>
  <c r="EZ64" i="12"/>
  <c r="EY64" i="12"/>
  <c r="EX64" i="12"/>
  <c r="EW64" i="12"/>
  <c r="EV64" i="12"/>
  <c r="EU64" i="12"/>
  <c r="ET64" i="12"/>
  <c r="EP64" i="12"/>
  <c r="DB64" i="12"/>
  <c r="DA64" i="12"/>
  <c r="CZ64" i="12"/>
  <c r="CY64" i="12"/>
  <c r="CX64" i="12"/>
  <c r="CW64" i="12"/>
  <c r="CV64" i="12"/>
  <c r="CU64" i="12"/>
  <c r="CT64" i="12"/>
  <c r="CS64" i="12"/>
  <c r="CR64" i="12"/>
  <c r="CQ64" i="12"/>
  <c r="CP64" i="12"/>
  <c r="CO64" i="12"/>
  <c r="CN64" i="12"/>
  <c r="CM64" i="12"/>
  <c r="CL64" i="12"/>
  <c r="CK64" i="12"/>
  <c r="CJ64" i="12"/>
  <c r="CI64" i="12"/>
  <c r="CH64" i="12"/>
  <c r="CG64" i="12"/>
  <c r="CF64" i="12"/>
  <c r="CE64" i="12"/>
  <c r="CD64" i="12"/>
  <c r="CC64" i="12"/>
  <c r="CB64" i="12"/>
  <c r="BZ64" i="12"/>
  <c r="BY64" i="12"/>
  <c r="BX64" i="12"/>
  <c r="BW64" i="12"/>
  <c r="BV64" i="12"/>
  <c r="BU64" i="12"/>
  <c r="BT64" i="12"/>
  <c r="BS64" i="12"/>
  <c r="BR64" i="12"/>
  <c r="BQ64" i="12"/>
  <c r="BP64" i="12"/>
  <c r="BO64" i="12"/>
  <c r="BN64" i="12"/>
  <c r="BM64" i="12"/>
  <c r="BL64" i="12"/>
  <c r="BK64" i="12"/>
  <c r="BJ64" i="12"/>
  <c r="BI64" i="12"/>
  <c r="BH64" i="12"/>
  <c r="BG64" i="12"/>
  <c r="BF64" i="12"/>
  <c r="BE64" i="12"/>
  <c r="BD64" i="12"/>
  <c r="BC64" i="12"/>
  <c r="BB64" i="12"/>
  <c r="BA64" i="12"/>
  <c r="AZ64" i="12"/>
  <c r="AM64" i="12"/>
  <c r="AF64" i="12"/>
  <c r="AE64" i="12"/>
  <c r="S64" i="12"/>
  <c r="N64" i="12"/>
  <c r="M64" i="12" s="1"/>
  <c r="L64" i="12"/>
  <c r="EC64" i="12" s="1"/>
  <c r="G64" i="12"/>
  <c r="F64" i="12"/>
  <c r="Z64" i="12" s="1"/>
  <c r="E64" i="12"/>
  <c r="GD63" i="12"/>
  <c r="GC63" i="12"/>
  <c r="GB63" i="12"/>
  <c r="GA63" i="12"/>
  <c r="FZ63" i="12"/>
  <c r="FY63" i="12"/>
  <c r="FX63" i="12"/>
  <c r="FW63" i="12"/>
  <c r="FV63" i="12"/>
  <c r="FT63" i="12"/>
  <c r="FF63" i="12"/>
  <c r="FE63" i="12"/>
  <c r="FD63" i="12"/>
  <c r="FC63" i="12"/>
  <c r="FB63" i="12"/>
  <c r="FA63" i="12"/>
  <c r="EZ63" i="12"/>
  <c r="EY63" i="12"/>
  <c r="EX63" i="12"/>
  <c r="EW63" i="12"/>
  <c r="EV63" i="12"/>
  <c r="EU63" i="12"/>
  <c r="ET63" i="12"/>
  <c r="EQ63" i="12"/>
  <c r="EP63" i="12"/>
  <c r="DB63" i="12"/>
  <c r="DA63" i="12"/>
  <c r="CZ63" i="12"/>
  <c r="CY63" i="12"/>
  <c r="CX63" i="12"/>
  <c r="CW63" i="12"/>
  <c r="CV63" i="12"/>
  <c r="CU63" i="12"/>
  <c r="CT63" i="12"/>
  <c r="CS63" i="12"/>
  <c r="CR63" i="12"/>
  <c r="CQ63" i="12"/>
  <c r="CP63" i="12"/>
  <c r="CO63" i="12"/>
  <c r="CN63" i="12"/>
  <c r="CM63" i="12"/>
  <c r="CL63" i="12"/>
  <c r="CK63" i="12"/>
  <c r="CJ63" i="12"/>
  <c r="CI63" i="12"/>
  <c r="CH63" i="12"/>
  <c r="CG63" i="12"/>
  <c r="CF63" i="12"/>
  <c r="CE63" i="12"/>
  <c r="CD63" i="12"/>
  <c r="CC63" i="12"/>
  <c r="CB63" i="12"/>
  <c r="BZ63" i="12"/>
  <c r="BY63" i="12"/>
  <c r="BX63" i="12"/>
  <c r="BW63" i="12"/>
  <c r="BV63" i="12"/>
  <c r="BU63" i="12"/>
  <c r="BT63" i="12"/>
  <c r="BS63" i="12"/>
  <c r="BR63" i="12"/>
  <c r="BQ63" i="12"/>
  <c r="BP63" i="12"/>
  <c r="BO63" i="12"/>
  <c r="BN63" i="12"/>
  <c r="BM63" i="12"/>
  <c r="BL63" i="12"/>
  <c r="BK63" i="12"/>
  <c r="BJ63" i="12"/>
  <c r="BI63" i="12"/>
  <c r="BH63" i="12"/>
  <c r="BG63" i="12"/>
  <c r="BF63" i="12"/>
  <c r="BE63" i="12"/>
  <c r="BD63" i="12"/>
  <c r="BC63" i="12"/>
  <c r="BB63" i="12"/>
  <c r="BA63" i="12"/>
  <c r="AZ63" i="12"/>
  <c r="AM63" i="12"/>
  <c r="AF63" i="12"/>
  <c r="AE63" i="12"/>
  <c r="S63" i="12"/>
  <c r="N63" i="12"/>
  <c r="M63" i="12" s="1"/>
  <c r="L63" i="12"/>
  <c r="T63" i="12" s="1"/>
  <c r="U63" i="12" s="1"/>
  <c r="G63" i="12"/>
  <c r="F63" i="12"/>
  <c r="AS63" i="12" s="1"/>
  <c r="E63" i="12"/>
  <c r="GD62" i="12"/>
  <c r="GC62" i="12"/>
  <c r="GB62" i="12"/>
  <c r="GA62" i="12"/>
  <c r="FZ62" i="12"/>
  <c r="FY62" i="12"/>
  <c r="FX62" i="12"/>
  <c r="FW62" i="12"/>
  <c r="FV62" i="12"/>
  <c r="FT62" i="12" s="1"/>
  <c r="FQ62" i="12" s="1"/>
  <c r="FI62" i="12"/>
  <c r="FF62" i="12"/>
  <c r="FE62" i="12"/>
  <c r="FD62" i="12"/>
  <c r="FC62" i="12"/>
  <c r="FB62" i="12"/>
  <c r="FA62" i="12"/>
  <c r="EZ62" i="12"/>
  <c r="EY62" i="12"/>
  <c r="EX62" i="12"/>
  <c r="EW62" i="12"/>
  <c r="EV62" i="12"/>
  <c r="EU62" i="12"/>
  <c r="ET62" i="12"/>
  <c r="EP62" i="12"/>
  <c r="DB62" i="12"/>
  <c r="DA62" i="12"/>
  <c r="CZ62" i="12"/>
  <c r="CY62" i="12"/>
  <c r="CX62" i="12"/>
  <c r="CW62" i="12"/>
  <c r="CV62" i="12"/>
  <c r="CU62" i="12"/>
  <c r="CT62" i="12"/>
  <c r="CS62" i="12"/>
  <c r="CR62" i="12"/>
  <c r="CQ62" i="12"/>
  <c r="CP62" i="12"/>
  <c r="CO62" i="12"/>
  <c r="CN62" i="12"/>
  <c r="CM62" i="12"/>
  <c r="CL62" i="12"/>
  <c r="CK62" i="12"/>
  <c r="CJ62" i="12"/>
  <c r="CI62" i="12"/>
  <c r="CH62" i="12"/>
  <c r="CG62" i="12"/>
  <c r="CF62" i="12"/>
  <c r="CE62" i="12"/>
  <c r="CD62" i="12"/>
  <c r="CC62" i="12"/>
  <c r="CB62" i="12"/>
  <c r="BZ62" i="12"/>
  <c r="BY62" i="12"/>
  <c r="BX62" i="12"/>
  <c r="BW62" i="12"/>
  <c r="BV62" i="12"/>
  <c r="BU62" i="12"/>
  <c r="BT62" i="12"/>
  <c r="BS62" i="12"/>
  <c r="BR62" i="12"/>
  <c r="BQ62" i="12"/>
  <c r="BP62" i="12"/>
  <c r="BO62" i="12"/>
  <c r="BN62" i="12"/>
  <c r="BM62" i="12"/>
  <c r="BL62" i="12"/>
  <c r="BK62" i="12"/>
  <c r="BJ62" i="12"/>
  <c r="BI62" i="12"/>
  <c r="BH62" i="12"/>
  <c r="BG62" i="12"/>
  <c r="BF62" i="12"/>
  <c r="BE62" i="12"/>
  <c r="BD62" i="12"/>
  <c r="BC62" i="12"/>
  <c r="BB62" i="12"/>
  <c r="BA62" i="12"/>
  <c r="AZ62" i="12"/>
  <c r="AM62" i="12"/>
  <c r="AF62" i="12"/>
  <c r="AE62" i="12"/>
  <c r="S62" i="12"/>
  <c r="N62" i="12"/>
  <c r="M62" i="12" s="1"/>
  <c r="L62" i="12"/>
  <c r="G62" i="12"/>
  <c r="F62" i="12"/>
  <c r="AS62" i="12" s="1"/>
  <c r="E62" i="12"/>
  <c r="GD61" i="12"/>
  <c r="GC61" i="12"/>
  <c r="GB61" i="12"/>
  <c r="GA61" i="12"/>
  <c r="FZ61" i="12"/>
  <c r="FY61" i="12"/>
  <c r="FX61" i="12"/>
  <c r="FW61" i="12"/>
  <c r="FV61" i="12"/>
  <c r="FT61" i="12" s="1"/>
  <c r="FN61" i="12" s="1"/>
  <c r="FM61" i="12"/>
  <c r="FF61" i="12"/>
  <c r="FE61" i="12"/>
  <c r="FD61" i="12"/>
  <c r="FC61" i="12"/>
  <c r="FB61" i="12"/>
  <c r="FA61" i="12"/>
  <c r="EZ61" i="12"/>
  <c r="EY61" i="12"/>
  <c r="EX61" i="12"/>
  <c r="EW61" i="12"/>
  <c r="EV61" i="12"/>
  <c r="EU61" i="12"/>
  <c r="ET61" i="12"/>
  <c r="EP61" i="12"/>
  <c r="DB61" i="12"/>
  <c r="DA61" i="12"/>
  <c r="CZ61" i="12"/>
  <c r="CY61" i="12"/>
  <c r="CX61" i="12"/>
  <c r="CW61" i="12"/>
  <c r="CV61" i="12"/>
  <c r="CU61" i="12"/>
  <c r="CT61" i="12"/>
  <c r="CS61" i="12"/>
  <c r="CR61" i="12"/>
  <c r="CQ61" i="12"/>
  <c r="CP61" i="12"/>
  <c r="CO61" i="12"/>
  <c r="CN61" i="12"/>
  <c r="CM61" i="12"/>
  <c r="CL61" i="12"/>
  <c r="CK61" i="12"/>
  <c r="CJ61" i="12"/>
  <c r="CI61" i="12"/>
  <c r="CH61" i="12"/>
  <c r="CG61" i="12"/>
  <c r="CF61" i="12"/>
  <c r="CE61" i="12"/>
  <c r="CD61" i="12"/>
  <c r="CC61" i="12"/>
  <c r="CB61" i="12"/>
  <c r="BZ61" i="12"/>
  <c r="BY61" i="12"/>
  <c r="BX61" i="12"/>
  <c r="BW61" i="12"/>
  <c r="BV61" i="12"/>
  <c r="BU61" i="12"/>
  <c r="BT61" i="12"/>
  <c r="BS61" i="12"/>
  <c r="BR61" i="12"/>
  <c r="BQ61" i="12"/>
  <c r="BP61" i="12"/>
  <c r="BO61" i="12"/>
  <c r="BN61" i="12"/>
  <c r="BM61" i="12"/>
  <c r="BL61" i="12"/>
  <c r="BK61" i="12"/>
  <c r="BJ61" i="12"/>
  <c r="BI61" i="12"/>
  <c r="BH61" i="12"/>
  <c r="BG61" i="12"/>
  <c r="BF61" i="12"/>
  <c r="BE61" i="12"/>
  <c r="BD61" i="12"/>
  <c r="BC61" i="12"/>
  <c r="BB61" i="12"/>
  <c r="BA61" i="12"/>
  <c r="AZ61" i="12"/>
  <c r="AM61" i="12"/>
  <c r="AF61" i="12"/>
  <c r="AE61" i="12"/>
  <c r="S61" i="12"/>
  <c r="N61" i="12"/>
  <c r="M61" i="12" s="1"/>
  <c r="L61" i="12"/>
  <c r="K61" i="12" s="1"/>
  <c r="G61" i="12"/>
  <c r="F61" i="12"/>
  <c r="AO61" i="12" s="1"/>
  <c r="E61" i="12"/>
  <c r="GD60" i="12"/>
  <c r="GC60" i="12"/>
  <c r="GB60" i="12"/>
  <c r="GA60" i="12"/>
  <c r="FZ60" i="12"/>
  <c r="FY60" i="12"/>
  <c r="FX60" i="12"/>
  <c r="FW60" i="12"/>
  <c r="FV60" i="12"/>
  <c r="FT60" i="12"/>
  <c r="FF60" i="12"/>
  <c r="FE60" i="12"/>
  <c r="FD60" i="12"/>
  <c r="FC60" i="12"/>
  <c r="FB60" i="12"/>
  <c r="FA60" i="12"/>
  <c r="EZ60" i="12"/>
  <c r="EY60" i="12"/>
  <c r="EX60" i="12"/>
  <c r="EW60" i="12"/>
  <c r="EV60" i="12"/>
  <c r="EU60" i="12"/>
  <c r="ET60" i="12"/>
  <c r="EP60" i="12"/>
  <c r="DB60" i="12"/>
  <c r="DA60" i="12"/>
  <c r="CZ60" i="12"/>
  <c r="CY60" i="12"/>
  <c r="CX60" i="12"/>
  <c r="CW60" i="12"/>
  <c r="CV60" i="12"/>
  <c r="CU60" i="12"/>
  <c r="CT60" i="12"/>
  <c r="CS60" i="12"/>
  <c r="CR60" i="12"/>
  <c r="CQ60" i="12"/>
  <c r="CP60" i="12"/>
  <c r="CO60" i="12"/>
  <c r="CN60" i="12"/>
  <c r="CM60" i="12"/>
  <c r="CL60" i="12"/>
  <c r="CK60" i="12"/>
  <c r="CJ60" i="12"/>
  <c r="CI60" i="12"/>
  <c r="CH60" i="12"/>
  <c r="CG60" i="12"/>
  <c r="CF60" i="12"/>
  <c r="CE60" i="12"/>
  <c r="CD60" i="12"/>
  <c r="CC60" i="12"/>
  <c r="CB60" i="12"/>
  <c r="BZ60" i="12"/>
  <c r="BY60" i="12"/>
  <c r="BX60" i="12"/>
  <c r="BW60" i="12"/>
  <c r="BV60" i="12"/>
  <c r="BU60" i="12"/>
  <c r="BT60" i="12"/>
  <c r="BS60" i="12"/>
  <c r="BR60" i="12"/>
  <c r="BQ60" i="12"/>
  <c r="BP60" i="12"/>
  <c r="BO60" i="12"/>
  <c r="BN60" i="12"/>
  <c r="BM60" i="12"/>
  <c r="BL60" i="12"/>
  <c r="BK60" i="12"/>
  <c r="BJ60" i="12"/>
  <c r="BI60" i="12"/>
  <c r="BH60" i="12"/>
  <c r="BG60" i="12"/>
  <c r="BF60" i="12"/>
  <c r="BE60" i="12"/>
  <c r="BD60" i="12"/>
  <c r="BC60" i="12"/>
  <c r="BB60" i="12"/>
  <c r="BA60" i="12"/>
  <c r="AZ60" i="12"/>
  <c r="AM60" i="12"/>
  <c r="AF60" i="12"/>
  <c r="AE60" i="12"/>
  <c r="S60" i="12"/>
  <c r="N60" i="12"/>
  <c r="M60" i="12" s="1"/>
  <c r="L60" i="12"/>
  <c r="G60" i="12"/>
  <c r="F60" i="12"/>
  <c r="Z60" i="12" s="1"/>
  <c r="E60" i="12"/>
  <c r="GD59" i="12"/>
  <c r="GC59" i="12"/>
  <c r="GB59" i="12"/>
  <c r="GA59" i="12"/>
  <c r="FZ59" i="12"/>
  <c r="FY59" i="12"/>
  <c r="FX59" i="12"/>
  <c r="FW59" i="12"/>
  <c r="FV59" i="12"/>
  <c r="FT59" i="12"/>
  <c r="FH59" i="12" s="1"/>
  <c r="FF59" i="12"/>
  <c r="FE59" i="12"/>
  <c r="FD59" i="12"/>
  <c r="FC59" i="12"/>
  <c r="FB59" i="12"/>
  <c r="FA59" i="12"/>
  <c r="EZ59" i="12"/>
  <c r="EY59" i="12"/>
  <c r="EX59" i="12"/>
  <c r="EW59" i="12"/>
  <c r="EV59" i="12"/>
  <c r="EU59" i="12"/>
  <c r="ET59" i="12"/>
  <c r="ES59" i="12"/>
  <c r="EP59" i="12"/>
  <c r="DB59" i="12"/>
  <c r="DA59" i="12"/>
  <c r="CZ59" i="12"/>
  <c r="CY59" i="12"/>
  <c r="CX59" i="12"/>
  <c r="CW59" i="12"/>
  <c r="CV59" i="12"/>
  <c r="CU59" i="12"/>
  <c r="CT59" i="12"/>
  <c r="CS59" i="12"/>
  <c r="CR59" i="12"/>
  <c r="CQ59" i="12"/>
  <c r="CP59" i="12"/>
  <c r="CO59" i="12"/>
  <c r="CN59" i="12"/>
  <c r="CM59" i="12"/>
  <c r="CL59" i="12"/>
  <c r="CK59" i="12"/>
  <c r="CJ59" i="12"/>
  <c r="CI59" i="12"/>
  <c r="CH59" i="12"/>
  <c r="CG59" i="12"/>
  <c r="CF59" i="12"/>
  <c r="CE59" i="12"/>
  <c r="CD59" i="12"/>
  <c r="CC59" i="12"/>
  <c r="CB59" i="12"/>
  <c r="BZ59" i="12"/>
  <c r="BY59" i="12"/>
  <c r="BX59" i="12"/>
  <c r="BW59" i="12"/>
  <c r="BV59" i="12"/>
  <c r="BU59" i="12"/>
  <c r="BT59" i="12"/>
  <c r="BS59" i="12"/>
  <c r="BR59" i="12"/>
  <c r="BQ59" i="12"/>
  <c r="BP59" i="12"/>
  <c r="BO59" i="12"/>
  <c r="BN59" i="12"/>
  <c r="BM59" i="12"/>
  <c r="BL59" i="12"/>
  <c r="BK59" i="12"/>
  <c r="BJ59" i="12"/>
  <c r="BI59" i="12"/>
  <c r="BH59" i="12"/>
  <c r="BG59" i="12"/>
  <c r="BF59" i="12"/>
  <c r="BE59" i="12"/>
  <c r="BD59" i="12"/>
  <c r="BC59" i="12"/>
  <c r="BB59" i="12"/>
  <c r="BA59" i="12"/>
  <c r="AZ59" i="12"/>
  <c r="AM59" i="12"/>
  <c r="AF59" i="12"/>
  <c r="AG59" i="12" s="1"/>
  <c r="AE59" i="12"/>
  <c r="S59" i="12"/>
  <c r="N59" i="12"/>
  <c r="M59" i="12" s="1"/>
  <c r="L59" i="12"/>
  <c r="EA59" i="12" s="1"/>
  <c r="G59" i="12"/>
  <c r="F59" i="12"/>
  <c r="E59" i="12"/>
  <c r="GD58" i="12"/>
  <c r="GC58" i="12"/>
  <c r="GB58" i="12"/>
  <c r="GA58" i="12"/>
  <c r="FZ58" i="12"/>
  <c r="FY58" i="12"/>
  <c r="FX58" i="12"/>
  <c r="FW58" i="12"/>
  <c r="FV58" i="12"/>
  <c r="FT58" i="12"/>
  <c r="FJ58" i="12" s="1"/>
  <c r="FS58" i="12"/>
  <c r="FR58" i="12"/>
  <c r="FF58" i="12"/>
  <c r="FE58" i="12"/>
  <c r="FD58" i="12"/>
  <c r="FC58" i="12"/>
  <c r="FB58" i="12"/>
  <c r="FA58" i="12"/>
  <c r="EZ58" i="12"/>
  <c r="EY58" i="12"/>
  <c r="EX58" i="12"/>
  <c r="EW58" i="12"/>
  <c r="EV58" i="12"/>
  <c r="EU58" i="12"/>
  <c r="ET58" i="12"/>
  <c r="EQ58" i="12"/>
  <c r="EP58" i="12"/>
  <c r="DB58" i="12"/>
  <c r="DA58" i="12"/>
  <c r="CZ58" i="12"/>
  <c r="CY58" i="12"/>
  <c r="CX58" i="12"/>
  <c r="CW58" i="12"/>
  <c r="CV58" i="12"/>
  <c r="CU58" i="12"/>
  <c r="CT58" i="12"/>
  <c r="CS58" i="12"/>
  <c r="CR58" i="12"/>
  <c r="CQ58" i="12"/>
  <c r="CP58" i="12"/>
  <c r="CO58" i="12"/>
  <c r="CN58" i="12"/>
  <c r="CM58" i="12"/>
  <c r="CL58" i="12"/>
  <c r="CK58" i="12"/>
  <c r="CJ58" i="12"/>
  <c r="CI58" i="12"/>
  <c r="CH58" i="12"/>
  <c r="CG58" i="12"/>
  <c r="CF58" i="12"/>
  <c r="CE58" i="12"/>
  <c r="CD58" i="12"/>
  <c r="CC58" i="12"/>
  <c r="CB58" i="12"/>
  <c r="BZ58" i="12"/>
  <c r="BY58" i="12"/>
  <c r="BX58" i="12"/>
  <c r="BW58" i="12"/>
  <c r="BV58" i="12"/>
  <c r="BU58" i="12"/>
  <c r="BT58" i="12"/>
  <c r="BS58" i="12"/>
  <c r="BR58" i="12"/>
  <c r="BQ58" i="12"/>
  <c r="BP58" i="12"/>
  <c r="BO58" i="12"/>
  <c r="BN58" i="12"/>
  <c r="BM58" i="12"/>
  <c r="BL58" i="12"/>
  <c r="BK58" i="12"/>
  <c r="BJ58" i="12"/>
  <c r="BI58" i="12"/>
  <c r="BH58" i="12"/>
  <c r="BG58" i="12"/>
  <c r="BF58" i="12"/>
  <c r="BE58" i="12"/>
  <c r="BD58" i="12"/>
  <c r="BC58" i="12"/>
  <c r="BB58" i="12"/>
  <c r="BA58" i="12"/>
  <c r="AZ58" i="12"/>
  <c r="AM58" i="12"/>
  <c r="AF58" i="12"/>
  <c r="AG58" i="12" s="1"/>
  <c r="AE58" i="12"/>
  <c r="S58" i="12"/>
  <c r="N58" i="12"/>
  <c r="M58" i="12" s="1"/>
  <c r="L58" i="12"/>
  <c r="EA58" i="12" s="1"/>
  <c r="G58" i="12"/>
  <c r="F58" i="12"/>
  <c r="E58" i="12"/>
  <c r="GD57" i="12"/>
  <c r="GC57" i="12"/>
  <c r="GB57" i="12"/>
  <c r="GA57" i="12"/>
  <c r="FZ57" i="12"/>
  <c r="FY57" i="12"/>
  <c r="FX57" i="12"/>
  <c r="FW57" i="12"/>
  <c r="FV57" i="12"/>
  <c r="FT57" i="12" s="1"/>
  <c r="FK57" i="12" s="1"/>
  <c r="FF57" i="12"/>
  <c r="FE57" i="12"/>
  <c r="FD57" i="12"/>
  <c r="FC57" i="12"/>
  <c r="FB57" i="12"/>
  <c r="FA57" i="12"/>
  <c r="EZ57" i="12"/>
  <c r="EY57" i="12"/>
  <c r="EX57" i="12"/>
  <c r="EW57" i="12"/>
  <c r="EV57" i="12"/>
  <c r="EU57" i="12"/>
  <c r="ET57" i="12"/>
  <c r="EP57" i="12"/>
  <c r="DB57" i="12"/>
  <c r="DA57" i="12"/>
  <c r="CZ57" i="12"/>
  <c r="CY57" i="12"/>
  <c r="CX57" i="12"/>
  <c r="CW57" i="12"/>
  <c r="CV57" i="12"/>
  <c r="CU57" i="12"/>
  <c r="CT57" i="12"/>
  <c r="CS57" i="12"/>
  <c r="CR57" i="12"/>
  <c r="CQ57" i="12"/>
  <c r="CP57" i="12"/>
  <c r="CO57" i="12"/>
  <c r="CN57" i="12"/>
  <c r="CM57" i="12"/>
  <c r="CL57" i="12"/>
  <c r="CK57" i="12"/>
  <c r="CJ57" i="12"/>
  <c r="CI57" i="12"/>
  <c r="CH57" i="12"/>
  <c r="CG57" i="12"/>
  <c r="CF57" i="12"/>
  <c r="CE57" i="12"/>
  <c r="CD57" i="12"/>
  <c r="CC57" i="12"/>
  <c r="CB57" i="12"/>
  <c r="BZ57" i="12"/>
  <c r="BY57" i="12"/>
  <c r="BX57" i="12"/>
  <c r="BW57" i="12"/>
  <c r="BV57" i="12"/>
  <c r="BU57" i="12"/>
  <c r="BT57" i="12"/>
  <c r="BS57" i="12"/>
  <c r="BR57" i="12"/>
  <c r="BQ57" i="12"/>
  <c r="BP57" i="12"/>
  <c r="BO57" i="12"/>
  <c r="BN57" i="12"/>
  <c r="BM57" i="12"/>
  <c r="BL57" i="12"/>
  <c r="BK57" i="12"/>
  <c r="BJ57" i="12"/>
  <c r="BI57" i="12"/>
  <c r="BH57" i="12"/>
  <c r="BG57" i="12"/>
  <c r="BF57" i="12"/>
  <c r="BE57" i="12"/>
  <c r="BD57" i="12"/>
  <c r="BC57" i="12"/>
  <c r="BB57" i="12"/>
  <c r="BA57" i="12"/>
  <c r="AZ57" i="12"/>
  <c r="AM57" i="12"/>
  <c r="AF57" i="12"/>
  <c r="AE57" i="12"/>
  <c r="AG57" i="12" s="1"/>
  <c r="S57" i="12"/>
  <c r="N57" i="12"/>
  <c r="M57" i="12" s="1"/>
  <c r="L57" i="12"/>
  <c r="DO57" i="12" s="1"/>
  <c r="G57" i="12"/>
  <c r="F57" i="12"/>
  <c r="Z57" i="12" s="1"/>
  <c r="E57" i="12"/>
  <c r="GD56" i="12"/>
  <c r="GC56" i="12"/>
  <c r="GB56" i="12"/>
  <c r="GA56" i="12"/>
  <c r="FZ56" i="12"/>
  <c r="FY56" i="12"/>
  <c r="FX56" i="12"/>
  <c r="FW56" i="12"/>
  <c r="FV56" i="12"/>
  <c r="FT56" i="12" s="1"/>
  <c r="FF56" i="12"/>
  <c r="FE56" i="12"/>
  <c r="FD56" i="12"/>
  <c r="FC56" i="12"/>
  <c r="FB56" i="12"/>
  <c r="FA56" i="12"/>
  <c r="EZ56" i="12"/>
  <c r="EY56" i="12"/>
  <c r="EX56" i="12"/>
  <c r="EW56" i="12"/>
  <c r="EV56" i="12"/>
  <c r="EU56" i="12"/>
  <c r="ET56" i="12"/>
  <c r="EP56" i="12"/>
  <c r="DB56" i="12"/>
  <c r="DA56" i="12"/>
  <c r="CZ56" i="12"/>
  <c r="CY56" i="12"/>
  <c r="CX56" i="12"/>
  <c r="CW56" i="12"/>
  <c r="CV56" i="12"/>
  <c r="CU56" i="12"/>
  <c r="CT56" i="12"/>
  <c r="CS56" i="12"/>
  <c r="CR56" i="12"/>
  <c r="CQ56" i="12"/>
  <c r="CP56" i="12"/>
  <c r="CO56" i="12"/>
  <c r="CN56" i="12"/>
  <c r="CM56" i="12"/>
  <c r="CL56" i="12"/>
  <c r="CK56" i="12"/>
  <c r="CJ56" i="12"/>
  <c r="CI56" i="12"/>
  <c r="CH56" i="12"/>
  <c r="CG56" i="12"/>
  <c r="CF56" i="12"/>
  <c r="CE56" i="12"/>
  <c r="CD56" i="12"/>
  <c r="CC56" i="12"/>
  <c r="CB56" i="12"/>
  <c r="BZ56" i="12"/>
  <c r="BY56" i="12"/>
  <c r="BX56" i="12"/>
  <c r="BW56" i="12"/>
  <c r="BV56" i="12"/>
  <c r="BU56" i="12"/>
  <c r="BT56" i="12"/>
  <c r="BS56" i="12"/>
  <c r="BR56" i="12"/>
  <c r="BQ56" i="12"/>
  <c r="BP56" i="12"/>
  <c r="BO56" i="12"/>
  <c r="BN56" i="12"/>
  <c r="BM56" i="12"/>
  <c r="BL56" i="12"/>
  <c r="BK56" i="12"/>
  <c r="BJ56" i="12"/>
  <c r="BI56" i="12"/>
  <c r="BH56" i="12"/>
  <c r="BG56" i="12"/>
  <c r="BF56" i="12"/>
  <c r="BE56" i="12"/>
  <c r="BD56" i="12"/>
  <c r="BC56" i="12"/>
  <c r="BB56" i="12"/>
  <c r="BA56" i="12"/>
  <c r="AZ56" i="12"/>
  <c r="AM56" i="12"/>
  <c r="AF56" i="12"/>
  <c r="AE56" i="12"/>
  <c r="S56" i="12"/>
  <c r="N56" i="12"/>
  <c r="M56" i="12" s="1"/>
  <c r="L56" i="12"/>
  <c r="DZ56" i="12" s="1"/>
  <c r="G56" i="12"/>
  <c r="F56" i="12"/>
  <c r="Z56" i="12" s="1"/>
  <c r="E56" i="12"/>
  <c r="GD55" i="12"/>
  <c r="GC55" i="12"/>
  <c r="GB55" i="12"/>
  <c r="GA55" i="12"/>
  <c r="FZ55" i="12"/>
  <c r="FY55" i="12"/>
  <c r="FX55" i="12"/>
  <c r="FW55" i="12"/>
  <c r="FV55" i="12"/>
  <c r="FT55" i="12" s="1"/>
  <c r="FQ55" i="12" s="1"/>
  <c r="FF55" i="12"/>
  <c r="FE55" i="12"/>
  <c r="FD55" i="12"/>
  <c r="FC55" i="12"/>
  <c r="FB55" i="12"/>
  <c r="FA55" i="12"/>
  <c r="EZ55" i="12"/>
  <c r="EY55" i="12"/>
  <c r="EX55" i="12"/>
  <c r="EW55" i="12"/>
  <c r="EV55" i="12"/>
  <c r="EU55" i="12"/>
  <c r="ET55" i="12"/>
  <c r="EP55" i="12"/>
  <c r="DB55" i="12"/>
  <c r="DA55" i="12"/>
  <c r="CZ55" i="12"/>
  <c r="CY55" i="12"/>
  <c r="CX55" i="12"/>
  <c r="CW55" i="12"/>
  <c r="CV55" i="12"/>
  <c r="CU55" i="12"/>
  <c r="CT55" i="12"/>
  <c r="CS55" i="12"/>
  <c r="CR55" i="12"/>
  <c r="CQ55" i="12"/>
  <c r="CP55" i="12"/>
  <c r="CO55" i="12"/>
  <c r="CN55" i="12"/>
  <c r="CM55" i="12"/>
  <c r="CL55" i="12"/>
  <c r="CK55" i="12"/>
  <c r="CJ55" i="12"/>
  <c r="CI55" i="12"/>
  <c r="CH55" i="12"/>
  <c r="CG55" i="12"/>
  <c r="CF55" i="12"/>
  <c r="CE55" i="12"/>
  <c r="CD55" i="12"/>
  <c r="CC55" i="12"/>
  <c r="CB55" i="12"/>
  <c r="BZ55" i="12"/>
  <c r="BY55" i="12"/>
  <c r="BX55" i="12"/>
  <c r="BW55" i="12"/>
  <c r="BV55" i="12"/>
  <c r="BU55" i="12"/>
  <c r="BT55" i="12"/>
  <c r="BS55" i="12"/>
  <c r="BR55" i="12"/>
  <c r="BQ55" i="12"/>
  <c r="BP55" i="12"/>
  <c r="BO55" i="12"/>
  <c r="BN55" i="12"/>
  <c r="BM55" i="12"/>
  <c r="BL55" i="12"/>
  <c r="BK55" i="12"/>
  <c r="BJ55" i="12"/>
  <c r="BI55" i="12"/>
  <c r="BH55" i="12"/>
  <c r="BG55" i="12"/>
  <c r="BF55" i="12"/>
  <c r="BE55" i="12"/>
  <c r="BD55" i="12"/>
  <c r="BC55" i="12"/>
  <c r="BB55" i="12"/>
  <c r="BA55" i="12"/>
  <c r="AZ55" i="12"/>
  <c r="AM55" i="12"/>
  <c r="AF55" i="12"/>
  <c r="AE55" i="12"/>
  <c r="S55" i="12"/>
  <c r="N55" i="12"/>
  <c r="M55" i="12" s="1"/>
  <c r="L55" i="12"/>
  <c r="G55" i="12"/>
  <c r="F55" i="12"/>
  <c r="E55" i="12"/>
  <c r="GD54" i="12"/>
  <c r="GC54" i="12"/>
  <c r="GB54" i="12"/>
  <c r="GA54" i="12"/>
  <c r="FZ54" i="12"/>
  <c r="FY54" i="12"/>
  <c r="FX54" i="12"/>
  <c r="FW54" i="12"/>
  <c r="FV54" i="12"/>
  <c r="FT54" i="12"/>
  <c r="FQ54" i="12" s="1"/>
  <c r="FN54" i="12"/>
  <c r="FM54" i="12"/>
  <c r="FH54" i="12"/>
  <c r="FF54" i="12"/>
  <c r="FE54" i="12"/>
  <c r="FD54" i="12"/>
  <c r="FC54" i="12"/>
  <c r="FB54" i="12"/>
  <c r="FA54" i="12"/>
  <c r="EZ54" i="12"/>
  <c r="EY54" i="12"/>
  <c r="EX54" i="12"/>
  <c r="EW54" i="12"/>
  <c r="EV54" i="12"/>
  <c r="EU54" i="12"/>
  <c r="ET54" i="12"/>
  <c r="EP54" i="12"/>
  <c r="DB54" i="12"/>
  <c r="DA54" i="12"/>
  <c r="CZ54" i="12"/>
  <c r="CY54" i="12"/>
  <c r="CX54" i="12"/>
  <c r="CW54" i="12"/>
  <c r="CV54" i="12"/>
  <c r="CU54" i="12"/>
  <c r="CT54" i="12"/>
  <c r="CS54" i="12"/>
  <c r="CR54" i="12"/>
  <c r="CQ54" i="12"/>
  <c r="CP54" i="12"/>
  <c r="CO54" i="12"/>
  <c r="CN54" i="12"/>
  <c r="CM54" i="12"/>
  <c r="CL54" i="12"/>
  <c r="CK54" i="12"/>
  <c r="CJ54" i="12"/>
  <c r="CI54" i="12"/>
  <c r="CH54" i="12"/>
  <c r="CG54" i="12"/>
  <c r="CF54" i="12"/>
  <c r="CE54" i="12"/>
  <c r="CD54" i="12"/>
  <c r="CC54" i="12"/>
  <c r="CB54" i="12"/>
  <c r="BZ54" i="12"/>
  <c r="BY54" i="12"/>
  <c r="BX54" i="12"/>
  <c r="BW54" i="12"/>
  <c r="BV54" i="12"/>
  <c r="BU54" i="12"/>
  <c r="BT54" i="12"/>
  <c r="BS54" i="12"/>
  <c r="BR54" i="12"/>
  <c r="BQ54" i="12"/>
  <c r="BP54" i="12"/>
  <c r="BO54" i="12"/>
  <c r="BN54" i="12"/>
  <c r="BM54" i="12"/>
  <c r="BL54" i="12"/>
  <c r="BK54" i="12"/>
  <c r="BJ54" i="12"/>
  <c r="BI54" i="12"/>
  <c r="BH54" i="12"/>
  <c r="BG54" i="12"/>
  <c r="BF54" i="12"/>
  <c r="BE54" i="12"/>
  <c r="BD54" i="12"/>
  <c r="BC54" i="12"/>
  <c r="BB54" i="12"/>
  <c r="BA54" i="12"/>
  <c r="AZ54" i="12"/>
  <c r="AM54" i="12"/>
  <c r="AF54" i="12"/>
  <c r="AE54" i="12"/>
  <c r="S54" i="12"/>
  <c r="N54" i="12"/>
  <c r="M54" i="12" s="1"/>
  <c r="L54" i="12"/>
  <c r="DZ54" i="12" s="1"/>
  <c r="G54" i="12"/>
  <c r="F54" i="12"/>
  <c r="AO54" i="12" s="1"/>
  <c r="E54" i="12"/>
  <c r="GD53" i="12"/>
  <c r="GC53" i="12"/>
  <c r="GB53" i="12"/>
  <c r="GA53" i="12"/>
  <c r="FZ53" i="12"/>
  <c r="FY53" i="12"/>
  <c r="FX53" i="12"/>
  <c r="FW53" i="12"/>
  <c r="FV53" i="12"/>
  <c r="FT53" i="12" s="1"/>
  <c r="FF53" i="12"/>
  <c r="FE53" i="12"/>
  <c r="FD53" i="12"/>
  <c r="FC53" i="12"/>
  <c r="FB53" i="12"/>
  <c r="FA53" i="12"/>
  <c r="EZ53" i="12"/>
  <c r="EY53" i="12"/>
  <c r="EX53" i="12"/>
  <c r="EW53" i="12"/>
  <c r="EV53" i="12"/>
  <c r="EU53" i="12"/>
  <c r="ET53" i="12"/>
  <c r="EP53" i="12"/>
  <c r="DB53" i="12"/>
  <c r="DA53" i="12"/>
  <c r="CZ53" i="12"/>
  <c r="CY53" i="12"/>
  <c r="CX53" i="12"/>
  <c r="CW53" i="12"/>
  <c r="CV53" i="12"/>
  <c r="CU53" i="12"/>
  <c r="CT53" i="12"/>
  <c r="CS53" i="12"/>
  <c r="CR53" i="12"/>
  <c r="CQ53" i="12"/>
  <c r="CP53" i="12"/>
  <c r="CO53" i="12"/>
  <c r="CN53" i="12"/>
  <c r="CM53" i="12"/>
  <c r="CL53" i="12"/>
  <c r="CK53" i="12"/>
  <c r="CJ53" i="12"/>
  <c r="CI53" i="12"/>
  <c r="CH53" i="12"/>
  <c r="CG53" i="12"/>
  <c r="CF53" i="12"/>
  <c r="CE53" i="12"/>
  <c r="CD53" i="12"/>
  <c r="CC53" i="12"/>
  <c r="CB53" i="12"/>
  <c r="BZ53" i="12"/>
  <c r="BY53" i="12"/>
  <c r="BX53" i="12"/>
  <c r="BW53" i="12"/>
  <c r="BV53" i="12"/>
  <c r="BU53" i="12"/>
  <c r="BT53" i="12"/>
  <c r="BS53" i="12"/>
  <c r="BR53" i="12"/>
  <c r="BQ53" i="12"/>
  <c r="BP53" i="12"/>
  <c r="BO53" i="12"/>
  <c r="BN53" i="12"/>
  <c r="BM53" i="12"/>
  <c r="BL53" i="12"/>
  <c r="BK53" i="12"/>
  <c r="BJ53" i="12"/>
  <c r="BI53" i="12"/>
  <c r="BH53" i="12"/>
  <c r="BG53" i="12"/>
  <c r="BF53" i="12"/>
  <c r="BE53" i="12"/>
  <c r="BD53" i="12"/>
  <c r="BC53" i="12"/>
  <c r="BB53" i="12"/>
  <c r="BA53" i="12"/>
  <c r="AZ53" i="12"/>
  <c r="AM53" i="12"/>
  <c r="AF53" i="12"/>
  <c r="AE53" i="12"/>
  <c r="AG53" i="12" s="1"/>
  <c r="S53" i="12"/>
  <c r="N53" i="12"/>
  <c r="M53" i="12" s="1"/>
  <c r="L53" i="12"/>
  <c r="EB53" i="12" s="1"/>
  <c r="G53" i="12"/>
  <c r="F53" i="12"/>
  <c r="AO53" i="12" s="1"/>
  <c r="E53" i="12"/>
  <c r="GD52" i="12"/>
  <c r="GC52" i="12"/>
  <c r="GB52" i="12"/>
  <c r="GA52" i="12"/>
  <c r="FZ52" i="12"/>
  <c r="FY52" i="12"/>
  <c r="FX52" i="12"/>
  <c r="FW52" i="12"/>
  <c r="FV52" i="12"/>
  <c r="FT52" i="12"/>
  <c r="FF52" i="12"/>
  <c r="FE52" i="12"/>
  <c r="FD52" i="12"/>
  <c r="FC52" i="12"/>
  <c r="FB52" i="12"/>
  <c r="FA52" i="12"/>
  <c r="EZ52" i="12"/>
  <c r="EY52" i="12"/>
  <c r="EX52" i="12"/>
  <c r="EW52" i="12"/>
  <c r="EV52" i="12"/>
  <c r="EU52" i="12"/>
  <c r="ET52" i="12"/>
  <c r="EQ52" i="12"/>
  <c r="EP52" i="12"/>
  <c r="DB52" i="12"/>
  <c r="DA52" i="12"/>
  <c r="CZ52" i="12"/>
  <c r="CY52" i="12"/>
  <c r="CX52" i="12"/>
  <c r="CW52" i="12"/>
  <c r="CV52" i="12"/>
  <c r="CU52" i="12"/>
  <c r="CT52" i="12"/>
  <c r="CS52" i="12"/>
  <c r="CR52" i="12"/>
  <c r="CQ52" i="12"/>
  <c r="CP52" i="12"/>
  <c r="CO52" i="12"/>
  <c r="CN52" i="12"/>
  <c r="CM52" i="12"/>
  <c r="CL52" i="12"/>
  <c r="CK52" i="12"/>
  <c r="CJ52" i="12"/>
  <c r="CI52" i="12"/>
  <c r="CH52" i="12"/>
  <c r="CG52" i="12"/>
  <c r="CF52" i="12"/>
  <c r="CE52" i="12"/>
  <c r="CD52" i="12"/>
  <c r="CC52" i="12"/>
  <c r="CB52" i="12"/>
  <c r="BZ52" i="12"/>
  <c r="BY52" i="12"/>
  <c r="BX52" i="12"/>
  <c r="BW52" i="12"/>
  <c r="BV52" i="12"/>
  <c r="BU52" i="12"/>
  <c r="BT52" i="12"/>
  <c r="BS52" i="12"/>
  <c r="BR52" i="12"/>
  <c r="BQ52" i="12"/>
  <c r="BP52" i="12"/>
  <c r="BO52" i="12"/>
  <c r="BN52" i="12"/>
  <c r="BM52" i="12"/>
  <c r="BL52" i="12"/>
  <c r="BK52" i="12"/>
  <c r="BJ52" i="12"/>
  <c r="BI52" i="12"/>
  <c r="BH52" i="12"/>
  <c r="BG52" i="12"/>
  <c r="BF52" i="12"/>
  <c r="BE52" i="12"/>
  <c r="BD52" i="12"/>
  <c r="BC52" i="12"/>
  <c r="BB52" i="12"/>
  <c r="BA52" i="12"/>
  <c r="AZ52" i="12"/>
  <c r="AM52" i="12"/>
  <c r="AF52" i="12"/>
  <c r="AG52" i="12" s="1"/>
  <c r="AE52" i="12"/>
  <c r="S52" i="12"/>
  <c r="N52" i="12"/>
  <c r="M52" i="12" s="1"/>
  <c r="L52" i="12"/>
  <c r="EC52" i="12" s="1"/>
  <c r="G52" i="12"/>
  <c r="F52" i="12"/>
  <c r="AO52" i="12" s="1"/>
  <c r="E52" i="12"/>
  <c r="GD51" i="12"/>
  <c r="GC51" i="12"/>
  <c r="GB51" i="12"/>
  <c r="GA51" i="12"/>
  <c r="FZ51" i="12"/>
  <c r="FY51" i="12"/>
  <c r="FX51" i="12"/>
  <c r="FW51" i="12"/>
  <c r="FV51" i="12"/>
  <c r="FT51" i="12" s="1"/>
  <c r="FF51" i="12"/>
  <c r="FE51" i="12"/>
  <c r="FD51" i="12"/>
  <c r="FC51" i="12"/>
  <c r="FB51" i="12"/>
  <c r="FA51" i="12"/>
  <c r="EZ51" i="12"/>
  <c r="EY51" i="12"/>
  <c r="EX51" i="12"/>
  <c r="EW51" i="12"/>
  <c r="EV51" i="12"/>
  <c r="EU51" i="12"/>
  <c r="ET51" i="12"/>
  <c r="EP51" i="12"/>
  <c r="DB51" i="12"/>
  <c r="DA51" i="12"/>
  <c r="CZ51" i="12"/>
  <c r="CY51" i="12"/>
  <c r="CX51" i="12"/>
  <c r="CW51" i="12"/>
  <c r="CV51" i="12"/>
  <c r="CU51" i="12"/>
  <c r="CT51" i="12"/>
  <c r="CS51" i="12"/>
  <c r="CR51" i="12"/>
  <c r="CQ51" i="12"/>
  <c r="CP51" i="12"/>
  <c r="CO51" i="12"/>
  <c r="CN51" i="12"/>
  <c r="CM51" i="12"/>
  <c r="CL51" i="12"/>
  <c r="CK51" i="12"/>
  <c r="CJ51" i="12"/>
  <c r="CI51" i="12"/>
  <c r="CH51" i="12"/>
  <c r="CG51" i="12"/>
  <c r="CF51" i="12"/>
  <c r="CE51" i="12"/>
  <c r="CD51" i="12"/>
  <c r="CC51" i="12"/>
  <c r="CB51" i="12"/>
  <c r="BZ51" i="12"/>
  <c r="BY51" i="12"/>
  <c r="BX51" i="12"/>
  <c r="BW51" i="12"/>
  <c r="BV51" i="12"/>
  <c r="BU51" i="12"/>
  <c r="BT51" i="12"/>
  <c r="BS51" i="12"/>
  <c r="BR51" i="12"/>
  <c r="BQ51" i="12"/>
  <c r="BP51" i="12"/>
  <c r="BO51" i="12"/>
  <c r="BN51" i="12"/>
  <c r="BM51" i="12"/>
  <c r="BL51" i="12"/>
  <c r="BK51" i="12"/>
  <c r="BJ51" i="12"/>
  <c r="BI51" i="12"/>
  <c r="BH51" i="12"/>
  <c r="BG51" i="12"/>
  <c r="BF51" i="12"/>
  <c r="BE51" i="12"/>
  <c r="BD51" i="12"/>
  <c r="BC51" i="12"/>
  <c r="BB51" i="12"/>
  <c r="BA51" i="12"/>
  <c r="AZ51" i="12"/>
  <c r="AM51" i="12"/>
  <c r="AF51" i="12"/>
  <c r="AE51" i="12"/>
  <c r="S51" i="12"/>
  <c r="N51" i="12"/>
  <c r="M51" i="12" s="1"/>
  <c r="L51" i="12"/>
  <c r="EC51" i="12" s="1"/>
  <c r="G51" i="12"/>
  <c r="F51" i="12"/>
  <c r="AS51" i="12" s="1"/>
  <c r="E51" i="12"/>
  <c r="GD50" i="12"/>
  <c r="GC50" i="12"/>
  <c r="GB50" i="12"/>
  <c r="GA50" i="12"/>
  <c r="FZ50" i="12"/>
  <c r="FY50" i="12"/>
  <c r="FX50" i="12"/>
  <c r="FW50" i="12"/>
  <c r="FV50" i="12"/>
  <c r="FT50" i="12" s="1"/>
  <c r="FO50" i="12" s="1"/>
  <c r="FF50" i="12"/>
  <c r="FE50" i="12"/>
  <c r="FD50" i="12"/>
  <c r="FC50" i="12"/>
  <c r="FB50" i="12"/>
  <c r="FA50" i="12"/>
  <c r="EZ50" i="12"/>
  <c r="EY50" i="12"/>
  <c r="EX50" i="12"/>
  <c r="EW50" i="12"/>
  <c r="EV50" i="12"/>
  <c r="EU50" i="12"/>
  <c r="ET50" i="12"/>
  <c r="EP50" i="12"/>
  <c r="DB50" i="12"/>
  <c r="DA50" i="12"/>
  <c r="CZ50" i="12"/>
  <c r="CY50" i="12"/>
  <c r="CX50" i="12"/>
  <c r="CW50" i="12"/>
  <c r="CV50" i="12"/>
  <c r="CU50" i="12"/>
  <c r="CT50" i="12"/>
  <c r="CS50" i="12"/>
  <c r="CR50" i="12"/>
  <c r="CQ50" i="12"/>
  <c r="CP50" i="12"/>
  <c r="CO50" i="12"/>
  <c r="CN50" i="12"/>
  <c r="CM50" i="12"/>
  <c r="CL50" i="12"/>
  <c r="CK50" i="12"/>
  <c r="CJ50" i="12"/>
  <c r="CI50" i="12"/>
  <c r="CH50" i="12"/>
  <c r="CG50" i="12"/>
  <c r="CF50" i="12"/>
  <c r="CE50" i="12"/>
  <c r="CD50" i="12"/>
  <c r="CC50" i="12"/>
  <c r="CB50" i="12"/>
  <c r="BZ50" i="12"/>
  <c r="BY50" i="12"/>
  <c r="BX50" i="12"/>
  <c r="BW50" i="12"/>
  <c r="BV50" i="12"/>
  <c r="BU50" i="12"/>
  <c r="BT50" i="12"/>
  <c r="BS50" i="12"/>
  <c r="BR50" i="12"/>
  <c r="BQ50" i="12"/>
  <c r="BP50" i="12"/>
  <c r="BO50" i="12"/>
  <c r="BN50" i="12"/>
  <c r="BM50" i="12"/>
  <c r="BL50" i="12"/>
  <c r="BK50" i="12"/>
  <c r="BJ50" i="12"/>
  <c r="BI50" i="12"/>
  <c r="BH50" i="12"/>
  <c r="BG50" i="12"/>
  <c r="BF50" i="12"/>
  <c r="BE50" i="12"/>
  <c r="BD50" i="12"/>
  <c r="BC50" i="12"/>
  <c r="BB50" i="12"/>
  <c r="BA50" i="12"/>
  <c r="AZ50" i="12"/>
  <c r="AM50" i="12"/>
  <c r="AF50" i="12"/>
  <c r="AE50" i="12"/>
  <c r="S50" i="12"/>
  <c r="N50" i="12"/>
  <c r="M50" i="12" s="1"/>
  <c r="L50" i="12"/>
  <c r="DP50" i="12" s="1"/>
  <c r="G50" i="12"/>
  <c r="F50" i="12"/>
  <c r="E50" i="12"/>
  <c r="GD49" i="12"/>
  <c r="GC49" i="12"/>
  <c r="GB49" i="12"/>
  <c r="GA49" i="12"/>
  <c r="FZ49" i="12"/>
  <c r="FY49" i="12"/>
  <c r="FX49" i="12"/>
  <c r="FW49" i="12"/>
  <c r="FV49" i="12"/>
  <c r="FT49" i="12"/>
  <c r="FP49" i="12" s="1"/>
  <c r="FF49" i="12"/>
  <c r="FE49" i="12"/>
  <c r="FD49" i="12"/>
  <c r="FC49" i="12"/>
  <c r="FB49" i="12"/>
  <c r="FA49" i="12"/>
  <c r="EZ49" i="12"/>
  <c r="EY49" i="12"/>
  <c r="EX49" i="12"/>
  <c r="EW49" i="12"/>
  <c r="EV49" i="12"/>
  <c r="EU49" i="12"/>
  <c r="ET49" i="12"/>
  <c r="EP49" i="12"/>
  <c r="DB49" i="12"/>
  <c r="DA49" i="12"/>
  <c r="CZ49" i="12"/>
  <c r="CY49" i="12"/>
  <c r="CX49" i="12"/>
  <c r="CW49" i="12"/>
  <c r="CV49" i="12"/>
  <c r="CU49" i="12"/>
  <c r="CT49" i="12"/>
  <c r="CS49" i="12"/>
  <c r="CR49" i="12"/>
  <c r="CQ49" i="12"/>
  <c r="CP49" i="12"/>
  <c r="CO49" i="12"/>
  <c r="CN49" i="12"/>
  <c r="CM49" i="12"/>
  <c r="CL49" i="12"/>
  <c r="CK49" i="12"/>
  <c r="CJ49" i="12"/>
  <c r="CI49" i="12"/>
  <c r="CH49" i="12"/>
  <c r="CG49" i="12"/>
  <c r="CF49" i="12"/>
  <c r="CE49" i="12"/>
  <c r="CD49" i="12"/>
  <c r="CC49" i="12"/>
  <c r="CB49" i="12"/>
  <c r="BZ49" i="12"/>
  <c r="BY49" i="12"/>
  <c r="BX49" i="12"/>
  <c r="BW49" i="12"/>
  <c r="BV49" i="12"/>
  <c r="BU49" i="12"/>
  <c r="BT49" i="12"/>
  <c r="BS49" i="12"/>
  <c r="BR49" i="12"/>
  <c r="BQ49" i="12"/>
  <c r="BP49" i="12"/>
  <c r="BO49" i="12"/>
  <c r="BN49" i="12"/>
  <c r="BM49" i="12"/>
  <c r="BL49" i="12"/>
  <c r="BK49" i="12"/>
  <c r="BJ49" i="12"/>
  <c r="BI49" i="12"/>
  <c r="BH49" i="12"/>
  <c r="BG49" i="12"/>
  <c r="BF49" i="12"/>
  <c r="BE49" i="12"/>
  <c r="BD49" i="12"/>
  <c r="BC49" i="12"/>
  <c r="BB49" i="12"/>
  <c r="BA49" i="12"/>
  <c r="AZ49" i="12"/>
  <c r="AM49" i="12"/>
  <c r="AF49" i="12"/>
  <c r="AE49" i="12"/>
  <c r="S49" i="12"/>
  <c r="N49" i="12"/>
  <c r="M49" i="12" s="1"/>
  <c r="L49" i="12"/>
  <c r="G49" i="12"/>
  <c r="F49" i="12"/>
  <c r="E49" i="12"/>
  <c r="GD48" i="12"/>
  <c r="GC48" i="12"/>
  <c r="GB48" i="12"/>
  <c r="GA48" i="12"/>
  <c r="FZ48" i="12"/>
  <c r="FY48" i="12"/>
  <c r="FX48" i="12"/>
  <c r="FW48" i="12"/>
  <c r="FV48" i="12"/>
  <c r="FT48" i="12" s="1"/>
  <c r="FR48" i="12" s="1"/>
  <c r="FP48" i="12"/>
  <c r="FL48" i="12"/>
  <c r="FF48" i="12"/>
  <c r="FE48" i="12"/>
  <c r="FD48" i="12"/>
  <c r="FC48" i="12"/>
  <c r="FB48" i="12"/>
  <c r="FA48" i="12"/>
  <c r="EZ48" i="12"/>
  <c r="EY48" i="12"/>
  <c r="EX48" i="12"/>
  <c r="EW48" i="12"/>
  <c r="EV48" i="12"/>
  <c r="EU48" i="12"/>
  <c r="ET48" i="12"/>
  <c r="EQ48" i="12"/>
  <c r="EP48" i="12"/>
  <c r="DB48" i="12"/>
  <c r="DA48" i="12"/>
  <c r="CZ48" i="12"/>
  <c r="CY48" i="12"/>
  <c r="CX48" i="12"/>
  <c r="CW48" i="12"/>
  <c r="CV48" i="12"/>
  <c r="CU48" i="12"/>
  <c r="CT48" i="12"/>
  <c r="CS48" i="12"/>
  <c r="CR48" i="12"/>
  <c r="CQ48" i="12"/>
  <c r="CP48" i="12"/>
  <c r="CO48" i="12"/>
  <c r="CN48" i="12"/>
  <c r="CM48" i="12"/>
  <c r="CL48" i="12"/>
  <c r="CK48" i="12"/>
  <c r="CJ48" i="12"/>
  <c r="CI48" i="12"/>
  <c r="CH48" i="12"/>
  <c r="CG48" i="12"/>
  <c r="CF48" i="12"/>
  <c r="CE48" i="12"/>
  <c r="CD48" i="12"/>
  <c r="CC48" i="12"/>
  <c r="CB48" i="12"/>
  <c r="BZ48" i="12"/>
  <c r="BY48" i="12"/>
  <c r="BX48" i="12"/>
  <c r="BW48" i="12"/>
  <c r="BV48" i="12"/>
  <c r="BU48" i="12"/>
  <c r="BT48" i="12"/>
  <c r="BS48" i="12"/>
  <c r="BR48" i="12"/>
  <c r="BQ48" i="12"/>
  <c r="BP48" i="12"/>
  <c r="BO48" i="12"/>
  <c r="BN48" i="12"/>
  <c r="BM48" i="12"/>
  <c r="BL48" i="12"/>
  <c r="BK48" i="12"/>
  <c r="BJ48" i="12"/>
  <c r="DF48" i="12" s="1"/>
  <c r="BI48" i="12"/>
  <c r="BH48" i="12"/>
  <c r="BG48" i="12"/>
  <c r="BF48" i="12"/>
  <c r="BE48" i="12"/>
  <c r="BD48" i="12"/>
  <c r="BC48" i="12"/>
  <c r="BB48" i="12"/>
  <c r="BA48" i="12"/>
  <c r="AZ48" i="12"/>
  <c r="AM48" i="12"/>
  <c r="AF48" i="12"/>
  <c r="AE48" i="12"/>
  <c r="S48" i="12"/>
  <c r="N48" i="12"/>
  <c r="M48" i="12" s="1"/>
  <c r="L48" i="12"/>
  <c r="EF48" i="12" s="1"/>
  <c r="G48" i="12"/>
  <c r="F48" i="12"/>
  <c r="AS48" i="12" s="1"/>
  <c r="E48" i="12"/>
  <c r="GD47" i="12"/>
  <c r="GC47" i="12"/>
  <c r="GB47" i="12"/>
  <c r="GA47" i="12"/>
  <c r="FZ47" i="12"/>
  <c r="FY47" i="12"/>
  <c r="FX47" i="12"/>
  <c r="FW47" i="12"/>
  <c r="FV47" i="12"/>
  <c r="FT47" i="12" s="1"/>
  <c r="FF47" i="12"/>
  <c r="FE47" i="12"/>
  <c r="FD47" i="12"/>
  <c r="FC47" i="12"/>
  <c r="FB47" i="12"/>
  <c r="FA47" i="12"/>
  <c r="EZ47" i="12"/>
  <c r="EY47" i="12"/>
  <c r="EX47" i="12"/>
  <c r="EW47" i="12"/>
  <c r="EV47" i="12"/>
  <c r="EU47" i="12"/>
  <c r="ET47" i="12"/>
  <c r="EP47" i="12"/>
  <c r="DB47" i="12"/>
  <c r="DA47" i="12"/>
  <c r="CZ47" i="12"/>
  <c r="CY47" i="12"/>
  <c r="CX47" i="12"/>
  <c r="CW47" i="12"/>
  <c r="CV47" i="12"/>
  <c r="CU47" i="12"/>
  <c r="CT47" i="12"/>
  <c r="CS47" i="12"/>
  <c r="CR47" i="12"/>
  <c r="CQ47" i="12"/>
  <c r="CP47" i="12"/>
  <c r="CO47" i="12"/>
  <c r="CN47" i="12"/>
  <c r="CM47" i="12"/>
  <c r="CL47" i="12"/>
  <c r="CK47" i="12"/>
  <c r="CJ47" i="12"/>
  <c r="CI47" i="12"/>
  <c r="CH47" i="12"/>
  <c r="CG47" i="12"/>
  <c r="CF47" i="12"/>
  <c r="CE47" i="12"/>
  <c r="CD47" i="12"/>
  <c r="CC47" i="12"/>
  <c r="CB47" i="12"/>
  <c r="BZ47" i="12"/>
  <c r="BY47" i="12"/>
  <c r="BX47" i="12"/>
  <c r="BW47" i="12"/>
  <c r="BV47" i="12"/>
  <c r="BU47" i="12"/>
  <c r="BT47" i="12"/>
  <c r="BS47" i="12"/>
  <c r="BR47" i="12"/>
  <c r="BQ47" i="12"/>
  <c r="BP47" i="12"/>
  <c r="BO47" i="12"/>
  <c r="BN47" i="12"/>
  <c r="BM47" i="12"/>
  <c r="BL47" i="12"/>
  <c r="BK47" i="12"/>
  <c r="BJ47" i="12"/>
  <c r="BI47" i="12"/>
  <c r="BH47" i="12"/>
  <c r="BG47" i="12"/>
  <c r="BF47" i="12"/>
  <c r="BE47" i="12"/>
  <c r="BD47" i="12"/>
  <c r="BC47" i="12"/>
  <c r="BB47" i="12"/>
  <c r="BA47" i="12"/>
  <c r="AZ47" i="12"/>
  <c r="AM47" i="12"/>
  <c r="AF47" i="12"/>
  <c r="AE47" i="12"/>
  <c r="S47" i="12"/>
  <c r="N47" i="12"/>
  <c r="M47" i="12" s="1"/>
  <c r="L47" i="12"/>
  <c r="DZ47" i="12" s="1"/>
  <c r="G47" i="12"/>
  <c r="F47" i="12"/>
  <c r="E47" i="12"/>
  <c r="GD46" i="12"/>
  <c r="GC46" i="12"/>
  <c r="GB46" i="12"/>
  <c r="GA46" i="12"/>
  <c r="FZ46" i="12"/>
  <c r="FY46" i="12"/>
  <c r="FX46" i="12"/>
  <c r="FW46" i="12"/>
  <c r="FV46" i="12"/>
  <c r="FT46" i="12" s="1"/>
  <c r="FR46" i="12" s="1"/>
  <c r="FF46" i="12"/>
  <c r="FE46" i="12"/>
  <c r="FD46" i="12"/>
  <c r="FC46" i="12"/>
  <c r="FB46" i="12"/>
  <c r="FA46" i="12"/>
  <c r="EZ46" i="12"/>
  <c r="EY46" i="12"/>
  <c r="EX46" i="12"/>
  <c r="EW46" i="12"/>
  <c r="EV46" i="12"/>
  <c r="EU46" i="12"/>
  <c r="ET46" i="12"/>
  <c r="EP46" i="12"/>
  <c r="DB46" i="12"/>
  <c r="DA46" i="12"/>
  <c r="CZ46" i="12"/>
  <c r="CY46" i="12"/>
  <c r="CX46" i="12"/>
  <c r="CW46" i="12"/>
  <c r="CV46" i="12"/>
  <c r="CU46" i="12"/>
  <c r="CT46" i="12"/>
  <c r="CS46" i="12"/>
  <c r="CR46" i="12"/>
  <c r="CQ46" i="12"/>
  <c r="CP46" i="12"/>
  <c r="CO46" i="12"/>
  <c r="CN46" i="12"/>
  <c r="CM46" i="12"/>
  <c r="CL46" i="12"/>
  <c r="CK46" i="12"/>
  <c r="CJ46" i="12"/>
  <c r="CI46" i="12"/>
  <c r="CH46" i="12"/>
  <c r="CG46" i="12"/>
  <c r="CF46" i="12"/>
  <c r="CE46" i="12"/>
  <c r="CD46" i="12"/>
  <c r="CC46" i="12"/>
  <c r="CB46" i="12"/>
  <c r="BZ46" i="12"/>
  <c r="BY46" i="12"/>
  <c r="BX46" i="12"/>
  <c r="BW46" i="12"/>
  <c r="BV46" i="12"/>
  <c r="BU46" i="12"/>
  <c r="BT46" i="12"/>
  <c r="BS46" i="12"/>
  <c r="BR46" i="12"/>
  <c r="BQ46" i="12"/>
  <c r="BP46" i="12"/>
  <c r="BO46" i="12"/>
  <c r="BN46" i="12"/>
  <c r="BM46" i="12"/>
  <c r="BL46" i="12"/>
  <c r="BK46" i="12"/>
  <c r="BJ46" i="12"/>
  <c r="BI46" i="12"/>
  <c r="BH46" i="12"/>
  <c r="BG46" i="12"/>
  <c r="BF46" i="12"/>
  <c r="BE46" i="12"/>
  <c r="BD46" i="12"/>
  <c r="BC46" i="12"/>
  <c r="BB46" i="12"/>
  <c r="BA46" i="12"/>
  <c r="AZ46" i="12"/>
  <c r="AM46" i="12"/>
  <c r="AF46" i="12"/>
  <c r="AE46" i="12"/>
  <c r="S46" i="12"/>
  <c r="N46" i="12"/>
  <c r="M46" i="12" s="1"/>
  <c r="L46" i="12"/>
  <c r="G46" i="12"/>
  <c r="F46" i="12"/>
  <c r="AO46" i="12" s="1"/>
  <c r="E46" i="12"/>
  <c r="GD45" i="12"/>
  <c r="GC45" i="12"/>
  <c r="GB45" i="12"/>
  <c r="GA45" i="12"/>
  <c r="FZ45" i="12"/>
  <c r="FY45" i="12"/>
  <c r="FX45" i="12"/>
  <c r="FW45" i="12"/>
  <c r="FV45" i="12"/>
  <c r="FT45" i="12" s="1"/>
  <c r="FP45" i="12" s="1"/>
  <c r="FS45" i="12"/>
  <c r="FJ45" i="12"/>
  <c r="FF45" i="12"/>
  <c r="FE45" i="12"/>
  <c r="FD45" i="12"/>
  <c r="FC45" i="12"/>
  <c r="FB45" i="12"/>
  <c r="FA45" i="12"/>
  <c r="EZ45" i="12"/>
  <c r="EY45" i="12"/>
  <c r="EX45" i="12"/>
  <c r="EW45" i="12"/>
  <c r="EV45" i="12"/>
  <c r="EU45" i="12"/>
  <c r="ET45" i="12"/>
  <c r="EP45" i="12"/>
  <c r="DB45" i="12"/>
  <c r="DA45" i="12"/>
  <c r="CZ45" i="12"/>
  <c r="CY45" i="12"/>
  <c r="CX45" i="12"/>
  <c r="CW45" i="12"/>
  <c r="CV45" i="12"/>
  <c r="CU45" i="12"/>
  <c r="CT45" i="12"/>
  <c r="CS45" i="12"/>
  <c r="CR45" i="12"/>
  <c r="CQ45" i="12"/>
  <c r="CP45" i="12"/>
  <c r="CO45" i="12"/>
  <c r="CN45" i="12"/>
  <c r="CM45" i="12"/>
  <c r="CL45" i="12"/>
  <c r="CK45" i="12"/>
  <c r="CJ45" i="12"/>
  <c r="CI45" i="12"/>
  <c r="CH45" i="12"/>
  <c r="CG45" i="12"/>
  <c r="CF45" i="12"/>
  <c r="CE45" i="12"/>
  <c r="CD45" i="12"/>
  <c r="CC45" i="12"/>
  <c r="CB45" i="12"/>
  <c r="BZ45" i="12"/>
  <c r="BY45" i="12"/>
  <c r="BX45" i="12"/>
  <c r="BW45" i="12"/>
  <c r="BV45" i="12"/>
  <c r="BU45" i="12"/>
  <c r="BT45" i="12"/>
  <c r="BS45" i="12"/>
  <c r="BR45" i="12"/>
  <c r="BQ45" i="12"/>
  <c r="BP45" i="12"/>
  <c r="BO45" i="12"/>
  <c r="BN45" i="12"/>
  <c r="BM45" i="12"/>
  <c r="BL45" i="12"/>
  <c r="BK45" i="12"/>
  <c r="BJ45" i="12"/>
  <c r="BI45" i="12"/>
  <c r="BH45" i="12"/>
  <c r="BG45" i="12"/>
  <c r="BF45" i="12"/>
  <c r="BE45" i="12"/>
  <c r="BD45" i="12"/>
  <c r="BC45" i="12"/>
  <c r="BB45" i="12"/>
  <c r="BA45" i="12"/>
  <c r="AZ45" i="12"/>
  <c r="AM45" i="12"/>
  <c r="AF45" i="12"/>
  <c r="AE45" i="12"/>
  <c r="S45" i="12"/>
  <c r="N45" i="12"/>
  <c r="M45" i="12" s="1"/>
  <c r="L45" i="12"/>
  <c r="DP45" i="12" s="1"/>
  <c r="G45" i="12"/>
  <c r="F45" i="12"/>
  <c r="E45" i="12"/>
  <c r="GD44" i="12"/>
  <c r="GC44" i="12"/>
  <c r="GB44" i="12"/>
  <c r="GA44" i="12"/>
  <c r="FZ44" i="12"/>
  <c r="FY44" i="12"/>
  <c r="FX44" i="12"/>
  <c r="FW44" i="12"/>
  <c r="FV44" i="12"/>
  <c r="FT44" i="12" s="1"/>
  <c r="FM44" i="12"/>
  <c r="FF44" i="12"/>
  <c r="FE44" i="12"/>
  <c r="FD44" i="12"/>
  <c r="FC44" i="12"/>
  <c r="FB44" i="12"/>
  <c r="FA44" i="12"/>
  <c r="EZ44" i="12"/>
  <c r="EY44" i="12"/>
  <c r="EX44" i="12"/>
  <c r="EW44" i="12"/>
  <c r="EV44" i="12"/>
  <c r="EU44" i="12"/>
  <c r="ET44" i="12"/>
  <c r="EP44" i="12"/>
  <c r="DB44" i="12"/>
  <c r="DA44" i="12"/>
  <c r="CZ44" i="12"/>
  <c r="CY44" i="12"/>
  <c r="CX44" i="12"/>
  <c r="CW44" i="12"/>
  <c r="CV44" i="12"/>
  <c r="CU44" i="12"/>
  <c r="CT44" i="12"/>
  <c r="CS44" i="12"/>
  <c r="CR44" i="12"/>
  <c r="CQ44" i="12"/>
  <c r="CP44" i="12"/>
  <c r="CO44" i="12"/>
  <c r="CN44" i="12"/>
  <c r="CM44" i="12"/>
  <c r="CL44" i="12"/>
  <c r="CK44" i="12"/>
  <c r="CJ44" i="12"/>
  <c r="CI44" i="12"/>
  <c r="CH44" i="12"/>
  <c r="CG44" i="12"/>
  <c r="CF44" i="12"/>
  <c r="CE44" i="12"/>
  <c r="CD44" i="12"/>
  <c r="CC44" i="12"/>
  <c r="CB44" i="12"/>
  <c r="BZ44" i="12"/>
  <c r="BY44" i="12"/>
  <c r="BX44" i="12"/>
  <c r="BW44" i="12"/>
  <c r="BV44" i="12"/>
  <c r="BU44" i="12"/>
  <c r="BT44" i="12"/>
  <c r="BS44" i="12"/>
  <c r="BR44" i="12"/>
  <c r="BQ44" i="12"/>
  <c r="BP44" i="12"/>
  <c r="BO44" i="12"/>
  <c r="BN44" i="12"/>
  <c r="BM44" i="12"/>
  <c r="BL44" i="12"/>
  <c r="BK44" i="12"/>
  <c r="BJ44" i="12"/>
  <c r="BI44" i="12"/>
  <c r="BH44" i="12"/>
  <c r="BG44" i="12"/>
  <c r="BF44" i="12"/>
  <c r="BE44" i="12"/>
  <c r="BD44" i="12"/>
  <c r="BC44" i="12"/>
  <c r="BB44" i="12"/>
  <c r="BA44" i="12"/>
  <c r="AZ44" i="12"/>
  <c r="AO44" i="12"/>
  <c r="AP44" i="12" s="1"/>
  <c r="AM44" i="12"/>
  <c r="AF44" i="12"/>
  <c r="AE44" i="12"/>
  <c r="S44" i="12"/>
  <c r="N44" i="12"/>
  <c r="M44" i="12" s="1"/>
  <c r="L44" i="12"/>
  <c r="DR44" i="12" s="1"/>
  <c r="G44" i="12"/>
  <c r="F44" i="12"/>
  <c r="AS44" i="12" s="1"/>
  <c r="E44" i="12"/>
  <c r="GD43" i="12"/>
  <c r="GC43" i="12"/>
  <c r="GB43" i="12"/>
  <c r="GA43" i="12"/>
  <c r="FZ43" i="12"/>
  <c r="FY43" i="12"/>
  <c r="FX43" i="12"/>
  <c r="FW43" i="12"/>
  <c r="FV43" i="12"/>
  <c r="FT43" i="12" s="1"/>
  <c r="FR43" i="12"/>
  <c r="FL43" i="12"/>
  <c r="FF43" i="12"/>
  <c r="FE43" i="12"/>
  <c r="FD43" i="12"/>
  <c r="FC43" i="12"/>
  <c r="FB43" i="12"/>
  <c r="FA43" i="12"/>
  <c r="EZ43" i="12"/>
  <c r="EY43" i="12"/>
  <c r="EX43" i="12"/>
  <c r="EW43" i="12"/>
  <c r="EV43" i="12"/>
  <c r="EU43" i="12"/>
  <c r="ET43" i="12"/>
  <c r="EP43" i="12"/>
  <c r="DB43" i="12"/>
  <c r="DA43" i="12"/>
  <c r="CZ43" i="12"/>
  <c r="CY43" i="12"/>
  <c r="CX43" i="12"/>
  <c r="CW43" i="12"/>
  <c r="CV43" i="12"/>
  <c r="CU43" i="12"/>
  <c r="CT43" i="12"/>
  <c r="CS43" i="12"/>
  <c r="CR43" i="12"/>
  <c r="CQ43" i="12"/>
  <c r="CP43" i="12"/>
  <c r="CO43" i="12"/>
  <c r="CN43" i="12"/>
  <c r="CM43" i="12"/>
  <c r="CL43" i="12"/>
  <c r="CK43" i="12"/>
  <c r="CJ43" i="12"/>
  <c r="CI43" i="12"/>
  <c r="CH43" i="12"/>
  <c r="CG43" i="12"/>
  <c r="CF43" i="12"/>
  <c r="CE43" i="12"/>
  <c r="CD43" i="12"/>
  <c r="CC43" i="12"/>
  <c r="CB43" i="12"/>
  <c r="BZ43" i="12"/>
  <c r="BY43" i="12"/>
  <c r="BX43" i="12"/>
  <c r="BW43" i="12"/>
  <c r="BV43" i="12"/>
  <c r="BU43" i="12"/>
  <c r="BT43" i="12"/>
  <c r="BS43" i="12"/>
  <c r="BR43" i="12"/>
  <c r="BQ43" i="12"/>
  <c r="BP43" i="12"/>
  <c r="BO43" i="12"/>
  <c r="BN43" i="12"/>
  <c r="BM43" i="12"/>
  <c r="BL43" i="12"/>
  <c r="BK43" i="12"/>
  <c r="BJ43" i="12"/>
  <c r="BI43" i="12"/>
  <c r="BH43" i="12"/>
  <c r="BG43" i="12"/>
  <c r="BF43" i="12"/>
  <c r="BE43" i="12"/>
  <c r="BD43" i="12"/>
  <c r="BC43" i="12"/>
  <c r="BB43" i="12"/>
  <c r="BA43" i="12"/>
  <c r="AZ43" i="12"/>
  <c r="DD43" i="12" s="1"/>
  <c r="AM43" i="12"/>
  <c r="AF43" i="12"/>
  <c r="AE43" i="12"/>
  <c r="S43" i="12"/>
  <c r="N43" i="12"/>
  <c r="M43" i="12" s="1"/>
  <c r="L43" i="12"/>
  <c r="G43" i="12"/>
  <c r="F43" i="12"/>
  <c r="AT43" i="12" s="1"/>
  <c r="AV43" i="12" s="1"/>
  <c r="E43" i="12"/>
  <c r="GD42" i="12"/>
  <c r="GC42" i="12"/>
  <c r="GB42" i="12"/>
  <c r="GA42" i="12"/>
  <c r="FZ42" i="12"/>
  <c r="FY42" i="12"/>
  <c r="FX42" i="12"/>
  <c r="FW42" i="12"/>
  <c r="FV42" i="12"/>
  <c r="FT42" i="12" s="1"/>
  <c r="FM42" i="12" s="1"/>
  <c r="FF42" i="12"/>
  <c r="FE42" i="12"/>
  <c r="FD42" i="12"/>
  <c r="FC42" i="12"/>
  <c r="FB42" i="12"/>
  <c r="FA42" i="12"/>
  <c r="EZ42" i="12"/>
  <c r="EY42" i="12"/>
  <c r="EX42" i="12"/>
  <c r="EW42" i="12"/>
  <c r="EV42" i="12"/>
  <c r="EU42" i="12"/>
  <c r="ET42" i="12"/>
  <c r="EP42" i="12"/>
  <c r="DB42" i="12"/>
  <c r="DA42" i="12"/>
  <c r="CZ42" i="12"/>
  <c r="CY42" i="12"/>
  <c r="CX42" i="12"/>
  <c r="CW42" i="12"/>
  <c r="CV42" i="12"/>
  <c r="CU42" i="12"/>
  <c r="CT42" i="12"/>
  <c r="CS42" i="12"/>
  <c r="CR42" i="12"/>
  <c r="CQ42" i="12"/>
  <c r="CP42" i="12"/>
  <c r="CO42" i="12"/>
  <c r="CN42" i="12"/>
  <c r="CM42" i="12"/>
  <c r="CL42" i="12"/>
  <c r="CK42" i="12"/>
  <c r="CJ42" i="12"/>
  <c r="CI42" i="12"/>
  <c r="CH42" i="12"/>
  <c r="CG42" i="12"/>
  <c r="CF42" i="12"/>
  <c r="CE42" i="12"/>
  <c r="CD42" i="12"/>
  <c r="CC42" i="12"/>
  <c r="CB42" i="12"/>
  <c r="BZ42" i="12"/>
  <c r="BY42" i="12"/>
  <c r="BX42" i="12"/>
  <c r="BW42" i="12"/>
  <c r="BV42" i="12"/>
  <c r="BU42" i="12"/>
  <c r="BT42" i="12"/>
  <c r="BS42" i="12"/>
  <c r="BR42" i="12"/>
  <c r="BQ42" i="12"/>
  <c r="BP42" i="12"/>
  <c r="BO42" i="12"/>
  <c r="BN42" i="12"/>
  <c r="BM42" i="12"/>
  <c r="BL42" i="12"/>
  <c r="BK42" i="12"/>
  <c r="BJ42" i="12"/>
  <c r="BI42" i="12"/>
  <c r="BH42" i="12"/>
  <c r="BG42" i="12"/>
  <c r="BF42" i="12"/>
  <c r="BE42" i="12"/>
  <c r="BD42" i="12"/>
  <c r="BC42" i="12"/>
  <c r="BB42" i="12"/>
  <c r="BA42" i="12"/>
  <c r="AZ42" i="12"/>
  <c r="AM42" i="12"/>
  <c r="AF42" i="12"/>
  <c r="AE42" i="12"/>
  <c r="AG42" i="12" s="1"/>
  <c r="S42" i="12"/>
  <c r="N42" i="12"/>
  <c r="M42" i="12" s="1"/>
  <c r="L42" i="12"/>
  <c r="EC42" i="12" s="1"/>
  <c r="G42" i="12"/>
  <c r="F42" i="12"/>
  <c r="E42" i="12"/>
  <c r="GD41" i="12"/>
  <c r="GC41" i="12"/>
  <c r="GB41" i="12"/>
  <c r="GA41" i="12"/>
  <c r="FZ41" i="12"/>
  <c r="FY41" i="12"/>
  <c r="FX41" i="12"/>
  <c r="FW41" i="12"/>
  <c r="FV41" i="12"/>
  <c r="FT41" i="12" s="1"/>
  <c r="FP41" i="12" s="1"/>
  <c r="FF41" i="12"/>
  <c r="FE41" i="12"/>
  <c r="FD41" i="12"/>
  <c r="FC41" i="12"/>
  <c r="FB41" i="12"/>
  <c r="FA41" i="12"/>
  <c r="EZ41" i="12"/>
  <c r="EY41" i="12"/>
  <c r="EX41" i="12"/>
  <c r="EW41" i="12"/>
  <c r="EV41" i="12"/>
  <c r="EU41" i="12"/>
  <c r="ET41" i="12"/>
  <c r="ER41" i="12"/>
  <c r="EP41" i="12"/>
  <c r="DB41" i="12"/>
  <c r="DA41" i="12"/>
  <c r="CZ41" i="12"/>
  <c r="CY41" i="12"/>
  <c r="CX41" i="12"/>
  <c r="CW41" i="12"/>
  <c r="CV41" i="12"/>
  <c r="CU41" i="12"/>
  <c r="CT41" i="12"/>
  <c r="CS41" i="12"/>
  <c r="CR41" i="12"/>
  <c r="CQ41" i="12"/>
  <c r="CP41" i="12"/>
  <c r="CO41" i="12"/>
  <c r="CN41" i="12"/>
  <c r="CM41" i="12"/>
  <c r="CL41" i="12"/>
  <c r="CK41" i="12"/>
  <c r="CJ41" i="12"/>
  <c r="CI41" i="12"/>
  <c r="CH41" i="12"/>
  <c r="CG41" i="12"/>
  <c r="CF41" i="12"/>
  <c r="CE41" i="12"/>
  <c r="CD41" i="12"/>
  <c r="CC41" i="12"/>
  <c r="CB41" i="12"/>
  <c r="BZ41" i="12"/>
  <c r="BY41" i="12"/>
  <c r="BX41" i="12"/>
  <c r="BW41" i="12"/>
  <c r="BV41" i="12"/>
  <c r="BU41" i="12"/>
  <c r="BT41" i="12"/>
  <c r="BS41" i="12"/>
  <c r="BR41" i="12"/>
  <c r="BQ41" i="12"/>
  <c r="BP41" i="12"/>
  <c r="BO41" i="12"/>
  <c r="BN41" i="12"/>
  <c r="BM41" i="12"/>
  <c r="BL41" i="12"/>
  <c r="BK41" i="12"/>
  <c r="BJ41" i="12"/>
  <c r="BI41" i="12"/>
  <c r="BH41" i="12"/>
  <c r="BG41" i="12"/>
  <c r="BF41" i="12"/>
  <c r="BE41" i="12"/>
  <c r="BD41" i="12"/>
  <c r="BC41" i="12"/>
  <c r="BB41" i="12"/>
  <c r="BA41" i="12"/>
  <c r="AZ41" i="12"/>
  <c r="AM41" i="12"/>
  <c r="AF41" i="12"/>
  <c r="AE41" i="12"/>
  <c r="S41" i="12"/>
  <c r="N41" i="12"/>
  <c r="M41" i="12" s="1"/>
  <c r="L41" i="12"/>
  <c r="G41" i="12"/>
  <c r="F41" i="12"/>
  <c r="AT41" i="12" s="1"/>
  <c r="AV41" i="12" s="1"/>
  <c r="E41" i="12"/>
  <c r="GD40" i="12"/>
  <c r="GC40" i="12"/>
  <c r="GB40" i="12"/>
  <c r="GA40" i="12"/>
  <c r="FZ40" i="12"/>
  <c r="FY40" i="12"/>
  <c r="FX40" i="12"/>
  <c r="FW40" i="12"/>
  <c r="FV40" i="12"/>
  <c r="FT40" i="12" s="1"/>
  <c r="FF40" i="12"/>
  <c r="FE40" i="12"/>
  <c r="FD40" i="12"/>
  <c r="FC40" i="12"/>
  <c r="FB40" i="12"/>
  <c r="FA40" i="12"/>
  <c r="EZ40" i="12"/>
  <c r="EY40" i="12"/>
  <c r="EX40" i="12"/>
  <c r="EW40" i="12"/>
  <c r="EV40" i="12"/>
  <c r="EU40" i="12"/>
  <c r="ET40" i="12"/>
  <c r="EP40" i="12"/>
  <c r="DB40" i="12"/>
  <c r="DA40" i="12"/>
  <c r="CZ40" i="12"/>
  <c r="CY40" i="12"/>
  <c r="CX40" i="12"/>
  <c r="CW40" i="12"/>
  <c r="CV40" i="12"/>
  <c r="CU40" i="12"/>
  <c r="CT40" i="12"/>
  <c r="CS40" i="12"/>
  <c r="CR40" i="12"/>
  <c r="CQ40" i="12"/>
  <c r="CP40" i="12"/>
  <c r="CO40" i="12"/>
  <c r="CN40" i="12"/>
  <c r="CM40" i="12"/>
  <c r="CL40" i="12"/>
  <c r="CK40" i="12"/>
  <c r="CJ40" i="12"/>
  <c r="CI40" i="12"/>
  <c r="CH40" i="12"/>
  <c r="CG40" i="12"/>
  <c r="CF40" i="12"/>
  <c r="CE40" i="12"/>
  <c r="CD40" i="12"/>
  <c r="CC40" i="12"/>
  <c r="CB40" i="12"/>
  <c r="BZ40" i="12"/>
  <c r="BY40" i="12"/>
  <c r="BX40" i="12"/>
  <c r="BW40" i="12"/>
  <c r="BV40" i="12"/>
  <c r="BU40" i="12"/>
  <c r="BT40" i="12"/>
  <c r="BS40" i="12"/>
  <c r="BR40" i="12"/>
  <c r="BQ40" i="12"/>
  <c r="BP40" i="12"/>
  <c r="BO40" i="12"/>
  <c r="BN40" i="12"/>
  <c r="BM40" i="12"/>
  <c r="BL40" i="12"/>
  <c r="BK40" i="12"/>
  <c r="BJ40" i="12"/>
  <c r="BI40" i="12"/>
  <c r="BH40" i="12"/>
  <c r="BG40" i="12"/>
  <c r="BF40" i="12"/>
  <c r="BE40" i="12"/>
  <c r="BD40" i="12"/>
  <c r="BC40" i="12"/>
  <c r="BB40" i="12"/>
  <c r="BA40" i="12"/>
  <c r="AZ40" i="12"/>
  <c r="AM40" i="12"/>
  <c r="AF40" i="12"/>
  <c r="AE40" i="12"/>
  <c r="S40" i="12"/>
  <c r="N40" i="12"/>
  <c r="M40" i="12" s="1"/>
  <c r="L40" i="12"/>
  <c r="G40" i="12"/>
  <c r="F40" i="12"/>
  <c r="Z40" i="12" s="1"/>
  <c r="AA40" i="12" s="1"/>
  <c r="E40" i="12"/>
  <c r="GD39" i="12"/>
  <c r="GC39" i="12"/>
  <c r="GB39" i="12"/>
  <c r="GA39" i="12"/>
  <c r="FZ39" i="12"/>
  <c r="FY39" i="12"/>
  <c r="FX39" i="12"/>
  <c r="FW39" i="12"/>
  <c r="FV39" i="12"/>
  <c r="FT39" i="12" s="1"/>
  <c r="FO39" i="12" s="1"/>
  <c r="FF39" i="12"/>
  <c r="FE39" i="12"/>
  <c r="FD39" i="12"/>
  <c r="FC39" i="12"/>
  <c r="FB39" i="12"/>
  <c r="FA39" i="12"/>
  <c r="EZ39" i="12"/>
  <c r="EY39" i="12"/>
  <c r="EX39" i="12"/>
  <c r="EW39" i="12"/>
  <c r="EV39" i="12"/>
  <c r="EU39" i="12"/>
  <c r="ET39" i="12"/>
  <c r="EP39" i="12"/>
  <c r="DB39" i="12"/>
  <c r="DA39" i="12"/>
  <c r="CZ39" i="12"/>
  <c r="CY39" i="12"/>
  <c r="CX39" i="12"/>
  <c r="CW39" i="12"/>
  <c r="CV39" i="12"/>
  <c r="CU39" i="12"/>
  <c r="CT39" i="12"/>
  <c r="CS39" i="12"/>
  <c r="CR39" i="12"/>
  <c r="CQ39" i="12"/>
  <c r="CP39" i="12"/>
  <c r="CO39" i="12"/>
  <c r="CN39" i="12"/>
  <c r="CM39" i="12"/>
  <c r="CL39" i="12"/>
  <c r="CK39" i="12"/>
  <c r="CJ39" i="12"/>
  <c r="CI39" i="12"/>
  <c r="CH39" i="12"/>
  <c r="CG39" i="12"/>
  <c r="CF39" i="12"/>
  <c r="CE39" i="12"/>
  <c r="CD39" i="12"/>
  <c r="CC39" i="12"/>
  <c r="CB39" i="12"/>
  <c r="BZ39" i="12"/>
  <c r="BY39" i="12"/>
  <c r="BX39" i="12"/>
  <c r="BW39" i="12"/>
  <c r="BV39" i="12"/>
  <c r="BU39" i="12"/>
  <c r="BT39" i="12"/>
  <c r="BS39" i="12"/>
  <c r="BR39" i="12"/>
  <c r="BQ39" i="12"/>
  <c r="BP39" i="12"/>
  <c r="BO39" i="12"/>
  <c r="BN39" i="12"/>
  <c r="BM39" i="12"/>
  <c r="BL39" i="12"/>
  <c r="BK39" i="12"/>
  <c r="BJ39" i="12"/>
  <c r="BI39" i="12"/>
  <c r="BH39" i="12"/>
  <c r="BG39" i="12"/>
  <c r="BF39" i="12"/>
  <c r="BE39" i="12"/>
  <c r="BD39" i="12"/>
  <c r="BC39" i="12"/>
  <c r="BB39" i="12"/>
  <c r="BA39" i="12"/>
  <c r="AZ39" i="12"/>
  <c r="AM39" i="12"/>
  <c r="AF39" i="12"/>
  <c r="AE39" i="12"/>
  <c r="AG39" i="12" s="1"/>
  <c r="S39" i="12"/>
  <c r="N39" i="12"/>
  <c r="M39" i="12" s="1"/>
  <c r="L39" i="12"/>
  <c r="G39" i="12"/>
  <c r="F39" i="12"/>
  <c r="E39" i="12"/>
  <c r="GD38" i="12"/>
  <c r="GC38" i="12"/>
  <c r="GB38" i="12"/>
  <c r="GA38" i="12"/>
  <c r="FZ38" i="12"/>
  <c r="FY38" i="12"/>
  <c r="FX38" i="12"/>
  <c r="FW38" i="12"/>
  <c r="FV38" i="12"/>
  <c r="FT38" i="12" s="1"/>
  <c r="FF38" i="12"/>
  <c r="FE38" i="12"/>
  <c r="FD38" i="12"/>
  <c r="FC38" i="12"/>
  <c r="FB38" i="12"/>
  <c r="FA38" i="12"/>
  <c r="EZ38" i="12"/>
  <c r="EY38" i="12"/>
  <c r="EX38" i="12"/>
  <c r="EW38" i="12"/>
  <c r="EV38" i="12"/>
  <c r="EU38" i="12"/>
  <c r="ET38" i="12"/>
  <c r="EP38" i="12"/>
  <c r="DM38" i="12"/>
  <c r="DL38" i="12"/>
  <c r="DK38" i="12"/>
  <c r="DJ38" i="12"/>
  <c r="DI38" i="12" s="1"/>
  <c r="DB38" i="12"/>
  <c r="DA38" i="12"/>
  <c r="CZ38" i="12"/>
  <c r="CY38" i="12"/>
  <c r="CX38" i="12"/>
  <c r="CW38" i="12"/>
  <c r="CV38" i="12"/>
  <c r="CU38" i="12"/>
  <c r="CT38" i="12"/>
  <c r="CS38" i="12"/>
  <c r="CR38" i="12"/>
  <c r="CQ38" i="12"/>
  <c r="CP38" i="12"/>
  <c r="CO38" i="12"/>
  <c r="CN38" i="12"/>
  <c r="CM38" i="12"/>
  <c r="CL38" i="12"/>
  <c r="CK38" i="12"/>
  <c r="CJ38" i="12"/>
  <c r="CI38" i="12"/>
  <c r="CH38" i="12"/>
  <c r="CG38" i="12"/>
  <c r="CF38" i="12"/>
  <c r="CE38" i="12"/>
  <c r="CD38" i="12"/>
  <c r="CC38" i="12"/>
  <c r="CB38" i="12"/>
  <c r="BZ38" i="12"/>
  <c r="BY38" i="12"/>
  <c r="BX38" i="12"/>
  <c r="BW38" i="12"/>
  <c r="BV38" i="12"/>
  <c r="BU38" i="12"/>
  <c r="BT38" i="12"/>
  <c r="BS38" i="12"/>
  <c r="BR38" i="12"/>
  <c r="BQ38" i="12"/>
  <c r="BP38" i="12"/>
  <c r="BO38" i="12"/>
  <c r="BN38" i="12"/>
  <c r="BM38" i="12"/>
  <c r="BL38" i="12"/>
  <c r="BK38" i="12"/>
  <c r="BJ38" i="12"/>
  <c r="BI38" i="12"/>
  <c r="BH38" i="12"/>
  <c r="BG38" i="12"/>
  <c r="BF38" i="12"/>
  <c r="BE38" i="12"/>
  <c r="BD38" i="12"/>
  <c r="BC38" i="12"/>
  <c r="BB38" i="12"/>
  <c r="BA38" i="12"/>
  <c r="AZ38" i="12"/>
  <c r="AM38" i="12"/>
  <c r="AL38" i="12"/>
  <c r="AF38" i="12"/>
  <c r="AE38" i="12"/>
  <c r="S38" i="12"/>
  <c r="N38" i="12"/>
  <c r="M38" i="12" s="1"/>
  <c r="L38" i="12"/>
  <c r="EA38" i="12" s="1"/>
  <c r="G38" i="12"/>
  <c r="F38" i="12"/>
  <c r="E38" i="12"/>
  <c r="GD37" i="12"/>
  <c r="GC37" i="12"/>
  <c r="GB37" i="12"/>
  <c r="GA37" i="12"/>
  <c r="FZ37" i="12"/>
  <c r="FY37" i="12"/>
  <c r="FX37" i="12"/>
  <c r="FW37" i="12"/>
  <c r="FV37" i="12"/>
  <c r="FT37" i="12" s="1"/>
  <c r="FR37" i="12" s="1"/>
  <c r="FF37" i="12"/>
  <c r="FE37" i="12"/>
  <c r="FD37" i="12"/>
  <c r="FC37" i="12"/>
  <c r="FB37" i="12"/>
  <c r="FA37" i="12"/>
  <c r="EZ37" i="12"/>
  <c r="EY37" i="12"/>
  <c r="EX37" i="12"/>
  <c r="EW37" i="12"/>
  <c r="EV37" i="12"/>
  <c r="EU37" i="12"/>
  <c r="ET37" i="12"/>
  <c r="EP37" i="12"/>
  <c r="DM37" i="12"/>
  <c r="DL37" i="12"/>
  <c r="DK37" i="12"/>
  <c r="DJ37" i="12"/>
  <c r="DI37" i="12" s="1"/>
  <c r="DB37" i="12"/>
  <c r="DA37" i="12"/>
  <c r="CZ37" i="12"/>
  <c r="CY37" i="12"/>
  <c r="CX37" i="12"/>
  <c r="CW37" i="12"/>
  <c r="CV37" i="12"/>
  <c r="CU37" i="12"/>
  <c r="CT37" i="12"/>
  <c r="CS37" i="12"/>
  <c r="CR37" i="12"/>
  <c r="CQ37" i="12"/>
  <c r="CP37" i="12"/>
  <c r="CO37" i="12"/>
  <c r="CN37" i="12"/>
  <c r="CM37" i="12"/>
  <c r="CL37" i="12"/>
  <c r="CK37" i="12"/>
  <c r="CJ37" i="12"/>
  <c r="CI37" i="12"/>
  <c r="CH37" i="12"/>
  <c r="CG37" i="12"/>
  <c r="CF37" i="12"/>
  <c r="CE37" i="12"/>
  <c r="CD37" i="12"/>
  <c r="CC37" i="12"/>
  <c r="CB37" i="12"/>
  <c r="BZ37" i="12"/>
  <c r="BY37" i="12"/>
  <c r="BX37" i="12"/>
  <c r="BW37" i="12"/>
  <c r="BV37" i="12"/>
  <c r="BU37" i="12"/>
  <c r="BT37" i="12"/>
  <c r="BS37" i="12"/>
  <c r="BR37" i="12"/>
  <c r="BQ37" i="12"/>
  <c r="BP37" i="12"/>
  <c r="BO37" i="12"/>
  <c r="BN37" i="12"/>
  <c r="BM37" i="12"/>
  <c r="BL37" i="12"/>
  <c r="BK37" i="12"/>
  <c r="BJ37" i="12"/>
  <c r="BI37" i="12"/>
  <c r="BH37" i="12"/>
  <c r="BG37" i="12"/>
  <c r="BF37" i="12"/>
  <c r="BE37" i="12"/>
  <c r="BD37" i="12"/>
  <c r="BC37" i="12"/>
  <c r="BB37" i="12"/>
  <c r="BA37" i="12"/>
  <c r="AZ37" i="12"/>
  <c r="AM37" i="12"/>
  <c r="AL37" i="12"/>
  <c r="AF37" i="12"/>
  <c r="AE37" i="12"/>
  <c r="S37" i="12"/>
  <c r="N37" i="12"/>
  <c r="M37" i="12" s="1"/>
  <c r="L37" i="12"/>
  <c r="G37" i="12"/>
  <c r="F37" i="12"/>
  <c r="AO37" i="12" s="1"/>
  <c r="E37" i="12"/>
  <c r="GD36" i="12"/>
  <c r="GC36" i="12"/>
  <c r="GB36" i="12"/>
  <c r="GA36" i="12"/>
  <c r="FZ36" i="12"/>
  <c r="FY36" i="12"/>
  <c r="FX36" i="12"/>
  <c r="FW36" i="12"/>
  <c r="FV36" i="12"/>
  <c r="FT36" i="12" s="1"/>
  <c r="FR36" i="12" s="1"/>
  <c r="FN36" i="12"/>
  <c r="FI36" i="12"/>
  <c r="FF36" i="12"/>
  <c r="FE36" i="12"/>
  <c r="FD36" i="12"/>
  <c r="FC36" i="12"/>
  <c r="FB36" i="12"/>
  <c r="FA36" i="12"/>
  <c r="EZ36" i="12"/>
  <c r="EY36" i="12"/>
  <c r="EX36" i="12"/>
  <c r="EW36" i="12"/>
  <c r="EV36" i="12"/>
  <c r="EU36" i="12"/>
  <c r="ET36" i="12"/>
  <c r="EP36" i="12"/>
  <c r="DM36" i="12"/>
  <c r="DL36" i="12"/>
  <c r="DK36" i="12"/>
  <c r="DJ36" i="12"/>
  <c r="DI36" i="12" s="1"/>
  <c r="DB36" i="12"/>
  <c r="DA36" i="12"/>
  <c r="CZ36" i="12"/>
  <c r="CY36" i="12"/>
  <c r="CX36" i="12"/>
  <c r="CW36" i="12"/>
  <c r="CV36" i="12"/>
  <c r="CU36" i="12"/>
  <c r="CT36" i="12"/>
  <c r="CS36" i="12"/>
  <c r="CR36" i="12"/>
  <c r="CQ36" i="12"/>
  <c r="CP36" i="12"/>
  <c r="CO36" i="12"/>
  <c r="CN36" i="12"/>
  <c r="CM36" i="12"/>
  <c r="CL36" i="12"/>
  <c r="CK36" i="12"/>
  <c r="CJ36" i="12"/>
  <c r="CI36" i="12"/>
  <c r="CH36" i="12"/>
  <c r="CG36" i="12"/>
  <c r="CF36" i="12"/>
  <c r="CE36" i="12"/>
  <c r="CD36" i="12"/>
  <c r="CC36" i="12"/>
  <c r="CB36" i="12"/>
  <c r="BZ36" i="12"/>
  <c r="BY36" i="12"/>
  <c r="BX36" i="12"/>
  <c r="BW36" i="12"/>
  <c r="BV36" i="12"/>
  <c r="BU36" i="12"/>
  <c r="BT36" i="12"/>
  <c r="BS36" i="12"/>
  <c r="BR36" i="12"/>
  <c r="BQ36" i="12"/>
  <c r="BP36" i="12"/>
  <c r="BO36" i="12"/>
  <c r="BN36" i="12"/>
  <c r="BM36" i="12"/>
  <c r="BL36" i="12"/>
  <c r="BK36" i="12"/>
  <c r="BJ36" i="12"/>
  <c r="BI36" i="12"/>
  <c r="BH36" i="12"/>
  <c r="BG36" i="12"/>
  <c r="BF36" i="12"/>
  <c r="BE36" i="12"/>
  <c r="BD36" i="12"/>
  <c r="BC36" i="12"/>
  <c r="BB36" i="12"/>
  <c r="BA36" i="12"/>
  <c r="AZ36" i="12"/>
  <c r="AM36" i="12"/>
  <c r="AL36" i="12"/>
  <c r="AF36" i="12"/>
  <c r="AE36" i="12"/>
  <c r="AG36" i="12" s="1"/>
  <c r="S36" i="12"/>
  <c r="N36" i="12"/>
  <c r="M36" i="12" s="1"/>
  <c r="L36" i="12"/>
  <c r="DW36" i="12" s="1"/>
  <c r="EK36" i="12" s="1"/>
  <c r="G36" i="12"/>
  <c r="F36" i="12"/>
  <c r="E36" i="12"/>
  <c r="GD35" i="12"/>
  <c r="GC35" i="12"/>
  <c r="GB35" i="12"/>
  <c r="GA35" i="12"/>
  <c r="FZ35" i="12"/>
  <c r="FY35" i="12"/>
  <c r="FX35" i="12"/>
  <c r="FW35" i="12"/>
  <c r="FV35" i="12"/>
  <c r="FT35" i="12" s="1"/>
  <c r="FP35" i="12" s="1"/>
  <c r="FF35" i="12"/>
  <c r="FE35" i="12"/>
  <c r="FD35" i="12"/>
  <c r="FC35" i="12"/>
  <c r="FB35" i="12"/>
  <c r="FA35" i="12"/>
  <c r="EZ35" i="12"/>
  <c r="EY35" i="12"/>
  <c r="EX35" i="12"/>
  <c r="EW35" i="12"/>
  <c r="EV35" i="12"/>
  <c r="EU35" i="12"/>
  <c r="ET35" i="12"/>
  <c r="EP35" i="12"/>
  <c r="DM35" i="12"/>
  <c r="DL35" i="12"/>
  <c r="DK35" i="12"/>
  <c r="DJ35" i="12"/>
  <c r="DI35" i="12" s="1"/>
  <c r="DB35" i="12"/>
  <c r="DA35" i="12"/>
  <c r="CZ35" i="12"/>
  <c r="CY35" i="12"/>
  <c r="CX35" i="12"/>
  <c r="CW35" i="12"/>
  <c r="CV35" i="12"/>
  <c r="CU35" i="12"/>
  <c r="CT35" i="12"/>
  <c r="CS35" i="12"/>
  <c r="CR35" i="12"/>
  <c r="CQ35" i="12"/>
  <c r="CP35" i="12"/>
  <c r="CO35" i="12"/>
  <c r="CN35" i="12"/>
  <c r="CM35" i="12"/>
  <c r="CL35" i="12"/>
  <c r="CK35" i="12"/>
  <c r="CJ35" i="12"/>
  <c r="CI35" i="12"/>
  <c r="CH35" i="12"/>
  <c r="CG35" i="12"/>
  <c r="CF35" i="12"/>
  <c r="CE35" i="12"/>
  <c r="CD35" i="12"/>
  <c r="CC35" i="12"/>
  <c r="CB35" i="12"/>
  <c r="BZ35" i="12"/>
  <c r="BY35" i="12"/>
  <c r="BX35" i="12"/>
  <c r="BW35" i="12"/>
  <c r="BV35" i="12"/>
  <c r="BU35" i="12"/>
  <c r="BT35" i="12"/>
  <c r="BS35" i="12"/>
  <c r="BR35" i="12"/>
  <c r="BQ35" i="12"/>
  <c r="BP35" i="12"/>
  <c r="BO35" i="12"/>
  <c r="BN35" i="12"/>
  <c r="BM35" i="12"/>
  <c r="BL35" i="12"/>
  <c r="BK35" i="12"/>
  <c r="BJ35" i="12"/>
  <c r="BI35" i="12"/>
  <c r="BH35" i="12"/>
  <c r="BG35" i="12"/>
  <c r="BF35" i="12"/>
  <c r="BE35" i="12"/>
  <c r="BD35" i="12"/>
  <c r="BC35" i="12"/>
  <c r="BB35" i="12"/>
  <c r="BA35" i="12"/>
  <c r="AZ35" i="12"/>
  <c r="AM35" i="12"/>
  <c r="AL35" i="12"/>
  <c r="AF35" i="12"/>
  <c r="AE35" i="12"/>
  <c r="S35" i="12"/>
  <c r="N35" i="12"/>
  <c r="M35" i="12" s="1"/>
  <c r="L35" i="12"/>
  <c r="EA35" i="12" s="1"/>
  <c r="G35" i="12"/>
  <c r="F35" i="12"/>
  <c r="E35" i="12"/>
  <c r="GD34" i="12"/>
  <c r="GC34" i="12"/>
  <c r="GB34" i="12"/>
  <c r="GA34" i="12"/>
  <c r="FZ34" i="12"/>
  <c r="FY34" i="12"/>
  <c r="FX34" i="12"/>
  <c r="FW34" i="12"/>
  <c r="FV34" i="12"/>
  <c r="FT34" i="12" s="1"/>
  <c r="FH34" i="12" s="1"/>
  <c r="FF34" i="12"/>
  <c r="FE34" i="12"/>
  <c r="FD34" i="12"/>
  <c r="FC34" i="12"/>
  <c r="FB34" i="12"/>
  <c r="FA34" i="12"/>
  <c r="EZ34" i="12"/>
  <c r="EY34" i="12"/>
  <c r="EX34" i="12"/>
  <c r="EW34" i="12"/>
  <c r="EV34" i="12"/>
  <c r="EU34" i="12"/>
  <c r="ET34" i="12"/>
  <c r="EP34" i="12"/>
  <c r="DB34" i="12"/>
  <c r="DA34" i="12"/>
  <c r="CZ34" i="12"/>
  <c r="CY34" i="12"/>
  <c r="CX34" i="12"/>
  <c r="CW34" i="12"/>
  <c r="CV34" i="12"/>
  <c r="CU34" i="12"/>
  <c r="CT34" i="12"/>
  <c r="CS34" i="12"/>
  <c r="CR34" i="12"/>
  <c r="CQ34" i="12"/>
  <c r="CP34" i="12"/>
  <c r="CO34" i="12"/>
  <c r="CN34" i="12"/>
  <c r="CM34" i="12"/>
  <c r="CL34" i="12"/>
  <c r="CK34" i="12"/>
  <c r="CJ34" i="12"/>
  <c r="CI34" i="12"/>
  <c r="CH34" i="12"/>
  <c r="CG34" i="12"/>
  <c r="CF34" i="12"/>
  <c r="CE34" i="12"/>
  <c r="CD34" i="12"/>
  <c r="CC34" i="12"/>
  <c r="CB34" i="12"/>
  <c r="BZ34" i="12"/>
  <c r="BY34" i="12"/>
  <c r="BX34" i="12"/>
  <c r="BW34" i="12"/>
  <c r="BV34" i="12"/>
  <c r="BU34" i="12"/>
  <c r="BT34" i="12"/>
  <c r="BS34" i="12"/>
  <c r="BR34" i="12"/>
  <c r="BQ34" i="12"/>
  <c r="BP34" i="12"/>
  <c r="BO34" i="12"/>
  <c r="BN34" i="12"/>
  <c r="BM34" i="12"/>
  <c r="BL34" i="12"/>
  <c r="BK34" i="12"/>
  <c r="BJ34" i="12"/>
  <c r="BI34" i="12"/>
  <c r="BH34" i="12"/>
  <c r="BG34" i="12"/>
  <c r="BF34" i="12"/>
  <c r="BE34" i="12"/>
  <c r="BD34" i="12"/>
  <c r="BC34" i="12"/>
  <c r="BB34" i="12"/>
  <c r="BA34" i="12"/>
  <c r="AZ34" i="12"/>
  <c r="AM34" i="12"/>
  <c r="AF34" i="12"/>
  <c r="AE34" i="12"/>
  <c r="AG34" i="12" s="1"/>
  <c r="S34" i="12"/>
  <c r="N34" i="12"/>
  <c r="M34" i="12" s="1"/>
  <c r="L34" i="12"/>
  <c r="G34" i="12"/>
  <c r="F34" i="12"/>
  <c r="AS34" i="12" s="1"/>
  <c r="GD33" i="12"/>
  <c r="GC33" i="12"/>
  <c r="GB33" i="12"/>
  <c r="GA33" i="12"/>
  <c r="FZ33" i="12"/>
  <c r="FY33" i="12"/>
  <c r="FX33" i="12"/>
  <c r="FW33" i="12"/>
  <c r="FV33" i="12"/>
  <c r="FT33" i="12" s="1"/>
  <c r="FF33" i="12"/>
  <c r="FE33" i="12"/>
  <c r="FD33" i="12"/>
  <c r="FC33" i="12"/>
  <c r="FB33" i="12"/>
  <c r="FA33" i="12"/>
  <c r="EZ33" i="12"/>
  <c r="EY33" i="12"/>
  <c r="EX33" i="12"/>
  <c r="EW33" i="12"/>
  <c r="EV33" i="12"/>
  <c r="EU33" i="12"/>
  <c r="ET33" i="12"/>
  <c r="EP33" i="12"/>
  <c r="DB33" i="12"/>
  <c r="DA33" i="12"/>
  <c r="CZ33" i="12"/>
  <c r="CY33" i="12"/>
  <c r="CX33" i="12"/>
  <c r="CW33" i="12"/>
  <c r="CV33" i="12"/>
  <c r="CU33" i="12"/>
  <c r="CT33" i="12"/>
  <c r="CS33" i="12"/>
  <c r="CR33" i="12"/>
  <c r="CQ33" i="12"/>
  <c r="CP33" i="12"/>
  <c r="CO33" i="12"/>
  <c r="CN33" i="12"/>
  <c r="CM33" i="12"/>
  <c r="CL33" i="12"/>
  <c r="CK33" i="12"/>
  <c r="CJ33" i="12"/>
  <c r="CI33" i="12"/>
  <c r="CH33" i="12"/>
  <c r="CG33" i="12"/>
  <c r="CF33" i="12"/>
  <c r="CE33" i="12"/>
  <c r="CD33" i="12"/>
  <c r="CC33" i="12"/>
  <c r="CB33" i="12"/>
  <c r="BZ33" i="12"/>
  <c r="BY33" i="12"/>
  <c r="BX33" i="12"/>
  <c r="BW33" i="12"/>
  <c r="BV33" i="12"/>
  <c r="BU33" i="12"/>
  <c r="BT33" i="12"/>
  <c r="BS33" i="12"/>
  <c r="BR33" i="12"/>
  <c r="BQ33" i="12"/>
  <c r="BP33" i="12"/>
  <c r="BO33" i="12"/>
  <c r="BN33" i="12"/>
  <c r="BM33" i="12"/>
  <c r="BL33" i="12"/>
  <c r="BK33" i="12"/>
  <c r="BJ33" i="12"/>
  <c r="BI33" i="12"/>
  <c r="BH33" i="12"/>
  <c r="BG33" i="12"/>
  <c r="BF33" i="12"/>
  <c r="BE33" i="12"/>
  <c r="BD33" i="12"/>
  <c r="BC33" i="12"/>
  <c r="BB33" i="12"/>
  <c r="BA33" i="12"/>
  <c r="AZ33" i="12"/>
  <c r="AM33" i="12"/>
  <c r="AF33" i="12"/>
  <c r="AE33" i="12"/>
  <c r="S33" i="12"/>
  <c r="N33" i="12"/>
  <c r="M33" i="12" s="1"/>
  <c r="L33" i="12"/>
  <c r="DX33" i="12" s="1"/>
  <c r="EL33" i="12" s="1"/>
  <c r="H33" i="12"/>
  <c r="G33" i="12"/>
  <c r="F33" i="12"/>
  <c r="AS33" i="12" s="1"/>
  <c r="GD32" i="12"/>
  <c r="GC32" i="12"/>
  <c r="GB32" i="12"/>
  <c r="GA32" i="12"/>
  <c r="FZ32" i="12"/>
  <c r="FY32" i="12"/>
  <c r="FX32" i="12"/>
  <c r="FW32" i="12"/>
  <c r="FV32" i="12"/>
  <c r="FT32" i="12" s="1"/>
  <c r="FH32" i="12" s="1"/>
  <c r="FF32" i="12"/>
  <c r="FE32" i="12"/>
  <c r="FD32" i="12"/>
  <c r="FC32" i="12"/>
  <c r="FB32" i="12"/>
  <c r="FA32" i="12"/>
  <c r="EZ32" i="12"/>
  <c r="EY32" i="12"/>
  <c r="EX32" i="12"/>
  <c r="EW32" i="12"/>
  <c r="EV32" i="12"/>
  <c r="EU32" i="12"/>
  <c r="ET32" i="12"/>
  <c r="EP32" i="12"/>
  <c r="DB32" i="12"/>
  <c r="DA32" i="12"/>
  <c r="CZ32" i="12"/>
  <c r="CY32" i="12"/>
  <c r="CX32" i="12"/>
  <c r="CW32" i="12"/>
  <c r="CV32" i="12"/>
  <c r="CU32" i="12"/>
  <c r="CT32" i="12"/>
  <c r="CS32" i="12"/>
  <c r="CR32" i="12"/>
  <c r="CQ32" i="12"/>
  <c r="CP32" i="12"/>
  <c r="CO32" i="12"/>
  <c r="CN32" i="12"/>
  <c r="CM32" i="12"/>
  <c r="CL32" i="12"/>
  <c r="CK32" i="12"/>
  <c r="CJ32" i="12"/>
  <c r="CI32" i="12"/>
  <c r="CH32" i="12"/>
  <c r="CG32" i="12"/>
  <c r="CF32" i="12"/>
  <c r="CE32" i="12"/>
  <c r="CD32" i="12"/>
  <c r="CC32" i="12"/>
  <c r="CB32" i="12"/>
  <c r="BZ32" i="12"/>
  <c r="BY32" i="12"/>
  <c r="BX32" i="12"/>
  <c r="BW32" i="12"/>
  <c r="BV32" i="12"/>
  <c r="BU32" i="12"/>
  <c r="BT32" i="12"/>
  <c r="BS32" i="12"/>
  <c r="BR32" i="12"/>
  <c r="BQ32" i="12"/>
  <c r="BP32" i="12"/>
  <c r="BO32" i="12"/>
  <c r="BN32" i="12"/>
  <c r="BM32" i="12"/>
  <c r="BL32" i="12"/>
  <c r="BK32" i="12"/>
  <c r="BJ32" i="12"/>
  <c r="BI32" i="12"/>
  <c r="BH32" i="12"/>
  <c r="BG32" i="12"/>
  <c r="BF32" i="12"/>
  <c r="BE32" i="12"/>
  <c r="BD32" i="12"/>
  <c r="BC32" i="12"/>
  <c r="BB32" i="12"/>
  <c r="BA32" i="12"/>
  <c r="AZ32" i="12"/>
  <c r="AM32" i="12"/>
  <c r="AJ32" i="12"/>
  <c r="AF32" i="12"/>
  <c r="AE32" i="12"/>
  <c r="S32" i="12"/>
  <c r="N32" i="12"/>
  <c r="M32" i="12" s="1"/>
  <c r="L32" i="12"/>
  <c r="G32" i="12"/>
  <c r="F32" i="12"/>
  <c r="AS32" i="12" s="1"/>
  <c r="GD31" i="12"/>
  <c r="GC31" i="12"/>
  <c r="GB31" i="12"/>
  <c r="GA31" i="12"/>
  <c r="FZ31" i="12"/>
  <c r="FY31" i="12"/>
  <c r="FX31" i="12"/>
  <c r="FW31" i="12"/>
  <c r="FV31" i="12"/>
  <c r="FT31" i="12" s="1"/>
  <c r="FR31" i="12" s="1"/>
  <c r="FN31" i="12"/>
  <c r="FF31" i="12"/>
  <c r="FE31" i="12"/>
  <c r="FD31" i="12"/>
  <c r="FC31" i="12"/>
  <c r="FB31" i="12"/>
  <c r="FA31" i="12"/>
  <c r="EZ31" i="12"/>
  <c r="EY31" i="12"/>
  <c r="EX31" i="12"/>
  <c r="EW31" i="12"/>
  <c r="EV31" i="12"/>
  <c r="EU31" i="12"/>
  <c r="ET31" i="12"/>
  <c r="EP31" i="12"/>
  <c r="DB31" i="12"/>
  <c r="DA31" i="12"/>
  <c r="CZ31" i="12"/>
  <c r="CY31" i="12"/>
  <c r="CX31" i="12"/>
  <c r="CW31" i="12"/>
  <c r="CV31" i="12"/>
  <c r="CU31" i="12"/>
  <c r="CT31" i="12"/>
  <c r="CS31" i="12"/>
  <c r="CR31" i="12"/>
  <c r="CQ31" i="12"/>
  <c r="CP31" i="12"/>
  <c r="CO31" i="12"/>
  <c r="CN31" i="12"/>
  <c r="CM31" i="12"/>
  <c r="CL31" i="12"/>
  <c r="CK31" i="12"/>
  <c r="CJ31" i="12"/>
  <c r="CI31" i="12"/>
  <c r="CH31" i="12"/>
  <c r="CG31" i="12"/>
  <c r="CF31" i="12"/>
  <c r="CE31" i="12"/>
  <c r="CD31" i="12"/>
  <c r="CC31" i="12"/>
  <c r="CB31" i="12"/>
  <c r="BZ31" i="12"/>
  <c r="BY31" i="12"/>
  <c r="BX31" i="12"/>
  <c r="BW31" i="12"/>
  <c r="BV31" i="12"/>
  <c r="BU31" i="12"/>
  <c r="BT31" i="12"/>
  <c r="BS31" i="12"/>
  <c r="BR31" i="12"/>
  <c r="BQ31" i="12"/>
  <c r="BP31" i="12"/>
  <c r="BO31" i="12"/>
  <c r="BN31" i="12"/>
  <c r="BM31" i="12"/>
  <c r="BL31" i="12"/>
  <c r="BK31" i="12"/>
  <c r="BJ31" i="12"/>
  <c r="BI31" i="12"/>
  <c r="BH31" i="12"/>
  <c r="BG31" i="12"/>
  <c r="BF31" i="12"/>
  <c r="BE31" i="12"/>
  <c r="BD31" i="12"/>
  <c r="BC31" i="12"/>
  <c r="BB31" i="12"/>
  <c r="BA31" i="12"/>
  <c r="AZ31" i="12"/>
  <c r="AM31" i="12"/>
  <c r="AF31" i="12"/>
  <c r="AE31" i="12"/>
  <c r="S31" i="12"/>
  <c r="P31" i="12"/>
  <c r="O31" i="12"/>
  <c r="N31" i="12"/>
  <c r="M31" i="12" s="1"/>
  <c r="L31" i="12"/>
  <c r="G31" i="12"/>
  <c r="F31" i="12"/>
  <c r="AS31" i="12" s="1"/>
  <c r="GD30" i="12"/>
  <c r="GC30" i="12"/>
  <c r="GB30" i="12"/>
  <c r="GA30" i="12"/>
  <c r="FZ30" i="12"/>
  <c r="FY30" i="12"/>
  <c r="FX30" i="12"/>
  <c r="FW30" i="12"/>
  <c r="FV30" i="12"/>
  <c r="FT30" i="12" s="1"/>
  <c r="FF30" i="12"/>
  <c r="FE30" i="12"/>
  <c r="FD30" i="12"/>
  <c r="FC30" i="12"/>
  <c r="FB30" i="12"/>
  <c r="FA30" i="12"/>
  <c r="EZ30" i="12"/>
  <c r="EY30" i="12"/>
  <c r="EX30" i="12"/>
  <c r="EW30" i="12"/>
  <c r="EV30" i="12"/>
  <c r="EU30" i="12"/>
  <c r="ET30" i="12"/>
  <c r="EP30" i="12"/>
  <c r="DB30" i="12"/>
  <c r="DA30" i="12"/>
  <c r="CZ30" i="12"/>
  <c r="CY30" i="12"/>
  <c r="CX30" i="12"/>
  <c r="CW30" i="12"/>
  <c r="CV30" i="12"/>
  <c r="CU30" i="12"/>
  <c r="CT30" i="12"/>
  <c r="CS30" i="12"/>
  <c r="CR30" i="12"/>
  <c r="CQ30" i="12"/>
  <c r="CP30" i="12"/>
  <c r="CO30" i="12"/>
  <c r="CN30" i="12"/>
  <c r="CM30" i="12"/>
  <c r="CL30" i="12"/>
  <c r="CK30" i="12"/>
  <c r="CJ30" i="12"/>
  <c r="CI30" i="12"/>
  <c r="CH30" i="12"/>
  <c r="CG30" i="12"/>
  <c r="CF30" i="12"/>
  <c r="CE30" i="12"/>
  <c r="CD30" i="12"/>
  <c r="CC30" i="12"/>
  <c r="CB30" i="12"/>
  <c r="BZ30" i="12"/>
  <c r="BY30" i="12"/>
  <c r="BX30" i="12"/>
  <c r="BW30" i="12"/>
  <c r="BV30" i="12"/>
  <c r="BU30" i="12"/>
  <c r="BT30" i="12"/>
  <c r="BS30" i="12"/>
  <c r="BR30" i="12"/>
  <c r="BQ30" i="12"/>
  <c r="BP30" i="12"/>
  <c r="BO30" i="12"/>
  <c r="BN30" i="12"/>
  <c r="BM30" i="12"/>
  <c r="BL30" i="12"/>
  <c r="BK30" i="12"/>
  <c r="BJ30" i="12"/>
  <c r="BI30" i="12"/>
  <c r="BH30" i="12"/>
  <c r="BG30" i="12"/>
  <c r="BF30" i="12"/>
  <c r="BE30" i="12"/>
  <c r="BD30" i="12"/>
  <c r="BC30" i="12"/>
  <c r="BB30" i="12"/>
  <c r="BA30" i="12"/>
  <c r="AZ30" i="12"/>
  <c r="AM30" i="12"/>
  <c r="AF30" i="12"/>
  <c r="AE30" i="12"/>
  <c r="S30" i="12"/>
  <c r="N30" i="12"/>
  <c r="M30" i="12" s="1"/>
  <c r="G30" i="12"/>
  <c r="F30" i="12"/>
  <c r="AO30" i="12" s="1"/>
  <c r="GD29" i="12"/>
  <c r="GC29" i="12"/>
  <c r="GB29" i="12"/>
  <c r="GA29" i="12"/>
  <c r="FZ29" i="12"/>
  <c r="FY29" i="12"/>
  <c r="FX29" i="12"/>
  <c r="FW29" i="12"/>
  <c r="FV29" i="12"/>
  <c r="FT29" i="12" s="1"/>
  <c r="FI29" i="12" s="1"/>
  <c r="FF29" i="12"/>
  <c r="FE29" i="12"/>
  <c r="FD29" i="12"/>
  <c r="FC29" i="12"/>
  <c r="FB29" i="12"/>
  <c r="FA29" i="12"/>
  <c r="EZ29" i="12"/>
  <c r="EY29" i="12"/>
  <c r="EX29" i="12"/>
  <c r="EW29" i="12"/>
  <c r="EV29" i="12"/>
  <c r="EU29" i="12"/>
  <c r="ET29" i="12"/>
  <c r="ES29" i="12"/>
  <c r="ER29" i="12"/>
  <c r="EP29" i="12"/>
  <c r="DB29" i="12"/>
  <c r="DA29" i="12"/>
  <c r="CZ29" i="12"/>
  <c r="CY29" i="12"/>
  <c r="CX29" i="12"/>
  <c r="CW29" i="12"/>
  <c r="CV29" i="12"/>
  <c r="CU29" i="12"/>
  <c r="CT29" i="12"/>
  <c r="CS29" i="12"/>
  <c r="CR29" i="12"/>
  <c r="CQ29" i="12"/>
  <c r="CP29" i="12"/>
  <c r="CO29" i="12"/>
  <c r="CN29" i="12"/>
  <c r="CM29" i="12"/>
  <c r="CL29" i="12"/>
  <c r="CK29" i="12"/>
  <c r="CJ29" i="12"/>
  <c r="CI29" i="12"/>
  <c r="CH29" i="12"/>
  <c r="CG29" i="12"/>
  <c r="CF29" i="12"/>
  <c r="CE29" i="12"/>
  <c r="CD29" i="12"/>
  <c r="CC29" i="12"/>
  <c r="CB29" i="12"/>
  <c r="BZ29" i="12"/>
  <c r="BY29" i="12"/>
  <c r="BX29" i="12"/>
  <c r="BW29" i="12"/>
  <c r="BV29" i="12"/>
  <c r="BU29" i="12"/>
  <c r="BT29" i="12"/>
  <c r="BS29" i="12"/>
  <c r="BR29" i="12"/>
  <c r="BQ29" i="12"/>
  <c r="BP29" i="12"/>
  <c r="BO29" i="12"/>
  <c r="BN29" i="12"/>
  <c r="BM29" i="12"/>
  <c r="BL29" i="12"/>
  <c r="BK29" i="12"/>
  <c r="BJ29" i="12"/>
  <c r="BI29" i="12"/>
  <c r="BH29" i="12"/>
  <c r="BG29" i="12"/>
  <c r="BF29" i="12"/>
  <c r="BE29" i="12"/>
  <c r="BD29" i="12"/>
  <c r="BC29" i="12"/>
  <c r="BB29" i="12"/>
  <c r="BA29" i="12"/>
  <c r="AZ29" i="12"/>
  <c r="AM29" i="12"/>
  <c r="AK29" i="12"/>
  <c r="AJ29" i="12"/>
  <c r="AI29" i="12"/>
  <c r="AH29" i="12"/>
  <c r="AF29" i="12"/>
  <c r="AE29" i="12"/>
  <c r="S29" i="12"/>
  <c r="P29" i="12"/>
  <c r="O29" i="12"/>
  <c r="N29" i="12"/>
  <c r="M29" i="12" s="1"/>
  <c r="L29" i="12"/>
  <c r="DS29" i="12" s="1"/>
  <c r="H29" i="12"/>
  <c r="DL29" i="12" s="1"/>
  <c r="G29" i="12"/>
  <c r="F29" i="12"/>
  <c r="GD28" i="12"/>
  <c r="GC28" i="12"/>
  <c r="GB28" i="12"/>
  <c r="GA28" i="12"/>
  <c r="FZ28" i="12"/>
  <c r="FY28" i="12"/>
  <c r="FX28" i="12"/>
  <c r="FW28" i="12"/>
  <c r="FV28" i="12"/>
  <c r="FT28" i="12" s="1"/>
  <c r="FF28" i="12"/>
  <c r="FE28" i="12"/>
  <c r="FD28" i="12"/>
  <c r="FC28" i="12"/>
  <c r="FB28" i="12"/>
  <c r="FA28" i="12"/>
  <c r="EZ28" i="12"/>
  <c r="EY28" i="12"/>
  <c r="EX28" i="12"/>
  <c r="EW28" i="12"/>
  <c r="EV28" i="12"/>
  <c r="EU28" i="12"/>
  <c r="ET28" i="12"/>
  <c r="EP28" i="12"/>
  <c r="DB28" i="12"/>
  <c r="DA28" i="12"/>
  <c r="CZ28" i="12"/>
  <c r="CY28" i="12"/>
  <c r="CX28" i="12"/>
  <c r="CW28" i="12"/>
  <c r="CV28" i="12"/>
  <c r="CU28" i="12"/>
  <c r="CT28" i="12"/>
  <c r="CS28" i="12"/>
  <c r="CR28" i="12"/>
  <c r="CQ28" i="12"/>
  <c r="CP28" i="12"/>
  <c r="CO28" i="12"/>
  <c r="CN28" i="12"/>
  <c r="CM28" i="12"/>
  <c r="CL28" i="12"/>
  <c r="CK28" i="12"/>
  <c r="CJ28" i="12"/>
  <c r="CI28" i="12"/>
  <c r="CH28" i="12"/>
  <c r="CG28" i="12"/>
  <c r="CF28" i="12"/>
  <c r="CE28" i="12"/>
  <c r="CD28" i="12"/>
  <c r="CC28" i="12"/>
  <c r="CB28" i="12"/>
  <c r="BZ28" i="12"/>
  <c r="BY28" i="12"/>
  <c r="BX28" i="12"/>
  <c r="BW28" i="12"/>
  <c r="BV28" i="12"/>
  <c r="BU28" i="12"/>
  <c r="BT28" i="12"/>
  <c r="BS28" i="12"/>
  <c r="BR28" i="12"/>
  <c r="BQ28" i="12"/>
  <c r="BP28" i="12"/>
  <c r="BO28" i="12"/>
  <c r="BN28" i="12"/>
  <c r="BM28" i="12"/>
  <c r="BL28" i="12"/>
  <c r="BK28" i="12"/>
  <c r="BJ28" i="12"/>
  <c r="BI28" i="12"/>
  <c r="BH28" i="12"/>
  <c r="BG28" i="12"/>
  <c r="BF28" i="12"/>
  <c r="BE28" i="12"/>
  <c r="BD28" i="12"/>
  <c r="BC28" i="12"/>
  <c r="BB28" i="12"/>
  <c r="BA28" i="12"/>
  <c r="AZ28" i="12"/>
  <c r="AM28" i="12"/>
  <c r="AK28" i="12"/>
  <c r="AJ28" i="12"/>
  <c r="AI28" i="12"/>
  <c r="AH28" i="12"/>
  <c r="AF28" i="12"/>
  <c r="AE28" i="12"/>
  <c r="S28" i="12"/>
  <c r="P28" i="12"/>
  <c r="O28" i="12"/>
  <c r="N28" i="12"/>
  <c r="M28" i="12" s="1"/>
  <c r="L28" i="12"/>
  <c r="DU28" i="12" s="1"/>
  <c r="H28" i="12"/>
  <c r="G28" i="12"/>
  <c r="F28" i="12"/>
  <c r="Z28" i="12" s="1"/>
  <c r="GD27" i="12"/>
  <c r="GC27" i="12"/>
  <c r="GB27" i="12"/>
  <c r="GA27" i="12"/>
  <c r="FZ27" i="12"/>
  <c r="FY27" i="12"/>
  <c r="FX27" i="12"/>
  <c r="FW27" i="12"/>
  <c r="FV27" i="12"/>
  <c r="FT27" i="12" s="1"/>
  <c r="FI27" i="12" s="1"/>
  <c r="FF27" i="12"/>
  <c r="FE27" i="12"/>
  <c r="FD27" i="12"/>
  <c r="FC27" i="12"/>
  <c r="FB27" i="12"/>
  <c r="FA27" i="12"/>
  <c r="EZ27" i="12"/>
  <c r="EY27" i="12"/>
  <c r="EX27" i="12"/>
  <c r="EW27" i="12"/>
  <c r="EV27" i="12"/>
  <c r="EU27" i="12"/>
  <c r="ET27" i="12"/>
  <c r="EP27" i="12"/>
  <c r="DB27" i="12"/>
  <c r="DA27" i="12"/>
  <c r="CZ27" i="12"/>
  <c r="CY27" i="12"/>
  <c r="CX27" i="12"/>
  <c r="CW27" i="12"/>
  <c r="CV27" i="12"/>
  <c r="CU27" i="12"/>
  <c r="CT27" i="12"/>
  <c r="CS27" i="12"/>
  <c r="CR27" i="12"/>
  <c r="CQ27" i="12"/>
  <c r="CP27" i="12"/>
  <c r="CO27" i="12"/>
  <c r="CN27" i="12"/>
  <c r="CM27" i="12"/>
  <c r="CL27" i="12"/>
  <c r="CK27" i="12"/>
  <c r="CJ27" i="12"/>
  <c r="CI27" i="12"/>
  <c r="CH27" i="12"/>
  <c r="CG27" i="12"/>
  <c r="CF27" i="12"/>
  <c r="CE27" i="12"/>
  <c r="CD27" i="12"/>
  <c r="CC27" i="12"/>
  <c r="CB27" i="12"/>
  <c r="BZ27" i="12"/>
  <c r="BY27" i="12"/>
  <c r="BX27" i="12"/>
  <c r="BW27" i="12"/>
  <c r="BV27" i="12"/>
  <c r="BU27" i="12"/>
  <c r="BT27" i="12"/>
  <c r="BS27" i="12"/>
  <c r="BR27" i="12"/>
  <c r="BQ27" i="12"/>
  <c r="BP27" i="12"/>
  <c r="BO27" i="12"/>
  <c r="BN27" i="12"/>
  <c r="BM27" i="12"/>
  <c r="BL27" i="12"/>
  <c r="BK27" i="12"/>
  <c r="BJ27" i="12"/>
  <c r="BI27" i="12"/>
  <c r="BH27" i="12"/>
  <c r="BG27" i="12"/>
  <c r="BF27" i="12"/>
  <c r="BE27" i="12"/>
  <c r="BD27" i="12"/>
  <c r="BC27" i="12"/>
  <c r="BB27" i="12"/>
  <c r="BA27" i="12"/>
  <c r="DD27" i="12" s="1"/>
  <c r="AZ27" i="12"/>
  <c r="AM27" i="12"/>
  <c r="AK27" i="12"/>
  <c r="AJ27" i="12"/>
  <c r="AI27" i="12"/>
  <c r="AH27" i="12"/>
  <c r="AF27" i="12"/>
  <c r="AE27" i="12"/>
  <c r="S27" i="12"/>
  <c r="P27" i="12"/>
  <c r="O27" i="12"/>
  <c r="N27" i="12"/>
  <c r="M27" i="12" s="1"/>
  <c r="L27" i="12"/>
  <c r="EF27" i="12" s="1"/>
  <c r="H27" i="12"/>
  <c r="G27" i="12"/>
  <c r="F27" i="12"/>
  <c r="AS27" i="12" s="1"/>
  <c r="GD26" i="12"/>
  <c r="GC26" i="12"/>
  <c r="GB26" i="12"/>
  <c r="GA26" i="12"/>
  <c r="FZ26" i="12"/>
  <c r="FY26" i="12"/>
  <c r="FX26" i="12"/>
  <c r="FW26" i="12"/>
  <c r="FV26" i="12"/>
  <c r="FT26" i="12" s="1"/>
  <c r="FF26" i="12"/>
  <c r="FE26" i="12"/>
  <c r="FD26" i="12"/>
  <c r="FC26" i="12"/>
  <c r="FB26" i="12"/>
  <c r="FA26" i="12"/>
  <c r="EZ26" i="12"/>
  <c r="EY26" i="12"/>
  <c r="EX26" i="12"/>
  <c r="EW26" i="12"/>
  <c r="EV26" i="12"/>
  <c r="EU26" i="12"/>
  <c r="ET26" i="12"/>
  <c r="EP26" i="12"/>
  <c r="DB26" i="12"/>
  <c r="DA26" i="12"/>
  <c r="CZ26" i="12"/>
  <c r="CY26" i="12"/>
  <c r="CX26" i="12"/>
  <c r="CW26" i="12"/>
  <c r="CV26" i="12"/>
  <c r="CU26" i="12"/>
  <c r="CT26" i="12"/>
  <c r="CS26" i="12"/>
  <c r="CR26" i="12"/>
  <c r="CQ26" i="12"/>
  <c r="CP26" i="12"/>
  <c r="CO26" i="12"/>
  <c r="CN26" i="12"/>
  <c r="CM26" i="12"/>
  <c r="CL26" i="12"/>
  <c r="CK26" i="12"/>
  <c r="CJ26" i="12"/>
  <c r="CI26" i="12"/>
  <c r="CH26" i="12"/>
  <c r="CG26" i="12"/>
  <c r="CF26" i="12"/>
  <c r="CE26" i="12"/>
  <c r="CD26" i="12"/>
  <c r="CC26" i="12"/>
  <c r="CB26" i="12"/>
  <c r="BZ26" i="12"/>
  <c r="BY26" i="12"/>
  <c r="BX26" i="12"/>
  <c r="BW26" i="12"/>
  <c r="BV26" i="12"/>
  <c r="BU26" i="12"/>
  <c r="BT26" i="12"/>
  <c r="BS26" i="12"/>
  <c r="BR26" i="12"/>
  <c r="BQ26" i="12"/>
  <c r="BP26" i="12"/>
  <c r="BO26" i="12"/>
  <c r="BN26" i="12"/>
  <c r="BM26" i="12"/>
  <c r="BL26" i="12"/>
  <c r="BK26" i="12"/>
  <c r="BJ26" i="12"/>
  <c r="BI26" i="12"/>
  <c r="BH26" i="12"/>
  <c r="BG26" i="12"/>
  <c r="BF26" i="12"/>
  <c r="BE26" i="12"/>
  <c r="BD26" i="12"/>
  <c r="BC26" i="12"/>
  <c r="BB26" i="12"/>
  <c r="BA26" i="12"/>
  <c r="AZ26" i="12"/>
  <c r="AM26" i="12"/>
  <c r="AG26" i="12"/>
  <c r="AF26" i="12"/>
  <c r="AE26" i="12"/>
  <c r="S26" i="12"/>
  <c r="P26" i="12"/>
  <c r="N26" i="12"/>
  <c r="M26" i="12" s="1"/>
  <c r="L26" i="12"/>
  <c r="EE26" i="12" s="1"/>
  <c r="H26" i="12"/>
  <c r="DM26" i="12" s="1"/>
  <c r="G26" i="12"/>
  <c r="F26" i="12"/>
  <c r="GD25" i="12"/>
  <c r="GC25" i="12"/>
  <c r="GB25" i="12"/>
  <c r="GA25" i="12"/>
  <c r="FZ25" i="12"/>
  <c r="FY25" i="12"/>
  <c r="FX25" i="12"/>
  <c r="FW25" i="12"/>
  <c r="FV25" i="12"/>
  <c r="FT25" i="12" s="1"/>
  <c r="FS25" i="12" s="1"/>
  <c r="FF25" i="12"/>
  <c r="FE25" i="12"/>
  <c r="FD25" i="12"/>
  <c r="FC25" i="12"/>
  <c r="FB25" i="12"/>
  <c r="FA25" i="12"/>
  <c r="EZ25" i="12"/>
  <c r="EY25" i="12"/>
  <c r="EX25" i="12"/>
  <c r="EW25" i="12"/>
  <c r="EV25" i="12"/>
  <c r="EU25" i="12"/>
  <c r="ET25" i="12"/>
  <c r="ER25" i="12"/>
  <c r="EQ25" i="12"/>
  <c r="EP25" i="12"/>
  <c r="DB25" i="12"/>
  <c r="DA25" i="12"/>
  <c r="CZ25" i="12"/>
  <c r="CY25" i="12"/>
  <c r="CX25" i="12"/>
  <c r="CW25" i="12"/>
  <c r="CV25" i="12"/>
  <c r="CU25" i="12"/>
  <c r="CT25" i="12"/>
  <c r="CS25" i="12"/>
  <c r="CR25" i="12"/>
  <c r="CQ25" i="12"/>
  <c r="CP25" i="12"/>
  <c r="CO25" i="12"/>
  <c r="CN25" i="12"/>
  <c r="CM25" i="12"/>
  <c r="CL25" i="12"/>
  <c r="CK25" i="12"/>
  <c r="CJ25" i="12"/>
  <c r="CI25" i="12"/>
  <c r="CH25" i="12"/>
  <c r="CG25" i="12"/>
  <c r="CF25" i="12"/>
  <c r="CE25" i="12"/>
  <c r="CD25" i="12"/>
  <c r="CC25" i="12"/>
  <c r="CB25" i="12"/>
  <c r="BZ25" i="12"/>
  <c r="BY25" i="12"/>
  <c r="BX25" i="12"/>
  <c r="BW25" i="12"/>
  <c r="BV25" i="12"/>
  <c r="BU25" i="12"/>
  <c r="BT25" i="12"/>
  <c r="BS25" i="12"/>
  <c r="BR25" i="12"/>
  <c r="BQ25" i="12"/>
  <c r="BP25" i="12"/>
  <c r="BO25" i="12"/>
  <c r="BN25" i="12"/>
  <c r="BM25" i="12"/>
  <c r="BL25" i="12"/>
  <c r="BK25" i="12"/>
  <c r="BJ25" i="12"/>
  <c r="BI25" i="12"/>
  <c r="BH25" i="12"/>
  <c r="BG25" i="12"/>
  <c r="BF25" i="12"/>
  <c r="BE25" i="12"/>
  <c r="BD25" i="12"/>
  <c r="BC25" i="12"/>
  <c r="BB25" i="12"/>
  <c r="BA25" i="12"/>
  <c r="AZ25" i="12"/>
  <c r="DD25" i="12" s="1"/>
  <c r="AM25" i="12"/>
  <c r="AK25" i="12"/>
  <c r="AF25" i="12"/>
  <c r="AE25" i="12"/>
  <c r="S25" i="12"/>
  <c r="N25" i="12"/>
  <c r="M25" i="12" s="1"/>
  <c r="L25" i="12"/>
  <c r="DX25" i="12" s="1"/>
  <c r="EL25" i="12" s="1"/>
  <c r="G25" i="12"/>
  <c r="F25" i="12"/>
  <c r="GD24" i="12"/>
  <c r="GC24" i="12"/>
  <c r="GB24" i="12"/>
  <c r="GA24" i="12"/>
  <c r="FZ24" i="12"/>
  <c r="FY24" i="12"/>
  <c r="FX24" i="12"/>
  <c r="FW24" i="12"/>
  <c r="FV24" i="12"/>
  <c r="FT24" i="12"/>
  <c r="FQ24" i="12" s="1"/>
  <c r="FF24" i="12"/>
  <c r="FE24" i="12"/>
  <c r="FD24" i="12"/>
  <c r="FC24" i="12"/>
  <c r="FB24" i="12"/>
  <c r="FA24" i="12"/>
  <c r="EZ24" i="12"/>
  <c r="EY24" i="12"/>
  <c r="EX24" i="12"/>
  <c r="EW24" i="12"/>
  <c r="EV24" i="12"/>
  <c r="EU24" i="12"/>
  <c r="ET24" i="12"/>
  <c r="EP24" i="12"/>
  <c r="DB24" i="12"/>
  <c r="DA24" i="12"/>
  <c r="CZ24" i="12"/>
  <c r="CY24" i="12"/>
  <c r="CX24" i="12"/>
  <c r="CW24" i="12"/>
  <c r="CV24" i="12"/>
  <c r="CU24" i="12"/>
  <c r="CT24" i="12"/>
  <c r="CS24" i="12"/>
  <c r="CR24" i="12"/>
  <c r="CQ24" i="12"/>
  <c r="CP24" i="12"/>
  <c r="CO24" i="12"/>
  <c r="CN24" i="12"/>
  <c r="CM24" i="12"/>
  <c r="CL24" i="12"/>
  <c r="CK24" i="12"/>
  <c r="CJ24" i="12"/>
  <c r="CI24" i="12"/>
  <c r="CH24" i="12"/>
  <c r="CG24" i="12"/>
  <c r="CF24" i="12"/>
  <c r="CE24" i="12"/>
  <c r="CD24" i="12"/>
  <c r="CC24" i="12"/>
  <c r="CB24" i="12"/>
  <c r="BZ24" i="12"/>
  <c r="BY24" i="12"/>
  <c r="BX24" i="12"/>
  <c r="BW24" i="12"/>
  <c r="BV24" i="12"/>
  <c r="BU24" i="12"/>
  <c r="BT24" i="12"/>
  <c r="BS24" i="12"/>
  <c r="BR24" i="12"/>
  <c r="BQ24" i="12"/>
  <c r="BP24" i="12"/>
  <c r="BO24" i="12"/>
  <c r="BN24" i="12"/>
  <c r="BM24" i="12"/>
  <c r="BL24" i="12"/>
  <c r="BK24" i="12"/>
  <c r="BJ24" i="12"/>
  <c r="BI24" i="12"/>
  <c r="BH24" i="12"/>
  <c r="BG24" i="12"/>
  <c r="BF24" i="12"/>
  <c r="BE24" i="12"/>
  <c r="BD24" i="12"/>
  <c r="BC24" i="12"/>
  <c r="BB24" i="12"/>
  <c r="BA24" i="12"/>
  <c r="AZ24" i="12"/>
  <c r="AM24" i="12"/>
  <c r="AF24" i="12"/>
  <c r="AE24" i="12"/>
  <c r="S24" i="12"/>
  <c r="N24" i="12"/>
  <c r="M24" i="12" s="1"/>
  <c r="L24" i="12"/>
  <c r="DU24" i="12" s="1"/>
  <c r="G24" i="12"/>
  <c r="F24" i="12"/>
  <c r="GD23" i="12"/>
  <c r="GC23" i="12"/>
  <c r="GB23" i="12"/>
  <c r="GA23" i="12"/>
  <c r="FZ23" i="12"/>
  <c r="FY23" i="12"/>
  <c r="FX23" i="12"/>
  <c r="FW23" i="12"/>
  <c r="FV23" i="12"/>
  <c r="FT23" i="12" s="1"/>
  <c r="FS23" i="12" s="1"/>
  <c r="FP23" i="12"/>
  <c r="FF23" i="12"/>
  <c r="FE23" i="12"/>
  <c r="FD23" i="12"/>
  <c r="FC23" i="12"/>
  <c r="FB23" i="12"/>
  <c r="FA23" i="12"/>
  <c r="EZ23" i="12"/>
  <c r="EY23" i="12"/>
  <c r="EX23" i="12"/>
  <c r="EW23" i="12"/>
  <c r="EV23" i="12"/>
  <c r="EU23" i="12"/>
  <c r="ET23" i="12"/>
  <c r="EP23" i="12"/>
  <c r="DB23" i="12"/>
  <c r="DA23" i="12"/>
  <c r="CZ23" i="12"/>
  <c r="CY23" i="12"/>
  <c r="CX23" i="12"/>
  <c r="CW23" i="12"/>
  <c r="CV23" i="12"/>
  <c r="CU23" i="12"/>
  <c r="CT23" i="12"/>
  <c r="CS23" i="12"/>
  <c r="CR23" i="12"/>
  <c r="CQ23" i="12"/>
  <c r="CP23" i="12"/>
  <c r="CO23" i="12"/>
  <c r="CN23" i="12"/>
  <c r="CM23" i="12"/>
  <c r="CL23" i="12"/>
  <c r="CK23" i="12"/>
  <c r="CJ23" i="12"/>
  <c r="CI23" i="12"/>
  <c r="CH23" i="12"/>
  <c r="CG23" i="12"/>
  <c r="CF23" i="12"/>
  <c r="CE23" i="12"/>
  <c r="CD23" i="12"/>
  <c r="CC23" i="12"/>
  <c r="CB23" i="12"/>
  <c r="BZ23" i="12"/>
  <c r="BY23" i="12"/>
  <c r="BX23" i="12"/>
  <c r="BW23" i="12"/>
  <c r="BV23" i="12"/>
  <c r="BU23" i="12"/>
  <c r="BT23" i="12"/>
  <c r="BS23" i="12"/>
  <c r="BR23" i="12"/>
  <c r="BQ23" i="12"/>
  <c r="BP23" i="12"/>
  <c r="BO23" i="12"/>
  <c r="BN23" i="12"/>
  <c r="BM23" i="12"/>
  <c r="BL23" i="12"/>
  <c r="BK23" i="12"/>
  <c r="BJ23" i="12"/>
  <c r="BI23" i="12"/>
  <c r="BH23" i="12"/>
  <c r="BG23" i="12"/>
  <c r="BF23" i="12"/>
  <c r="BE23" i="12"/>
  <c r="BD23" i="12"/>
  <c r="BC23" i="12"/>
  <c r="BB23" i="12"/>
  <c r="BA23" i="12"/>
  <c r="AZ23" i="12"/>
  <c r="AM23" i="12"/>
  <c r="AF23" i="12"/>
  <c r="AE23" i="12"/>
  <c r="S23" i="12"/>
  <c r="N23" i="12"/>
  <c r="M23" i="12" s="1"/>
  <c r="L23" i="12"/>
  <c r="T23" i="12" s="1"/>
  <c r="U23" i="12" s="1"/>
  <c r="G23" i="12"/>
  <c r="F23" i="12"/>
  <c r="E23" i="12"/>
  <c r="GD22" i="12"/>
  <c r="GC22" i="12"/>
  <c r="GB22" i="12"/>
  <c r="GA22" i="12"/>
  <c r="FZ22" i="12"/>
  <c r="FY22" i="12"/>
  <c r="FX22" i="12"/>
  <c r="FW22" i="12"/>
  <c r="FV22" i="12"/>
  <c r="FT22" i="12"/>
  <c r="FH22" i="12"/>
  <c r="FF22" i="12"/>
  <c r="FE22" i="12"/>
  <c r="FD22" i="12"/>
  <c r="FC22" i="12"/>
  <c r="FB22" i="12"/>
  <c r="FA22" i="12"/>
  <c r="EZ22" i="12"/>
  <c r="EY22" i="12"/>
  <c r="EX22" i="12"/>
  <c r="EW22" i="12"/>
  <c r="EV22" i="12"/>
  <c r="EU22" i="12"/>
  <c r="ET22" i="12"/>
  <c r="EP22" i="12"/>
  <c r="DB22" i="12"/>
  <c r="DA22" i="12"/>
  <c r="CZ22" i="12"/>
  <c r="CY22" i="12"/>
  <c r="CX22" i="12"/>
  <c r="CW22" i="12"/>
  <c r="CV22" i="12"/>
  <c r="CU22" i="12"/>
  <c r="CT22" i="12"/>
  <c r="CS22" i="12"/>
  <c r="CR22" i="12"/>
  <c r="CQ22" i="12"/>
  <c r="CP22" i="12"/>
  <c r="CO22" i="12"/>
  <c r="CN22" i="12"/>
  <c r="CM22" i="12"/>
  <c r="CL22" i="12"/>
  <c r="CK22" i="12"/>
  <c r="CJ22" i="12"/>
  <c r="CI22" i="12"/>
  <c r="CH22" i="12"/>
  <c r="CG22" i="12"/>
  <c r="CF22" i="12"/>
  <c r="CE22" i="12"/>
  <c r="CD22" i="12"/>
  <c r="CC22" i="12"/>
  <c r="CB22" i="12"/>
  <c r="BZ22" i="12"/>
  <c r="BY22" i="12"/>
  <c r="BX22" i="12"/>
  <c r="BW22" i="12"/>
  <c r="BV22" i="12"/>
  <c r="BU22" i="12"/>
  <c r="BT22" i="12"/>
  <c r="BS22" i="12"/>
  <c r="BR22" i="12"/>
  <c r="BQ22" i="12"/>
  <c r="BP22" i="12"/>
  <c r="BO22" i="12"/>
  <c r="BN22" i="12"/>
  <c r="BM22" i="12"/>
  <c r="BL22" i="12"/>
  <c r="BK22" i="12"/>
  <c r="BJ22" i="12"/>
  <c r="BI22" i="12"/>
  <c r="BH22" i="12"/>
  <c r="BG22" i="12"/>
  <c r="BF22" i="12"/>
  <c r="BE22" i="12"/>
  <c r="BD22" i="12"/>
  <c r="BC22" i="12"/>
  <c r="BB22" i="12"/>
  <c r="BA22" i="12"/>
  <c r="AZ22" i="12"/>
  <c r="AM22" i="12"/>
  <c r="AK22" i="12"/>
  <c r="AF22" i="12"/>
  <c r="AE22" i="12"/>
  <c r="AG22" i="12" s="1"/>
  <c r="S22" i="12"/>
  <c r="N22" i="12"/>
  <c r="M22" i="12" s="1"/>
  <c r="G22" i="12"/>
  <c r="F22" i="12"/>
  <c r="AO22" i="12" s="1"/>
  <c r="GD21" i="12"/>
  <c r="GC21" i="12"/>
  <c r="GB21" i="12"/>
  <c r="GA21" i="12"/>
  <c r="FZ21" i="12"/>
  <c r="FY21" i="12"/>
  <c r="FX21" i="12"/>
  <c r="FW21" i="12"/>
  <c r="FV21" i="12"/>
  <c r="FT21" i="12" s="1"/>
  <c r="FO21" i="12" s="1"/>
  <c r="FS21" i="12"/>
  <c r="FF21" i="12"/>
  <c r="FE21" i="12"/>
  <c r="FD21" i="12"/>
  <c r="FC21" i="12"/>
  <c r="FB21" i="12"/>
  <c r="FA21" i="12"/>
  <c r="EZ21" i="12"/>
  <c r="EY21" i="12"/>
  <c r="EX21" i="12"/>
  <c r="EW21" i="12"/>
  <c r="EV21" i="12"/>
  <c r="EU21" i="12"/>
  <c r="ET21" i="12"/>
  <c r="EP21" i="12"/>
  <c r="DB21" i="12"/>
  <c r="DA21" i="12"/>
  <c r="CZ21" i="12"/>
  <c r="CY21" i="12"/>
  <c r="CX21" i="12"/>
  <c r="CW21" i="12"/>
  <c r="CV21" i="12"/>
  <c r="CU21" i="12"/>
  <c r="CT21" i="12"/>
  <c r="CS21" i="12"/>
  <c r="CR21" i="12"/>
  <c r="CQ21" i="12"/>
  <c r="CP21" i="12"/>
  <c r="CO21" i="12"/>
  <c r="CN21" i="12"/>
  <c r="CM21" i="12"/>
  <c r="CL21" i="12"/>
  <c r="CK21" i="12"/>
  <c r="CJ21" i="12"/>
  <c r="CI21" i="12"/>
  <c r="CH21" i="12"/>
  <c r="CG21" i="12"/>
  <c r="CF21" i="12"/>
  <c r="CE21" i="12"/>
  <c r="CD21" i="12"/>
  <c r="CC21" i="12"/>
  <c r="CB21" i="12"/>
  <c r="BZ21" i="12"/>
  <c r="BY21" i="12"/>
  <c r="BX21" i="12"/>
  <c r="BW21" i="12"/>
  <c r="BV21" i="12"/>
  <c r="BU21" i="12"/>
  <c r="BT21" i="12"/>
  <c r="BS21" i="12"/>
  <c r="BR21" i="12"/>
  <c r="BQ21" i="12"/>
  <c r="BP21" i="12"/>
  <c r="BO21" i="12"/>
  <c r="BN21" i="12"/>
  <c r="BM21" i="12"/>
  <c r="BL21" i="12"/>
  <c r="BK21" i="12"/>
  <c r="BJ21" i="12"/>
  <c r="BI21" i="12"/>
  <c r="BH21" i="12"/>
  <c r="BG21" i="12"/>
  <c r="BF21" i="12"/>
  <c r="BE21" i="12"/>
  <c r="BD21" i="12"/>
  <c r="BC21" i="12"/>
  <c r="BB21" i="12"/>
  <c r="BA21" i="12"/>
  <c r="AZ21" i="12"/>
  <c r="AM21" i="12"/>
  <c r="AK21" i="12"/>
  <c r="AJ21" i="12"/>
  <c r="AI21" i="12"/>
  <c r="AH21" i="12"/>
  <c r="AF21" i="12"/>
  <c r="AE21" i="12"/>
  <c r="AG21" i="12" s="1"/>
  <c r="S21" i="12"/>
  <c r="P21" i="12"/>
  <c r="O21" i="12"/>
  <c r="N21" i="12"/>
  <c r="M21" i="12" s="1"/>
  <c r="L21" i="12"/>
  <c r="H21" i="12"/>
  <c r="AL21" i="12" s="1"/>
  <c r="G21" i="12"/>
  <c r="F21" i="12"/>
  <c r="AS21" i="12" s="1"/>
  <c r="E21" i="12"/>
  <c r="GD20" i="12"/>
  <c r="GC20" i="12"/>
  <c r="GB20" i="12"/>
  <c r="GA20" i="12"/>
  <c r="FZ20" i="12"/>
  <c r="FY20" i="12"/>
  <c r="FX20" i="12"/>
  <c r="FW20" i="12"/>
  <c r="FV20" i="12"/>
  <c r="FT20" i="12" s="1"/>
  <c r="FI20" i="12" s="1"/>
  <c r="FS20" i="12"/>
  <c r="FP20" i="12"/>
  <c r="FN20" i="12"/>
  <c r="FL20" i="12"/>
  <c r="FK20" i="12"/>
  <c r="FF20" i="12"/>
  <c r="FE20" i="12"/>
  <c r="FD20" i="12"/>
  <c r="FC20" i="12"/>
  <c r="FB20" i="12"/>
  <c r="FA20" i="12"/>
  <c r="EZ20" i="12"/>
  <c r="EY20" i="12"/>
  <c r="EX20" i="12"/>
  <c r="EW20" i="12"/>
  <c r="EV20" i="12"/>
  <c r="EU20" i="12"/>
  <c r="ET20" i="12"/>
  <c r="ER20" i="12"/>
  <c r="EP20" i="12"/>
  <c r="DB20" i="12"/>
  <c r="DA20" i="12"/>
  <c r="CZ20" i="12"/>
  <c r="CY20" i="12"/>
  <c r="CX20" i="12"/>
  <c r="CW20" i="12"/>
  <c r="CV20" i="12"/>
  <c r="CU20" i="12"/>
  <c r="CT20" i="12"/>
  <c r="CS20" i="12"/>
  <c r="CR20" i="12"/>
  <c r="CQ20" i="12"/>
  <c r="CP20" i="12"/>
  <c r="CO20" i="12"/>
  <c r="CN20" i="12"/>
  <c r="CM20" i="12"/>
  <c r="CL20" i="12"/>
  <c r="CK20" i="12"/>
  <c r="CJ20" i="12"/>
  <c r="CI20" i="12"/>
  <c r="CH20" i="12"/>
  <c r="CG20" i="12"/>
  <c r="CF20" i="12"/>
  <c r="CE20" i="12"/>
  <c r="CD20" i="12"/>
  <c r="CC20" i="12"/>
  <c r="CB20" i="12"/>
  <c r="BZ20" i="12"/>
  <c r="BY20" i="12"/>
  <c r="BX20" i="12"/>
  <c r="BW20" i="12"/>
  <c r="BV20" i="12"/>
  <c r="BU20" i="12"/>
  <c r="BT20" i="12"/>
  <c r="BS20" i="12"/>
  <c r="BR20" i="12"/>
  <c r="BQ20" i="12"/>
  <c r="BP20" i="12"/>
  <c r="BO20" i="12"/>
  <c r="BN20" i="12"/>
  <c r="BM20" i="12"/>
  <c r="BL20" i="12"/>
  <c r="BK20" i="12"/>
  <c r="BJ20" i="12"/>
  <c r="BI20" i="12"/>
  <c r="BH20" i="12"/>
  <c r="BG20" i="12"/>
  <c r="BF20" i="12"/>
  <c r="BE20" i="12"/>
  <c r="BD20" i="12"/>
  <c r="BC20" i="12"/>
  <c r="BB20" i="12"/>
  <c r="BA20" i="12"/>
  <c r="AZ20" i="12"/>
  <c r="AM20" i="12"/>
  <c r="AK20" i="12"/>
  <c r="AJ20" i="12"/>
  <c r="AI20" i="12"/>
  <c r="AH20" i="12"/>
  <c r="AF20" i="12"/>
  <c r="AE20" i="12"/>
  <c r="S20" i="12"/>
  <c r="P20" i="12"/>
  <c r="O20" i="12"/>
  <c r="N20" i="12"/>
  <c r="M20" i="12" s="1"/>
  <c r="L20" i="12"/>
  <c r="EA20" i="12" s="1"/>
  <c r="H20" i="12"/>
  <c r="DK20" i="12" s="1"/>
  <c r="G20" i="12"/>
  <c r="F20" i="12"/>
  <c r="GD19" i="12"/>
  <c r="GC19" i="12"/>
  <c r="GB19" i="12"/>
  <c r="GA19" i="12"/>
  <c r="FZ19" i="12"/>
  <c r="FY19" i="12"/>
  <c r="FX19" i="12"/>
  <c r="FW19" i="12"/>
  <c r="FV19" i="12"/>
  <c r="FT19" i="12" s="1"/>
  <c r="FP19" i="12" s="1"/>
  <c r="FR19" i="12"/>
  <c r="FK19" i="12"/>
  <c r="FI19" i="12"/>
  <c r="FF19" i="12"/>
  <c r="FE19" i="12"/>
  <c r="FD19" i="12"/>
  <c r="FC19" i="12"/>
  <c r="FB19" i="12"/>
  <c r="FA19" i="12"/>
  <c r="EZ19" i="12"/>
  <c r="EY19" i="12"/>
  <c r="EX19" i="12"/>
  <c r="EW19" i="12"/>
  <c r="EV19" i="12"/>
  <c r="EU19" i="12"/>
  <c r="ET19" i="12"/>
  <c r="EP19" i="12"/>
  <c r="DB19" i="12"/>
  <c r="DA19" i="12"/>
  <c r="CZ19" i="12"/>
  <c r="CY19" i="12"/>
  <c r="CX19" i="12"/>
  <c r="CW19" i="12"/>
  <c r="CV19" i="12"/>
  <c r="CU19" i="12"/>
  <c r="CT19" i="12"/>
  <c r="CS19" i="12"/>
  <c r="CR19" i="12"/>
  <c r="CQ19" i="12"/>
  <c r="CP19" i="12"/>
  <c r="CO19" i="12"/>
  <c r="CN19" i="12"/>
  <c r="CM19" i="12"/>
  <c r="CL19" i="12"/>
  <c r="CK19" i="12"/>
  <c r="CJ19" i="12"/>
  <c r="CI19" i="12"/>
  <c r="CH19" i="12"/>
  <c r="CG19" i="12"/>
  <c r="CF19" i="12"/>
  <c r="CE19" i="12"/>
  <c r="CD19" i="12"/>
  <c r="CC19" i="12"/>
  <c r="CB19" i="12"/>
  <c r="BZ19" i="12"/>
  <c r="BY19" i="12"/>
  <c r="BX19" i="12"/>
  <c r="BW19" i="12"/>
  <c r="BV19" i="12"/>
  <c r="BU19" i="12"/>
  <c r="BT19" i="12"/>
  <c r="BS19" i="12"/>
  <c r="BR19" i="12"/>
  <c r="BQ19" i="12"/>
  <c r="BP19" i="12"/>
  <c r="BO19" i="12"/>
  <c r="BN19" i="12"/>
  <c r="BM19" i="12"/>
  <c r="BL19" i="12"/>
  <c r="BK19" i="12"/>
  <c r="BJ19" i="12"/>
  <c r="BI19" i="12"/>
  <c r="BH19" i="12"/>
  <c r="BG19" i="12"/>
  <c r="BF19" i="12"/>
  <c r="BE19" i="12"/>
  <c r="BD19" i="12"/>
  <c r="BC19" i="12"/>
  <c r="BB19" i="12"/>
  <c r="BA19" i="12"/>
  <c r="AZ19" i="12"/>
  <c r="AM19" i="12"/>
  <c r="AK19" i="12"/>
  <c r="AJ19" i="12"/>
  <c r="AI19" i="12"/>
  <c r="AH19" i="12"/>
  <c r="AF19" i="12"/>
  <c r="AE19" i="12"/>
  <c r="S19" i="12"/>
  <c r="P19" i="12"/>
  <c r="O19" i="12"/>
  <c r="N19" i="12"/>
  <c r="M19" i="12" s="1"/>
  <c r="L19" i="12"/>
  <c r="DY19" i="12" s="1"/>
  <c r="EM19" i="12" s="1"/>
  <c r="H19" i="12"/>
  <c r="DL19" i="12" s="1"/>
  <c r="G19" i="12"/>
  <c r="F19" i="12"/>
  <c r="Z19" i="12" s="1"/>
  <c r="GD18" i="12"/>
  <c r="GC18" i="12"/>
  <c r="GB18" i="12"/>
  <c r="GA18" i="12"/>
  <c r="FZ18" i="12"/>
  <c r="FY18" i="12"/>
  <c r="FX18" i="12"/>
  <c r="FW18" i="12"/>
  <c r="FV18" i="12"/>
  <c r="FT18" i="12" s="1"/>
  <c r="FF18" i="12"/>
  <c r="FE18" i="12"/>
  <c r="FD18" i="12"/>
  <c r="FC18" i="12"/>
  <c r="FB18" i="12"/>
  <c r="FA18" i="12"/>
  <c r="EZ18" i="12"/>
  <c r="EY18" i="12"/>
  <c r="EX18" i="12"/>
  <c r="EW18" i="12"/>
  <c r="EV18" i="12"/>
  <c r="EU18" i="12"/>
  <c r="ET18" i="12"/>
  <c r="EP18" i="12"/>
  <c r="DB18" i="12"/>
  <c r="DA18" i="12"/>
  <c r="CZ18" i="12"/>
  <c r="CY18" i="12"/>
  <c r="CX18" i="12"/>
  <c r="CW18" i="12"/>
  <c r="CV18" i="12"/>
  <c r="CU18" i="12"/>
  <c r="CT18" i="12"/>
  <c r="CS18" i="12"/>
  <c r="CR18" i="12"/>
  <c r="CQ18" i="12"/>
  <c r="CP18" i="12"/>
  <c r="CO18" i="12"/>
  <c r="CN18" i="12"/>
  <c r="CM18" i="12"/>
  <c r="CL18" i="12"/>
  <c r="CK18" i="12"/>
  <c r="CJ18" i="12"/>
  <c r="CI18" i="12"/>
  <c r="CH18" i="12"/>
  <c r="CG18" i="12"/>
  <c r="CF18" i="12"/>
  <c r="CE18" i="12"/>
  <c r="CD18" i="12"/>
  <c r="CC18" i="12"/>
  <c r="CB18" i="12"/>
  <c r="BZ18" i="12"/>
  <c r="BY18" i="12"/>
  <c r="BX18" i="12"/>
  <c r="BW18" i="12"/>
  <c r="BV18" i="12"/>
  <c r="BU18" i="12"/>
  <c r="BT18" i="12"/>
  <c r="BS18" i="12"/>
  <c r="BR18" i="12"/>
  <c r="BQ18" i="12"/>
  <c r="BP18" i="12"/>
  <c r="BO18" i="12"/>
  <c r="BN18" i="12"/>
  <c r="BM18" i="12"/>
  <c r="BL18" i="12"/>
  <c r="BK18" i="12"/>
  <c r="BJ18" i="12"/>
  <c r="BI18" i="12"/>
  <c r="BH18" i="12"/>
  <c r="BG18" i="12"/>
  <c r="BF18" i="12"/>
  <c r="BE18" i="12"/>
  <c r="BD18" i="12"/>
  <c r="BC18" i="12"/>
  <c r="BB18" i="12"/>
  <c r="BA18" i="12"/>
  <c r="AZ18" i="12"/>
  <c r="AM18" i="12"/>
  <c r="AJ18" i="12"/>
  <c r="AH18" i="12"/>
  <c r="AG18" i="12"/>
  <c r="AF18" i="12"/>
  <c r="AE18" i="12"/>
  <c r="S18" i="12"/>
  <c r="N18" i="12"/>
  <c r="M18" i="12" s="1"/>
  <c r="L18" i="12"/>
  <c r="ED18" i="12" s="1"/>
  <c r="GD17" i="12"/>
  <c r="GC17" i="12"/>
  <c r="GB17" i="12"/>
  <c r="GA17" i="12"/>
  <c r="FZ17" i="12"/>
  <c r="FY17" i="12"/>
  <c r="FX17" i="12"/>
  <c r="FW17" i="12"/>
  <c r="FV17" i="12"/>
  <c r="FT17" i="12" s="1"/>
  <c r="FS17" i="12" s="1"/>
  <c r="FM17" i="12"/>
  <c r="FF17" i="12"/>
  <c r="FE17" i="12"/>
  <c r="FD17" i="12"/>
  <c r="FC17" i="12"/>
  <c r="FB17" i="12"/>
  <c r="FA17" i="12"/>
  <c r="EZ17" i="12"/>
  <c r="EY17" i="12"/>
  <c r="EX17" i="12"/>
  <c r="EW17" i="12"/>
  <c r="EV17" i="12"/>
  <c r="EU17" i="12"/>
  <c r="ET17" i="12"/>
  <c r="EP17" i="12"/>
  <c r="DB17" i="12"/>
  <c r="DA17" i="12"/>
  <c r="CZ17" i="12"/>
  <c r="CY17" i="12"/>
  <c r="CX17" i="12"/>
  <c r="CW17" i="12"/>
  <c r="CV17" i="12"/>
  <c r="CU17" i="12"/>
  <c r="CT17" i="12"/>
  <c r="CS17" i="12"/>
  <c r="CR17" i="12"/>
  <c r="CQ17" i="12"/>
  <c r="CP17" i="12"/>
  <c r="CO17" i="12"/>
  <c r="CN17" i="12"/>
  <c r="CM17" i="12"/>
  <c r="CL17" i="12"/>
  <c r="CK17" i="12"/>
  <c r="CJ17" i="12"/>
  <c r="CI17" i="12"/>
  <c r="CH17" i="12"/>
  <c r="CG17" i="12"/>
  <c r="CF17" i="12"/>
  <c r="CE17" i="12"/>
  <c r="CD17" i="12"/>
  <c r="CC17" i="12"/>
  <c r="CB17" i="12"/>
  <c r="BZ17" i="12"/>
  <c r="BY17" i="12"/>
  <c r="BX17" i="12"/>
  <c r="BW17" i="12"/>
  <c r="BV17" i="12"/>
  <c r="BU17" i="12"/>
  <c r="BT17" i="12"/>
  <c r="BS17" i="12"/>
  <c r="BR17" i="12"/>
  <c r="BQ17" i="12"/>
  <c r="BP17" i="12"/>
  <c r="BO17" i="12"/>
  <c r="BN17" i="12"/>
  <c r="BM17" i="12"/>
  <c r="BL17" i="12"/>
  <c r="BK17" i="12"/>
  <c r="BJ17" i="12"/>
  <c r="BI17" i="12"/>
  <c r="BH17" i="12"/>
  <c r="BG17" i="12"/>
  <c r="BF17" i="12"/>
  <c r="BE17" i="12"/>
  <c r="BD17" i="12"/>
  <c r="BC17" i="12"/>
  <c r="BB17" i="12"/>
  <c r="BA17" i="12"/>
  <c r="AZ17" i="12"/>
  <c r="AM17" i="12"/>
  <c r="AF17" i="12"/>
  <c r="AE17" i="12"/>
  <c r="AG17" i="12" s="1"/>
  <c r="S17" i="12"/>
  <c r="P17" i="12"/>
  <c r="N17" i="12"/>
  <c r="M17" i="12" s="1"/>
  <c r="L17" i="12"/>
  <c r="DX17" i="12" s="1"/>
  <c r="EL17" i="12" s="1"/>
  <c r="GD16" i="12"/>
  <c r="GC16" i="12"/>
  <c r="GB16" i="12"/>
  <c r="GA16" i="12"/>
  <c r="FZ16" i="12"/>
  <c r="FY16" i="12"/>
  <c r="FX16" i="12"/>
  <c r="FW16" i="12"/>
  <c r="FV16" i="12"/>
  <c r="FT16" i="12" s="1"/>
  <c r="FS16" i="12"/>
  <c r="FF16" i="12"/>
  <c r="FE16" i="12"/>
  <c r="FD16" i="12"/>
  <c r="FC16" i="12"/>
  <c r="FB16" i="12"/>
  <c r="FA16" i="12"/>
  <c r="EZ16" i="12"/>
  <c r="EY16" i="12"/>
  <c r="EX16" i="12"/>
  <c r="EW16" i="12"/>
  <c r="EV16" i="12"/>
  <c r="EU16" i="12"/>
  <c r="ET16" i="12"/>
  <c r="ES16" i="12"/>
  <c r="EP16" i="12"/>
  <c r="DB16" i="12"/>
  <c r="DA16" i="12"/>
  <c r="CZ16" i="12"/>
  <c r="CY16" i="12"/>
  <c r="CX16" i="12"/>
  <c r="CW16" i="12"/>
  <c r="CV16" i="12"/>
  <c r="CU16" i="12"/>
  <c r="CT16" i="12"/>
  <c r="CS16" i="12"/>
  <c r="CR16" i="12"/>
  <c r="CQ16" i="12"/>
  <c r="CP16" i="12"/>
  <c r="CO16" i="12"/>
  <c r="CN16" i="12"/>
  <c r="CM16" i="12"/>
  <c r="CL16" i="12"/>
  <c r="CK16" i="12"/>
  <c r="CJ16" i="12"/>
  <c r="CI16" i="12"/>
  <c r="CH16" i="12"/>
  <c r="CG16" i="12"/>
  <c r="CF16" i="12"/>
  <c r="CE16" i="12"/>
  <c r="CD16" i="12"/>
  <c r="CC16" i="12"/>
  <c r="CB16" i="12"/>
  <c r="BZ16" i="12"/>
  <c r="BY16" i="12"/>
  <c r="BX16" i="12"/>
  <c r="BW16" i="12"/>
  <c r="BV16" i="12"/>
  <c r="BU16" i="12"/>
  <c r="BT16" i="12"/>
  <c r="BS16" i="12"/>
  <c r="BR16" i="12"/>
  <c r="BQ16" i="12"/>
  <c r="BP16" i="12"/>
  <c r="BO16" i="12"/>
  <c r="BN16" i="12"/>
  <c r="BM16" i="12"/>
  <c r="BL16" i="12"/>
  <c r="BK16" i="12"/>
  <c r="BJ16" i="12"/>
  <c r="BI16" i="12"/>
  <c r="BH16" i="12"/>
  <c r="BG16" i="12"/>
  <c r="BF16" i="12"/>
  <c r="BE16" i="12"/>
  <c r="BD16" i="12"/>
  <c r="DE16" i="12" s="1"/>
  <c r="BC16" i="12"/>
  <c r="BB16" i="12"/>
  <c r="BA16" i="12"/>
  <c r="AZ16" i="12"/>
  <c r="AM16" i="12"/>
  <c r="AF16" i="12"/>
  <c r="AE16" i="12"/>
  <c r="AG16" i="12" s="1"/>
  <c r="S16" i="12"/>
  <c r="N16" i="12"/>
  <c r="M16" i="12" s="1"/>
  <c r="L16" i="12"/>
  <c r="DY16" i="12" s="1"/>
  <c r="EM16" i="12" s="1"/>
  <c r="GD15" i="12"/>
  <c r="GC15" i="12"/>
  <c r="GB15" i="12"/>
  <c r="GA15" i="12"/>
  <c r="FZ15" i="12"/>
  <c r="FY15" i="12"/>
  <c r="FX15" i="12"/>
  <c r="FW15" i="12"/>
  <c r="FV15" i="12"/>
  <c r="FT15" i="12" s="1"/>
  <c r="FF15" i="12"/>
  <c r="FE15" i="12"/>
  <c r="FD15" i="12"/>
  <c r="FC15" i="12"/>
  <c r="FB15" i="12"/>
  <c r="FA15" i="12"/>
  <c r="EZ15" i="12"/>
  <c r="EY15" i="12"/>
  <c r="EX15" i="12"/>
  <c r="EW15" i="12"/>
  <c r="EV15" i="12"/>
  <c r="EU15" i="12"/>
  <c r="ET15" i="12"/>
  <c r="ES15" i="12"/>
  <c r="EP15" i="12"/>
  <c r="DB15" i="12"/>
  <c r="DA15" i="12"/>
  <c r="CZ15" i="12"/>
  <c r="CY15" i="12"/>
  <c r="CX15" i="12"/>
  <c r="CW15" i="12"/>
  <c r="CV15" i="12"/>
  <c r="CU15" i="12"/>
  <c r="CT15" i="12"/>
  <c r="CS15" i="12"/>
  <c r="CR15" i="12"/>
  <c r="CQ15" i="12"/>
  <c r="CP15" i="12"/>
  <c r="CO15" i="12"/>
  <c r="CN15" i="12"/>
  <c r="CM15" i="12"/>
  <c r="CL15" i="12"/>
  <c r="CK15" i="12"/>
  <c r="CJ15" i="12"/>
  <c r="CI15" i="12"/>
  <c r="CH15" i="12"/>
  <c r="CG15" i="12"/>
  <c r="CF15" i="12"/>
  <c r="CE15" i="12"/>
  <c r="CD15" i="12"/>
  <c r="CC15" i="12"/>
  <c r="CB15" i="12"/>
  <c r="BZ15" i="12"/>
  <c r="BY15" i="12"/>
  <c r="BX15" i="12"/>
  <c r="BW15" i="12"/>
  <c r="BV15" i="12"/>
  <c r="BU15" i="12"/>
  <c r="BT15" i="12"/>
  <c r="BS15" i="12"/>
  <c r="BR15" i="12"/>
  <c r="BQ15" i="12"/>
  <c r="BP15" i="12"/>
  <c r="BO15" i="12"/>
  <c r="BN15" i="12"/>
  <c r="BM15" i="12"/>
  <c r="BL15" i="12"/>
  <c r="BK15" i="12"/>
  <c r="BJ15" i="12"/>
  <c r="BI15" i="12"/>
  <c r="BH15" i="12"/>
  <c r="BG15" i="12"/>
  <c r="BF15" i="12"/>
  <c r="BE15" i="12"/>
  <c r="BD15" i="12"/>
  <c r="BC15" i="12"/>
  <c r="BB15" i="12"/>
  <c r="BA15" i="12"/>
  <c r="AZ15" i="12"/>
  <c r="AM15" i="12"/>
  <c r="AH15" i="12"/>
  <c r="AF15" i="12"/>
  <c r="AE15" i="12"/>
  <c r="S15" i="12"/>
  <c r="N15" i="12"/>
  <c r="M15" i="12" s="1"/>
  <c r="L15" i="12"/>
  <c r="EC15" i="12" s="1"/>
  <c r="GD14" i="12"/>
  <c r="GC14" i="12"/>
  <c r="GB14" i="12"/>
  <c r="GA14" i="12"/>
  <c r="FZ14" i="12"/>
  <c r="FY14" i="12"/>
  <c r="FX14" i="12"/>
  <c r="FW14" i="12"/>
  <c r="FV14" i="12"/>
  <c r="FT14" i="12" s="1"/>
  <c r="FF14" i="12"/>
  <c r="FE14" i="12"/>
  <c r="FD14" i="12"/>
  <c r="FC14" i="12"/>
  <c r="FB14" i="12"/>
  <c r="FA14" i="12"/>
  <c r="EZ14" i="12"/>
  <c r="EY14" i="12"/>
  <c r="EX14" i="12"/>
  <c r="EW14" i="12"/>
  <c r="EV14" i="12"/>
  <c r="EU14" i="12"/>
  <c r="ET14" i="12"/>
  <c r="EQ14" i="12"/>
  <c r="EP14" i="12"/>
  <c r="DB14" i="12"/>
  <c r="DA14" i="12"/>
  <c r="CZ14" i="12"/>
  <c r="CY14" i="12"/>
  <c r="CX14" i="12"/>
  <c r="CW14" i="12"/>
  <c r="CV14" i="12"/>
  <c r="CU14" i="12"/>
  <c r="CT14" i="12"/>
  <c r="CS14" i="12"/>
  <c r="CR14" i="12"/>
  <c r="CQ14" i="12"/>
  <c r="CP14" i="12"/>
  <c r="CO14" i="12"/>
  <c r="CN14" i="12"/>
  <c r="CM14" i="12"/>
  <c r="CL14" i="12"/>
  <c r="CK14" i="12"/>
  <c r="CJ14" i="12"/>
  <c r="CI14" i="12"/>
  <c r="CH14" i="12"/>
  <c r="CG14" i="12"/>
  <c r="CF14" i="12"/>
  <c r="CE14" i="12"/>
  <c r="CD14" i="12"/>
  <c r="CC14" i="12"/>
  <c r="CB14" i="12"/>
  <c r="BZ14" i="12"/>
  <c r="BY14" i="12"/>
  <c r="BX14" i="12"/>
  <c r="BW14" i="12"/>
  <c r="BV14" i="12"/>
  <c r="BU14" i="12"/>
  <c r="BT14" i="12"/>
  <c r="BS14" i="12"/>
  <c r="BR14" i="12"/>
  <c r="BQ14" i="12"/>
  <c r="BP14" i="12"/>
  <c r="BO14" i="12"/>
  <c r="BN14" i="12"/>
  <c r="BM14" i="12"/>
  <c r="BL14" i="12"/>
  <c r="BK14" i="12"/>
  <c r="BJ14" i="12"/>
  <c r="BI14" i="12"/>
  <c r="BH14" i="12"/>
  <c r="BG14" i="12"/>
  <c r="BF14" i="12"/>
  <c r="BE14" i="12"/>
  <c r="BD14" i="12"/>
  <c r="BC14" i="12"/>
  <c r="BB14" i="12"/>
  <c r="BA14" i="12"/>
  <c r="AZ14" i="12"/>
  <c r="AM14" i="12"/>
  <c r="AF14" i="12"/>
  <c r="AE14" i="12"/>
  <c r="S14" i="12"/>
  <c r="N14" i="12"/>
  <c r="M14" i="12" s="1"/>
  <c r="L14" i="12"/>
  <c r="DY14" i="12" s="1"/>
  <c r="EM14" i="12" s="1"/>
  <c r="E14" i="12"/>
  <c r="GD13" i="12"/>
  <c r="GC13" i="12"/>
  <c r="GB13" i="12"/>
  <c r="GA13" i="12"/>
  <c r="FZ13" i="12"/>
  <c r="FY13" i="12"/>
  <c r="FX13" i="12"/>
  <c r="FW13" i="12"/>
  <c r="FV13" i="12"/>
  <c r="FT13" i="12"/>
  <c r="FS13" i="12" s="1"/>
  <c r="FF13" i="12"/>
  <c r="FE13" i="12"/>
  <c r="FD13" i="12"/>
  <c r="FC13" i="12"/>
  <c r="FB13" i="12"/>
  <c r="FA13" i="12"/>
  <c r="EZ13" i="12"/>
  <c r="EY13" i="12"/>
  <c r="EX13" i="12"/>
  <c r="EW13" i="12"/>
  <c r="EV13" i="12"/>
  <c r="EU13" i="12"/>
  <c r="ET13" i="12"/>
  <c r="EP13" i="12"/>
  <c r="DB13" i="12"/>
  <c r="DA13" i="12"/>
  <c r="CZ13" i="12"/>
  <c r="CY13" i="12"/>
  <c r="CX13" i="12"/>
  <c r="CW13" i="12"/>
  <c r="CV13" i="12"/>
  <c r="CU13" i="12"/>
  <c r="CT13" i="12"/>
  <c r="CS13" i="12"/>
  <c r="CR13" i="12"/>
  <c r="CQ13" i="12"/>
  <c r="CP13" i="12"/>
  <c r="CO13" i="12"/>
  <c r="CN13" i="12"/>
  <c r="CM13" i="12"/>
  <c r="CL13" i="12"/>
  <c r="CK13" i="12"/>
  <c r="CJ13" i="12"/>
  <c r="CI13" i="12"/>
  <c r="CH13" i="12"/>
  <c r="CG13" i="12"/>
  <c r="CF13" i="12"/>
  <c r="CE13" i="12"/>
  <c r="CD13" i="12"/>
  <c r="CC13" i="12"/>
  <c r="CB13" i="12"/>
  <c r="BZ13" i="12"/>
  <c r="BY13" i="12"/>
  <c r="BX13" i="12"/>
  <c r="BW13" i="12"/>
  <c r="BV13" i="12"/>
  <c r="BU13" i="12"/>
  <c r="BT13" i="12"/>
  <c r="BS13" i="12"/>
  <c r="BR13" i="12"/>
  <c r="BQ13" i="12"/>
  <c r="BP13" i="12"/>
  <c r="BO13" i="12"/>
  <c r="BN13" i="12"/>
  <c r="BM13" i="12"/>
  <c r="BL13" i="12"/>
  <c r="BK13" i="12"/>
  <c r="BJ13" i="12"/>
  <c r="BI13" i="12"/>
  <c r="BH13" i="12"/>
  <c r="BG13" i="12"/>
  <c r="BF13" i="12"/>
  <c r="BE13" i="12"/>
  <c r="BD13" i="12"/>
  <c r="BC13" i="12"/>
  <c r="BB13" i="12"/>
  <c r="BA13" i="12"/>
  <c r="AZ13" i="12"/>
  <c r="AM13" i="12"/>
  <c r="AK13" i="12"/>
  <c r="AJ13" i="12"/>
  <c r="AI13" i="12"/>
  <c r="AH13" i="12"/>
  <c r="AF13" i="12"/>
  <c r="AE13" i="12"/>
  <c r="S13" i="12"/>
  <c r="P13" i="12"/>
  <c r="O13" i="12"/>
  <c r="N13" i="12"/>
  <c r="M13" i="12" s="1"/>
  <c r="L13" i="12"/>
  <c r="EA13" i="12" s="1"/>
  <c r="H13" i="12"/>
  <c r="DM13" i="12" s="1"/>
  <c r="G13" i="12"/>
  <c r="F13" i="12"/>
  <c r="GD12" i="12"/>
  <c r="GC12" i="12"/>
  <c r="GB12" i="12"/>
  <c r="GA12" i="12"/>
  <c r="FZ12" i="12"/>
  <c r="FY12" i="12"/>
  <c r="FX12" i="12"/>
  <c r="FW12" i="12"/>
  <c r="FV12" i="12"/>
  <c r="FT12" i="12" s="1"/>
  <c r="FK12" i="12" s="1"/>
  <c r="FH12" i="12"/>
  <c r="FF12" i="12"/>
  <c r="FE12" i="12"/>
  <c r="FD12" i="12"/>
  <c r="FC12" i="12"/>
  <c r="FB12" i="12"/>
  <c r="FA12" i="12"/>
  <c r="EZ12" i="12"/>
  <c r="EY12" i="12"/>
  <c r="EX12" i="12"/>
  <c r="EW12" i="12"/>
  <c r="EV12" i="12"/>
  <c r="EU12" i="12"/>
  <c r="ET12" i="12"/>
  <c r="EP12" i="12"/>
  <c r="DB12" i="12"/>
  <c r="DA12" i="12"/>
  <c r="CZ12" i="12"/>
  <c r="CY12" i="12"/>
  <c r="CX12" i="12"/>
  <c r="CW12" i="12"/>
  <c r="CV12" i="12"/>
  <c r="CU12" i="12"/>
  <c r="CT12" i="12"/>
  <c r="CS12" i="12"/>
  <c r="CR12" i="12"/>
  <c r="CQ12" i="12"/>
  <c r="CP12" i="12"/>
  <c r="CO12" i="12"/>
  <c r="CN12" i="12"/>
  <c r="CM12" i="12"/>
  <c r="CL12" i="12"/>
  <c r="CK12" i="12"/>
  <c r="CJ12" i="12"/>
  <c r="CI12" i="12"/>
  <c r="CH12" i="12"/>
  <c r="CG12" i="12"/>
  <c r="CF12" i="12"/>
  <c r="CE12" i="12"/>
  <c r="CD12" i="12"/>
  <c r="CC12" i="12"/>
  <c r="CB12" i="12"/>
  <c r="BZ12" i="12"/>
  <c r="BY12" i="12"/>
  <c r="BX12" i="12"/>
  <c r="BW12" i="12"/>
  <c r="BV12" i="12"/>
  <c r="BU12" i="12"/>
  <c r="BT12" i="12"/>
  <c r="BS12" i="12"/>
  <c r="BR12" i="12"/>
  <c r="BQ12" i="12"/>
  <c r="BP12" i="12"/>
  <c r="BO12" i="12"/>
  <c r="BN12" i="12"/>
  <c r="BM12" i="12"/>
  <c r="BL12" i="12"/>
  <c r="BK12" i="12"/>
  <c r="BJ12" i="12"/>
  <c r="BI12" i="12"/>
  <c r="BH12" i="12"/>
  <c r="BG12" i="12"/>
  <c r="BF12" i="12"/>
  <c r="BE12" i="12"/>
  <c r="BD12" i="12"/>
  <c r="BC12" i="12"/>
  <c r="BB12" i="12"/>
  <c r="BA12" i="12"/>
  <c r="AZ12" i="12"/>
  <c r="AM12" i="12"/>
  <c r="AK12" i="12"/>
  <c r="AJ12" i="12"/>
  <c r="AI12" i="12"/>
  <c r="AH12" i="12"/>
  <c r="AF12" i="12"/>
  <c r="AE12" i="12"/>
  <c r="Z12" i="12"/>
  <c r="AC12" i="12" s="1"/>
  <c r="AD12" i="12" s="1"/>
  <c r="S12" i="12"/>
  <c r="P12" i="12"/>
  <c r="O12" i="12"/>
  <c r="N12" i="12"/>
  <c r="M12" i="12" s="1"/>
  <c r="L12" i="12"/>
  <c r="K12" i="12" s="1"/>
  <c r="H12" i="12"/>
  <c r="DL12" i="12" s="1"/>
  <c r="G12" i="12"/>
  <c r="F12" i="12"/>
  <c r="GD11" i="12"/>
  <c r="GC11" i="12"/>
  <c r="GB11" i="12"/>
  <c r="GA11" i="12"/>
  <c r="FZ11" i="12"/>
  <c r="FY11" i="12"/>
  <c r="FX11" i="12"/>
  <c r="FW11" i="12"/>
  <c r="FV11" i="12"/>
  <c r="FT11" i="12" s="1"/>
  <c r="FF11" i="12"/>
  <c r="FE11" i="12"/>
  <c r="FD11" i="12"/>
  <c r="FC11" i="12"/>
  <c r="FB11" i="12"/>
  <c r="FA11" i="12"/>
  <c r="EZ11" i="12"/>
  <c r="EY11" i="12"/>
  <c r="EX11" i="12"/>
  <c r="EW11" i="12"/>
  <c r="EV11" i="12"/>
  <c r="EU11" i="12"/>
  <c r="ET11" i="12"/>
  <c r="EP11" i="12"/>
  <c r="DB11" i="12"/>
  <c r="DA11" i="12"/>
  <c r="CZ11" i="12"/>
  <c r="CY11" i="12"/>
  <c r="CX11" i="12"/>
  <c r="CW11" i="12"/>
  <c r="CV11" i="12"/>
  <c r="CU11" i="12"/>
  <c r="CT11" i="12"/>
  <c r="CS11" i="12"/>
  <c r="CR11" i="12"/>
  <c r="CQ11" i="12"/>
  <c r="CP11" i="12"/>
  <c r="CO11" i="12"/>
  <c r="CN11" i="12"/>
  <c r="CM11" i="12"/>
  <c r="CL11" i="12"/>
  <c r="CK11" i="12"/>
  <c r="CJ11" i="12"/>
  <c r="CI11" i="12"/>
  <c r="CH11" i="12"/>
  <c r="CG11" i="12"/>
  <c r="CF11" i="12"/>
  <c r="CE11" i="12"/>
  <c r="CD11" i="12"/>
  <c r="CC11" i="12"/>
  <c r="CB11" i="12"/>
  <c r="BZ11" i="12"/>
  <c r="BY11" i="12"/>
  <c r="BX11" i="12"/>
  <c r="BW11" i="12"/>
  <c r="BV11" i="12"/>
  <c r="BU11" i="12"/>
  <c r="BT11" i="12"/>
  <c r="BS11" i="12"/>
  <c r="BR11" i="12"/>
  <c r="BQ11" i="12"/>
  <c r="BP11" i="12"/>
  <c r="BO11" i="12"/>
  <c r="BN11" i="12"/>
  <c r="BM11" i="12"/>
  <c r="BL11" i="12"/>
  <c r="BK11" i="12"/>
  <c r="BJ11" i="12"/>
  <c r="BI11" i="12"/>
  <c r="BH11" i="12"/>
  <c r="BG11" i="12"/>
  <c r="BF11" i="12"/>
  <c r="BE11" i="12"/>
  <c r="BD11" i="12"/>
  <c r="BC11" i="12"/>
  <c r="BB11" i="12"/>
  <c r="BA11" i="12"/>
  <c r="AZ11" i="12"/>
  <c r="AM11" i="12"/>
  <c r="AK11" i="12"/>
  <c r="AJ11" i="12"/>
  <c r="AI11" i="12"/>
  <c r="AH11" i="12"/>
  <c r="AF11" i="12"/>
  <c r="AG11" i="12" s="1"/>
  <c r="AE11" i="12"/>
  <c r="S11" i="12"/>
  <c r="P11" i="12"/>
  <c r="O11" i="12"/>
  <c r="N11" i="12"/>
  <c r="M11" i="12" s="1"/>
  <c r="L11" i="12"/>
  <c r="DY11" i="12" s="1"/>
  <c r="EM11" i="12" s="1"/>
  <c r="H11" i="12"/>
  <c r="G11" i="12"/>
  <c r="F11" i="12"/>
  <c r="GD10" i="12"/>
  <c r="GC10" i="12"/>
  <c r="GB10" i="12"/>
  <c r="GA10" i="12"/>
  <c r="FZ10" i="12"/>
  <c r="FY10" i="12"/>
  <c r="FX10" i="12"/>
  <c r="FW10" i="12"/>
  <c r="FV10" i="12"/>
  <c r="FT10" i="12" s="1"/>
  <c r="FS10" i="12" s="1"/>
  <c r="FM10" i="12"/>
  <c r="FF10" i="12"/>
  <c r="FE10" i="12"/>
  <c r="FD10" i="12"/>
  <c r="FC10" i="12"/>
  <c r="FB10" i="12"/>
  <c r="FA10" i="12"/>
  <c r="EZ10" i="12"/>
  <c r="EY10" i="12"/>
  <c r="EX10" i="12"/>
  <c r="EW10" i="12"/>
  <c r="EV10" i="12"/>
  <c r="EU10" i="12"/>
  <c r="ET10" i="12"/>
  <c r="EP10" i="12"/>
  <c r="DB10" i="12"/>
  <c r="DA10" i="12"/>
  <c r="CZ10" i="12"/>
  <c r="CY10" i="12"/>
  <c r="CX10" i="12"/>
  <c r="CW10" i="12"/>
  <c r="CV10" i="12"/>
  <c r="CU10" i="12"/>
  <c r="CT10" i="12"/>
  <c r="CS10" i="12"/>
  <c r="CR10" i="12"/>
  <c r="CQ10" i="12"/>
  <c r="CP10" i="12"/>
  <c r="CO10" i="12"/>
  <c r="CN10" i="12"/>
  <c r="CM10" i="12"/>
  <c r="CL10" i="12"/>
  <c r="CK10" i="12"/>
  <c r="CJ10" i="12"/>
  <c r="CI10" i="12"/>
  <c r="CH10" i="12"/>
  <c r="CG10" i="12"/>
  <c r="CF10" i="12"/>
  <c r="CE10" i="12"/>
  <c r="CD10" i="12"/>
  <c r="CC10" i="12"/>
  <c r="CB10" i="12"/>
  <c r="BZ10" i="12"/>
  <c r="BY10" i="12"/>
  <c r="BX10" i="12"/>
  <c r="BW10" i="12"/>
  <c r="BV10" i="12"/>
  <c r="BU10" i="12"/>
  <c r="BT10" i="12"/>
  <c r="BS10" i="12"/>
  <c r="BR10" i="12"/>
  <c r="BQ10" i="12"/>
  <c r="BP10" i="12"/>
  <c r="BO10" i="12"/>
  <c r="BN10" i="12"/>
  <c r="BM10" i="12"/>
  <c r="BL10" i="12"/>
  <c r="BK10" i="12"/>
  <c r="BJ10" i="12"/>
  <c r="BI10" i="12"/>
  <c r="BH10" i="12"/>
  <c r="BG10" i="12"/>
  <c r="BF10" i="12"/>
  <c r="BE10" i="12"/>
  <c r="BD10" i="12"/>
  <c r="BC10" i="12"/>
  <c r="BB10" i="12"/>
  <c r="BA10" i="12"/>
  <c r="AZ10" i="12"/>
  <c r="AM10" i="12"/>
  <c r="AH10" i="12"/>
  <c r="AF10" i="12"/>
  <c r="AE10" i="12"/>
  <c r="S10" i="12"/>
  <c r="N10" i="12"/>
  <c r="M10" i="12" s="1"/>
  <c r="L10" i="12"/>
  <c r="EE10" i="12" s="1"/>
  <c r="G10" i="12"/>
  <c r="F10" i="12"/>
  <c r="GD9" i="12"/>
  <c r="GC9" i="12"/>
  <c r="GB9" i="12"/>
  <c r="GA9" i="12"/>
  <c r="FZ9" i="12"/>
  <c r="FY9" i="12"/>
  <c r="FX9" i="12"/>
  <c r="FW9" i="12"/>
  <c r="FV9" i="12"/>
  <c r="FT9" i="12" s="1"/>
  <c r="FF9" i="12"/>
  <c r="FE9" i="12"/>
  <c r="FD9" i="12"/>
  <c r="FC9" i="12"/>
  <c r="FB9" i="12"/>
  <c r="FA9" i="12"/>
  <c r="EZ9" i="12"/>
  <c r="EY9" i="12"/>
  <c r="EX9" i="12"/>
  <c r="EW9" i="12"/>
  <c r="EV9" i="12"/>
  <c r="EU9" i="12"/>
  <c r="ET9" i="12"/>
  <c r="EQ9" i="12"/>
  <c r="EP9" i="12"/>
  <c r="DB9" i="12"/>
  <c r="DA9" i="12"/>
  <c r="CZ9" i="12"/>
  <c r="CY9" i="12"/>
  <c r="CX9" i="12"/>
  <c r="CW9" i="12"/>
  <c r="CV9" i="12"/>
  <c r="CU9" i="12"/>
  <c r="CT9" i="12"/>
  <c r="CS9" i="12"/>
  <c r="CR9" i="12"/>
  <c r="CQ9" i="12"/>
  <c r="CP9" i="12"/>
  <c r="CO9" i="12"/>
  <c r="CN9" i="12"/>
  <c r="CM9" i="12"/>
  <c r="CL9" i="12"/>
  <c r="CK9" i="12"/>
  <c r="CJ9" i="12"/>
  <c r="CI9" i="12"/>
  <c r="CH9" i="12"/>
  <c r="CG9" i="12"/>
  <c r="CF9" i="12"/>
  <c r="CE9" i="12"/>
  <c r="CD9" i="12"/>
  <c r="CC9" i="12"/>
  <c r="CB9" i="12"/>
  <c r="BZ9" i="12"/>
  <c r="BY9" i="12"/>
  <c r="BX9" i="12"/>
  <c r="BW9" i="12"/>
  <c r="BV9" i="12"/>
  <c r="BU9" i="12"/>
  <c r="BT9" i="12"/>
  <c r="BS9" i="12"/>
  <c r="BR9" i="12"/>
  <c r="BQ9" i="12"/>
  <c r="BP9" i="12"/>
  <c r="BO9" i="12"/>
  <c r="BN9" i="12"/>
  <c r="BM9" i="12"/>
  <c r="BL9" i="12"/>
  <c r="BK9" i="12"/>
  <c r="BJ9" i="12"/>
  <c r="BI9" i="12"/>
  <c r="BH9" i="12"/>
  <c r="BG9" i="12"/>
  <c r="BF9" i="12"/>
  <c r="BE9" i="12"/>
  <c r="BD9" i="12"/>
  <c r="BC9" i="12"/>
  <c r="BB9" i="12"/>
  <c r="BA9" i="12"/>
  <c r="AZ9" i="12"/>
  <c r="AM9" i="12"/>
  <c r="AF9" i="12"/>
  <c r="AE9" i="12"/>
  <c r="S9" i="12"/>
  <c r="P9" i="12"/>
  <c r="N9" i="12"/>
  <c r="M9" i="12" s="1"/>
  <c r="L9" i="12"/>
  <c r="EB9" i="12" s="1"/>
  <c r="G9" i="12"/>
  <c r="F9" i="12"/>
  <c r="E9" i="12"/>
  <c r="GD8" i="12"/>
  <c r="GC8" i="12"/>
  <c r="GB8" i="12"/>
  <c r="GA8" i="12"/>
  <c r="FZ8" i="12"/>
  <c r="FY8" i="12"/>
  <c r="FX8" i="12"/>
  <c r="FW8" i="12"/>
  <c r="FV8" i="12"/>
  <c r="FT8" i="12" s="1"/>
  <c r="FS8" i="12" s="1"/>
  <c r="FL8" i="12"/>
  <c r="FF8" i="12"/>
  <c r="FE8" i="12"/>
  <c r="FD8" i="12"/>
  <c r="FC8" i="12"/>
  <c r="FB8" i="12"/>
  <c r="FA8" i="12"/>
  <c r="EZ8" i="12"/>
  <c r="EY8" i="12"/>
  <c r="EX8" i="12"/>
  <c r="EW8" i="12"/>
  <c r="EV8" i="12"/>
  <c r="EU8" i="12"/>
  <c r="ET8" i="12"/>
  <c r="EP8" i="12"/>
  <c r="DB8" i="12"/>
  <c r="DA8" i="12"/>
  <c r="CZ8" i="12"/>
  <c r="CY8" i="12"/>
  <c r="CX8" i="12"/>
  <c r="CW8" i="12"/>
  <c r="CV8" i="12"/>
  <c r="CU8" i="12"/>
  <c r="CT8" i="12"/>
  <c r="CS8" i="12"/>
  <c r="CR8" i="12"/>
  <c r="CQ8" i="12"/>
  <c r="CP8" i="12"/>
  <c r="CO8" i="12"/>
  <c r="CN8" i="12"/>
  <c r="CM8" i="12"/>
  <c r="CL8" i="12"/>
  <c r="CK8" i="12"/>
  <c r="CJ8" i="12"/>
  <c r="CI8" i="12"/>
  <c r="CH8" i="12"/>
  <c r="CG8" i="12"/>
  <c r="CF8" i="12"/>
  <c r="CE8" i="12"/>
  <c r="CD8" i="12"/>
  <c r="CC8" i="12"/>
  <c r="CB8" i="12"/>
  <c r="BZ8" i="12"/>
  <c r="BY8" i="12"/>
  <c r="BX8" i="12"/>
  <c r="BW8" i="12"/>
  <c r="BV8" i="12"/>
  <c r="BU8" i="12"/>
  <c r="BT8" i="12"/>
  <c r="BS8" i="12"/>
  <c r="BR8" i="12"/>
  <c r="BQ8" i="12"/>
  <c r="BP8" i="12"/>
  <c r="BO8" i="12"/>
  <c r="BN8" i="12"/>
  <c r="BM8" i="12"/>
  <c r="BL8" i="12"/>
  <c r="BK8" i="12"/>
  <c r="BJ8" i="12"/>
  <c r="BI8" i="12"/>
  <c r="BH8" i="12"/>
  <c r="BG8" i="12"/>
  <c r="BF8" i="12"/>
  <c r="BE8" i="12"/>
  <c r="BD8" i="12"/>
  <c r="BC8" i="12"/>
  <c r="BB8" i="12"/>
  <c r="BA8" i="12"/>
  <c r="AZ8" i="12"/>
  <c r="AM8" i="12"/>
  <c r="AF8" i="12"/>
  <c r="AE8" i="12"/>
  <c r="S8" i="12"/>
  <c r="N8" i="12"/>
  <c r="M8" i="12" s="1"/>
  <c r="L8" i="12"/>
  <c r="EC8" i="12" s="1"/>
  <c r="G8" i="12"/>
  <c r="F8" i="12"/>
  <c r="AS8" i="12" s="1"/>
  <c r="GD7" i="12"/>
  <c r="GC7" i="12"/>
  <c r="GB7" i="12"/>
  <c r="GA7" i="12"/>
  <c r="FZ7" i="12"/>
  <c r="FY7" i="12"/>
  <c r="FX7" i="12"/>
  <c r="FW7" i="12"/>
  <c r="FV7" i="12"/>
  <c r="FT7" i="12" s="1"/>
  <c r="FS7" i="12" s="1"/>
  <c r="FQ7" i="12"/>
  <c r="FF7" i="12"/>
  <c r="FE7" i="12"/>
  <c r="FD7" i="12"/>
  <c r="FC7" i="12"/>
  <c r="FB7" i="12"/>
  <c r="FA7" i="12"/>
  <c r="EZ7" i="12"/>
  <c r="EY7" i="12"/>
  <c r="EX7" i="12"/>
  <c r="EW7" i="12"/>
  <c r="EV7" i="12"/>
  <c r="EU7" i="12"/>
  <c r="ET7" i="12"/>
  <c r="EP7" i="12"/>
  <c r="DB7" i="12"/>
  <c r="DA7" i="12"/>
  <c r="CZ7" i="12"/>
  <c r="CY7" i="12"/>
  <c r="CX7" i="12"/>
  <c r="CW7" i="12"/>
  <c r="CV7" i="12"/>
  <c r="CU7" i="12"/>
  <c r="CT7" i="12"/>
  <c r="CS7" i="12"/>
  <c r="CR7" i="12"/>
  <c r="CQ7" i="12"/>
  <c r="CP7" i="12"/>
  <c r="CO7" i="12"/>
  <c r="CN7" i="12"/>
  <c r="CM7" i="12"/>
  <c r="CL7" i="12"/>
  <c r="CK7" i="12"/>
  <c r="CJ7" i="12"/>
  <c r="CI7" i="12"/>
  <c r="CH7" i="12"/>
  <c r="CG7" i="12"/>
  <c r="CF7" i="12"/>
  <c r="CE7" i="12"/>
  <c r="CD7" i="12"/>
  <c r="CC7" i="12"/>
  <c r="CB7" i="12"/>
  <c r="BZ7" i="12"/>
  <c r="BY7" i="12"/>
  <c r="BX7" i="12"/>
  <c r="BW7" i="12"/>
  <c r="BV7" i="12"/>
  <c r="BU7" i="12"/>
  <c r="BT7" i="12"/>
  <c r="BS7" i="12"/>
  <c r="BR7" i="12"/>
  <c r="BQ7" i="12"/>
  <c r="BP7" i="12"/>
  <c r="BO7" i="12"/>
  <c r="BN7" i="12"/>
  <c r="BM7" i="12"/>
  <c r="BL7" i="12"/>
  <c r="BK7" i="12"/>
  <c r="BJ7" i="12"/>
  <c r="BI7" i="12"/>
  <c r="BH7" i="12"/>
  <c r="BG7" i="12"/>
  <c r="BF7" i="12"/>
  <c r="BE7" i="12"/>
  <c r="BD7" i="12"/>
  <c r="BC7" i="12"/>
  <c r="BB7" i="12"/>
  <c r="BA7" i="12"/>
  <c r="AZ7" i="12"/>
  <c r="AM7" i="12"/>
  <c r="AF7" i="12"/>
  <c r="AE7" i="12"/>
  <c r="S7" i="12"/>
  <c r="P7" i="12"/>
  <c r="N7" i="12"/>
  <c r="M7" i="12" s="1"/>
  <c r="L7" i="12"/>
  <c r="EA7" i="12" s="1"/>
  <c r="G7" i="12"/>
  <c r="F7" i="12"/>
  <c r="Z7" i="12" s="1"/>
  <c r="AC7" i="12" s="1"/>
  <c r="AD7" i="12" s="1"/>
  <c r="GD6" i="12"/>
  <c r="GC6" i="12"/>
  <c r="GB6" i="12"/>
  <c r="GA6" i="12"/>
  <c r="FZ6" i="12"/>
  <c r="FY6" i="12"/>
  <c r="FX6" i="12"/>
  <c r="FW6" i="12"/>
  <c r="FV6" i="12"/>
  <c r="FT6" i="12" s="1"/>
  <c r="FF6" i="12"/>
  <c r="FE6" i="12"/>
  <c r="FD6" i="12"/>
  <c r="FC6" i="12"/>
  <c r="FB6" i="12"/>
  <c r="FA6" i="12"/>
  <c r="EZ6" i="12"/>
  <c r="EY6" i="12"/>
  <c r="EX6" i="12"/>
  <c r="EW6" i="12"/>
  <c r="EV6" i="12"/>
  <c r="EU6" i="12"/>
  <c r="ET6" i="12"/>
  <c r="EP6" i="12"/>
  <c r="DB6" i="12"/>
  <c r="DA6" i="12"/>
  <c r="CZ6" i="12"/>
  <c r="CY6" i="12"/>
  <c r="CX6" i="12"/>
  <c r="CW6" i="12"/>
  <c r="CV6" i="12"/>
  <c r="CU6" i="12"/>
  <c r="CT6" i="12"/>
  <c r="CS6" i="12"/>
  <c r="CR6" i="12"/>
  <c r="CQ6" i="12"/>
  <c r="CP6" i="12"/>
  <c r="CO6" i="12"/>
  <c r="CN6" i="12"/>
  <c r="CM6" i="12"/>
  <c r="CL6" i="12"/>
  <c r="CK6" i="12"/>
  <c r="CJ6" i="12"/>
  <c r="CI6" i="12"/>
  <c r="CH6" i="12"/>
  <c r="CG6" i="12"/>
  <c r="CF6" i="12"/>
  <c r="CE6" i="12"/>
  <c r="CD6" i="12"/>
  <c r="CC6" i="12"/>
  <c r="CB6" i="12"/>
  <c r="BZ6" i="12"/>
  <c r="BY6" i="12"/>
  <c r="BX6" i="12"/>
  <c r="BW6" i="12"/>
  <c r="BV6" i="12"/>
  <c r="BU6" i="12"/>
  <c r="BT6" i="12"/>
  <c r="BS6" i="12"/>
  <c r="BR6" i="12"/>
  <c r="BQ6" i="12"/>
  <c r="BP6" i="12"/>
  <c r="BO6" i="12"/>
  <c r="BN6" i="12"/>
  <c r="BM6" i="12"/>
  <c r="BL6" i="12"/>
  <c r="BK6" i="12"/>
  <c r="BJ6" i="12"/>
  <c r="BI6" i="12"/>
  <c r="BH6" i="12"/>
  <c r="BG6" i="12"/>
  <c r="BF6" i="12"/>
  <c r="BE6" i="12"/>
  <c r="BD6" i="12"/>
  <c r="BC6" i="12"/>
  <c r="BB6" i="12"/>
  <c r="BA6" i="12"/>
  <c r="AZ6" i="12"/>
  <c r="AM6" i="12"/>
  <c r="AF6" i="12"/>
  <c r="AE6" i="12"/>
  <c r="S6" i="12"/>
  <c r="N6" i="12"/>
  <c r="M6" i="12" s="1"/>
  <c r="G6" i="12"/>
  <c r="F6" i="12"/>
  <c r="GD5" i="12"/>
  <c r="GC5" i="12"/>
  <c r="GB5" i="12"/>
  <c r="GA5" i="12"/>
  <c r="FZ5" i="12"/>
  <c r="FY5" i="12"/>
  <c r="FX5" i="12"/>
  <c r="FW5" i="12"/>
  <c r="FV5" i="12"/>
  <c r="FT5" i="12" s="1"/>
  <c r="FR5" i="12" s="1"/>
  <c r="FN5" i="12"/>
  <c r="FF5" i="12"/>
  <c r="FE5" i="12"/>
  <c r="FD5" i="12"/>
  <c r="FC5" i="12"/>
  <c r="FB5" i="12"/>
  <c r="FA5" i="12"/>
  <c r="EZ5" i="12"/>
  <c r="EY5" i="12"/>
  <c r="EX5" i="12"/>
  <c r="EW5" i="12"/>
  <c r="EV5" i="12"/>
  <c r="EU5" i="12"/>
  <c r="ET5" i="12"/>
  <c r="EQ5" i="12"/>
  <c r="EP5" i="12"/>
  <c r="DB5" i="12"/>
  <c r="DA5" i="12"/>
  <c r="CZ5" i="12"/>
  <c r="CY5" i="12"/>
  <c r="CX5" i="12"/>
  <c r="CW5" i="12"/>
  <c r="CV5" i="12"/>
  <c r="CU5" i="12"/>
  <c r="CT5" i="12"/>
  <c r="CS5" i="12"/>
  <c r="CR5" i="12"/>
  <c r="CQ5" i="12"/>
  <c r="CP5" i="12"/>
  <c r="CO5" i="12"/>
  <c r="CN5" i="12"/>
  <c r="CM5" i="12"/>
  <c r="CL5" i="12"/>
  <c r="CK5" i="12"/>
  <c r="CJ5" i="12"/>
  <c r="CI5" i="12"/>
  <c r="CH5" i="12"/>
  <c r="CG5" i="12"/>
  <c r="CF5" i="12"/>
  <c r="CE5" i="12"/>
  <c r="CD5" i="12"/>
  <c r="CC5" i="12"/>
  <c r="CB5" i="12"/>
  <c r="BZ5" i="12"/>
  <c r="BY5" i="12"/>
  <c r="BX5" i="12"/>
  <c r="BW5" i="12"/>
  <c r="BV5" i="12"/>
  <c r="BU5" i="12"/>
  <c r="BT5" i="12"/>
  <c r="BS5" i="12"/>
  <c r="BR5" i="12"/>
  <c r="BQ5" i="12"/>
  <c r="BP5" i="12"/>
  <c r="BO5" i="12"/>
  <c r="BN5" i="12"/>
  <c r="BM5" i="12"/>
  <c r="BL5" i="12"/>
  <c r="BK5" i="12"/>
  <c r="BJ5" i="12"/>
  <c r="BI5" i="12"/>
  <c r="BH5" i="12"/>
  <c r="BG5" i="12"/>
  <c r="BF5" i="12"/>
  <c r="BE5" i="12"/>
  <c r="BD5" i="12"/>
  <c r="BC5" i="12"/>
  <c r="BB5" i="12"/>
  <c r="BA5" i="12"/>
  <c r="AZ5" i="12"/>
  <c r="AM5" i="12"/>
  <c r="AK5" i="12"/>
  <c r="AJ5" i="12"/>
  <c r="AI5" i="12"/>
  <c r="AH5" i="12"/>
  <c r="AF5" i="12"/>
  <c r="AE5" i="12"/>
  <c r="S5" i="12"/>
  <c r="P5" i="12"/>
  <c r="O5" i="12"/>
  <c r="N5" i="12"/>
  <c r="M5" i="12" s="1"/>
  <c r="L5" i="12"/>
  <c r="H5" i="12"/>
  <c r="DK5" i="12" s="1"/>
  <c r="G5" i="12"/>
  <c r="F5" i="12"/>
  <c r="Z5" i="12" s="1"/>
  <c r="AC5" i="12" s="1"/>
  <c r="AD5" i="12" s="1"/>
  <c r="E5" i="12"/>
  <c r="GD4" i="12"/>
  <c r="GC4" i="12"/>
  <c r="GB4" i="12"/>
  <c r="GA4" i="12"/>
  <c r="FZ4" i="12"/>
  <c r="FY4" i="12"/>
  <c r="FX4" i="12"/>
  <c r="FW4" i="12"/>
  <c r="FV4" i="12"/>
  <c r="FT4" i="12" s="1"/>
  <c r="FP4" i="12" s="1"/>
  <c r="FM4" i="12"/>
  <c r="FK4" i="12"/>
  <c r="FF4" i="12"/>
  <c r="FE4" i="12"/>
  <c r="FD4" i="12"/>
  <c r="FC4" i="12"/>
  <c r="FB4" i="12"/>
  <c r="FA4" i="12"/>
  <c r="EZ4" i="12"/>
  <c r="EY4" i="12"/>
  <c r="EX4" i="12"/>
  <c r="EW4" i="12"/>
  <c r="EV4" i="12"/>
  <c r="EU4" i="12"/>
  <c r="ET4" i="12"/>
  <c r="EP4" i="12"/>
  <c r="DB4" i="12"/>
  <c r="DA4" i="12"/>
  <c r="CZ4" i="12"/>
  <c r="CY4" i="12"/>
  <c r="CX4" i="12"/>
  <c r="CW4" i="12"/>
  <c r="CV4" i="12"/>
  <c r="CU4" i="12"/>
  <c r="CT4" i="12"/>
  <c r="CS4" i="12"/>
  <c r="CR4" i="12"/>
  <c r="CQ4" i="12"/>
  <c r="CP4" i="12"/>
  <c r="CO4" i="12"/>
  <c r="CN4" i="12"/>
  <c r="CM4" i="12"/>
  <c r="CL4" i="12"/>
  <c r="CK4" i="12"/>
  <c r="CJ4" i="12"/>
  <c r="CI4" i="12"/>
  <c r="CH4" i="12"/>
  <c r="CG4" i="12"/>
  <c r="CF4" i="12"/>
  <c r="CE4" i="12"/>
  <c r="CD4" i="12"/>
  <c r="CC4" i="12"/>
  <c r="CB4" i="12"/>
  <c r="BZ4" i="12"/>
  <c r="BY4" i="12"/>
  <c r="BX4" i="12"/>
  <c r="BW4" i="12"/>
  <c r="BV4" i="12"/>
  <c r="BU4" i="12"/>
  <c r="BT4" i="12"/>
  <c r="BS4" i="12"/>
  <c r="BR4" i="12"/>
  <c r="BQ4" i="12"/>
  <c r="BP4" i="12"/>
  <c r="BO4" i="12"/>
  <c r="BN4" i="12"/>
  <c r="BM4" i="12"/>
  <c r="BL4" i="12"/>
  <c r="BK4" i="12"/>
  <c r="BJ4" i="12"/>
  <c r="BI4" i="12"/>
  <c r="BH4" i="12"/>
  <c r="BG4" i="12"/>
  <c r="BF4" i="12"/>
  <c r="BE4" i="12"/>
  <c r="BD4" i="12"/>
  <c r="BC4" i="12"/>
  <c r="BB4" i="12"/>
  <c r="BA4" i="12"/>
  <c r="AZ4" i="12"/>
  <c r="AM4" i="12"/>
  <c r="AK4" i="12"/>
  <c r="AJ4" i="12"/>
  <c r="AI4" i="12"/>
  <c r="AH4" i="12"/>
  <c r="AF4" i="12"/>
  <c r="AE4" i="12"/>
  <c r="S4" i="12"/>
  <c r="P4" i="12"/>
  <c r="O4" i="12"/>
  <c r="N4" i="12"/>
  <c r="M4" i="12" s="1"/>
  <c r="L4" i="12"/>
  <c r="DX4" i="12" s="1"/>
  <c r="EL4" i="12" s="1"/>
  <c r="H4" i="12"/>
  <c r="DK4" i="12" s="1"/>
  <c r="G4" i="12"/>
  <c r="F4" i="12"/>
  <c r="Z4" i="12" s="1"/>
  <c r="AC4" i="12" s="1"/>
  <c r="AD4" i="12" s="1"/>
  <c r="E4" i="12"/>
  <c r="GD3" i="12"/>
  <c r="GC3" i="12"/>
  <c r="GB3" i="12"/>
  <c r="GA3" i="12"/>
  <c r="FZ3" i="12"/>
  <c r="FY3" i="12"/>
  <c r="FX3" i="12"/>
  <c r="FW3" i="12"/>
  <c r="FV3" i="12"/>
  <c r="FT3" i="12" s="1"/>
  <c r="FF3" i="12"/>
  <c r="FE3" i="12"/>
  <c r="FD3" i="12"/>
  <c r="FC3" i="12"/>
  <c r="FB3" i="12"/>
  <c r="FA3" i="12"/>
  <c r="EZ3" i="12"/>
  <c r="EY3" i="12"/>
  <c r="EX3" i="12"/>
  <c r="EW3" i="12"/>
  <c r="EV3" i="12"/>
  <c r="EU3" i="12"/>
  <c r="ET3" i="12"/>
  <c r="EP3" i="12"/>
  <c r="DB3" i="12"/>
  <c r="DA3" i="12"/>
  <c r="CZ3" i="12"/>
  <c r="CY3" i="12"/>
  <c r="CX3" i="12"/>
  <c r="CW3" i="12"/>
  <c r="CV3" i="12"/>
  <c r="CU3" i="12"/>
  <c r="CT3" i="12"/>
  <c r="CS3" i="12"/>
  <c r="CR3" i="12"/>
  <c r="CQ3" i="12"/>
  <c r="CP3" i="12"/>
  <c r="CO3" i="12"/>
  <c r="CN3" i="12"/>
  <c r="CM3" i="12"/>
  <c r="CL3" i="12"/>
  <c r="CK3" i="12"/>
  <c r="CJ3" i="12"/>
  <c r="CI3" i="12"/>
  <c r="CH3" i="12"/>
  <c r="CG3" i="12"/>
  <c r="CF3" i="12"/>
  <c r="CE3" i="12"/>
  <c r="CD3" i="12"/>
  <c r="CC3" i="12"/>
  <c r="CB3" i="12"/>
  <c r="BZ3" i="12"/>
  <c r="BY3" i="12"/>
  <c r="BX3" i="12"/>
  <c r="BW3" i="12"/>
  <c r="BV3" i="12"/>
  <c r="BU3" i="12"/>
  <c r="BT3" i="12"/>
  <c r="BS3" i="12"/>
  <c r="BR3" i="12"/>
  <c r="BQ3" i="12"/>
  <c r="BP3" i="12"/>
  <c r="BO3" i="12"/>
  <c r="BN3" i="12"/>
  <c r="BM3" i="12"/>
  <c r="BL3" i="12"/>
  <c r="BK3" i="12"/>
  <c r="BJ3" i="12"/>
  <c r="BI3" i="12"/>
  <c r="DF3" i="12" s="1"/>
  <c r="BH3" i="12"/>
  <c r="BG3" i="12"/>
  <c r="BF3" i="12"/>
  <c r="BE3" i="12"/>
  <c r="BD3" i="12"/>
  <c r="BC3" i="12"/>
  <c r="BB3" i="12"/>
  <c r="BA3" i="12"/>
  <c r="AZ3" i="12"/>
  <c r="AM3" i="12"/>
  <c r="AK3" i="12"/>
  <c r="AJ3" i="12"/>
  <c r="AI3" i="12"/>
  <c r="AH3" i="12"/>
  <c r="AF3" i="12"/>
  <c r="AE3" i="12"/>
  <c r="S3" i="12"/>
  <c r="P3" i="12"/>
  <c r="O3" i="12"/>
  <c r="N3" i="12"/>
  <c r="M3" i="12" s="1"/>
  <c r="L3" i="12"/>
  <c r="EA3" i="12" s="1"/>
  <c r="H3" i="12"/>
  <c r="AL3" i="12" s="1"/>
  <c r="G3" i="12"/>
  <c r="F3" i="12"/>
  <c r="E3" i="12"/>
  <c r="GD2" i="12"/>
  <c r="GC2" i="12"/>
  <c r="GB2" i="12"/>
  <c r="GA2" i="12"/>
  <c r="FZ2" i="12"/>
  <c r="FY2" i="12"/>
  <c r="FX2" i="12"/>
  <c r="FW2" i="12"/>
  <c r="FV2" i="12"/>
  <c r="FT2" i="12"/>
  <c r="FS2" i="12"/>
  <c r="FR2" i="12"/>
  <c r="FQ2" i="12"/>
  <c r="FP2" i="12"/>
  <c r="FO2" i="12"/>
  <c r="FN2" i="12"/>
  <c r="FM2" i="12"/>
  <c r="FL2" i="12"/>
  <c r="FK2" i="12"/>
  <c r="FJ2" i="12"/>
  <c r="FI2" i="12"/>
  <c r="FH2" i="12"/>
  <c r="FE2" i="12"/>
  <c r="FD2" i="12"/>
  <c r="FC2" i="12"/>
  <c r="FB2" i="12"/>
  <c r="FA2" i="12"/>
  <c r="EZ2" i="12"/>
  <c r="EY2" i="12"/>
  <c r="EX2" i="12"/>
  <c r="EW2" i="12"/>
  <c r="EV2" i="12"/>
  <c r="EU2" i="12"/>
  <c r="ET2" i="12"/>
  <c r="ES2" i="12"/>
  <c r="ES135" i="12" s="1"/>
  <c r="ER2" i="12"/>
  <c r="ER139" i="12" s="1"/>
  <c r="EQ2" i="12"/>
  <c r="EQ136" i="12" s="1"/>
  <c r="EP2" i="12"/>
  <c r="EF2" i="12"/>
  <c r="EE2" i="12"/>
  <c r="ED2" i="12"/>
  <c r="EC2" i="12"/>
  <c r="EB2" i="12"/>
  <c r="EA2" i="12"/>
  <c r="DZ2" i="12"/>
  <c r="DY2" i="12"/>
  <c r="DX2" i="12"/>
  <c r="DW2" i="12"/>
  <c r="DV2" i="12"/>
  <c r="DU2" i="12"/>
  <c r="DT2" i="12"/>
  <c r="DS2" i="12"/>
  <c r="DR2" i="12"/>
  <c r="DQ2" i="12"/>
  <c r="DP2" i="12"/>
  <c r="DO2" i="12"/>
  <c r="O2" i="33"/>
  <c r="N2" i="33"/>
  <c r="M2" i="33"/>
  <c r="L2" i="33"/>
  <c r="K2" i="33"/>
  <c r="J2" i="33"/>
  <c r="I2" i="33"/>
  <c r="H2" i="33"/>
  <c r="G2" i="33"/>
  <c r="F2" i="33"/>
  <c r="E2" i="33"/>
  <c r="D2" i="33"/>
  <c r="C2" i="33"/>
  <c r="R251" i="29"/>
  <c r="Q251" i="29"/>
  <c r="P251" i="29"/>
  <c r="O251" i="29"/>
  <c r="N251" i="29"/>
  <c r="M251" i="29"/>
  <c r="L251" i="29"/>
  <c r="K251" i="29"/>
  <c r="J251" i="29"/>
  <c r="R250" i="29"/>
  <c r="Q250" i="29"/>
  <c r="P250" i="29"/>
  <c r="O250" i="29"/>
  <c r="N250" i="29"/>
  <c r="M250" i="29"/>
  <c r="L250" i="29"/>
  <c r="K250" i="29"/>
  <c r="J250" i="29"/>
  <c r="R249" i="29"/>
  <c r="Q249" i="29"/>
  <c r="P249" i="29"/>
  <c r="O249" i="29"/>
  <c r="N249" i="29"/>
  <c r="M249" i="29"/>
  <c r="L249" i="29"/>
  <c r="K249" i="29"/>
  <c r="J249" i="29"/>
  <c r="R248" i="29"/>
  <c r="Q248" i="29"/>
  <c r="P248" i="29"/>
  <c r="O248" i="29"/>
  <c r="N248" i="29"/>
  <c r="M248" i="29"/>
  <c r="L248" i="29"/>
  <c r="K248" i="29"/>
  <c r="J248" i="29"/>
  <c r="R247" i="29"/>
  <c r="Q247" i="29"/>
  <c r="P247" i="29"/>
  <c r="O247" i="29"/>
  <c r="N247" i="29"/>
  <c r="M247" i="29"/>
  <c r="L247" i="29"/>
  <c r="K247" i="29"/>
  <c r="J247" i="29"/>
  <c r="R246" i="29"/>
  <c r="Q246" i="29"/>
  <c r="P246" i="29"/>
  <c r="O246" i="29"/>
  <c r="N246" i="29"/>
  <c r="M246" i="29"/>
  <c r="L246" i="29"/>
  <c r="K246" i="29"/>
  <c r="J246" i="29"/>
  <c r="R245" i="29"/>
  <c r="Q245" i="29"/>
  <c r="P245" i="29"/>
  <c r="O245" i="29"/>
  <c r="N245" i="29"/>
  <c r="M245" i="29"/>
  <c r="L245" i="29"/>
  <c r="K245" i="29"/>
  <c r="J245" i="29"/>
  <c r="R244" i="29"/>
  <c r="Q244" i="29"/>
  <c r="P244" i="29"/>
  <c r="O244" i="29"/>
  <c r="N244" i="29"/>
  <c r="M244" i="29"/>
  <c r="L244" i="29"/>
  <c r="K244" i="29"/>
  <c r="J244" i="29"/>
  <c r="R243" i="29"/>
  <c r="Q243" i="29"/>
  <c r="P243" i="29"/>
  <c r="O243" i="29"/>
  <c r="N243" i="29"/>
  <c r="M243" i="29"/>
  <c r="L243" i="29"/>
  <c r="K243" i="29"/>
  <c r="J243" i="29"/>
  <c r="R242" i="29"/>
  <c r="Q242" i="29"/>
  <c r="P242" i="29"/>
  <c r="O242" i="29"/>
  <c r="N242" i="29"/>
  <c r="M242" i="29"/>
  <c r="L242" i="29"/>
  <c r="K242" i="29"/>
  <c r="J242" i="29"/>
  <c r="R239" i="29"/>
  <c r="Q239" i="29"/>
  <c r="P239" i="29"/>
  <c r="O239" i="29"/>
  <c r="N239" i="29"/>
  <c r="M239" i="29"/>
  <c r="L239" i="29"/>
  <c r="K239" i="29"/>
  <c r="J239" i="29"/>
  <c r="R234" i="29"/>
  <c r="Q234" i="29"/>
  <c r="P234" i="29"/>
  <c r="O234" i="29"/>
  <c r="N234" i="29"/>
  <c r="M234" i="29"/>
  <c r="L234" i="29"/>
  <c r="K234" i="29"/>
  <c r="J234" i="29"/>
  <c r="I234" i="29"/>
  <c r="R232" i="29"/>
  <c r="Q232" i="29"/>
  <c r="P232" i="29"/>
  <c r="O232" i="29"/>
  <c r="N232" i="29"/>
  <c r="M232" i="29"/>
  <c r="L232" i="29"/>
  <c r="K232" i="29"/>
  <c r="J232" i="29"/>
  <c r="I232" i="29"/>
  <c r="R231" i="29"/>
  <c r="Q231" i="29"/>
  <c r="P231" i="29"/>
  <c r="O231" i="29"/>
  <c r="N231" i="29"/>
  <c r="M231" i="29"/>
  <c r="L231" i="29"/>
  <c r="K231" i="29"/>
  <c r="J231" i="29"/>
  <c r="R230" i="29"/>
  <c r="Q230" i="29"/>
  <c r="P230" i="29"/>
  <c r="O230" i="29"/>
  <c r="N230" i="29"/>
  <c r="M230" i="29"/>
  <c r="L230" i="29"/>
  <c r="K230" i="29"/>
  <c r="J230" i="29"/>
  <c r="R229" i="29"/>
  <c r="Q229" i="29"/>
  <c r="P229" i="29"/>
  <c r="O229" i="29"/>
  <c r="N229" i="29"/>
  <c r="M229" i="29"/>
  <c r="L229" i="29"/>
  <c r="K229" i="29"/>
  <c r="J229" i="29"/>
  <c r="R228" i="29"/>
  <c r="Q228" i="29"/>
  <c r="P228" i="29"/>
  <c r="O228" i="29"/>
  <c r="N228" i="29"/>
  <c r="M228" i="29"/>
  <c r="L228" i="29"/>
  <c r="K228" i="29"/>
  <c r="J228" i="29"/>
  <c r="R227" i="29"/>
  <c r="Q227" i="29"/>
  <c r="P227" i="29"/>
  <c r="O227" i="29"/>
  <c r="N227" i="29"/>
  <c r="M227" i="29"/>
  <c r="L227" i="29"/>
  <c r="K227" i="29"/>
  <c r="J227" i="29"/>
  <c r="R226" i="29"/>
  <c r="Q226" i="29"/>
  <c r="P226" i="29"/>
  <c r="O226" i="29"/>
  <c r="N226" i="29"/>
  <c r="M226" i="29"/>
  <c r="L226" i="29"/>
  <c r="K226" i="29"/>
  <c r="J226" i="29"/>
  <c r="R225" i="29"/>
  <c r="Q225" i="29"/>
  <c r="P225" i="29"/>
  <c r="O225" i="29"/>
  <c r="N225" i="29"/>
  <c r="M225" i="29"/>
  <c r="L225" i="29"/>
  <c r="K225" i="29"/>
  <c r="J225" i="29"/>
  <c r="R224" i="29"/>
  <c r="Q224" i="29"/>
  <c r="P224" i="29"/>
  <c r="O224" i="29"/>
  <c r="N224" i="29"/>
  <c r="M224" i="29"/>
  <c r="L224" i="29"/>
  <c r="K224" i="29"/>
  <c r="J224" i="29"/>
  <c r="R222" i="29"/>
  <c r="Q222" i="29"/>
  <c r="P222" i="29"/>
  <c r="O222" i="29"/>
  <c r="N222" i="29"/>
  <c r="M222" i="29"/>
  <c r="L222" i="29"/>
  <c r="K222" i="29"/>
  <c r="J222" i="29"/>
  <c r="I222" i="29"/>
  <c r="AC160" i="29"/>
  <c r="AB160" i="29"/>
  <c r="AA160" i="29"/>
  <c r="Z160" i="29"/>
  <c r="Y160" i="29"/>
  <c r="X160" i="29"/>
  <c r="W160" i="29"/>
  <c r="V160" i="29"/>
  <c r="U160" i="29"/>
  <c r="T160" i="29"/>
  <c r="S160" i="29"/>
  <c r="R160" i="29"/>
  <c r="Q160" i="29"/>
  <c r="P160" i="29"/>
  <c r="O160" i="29"/>
  <c r="N160" i="29"/>
  <c r="M160" i="29"/>
  <c r="G160" i="29"/>
  <c r="E160" i="29"/>
  <c r="AC159" i="29"/>
  <c r="AB159" i="29"/>
  <c r="AA159" i="29"/>
  <c r="Z159" i="29"/>
  <c r="Y159" i="29"/>
  <c r="X159" i="29"/>
  <c r="W159" i="29"/>
  <c r="V159" i="29"/>
  <c r="U159" i="29"/>
  <c r="T159" i="29"/>
  <c r="S159" i="29"/>
  <c r="R159" i="29"/>
  <c r="Q159" i="29"/>
  <c r="P159" i="29"/>
  <c r="O159" i="29"/>
  <c r="N159" i="29"/>
  <c r="M159" i="29"/>
  <c r="G159" i="29"/>
  <c r="E159" i="29"/>
  <c r="AC158" i="29"/>
  <c r="AB158" i="29"/>
  <c r="AA158" i="29"/>
  <c r="Z158" i="29"/>
  <c r="Y158" i="29"/>
  <c r="X158" i="29"/>
  <c r="W158" i="29"/>
  <c r="V158" i="29"/>
  <c r="U158" i="29"/>
  <c r="T158" i="29"/>
  <c r="S158" i="29"/>
  <c r="R158" i="29"/>
  <c r="Q158" i="29"/>
  <c r="P158" i="29"/>
  <c r="O158" i="29"/>
  <c r="N158" i="29"/>
  <c r="M158" i="29"/>
  <c r="K158" i="29"/>
  <c r="G158" i="29"/>
  <c r="AC157" i="29"/>
  <c r="AB157" i="29"/>
  <c r="AA157" i="29"/>
  <c r="Z157" i="29"/>
  <c r="Y157" i="29"/>
  <c r="X157" i="29"/>
  <c r="W157" i="29"/>
  <c r="V157" i="29"/>
  <c r="U157" i="29"/>
  <c r="T157" i="29"/>
  <c r="S157" i="29"/>
  <c r="R157" i="29"/>
  <c r="Q157" i="29"/>
  <c r="P157" i="29"/>
  <c r="O157" i="29"/>
  <c r="N157" i="29"/>
  <c r="M157" i="29"/>
  <c r="K157" i="29"/>
  <c r="G157" i="29"/>
  <c r="AC156" i="29"/>
  <c r="AB156" i="29"/>
  <c r="AA156" i="29"/>
  <c r="Z156" i="29"/>
  <c r="Y156" i="29"/>
  <c r="X156" i="29"/>
  <c r="W156" i="29"/>
  <c r="V156" i="29"/>
  <c r="U156" i="29"/>
  <c r="T156" i="29"/>
  <c r="S156" i="29"/>
  <c r="R156" i="29"/>
  <c r="Q156" i="29"/>
  <c r="P156" i="29"/>
  <c r="O156" i="29"/>
  <c r="N156" i="29"/>
  <c r="M156" i="29"/>
  <c r="K156" i="29"/>
  <c r="G156" i="29"/>
  <c r="E156" i="29"/>
  <c r="AC155" i="29"/>
  <c r="AB155" i="29"/>
  <c r="AA155" i="29"/>
  <c r="Z155" i="29"/>
  <c r="Y155" i="29"/>
  <c r="X155" i="29"/>
  <c r="W155" i="29"/>
  <c r="V155" i="29"/>
  <c r="U155" i="29"/>
  <c r="T155" i="29"/>
  <c r="S155" i="29"/>
  <c r="R155" i="29"/>
  <c r="Q155" i="29"/>
  <c r="P155" i="29"/>
  <c r="O155" i="29"/>
  <c r="N155" i="29"/>
  <c r="M155" i="29"/>
  <c r="K155" i="29"/>
  <c r="G155" i="29"/>
  <c r="E155" i="29"/>
  <c r="AC154" i="29"/>
  <c r="AB154" i="29"/>
  <c r="AA154" i="29"/>
  <c r="Z154" i="29"/>
  <c r="Y154" i="29"/>
  <c r="X154" i="29"/>
  <c r="W154" i="29"/>
  <c r="V154" i="29"/>
  <c r="U154" i="29"/>
  <c r="T154" i="29"/>
  <c r="S154" i="29"/>
  <c r="R154" i="29"/>
  <c r="Q154" i="29"/>
  <c r="P154" i="29"/>
  <c r="O154" i="29"/>
  <c r="N154" i="29"/>
  <c r="M154" i="29"/>
  <c r="K154" i="29"/>
  <c r="G154" i="29"/>
  <c r="E154" i="29"/>
  <c r="AC153" i="29"/>
  <c r="AB153" i="29"/>
  <c r="AA153" i="29"/>
  <c r="Z153" i="29"/>
  <c r="Y153" i="29"/>
  <c r="X153" i="29"/>
  <c r="W153" i="29"/>
  <c r="V153" i="29"/>
  <c r="U153" i="29"/>
  <c r="T153" i="29"/>
  <c r="S153" i="29"/>
  <c r="R153" i="29"/>
  <c r="Q153" i="29"/>
  <c r="P153" i="29"/>
  <c r="O153" i="29"/>
  <c r="N153" i="29"/>
  <c r="M153" i="29"/>
  <c r="K153" i="29"/>
  <c r="G153" i="29"/>
  <c r="E153" i="29"/>
  <c r="AC152" i="29"/>
  <c r="AB152" i="29"/>
  <c r="AA152" i="29"/>
  <c r="Z152" i="29"/>
  <c r="Y152" i="29"/>
  <c r="X152" i="29"/>
  <c r="W152" i="29"/>
  <c r="V152" i="29"/>
  <c r="U152" i="29"/>
  <c r="T152" i="29"/>
  <c r="S152" i="29"/>
  <c r="R152" i="29"/>
  <c r="Q152" i="29"/>
  <c r="P152" i="29"/>
  <c r="O152" i="29"/>
  <c r="N152" i="29"/>
  <c r="M152" i="29"/>
  <c r="K152" i="29"/>
  <c r="G152" i="29"/>
  <c r="AC151" i="29"/>
  <c r="AB151" i="29"/>
  <c r="AA151" i="29"/>
  <c r="Z151" i="29"/>
  <c r="Y151" i="29"/>
  <c r="X151" i="29"/>
  <c r="W151" i="29"/>
  <c r="V151" i="29"/>
  <c r="U151" i="29"/>
  <c r="T151" i="29"/>
  <c r="S151" i="29"/>
  <c r="R151" i="29"/>
  <c r="Q151" i="29"/>
  <c r="P151" i="29"/>
  <c r="O151" i="29"/>
  <c r="N151" i="29"/>
  <c r="M151" i="29"/>
  <c r="K151" i="29"/>
  <c r="G151" i="29"/>
  <c r="E151" i="29"/>
  <c r="AC150" i="29"/>
  <c r="AB150" i="29"/>
  <c r="AA150" i="29"/>
  <c r="Z150" i="29"/>
  <c r="Y150" i="29"/>
  <c r="X150" i="29"/>
  <c r="W150" i="29"/>
  <c r="V150" i="29"/>
  <c r="U150" i="29"/>
  <c r="T150" i="29"/>
  <c r="S150" i="29"/>
  <c r="R150" i="29"/>
  <c r="Q150" i="29"/>
  <c r="P150" i="29"/>
  <c r="O150" i="29"/>
  <c r="N150" i="29"/>
  <c r="M150" i="29"/>
  <c r="K150" i="29"/>
  <c r="G150" i="29"/>
  <c r="AC149" i="29"/>
  <c r="AB149" i="29"/>
  <c r="AA149" i="29"/>
  <c r="Z149" i="29"/>
  <c r="Y149" i="29"/>
  <c r="X149" i="29"/>
  <c r="W149" i="29"/>
  <c r="V149" i="29"/>
  <c r="U149" i="29"/>
  <c r="T149" i="29"/>
  <c r="S149" i="29"/>
  <c r="R149" i="29"/>
  <c r="Q149" i="29"/>
  <c r="P149" i="29"/>
  <c r="O149" i="29"/>
  <c r="N149" i="29"/>
  <c r="M149" i="29"/>
  <c r="K149" i="29"/>
  <c r="G149" i="29"/>
  <c r="E149" i="29"/>
  <c r="AC148" i="29"/>
  <c r="AB148" i="29"/>
  <c r="AA148" i="29"/>
  <c r="Z148" i="29"/>
  <c r="Y148" i="29"/>
  <c r="X148" i="29"/>
  <c r="W148" i="29"/>
  <c r="V148" i="29"/>
  <c r="U148" i="29"/>
  <c r="T148" i="29"/>
  <c r="S148" i="29"/>
  <c r="R148" i="29"/>
  <c r="Q148" i="29"/>
  <c r="P148" i="29"/>
  <c r="O148" i="29"/>
  <c r="N148" i="29"/>
  <c r="M148" i="29"/>
  <c r="K148" i="29"/>
  <c r="G148" i="29"/>
  <c r="AC147" i="29"/>
  <c r="AB147" i="29"/>
  <c r="AA147" i="29"/>
  <c r="Z147" i="29"/>
  <c r="Y147" i="29"/>
  <c r="X147" i="29"/>
  <c r="W147" i="29"/>
  <c r="V147" i="29"/>
  <c r="U147" i="29"/>
  <c r="T147" i="29"/>
  <c r="S147" i="29"/>
  <c r="R147" i="29"/>
  <c r="Q147" i="29"/>
  <c r="P147" i="29"/>
  <c r="O147" i="29"/>
  <c r="N147" i="29"/>
  <c r="M147" i="29"/>
  <c r="K147" i="29"/>
  <c r="G147" i="29"/>
  <c r="AC142" i="29"/>
  <c r="AB142" i="29"/>
  <c r="AA142" i="29"/>
  <c r="Z142" i="29"/>
  <c r="Y142" i="29"/>
  <c r="X142" i="29"/>
  <c r="W142" i="29"/>
  <c r="V142" i="29"/>
  <c r="U142" i="29"/>
  <c r="T142" i="29"/>
  <c r="S142" i="29"/>
  <c r="R142" i="29"/>
  <c r="Q142" i="29"/>
  <c r="P142" i="29"/>
  <c r="O142" i="29"/>
  <c r="N142" i="29"/>
  <c r="M142" i="29"/>
  <c r="G142" i="29"/>
  <c r="E142" i="29"/>
  <c r="AC141" i="29"/>
  <c r="AB141" i="29"/>
  <c r="AA141" i="29"/>
  <c r="Z141" i="29"/>
  <c r="Y141" i="29"/>
  <c r="X141" i="29"/>
  <c r="W141" i="29"/>
  <c r="V141" i="29"/>
  <c r="U141" i="29"/>
  <c r="T141" i="29"/>
  <c r="S141" i="29"/>
  <c r="R141" i="29"/>
  <c r="Q141" i="29"/>
  <c r="P141" i="29"/>
  <c r="O141" i="29"/>
  <c r="N141" i="29"/>
  <c r="M141" i="29"/>
  <c r="G141" i="29"/>
  <c r="AC140" i="29"/>
  <c r="AB140" i="29"/>
  <c r="AA140" i="29"/>
  <c r="Z140" i="29"/>
  <c r="Y140" i="29"/>
  <c r="X140" i="29"/>
  <c r="W140" i="29"/>
  <c r="V140" i="29"/>
  <c r="U140" i="29"/>
  <c r="T140" i="29"/>
  <c r="S140" i="29"/>
  <c r="R140" i="29"/>
  <c r="Q140" i="29"/>
  <c r="P140" i="29"/>
  <c r="O140" i="29"/>
  <c r="N140" i="29"/>
  <c r="M140" i="29"/>
  <c r="G140" i="29"/>
  <c r="E140" i="29"/>
  <c r="AC139" i="29"/>
  <c r="AB139" i="29"/>
  <c r="AA139" i="29"/>
  <c r="Z139" i="29"/>
  <c r="Y139" i="29"/>
  <c r="X139" i="29"/>
  <c r="W139" i="29"/>
  <c r="V139" i="29"/>
  <c r="U139" i="29"/>
  <c r="T139" i="29"/>
  <c r="S139" i="29"/>
  <c r="R139" i="29"/>
  <c r="Q139" i="29"/>
  <c r="P139" i="29"/>
  <c r="O139" i="29"/>
  <c r="N139" i="29"/>
  <c r="M139" i="29"/>
  <c r="G139" i="29"/>
  <c r="E139" i="29"/>
  <c r="AC138" i="29"/>
  <c r="AB138" i="29"/>
  <c r="AA138" i="29"/>
  <c r="Z138" i="29"/>
  <c r="Y138" i="29"/>
  <c r="X138" i="29"/>
  <c r="W138" i="29"/>
  <c r="V138" i="29"/>
  <c r="U138" i="29"/>
  <c r="T138" i="29"/>
  <c r="S138" i="29"/>
  <c r="R138" i="29"/>
  <c r="Q138" i="29"/>
  <c r="P138" i="29"/>
  <c r="O138" i="29"/>
  <c r="N138" i="29"/>
  <c r="M138" i="29"/>
  <c r="G138" i="29"/>
  <c r="E138" i="29"/>
  <c r="AC137" i="29"/>
  <c r="AB137" i="29"/>
  <c r="AA137" i="29"/>
  <c r="Z137" i="29"/>
  <c r="Y137" i="29"/>
  <c r="X137" i="29"/>
  <c r="W137" i="29"/>
  <c r="V137" i="29"/>
  <c r="U137" i="29"/>
  <c r="T137" i="29"/>
  <c r="S137" i="29"/>
  <c r="R137" i="29"/>
  <c r="Q137" i="29"/>
  <c r="P137" i="29"/>
  <c r="O137" i="29"/>
  <c r="N137" i="29"/>
  <c r="M137" i="29"/>
  <c r="K137" i="29"/>
  <c r="G137" i="29"/>
  <c r="AC136" i="29"/>
  <c r="AB136" i="29"/>
  <c r="AA136" i="29"/>
  <c r="Z136" i="29"/>
  <c r="Y136" i="29"/>
  <c r="X136" i="29"/>
  <c r="W136" i="29"/>
  <c r="V136" i="29"/>
  <c r="U136" i="29"/>
  <c r="T136" i="29"/>
  <c r="S136" i="29"/>
  <c r="R136" i="29"/>
  <c r="Q136" i="29"/>
  <c r="P136" i="29"/>
  <c r="O136" i="29"/>
  <c r="N136" i="29"/>
  <c r="M136" i="29"/>
  <c r="K136" i="29"/>
  <c r="G136" i="29"/>
  <c r="E136" i="29"/>
  <c r="AC135" i="29"/>
  <c r="AB135" i="29"/>
  <c r="AA135" i="29"/>
  <c r="Z135" i="29"/>
  <c r="Y135" i="29"/>
  <c r="X135" i="29"/>
  <c r="W135" i="29"/>
  <c r="V135" i="29"/>
  <c r="U135" i="29"/>
  <c r="T135" i="29"/>
  <c r="S135" i="29"/>
  <c r="R135" i="29"/>
  <c r="Q135" i="29"/>
  <c r="P135" i="29"/>
  <c r="O135" i="29"/>
  <c r="N135" i="29"/>
  <c r="M135" i="29"/>
  <c r="K135" i="29"/>
  <c r="G135" i="29"/>
  <c r="E135" i="29"/>
  <c r="AC134" i="29"/>
  <c r="AB134" i="29"/>
  <c r="AA134" i="29"/>
  <c r="Z134" i="29"/>
  <c r="Y134" i="29"/>
  <c r="X134" i="29"/>
  <c r="W134" i="29"/>
  <c r="V134" i="29"/>
  <c r="U134" i="29"/>
  <c r="T134" i="29"/>
  <c r="S134" i="29"/>
  <c r="R134" i="29"/>
  <c r="Q134" i="29"/>
  <c r="P134" i="29"/>
  <c r="O134" i="29"/>
  <c r="N134" i="29"/>
  <c r="M134" i="29"/>
  <c r="K134" i="29"/>
  <c r="G134" i="29"/>
  <c r="E134" i="29"/>
  <c r="AC133" i="29"/>
  <c r="AB133" i="29"/>
  <c r="AA133" i="29"/>
  <c r="Z133" i="29"/>
  <c r="Y133" i="29"/>
  <c r="X133" i="29"/>
  <c r="W133" i="29"/>
  <c r="V133" i="29"/>
  <c r="U133" i="29"/>
  <c r="T133" i="29"/>
  <c r="S133" i="29"/>
  <c r="R133" i="29"/>
  <c r="Q133" i="29"/>
  <c r="P133" i="29"/>
  <c r="O133" i="29"/>
  <c r="N133" i="29"/>
  <c r="M133" i="29"/>
  <c r="K133" i="29"/>
  <c r="G133" i="29"/>
  <c r="E133" i="29"/>
  <c r="AC132" i="29"/>
  <c r="AB132" i="29"/>
  <c r="AA132" i="29"/>
  <c r="Z132" i="29"/>
  <c r="Y132" i="29"/>
  <c r="X132" i="29"/>
  <c r="W132" i="29"/>
  <c r="V132" i="29"/>
  <c r="U132" i="29"/>
  <c r="T132" i="29"/>
  <c r="S132" i="29"/>
  <c r="R132" i="29"/>
  <c r="Q132" i="29"/>
  <c r="P132" i="29"/>
  <c r="O132" i="29"/>
  <c r="N132" i="29"/>
  <c r="M132" i="29"/>
  <c r="K132" i="29"/>
  <c r="G132" i="29"/>
  <c r="E132" i="29"/>
  <c r="AC131" i="29"/>
  <c r="AB131" i="29"/>
  <c r="AA131" i="29"/>
  <c r="Z131" i="29"/>
  <c r="Y131" i="29"/>
  <c r="X131" i="29"/>
  <c r="W131" i="29"/>
  <c r="V131" i="29"/>
  <c r="U131" i="29"/>
  <c r="T131" i="29"/>
  <c r="S131" i="29"/>
  <c r="R131" i="29"/>
  <c r="Q131" i="29"/>
  <c r="P131" i="29"/>
  <c r="O131" i="29"/>
  <c r="N131" i="29"/>
  <c r="M131" i="29"/>
  <c r="K131" i="29"/>
  <c r="G131" i="29"/>
  <c r="E131" i="29"/>
  <c r="AC130" i="29"/>
  <c r="AB130" i="29"/>
  <c r="AA130" i="29"/>
  <c r="Z130" i="29"/>
  <c r="Y130" i="29"/>
  <c r="X130" i="29"/>
  <c r="W130" i="29"/>
  <c r="V130" i="29"/>
  <c r="U130" i="29"/>
  <c r="T130" i="29"/>
  <c r="S130" i="29"/>
  <c r="R130" i="29"/>
  <c r="Q130" i="29"/>
  <c r="P130" i="29"/>
  <c r="O130" i="29"/>
  <c r="N130" i="29"/>
  <c r="M130" i="29"/>
  <c r="K130" i="29"/>
  <c r="G130" i="29"/>
  <c r="AC129" i="29"/>
  <c r="AB129" i="29"/>
  <c r="AA129" i="29"/>
  <c r="Z129" i="29"/>
  <c r="Y129" i="29"/>
  <c r="X129" i="29"/>
  <c r="W129" i="29"/>
  <c r="V129" i="29"/>
  <c r="U129" i="29"/>
  <c r="T129" i="29"/>
  <c r="S129" i="29"/>
  <c r="R129" i="29"/>
  <c r="Q129" i="29"/>
  <c r="P129" i="29"/>
  <c r="O129" i="29"/>
  <c r="N129" i="29"/>
  <c r="M129" i="29"/>
  <c r="K129" i="29"/>
  <c r="G129" i="29"/>
  <c r="E129" i="29"/>
  <c r="AC128" i="29"/>
  <c r="AB128" i="29"/>
  <c r="AA128" i="29"/>
  <c r="Z128" i="29"/>
  <c r="Y128" i="29"/>
  <c r="X128" i="29"/>
  <c r="W128" i="29"/>
  <c r="V128" i="29"/>
  <c r="U128" i="29"/>
  <c r="T128" i="29"/>
  <c r="S128" i="29"/>
  <c r="R128" i="29"/>
  <c r="Q128" i="29"/>
  <c r="P128" i="29"/>
  <c r="O128" i="29"/>
  <c r="N128" i="29"/>
  <c r="M128" i="29"/>
  <c r="K128" i="29"/>
  <c r="G128" i="29"/>
  <c r="AC127" i="29"/>
  <c r="AB127" i="29"/>
  <c r="AA127" i="29"/>
  <c r="Z127" i="29"/>
  <c r="Y127" i="29"/>
  <c r="X127" i="29"/>
  <c r="W127" i="29"/>
  <c r="V127" i="29"/>
  <c r="U127" i="29"/>
  <c r="T127" i="29"/>
  <c r="S127" i="29"/>
  <c r="R127" i="29"/>
  <c r="Q127" i="29"/>
  <c r="P127" i="29"/>
  <c r="O127" i="29"/>
  <c r="N127" i="29"/>
  <c r="M127" i="29"/>
  <c r="K127" i="29"/>
  <c r="G127" i="29"/>
  <c r="E127" i="29"/>
  <c r="AC126" i="29"/>
  <c r="AB126" i="29"/>
  <c r="AA126" i="29"/>
  <c r="Z126" i="29"/>
  <c r="Y126" i="29"/>
  <c r="X126" i="29"/>
  <c r="W126" i="29"/>
  <c r="V126" i="29"/>
  <c r="U126" i="29"/>
  <c r="T126" i="29"/>
  <c r="S126" i="29"/>
  <c r="R126" i="29"/>
  <c r="Q126" i="29"/>
  <c r="P126" i="29"/>
  <c r="O126" i="29"/>
  <c r="N126" i="29"/>
  <c r="M126" i="29"/>
  <c r="K126" i="29"/>
  <c r="G126" i="29"/>
  <c r="E126" i="29"/>
  <c r="AC125" i="29"/>
  <c r="AB125" i="29"/>
  <c r="AA125" i="29"/>
  <c r="Z125" i="29"/>
  <c r="Y125" i="29"/>
  <c r="X125" i="29"/>
  <c r="W125" i="29"/>
  <c r="V125" i="29"/>
  <c r="U125" i="29"/>
  <c r="T125" i="29"/>
  <c r="S125" i="29"/>
  <c r="R125" i="29"/>
  <c r="Q125" i="29"/>
  <c r="P125" i="29"/>
  <c r="O125" i="29"/>
  <c r="N125" i="29"/>
  <c r="M125" i="29"/>
  <c r="K125" i="29"/>
  <c r="G125" i="29"/>
  <c r="AC124" i="29"/>
  <c r="AB124" i="29"/>
  <c r="AA124" i="29"/>
  <c r="Z124" i="29"/>
  <c r="Y124" i="29"/>
  <c r="X124" i="29"/>
  <c r="W124" i="29"/>
  <c r="V124" i="29"/>
  <c r="U124" i="29"/>
  <c r="T124" i="29"/>
  <c r="S124" i="29"/>
  <c r="R124" i="29"/>
  <c r="Q124" i="29"/>
  <c r="P124" i="29"/>
  <c r="O124" i="29"/>
  <c r="N124" i="29"/>
  <c r="M124" i="29"/>
  <c r="K124" i="29"/>
  <c r="G124" i="29"/>
  <c r="AC119" i="29"/>
  <c r="AB119" i="29"/>
  <c r="AA119" i="29"/>
  <c r="Z119" i="29"/>
  <c r="Y119" i="29"/>
  <c r="X119" i="29"/>
  <c r="W119" i="29"/>
  <c r="V119" i="29"/>
  <c r="U119" i="29"/>
  <c r="T119" i="29"/>
  <c r="S119" i="29"/>
  <c r="R119" i="29"/>
  <c r="Q119" i="29"/>
  <c r="P119" i="29"/>
  <c r="O119" i="29"/>
  <c r="N119" i="29"/>
  <c r="M119" i="29"/>
  <c r="G119" i="29"/>
  <c r="E119" i="29"/>
  <c r="AC118" i="29"/>
  <c r="AB118" i="29"/>
  <c r="AA118" i="29"/>
  <c r="Z118" i="29"/>
  <c r="Y118" i="29"/>
  <c r="X118" i="29"/>
  <c r="W118" i="29"/>
  <c r="V118" i="29"/>
  <c r="U118" i="29"/>
  <c r="T118" i="29"/>
  <c r="S118" i="29"/>
  <c r="R118" i="29"/>
  <c r="Q118" i="29"/>
  <c r="P118" i="29"/>
  <c r="O118" i="29"/>
  <c r="N118" i="29"/>
  <c r="M118" i="29"/>
  <c r="K118" i="29"/>
  <c r="G118" i="29"/>
  <c r="AC117" i="29"/>
  <c r="AB117" i="29"/>
  <c r="AA117" i="29"/>
  <c r="Z117" i="29"/>
  <c r="Y117" i="29"/>
  <c r="X117" i="29"/>
  <c r="W117" i="29"/>
  <c r="V117" i="29"/>
  <c r="U117" i="29"/>
  <c r="T117" i="29"/>
  <c r="S117" i="29"/>
  <c r="R117" i="29"/>
  <c r="Q117" i="29"/>
  <c r="P117" i="29"/>
  <c r="O117" i="29"/>
  <c r="N117" i="29"/>
  <c r="M117" i="29"/>
  <c r="K117" i="29"/>
  <c r="G117" i="29"/>
  <c r="E117" i="29"/>
  <c r="AC116" i="29"/>
  <c r="AB116" i="29"/>
  <c r="AA116" i="29"/>
  <c r="Z116" i="29"/>
  <c r="Y116" i="29"/>
  <c r="X116" i="29"/>
  <c r="W116" i="29"/>
  <c r="V116" i="29"/>
  <c r="U116" i="29"/>
  <c r="T116" i="29"/>
  <c r="S116" i="29"/>
  <c r="R116" i="29"/>
  <c r="Q116" i="29"/>
  <c r="P116" i="29"/>
  <c r="O116" i="29"/>
  <c r="N116" i="29"/>
  <c r="M116" i="29"/>
  <c r="K116" i="29"/>
  <c r="G116" i="29"/>
  <c r="E116" i="29"/>
  <c r="AC115" i="29"/>
  <c r="AB115" i="29"/>
  <c r="AA115" i="29"/>
  <c r="Z115" i="29"/>
  <c r="Y115" i="29"/>
  <c r="X115" i="29"/>
  <c r="W115" i="29"/>
  <c r="V115" i="29"/>
  <c r="U115" i="29"/>
  <c r="T115" i="29"/>
  <c r="S115" i="29"/>
  <c r="R115" i="29"/>
  <c r="Q115" i="29"/>
  <c r="P115" i="29"/>
  <c r="O115" i="29"/>
  <c r="N115" i="29"/>
  <c r="M115" i="29"/>
  <c r="K115" i="29"/>
  <c r="G115" i="29"/>
  <c r="E115" i="29"/>
  <c r="AC114" i="29"/>
  <c r="AB114" i="29"/>
  <c r="AA114" i="29"/>
  <c r="Z114" i="29"/>
  <c r="Y114" i="29"/>
  <c r="X114" i="29"/>
  <c r="W114" i="29"/>
  <c r="V114" i="29"/>
  <c r="U114" i="29"/>
  <c r="T114" i="29"/>
  <c r="S114" i="29"/>
  <c r="R114" i="29"/>
  <c r="Q114" i="29"/>
  <c r="P114" i="29"/>
  <c r="O114" i="29"/>
  <c r="N114" i="29"/>
  <c r="M114" i="29"/>
  <c r="K114" i="29"/>
  <c r="G114" i="29"/>
  <c r="E114" i="29"/>
  <c r="AC113" i="29"/>
  <c r="AB113" i="29"/>
  <c r="AA113" i="29"/>
  <c r="Z113" i="29"/>
  <c r="Y113" i="29"/>
  <c r="X113" i="29"/>
  <c r="W113" i="29"/>
  <c r="V113" i="29"/>
  <c r="U113" i="29"/>
  <c r="T113" i="29"/>
  <c r="S113" i="29"/>
  <c r="R113" i="29"/>
  <c r="Q113" i="29"/>
  <c r="P113" i="29"/>
  <c r="O113" i="29"/>
  <c r="N113" i="29"/>
  <c r="M113" i="29"/>
  <c r="K113" i="29"/>
  <c r="G113" i="29"/>
  <c r="E113" i="29"/>
  <c r="AC112" i="29"/>
  <c r="AB112" i="29"/>
  <c r="AA112" i="29"/>
  <c r="Z112" i="29"/>
  <c r="Y112" i="29"/>
  <c r="X112" i="29"/>
  <c r="W112" i="29"/>
  <c r="V112" i="29"/>
  <c r="U112" i="29"/>
  <c r="T112" i="29"/>
  <c r="S112" i="29"/>
  <c r="R112" i="29"/>
  <c r="Q112" i="29"/>
  <c r="P112" i="29"/>
  <c r="O112" i="29"/>
  <c r="N112" i="29"/>
  <c r="M112" i="29"/>
  <c r="K112" i="29"/>
  <c r="G112" i="29"/>
  <c r="E112" i="29"/>
  <c r="AC111" i="29"/>
  <c r="AB111" i="29"/>
  <c r="AA111" i="29"/>
  <c r="Z111" i="29"/>
  <c r="Y111" i="29"/>
  <c r="X111" i="29"/>
  <c r="W111" i="29"/>
  <c r="V111" i="29"/>
  <c r="U111" i="29"/>
  <c r="T111" i="29"/>
  <c r="S111" i="29"/>
  <c r="R111" i="29"/>
  <c r="Q111" i="29"/>
  <c r="P111" i="29"/>
  <c r="O111" i="29"/>
  <c r="N111" i="29"/>
  <c r="M111" i="29"/>
  <c r="K111" i="29"/>
  <c r="G111" i="29"/>
  <c r="E111" i="29"/>
  <c r="AC110" i="29"/>
  <c r="AB110" i="29"/>
  <c r="AA110" i="29"/>
  <c r="Z110" i="29"/>
  <c r="Y110" i="29"/>
  <c r="X110" i="29"/>
  <c r="W110" i="29"/>
  <c r="V110" i="29"/>
  <c r="U110" i="29"/>
  <c r="T110" i="29"/>
  <c r="S110" i="29"/>
  <c r="R110" i="29"/>
  <c r="Q110" i="29"/>
  <c r="P110" i="29"/>
  <c r="O110" i="29"/>
  <c r="N110" i="29"/>
  <c r="M110" i="29"/>
  <c r="K110" i="29"/>
  <c r="G110" i="29"/>
  <c r="E110" i="29"/>
  <c r="AC109" i="29"/>
  <c r="AB109" i="29"/>
  <c r="AA109" i="29"/>
  <c r="Z109" i="29"/>
  <c r="Y109" i="29"/>
  <c r="X109" i="29"/>
  <c r="W109" i="29"/>
  <c r="V109" i="29"/>
  <c r="U109" i="29"/>
  <c r="T109" i="29"/>
  <c r="S109" i="29"/>
  <c r="R109" i="29"/>
  <c r="Q109" i="29"/>
  <c r="P109" i="29"/>
  <c r="O109" i="29"/>
  <c r="N109" i="29"/>
  <c r="M109" i="29"/>
  <c r="K109" i="29"/>
  <c r="G109" i="29"/>
  <c r="E109" i="29"/>
  <c r="AC108" i="29"/>
  <c r="AB108" i="29"/>
  <c r="AA108" i="29"/>
  <c r="Z108" i="29"/>
  <c r="Y108" i="29"/>
  <c r="X108" i="29"/>
  <c r="W108" i="29"/>
  <c r="V108" i="29"/>
  <c r="U108" i="29"/>
  <c r="T108" i="29"/>
  <c r="S108" i="29"/>
  <c r="R108" i="29"/>
  <c r="Q108" i="29"/>
  <c r="P108" i="29"/>
  <c r="O108" i="29"/>
  <c r="N108" i="29"/>
  <c r="M108" i="29"/>
  <c r="K108" i="29"/>
  <c r="G108" i="29"/>
  <c r="E108" i="29"/>
  <c r="AC107" i="29"/>
  <c r="AB107" i="29"/>
  <c r="AA107" i="29"/>
  <c r="Z107" i="29"/>
  <c r="Y107" i="29"/>
  <c r="X107" i="29"/>
  <c r="W107" i="29"/>
  <c r="V107" i="29"/>
  <c r="U107" i="29"/>
  <c r="T107" i="29"/>
  <c r="S107" i="29"/>
  <c r="R107" i="29"/>
  <c r="Q107" i="29"/>
  <c r="P107" i="29"/>
  <c r="O107" i="29"/>
  <c r="N107" i="29"/>
  <c r="M107" i="29"/>
  <c r="K107" i="29"/>
  <c r="G107" i="29"/>
  <c r="AC106" i="29"/>
  <c r="AB106" i="29"/>
  <c r="AA106" i="29"/>
  <c r="Z106" i="29"/>
  <c r="Y106" i="29"/>
  <c r="X106" i="29"/>
  <c r="W106" i="29"/>
  <c r="V106" i="29"/>
  <c r="U106" i="29"/>
  <c r="T106" i="29"/>
  <c r="S106" i="29"/>
  <c r="R106" i="29"/>
  <c r="Q106" i="29"/>
  <c r="P106" i="29"/>
  <c r="O106" i="29"/>
  <c r="N106" i="29"/>
  <c r="M106" i="29"/>
  <c r="K106" i="29"/>
  <c r="G106" i="29"/>
  <c r="E106" i="29"/>
  <c r="AC105" i="29"/>
  <c r="AB105" i="29"/>
  <c r="AA105" i="29"/>
  <c r="Z105" i="29"/>
  <c r="Y105" i="29"/>
  <c r="X105" i="29"/>
  <c r="W105" i="29"/>
  <c r="V105" i="29"/>
  <c r="U105" i="29"/>
  <c r="T105" i="29"/>
  <c r="S105" i="29"/>
  <c r="R105" i="29"/>
  <c r="Q105" i="29"/>
  <c r="P105" i="29"/>
  <c r="O105" i="29"/>
  <c r="N105" i="29"/>
  <c r="M105" i="29"/>
  <c r="K105" i="29"/>
  <c r="G105" i="29"/>
  <c r="AC104" i="29"/>
  <c r="AB104" i="29"/>
  <c r="AA104" i="29"/>
  <c r="Z104" i="29"/>
  <c r="Y104" i="29"/>
  <c r="X104" i="29"/>
  <c r="W104" i="29"/>
  <c r="V104" i="29"/>
  <c r="U104" i="29"/>
  <c r="T104" i="29"/>
  <c r="S104" i="29"/>
  <c r="R104" i="29"/>
  <c r="Q104" i="29"/>
  <c r="P104" i="29"/>
  <c r="O104" i="29"/>
  <c r="N104" i="29"/>
  <c r="M104" i="29"/>
  <c r="K104" i="29"/>
  <c r="G104" i="29"/>
  <c r="E104" i="29"/>
  <c r="AC103" i="29"/>
  <c r="AB103" i="29"/>
  <c r="AA103" i="29"/>
  <c r="Z103" i="29"/>
  <c r="Y103" i="29"/>
  <c r="X103" i="29"/>
  <c r="W103" i="29"/>
  <c r="V103" i="29"/>
  <c r="U103" i="29"/>
  <c r="T103" i="29"/>
  <c r="S103" i="29"/>
  <c r="R103" i="29"/>
  <c r="Q103" i="29"/>
  <c r="P103" i="29"/>
  <c r="O103" i="29"/>
  <c r="N103" i="29"/>
  <c r="M103" i="29"/>
  <c r="K103" i="29"/>
  <c r="G103" i="29"/>
  <c r="E103" i="29"/>
  <c r="AC102" i="29"/>
  <c r="AB102" i="29"/>
  <c r="AA102" i="29"/>
  <c r="Z102" i="29"/>
  <c r="Y102" i="29"/>
  <c r="X102" i="29"/>
  <c r="W102" i="29"/>
  <c r="V102" i="29"/>
  <c r="U102" i="29"/>
  <c r="T102" i="29"/>
  <c r="S102" i="29"/>
  <c r="R102" i="29"/>
  <c r="Q102" i="29"/>
  <c r="P102" i="29"/>
  <c r="O102" i="29"/>
  <c r="N102" i="29"/>
  <c r="M102" i="29"/>
  <c r="K102" i="29"/>
  <c r="G102" i="29"/>
  <c r="AC101" i="29"/>
  <c r="AB101" i="29"/>
  <c r="AA101" i="29"/>
  <c r="Z101" i="29"/>
  <c r="Y101" i="29"/>
  <c r="X101" i="29"/>
  <c r="W101" i="29"/>
  <c r="V101" i="29"/>
  <c r="U101" i="29"/>
  <c r="T101" i="29"/>
  <c r="S101" i="29"/>
  <c r="R101" i="29"/>
  <c r="Q101" i="29"/>
  <c r="P101" i="29"/>
  <c r="O101" i="29"/>
  <c r="N101" i="29"/>
  <c r="M101" i="29"/>
  <c r="K101" i="29"/>
  <c r="G101" i="29"/>
  <c r="AC96" i="29"/>
  <c r="AB96" i="29"/>
  <c r="AA96" i="29"/>
  <c r="Z96" i="29"/>
  <c r="Y96" i="29"/>
  <c r="X96" i="29"/>
  <c r="W96" i="29"/>
  <c r="V96" i="29"/>
  <c r="U96" i="29"/>
  <c r="T96" i="29"/>
  <c r="S96" i="29"/>
  <c r="R96" i="29"/>
  <c r="Q96" i="29"/>
  <c r="P96" i="29"/>
  <c r="O96" i="29"/>
  <c r="N96" i="29"/>
  <c r="M96" i="29"/>
  <c r="K96" i="29"/>
  <c r="G96" i="29"/>
  <c r="E96" i="29"/>
  <c r="AC95" i="29"/>
  <c r="AB95" i="29"/>
  <c r="AA95" i="29"/>
  <c r="Z95" i="29"/>
  <c r="Y95" i="29"/>
  <c r="X95" i="29"/>
  <c r="W95" i="29"/>
  <c r="V95" i="29"/>
  <c r="U95" i="29"/>
  <c r="T95" i="29"/>
  <c r="S95" i="29"/>
  <c r="R95" i="29"/>
  <c r="Q95" i="29"/>
  <c r="P95" i="29"/>
  <c r="O95" i="29"/>
  <c r="N95" i="29"/>
  <c r="M95" i="29"/>
  <c r="K95" i="29"/>
  <c r="G95" i="29"/>
  <c r="E95" i="29"/>
  <c r="AC94" i="29"/>
  <c r="AB94" i="29"/>
  <c r="AA94" i="29"/>
  <c r="Z94" i="29"/>
  <c r="Y94" i="29"/>
  <c r="X94" i="29"/>
  <c r="W94" i="29"/>
  <c r="V94" i="29"/>
  <c r="U94" i="29"/>
  <c r="T94" i="29"/>
  <c r="S94" i="29"/>
  <c r="R94" i="29"/>
  <c r="Q94" i="29"/>
  <c r="P94" i="29"/>
  <c r="O94" i="29"/>
  <c r="N94" i="29"/>
  <c r="M94" i="29"/>
  <c r="K94" i="29"/>
  <c r="G94" i="29"/>
  <c r="E94" i="29"/>
  <c r="AC93" i="29"/>
  <c r="AB93" i="29"/>
  <c r="AA93" i="29"/>
  <c r="Z93" i="29"/>
  <c r="Y93" i="29"/>
  <c r="X93" i="29"/>
  <c r="W93" i="29"/>
  <c r="V93" i="29"/>
  <c r="U93" i="29"/>
  <c r="T93" i="29"/>
  <c r="S93" i="29"/>
  <c r="R93" i="29"/>
  <c r="Q93" i="29"/>
  <c r="P93" i="29"/>
  <c r="O93" i="29"/>
  <c r="N93" i="29"/>
  <c r="M93" i="29"/>
  <c r="K93" i="29"/>
  <c r="G93" i="29"/>
  <c r="E93" i="29"/>
  <c r="AC92" i="29"/>
  <c r="AB92" i="29"/>
  <c r="AA92" i="29"/>
  <c r="Z92" i="29"/>
  <c r="Y92" i="29"/>
  <c r="X92" i="29"/>
  <c r="W92" i="29"/>
  <c r="V92" i="29"/>
  <c r="U92" i="29"/>
  <c r="T92" i="29"/>
  <c r="S92" i="29"/>
  <c r="R92" i="29"/>
  <c r="Q92" i="29"/>
  <c r="P92" i="29"/>
  <c r="O92" i="29"/>
  <c r="N92" i="29"/>
  <c r="M92" i="29"/>
  <c r="K92" i="29"/>
  <c r="G92" i="29"/>
  <c r="E92" i="29"/>
  <c r="AC91" i="29"/>
  <c r="AB91" i="29"/>
  <c r="AA91" i="29"/>
  <c r="Z91" i="29"/>
  <c r="Y91" i="29"/>
  <c r="X91" i="29"/>
  <c r="W91" i="29"/>
  <c r="V91" i="29"/>
  <c r="U91" i="29"/>
  <c r="T91" i="29"/>
  <c r="S91" i="29"/>
  <c r="R91" i="29"/>
  <c r="Q91" i="29"/>
  <c r="P91" i="29"/>
  <c r="O91" i="29"/>
  <c r="N91" i="29"/>
  <c r="M91" i="29"/>
  <c r="K91" i="29"/>
  <c r="G91" i="29"/>
  <c r="E91" i="29"/>
  <c r="AC90" i="29"/>
  <c r="AB90" i="29"/>
  <c r="AA90" i="29"/>
  <c r="Z90" i="29"/>
  <c r="Y90" i="29"/>
  <c r="X90" i="29"/>
  <c r="W90" i="29"/>
  <c r="V90" i="29"/>
  <c r="U90" i="29"/>
  <c r="T90" i="29"/>
  <c r="S90" i="29"/>
  <c r="R90" i="29"/>
  <c r="Q90" i="29"/>
  <c r="P90" i="29"/>
  <c r="O90" i="29"/>
  <c r="N90" i="29"/>
  <c r="M90" i="29"/>
  <c r="K90" i="29"/>
  <c r="G90" i="29"/>
  <c r="E90" i="29"/>
  <c r="AC89" i="29"/>
  <c r="AB89" i="29"/>
  <c r="AA89" i="29"/>
  <c r="Z89" i="29"/>
  <c r="Y89" i="29"/>
  <c r="X89" i="29"/>
  <c r="W89" i="29"/>
  <c r="V89" i="29"/>
  <c r="U89" i="29"/>
  <c r="T89" i="29"/>
  <c r="S89" i="29"/>
  <c r="R89" i="29"/>
  <c r="Q89" i="29"/>
  <c r="P89" i="29"/>
  <c r="O89" i="29"/>
  <c r="N89" i="29"/>
  <c r="M89" i="29"/>
  <c r="K89" i="29"/>
  <c r="G89" i="29"/>
  <c r="E89" i="29"/>
  <c r="AC88" i="29"/>
  <c r="AB88" i="29"/>
  <c r="AA88" i="29"/>
  <c r="Z88" i="29"/>
  <c r="Y88" i="29"/>
  <c r="X88" i="29"/>
  <c r="W88" i="29"/>
  <c r="V88" i="29"/>
  <c r="U88" i="29"/>
  <c r="T88" i="29"/>
  <c r="S88" i="29"/>
  <c r="R88" i="29"/>
  <c r="Q88" i="29"/>
  <c r="P88" i="29"/>
  <c r="O88" i="29"/>
  <c r="N88" i="29"/>
  <c r="M88" i="29"/>
  <c r="K88" i="29"/>
  <c r="G88" i="29"/>
  <c r="AC87" i="29"/>
  <c r="AB87" i="29"/>
  <c r="AA87" i="29"/>
  <c r="Z87" i="29"/>
  <c r="Y87" i="29"/>
  <c r="X87" i="29"/>
  <c r="W87" i="29"/>
  <c r="V87" i="29"/>
  <c r="U87" i="29"/>
  <c r="T87" i="29"/>
  <c r="S87" i="29"/>
  <c r="R87" i="29"/>
  <c r="Q87" i="29"/>
  <c r="P87" i="29"/>
  <c r="O87" i="29"/>
  <c r="N87" i="29"/>
  <c r="M87" i="29"/>
  <c r="K87" i="29"/>
  <c r="G87" i="29"/>
  <c r="AC86" i="29"/>
  <c r="AB86" i="29"/>
  <c r="AA86" i="29"/>
  <c r="Z86" i="29"/>
  <c r="Y86" i="29"/>
  <c r="X86" i="29"/>
  <c r="W86" i="29"/>
  <c r="V86" i="29"/>
  <c r="U86" i="29"/>
  <c r="T86" i="29"/>
  <c r="S86" i="29"/>
  <c r="R86" i="29"/>
  <c r="Q86" i="29"/>
  <c r="P86" i="29"/>
  <c r="O86" i="29"/>
  <c r="N86" i="29"/>
  <c r="M86" i="29"/>
  <c r="K86" i="29"/>
  <c r="G86" i="29"/>
  <c r="E86" i="29"/>
  <c r="AC85" i="29"/>
  <c r="AB85" i="29"/>
  <c r="AA85" i="29"/>
  <c r="Z85" i="29"/>
  <c r="Y85" i="29"/>
  <c r="X85" i="29"/>
  <c r="W85" i="29"/>
  <c r="V85" i="29"/>
  <c r="U85" i="29"/>
  <c r="T85" i="29"/>
  <c r="S85" i="29"/>
  <c r="R85" i="29"/>
  <c r="Q85" i="29"/>
  <c r="P85" i="29"/>
  <c r="O85" i="29"/>
  <c r="N85" i="29"/>
  <c r="M85" i="29"/>
  <c r="K85" i="29"/>
  <c r="G85" i="29"/>
  <c r="E85" i="29"/>
  <c r="AC84" i="29"/>
  <c r="AB84" i="29"/>
  <c r="AA84" i="29"/>
  <c r="Z84" i="29"/>
  <c r="Y84" i="29"/>
  <c r="X84" i="29"/>
  <c r="W84" i="29"/>
  <c r="V84" i="29"/>
  <c r="U84" i="29"/>
  <c r="T84" i="29"/>
  <c r="S84" i="29"/>
  <c r="R84" i="29"/>
  <c r="Q84" i="29"/>
  <c r="P84" i="29"/>
  <c r="O84" i="29"/>
  <c r="N84" i="29"/>
  <c r="M84" i="29"/>
  <c r="K84" i="29"/>
  <c r="G84" i="29"/>
  <c r="E84" i="29"/>
  <c r="AC83" i="29"/>
  <c r="AB83" i="29"/>
  <c r="AA83" i="29"/>
  <c r="Z83" i="29"/>
  <c r="Y83" i="29"/>
  <c r="X83" i="29"/>
  <c r="W83" i="29"/>
  <c r="V83" i="29"/>
  <c r="U83" i="29"/>
  <c r="T83" i="29"/>
  <c r="S83" i="29"/>
  <c r="R83" i="29"/>
  <c r="Q83" i="29"/>
  <c r="P83" i="29"/>
  <c r="O83" i="29"/>
  <c r="N83" i="29"/>
  <c r="M83" i="29"/>
  <c r="K83" i="29"/>
  <c r="G83" i="29"/>
  <c r="E83" i="29"/>
  <c r="AC82" i="29"/>
  <c r="AB82" i="29"/>
  <c r="AA82" i="29"/>
  <c r="Z82" i="29"/>
  <c r="Y82" i="29"/>
  <c r="X82" i="29"/>
  <c r="W82" i="29"/>
  <c r="V82" i="29"/>
  <c r="U82" i="29"/>
  <c r="T82" i="29"/>
  <c r="S82" i="29"/>
  <c r="R82" i="29"/>
  <c r="Q82" i="29"/>
  <c r="P82" i="29"/>
  <c r="O82" i="29"/>
  <c r="N82" i="29"/>
  <c r="M82" i="29"/>
  <c r="K82" i="29"/>
  <c r="G82" i="29"/>
  <c r="E82" i="29"/>
  <c r="AC81" i="29"/>
  <c r="AB81" i="29"/>
  <c r="AA81" i="29"/>
  <c r="Z81" i="29"/>
  <c r="Y81" i="29"/>
  <c r="X81" i="29"/>
  <c r="W81" i="29"/>
  <c r="V81" i="29"/>
  <c r="U81" i="29"/>
  <c r="T81" i="29"/>
  <c r="S81" i="29"/>
  <c r="R81" i="29"/>
  <c r="Q81" i="29"/>
  <c r="P81" i="29"/>
  <c r="O81" i="29"/>
  <c r="N81" i="29"/>
  <c r="M81" i="29"/>
  <c r="K81" i="29"/>
  <c r="G81" i="29"/>
  <c r="E81" i="29"/>
  <c r="AC80" i="29"/>
  <c r="AB80" i="29"/>
  <c r="AA80" i="29"/>
  <c r="Z80" i="29"/>
  <c r="Y80" i="29"/>
  <c r="X80" i="29"/>
  <c r="W80" i="29"/>
  <c r="V80" i="29"/>
  <c r="U80" i="29"/>
  <c r="T80" i="29"/>
  <c r="S80" i="29"/>
  <c r="R80" i="29"/>
  <c r="Q80" i="29"/>
  <c r="P80" i="29"/>
  <c r="O80" i="29"/>
  <c r="N80" i="29"/>
  <c r="M80" i="29"/>
  <c r="K80" i="29"/>
  <c r="G80" i="29"/>
  <c r="E80" i="29"/>
  <c r="AC79" i="29"/>
  <c r="AB79" i="29"/>
  <c r="AA79" i="29"/>
  <c r="Z79" i="29"/>
  <c r="Y79" i="29"/>
  <c r="X79" i="29"/>
  <c r="W79" i="29"/>
  <c r="V79" i="29"/>
  <c r="U79" i="29"/>
  <c r="T79" i="29"/>
  <c r="S79" i="29"/>
  <c r="R79" i="29"/>
  <c r="Q79" i="29"/>
  <c r="P79" i="29"/>
  <c r="O79" i="29"/>
  <c r="N79" i="29"/>
  <c r="M79" i="29"/>
  <c r="K79" i="29"/>
  <c r="G79" i="29"/>
  <c r="E79" i="29"/>
  <c r="AC78" i="29"/>
  <c r="AB78" i="29"/>
  <c r="AA78" i="29"/>
  <c r="Z78" i="29"/>
  <c r="Y78" i="29"/>
  <c r="X78" i="29"/>
  <c r="W78" i="29"/>
  <c r="V78" i="29"/>
  <c r="U78" i="29"/>
  <c r="T78" i="29"/>
  <c r="S78" i="29"/>
  <c r="R78" i="29"/>
  <c r="Q78" i="29"/>
  <c r="P78" i="29"/>
  <c r="O78" i="29"/>
  <c r="N78" i="29"/>
  <c r="M78" i="29"/>
  <c r="K78" i="29"/>
  <c r="G78" i="29"/>
  <c r="E78" i="29"/>
  <c r="AC77" i="29"/>
  <c r="AB77" i="29"/>
  <c r="AA77" i="29"/>
  <c r="Z77" i="29"/>
  <c r="Y77" i="29"/>
  <c r="X77" i="29"/>
  <c r="W77" i="29"/>
  <c r="V77" i="29"/>
  <c r="U77" i="29"/>
  <c r="T77" i="29"/>
  <c r="S77" i="29"/>
  <c r="R77" i="29"/>
  <c r="Q77" i="29"/>
  <c r="P77" i="29"/>
  <c r="O77" i="29"/>
  <c r="N77" i="29"/>
  <c r="M77" i="29"/>
  <c r="K77" i="29"/>
  <c r="G77" i="29"/>
  <c r="E77" i="29"/>
  <c r="AC72" i="29"/>
  <c r="AB72" i="29"/>
  <c r="AA72" i="29"/>
  <c r="Z72" i="29"/>
  <c r="Y72" i="29"/>
  <c r="X72" i="29"/>
  <c r="W72" i="29"/>
  <c r="V72" i="29"/>
  <c r="U72" i="29"/>
  <c r="T72" i="29"/>
  <c r="S72" i="29"/>
  <c r="R72" i="29"/>
  <c r="Q72" i="29"/>
  <c r="P72" i="29"/>
  <c r="O72" i="29"/>
  <c r="N72" i="29"/>
  <c r="M72" i="29"/>
  <c r="K72" i="29"/>
  <c r="G72" i="29"/>
  <c r="E72" i="29"/>
  <c r="AC71" i="29"/>
  <c r="AB71" i="29"/>
  <c r="AA71" i="29"/>
  <c r="Z71" i="29"/>
  <c r="Y71" i="29"/>
  <c r="X71" i="29"/>
  <c r="W71" i="29"/>
  <c r="V71" i="29"/>
  <c r="U71" i="29"/>
  <c r="T71" i="29"/>
  <c r="S71" i="29"/>
  <c r="R71" i="29"/>
  <c r="Q71" i="29"/>
  <c r="P71" i="29"/>
  <c r="O71" i="29"/>
  <c r="N71" i="29"/>
  <c r="M71" i="29"/>
  <c r="K71" i="29"/>
  <c r="G71" i="29"/>
  <c r="E71" i="29"/>
  <c r="AC70" i="29"/>
  <c r="AB70" i="29"/>
  <c r="AA70" i="29"/>
  <c r="Z70" i="29"/>
  <c r="Y70" i="29"/>
  <c r="X70" i="29"/>
  <c r="W70" i="29"/>
  <c r="V70" i="29"/>
  <c r="U70" i="29"/>
  <c r="T70" i="29"/>
  <c r="S70" i="29"/>
  <c r="R70" i="29"/>
  <c r="Q70" i="29"/>
  <c r="P70" i="29"/>
  <c r="O70" i="29"/>
  <c r="N70" i="29"/>
  <c r="M70" i="29"/>
  <c r="K70" i="29"/>
  <c r="G70" i="29"/>
  <c r="E70" i="29"/>
  <c r="AC69" i="29"/>
  <c r="AB69" i="29"/>
  <c r="AA69" i="29"/>
  <c r="Z69" i="29"/>
  <c r="Y69" i="29"/>
  <c r="X69" i="29"/>
  <c r="W69" i="29"/>
  <c r="V69" i="29"/>
  <c r="U69" i="29"/>
  <c r="T69" i="29"/>
  <c r="S69" i="29"/>
  <c r="R69" i="29"/>
  <c r="Q69" i="29"/>
  <c r="P69" i="29"/>
  <c r="O69" i="29"/>
  <c r="N69" i="29"/>
  <c r="M69" i="29"/>
  <c r="K69" i="29"/>
  <c r="G69" i="29"/>
  <c r="E69" i="29"/>
  <c r="AC68" i="29"/>
  <c r="AB68" i="29"/>
  <c r="AA68" i="29"/>
  <c r="Z68" i="29"/>
  <c r="Y68" i="29"/>
  <c r="X68" i="29"/>
  <c r="W68" i="29"/>
  <c r="V68" i="29"/>
  <c r="U68" i="29"/>
  <c r="T68" i="29"/>
  <c r="S68" i="29"/>
  <c r="R68" i="29"/>
  <c r="Q68" i="29"/>
  <c r="P68" i="29"/>
  <c r="O68" i="29"/>
  <c r="N68" i="29"/>
  <c r="M68" i="29"/>
  <c r="K68" i="29"/>
  <c r="G68" i="29"/>
  <c r="E68" i="29"/>
  <c r="AC67" i="29"/>
  <c r="AB67" i="29"/>
  <c r="AA67" i="29"/>
  <c r="Z67" i="29"/>
  <c r="Y67" i="29"/>
  <c r="X67" i="29"/>
  <c r="W67" i="29"/>
  <c r="V67" i="29"/>
  <c r="U67" i="29"/>
  <c r="T67" i="29"/>
  <c r="S67" i="29"/>
  <c r="R67" i="29"/>
  <c r="Q67" i="29"/>
  <c r="P67" i="29"/>
  <c r="O67" i="29"/>
  <c r="N67" i="29"/>
  <c r="M67" i="29"/>
  <c r="K67" i="29"/>
  <c r="G67" i="29"/>
  <c r="E67" i="29"/>
  <c r="AC66" i="29"/>
  <c r="AB66" i="29"/>
  <c r="AA66" i="29"/>
  <c r="Z66" i="29"/>
  <c r="Y66" i="29"/>
  <c r="X66" i="29"/>
  <c r="W66" i="29"/>
  <c r="V66" i="29"/>
  <c r="U66" i="29"/>
  <c r="T66" i="29"/>
  <c r="S66" i="29"/>
  <c r="R66" i="29"/>
  <c r="Q66" i="29"/>
  <c r="P66" i="29"/>
  <c r="O66" i="29"/>
  <c r="N66" i="29"/>
  <c r="M66" i="29"/>
  <c r="K66" i="29"/>
  <c r="G66" i="29"/>
  <c r="E66" i="29"/>
  <c r="AC65" i="29"/>
  <c r="AB65" i="29"/>
  <c r="AA65" i="29"/>
  <c r="Z65" i="29"/>
  <c r="Y65" i="29"/>
  <c r="X65" i="29"/>
  <c r="W65" i="29"/>
  <c r="V65" i="29"/>
  <c r="U65" i="29"/>
  <c r="T65" i="29"/>
  <c r="S65" i="29"/>
  <c r="R65" i="29"/>
  <c r="Q65" i="29"/>
  <c r="P65" i="29"/>
  <c r="O65" i="29"/>
  <c r="N65" i="29"/>
  <c r="M65" i="29"/>
  <c r="K65" i="29"/>
  <c r="G65" i="29"/>
  <c r="AC64" i="29"/>
  <c r="AB64" i="29"/>
  <c r="AA64" i="29"/>
  <c r="Z64" i="29"/>
  <c r="Y64" i="29"/>
  <c r="X64" i="29"/>
  <c r="W64" i="29"/>
  <c r="V64" i="29"/>
  <c r="U64" i="29"/>
  <c r="T64" i="29"/>
  <c r="S64" i="29"/>
  <c r="R64" i="29"/>
  <c r="Q64" i="29"/>
  <c r="P64" i="29"/>
  <c r="O64" i="29"/>
  <c r="N64" i="29"/>
  <c r="M64" i="29"/>
  <c r="K64" i="29"/>
  <c r="G64" i="29"/>
  <c r="E64" i="29"/>
  <c r="AC63" i="29"/>
  <c r="AB63" i="29"/>
  <c r="AA63" i="29"/>
  <c r="Z63" i="29"/>
  <c r="Y63" i="29"/>
  <c r="X63" i="29"/>
  <c r="W63" i="29"/>
  <c r="V63" i="29"/>
  <c r="U63" i="29"/>
  <c r="T63" i="29"/>
  <c r="S63" i="29"/>
  <c r="R63" i="29"/>
  <c r="Q63" i="29"/>
  <c r="P63" i="29"/>
  <c r="O63" i="29"/>
  <c r="N63" i="29"/>
  <c r="M63" i="29"/>
  <c r="K63" i="29"/>
  <c r="G63" i="29"/>
  <c r="E63" i="29"/>
  <c r="AC62" i="29"/>
  <c r="AB62" i="29"/>
  <c r="AA62" i="29"/>
  <c r="Z62" i="29"/>
  <c r="Y62" i="29"/>
  <c r="X62" i="29"/>
  <c r="W62" i="29"/>
  <c r="V62" i="29"/>
  <c r="U62" i="29"/>
  <c r="T62" i="29"/>
  <c r="S62" i="29"/>
  <c r="R62" i="29"/>
  <c r="Q62" i="29"/>
  <c r="P62" i="29"/>
  <c r="O62" i="29"/>
  <c r="N62" i="29"/>
  <c r="M62" i="29"/>
  <c r="K62" i="29"/>
  <c r="G62" i="29"/>
  <c r="E62" i="29"/>
  <c r="AC61" i="29"/>
  <c r="AB61" i="29"/>
  <c r="AA61" i="29"/>
  <c r="Z61" i="29"/>
  <c r="Y61" i="29"/>
  <c r="X61" i="29"/>
  <c r="W61" i="29"/>
  <c r="V61" i="29"/>
  <c r="U61" i="29"/>
  <c r="T61" i="29"/>
  <c r="S61" i="29"/>
  <c r="R61" i="29"/>
  <c r="Q61" i="29"/>
  <c r="P61" i="29"/>
  <c r="O61" i="29"/>
  <c r="N61" i="29"/>
  <c r="M61" i="29"/>
  <c r="K61" i="29"/>
  <c r="G61" i="29"/>
  <c r="E61" i="29"/>
  <c r="AC60" i="29"/>
  <c r="AB60" i="29"/>
  <c r="AA60" i="29"/>
  <c r="Z60" i="29"/>
  <c r="Y60" i="29"/>
  <c r="X60" i="29"/>
  <c r="W60" i="29"/>
  <c r="V60" i="29"/>
  <c r="U60" i="29"/>
  <c r="T60" i="29"/>
  <c r="S60" i="29"/>
  <c r="R60" i="29"/>
  <c r="Q60" i="29"/>
  <c r="P60" i="29"/>
  <c r="O60" i="29"/>
  <c r="N60" i="29"/>
  <c r="M60" i="29"/>
  <c r="K60" i="29"/>
  <c r="G60" i="29"/>
  <c r="E60" i="29"/>
  <c r="AC59" i="29"/>
  <c r="AB59" i="29"/>
  <c r="AA59" i="29"/>
  <c r="Z59" i="29"/>
  <c r="Y59" i="29"/>
  <c r="X59" i="29"/>
  <c r="W59" i="29"/>
  <c r="V59" i="29"/>
  <c r="U59" i="29"/>
  <c r="T59" i="29"/>
  <c r="S59" i="29"/>
  <c r="R59" i="29"/>
  <c r="Q59" i="29"/>
  <c r="P59" i="29"/>
  <c r="O59" i="29"/>
  <c r="N59" i="29"/>
  <c r="M59" i="29"/>
  <c r="K59" i="29"/>
  <c r="G59" i="29"/>
  <c r="E59" i="29"/>
  <c r="AC58" i="29"/>
  <c r="AB58" i="29"/>
  <c r="AA58" i="29"/>
  <c r="Z58" i="29"/>
  <c r="Y58" i="29"/>
  <c r="X58" i="29"/>
  <c r="W58" i="29"/>
  <c r="V58" i="29"/>
  <c r="U58" i="29"/>
  <c r="T58" i="29"/>
  <c r="S58" i="29"/>
  <c r="R58" i="29"/>
  <c r="Q58" i="29"/>
  <c r="P58" i="29"/>
  <c r="O58" i="29"/>
  <c r="N58" i="29"/>
  <c r="M58" i="29"/>
  <c r="K58" i="29"/>
  <c r="G58" i="29"/>
  <c r="E58" i="29"/>
  <c r="AC57" i="29"/>
  <c r="AB57" i="29"/>
  <c r="AA57" i="29"/>
  <c r="Z57" i="29"/>
  <c r="Y57" i="29"/>
  <c r="X57" i="29"/>
  <c r="W57" i="29"/>
  <c r="V57" i="29"/>
  <c r="U57" i="29"/>
  <c r="T57" i="29"/>
  <c r="S57" i="29"/>
  <c r="R57" i="29"/>
  <c r="Q57" i="29"/>
  <c r="P57" i="29"/>
  <c r="O57" i="29"/>
  <c r="N57" i="29"/>
  <c r="M57" i="29"/>
  <c r="K57" i="29"/>
  <c r="G57" i="29"/>
  <c r="E57" i="29"/>
  <c r="AC56" i="29"/>
  <c r="AB56" i="29"/>
  <c r="AA56" i="29"/>
  <c r="Z56" i="29"/>
  <c r="Y56" i="29"/>
  <c r="X56" i="29"/>
  <c r="W56" i="29"/>
  <c r="V56" i="29"/>
  <c r="U56" i="29"/>
  <c r="T56" i="29"/>
  <c r="S56" i="29"/>
  <c r="R56" i="29"/>
  <c r="Q56" i="29"/>
  <c r="P56" i="29"/>
  <c r="O56" i="29"/>
  <c r="N56" i="29"/>
  <c r="M56" i="29"/>
  <c r="K56" i="29"/>
  <c r="G56" i="29"/>
  <c r="E56" i="29"/>
  <c r="AC55" i="29"/>
  <c r="AB55" i="29"/>
  <c r="AA55" i="29"/>
  <c r="Z55" i="29"/>
  <c r="Y55" i="29"/>
  <c r="X55" i="29"/>
  <c r="W55" i="29"/>
  <c r="V55" i="29"/>
  <c r="U55" i="29"/>
  <c r="T55" i="29"/>
  <c r="S55" i="29"/>
  <c r="R55" i="29"/>
  <c r="Q55" i="29"/>
  <c r="P55" i="29"/>
  <c r="O55" i="29"/>
  <c r="N55" i="29"/>
  <c r="M55" i="29"/>
  <c r="K55" i="29"/>
  <c r="G55" i="29"/>
  <c r="E55" i="29"/>
  <c r="AC54" i="29"/>
  <c r="AB54" i="29"/>
  <c r="AA54" i="29"/>
  <c r="Z54" i="29"/>
  <c r="Y54" i="29"/>
  <c r="X54" i="29"/>
  <c r="W54" i="29"/>
  <c r="V54" i="29"/>
  <c r="U54" i="29"/>
  <c r="T54" i="29"/>
  <c r="S54" i="29"/>
  <c r="R54" i="29"/>
  <c r="Q54" i="29"/>
  <c r="P54" i="29"/>
  <c r="O54" i="29"/>
  <c r="N54" i="29"/>
  <c r="M54" i="29"/>
  <c r="K54" i="29"/>
  <c r="G54" i="29"/>
  <c r="E54" i="29"/>
  <c r="AC53" i="29"/>
  <c r="AB53" i="29"/>
  <c r="AA53" i="29"/>
  <c r="Z53" i="29"/>
  <c r="Y53" i="29"/>
  <c r="X53" i="29"/>
  <c r="W53" i="29"/>
  <c r="V53" i="29"/>
  <c r="U53" i="29"/>
  <c r="T53" i="29"/>
  <c r="S53" i="29"/>
  <c r="R53" i="29"/>
  <c r="Q53" i="29"/>
  <c r="P53" i="29"/>
  <c r="O53" i="29"/>
  <c r="N53" i="29"/>
  <c r="M53" i="29"/>
  <c r="K53" i="29"/>
  <c r="G53" i="29"/>
  <c r="E53" i="29"/>
  <c r="AC48" i="29"/>
  <c r="AB48" i="29"/>
  <c r="AA48" i="29"/>
  <c r="Z48" i="29"/>
  <c r="Y48" i="29"/>
  <c r="X48" i="29"/>
  <c r="W48" i="29"/>
  <c r="V48" i="29"/>
  <c r="U48" i="29"/>
  <c r="T48" i="29"/>
  <c r="S48" i="29"/>
  <c r="R48" i="29"/>
  <c r="Q48" i="29"/>
  <c r="P48" i="29"/>
  <c r="O48" i="29"/>
  <c r="N48" i="29"/>
  <c r="M48" i="29"/>
  <c r="K48" i="29"/>
  <c r="G48" i="29"/>
  <c r="E48" i="29"/>
  <c r="AC47" i="29"/>
  <c r="AB47" i="29"/>
  <c r="AA47" i="29"/>
  <c r="Z47" i="29"/>
  <c r="Y47" i="29"/>
  <c r="X47" i="29"/>
  <c r="W47" i="29"/>
  <c r="V47" i="29"/>
  <c r="U47" i="29"/>
  <c r="T47" i="29"/>
  <c r="S47" i="29"/>
  <c r="R47" i="29"/>
  <c r="Q47" i="29"/>
  <c r="P47" i="29"/>
  <c r="O47" i="29"/>
  <c r="N47" i="29"/>
  <c r="M47" i="29"/>
  <c r="K47" i="29"/>
  <c r="G47" i="29"/>
  <c r="E47" i="29"/>
  <c r="AC46" i="29"/>
  <c r="AB46" i="29"/>
  <c r="AA46" i="29"/>
  <c r="Z46" i="29"/>
  <c r="Y46" i="29"/>
  <c r="X46" i="29"/>
  <c r="W46" i="29"/>
  <c r="V46" i="29"/>
  <c r="U46" i="29"/>
  <c r="T46" i="29"/>
  <c r="S46" i="29"/>
  <c r="R46" i="29"/>
  <c r="Q46" i="29"/>
  <c r="P46" i="29"/>
  <c r="O46" i="29"/>
  <c r="N46" i="29"/>
  <c r="M46" i="29"/>
  <c r="K46" i="29"/>
  <c r="G46" i="29"/>
  <c r="E46" i="29"/>
  <c r="AC45" i="29"/>
  <c r="AB45" i="29"/>
  <c r="AA45" i="29"/>
  <c r="Z45" i="29"/>
  <c r="Y45" i="29"/>
  <c r="X45" i="29"/>
  <c r="W45" i="29"/>
  <c r="V45" i="29"/>
  <c r="U45" i="29"/>
  <c r="T45" i="29"/>
  <c r="S45" i="29"/>
  <c r="R45" i="29"/>
  <c r="Q45" i="29"/>
  <c r="P45" i="29"/>
  <c r="O45" i="29"/>
  <c r="N45" i="29"/>
  <c r="M45" i="29"/>
  <c r="K45" i="29"/>
  <c r="G45" i="29"/>
  <c r="E45" i="29"/>
  <c r="AC44" i="29"/>
  <c r="AB44" i="29"/>
  <c r="AA44" i="29"/>
  <c r="Z44" i="29"/>
  <c r="Y44" i="29"/>
  <c r="X44" i="29"/>
  <c r="W44" i="29"/>
  <c r="V44" i="29"/>
  <c r="U44" i="29"/>
  <c r="T44" i="29"/>
  <c r="S44" i="29"/>
  <c r="R44" i="29"/>
  <c r="Q44" i="29"/>
  <c r="P44" i="29"/>
  <c r="O44" i="29"/>
  <c r="N44" i="29"/>
  <c r="M44" i="29"/>
  <c r="K44" i="29"/>
  <c r="G44" i="29"/>
  <c r="E44" i="29"/>
  <c r="AC43" i="29"/>
  <c r="AB43" i="29"/>
  <c r="AA43" i="29"/>
  <c r="Z43" i="29"/>
  <c r="Y43" i="29"/>
  <c r="X43" i="29"/>
  <c r="W43" i="29"/>
  <c r="V43" i="29"/>
  <c r="U43" i="29"/>
  <c r="T43" i="29"/>
  <c r="S43" i="29"/>
  <c r="R43" i="29"/>
  <c r="Q43" i="29"/>
  <c r="P43" i="29"/>
  <c r="O43" i="29"/>
  <c r="N43" i="29"/>
  <c r="M43" i="29"/>
  <c r="K43" i="29"/>
  <c r="G43" i="29"/>
  <c r="E43" i="29"/>
  <c r="AC42" i="29"/>
  <c r="AB42" i="29"/>
  <c r="AA42" i="29"/>
  <c r="Z42" i="29"/>
  <c r="Y42" i="29"/>
  <c r="X42" i="29"/>
  <c r="W42" i="29"/>
  <c r="V42" i="29"/>
  <c r="U42" i="29"/>
  <c r="T42" i="29"/>
  <c r="S42" i="29"/>
  <c r="R42" i="29"/>
  <c r="Q42" i="29"/>
  <c r="P42" i="29"/>
  <c r="O42" i="29"/>
  <c r="N42" i="29"/>
  <c r="M42" i="29"/>
  <c r="K42" i="29"/>
  <c r="G42" i="29"/>
  <c r="AC41" i="29"/>
  <c r="AB41" i="29"/>
  <c r="AA41" i="29"/>
  <c r="Z41" i="29"/>
  <c r="Y41" i="29"/>
  <c r="X41" i="29"/>
  <c r="W41" i="29"/>
  <c r="V41" i="29"/>
  <c r="U41" i="29"/>
  <c r="T41" i="29"/>
  <c r="S41" i="29"/>
  <c r="R41" i="29"/>
  <c r="Q41" i="29"/>
  <c r="P41" i="29"/>
  <c r="O41" i="29"/>
  <c r="N41" i="29"/>
  <c r="M41" i="29"/>
  <c r="K41" i="29"/>
  <c r="G41" i="29"/>
  <c r="E41" i="29"/>
  <c r="AC40" i="29"/>
  <c r="AB40" i="29"/>
  <c r="AA40" i="29"/>
  <c r="Z40" i="29"/>
  <c r="Y40" i="29"/>
  <c r="X40" i="29"/>
  <c r="W40" i="29"/>
  <c r="V40" i="29"/>
  <c r="U40" i="29"/>
  <c r="T40" i="29"/>
  <c r="S40" i="29"/>
  <c r="R40" i="29"/>
  <c r="Q40" i="29"/>
  <c r="P40" i="29"/>
  <c r="O40" i="29"/>
  <c r="N40" i="29"/>
  <c r="M40" i="29"/>
  <c r="K40" i="29"/>
  <c r="G40" i="29"/>
  <c r="E40" i="29"/>
  <c r="AC39" i="29"/>
  <c r="AB39" i="29"/>
  <c r="AA39" i="29"/>
  <c r="Z39" i="29"/>
  <c r="Y39" i="29"/>
  <c r="X39" i="29"/>
  <c r="W39" i="29"/>
  <c r="V39" i="29"/>
  <c r="U39" i="29"/>
  <c r="T39" i="29"/>
  <c r="S39" i="29"/>
  <c r="R39" i="29"/>
  <c r="Q39" i="29"/>
  <c r="P39" i="29"/>
  <c r="O39" i="29"/>
  <c r="N39" i="29"/>
  <c r="M39" i="29"/>
  <c r="K39" i="29"/>
  <c r="G39" i="29"/>
  <c r="E39" i="29"/>
  <c r="AC38" i="29"/>
  <c r="AB38" i="29"/>
  <c r="AA38" i="29"/>
  <c r="Z38" i="29"/>
  <c r="Y38" i="29"/>
  <c r="X38" i="29"/>
  <c r="W38" i="29"/>
  <c r="V38" i="29"/>
  <c r="U38" i="29"/>
  <c r="T38" i="29"/>
  <c r="S38" i="29"/>
  <c r="R38" i="29"/>
  <c r="Q38" i="29"/>
  <c r="P38" i="29"/>
  <c r="O38" i="29"/>
  <c r="N38" i="29"/>
  <c r="M38" i="29"/>
  <c r="K38" i="29"/>
  <c r="G38" i="29"/>
  <c r="E38" i="29"/>
  <c r="AC37" i="29"/>
  <c r="AB37" i="29"/>
  <c r="AA37" i="29"/>
  <c r="Z37" i="29"/>
  <c r="Y37" i="29"/>
  <c r="X37" i="29"/>
  <c r="W37" i="29"/>
  <c r="V37" i="29"/>
  <c r="U37" i="29"/>
  <c r="T37" i="29"/>
  <c r="S37" i="29"/>
  <c r="R37" i="29"/>
  <c r="Q37" i="29"/>
  <c r="P37" i="29"/>
  <c r="O37" i="29"/>
  <c r="N37" i="29"/>
  <c r="M37" i="29"/>
  <c r="K37" i="29"/>
  <c r="G37" i="29"/>
  <c r="E37" i="29"/>
  <c r="AC36" i="29"/>
  <c r="AB36" i="29"/>
  <c r="AA36" i="29"/>
  <c r="Z36" i="29"/>
  <c r="Y36" i="29"/>
  <c r="X36" i="29"/>
  <c r="W36" i="29"/>
  <c r="V36" i="29"/>
  <c r="U36" i="29"/>
  <c r="T36" i="29"/>
  <c r="S36" i="29"/>
  <c r="R36" i="29"/>
  <c r="Q36" i="29"/>
  <c r="P36" i="29"/>
  <c r="O36" i="29"/>
  <c r="N36" i="29"/>
  <c r="M36" i="29"/>
  <c r="K36" i="29"/>
  <c r="G36" i="29"/>
  <c r="E36" i="29"/>
  <c r="AC35" i="29"/>
  <c r="AB35" i="29"/>
  <c r="AA35" i="29"/>
  <c r="Z35" i="29"/>
  <c r="Y35" i="29"/>
  <c r="X35" i="29"/>
  <c r="W35" i="29"/>
  <c r="V35" i="29"/>
  <c r="U35" i="29"/>
  <c r="T35" i="29"/>
  <c r="S35" i="29"/>
  <c r="R35" i="29"/>
  <c r="Q35" i="29"/>
  <c r="P35" i="29"/>
  <c r="O35" i="29"/>
  <c r="N35" i="29"/>
  <c r="M35" i="29"/>
  <c r="K35" i="29"/>
  <c r="G35" i="29"/>
  <c r="E35" i="29"/>
  <c r="AC34" i="29"/>
  <c r="AB34" i="29"/>
  <c r="AA34" i="29"/>
  <c r="Z34" i="29"/>
  <c r="Y34" i="29"/>
  <c r="X34" i="29"/>
  <c r="W34" i="29"/>
  <c r="V34" i="29"/>
  <c r="U34" i="29"/>
  <c r="T34" i="29"/>
  <c r="S34" i="29"/>
  <c r="R34" i="29"/>
  <c r="Q34" i="29"/>
  <c r="P34" i="29"/>
  <c r="O34" i="29"/>
  <c r="N34" i="29"/>
  <c r="M34" i="29"/>
  <c r="K34" i="29"/>
  <c r="G34" i="29"/>
  <c r="E34" i="29"/>
  <c r="AC33" i="29"/>
  <c r="AB33" i="29"/>
  <c r="AA33" i="29"/>
  <c r="Z33" i="29"/>
  <c r="Y33" i="29"/>
  <c r="X33" i="29"/>
  <c r="W33" i="29"/>
  <c r="V33" i="29"/>
  <c r="U33" i="29"/>
  <c r="T33" i="29"/>
  <c r="S33" i="29"/>
  <c r="R33" i="29"/>
  <c r="Q33" i="29"/>
  <c r="P33" i="29"/>
  <c r="O33" i="29"/>
  <c r="N33" i="29"/>
  <c r="M33" i="29"/>
  <c r="K33" i="29"/>
  <c r="G33" i="29"/>
  <c r="E33" i="29"/>
  <c r="AC32" i="29"/>
  <c r="AB32" i="29"/>
  <c r="AA32" i="29"/>
  <c r="Z32" i="29"/>
  <c r="Y32" i="29"/>
  <c r="X32" i="29"/>
  <c r="W32" i="29"/>
  <c r="V32" i="29"/>
  <c r="U32" i="29"/>
  <c r="T32" i="29"/>
  <c r="S32" i="29"/>
  <c r="R32" i="29"/>
  <c r="Q32" i="29"/>
  <c r="P32" i="29"/>
  <c r="O32" i="29"/>
  <c r="N32" i="29"/>
  <c r="M32" i="29"/>
  <c r="K32" i="29"/>
  <c r="G32" i="29"/>
  <c r="E32" i="29"/>
  <c r="AC31" i="29"/>
  <c r="AB31" i="29"/>
  <c r="AA31" i="29"/>
  <c r="Z31" i="29"/>
  <c r="Y31" i="29"/>
  <c r="X31" i="29"/>
  <c r="W31" i="29"/>
  <c r="V31" i="29"/>
  <c r="U31" i="29"/>
  <c r="T31" i="29"/>
  <c r="S31" i="29"/>
  <c r="R31" i="29"/>
  <c r="Q31" i="29"/>
  <c r="P31" i="29"/>
  <c r="O31" i="29"/>
  <c r="N31" i="29"/>
  <c r="M31" i="29"/>
  <c r="K31" i="29"/>
  <c r="G31" i="29"/>
  <c r="E31" i="29"/>
  <c r="AC30" i="29"/>
  <c r="AB30" i="29"/>
  <c r="AA30" i="29"/>
  <c r="Z30" i="29"/>
  <c r="Y30" i="29"/>
  <c r="X30" i="29"/>
  <c r="W30" i="29"/>
  <c r="V30" i="29"/>
  <c r="U30" i="29"/>
  <c r="T30" i="29"/>
  <c r="S30" i="29"/>
  <c r="R30" i="29"/>
  <c r="Q30" i="29"/>
  <c r="P30" i="29"/>
  <c r="O30" i="29"/>
  <c r="N30" i="29"/>
  <c r="M30" i="29"/>
  <c r="K30" i="29"/>
  <c r="G30" i="29"/>
  <c r="E30" i="29"/>
  <c r="AC29" i="29"/>
  <c r="AB29" i="29"/>
  <c r="AA29" i="29"/>
  <c r="Z29" i="29"/>
  <c r="Y29" i="29"/>
  <c r="X29" i="29"/>
  <c r="W29" i="29"/>
  <c r="V29" i="29"/>
  <c r="U29" i="29"/>
  <c r="T29" i="29"/>
  <c r="S29" i="29"/>
  <c r="R29" i="29"/>
  <c r="Q29" i="29"/>
  <c r="P29" i="29"/>
  <c r="O29" i="29"/>
  <c r="N29" i="29"/>
  <c r="M29" i="29"/>
  <c r="K29" i="29"/>
  <c r="G29" i="29"/>
  <c r="E29" i="29"/>
  <c r="AC24" i="29"/>
  <c r="AB24" i="29"/>
  <c r="AA24" i="29"/>
  <c r="Z24" i="29"/>
  <c r="Y24" i="29"/>
  <c r="X24" i="29"/>
  <c r="W24" i="29"/>
  <c r="V24" i="29"/>
  <c r="U24" i="29"/>
  <c r="T24" i="29"/>
  <c r="S24" i="29"/>
  <c r="R24" i="29"/>
  <c r="Q24" i="29"/>
  <c r="P24" i="29"/>
  <c r="O24" i="29"/>
  <c r="N24" i="29"/>
  <c r="M24" i="29"/>
  <c r="K24" i="29"/>
  <c r="G24" i="29"/>
  <c r="E24" i="29"/>
  <c r="AC23" i="29"/>
  <c r="AB23" i="29"/>
  <c r="AA23" i="29"/>
  <c r="Z23" i="29"/>
  <c r="Y23" i="29"/>
  <c r="X23" i="29"/>
  <c r="W23" i="29"/>
  <c r="V23" i="29"/>
  <c r="U23" i="29"/>
  <c r="T23" i="29"/>
  <c r="S23" i="29"/>
  <c r="R23" i="29"/>
  <c r="Q23" i="29"/>
  <c r="P23" i="29"/>
  <c r="O23" i="29"/>
  <c r="N23" i="29"/>
  <c r="M23" i="29"/>
  <c r="K23" i="29"/>
  <c r="G23" i="29"/>
  <c r="E23" i="29"/>
  <c r="AC22" i="29"/>
  <c r="AB22" i="29"/>
  <c r="AA22" i="29"/>
  <c r="Z22" i="29"/>
  <c r="Y22" i="29"/>
  <c r="X22" i="29"/>
  <c r="W22" i="29"/>
  <c r="V22" i="29"/>
  <c r="U22" i="29"/>
  <c r="T22" i="29"/>
  <c r="S22" i="29"/>
  <c r="R22" i="29"/>
  <c r="Q22" i="29"/>
  <c r="P22" i="29"/>
  <c r="O22" i="29"/>
  <c r="N22" i="29"/>
  <c r="M22" i="29"/>
  <c r="K22" i="29"/>
  <c r="G22" i="29"/>
  <c r="E22" i="29"/>
  <c r="AC21" i="29"/>
  <c r="AB21" i="29"/>
  <c r="AA21" i="29"/>
  <c r="Z21" i="29"/>
  <c r="Y21" i="29"/>
  <c r="X21" i="29"/>
  <c r="W21" i="29"/>
  <c r="V21" i="29"/>
  <c r="U21" i="29"/>
  <c r="T21" i="29"/>
  <c r="S21" i="29"/>
  <c r="R21" i="29"/>
  <c r="Q21" i="29"/>
  <c r="P21" i="29"/>
  <c r="O21" i="29"/>
  <c r="N21" i="29"/>
  <c r="M21" i="29"/>
  <c r="K21" i="29"/>
  <c r="G21" i="29"/>
  <c r="AC20" i="29"/>
  <c r="AB20" i="29"/>
  <c r="AA20" i="29"/>
  <c r="Z20" i="29"/>
  <c r="Y20" i="29"/>
  <c r="X20" i="29"/>
  <c r="W20" i="29"/>
  <c r="V20" i="29"/>
  <c r="U20" i="29"/>
  <c r="T20" i="29"/>
  <c r="S20" i="29"/>
  <c r="R20" i="29"/>
  <c r="Q20" i="29"/>
  <c r="P20" i="29"/>
  <c r="O20" i="29"/>
  <c r="N20" i="29"/>
  <c r="M20" i="29"/>
  <c r="K20" i="29"/>
  <c r="G20" i="29"/>
  <c r="AC19" i="29"/>
  <c r="AB19" i="29"/>
  <c r="AA19" i="29"/>
  <c r="Z19" i="29"/>
  <c r="Y19" i="29"/>
  <c r="X19" i="29"/>
  <c r="W19" i="29"/>
  <c r="V19" i="29"/>
  <c r="U19" i="29"/>
  <c r="T19" i="29"/>
  <c r="S19" i="29"/>
  <c r="R19" i="29"/>
  <c r="Q19" i="29"/>
  <c r="P19" i="29"/>
  <c r="O19" i="29"/>
  <c r="N19" i="29"/>
  <c r="M19" i="29"/>
  <c r="K19" i="29"/>
  <c r="G19" i="29"/>
  <c r="E19" i="29"/>
  <c r="AC18" i="29"/>
  <c r="AB18" i="29"/>
  <c r="AA18" i="29"/>
  <c r="Z18" i="29"/>
  <c r="Y18" i="29"/>
  <c r="X18" i="29"/>
  <c r="W18" i="29"/>
  <c r="V18" i="29"/>
  <c r="U18" i="29"/>
  <c r="T18" i="29"/>
  <c r="S18" i="29"/>
  <c r="R18" i="29"/>
  <c r="Q18" i="29"/>
  <c r="P18" i="29"/>
  <c r="O18" i="29"/>
  <c r="N18" i="29"/>
  <c r="M18" i="29"/>
  <c r="K18" i="29"/>
  <c r="G18" i="29"/>
  <c r="E18" i="29"/>
  <c r="AC17" i="29"/>
  <c r="AB17" i="29"/>
  <c r="AA17" i="29"/>
  <c r="Z17" i="29"/>
  <c r="Y17" i="29"/>
  <c r="X17" i="29"/>
  <c r="W17" i="29"/>
  <c r="V17" i="29"/>
  <c r="U17" i="29"/>
  <c r="T17" i="29"/>
  <c r="S17" i="29"/>
  <c r="R17" i="29"/>
  <c r="Q17" i="29"/>
  <c r="P17" i="29"/>
  <c r="O17" i="29"/>
  <c r="N17" i="29"/>
  <c r="M17" i="29"/>
  <c r="K17" i="29"/>
  <c r="G17" i="29"/>
  <c r="E17" i="29"/>
  <c r="AC16" i="29"/>
  <c r="AB16" i="29"/>
  <c r="AA16" i="29"/>
  <c r="Z16" i="29"/>
  <c r="Y16" i="29"/>
  <c r="X16" i="29"/>
  <c r="W16" i="29"/>
  <c r="V16" i="29"/>
  <c r="U16" i="29"/>
  <c r="T16" i="29"/>
  <c r="S16" i="29"/>
  <c r="R16" i="29"/>
  <c r="Q16" i="29"/>
  <c r="P16" i="29"/>
  <c r="O16" i="29"/>
  <c r="N16" i="29"/>
  <c r="M16" i="29"/>
  <c r="K16" i="29"/>
  <c r="G16" i="29"/>
  <c r="E16" i="29"/>
  <c r="AC15" i="29"/>
  <c r="AB15" i="29"/>
  <c r="AA15" i="29"/>
  <c r="Z15" i="29"/>
  <c r="Y15" i="29"/>
  <c r="X15" i="29"/>
  <c r="W15" i="29"/>
  <c r="V15" i="29"/>
  <c r="U15" i="29"/>
  <c r="T15" i="29"/>
  <c r="S15" i="29"/>
  <c r="R15" i="29"/>
  <c r="Q15" i="29"/>
  <c r="P15" i="29"/>
  <c r="O15" i="29"/>
  <c r="N15" i="29"/>
  <c r="M15" i="29"/>
  <c r="K15" i="29"/>
  <c r="G15" i="29"/>
  <c r="E15" i="29"/>
  <c r="AC14" i="29"/>
  <c r="AB14" i="29"/>
  <c r="AA14" i="29"/>
  <c r="Z14" i="29"/>
  <c r="Y14" i="29"/>
  <c r="X14" i="29"/>
  <c r="W14" i="29"/>
  <c r="V14" i="29"/>
  <c r="U14" i="29"/>
  <c r="T14" i="29"/>
  <c r="S14" i="29"/>
  <c r="R14" i="29"/>
  <c r="Q14" i="29"/>
  <c r="P14" i="29"/>
  <c r="O14" i="29"/>
  <c r="N14" i="29"/>
  <c r="M14" i="29"/>
  <c r="K14" i="29"/>
  <c r="G14" i="29"/>
  <c r="E14" i="29"/>
  <c r="AC13" i="29"/>
  <c r="AB13" i="29"/>
  <c r="AA13" i="29"/>
  <c r="Z13" i="29"/>
  <c r="Y13" i="29"/>
  <c r="X13" i="29"/>
  <c r="W13" i="29"/>
  <c r="V13" i="29"/>
  <c r="U13" i="29"/>
  <c r="T13" i="29"/>
  <c r="S13" i="29"/>
  <c r="R13" i="29"/>
  <c r="Q13" i="29"/>
  <c r="P13" i="29"/>
  <c r="O13" i="29"/>
  <c r="N13" i="29"/>
  <c r="M13" i="29"/>
  <c r="K13" i="29"/>
  <c r="G13" i="29"/>
  <c r="E13" i="29"/>
  <c r="AC12" i="29"/>
  <c r="AB12" i="29"/>
  <c r="AA12" i="29"/>
  <c r="Z12" i="29"/>
  <c r="Y12" i="29"/>
  <c r="X12" i="29"/>
  <c r="W12" i="29"/>
  <c r="V12" i="29"/>
  <c r="U12" i="29"/>
  <c r="T12" i="29"/>
  <c r="S12" i="29"/>
  <c r="R12" i="29"/>
  <c r="Q12" i="29"/>
  <c r="P12" i="29"/>
  <c r="O12" i="29"/>
  <c r="N12" i="29"/>
  <c r="M12" i="29"/>
  <c r="K12" i="29"/>
  <c r="G12" i="29"/>
  <c r="E12" i="29"/>
  <c r="AC11" i="29"/>
  <c r="AB11" i="29"/>
  <c r="AA11" i="29"/>
  <c r="Z11" i="29"/>
  <c r="Y11" i="29"/>
  <c r="X11" i="29"/>
  <c r="W11" i="29"/>
  <c r="V11" i="29"/>
  <c r="U11" i="29"/>
  <c r="T11" i="29"/>
  <c r="S11" i="29"/>
  <c r="R11" i="29"/>
  <c r="Q11" i="29"/>
  <c r="P11" i="29"/>
  <c r="O11" i="29"/>
  <c r="N11" i="29"/>
  <c r="M11" i="29"/>
  <c r="K11" i="29"/>
  <c r="G11" i="29"/>
  <c r="E11" i="29"/>
  <c r="AC10" i="29"/>
  <c r="AB10" i="29"/>
  <c r="AA10" i="29"/>
  <c r="Z10" i="29"/>
  <c r="Y10" i="29"/>
  <c r="X10" i="29"/>
  <c r="W10" i="29"/>
  <c r="V10" i="29"/>
  <c r="U10" i="29"/>
  <c r="T10" i="29"/>
  <c r="S10" i="29"/>
  <c r="R10" i="29"/>
  <c r="Q10" i="29"/>
  <c r="P10" i="29"/>
  <c r="O10" i="29"/>
  <c r="N10" i="29"/>
  <c r="M10" i="29"/>
  <c r="K10" i="29"/>
  <c r="G10" i="29"/>
  <c r="E10" i="29"/>
  <c r="AC9" i="29"/>
  <c r="AB9" i="29"/>
  <c r="AA9" i="29"/>
  <c r="Z9" i="29"/>
  <c r="Y9" i="29"/>
  <c r="X9" i="29"/>
  <c r="W9" i="29"/>
  <c r="V9" i="29"/>
  <c r="U9" i="29"/>
  <c r="T9" i="29"/>
  <c r="S9" i="29"/>
  <c r="R9" i="29"/>
  <c r="Q9" i="29"/>
  <c r="P9" i="29"/>
  <c r="O9" i="29"/>
  <c r="N9" i="29"/>
  <c r="M9" i="29"/>
  <c r="K9" i="29"/>
  <c r="G9" i="29"/>
  <c r="E9" i="29"/>
  <c r="AC8" i="29"/>
  <c r="AB8" i="29"/>
  <c r="AA8" i="29"/>
  <c r="Z8" i="29"/>
  <c r="Y8" i="29"/>
  <c r="X8" i="29"/>
  <c r="W8" i="29"/>
  <c r="V8" i="29"/>
  <c r="U8" i="29"/>
  <c r="T8" i="29"/>
  <c r="S8" i="29"/>
  <c r="R8" i="29"/>
  <c r="Q8" i="29"/>
  <c r="P8" i="29"/>
  <c r="O8" i="29"/>
  <c r="N8" i="29"/>
  <c r="M8" i="29"/>
  <c r="K8" i="29"/>
  <c r="G8" i="29"/>
  <c r="E8" i="29"/>
  <c r="AC7" i="29"/>
  <c r="AB7" i="29"/>
  <c r="AA7" i="29"/>
  <c r="Z7" i="29"/>
  <c r="Y7" i="29"/>
  <c r="X7" i="29"/>
  <c r="W7" i="29"/>
  <c r="V7" i="29"/>
  <c r="U7" i="29"/>
  <c r="T7" i="29"/>
  <c r="S7" i="29"/>
  <c r="R7" i="29"/>
  <c r="Q7" i="29"/>
  <c r="P7" i="29"/>
  <c r="O7" i="29"/>
  <c r="N7" i="29"/>
  <c r="M7" i="29"/>
  <c r="K7" i="29"/>
  <c r="G7" i="29"/>
  <c r="E7" i="29"/>
  <c r="AC6" i="29"/>
  <c r="AB6" i="29"/>
  <c r="AA6" i="29"/>
  <c r="Z6" i="29"/>
  <c r="Y6" i="29"/>
  <c r="X6" i="29"/>
  <c r="W6" i="29"/>
  <c r="V6" i="29"/>
  <c r="U6" i="29"/>
  <c r="T6" i="29"/>
  <c r="S6" i="29"/>
  <c r="R6" i="29"/>
  <c r="Q6" i="29"/>
  <c r="P6" i="29"/>
  <c r="O6" i="29"/>
  <c r="N6" i="29"/>
  <c r="M6" i="29"/>
  <c r="K6" i="29"/>
  <c r="G6" i="29"/>
  <c r="E6" i="29"/>
  <c r="AC5" i="29"/>
  <c r="AB5" i="29"/>
  <c r="AA5" i="29"/>
  <c r="Z5" i="29"/>
  <c r="Y5" i="29"/>
  <c r="X5" i="29"/>
  <c r="W5" i="29"/>
  <c r="V5" i="29"/>
  <c r="U5" i="29"/>
  <c r="T5" i="29"/>
  <c r="S5" i="29"/>
  <c r="R5" i="29"/>
  <c r="Q5" i="29"/>
  <c r="P5" i="29"/>
  <c r="O5" i="29"/>
  <c r="N5" i="29"/>
  <c r="M5" i="29"/>
  <c r="K5" i="29"/>
  <c r="G5" i="29"/>
  <c r="E5" i="29"/>
  <c r="H114" i="11"/>
  <c r="D114" i="11"/>
  <c r="B114" i="11"/>
  <c r="A114" i="11"/>
  <c r="H113" i="11"/>
  <c r="D113" i="11"/>
  <c r="B113" i="11"/>
  <c r="A113" i="11"/>
  <c r="H112" i="11"/>
  <c r="D112" i="11"/>
  <c r="B112" i="11"/>
  <c r="A112" i="11"/>
  <c r="H111" i="11"/>
  <c r="D111" i="11"/>
  <c r="B111" i="11"/>
  <c r="A111" i="11"/>
  <c r="H110" i="11"/>
  <c r="D110" i="11"/>
  <c r="B110" i="11"/>
  <c r="A110" i="11"/>
  <c r="H109" i="11"/>
  <c r="D109" i="11"/>
  <c r="B109" i="11"/>
  <c r="A109" i="11"/>
  <c r="H108" i="11"/>
  <c r="D108" i="11"/>
  <c r="B108" i="11"/>
  <c r="A108" i="11"/>
  <c r="H107" i="11"/>
  <c r="D107" i="11"/>
  <c r="B107" i="11"/>
  <c r="A107" i="11"/>
  <c r="H106" i="11"/>
  <c r="D106" i="11"/>
  <c r="B106" i="11"/>
  <c r="A106" i="11"/>
  <c r="H105" i="11"/>
  <c r="D105" i="11"/>
  <c r="B105" i="11"/>
  <c r="A105" i="11"/>
  <c r="H104" i="11"/>
  <c r="D104" i="11"/>
  <c r="B104" i="11"/>
  <c r="H103" i="11"/>
  <c r="D103" i="11"/>
  <c r="B103" i="11"/>
  <c r="A103" i="11"/>
  <c r="H102" i="11"/>
  <c r="D102" i="11"/>
  <c r="B102" i="11"/>
  <c r="A102" i="11"/>
  <c r="H101" i="11"/>
  <c r="D101" i="11"/>
  <c r="B101" i="11"/>
  <c r="A101" i="11"/>
  <c r="H100" i="11"/>
  <c r="D100" i="11"/>
  <c r="B100" i="11"/>
  <c r="A100" i="11"/>
  <c r="H99" i="11"/>
  <c r="D99" i="11"/>
  <c r="B99" i="11"/>
  <c r="A99" i="11"/>
  <c r="H98" i="11"/>
  <c r="D98" i="11"/>
  <c r="B98" i="11"/>
  <c r="A98" i="11"/>
  <c r="H97" i="11"/>
  <c r="D97" i="11"/>
  <c r="B97" i="11"/>
  <c r="A97" i="11"/>
  <c r="H96" i="11"/>
  <c r="D96" i="11"/>
  <c r="B96" i="11"/>
  <c r="A96" i="11"/>
  <c r="H95" i="11"/>
  <c r="D95" i="11"/>
  <c r="B95" i="11"/>
  <c r="A95" i="11"/>
  <c r="D94" i="11"/>
  <c r="B94" i="11"/>
  <c r="A94" i="11"/>
  <c r="H93" i="11"/>
  <c r="D93" i="11"/>
  <c r="B93" i="11"/>
  <c r="A93" i="11"/>
  <c r="H92" i="11"/>
  <c r="D92" i="11"/>
  <c r="B92" i="11"/>
  <c r="A92" i="11"/>
  <c r="H91" i="11"/>
  <c r="D91" i="11"/>
  <c r="B91" i="11"/>
  <c r="A91" i="11"/>
  <c r="H90" i="11"/>
  <c r="D90" i="11"/>
  <c r="B90" i="11"/>
  <c r="A90" i="11"/>
  <c r="H89" i="11"/>
  <c r="D89" i="11"/>
  <c r="B89" i="11"/>
  <c r="A89" i="11"/>
  <c r="H88" i="11"/>
  <c r="D88" i="11"/>
  <c r="B88" i="11"/>
  <c r="A88" i="11"/>
  <c r="H87" i="11"/>
  <c r="D87" i="11"/>
  <c r="B87" i="11"/>
  <c r="A87" i="11"/>
  <c r="H86" i="11"/>
  <c r="D86" i="11"/>
  <c r="B86" i="11"/>
  <c r="A86" i="11"/>
  <c r="H85" i="11"/>
  <c r="D85" i="11"/>
  <c r="B85" i="11"/>
  <c r="A85" i="11"/>
  <c r="H84" i="11"/>
  <c r="D84" i="11"/>
  <c r="B84" i="11"/>
  <c r="A84" i="11"/>
  <c r="H83" i="11"/>
  <c r="D83" i="11"/>
  <c r="B83" i="11"/>
  <c r="A83" i="11"/>
  <c r="A82" i="11"/>
  <c r="A81" i="11"/>
  <c r="A80" i="11"/>
  <c r="H76" i="11"/>
  <c r="A76" i="11"/>
  <c r="H75" i="11"/>
  <c r="A75" i="11"/>
  <c r="H74" i="11"/>
  <c r="A74" i="11"/>
  <c r="H73" i="11"/>
  <c r="A73" i="11"/>
  <c r="H72" i="11"/>
  <c r="A72" i="11"/>
  <c r="H71" i="11"/>
  <c r="A71" i="11"/>
  <c r="H70" i="11"/>
  <c r="A70" i="11"/>
  <c r="H69" i="11"/>
  <c r="A69" i="11"/>
  <c r="H68" i="11"/>
  <c r="A68" i="11"/>
  <c r="H67" i="11"/>
  <c r="A67" i="11"/>
  <c r="H66" i="11"/>
  <c r="A66" i="11"/>
  <c r="H65" i="11"/>
  <c r="A65" i="11"/>
  <c r="H64" i="11"/>
  <c r="A64" i="11"/>
  <c r="H63" i="11"/>
  <c r="A63" i="11"/>
  <c r="H62" i="11"/>
  <c r="A62" i="11"/>
  <c r="H61" i="11"/>
  <c r="A61" i="11"/>
  <c r="H60" i="11"/>
  <c r="A60" i="11"/>
  <c r="H59" i="11"/>
  <c r="A59" i="11"/>
  <c r="H58" i="11"/>
  <c r="A58" i="11"/>
  <c r="H57" i="11"/>
  <c r="A57" i="11"/>
  <c r="H56" i="11"/>
  <c r="A56" i="11"/>
  <c r="H55" i="11"/>
  <c r="A55" i="11"/>
  <c r="H54" i="11"/>
  <c r="A54" i="11"/>
  <c r="H53" i="11"/>
  <c r="A53" i="11"/>
  <c r="H52" i="11"/>
  <c r="A52" i="11"/>
  <c r="Q48" i="11"/>
  <c r="O48" i="11"/>
  <c r="N48" i="11"/>
  <c r="M48" i="11"/>
  <c r="K48" i="11"/>
  <c r="H48" i="11"/>
  <c r="F48" i="11"/>
  <c r="E48" i="11"/>
  <c r="Q47" i="11"/>
  <c r="O47" i="11"/>
  <c r="N47" i="11"/>
  <c r="M47" i="11"/>
  <c r="K47" i="11"/>
  <c r="H47" i="11"/>
  <c r="F47" i="11"/>
  <c r="E47" i="11"/>
  <c r="Q46" i="11"/>
  <c r="O46" i="11"/>
  <c r="N46" i="11"/>
  <c r="M46" i="11"/>
  <c r="K46" i="11"/>
  <c r="H46" i="11"/>
  <c r="F46" i="11"/>
  <c r="E46" i="11"/>
  <c r="Q45" i="11"/>
  <c r="O45" i="11"/>
  <c r="N45" i="11"/>
  <c r="M45" i="11"/>
  <c r="K45" i="11"/>
  <c r="H45" i="11"/>
  <c r="F45" i="11"/>
  <c r="E45" i="11"/>
  <c r="Q44" i="11"/>
  <c r="O44" i="11"/>
  <c r="N44" i="11"/>
  <c r="M44" i="11"/>
  <c r="K44" i="11"/>
  <c r="H44" i="11"/>
  <c r="F44" i="11"/>
  <c r="E44" i="11"/>
  <c r="Q43" i="11"/>
  <c r="O43" i="11"/>
  <c r="N43" i="11"/>
  <c r="M43" i="11"/>
  <c r="K43" i="11"/>
  <c r="H43" i="11"/>
  <c r="F43" i="11"/>
  <c r="E43" i="11"/>
  <c r="Q42" i="11"/>
  <c r="O42" i="11"/>
  <c r="N42" i="11"/>
  <c r="M42" i="11"/>
  <c r="K42" i="11"/>
  <c r="H42" i="11"/>
  <c r="F42" i="11"/>
  <c r="E42" i="11"/>
  <c r="Q41" i="11"/>
  <c r="O41" i="11"/>
  <c r="N41" i="11"/>
  <c r="M41" i="11"/>
  <c r="K41" i="11"/>
  <c r="H41" i="11"/>
  <c r="F41" i="11"/>
  <c r="E41" i="11"/>
  <c r="Q40" i="11"/>
  <c r="O40" i="11"/>
  <c r="N40" i="11"/>
  <c r="M40" i="11"/>
  <c r="K40" i="11"/>
  <c r="H40" i="11"/>
  <c r="F40" i="11"/>
  <c r="E40" i="11"/>
  <c r="Q39" i="11"/>
  <c r="O39" i="11"/>
  <c r="N39" i="11"/>
  <c r="M39" i="11"/>
  <c r="K39" i="11"/>
  <c r="H39" i="11"/>
  <c r="F39" i="11"/>
  <c r="E39" i="11"/>
  <c r="K38" i="11"/>
  <c r="K37" i="11"/>
  <c r="K36" i="11"/>
  <c r="I36" i="11"/>
  <c r="Q35" i="11"/>
  <c r="O35" i="11"/>
  <c r="N35" i="11"/>
  <c r="M35" i="11"/>
  <c r="K35" i="11"/>
  <c r="H35" i="11"/>
  <c r="F35" i="11"/>
  <c r="E35" i="11"/>
  <c r="Q34" i="11"/>
  <c r="O34" i="11"/>
  <c r="N34" i="11"/>
  <c r="M34" i="11"/>
  <c r="K34" i="11"/>
  <c r="H34" i="11"/>
  <c r="F34" i="11"/>
  <c r="E34" i="11"/>
  <c r="Q33" i="11"/>
  <c r="O33" i="11"/>
  <c r="N33" i="11"/>
  <c r="M33" i="11"/>
  <c r="K33" i="11"/>
  <c r="H33" i="11"/>
  <c r="F33" i="11"/>
  <c r="E33" i="11"/>
  <c r="Q32" i="11"/>
  <c r="O32" i="11"/>
  <c r="N32" i="11"/>
  <c r="M32" i="11"/>
  <c r="K32" i="11"/>
  <c r="H32" i="11"/>
  <c r="F32" i="11"/>
  <c r="E32" i="11"/>
  <c r="Q31" i="11"/>
  <c r="O31" i="11"/>
  <c r="N31" i="11"/>
  <c r="M31" i="11"/>
  <c r="K31" i="11"/>
  <c r="H31" i="11"/>
  <c r="F31" i="11"/>
  <c r="E31" i="11"/>
  <c r="Q30" i="11"/>
  <c r="O30" i="11"/>
  <c r="N30" i="11"/>
  <c r="M30" i="11"/>
  <c r="K30" i="11"/>
  <c r="H30" i="11"/>
  <c r="F30" i="11"/>
  <c r="E30" i="11"/>
  <c r="Q29" i="11"/>
  <c r="O29" i="11"/>
  <c r="N29" i="11"/>
  <c r="M29" i="11"/>
  <c r="K29" i="11"/>
  <c r="H29" i="11"/>
  <c r="F29" i="11"/>
  <c r="E29" i="11"/>
  <c r="Q28" i="11"/>
  <c r="O28" i="11"/>
  <c r="N28" i="11"/>
  <c r="M28" i="11"/>
  <c r="K28" i="11"/>
  <c r="H28" i="11"/>
  <c r="F28" i="11"/>
  <c r="E28" i="11"/>
  <c r="Q27" i="11"/>
  <c r="O27" i="11"/>
  <c r="N27" i="11"/>
  <c r="M27" i="11"/>
  <c r="K27" i="11"/>
  <c r="H27" i="11"/>
  <c r="F27" i="11"/>
  <c r="E27" i="11"/>
  <c r="Q26" i="11"/>
  <c r="O26" i="11"/>
  <c r="N26" i="11"/>
  <c r="M26" i="11"/>
  <c r="K26" i="11"/>
  <c r="H26" i="11"/>
  <c r="F26" i="11"/>
  <c r="E26" i="11"/>
  <c r="K25" i="11"/>
  <c r="K24" i="11"/>
  <c r="K23" i="11"/>
  <c r="I23" i="11"/>
  <c r="K22" i="11"/>
  <c r="M21" i="11"/>
  <c r="K21" i="11"/>
  <c r="K20" i="11"/>
  <c r="Q19" i="11"/>
  <c r="O19" i="11"/>
  <c r="N19" i="11"/>
  <c r="M19" i="11"/>
  <c r="K19" i="11"/>
  <c r="H19" i="11"/>
  <c r="F19" i="11"/>
  <c r="E19" i="11"/>
  <c r="Q18" i="11"/>
  <c r="O18" i="11"/>
  <c r="N18" i="11"/>
  <c r="M18" i="11"/>
  <c r="K18" i="11"/>
  <c r="H18" i="11"/>
  <c r="F18" i="11"/>
  <c r="E18" i="11"/>
  <c r="Q17" i="11"/>
  <c r="O17" i="11"/>
  <c r="N17" i="11"/>
  <c r="M17" i="11"/>
  <c r="K17" i="11"/>
  <c r="H17" i="11"/>
  <c r="F17" i="11"/>
  <c r="E17" i="11"/>
  <c r="Q16" i="11"/>
  <c r="O16" i="11"/>
  <c r="N16" i="11"/>
  <c r="M16" i="11"/>
  <c r="K16" i="11"/>
  <c r="H16" i="11"/>
  <c r="F16" i="11"/>
  <c r="E16" i="11"/>
  <c r="Q15" i="11"/>
  <c r="O15" i="11"/>
  <c r="N15" i="11"/>
  <c r="M15" i="11"/>
  <c r="K15" i="11"/>
  <c r="H15" i="11"/>
  <c r="F15" i="11"/>
  <c r="E15" i="11"/>
  <c r="Q14" i="11"/>
  <c r="O14" i="11"/>
  <c r="N14" i="11"/>
  <c r="M14" i="11"/>
  <c r="K14" i="11"/>
  <c r="H14" i="11"/>
  <c r="F14" i="11"/>
  <c r="E14" i="11"/>
  <c r="Q13" i="11"/>
  <c r="O13" i="11"/>
  <c r="N13" i="11"/>
  <c r="M13" i="11"/>
  <c r="K13" i="11"/>
  <c r="H13" i="11"/>
  <c r="F13" i="11"/>
  <c r="E13" i="11"/>
  <c r="Q12" i="11"/>
  <c r="O12" i="11"/>
  <c r="N12" i="11"/>
  <c r="M12" i="11"/>
  <c r="K12" i="11"/>
  <c r="H12" i="11"/>
  <c r="F12" i="11"/>
  <c r="E12" i="11"/>
  <c r="Q11" i="11"/>
  <c r="O11" i="11"/>
  <c r="N11" i="11"/>
  <c r="M11" i="11"/>
  <c r="K11" i="11"/>
  <c r="H11" i="11"/>
  <c r="F11" i="11"/>
  <c r="E11" i="11"/>
  <c r="Q10" i="11"/>
  <c r="O10" i="11"/>
  <c r="N10" i="11"/>
  <c r="M10" i="11"/>
  <c r="K10" i="11"/>
  <c r="H10" i="11"/>
  <c r="F10" i="11"/>
  <c r="E10" i="11"/>
  <c r="Q9" i="11"/>
  <c r="O9" i="11"/>
  <c r="N9" i="11"/>
  <c r="M9" i="11"/>
  <c r="K9" i="11"/>
  <c r="H9" i="11"/>
  <c r="F9" i="11"/>
  <c r="E9" i="11"/>
  <c r="Q8" i="11"/>
  <c r="O8" i="11"/>
  <c r="N8" i="11"/>
  <c r="M8" i="11"/>
  <c r="K8" i="11"/>
  <c r="H8" i="11"/>
  <c r="F8" i="11"/>
  <c r="E8" i="11"/>
  <c r="O7" i="11"/>
  <c r="Q7" i="11" s="1"/>
  <c r="M7" i="11"/>
  <c r="K7" i="11"/>
  <c r="F7" i="11"/>
  <c r="H7" i="11" s="1"/>
  <c r="E7" i="11"/>
  <c r="J367" i="10" s="1"/>
  <c r="L367" i="10" s="1"/>
  <c r="O6" i="11"/>
  <c r="Q6" i="11" s="1"/>
  <c r="M6" i="11"/>
  <c r="K6" i="11"/>
  <c r="F6" i="11"/>
  <c r="H6" i="11" s="1"/>
  <c r="E6" i="11"/>
  <c r="J366" i="10" s="1"/>
  <c r="L366" i="10" s="1"/>
  <c r="O5" i="11"/>
  <c r="Q5" i="11" s="1"/>
  <c r="M5" i="11"/>
  <c r="K5" i="11"/>
  <c r="F5" i="11"/>
  <c r="B80" i="11" s="1"/>
  <c r="D80" i="11" s="1"/>
  <c r="E5" i="11"/>
  <c r="J365" i="10" s="1"/>
  <c r="L365" i="10" s="1"/>
  <c r="K4" i="11"/>
  <c r="K3" i="11"/>
  <c r="K2" i="11"/>
  <c r="I20" i="32"/>
  <c r="H20" i="32"/>
  <c r="F20" i="32"/>
  <c r="I18" i="32"/>
  <c r="H18" i="32"/>
  <c r="F18" i="32"/>
  <c r="I15" i="32"/>
  <c r="H15" i="32"/>
  <c r="F15" i="32"/>
  <c r="D3" i="32"/>
  <c r="F3" i="32" s="1"/>
  <c r="H3" i="32" s="1"/>
  <c r="I3" i="32" s="1"/>
  <c r="B454" i="10"/>
  <c r="B453" i="10"/>
  <c r="B452" i="10"/>
  <c r="B451" i="10"/>
  <c r="B450" i="10"/>
  <c r="B449" i="10"/>
  <c r="B448" i="10"/>
  <c r="B447" i="10"/>
  <c r="B446" i="10"/>
  <c r="B445" i="10"/>
  <c r="B444" i="10"/>
  <c r="B443" i="10"/>
  <c r="B442" i="10"/>
  <c r="B437" i="10"/>
  <c r="L437" i="10" s="1"/>
  <c r="B436" i="10"/>
  <c r="L436" i="10" s="1"/>
  <c r="J435" i="10"/>
  <c r="B435" i="10"/>
  <c r="D435" i="10" s="1"/>
  <c r="L434" i="10"/>
  <c r="B434" i="10"/>
  <c r="J434" i="10" s="1"/>
  <c r="L433" i="10"/>
  <c r="J433" i="10"/>
  <c r="B433" i="10"/>
  <c r="D433" i="10" s="1"/>
  <c r="D432" i="10"/>
  <c r="B432" i="10"/>
  <c r="L432" i="10" s="1"/>
  <c r="L431" i="10"/>
  <c r="J431" i="10"/>
  <c r="B431" i="10"/>
  <c r="D431" i="10" s="1"/>
  <c r="L430" i="10"/>
  <c r="J430" i="10"/>
  <c r="B430" i="10"/>
  <c r="D430" i="10" s="1"/>
  <c r="D429" i="10"/>
  <c r="B429" i="10"/>
  <c r="L429" i="10" s="1"/>
  <c r="L428" i="10"/>
  <c r="J428" i="10"/>
  <c r="B428" i="10"/>
  <c r="D428" i="10" s="1"/>
  <c r="L427" i="10"/>
  <c r="J427" i="10"/>
  <c r="B427" i="10"/>
  <c r="D427" i="10" s="1"/>
  <c r="D426" i="10"/>
  <c r="B426" i="10"/>
  <c r="L426" i="10" s="1"/>
  <c r="L425" i="10"/>
  <c r="J425" i="10"/>
  <c r="B425" i="10"/>
  <c r="D425" i="10" s="1"/>
  <c r="B424" i="10"/>
  <c r="D424" i="10" s="1"/>
  <c r="B423" i="10"/>
  <c r="L423" i="10" s="1"/>
  <c r="L422" i="10"/>
  <c r="B422" i="10"/>
  <c r="J422" i="10" s="1"/>
  <c r="L421" i="10"/>
  <c r="J421" i="10"/>
  <c r="B421" i="10"/>
  <c r="D421" i="10" s="1"/>
  <c r="B420" i="10"/>
  <c r="L420" i="10" s="1"/>
  <c r="L419" i="10"/>
  <c r="B419" i="10"/>
  <c r="J419" i="10" s="1"/>
  <c r="L418" i="10"/>
  <c r="J418" i="10"/>
  <c r="B418" i="10"/>
  <c r="D418" i="10" s="1"/>
  <c r="L416" i="10"/>
  <c r="B416" i="10"/>
  <c r="J416" i="10" s="1"/>
  <c r="L415" i="10"/>
  <c r="B415" i="10"/>
  <c r="D415" i="10" s="1"/>
  <c r="B414" i="10"/>
  <c r="L414" i="10" s="1"/>
  <c r="B413" i="10"/>
  <c r="J413" i="10" s="1"/>
  <c r="L412" i="10"/>
  <c r="J412" i="10"/>
  <c r="B412" i="10"/>
  <c r="D412" i="10" s="1"/>
  <c r="B411" i="10"/>
  <c r="L411" i="10" s="1"/>
  <c r="B410" i="10"/>
  <c r="J410" i="10" s="1"/>
  <c r="L409" i="10"/>
  <c r="J409" i="10"/>
  <c r="D409" i="10"/>
  <c r="B409" i="10"/>
  <c r="B408" i="10"/>
  <c r="L408" i="10" s="1"/>
  <c r="B407" i="10"/>
  <c r="J407" i="10" s="1"/>
  <c r="D406" i="10"/>
  <c r="B406" i="10"/>
  <c r="L406" i="10" s="1"/>
  <c r="B405" i="10"/>
  <c r="L405" i="10" s="1"/>
  <c r="B404" i="10"/>
  <c r="J404" i="10" s="1"/>
  <c r="B403" i="10"/>
  <c r="L403" i="10" s="1"/>
  <c r="B402" i="10"/>
  <c r="L402" i="10" s="1"/>
  <c r="B401" i="10"/>
  <c r="J401" i="10" s="1"/>
  <c r="B400" i="10"/>
  <c r="J400" i="10" s="1"/>
  <c r="B399" i="10"/>
  <c r="L399" i="10" s="1"/>
  <c r="D398" i="10"/>
  <c r="B398" i="10"/>
  <c r="L398" i="10" s="1"/>
  <c r="B397" i="10"/>
  <c r="L397" i="10" s="1"/>
  <c r="L395" i="10"/>
  <c r="J395" i="10"/>
  <c r="D395" i="10"/>
  <c r="B395" i="10"/>
  <c r="L394" i="10"/>
  <c r="J394" i="10"/>
  <c r="D394" i="10"/>
  <c r="B394" i="10"/>
  <c r="L393" i="10"/>
  <c r="J393" i="10"/>
  <c r="D393" i="10"/>
  <c r="B393" i="10"/>
  <c r="L392" i="10"/>
  <c r="J392" i="10"/>
  <c r="D392" i="10"/>
  <c r="B392" i="10"/>
  <c r="L391" i="10"/>
  <c r="J391" i="10"/>
  <c r="D391" i="10"/>
  <c r="B391" i="10"/>
  <c r="L390" i="10"/>
  <c r="J390" i="10"/>
  <c r="D390" i="10"/>
  <c r="B390" i="10"/>
  <c r="L389" i="10"/>
  <c r="J389" i="10"/>
  <c r="D389" i="10"/>
  <c r="B389" i="10"/>
  <c r="L388" i="10"/>
  <c r="J388" i="10"/>
  <c r="D388" i="10"/>
  <c r="B388" i="10"/>
  <c r="L387" i="10"/>
  <c r="J387" i="10"/>
  <c r="D387" i="10"/>
  <c r="B387" i="10"/>
  <c r="L386" i="10"/>
  <c r="J386" i="10"/>
  <c r="D386" i="10"/>
  <c r="B386" i="10"/>
  <c r="L385" i="10"/>
  <c r="J385" i="10"/>
  <c r="D385" i="10"/>
  <c r="B385" i="10"/>
  <c r="L384" i="10"/>
  <c r="J384" i="10"/>
  <c r="D384" i="10"/>
  <c r="B384" i="10"/>
  <c r="L383" i="10"/>
  <c r="J383" i="10"/>
  <c r="D383" i="10"/>
  <c r="B383" i="10"/>
  <c r="L382" i="10"/>
  <c r="J382" i="10"/>
  <c r="D382" i="10"/>
  <c r="B382" i="10"/>
  <c r="L381" i="10"/>
  <c r="J381" i="10"/>
  <c r="D381" i="10"/>
  <c r="B381" i="10"/>
  <c r="L380" i="10"/>
  <c r="J380" i="10"/>
  <c r="D380" i="10"/>
  <c r="B380" i="10"/>
  <c r="L379" i="10"/>
  <c r="J379" i="10"/>
  <c r="D379" i="10"/>
  <c r="B379" i="10"/>
  <c r="L378" i="10"/>
  <c r="J378" i="10"/>
  <c r="D378" i="10"/>
  <c r="B378" i="10"/>
  <c r="L377" i="10"/>
  <c r="J377" i="10"/>
  <c r="D377" i="10"/>
  <c r="B377" i="10"/>
  <c r="L376" i="10"/>
  <c r="J376" i="10"/>
  <c r="D376" i="10"/>
  <c r="B376" i="10"/>
  <c r="L375" i="10"/>
  <c r="L374" i="10"/>
  <c r="J374" i="10"/>
  <c r="D374" i="10"/>
  <c r="B374" i="10"/>
  <c r="L373" i="10"/>
  <c r="J373" i="10"/>
  <c r="D373" i="10"/>
  <c r="B373" i="10"/>
  <c r="L372" i="10"/>
  <c r="J372" i="10"/>
  <c r="D372" i="10"/>
  <c r="B372" i="10"/>
  <c r="L371" i="10"/>
  <c r="J371" i="10"/>
  <c r="D371" i="10"/>
  <c r="B371" i="10"/>
  <c r="L370" i="10"/>
  <c r="J370" i="10"/>
  <c r="D370" i="10"/>
  <c r="B370" i="10"/>
  <c r="L369" i="10"/>
  <c r="J369" i="10"/>
  <c r="D369" i="10"/>
  <c r="B369" i="10"/>
  <c r="L368" i="10"/>
  <c r="J368" i="10"/>
  <c r="D368" i="10"/>
  <c r="B368" i="10"/>
  <c r="B367" i="10"/>
  <c r="B366" i="10"/>
  <c r="B365" i="10"/>
  <c r="L362" i="10"/>
  <c r="L361" i="10"/>
  <c r="J359" i="10"/>
  <c r="L359" i="10" s="1"/>
  <c r="B359" i="10"/>
  <c r="J358" i="10"/>
  <c r="L358" i="10" s="1"/>
  <c r="B358" i="10"/>
  <c r="J357" i="10"/>
  <c r="L357" i="10" s="1"/>
  <c r="B357" i="10"/>
  <c r="J356" i="10"/>
  <c r="L356" i="10" s="1"/>
  <c r="B356" i="10"/>
  <c r="J355" i="10"/>
  <c r="L355" i="10" s="1"/>
  <c r="B355" i="10"/>
  <c r="J354" i="10"/>
  <c r="L354" i="10" s="1"/>
  <c r="B354" i="10"/>
  <c r="L353" i="10"/>
  <c r="J353" i="10"/>
  <c r="B353" i="10"/>
  <c r="J352" i="10"/>
  <c r="L352" i="10" s="1"/>
  <c r="B352" i="10"/>
  <c r="J351" i="10"/>
  <c r="L351" i="10" s="1"/>
  <c r="B351" i="10"/>
  <c r="L350" i="10"/>
  <c r="J350" i="10"/>
  <c r="B350" i="10"/>
  <c r="J349" i="10"/>
  <c r="L349" i="10" s="1"/>
  <c r="B349" i="10"/>
  <c r="J348" i="10"/>
  <c r="L348" i="10" s="1"/>
  <c r="B348" i="10"/>
  <c r="J347" i="10"/>
  <c r="L347" i="10" s="1"/>
  <c r="B347" i="10"/>
  <c r="J346" i="10"/>
  <c r="L346" i="10" s="1"/>
  <c r="B346" i="10"/>
  <c r="B345" i="10"/>
  <c r="J344" i="10"/>
  <c r="L344" i="10" s="1"/>
  <c r="B344" i="10"/>
  <c r="J343" i="10"/>
  <c r="L343" i="10" s="1"/>
  <c r="B343" i="10"/>
  <c r="B342" i="10"/>
  <c r="B341" i="10"/>
  <c r="B340" i="10"/>
  <c r="B338" i="10"/>
  <c r="B337" i="10"/>
  <c r="B336" i="10"/>
  <c r="B335" i="10"/>
  <c r="B334" i="10"/>
  <c r="B333" i="10"/>
  <c r="B332" i="10"/>
  <c r="B331" i="10"/>
  <c r="B330" i="10"/>
  <c r="B329" i="10"/>
  <c r="J328" i="10"/>
  <c r="L328" i="10" s="1"/>
  <c r="B328" i="10"/>
  <c r="B327" i="10"/>
  <c r="B326" i="10"/>
  <c r="B325" i="10"/>
  <c r="B324" i="10"/>
  <c r="B323" i="10"/>
  <c r="B322" i="10"/>
  <c r="B321" i="10"/>
  <c r="B320" i="10"/>
  <c r="B319" i="10"/>
  <c r="J118" i="10"/>
  <c r="I118" i="10"/>
  <c r="H118" i="10"/>
  <c r="G118" i="10"/>
  <c r="F118" i="10"/>
  <c r="E118" i="10"/>
  <c r="D118" i="10"/>
  <c r="J88" i="10"/>
  <c r="I88" i="10"/>
  <c r="H88" i="10"/>
  <c r="G88" i="10"/>
  <c r="F88" i="10"/>
  <c r="E88" i="10"/>
  <c r="D88" i="10"/>
  <c r="J58" i="10"/>
  <c r="I58" i="10"/>
  <c r="H58" i="10"/>
  <c r="G58" i="10"/>
  <c r="F58" i="10"/>
  <c r="E58" i="10"/>
  <c r="D58" i="10"/>
  <c r="J28" i="10"/>
  <c r="I28" i="10"/>
  <c r="H28" i="10"/>
  <c r="G28" i="10"/>
  <c r="F28" i="10"/>
  <c r="E28" i="10"/>
  <c r="D28" i="10"/>
  <c r="L19" i="10"/>
  <c r="J19" i="10"/>
  <c r="L17" i="10"/>
  <c r="J17" i="10"/>
  <c r="L8" i="10"/>
  <c r="L6" i="10"/>
  <c r="H5" i="31" s="1"/>
  <c r="J6" i="10"/>
  <c r="C59" i="20"/>
  <c r="B59" i="20"/>
  <c r="A59" i="20"/>
  <c r="C58" i="20"/>
  <c r="B58" i="20"/>
  <c r="A58" i="20"/>
  <c r="C57" i="20"/>
  <c r="B57" i="20"/>
  <c r="A57" i="20"/>
  <c r="C56" i="20"/>
  <c r="B56" i="20"/>
  <c r="A56" i="20"/>
  <c r="C55" i="20"/>
  <c r="B55" i="20"/>
  <c r="A55" i="20"/>
  <c r="C54" i="20"/>
  <c r="B54" i="20"/>
  <c r="A54" i="20"/>
  <c r="C53" i="20"/>
  <c r="B53" i="20"/>
  <c r="A53" i="20"/>
  <c r="C52" i="20"/>
  <c r="B52" i="20"/>
  <c r="A52" i="20"/>
  <c r="C51" i="20"/>
  <c r="B51" i="20"/>
  <c r="A51" i="20"/>
  <c r="C50" i="20"/>
  <c r="B50" i="20"/>
  <c r="A50" i="20"/>
  <c r="C49" i="20"/>
  <c r="B49" i="20"/>
  <c r="A49" i="20"/>
  <c r="C48" i="20"/>
  <c r="B48" i="20"/>
  <c r="A48" i="20"/>
  <c r="A47" i="20"/>
  <c r="A46" i="20"/>
  <c r="A45" i="20"/>
  <c r="A44" i="20"/>
  <c r="I33" i="20"/>
  <c r="B33" i="20"/>
  <c r="I12" i="20"/>
  <c r="D11" i="20"/>
  <c r="I11" i="20" s="1"/>
  <c r="B11" i="20"/>
  <c r="I5" i="20"/>
  <c r="H5" i="20"/>
  <c r="E5" i="20"/>
  <c r="D5" i="20"/>
  <c r="B5" i="20"/>
  <c r="B94" i="31"/>
  <c r="B93" i="31"/>
  <c r="B92" i="31"/>
  <c r="B91" i="31"/>
  <c r="B90" i="31"/>
  <c r="B89" i="31"/>
  <c r="B88" i="31"/>
  <c r="B87" i="31"/>
  <c r="B86" i="31"/>
  <c r="B85" i="31"/>
  <c r="B84" i="31"/>
  <c r="B83" i="31"/>
  <c r="B82" i="31"/>
  <c r="B81" i="31"/>
  <c r="B80" i="31"/>
  <c r="H41" i="31"/>
  <c r="H40" i="31"/>
  <c r="H39" i="31"/>
  <c r="H38" i="31"/>
  <c r="H37" i="31"/>
  <c r="H36" i="31"/>
  <c r="H35" i="31"/>
  <c r="H34" i="31"/>
  <c r="L31" i="31"/>
  <c r="F27" i="31"/>
  <c r="E27" i="31"/>
  <c r="S15" i="31"/>
  <c r="R8" i="31"/>
  <c r="F5" i="31"/>
  <c r="E5" i="31"/>
  <c r="E7" i="31" s="1"/>
  <c r="Y2" i="31"/>
  <c r="X2" i="31"/>
  <c r="X26" i="31" s="1"/>
  <c r="W2" i="31"/>
  <c r="V2" i="31"/>
  <c r="V10" i="31" s="1"/>
  <c r="U2" i="31"/>
  <c r="U23" i="31" s="1"/>
  <c r="T2" i="31"/>
  <c r="S2" i="31"/>
  <c r="S39" i="31" s="1"/>
  <c r="R2" i="31"/>
  <c r="Q2" i="31"/>
  <c r="Q39" i="31" s="1"/>
  <c r="P2" i="31"/>
  <c r="P20" i="31" s="1"/>
  <c r="O2" i="31"/>
  <c r="O37" i="31" s="1"/>
  <c r="N2" i="31"/>
  <c r="M2" i="31"/>
  <c r="L2" i="31"/>
  <c r="L28" i="31" s="1"/>
  <c r="K2" i="31"/>
  <c r="I3511" i="22"/>
  <c r="I3510" i="22"/>
  <c r="H3510" i="22"/>
  <c r="I3509" i="22"/>
  <c r="H3509" i="22"/>
  <c r="I3508" i="22"/>
  <c r="H3508" i="22"/>
  <c r="I3507" i="22"/>
  <c r="H3507" i="22"/>
  <c r="I3506" i="22"/>
  <c r="H3506" i="22"/>
  <c r="I3505" i="22"/>
  <c r="H3505" i="22"/>
  <c r="I3504" i="22"/>
  <c r="H3504" i="22"/>
  <c r="I3503" i="22"/>
  <c r="H3503" i="22"/>
  <c r="I3502" i="22"/>
  <c r="H3502" i="22"/>
  <c r="I3501" i="22"/>
  <c r="H3501" i="22"/>
  <c r="I3500" i="22"/>
  <c r="H3500" i="22"/>
  <c r="B3494" i="22"/>
  <c r="B3493" i="22"/>
  <c r="C3492" i="22"/>
  <c r="B3492" i="22"/>
  <c r="B3491" i="22"/>
  <c r="B3488" i="22"/>
  <c r="H3487" i="22"/>
  <c r="B3487" i="22"/>
  <c r="H3486" i="22"/>
  <c r="B3486" i="22"/>
  <c r="H3485" i="22"/>
  <c r="E3485" i="22"/>
  <c r="B3485" i="22"/>
  <c r="E3484" i="22"/>
  <c r="B3484" i="22"/>
  <c r="E3483" i="22"/>
  <c r="B3483" i="22"/>
  <c r="H3482" i="22"/>
  <c r="E3482" i="22"/>
  <c r="B3482" i="22"/>
  <c r="H3481" i="22"/>
  <c r="E3481" i="22"/>
  <c r="B3481" i="22"/>
  <c r="H3480" i="22"/>
  <c r="E3480" i="22"/>
  <c r="B3480" i="22"/>
  <c r="B3477" i="22"/>
  <c r="B3475" i="22"/>
  <c r="B3474" i="22"/>
  <c r="B3472" i="22"/>
  <c r="B3469" i="22"/>
  <c r="B3468" i="22"/>
  <c r="B3466" i="22"/>
  <c r="B3465" i="22"/>
  <c r="B3462" i="22"/>
  <c r="F3456" i="22"/>
  <c r="B3452" i="22"/>
  <c r="F3446" i="22"/>
  <c r="F3444" i="22"/>
  <c r="D3444" i="22"/>
  <c r="B3444" i="22"/>
  <c r="F3443" i="22"/>
  <c r="D3443" i="22"/>
  <c r="B3443" i="22"/>
  <c r="F3442" i="22"/>
  <c r="D3442" i="22"/>
  <c r="B3442" i="22"/>
  <c r="F3438" i="22"/>
  <c r="D3438" i="22"/>
  <c r="B3438" i="22"/>
  <c r="F3437" i="22"/>
  <c r="D3437" i="22"/>
  <c r="B3437" i="22"/>
  <c r="F3436" i="22"/>
  <c r="D3436" i="22"/>
  <c r="B3436" i="22"/>
  <c r="F3433" i="22"/>
  <c r="D3433" i="22"/>
  <c r="B3433" i="22"/>
  <c r="F3432" i="22"/>
  <c r="D3432" i="22"/>
  <c r="B3432" i="22"/>
  <c r="F3431" i="22"/>
  <c r="D3431" i="22"/>
  <c r="B3431" i="22"/>
  <c r="F3430" i="22"/>
  <c r="D3430" i="22"/>
  <c r="B3430" i="22"/>
  <c r="F3429" i="22"/>
  <c r="D3429" i="22"/>
  <c r="B3429" i="22"/>
  <c r="F3428" i="22"/>
  <c r="D3428" i="22"/>
  <c r="B3428" i="22"/>
  <c r="F3427" i="22"/>
  <c r="D3427" i="22"/>
  <c r="B3427" i="22"/>
  <c r="F3426" i="22"/>
  <c r="D3426" i="22"/>
  <c r="B3426" i="22"/>
  <c r="F3420" i="22"/>
  <c r="D3420" i="22"/>
  <c r="B3420" i="22"/>
  <c r="F3419" i="22"/>
  <c r="D3419" i="22"/>
  <c r="B3419" i="22"/>
  <c r="F3418" i="22"/>
  <c r="D3418" i="22"/>
  <c r="B3418" i="22"/>
  <c r="M3417" i="22"/>
  <c r="L3417" i="22"/>
  <c r="F3417" i="22"/>
  <c r="D3417" i="22"/>
  <c r="B3417" i="22"/>
  <c r="M3416" i="22"/>
  <c r="L3416" i="22"/>
  <c r="F3416" i="22"/>
  <c r="D3416" i="22"/>
  <c r="B3416" i="22"/>
  <c r="M3415" i="22"/>
  <c r="L3415" i="22"/>
  <c r="M3414" i="22"/>
  <c r="L3414" i="22"/>
  <c r="M3413" i="22"/>
  <c r="L3413" i="22"/>
  <c r="M3412" i="22"/>
  <c r="L3412" i="22"/>
  <c r="F3412" i="22"/>
  <c r="D3412" i="22"/>
  <c r="B3412" i="22"/>
  <c r="M3411" i="22"/>
  <c r="L3411" i="22"/>
  <c r="F3411" i="22"/>
  <c r="D3411" i="22"/>
  <c r="B3411" i="22"/>
  <c r="M3410" i="22"/>
  <c r="L3410" i="22"/>
  <c r="M3409" i="22"/>
  <c r="L3409" i="22"/>
  <c r="M3408" i="22"/>
  <c r="L3408" i="22"/>
  <c r="F3408" i="22"/>
  <c r="D3408" i="22"/>
  <c r="B3408" i="22"/>
  <c r="M3407" i="22"/>
  <c r="L3407" i="22"/>
  <c r="F3407" i="22"/>
  <c r="D3407" i="22"/>
  <c r="B3407" i="22"/>
  <c r="M3406" i="22"/>
  <c r="L3406" i="22"/>
  <c r="F3406" i="22"/>
  <c r="D3406" i="22"/>
  <c r="B3406" i="22"/>
  <c r="M3405" i="22"/>
  <c r="L3405" i="22"/>
  <c r="F3405" i="22"/>
  <c r="D3405" i="22"/>
  <c r="B3405" i="22"/>
  <c r="M3404" i="22"/>
  <c r="L3404" i="22"/>
  <c r="F3404" i="22"/>
  <c r="D3404" i="22"/>
  <c r="B3404" i="22"/>
  <c r="M3403" i="22"/>
  <c r="L3403" i="22"/>
  <c r="M3402" i="22"/>
  <c r="L3402" i="22"/>
  <c r="F3402" i="22"/>
  <c r="D3402" i="22"/>
  <c r="B3402" i="22"/>
  <c r="M3401" i="22"/>
  <c r="L3401" i="22"/>
  <c r="F3401" i="22"/>
  <c r="M3400" i="22"/>
  <c r="L3400" i="22"/>
  <c r="M3399" i="22"/>
  <c r="L3399" i="22"/>
  <c r="M3398" i="22"/>
  <c r="L3398" i="22"/>
  <c r="M3397" i="22"/>
  <c r="L3397" i="22"/>
  <c r="M3396" i="22"/>
  <c r="L3396" i="22"/>
  <c r="F3396" i="22"/>
  <c r="B3396" i="22"/>
  <c r="M3395" i="22"/>
  <c r="L3395" i="22"/>
  <c r="F3395" i="22"/>
  <c r="B3395" i="22"/>
  <c r="M3394" i="22"/>
  <c r="L3394" i="22"/>
  <c r="M3393" i="22"/>
  <c r="L3393" i="22"/>
  <c r="F3393" i="22"/>
  <c r="B3393" i="22"/>
  <c r="M3392" i="22"/>
  <c r="L3392" i="22"/>
  <c r="F3392" i="22"/>
  <c r="B3392" i="22"/>
  <c r="M3391" i="22"/>
  <c r="L3391" i="22"/>
  <c r="M3390" i="22"/>
  <c r="L3390" i="22"/>
  <c r="M3389" i="22"/>
  <c r="L3389" i="22"/>
  <c r="M3388" i="22"/>
  <c r="L3388" i="22"/>
  <c r="M3387" i="22"/>
  <c r="L3387" i="22"/>
  <c r="M3386" i="22"/>
  <c r="L3386" i="22"/>
  <c r="M3385" i="22"/>
  <c r="L3385" i="22"/>
  <c r="D3385" i="22"/>
  <c r="M3384" i="22"/>
  <c r="L3384" i="22"/>
  <c r="D3384" i="22"/>
  <c r="M3383" i="22"/>
  <c r="L3383" i="22"/>
  <c r="D3383" i="22"/>
  <c r="M3382" i="22"/>
  <c r="L3382" i="22"/>
  <c r="M3381" i="22"/>
  <c r="L3381" i="22"/>
  <c r="M3380" i="22"/>
  <c r="L3380" i="22"/>
  <c r="M3379" i="22"/>
  <c r="L3379" i="22"/>
  <c r="M3378" i="22"/>
  <c r="L3378" i="22"/>
  <c r="I3377" i="22"/>
  <c r="A3377" i="22"/>
  <c r="I3376" i="22"/>
  <c r="I3375" i="22"/>
  <c r="H3375" i="22"/>
  <c r="I3374" i="22"/>
  <c r="H3374" i="22"/>
  <c r="I3373" i="22"/>
  <c r="H3373" i="22"/>
  <c r="I3372" i="22"/>
  <c r="H3372" i="22"/>
  <c r="I3371" i="22"/>
  <c r="H3371" i="22"/>
  <c r="I3370" i="22"/>
  <c r="H3370" i="22"/>
  <c r="I3369" i="22"/>
  <c r="H3369" i="22"/>
  <c r="I3368" i="22"/>
  <c r="H3368" i="22"/>
  <c r="I3367" i="22"/>
  <c r="H3367" i="22"/>
  <c r="I3366" i="22"/>
  <c r="H3366" i="22"/>
  <c r="I3365" i="22"/>
  <c r="H3365" i="22"/>
  <c r="B3359" i="22"/>
  <c r="B3358" i="22"/>
  <c r="C3357" i="22"/>
  <c r="B3357" i="22"/>
  <c r="B3356" i="22"/>
  <c r="B3353" i="22"/>
  <c r="H3352" i="22"/>
  <c r="B3352" i="22"/>
  <c r="H3351" i="22"/>
  <c r="B3351" i="22"/>
  <c r="H3350" i="22"/>
  <c r="E3350" i="22"/>
  <c r="B3350" i="22"/>
  <c r="E3349" i="22"/>
  <c r="B3349" i="22"/>
  <c r="E3348" i="22"/>
  <c r="B3348" i="22"/>
  <c r="H3347" i="22"/>
  <c r="E3347" i="22"/>
  <c r="B3347" i="22"/>
  <c r="H3346" i="22"/>
  <c r="E3346" i="22"/>
  <c r="B3346" i="22"/>
  <c r="H3345" i="22"/>
  <c r="E3345" i="22"/>
  <c r="B3345" i="22"/>
  <c r="B3342" i="22"/>
  <c r="B3340" i="22"/>
  <c r="B3339" i="22"/>
  <c r="B3337" i="22"/>
  <c r="B3334" i="22"/>
  <c r="B3333" i="22"/>
  <c r="B3331" i="22"/>
  <c r="B3330" i="22"/>
  <c r="B3327" i="22"/>
  <c r="F3321" i="22"/>
  <c r="B3317" i="22"/>
  <c r="F3311" i="22"/>
  <c r="F3309" i="22"/>
  <c r="D3309" i="22"/>
  <c r="B3309" i="22"/>
  <c r="F3308" i="22"/>
  <c r="D3308" i="22"/>
  <c r="B3308" i="22"/>
  <c r="F3307" i="22"/>
  <c r="D3307" i="22"/>
  <c r="B3307" i="22"/>
  <c r="F3303" i="22"/>
  <c r="D3303" i="22"/>
  <c r="B3303" i="22"/>
  <c r="F3302" i="22"/>
  <c r="D3302" i="22"/>
  <c r="B3302" i="22"/>
  <c r="F3301" i="22"/>
  <c r="D3301" i="22"/>
  <c r="B3301" i="22"/>
  <c r="F3298" i="22"/>
  <c r="D3298" i="22"/>
  <c r="B3298" i="22"/>
  <c r="F3297" i="22"/>
  <c r="D3297" i="22"/>
  <c r="B3297" i="22"/>
  <c r="F3296" i="22"/>
  <c r="D3296" i="22"/>
  <c r="B3296" i="22"/>
  <c r="F3295" i="22"/>
  <c r="D3295" i="22"/>
  <c r="B3295" i="22"/>
  <c r="F3294" i="22"/>
  <c r="D3294" i="22"/>
  <c r="B3294" i="22"/>
  <c r="F3293" i="22"/>
  <c r="D3293" i="22"/>
  <c r="B3293" i="22"/>
  <c r="F3292" i="22"/>
  <c r="D3292" i="22"/>
  <c r="B3292" i="22"/>
  <c r="F3291" i="22"/>
  <c r="D3291" i="22"/>
  <c r="B3291" i="22"/>
  <c r="F3285" i="22"/>
  <c r="D3285" i="22"/>
  <c r="B3285" i="22"/>
  <c r="F3284" i="22"/>
  <c r="D3284" i="22"/>
  <c r="B3284" i="22"/>
  <c r="F3283" i="22"/>
  <c r="D3283" i="22"/>
  <c r="B3283" i="22"/>
  <c r="M3282" i="22"/>
  <c r="L3282" i="22"/>
  <c r="F3282" i="22"/>
  <c r="D3282" i="22"/>
  <c r="B3282" i="22"/>
  <c r="M3281" i="22"/>
  <c r="L3281" i="22"/>
  <c r="F3281" i="22"/>
  <c r="D3281" i="22"/>
  <c r="B3281" i="22"/>
  <c r="M3280" i="22"/>
  <c r="L3280" i="22"/>
  <c r="M3279" i="22"/>
  <c r="L3279" i="22"/>
  <c r="M3278" i="22"/>
  <c r="L3278" i="22"/>
  <c r="M3277" i="22"/>
  <c r="L3277" i="22"/>
  <c r="F3277" i="22"/>
  <c r="D3277" i="22"/>
  <c r="B3277" i="22"/>
  <c r="M3276" i="22"/>
  <c r="L3276" i="22"/>
  <c r="F3276" i="22"/>
  <c r="D3276" i="22"/>
  <c r="B3276" i="22"/>
  <c r="M3275" i="22"/>
  <c r="L3275" i="22"/>
  <c r="M3274" i="22"/>
  <c r="L3274" i="22"/>
  <c r="M3273" i="22"/>
  <c r="L3273" i="22"/>
  <c r="F3273" i="22"/>
  <c r="D3273" i="22"/>
  <c r="B3273" i="22"/>
  <c r="M3272" i="22"/>
  <c r="L3272" i="22"/>
  <c r="F3272" i="22"/>
  <c r="D3272" i="22"/>
  <c r="B3272" i="22"/>
  <c r="M3271" i="22"/>
  <c r="L3271" i="22"/>
  <c r="F3271" i="22"/>
  <c r="D3271" i="22"/>
  <c r="B3271" i="22"/>
  <c r="M3270" i="22"/>
  <c r="L3270" i="22"/>
  <c r="F3270" i="22"/>
  <c r="D3270" i="22"/>
  <c r="B3270" i="22"/>
  <c r="M3269" i="22"/>
  <c r="L3269" i="22"/>
  <c r="F3269" i="22"/>
  <c r="D3269" i="22"/>
  <c r="B3269" i="22"/>
  <c r="M3268" i="22"/>
  <c r="L3268" i="22"/>
  <c r="M3267" i="22"/>
  <c r="L3267" i="22"/>
  <c r="F3267" i="22"/>
  <c r="D3267" i="22"/>
  <c r="B3267" i="22"/>
  <c r="M3266" i="22"/>
  <c r="L3266" i="22"/>
  <c r="F3266" i="22"/>
  <c r="M3265" i="22"/>
  <c r="L3265" i="22"/>
  <c r="M3264" i="22"/>
  <c r="L3264" i="22"/>
  <c r="M3263" i="22"/>
  <c r="L3263" i="22"/>
  <c r="M3262" i="22"/>
  <c r="L3262" i="22"/>
  <c r="M3261" i="22"/>
  <c r="L3261" i="22"/>
  <c r="F3261" i="22"/>
  <c r="B3261" i="22"/>
  <c r="M3260" i="22"/>
  <c r="L3260" i="22"/>
  <c r="F3260" i="22"/>
  <c r="B3260" i="22"/>
  <c r="M3259" i="22"/>
  <c r="L3259" i="22"/>
  <c r="M3258" i="22"/>
  <c r="L3258" i="22"/>
  <c r="F3258" i="22"/>
  <c r="B3258" i="22"/>
  <c r="M3257" i="22"/>
  <c r="L3257" i="22"/>
  <c r="F3257" i="22"/>
  <c r="B3257" i="22"/>
  <c r="M3256" i="22"/>
  <c r="L3256" i="22"/>
  <c r="M3255" i="22"/>
  <c r="L3255" i="22"/>
  <c r="M3254" i="22"/>
  <c r="L3254" i="22"/>
  <c r="M3253" i="22"/>
  <c r="L3253" i="22"/>
  <c r="M3252" i="22"/>
  <c r="L3252" i="22"/>
  <c r="M3251" i="22"/>
  <c r="L3251" i="22"/>
  <c r="M3250" i="22"/>
  <c r="L3250" i="22"/>
  <c r="D3250" i="22"/>
  <c r="M3249" i="22"/>
  <c r="L3249" i="22"/>
  <c r="D3249" i="22"/>
  <c r="M3248" i="22"/>
  <c r="L3248" i="22"/>
  <c r="D3248" i="22"/>
  <c r="M3247" i="22"/>
  <c r="L3247" i="22"/>
  <c r="M3246" i="22"/>
  <c r="L3246" i="22"/>
  <c r="M3245" i="22"/>
  <c r="L3245" i="22"/>
  <c r="M3244" i="22"/>
  <c r="L3244" i="22"/>
  <c r="M3243" i="22"/>
  <c r="L3243" i="22"/>
  <c r="I3242" i="22"/>
  <c r="A3242" i="22"/>
  <c r="I3241" i="22"/>
  <c r="I3240" i="22"/>
  <c r="H3240" i="22"/>
  <c r="I3239" i="22"/>
  <c r="H3239" i="22"/>
  <c r="I3238" i="22"/>
  <c r="H3238" i="22"/>
  <c r="I3237" i="22"/>
  <c r="H3237" i="22"/>
  <c r="I3236" i="22"/>
  <c r="H3236" i="22"/>
  <c r="I3235" i="22"/>
  <c r="H3235" i="22"/>
  <c r="I3234" i="22"/>
  <c r="H3234" i="22"/>
  <c r="I3233" i="22"/>
  <c r="H3233" i="22"/>
  <c r="I3232" i="22"/>
  <c r="H3232" i="22"/>
  <c r="I3231" i="22"/>
  <c r="H3231" i="22"/>
  <c r="I3230" i="22"/>
  <c r="H3230" i="22"/>
  <c r="B3224" i="22"/>
  <c r="B3223" i="22"/>
  <c r="C3222" i="22"/>
  <c r="B3222" i="22"/>
  <c r="B3221" i="22"/>
  <c r="B3218" i="22"/>
  <c r="H3217" i="22"/>
  <c r="B3217" i="22"/>
  <c r="H3216" i="22"/>
  <c r="B3216" i="22"/>
  <c r="H3215" i="22"/>
  <c r="E3215" i="22"/>
  <c r="B3215" i="22"/>
  <c r="E3214" i="22"/>
  <c r="B3214" i="22"/>
  <c r="E3213" i="22"/>
  <c r="B3213" i="22"/>
  <c r="H3212" i="22"/>
  <c r="E3212" i="22"/>
  <c r="B3212" i="22"/>
  <c r="H3211" i="22"/>
  <c r="E3211" i="22"/>
  <c r="B3211" i="22"/>
  <c r="H3210" i="22"/>
  <c r="E3210" i="22"/>
  <c r="B3210" i="22"/>
  <c r="B3207" i="22"/>
  <c r="B3205" i="22"/>
  <c r="B3204" i="22"/>
  <c r="B3202" i="22"/>
  <c r="B3199" i="22"/>
  <c r="B3198" i="22"/>
  <c r="B3196" i="22"/>
  <c r="B3195" i="22"/>
  <c r="B3192" i="22"/>
  <c r="F3186" i="22"/>
  <c r="B3182" i="22"/>
  <c r="F3176" i="22"/>
  <c r="F3174" i="22"/>
  <c r="D3174" i="22"/>
  <c r="B3174" i="22"/>
  <c r="F3173" i="22"/>
  <c r="D3173" i="22"/>
  <c r="B3173" i="22"/>
  <c r="F3172" i="22"/>
  <c r="D3172" i="22"/>
  <c r="B3172" i="22"/>
  <c r="F3168" i="22"/>
  <c r="D3168" i="22"/>
  <c r="B3168" i="22"/>
  <c r="F3167" i="22"/>
  <c r="D3167" i="22"/>
  <c r="B3167" i="22"/>
  <c r="F3166" i="22"/>
  <c r="D3166" i="22"/>
  <c r="B3166" i="22"/>
  <c r="F3163" i="22"/>
  <c r="D3163" i="22"/>
  <c r="B3163" i="22"/>
  <c r="F3162" i="22"/>
  <c r="D3162" i="22"/>
  <c r="B3162" i="22"/>
  <c r="F3161" i="22"/>
  <c r="D3161" i="22"/>
  <c r="B3161" i="22"/>
  <c r="F3160" i="22"/>
  <c r="D3160" i="22"/>
  <c r="B3160" i="22"/>
  <c r="F3159" i="22"/>
  <c r="D3159" i="22"/>
  <c r="B3159" i="22"/>
  <c r="F3158" i="22"/>
  <c r="D3158" i="22"/>
  <c r="B3158" i="22"/>
  <c r="F3157" i="22"/>
  <c r="D3157" i="22"/>
  <c r="B3157" i="22"/>
  <c r="F3156" i="22"/>
  <c r="D3156" i="22"/>
  <c r="B3156" i="22"/>
  <c r="F3150" i="22"/>
  <c r="D3150" i="22"/>
  <c r="B3150" i="22"/>
  <c r="F3149" i="22"/>
  <c r="D3149" i="22"/>
  <c r="B3149" i="22"/>
  <c r="F3148" i="22"/>
  <c r="D3148" i="22"/>
  <c r="B3148" i="22"/>
  <c r="M3147" i="22"/>
  <c r="L3147" i="22"/>
  <c r="F3147" i="22"/>
  <c r="D3147" i="22"/>
  <c r="B3147" i="22"/>
  <c r="M3146" i="22"/>
  <c r="L3146" i="22"/>
  <c r="F3146" i="22"/>
  <c r="D3146" i="22"/>
  <c r="B3146" i="22"/>
  <c r="M3145" i="22"/>
  <c r="L3145" i="22"/>
  <c r="M3144" i="22"/>
  <c r="L3144" i="22"/>
  <c r="M3143" i="22"/>
  <c r="L3143" i="22"/>
  <c r="M3142" i="22"/>
  <c r="L3142" i="22"/>
  <c r="F3142" i="22"/>
  <c r="D3142" i="22"/>
  <c r="B3142" i="22"/>
  <c r="M3141" i="22"/>
  <c r="L3141" i="22"/>
  <c r="F3141" i="22"/>
  <c r="D3141" i="22"/>
  <c r="B3141" i="22"/>
  <c r="M3140" i="22"/>
  <c r="L3140" i="22"/>
  <c r="M3139" i="22"/>
  <c r="L3139" i="22"/>
  <c r="M3138" i="22"/>
  <c r="L3138" i="22"/>
  <c r="F3138" i="22"/>
  <c r="D3138" i="22"/>
  <c r="B3138" i="22"/>
  <c r="M3137" i="22"/>
  <c r="L3137" i="22"/>
  <c r="F3137" i="22"/>
  <c r="D3137" i="22"/>
  <c r="B3137" i="22"/>
  <c r="M3136" i="22"/>
  <c r="L3136" i="22"/>
  <c r="F3136" i="22"/>
  <c r="D3136" i="22"/>
  <c r="B3136" i="22"/>
  <c r="M3135" i="22"/>
  <c r="L3135" i="22"/>
  <c r="F3135" i="22"/>
  <c r="D3135" i="22"/>
  <c r="B3135" i="22"/>
  <c r="M3134" i="22"/>
  <c r="L3134" i="22"/>
  <c r="F3134" i="22"/>
  <c r="D3134" i="22"/>
  <c r="B3134" i="22"/>
  <c r="M3133" i="22"/>
  <c r="L3133" i="22"/>
  <c r="M3132" i="22"/>
  <c r="L3132" i="22"/>
  <c r="F3132" i="22"/>
  <c r="D3132" i="22"/>
  <c r="B3132" i="22"/>
  <c r="M3131" i="22"/>
  <c r="L3131" i="22"/>
  <c r="F3131" i="22"/>
  <c r="M3130" i="22"/>
  <c r="L3130" i="22"/>
  <c r="M3129" i="22"/>
  <c r="L3129" i="22"/>
  <c r="M3128" i="22"/>
  <c r="L3128" i="22"/>
  <c r="M3127" i="22"/>
  <c r="L3127" i="22"/>
  <c r="M3126" i="22"/>
  <c r="L3126" i="22"/>
  <c r="F3126" i="22"/>
  <c r="B3126" i="22"/>
  <c r="M3125" i="22"/>
  <c r="L3125" i="22"/>
  <c r="F3125" i="22"/>
  <c r="B3125" i="22"/>
  <c r="M3124" i="22"/>
  <c r="L3124" i="22"/>
  <c r="M3123" i="22"/>
  <c r="L3123" i="22"/>
  <c r="F3123" i="22"/>
  <c r="B3123" i="22"/>
  <c r="M3122" i="22"/>
  <c r="L3122" i="22"/>
  <c r="F3122" i="22"/>
  <c r="B3122" i="22"/>
  <c r="M3121" i="22"/>
  <c r="L3121" i="22"/>
  <c r="M3120" i="22"/>
  <c r="L3120" i="22"/>
  <c r="M3119" i="22"/>
  <c r="L3119" i="22"/>
  <c r="M3118" i="22"/>
  <c r="L3118" i="22"/>
  <c r="M3117" i="22"/>
  <c r="L3117" i="22"/>
  <c r="M3116" i="22"/>
  <c r="L3116" i="22"/>
  <c r="M3115" i="22"/>
  <c r="L3115" i="22"/>
  <c r="D3115" i="22"/>
  <c r="M3114" i="22"/>
  <c r="L3114" i="22"/>
  <c r="D3114" i="22"/>
  <c r="M3113" i="22"/>
  <c r="L3113" i="22"/>
  <c r="D3113" i="22"/>
  <c r="M3112" i="22"/>
  <c r="L3112" i="22"/>
  <c r="M3111" i="22"/>
  <c r="L3111" i="22"/>
  <c r="M3110" i="22"/>
  <c r="L3110" i="22"/>
  <c r="M3109" i="22"/>
  <c r="L3109" i="22"/>
  <c r="M3108" i="22"/>
  <c r="L3108" i="22"/>
  <c r="I3107" i="22"/>
  <c r="A3107" i="22"/>
  <c r="I3106" i="22"/>
  <c r="I3105" i="22"/>
  <c r="H3105" i="22"/>
  <c r="I3104" i="22"/>
  <c r="H3104" i="22"/>
  <c r="I3103" i="22"/>
  <c r="H3103" i="22"/>
  <c r="I3102" i="22"/>
  <c r="H3102" i="22"/>
  <c r="I3101" i="22"/>
  <c r="H3101" i="22"/>
  <c r="I3100" i="22"/>
  <c r="H3100" i="22"/>
  <c r="I3099" i="22"/>
  <c r="H3099" i="22"/>
  <c r="I3098" i="22"/>
  <c r="H3098" i="22"/>
  <c r="I3097" i="22"/>
  <c r="H3097" i="22"/>
  <c r="I3096" i="22"/>
  <c r="H3096" i="22"/>
  <c r="I3095" i="22"/>
  <c r="H3095" i="22"/>
  <c r="B3089" i="22"/>
  <c r="B3088" i="22"/>
  <c r="C3087" i="22"/>
  <c r="B3087" i="22"/>
  <c r="B3086" i="22"/>
  <c r="B3083" i="22"/>
  <c r="H3082" i="22"/>
  <c r="B3082" i="22"/>
  <c r="H3081" i="22"/>
  <c r="B3081" i="22"/>
  <c r="H3080" i="22"/>
  <c r="E3080" i="22"/>
  <c r="B3080" i="22"/>
  <c r="E3079" i="22"/>
  <c r="B3079" i="22"/>
  <c r="E3078" i="22"/>
  <c r="B3078" i="22"/>
  <c r="H3077" i="22"/>
  <c r="E3077" i="22"/>
  <c r="B3077" i="22"/>
  <c r="H3076" i="22"/>
  <c r="E3076" i="22"/>
  <c r="B3076" i="22"/>
  <c r="H3075" i="22"/>
  <c r="E3075" i="22"/>
  <c r="B3075" i="22"/>
  <c r="B3072" i="22"/>
  <c r="B3070" i="22"/>
  <c r="B3069" i="22"/>
  <c r="B3067" i="22"/>
  <c r="B3064" i="22"/>
  <c r="B3063" i="22"/>
  <c r="B3061" i="22"/>
  <c r="B3060" i="22"/>
  <c r="B3057" i="22"/>
  <c r="F3051" i="22"/>
  <c r="B3047" i="22"/>
  <c r="F3041" i="22"/>
  <c r="F3039" i="22"/>
  <c r="D3039" i="22"/>
  <c r="B3039" i="22"/>
  <c r="F3038" i="22"/>
  <c r="D3038" i="22"/>
  <c r="B3038" i="22"/>
  <c r="F3037" i="22"/>
  <c r="D3037" i="22"/>
  <c r="B3037" i="22"/>
  <c r="F3033" i="22"/>
  <c r="D3033" i="22"/>
  <c r="B3033" i="22"/>
  <c r="F3032" i="22"/>
  <c r="D3032" i="22"/>
  <c r="B3032" i="22"/>
  <c r="F3031" i="22"/>
  <c r="D3031" i="22"/>
  <c r="B3031" i="22"/>
  <c r="F3028" i="22"/>
  <c r="D3028" i="22"/>
  <c r="B3028" i="22"/>
  <c r="F3027" i="22"/>
  <c r="D3027" i="22"/>
  <c r="B3027" i="22"/>
  <c r="F3026" i="22"/>
  <c r="D3026" i="22"/>
  <c r="B3026" i="22"/>
  <c r="F3025" i="22"/>
  <c r="D3025" i="22"/>
  <c r="B3025" i="22"/>
  <c r="F3024" i="22"/>
  <c r="D3024" i="22"/>
  <c r="B3024" i="22"/>
  <c r="F3023" i="22"/>
  <c r="D3023" i="22"/>
  <c r="B3023" i="22"/>
  <c r="F3022" i="22"/>
  <c r="D3022" i="22"/>
  <c r="B3022" i="22"/>
  <c r="F3021" i="22"/>
  <c r="D3021" i="22"/>
  <c r="B3021" i="22"/>
  <c r="F3015" i="22"/>
  <c r="D3015" i="22"/>
  <c r="B3015" i="22"/>
  <c r="F3014" i="22"/>
  <c r="D3014" i="22"/>
  <c r="B3014" i="22"/>
  <c r="F3013" i="22"/>
  <c r="D3013" i="22"/>
  <c r="B3013" i="22"/>
  <c r="M3012" i="22"/>
  <c r="L3012" i="22"/>
  <c r="F3012" i="22"/>
  <c r="D3012" i="22"/>
  <c r="B3012" i="22"/>
  <c r="M3011" i="22"/>
  <c r="L3011" i="22"/>
  <c r="F3011" i="22"/>
  <c r="D3011" i="22"/>
  <c r="B3011" i="22"/>
  <c r="M3010" i="22"/>
  <c r="L3010" i="22"/>
  <c r="M3009" i="22"/>
  <c r="L3009" i="22"/>
  <c r="M3008" i="22"/>
  <c r="L3008" i="22"/>
  <c r="M3007" i="22"/>
  <c r="L3007" i="22"/>
  <c r="F3007" i="22"/>
  <c r="D3007" i="22"/>
  <c r="B3007" i="22"/>
  <c r="M3006" i="22"/>
  <c r="L3006" i="22"/>
  <c r="F3006" i="22"/>
  <c r="D3006" i="22"/>
  <c r="B3006" i="22"/>
  <c r="M3005" i="22"/>
  <c r="L3005" i="22"/>
  <c r="M3004" i="22"/>
  <c r="L3004" i="22"/>
  <c r="M3003" i="22"/>
  <c r="L3003" i="22"/>
  <c r="F3003" i="22"/>
  <c r="D3003" i="22"/>
  <c r="B3003" i="22"/>
  <c r="M3002" i="22"/>
  <c r="L3002" i="22"/>
  <c r="F3002" i="22"/>
  <c r="D3002" i="22"/>
  <c r="B3002" i="22"/>
  <c r="M3001" i="22"/>
  <c r="L3001" i="22"/>
  <c r="F3001" i="22"/>
  <c r="D3001" i="22"/>
  <c r="B3001" i="22"/>
  <c r="M3000" i="22"/>
  <c r="L3000" i="22"/>
  <c r="F3000" i="22"/>
  <c r="D3000" i="22"/>
  <c r="B3000" i="22"/>
  <c r="M2999" i="22"/>
  <c r="L2999" i="22"/>
  <c r="F2999" i="22"/>
  <c r="D2999" i="22"/>
  <c r="B2999" i="22"/>
  <c r="M2998" i="22"/>
  <c r="L2998" i="22"/>
  <c r="M2997" i="22"/>
  <c r="L2997" i="22"/>
  <c r="F2997" i="22"/>
  <c r="D2997" i="22"/>
  <c r="B2997" i="22"/>
  <c r="M2996" i="22"/>
  <c r="L2996" i="22"/>
  <c r="F2996" i="22"/>
  <c r="M2995" i="22"/>
  <c r="L2995" i="22"/>
  <c r="M2994" i="22"/>
  <c r="L2994" i="22"/>
  <c r="M2993" i="22"/>
  <c r="L2993" i="22"/>
  <c r="M2992" i="22"/>
  <c r="L2992" i="22"/>
  <c r="M2991" i="22"/>
  <c r="L2991" i="22"/>
  <c r="F2991" i="22"/>
  <c r="B2991" i="22"/>
  <c r="M2990" i="22"/>
  <c r="L2990" i="22"/>
  <c r="F2990" i="22"/>
  <c r="B2990" i="22"/>
  <c r="M2989" i="22"/>
  <c r="L2989" i="22"/>
  <c r="M2988" i="22"/>
  <c r="L2988" i="22"/>
  <c r="F2988" i="22"/>
  <c r="B2988" i="22"/>
  <c r="M2987" i="22"/>
  <c r="L2987" i="22"/>
  <c r="F2987" i="22"/>
  <c r="B2987" i="22"/>
  <c r="M2986" i="22"/>
  <c r="L2986" i="22"/>
  <c r="M2985" i="22"/>
  <c r="L2985" i="22"/>
  <c r="M2984" i="22"/>
  <c r="L2984" i="22"/>
  <c r="M2983" i="22"/>
  <c r="L2983" i="22"/>
  <c r="M2982" i="22"/>
  <c r="L2982" i="22"/>
  <c r="M2981" i="22"/>
  <c r="L2981" i="22"/>
  <c r="M2980" i="22"/>
  <c r="L2980" i="22"/>
  <c r="D2980" i="22"/>
  <c r="M2979" i="22"/>
  <c r="L2979" i="22"/>
  <c r="D2979" i="22"/>
  <c r="M2978" i="22"/>
  <c r="L2978" i="22"/>
  <c r="D2978" i="22"/>
  <c r="M2977" i="22"/>
  <c r="L2977" i="22"/>
  <c r="M2976" i="22"/>
  <c r="L2976" i="22"/>
  <c r="M2975" i="22"/>
  <c r="L2975" i="22"/>
  <c r="M2974" i="22"/>
  <c r="L2974" i="22"/>
  <c r="M2973" i="22"/>
  <c r="L2973" i="22"/>
  <c r="I2972" i="22"/>
  <c r="A2972" i="22"/>
  <c r="I2971" i="22"/>
  <c r="I2970" i="22"/>
  <c r="H2970" i="22"/>
  <c r="I2969" i="22"/>
  <c r="H2969" i="22"/>
  <c r="I2968" i="22"/>
  <c r="H2968" i="22"/>
  <c r="I2967" i="22"/>
  <c r="H2967" i="22"/>
  <c r="I2966" i="22"/>
  <c r="H2966" i="22"/>
  <c r="I2965" i="22"/>
  <c r="H2965" i="22"/>
  <c r="I2964" i="22"/>
  <c r="H2964" i="22"/>
  <c r="I2963" i="22"/>
  <c r="H2963" i="22"/>
  <c r="I2962" i="22"/>
  <c r="H2962" i="22"/>
  <c r="I2961" i="22"/>
  <c r="H2961" i="22"/>
  <c r="I2960" i="22"/>
  <c r="H2960" i="22"/>
  <c r="B2954" i="22"/>
  <c r="B2953" i="22"/>
  <c r="C2952" i="22"/>
  <c r="B2952" i="22"/>
  <c r="B2951" i="22"/>
  <c r="B2948" i="22"/>
  <c r="H2947" i="22"/>
  <c r="B2947" i="22"/>
  <c r="H2946" i="22"/>
  <c r="B2946" i="22"/>
  <c r="H2945" i="22"/>
  <c r="E2945" i="22"/>
  <c r="B2945" i="22"/>
  <c r="E2944" i="22"/>
  <c r="B2944" i="22"/>
  <c r="E2943" i="22"/>
  <c r="B2943" i="22"/>
  <c r="H2942" i="22"/>
  <c r="E2942" i="22"/>
  <c r="B2942" i="22"/>
  <c r="H2941" i="22"/>
  <c r="E2941" i="22"/>
  <c r="B2941" i="22"/>
  <c r="H2940" i="22"/>
  <c r="E2940" i="22"/>
  <c r="B2940" i="22"/>
  <c r="B2937" i="22"/>
  <c r="B2935" i="22"/>
  <c r="B2934" i="22"/>
  <c r="B2932" i="22"/>
  <c r="B2929" i="22"/>
  <c r="B2928" i="22"/>
  <c r="B2926" i="22"/>
  <c r="B2925" i="22"/>
  <c r="B2922" i="22"/>
  <c r="F2916" i="22"/>
  <c r="B2912" i="22"/>
  <c r="F2906" i="22"/>
  <c r="F2904" i="22"/>
  <c r="D2904" i="22"/>
  <c r="B2904" i="22"/>
  <c r="F2903" i="22"/>
  <c r="D2903" i="22"/>
  <c r="B2903" i="22"/>
  <c r="F2902" i="22"/>
  <c r="D2902" i="22"/>
  <c r="B2902" i="22"/>
  <c r="F2898" i="22"/>
  <c r="D2898" i="22"/>
  <c r="B2898" i="22"/>
  <c r="F2897" i="22"/>
  <c r="D2897" i="22"/>
  <c r="B2897" i="22"/>
  <c r="F2896" i="22"/>
  <c r="D2896" i="22"/>
  <c r="B2896" i="22"/>
  <c r="F2893" i="22"/>
  <c r="D2893" i="22"/>
  <c r="B2893" i="22"/>
  <c r="F2892" i="22"/>
  <c r="D2892" i="22"/>
  <c r="B2892" i="22"/>
  <c r="F2891" i="22"/>
  <c r="D2891" i="22"/>
  <c r="B2891" i="22"/>
  <c r="F2890" i="22"/>
  <c r="D2890" i="22"/>
  <c r="B2890" i="22"/>
  <c r="F2889" i="22"/>
  <c r="D2889" i="22"/>
  <c r="B2889" i="22"/>
  <c r="F2888" i="22"/>
  <c r="D2888" i="22"/>
  <c r="B2888" i="22"/>
  <c r="F2887" i="22"/>
  <c r="D2887" i="22"/>
  <c r="B2887" i="22"/>
  <c r="F2886" i="22"/>
  <c r="D2886" i="22"/>
  <c r="B2886" i="22"/>
  <c r="F2880" i="22"/>
  <c r="D2880" i="22"/>
  <c r="B2880" i="22"/>
  <c r="F2879" i="22"/>
  <c r="D2879" i="22"/>
  <c r="B2879" i="22"/>
  <c r="F2878" i="22"/>
  <c r="D2878" i="22"/>
  <c r="B2878" i="22"/>
  <c r="M2877" i="22"/>
  <c r="L2877" i="22"/>
  <c r="F2877" i="22"/>
  <c r="D2877" i="22"/>
  <c r="B2877" i="22"/>
  <c r="M2876" i="22"/>
  <c r="L2876" i="22"/>
  <c r="F2876" i="22"/>
  <c r="D2876" i="22"/>
  <c r="B2876" i="22"/>
  <c r="M2875" i="22"/>
  <c r="L2875" i="22"/>
  <c r="M2874" i="22"/>
  <c r="L2874" i="22"/>
  <c r="M2873" i="22"/>
  <c r="L2873" i="22"/>
  <c r="M2872" i="22"/>
  <c r="L2872" i="22"/>
  <c r="F2872" i="22"/>
  <c r="D2872" i="22"/>
  <c r="B2872" i="22"/>
  <c r="M2871" i="22"/>
  <c r="L2871" i="22"/>
  <c r="F2871" i="22"/>
  <c r="D2871" i="22"/>
  <c r="B2871" i="22"/>
  <c r="M2870" i="22"/>
  <c r="L2870" i="22"/>
  <c r="M2869" i="22"/>
  <c r="L2869" i="22"/>
  <c r="M2868" i="22"/>
  <c r="L2868" i="22"/>
  <c r="F2868" i="22"/>
  <c r="D2868" i="22"/>
  <c r="B2868" i="22"/>
  <c r="M2867" i="22"/>
  <c r="L2867" i="22"/>
  <c r="F2867" i="22"/>
  <c r="D2867" i="22"/>
  <c r="B2867" i="22"/>
  <c r="M2866" i="22"/>
  <c r="L2866" i="22"/>
  <c r="F2866" i="22"/>
  <c r="D2866" i="22"/>
  <c r="B2866" i="22"/>
  <c r="M2865" i="22"/>
  <c r="L2865" i="22"/>
  <c r="F2865" i="22"/>
  <c r="D2865" i="22"/>
  <c r="B2865" i="22"/>
  <c r="M2864" i="22"/>
  <c r="L2864" i="22"/>
  <c r="F2864" i="22"/>
  <c r="D2864" i="22"/>
  <c r="B2864" i="22"/>
  <c r="M2863" i="22"/>
  <c r="L2863" i="22"/>
  <c r="M2862" i="22"/>
  <c r="L2862" i="22"/>
  <c r="F2862" i="22"/>
  <c r="D2862" i="22"/>
  <c r="B2862" i="22"/>
  <c r="M2861" i="22"/>
  <c r="L2861" i="22"/>
  <c r="F2861" i="22"/>
  <c r="M2860" i="22"/>
  <c r="L2860" i="22"/>
  <c r="M2859" i="22"/>
  <c r="L2859" i="22"/>
  <c r="M2858" i="22"/>
  <c r="L2858" i="22"/>
  <c r="M2857" i="22"/>
  <c r="L2857" i="22"/>
  <c r="M2856" i="22"/>
  <c r="L2856" i="22"/>
  <c r="F2856" i="22"/>
  <c r="B2856" i="22"/>
  <c r="M2855" i="22"/>
  <c r="L2855" i="22"/>
  <c r="F2855" i="22"/>
  <c r="B2855" i="22"/>
  <c r="M2854" i="22"/>
  <c r="L2854" i="22"/>
  <c r="M2853" i="22"/>
  <c r="L2853" i="22"/>
  <c r="F2853" i="22"/>
  <c r="B2853" i="22"/>
  <c r="M2852" i="22"/>
  <c r="L2852" i="22"/>
  <c r="F2852" i="22"/>
  <c r="B2852" i="22"/>
  <c r="M2851" i="22"/>
  <c r="L2851" i="22"/>
  <c r="M2850" i="22"/>
  <c r="L2850" i="22"/>
  <c r="M2849" i="22"/>
  <c r="L2849" i="22"/>
  <c r="M2848" i="22"/>
  <c r="L2848" i="22"/>
  <c r="M2847" i="22"/>
  <c r="L2847" i="22"/>
  <c r="M2846" i="22"/>
  <c r="L2846" i="22"/>
  <c r="M2845" i="22"/>
  <c r="L2845" i="22"/>
  <c r="D2845" i="22"/>
  <c r="M2844" i="22"/>
  <c r="L2844" i="22"/>
  <c r="D2844" i="22"/>
  <c r="M2843" i="22"/>
  <c r="L2843" i="22"/>
  <c r="D2843" i="22"/>
  <c r="M2842" i="22"/>
  <c r="L2842" i="22"/>
  <c r="M2841" i="22"/>
  <c r="L2841" i="22"/>
  <c r="M2840" i="22"/>
  <c r="L2840" i="22"/>
  <c r="M2839" i="22"/>
  <c r="L2839" i="22"/>
  <c r="M2838" i="22"/>
  <c r="L2838" i="22"/>
  <c r="I2837" i="22"/>
  <c r="A2837" i="22"/>
  <c r="I2836" i="22"/>
  <c r="I2835" i="22"/>
  <c r="H2835" i="22"/>
  <c r="I2834" i="22"/>
  <c r="H2834" i="22"/>
  <c r="I2833" i="22"/>
  <c r="H2833" i="22"/>
  <c r="I2832" i="22"/>
  <c r="H2832" i="22"/>
  <c r="I2831" i="22"/>
  <c r="H2831" i="22"/>
  <c r="I2830" i="22"/>
  <c r="H2830" i="22"/>
  <c r="I2829" i="22"/>
  <c r="H2829" i="22"/>
  <c r="I2828" i="22"/>
  <c r="H2828" i="22"/>
  <c r="I2827" i="22"/>
  <c r="H2827" i="22"/>
  <c r="I2826" i="22"/>
  <c r="H2826" i="22"/>
  <c r="I2825" i="22"/>
  <c r="H2825" i="22"/>
  <c r="B2819" i="22"/>
  <c r="B2818" i="22"/>
  <c r="C2817" i="22"/>
  <c r="B2817" i="22"/>
  <c r="B2816" i="22"/>
  <c r="B2813" i="22"/>
  <c r="H2812" i="22"/>
  <c r="B2812" i="22"/>
  <c r="H2811" i="22"/>
  <c r="B2811" i="22"/>
  <c r="H2810" i="22"/>
  <c r="E2810" i="22"/>
  <c r="B2810" i="22"/>
  <c r="E2809" i="22"/>
  <c r="B2809" i="22"/>
  <c r="E2808" i="22"/>
  <c r="B2808" i="22"/>
  <c r="H2807" i="22"/>
  <c r="E2807" i="22"/>
  <c r="B2807" i="22"/>
  <c r="H2806" i="22"/>
  <c r="E2806" i="22"/>
  <c r="B2806" i="22"/>
  <c r="H2805" i="22"/>
  <c r="E2805" i="22"/>
  <c r="B2805" i="22"/>
  <c r="B2802" i="22"/>
  <c r="B2800" i="22"/>
  <c r="B2799" i="22"/>
  <c r="B2797" i="22"/>
  <c r="B2794" i="22"/>
  <c r="B2793" i="22"/>
  <c r="B2791" i="22"/>
  <c r="B2790" i="22"/>
  <c r="B2787" i="22"/>
  <c r="F2781" i="22"/>
  <c r="B2777" i="22"/>
  <c r="F2771" i="22"/>
  <c r="F2769" i="22"/>
  <c r="D2769" i="22"/>
  <c r="B2769" i="22"/>
  <c r="F2768" i="22"/>
  <c r="D2768" i="22"/>
  <c r="B2768" i="22"/>
  <c r="F2767" i="22"/>
  <c r="D2767" i="22"/>
  <c r="B2767" i="22"/>
  <c r="F2763" i="22"/>
  <c r="D2763" i="22"/>
  <c r="B2763" i="22"/>
  <c r="F2762" i="22"/>
  <c r="D2762" i="22"/>
  <c r="B2762" i="22"/>
  <c r="F2761" i="22"/>
  <c r="D2761" i="22"/>
  <c r="B2761" i="22"/>
  <c r="F2758" i="22"/>
  <c r="D2758" i="22"/>
  <c r="B2758" i="22"/>
  <c r="F2757" i="22"/>
  <c r="D2757" i="22"/>
  <c r="B2757" i="22"/>
  <c r="F2756" i="22"/>
  <c r="D2756" i="22"/>
  <c r="B2756" i="22"/>
  <c r="F2755" i="22"/>
  <c r="D2755" i="22"/>
  <c r="B2755" i="22"/>
  <c r="F2754" i="22"/>
  <c r="D2754" i="22"/>
  <c r="B2754" i="22"/>
  <c r="F2753" i="22"/>
  <c r="D2753" i="22"/>
  <c r="B2753" i="22"/>
  <c r="F2752" i="22"/>
  <c r="D2752" i="22"/>
  <c r="B2752" i="22"/>
  <c r="F2751" i="22"/>
  <c r="D2751" i="22"/>
  <c r="B2751" i="22"/>
  <c r="F2745" i="22"/>
  <c r="D2745" i="22"/>
  <c r="B2745" i="22"/>
  <c r="F2744" i="22"/>
  <c r="D2744" i="22"/>
  <c r="B2744" i="22"/>
  <c r="F2743" i="22"/>
  <c r="D2743" i="22"/>
  <c r="B2743" i="22"/>
  <c r="M2742" i="22"/>
  <c r="L2742" i="22"/>
  <c r="F2742" i="22"/>
  <c r="D2742" i="22"/>
  <c r="B2742" i="22"/>
  <c r="M2741" i="22"/>
  <c r="L2741" i="22"/>
  <c r="F2741" i="22"/>
  <c r="D2741" i="22"/>
  <c r="B2741" i="22"/>
  <c r="M2740" i="22"/>
  <c r="L2740" i="22"/>
  <c r="M2739" i="22"/>
  <c r="L2739" i="22"/>
  <c r="M2738" i="22"/>
  <c r="L2738" i="22"/>
  <c r="M2737" i="22"/>
  <c r="L2737" i="22"/>
  <c r="F2737" i="22"/>
  <c r="D2737" i="22"/>
  <c r="B2737" i="22"/>
  <c r="M2736" i="22"/>
  <c r="L2736" i="22"/>
  <c r="F2736" i="22"/>
  <c r="D2736" i="22"/>
  <c r="B2736" i="22"/>
  <c r="M2735" i="22"/>
  <c r="L2735" i="22"/>
  <c r="M2734" i="22"/>
  <c r="L2734" i="22"/>
  <c r="M2733" i="22"/>
  <c r="L2733" i="22"/>
  <c r="F2733" i="22"/>
  <c r="D2733" i="22"/>
  <c r="B2733" i="22"/>
  <c r="M2732" i="22"/>
  <c r="L2732" i="22"/>
  <c r="F2732" i="22"/>
  <c r="D2732" i="22"/>
  <c r="B2732" i="22"/>
  <c r="M2731" i="22"/>
  <c r="L2731" i="22"/>
  <c r="F2731" i="22"/>
  <c r="D2731" i="22"/>
  <c r="B2731" i="22"/>
  <c r="M2730" i="22"/>
  <c r="L2730" i="22"/>
  <c r="F2730" i="22"/>
  <c r="D2730" i="22"/>
  <c r="B2730" i="22"/>
  <c r="M2729" i="22"/>
  <c r="L2729" i="22"/>
  <c r="F2729" i="22"/>
  <c r="D2729" i="22"/>
  <c r="B2729" i="22"/>
  <c r="M2728" i="22"/>
  <c r="L2728" i="22"/>
  <c r="M2727" i="22"/>
  <c r="L2727" i="22"/>
  <c r="F2727" i="22"/>
  <c r="D2727" i="22"/>
  <c r="B2727" i="22"/>
  <c r="M2726" i="22"/>
  <c r="L2726" i="22"/>
  <c r="F2726" i="22"/>
  <c r="M2725" i="22"/>
  <c r="L2725" i="22"/>
  <c r="M2724" i="22"/>
  <c r="L2724" i="22"/>
  <c r="M2723" i="22"/>
  <c r="L2723" i="22"/>
  <c r="M2722" i="22"/>
  <c r="L2722" i="22"/>
  <c r="M2721" i="22"/>
  <c r="L2721" i="22"/>
  <c r="F2721" i="22"/>
  <c r="B2721" i="22"/>
  <c r="M2720" i="22"/>
  <c r="L2720" i="22"/>
  <c r="F2720" i="22"/>
  <c r="B2720" i="22"/>
  <c r="M2719" i="22"/>
  <c r="L2719" i="22"/>
  <c r="M2718" i="22"/>
  <c r="L2718" i="22"/>
  <c r="F2718" i="22"/>
  <c r="B2718" i="22"/>
  <c r="M2717" i="22"/>
  <c r="L2717" i="22"/>
  <c r="F2717" i="22"/>
  <c r="B2717" i="22"/>
  <c r="M2716" i="22"/>
  <c r="L2716" i="22"/>
  <c r="M2715" i="22"/>
  <c r="L2715" i="22"/>
  <c r="M2714" i="22"/>
  <c r="L2714" i="22"/>
  <c r="M2713" i="22"/>
  <c r="L2713" i="22"/>
  <c r="M2712" i="22"/>
  <c r="L2712" i="22"/>
  <c r="M2711" i="22"/>
  <c r="L2711" i="22"/>
  <c r="M2710" i="22"/>
  <c r="L2710" i="22"/>
  <c r="D2710" i="22"/>
  <c r="M2709" i="22"/>
  <c r="L2709" i="22"/>
  <c r="D2709" i="22"/>
  <c r="M2708" i="22"/>
  <c r="L2708" i="22"/>
  <c r="D2708" i="22"/>
  <c r="M2707" i="22"/>
  <c r="L2707" i="22"/>
  <c r="M2706" i="22"/>
  <c r="L2706" i="22"/>
  <c r="M2705" i="22"/>
  <c r="L2705" i="22"/>
  <c r="M2704" i="22"/>
  <c r="L2704" i="22"/>
  <c r="M2703" i="22"/>
  <c r="L2703" i="22"/>
  <c r="I2702" i="22"/>
  <c r="A2702" i="22"/>
  <c r="I2701" i="22"/>
  <c r="I2700" i="22"/>
  <c r="H2700" i="22"/>
  <c r="I2699" i="22"/>
  <c r="H2699" i="22"/>
  <c r="I2698" i="22"/>
  <c r="H2698" i="22"/>
  <c r="I2697" i="22"/>
  <c r="H2697" i="22"/>
  <c r="I2696" i="22"/>
  <c r="H2696" i="22"/>
  <c r="I2695" i="22"/>
  <c r="H2695" i="22"/>
  <c r="I2694" i="22"/>
  <c r="H2694" i="22"/>
  <c r="I2693" i="22"/>
  <c r="H2693" i="22"/>
  <c r="I2692" i="22"/>
  <c r="H2692" i="22"/>
  <c r="I2691" i="22"/>
  <c r="H2691" i="22"/>
  <c r="I2690" i="22"/>
  <c r="H2690" i="22"/>
  <c r="B2684" i="22"/>
  <c r="B2683" i="22"/>
  <c r="C2682" i="22"/>
  <c r="B2682" i="22"/>
  <c r="B2681" i="22"/>
  <c r="B2678" i="22"/>
  <c r="H2677" i="22"/>
  <c r="B2677" i="22"/>
  <c r="H2676" i="22"/>
  <c r="B2676" i="22"/>
  <c r="H2675" i="22"/>
  <c r="E2675" i="22"/>
  <c r="B2675" i="22"/>
  <c r="E2674" i="22"/>
  <c r="B2674" i="22"/>
  <c r="E2673" i="22"/>
  <c r="B2673" i="22"/>
  <c r="H2672" i="22"/>
  <c r="E2672" i="22"/>
  <c r="B2672" i="22"/>
  <c r="H2671" i="22"/>
  <c r="E2671" i="22"/>
  <c r="B2671" i="22"/>
  <c r="H2670" i="22"/>
  <c r="E2670" i="22"/>
  <c r="B2670" i="22"/>
  <c r="B2667" i="22"/>
  <c r="B2665" i="22"/>
  <c r="B2664" i="22"/>
  <c r="B2662" i="22"/>
  <c r="B2659" i="22"/>
  <c r="B2658" i="22"/>
  <c r="B2656" i="22"/>
  <c r="B2655" i="22"/>
  <c r="B2652" i="22"/>
  <c r="F2646" i="22"/>
  <c r="B2642" i="22"/>
  <c r="F2636" i="22"/>
  <c r="F2634" i="22"/>
  <c r="D2634" i="22"/>
  <c r="B2634" i="22"/>
  <c r="F2633" i="22"/>
  <c r="D2633" i="22"/>
  <c r="B2633" i="22"/>
  <c r="F2632" i="22"/>
  <c r="D2632" i="22"/>
  <c r="B2632" i="22"/>
  <c r="F2628" i="22"/>
  <c r="D2628" i="22"/>
  <c r="B2628" i="22"/>
  <c r="F2627" i="22"/>
  <c r="D2627" i="22"/>
  <c r="B2627" i="22"/>
  <c r="F2626" i="22"/>
  <c r="D2626" i="22"/>
  <c r="B2626" i="22"/>
  <c r="F2623" i="22"/>
  <c r="D2623" i="22"/>
  <c r="B2623" i="22"/>
  <c r="F2622" i="22"/>
  <c r="D2622" i="22"/>
  <c r="B2622" i="22"/>
  <c r="F2621" i="22"/>
  <c r="D2621" i="22"/>
  <c r="B2621" i="22"/>
  <c r="F2620" i="22"/>
  <c r="D2620" i="22"/>
  <c r="B2620" i="22"/>
  <c r="F2619" i="22"/>
  <c r="D2619" i="22"/>
  <c r="B2619" i="22"/>
  <c r="F2618" i="22"/>
  <c r="D2618" i="22"/>
  <c r="B2618" i="22"/>
  <c r="F2617" i="22"/>
  <c r="D2617" i="22"/>
  <c r="B2617" i="22"/>
  <c r="F2616" i="22"/>
  <c r="D2616" i="22"/>
  <c r="B2616" i="22"/>
  <c r="F2610" i="22"/>
  <c r="D2610" i="22"/>
  <c r="B2610" i="22"/>
  <c r="F2609" i="22"/>
  <c r="D2609" i="22"/>
  <c r="B2609" i="22"/>
  <c r="F2608" i="22"/>
  <c r="D2608" i="22"/>
  <c r="B2608" i="22"/>
  <c r="M2607" i="22"/>
  <c r="L2607" i="22"/>
  <c r="F2607" i="22"/>
  <c r="D2607" i="22"/>
  <c r="B2607" i="22"/>
  <c r="M2606" i="22"/>
  <c r="L2606" i="22"/>
  <c r="F2606" i="22"/>
  <c r="D2606" i="22"/>
  <c r="B2606" i="22"/>
  <c r="M2605" i="22"/>
  <c r="L2605" i="22"/>
  <c r="M2604" i="22"/>
  <c r="L2604" i="22"/>
  <c r="M2603" i="22"/>
  <c r="L2603" i="22"/>
  <c r="M2602" i="22"/>
  <c r="L2602" i="22"/>
  <c r="F2602" i="22"/>
  <c r="D2602" i="22"/>
  <c r="B2602" i="22"/>
  <c r="M2601" i="22"/>
  <c r="L2601" i="22"/>
  <c r="F2601" i="22"/>
  <c r="D2601" i="22"/>
  <c r="B2601" i="22"/>
  <c r="M2600" i="22"/>
  <c r="L2600" i="22"/>
  <c r="M2599" i="22"/>
  <c r="L2599" i="22"/>
  <c r="M2598" i="22"/>
  <c r="L2598" i="22"/>
  <c r="F2598" i="22"/>
  <c r="D2598" i="22"/>
  <c r="B2598" i="22"/>
  <c r="M2597" i="22"/>
  <c r="L2597" i="22"/>
  <c r="F2597" i="22"/>
  <c r="D2597" i="22"/>
  <c r="B2597" i="22"/>
  <c r="M2596" i="22"/>
  <c r="L2596" i="22"/>
  <c r="F2596" i="22"/>
  <c r="D2596" i="22"/>
  <c r="B2596" i="22"/>
  <c r="M2595" i="22"/>
  <c r="L2595" i="22"/>
  <c r="F2595" i="22"/>
  <c r="D2595" i="22"/>
  <c r="B2595" i="22"/>
  <c r="M2594" i="22"/>
  <c r="L2594" i="22"/>
  <c r="F2594" i="22"/>
  <c r="D2594" i="22"/>
  <c r="B2594" i="22"/>
  <c r="M2593" i="22"/>
  <c r="L2593" i="22"/>
  <c r="M2592" i="22"/>
  <c r="L2592" i="22"/>
  <c r="F2592" i="22"/>
  <c r="D2592" i="22"/>
  <c r="B2592" i="22"/>
  <c r="M2591" i="22"/>
  <c r="L2591" i="22"/>
  <c r="F2591" i="22"/>
  <c r="M2590" i="22"/>
  <c r="L2590" i="22"/>
  <c r="M2589" i="22"/>
  <c r="L2589" i="22"/>
  <c r="M2588" i="22"/>
  <c r="L2588" i="22"/>
  <c r="M2587" i="22"/>
  <c r="L2587" i="22"/>
  <c r="M2586" i="22"/>
  <c r="L2586" i="22"/>
  <c r="F2586" i="22"/>
  <c r="B2586" i="22"/>
  <c r="M2585" i="22"/>
  <c r="L2585" i="22"/>
  <c r="F2585" i="22"/>
  <c r="B2585" i="22"/>
  <c r="M2584" i="22"/>
  <c r="L2584" i="22"/>
  <c r="M2583" i="22"/>
  <c r="L2583" i="22"/>
  <c r="F2583" i="22"/>
  <c r="B2583" i="22"/>
  <c r="M2582" i="22"/>
  <c r="L2582" i="22"/>
  <c r="F2582" i="22"/>
  <c r="B2582" i="22"/>
  <c r="M2581" i="22"/>
  <c r="L2581" i="22"/>
  <c r="M2580" i="22"/>
  <c r="L2580" i="22"/>
  <c r="M2579" i="22"/>
  <c r="L2579" i="22"/>
  <c r="M2578" i="22"/>
  <c r="L2578" i="22"/>
  <c r="M2577" i="22"/>
  <c r="L2577" i="22"/>
  <c r="M2576" i="22"/>
  <c r="L2576" i="22"/>
  <c r="M2575" i="22"/>
  <c r="L2575" i="22"/>
  <c r="D2575" i="22"/>
  <c r="M2574" i="22"/>
  <c r="L2574" i="22"/>
  <c r="D2574" i="22"/>
  <c r="M2573" i="22"/>
  <c r="L2573" i="22"/>
  <c r="D2573" i="22"/>
  <c r="M2572" i="22"/>
  <c r="L2572" i="22"/>
  <c r="M2571" i="22"/>
  <c r="L2571" i="22"/>
  <c r="M2570" i="22"/>
  <c r="L2570" i="22"/>
  <c r="M2569" i="22"/>
  <c r="L2569" i="22"/>
  <c r="M2568" i="22"/>
  <c r="L2568" i="22"/>
  <c r="I2567" i="22"/>
  <c r="A2567" i="22"/>
  <c r="I2566" i="22"/>
  <c r="I2565" i="22"/>
  <c r="H2565" i="22"/>
  <c r="I2564" i="22"/>
  <c r="H2564" i="22"/>
  <c r="I2563" i="22"/>
  <c r="H2563" i="22"/>
  <c r="I2562" i="22"/>
  <c r="H2562" i="22"/>
  <c r="I2561" i="22"/>
  <c r="H2561" i="22"/>
  <c r="I2560" i="22"/>
  <c r="H2560" i="22"/>
  <c r="I2559" i="22"/>
  <c r="H2559" i="22"/>
  <c r="I2558" i="22"/>
  <c r="H2558" i="22"/>
  <c r="I2557" i="22"/>
  <c r="H2557" i="22"/>
  <c r="I2556" i="22"/>
  <c r="H2556" i="22"/>
  <c r="I2555" i="22"/>
  <c r="H2555" i="22"/>
  <c r="B2549" i="22"/>
  <c r="B2548" i="22"/>
  <c r="C2547" i="22"/>
  <c r="B2547" i="22"/>
  <c r="B2546" i="22"/>
  <c r="B2543" i="22"/>
  <c r="H2542" i="22"/>
  <c r="B2542" i="22"/>
  <c r="H2541" i="22"/>
  <c r="B2541" i="22"/>
  <c r="H2540" i="22"/>
  <c r="E2540" i="22"/>
  <c r="B2540" i="22"/>
  <c r="E2539" i="22"/>
  <c r="B2539" i="22"/>
  <c r="E2538" i="22"/>
  <c r="B2538" i="22"/>
  <c r="H2537" i="22"/>
  <c r="E2537" i="22"/>
  <c r="B2537" i="22"/>
  <c r="H2536" i="22"/>
  <c r="E2536" i="22"/>
  <c r="B2536" i="22"/>
  <c r="H2535" i="22"/>
  <c r="E2535" i="22"/>
  <c r="B2535" i="22"/>
  <c r="B2532" i="22"/>
  <c r="B2530" i="22"/>
  <c r="B2529" i="22"/>
  <c r="B2527" i="22"/>
  <c r="B2524" i="22"/>
  <c r="B2523" i="22"/>
  <c r="B2521" i="22"/>
  <c r="B2520" i="22"/>
  <c r="B2517" i="22"/>
  <c r="F2511" i="22"/>
  <c r="B2507" i="22"/>
  <c r="F2501" i="22"/>
  <c r="F2499" i="22"/>
  <c r="D2499" i="22"/>
  <c r="B2499" i="22"/>
  <c r="F2498" i="22"/>
  <c r="D2498" i="22"/>
  <c r="B2498" i="22"/>
  <c r="F2497" i="22"/>
  <c r="D2497" i="22"/>
  <c r="B2497" i="22"/>
  <c r="F2493" i="22"/>
  <c r="D2493" i="22"/>
  <c r="B2493" i="22"/>
  <c r="F2492" i="22"/>
  <c r="D2492" i="22"/>
  <c r="B2492" i="22"/>
  <c r="F2491" i="22"/>
  <c r="D2491" i="22"/>
  <c r="B2491" i="22"/>
  <c r="F2488" i="22"/>
  <c r="D2488" i="22"/>
  <c r="B2488" i="22"/>
  <c r="F2487" i="22"/>
  <c r="D2487" i="22"/>
  <c r="B2487" i="22"/>
  <c r="F2486" i="22"/>
  <c r="D2486" i="22"/>
  <c r="B2486" i="22"/>
  <c r="F2485" i="22"/>
  <c r="D2485" i="22"/>
  <c r="B2485" i="22"/>
  <c r="F2484" i="22"/>
  <c r="D2484" i="22"/>
  <c r="B2484" i="22"/>
  <c r="F2483" i="22"/>
  <c r="D2483" i="22"/>
  <c r="B2483" i="22"/>
  <c r="F2482" i="22"/>
  <c r="D2482" i="22"/>
  <c r="B2482" i="22"/>
  <c r="F2481" i="22"/>
  <c r="D2481" i="22"/>
  <c r="B2481" i="22"/>
  <c r="F2475" i="22"/>
  <c r="D2475" i="22"/>
  <c r="B2475" i="22"/>
  <c r="F2474" i="22"/>
  <c r="D2474" i="22"/>
  <c r="B2474" i="22"/>
  <c r="F2473" i="22"/>
  <c r="D2473" i="22"/>
  <c r="B2473" i="22"/>
  <c r="M2472" i="22"/>
  <c r="L2472" i="22"/>
  <c r="F2472" i="22"/>
  <c r="D2472" i="22"/>
  <c r="B2472" i="22"/>
  <c r="M2471" i="22"/>
  <c r="L2471" i="22"/>
  <c r="F2471" i="22"/>
  <c r="D2471" i="22"/>
  <c r="B2471" i="22"/>
  <c r="M2470" i="22"/>
  <c r="L2470" i="22"/>
  <c r="M2469" i="22"/>
  <c r="L2469" i="22"/>
  <c r="M2468" i="22"/>
  <c r="L2468" i="22"/>
  <c r="M2467" i="22"/>
  <c r="L2467" i="22"/>
  <c r="F2467" i="22"/>
  <c r="D2467" i="22"/>
  <c r="B2467" i="22"/>
  <c r="M2466" i="22"/>
  <c r="L2466" i="22"/>
  <c r="F2466" i="22"/>
  <c r="D2466" i="22"/>
  <c r="B2466" i="22"/>
  <c r="M2465" i="22"/>
  <c r="L2465" i="22"/>
  <c r="M2464" i="22"/>
  <c r="L2464" i="22"/>
  <c r="M2463" i="22"/>
  <c r="L2463" i="22"/>
  <c r="F2463" i="22"/>
  <c r="D2463" i="22"/>
  <c r="B2463" i="22"/>
  <c r="M2462" i="22"/>
  <c r="L2462" i="22"/>
  <c r="F2462" i="22"/>
  <c r="D2462" i="22"/>
  <c r="B2462" i="22"/>
  <c r="M2461" i="22"/>
  <c r="L2461" i="22"/>
  <c r="F2461" i="22"/>
  <c r="D2461" i="22"/>
  <c r="B2461" i="22"/>
  <c r="M2460" i="22"/>
  <c r="L2460" i="22"/>
  <c r="F2460" i="22"/>
  <c r="D2460" i="22"/>
  <c r="B2460" i="22"/>
  <c r="M2459" i="22"/>
  <c r="L2459" i="22"/>
  <c r="F2459" i="22"/>
  <c r="D2459" i="22"/>
  <c r="B2459" i="22"/>
  <c r="M2458" i="22"/>
  <c r="L2458" i="22"/>
  <c r="M2457" i="22"/>
  <c r="L2457" i="22"/>
  <c r="F2457" i="22"/>
  <c r="D2457" i="22"/>
  <c r="B2457" i="22"/>
  <c r="M2456" i="22"/>
  <c r="L2456" i="22"/>
  <c r="F2456" i="22"/>
  <c r="M2455" i="22"/>
  <c r="L2455" i="22"/>
  <c r="M2454" i="22"/>
  <c r="L2454" i="22"/>
  <c r="M2453" i="22"/>
  <c r="L2453" i="22"/>
  <c r="M2452" i="22"/>
  <c r="L2452" i="22"/>
  <c r="M2451" i="22"/>
  <c r="L2451" i="22"/>
  <c r="F2451" i="22"/>
  <c r="B2451" i="22"/>
  <c r="M2450" i="22"/>
  <c r="L2450" i="22"/>
  <c r="F2450" i="22"/>
  <c r="B2450" i="22"/>
  <c r="M2449" i="22"/>
  <c r="L2449" i="22"/>
  <c r="M2448" i="22"/>
  <c r="L2448" i="22"/>
  <c r="F2448" i="22"/>
  <c r="B2448" i="22"/>
  <c r="M2447" i="22"/>
  <c r="L2447" i="22"/>
  <c r="F2447" i="22"/>
  <c r="B2447" i="22"/>
  <c r="M2446" i="22"/>
  <c r="L2446" i="22"/>
  <c r="M2445" i="22"/>
  <c r="L2445" i="22"/>
  <c r="M2444" i="22"/>
  <c r="L2444" i="22"/>
  <c r="M2443" i="22"/>
  <c r="L2443" i="22"/>
  <c r="M2442" i="22"/>
  <c r="L2442" i="22"/>
  <c r="M2441" i="22"/>
  <c r="L2441" i="22"/>
  <c r="M2440" i="22"/>
  <c r="L2440" i="22"/>
  <c r="D2440" i="22"/>
  <c r="M2439" i="22"/>
  <c r="L2439" i="22"/>
  <c r="D2439" i="22"/>
  <c r="M2438" i="22"/>
  <c r="L2438" i="22"/>
  <c r="D2438" i="22"/>
  <c r="M2437" i="22"/>
  <c r="L2437" i="22"/>
  <c r="M2436" i="22"/>
  <c r="L2436" i="22"/>
  <c r="M2435" i="22"/>
  <c r="L2435" i="22"/>
  <c r="M2434" i="22"/>
  <c r="L2434" i="22"/>
  <c r="M2433" i="22"/>
  <c r="L2433" i="22"/>
  <c r="I2432" i="22"/>
  <c r="A2432" i="22"/>
  <c r="I2431" i="22"/>
  <c r="I2430" i="22"/>
  <c r="H2430" i="22"/>
  <c r="I2429" i="22"/>
  <c r="H2429" i="22"/>
  <c r="I2428" i="22"/>
  <c r="H2428" i="22"/>
  <c r="I2427" i="22"/>
  <c r="H2427" i="22"/>
  <c r="I2426" i="22"/>
  <c r="H2426" i="22"/>
  <c r="I2425" i="22"/>
  <c r="H2425" i="22"/>
  <c r="I2424" i="22"/>
  <c r="H2424" i="22"/>
  <c r="I2423" i="22"/>
  <c r="H2423" i="22"/>
  <c r="I2422" i="22"/>
  <c r="H2422" i="22"/>
  <c r="I2421" i="22"/>
  <c r="H2421" i="22"/>
  <c r="I2420" i="22"/>
  <c r="H2420" i="22"/>
  <c r="B2414" i="22"/>
  <c r="B2413" i="22"/>
  <c r="C2412" i="22"/>
  <c r="B2412" i="22"/>
  <c r="B2411" i="22"/>
  <c r="B2408" i="22"/>
  <c r="H2407" i="22"/>
  <c r="B2407" i="22"/>
  <c r="H2406" i="22"/>
  <c r="B2406" i="22"/>
  <c r="H2405" i="22"/>
  <c r="E2405" i="22"/>
  <c r="B2405" i="22"/>
  <c r="E2404" i="22"/>
  <c r="B2404" i="22"/>
  <c r="E2403" i="22"/>
  <c r="B2403" i="22"/>
  <c r="H2402" i="22"/>
  <c r="E2402" i="22"/>
  <c r="B2402" i="22"/>
  <c r="H2401" i="22"/>
  <c r="E2401" i="22"/>
  <c r="B2401" i="22"/>
  <c r="H2400" i="22"/>
  <c r="E2400" i="22"/>
  <c r="B2400" i="22"/>
  <c r="B2397" i="22"/>
  <c r="B2395" i="22"/>
  <c r="B2394" i="22"/>
  <c r="B2392" i="22"/>
  <c r="B2389" i="22"/>
  <c r="B2388" i="22"/>
  <c r="B2386" i="22"/>
  <c r="B2385" i="22"/>
  <c r="B2382" i="22"/>
  <c r="F2376" i="22"/>
  <c r="B2372" i="22"/>
  <c r="F2366" i="22"/>
  <c r="F2364" i="22"/>
  <c r="D2364" i="22"/>
  <c r="B2364" i="22"/>
  <c r="F2363" i="22"/>
  <c r="D2363" i="22"/>
  <c r="B2363" i="22"/>
  <c r="F2362" i="22"/>
  <c r="D2362" i="22"/>
  <c r="B2362" i="22"/>
  <c r="F2358" i="22"/>
  <c r="D2358" i="22"/>
  <c r="B2358" i="22"/>
  <c r="F2357" i="22"/>
  <c r="D2357" i="22"/>
  <c r="B2357" i="22"/>
  <c r="F2356" i="22"/>
  <c r="D2356" i="22"/>
  <c r="B2356" i="22"/>
  <c r="F2353" i="22"/>
  <c r="D2353" i="22"/>
  <c r="B2353" i="22"/>
  <c r="F2352" i="22"/>
  <c r="D2352" i="22"/>
  <c r="B2352" i="22"/>
  <c r="F2351" i="22"/>
  <c r="D2351" i="22"/>
  <c r="B2351" i="22"/>
  <c r="F2350" i="22"/>
  <c r="D2350" i="22"/>
  <c r="B2350" i="22"/>
  <c r="F2349" i="22"/>
  <c r="D2349" i="22"/>
  <c r="B2349" i="22"/>
  <c r="F2348" i="22"/>
  <c r="D2348" i="22"/>
  <c r="B2348" i="22"/>
  <c r="F2347" i="22"/>
  <c r="D2347" i="22"/>
  <c r="B2347" i="22"/>
  <c r="F2346" i="22"/>
  <c r="D2346" i="22"/>
  <c r="B2346" i="22"/>
  <c r="F2340" i="22"/>
  <c r="D2340" i="22"/>
  <c r="B2340" i="22"/>
  <c r="F2339" i="22"/>
  <c r="D2339" i="22"/>
  <c r="B2339" i="22"/>
  <c r="F2338" i="22"/>
  <c r="D2338" i="22"/>
  <c r="B2338" i="22"/>
  <c r="M2337" i="22"/>
  <c r="L2337" i="22"/>
  <c r="F2337" i="22"/>
  <c r="D2337" i="22"/>
  <c r="B2337" i="22"/>
  <c r="M2336" i="22"/>
  <c r="L2336" i="22"/>
  <c r="F2336" i="22"/>
  <c r="D2336" i="22"/>
  <c r="B2336" i="22"/>
  <c r="M2335" i="22"/>
  <c r="L2335" i="22"/>
  <c r="M2334" i="22"/>
  <c r="L2334" i="22"/>
  <c r="M2333" i="22"/>
  <c r="L2333" i="22"/>
  <c r="M2332" i="22"/>
  <c r="L2332" i="22"/>
  <c r="F2332" i="22"/>
  <c r="D2332" i="22"/>
  <c r="B2332" i="22"/>
  <c r="M2331" i="22"/>
  <c r="L2331" i="22"/>
  <c r="F2331" i="22"/>
  <c r="D2331" i="22"/>
  <c r="B2331" i="22"/>
  <c r="M2330" i="22"/>
  <c r="L2330" i="22"/>
  <c r="M2329" i="22"/>
  <c r="L2329" i="22"/>
  <c r="M2328" i="22"/>
  <c r="L2328" i="22"/>
  <c r="F2328" i="22"/>
  <c r="D2328" i="22"/>
  <c r="B2328" i="22"/>
  <c r="M2327" i="22"/>
  <c r="L2327" i="22"/>
  <c r="F2327" i="22"/>
  <c r="D2327" i="22"/>
  <c r="B2327" i="22"/>
  <c r="M2326" i="22"/>
  <c r="L2326" i="22"/>
  <c r="F2326" i="22"/>
  <c r="D2326" i="22"/>
  <c r="B2326" i="22"/>
  <c r="M2325" i="22"/>
  <c r="L2325" i="22"/>
  <c r="F2325" i="22"/>
  <c r="D2325" i="22"/>
  <c r="B2325" i="22"/>
  <c r="M2324" i="22"/>
  <c r="L2324" i="22"/>
  <c r="F2324" i="22"/>
  <c r="D2324" i="22"/>
  <c r="B2324" i="22"/>
  <c r="M2323" i="22"/>
  <c r="L2323" i="22"/>
  <c r="M2322" i="22"/>
  <c r="L2322" i="22"/>
  <c r="F2322" i="22"/>
  <c r="D2322" i="22"/>
  <c r="B2322" i="22"/>
  <c r="M2321" i="22"/>
  <c r="L2321" i="22"/>
  <c r="F2321" i="22"/>
  <c r="M2320" i="22"/>
  <c r="L2320" i="22"/>
  <c r="M2319" i="22"/>
  <c r="L2319" i="22"/>
  <c r="M2318" i="22"/>
  <c r="L2318" i="22"/>
  <c r="M2317" i="22"/>
  <c r="L2317" i="22"/>
  <c r="M2316" i="22"/>
  <c r="L2316" i="22"/>
  <c r="F2316" i="22"/>
  <c r="B2316" i="22"/>
  <c r="M2315" i="22"/>
  <c r="L2315" i="22"/>
  <c r="F2315" i="22"/>
  <c r="B2315" i="22"/>
  <c r="M2314" i="22"/>
  <c r="L2314" i="22"/>
  <c r="M2313" i="22"/>
  <c r="L2313" i="22"/>
  <c r="F2313" i="22"/>
  <c r="B2313" i="22"/>
  <c r="M2312" i="22"/>
  <c r="L2312" i="22"/>
  <c r="F2312" i="22"/>
  <c r="B2312" i="22"/>
  <c r="M2311" i="22"/>
  <c r="L2311" i="22"/>
  <c r="M2310" i="22"/>
  <c r="L2310" i="22"/>
  <c r="M2309" i="22"/>
  <c r="L2309" i="22"/>
  <c r="M2308" i="22"/>
  <c r="L2308" i="22"/>
  <c r="M2307" i="22"/>
  <c r="L2307" i="22"/>
  <c r="M2306" i="22"/>
  <c r="L2306" i="22"/>
  <c r="M2305" i="22"/>
  <c r="L2305" i="22"/>
  <c r="D2305" i="22"/>
  <c r="M2304" i="22"/>
  <c r="L2304" i="22"/>
  <c r="D2304" i="22"/>
  <c r="M2303" i="22"/>
  <c r="L2303" i="22"/>
  <c r="D2303" i="22"/>
  <c r="M2302" i="22"/>
  <c r="L2302" i="22"/>
  <c r="M2301" i="22"/>
  <c r="L2301" i="22"/>
  <c r="M2300" i="22"/>
  <c r="L2300" i="22"/>
  <c r="M2299" i="22"/>
  <c r="L2299" i="22"/>
  <c r="M2298" i="22"/>
  <c r="L2298" i="22"/>
  <c r="I2297" i="22"/>
  <c r="A2297" i="22"/>
  <c r="I2296" i="22"/>
  <c r="I2295" i="22"/>
  <c r="H2295" i="22"/>
  <c r="I2294" i="22"/>
  <c r="H2294" i="22"/>
  <c r="I2293" i="22"/>
  <c r="H2293" i="22"/>
  <c r="I2292" i="22"/>
  <c r="H2292" i="22"/>
  <c r="I2291" i="22"/>
  <c r="H2291" i="22"/>
  <c r="I2290" i="22"/>
  <c r="H2290" i="22"/>
  <c r="I2289" i="22"/>
  <c r="H2289" i="22"/>
  <c r="I2288" i="22"/>
  <c r="H2288" i="22"/>
  <c r="I2287" i="22"/>
  <c r="H2287" i="22"/>
  <c r="I2286" i="22"/>
  <c r="H2286" i="22"/>
  <c r="I2285" i="22"/>
  <c r="H2285" i="22"/>
  <c r="B2279" i="22"/>
  <c r="B2278" i="22"/>
  <c r="C2277" i="22"/>
  <c r="B2277" i="22"/>
  <c r="B2276" i="22"/>
  <c r="B2273" i="22"/>
  <c r="H2272" i="22"/>
  <c r="B2272" i="22"/>
  <c r="H2271" i="22"/>
  <c r="B2271" i="22"/>
  <c r="H2270" i="22"/>
  <c r="E2270" i="22"/>
  <c r="B2270" i="22"/>
  <c r="E2269" i="22"/>
  <c r="B2269" i="22"/>
  <c r="E2268" i="22"/>
  <c r="B2268" i="22"/>
  <c r="H2267" i="22"/>
  <c r="E2267" i="22"/>
  <c r="B2267" i="22"/>
  <c r="H2266" i="22"/>
  <c r="E2266" i="22"/>
  <c r="B2266" i="22"/>
  <c r="H2265" i="22"/>
  <c r="E2265" i="22"/>
  <c r="B2265" i="22"/>
  <c r="B2262" i="22"/>
  <c r="B2260" i="22"/>
  <c r="B2259" i="22"/>
  <c r="B2257" i="22"/>
  <c r="B2254" i="22"/>
  <c r="B2253" i="22"/>
  <c r="B2251" i="22"/>
  <c r="B2250" i="22"/>
  <c r="B2247" i="22"/>
  <c r="F2241" i="22"/>
  <c r="B2237" i="22"/>
  <c r="F2231" i="22"/>
  <c r="F2229" i="22"/>
  <c r="D2229" i="22"/>
  <c r="B2229" i="22"/>
  <c r="F2228" i="22"/>
  <c r="D2228" i="22"/>
  <c r="B2228" i="22"/>
  <c r="F2227" i="22"/>
  <c r="D2227" i="22"/>
  <c r="B2227" i="22"/>
  <c r="F2223" i="22"/>
  <c r="D2223" i="22"/>
  <c r="B2223" i="22"/>
  <c r="F2222" i="22"/>
  <c r="D2222" i="22"/>
  <c r="B2222" i="22"/>
  <c r="F2221" i="22"/>
  <c r="D2221" i="22"/>
  <c r="B2221" i="22"/>
  <c r="F2218" i="22"/>
  <c r="D2218" i="22"/>
  <c r="B2218" i="22"/>
  <c r="F2217" i="22"/>
  <c r="D2217" i="22"/>
  <c r="B2217" i="22"/>
  <c r="F2216" i="22"/>
  <c r="D2216" i="22"/>
  <c r="B2216" i="22"/>
  <c r="F2215" i="22"/>
  <c r="D2215" i="22"/>
  <c r="B2215" i="22"/>
  <c r="F2214" i="22"/>
  <c r="D2214" i="22"/>
  <c r="B2214" i="22"/>
  <c r="F2213" i="22"/>
  <c r="D2213" i="22"/>
  <c r="B2213" i="22"/>
  <c r="F2212" i="22"/>
  <c r="D2212" i="22"/>
  <c r="B2212" i="22"/>
  <c r="F2211" i="22"/>
  <c r="D2211" i="22"/>
  <c r="B2211" i="22"/>
  <c r="F2205" i="22"/>
  <c r="D2205" i="22"/>
  <c r="B2205" i="22"/>
  <c r="F2204" i="22"/>
  <c r="D2204" i="22"/>
  <c r="B2204" i="22"/>
  <c r="F2203" i="22"/>
  <c r="D2203" i="22"/>
  <c r="B2203" i="22"/>
  <c r="M2202" i="22"/>
  <c r="L2202" i="22"/>
  <c r="F2202" i="22"/>
  <c r="D2202" i="22"/>
  <c r="B2202" i="22"/>
  <c r="M2201" i="22"/>
  <c r="L2201" i="22"/>
  <c r="F2201" i="22"/>
  <c r="D2201" i="22"/>
  <c r="B2201" i="22"/>
  <c r="M2200" i="22"/>
  <c r="L2200" i="22"/>
  <c r="M2199" i="22"/>
  <c r="L2199" i="22"/>
  <c r="M2198" i="22"/>
  <c r="L2198" i="22"/>
  <c r="M2197" i="22"/>
  <c r="L2197" i="22"/>
  <c r="F2197" i="22"/>
  <c r="D2197" i="22"/>
  <c r="B2197" i="22"/>
  <c r="M2196" i="22"/>
  <c r="L2196" i="22"/>
  <c r="F2196" i="22"/>
  <c r="D2196" i="22"/>
  <c r="B2196" i="22"/>
  <c r="M2195" i="22"/>
  <c r="L2195" i="22"/>
  <c r="M2194" i="22"/>
  <c r="L2194" i="22"/>
  <c r="M2193" i="22"/>
  <c r="L2193" i="22"/>
  <c r="F2193" i="22"/>
  <c r="D2193" i="22"/>
  <c r="B2193" i="22"/>
  <c r="M2192" i="22"/>
  <c r="L2192" i="22"/>
  <c r="F2192" i="22"/>
  <c r="D2192" i="22"/>
  <c r="B2192" i="22"/>
  <c r="M2191" i="22"/>
  <c r="L2191" i="22"/>
  <c r="F2191" i="22"/>
  <c r="D2191" i="22"/>
  <c r="B2191" i="22"/>
  <c r="M2190" i="22"/>
  <c r="L2190" i="22"/>
  <c r="F2190" i="22"/>
  <c r="D2190" i="22"/>
  <c r="B2190" i="22"/>
  <c r="M2189" i="22"/>
  <c r="L2189" i="22"/>
  <c r="F2189" i="22"/>
  <c r="D2189" i="22"/>
  <c r="B2189" i="22"/>
  <c r="M2188" i="22"/>
  <c r="L2188" i="22"/>
  <c r="M2187" i="22"/>
  <c r="L2187" i="22"/>
  <c r="F2187" i="22"/>
  <c r="D2187" i="22"/>
  <c r="B2187" i="22"/>
  <c r="M2186" i="22"/>
  <c r="L2186" i="22"/>
  <c r="F2186" i="22"/>
  <c r="M2185" i="22"/>
  <c r="L2185" i="22"/>
  <c r="M2184" i="22"/>
  <c r="L2184" i="22"/>
  <c r="M2183" i="22"/>
  <c r="L2183" i="22"/>
  <c r="M2182" i="22"/>
  <c r="L2182" i="22"/>
  <c r="M2181" i="22"/>
  <c r="L2181" i="22"/>
  <c r="F2181" i="22"/>
  <c r="B2181" i="22"/>
  <c r="M2180" i="22"/>
  <c r="L2180" i="22"/>
  <c r="F2180" i="22"/>
  <c r="B2180" i="22"/>
  <c r="M2179" i="22"/>
  <c r="L2179" i="22"/>
  <c r="M2178" i="22"/>
  <c r="L2178" i="22"/>
  <c r="F2178" i="22"/>
  <c r="B2178" i="22"/>
  <c r="M2177" i="22"/>
  <c r="L2177" i="22"/>
  <c r="F2177" i="22"/>
  <c r="B2177" i="22"/>
  <c r="M2176" i="22"/>
  <c r="L2176" i="22"/>
  <c r="M2175" i="22"/>
  <c r="L2175" i="22"/>
  <c r="M2174" i="22"/>
  <c r="L2174" i="22"/>
  <c r="M2173" i="22"/>
  <c r="L2173" i="22"/>
  <c r="M2172" i="22"/>
  <c r="L2172" i="22"/>
  <c r="M2171" i="22"/>
  <c r="L2171" i="22"/>
  <c r="M2170" i="22"/>
  <c r="L2170" i="22"/>
  <c r="D2170" i="22"/>
  <c r="M2169" i="22"/>
  <c r="L2169" i="22"/>
  <c r="D2169" i="22"/>
  <c r="M2168" i="22"/>
  <c r="L2168" i="22"/>
  <c r="D2168" i="22"/>
  <c r="M2167" i="22"/>
  <c r="L2167" i="22"/>
  <c r="M2166" i="22"/>
  <c r="L2166" i="22"/>
  <c r="M2165" i="22"/>
  <c r="L2165" i="22"/>
  <c r="M2164" i="22"/>
  <c r="L2164" i="22"/>
  <c r="M2163" i="22"/>
  <c r="L2163" i="22"/>
  <c r="I2162" i="22"/>
  <c r="A2162" i="22"/>
  <c r="I2161" i="22"/>
  <c r="I2160" i="22"/>
  <c r="H2160" i="22"/>
  <c r="I2159" i="22"/>
  <c r="H2159" i="22"/>
  <c r="I2158" i="22"/>
  <c r="H2158" i="22"/>
  <c r="I2157" i="22"/>
  <c r="H2157" i="22"/>
  <c r="I2156" i="22"/>
  <c r="H2156" i="22"/>
  <c r="I2155" i="22"/>
  <c r="H2155" i="22"/>
  <c r="I2154" i="22"/>
  <c r="H2154" i="22"/>
  <c r="I2153" i="22"/>
  <c r="H2153" i="22"/>
  <c r="I2152" i="22"/>
  <c r="H2152" i="22"/>
  <c r="I2151" i="22"/>
  <c r="H2151" i="22"/>
  <c r="I2150" i="22"/>
  <c r="H2150" i="22"/>
  <c r="B2144" i="22"/>
  <c r="B2143" i="22"/>
  <c r="C2142" i="22"/>
  <c r="B2142" i="22"/>
  <c r="B2141" i="22"/>
  <c r="B2138" i="22"/>
  <c r="H2137" i="22"/>
  <c r="B2137" i="22"/>
  <c r="H2136" i="22"/>
  <c r="B2136" i="22"/>
  <c r="H2135" i="22"/>
  <c r="E2135" i="22"/>
  <c r="B2135" i="22"/>
  <c r="E2134" i="22"/>
  <c r="B2134" i="22"/>
  <c r="E2133" i="22"/>
  <c r="B2133" i="22"/>
  <c r="H2132" i="22"/>
  <c r="E2132" i="22"/>
  <c r="B2132" i="22"/>
  <c r="H2131" i="22"/>
  <c r="E2131" i="22"/>
  <c r="B2131" i="22"/>
  <c r="H2130" i="22"/>
  <c r="E2130" i="22"/>
  <c r="B2130" i="22"/>
  <c r="B2127" i="22"/>
  <c r="B2125" i="22"/>
  <c r="B2124" i="22"/>
  <c r="B2122" i="22"/>
  <c r="B2119" i="22"/>
  <c r="B2118" i="22"/>
  <c r="B2116" i="22"/>
  <c r="B2115" i="22"/>
  <c r="B2112" i="22"/>
  <c r="F2106" i="22"/>
  <c r="B2102" i="22"/>
  <c r="F2096" i="22"/>
  <c r="F2094" i="22"/>
  <c r="D2094" i="22"/>
  <c r="B2094" i="22"/>
  <c r="F2093" i="22"/>
  <c r="D2093" i="22"/>
  <c r="B2093" i="22"/>
  <c r="F2092" i="22"/>
  <c r="D2092" i="22"/>
  <c r="B2092" i="22"/>
  <c r="F2088" i="22"/>
  <c r="D2088" i="22"/>
  <c r="B2088" i="22"/>
  <c r="F2087" i="22"/>
  <c r="D2087" i="22"/>
  <c r="B2087" i="22"/>
  <c r="F2086" i="22"/>
  <c r="D2086" i="22"/>
  <c r="B2086" i="22"/>
  <c r="F2083" i="22"/>
  <c r="D2083" i="22"/>
  <c r="B2083" i="22"/>
  <c r="F2082" i="22"/>
  <c r="D2082" i="22"/>
  <c r="B2082" i="22"/>
  <c r="F2081" i="22"/>
  <c r="D2081" i="22"/>
  <c r="B2081" i="22"/>
  <c r="F2080" i="22"/>
  <c r="D2080" i="22"/>
  <c r="B2080" i="22"/>
  <c r="F2079" i="22"/>
  <c r="D2079" i="22"/>
  <c r="B2079" i="22"/>
  <c r="F2078" i="22"/>
  <c r="D2078" i="22"/>
  <c r="B2078" i="22"/>
  <c r="F2077" i="22"/>
  <c r="D2077" i="22"/>
  <c r="B2077" i="22"/>
  <c r="F2076" i="22"/>
  <c r="D2076" i="22"/>
  <c r="B2076" i="22"/>
  <c r="F2070" i="22"/>
  <c r="D2070" i="22"/>
  <c r="B2070" i="22"/>
  <c r="F2069" i="22"/>
  <c r="D2069" i="22"/>
  <c r="B2069" i="22"/>
  <c r="F2068" i="22"/>
  <c r="D2068" i="22"/>
  <c r="B2068" i="22"/>
  <c r="M2067" i="22"/>
  <c r="L2067" i="22"/>
  <c r="F2067" i="22"/>
  <c r="D2067" i="22"/>
  <c r="B2067" i="22"/>
  <c r="M2066" i="22"/>
  <c r="L2066" i="22"/>
  <c r="F2066" i="22"/>
  <c r="D2066" i="22"/>
  <c r="B2066" i="22"/>
  <c r="M2065" i="22"/>
  <c r="L2065" i="22"/>
  <c r="M2064" i="22"/>
  <c r="L2064" i="22"/>
  <c r="M2063" i="22"/>
  <c r="L2063" i="22"/>
  <c r="M2062" i="22"/>
  <c r="L2062" i="22"/>
  <c r="F2062" i="22"/>
  <c r="D2062" i="22"/>
  <c r="B2062" i="22"/>
  <c r="M2061" i="22"/>
  <c r="L2061" i="22"/>
  <c r="F2061" i="22"/>
  <c r="D2061" i="22"/>
  <c r="B2061" i="22"/>
  <c r="M2060" i="22"/>
  <c r="L2060" i="22"/>
  <c r="M2059" i="22"/>
  <c r="L2059" i="22"/>
  <c r="M2058" i="22"/>
  <c r="L2058" i="22"/>
  <c r="F2058" i="22"/>
  <c r="D2058" i="22"/>
  <c r="B2058" i="22"/>
  <c r="M2057" i="22"/>
  <c r="L2057" i="22"/>
  <c r="F2057" i="22"/>
  <c r="D2057" i="22"/>
  <c r="B2057" i="22"/>
  <c r="M2056" i="22"/>
  <c r="L2056" i="22"/>
  <c r="F2056" i="22"/>
  <c r="D2056" i="22"/>
  <c r="B2056" i="22"/>
  <c r="M2055" i="22"/>
  <c r="L2055" i="22"/>
  <c r="F2055" i="22"/>
  <c r="D2055" i="22"/>
  <c r="B2055" i="22"/>
  <c r="M2054" i="22"/>
  <c r="L2054" i="22"/>
  <c r="F2054" i="22"/>
  <c r="D2054" i="22"/>
  <c r="B2054" i="22"/>
  <c r="M2053" i="22"/>
  <c r="L2053" i="22"/>
  <c r="M2052" i="22"/>
  <c r="L2052" i="22"/>
  <c r="F2052" i="22"/>
  <c r="D2052" i="22"/>
  <c r="B2052" i="22"/>
  <c r="M2051" i="22"/>
  <c r="L2051" i="22"/>
  <c r="F2051" i="22"/>
  <c r="M2050" i="22"/>
  <c r="L2050" i="22"/>
  <c r="M2049" i="22"/>
  <c r="L2049" i="22"/>
  <c r="M2048" i="22"/>
  <c r="L2048" i="22"/>
  <c r="M2047" i="22"/>
  <c r="L2047" i="22"/>
  <c r="M2046" i="22"/>
  <c r="L2046" i="22"/>
  <c r="F2046" i="22"/>
  <c r="B2046" i="22"/>
  <c r="M2045" i="22"/>
  <c r="L2045" i="22"/>
  <c r="F2045" i="22"/>
  <c r="B2045" i="22"/>
  <c r="M2044" i="22"/>
  <c r="L2044" i="22"/>
  <c r="M2043" i="22"/>
  <c r="L2043" i="22"/>
  <c r="F2043" i="22"/>
  <c r="B2043" i="22"/>
  <c r="M2042" i="22"/>
  <c r="L2042" i="22"/>
  <c r="F2042" i="22"/>
  <c r="B2042" i="22"/>
  <c r="M2041" i="22"/>
  <c r="L2041" i="22"/>
  <c r="M2040" i="22"/>
  <c r="L2040" i="22"/>
  <c r="M2039" i="22"/>
  <c r="L2039" i="22"/>
  <c r="M2038" i="22"/>
  <c r="L2038" i="22"/>
  <c r="M2037" i="22"/>
  <c r="L2037" i="22"/>
  <c r="M2036" i="22"/>
  <c r="L2036" i="22"/>
  <c r="M2035" i="22"/>
  <c r="L2035" i="22"/>
  <c r="D2035" i="22"/>
  <c r="M2034" i="22"/>
  <c r="L2034" i="22"/>
  <c r="D2034" i="22"/>
  <c r="M2033" i="22"/>
  <c r="L2033" i="22"/>
  <c r="D2033" i="22"/>
  <c r="M2032" i="22"/>
  <c r="L2032" i="22"/>
  <c r="M2031" i="22"/>
  <c r="L2031" i="22"/>
  <c r="M2030" i="22"/>
  <c r="L2030" i="22"/>
  <c r="M2029" i="22"/>
  <c r="L2029" i="22"/>
  <c r="M2028" i="22"/>
  <c r="L2028" i="22"/>
  <c r="I2027" i="22"/>
  <c r="A2027" i="22"/>
  <c r="I2026" i="22"/>
  <c r="I2025" i="22"/>
  <c r="H2025" i="22"/>
  <c r="I2024" i="22"/>
  <c r="H2024" i="22"/>
  <c r="I2023" i="22"/>
  <c r="H2023" i="22"/>
  <c r="I2022" i="22"/>
  <c r="H2022" i="22"/>
  <c r="I2021" i="22"/>
  <c r="H2021" i="22"/>
  <c r="I2020" i="22"/>
  <c r="H2020" i="22"/>
  <c r="I2019" i="22"/>
  <c r="H2019" i="22"/>
  <c r="I2018" i="22"/>
  <c r="H2018" i="22"/>
  <c r="I2017" i="22"/>
  <c r="H2017" i="22"/>
  <c r="I2016" i="22"/>
  <c r="H2016" i="22"/>
  <c r="I2015" i="22"/>
  <c r="H2015" i="22"/>
  <c r="B2009" i="22"/>
  <c r="B2008" i="22"/>
  <c r="C2007" i="22"/>
  <c r="B2007" i="22"/>
  <c r="B2006" i="22"/>
  <c r="B2003" i="22"/>
  <c r="H2002" i="22"/>
  <c r="B2002" i="22"/>
  <c r="H2001" i="22"/>
  <c r="B2001" i="22"/>
  <c r="H2000" i="22"/>
  <c r="E2000" i="22"/>
  <c r="B2000" i="22"/>
  <c r="E1999" i="22"/>
  <c r="B1999" i="22"/>
  <c r="E1998" i="22"/>
  <c r="B1998" i="22"/>
  <c r="H1997" i="22"/>
  <c r="E1997" i="22"/>
  <c r="B1997" i="22"/>
  <c r="H1996" i="22"/>
  <c r="E1996" i="22"/>
  <c r="B1996" i="22"/>
  <c r="H1995" i="22"/>
  <c r="E1995" i="22"/>
  <c r="B1995" i="22"/>
  <c r="B1992" i="22"/>
  <c r="B1990" i="22"/>
  <c r="B1989" i="22"/>
  <c r="B1987" i="22"/>
  <c r="B1984" i="22"/>
  <c r="B1983" i="22"/>
  <c r="B1981" i="22"/>
  <c r="B1980" i="22"/>
  <c r="B1977" i="22"/>
  <c r="F1971" i="22"/>
  <c r="B1967" i="22"/>
  <c r="F1961" i="22"/>
  <c r="F1959" i="22"/>
  <c r="D1959" i="22"/>
  <c r="B1959" i="22"/>
  <c r="F1958" i="22"/>
  <c r="D1958" i="22"/>
  <c r="B1958" i="22"/>
  <c r="F1957" i="22"/>
  <c r="D1957" i="22"/>
  <c r="B1957" i="22"/>
  <c r="F1953" i="22"/>
  <c r="D1953" i="22"/>
  <c r="B1953" i="22"/>
  <c r="F1952" i="22"/>
  <c r="D1952" i="22"/>
  <c r="B1952" i="22"/>
  <c r="F1951" i="22"/>
  <c r="D1951" i="22"/>
  <c r="B1951" i="22"/>
  <c r="F1948" i="22"/>
  <c r="D1948" i="22"/>
  <c r="B1948" i="22"/>
  <c r="F1947" i="22"/>
  <c r="D1947" i="22"/>
  <c r="B1947" i="22"/>
  <c r="F1946" i="22"/>
  <c r="D1946" i="22"/>
  <c r="B1946" i="22"/>
  <c r="F1945" i="22"/>
  <c r="D1945" i="22"/>
  <c r="B1945" i="22"/>
  <c r="F1944" i="22"/>
  <c r="D1944" i="22"/>
  <c r="B1944" i="22"/>
  <c r="F1943" i="22"/>
  <c r="D1943" i="22"/>
  <c r="B1943" i="22"/>
  <c r="F1942" i="22"/>
  <c r="D1942" i="22"/>
  <c r="B1942" i="22"/>
  <c r="F1941" i="22"/>
  <c r="D1941" i="22"/>
  <c r="B1941" i="22"/>
  <c r="F1935" i="22"/>
  <c r="D1935" i="22"/>
  <c r="B1935" i="22"/>
  <c r="F1934" i="22"/>
  <c r="D1934" i="22"/>
  <c r="B1934" i="22"/>
  <c r="F1933" i="22"/>
  <c r="D1933" i="22"/>
  <c r="B1933" i="22"/>
  <c r="M1932" i="22"/>
  <c r="L1932" i="22"/>
  <c r="F1932" i="22"/>
  <c r="D1932" i="22"/>
  <c r="B1932" i="22"/>
  <c r="M1931" i="22"/>
  <c r="L1931" i="22"/>
  <c r="F1931" i="22"/>
  <c r="D1931" i="22"/>
  <c r="B1931" i="22"/>
  <c r="M1930" i="22"/>
  <c r="L1930" i="22"/>
  <c r="M1929" i="22"/>
  <c r="L1929" i="22"/>
  <c r="M1928" i="22"/>
  <c r="L1928" i="22"/>
  <c r="M1927" i="22"/>
  <c r="L1927" i="22"/>
  <c r="F1927" i="22"/>
  <c r="D1927" i="22"/>
  <c r="B1927" i="22"/>
  <c r="M1926" i="22"/>
  <c r="L1926" i="22"/>
  <c r="F1926" i="22"/>
  <c r="D1926" i="22"/>
  <c r="B1926" i="22"/>
  <c r="M1925" i="22"/>
  <c r="L1925" i="22"/>
  <c r="M1924" i="22"/>
  <c r="L1924" i="22"/>
  <c r="M1923" i="22"/>
  <c r="L1923" i="22"/>
  <c r="F1923" i="22"/>
  <c r="D1923" i="22"/>
  <c r="B1923" i="22"/>
  <c r="M1922" i="22"/>
  <c r="L1922" i="22"/>
  <c r="F1922" i="22"/>
  <c r="D1922" i="22"/>
  <c r="B1922" i="22"/>
  <c r="M1921" i="22"/>
  <c r="L1921" i="22"/>
  <c r="F1921" i="22"/>
  <c r="D1921" i="22"/>
  <c r="B1921" i="22"/>
  <c r="M1920" i="22"/>
  <c r="L1920" i="22"/>
  <c r="F1920" i="22"/>
  <c r="D1920" i="22"/>
  <c r="B1920" i="22"/>
  <c r="M1919" i="22"/>
  <c r="L1919" i="22"/>
  <c r="F1919" i="22"/>
  <c r="D1919" i="22"/>
  <c r="B1919" i="22"/>
  <c r="M1918" i="22"/>
  <c r="L1918" i="22"/>
  <c r="M1917" i="22"/>
  <c r="L1917" i="22"/>
  <c r="F1917" i="22"/>
  <c r="D1917" i="22"/>
  <c r="B1917" i="22"/>
  <c r="M1916" i="22"/>
  <c r="L1916" i="22"/>
  <c r="F1916" i="22"/>
  <c r="M1915" i="22"/>
  <c r="L1915" i="22"/>
  <c r="M1914" i="22"/>
  <c r="L1914" i="22"/>
  <c r="M1913" i="22"/>
  <c r="L1913" i="22"/>
  <c r="M1912" i="22"/>
  <c r="L1912" i="22"/>
  <c r="M1911" i="22"/>
  <c r="L1911" i="22"/>
  <c r="F1911" i="22"/>
  <c r="B1911" i="22"/>
  <c r="M1910" i="22"/>
  <c r="L1910" i="22"/>
  <c r="F1910" i="22"/>
  <c r="B1910" i="22"/>
  <c r="M1909" i="22"/>
  <c r="L1909" i="22"/>
  <c r="M1908" i="22"/>
  <c r="L1908" i="22"/>
  <c r="F1908" i="22"/>
  <c r="B1908" i="22"/>
  <c r="M1907" i="22"/>
  <c r="L1907" i="22"/>
  <c r="F1907" i="22"/>
  <c r="B1907" i="22"/>
  <c r="M1906" i="22"/>
  <c r="L1906" i="22"/>
  <c r="M1905" i="22"/>
  <c r="L1905" i="22"/>
  <c r="M1904" i="22"/>
  <c r="L1904" i="22"/>
  <c r="M1903" i="22"/>
  <c r="L1903" i="22"/>
  <c r="M1902" i="22"/>
  <c r="L1902" i="22"/>
  <c r="M1901" i="22"/>
  <c r="L1901" i="22"/>
  <c r="M1900" i="22"/>
  <c r="L1900" i="22"/>
  <c r="D1900" i="22"/>
  <c r="M1899" i="22"/>
  <c r="L1899" i="22"/>
  <c r="D1899" i="22"/>
  <c r="M1898" i="22"/>
  <c r="L1898" i="22"/>
  <c r="D1898" i="22"/>
  <c r="M1897" i="22"/>
  <c r="L1897" i="22"/>
  <c r="M1896" i="22"/>
  <c r="L1896" i="22"/>
  <c r="M1895" i="22"/>
  <c r="L1895" i="22"/>
  <c r="M1894" i="22"/>
  <c r="L1894" i="22"/>
  <c r="M1893" i="22"/>
  <c r="L1893" i="22"/>
  <c r="I1892" i="22"/>
  <c r="A1892" i="22"/>
  <c r="I1891" i="22"/>
  <c r="I1890" i="22"/>
  <c r="H1890" i="22"/>
  <c r="I1889" i="22"/>
  <c r="H1889" i="22"/>
  <c r="I1888" i="22"/>
  <c r="H1888" i="22"/>
  <c r="I1887" i="22"/>
  <c r="H1887" i="22"/>
  <c r="I1886" i="22"/>
  <c r="H1886" i="22"/>
  <c r="I1885" i="22"/>
  <c r="H1885" i="22"/>
  <c r="I1884" i="22"/>
  <c r="H1884" i="22"/>
  <c r="I1883" i="22"/>
  <c r="H1883" i="22"/>
  <c r="I1882" i="22"/>
  <c r="H1882" i="22"/>
  <c r="I1881" i="22"/>
  <c r="H1881" i="22"/>
  <c r="I1880" i="22"/>
  <c r="H1880" i="22"/>
  <c r="B1874" i="22"/>
  <c r="B1873" i="22"/>
  <c r="C1872" i="22"/>
  <c r="B1872" i="22"/>
  <c r="B1871" i="22"/>
  <c r="B1868" i="22"/>
  <c r="H1867" i="22"/>
  <c r="B1867" i="22"/>
  <c r="H1866" i="22"/>
  <c r="B1866" i="22"/>
  <c r="H1865" i="22"/>
  <c r="E1865" i="22"/>
  <c r="B1865" i="22"/>
  <c r="E1864" i="22"/>
  <c r="B1864" i="22"/>
  <c r="E1863" i="22"/>
  <c r="B1863" i="22"/>
  <c r="H1862" i="22"/>
  <c r="E1862" i="22"/>
  <c r="B1862" i="22"/>
  <c r="H1861" i="22"/>
  <c r="E1861" i="22"/>
  <c r="B1861" i="22"/>
  <c r="H1860" i="22"/>
  <c r="E1860" i="22"/>
  <c r="B1860" i="22"/>
  <c r="B1857" i="22"/>
  <c r="B1855" i="22"/>
  <c r="B1854" i="22"/>
  <c r="B1852" i="22"/>
  <c r="B1849" i="22"/>
  <c r="B1848" i="22"/>
  <c r="B1846" i="22"/>
  <c r="B1845" i="22"/>
  <c r="B1842" i="22"/>
  <c r="F1836" i="22"/>
  <c r="B1832" i="22"/>
  <c r="F1826" i="22"/>
  <c r="F1824" i="22"/>
  <c r="D1824" i="22"/>
  <c r="B1824" i="22"/>
  <c r="F1823" i="22"/>
  <c r="D1823" i="22"/>
  <c r="B1823" i="22"/>
  <c r="F1822" i="22"/>
  <c r="D1822" i="22"/>
  <c r="B1822" i="22"/>
  <c r="F1818" i="22"/>
  <c r="D1818" i="22"/>
  <c r="B1818" i="22"/>
  <c r="F1817" i="22"/>
  <c r="D1817" i="22"/>
  <c r="B1817" i="22"/>
  <c r="F1816" i="22"/>
  <c r="D1816" i="22"/>
  <c r="B1816" i="22"/>
  <c r="F1813" i="22"/>
  <c r="D1813" i="22"/>
  <c r="B1813" i="22"/>
  <c r="F1812" i="22"/>
  <c r="D1812" i="22"/>
  <c r="B1812" i="22"/>
  <c r="F1811" i="22"/>
  <c r="D1811" i="22"/>
  <c r="B1811" i="22"/>
  <c r="F1810" i="22"/>
  <c r="D1810" i="22"/>
  <c r="B1810" i="22"/>
  <c r="F1809" i="22"/>
  <c r="D1809" i="22"/>
  <c r="B1809" i="22"/>
  <c r="F1808" i="22"/>
  <c r="D1808" i="22"/>
  <c r="B1808" i="22"/>
  <c r="F1807" i="22"/>
  <c r="D1807" i="22"/>
  <c r="B1807" i="22"/>
  <c r="F1806" i="22"/>
  <c r="D1806" i="22"/>
  <c r="B1806" i="22"/>
  <c r="F1800" i="22"/>
  <c r="D1800" i="22"/>
  <c r="B1800" i="22"/>
  <c r="F1799" i="22"/>
  <c r="D1799" i="22"/>
  <c r="B1799" i="22"/>
  <c r="F1798" i="22"/>
  <c r="D1798" i="22"/>
  <c r="B1798" i="22"/>
  <c r="M1797" i="22"/>
  <c r="L1797" i="22"/>
  <c r="F1797" i="22"/>
  <c r="D1797" i="22"/>
  <c r="B1797" i="22"/>
  <c r="M1796" i="22"/>
  <c r="L1796" i="22"/>
  <c r="F1796" i="22"/>
  <c r="D1796" i="22"/>
  <c r="B1796" i="22"/>
  <c r="M1795" i="22"/>
  <c r="L1795" i="22"/>
  <c r="M1794" i="22"/>
  <c r="L1794" i="22"/>
  <c r="M1793" i="22"/>
  <c r="L1793" i="22"/>
  <c r="M1792" i="22"/>
  <c r="L1792" i="22"/>
  <c r="F1792" i="22"/>
  <c r="D1792" i="22"/>
  <c r="B1792" i="22"/>
  <c r="M1791" i="22"/>
  <c r="L1791" i="22"/>
  <c r="F1791" i="22"/>
  <c r="D1791" i="22"/>
  <c r="B1791" i="22"/>
  <c r="M1790" i="22"/>
  <c r="L1790" i="22"/>
  <c r="M1789" i="22"/>
  <c r="L1789" i="22"/>
  <c r="M1788" i="22"/>
  <c r="L1788" i="22"/>
  <c r="F1788" i="22"/>
  <c r="D1788" i="22"/>
  <c r="B1788" i="22"/>
  <c r="M1787" i="22"/>
  <c r="L1787" i="22"/>
  <c r="F1787" i="22"/>
  <c r="D1787" i="22"/>
  <c r="B1787" i="22"/>
  <c r="M1786" i="22"/>
  <c r="L1786" i="22"/>
  <c r="F1786" i="22"/>
  <c r="D1786" i="22"/>
  <c r="B1786" i="22"/>
  <c r="M1785" i="22"/>
  <c r="L1785" i="22"/>
  <c r="F1785" i="22"/>
  <c r="D1785" i="22"/>
  <c r="B1785" i="22"/>
  <c r="M1784" i="22"/>
  <c r="L1784" i="22"/>
  <c r="F1784" i="22"/>
  <c r="D1784" i="22"/>
  <c r="B1784" i="22"/>
  <c r="M1783" i="22"/>
  <c r="L1783" i="22"/>
  <c r="M1782" i="22"/>
  <c r="L1782" i="22"/>
  <c r="F1782" i="22"/>
  <c r="D1782" i="22"/>
  <c r="B1782" i="22"/>
  <c r="M1781" i="22"/>
  <c r="L1781" i="22"/>
  <c r="F1781" i="22"/>
  <c r="M1780" i="22"/>
  <c r="L1780" i="22"/>
  <c r="M1779" i="22"/>
  <c r="L1779" i="22"/>
  <c r="M1778" i="22"/>
  <c r="L1778" i="22"/>
  <c r="M1777" i="22"/>
  <c r="L1777" i="22"/>
  <c r="M1776" i="22"/>
  <c r="L1776" i="22"/>
  <c r="F1776" i="22"/>
  <c r="B1776" i="22"/>
  <c r="M1775" i="22"/>
  <c r="L1775" i="22"/>
  <c r="F1775" i="22"/>
  <c r="B1775" i="22"/>
  <c r="M1774" i="22"/>
  <c r="L1774" i="22"/>
  <c r="M1773" i="22"/>
  <c r="L1773" i="22"/>
  <c r="F1773" i="22"/>
  <c r="B1773" i="22"/>
  <c r="M1772" i="22"/>
  <c r="L1772" i="22"/>
  <c r="F1772" i="22"/>
  <c r="B1772" i="22"/>
  <c r="M1771" i="22"/>
  <c r="L1771" i="22"/>
  <c r="M1770" i="22"/>
  <c r="L1770" i="22"/>
  <c r="M1769" i="22"/>
  <c r="L1769" i="22"/>
  <c r="M1768" i="22"/>
  <c r="L1768" i="22"/>
  <c r="M1767" i="22"/>
  <c r="L1767" i="22"/>
  <c r="M1766" i="22"/>
  <c r="L1766" i="22"/>
  <c r="M1765" i="22"/>
  <c r="L1765" i="22"/>
  <c r="D1765" i="22"/>
  <c r="M1764" i="22"/>
  <c r="L1764" i="22"/>
  <c r="D1764" i="22"/>
  <c r="M1763" i="22"/>
  <c r="L1763" i="22"/>
  <c r="D1763" i="22"/>
  <c r="M1762" i="22"/>
  <c r="L1762" i="22"/>
  <c r="M1761" i="22"/>
  <c r="L1761" i="22"/>
  <c r="M1760" i="22"/>
  <c r="L1760" i="22"/>
  <c r="M1759" i="22"/>
  <c r="L1759" i="22"/>
  <c r="M1758" i="22"/>
  <c r="L1758" i="22"/>
  <c r="I1757" i="22"/>
  <c r="A1757" i="22"/>
  <c r="I1756" i="22"/>
  <c r="I1755" i="22"/>
  <c r="H1755" i="22"/>
  <c r="I1754" i="22"/>
  <c r="H1754" i="22"/>
  <c r="I1753" i="22"/>
  <c r="H1753" i="22"/>
  <c r="I1752" i="22"/>
  <c r="H1752" i="22"/>
  <c r="I1751" i="22"/>
  <c r="H1751" i="22"/>
  <c r="I1750" i="22"/>
  <c r="H1750" i="22"/>
  <c r="I1749" i="22"/>
  <c r="H1749" i="22"/>
  <c r="I1748" i="22"/>
  <c r="H1748" i="22"/>
  <c r="I1747" i="22"/>
  <c r="H1747" i="22"/>
  <c r="I1746" i="22"/>
  <c r="H1746" i="22"/>
  <c r="I1745" i="22"/>
  <c r="H1745" i="22"/>
  <c r="B1739" i="22"/>
  <c r="B1738" i="22"/>
  <c r="C1737" i="22"/>
  <c r="B1737" i="22"/>
  <c r="B1736" i="22"/>
  <c r="B1733" i="22"/>
  <c r="H1732" i="22"/>
  <c r="B1732" i="22"/>
  <c r="H1731" i="22"/>
  <c r="B1731" i="22"/>
  <c r="H1730" i="22"/>
  <c r="E1730" i="22"/>
  <c r="B1730" i="22"/>
  <c r="E1729" i="22"/>
  <c r="B1729" i="22"/>
  <c r="E1728" i="22"/>
  <c r="B1728" i="22"/>
  <c r="H1727" i="22"/>
  <c r="E1727" i="22"/>
  <c r="B1727" i="22"/>
  <c r="H1726" i="22"/>
  <c r="E1726" i="22"/>
  <c r="B1726" i="22"/>
  <c r="H1725" i="22"/>
  <c r="E1725" i="22"/>
  <c r="B1725" i="22"/>
  <c r="B1722" i="22"/>
  <c r="B1720" i="22"/>
  <c r="B1719" i="22"/>
  <c r="B1717" i="22"/>
  <c r="B1714" i="22"/>
  <c r="B1713" i="22"/>
  <c r="B1711" i="22"/>
  <c r="B1710" i="22"/>
  <c r="B1707" i="22"/>
  <c r="F1701" i="22"/>
  <c r="B1697" i="22"/>
  <c r="F1691" i="22"/>
  <c r="F1689" i="22"/>
  <c r="D1689" i="22"/>
  <c r="B1689" i="22"/>
  <c r="F1688" i="22"/>
  <c r="D1688" i="22"/>
  <c r="B1688" i="22"/>
  <c r="F1687" i="22"/>
  <c r="D1687" i="22"/>
  <c r="B1687" i="22"/>
  <c r="F1683" i="22"/>
  <c r="D1683" i="22"/>
  <c r="B1683" i="22"/>
  <c r="F1682" i="22"/>
  <c r="D1682" i="22"/>
  <c r="B1682" i="22"/>
  <c r="F1681" i="22"/>
  <c r="D1681" i="22"/>
  <c r="B1681" i="22"/>
  <c r="F1678" i="22"/>
  <c r="D1678" i="22"/>
  <c r="B1678" i="22"/>
  <c r="F1677" i="22"/>
  <c r="D1677" i="22"/>
  <c r="B1677" i="22"/>
  <c r="F1676" i="22"/>
  <c r="D1676" i="22"/>
  <c r="B1676" i="22"/>
  <c r="F1675" i="22"/>
  <c r="D1675" i="22"/>
  <c r="B1675" i="22"/>
  <c r="F1674" i="22"/>
  <c r="D1674" i="22"/>
  <c r="B1674" i="22"/>
  <c r="F1673" i="22"/>
  <c r="D1673" i="22"/>
  <c r="B1673" i="22"/>
  <c r="F1672" i="22"/>
  <c r="D1672" i="22"/>
  <c r="B1672" i="22"/>
  <c r="F1671" i="22"/>
  <c r="D1671" i="22"/>
  <c r="B1671" i="22"/>
  <c r="F1665" i="22"/>
  <c r="D1665" i="22"/>
  <c r="B1665" i="22"/>
  <c r="F1664" i="22"/>
  <c r="D1664" i="22"/>
  <c r="B1664" i="22"/>
  <c r="F1663" i="22"/>
  <c r="D1663" i="22"/>
  <c r="B1663" i="22"/>
  <c r="M1662" i="22"/>
  <c r="L1662" i="22"/>
  <c r="F1662" i="22"/>
  <c r="D1662" i="22"/>
  <c r="B1662" i="22"/>
  <c r="M1661" i="22"/>
  <c r="L1661" i="22"/>
  <c r="F1661" i="22"/>
  <c r="D1661" i="22"/>
  <c r="B1661" i="22"/>
  <c r="M1660" i="22"/>
  <c r="L1660" i="22"/>
  <c r="M1659" i="22"/>
  <c r="L1659" i="22"/>
  <c r="M1658" i="22"/>
  <c r="L1658" i="22"/>
  <c r="M1657" i="22"/>
  <c r="L1657" i="22"/>
  <c r="F1657" i="22"/>
  <c r="D1657" i="22"/>
  <c r="B1657" i="22"/>
  <c r="M1656" i="22"/>
  <c r="L1656" i="22"/>
  <c r="F1656" i="22"/>
  <c r="D1656" i="22"/>
  <c r="B1656" i="22"/>
  <c r="M1655" i="22"/>
  <c r="L1655" i="22"/>
  <c r="M1654" i="22"/>
  <c r="L1654" i="22"/>
  <c r="M1653" i="22"/>
  <c r="L1653" i="22"/>
  <c r="F1653" i="22"/>
  <c r="D1653" i="22"/>
  <c r="B1653" i="22"/>
  <c r="M1652" i="22"/>
  <c r="L1652" i="22"/>
  <c r="F1652" i="22"/>
  <c r="D1652" i="22"/>
  <c r="B1652" i="22"/>
  <c r="M1651" i="22"/>
  <c r="L1651" i="22"/>
  <c r="F1651" i="22"/>
  <c r="D1651" i="22"/>
  <c r="B1651" i="22"/>
  <c r="M1650" i="22"/>
  <c r="L1650" i="22"/>
  <c r="F1650" i="22"/>
  <c r="D1650" i="22"/>
  <c r="B1650" i="22"/>
  <c r="M1649" i="22"/>
  <c r="L1649" i="22"/>
  <c r="F1649" i="22"/>
  <c r="D1649" i="22"/>
  <c r="B1649" i="22"/>
  <c r="M1648" i="22"/>
  <c r="L1648" i="22"/>
  <c r="M1647" i="22"/>
  <c r="L1647" i="22"/>
  <c r="F1647" i="22"/>
  <c r="D1647" i="22"/>
  <c r="B1647" i="22"/>
  <c r="M1646" i="22"/>
  <c r="L1646" i="22"/>
  <c r="F1646" i="22"/>
  <c r="M1645" i="22"/>
  <c r="L1645" i="22"/>
  <c r="M1644" i="22"/>
  <c r="L1644" i="22"/>
  <c r="M1643" i="22"/>
  <c r="L1643" i="22"/>
  <c r="M1642" i="22"/>
  <c r="L1642" i="22"/>
  <c r="M1641" i="22"/>
  <c r="L1641" i="22"/>
  <c r="F1641" i="22"/>
  <c r="B1641" i="22"/>
  <c r="M1640" i="22"/>
  <c r="L1640" i="22"/>
  <c r="F1640" i="22"/>
  <c r="B1640" i="22"/>
  <c r="M1639" i="22"/>
  <c r="L1639" i="22"/>
  <c r="M1638" i="22"/>
  <c r="L1638" i="22"/>
  <c r="F1638" i="22"/>
  <c r="B1638" i="22"/>
  <c r="M1637" i="22"/>
  <c r="L1637" i="22"/>
  <c r="F1637" i="22"/>
  <c r="B1637" i="22"/>
  <c r="M1636" i="22"/>
  <c r="L1636" i="22"/>
  <c r="M1635" i="22"/>
  <c r="L1635" i="22"/>
  <c r="M1634" i="22"/>
  <c r="L1634" i="22"/>
  <c r="M1633" i="22"/>
  <c r="L1633" i="22"/>
  <c r="M1632" i="22"/>
  <c r="L1632" i="22"/>
  <c r="M1631" i="22"/>
  <c r="L1631" i="22"/>
  <c r="M1630" i="22"/>
  <c r="L1630" i="22"/>
  <c r="D1630" i="22"/>
  <c r="M1629" i="22"/>
  <c r="L1629" i="22"/>
  <c r="D1629" i="22"/>
  <c r="M1628" i="22"/>
  <c r="L1628" i="22"/>
  <c r="D1628" i="22"/>
  <c r="M1627" i="22"/>
  <c r="L1627" i="22"/>
  <c r="M1626" i="22"/>
  <c r="L1626" i="22"/>
  <c r="M1625" i="22"/>
  <c r="L1625" i="22"/>
  <c r="M1624" i="22"/>
  <c r="L1624" i="22"/>
  <c r="M1623" i="22"/>
  <c r="L1623" i="22"/>
  <c r="I1622" i="22"/>
  <c r="A1622" i="22"/>
  <c r="I1621" i="22"/>
  <c r="I1620" i="22"/>
  <c r="H1620" i="22"/>
  <c r="I1619" i="22"/>
  <c r="H1619" i="22"/>
  <c r="I1618" i="22"/>
  <c r="H1618" i="22"/>
  <c r="I1617" i="22"/>
  <c r="H1617" i="22"/>
  <c r="I1616" i="22"/>
  <c r="H1616" i="22"/>
  <c r="I1615" i="22"/>
  <c r="H1615" i="22"/>
  <c r="I1614" i="22"/>
  <c r="H1614" i="22"/>
  <c r="I1613" i="22"/>
  <c r="H1613" i="22"/>
  <c r="I1612" i="22"/>
  <c r="H1612" i="22"/>
  <c r="I1611" i="22"/>
  <c r="H1611" i="22"/>
  <c r="I1610" i="22"/>
  <c r="H1610" i="22"/>
  <c r="B1604" i="22"/>
  <c r="B1603" i="22"/>
  <c r="C1602" i="22"/>
  <c r="B1602" i="22"/>
  <c r="B1601" i="22"/>
  <c r="B1598" i="22"/>
  <c r="H1597" i="22"/>
  <c r="B1597" i="22"/>
  <c r="H1596" i="22"/>
  <c r="B1596" i="22"/>
  <c r="H1595" i="22"/>
  <c r="E1595" i="22"/>
  <c r="B1595" i="22"/>
  <c r="E1594" i="22"/>
  <c r="B1594" i="22"/>
  <c r="E1593" i="22"/>
  <c r="B1593" i="22"/>
  <c r="H1592" i="22"/>
  <c r="E1592" i="22"/>
  <c r="B1592" i="22"/>
  <c r="H1591" i="22"/>
  <c r="E1591" i="22"/>
  <c r="B1591" i="22"/>
  <c r="H1590" i="22"/>
  <c r="E1590" i="22"/>
  <c r="B1590" i="22"/>
  <c r="B1587" i="22"/>
  <c r="B1585" i="22"/>
  <c r="B1584" i="22"/>
  <c r="B1582" i="22"/>
  <c r="B1579" i="22"/>
  <c r="B1578" i="22"/>
  <c r="B1576" i="22"/>
  <c r="B1575" i="22"/>
  <c r="B1572" i="22"/>
  <c r="F1566" i="22"/>
  <c r="B1562" i="22"/>
  <c r="F1556" i="22"/>
  <c r="F1554" i="22"/>
  <c r="D1554" i="22"/>
  <c r="B1554" i="22"/>
  <c r="F1553" i="22"/>
  <c r="D1553" i="22"/>
  <c r="B1553" i="22"/>
  <c r="F1552" i="22"/>
  <c r="D1552" i="22"/>
  <c r="B1552" i="22"/>
  <c r="F1548" i="22"/>
  <c r="D1548" i="22"/>
  <c r="B1548" i="22"/>
  <c r="F1547" i="22"/>
  <c r="D1547" i="22"/>
  <c r="B1547" i="22"/>
  <c r="F1546" i="22"/>
  <c r="D1546" i="22"/>
  <c r="B1546" i="22"/>
  <c r="F1543" i="22"/>
  <c r="D1543" i="22"/>
  <c r="B1543" i="22"/>
  <c r="F1542" i="22"/>
  <c r="D1542" i="22"/>
  <c r="B1542" i="22"/>
  <c r="F1541" i="22"/>
  <c r="D1541" i="22"/>
  <c r="B1541" i="22"/>
  <c r="F1540" i="22"/>
  <c r="D1540" i="22"/>
  <c r="B1540" i="22"/>
  <c r="F1539" i="22"/>
  <c r="D1539" i="22"/>
  <c r="B1539" i="22"/>
  <c r="F1538" i="22"/>
  <c r="D1538" i="22"/>
  <c r="B1538" i="22"/>
  <c r="F1537" i="22"/>
  <c r="D1537" i="22"/>
  <c r="B1537" i="22"/>
  <c r="F1536" i="22"/>
  <c r="D1536" i="22"/>
  <c r="B1536" i="22"/>
  <c r="F1530" i="22"/>
  <c r="D1530" i="22"/>
  <c r="B1530" i="22"/>
  <c r="F1529" i="22"/>
  <c r="D1529" i="22"/>
  <c r="B1529" i="22"/>
  <c r="F1528" i="22"/>
  <c r="D1528" i="22"/>
  <c r="B1528" i="22"/>
  <c r="M1527" i="22"/>
  <c r="L1527" i="22"/>
  <c r="F1527" i="22"/>
  <c r="D1527" i="22"/>
  <c r="B1527" i="22"/>
  <c r="M1526" i="22"/>
  <c r="L1526" i="22"/>
  <c r="F1526" i="22"/>
  <c r="D1526" i="22"/>
  <c r="B1526" i="22"/>
  <c r="M1525" i="22"/>
  <c r="L1525" i="22"/>
  <c r="M1524" i="22"/>
  <c r="L1524" i="22"/>
  <c r="M1523" i="22"/>
  <c r="L1523" i="22"/>
  <c r="M1522" i="22"/>
  <c r="L1522" i="22"/>
  <c r="F1522" i="22"/>
  <c r="D1522" i="22"/>
  <c r="B1522" i="22"/>
  <c r="M1521" i="22"/>
  <c r="L1521" i="22"/>
  <c r="F1521" i="22"/>
  <c r="D1521" i="22"/>
  <c r="B1521" i="22"/>
  <c r="M1520" i="22"/>
  <c r="L1520" i="22"/>
  <c r="M1519" i="22"/>
  <c r="L1519" i="22"/>
  <c r="M1518" i="22"/>
  <c r="L1518" i="22"/>
  <c r="F1518" i="22"/>
  <c r="D1518" i="22"/>
  <c r="B1518" i="22"/>
  <c r="M1517" i="22"/>
  <c r="L1517" i="22"/>
  <c r="F1517" i="22"/>
  <c r="D1517" i="22"/>
  <c r="B1517" i="22"/>
  <c r="M1516" i="22"/>
  <c r="L1516" i="22"/>
  <c r="F1516" i="22"/>
  <c r="D1516" i="22"/>
  <c r="B1516" i="22"/>
  <c r="M1515" i="22"/>
  <c r="L1515" i="22"/>
  <c r="F1515" i="22"/>
  <c r="D1515" i="22"/>
  <c r="B1515" i="22"/>
  <c r="M1514" i="22"/>
  <c r="L1514" i="22"/>
  <c r="F1514" i="22"/>
  <c r="D1514" i="22"/>
  <c r="B1514" i="22"/>
  <c r="M1513" i="22"/>
  <c r="L1513" i="22"/>
  <c r="M1512" i="22"/>
  <c r="L1512" i="22"/>
  <c r="F1512" i="22"/>
  <c r="D1512" i="22"/>
  <c r="B1512" i="22"/>
  <c r="M1511" i="22"/>
  <c r="L1511" i="22"/>
  <c r="F1511" i="22"/>
  <c r="M1510" i="22"/>
  <c r="L1510" i="22"/>
  <c r="M1509" i="22"/>
  <c r="L1509" i="22"/>
  <c r="M1508" i="22"/>
  <c r="L1508" i="22"/>
  <c r="M1507" i="22"/>
  <c r="L1507" i="22"/>
  <c r="M1506" i="22"/>
  <c r="L1506" i="22"/>
  <c r="F1506" i="22"/>
  <c r="B1506" i="22"/>
  <c r="M1505" i="22"/>
  <c r="L1505" i="22"/>
  <c r="F1505" i="22"/>
  <c r="B1505" i="22"/>
  <c r="M1504" i="22"/>
  <c r="L1504" i="22"/>
  <c r="M1503" i="22"/>
  <c r="L1503" i="22"/>
  <c r="F1503" i="22"/>
  <c r="B1503" i="22"/>
  <c r="M1502" i="22"/>
  <c r="L1502" i="22"/>
  <c r="F1502" i="22"/>
  <c r="B1502" i="22"/>
  <c r="M1501" i="22"/>
  <c r="L1501" i="22"/>
  <c r="M1500" i="22"/>
  <c r="L1500" i="22"/>
  <c r="M1499" i="22"/>
  <c r="L1499" i="22"/>
  <c r="M1498" i="22"/>
  <c r="L1498" i="22"/>
  <c r="M1497" i="22"/>
  <c r="L1497" i="22"/>
  <c r="M1496" i="22"/>
  <c r="L1496" i="22"/>
  <c r="M1495" i="22"/>
  <c r="L1495" i="22"/>
  <c r="D1495" i="22"/>
  <c r="M1494" i="22"/>
  <c r="L1494" i="22"/>
  <c r="D1494" i="22"/>
  <c r="M1493" i="22"/>
  <c r="L1493" i="22"/>
  <c r="D1493" i="22"/>
  <c r="M1492" i="22"/>
  <c r="L1492" i="22"/>
  <c r="M1491" i="22"/>
  <c r="L1491" i="22"/>
  <c r="M1490" i="22"/>
  <c r="L1490" i="22"/>
  <c r="M1489" i="22"/>
  <c r="L1489" i="22"/>
  <c r="M1488" i="22"/>
  <c r="L1488" i="22"/>
  <c r="I1487" i="22"/>
  <c r="A1487" i="22"/>
  <c r="I1486" i="22"/>
  <c r="I1485" i="22"/>
  <c r="H1485" i="22"/>
  <c r="I1484" i="22"/>
  <c r="H1484" i="22"/>
  <c r="I1483" i="22"/>
  <c r="H1483" i="22"/>
  <c r="I1482" i="22"/>
  <c r="H1482" i="22"/>
  <c r="I1481" i="22"/>
  <c r="H1481" i="22"/>
  <c r="I1480" i="22"/>
  <c r="H1480" i="22"/>
  <c r="I1479" i="22"/>
  <c r="H1479" i="22"/>
  <c r="I1478" i="22"/>
  <c r="H1478" i="22"/>
  <c r="I1477" i="22"/>
  <c r="H1477" i="22"/>
  <c r="I1476" i="22"/>
  <c r="H1476" i="22"/>
  <c r="I1475" i="22"/>
  <c r="H1475" i="22"/>
  <c r="B1469" i="22"/>
  <c r="B1468" i="22"/>
  <c r="C1467" i="22"/>
  <c r="B1467" i="22"/>
  <c r="B1466" i="22"/>
  <c r="B1463" i="22"/>
  <c r="H1462" i="22"/>
  <c r="B1462" i="22"/>
  <c r="H1461" i="22"/>
  <c r="B1461" i="22"/>
  <c r="H1460" i="22"/>
  <c r="E1460" i="22"/>
  <c r="B1460" i="22"/>
  <c r="E1459" i="22"/>
  <c r="B1459" i="22"/>
  <c r="E1458" i="22"/>
  <c r="B1458" i="22"/>
  <c r="H1457" i="22"/>
  <c r="E1457" i="22"/>
  <c r="B1457" i="22"/>
  <c r="H1456" i="22"/>
  <c r="E1456" i="22"/>
  <c r="B1456" i="22"/>
  <c r="H1455" i="22"/>
  <c r="E1455" i="22"/>
  <c r="B1455" i="22"/>
  <c r="B1452" i="22"/>
  <c r="B1450" i="22"/>
  <c r="B1449" i="22"/>
  <c r="B1447" i="22"/>
  <c r="B1444" i="22"/>
  <c r="B1443" i="22"/>
  <c r="B1441" i="22"/>
  <c r="B1440" i="22"/>
  <c r="B1437" i="22"/>
  <c r="F1431" i="22"/>
  <c r="B1427" i="22"/>
  <c r="F1421" i="22"/>
  <c r="F1419" i="22"/>
  <c r="D1419" i="22"/>
  <c r="B1419" i="22"/>
  <c r="F1418" i="22"/>
  <c r="D1418" i="22"/>
  <c r="B1418" i="22"/>
  <c r="F1417" i="22"/>
  <c r="D1417" i="22"/>
  <c r="B1417" i="22"/>
  <c r="F1413" i="22"/>
  <c r="D1413" i="22"/>
  <c r="B1413" i="22"/>
  <c r="F1412" i="22"/>
  <c r="D1412" i="22"/>
  <c r="B1412" i="22"/>
  <c r="F1411" i="22"/>
  <c r="D1411" i="22"/>
  <c r="B1411" i="22"/>
  <c r="F1408" i="22"/>
  <c r="D1408" i="22"/>
  <c r="B1408" i="22"/>
  <c r="F1407" i="22"/>
  <c r="D1407" i="22"/>
  <c r="B1407" i="22"/>
  <c r="F1406" i="22"/>
  <c r="D1406" i="22"/>
  <c r="B1406" i="22"/>
  <c r="F1405" i="22"/>
  <c r="D1405" i="22"/>
  <c r="B1405" i="22"/>
  <c r="F1404" i="22"/>
  <c r="D1404" i="22"/>
  <c r="B1404" i="22"/>
  <c r="F1403" i="22"/>
  <c r="D1403" i="22"/>
  <c r="B1403" i="22"/>
  <c r="F1402" i="22"/>
  <c r="D1402" i="22"/>
  <c r="B1402" i="22"/>
  <c r="F1401" i="22"/>
  <c r="D1401" i="22"/>
  <c r="B1401" i="22"/>
  <c r="F1395" i="22"/>
  <c r="D1395" i="22"/>
  <c r="B1395" i="22"/>
  <c r="F1394" i="22"/>
  <c r="D1394" i="22"/>
  <c r="B1394" i="22"/>
  <c r="F1393" i="22"/>
  <c r="D1393" i="22"/>
  <c r="B1393" i="22"/>
  <c r="M1392" i="22"/>
  <c r="L1392" i="22"/>
  <c r="F1392" i="22"/>
  <c r="D1392" i="22"/>
  <c r="B1392" i="22"/>
  <c r="M1391" i="22"/>
  <c r="L1391" i="22"/>
  <c r="F1391" i="22"/>
  <c r="D1391" i="22"/>
  <c r="B1391" i="22"/>
  <c r="M1390" i="22"/>
  <c r="L1390" i="22"/>
  <c r="M1389" i="22"/>
  <c r="L1389" i="22"/>
  <c r="M1388" i="22"/>
  <c r="L1388" i="22"/>
  <c r="M1387" i="22"/>
  <c r="L1387" i="22"/>
  <c r="F1387" i="22"/>
  <c r="D1387" i="22"/>
  <c r="B1387" i="22"/>
  <c r="M1386" i="22"/>
  <c r="L1386" i="22"/>
  <c r="F1386" i="22"/>
  <c r="D1386" i="22"/>
  <c r="B1386" i="22"/>
  <c r="M1385" i="22"/>
  <c r="L1385" i="22"/>
  <c r="M1384" i="22"/>
  <c r="L1384" i="22"/>
  <c r="M1383" i="22"/>
  <c r="L1383" i="22"/>
  <c r="F1383" i="22"/>
  <c r="D1383" i="22"/>
  <c r="B1383" i="22"/>
  <c r="M1382" i="22"/>
  <c r="L1382" i="22"/>
  <c r="F1382" i="22"/>
  <c r="D1382" i="22"/>
  <c r="B1382" i="22"/>
  <c r="M1381" i="22"/>
  <c r="L1381" i="22"/>
  <c r="F1381" i="22"/>
  <c r="D1381" i="22"/>
  <c r="B1381" i="22"/>
  <c r="M1380" i="22"/>
  <c r="L1380" i="22"/>
  <c r="F1380" i="22"/>
  <c r="D1380" i="22"/>
  <c r="B1380" i="22"/>
  <c r="M1379" i="22"/>
  <c r="L1379" i="22"/>
  <c r="F1379" i="22"/>
  <c r="D1379" i="22"/>
  <c r="B1379" i="22"/>
  <c r="M1378" i="22"/>
  <c r="L1378" i="22"/>
  <c r="M1377" i="22"/>
  <c r="L1377" i="22"/>
  <c r="F1377" i="22"/>
  <c r="D1377" i="22"/>
  <c r="B1377" i="22"/>
  <c r="M1376" i="22"/>
  <c r="L1376" i="22"/>
  <c r="F1376" i="22"/>
  <c r="M1375" i="22"/>
  <c r="L1375" i="22"/>
  <c r="M1374" i="22"/>
  <c r="L1374" i="22"/>
  <c r="M1373" i="22"/>
  <c r="L1373" i="22"/>
  <c r="M1372" i="22"/>
  <c r="L1372" i="22"/>
  <c r="M1371" i="22"/>
  <c r="L1371" i="22"/>
  <c r="F1371" i="22"/>
  <c r="B1371" i="22"/>
  <c r="M1370" i="22"/>
  <c r="L1370" i="22"/>
  <c r="F1370" i="22"/>
  <c r="B1370" i="22"/>
  <c r="M1369" i="22"/>
  <c r="L1369" i="22"/>
  <c r="M1368" i="22"/>
  <c r="L1368" i="22"/>
  <c r="F1368" i="22"/>
  <c r="B1368" i="22"/>
  <c r="M1367" i="22"/>
  <c r="L1367" i="22"/>
  <c r="F1367" i="22"/>
  <c r="B1367" i="22"/>
  <c r="M1366" i="22"/>
  <c r="L1366" i="22"/>
  <c r="M1365" i="22"/>
  <c r="L1365" i="22"/>
  <c r="M1364" i="22"/>
  <c r="L1364" i="22"/>
  <c r="M1363" i="22"/>
  <c r="L1363" i="22"/>
  <c r="M1362" i="22"/>
  <c r="L1362" i="22"/>
  <c r="M1361" i="22"/>
  <c r="L1361" i="22"/>
  <c r="M1360" i="22"/>
  <c r="L1360" i="22"/>
  <c r="D1360" i="22"/>
  <c r="M1359" i="22"/>
  <c r="L1359" i="22"/>
  <c r="D1359" i="22"/>
  <c r="M1358" i="22"/>
  <c r="L1358" i="22"/>
  <c r="D1358" i="22"/>
  <c r="M1357" i="22"/>
  <c r="L1357" i="22"/>
  <c r="M1356" i="22"/>
  <c r="L1356" i="22"/>
  <c r="M1355" i="22"/>
  <c r="L1355" i="22"/>
  <c r="M1354" i="22"/>
  <c r="L1354" i="22"/>
  <c r="M1353" i="22"/>
  <c r="L1353" i="22"/>
  <c r="I1352" i="22"/>
  <c r="A1352" i="22"/>
  <c r="I1351" i="22"/>
  <c r="I1350" i="22"/>
  <c r="H1350" i="22"/>
  <c r="I1349" i="22"/>
  <c r="H1349" i="22"/>
  <c r="I1348" i="22"/>
  <c r="H1348" i="22"/>
  <c r="I1347" i="22"/>
  <c r="H1347" i="22"/>
  <c r="I1346" i="22"/>
  <c r="H1346" i="22"/>
  <c r="I1345" i="22"/>
  <c r="H1345" i="22"/>
  <c r="I1344" i="22"/>
  <c r="H1344" i="22"/>
  <c r="I1343" i="22"/>
  <c r="H1343" i="22"/>
  <c r="I1342" i="22"/>
  <c r="H1342" i="22"/>
  <c r="I1341" i="22"/>
  <c r="H1341" i="22"/>
  <c r="I1340" i="22"/>
  <c r="H1340" i="22"/>
  <c r="B1334" i="22"/>
  <c r="B1333" i="22"/>
  <c r="C1332" i="22"/>
  <c r="B1332" i="22"/>
  <c r="B1331" i="22"/>
  <c r="B1328" i="22"/>
  <c r="H1327" i="22"/>
  <c r="B1327" i="22"/>
  <c r="H1326" i="22"/>
  <c r="B1326" i="22"/>
  <c r="H1325" i="22"/>
  <c r="E1325" i="22"/>
  <c r="B1325" i="22"/>
  <c r="E1324" i="22"/>
  <c r="B1324" i="22"/>
  <c r="E1323" i="22"/>
  <c r="B1323" i="22"/>
  <c r="H1322" i="22"/>
  <c r="E1322" i="22"/>
  <c r="B1322" i="22"/>
  <c r="H1321" i="22"/>
  <c r="E1321" i="22"/>
  <c r="B1321" i="22"/>
  <c r="H1320" i="22"/>
  <c r="E1320" i="22"/>
  <c r="B1320" i="22"/>
  <c r="B1317" i="22"/>
  <c r="B1315" i="22"/>
  <c r="B1314" i="22"/>
  <c r="B1312" i="22"/>
  <c r="B1309" i="22"/>
  <c r="B1308" i="22"/>
  <c r="B1306" i="22"/>
  <c r="B1305" i="22"/>
  <c r="B1302" i="22"/>
  <c r="F1296" i="22"/>
  <c r="B1292" i="22"/>
  <c r="F1286" i="22"/>
  <c r="F1284" i="22"/>
  <c r="D1284" i="22"/>
  <c r="B1284" i="22"/>
  <c r="F1283" i="22"/>
  <c r="D1283" i="22"/>
  <c r="B1283" i="22"/>
  <c r="F1282" i="22"/>
  <c r="D1282" i="22"/>
  <c r="B1282" i="22"/>
  <c r="F1278" i="22"/>
  <c r="D1278" i="22"/>
  <c r="B1278" i="22"/>
  <c r="F1277" i="22"/>
  <c r="D1277" i="22"/>
  <c r="B1277" i="22"/>
  <c r="F1276" i="22"/>
  <c r="D1276" i="22"/>
  <c r="B1276" i="22"/>
  <c r="F1273" i="22"/>
  <c r="D1273" i="22"/>
  <c r="B1273" i="22"/>
  <c r="F1272" i="22"/>
  <c r="D1272" i="22"/>
  <c r="B1272" i="22"/>
  <c r="F1271" i="22"/>
  <c r="D1271" i="22"/>
  <c r="B1271" i="22"/>
  <c r="F1270" i="22"/>
  <c r="D1270" i="22"/>
  <c r="B1270" i="22"/>
  <c r="F1269" i="22"/>
  <c r="D1269" i="22"/>
  <c r="B1269" i="22"/>
  <c r="F1268" i="22"/>
  <c r="D1268" i="22"/>
  <c r="B1268" i="22"/>
  <c r="F1267" i="22"/>
  <c r="D1267" i="22"/>
  <c r="B1267" i="22"/>
  <c r="F1266" i="22"/>
  <c r="D1266" i="22"/>
  <c r="B1266" i="22"/>
  <c r="F1260" i="22"/>
  <c r="D1260" i="22"/>
  <c r="B1260" i="22"/>
  <c r="F1259" i="22"/>
  <c r="D1259" i="22"/>
  <c r="B1259" i="22"/>
  <c r="F1258" i="22"/>
  <c r="D1258" i="22"/>
  <c r="B1258" i="22"/>
  <c r="M1257" i="22"/>
  <c r="L1257" i="22"/>
  <c r="F1257" i="22"/>
  <c r="D1257" i="22"/>
  <c r="B1257" i="22"/>
  <c r="M1256" i="22"/>
  <c r="L1256" i="22"/>
  <c r="F1256" i="22"/>
  <c r="D1256" i="22"/>
  <c r="B1256" i="22"/>
  <c r="M1255" i="22"/>
  <c r="L1255" i="22"/>
  <c r="M1254" i="22"/>
  <c r="L1254" i="22"/>
  <c r="M1253" i="22"/>
  <c r="L1253" i="22"/>
  <c r="M1252" i="22"/>
  <c r="L1252" i="22"/>
  <c r="F1252" i="22"/>
  <c r="D1252" i="22"/>
  <c r="B1252" i="22"/>
  <c r="M1251" i="22"/>
  <c r="L1251" i="22"/>
  <c r="F1251" i="22"/>
  <c r="D1251" i="22"/>
  <c r="B1251" i="22"/>
  <c r="M1250" i="22"/>
  <c r="L1250" i="22"/>
  <c r="M1249" i="22"/>
  <c r="L1249" i="22"/>
  <c r="M1248" i="22"/>
  <c r="L1248" i="22"/>
  <c r="F1248" i="22"/>
  <c r="D1248" i="22"/>
  <c r="B1248" i="22"/>
  <c r="M1247" i="22"/>
  <c r="L1247" i="22"/>
  <c r="F1247" i="22"/>
  <c r="D1247" i="22"/>
  <c r="B1247" i="22"/>
  <c r="M1246" i="22"/>
  <c r="L1246" i="22"/>
  <c r="F1246" i="22"/>
  <c r="D1246" i="22"/>
  <c r="B1246" i="22"/>
  <c r="M1245" i="22"/>
  <c r="L1245" i="22"/>
  <c r="F1245" i="22"/>
  <c r="D1245" i="22"/>
  <c r="B1245" i="22"/>
  <c r="M1244" i="22"/>
  <c r="L1244" i="22"/>
  <c r="F1244" i="22"/>
  <c r="D1244" i="22"/>
  <c r="B1244" i="22"/>
  <c r="M1243" i="22"/>
  <c r="L1243" i="22"/>
  <c r="M1242" i="22"/>
  <c r="L1242" i="22"/>
  <c r="F1242" i="22"/>
  <c r="D1242" i="22"/>
  <c r="B1242" i="22"/>
  <c r="M1241" i="22"/>
  <c r="L1241" i="22"/>
  <c r="F1241" i="22"/>
  <c r="M1240" i="22"/>
  <c r="L1240" i="22"/>
  <c r="M1239" i="22"/>
  <c r="L1239" i="22"/>
  <c r="M1238" i="22"/>
  <c r="L1238" i="22"/>
  <c r="M1237" i="22"/>
  <c r="L1237" i="22"/>
  <c r="M1236" i="22"/>
  <c r="L1236" i="22"/>
  <c r="F1236" i="22"/>
  <c r="B1236" i="22"/>
  <c r="M1235" i="22"/>
  <c r="L1235" i="22"/>
  <c r="F1235" i="22"/>
  <c r="B1235" i="22"/>
  <c r="M1234" i="22"/>
  <c r="L1234" i="22"/>
  <c r="M1233" i="22"/>
  <c r="L1233" i="22"/>
  <c r="F1233" i="22"/>
  <c r="B1233" i="22"/>
  <c r="M1232" i="22"/>
  <c r="L1232" i="22"/>
  <c r="F1232" i="22"/>
  <c r="B1232" i="22"/>
  <c r="M1231" i="22"/>
  <c r="L1231" i="22"/>
  <c r="M1230" i="22"/>
  <c r="L1230" i="22"/>
  <c r="M1229" i="22"/>
  <c r="L1229" i="22"/>
  <c r="M1228" i="22"/>
  <c r="L1228" i="22"/>
  <c r="M1227" i="22"/>
  <c r="L1227" i="22"/>
  <c r="M1226" i="22"/>
  <c r="L1226" i="22"/>
  <c r="M1225" i="22"/>
  <c r="L1225" i="22"/>
  <c r="D1225" i="22"/>
  <c r="M1224" i="22"/>
  <c r="L1224" i="22"/>
  <c r="D1224" i="22"/>
  <c r="M1223" i="22"/>
  <c r="L1223" i="22"/>
  <c r="D1223" i="22"/>
  <c r="M1222" i="22"/>
  <c r="L1222" i="22"/>
  <c r="M1221" i="22"/>
  <c r="L1221" i="22"/>
  <c r="M1220" i="22"/>
  <c r="L1220" i="22"/>
  <c r="M1219" i="22"/>
  <c r="L1219" i="22"/>
  <c r="M1218" i="22"/>
  <c r="L1218" i="22"/>
  <c r="I1217" i="22"/>
  <c r="A1217" i="22"/>
  <c r="I1216" i="22"/>
  <c r="I1215" i="22"/>
  <c r="H1215" i="22"/>
  <c r="I1214" i="22"/>
  <c r="H1214" i="22"/>
  <c r="I1213" i="22"/>
  <c r="H1213" i="22"/>
  <c r="I1212" i="22"/>
  <c r="H1212" i="22"/>
  <c r="I1211" i="22"/>
  <c r="H1211" i="22"/>
  <c r="I1210" i="22"/>
  <c r="H1210" i="22"/>
  <c r="I1209" i="22"/>
  <c r="H1209" i="22"/>
  <c r="I1208" i="22"/>
  <c r="H1208" i="22"/>
  <c r="I1207" i="22"/>
  <c r="H1207" i="22"/>
  <c r="I1206" i="22"/>
  <c r="H1206" i="22"/>
  <c r="I1205" i="22"/>
  <c r="H1205" i="22"/>
  <c r="B1199" i="22"/>
  <c r="B1198" i="22"/>
  <c r="C1197" i="22"/>
  <c r="B1197" i="22"/>
  <c r="B1196" i="22"/>
  <c r="B1193" i="22"/>
  <c r="H1192" i="22"/>
  <c r="B1192" i="22"/>
  <c r="H1191" i="22"/>
  <c r="B1191" i="22"/>
  <c r="H1190" i="22"/>
  <c r="E1190" i="22"/>
  <c r="B1190" i="22"/>
  <c r="E1189" i="22"/>
  <c r="B1189" i="22"/>
  <c r="E1188" i="22"/>
  <c r="B1188" i="22"/>
  <c r="H1187" i="22"/>
  <c r="E1187" i="22"/>
  <c r="B1187" i="22"/>
  <c r="H1186" i="22"/>
  <c r="E1186" i="22"/>
  <c r="B1186" i="22"/>
  <c r="H1185" i="22"/>
  <c r="E1185" i="22"/>
  <c r="B1185" i="22"/>
  <c r="B1182" i="22"/>
  <c r="B1180" i="22"/>
  <c r="B1179" i="22"/>
  <c r="B1177" i="22"/>
  <c r="B1174" i="22"/>
  <c r="B1173" i="22"/>
  <c r="B1171" i="22"/>
  <c r="B1170" i="22"/>
  <c r="B1167" i="22"/>
  <c r="F1161" i="22"/>
  <c r="B1157" i="22"/>
  <c r="F1151" i="22"/>
  <c r="F1149" i="22"/>
  <c r="D1149" i="22"/>
  <c r="B1149" i="22"/>
  <c r="F1148" i="22"/>
  <c r="D1148" i="22"/>
  <c r="B1148" i="22"/>
  <c r="F1147" i="22"/>
  <c r="D1147" i="22"/>
  <c r="B1147" i="22"/>
  <c r="F1143" i="22"/>
  <c r="D1143" i="22"/>
  <c r="B1143" i="22"/>
  <c r="F1142" i="22"/>
  <c r="D1142" i="22"/>
  <c r="B1142" i="22"/>
  <c r="F1141" i="22"/>
  <c r="D1141" i="22"/>
  <c r="B1141" i="22"/>
  <c r="F1138" i="22"/>
  <c r="D1138" i="22"/>
  <c r="B1138" i="22"/>
  <c r="F1137" i="22"/>
  <c r="D1137" i="22"/>
  <c r="B1137" i="22"/>
  <c r="F1136" i="22"/>
  <c r="D1136" i="22"/>
  <c r="B1136" i="22"/>
  <c r="F1135" i="22"/>
  <c r="D1135" i="22"/>
  <c r="B1135" i="22"/>
  <c r="F1134" i="22"/>
  <c r="D1134" i="22"/>
  <c r="B1134" i="22"/>
  <c r="F1133" i="22"/>
  <c r="D1133" i="22"/>
  <c r="B1133" i="22"/>
  <c r="F1132" i="22"/>
  <c r="D1132" i="22"/>
  <c r="B1132" i="22"/>
  <c r="F1131" i="22"/>
  <c r="D1131" i="22"/>
  <c r="B1131" i="22"/>
  <c r="F1125" i="22"/>
  <c r="D1125" i="22"/>
  <c r="B1125" i="22"/>
  <c r="F1124" i="22"/>
  <c r="D1124" i="22"/>
  <c r="B1124" i="22"/>
  <c r="F1123" i="22"/>
  <c r="D1123" i="22"/>
  <c r="B1123" i="22"/>
  <c r="M1122" i="22"/>
  <c r="L1122" i="22"/>
  <c r="F1122" i="22"/>
  <c r="D1122" i="22"/>
  <c r="B1122" i="22"/>
  <c r="M1121" i="22"/>
  <c r="L1121" i="22"/>
  <c r="F1121" i="22"/>
  <c r="D1121" i="22"/>
  <c r="B1121" i="22"/>
  <c r="M1120" i="22"/>
  <c r="L1120" i="22"/>
  <c r="M1119" i="22"/>
  <c r="L1119" i="22"/>
  <c r="M1118" i="22"/>
  <c r="L1118" i="22"/>
  <c r="M1117" i="22"/>
  <c r="L1117" i="22"/>
  <c r="F1117" i="22"/>
  <c r="D1117" i="22"/>
  <c r="B1117" i="22"/>
  <c r="M1116" i="22"/>
  <c r="L1116" i="22"/>
  <c r="F1116" i="22"/>
  <c r="D1116" i="22"/>
  <c r="B1116" i="22"/>
  <c r="M1115" i="22"/>
  <c r="L1115" i="22"/>
  <c r="M1114" i="22"/>
  <c r="L1114" i="22"/>
  <c r="M1113" i="22"/>
  <c r="L1113" i="22"/>
  <c r="F1113" i="22"/>
  <c r="D1113" i="22"/>
  <c r="B1113" i="22"/>
  <c r="M1112" i="22"/>
  <c r="L1112" i="22"/>
  <c r="F1112" i="22"/>
  <c r="D1112" i="22"/>
  <c r="B1112" i="22"/>
  <c r="M1111" i="22"/>
  <c r="L1111" i="22"/>
  <c r="F1111" i="22"/>
  <c r="D1111" i="22"/>
  <c r="B1111" i="22"/>
  <c r="M1110" i="22"/>
  <c r="L1110" i="22"/>
  <c r="F1110" i="22"/>
  <c r="D1110" i="22"/>
  <c r="B1110" i="22"/>
  <c r="M1109" i="22"/>
  <c r="L1109" i="22"/>
  <c r="F1109" i="22"/>
  <c r="D1109" i="22"/>
  <c r="B1109" i="22"/>
  <c r="M1108" i="22"/>
  <c r="L1108" i="22"/>
  <c r="M1107" i="22"/>
  <c r="L1107" i="22"/>
  <c r="F1107" i="22"/>
  <c r="D1107" i="22"/>
  <c r="B1107" i="22"/>
  <c r="M1106" i="22"/>
  <c r="L1106" i="22"/>
  <c r="F1106" i="22"/>
  <c r="M1105" i="22"/>
  <c r="L1105" i="22"/>
  <c r="M1104" i="22"/>
  <c r="L1104" i="22"/>
  <c r="M1103" i="22"/>
  <c r="L1103" i="22"/>
  <c r="M1102" i="22"/>
  <c r="L1102" i="22"/>
  <c r="M1101" i="22"/>
  <c r="L1101" i="22"/>
  <c r="F1101" i="22"/>
  <c r="B1101" i="22"/>
  <c r="M1100" i="22"/>
  <c r="L1100" i="22"/>
  <c r="F1100" i="22"/>
  <c r="B1100" i="22"/>
  <c r="M1099" i="22"/>
  <c r="L1099" i="22"/>
  <c r="M1098" i="22"/>
  <c r="L1098" i="22"/>
  <c r="F1098" i="22"/>
  <c r="B1098" i="22"/>
  <c r="M1097" i="22"/>
  <c r="L1097" i="22"/>
  <c r="F1097" i="22"/>
  <c r="B1097" i="22"/>
  <c r="M1096" i="22"/>
  <c r="L1096" i="22"/>
  <c r="M1095" i="22"/>
  <c r="L1095" i="22"/>
  <c r="M1094" i="22"/>
  <c r="L1094" i="22"/>
  <c r="M1093" i="22"/>
  <c r="L1093" i="22"/>
  <c r="M1092" i="22"/>
  <c r="L1092" i="22"/>
  <c r="M1091" i="22"/>
  <c r="L1091" i="22"/>
  <c r="M1090" i="22"/>
  <c r="L1090" i="22"/>
  <c r="D1090" i="22"/>
  <c r="M1089" i="22"/>
  <c r="L1089" i="22"/>
  <c r="D1089" i="22"/>
  <c r="M1088" i="22"/>
  <c r="L1088" i="22"/>
  <c r="D1088" i="22"/>
  <c r="M1087" i="22"/>
  <c r="L1087" i="22"/>
  <c r="M1086" i="22"/>
  <c r="L1086" i="22"/>
  <c r="M1085" i="22"/>
  <c r="L1085" i="22"/>
  <c r="M1084" i="22"/>
  <c r="L1084" i="22"/>
  <c r="M1083" i="22"/>
  <c r="L1083" i="22"/>
  <c r="I1082" i="22"/>
  <c r="A1082" i="22"/>
  <c r="I1081" i="22"/>
  <c r="I1080" i="22"/>
  <c r="H1080" i="22"/>
  <c r="I1079" i="22"/>
  <c r="H1079" i="22"/>
  <c r="I1078" i="22"/>
  <c r="H1078" i="22"/>
  <c r="I1077" i="22"/>
  <c r="H1077" i="22"/>
  <c r="I1076" i="22"/>
  <c r="H1076" i="22"/>
  <c r="I1075" i="22"/>
  <c r="H1075" i="22"/>
  <c r="I1074" i="22"/>
  <c r="H1074" i="22"/>
  <c r="I1073" i="22"/>
  <c r="H1073" i="22"/>
  <c r="I1072" i="22"/>
  <c r="H1072" i="22"/>
  <c r="I1071" i="22"/>
  <c r="H1071" i="22"/>
  <c r="I1070" i="22"/>
  <c r="H1070" i="22"/>
  <c r="B1064" i="22"/>
  <c r="B1063" i="22"/>
  <c r="C1062" i="22"/>
  <c r="B1062" i="22"/>
  <c r="B1061" i="22"/>
  <c r="B1058" i="22"/>
  <c r="H1057" i="22"/>
  <c r="B1057" i="22"/>
  <c r="H1056" i="22"/>
  <c r="B1056" i="22"/>
  <c r="H1055" i="22"/>
  <c r="E1055" i="22"/>
  <c r="B1055" i="22"/>
  <c r="E1054" i="22"/>
  <c r="B1054" i="22"/>
  <c r="E1053" i="22"/>
  <c r="B1053" i="22"/>
  <c r="H1052" i="22"/>
  <c r="E1052" i="22"/>
  <c r="B1052" i="22"/>
  <c r="H1051" i="22"/>
  <c r="E1051" i="22"/>
  <c r="B1051" i="22"/>
  <c r="H1050" i="22"/>
  <c r="E1050" i="22"/>
  <c r="B1050" i="22"/>
  <c r="B1047" i="22"/>
  <c r="B1045" i="22"/>
  <c r="B1044" i="22"/>
  <c r="B1042" i="22"/>
  <c r="B1039" i="22"/>
  <c r="B1038" i="22"/>
  <c r="B1036" i="22"/>
  <c r="B1035" i="22"/>
  <c r="B1032" i="22"/>
  <c r="F1026" i="22"/>
  <c r="B1022" i="22"/>
  <c r="F1016" i="22"/>
  <c r="F1014" i="22"/>
  <c r="D1014" i="22"/>
  <c r="B1014" i="22"/>
  <c r="F1013" i="22"/>
  <c r="D1013" i="22"/>
  <c r="B1013" i="22"/>
  <c r="F1012" i="22"/>
  <c r="D1012" i="22"/>
  <c r="B1012" i="22"/>
  <c r="F1008" i="22"/>
  <c r="D1008" i="22"/>
  <c r="B1008" i="22"/>
  <c r="F1007" i="22"/>
  <c r="D1007" i="22"/>
  <c r="B1007" i="22"/>
  <c r="F1006" i="22"/>
  <c r="D1006" i="22"/>
  <c r="B1006" i="22"/>
  <c r="F1003" i="22"/>
  <c r="D1003" i="22"/>
  <c r="B1003" i="22"/>
  <c r="F1002" i="22"/>
  <c r="D1002" i="22"/>
  <c r="B1002" i="22"/>
  <c r="F1001" i="22"/>
  <c r="D1001" i="22"/>
  <c r="B1001" i="22"/>
  <c r="F1000" i="22"/>
  <c r="D1000" i="22"/>
  <c r="B1000" i="22"/>
  <c r="F999" i="22"/>
  <c r="D999" i="22"/>
  <c r="B999" i="22"/>
  <c r="F998" i="22"/>
  <c r="D998" i="22"/>
  <c r="B998" i="22"/>
  <c r="F997" i="22"/>
  <c r="D997" i="22"/>
  <c r="B997" i="22"/>
  <c r="F996" i="22"/>
  <c r="D996" i="22"/>
  <c r="B996" i="22"/>
  <c r="F990" i="22"/>
  <c r="D990" i="22"/>
  <c r="B990" i="22"/>
  <c r="F989" i="22"/>
  <c r="D989" i="22"/>
  <c r="B989" i="22"/>
  <c r="F988" i="22"/>
  <c r="D988" i="22"/>
  <c r="B988" i="22"/>
  <c r="M987" i="22"/>
  <c r="L987" i="22"/>
  <c r="F987" i="22"/>
  <c r="D987" i="22"/>
  <c r="B987" i="22"/>
  <c r="M986" i="22"/>
  <c r="L986" i="22"/>
  <c r="F986" i="22"/>
  <c r="D986" i="22"/>
  <c r="B986" i="22"/>
  <c r="M985" i="22"/>
  <c r="L985" i="22"/>
  <c r="M984" i="22"/>
  <c r="L984" i="22"/>
  <c r="M983" i="22"/>
  <c r="L983" i="22"/>
  <c r="M982" i="22"/>
  <c r="L982" i="22"/>
  <c r="F982" i="22"/>
  <c r="D982" i="22"/>
  <c r="B982" i="22"/>
  <c r="M981" i="22"/>
  <c r="L981" i="22"/>
  <c r="F981" i="22"/>
  <c r="D981" i="22"/>
  <c r="B981" i="22"/>
  <c r="M980" i="22"/>
  <c r="L980" i="22"/>
  <c r="M979" i="22"/>
  <c r="L979" i="22"/>
  <c r="M978" i="22"/>
  <c r="L978" i="22"/>
  <c r="F978" i="22"/>
  <c r="D978" i="22"/>
  <c r="B978" i="22"/>
  <c r="M977" i="22"/>
  <c r="L977" i="22"/>
  <c r="F977" i="22"/>
  <c r="D977" i="22"/>
  <c r="B977" i="22"/>
  <c r="M976" i="22"/>
  <c r="L976" i="22"/>
  <c r="F976" i="22"/>
  <c r="D976" i="22"/>
  <c r="B976" i="22"/>
  <c r="M975" i="22"/>
  <c r="L975" i="22"/>
  <c r="F975" i="22"/>
  <c r="D975" i="22"/>
  <c r="B975" i="22"/>
  <c r="M974" i="22"/>
  <c r="L974" i="22"/>
  <c r="F974" i="22"/>
  <c r="D974" i="22"/>
  <c r="B974" i="22"/>
  <c r="M973" i="22"/>
  <c r="L973" i="22"/>
  <c r="M972" i="22"/>
  <c r="L972" i="22"/>
  <c r="F972" i="22"/>
  <c r="D972" i="22"/>
  <c r="B972" i="22"/>
  <c r="M971" i="22"/>
  <c r="L971" i="22"/>
  <c r="F971" i="22"/>
  <c r="M970" i="22"/>
  <c r="L970" i="22"/>
  <c r="M969" i="22"/>
  <c r="L969" i="22"/>
  <c r="M968" i="22"/>
  <c r="L968" i="22"/>
  <c r="M967" i="22"/>
  <c r="L967" i="22"/>
  <c r="M966" i="22"/>
  <c r="L966" i="22"/>
  <c r="F966" i="22"/>
  <c r="B966" i="22"/>
  <c r="M965" i="22"/>
  <c r="L965" i="22"/>
  <c r="F965" i="22"/>
  <c r="B965" i="22"/>
  <c r="M964" i="22"/>
  <c r="L964" i="22"/>
  <c r="M963" i="22"/>
  <c r="L963" i="22"/>
  <c r="F963" i="22"/>
  <c r="B963" i="22"/>
  <c r="M962" i="22"/>
  <c r="L962" i="22"/>
  <c r="F962" i="22"/>
  <c r="B962" i="22"/>
  <c r="M961" i="22"/>
  <c r="L961" i="22"/>
  <c r="M960" i="22"/>
  <c r="L960" i="22"/>
  <c r="M959" i="22"/>
  <c r="L959" i="22"/>
  <c r="M958" i="22"/>
  <c r="L958" i="22"/>
  <c r="M957" i="22"/>
  <c r="L957" i="22"/>
  <c r="M956" i="22"/>
  <c r="L956" i="22"/>
  <c r="M955" i="22"/>
  <c r="L955" i="22"/>
  <c r="D955" i="22"/>
  <c r="M954" i="22"/>
  <c r="L954" i="22"/>
  <c r="D954" i="22"/>
  <c r="M953" i="22"/>
  <c r="L953" i="22"/>
  <c r="D953" i="22"/>
  <c r="M952" i="22"/>
  <c r="L952" i="22"/>
  <c r="M951" i="22"/>
  <c r="L951" i="22"/>
  <c r="M950" i="22"/>
  <c r="L950" i="22"/>
  <c r="M949" i="22"/>
  <c r="L949" i="22"/>
  <c r="M948" i="22"/>
  <c r="L948" i="22"/>
  <c r="I947" i="22"/>
  <c r="A947" i="22"/>
  <c r="I946" i="22"/>
  <c r="I945" i="22"/>
  <c r="H945" i="22"/>
  <c r="I944" i="22"/>
  <c r="H944" i="22"/>
  <c r="I943" i="22"/>
  <c r="H943" i="22"/>
  <c r="I942" i="22"/>
  <c r="H942" i="22"/>
  <c r="I941" i="22"/>
  <c r="H941" i="22"/>
  <c r="I940" i="22"/>
  <c r="H940" i="22"/>
  <c r="I939" i="22"/>
  <c r="H939" i="22"/>
  <c r="I938" i="22"/>
  <c r="H938" i="22"/>
  <c r="I937" i="22"/>
  <c r="H937" i="22"/>
  <c r="I936" i="22"/>
  <c r="H936" i="22"/>
  <c r="I935" i="22"/>
  <c r="H935" i="22"/>
  <c r="B929" i="22"/>
  <c r="B928" i="22"/>
  <c r="C927" i="22"/>
  <c r="B927" i="22"/>
  <c r="B926" i="22"/>
  <c r="B923" i="22"/>
  <c r="H922" i="22"/>
  <c r="B922" i="22"/>
  <c r="H921" i="22"/>
  <c r="B921" i="22"/>
  <c r="H920" i="22"/>
  <c r="E920" i="22"/>
  <c r="B920" i="22"/>
  <c r="E919" i="22"/>
  <c r="B919" i="22"/>
  <c r="E918" i="22"/>
  <c r="B918" i="22"/>
  <c r="H917" i="22"/>
  <c r="E917" i="22"/>
  <c r="B917" i="22"/>
  <c r="H916" i="22"/>
  <c r="E916" i="22"/>
  <c r="B916" i="22"/>
  <c r="H915" i="22"/>
  <c r="E915" i="22"/>
  <c r="B915" i="22"/>
  <c r="B912" i="22"/>
  <c r="B910" i="22"/>
  <c r="B909" i="22"/>
  <c r="B907" i="22"/>
  <c r="B904" i="22"/>
  <c r="B903" i="22"/>
  <c r="B901" i="22"/>
  <c r="B900" i="22"/>
  <c r="B897" i="22"/>
  <c r="F891" i="22"/>
  <c r="B887" i="22"/>
  <c r="F881" i="22"/>
  <c r="F879" i="22"/>
  <c r="D879" i="22"/>
  <c r="B879" i="22"/>
  <c r="F878" i="22"/>
  <c r="D878" i="22"/>
  <c r="B878" i="22"/>
  <c r="F877" i="22"/>
  <c r="D877" i="22"/>
  <c r="B877" i="22"/>
  <c r="F873" i="22"/>
  <c r="D873" i="22"/>
  <c r="B873" i="22"/>
  <c r="F872" i="22"/>
  <c r="D872" i="22"/>
  <c r="B872" i="22"/>
  <c r="F871" i="22"/>
  <c r="D871" i="22"/>
  <c r="B871" i="22"/>
  <c r="F868" i="22"/>
  <c r="D868" i="22"/>
  <c r="B868" i="22"/>
  <c r="F867" i="22"/>
  <c r="D867" i="22"/>
  <c r="B867" i="22"/>
  <c r="F866" i="22"/>
  <c r="D866" i="22"/>
  <c r="B866" i="22"/>
  <c r="F865" i="22"/>
  <c r="D865" i="22"/>
  <c r="B865" i="22"/>
  <c r="F864" i="22"/>
  <c r="D864" i="22"/>
  <c r="B864" i="22"/>
  <c r="F863" i="22"/>
  <c r="D863" i="22"/>
  <c r="B863" i="22"/>
  <c r="F862" i="22"/>
  <c r="D862" i="22"/>
  <c r="B862" i="22"/>
  <c r="F861" i="22"/>
  <c r="D861" i="22"/>
  <c r="B861" i="22"/>
  <c r="F855" i="22"/>
  <c r="D855" i="22"/>
  <c r="B855" i="22"/>
  <c r="F854" i="22"/>
  <c r="D854" i="22"/>
  <c r="B854" i="22"/>
  <c r="F853" i="22"/>
  <c r="D853" i="22"/>
  <c r="B853" i="22"/>
  <c r="M852" i="22"/>
  <c r="L852" i="22"/>
  <c r="F852" i="22"/>
  <c r="D852" i="22"/>
  <c r="B852" i="22"/>
  <c r="M851" i="22"/>
  <c r="L851" i="22"/>
  <c r="F851" i="22"/>
  <c r="D851" i="22"/>
  <c r="B851" i="22"/>
  <c r="M850" i="22"/>
  <c r="L850" i="22"/>
  <c r="M849" i="22"/>
  <c r="L849" i="22"/>
  <c r="M848" i="22"/>
  <c r="L848" i="22"/>
  <c r="M847" i="22"/>
  <c r="L847" i="22"/>
  <c r="F847" i="22"/>
  <c r="D847" i="22"/>
  <c r="B847" i="22"/>
  <c r="M846" i="22"/>
  <c r="L846" i="22"/>
  <c r="F846" i="22"/>
  <c r="D846" i="22"/>
  <c r="B846" i="22"/>
  <c r="M845" i="22"/>
  <c r="L845" i="22"/>
  <c r="M844" i="22"/>
  <c r="L844" i="22"/>
  <c r="M843" i="22"/>
  <c r="L843" i="22"/>
  <c r="F843" i="22"/>
  <c r="D843" i="22"/>
  <c r="B843" i="22"/>
  <c r="M842" i="22"/>
  <c r="L842" i="22"/>
  <c r="F842" i="22"/>
  <c r="D842" i="22"/>
  <c r="B842" i="22"/>
  <c r="M841" i="22"/>
  <c r="L841" i="22"/>
  <c r="F841" i="22"/>
  <c r="D841" i="22"/>
  <c r="B841" i="22"/>
  <c r="M840" i="22"/>
  <c r="L840" i="22"/>
  <c r="F840" i="22"/>
  <c r="D840" i="22"/>
  <c r="B840" i="22"/>
  <c r="M839" i="22"/>
  <c r="L839" i="22"/>
  <c r="F839" i="22"/>
  <c r="D839" i="22"/>
  <c r="B839" i="22"/>
  <c r="M838" i="22"/>
  <c r="L838" i="22"/>
  <c r="M837" i="22"/>
  <c r="L837" i="22"/>
  <c r="F837" i="22"/>
  <c r="D837" i="22"/>
  <c r="B837" i="22"/>
  <c r="M836" i="22"/>
  <c r="L836" i="22"/>
  <c r="F836" i="22"/>
  <c r="M835" i="22"/>
  <c r="L835" i="22"/>
  <c r="M834" i="22"/>
  <c r="L834" i="22"/>
  <c r="M833" i="22"/>
  <c r="L833" i="22"/>
  <c r="M832" i="22"/>
  <c r="L832" i="22"/>
  <c r="M831" i="22"/>
  <c r="L831" i="22"/>
  <c r="F831" i="22"/>
  <c r="B831" i="22"/>
  <c r="M830" i="22"/>
  <c r="L830" i="22"/>
  <c r="F830" i="22"/>
  <c r="B830" i="22"/>
  <c r="M829" i="22"/>
  <c r="L829" i="22"/>
  <c r="M828" i="22"/>
  <c r="L828" i="22"/>
  <c r="F828" i="22"/>
  <c r="B828" i="22"/>
  <c r="M827" i="22"/>
  <c r="L827" i="22"/>
  <c r="F827" i="22"/>
  <c r="B827" i="22"/>
  <c r="M826" i="22"/>
  <c r="L826" i="22"/>
  <c r="M825" i="22"/>
  <c r="L825" i="22"/>
  <c r="M824" i="22"/>
  <c r="L824" i="22"/>
  <c r="M823" i="22"/>
  <c r="L823" i="22"/>
  <c r="M822" i="22"/>
  <c r="L822" i="22"/>
  <c r="M821" i="22"/>
  <c r="L821" i="22"/>
  <c r="M820" i="22"/>
  <c r="L820" i="22"/>
  <c r="D820" i="22"/>
  <c r="M819" i="22"/>
  <c r="L819" i="22"/>
  <c r="D819" i="22"/>
  <c r="M818" i="22"/>
  <c r="L818" i="22"/>
  <c r="D818" i="22"/>
  <c r="M817" i="22"/>
  <c r="L817" i="22"/>
  <c r="M816" i="22"/>
  <c r="L816" i="22"/>
  <c r="M815" i="22"/>
  <c r="L815" i="22"/>
  <c r="M814" i="22"/>
  <c r="L814" i="22"/>
  <c r="M813" i="22"/>
  <c r="L813" i="22"/>
  <c r="I812" i="22"/>
  <c r="A812" i="22"/>
  <c r="I811" i="22"/>
  <c r="I810" i="22"/>
  <c r="H810" i="22"/>
  <c r="I809" i="22"/>
  <c r="H809" i="22"/>
  <c r="I808" i="22"/>
  <c r="H808" i="22"/>
  <c r="I807" i="22"/>
  <c r="H807" i="22"/>
  <c r="I806" i="22"/>
  <c r="H806" i="22"/>
  <c r="I805" i="22"/>
  <c r="H805" i="22"/>
  <c r="I804" i="22"/>
  <c r="H804" i="22"/>
  <c r="I803" i="22"/>
  <c r="H803" i="22"/>
  <c r="I802" i="22"/>
  <c r="H802" i="22"/>
  <c r="I801" i="22"/>
  <c r="H801" i="22"/>
  <c r="I800" i="22"/>
  <c r="H800" i="22"/>
  <c r="B794" i="22"/>
  <c r="B793" i="22"/>
  <c r="C792" i="22"/>
  <c r="B792" i="22"/>
  <c r="B791" i="22"/>
  <c r="B788" i="22"/>
  <c r="H787" i="22"/>
  <c r="B787" i="22"/>
  <c r="H786" i="22"/>
  <c r="B786" i="22"/>
  <c r="H785" i="22"/>
  <c r="E785" i="22"/>
  <c r="B785" i="22"/>
  <c r="E784" i="22"/>
  <c r="B784" i="22"/>
  <c r="E783" i="22"/>
  <c r="B783" i="22"/>
  <c r="H782" i="22"/>
  <c r="E782" i="22"/>
  <c r="B782" i="22"/>
  <c r="H781" i="22"/>
  <c r="E781" i="22"/>
  <c r="B781" i="22"/>
  <c r="H780" i="22"/>
  <c r="E780" i="22"/>
  <c r="B780" i="22"/>
  <c r="B777" i="22"/>
  <c r="B775" i="22"/>
  <c r="B774" i="22"/>
  <c r="B772" i="22"/>
  <c r="B769" i="22"/>
  <c r="B768" i="22"/>
  <c r="B766" i="22"/>
  <c r="B765" i="22"/>
  <c r="B762" i="22"/>
  <c r="F756" i="22"/>
  <c r="B752" i="22"/>
  <c r="F746" i="22"/>
  <c r="F744" i="22"/>
  <c r="D744" i="22"/>
  <c r="B744" i="22"/>
  <c r="F743" i="22"/>
  <c r="D743" i="22"/>
  <c r="B743" i="22"/>
  <c r="F742" i="22"/>
  <c r="D742" i="22"/>
  <c r="B742" i="22"/>
  <c r="F738" i="22"/>
  <c r="D738" i="22"/>
  <c r="B738" i="22"/>
  <c r="F737" i="22"/>
  <c r="D737" i="22"/>
  <c r="B737" i="22"/>
  <c r="F736" i="22"/>
  <c r="D736" i="22"/>
  <c r="B736" i="22"/>
  <c r="F733" i="22"/>
  <c r="D733" i="22"/>
  <c r="B733" i="22"/>
  <c r="F732" i="22"/>
  <c r="D732" i="22"/>
  <c r="B732" i="22"/>
  <c r="F731" i="22"/>
  <c r="D731" i="22"/>
  <c r="B731" i="22"/>
  <c r="F730" i="22"/>
  <c r="D730" i="22"/>
  <c r="B730" i="22"/>
  <c r="F729" i="22"/>
  <c r="D729" i="22"/>
  <c r="B729" i="22"/>
  <c r="F728" i="22"/>
  <c r="D728" i="22"/>
  <c r="B728" i="22"/>
  <c r="F727" i="22"/>
  <c r="D727" i="22"/>
  <c r="B727" i="22"/>
  <c r="F726" i="22"/>
  <c r="D726" i="22"/>
  <c r="B726" i="22"/>
  <c r="F720" i="22"/>
  <c r="D720" i="22"/>
  <c r="B720" i="22"/>
  <c r="F719" i="22"/>
  <c r="D719" i="22"/>
  <c r="B719" i="22"/>
  <c r="F718" i="22"/>
  <c r="D718" i="22"/>
  <c r="B718" i="22"/>
  <c r="M717" i="22"/>
  <c r="L717" i="22"/>
  <c r="F717" i="22"/>
  <c r="D717" i="22"/>
  <c r="B717" i="22"/>
  <c r="M716" i="22"/>
  <c r="L716" i="22"/>
  <c r="F716" i="22"/>
  <c r="D716" i="22"/>
  <c r="B716" i="22"/>
  <c r="M715" i="22"/>
  <c r="L715" i="22"/>
  <c r="M714" i="22"/>
  <c r="L714" i="22"/>
  <c r="M713" i="22"/>
  <c r="L713" i="22"/>
  <c r="M712" i="22"/>
  <c r="L712" i="22"/>
  <c r="F712" i="22"/>
  <c r="D712" i="22"/>
  <c r="B712" i="22"/>
  <c r="M711" i="22"/>
  <c r="L711" i="22"/>
  <c r="F711" i="22"/>
  <c r="D711" i="22"/>
  <c r="B711" i="22"/>
  <c r="M710" i="22"/>
  <c r="L710" i="22"/>
  <c r="M709" i="22"/>
  <c r="L709" i="22"/>
  <c r="M708" i="22"/>
  <c r="L708" i="22"/>
  <c r="F708" i="22"/>
  <c r="D708" i="22"/>
  <c r="B708" i="22"/>
  <c r="M707" i="22"/>
  <c r="L707" i="22"/>
  <c r="F707" i="22"/>
  <c r="D707" i="22"/>
  <c r="B707" i="22"/>
  <c r="M706" i="22"/>
  <c r="L706" i="22"/>
  <c r="F706" i="22"/>
  <c r="D706" i="22"/>
  <c r="B706" i="22"/>
  <c r="M705" i="22"/>
  <c r="L705" i="22"/>
  <c r="F705" i="22"/>
  <c r="D705" i="22"/>
  <c r="B705" i="22"/>
  <c r="M704" i="22"/>
  <c r="L704" i="22"/>
  <c r="F704" i="22"/>
  <c r="D704" i="22"/>
  <c r="B704" i="22"/>
  <c r="M703" i="22"/>
  <c r="L703" i="22"/>
  <c r="M702" i="22"/>
  <c r="L702" i="22"/>
  <c r="F702" i="22"/>
  <c r="D702" i="22"/>
  <c r="B702" i="22"/>
  <c r="M701" i="22"/>
  <c r="L701" i="22"/>
  <c r="F701" i="22"/>
  <c r="M700" i="22"/>
  <c r="L700" i="22"/>
  <c r="M699" i="22"/>
  <c r="L699" i="22"/>
  <c r="M698" i="22"/>
  <c r="L698" i="22"/>
  <c r="M697" i="22"/>
  <c r="L697" i="22"/>
  <c r="M696" i="22"/>
  <c r="L696" i="22"/>
  <c r="F696" i="22"/>
  <c r="B696" i="22"/>
  <c r="M695" i="22"/>
  <c r="L695" i="22"/>
  <c r="F695" i="22"/>
  <c r="B695" i="22"/>
  <c r="M694" i="22"/>
  <c r="L694" i="22"/>
  <c r="M693" i="22"/>
  <c r="L693" i="22"/>
  <c r="F693" i="22"/>
  <c r="B693" i="22"/>
  <c r="M692" i="22"/>
  <c r="L692" i="22"/>
  <c r="F692" i="22"/>
  <c r="B692" i="22"/>
  <c r="M691" i="22"/>
  <c r="L691" i="22"/>
  <c r="M690" i="22"/>
  <c r="L690" i="22"/>
  <c r="M689" i="22"/>
  <c r="L689" i="22"/>
  <c r="M688" i="22"/>
  <c r="L688" i="22"/>
  <c r="M687" i="22"/>
  <c r="L687" i="22"/>
  <c r="M686" i="22"/>
  <c r="L686" i="22"/>
  <c r="M685" i="22"/>
  <c r="L685" i="22"/>
  <c r="D685" i="22"/>
  <c r="M684" i="22"/>
  <c r="L684" i="22"/>
  <c r="D684" i="22"/>
  <c r="M683" i="22"/>
  <c r="L683" i="22"/>
  <c r="D683" i="22"/>
  <c r="M682" i="22"/>
  <c r="L682" i="22"/>
  <c r="M681" i="22"/>
  <c r="L681" i="22"/>
  <c r="M680" i="22"/>
  <c r="L680" i="22"/>
  <c r="M679" i="22"/>
  <c r="L679" i="22"/>
  <c r="M678" i="22"/>
  <c r="L678" i="22"/>
  <c r="I677" i="22"/>
  <c r="A677" i="22"/>
  <c r="I676" i="22"/>
  <c r="I675" i="22"/>
  <c r="H675" i="22"/>
  <c r="I674" i="22"/>
  <c r="H674" i="22"/>
  <c r="I673" i="22"/>
  <c r="H673" i="22"/>
  <c r="I672" i="22"/>
  <c r="H672" i="22"/>
  <c r="I671" i="22"/>
  <c r="H671" i="22"/>
  <c r="I670" i="22"/>
  <c r="H670" i="22"/>
  <c r="I669" i="22"/>
  <c r="H669" i="22"/>
  <c r="I668" i="22"/>
  <c r="H668" i="22"/>
  <c r="I667" i="22"/>
  <c r="H667" i="22"/>
  <c r="I666" i="22"/>
  <c r="H666" i="22"/>
  <c r="I665" i="22"/>
  <c r="H665" i="22"/>
  <c r="B659" i="22"/>
  <c r="B658" i="22"/>
  <c r="C657" i="22"/>
  <c r="B657" i="22"/>
  <c r="B656" i="22"/>
  <c r="B653" i="22"/>
  <c r="H652" i="22"/>
  <c r="B652" i="22"/>
  <c r="H651" i="22"/>
  <c r="B651" i="22"/>
  <c r="H650" i="22"/>
  <c r="E650" i="22"/>
  <c r="B650" i="22"/>
  <c r="E649" i="22"/>
  <c r="B649" i="22"/>
  <c r="E648" i="22"/>
  <c r="B648" i="22"/>
  <c r="H647" i="22"/>
  <c r="E647" i="22"/>
  <c r="B647" i="22"/>
  <c r="H646" i="22"/>
  <c r="E646" i="22"/>
  <c r="B646" i="22"/>
  <c r="H645" i="22"/>
  <c r="E645" i="22"/>
  <c r="B645" i="22"/>
  <c r="B642" i="22"/>
  <c r="B640" i="22"/>
  <c r="B639" i="22"/>
  <c r="B637" i="22"/>
  <c r="B634" i="22"/>
  <c r="B633" i="22"/>
  <c r="B631" i="22"/>
  <c r="B630" i="22"/>
  <c r="B627" i="22"/>
  <c r="F621" i="22"/>
  <c r="B617" i="22"/>
  <c r="F611" i="22"/>
  <c r="F609" i="22"/>
  <c r="D609" i="22"/>
  <c r="B609" i="22"/>
  <c r="F608" i="22"/>
  <c r="D608" i="22"/>
  <c r="B608" i="22"/>
  <c r="F607" i="22"/>
  <c r="D607" i="22"/>
  <c r="B607" i="22"/>
  <c r="F603" i="22"/>
  <c r="D603" i="22"/>
  <c r="B603" i="22"/>
  <c r="F602" i="22"/>
  <c r="D602" i="22"/>
  <c r="B602" i="22"/>
  <c r="F601" i="22"/>
  <c r="D601" i="22"/>
  <c r="B601" i="22"/>
  <c r="F598" i="22"/>
  <c r="D598" i="22"/>
  <c r="B598" i="22"/>
  <c r="F597" i="22"/>
  <c r="D597" i="22"/>
  <c r="B597" i="22"/>
  <c r="F596" i="22"/>
  <c r="D596" i="22"/>
  <c r="B596" i="22"/>
  <c r="F595" i="22"/>
  <c r="D595" i="22"/>
  <c r="B595" i="22"/>
  <c r="F594" i="22"/>
  <c r="D594" i="22"/>
  <c r="B594" i="22"/>
  <c r="F593" i="22"/>
  <c r="D593" i="22"/>
  <c r="B593" i="22"/>
  <c r="F592" i="22"/>
  <c r="D592" i="22"/>
  <c r="B592" i="22"/>
  <c r="F591" i="22"/>
  <c r="D591" i="22"/>
  <c r="B591" i="22"/>
  <c r="F585" i="22"/>
  <c r="D585" i="22"/>
  <c r="B585" i="22"/>
  <c r="F584" i="22"/>
  <c r="D584" i="22"/>
  <c r="B584" i="22"/>
  <c r="F583" i="22"/>
  <c r="D583" i="22"/>
  <c r="B583" i="22"/>
  <c r="M582" i="22"/>
  <c r="L582" i="22"/>
  <c r="F582" i="22"/>
  <c r="D582" i="22"/>
  <c r="B582" i="22"/>
  <c r="M581" i="22"/>
  <c r="L581" i="22"/>
  <c r="F581" i="22"/>
  <c r="D581" i="22"/>
  <c r="B581" i="22"/>
  <c r="M580" i="22"/>
  <c r="L580" i="22"/>
  <c r="M579" i="22"/>
  <c r="L579" i="22"/>
  <c r="M578" i="22"/>
  <c r="L578" i="22"/>
  <c r="M577" i="22"/>
  <c r="L577" i="22"/>
  <c r="F577" i="22"/>
  <c r="D577" i="22"/>
  <c r="B577" i="22"/>
  <c r="M576" i="22"/>
  <c r="L576" i="22"/>
  <c r="F576" i="22"/>
  <c r="D576" i="22"/>
  <c r="B576" i="22"/>
  <c r="M575" i="22"/>
  <c r="L575" i="22"/>
  <c r="M574" i="22"/>
  <c r="L574" i="22"/>
  <c r="M573" i="22"/>
  <c r="L573" i="22"/>
  <c r="F573" i="22"/>
  <c r="D573" i="22"/>
  <c r="B573" i="22"/>
  <c r="M572" i="22"/>
  <c r="L572" i="22"/>
  <c r="F572" i="22"/>
  <c r="D572" i="22"/>
  <c r="B572" i="22"/>
  <c r="M571" i="22"/>
  <c r="L571" i="22"/>
  <c r="F571" i="22"/>
  <c r="D571" i="22"/>
  <c r="B571" i="22"/>
  <c r="M570" i="22"/>
  <c r="L570" i="22"/>
  <c r="F570" i="22"/>
  <c r="D570" i="22"/>
  <c r="B570" i="22"/>
  <c r="M569" i="22"/>
  <c r="L569" i="22"/>
  <c r="F569" i="22"/>
  <c r="D569" i="22"/>
  <c r="B569" i="22"/>
  <c r="M568" i="22"/>
  <c r="L568" i="22"/>
  <c r="M567" i="22"/>
  <c r="L567" i="22"/>
  <c r="F567" i="22"/>
  <c r="D567" i="22"/>
  <c r="B567" i="22"/>
  <c r="M566" i="22"/>
  <c r="L566" i="22"/>
  <c r="F566" i="22"/>
  <c r="M565" i="22"/>
  <c r="L565" i="22"/>
  <c r="M564" i="22"/>
  <c r="L564" i="22"/>
  <c r="M563" i="22"/>
  <c r="L563" i="22"/>
  <c r="M562" i="22"/>
  <c r="L562" i="22"/>
  <c r="M561" i="22"/>
  <c r="L561" i="22"/>
  <c r="F561" i="22"/>
  <c r="B561" i="22"/>
  <c r="M560" i="22"/>
  <c r="L560" i="22"/>
  <c r="F560" i="22"/>
  <c r="B560" i="22"/>
  <c r="M559" i="22"/>
  <c r="L559" i="22"/>
  <c r="M558" i="22"/>
  <c r="L558" i="22"/>
  <c r="F558" i="22"/>
  <c r="B558" i="22"/>
  <c r="M557" i="22"/>
  <c r="L557" i="22"/>
  <c r="F557" i="22"/>
  <c r="B557" i="22"/>
  <c r="M556" i="22"/>
  <c r="L556" i="22"/>
  <c r="M555" i="22"/>
  <c r="L555" i="22"/>
  <c r="M554" i="22"/>
  <c r="L554" i="22"/>
  <c r="M553" i="22"/>
  <c r="L553" i="22"/>
  <c r="M552" i="22"/>
  <c r="L552" i="22"/>
  <c r="M551" i="22"/>
  <c r="L551" i="22"/>
  <c r="M550" i="22"/>
  <c r="L550" i="22"/>
  <c r="D550" i="22"/>
  <c r="M549" i="22"/>
  <c r="L549" i="22"/>
  <c r="D549" i="22"/>
  <c r="M548" i="22"/>
  <c r="L548" i="22"/>
  <c r="D548" i="22"/>
  <c r="M547" i="22"/>
  <c r="L547" i="22"/>
  <c r="M546" i="22"/>
  <c r="L546" i="22"/>
  <c r="M545" i="22"/>
  <c r="L545" i="22"/>
  <c r="M544" i="22"/>
  <c r="L544" i="22"/>
  <c r="M543" i="22"/>
  <c r="L543" i="22"/>
  <c r="I542" i="22"/>
  <c r="A542" i="22"/>
  <c r="I541" i="22"/>
  <c r="I540" i="22"/>
  <c r="H540" i="22"/>
  <c r="I539" i="22"/>
  <c r="H539" i="22"/>
  <c r="I538" i="22"/>
  <c r="H538" i="22"/>
  <c r="I537" i="22"/>
  <c r="H537" i="22"/>
  <c r="I536" i="22"/>
  <c r="H536" i="22"/>
  <c r="I535" i="22"/>
  <c r="H535" i="22"/>
  <c r="I534" i="22"/>
  <c r="H534" i="22"/>
  <c r="I533" i="22"/>
  <c r="H533" i="22"/>
  <c r="I532" i="22"/>
  <c r="H532" i="22"/>
  <c r="I531" i="22"/>
  <c r="H531" i="22"/>
  <c r="I530" i="22"/>
  <c r="H530" i="22"/>
  <c r="H517" i="22"/>
  <c r="B517" i="22"/>
  <c r="B516" i="22"/>
  <c r="B502" i="22"/>
  <c r="B504" i="22" s="1"/>
  <c r="B505" i="22" s="1"/>
  <c r="B498" i="22"/>
  <c r="B492" i="22"/>
  <c r="B495" i="22" s="1"/>
  <c r="B487" i="22"/>
  <c r="F486" i="22"/>
  <c r="E515" i="22"/>
  <c r="B482" i="22"/>
  <c r="F476" i="22"/>
  <c r="F463" i="22"/>
  <c r="D463" i="22"/>
  <c r="F462" i="22"/>
  <c r="D462" i="22"/>
  <c r="F461" i="22"/>
  <c r="D461" i="22"/>
  <c r="F460" i="22"/>
  <c r="F459" i="22"/>
  <c r="D459" i="22"/>
  <c r="B459" i="22"/>
  <c r="F458" i="22"/>
  <c r="F457" i="22"/>
  <c r="F456" i="22"/>
  <c r="F450" i="22"/>
  <c r="F449" i="22"/>
  <c r="F448" i="22"/>
  <c r="M447" i="22"/>
  <c r="L447" i="22"/>
  <c r="F447" i="22"/>
  <c r="M446" i="22"/>
  <c r="L446" i="22"/>
  <c r="F446" i="22"/>
  <c r="M445" i="22"/>
  <c r="L445" i="22"/>
  <c r="M444" i="22"/>
  <c r="L444" i="22"/>
  <c r="M443" i="22"/>
  <c r="L443" i="22"/>
  <c r="M442" i="22"/>
  <c r="L442" i="22"/>
  <c r="F442" i="22"/>
  <c r="M441" i="22"/>
  <c r="L441" i="22"/>
  <c r="F441" i="22"/>
  <c r="D441" i="22"/>
  <c r="B441" i="22"/>
  <c r="L440" i="22"/>
  <c r="L439" i="22"/>
  <c r="M438" i="22"/>
  <c r="L438" i="22"/>
  <c r="F438" i="22"/>
  <c r="M437" i="22"/>
  <c r="L437" i="22"/>
  <c r="F437" i="22"/>
  <c r="M436" i="22"/>
  <c r="L436" i="22"/>
  <c r="F436" i="22"/>
  <c r="L435" i="22"/>
  <c r="F435" i="22"/>
  <c r="D435" i="22"/>
  <c r="B435" i="22"/>
  <c r="H515" i="22" s="1"/>
  <c r="L434" i="22"/>
  <c r="F434" i="22"/>
  <c r="L433" i="22"/>
  <c r="M432" i="22"/>
  <c r="L432" i="22"/>
  <c r="F432" i="22"/>
  <c r="M431" i="22"/>
  <c r="L431" i="22"/>
  <c r="F431" i="22"/>
  <c r="M430" i="22"/>
  <c r="L430" i="22"/>
  <c r="M429" i="22"/>
  <c r="L429" i="22"/>
  <c r="M428" i="22"/>
  <c r="L428" i="22"/>
  <c r="M427" i="22"/>
  <c r="L427" i="22"/>
  <c r="M426" i="22"/>
  <c r="L426" i="22"/>
  <c r="M425" i="22"/>
  <c r="L425" i="22"/>
  <c r="M424" i="22"/>
  <c r="L424" i="22"/>
  <c r="M423" i="22"/>
  <c r="L423" i="22"/>
  <c r="M422" i="22"/>
  <c r="L422" i="22"/>
  <c r="M421" i="22"/>
  <c r="L421" i="22"/>
  <c r="M420" i="22"/>
  <c r="L420" i="22"/>
  <c r="M419" i="22"/>
  <c r="L419" i="22"/>
  <c r="M418" i="22"/>
  <c r="L418" i="22"/>
  <c r="L417" i="22"/>
  <c r="M416" i="22"/>
  <c r="N7" i="26" s="1"/>
  <c r="U7" i="26" s="1"/>
  <c r="L416" i="22"/>
  <c r="L415" i="22"/>
  <c r="D415" i="22"/>
  <c r="M414" i="22"/>
  <c r="L414" i="22"/>
  <c r="D414" i="22"/>
  <c r="M411" i="22" s="1"/>
  <c r="H7" i="26" s="1"/>
  <c r="M413" i="22"/>
  <c r="L413" i="22"/>
  <c r="D413" i="22"/>
  <c r="F426" i="22" s="1"/>
  <c r="M412" i="22"/>
  <c r="L412" i="22"/>
  <c r="L411" i="22"/>
  <c r="L410" i="22"/>
  <c r="M409" i="22"/>
  <c r="L409" i="22"/>
  <c r="M408" i="22"/>
  <c r="L408" i="22"/>
  <c r="A407" i="22"/>
  <c r="I406" i="22"/>
  <c r="I405" i="22"/>
  <c r="H405" i="22"/>
  <c r="I404" i="22"/>
  <c r="H404" i="22"/>
  <c r="I403" i="22"/>
  <c r="H403" i="22"/>
  <c r="I402" i="22"/>
  <c r="H402" i="22"/>
  <c r="I401" i="22"/>
  <c r="H401" i="22"/>
  <c r="I400" i="22"/>
  <c r="H400" i="22"/>
  <c r="I399" i="22"/>
  <c r="H399" i="22"/>
  <c r="I398" i="22"/>
  <c r="H398" i="22"/>
  <c r="I397" i="22"/>
  <c r="H397" i="22"/>
  <c r="I396" i="22"/>
  <c r="H396" i="22"/>
  <c r="I395" i="22"/>
  <c r="H395" i="22"/>
  <c r="H382" i="22"/>
  <c r="B382" i="22"/>
  <c r="B381" i="22"/>
  <c r="B380" i="22"/>
  <c r="B367" i="22"/>
  <c r="B369" i="22" s="1"/>
  <c r="B370" i="22" s="1"/>
  <c r="B363" i="22"/>
  <c r="B357" i="22"/>
  <c r="B360" i="22" s="1"/>
  <c r="B364" i="22" s="1"/>
  <c r="E380" i="22"/>
  <c r="F351" i="22"/>
  <c r="B347" i="22"/>
  <c r="F341" i="22"/>
  <c r="F328" i="22"/>
  <c r="D328" i="22"/>
  <c r="F327" i="22"/>
  <c r="D327" i="22"/>
  <c r="F326" i="22"/>
  <c r="D326" i="22"/>
  <c r="F325" i="22"/>
  <c r="F324" i="22"/>
  <c r="D324" i="22"/>
  <c r="B324" i="22"/>
  <c r="F323" i="22"/>
  <c r="F322" i="22"/>
  <c r="F321" i="22"/>
  <c r="F315" i="22"/>
  <c r="F314" i="22"/>
  <c r="F313" i="22"/>
  <c r="M312" i="22"/>
  <c r="L312" i="22"/>
  <c r="F312" i="22"/>
  <c r="M311" i="22"/>
  <c r="L311" i="22"/>
  <c r="F311" i="22"/>
  <c r="M310" i="22"/>
  <c r="L310" i="22"/>
  <c r="M309" i="22"/>
  <c r="L309" i="22"/>
  <c r="M308" i="22"/>
  <c r="L308" i="22"/>
  <c r="M307" i="22"/>
  <c r="L307" i="22"/>
  <c r="F307" i="22"/>
  <c r="M306" i="22"/>
  <c r="L306" i="22"/>
  <c r="F306" i="22"/>
  <c r="D306" i="22"/>
  <c r="B306" i="22"/>
  <c r="L305" i="22"/>
  <c r="L304" i="22"/>
  <c r="M303" i="22"/>
  <c r="L303" i="22"/>
  <c r="F303" i="22"/>
  <c r="M302" i="22"/>
  <c r="L302" i="22"/>
  <c r="F302" i="22"/>
  <c r="M301" i="22"/>
  <c r="L301" i="22"/>
  <c r="F301" i="22"/>
  <c r="L300" i="22"/>
  <c r="F300" i="22"/>
  <c r="D300" i="22"/>
  <c r="B300" i="22"/>
  <c r="H380" i="22" s="1"/>
  <c r="L299" i="22"/>
  <c r="F299" i="22"/>
  <c r="L298" i="22"/>
  <c r="M297" i="22"/>
  <c r="BE6" i="26" s="1"/>
  <c r="EE6" i="26" s="1"/>
  <c r="L297" i="22"/>
  <c r="F297" i="22"/>
  <c r="M296" i="22"/>
  <c r="BD6" i="26" s="1"/>
  <c r="DD6" i="26" s="1"/>
  <c r="L296" i="22"/>
  <c r="F296" i="22"/>
  <c r="M295" i="22"/>
  <c r="BC6" i="26" s="1"/>
  <c r="CB6" i="26" s="1"/>
  <c r="L295" i="22"/>
  <c r="M294" i="22"/>
  <c r="L294" i="22"/>
  <c r="M293" i="22"/>
  <c r="L293" i="22"/>
  <c r="M292" i="22"/>
  <c r="L292" i="22"/>
  <c r="M291" i="22"/>
  <c r="L291" i="22"/>
  <c r="M290" i="22"/>
  <c r="L290" i="22"/>
  <c r="M289" i="22"/>
  <c r="L289" i="22"/>
  <c r="M288" i="22"/>
  <c r="L288" i="22"/>
  <c r="M287" i="22"/>
  <c r="L287" i="22"/>
  <c r="M286" i="22"/>
  <c r="L286" i="22"/>
  <c r="M285" i="22"/>
  <c r="L285" i="22"/>
  <c r="M284" i="22"/>
  <c r="L284" i="22"/>
  <c r="M283" i="22"/>
  <c r="L283" i="22"/>
  <c r="L282" i="22"/>
  <c r="M281" i="22"/>
  <c r="N6" i="26" s="1"/>
  <c r="U6" i="26" s="1"/>
  <c r="L281" i="22"/>
  <c r="L280" i="22"/>
  <c r="D280" i="22"/>
  <c r="M279" i="22"/>
  <c r="L6" i="26" s="1"/>
  <c r="L279" i="22"/>
  <c r="D279" i="22"/>
  <c r="M278" i="22"/>
  <c r="K6" i="26" s="1"/>
  <c r="L278" i="22"/>
  <c r="D278" i="22"/>
  <c r="F287" i="22" s="1"/>
  <c r="M277" i="22"/>
  <c r="L277" i="22"/>
  <c r="L276" i="22"/>
  <c r="L275" i="22"/>
  <c r="M274" i="22"/>
  <c r="L274" i="22"/>
  <c r="M273" i="22"/>
  <c r="L273" i="22"/>
  <c r="A272" i="22"/>
  <c r="I271" i="22"/>
  <c r="I270" i="22"/>
  <c r="H270" i="22"/>
  <c r="I269" i="22"/>
  <c r="H269" i="22"/>
  <c r="I268" i="22"/>
  <c r="H268" i="22"/>
  <c r="I267" i="22"/>
  <c r="H267" i="22"/>
  <c r="I266" i="22"/>
  <c r="H266" i="22"/>
  <c r="I265" i="22"/>
  <c r="H265" i="22"/>
  <c r="I264" i="22"/>
  <c r="H264" i="22"/>
  <c r="I263" i="22"/>
  <c r="H263" i="22"/>
  <c r="I262" i="22"/>
  <c r="H262" i="22"/>
  <c r="I261" i="22"/>
  <c r="H261" i="22"/>
  <c r="I260" i="22"/>
  <c r="H260" i="22"/>
  <c r="H247" i="22"/>
  <c r="B247" i="22"/>
  <c r="B246" i="22"/>
  <c r="B245" i="22"/>
  <c r="B232" i="22"/>
  <c r="B234" i="22" s="1"/>
  <c r="B235" i="22" s="1"/>
  <c r="B228" i="22"/>
  <c r="B222" i="22"/>
  <c r="B225" i="22" s="1"/>
  <c r="B229" i="22" s="1"/>
  <c r="E245" i="22"/>
  <c r="F216" i="22"/>
  <c r="B212" i="22"/>
  <c r="F206" i="22"/>
  <c r="F193" i="22"/>
  <c r="D193" i="22"/>
  <c r="F192" i="22"/>
  <c r="D192" i="22"/>
  <c r="F191" i="22"/>
  <c r="D191" i="22"/>
  <c r="F190" i="22"/>
  <c r="F189" i="22"/>
  <c r="D189" i="22"/>
  <c r="B189" i="22"/>
  <c r="F188" i="22"/>
  <c r="F187" i="22"/>
  <c r="F186" i="22"/>
  <c r="F180" i="22"/>
  <c r="F179" i="22"/>
  <c r="F178" i="22"/>
  <c r="M177" i="22"/>
  <c r="L177" i="22"/>
  <c r="F177" i="22"/>
  <c r="M176" i="22"/>
  <c r="L176" i="22"/>
  <c r="F176" i="22"/>
  <c r="M175" i="22"/>
  <c r="L175" i="22"/>
  <c r="M174" i="22"/>
  <c r="L174" i="22"/>
  <c r="M173" i="22"/>
  <c r="L173" i="22"/>
  <c r="M172" i="22"/>
  <c r="L172" i="22"/>
  <c r="F172" i="22"/>
  <c r="M171" i="22"/>
  <c r="L171" i="22"/>
  <c r="F171" i="22"/>
  <c r="D171" i="22"/>
  <c r="B171" i="22"/>
  <c r="L170" i="22"/>
  <c r="L169" i="22"/>
  <c r="M168" i="22"/>
  <c r="L168" i="22"/>
  <c r="F168" i="22"/>
  <c r="M167" i="22"/>
  <c r="L167" i="22"/>
  <c r="F167" i="22"/>
  <c r="M166" i="22"/>
  <c r="L166" i="22"/>
  <c r="F166" i="22"/>
  <c r="L165" i="22"/>
  <c r="F165" i="22"/>
  <c r="D165" i="22"/>
  <c r="B165" i="22"/>
  <c r="H245" i="22" s="1"/>
  <c r="L164" i="22"/>
  <c r="F164" i="22"/>
  <c r="L163" i="22"/>
  <c r="M162" i="22"/>
  <c r="BE5" i="26" s="1"/>
  <c r="EB5" i="26" s="1"/>
  <c r="L162" i="22"/>
  <c r="F162" i="22"/>
  <c r="M161" i="22"/>
  <c r="BD5" i="26" s="1"/>
  <c r="DD5" i="26" s="1"/>
  <c r="L161" i="22"/>
  <c r="F161" i="22"/>
  <c r="M160" i="22"/>
  <c r="L160" i="22"/>
  <c r="M159" i="22"/>
  <c r="L159" i="22"/>
  <c r="M158" i="22"/>
  <c r="L158" i="22"/>
  <c r="M157" i="22"/>
  <c r="L157" i="22"/>
  <c r="M156" i="22"/>
  <c r="L156" i="22"/>
  <c r="M155" i="22"/>
  <c r="L155" i="22"/>
  <c r="M154" i="22"/>
  <c r="L154" i="22"/>
  <c r="M153" i="22"/>
  <c r="L153" i="22"/>
  <c r="M152" i="22"/>
  <c r="L152" i="22"/>
  <c r="M151" i="22"/>
  <c r="L151" i="22"/>
  <c r="M150" i="22"/>
  <c r="L150" i="22"/>
  <c r="M149" i="22"/>
  <c r="L149" i="22"/>
  <c r="M148" i="22"/>
  <c r="L148" i="22"/>
  <c r="L147" i="22"/>
  <c r="M146" i="22"/>
  <c r="N5" i="26" s="1"/>
  <c r="U5" i="26" s="1"/>
  <c r="L146" i="22"/>
  <c r="L145" i="22"/>
  <c r="D145" i="22"/>
  <c r="M144" i="22"/>
  <c r="L5" i="26" s="1"/>
  <c r="L144" i="22"/>
  <c r="D144" i="22"/>
  <c r="M141" i="22" s="1"/>
  <c r="H5" i="26" s="1"/>
  <c r="M143" i="22"/>
  <c r="K5" i="26" s="1"/>
  <c r="L143" i="22"/>
  <c r="D143" i="22"/>
  <c r="B155" i="22" s="1"/>
  <c r="M142" i="22"/>
  <c r="L142" i="22"/>
  <c r="L141" i="22"/>
  <c r="L140" i="22"/>
  <c r="M139" i="22"/>
  <c r="L139" i="22"/>
  <c r="M138" i="22"/>
  <c r="L138" i="22"/>
  <c r="A137" i="22"/>
  <c r="I136" i="22"/>
  <c r="I135" i="22"/>
  <c r="H135" i="22"/>
  <c r="I134" i="22"/>
  <c r="H134" i="22"/>
  <c r="I133" i="22"/>
  <c r="H133" i="22"/>
  <c r="I132" i="22"/>
  <c r="H132" i="22"/>
  <c r="I131" i="22"/>
  <c r="H131" i="22"/>
  <c r="I130" i="22"/>
  <c r="H130" i="22"/>
  <c r="I129" i="22"/>
  <c r="H129" i="22"/>
  <c r="I128" i="22"/>
  <c r="H128" i="22"/>
  <c r="I127" i="22"/>
  <c r="H127" i="22"/>
  <c r="I126" i="22"/>
  <c r="H126" i="22"/>
  <c r="I125" i="22"/>
  <c r="H125" i="22"/>
  <c r="H112" i="22"/>
  <c r="B112" i="22"/>
  <c r="B111" i="22"/>
  <c r="B110" i="22"/>
  <c r="B97" i="22"/>
  <c r="B99" i="22" s="1"/>
  <c r="B100" i="22" s="1"/>
  <c r="B93" i="22"/>
  <c r="B87" i="22"/>
  <c r="B90" i="22" s="1"/>
  <c r="E110" i="22"/>
  <c r="F81" i="22"/>
  <c r="B77" i="22"/>
  <c r="F71" i="22"/>
  <c r="F58" i="22"/>
  <c r="D58" i="22"/>
  <c r="F57" i="22"/>
  <c r="D57" i="22"/>
  <c r="F56" i="22"/>
  <c r="D56" i="22"/>
  <c r="F55" i="22"/>
  <c r="F54" i="22"/>
  <c r="D54" i="22"/>
  <c r="B54" i="22"/>
  <c r="F53" i="22"/>
  <c r="F52" i="22"/>
  <c r="F51" i="22"/>
  <c r="F45" i="22"/>
  <c r="F44" i="22"/>
  <c r="F43" i="22"/>
  <c r="M42" i="22"/>
  <c r="L42" i="22"/>
  <c r="F42" i="22"/>
  <c r="M41" i="22"/>
  <c r="L41" i="22"/>
  <c r="F41" i="22"/>
  <c r="M40" i="22"/>
  <c r="L40" i="22"/>
  <c r="M39" i="22"/>
  <c r="L39" i="22"/>
  <c r="M38" i="22"/>
  <c r="L38" i="22"/>
  <c r="M37" i="22"/>
  <c r="L37" i="22"/>
  <c r="F37" i="22"/>
  <c r="M36" i="22"/>
  <c r="L36" i="22"/>
  <c r="F36" i="22"/>
  <c r="D36" i="22"/>
  <c r="B36" i="22"/>
  <c r="L35" i="22"/>
  <c r="L34" i="22"/>
  <c r="M33" i="22"/>
  <c r="L33" i="22"/>
  <c r="F33" i="22"/>
  <c r="M32" i="22"/>
  <c r="L32" i="22"/>
  <c r="F32" i="22"/>
  <c r="M31" i="22"/>
  <c r="L31" i="22"/>
  <c r="F31" i="22"/>
  <c r="L30" i="22"/>
  <c r="F30" i="22"/>
  <c r="D30" i="22"/>
  <c r="B30" i="22"/>
  <c r="H110" i="22" s="1"/>
  <c r="L29" i="22"/>
  <c r="F29" i="22"/>
  <c r="L28" i="22"/>
  <c r="M27" i="22"/>
  <c r="BE4" i="26" s="1"/>
  <c r="L27" i="22"/>
  <c r="F27" i="22"/>
  <c r="M26" i="22"/>
  <c r="BD4" i="26" s="1"/>
  <c r="DD4" i="26" s="1"/>
  <c r="L26" i="22"/>
  <c r="F26" i="22"/>
  <c r="M25" i="22"/>
  <c r="BC4" i="26" s="1"/>
  <c r="CB4" i="26" s="1"/>
  <c r="L25" i="22"/>
  <c r="M24" i="22"/>
  <c r="L24" i="22"/>
  <c r="M23" i="22"/>
  <c r="L23" i="22"/>
  <c r="M22" i="22"/>
  <c r="L22" i="22"/>
  <c r="M21" i="22"/>
  <c r="L21" i="22"/>
  <c r="M20" i="22"/>
  <c r="L20" i="22"/>
  <c r="M19" i="22"/>
  <c r="L19" i="22"/>
  <c r="M18" i="22"/>
  <c r="L18" i="22"/>
  <c r="M17" i="22"/>
  <c r="L17" i="22"/>
  <c r="M16" i="22"/>
  <c r="L16" i="22"/>
  <c r="M15" i="22"/>
  <c r="L15" i="22"/>
  <c r="M14" i="22"/>
  <c r="L14" i="22"/>
  <c r="M13" i="22"/>
  <c r="L13" i="22"/>
  <c r="L12" i="22"/>
  <c r="M11" i="22"/>
  <c r="N4" i="26" s="1"/>
  <c r="U4" i="26" s="1"/>
  <c r="L11" i="22"/>
  <c r="L10" i="22"/>
  <c r="D10" i="22"/>
  <c r="M9" i="22"/>
  <c r="L4" i="26" s="1"/>
  <c r="L9" i="22"/>
  <c r="D9" i="22"/>
  <c r="M8" i="22"/>
  <c r="K4" i="26" s="1"/>
  <c r="L8" i="22"/>
  <c r="D8" i="22"/>
  <c r="F18" i="22" s="1"/>
  <c r="M7" i="22"/>
  <c r="L7" i="22"/>
  <c r="L6" i="22"/>
  <c r="L5" i="22"/>
  <c r="M4" i="22"/>
  <c r="L4" i="22"/>
  <c r="M3" i="22"/>
  <c r="L3" i="22"/>
  <c r="A2" i="22"/>
  <c r="AB65" i="18"/>
  <c r="G65" i="18"/>
  <c r="AB64" i="18"/>
  <c r="G64" i="18"/>
  <c r="AB63" i="18"/>
  <c r="G63" i="18"/>
  <c r="AB48" i="18"/>
  <c r="G48" i="18"/>
  <c r="AB45" i="18"/>
  <c r="G45" i="18"/>
  <c r="AB41" i="18"/>
  <c r="G41" i="18"/>
  <c r="AB40" i="18"/>
  <c r="G40" i="18"/>
  <c r="AB36" i="18"/>
  <c r="G36" i="18"/>
  <c r="AB21" i="18"/>
  <c r="G21" i="18"/>
  <c r="AB7" i="18"/>
  <c r="G7" i="18"/>
  <c r="AB6" i="18"/>
  <c r="G6" i="18"/>
  <c r="AB5" i="18"/>
  <c r="G5" i="18"/>
  <c r="AB4" i="18"/>
  <c r="G4" i="18"/>
  <c r="AB3" i="18"/>
  <c r="G3" i="18"/>
  <c r="AB2" i="18"/>
  <c r="G2" i="18"/>
  <c r="A102" i="13"/>
  <c r="A101" i="13"/>
  <c r="A100" i="13"/>
  <c r="A99" i="13"/>
  <c r="A98" i="13"/>
  <c r="A97" i="13"/>
  <c r="A96" i="13"/>
  <c r="A95" i="13"/>
  <c r="A94" i="13"/>
  <c r="A93" i="13"/>
  <c r="A91" i="13"/>
  <c r="A90" i="13"/>
  <c r="A86" i="13"/>
  <c r="A85" i="13"/>
  <c r="A84" i="13"/>
  <c r="A83" i="13"/>
  <c r="A82" i="13"/>
  <c r="A81" i="13"/>
  <c r="A80" i="13"/>
  <c r="A79" i="13"/>
  <c r="A78" i="13"/>
  <c r="A77" i="13"/>
  <c r="A76" i="13"/>
  <c r="A75" i="13"/>
  <c r="A74" i="13"/>
  <c r="A72" i="13"/>
  <c r="A71" i="13"/>
  <c r="A70" i="13"/>
  <c r="A69" i="13"/>
  <c r="A68" i="13"/>
  <c r="A67" i="13"/>
  <c r="A66" i="13"/>
  <c r="A65" i="13"/>
  <c r="A64" i="13"/>
  <c r="A63" i="13"/>
  <c r="A62" i="13"/>
  <c r="A61" i="13"/>
  <c r="A60" i="13"/>
  <c r="A58" i="13"/>
  <c r="A57" i="13"/>
  <c r="A56" i="13"/>
  <c r="A55" i="13"/>
  <c r="A54" i="13"/>
  <c r="A53" i="13"/>
  <c r="A52" i="13"/>
  <c r="A51" i="13"/>
  <c r="A50" i="13"/>
  <c r="A49" i="13"/>
  <c r="A48" i="13"/>
  <c r="A47" i="13"/>
  <c r="A46" i="13"/>
  <c r="A44" i="13"/>
  <c r="A43" i="13"/>
  <c r="A42" i="13"/>
  <c r="A41" i="13"/>
  <c r="A40" i="13"/>
  <c r="A39" i="13"/>
  <c r="A38" i="13"/>
  <c r="A37" i="13"/>
  <c r="A36" i="13"/>
  <c r="A35" i="13"/>
  <c r="A34" i="13"/>
  <c r="A33" i="13"/>
  <c r="E18" i="12" s="1"/>
  <c r="A32" i="13"/>
  <c r="A30" i="13"/>
  <c r="A29" i="13"/>
  <c r="A28" i="13"/>
  <c r="A27" i="13"/>
  <c r="A26" i="13"/>
  <c r="A25" i="13"/>
  <c r="A24" i="13"/>
  <c r="A23" i="13"/>
  <c r="A22" i="13"/>
  <c r="A21" i="13"/>
  <c r="A20" i="13"/>
  <c r="E20" i="12" s="1"/>
  <c r="A19" i="13"/>
  <c r="A18" i="13"/>
  <c r="AG31" i="21" l="1"/>
  <c r="F17" i="22"/>
  <c r="M5" i="22"/>
  <c r="G4" i="26" s="1"/>
  <c r="J424" i="10"/>
  <c r="L424" i="10"/>
  <c r="B426" i="22"/>
  <c r="B423" i="22"/>
  <c r="D468" i="22" s="1"/>
  <c r="D474" i="22" s="1"/>
  <c r="D446" i="22" s="1"/>
  <c r="F423" i="22"/>
  <c r="F467" i="22" s="1"/>
  <c r="F473" i="22" s="1"/>
  <c r="M410" i="22"/>
  <c r="G7" i="26" s="1"/>
  <c r="B425" i="22"/>
  <c r="F425" i="22"/>
  <c r="B422" i="22"/>
  <c r="D466" i="22" s="1"/>
  <c r="D472" i="22" s="1"/>
  <c r="D432" i="22" s="1"/>
  <c r="D436" i="22" s="1"/>
  <c r="F422" i="22"/>
  <c r="F466" i="22" s="1"/>
  <c r="F472" i="22" s="1"/>
  <c r="AC17" i="21"/>
  <c r="AG17" i="21"/>
  <c r="DD16" i="12"/>
  <c r="DF7" i="12"/>
  <c r="AC26" i="21"/>
  <c r="AG6" i="12"/>
  <c r="B12" i="20"/>
  <c r="H12" i="20" s="1"/>
  <c r="DJ13" i="12"/>
  <c r="AS19" i="12"/>
  <c r="EE11" i="12"/>
  <c r="T112" i="12"/>
  <c r="U112" i="12" s="1"/>
  <c r="W112" i="12" s="1"/>
  <c r="T104" i="12"/>
  <c r="U104" i="12" s="1"/>
  <c r="W104" i="12" s="1"/>
  <c r="BZ85" i="16"/>
  <c r="BZ61" i="16"/>
  <c r="BZ24" i="16"/>
  <c r="BZ14" i="16"/>
  <c r="BZ90" i="16"/>
  <c r="BZ79" i="16"/>
  <c r="BZ46" i="16"/>
  <c r="BZ98" i="16"/>
  <c r="BZ94" i="16"/>
  <c r="BZ78" i="16"/>
  <c r="BZ74" i="16"/>
  <c r="BZ62" i="16"/>
  <c r="BZ56" i="16"/>
  <c r="BZ50" i="16"/>
  <c r="BZ45" i="16"/>
  <c r="BZ37" i="16"/>
  <c r="BZ29" i="16"/>
  <c r="BZ19" i="16"/>
  <c r="BZ3" i="16"/>
  <c r="BZ75" i="16"/>
  <c r="BZ69" i="16"/>
  <c r="BZ21" i="16"/>
  <c r="BZ9" i="16"/>
  <c r="BZ5" i="16"/>
  <c r="BZ70" i="16"/>
  <c r="BZ40" i="16"/>
  <c r="BZ26" i="16"/>
  <c r="BZ16" i="16"/>
  <c r="BZ10" i="16"/>
  <c r="BZ91" i="16"/>
  <c r="BZ65" i="16"/>
  <c r="BZ58" i="16"/>
  <c r="BZ47" i="16"/>
  <c r="BZ41" i="16"/>
  <c r="BZ92" i="16"/>
  <c r="BZ84" i="16"/>
  <c r="BZ76" i="16"/>
  <c r="BZ72" i="16"/>
  <c r="BZ71" i="16"/>
  <c r="BZ66" i="16"/>
  <c r="BZ22" i="16"/>
  <c r="BZ11" i="16"/>
  <c r="BZ6" i="16"/>
  <c r="BZ89" i="16"/>
  <c r="BZ82" i="16"/>
  <c r="BZ68" i="16"/>
  <c r="BZ30" i="16"/>
  <c r="BZ8" i="16"/>
  <c r="BZ99" i="16"/>
  <c r="BZ39" i="16"/>
  <c r="BZ87" i="16"/>
  <c r="BZ88" i="16"/>
  <c r="BZ54" i="16"/>
  <c r="BZ43" i="16"/>
  <c r="BZ17" i="16"/>
  <c r="BZ63" i="16"/>
  <c r="BZ51" i="16"/>
  <c r="BZ38" i="16"/>
  <c r="BZ31" i="16"/>
  <c r="BZ25" i="16"/>
  <c r="BZ20" i="16"/>
  <c r="BZ15" i="16"/>
  <c r="BZ4" i="16"/>
  <c r="BZ86" i="16"/>
  <c r="BZ64" i="16"/>
  <c r="BZ32" i="16"/>
  <c r="BZ96" i="16"/>
  <c r="BZ97" i="16"/>
  <c r="BZ60" i="16"/>
  <c r="BZ59" i="16"/>
  <c r="BZ44" i="16"/>
  <c r="BZ35" i="16"/>
  <c r="BZ93" i="16"/>
  <c r="BZ81" i="16"/>
  <c r="BZ77" i="16"/>
  <c r="BZ73" i="16"/>
  <c r="BZ67" i="16"/>
  <c r="BZ55" i="16"/>
  <c r="BZ49" i="16"/>
  <c r="BZ36" i="16"/>
  <c r="BZ28" i="16"/>
  <c r="BZ23" i="16"/>
  <c r="BZ18" i="16"/>
  <c r="BZ13" i="16"/>
  <c r="BZ7" i="16"/>
  <c r="BZ95" i="16"/>
  <c r="BZ57" i="16"/>
  <c r="BZ52" i="16"/>
  <c r="BZ83" i="16"/>
  <c r="BZ80" i="16"/>
  <c r="BZ53" i="16"/>
  <c r="BZ42" i="16"/>
  <c r="BZ33" i="16"/>
  <c r="BZ48" i="16"/>
  <c r="BZ34" i="16"/>
  <c r="BZ27" i="16"/>
  <c r="BZ12" i="16"/>
  <c r="DZ92" i="12"/>
  <c r="DW50" i="12"/>
  <c r="EK50" i="12" s="1"/>
  <c r="DU7" i="12"/>
  <c r="AT71" i="12"/>
  <c r="AV71" i="12" s="1"/>
  <c r="AW71" i="12" s="1"/>
  <c r="AT121" i="12"/>
  <c r="AV121" i="12" s="1"/>
  <c r="DS3" i="21"/>
  <c r="T77" i="12"/>
  <c r="U77" i="12" s="1"/>
  <c r="AN77" i="12" s="1"/>
  <c r="T98" i="12"/>
  <c r="U98" i="12" s="1"/>
  <c r="AN98" i="12" s="1"/>
  <c r="DY71" i="12"/>
  <c r="EM71" i="12" s="1"/>
  <c r="DO77" i="12"/>
  <c r="O67" i="12"/>
  <c r="ED7" i="12"/>
  <c r="E19" i="12"/>
  <c r="DS9" i="12"/>
  <c r="T50" i="12"/>
  <c r="U50" i="12" s="1"/>
  <c r="W50" i="12" s="1"/>
  <c r="AT68" i="12"/>
  <c r="AV68" i="12" s="1"/>
  <c r="AT37" i="12"/>
  <c r="AV37" i="12" s="1"/>
  <c r="A92" i="13"/>
  <c r="AO48" i="12"/>
  <c r="AU48" i="12" s="1"/>
  <c r="ED132" i="12"/>
  <c r="AO134" i="12"/>
  <c r="AR134" i="12" s="1"/>
  <c r="D400" i="10"/>
  <c r="L400" i="10"/>
  <c r="DD10" i="12"/>
  <c r="AC11" i="21"/>
  <c r="DM12" i="21"/>
  <c r="D423" i="10"/>
  <c r="AY75" i="16"/>
  <c r="AY76" i="16"/>
  <c r="AY74" i="16"/>
  <c r="AY86" i="16"/>
  <c r="AY85" i="16"/>
  <c r="AY81" i="16"/>
  <c r="AY82" i="16"/>
  <c r="AY83" i="16"/>
  <c r="AY84" i="16"/>
  <c r="AY80" i="16"/>
  <c r="FI31" i="12"/>
  <c r="FR4" i="12"/>
  <c r="FS4" i="12"/>
  <c r="I49" i="11"/>
  <c r="J7" i="10" s="1"/>
  <c r="J277" i="10" s="1"/>
  <c r="L277" i="10" s="1"/>
  <c r="B82" i="11"/>
  <c r="D82" i="11" s="1"/>
  <c r="H82" i="11" s="1"/>
  <c r="B47" i="20"/>
  <c r="C47" i="20" s="1"/>
  <c r="N7" i="11"/>
  <c r="BU6" i="21"/>
  <c r="BU4" i="21"/>
  <c r="AB35" i="21"/>
  <c r="AC35" i="21" s="1"/>
  <c r="AB38" i="21"/>
  <c r="AC38" i="21" s="1"/>
  <c r="BU38" i="21"/>
  <c r="CT65" i="16"/>
  <c r="CT66" i="16"/>
  <c r="AB32" i="21"/>
  <c r="AC32" i="21" s="1"/>
  <c r="CT64" i="16"/>
  <c r="CT90" i="16"/>
  <c r="CT91" i="16"/>
  <c r="J29" i="21"/>
  <c r="BL29" i="21" s="1"/>
  <c r="ES57" i="12"/>
  <c r="AB29" i="21"/>
  <c r="AC29" i="21" s="1"/>
  <c r="AB41" i="21"/>
  <c r="AC41" i="21" s="1"/>
  <c r="ES41" i="12"/>
  <c r="ES70" i="12"/>
  <c r="ES83" i="12"/>
  <c r="ES111" i="12"/>
  <c r="ES139" i="12"/>
  <c r="AB34" i="21"/>
  <c r="AC34" i="21" s="1"/>
  <c r="ES123" i="12"/>
  <c r="AB37" i="21"/>
  <c r="AC37" i="21" s="1"/>
  <c r="AB40" i="21"/>
  <c r="AC40" i="21" s="1"/>
  <c r="ES51" i="12"/>
  <c r="ES8" i="12"/>
  <c r="ES35" i="12"/>
  <c r="ES67" i="12"/>
  <c r="ES120" i="12"/>
  <c r="AB33" i="21"/>
  <c r="AC33" i="21" s="1"/>
  <c r="ES92" i="12"/>
  <c r="AB36" i="21"/>
  <c r="AC36" i="21" s="1"/>
  <c r="ES4" i="12"/>
  <c r="ES64" i="12"/>
  <c r="ES104" i="12"/>
  <c r="BU16" i="21"/>
  <c r="CT89" i="16"/>
  <c r="ES132" i="12"/>
  <c r="BU7" i="21"/>
  <c r="AB39" i="21"/>
  <c r="AC39" i="21" s="1"/>
  <c r="ES46" i="12"/>
  <c r="BU14" i="21"/>
  <c r="ES3" i="12"/>
  <c r="ES22" i="12"/>
  <c r="ES30" i="12"/>
  <c r="ES33" i="12"/>
  <c r="ES38" i="12"/>
  <c r="ES44" i="12"/>
  <c r="ES62" i="12"/>
  <c r="ES73" i="12"/>
  <c r="ES81" i="12"/>
  <c r="ES96" i="12"/>
  <c r="ES102" i="12"/>
  <c r="ES114" i="12"/>
  <c r="ES117" i="12"/>
  <c r="ES126" i="12"/>
  <c r="ES136" i="12"/>
  <c r="BU23" i="21"/>
  <c r="BU33" i="21"/>
  <c r="BU42" i="21"/>
  <c r="CT8" i="16"/>
  <c r="CT9" i="16"/>
  <c r="CT10" i="16"/>
  <c r="CT27" i="16"/>
  <c r="CT28" i="16"/>
  <c r="CT37" i="16"/>
  <c r="CT38" i="16"/>
  <c r="CT58" i="16"/>
  <c r="CT63" i="16"/>
  <c r="CT74" i="16"/>
  <c r="ES5" i="12"/>
  <c r="ES17" i="12"/>
  <c r="ES28" i="12"/>
  <c r="ES49" i="12"/>
  <c r="ES84" i="12"/>
  <c r="ES87" i="12"/>
  <c r="ES99" i="12"/>
  <c r="ES105" i="12"/>
  <c r="ES108" i="12"/>
  <c r="BU8" i="21"/>
  <c r="BU19" i="21"/>
  <c r="BU37" i="21"/>
  <c r="CT26" i="16"/>
  <c r="CT30" i="16"/>
  <c r="CT31" i="16"/>
  <c r="CT32" i="16"/>
  <c r="CT33" i="16"/>
  <c r="CT34" i="16"/>
  <c r="CT35" i="16"/>
  <c r="CT36" i="16"/>
  <c r="CT57" i="16"/>
  <c r="CT59" i="16"/>
  <c r="CT62" i="16"/>
  <c r="CT75" i="16"/>
  <c r="CT76" i="16"/>
  <c r="CT77" i="16"/>
  <c r="CT78" i="16"/>
  <c r="CT79" i="16"/>
  <c r="CT80" i="16"/>
  <c r="ES25" i="12"/>
  <c r="ES34" i="12"/>
  <c r="ES42" i="12"/>
  <c r="ES47" i="12"/>
  <c r="ES52" i="12"/>
  <c r="ES60" i="12"/>
  <c r="ES68" i="12"/>
  <c r="ES71" i="12"/>
  <c r="ES76" i="12"/>
  <c r="ES78" i="12"/>
  <c r="ES90" i="12"/>
  <c r="ES93" i="12"/>
  <c r="ES124" i="12"/>
  <c r="ES133" i="12"/>
  <c r="BU13" i="21"/>
  <c r="BU27" i="21"/>
  <c r="BU32" i="21"/>
  <c r="BU41" i="21"/>
  <c r="CT7" i="16"/>
  <c r="CT25" i="16"/>
  <c r="CT56" i="16"/>
  <c r="CT60" i="16"/>
  <c r="CT61" i="16"/>
  <c r="CT81" i="16"/>
  <c r="ES6" i="12"/>
  <c r="ES58" i="12"/>
  <c r="ES65" i="12"/>
  <c r="ES97" i="12"/>
  <c r="ES115" i="12"/>
  <c r="ES130" i="12"/>
  <c r="ES137" i="12"/>
  <c r="BU29" i="21"/>
  <c r="CT23" i="16"/>
  <c r="CT24" i="16"/>
  <c r="CT55" i="16"/>
  <c r="CT82" i="16"/>
  <c r="CT99" i="16"/>
  <c r="ES19" i="12"/>
  <c r="ES27" i="12"/>
  <c r="ES31" i="12"/>
  <c r="ES37" i="12"/>
  <c r="ES39" i="12"/>
  <c r="ES55" i="12"/>
  <c r="ES74" i="12"/>
  <c r="ES82" i="12"/>
  <c r="ES85" i="12"/>
  <c r="ES88" i="12"/>
  <c r="ES100" i="12"/>
  <c r="ES103" i="12"/>
  <c r="ES109" i="12"/>
  <c r="ES118" i="12"/>
  <c r="ES121" i="12"/>
  <c r="ES127" i="12"/>
  <c r="BU22" i="21"/>
  <c r="BU28" i="21"/>
  <c r="BU36" i="21"/>
  <c r="BU40" i="21"/>
  <c r="CT6" i="16"/>
  <c r="CT22" i="16"/>
  <c r="CT53" i="16"/>
  <c r="CT54" i="16"/>
  <c r="CT83" i="16"/>
  <c r="CT84" i="16"/>
  <c r="CT85" i="16"/>
  <c r="CT86" i="16"/>
  <c r="CT98" i="16"/>
  <c r="ES18" i="12"/>
  <c r="ES23" i="12"/>
  <c r="ES43" i="12"/>
  <c r="ES79" i="12"/>
  <c r="ES91" i="12"/>
  <c r="ES94" i="12"/>
  <c r="ES106" i="12"/>
  <c r="ES112" i="12"/>
  <c r="BU12" i="21"/>
  <c r="BU18" i="21"/>
  <c r="CT21" i="16"/>
  <c r="CT52" i="16"/>
  <c r="CT87" i="16"/>
  <c r="CT88" i="16"/>
  <c r="CT97" i="16"/>
  <c r="ES9" i="12"/>
  <c r="ES13" i="12"/>
  <c r="ES20" i="12"/>
  <c r="ES36" i="12"/>
  <c r="ES45" i="12"/>
  <c r="ES53" i="12"/>
  <c r="ES61" i="12"/>
  <c r="ES63" i="12"/>
  <c r="ES69" i="12"/>
  <c r="ES72" i="12"/>
  <c r="ES125" i="12"/>
  <c r="ES131" i="12"/>
  <c r="ES134" i="12"/>
  <c r="ES138" i="12"/>
  <c r="BU11" i="21"/>
  <c r="BU26" i="21"/>
  <c r="BU31" i="21"/>
  <c r="BU35" i="21"/>
  <c r="CT5" i="16"/>
  <c r="CT17" i="16"/>
  <c r="CT18" i="16"/>
  <c r="CT19" i="16"/>
  <c r="CT20" i="16"/>
  <c r="CT47" i="16"/>
  <c r="CT49" i="16"/>
  <c r="CT50" i="16"/>
  <c r="CT51" i="16"/>
  <c r="CT73" i="16"/>
  <c r="CT96" i="16"/>
  <c r="ES12" i="12"/>
  <c r="ES26" i="12"/>
  <c r="ES40" i="12"/>
  <c r="ES48" i="12"/>
  <c r="ES50" i="12"/>
  <c r="ES56" i="12"/>
  <c r="ES66" i="12"/>
  <c r="ES89" i="12"/>
  <c r="ES110" i="12"/>
  <c r="ES116" i="12"/>
  <c r="ES119" i="12"/>
  <c r="ES122" i="12"/>
  <c r="ES128" i="12"/>
  <c r="BU25" i="21"/>
  <c r="BU39" i="21"/>
  <c r="CT3" i="16"/>
  <c r="CT4" i="16"/>
  <c r="CT16" i="16"/>
  <c r="CT46" i="16"/>
  <c r="CT48" i="16"/>
  <c r="CT70" i="16"/>
  <c r="CT71" i="16"/>
  <c r="CT72" i="16"/>
  <c r="CT95" i="16"/>
  <c r="ES7" i="12"/>
  <c r="ES24" i="12"/>
  <c r="ES75" i="12"/>
  <c r="ES77" i="12"/>
  <c r="ES80" i="12"/>
  <c r="ES86" i="12"/>
  <c r="ES95" i="12"/>
  <c r="ES101" i="12"/>
  <c r="ES107" i="12"/>
  <c r="ES113" i="12"/>
  <c r="BU10" i="21"/>
  <c r="BU15" i="21"/>
  <c r="BU17" i="21"/>
  <c r="BU21" i="21"/>
  <c r="BU34" i="21"/>
  <c r="BU43" i="21"/>
  <c r="CT15" i="16"/>
  <c r="CT45" i="16"/>
  <c r="CT68" i="16"/>
  <c r="CT69" i="16"/>
  <c r="CT93" i="16"/>
  <c r="CT94" i="16"/>
  <c r="ES10" i="12"/>
  <c r="ES11" i="12"/>
  <c r="ES14" i="12"/>
  <c r="ES21" i="12"/>
  <c r="ES32" i="12"/>
  <c r="ES54" i="12"/>
  <c r="ES98" i="12"/>
  <c r="CT14" i="16"/>
  <c r="CT44" i="16"/>
  <c r="CT67" i="16"/>
  <c r="ER4" i="12"/>
  <c r="ER15" i="12"/>
  <c r="ER32" i="12"/>
  <c r="ER37" i="12"/>
  <c r="ER52" i="12"/>
  <c r="ER67" i="12"/>
  <c r="ER72" i="12"/>
  <c r="ER81" i="12"/>
  <c r="ER96" i="12"/>
  <c r="ER129" i="12"/>
  <c r="ER134" i="12"/>
  <c r="ER137" i="12"/>
  <c r="BT25" i="21"/>
  <c r="BT26" i="21"/>
  <c r="BT32" i="21"/>
  <c r="CS36" i="16"/>
  <c r="CS37" i="16"/>
  <c r="CS60" i="16"/>
  <c r="CS74" i="16"/>
  <c r="CS84" i="16"/>
  <c r="CS89" i="16"/>
  <c r="CS90" i="16"/>
  <c r="ER3" i="12"/>
  <c r="ER7" i="12"/>
  <c r="ER9" i="12"/>
  <c r="ER16" i="12"/>
  <c r="ER23" i="12"/>
  <c r="ER28" i="12"/>
  <c r="ER30" i="12"/>
  <c r="ER36" i="12"/>
  <c r="ER48" i="12"/>
  <c r="ER61" i="12"/>
  <c r="ER89" i="12"/>
  <c r="ER91" i="12"/>
  <c r="ER106" i="12"/>
  <c r="ER119" i="12"/>
  <c r="BT10" i="21"/>
  <c r="BT19" i="21"/>
  <c r="BT38" i="21"/>
  <c r="CS8" i="16"/>
  <c r="CS38" i="16"/>
  <c r="CS39" i="16"/>
  <c r="CS61" i="16"/>
  <c r="CS62" i="16"/>
  <c r="CS63" i="16"/>
  <c r="CS64" i="16"/>
  <c r="CS65" i="16"/>
  <c r="CS85" i="16"/>
  <c r="CS91" i="16"/>
  <c r="CS92" i="16"/>
  <c r="CS93" i="16"/>
  <c r="ER39" i="12"/>
  <c r="ER42" i="12"/>
  <c r="ER44" i="12"/>
  <c r="ER57" i="12"/>
  <c r="ER65" i="12"/>
  <c r="ER70" i="12"/>
  <c r="ER109" i="12"/>
  <c r="ER114" i="12"/>
  <c r="ER132" i="12"/>
  <c r="BT24" i="21"/>
  <c r="CS7" i="16"/>
  <c r="CS9" i="16"/>
  <c r="CS40" i="16"/>
  <c r="CS66" i="16"/>
  <c r="CS67" i="16"/>
  <c r="CS68" i="16"/>
  <c r="CS75" i="16"/>
  <c r="CS86" i="16"/>
  <c r="CS94" i="16"/>
  <c r="CS95" i="16"/>
  <c r="CS96" i="16"/>
  <c r="CS97" i="16"/>
  <c r="CS98" i="16"/>
  <c r="CS99" i="16"/>
  <c r="ER21" i="12"/>
  <c r="ER27" i="12"/>
  <c r="ER46" i="12"/>
  <c r="ER50" i="12"/>
  <c r="ER59" i="12"/>
  <c r="ER63" i="12"/>
  <c r="ER79" i="12"/>
  <c r="ER84" i="12"/>
  <c r="ER94" i="12"/>
  <c r="ER99" i="12"/>
  <c r="ER122" i="12"/>
  <c r="ER127" i="12"/>
  <c r="BT9" i="21"/>
  <c r="BT23" i="21"/>
  <c r="BT31" i="21"/>
  <c r="BT37" i="21"/>
  <c r="BT43" i="21"/>
  <c r="CS3" i="16"/>
  <c r="CS6" i="16"/>
  <c r="CS10" i="16"/>
  <c r="CS11" i="16"/>
  <c r="CS41" i="16"/>
  <c r="CS69" i="16"/>
  <c r="CS70" i="16"/>
  <c r="CS76" i="16"/>
  <c r="ER5" i="12"/>
  <c r="ER17" i="12"/>
  <c r="ER33" i="12"/>
  <c r="ER35" i="12"/>
  <c r="ER68" i="12"/>
  <c r="ER75" i="12"/>
  <c r="ER97" i="12"/>
  <c r="ER102" i="12"/>
  <c r="ER104" i="12"/>
  <c r="ER117" i="12"/>
  <c r="ER125" i="12"/>
  <c r="ER135" i="12"/>
  <c r="ER138" i="12"/>
  <c r="BT8" i="21"/>
  <c r="BT15" i="21"/>
  <c r="BT18" i="21"/>
  <c r="CS4" i="16"/>
  <c r="CS5" i="16"/>
  <c r="CS12" i="16"/>
  <c r="CS13" i="16"/>
  <c r="CS14" i="16"/>
  <c r="CS15" i="16"/>
  <c r="CS16" i="16"/>
  <c r="CS17" i="16"/>
  <c r="CS42" i="16"/>
  <c r="CS43" i="16"/>
  <c r="CS44" i="16"/>
  <c r="CS45" i="16"/>
  <c r="CS46" i="16"/>
  <c r="CS47" i="16"/>
  <c r="CS71" i="16"/>
  <c r="CS77" i="16"/>
  <c r="CS87" i="16"/>
  <c r="ER8" i="12"/>
  <c r="ER10" i="12"/>
  <c r="ER12" i="12"/>
  <c r="ER13" i="12"/>
  <c r="ER24" i="12"/>
  <c r="ER26" i="12"/>
  <c r="ER53" i="12"/>
  <c r="ER55" i="12"/>
  <c r="ER77" i="12"/>
  <c r="ER82" i="12"/>
  <c r="ER87" i="12"/>
  <c r="ER107" i="12"/>
  <c r="ER112" i="12"/>
  <c r="ER120" i="12"/>
  <c r="ER130" i="12"/>
  <c r="BT14" i="21"/>
  <c r="BT30" i="21"/>
  <c r="BT36" i="21"/>
  <c r="CS18" i="16"/>
  <c r="CS72" i="16"/>
  <c r="CS73" i="16"/>
  <c r="CS78" i="16"/>
  <c r="CS88" i="16"/>
  <c r="ER11" i="12"/>
  <c r="ER31" i="12"/>
  <c r="ER40" i="12"/>
  <c r="ER43" i="12"/>
  <c r="ER110" i="12"/>
  <c r="ER115" i="12"/>
  <c r="BT7" i="21"/>
  <c r="BT16" i="21"/>
  <c r="BT17" i="21"/>
  <c r="BT22" i="21"/>
  <c r="BT35" i="21"/>
  <c r="BT42" i="21"/>
  <c r="CS19" i="16"/>
  <c r="CS48" i="16"/>
  <c r="CS49" i="16"/>
  <c r="CS79" i="16"/>
  <c r="ER6" i="12"/>
  <c r="ER22" i="12"/>
  <c r="ER34" i="12"/>
  <c r="ER47" i="12"/>
  <c r="ER51" i="12"/>
  <c r="ER58" i="12"/>
  <c r="ER66" i="12"/>
  <c r="ER71" i="12"/>
  <c r="ER73" i="12"/>
  <c r="ER80" i="12"/>
  <c r="ER85" i="12"/>
  <c r="ER92" i="12"/>
  <c r="ER95" i="12"/>
  <c r="ER100" i="12"/>
  <c r="ER123" i="12"/>
  <c r="ER128" i="12"/>
  <c r="ER133" i="12"/>
  <c r="BT6" i="21"/>
  <c r="BT34" i="21"/>
  <c r="BT41" i="21"/>
  <c r="CS20" i="16"/>
  <c r="CS21" i="16"/>
  <c r="CS22" i="16"/>
  <c r="CS23" i="16"/>
  <c r="CS50" i="16"/>
  <c r="CS80" i="16"/>
  <c r="ER49" i="12"/>
  <c r="ER60" i="12"/>
  <c r="ER62" i="12"/>
  <c r="ER105" i="12"/>
  <c r="ER136" i="12"/>
  <c r="BT13" i="21"/>
  <c r="BT40" i="21"/>
  <c r="CS24" i="16"/>
  <c r="CS25" i="16"/>
  <c r="CS26" i="16"/>
  <c r="CS27" i="16"/>
  <c r="CS51" i="16"/>
  <c r="CS52" i="16"/>
  <c r="CS53" i="16"/>
  <c r="ER14" i="12"/>
  <c r="ER18" i="12"/>
  <c r="ER19" i="12"/>
  <c r="ER38" i="12"/>
  <c r="ER45" i="12"/>
  <c r="ER54" i="12"/>
  <c r="ER56" i="12"/>
  <c r="ER64" i="12"/>
  <c r="ER69" i="12"/>
  <c r="ER88" i="12"/>
  <c r="ER90" i="12"/>
  <c r="ER103" i="12"/>
  <c r="ER113" i="12"/>
  <c r="ER118" i="12"/>
  <c r="ER131" i="12"/>
  <c r="BT5" i="21"/>
  <c r="BT21" i="21"/>
  <c r="CS28" i="16"/>
  <c r="CS29" i="16"/>
  <c r="CS54" i="16"/>
  <c r="CS55" i="16"/>
  <c r="CS56" i="16"/>
  <c r="CS57" i="16"/>
  <c r="CS58" i="16"/>
  <c r="EQ21" i="12"/>
  <c r="EQ23" i="12"/>
  <c r="EQ31" i="12"/>
  <c r="EQ33" i="12"/>
  <c r="EQ36" i="12"/>
  <c r="EQ37" i="12"/>
  <c r="EQ43" i="12"/>
  <c r="EQ46" i="12"/>
  <c r="EQ54" i="12"/>
  <c r="EQ69" i="12"/>
  <c r="EQ71" i="12"/>
  <c r="EQ75" i="12"/>
  <c r="EQ85" i="12"/>
  <c r="EQ87" i="12"/>
  <c r="EQ91" i="12"/>
  <c r="EQ93" i="12"/>
  <c r="EQ119" i="12"/>
  <c r="EQ132" i="12"/>
  <c r="EQ134" i="12"/>
  <c r="BS14" i="21"/>
  <c r="BS18" i="21"/>
  <c r="BS27" i="21"/>
  <c r="BS38" i="21"/>
  <c r="CR5" i="16"/>
  <c r="CR6" i="16"/>
  <c r="CR7" i="16"/>
  <c r="CR8" i="16"/>
  <c r="CR18" i="16"/>
  <c r="CR29" i="16"/>
  <c r="CR39" i="16"/>
  <c r="CR49" i="16"/>
  <c r="CR70" i="16"/>
  <c r="CR74" i="16"/>
  <c r="CR80" i="16"/>
  <c r="CR86" i="16"/>
  <c r="CR90" i="16"/>
  <c r="EQ35" i="12"/>
  <c r="EQ41" i="12"/>
  <c r="EQ56" i="12"/>
  <c r="EQ65" i="12"/>
  <c r="EQ83" i="12"/>
  <c r="EQ111" i="12"/>
  <c r="EQ115" i="12"/>
  <c r="EQ124" i="12"/>
  <c r="EQ128" i="12"/>
  <c r="CR92" i="16"/>
  <c r="EQ6" i="12"/>
  <c r="EQ8" i="12"/>
  <c r="EQ15" i="12"/>
  <c r="EQ18" i="12"/>
  <c r="EQ29" i="12"/>
  <c r="EQ50" i="12"/>
  <c r="EQ77" i="12"/>
  <c r="EQ79" i="12"/>
  <c r="EQ100" i="12"/>
  <c r="EQ104" i="12"/>
  <c r="EQ113" i="12"/>
  <c r="EQ126" i="12"/>
  <c r="EQ137" i="12"/>
  <c r="BS34" i="21"/>
  <c r="BS35" i="21"/>
  <c r="BS36" i="21"/>
  <c r="CR11" i="16"/>
  <c r="CR21" i="16"/>
  <c r="CR31" i="16"/>
  <c r="CR52" i="16"/>
  <c r="CR62" i="16"/>
  <c r="CR72" i="16"/>
  <c r="CR93" i="16"/>
  <c r="AL29" i="26"/>
  <c r="EQ10" i="12"/>
  <c r="EQ19" i="12"/>
  <c r="EQ28" i="12"/>
  <c r="EQ34" i="12"/>
  <c r="EQ39" i="12"/>
  <c r="EQ60" i="12"/>
  <c r="EQ96" i="12"/>
  <c r="EQ98" i="12"/>
  <c r="EQ109" i="12"/>
  <c r="EQ122" i="12"/>
  <c r="BS11" i="21"/>
  <c r="BS12" i="21"/>
  <c r="BS23" i="21"/>
  <c r="BS24" i="21"/>
  <c r="CR22" i="16"/>
  <c r="CR32" i="16"/>
  <c r="CR42" i="16"/>
  <c r="CR53" i="16"/>
  <c r="CR63" i="16"/>
  <c r="CR73" i="16"/>
  <c r="CR76" i="16"/>
  <c r="CR82" i="16"/>
  <c r="CR88" i="16"/>
  <c r="EQ16" i="12"/>
  <c r="EQ22" i="12"/>
  <c r="EQ24" i="12"/>
  <c r="EQ27" i="12"/>
  <c r="EQ45" i="12"/>
  <c r="EQ47" i="12"/>
  <c r="EQ86" i="12"/>
  <c r="EQ88" i="12"/>
  <c r="EQ94" i="12"/>
  <c r="EQ120" i="12"/>
  <c r="EQ135" i="12"/>
  <c r="BS33" i="21"/>
  <c r="CR12" i="16"/>
  <c r="CR23" i="16"/>
  <c r="CR33" i="16"/>
  <c r="CR43" i="16"/>
  <c r="CR64" i="16"/>
  <c r="CR94" i="16"/>
  <c r="EQ11" i="12"/>
  <c r="EQ12" i="12"/>
  <c r="EQ26" i="12"/>
  <c r="EQ30" i="12"/>
  <c r="EQ62" i="12"/>
  <c r="EQ68" i="12"/>
  <c r="EQ70" i="12"/>
  <c r="EQ72" i="12"/>
  <c r="EQ74" i="12"/>
  <c r="EQ107" i="12"/>
  <c r="EQ131" i="12"/>
  <c r="EQ133" i="12"/>
  <c r="BS22" i="21"/>
  <c r="BS32" i="21"/>
  <c r="CR13" i="16"/>
  <c r="CR34" i="16"/>
  <c r="CR44" i="16"/>
  <c r="CR54" i="16"/>
  <c r="CR65" i="16"/>
  <c r="CR77" i="16"/>
  <c r="CR83" i="16"/>
  <c r="CR95" i="16"/>
  <c r="AL8" i="26"/>
  <c r="EQ3" i="12"/>
  <c r="EQ4" i="12"/>
  <c r="EQ13" i="12"/>
  <c r="EQ20" i="12"/>
  <c r="EQ32" i="12"/>
  <c r="EQ42" i="12"/>
  <c r="EQ49" i="12"/>
  <c r="EQ53" i="12"/>
  <c r="EQ76" i="12"/>
  <c r="EQ82" i="12"/>
  <c r="EQ84" i="12"/>
  <c r="EQ90" i="12"/>
  <c r="EQ92" i="12"/>
  <c r="EQ103" i="12"/>
  <c r="EQ116" i="12"/>
  <c r="EQ118" i="12"/>
  <c r="AB43" i="21"/>
  <c r="AC43" i="21" s="1"/>
  <c r="CR14" i="16"/>
  <c r="CR24" i="16"/>
  <c r="CR35" i="16"/>
  <c r="CR45" i="16"/>
  <c r="CR55" i="16"/>
  <c r="CR96" i="16"/>
  <c r="EQ51" i="12"/>
  <c r="EQ57" i="12"/>
  <c r="EQ64" i="12"/>
  <c r="EQ66" i="12"/>
  <c r="EQ80" i="12"/>
  <c r="EQ101" i="12"/>
  <c r="EQ105" i="12"/>
  <c r="EQ125" i="12"/>
  <c r="EQ129" i="12"/>
  <c r="EQ138" i="12"/>
  <c r="BS20" i="21"/>
  <c r="BS21" i="21"/>
  <c r="BS31" i="21"/>
  <c r="CR15" i="16"/>
  <c r="CR25" i="16"/>
  <c r="CR46" i="16"/>
  <c r="CR56" i="16"/>
  <c r="CR66" i="16"/>
  <c r="CR78" i="16"/>
  <c r="CR84" i="16"/>
  <c r="CR97" i="16"/>
  <c r="AL14" i="26"/>
  <c r="EQ17" i="12"/>
  <c r="EQ40" i="12"/>
  <c r="EQ44" i="12"/>
  <c r="EQ55" i="12"/>
  <c r="EQ97" i="12"/>
  <c r="EQ110" i="12"/>
  <c r="EQ114" i="12"/>
  <c r="EQ123" i="12"/>
  <c r="EQ127" i="12"/>
  <c r="BS30" i="21"/>
  <c r="BS43" i="21"/>
  <c r="CR16" i="16"/>
  <c r="CR26" i="16"/>
  <c r="CR36" i="16"/>
  <c r="CR47" i="16"/>
  <c r="CR57" i="16"/>
  <c r="CR67" i="16"/>
  <c r="CR98" i="16"/>
  <c r="AL20" i="26"/>
  <c r="EQ7" i="12"/>
  <c r="EQ38" i="12"/>
  <c r="EQ59" i="12"/>
  <c r="EQ61" i="12"/>
  <c r="EQ78" i="12"/>
  <c r="EQ89" i="12"/>
  <c r="EQ95" i="12"/>
  <c r="EQ99" i="12"/>
  <c r="EQ112" i="12"/>
  <c r="BS19" i="21"/>
  <c r="BS39" i="21"/>
  <c r="BS40" i="21"/>
  <c r="BS41" i="21"/>
  <c r="CR3" i="16"/>
  <c r="CR17" i="16"/>
  <c r="CR27" i="16"/>
  <c r="CR37" i="16"/>
  <c r="CR58" i="16"/>
  <c r="CR68" i="16"/>
  <c r="CR79" i="16"/>
  <c r="CR85" i="16"/>
  <c r="B18" i="22"/>
  <c r="B21" i="22"/>
  <c r="B17" i="22"/>
  <c r="B61" i="22" s="1"/>
  <c r="B67" i="22" s="1"/>
  <c r="F21" i="22"/>
  <c r="DW42" i="12"/>
  <c r="EK42" i="12" s="1"/>
  <c r="AT25" i="12"/>
  <c r="AV25" i="12" s="1"/>
  <c r="AO43" i="12"/>
  <c r="AW43" i="12" s="1"/>
  <c r="DX50" i="12"/>
  <c r="EL50" i="12" s="1"/>
  <c r="DV44" i="12"/>
  <c r="DZ58" i="12"/>
  <c r="EN58" i="12" s="1"/>
  <c r="DX76" i="12"/>
  <c r="EL76" i="12" s="1"/>
  <c r="AT82" i="12"/>
  <c r="AV82" i="12" s="1"/>
  <c r="DT56" i="12"/>
  <c r="EI56" i="12" s="1"/>
  <c r="EC56" i="12"/>
  <c r="DS76" i="12"/>
  <c r="DT115" i="12"/>
  <c r="EI115" i="12" s="1"/>
  <c r="DQ135" i="12"/>
  <c r="AT88" i="12"/>
  <c r="AV88" i="12" s="1"/>
  <c r="DS56" i="12"/>
  <c r="DL5" i="12"/>
  <c r="AS40" i="12"/>
  <c r="EC67" i="12"/>
  <c r="DQ88" i="12"/>
  <c r="T91" i="12"/>
  <c r="U91" i="12" s="1"/>
  <c r="W91" i="12" s="1"/>
  <c r="T105" i="12"/>
  <c r="U105" i="12" s="1"/>
  <c r="W105" i="12" s="1"/>
  <c r="DR132" i="12"/>
  <c r="DY47" i="12"/>
  <c r="EM47" i="12" s="1"/>
  <c r="DM5" i="12"/>
  <c r="K128" i="12"/>
  <c r="DZ132" i="12"/>
  <c r="Z63" i="12"/>
  <c r="AA63" i="12" s="1"/>
  <c r="Z71" i="12"/>
  <c r="AC71" i="12" s="1"/>
  <c r="AD71" i="12" s="1"/>
  <c r="AO76" i="12"/>
  <c r="AR76" i="12" s="1"/>
  <c r="EF100" i="12"/>
  <c r="AO121" i="12"/>
  <c r="AP121" i="12" s="1"/>
  <c r="DT128" i="12"/>
  <c r="EI128" i="12" s="1"/>
  <c r="AS135" i="12"/>
  <c r="DL20" i="12"/>
  <c r="DV90" i="12"/>
  <c r="EF104" i="12"/>
  <c r="EF108" i="12"/>
  <c r="DS112" i="12"/>
  <c r="ED116" i="12"/>
  <c r="DP92" i="12"/>
  <c r="DY106" i="12"/>
  <c r="EM106" i="12" s="1"/>
  <c r="EA5" i="12"/>
  <c r="EE5" i="12"/>
  <c r="DV5" i="12"/>
  <c r="DU31" i="12"/>
  <c r="DV31" i="12"/>
  <c r="EF41" i="12"/>
  <c r="EB41" i="12"/>
  <c r="DQ41" i="12"/>
  <c r="DP41" i="12"/>
  <c r="G20" i="18"/>
  <c r="G29" i="18"/>
  <c r="AB37" i="18"/>
  <c r="G54" i="18"/>
  <c r="G73" i="18"/>
  <c r="G83" i="18"/>
  <c r="DX3" i="12"/>
  <c r="EL3" i="12" s="1"/>
  <c r="K5" i="12"/>
  <c r="T5" i="12" s="1"/>
  <c r="U5" i="12" s="1"/>
  <c r="O8" i="12"/>
  <c r="O9" i="12"/>
  <c r="H14" i="12"/>
  <c r="DK14" i="12" s="1"/>
  <c r="H16" i="12"/>
  <c r="DM16" i="12" s="1"/>
  <c r="O44" i="12"/>
  <c r="AK56" i="12"/>
  <c r="AI79" i="12"/>
  <c r="AJ108" i="12"/>
  <c r="E22" i="12"/>
  <c r="G22" i="18"/>
  <c r="AB75" i="18"/>
  <c r="AB85" i="18"/>
  <c r="G96" i="18"/>
  <c r="H6" i="12"/>
  <c r="DM6" i="12" s="1"/>
  <c r="AJ10" i="12"/>
  <c r="E11" i="12"/>
  <c r="P14" i="12"/>
  <c r="P16" i="12"/>
  <c r="AI17" i="12"/>
  <c r="AH24" i="12"/>
  <c r="EF49" i="12"/>
  <c r="DT49" i="12"/>
  <c r="EI49" i="12" s="1"/>
  <c r="AH50" i="12"/>
  <c r="P52" i="12"/>
  <c r="P54" i="12"/>
  <c r="DY68" i="12"/>
  <c r="EM68" i="12" s="1"/>
  <c r="DO68" i="12"/>
  <c r="E31" i="12"/>
  <c r="E30" i="12"/>
  <c r="G76" i="18"/>
  <c r="G87" i="18"/>
  <c r="G97" i="18"/>
  <c r="AH8" i="12"/>
  <c r="AK10" i="12"/>
  <c r="T11" i="12"/>
  <c r="U11" i="12" s="1"/>
  <c r="AN11" i="12" s="1"/>
  <c r="AJ17" i="12"/>
  <c r="G18" i="12"/>
  <c r="O22" i="12"/>
  <c r="H25" i="12"/>
  <c r="DJ25" i="12" s="1"/>
  <c r="DI25" i="12" s="1"/>
  <c r="G23" i="18"/>
  <c r="G15" i="18"/>
  <c r="G24" i="18"/>
  <c r="G33" i="18"/>
  <c r="G58" i="18"/>
  <c r="G67" i="18"/>
  <c r="AB87" i="18"/>
  <c r="P6" i="12"/>
  <c r="AJ7" i="12"/>
  <c r="AJ8" i="12"/>
  <c r="AI9" i="12"/>
  <c r="AS12" i="12"/>
  <c r="AT12" i="12"/>
  <c r="AV12" i="12" s="1"/>
  <c r="EF18" i="12"/>
  <c r="EE18" i="12"/>
  <c r="P22" i="12"/>
  <c r="L30" i="12"/>
  <c r="DO30" i="12" s="1"/>
  <c r="AJ35" i="12"/>
  <c r="AB15" i="18"/>
  <c r="G25" i="18"/>
  <c r="AB33" i="18"/>
  <c r="G49" i="18"/>
  <c r="G59" i="18"/>
  <c r="AB67" i="18"/>
  <c r="G88" i="18"/>
  <c r="AK7" i="12"/>
  <c r="AK9" i="12"/>
  <c r="E15" i="12"/>
  <c r="E17" i="12"/>
  <c r="H34" i="12"/>
  <c r="DM34" i="12" s="1"/>
  <c r="AK35" i="12"/>
  <c r="AH43" i="12"/>
  <c r="O48" i="12"/>
  <c r="AJ58" i="12"/>
  <c r="AH61" i="12"/>
  <c r="ED107" i="12"/>
  <c r="DZ107" i="12"/>
  <c r="K107" i="12"/>
  <c r="EB107" i="12"/>
  <c r="G16" i="18"/>
  <c r="AB25" i="18"/>
  <c r="G34" i="18"/>
  <c r="AB49" i="18"/>
  <c r="G60" i="18"/>
  <c r="G79" i="18"/>
  <c r="DQ11" i="12"/>
  <c r="ED11" i="12"/>
  <c r="AH14" i="12"/>
  <c r="AK16" i="12"/>
  <c r="F17" i="12"/>
  <c r="Z17" i="12" s="1"/>
  <c r="AC17" i="12" s="1"/>
  <c r="AD17" i="12" s="1"/>
  <c r="O18" i="12"/>
  <c r="AH23" i="12"/>
  <c r="P25" i="12"/>
  <c r="AJ26" i="12"/>
  <c r="O30" i="12"/>
  <c r="H32" i="12"/>
  <c r="DL32" i="12" s="1"/>
  <c r="EA34" i="12"/>
  <c r="EF34" i="12"/>
  <c r="DU34" i="12"/>
  <c r="DR34" i="12"/>
  <c r="P48" i="12"/>
  <c r="DS60" i="12"/>
  <c r="DY60" i="12"/>
  <c r="EM60" i="12" s="1"/>
  <c r="DW60" i="12"/>
  <c r="EK60" i="12" s="1"/>
  <c r="AI61" i="12"/>
  <c r="AO80" i="12"/>
  <c r="H81" i="12"/>
  <c r="DJ81" i="12" s="1"/>
  <c r="DI81" i="12" s="1"/>
  <c r="H17" i="12"/>
  <c r="DJ17" i="12" s="1"/>
  <c r="DI17" i="12" s="1"/>
  <c r="P18" i="12"/>
  <c r="AI23" i="12"/>
  <c r="AK26" i="12"/>
  <c r="P30" i="12"/>
  <c r="AI14" i="12"/>
  <c r="G9" i="18"/>
  <c r="G18" i="18"/>
  <c r="G27" i="18"/>
  <c r="AB51" i="18"/>
  <c r="G101" i="18"/>
  <c r="EC5" i="12"/>
  <c r="AJ6" i="12"/>
  <c r="H8" i="12"/>
  <c r="DK8" i="12" s="1"/>
  <c r="H9" i="12"/>
  <c r="DM9" i="12" s="1"/>
  <c r="O10" i="12"/>
  <c r="AL13" i="12"/>
  <c r="DK13" i="12"/>
  <c r="AH22" i="12"/>
  <c r="H24" i="12"/>
  <c r="DM24" i="12" s="1"/>
  <c r="G36" i="21"/>
  <c r="H28" i="21"/>
  <c r="G21" i="21"/>
  <c r="H15" i="21"/>
  <c r="G8" i="21"/>
  <c r="H7" i="21"/>
  <c r="AK138" i="12"/>
  <c r="AH125" i="12"/>
  <c r="AH124" i="12"/>
  <c r="AI123" i="12"/>
  <c r="AK122" i="12"/>
  <c r="AI116" i="12"/>
  <c r="H115" i="12"/>
  <c r="DM115" i="12" s="1"/>
  <c r="AH107" i="12"/>
  <c r="AI101" i="12"/>
  <c r="AK100" i="12"/>
  <c r="H100" i="12"/>
  <c r="DL100" i="12" s="1"/>
  <c r="P99" i="12"/>
  <c r="AJ97" i="12"/>
  <c r="AI94" i="12"/>
  <c r="H89" i="12"/>
  <c r="G28" i="21"/>
  <c r="G15" i="21"/>
  <c r="H14" i="21"/>
  <c r="G7" i="21"/>
  <c r="H6" i="21"/>
  <c r="AJ139" i="12"/>
  <c r="AJ138" i="12"/>
  <c r="AJ137" i="12"/>
  <c r="H135" i="12"/>
  <c r="P126" i="12"/>
  <c r="AH123" i="12"/>
  <c r="AJ122" i="12"/>
  <c r="AH116" i="12"/>
  <c r="AK115" i="12"/>
  <c r="H114" i="12"/>
  <c r="DK114" i="12" s="1"/>
  <c r="H111" i="12"/>
  <c r="AK105" i="12"/>
  <c r="AH102" i="12"/>
  <c r="AH101" i="12"/>
  <c r="AJ100" i="12"/>
  <c r="O99" i="12"/>
  <c r="AI97" i="12"/>
  <c r="AH93" i="12"/>
  <c r="AH83" i="12"/>
  <c r="AK82" i="12"/>
  <c r="AK81" i="12"/>
  <c r="H80" i="12"/>
  <c r="DK80" i="12" s="1"/>
  <c r="H79" i="12"/>
  <c r="O78" i="12"/>
  <c r="AH75" i="12"/>
  <c r="H70" i="12"/>
  <c r="DK70" i="12" s="1"/>
  <c r="P68" i="12"/>
  <c r="AI65" i="12"/>
  <c r="G41" i="21"/>
  <c r="H40" i="21"/>
  <c r="G35" i="21"/>
  <c r="H27" i="21"/>
  <c r="H20" i="21"/>
  <c r="G14" i="21"/>
  <c r="H13" i="21"/>
  <c r="G6" i="21"/>
  <c r="H5" i="21"/>
  <c r="AI139" i="12"/>
  <c r="AI138" i="12"/>
  <c r="AI137" i="12"/>
  <c r="AI136" i="12"/>
  <c r="AK135" i="12"/>
  <c r="H134" i="12"/>
  <c r="DJ134" i="12" s="1"/>
  <c r="DI134" i="12" s="1"/>
  <c r="AJ128" i="12"/>
  <c r="P120" i="12"/>
  <c r="P119" i="12"/>
  <c r="P118" i="12"/>
  <c r="AJ115" i="12"/>
  <c r="AK114" i="12"/>
  <c r="P113" i="12"/>
  <c r="AK111" i="12"/>
  <c r="AJ105" i="12"/>
  <c r="H105" i="12"/>
  <c r="DM105" i="12" s="1"/>
  <c r="AI100" i="12"/>
  <c r="AH97" i="12"/>
  <c r="P96" i="12"/>
  <c r="O91" i="12"/>
  <c r="H88" i="12"/>
  <c r="DM88" i="12" s="1"/>
  <c r="AK79" i="12"/>
  <c r="AH74" i="12"/>
  <c r="AI73" i="12"/>
  <c r="AJ71" i="12"/>
  <c r="AK70" i="12"/>
  <c r="O68" i="12"/>
  <c r="G40" i="21"/>
  <c r="G27" i="21"/>
  <c r="G20" i="21"/>
  <c r="H19" i="21"/>
  <c r="G13" i="21"/>
  <c r="G5" i="21"/>
  <c r="AH139" i="12"/>
  <c r="AH138" i="12"/>
  <c r="AH137" i="12"/>
  <c r="AH136" i="12"/>
  <c r="AK134" i="12"/>
  <c r="AI128" i="12"/>
  <c r="AJ127" i="12"/>
  <c r="AH122" i="12"/>
  <c r="AK121" i="12"/>
  <c r="O120" i="12"/>
  <c r="O119" i="12"/>
  <c r="H26" i="21"/>
  <c r="G19" i="21"/>
  <c r="H18" i="21"/>
  <c r="AK133" i="12"/>
  <c r="O132" i="12"/>
  <c r="O131" i="12"/>
  <c r="O130" i="12"/>
  <c r="AH128" i="12"/>
  <c r="AI127" i="12"/>
  <c r="P124" i="12"/>
  <c r="AI111" i="12"/>
  <c r="AI110" i="12"/>
  <c r="AI109" i="12"/>
  <c r="P107" i="12"/>
  <c r="AH105" i="12"/>
  <c r="O104" i="12"/>
  <c r="AK96" i="12"/>
  <c r="AJ88" i="12"/>
  <c r="AK87" i="12"/>
  <c r="H39" i="21"/>
  <c r="H33" i="21"/>
  <c r="G26" i="21"/>
  <c r="H25" i="21"/>
  <c r="G18" i="21"/>
  <c r="H12" i="21"/>
  <c r="G25" i="21"/>
  <c r="G12" i="21"/>
  <c r="H11" i="21"/>
  <c r="G4" i="21"/>
  <c r="AH134" i="12"/>
  <c r="AI133" i="12"/>
  <c r="P129" i="12"/>
  <c r="P123" i="12"/>
  <c r="O116" i="12"/>
  <c r="H113" i="12"/>
  <c r="DM113" i="12" s="1"/>
  <c r="AK108" i="12"/>
  <c r="O102" i="12"/>
  <c r="O101" i="12"/>
  <c r="AJ99" i="12"/>
  <c r="P97" i="12"/>
  <c r="AH92" i="12"/>
  <c r="AJ91" i="12"/>
  <c r="AH88" i="12"/>
  <c r="AI87" i="12"/>
  <c r="AJ86" i="12"/>
  <c r="AK85" i="12"/>
  <c r="O83" i="12"/>
  <c r="AI72" i="12"/>
  <c r="H43" i="21"/>
  <c r="H38" i="21"/>
  <c r="G32" i="21"/>
  <c r="H17" i="21"/>
  <c r="G11" i="21"/>
  <c r="P138" i="12"/>
  <c r="H131" i="12"/>
  <c r="H130" i="12"/>
  <c r="DL130" i="12" s="1"/>
  <c r="O129" i="12"/>
  <c r="AI126" i="12"/>
  <c r="O123" i="12"/>
  <c r="P122" i="12"/>
  <c r="G43" i="21"/>
  <c r="H31" i="21"/>
  <c r="H29" i="21"/>
  <c r="H24" i="21"/>
  <c r="G17" i="21"/>
  <c r="H10" i="21"/>
  <c r="O139" i="12"/>
  <c r="O138" i="12"/>
  <c r="O137" i="12"/>
  <c r="AK132" i="12"/>
  <c r="H125" i="12"/>
  <c r="H124" i="12"/>
  <c r="DK124" i="12" s="1"/>
  <c r="O122" i="12"/>
  <c r="AJ120" i="12"/>
  <c r="AJ119" i="12"/>
  <c r="AJ118" i="12"/>
  <c r="H117" i="12"/>
  <c r="DK117" i="12" s="1"/>
  <c r="O106" i="12"/>
  <c r="AJ104" i="12"/>
  <c r="H103" i="12"/>
  <c r="O100" i="12"/>
  <c r="AH99" i="12"/>
  <c r="AK98" i="12"/>
  <c r="H95" i="12"/>
  <c r="AL95" i="12" s="1"/>
  <c r="AI85" i="12"/>
  <c r="AK84" i="12"/>
  <c r="H84" i="12"/>
  <c r="DK84" i="12" s="1"/>
  <c r="P82" i="12"/>
  <c r="P81" i="12"/>
  <c r="AJ77" i="12"/>
  <c r="G37" i="21"/>
  <c r="G31" i="21"/>
  <c r="G29" i="21"/>
  <c r="G24" i="21"/>
  <c r="H23" i="21"/>
  <c r="H16" i="21"/>
  <c r="G10" i="21"/>
  <c r="P135" i="12"/>
  <c r="AJ132" i="12"/>
  <c r="AJ131" i="12"/>
  <c r="AJ130" i="12"/>
  <c r="P127" i="12"/>
  <c r="AI118" i="12"/>
  <c r="AJ117" i="12"/>
  <c r="O115" i="12"/>
  <c r="P114" i="12"/>
  <c r="AI113" i="12"/>
  <c r="P111" i="12"/>
  <c r="P109" i="12"/>
  <c r="AK103" i="12"/>
  <c r="H102" i="12"/>
  <c r="H101" i="12"/>
  <c r="DJ101" i="12" s="1"/>
  <c r="DI101" i="12" s="1"/>
  <c r="AJ98" i="12"/>
  <c r="H98" i="12"/>
  <c r="DL98" i="12" s="1"/>
  <c r="AJ95" i="12"/>
  <c r="AJ90" i="12"/>
  <c r="O82" i="12"/>
  <c r="O81" i="12"/>
  <c r="P80" i="12"/>
  <c r="P79" i="12"/>
  <c r="AI77" i="12"/>
  <c r="H75" i="12"/>
  <c r="DL75" i="12" s="1"/>
  <c r="P70" i="12"/>
  <c r="AH63" i="12"/>
  <c r="AK59" i="12"/>
  <c r="P58" i="12"/>
  <c r="P57" i="12"/>
  <c r="AI56" i="12"/>
  <c r="AJ55" i="12"/>
  <c r="O53" i="12"/>
  <c r="H30" i="21"/>
  <c r="G23" i="21"/>
  <c r="H22" i="21"/>
  <c r="G16" i="21"/>
  <c r="H9" i="21"/>
  <c r="O135" i="12"/>
  <c r="P134" i="12"/>
  <c r="AI132" i="12"/>
  <c r="AI131" i="12"/>
  <c r="H129" i="12"/>
  <c r="DM129" i="12" s="1"/>
  <c r="H123" i="12"/>
  <c r="DM123" i="12" s="1"/>
  <c r="P121" i="12"/>
  <c r="AH120" i="12"/>
  <c r="AH119" i="12"/>
  <c r="AH118" i="12"/>
  <c r="AI117" i="12"/>
  <c r="H116" i="12"/>
  <c r="AL116" i="12" s="1"/>
  <c r="O109" i="12"/>
  <c r="AJ107" i="12"/>
  <c r="P105" i="12"/>
  <c r="AH104" i="12"/>
  <c r="AJ103" i="12"/>
  <c r="AK102" i="12"/>
  <c r="AI98" i="12"/>
  <c r="H93" i="12"/>
  <c r="DM93" i="12" s="1"/>
  <c r="P92" i="12"/>
  <c r="AI90" i="12"/>
  <c r="G42" i="21"/>
  <c r="H36" i="21"/>
  <c r="G30" i="21"/>
  <c r="G22" i="21"/>
  <c r="H21" i="21"/>
  <c r="G9" i="21"/>
  <c r="H8" i="21"/>
  <c r="H137" i="12"/>
  <c r="H136" i="12"/>
  <c r="DJ136" i="12" s="1"/>
  <c r="DI136" i="12" s="1"/>
  <c r="O134" i="12"/>
  <c r="P133" i="12"/>
  <c r="AH132" i="12"/>
  <c r="AH131" i="12"/>
  <c r="AK129" i="12"/>
  <c r="O121" i="12"/>
  <c r="AH117" i="12"/>
  <c r="AJ116" i="12"/>
  <c r="AK112" i="12"/>
  <c r="H112" i="12"/>
  <c r="DM112" i="12" s="1"/>
  <c r="AI107" i="12"/>
  <c r="AI103" i="12"/>
  <c r="AH95" i="12"/>
  <c r="AJ94" i="12"/>
  <c r="AJ93" i="12"/>
  <c r="O92" i="12"/>
  <c r="AH90" i="12"/>
  <c r="O88" i="12"/>
  <c r="AH84" i="12"/>
  <c r="P104" i="12"/>
  <c r="AH100" i="12"/>
  <c r="AH79" i="12"/>
  <c r="AK74" i="12"/>
  <c r="AK72" i="12"/>
  <c r="H68" i="12"/>
  <c r="DL68" i="12" s="1"/>
  <c r="H65" i="12"/>
  <c r="DM65" i="12" s="1"/>
  <c r="AJ56" i="12"/>
  <c r="AI55" i="12"/>
  <c r="H53" i="12"/>
  <c r="AL53" i="12" s="1"/>
  <c r="O52" i="12"/>
  <c r="O51" i="12"/>
  <c r="AK49" i="12"/>
  <c r="P46" i="12"/>
  <c r="AI35" i="12"/>
  <c r="AK34" i="12"/>
  <c r="AK33" i="12"/>
  <c r="AK32" i="12"/>
  <c r="AI22" i="12"/>
  <c r="O17" i="12"/>
  <c r="AI10" i="12"/>
  <c r="AJ9" i="12"/>
  <c r="AB72" i="18"/>
  <c r="AB66" i="18"/>
  <c r="AB60" i="18"/>
  <c r="AB54" i="18"/>
  <c r="AB42" i="18"/>
  <c r="AB30" i="18"/>
  <c r="AB18" i="18"/>
  <c r="H4" i="21"/>
  <c r="P116" i="12"/>
  <c r="AH111" i="12"/>
  <c r="AH106" i="12"/>
  <c r="O96" i="12"/>
  <c r="AK92" i="12"/>
  <c r="P86" i="12"/>
  <c r="AJ80" i="12"/>
  <c r="H67" i="12"/>
  <c r="H64" i="12"/>
  <c r="DL64" i="12" s="1"/>
  <c r="O63" i="12"/>
  <c r="AJ60" i="12"/>
  <c r="AH56" i="12"/>
  <c r="AH55" i="12"/>
  <c r="AJ49" i="12"/>
  <c r="H40" i="12"/>
  <c r="AL40" i="12" s="1"/>
  <c r="H39" i="12"/>
  <c r="AL39" i="12" s="1"/>
  <c r="AJ37" i="12"/>
  <c r="P36" i="12"/>
  <c r="AH35" i="12"/>
  <c r="AJ34" i="12"/>
  <c r="AJ33" i="12"/>
  <c r="AJ109" i="12"/>
  <c r="AK88" i="12"/>
  <c r="P83" i="12"/>
  <c r="AI80" i="12"/>
  <c r="AK76" i="12"/>
  <c r="AK75" i="12"/>
  <c r="AH72" i="12"/>
  <c r="AK66" i="12"/>
  <c r="AI49" i="12"/>
  <c r="H48" i="12"/>
  <c r="DL48" i="12" s="1"/>
  <c r="H44" i="12"/>
  <c r="DM44" i="12" s="1"/>
  <c r="P43" i="12"/>
  <c r="AI41" i="12"/>
  <c r="AJ40" i="12"/>
  <c r="P38" i="12"/>
  <c r="AI34" i="12"/>
  <c r="AI33" i="12"/>
  <c r="AI32" i="12"/>
  <c r="H31" i="12"/>
  <c r="DJ31" i="12" s="1"/>
  <c r="H30" i="12"/>
  <c r="DM30" i="12" s="1"/>
  <c r="O26" i="12"/>
  <c r="O25" i="12"/>
  <c r="P24" i="12"/>
  <c r="AK18" i="12"/>
  <c r="H18" i="12"/>
  <c r="DM18" i="12" s="1"/>
  <c r="O16" i="12"/>
  <c r="P15" i="12"/>
  <c r="AH9" i="12"/>
  <c r="AK8" i="12"/>
  <c r="O7" i="12"/>
  <c r="O6" i="12"/>
  <c r="AB101" i="18"/>
  <c r="AB95" i="18"/>
  <c r="AB89" i="18"/>
  <c r="AB83" i="18"/>
  <c r="AB71" i="18"/>
  <c r="AB29" i="18"/>
  <c r="AB23" i="18"/>
  <c r="AB17" i="18"/>
  <c r="AB11" i="18"/>
  <c r="AK126" i="12"/>
  <c r="AH109" i="12"/>
  <c r="H99" i="12"/>
  <c r="AL99" i="12" s="1"/>
  <c r="P78" i="12"/>
  <c r="P77" i="12"/>
  <c r="AI76" i="12"/>
  <c r="AJ75" i="12"/>
  <c r="P73" i="12"/>
  <c r="AJ69" i="12"/>
  <c r="AI66" i="12"/>
  <c r="AH60" i="12"/>
  <c r="H59" i="12"/>
  <c r="DM59" i="12" s="1"/>
  <c r="O57" i="12"/>
  <c r="AK54" i="12"/>
  <c r="AJ53" i="12"/>
  <c r="H52" i="12"/>
  <c r="AL52" i="12" s="1"/>
  <c r="AH49" i="12"/>
  <c r="AI40" i="12"/>
  <c r="AJ39" i="12"/>
  <c r="O38" i="12"/>
  <c r="AH37" i="12"/>
  <c r="AH34" i="12"/>
  <c r="AH33" i="12"/>
  <c r="AH32" i="12"/>
  <c r="AK31" i="12"/>
  <c r="AK30" i="12"/>
  <c r="O24" i="12"/>
  <c r="P23" i="12"/>
  <c r="P100" i="12"/>
  <c r="O97" i="12"/>
  <c r="AI81" i="12"/>
  <c r="O79" i="12"/>
  <c r="O77" i="12"/>
  <c r="AI75" i="12"/>
  <c r="AJ70" i="12"/>
  <c r="AJ65" i="12"/>
  <c r="AI64" i="12"/>
  <c r="AK63" i="12"/>
  <c r="H63" i="12"/>
  <c r="DM63" i="12" s="1"/>
  <c r="O61" i="12"/>
  <c r="O58" i="12"/>
  <c r="AI53" i="12"/>
  <c r="H47" i="12"/>
  <c r="H46" i="12"/>
  <c r="P45" i="12"/>
  <c r="AJ44" i="12"/>
  <c r="P42" i="12"/>
  <c r="AH40" i="12"/>
  <c r="AJ31" i="12"/>
  <c r="AJ30" i="12"/>
  <c r="O23" i="12"/>
  <c r="AI18" i="12"/>
  <c r="F18" i="12"/>
  <c r="AK17" i="12"/>
  <c r="G17" i="12"/>
  <c r="O14" i="12"/>
  <c r="AI8" i="12"/>
  <c r="AB100" i="18"/>
  <c r="AB94" i="18"/>
  <c r="AB82" i="18"/>
  <c r="AB46" i="18"/>
  <c r="AB34" i="18"/>
  <c r="AB28" i="18"/>
  <c r="AB22" i="18"/>
  <c r="AB16" i="18"/>
  <c r="AB10" i="18"/>
  <c r="AI115" i="12"/>
  <c r="AH81" i="12"/>
  <c r="O74" i="12"/>
  <c r="AI70" i="12"/>
  <c r="AH69" i="12"/>
  <c r="AJ68" i="12"/>
  <c r="AH67" i="12"/>
  <c r="AJ63" i="12"/>
  <c r="AH53" i="12"/>
  <c r="AJ52" i="12"/>
  <c r="AJ51" i="12"/>
  <c r="O50" i="12"/>
  <c r="AI48" i="12"/>
  <c r="AK47" i="12"/>
  <c r="O45" i="12"/>
  <c r="AI31" i="12"/>
  <c r="AI30" i="12"/>
  <c r="AJ133" i="12"/>
  <c r="O117" i="12"/>
  <c r="H91" i="12"/>
  <c r="DM91" i="12" s="1"/>
  <c r="H87" i="12"/>
  <c r="AL87" i="12" s="1"/>
  <c r="O84" i="12"/>
  <c r="AI63" i="12"/>
  <c r="H62" i="12"/>
  <c r="DM62" i="12" s="1"/>
  <c r="AI59" i="12"/>
  <c r="O56" i="12"/>
  <c r="O55" i="12"/>
  <c r="AH54" i="12"/>
  <c r="AI51" i="12"/>
  <c r="AK36" i="12"/>
  <c r="O35" i="12"/>
  <c r="AH31" i="12"/>
  <c r="AH30" i="12"/>
  <c r="AK118" i="12"/>
  <c r="AK113" i="12"/>
  <c r="AJ110" i="12"/>
  <c r="O80" i="12"/>
  <c r="H77" i="12"/>
  <c r="AL77" i="12" s="1"/>
  <c r="P76" i="12"/>
  <c r="H73" i="12"/>
  <c r="DM73" i="12" s="1"/>
  <c r="O72" i="12"/>
  <c r="AI71" i="12"/>
  <c r="H61" i="12"/>
  <c r="DK61" i="12" s="1"/>
  <c r="AH52" i="12"/>
  <c r="AH51" i="12"/>
  <c r="P49" i="12"/>
  <c r="AI47" i="12"/>
  <c r="AI46" i="12"/>
  <c r="AK43" i="12"/>
  <c r="P41" i="12"/>
  <c r="P34" i="12"/>
  <c r="P33" i="12"/>
  <c r="P32" i="12"/>
  <c r="AI26" i="12"/>
  <c r="AJ25" i="12"/>
  <c r="AK24" i="12"/>
  <c r="H23" i="12"/>
  <c r="DM23" i="12" s="1"/>
  <c r="AH17" i="12"/>
  <c r="AJ16" i="12"/>
  <c r="G16" i="12"/>
  <c r="AK15" i="12"/>
  <c r="H15" i="12"/>
  <c r="AH110" i="12"/>
  <c r="AI105" i="12"/>
  <c r="P101" i="12"/>
  <c r="AK99" i="12"/>
  <c r="AJ96" i="12"/>
  <c r="P95" i="12"/>
  <c r="H92" i="12"/>
  <c r="AL92" i="12" s="1"/>
  <c r="H74" i="12"/>
  <c r="DL74" i="12" s="1"/>
  <c r="AH71" i="12"/>
  <c r="P66" i="12"/>
  <c r="P65" i="12"/>
  <c r="AJ62" i="12"/>
  <c r="AK61" i="12"/>
  <c r="AK57" i="12"/>
  <c r="AH46" i="12"/>
  <c r="AJ43" i="12"/>
  <c r="H42" i="12"/>
  <c r="DK42" i="12" s="1"/>
  <c r="O41" i="12"/>
  <c r="AJ38" i="12"/>
  <c r="O37" i="12"/>
  <c r="O34" i="12"/>
  <c r="O33" i="12"/>
  <c r="O32" i="12"/>
  <c r="AH26" i="12"/>
  <c r="AI25" i="12"/>
  <c r="AJ24" i="12"/>
  <c r="AK23" i="12"/>
  <c r="AI16" i="12"/>
  <c r="F16" i="12"/>
  <c r="AS16" i="12" s="1"/>
  <c r="AJ15" i="12"/>
  <c r="G15" i="12"/>
  <c r="AK14" i="12"/>
  <c r="G14" i="12"/>
  <c r="AI7" i="12"/>
  <c r="AI6" i="12"/>
  <c r="AB86" i="18"/>
  <c r="AB80" i="18"/>
  <c r="AB74" i="18"/>
  <c r="AB68" i="18"/>
  <c r="AB62" i="18"/>
  <c r="AB56" i="18"/>
  <c r="AB44" i="18"/>
  <c r="AB20" i="18"/>
  <c r="AB14" i="18"/>
  <c r="AB8" i="18"/>
  <c r="G92" i="18"/>
  <c r="G80" i="18"/>
  <c r="G74" i="18"/>
  <c r="G56" i="18"/>
  <c r="AI99" i="12"/>
  <c r="AH82" i="12"/>
  <c r="AJ78" i="12"/>
  <c r="AK77" i="12"/>
  <c r="P69" i="12"/>
  <c r="P67" i="12"/>
  <c r="O66" i="12"/>
  <c r="O64" i="12"/>
  <c r="H56" i="12"/>
  <c r="DJ56" i="12" s="1"/>
  <c r="DI56" i="12" s="1"/>
  <c r="H55" i="12"/>
  <c r="DL55" i="12" s="1"/>
  <c r="P53" i="12"/>
  <c r="AJ50" i="12"/>
  <c r="AK45" i="12"/>
  <c r="H45" i="12"/>
  <c r="DL45" i="12" s="1"/>
  <c r="AK42" i="12"/>
  <c r="AH25" i="12"/>
  <c r="AI24" i="12"/>
  <c r="AJ23" i="12"/>
  <c r="H22" i="12"/>
  <c r="DM22" i="12" s="1"/>
  <c r="AH16" i="12"/>
  <c r="AI15" i="12"/>
  <c r="F15" i="12"/>
  <c r="AO15" i="12" s="1"/>
  <c r="AJ14" i="12"/>
  <c r="F14" i="12"/>
  <c r="H10" i="12"/>
  <c r="DK10" i="12" s="1"/>
  <c r="P8" i="12"/>
  <c r="AH7" i="12"/>
  <c r="AH6" i="12"/>
  <c r="G98" i="18"/>
  <c r="G86" i="18"/>
  <c r="G68" i="18"/>
  <c r="G62" i="18"/>
  <c r="G50" i="18"/>
  <c r="O124" i="12"/>
  <c r="AH78" i="12"/>
  <c r="AH77" i="12"/>
  <c r="H76" i="12"/>
  <c r="AK73" i="12"/>
  <c r="H72" i="12"/>
  <c r="DK72" i="12" s="1"/>
  <c r="O70" i="12"/>
  <c r="G17" i="18"/>
  <c r="G61" i="18"/>
  <c r="AB69" i="18"/>
  <c r="AB79" i="18"/>
  <c r="G90" i="18"/>
  <c r="G100" i="18"/>
  <c r="AB9" i="18"/>
  <c r="AB27" i="18"/>
  <c r="AB91" i="18"/>
  <c r="AK6" i="12"/>
  <c r="H7" i="12"/>
  <c r="DM7" i="12" s="1"/>
  <c r="P10" i="12"/>
  <c r="O15" i="12"/>
  <c r="DT18" i="12"/>
  <c r="EI18" i="12" s="1"/>
  <c r="AJ22" i="12"/>
  <c r="H41" i="12"/>
  <c r="DK41" i="12" s="1"/>
  <c r="E16" i="12"/>
  <c r="E24" i="12"/>
  <c r="DV27" i="12"/>
  <c r="ED50" i="12"/>
  <c r="DP59" i="12"/>
  <c r="ED76" i="12"/>
  <c r="EF76" i="12"/>
  <c r="E6" i="12"/>
  <c r="E7" i="12"/>
  <c r="EF7" i="12"/>
  <c r="E12" i="12"/>
  <c r="AO19" i="12"/>
  <c r="AQ19" i="12" s="1"/>
  <c r="L22" i="12"/>
  <c r="EE22" i="12" s="1"/>
  <c r="E25" i="12"/>
  <c r="E26" i="12"/>
  <c r="EC29" i="12"/>
  <c r="K45" i="12"/>
  <c r="EE47" i="12"/>
  <c r="DZ52" i="12"/>
  <c r="DQ59" i="12"/>
  <c r="Z62" i="12"/>
  <c r="AO62" i="12"/>
  <c r="EF84" i="12"/>
  <c r="T84" i="12"/>
  <c r="U84" i="12" s="1"/>
  <c r="AN84" i="12" s="1"/>
  <c r="DV117" i="12"/>
  <c r="DQ117" i="12"/>
  <c r="E27" i="12"/>
  <c r="AC40" i="12"/>
  <c r="AD40" i="12" s="1"/>
  <c r="EB59" i="12"/>
  <c r="DU71" i="12"/>
  <c r="Z108" i="12"/>
  <c r="AA108" i="12" s="1"/>
  <c r="AT108" i="12"/>
  <c r="AV108" i="12" s="1"/>
  <c r="AW108" i="12" s="1"/>
  <c r="AO108" i="12"/>
  <c r="AU108" i="12" s="1"/>
  <c r="Z114" i="12"/>
  <c r="AC114" i="12" s="1"/>
  <c r="AD114" i="12" s="1"/>
  <c r="AS114" i="12"/>
  <c r="E28" i="12"/>
  <c r="E29" i="12"/>
  <c r="AT36" i="12"/>
  <c r="AV36" i="12" s="1"/>
  <c r="DQ44" i="12"/>
  <c r="EF59" i="12"/>
  <c r="DV71" i="12"/>
  <c r="AO71" i="12"/>
  <c r="L6" i="12"/>
  <c r="EC6" i="12" s="1"/>
  <c r="E8" i="12"/>
  <c r="E13" i="12"/>
  <c r="DY44" i="12"/>
  <c r="EM44" i="12" s="1"/>
  <c r="ED63" i="12"/>
  <c r="DR63" i="12"/>
  <c r="AO69" i="12"/>
  <c r="AP69" i="12" s="1"/>
  <c r="AS69" i="12"/>
  <c r="AS71" i="12"/>
  <c r="ED96" i="12"/>
  <c r="T96" i="12"/>
  <c r="U96" i="12" s="1"/>
  <c r="W96" i="12" s="1"/>
  <c r="DY96" i="12"/>
  <c r="EM96" i="12" s="1"/>
  <c r="DR96" i="12"/>
  <c r="E32" i="12"/>
  <c r="E33" i="12"/>
  <c r="E34" i="12"/>
  <c r="T52" i="12"/>
  <c r="U52" i="12" s="1"/>
  <c r="W52" i="12" s="1"/>
  <c r="DV52" i="12"/>
  <c r="AT69" i="12"/>
  <c r="AV69" i="12" s="1"/>
  <c r="EE99" i="12"/>
  <c r="K99" i="12"/>
  <c r="DW99" i="12"/>
  <c r="EK99" i="12" s="1"/>
  <c r="DY113" i="12"/>
  <c r="EM113" i="12" s="1"/>
  <c r="DZ113" i="12"/>
  <c r="DU113" i="12"/>
  <c r="DR113" i="12"/>
  <c r="DP113" i="12"/>
  <c r="E10" i="12"/>
  <c r="EB45" i="12"/>
  <c r="DU96" i="12"/>
  <c r="DR99" i="12"/>
  <c r="EA120" i="12"/>
  <c r="DS120" i="12"/>
  <c r="Z96" i="12"/>
  <c r="K100" i="12"/>
  <c r="K106" i="12"/>
  <c r="DR8" i="21"/>
  <c r="DR21" i="21"/>
  <c r="DR29" i="21"/>
  <c r="DR41" i="21"/>
  <c r="AS122" i="12"/>
  <c r="DR22" i="21"/>
  <c r="DR28" i="21"/>
  <c r="EC104" i="12"/>
  <c r="DR9" i="21"/>
  <c r="DR23" i="21"/>
  <c r="DR30" i="21"/>
  <c r="DR36" i="21"/>
  <c r="BY5" i="16"/>
  <c r="BY76" i="16"/>
  <c r="BY80" i="16"/>
  <c r="BY84" i="16"/>
  <c r="BY88" i="16"/>
  <c r="BY89" i="16"/>
  <c r="BY95" i="16"/>
  <c r="DW133" i="12"/>
  <c r="EK133" i="12" s="1"/>
  <c r="DR16" i="21"/>
  <c r="DR37" i="21"/>
  <c r="DR42" i="21"/>
  <c r="BY6" i="16"/>
  <c r="BY13" i="16"/>
  <c r="BY19" i="16"/>
  <c r="BY25" i="16"/>
  <c r="BY31" i="16"/>
  <c r="BY37" i="16"/>
  <c r="BY43" i="16"/>
  <c r="BY49" i="16"/>
  <c r="BY55" i="16"/>
  <c r="BY61" i="16"/>
  <c r="BY67" i="16"/>
  <c r="BY73" i="16"/>
  <c r="DR10" i="21"/>
  <c r="DR31" i="21"/>
  <c r="BY7" i="16"/>
  <c r="BY90" i="16"/>
  <c r="BY96" i="16"/>
  <c r="DZ88" i="12"/>
  <c r="DX92" i="12"/>
  <c r="EL92" i="12" s="1"/>
  <c r="DV121" i="12"/>
  <c r="AR125" i="12"/>
  <c r="AT126" i="12"/>
  <c r="AV126" i="12" s="1"/>
  <c r="DR11" i="21"/>
  <c r="DR24" i="21"/>
  <c r="DR32" i="21"/>
  <c r="DR38" i="21"/>
  <c r="DR43" i="21"/>
  <c r="BY8" i="16"/>
  <c r="BY14" i="16"/>
  <c r="BY20" i="16"/>
  <c r="BY26" i="16"/>
  <c r="BY32" i="16"/>
  <c r="BY38" i="16"/>
  <c r="BY44" i="16"/>
  <c r="BY50" i="16"/>
  <c r="BY56" i="16"/>
  <c r="BY62" i="16"/>
  <c r="BY68" i="16"/>
  <c r="BY77" i="16"/>
  <c r="BY81" i="16"/>
  <c r="BY85" i="16"/>
  <c r="BY91" i="16"/>
  <c r="BY97" i="16"/>
  <c r="EB92" i="12"/>
  <c r="EC100" i="12"/>
  <c r="DX106" i="12"/>
  <c r="EL106" i="12" s="1"/>
  <c r="EE115" i="12"/>
  <c r="T123" i="12"/>
  <c r="U123" i="12" s="1"/>
  <c r="AN123" i="12" s="1"/>
  <c r="DR18" i="21"/>
  <c r="DR33" i="21"/>
  <c r="BY9" i="16"/>
  <c r="BY15" i="16"/>
  <c r="BY21" i="16"/>
  <c r="BY27" i="16"/>
  <c r="BY33" i="16"/>
  <c r="BY39" i="16"/>
  <c r="BY45" i="16"/>
  <c r="BY51" i="16"/>
  <c r="BY57" i="16"/>
  <c r="BY63" i="16"/>
  <c r="BY69" i="16"/>
  <c r="DW129" i="12"/>
  <c r="EK129" i="12" s="1"/>
  <c r="DR4" i="21"/>
  <c r="DR12" i="21"/>
  <c r="DR19" i="21"/>
  <c r="DR26" i="21"/>
  <c r="DR39" i="21"/>
  <c r="BY74" i="16"/>
  <c r="BY78" i="16"/>
  <c r="BY82" i="16"/>
  <c r="BY86" i="16"/>
  <c r="BY92" i="16"/>
  <c r="BY98" i="16"/>
  <c r="AS76" i="12"/>
  <c r="AT80" i="12"/>
  <c r="AV80" i="12" s="1"/>
  <c r="K92" i="12"/>
  <c r="AO96" i="12"/>
  <c r="DT112" i="12"/>
  <c r="EI112" i="12" s="1"/>
  <c r="DS123" i="12"/>
  <c r="EA129" i="12"/>
  <c r="DR5" i="21"/>
  <c r="DR13" i="21"/>
  <c r="DR34" i="21"/>
  <c r="DR40" i="21"/>
  <c r="BY10" i="16"/>
  <c r="BY16" i="16"/>
  <c r="BY22" i="16"/>
  <c r="BY28" i="16"/>
  <c r="BY34" i="16"/>
  <c r="BY40" i="16"/>
  <c r="BY46" i="16"/>
  <c r="BY52" i="16"/>
  <c r="BY58" i="16"/>
  <c r="BY64" i="16"/>
  <c r="BY70" i="16"/>
  <c r="DU112" i="12"/>
  <c r="BY93" i="16"/>
  <c r="BY99" i="16"/>
  <c r="ED112" i="12"/>
  <c r="AT138" i="12"/>
  <c r="AV138" i="12" s="1"/>
  <c r="DR7" i="21"/>
  <c r="DR20" i="21"/>
  <c r="BY3" i="16"/>
  <c r="BY11" i="16"/>
  <c r="BY17" i="16"/>
  <c r="BY23" i="16"/>
  <c r="BY29" i="16"/>
  <c r="BY35" i="16"/>
  <c r="BY41" i="16"/>
  <c r="BY47" i="16"/>
  <c r="BY53" i="16"/>
  <c r="BY59" i="16"/>
  <c r="BY65" i="16"/>
  <c r="BY71" i="16"/>
  <c r="BY75" i="16"/>
  <c r="BY79" i="16"/>
  <c r="BY83" i="16"/>
  <c r="AE23" i="21"/>
  <c r="B62" i="22"/>
  <c r="B68" i="22" s="1"/>
  <c r="B37" i="22" s="1"/>
  <c r="B20" i="22"/>
  <c r="F20" i="22"/>
  <c r="E513" i="22"/>
  <c r="B513" i="22"/>
  <c r="B499" i="22"/>
  <c r="B496" i="22"/>
  <c r="B507" i="22"/>
  <c r="B518" i="22" s="1"/>
  <c r="B515" i="22"/>
  <c r="D437" i="22"/>
  <c r="D438" i="22" s="1"/>
  <c r="M439" i="22" s="1"/>
  <c r="BL7" i="26" s="1"/>
  <c r="D434" i="22"/>
  <c r="B467" i="22"/>
  <c r="B473" i="22" s="1"/>
  <c r="D467" i="22"/>
  <c r="D473" i="22" s="1"/>
  <c r="B9" i="20"/>
  <c r="Q40" i="31"/>
  <c r="U19" i="31"/>
  <c r="X31" i="31"/>
  <c r="U41" i="31"/>
  <c r="X32" i="31"/>
  <c r="L21" i="31"/>
  <c r="L25" i="31"/>
  <c r="X25" i="31"/>
  <c r="L36" i="31"/>
  <c r="F7" i="31"/>
  <c r="T41" i="31"/>
  <c r="T7" i="31"/>
  <c r="U28" i="31"/>
  <c r="Q8" i="31"/>
  <c r="Q27" i="31"/>
  <c r="K31" i="31"/>
  <c r="W31" i="31"/>
  <c r="V17" i="31"/>
  <c r="L40" i="31"/>
  <c r="X40" i="31"/>
  <c r="X10" i="31"/>
  <c r="U22" i="31"/>
  <c r="T29" i="31"/>
  <c r="M20" i="31"/>
  <c r="Y20" i="31"/>
  <c r="U11" i="31"/>
  <c r="X22" i="31"/>
  <c r="S30" i="31"/>
  <c r="N30" i="31"/>
  <c r="T4" i="31"/>
  <c r="V11" i="31"/>
  <c r="T23" i="31"/>
  <c r="U38" i="31"/>
  <c r="O23" i="31"/>
  <c r="T14" i="31"/>
  <c r="Q31" i="31"/>
  <c r="P39" i="31"/>
  <c r="Q15" i="31"/>
  <c r="Q29" i="31"/>
  <c r="Q5" i="31"/>
  <c r="R26" i="31"/>
  <c r="Q16" i="31"/>
  <c r="S18" i="31"/>
  <c r="Q7" i="31"/>
  <c r="S16" i="31"/>
  <c r="Q34" i="31"/>
  <c r="O40" i="31"/>
  <c r="R5" i="31"/>
  <c r="S8" i="31"/>
  <c r="P12" i="31"/>
  <c r="T15" i="31"/>
  <c r="X18" i="31"/>
  <c r="V21" i="31"/>
  <c r="O24" i="31"/>
  <c r="U29" i="31"/>
  <c r="K32" i="31"/>
  <c r="O35" i="31"/>
  <c r="P37" i="31"/>
  <c r="T39" i="31"/>
  <c r="W41" i="31"/>
  <c r="W18" i="31"/>
  <c r="S5" i="31"/>
  <c r="K10" i="31"/>
  <c r="Q12" i="31"/>
  <c r="U15" i="31"/>
  <c r="Q19" i="31"/>
  <c r="X21" i="31"/>
  <c r="P24" i="31"/>
  <c r="V29" i="31"/>
  <c r="L32" i="31"/>
  <c r="P35" i="31"/>
  <c r="Q37" i="31"/>
  <c r="U39" i="31"/>
  <c r="X41" i="31"/>
  <c r="K4" i="31"/>
  <c r="L10" i="31"/>
  <c r="R12" i="31"/>
  <c r="V15" i="31"/>
  <c r="S19" i="31"/>
  <c r="L22" i="31"/>
  <c r="Q24" i="31"/>
  <c r="O27" i="31"/>
  <c r="Q30" i="31"/>
  <c r="U32" i="31"/>
  <c r="Q35" i="31"/>
  <c r="R37" i="31"/>
  <c r="V39" i="31"/>
  <c r="L4" i="31"/>
  <c r="T10" i="31"/>
  <c r="S12" i="31"/>
  <c r="P16" i="31"/>
  <c r="T19" i="31"/>
  <c r="S22" i="31"/>
  <c r="R24" i="31"/>
  <c r="P27" i="31"/>
  <c r="R30" i="31"/>
  <c r="W32" i="31"/>
  <c r="R35" i="31"/>
  <c r="K14" i="31"/>
  <c r="K38" i="31"/>
  <c r="V4" i="31"/>
  <c r="S7" i="31"/>
  <c r="W10" i="31"/>
  <c r="L14" i="31"/>
  <c r="R16" i="31"/>
  <c r="V19" i="31"/>
  <c r="V22" i="31"/>
  <c r="V25" i="31"/>
  <c r="R27" i="31"/>
  <c r="T30" i="31"/>
  <c r="K36" i="31"/>
  <c r="L38" i="31"/>
  <c r="P40" i="31"/>
  <c r="X4" i="31"/>
  <c r="U7" i="31"/>
  <c r="Q11" i="31"/>
  <c r="V14" i="31"/>
  <c r="K18" i="31"/>
  <c r="Q20" i="31"/>
  <c r="P23" i="31"/>
  <c r="L26" i="31"/>
  <c r="V28" i="31"/>
  <c r="N31" i="31"/>
  <c r="S34" i="31"/>
  <c r="U36" i="31"/>
  <c r="W38" i="31"/>
  <c r="R40" i="31"/>
  <c r="V7" i="31"/>
  <c r="S11" i="31"/>
  <c r="W14" i="31"/>
  <c r="L18" i="31"/>
  <c r="R20" i="31"/>
  <c r="R23" i="31"/>
  <c r="S26" i="31"/>
  <c r="X28" i="31"/>
  <c r="O31" i="31"/>
  <c r="T34" i="31"/>
  <c r="W36" i="31"/>
  <c r="X38" i="31"/>
  <c r="P8" i="31"/>
  <c r="T11" i="31"/>
  <c r="X14" i="31"/>
  <c r="T18" i="31"/>
  <c r="S20" i="31"/>
  <c r="S23" i="31"/>
  <c r="U26" i="31"/>
  <c r="P31" i="31"/>
  <c r="U34" i="31"/>
  <c r="X36" i="31"/>
  <c r="K41" i="31"/>
  <c r="W4" i="31"/>
  <c r="P5" i="31"/>
  <c r="V18" i="31"/>
  <c r="V26" i="31"/>
  <c r="R29" i="31"/>
  <c r="V34" i="31"/>
  <c r="L41" i="31"/>
  <c r="DF30" i="12"/>
  <c r="DP28" i="12"/>
  <c r="DV28" i="12"/>
  <c r="DX28" i="12"/>
  <c r="EL28" i="12" s="1"/>
  <c r="EB28" i="12"/>
  <c r="EE28" i="12"/>
  <c r="K28" i="12"/>
  <c r="K15" i="12"/>
  <c r="DU15" i="12"/>
  <c r="FR18" i="12"/>
  <c r="FM18" i="12"/>
  <c r="FO38" i="12"/>
  <c r="FH38" i="12"/>
  <c r="FS15" i="12"/>
  <c r="FM15" i="12"/>
  <c r="AT4" i="12"/>
  <c r="AV4" i="12" s="1"/>
  <c r="EF5" i="12"/>
  <c r="DD7" i="12"/>
  <c r="DG9" i="12"/>
  <c r="AG13" i="12"/>
  <c r="DT15" i="12"/>
  <c r="EI15" i="12" s="1"/>
  <c r="K16" i="12"/>
  <c r="K19" i="12"/>
  <c r="DP19" i="12"/>
  <c r="DT27" i="12"/>
  <c r="EI27" i="12" s="1"/>
  <c r="EC28" i="12"/>
  <c r="Z33" i="12"/>
  <c r="AC33" i="12" s="1"/>
  <c r="AD33" i="12" s="1"/>
  <c r="DG33" i="12"/>
  <c r="DD35" i="12"/>
  <c r="DV35" i="12"/>
  <c r="FO43" i="12"/>
  <c r="FP43" i="12"/>
  <c r="FS46" i="12"/>
  <c r="FN49" i="12"/>
  <c r="AT50" i="12"/>
  <c r="AV50" i="12" s="1"/>
  <c r="FH75" i="12"/>
  <c r="FO75" i="12"/>
  <c r="FN75" i="12"/>
  <c r="AG128" i="12"/>
  <c r="EE15" i="12"/>
  <c r="DD24" i="12"/>
  <c r="T28" i="12"/>
  <c r="U28" i="12" s="1"/>
  <c r="W28" i="12" s="1"/>
  <c r="DO29" i="12"/>
  <c r="FL31" i="12"/>
  <c r="AG33" i="12"/>
  <c r="DE33" i="12"/>
  <c r="DQ47" i="12"/>
  <c r="EC47" i="12"/>
  <c r="DE23" i="12"/>
  <c r="EC62" i="12"/>
  <c r="DP62" i="12"/>
  <c r="DU62" i="12"/>
  <c r="EB19" i="12"/>
  <c r="DO5" i="12"/>
  <c r="DQ9" i="12"/>
  <c r="DF13" i="12"/>
  <c r="DE20" i="12"/>
  <c r="DE53" i="12"/>
  <c r="DD59" i="12"/>
  <c r="EB46" i="12"/>
  <c r="DQ46" i="12"/>
  <c r="AL47" i="12"/>
  <c r="DF4" i="12"/>
  <c r="DE9" i="12"/>
  <c r="DR5" i="12"/>
  <c r="FJ21" i="12"/>
  <c r="DV23" i="12"/>
  <c r="DD26" i="12"/>
  <c r="DS28" i="12"/>
  <c r="AS29" i="12"/>
  <c r="Z29" i="12"/>
  <c r="AC29" i="12" s="1"/>
  <c r="AD29" i="12" s="1"/>
  <c r="AO32" i="12"/>
  <c r="AU32" i="12" s="1"/>
  <c r="FI37" i="12"/>
  <c r="EC41" i="12"/>
  <c r="K41" i="12"/>
  <c r="T41" i="12"/>
  <c r="U41" i="12" s="1"/>
  <c r="W41" i="12" s="1"/>
  <c r="DV55" i="12"/>
  <c r="DS55" i="12"/>
  <c r="T55" i="12"/>
  <c r="U55" i="12" s="1"/>
  <c r="AN55" i="12" s="1"/>
  <c r="EB55" i="12"/>
  <c r="FP64" i="12"/>
  <c r="FR64" i="12"/>
  <c r="K80" i="12"/>
  <c r="T80" i="12"/>
  <c r="U80" i="12" s="1"/>
  <c r="AN80" i="12" s="1"/>
  <c r="EB80" i="12"/>
  <c r="Z112" i="12"/>
  <c r="AC112" i="12" s="1"/>
  <c r="AD112" i="12" s="1"/>
  <c r="AS112" i="12"/>
  <c r="AO112" i="12"/>
  <c r="AQ112" i="12" s="1"/>
  <c r="AO139" i="12"/>
  <c r="AU139" i="12" s="1"/>
  <c r="Z139" i="12"/>
  <c r="AC139" i="12" s="1"/>
  <c r="AD139" i="12" s="1"/>
  <c r="AS139" i="12"/>
  <c r="AG5" i="12"/>
  <c r="EF15" i="12"/>
  <c r="DT3" i="12"/>
  <c r="EI3" i="12" s="1"/>
  <c r="DT5" i="12"/>
  <c r="EI5" i="12" s="1"/>
  <c r="FI5" i="12"/>
  <c r="DO7" i="12"/>
  <c r="EF9" i="12"/>
  <c r="T12" i="12"/>
  <c r="U12" i="12" s="1"/>
  <c r="AN12" i="12" s="1"/>
  <c r="AG24" i="12"/>
  <c r="FN37" i="12"/>
  <c r="DQ42" i="12"/>
  <c r="AG44" i="12"/>
  <c r="FL44" i="12"/>
  <c r="FS44" i="12"/>
  <c r="AG61" i="12"/>
  <c r="FQ128" i="12"/>
  <c r="FK128" i="12"/>
  <c r="FS128" i="12"/>
  <c r="FM128" i="12"/>
  <c r="AG4" i="12"/>
  <c r="DW5" i="12"/>
  <c r="EK5" i="12" s="1"/>
  <c r="FP5" i="12"/>
  <c r="FP8" i="12"/>
  <c r="DW10" i="12"/>
  <c r="EK10" i="12" s="1"/>
  <c r="AO11" i="12"/>
  <c r="AG19" i="12"/>
  <c r="FL21" i="12"/>
  <c r="FI21" i="12"/>
  <c r="AO33" i="12"/>
  <c r="DX42" i="12"/>
  <c r="EL42" i="12" s="1"/>
  <c r="FJ43" i="12"/>
  <c r="DS64" i="12"/>
  <c r="FP93" i="12"/>
  <c r="FQ93" i="12"/>
  <c r="Z103" i="12"/>
  <c r="AS103" i="12"/>
  <c r="FO122" i="12"/>
  <c r="FS122" i="12"/>
  <c r="DT10" i="12"/>
  <c r="EI10" i="12" s="1"/>
  <c r="DD5" i="12"/>
  <c r="FQ5" i="12"/>
  <c r="DX10" i="12"/>
  <c r="EL10" i="12" s="1"/>
  <c r="DP15" i="12"/>
  <c r="DF22" i="12"/>
  <c r="EF28" i="12"/>
  <c r="DO28" i="12"/>
  <c r="DY28" i="12"/>
  <c r="EM28" i="12" s="1"/>
  <c r="DZ28" i="12"/>
  <c r="DE39" i="12"/>
  <c r="EB42" i="12"/>
  <c r="FL56" i="12"/>
  <c r="FJ56" i="12"/>
  <c r="FR56" i="12"/>
  <c r="FK56" i="12"/>
  <c r="FP63" i="12"/>
  <c r="FS63" i="12"/>
  <c r="DW64" i="12"/>
  <c r="EK64" i="12" s="1"/>
  <c r="EC94" i="12"/>
  <c r="DS94" i="12"/>
  <c r="T94" i="12"/>
  <c r="U94" i="12" s="1"/>
  <c r="AN94" i="12" s="1"/>
  <c r="EE94" i="12"/>
  <c r="ED94" i="12"/>
  <c r="DV94" i="12"/>
  <c r="DU94" i="12"/>
  <c r="FR101" i="12"/>
  <c r="FS101" i="12"/>
  <c r="FP101" i="12"/>
  <c r="FO101" i="12"/>
  <c r="FL101" i="12"/>
  <c r="FK101" i="12"/>
  <c r="FJ101" i="12"/>
  <c r="FH101" i="12"/>
  <c r="FR106" i="12"/>
  <c r="FL106" i="12"/>
  <c r="ED5" i="12"/>
  <c r="FS5" i="12"/>
  <c r="AG8" i="12"/>
  <c r="DD11" i="12"/>
  <c r="FK13" i="12"/>
  <c r="DR15" i="12"/>
  <c r="DK19" i="12"/>
  <c r="DF24" i="12"/>
  <c r="EA28" i="12"/>
  <c r="K42" i="12"/>
  <c r="FM43" i="12"/>
  <c r="DF54" i="12"/>
  <c r="DY66" i="12"/>
  <c r="EM66" i="12" s="1"/>
  <c r="EA66" i="12"/>
  <c r="DV66" i="12"/>
  <c r="DP66" i="12"/>
  <c r="EC66" i="12"/>
  <c r="EB66" i="12"/>
  <c r="FR94" i="12"/>
  <c r="FI94" i="12"/>
  <c r="FH94" i="12"/>
  <c r="DX24" i="12"/>
  <c r="EL24" i="12" s="1"/>
  <c r="DS15" i="12"/>
  <c r="DM19" i="12"/>
  <c r="DQ20" i="12"/>
  <c r="DV20" i="12"/>
  <c r="FS30" i="12"/>
  <c r="FO30" i="12"/>
  <c r="DS35" i="12"/>
  <c r="DP42" i="12"/>
  <c r="EF42" i="12"/>
  <c r="DS42" i="12"/>
  <c r="EE42" i="12"/>
  <c r="FS60" i="12"/>
  <c r="FK60" i="12"/>
  <c r="DQ64" i="12"/>
  <c r="EF64" i="12"/>
  <c r="EE64" i="12"/>
  <c r="T64" i="12"/>
  <c r="U64" i="12" s="1"/>
  <c r="W64" i="12" s="1"/>
  <c r="EA64" i="12"/>
  <c r="DY64" i="12"/>
  <c r="EM64" i="12" s="1"/>
  <c r="DX64" i="12"/>
  <c r="EL64" i="12" s="1"/>
  <c r="DP64" i="12"/>
  <c r="Z99" i="12"/>
  <c r="AA99" i="12" s="1"/>
  <c r="AO99" i="12"/>
  <c r="DE56" i="12"/>
  <c r="K59" i="12"/>
  <c r="DU59" i="12"/>
  <c r="EE60" i="12"/>
  <c r="DD77" i="12"/>
  <c r="DD79" i="12"/>
  <c r="FH79" i="12"/>
  <c r="FJ99" i="12"/>
  <c r="DY100" i="12"/>
  <c r="EM100" i="12" s="1"/>
  <c r="DT106" i="12"/>
  <c r="EI106" i="12" s="1"/>
  <c r="DV107" i="12"/>
  <c r="DV108" i="12"/>
  <c r="DD111" i="12"/>
  <c r="DX115" i="12"/>
  <c r="EL115" i="12" s="1"/>
  <c r="EE116" i="12"/>
  <c r="DY121" i="12"/>
  <c r="EM121" i="12" s="1"/>
  <c r="DF131" i="12"/>
  <c r="AG132" i="12"/>
  <c r="DG136" i="12"/>
  <c r="DF29" i="12"/>
  <c r="AG38" i="12"/>
  <c r="DE42" i="12"/>
  <c r="FL45" i="12"/>
  <c r="DF46" i="12"/>
  <c r="DV59" i="12"/>
  <c r="AG67" i="12"/>
  <c r="DG78" i="12"/>
  <c r="DE81" i="12"/>
  <c r="DD82" i="12"/>
  <c r="AG90" i="12"/>
  <c r="DY108" i="12"/>
  <c r="EM108" i="12" s="1"/>
  <c r="DF121" i="12"/>
  <c r="ED121" i="12"/>
  <c r="DE123" i="12"/>
  <c r="DF138" i="12"/>
  <c r="DQ139" i="12"/>
  <c r="DD50" i="12"/>
  <c r="DG50" i="12"/>
  <c r="EC59" i="12"/>
  <c r="AG65" i="12"/>
  <c r="DT67" i="12"/>
  <c r="EI67" i="12" s="1"/>
  <c r="EB71" i="12"/>
  <c r="EA106" i="12"/>
  <c r="EC107" i="12"/>
  <c r="DE110" i="12"/>
  <c r="AT112" i="12"/>
  <c r="AV112" i="12" s="1"/>
  <c r="AW112" i="12" s="1"/>
  <c r="AG73" i="12"/>
  <c r="AG77" i="12"/>
  <c r="AG82" i="12"/>
  <c r="AO83" i="12"/>
  <c r="AR83" i="12" s="1"/>
  <c r="AO88" i="12"/>
  <c r="DF88" i="12"/>
  <c r="DU91" i="12"/>
  <c r="FL96" i="12"/>
  <c r="T97" i="12"/>
  <c r="U97" i="12" s="1"/>
  <c r="AN97" i="12" s="1"/>
  <c r="T101" i="12"/>
  <c r="U101" i="12" s="1"/>
  <c r="W101" i="12" s="1"/>
  <c r="DG102" i="12"/>
  <c r="DQ105" i="12"/>
  <c r="EC106" i="12"/>
  <c r="ED113" i="12"/>
  <c r="T116" i="12"/>
  <c r="U116" i="12" s="1"/>
  <c r="AN116" i="12" s="1"/>
  <c r="DR117" i="12"/>
  <c r="DD119" i="12"/>
  <c r="DZ120" i="12"/>
  <c r="EB123" i="12"/>
  <c r="DU128" i="12"/>
  <c r="DD129" i="12"/>
  <c r="DR130" i="12"/>
  <c r="DG131" i="12"/>
  <c r="AS134" i="12"/>
  <c r="DF135" i="12"/>
  <c r="AS83" i="12"/>
  <c r="DF85" i="12"/>
  <c r="AS88" i="12"/>
  <c r="DW91" i="12"/>
  <c r="EK91" i="12" s="1"/>
  <c r="AO92" i="12"/>
  <c r="AT96" i="12"/>
  <c r="AV96" i="12" s="1"/>
  <c r="FM96" i="12"/>
  <c r="DF99" i="12"/>
  <c r="DV105" i="12"/>
  <c r="DD107" i="12"/>
  <c r="DW112" i="12"/>
  <c r="EK112" i="12" s="1"/>
  <c r="EF113" i="12"/>
  <c r="DX117" i="12"/>
  <c r="EL117" i="12" s="1"/>
  <c r="EE120" i="12"/>
  <c r="EE123" i="12"/>
  <c r="AG124" i="12"/>
  <c r="Z127" i="12"/>
  <c r="DZ128" i="12"/>
  <c r="ED130" i="12"/>
  <c r="K132" i="12"/>
  <c r="AG137" i="12"/>
  <c r="FJ54" i="12"/>
  <c r="DD55" i="12"/>
  <c r="T59" i="12"/>
  <c r="U59" i="12" s="1"/>
  <c r="W59" i="12" s="1"/>
  <c r="DZ63" i="12"/>
  <c r="EA68" i="12"/>
  <c r="FK69" i="12"/>
  <c r="DF70" i="12"/>
  <c r="DG71" i="12"/>
  <c r="FN72" i="12"/>
  <c r="T74" i="12"/>
  <c r="U74" i="12" s="1"/>
  <c r="AN74" i="12" s="1"/>
  <c r="FO74" i="12"/>
  <c r="DO76" i="12"/>
  <c r="FM76" i="12"/>
  <c r="DU77" i="12"/>
  <c r="AS80" i="12"/>
  <c r="DF81" i="12"/>
  <c r="AT83" i="12"/>
  <c r="AV83" i="12" s="1"/>
  <c r="AW83" i="12" s="1"/>
  <c r="DP84" i="12"/>
  <c r="AS85" i="12"/>
  <c r="DY91" i="12"/>
  <c r="EM91" i="12" s="1"/>
  <c r="DD94" i="12"/>
  <c r="FN96" i="12"/>
  <c r="DE98" i="12"/>
  <c r="EA98" i="12"/>
  <c r="EC99" i="12"/>
  <c r="AG102" i="12"/>
  <c r="DE102" i="12"/>
  <c r="DY105" i="12"/>
  <c r="EM105" i="12" s="1"/>
  <c r="DD108" i="12"/>
  <c r="DO111" i="12"/>
  <c r="DY112" i="12"/>
  <c r="EM112" i="12" s="1"/>
  <c r="EC117" i="12"/>
  <c r="Z121" i="12"/>
  <c r="Z122" i="12"/>
  <c r="AO126" i="12"/>
  <c r="AG14" i="12"/>
  <c r="DF27" i="12"/>
  <c r="DE29" i="12"/>
  <c r="DT44" i="12"/>
  <c r="EI44" i="12" s="1"/>
  <c r="DV53" i="12"/>
  <c r="FK54" i="12"/>
  <c r="DQ60" i="12"/>
  <c r="AG66" i="12"/>
  <c r="DG66" i="12"/>
  <c r="Z69" i="12"/>
  <c r="AG72" i="12"/>
  <c r="FR72" i="12"/>
  <c r="AG74" i="12"/>
  <c r="DQ76" i="12"/>
  <c r="DX77" i="12"/>
  <c r="EL77" i="12" s="1"/>
  <c r="DT84" i="12"/>
  <c r="EI84" i="12" s="1"/>
  <c r="AU85" i="12"/>
  <c r="DF86" i="12"/>
  <c r="DG88" i="12"/>
  <c r="DD90" i="12"/>
  <c r="DE93" i="12"/>
  <c r="DE95" i="12"/>
  <c r="DO96" i="12"/>
  <c r="FP96" i="12"/>
  <c r="DR97" i="12"/>
  <c r="K98" i="12"/>
  <c r="EB98" i="12"/>
  <c r="DU101" i="12"/>
  <c r="DT104" i="12"/>
  <c r="EI104" i="12" s="1"/>
  <c r="EB105" i="12"/>
  <c r="DV111" i="12"/>
  <c r="DZ112" i="12"/>
  <c r="FR115" i="12"/>
  <c r="AG125" i="12"/>
  <c r="AS126" i="12"/>
  <c r="DX133" i="12"/>
  <c r="EL133" i="12" s="1"/>
  <c r="AC134" i="12"/>
  <c r="AD134" i="12" s="1"/>
  <c r="DD135" i="12"/>
  <c r="AG69" i="12"/>
  <c r="DF73" i="12"/>
  <c r="DR74" i="12"/>
  <c r="DR75" i="12"/>
  <c r="EF77" i="12"/>
  <c r="DZ84" i="12"/>
  <c r="DE87" i="12"/>
  <c r="DG87" i="12"/>
  <c r="AG94" i="12"/>
  <c r="FQ96" i="12"/>
  <c r="DU97" i="12"/>
  <c r="DF98" i="12"/>
  <c r="EE98" i="12"/>
  <c r="DX101" i="12"/>
  <c r="EL101" i="12" s="1"/>
  <c r="K104" i="12"/>
  <c r="DU104" i="12"/>
  <c r="T106" i="12"/>
  <c r="U106" i="12" s="1"/>
  <c r="AN106" i="12" s="1"/>
  <c r="DE106" i="12"/>
  <c r="ED111" i="12"/>
  <c r="DO116" i="12"/>
  <c r="AO117" i="12"/>
  <c r="FI121" i="12"/>
  <c r="AG122" i="12"/>
  <c r="DU127" i="12"/>
  <c r="DF133" i="12"/>
  <c r="AG134" i="12"/>
  <c r="DF136" i="12"/>
  <c r="K71" i="12"/>
  <c r="K73" i="12"/>
  <c r="DS74" i="12"/>
  <c r="DD78" i="12"/>
  <c r="DG83" i="12"/>
  <c r="DD85" i="12"/>
  <c r="EE87" i="12"/>
  <c r="DF93" i="12"/>
  <c r="DX97" i="12"/>
  <c r="EL97" i="12" s="1"/>
  <c r="DD99" i="12"/>
  <c r="DQ100" i="12"/>
  <c r="FH100" i="12"/>
  <c r="EB101" i="12"/>
  <c r="DV104" i="12"/>
  <c r="DF105" i="12"/>
  <c r="FH110" i="12"/>
  <c r="EF112" i="12"/>
  <c r="T115" i="12"/>
  <c r="U115" i="12" s="1"/>
  <c r="W115" i="12" s="1"/>
  <c r="K116" i="12"/>
  <c r="DW116" i="12"/>
  <c r="EK116" i="12" s="1"/>
  <c r="AG119" i="12"/>
  <c r="FL121" i="12"/>
  <c r="EA127" i="12"/>
  <c r="DD128" i="12"/>
  <c r="DE129" i="12"/>
  <c r="AO130" i="12"/>
  <c r="AP130" i="12" s="1"/>
  <c r="AG40" i="12"/>
  <c r="DF44" i="12"/>
  <c r="EB44" i="12"/>
  <c r="DW48" i="12"/>
  <c r="EK48" i="12" s="1"/>
  <c r="DD49" i="12"/>
  <c r="DE54" i="12"/>
  <c r="FR54" i="12"/>
  <c r="DR59" i="12"/>
  <c r="DZ60" i="12"/>
  <c r="DQ71" i="12"/>
  <c r="EB74" i="12"/>
  <c r="DD81" i="12"/>
  <c r="Z85" i="12"/>
  <c r="DF97" i="12"/>
  <c r="EB97" i="12"/>
  <c r="DT100" i="12"/>
  <c r="EI100" i="12" s="1"/>
  <c r="ED101" i="12"/>
  <c r="DY104" i="12"/>
  <c r="EM104" i="12" s="1"/>
  <c r="FQ107" i="12"/>
  <c r="AG113" i="12"/>
  <c r="AG115" i="12"/>
  <c r="DX116" i="12"/>
  <c r="EL116" i="12" s="1"/>
  <c r="EF119" i="12"/>
  <c r="DR121" i="12"/>
  <c r="FP121" i="12"/>
  <c r="AR44" i="12"/>
  <c r="EF44" i="12"/>
  <c r="FS54" i="12"/>
  <c r="DF59" i="12"/>
  <c r="DT59" i="12"/>
  <c r="EI59" i="12" s="1"/>
  <c r="EC60" i="12"/>
  <c r="DE62" i="12"/>
  <c r="DG63" i="12"/>
  <c r="AG64" i="12"/>
  <c r="DE64" i="12"/>
  <c r="DD68" i="12"/>
  <c r="DR71" i="12"/>
  <c r="ED74" i="12"/>
  <c r="DD75" i="12"/>
  <c r="AP84" i="12"/>
  <c r="AG85" i="12"/>
  <c r="EF97" i="12"/>
  <c r="DF101" i="12"/>
  <c r="DZ104" i="12"/>
  <c r="DQ106" i="12"/>
  <c r="FR107" i="12"/>
  <c r="DT108" i="12"/>
  <c r="EI108" i="12" s="1"/>
  <c r="FM113" i="12"/>
  <c r="DO129" i="12"/>
  <c r="AL137" i="12"/>
  <c r="DQ12" i="12"/>
  <c r="DR12" i="12"/>
  <c r="DT12" i="12"/>
  <c r="EI12" i="12" s="1"/>
  <c r="EB12" i="12"/>
  <c r="FP9" i="12"/>
  <c r="FR9" i="12"/>
  <c r="FO9" i="12"/>
  <c r="FL9" i="12"/>
  <c r="FS9" i="12"/>
  <c r="FK9" i="12"/>
  <c r="FH9" i="12"/>
  <c r="FI9" i="12"/>
  <c r="FP3" i="12"/>
  <c r="FQ3" i="12"/>
  <c r="FN3" i="12"/>
  <c r="FS3" i="12"/>
  <c r="DK11" i="12"/>
  <c r="DM11" i="12"/>
  <c r="AL11" i="12"/>
  <c r="DL11" i="12"/>
  <c r="FS33" i="12"/>
  <c r="FM33" i="12"/>
  <c r="FK33" i="12"/>
  <c r="FI33" i="12"/>
  <c r="ED43" i="12"/>
  <c r="DQ43" i="12"/>
  <c r="DP43" i="12"/>
  <c r="EC43" i="12"/>
  <c r="DV43" i="12"/>
  <c r="K43" i="12"/>
  <c r="DT43" i="12"/>
  <c r="EI43" i="12" s="1"/>
  <c r="DS43" i="12"/>
  <c r="EF43" i="12"/>
  <c r="EE43" i="12"/>
  <c r="EB43" i="12"/>
  <c r="DZ43" i="12"/>
  <c r="FN17" i="12"/>
  <c r="FO17" i="12"/>
  <c r="FK17" i="12"/>
  <c r="FJ17" i="12"/>
  <c r="FH17" i="12"/>
  <c r="Z23" i="12"/>
  <c r="AC23" i="12" s="1"/>
  <c r="AD23" i="12" s="1"/>
  <c r="AS23" i="12"/>
  <c r="DD3" i="12"/>
  <c r="DE7" i="12"/>
  <c r="FN7" i="12"/>
  <c r="K11" i="12"/>
  <c r="DE17" i="12"/>
  <c r="DF43" i="12"/>
  <c r="DF23" i="12"/>
  <c r="DD34" i="12"/>
  <c r="FI50" i="12"/>
  <c r="FN50" i="12"/>
  <c r="FM50" i="12"/>
  <c r="FJ50" i="12"/>
  <c r="FL50" i="12"/>
  <c r="FK50" i="12"/>
  <c r="FH50" i="12"/>
  <c r="FS50" i="12"/>
  <c r="FR50" i="12"/>
  <c r="FQ50" i="12"/>
  <c r="FP50" i="12"/>
  <c r="FS26" i="12"/>
  <c r="FR26" i="12"/>
  <c r="FK26" i="12"/>
  <c r="FI26" i="12"/>
  <c r="DL27" i="12"/>
  <c r="AL27" i="12"/>
  <c r="DU40" i="12"/>
  <c r="DZ40" i="12"/>
  <c r="DY40" i="12"/>
  <c r="EM40" i="12" s="1"/>
  <c r="DT40" i="12"/>
  <c r="EI40" i="12" s="1"/>
  <c r="DW40" i="12"/>
  <c r="EK40" i="12" s="1"/>
  <c r="DV40" i="12"/>
  <c r="DS40" i="12"/>
  <c r="DR40" i="12"/>
  <c r="DP40" i="12"/>
  <c r="K40" i="12"/>
  <c r="EF40" i="12"/>
  <c r="EE40" i="12"/>
  <c r="ED40" i="12"/>
  <c r="FR10" i="12"/>
  <c r="FQ10" i="12"/>
  <c r="FL10" i="12"/>
  <c r="FJ10" i="12"/>
  <c r="FI10" i="12"/>
  <c r="DJ11" i="12"/>
  <c r="DI11" i="12" s="1"/>
  <c r="DE4" i="12"/>
  <c r="DJ4" i="12"/>
  <c r="DI4" i="12" s="1"/>
  <c r="EA11" i="12"/>
  <c r="EN11" i="12" s="1"/>
  <c r="DU11" i="12"/>
  <c r="EF11" i="12"/>
  <c r="DS11" i="12"/>
  <c r="DT11" i="12"/>
  <c r="EI11" i="12" s="1"/>
  <c r="EC11" i="12"/>
  <c r="DP11" i="12"/>
  <c r="EB11" i="12"/>
  <c r="DZ11" i="12"/>
  <c r="DR11" i="12"/>
  <c r="AO4" i="12"/>
  <c r="AU4" i="12" s="1"/>
  <c r="AS4" i="12"/>
  <c r="AT10" i="12"/>
  <c r="AV10" i="12" s="1"/>
  <c r="DF10" i="12"/>
  <c r="DV11" i="12"/>
  <c r="DE19" i="12"/>
  <c r="AG20" i="12"/>
  <c r="AO23" i="12"/>
  <c r="DD31" i="12"/>
  <c r="DE32" i="12"/>
  <c r="DT46" i="12"/>
  <c r="EI46" i="12" s="1"/>
  <c r="DX49" i="12"/>
  <c r="EL49" i="12" s="1"/>
  <c r="T49" i="12"/>
  <c r="U49" i="12" s="1"/>
  <c r="DW49" i="12"/>
  <c r="EK49" i="12" s="1"/>
  <c r="DR49" i="12"/>
  <c r="EC49" i="12"/>
  <c r="EB49" i="12"/>
  <c r="DY49" i="12"/>
  <c r="EM49" i="12" s="1"/>
  <c r="DZ49" i="12"/>
  <c r="DV49" i="12"/>
  <c r="DP49" i="12"/>
  <c r="K49" i="12"/>
  <c r="DO49" i="12"/>
  <c r="ED8" i="12"/>
  <c r="DQ8" i="12"/>
  <c r="K8" i="12"/>
  <c r="T8" i="12" s="1"/>
  <c r="U8" i="12" s="1"/>
  <c r="DW11" i="12"/>
  <c r="EK11" i="12" s="1"/>
  <c r="AA19" i="12"/>
  <c r="AC19" i="12"/>
  <c r="AD19" i="12" s="1"/>
  <c r="FS40" i="12"/>
  <c r="FL40" i="12"/>
  <c r="FJ40" i="12"/>
  <c r="FP40" i="12"/>
  <c r="FM40" i="12"/>
  <c r="DE48" i="12"/>
  <c r="DP48" i="12"/>
  <c r="DM4" i="12"/>
  <c r="DL4" i="12"/>
  <c r="AL4" i="12"/>
  <c r="DD8" i="12"/>
  <c r="DX11" i="12"/>
  <c r="EL11" i="12" s="1"/>
  <c r="EE12" i="12"/>
  <c r="DX12" i="12"/>
  <c r="EL12" i="12" s="1"/>
  <c r="EF12" i="12"/>
  <c r="DP12" i="12"/>
  <c r="EC12" i="12"/>
  <c r="ED12" i="12"/>
  <c r="DO12" i="12"/>
  <c r="DZ12" i="12"/>
  <c r="DY12" i="12"/>
  <c r="EM12" i="12" s="1"/>
  <c r="DW12" i="12"/>
  <c r="EK12" i="12" s="1"/>
  <c r="FS14" i="12"/>
  <c r="FN14" i="12"/>
  <c r="DF15" i="12"/>
  <c r="DF16" i="12"/>
  <c r="AS28" i="12"/>
  <c r="FP34" i="12"/>
  <c r="FK34" i="12"/>
  <c r="AT9" i="12"/>
  <c r="AV9" i="12" s="1"/>
  <c r="Z9" i="12"/>
  <c r="AC9" i="12" s="1"/>
  <c r="AD9" i="12" s="1"/>
  <c r="AS9" i="12"/>
  <c r="Z25" i="12"/>
  <c r="AS25" i="12"/>
  <c r="AO25" i="12"/>
  <c r="AG27" i="12"/>
  <c r="EA46" i="12"/>
  <c r="DS46" i="12"/>
  <c r="EF46" i="12"/>
  <c r="DR46" i="12"/>
  <c r="EC46" i="12"/>
  <c r="DP46" i="12"/>
  <c r="K46" i="12"/>
  <c r="EE46" i="12"/>
  <c r="ED46" i="12"/>
  <c r="DZ46" i="12"/>
  <c r="DY46" i="12"/>
  <c r="EM46" i="12" s="1"/>
  <c r="T46" i="12"/>
  <c r="U46" i="12" s="1"/>
  <c r="DX46" i="12"/>
  <c r="EL46" i="12" s="1"/>
  <c r="DW46" i="12"/>
  <c r="EK46" i="12" s="1"/>
  <c r="DV46" i="12"/>
  <c r="AO20" i="12"/>
  <c r="AQ20" i="12" s="1"/>
  <c r="Z20" i="12"/>
  <c r="DG8" i="12"/>
  <c r="FR24" i="12"/>
  <c r="FO24" i="12"/>
  <c r="FL24" i="12"/>
  <c r="FM24" i="12"/>
  <c r="FQ16" i="12"/>
  <c r="FM16" i="12"/>
  <c r="FL16" i="12"/>
  <c r="FI16" i="12"/>
  <c r="Z3" i="12"/>
  <c r="AC3" i="12" s="1"/>
  <c r="AD3" i="12" s="1"/>
  <c r="AS3" i="12"/>
  <c r="DD9" i="12"/>
  <c r="FN10" i="12"/>
  <c r="DE11" i="12"/>
  <c r="DF12" i="12"/>
  <c r="DU12" i="12"/>
  <c r="FS12" i="12"/>
  <c r="FL12" i="12"/>
  <c r="FQ12" i="12"/>
  <c r="FQ17" i="12"/>
  <c r="EB40" i="12"/>
  <c r="DW43" i="12"/>
  <c r="EK43" i="12" s="1"/>
  <c r="EA48" i="12"/>
  <c r="DY48" i="12"/>
  <c r="EM48" i="12" s="1"/>
  <c r="DX48" i="12"/>
  <c r="EL48" i="12" s="1"/>
  <c r="DU48" i="12"/>
  <c r="DV48" i="12"/>
  <c r="T48" i="12"/>
  <c r="U48" i="12" s="1"/>
  <c r="DT48" i="12"/>
  <c r="EI48" i="12" s="1"/>
  <c r="DS48" i="12"/>
  <c r="DR48" i="12"/>
  <c r="DQ48" i="12"/>
  <c r="EE48" i="12"/>
  <c r="K48" i="12"/>
  <c r="ED48" i="12"/>
  <c r="EC48" i="12"/>
  <c r="EB48" i="12"/>
  <c r="DZ48" i="12"/>
  <c r="EF21" i="12"/>
  <c r="DY21" i="12"/>
  <c r="EM21" i="12" s="1"/>
  <c r="DP21" i="12"/>
  <c r="AO7" i="12"/>
  <c r="AQ7" i="12" s="1"/>
  <c r="DG12" i="12"/>
  <c r="EF19" i="12"/>
  <c r="DV19" i="12"/>
  <c r="DU19" i="12"/>
  <c r="DS19" i="12"/>
  <c r="DR19" i="12"/>
  <c r="DQ19" i="12"/>
  <c r="T19" i="12"/>
  <c r="U19" i="12" s="1"/>
  <c r="AN19" i="12" s="1"/>
  <c r="EE19" i="12"/>
  <c r="ED19" i="12"/>
  <c r="EC19" i="12"/>
  <c r="DX19" i="12"/>
  <c r="EL19" i="12" s="1"/>
  <c r="DQ40" i="12"/>
  <c r="DE5" i="12"/>
  <c r="DG7" i="12"/>
  <c r="DE10" i="12"/>
  <c r="DG10" i="12"/>
  <c r="FP10" i="12"/>
  <c r="EA12" i="12"/>
  <c r="DX13" i="12"/>
  <c r="EL13" i="12" s="1"/>
  <c r="DR13" i="12"/>
  <c r="FR17" i="12"/>
  <c r="DZ19" i="12"/>
  <c r="AS20" i="12"/>
  <c r="FQ25" i="12"/>
  <c r="FN25" i="12"/>
  <c r="FO25" i="12"/>
  <c r="FI25" i="12"/>
  <c r="DE28" i="12"/>
  <c r="DG28" i="12"/>
  <c r="DG31" i="12"/>
  <c r="FR32" i="12"/>
  <c r="FK32" i="12"/>
  <c r="FM32" i="12"/>
  <c r="FI32" i="12"/>
  <c r="EC40" i="12"/>
  <c r="DY43" i="12"/>
  <c r="EM43" i="12" s="1"/>
  <c r="DX45" i="12"/>
  <c r="EL45" i="12" s="1"/>
  <c r="DZ45" i="12"/>
  <c r="DY45" i="12"/>
  <c r="EM45" i="12" s="1"/>
  <c r="DU45" i="12"/>
  <c r="EF45" i="12"/>
  <c r="EE45" i="12"/>
  <c r="EC45" i="12"/>
  <c r="DW45" i="12"/>
  <c r="EK45" i="12" s="1"/>
  <c r="T45" i="12"/>
  <c r="U45" i="12" s="1"/>
  <c r="W45" i="12" s="1"/>
  <c r="DV45" i="12"/>
  <c r="DT45" i="12"/>
  <c r="EI45" i="12" s="1"/>
  <c r="DS45" i="12"/>
  <c r="DQ45" i="12"/>
  <c r="FN21" i="12"/>
  <c r="DK25" i="12"/>
  <c r="DE34" i="12"/>
  <c r="DF39" i="12"/>
  <c r="DX41" i="12"/>
  <c r="EL41" i="12" s="1"/>
  <c r="DZ41" i="12"/>
  <c r="DY41" i="12"/>
  <c r="EM41" i="12" s="1"/>
  <c r="DU41" i="12"/>
  <c r="DS41" i="12"/>
  <c r="DE44" i="12"/>
  <c r="DF45" i="12"/>
  <c r="DE51" i="12"/>
  <c r="EB52" i="12"/>
  <c r="EE52" i="12"/>
  <c r="DQ52" i="12"/>
  <c r="ED52" i="12"/>
  <c r="DY52" i="12"/>
  <c r="EM52" i="12" s="1"/>
  <c r="DU52" i="12"/>
  <c r="EA55" i="12"/>
  <c r="DQ55" i="12"/>
  <c r="EE55" i="12"/>
  <c r="ED55" i="12"/>
  <c r="DW55" i="12"/>
  <c r="EK55" i="12" s="1"/>
  <c r="DR55" i="12"/>
  <c r="Z58" i="12"/>
  <c r="AA58" i="12" s="1"/>
  <c r="AT58" i="12"/>
  <c r="AV58" i="12" s="1"/>
  <c r="AS58" i="12"/>
  <c r="Z70" i="12"/>
  <c r="AC70" i="12" s="1"/>
  <c r="AD70" i="12" s="1"/>
  <c r="AO70" i="12"/>
  <c r="AT70" i="12"/>
  <c r="AV70" i="12" s="1"/>
  <c r="DD72" i="12"/>
  <c r="AQ76" i="12"/>
  <c r="AU76" i="12"/>
  <c r="AP76" i="12"/>
  <c r="DE40" i="12"/>
  <c r="DF41" i="12"/>
  <c r="DT41" i="12"/>
  <c r="EI41" i="12" s="1"/>
  <c r="AS50" i="12"/>
  <c r="FR52" i="12"/>
  <c r="FJ52" i="12"/>
  <c r="AO59" i="12"/>
  <c r="AP59" i="12" s="1"/>
  <c r="AS59" i="12"/>
  <c r="AC63" i="12"/>
  <c r="AD63" i="12" s="1"/>
  <c r="DG64" i="12"/>
  <c r="EC3" i="12"/>
  <c r="DF5" i="12"/>
  <c r="DQ5" i="12"/>
  <c r="DT7" i="12"/>
  <c r="EI7" i="12" s="1"/>
  <c r="DE8" i="12"/>
  <c r="K9" i="12"/>
  <c r="T9" i="12" s="1"/>
  <c r="U9" i="12" s="1"/>
  <c r="DF9" i="12"/>
  <c r="DT9" i="12"/>
  <c r="EI9" i="12" s="1"/>
  <c r="DG15" i="12"/>
  <c r="AT20" i="12"/>
  <c r="AV20" i="12" s="1"/>
  <c r="DY20" i="12"/>
  <c r="EM20" i="12" s="1"/>
  <c r="FR20" i="12"/>
  <c r="DL21" i="12"/>
  <c r="FQ21" i="12"/>
  <c r="FI23" i="12"/>
  <c r="AT24" i="12"/>
  <c r="AV24" i="12" s="1"/>
  <c r="FS29" i="12"/>
  <c r="FP29" i="12"/>
  <c r="AG31" i="12"/>
  <c r="FS31" i="12"/>
  <c r="FP31" i="12"/>
  <c r="DD33" i="12"/>
  <c r="DF35" i="12"/>
  <c r="AT40" i="12"/>
  <c r="AV40" i="12" s="1"/>
  <c r="DV41" i="12"/>
  <c r="FM41" i="12"/>
  <c r="DD46" i="12"/>
  <c r="FS48" i="12"/>
  <c r="DF52" i="12"/>
  <c r="DW52" i="12"/>
  <c r="EK52" i="12" s="1"/>
  <c r="AG54" i="12"/>
  <c r="DT55" i="12"/>
  <c r="EI55" i="12" s="1"/>
  <c r="EB56" i="12"/>
  <c r="DX56" i="12"/>
  <c r="EL56" i="12" s="1"/>
  <c r="T56" i="12"/>
  <c r="U56" i="12" s="1"/>
  <c r="DV56" i="12"/>
  <c r="DU56" i="12"/>
  <c r="EF56" i="12"/>
  <c r="DR56" i="12"/>
  <c r="K56" i="12"/>
  <c r="DW56" i="12"/>
  <c r="EK56" i="12" s="1"/>
  <c r="DE57" i="12"/>
  <c r="FI58" i="12"/>
  <c r="FQ58" i="12"/>
  <c r="FO58" i="12"/>
  <c r="FN58" i="12"/>
  <c r="FK58" i="12"/>
  <c r="FR60" i="12"/>
  <c r="FH60" i="12"/>
  <c r="AS67" i="12"/>
  <c r="Z67" i="12"/>
  <c r="AO67" i="12"/>
  <c r="AR67" i="12" s="1"/>
  <c r="FN81" i="12"/>
  <c r="FJ81" i="12"/>
  <c r="DD6" i="12"/>
  <c r="DM8" i="12"/>
  <c r="DU9" i="12"/>
  <c r="DF11" i="12"/>
  <c r="DF18" i="12"/>
  <c r="DF32" i="12"/>
  <c r="AO34" i="12"/>
  <c r="AR34" i="12" s="1"/>
  <c r="Z34" i="12"/>
  <c r="DV39" i="12"/>
  <c r="DW39" i="12"/>
  <c r="EK39" i="12" s="1"/>
  <c r="DL40" i="12"/>
  <c r="DD41" i="12"/>
  <c r="DW41" i="12"/>
  <c r="EK41" i="12" s="1"/>
  <c r="DU44" i="12"/>
  <c r="EE44" i="12"/>
  <c r="DP44" i="12"/>
  <c r="K44" i="12"/>
  <c r="ED44" i="12"/>
  <c r="DZ44" i="12"/>
  <c r="DS44" i="12"/>
  <c r="ED47" i="12"/>
  <c r="DW47" i="12"/>
  <c r="EK47" i="12" s="1"/>
  <c r="DV47" i="12"/>
  <c r="DP47" i="12"/>
  <c r="K47" i="12"/>
  <c r="DF47" i="12"/>
  <c r="DS47" i="12"/>
  <c r="DX52" i="12"/>
  <c r="EL52" i="12" s="1"/>
  <c r="Z54" i="12"/>
  <c r="AT54" i="12"/>
  <c r="AV54" i="12" s="1"/>
  <c r="AW54" i="12" s="1"/>
  <c r="DU55" i="12"/>
  <c r="DY56" i="12"/>
  <c r="EM56" i="12" s="1"/>
  <c r="ED58" i="12"/>
  <c r="EC58" i="12"/>
  <c r="DO58" i="12"/>
  <c r="K58" i="12"/>
  <c r="AO58" i="12"/>
  <c r="AP58" i="12" s="1"/>
  <c r="AT67" i="12"/>
  <c r="AV67" i="12" s="1"/>
  <c r="AT73" i="12"/>
  <c r="AV73" i="12" s="1"/>
  <c r="AS73" i="12"/>
  <c r="Z73" i="12"/>
  <c r="AU92" i="12"/>
  <c r="AR92" i="12"/>
  <c r="AP92" i="12"/>
  <c r="AQ92" i="12"/>
  <c r="DS5" i="12"/>
  <c r="DX7" i="12"/>
  <c r="EL7" i="12" s="1"/>
  <c r="EC9" i="12"/>
  <c r="DF20" i="12"/>
  <c r="AG23" i="12"/>
  <c r="DD23" i="12"/>
  <c r="DF25" i="12"/>
  <c r="DP35" i="12"/>
  <c r="DG37" i="12"/>
  <c r="AT38" i="12"/>
  <c r="AV38" i="12" s="1"/>
  <c r="DG39" i="12"/>
  <c r="FS41" i="12"/>
  <c r="FL41" i="12"/>
  <c r="FJ41" i="12"/>
  <c r="DF51" i="12"/>
  <c r="DG52" i="12"/>
  <c r="DG59" i="12"/>
  <c r="ED60" i="12"/>
  <c r="DF61" i="12"/>
  <c r="AT63" i="12"/>
  <c r="AV63" i="12" s="1"/>
  <c r="AO65" i="12"/>
  <c r="AU65" i="12" s="1"/>
  <c r="DE69" i="12"/>
  <c r="AS70" i="12"/>
  <c r="DE72" i="12"/>
  <c r="T75" i="12"/>
  <c r="U75" i="12" s="1"/>
  <c r="EE79" i="12"/>
  <c r="EC79" i="12"/>
  <c r="K79" i="12"/>
  <c r="DZ79" i="12"/>
  <c r="DX79" i="12"/>
  <c r="EL79" i="12" s="1"/>
  <c r="DR79" i="12"/>
  <c r="ED79" i="12"/>
  <c r="T79" i="12"/>
  <c r="U79" i="12" s="1"/>
  <c r="EA79" i="12"/>
  <c r="DY79" i="12"/>
  <c r="EM79" i="12" s="1"/>
  <c r="DV79" i="12"/>
  <c r="DS79" i="12"/>
  <c r="FQ83" i="12"/>
  <c r="FH83" i="12"/>
  <c r="FN83" i="12"/>
  <c r="FL83" i="12"/>
  <c r="FK83" i="12"/>
  <c r="FJ83" i="12"/>
  <c r="FR83" i="12"/>
  <c r="FP83" i="12"/>
  <c r="FM83" i="12"/>
  <c r="FM85" i="12"/>
  <c r="FS85" i="12"/>
  <c r="FQ85" i="12"/>
  <c r="FO85" i="12"/>
  <c r="FK85" i="12"/>
  <c r="FJ85" i="12"/>
  <c r="FH85" i="12"/>
  <c r="FP85" i="12"/>
  <c r="FN85" i="12"/>
  <c r="FL85" i="12"/>
  <c r="DY103" i="12"/>
  <c r="EM103" i="12" s="1"/>
  <c r="DW103" i="12"/>
  <c r="EK103" i="12" s="1"/>
  <c r="DR103" i="12"/>
  <c r="K103" i="12"/>
  <c r="ED103" i="12"/>
  <c r="EC103" i="12"/>
  <c r="DZ103" i="12"/>
  <c r="DV103" i="12"/>
  <c r="EE103" i="12"/>
  <c r="DS103" i="12"/>
  <c r="DQ103" i="12"/>
  <c r="DD62" i="12"/>
  <c r="AT65" i="12"/>
  <c r="AV65" i="12" s="1"/>
  <c r="DE66" i="12"/>
  <c r="K67" i="12"/>
  <c r="DZ69" i="12"/>
  <c r="DD13" i="12"/>
  <c r="DG13" i="12"/>
  <c r="DF21" i="12"/>
  <c r="DD22" i="12"/>
  <c r="DG22" i="12"/>
  <c r="AT23" i="12"/>
  <c r="AV23" i="12" s="1"/>
  <c r="EB27" i="12"/>
  <c r="DD28" i="12"/>
  <c r="AT29" i="12"/>
  <c r="AV29" i="12" s="1"/>
  <c r="EA29" i="12"/>
  <c r="FI30" i="12"/>
  <c r="DF31" i="12"/>
  <c r="DD32" i="12"/>
  <c r="DF34" i="12"/>
  <c r="DU35" i="12"/>
  <c r="DF40" i="12"/>
  <c r="EE41" i="12"/>
  <c r="EA42" i="12"/>
  <c r="DZ42" i="12"/>
  <c r="DY42" i="12"/>
  <c r="EM42" i="12" s="1"/>
  <c r="T42" i="12"/>
  <c r="U42" i="12" s="1"/>
  <c r="DV42" i="12"/>
  <c r="DT42" i="12"/>
  <c r="EI42" i="12" s="1"/>
  <c r="DE43" i="12"/>
  <c r="AT44" i="12"/>
  <c r="AV44" i="12" s="1"/>
  <c r="AW44" i="12" s="1"/>
  <c r="DW44" i="12"/>
  <c r="EK44" i="12" s="1"/>
  <c r="AG46" i="12"/>
  <c r="EB47" i="12"/>
  <c r="EF52" i="12"/>
  <c r="DQ54" i="12"/>
  <c r="ED54" i="12"/>
  <c r="DO54" i="12"/>
  <c r="DS54" i="12"/>
  <c r="AG55" i="12"/>
  <c r="EC55" i="12"/>
  <c r="ED56" i="12"/>
  <c r="FS56" i="12"/>
  <c r="AG60" i="12"/>
  <c r="DW63" i="12"/>
  <c r="EK63" i="12" s="1"/>
  <c r="EE63" i="12"/>
  <c r="EB63" i="12"/>
  <c r="K63" i="12"/>
  <c r="EA63" i="12"/>
  <c r="DQ63" i="12"/>
  <c r="Z65" i="12"/>
  <c r="EA67" i="12"/>
  <c r="DS67" i="12"/>
  <c r="EF67" i="12"/>
  <c r="DR67" i="12"/>
  <c r="T67" i="12"/>
  <c r="U67" i="12" s="1"/>
  <c r="AN67" i="12" s="1"/>
  <c r="EE67" i="12"/>
  <c r="DQ67" i="12"/>
  <c r="ED67" i="12"/>
  <c r="DP67" i="12"/>
  <c r="EB67" i="12"/>
  <c r="DZ67" i="12"/>
  <c r="DV67" i="12"/>
  <c r="DX67" i="12"/>
  <c r="EL67" i="12" s="1"/>
  <c r="DE74" i="12"/>
  <c r="AS78" i="12"/>
  <c r="AO78" i="12"/>
  <c r="AU78" i="12" s="1"/>
  <c r="AS110" i="12"/>
  <c r="AO110" i="12"/>
  <c r="AQ110" i="12" s="1"/>
  <c r="Z110" i="12"/>
  <c r="EF55" i="12"/>
  <c r="EE56" i="12"/>
  <c r="FH58" i="12"/>
  <c r="DO63" i="12"/>
  <c r="Z66" i="12"/>
  <c r="AT66" i="12"/>
  <c r="AV66" i="12" s="1"/>
  <c r="AS66" i="12"/>
  <c r="DF66" i="12"/>
  <c r="DY67" i="12"/>
  <c r="EM67" i="12" s="1"/>
  <c r="EA69" i="12"/>
  <c r="EB69" i="12"/>
  <c r="DR69" i="12"/>
  <c r="DP69" i="12"/>
  <c r="FM79" i="12"/>
  <c r="FR79" i="12"/>
  <c r="FP79" i="12"/>
  <c r="FK79" i="12"/>
  <c r="FQ79" i="12"/>
  <c r="FJ92" i="12"/>
  <c r="FM92" i="12"/>
  <c r="FN92" i="12"/>
  <c r="FK92" i="12"/>
  <c r="FR92" i="12"/>
  <c r="FL92" i="12"/>
  <c r="FH92" i="12"/>
  <c r="FQ92" i="12"/>
  <c r="FP92" i="12"/>
  <c r="FO92" i="12"/>
  <c r="DG16" i="12"/>
  <c r="DG24" i="12"/>
  <c r="Z50" i="12"/>
  <c r="AO50" i="12"/>
  <c r="DZ5" i="12"/>
  <c r="EF10" i="12"/>
  <c r="AS13" i="12"/>
  <c r="AT13" i="12"/>
  <c r="AV13" i="12" s="1"/>
  <c r="DD19" i="12"/>
  <c r="ED23" i="12"/>
  <c r="DU23" i="12"/>
  <c r="DX23" i="12"/>
  <c r="EL23" i="12" s="1"/>
  <c r="DU26" i="12"/>
  <c r="T35" i="12"/>
  <c r="U35" i="12" s="1"/>
  <c r="AN35" i="12" s="1"/>
  <c r="DX35" i="12"/>
  <c r="EL35" i="12" s="1"/>
  <c r="DD44" i="12"/>
  <c r="DG44" i="12"/>
  <c r="FO45" i="12"/>
  <c r="FI45" i="12"/>
  <c r="AT48" i="12"/>
  <c r="AV48" i="12" s="1"/>
  <c r="DE50" i="12"/>
  <c r="AO55" i="12"/>
  <c r="AS55" i="12"/>
  <c r="DW57" i="12"/>
  <c r="EK57" i="12" s="1"/>
  <c r="DZ57" i="12"/>
  <c r="DV57" i="12"/>
  <c r="EA57" i="12"/>
  <c r="DD58" i="12"/>
  <c r="DE60" i="12"/>
  <c r="DG11" i="12"/>
  <c r="DE13" i="12"/>
  <c r="AG3" i="12"/>
  <c r="DE3" i="12"/>
  <c r="DG3" i="12"/>
  <c r="FI4" i="12"/>
  <c r="FM5" i="12"/>
  <c r="DK6" i="12"/>
  <c r="AO12" i="12"/>
  <c r="AP12" i="12" s="1"/>
  <c r="DE18" i="12"/>
  <c r="AT19" i="12"/>
  <c r="AV19" i="12" s="1"/>
  <c r="AW19" i="12" s="1"/>
  <c r="DD21" i="12"/>
  <c r="AG25" i="12"/>
  <c r="AT26" i="12"/>
  <c r="AV26" i="12" s="1"/>
  <c r="AG30" i="12"/>
  <c r="DE30" i="12"/>
  <c r="AG32" i="12"/>
  <c r="AT33" i="12"/>
  <c r="AV33" i="12" s="1"/>
  <c r="EE35" i="12"/>
  <c r="DD40" i="12"/>
  <c r="DG40" i="12"/>
  <c r="DE41" i="12"/>
  <c r="EC44" i="12"/>
  <c r="FO44" i="12"/>
  <c r="FR44" i="12"/>
  <c r="FP44" i="12"/>
  <c r="AG47" i="12"/>
  <c r="DE47" i="12"/>
  <c r="DR52" i="12"/>
  <c r="AS54" i="12"/>
  <c r="FI54" i="12"/>
  <c r="FP54" i="12"/>
  <c r="FO54" i="12"/>
  <c r="FL54" i="12"/>
  <c r="FL58" i="12"/>
  <c r="AO63" i="12"/>
  <c r="DD67" i="12"/>
  <c r="AO73" i="12"/>
  <c r="DG91" i="12"/>
  <c r="EE50" i="12"/>
  <c r="EC50" i="12"/>
  <c r="DZ50" i="12"/>
  <c r="DS50" i="12"/>
  <c r="DO50" i="12"/>
  <c r="DS52" i="12"/>
  <c r="DG55" i="12"/>
  <c r="AG56" i="12"/>
  <c r="FM58" i="12"/>
  <c r="K60" i="12"/>
  <c r="DE61" i="12"/>
  <c r="K62" i="12"/>
  <c r="DF63" i="12"/>
  <c r="DF71" i="12"/>
  <c r="DS75" i="12"/>
  <c r="EE75" i="12"/>
  <c r="EA75" i="12"/>
  <c r="DX75" i="12"/>
  <c r="EL75" i="12" s="1"/>
  <c r="DW75" i="12"/>
  <c r="EK75" i="12" s="1"/>
  <c r="DV75" i="12"/>
  <c r="DQ75" i="12"/>
  <c r="DP75" i="12"/>
  <c r="DM79" i="12"/>
  <c r="K52" i="12"/>
  <c r="DE52" i="12"/>
  <c r="DT52" i="12"/>
  <c r="EI52" i="12" s="1"/>
  <c r="K55" i="12"/>
  <c r="DF55" i="12"/>
  <c r="DP55" i="12"/>
  <c r="DQ56" i="12"/>
  <c r="FP58" i="12"/>
  <c r="EB60" i="12"/>
  <c r="DX60" i="12"/>
  <c r="EL60" i="12" s="1"/>
  <c r="DV60" i="12"/>
  <c r="T60" i="12"/>
  <c r="U60" i="12" s="1"/>
  <c r="DU60" i="12"/>
  <c r="EF60" i="12"/>
  <c r="DR60" i="12"/>
  <c r="DT60" i="12"/>
  <c r="EI60" i="12" s="1"/>
  <c r="FJ60" i="12"/>
  <c r="EB62" i="12"/>
  <c r="DS62" i="12"/>
  <c r="AU80" i="12"/>
  <c r="AQ80" i="12"/>
  <c r="AS106" i="12"/>
  <c r="AT106" i="12"/>
  <c r="AV106" i="12" s="1"/>
  <c r="DF76" i="12"/>
  <c r="FI76" i="12"/>
  <c r="AO79" i="12"/>
  <c r="AP79" i="12" s="1"/>
  <c r="AS79" i="12"/>
  <c r="EC80" i="12"/>
  <c r="DS83" i="12"/>
  <c r="DY83" i="12"/>
  <c r="EM83" i="12" s="1"/>
  <c r="DV83" i="12"/>
  <c r="DZ90" i="12"/>
  <c r="DM92" i="12"/>
  <c r="EB125" i="12"/>
  <c r="EA125" i="12"/>
  <c r="DW125" i="12"/>
  <c r="EK125" i="12" s="1"/>
  <c r="DS125" i="12"/>
  <c r="DR125" i="12"/>
  <c r="DO125" i="12"/>
  <c r="K125" i="12"/>
  <c r="EE125" i="12"/>
  <c r="DE68" i="12"/>
  <c r="T71" i="12"/>
  <c r="U71" i="12" s="1"/>
  <c r="DS71" i="12"/>
  <c r="EF74" i="12"/>
  <c r="FK76" i="12"/>
  <c r="DE79" i="12"/>
  <c r="ED80" i="12"/>
  <c r="DV82" i="12"/>
  <c r="DW83" i="12"/>
  <c r="EK83" i="12" s="1"/>
  <c r="AS84" i="12"/>
  <c r="Z84" i="12"/>
  <c r="EE90" i="12"/>
  <c r="DF96" i="12"/>
  <c r="DW82" i="12"/>
  <c r="EK82" i="12" s="1"/>
  <c r="DX83" i="12"/>
  <c r="EL83" i="12" s="1"/>
  <c r="DE85" i="12"/>
  <c r="Z87" i="12"/>
  <c r="AC87" i="12" s="1"/>
  <c r="AD87" i="12" s="1"/>
  <c r="AT87" i="12"/>
  <c r="AV87" i="12" s="1"/>
  <c r="FK89" i="12"/>
  <c r="T90" i="12"/>
  <c r="U90" i="12" s="1"/>
  <c r="EB95" i="12"/>
  <c r="DO95" i="12"/>
  <c r="FI102" i="12"/>
  <c r="FO102" i="12"/>
  <c r="FH102" i="12"/>
  <c r="FS102" i="12"/>
  <c r="FR102" i="12"/>
  <c r="FM102" i="12"/>
  <c r="AL103" i="12"/>
  <c r="DJ103" i="12"/>
  <c r="DI103" i="12" s="1"/>
  <c r="AU104" i="12"/>
  <c r="AR104" i="12"/>
  <c r="EE109" i="12"/>
  <c r="DV109" i="12"/>
  <c r="EF109" i="12"/>
  <c r="EC109" i="12"/>
  <c r="EB109" i="12"/>
  <c r="DZ109" i="12"/>
  <c r="DY109" i="12"/>
  <c r="EM109" i="12" s="1"/>
  <c r="T109" i="12"/>
  <c r="U109" i="12" s="1"/>
  <c r="W109" i="12" s="1"/>
  <c r="DW109" i="12"/>
  <c r="EK109" i="12" s="1"/>
  <c r="DU109" i="12"/>
  <c r="DT109" i="12"/>
  <c r="EI109" i="12" s="1"/>
  <c r="DP109" i="12"/>
  <c r="K109" i="12"/>
  <c r="FQ114" i="12"/>
  <c r="FL114" i="12"/>
  <c r="FS114" i="12"/>
  <c r="FN114" i="12"/>
  <c r="FK114" i="12"/>
  <c r="DD12" i="12"/>
  <c r="DV15" i="12"/>
  <c r="DD17" i="12"/>
  <c r="DG17" i="12"/>
  <c r="DG19" i="12"/>
  <c r="DE26" i="12"/>
  <c r="DG26" i="12"/>
  <c r="DQ28" i="12"/>
  <c r="AG29" i="12"/>
  <c r="AT32" i="12"/>
  <c r="AV32" i="12" s="1"/>
  <c r="AW32" i="12" s="1"/>
  <c r="DF42" i="12"/>
  <c r="AG43" i="12"/>
  <c r="DD45" i="12"/>
  <c r="DF50" i="12"/>
  <c r="ED59" i="12"/>
  <c r="EB64" i="12"/>
  <c r="DE65" i="12"/>
  <c r="FR69" i="12"/>
  <c r="FN69" i="12"/>
  <c r="AG76" i="12"/>
  <c r="FR77" i="12"/>
  <c r="FN77" i="12"/>
  <c r="EC84" i="12"/>
  <c r="EA84" i="12"/>
  <c r="K84" i="12"/>
  <c r="DX84" i="12"/>
  <c r="EL84" i="12" s="1"/>
  <c r="DO84" i="12"/>
  <c r="DR87" i="12"/>
  <c r="EB89" i="12"/>
  <c r="FP89" i="12"/>
  <c r="AC117" i="12"/>
  <c r="AD117" i="12" s="1"/>
  <c r="AA117" i="12"/>
  <c r="DF69" i="12"/>
  <c r="FQ76" i="12"/>
  <c r="FH76" i="12"/>
  <c r="FN76" i="12"/>
  <c r="DD83" i="12"/>
  <c r="K87" i="12"/>
  <c r="ED89" i="12"/>
  <c r="DE90" i="12"/>
  <c r="AS92" i="12"/>
  <c r="FH93" i="12"/>
  <c r="FQ105" i="12"/>
  <c r="FK105" i="12"/>
  <c r="FM105" i="12"/>
  <c r="FI106" i="12"/>
  <c r="FN106" i="12"/>
  <c r="FS106" i="12"/>
  <c r="FP106" i="12"/>
  <c r="FO106" i="12"/>
  <c r="FM106" i="12"/>
  <c r="FK106" i="12"/>
  <c r="FJ106" i="12"/>
  <c r="FH106" i="12"/>
  <c r="DT86" i="12"/>
  <c r="EI86" i="12" s="1"/>
  <c r="EF86" i="12"/>
  <c r="ED86" i="12"/>
  <c r="DP86" i="12"/>
  <c r="DO86" i="12"/>
  <c r="EF87" i="12"/>
  <c r="DV87" i="12"/>
  <c r="T87" i="12"/>
  <c r="U87" i="12" s="1"/>
  <c r="DS87" i="12"/>
  <c r="DQ87" i="12"/>
  <c r="EC87" i="12"/>
  <c r="DW87" i="12"/>
  <c r="EK87" i="12" s="1"/>
  <c r="EE89" i="12"/>
  <c r="FO93" i="12"/>
  <c r="FN95" i="12"/>
  <c r="AS100" i="12"/>
  <c r="Z100" i="12"/>
  <c r="AO100" i="12"/>
  <c r="FQ116" i="12"/>
  <c r="FJ116" i="12"/>
  <c r="FI116" i="12"/>
  <c r="FR116" i="12"/>
  <c r="FK116" i="12"/>
  <c r="FH116" i="12"/>
  <c r="DG42" i="12"/>
  <c r="DD51" i="12"/>
  <c r="DG51" i="12"/>
  <c r="DZ53" i="12"/>
  <c r="DD60" i="12"/>
  <c r="DF60" i="12"/>
  <c r="AG62" i="12"/>
  <c r="DD66" i="12"/>
  <c r="DE67" i="12"/>
  <c r="FJ68" i="12"/>
  <c r="DE70" i="12"/>
  <c r="EA71" i="12"/>
  <c r="DT71" i="12"/>
  <c r="EI71" i="12" s="1"/>
  <c r="DE71" i="12"/>
  <c r="EC71" i="12"/>
  <c r="DW74" i="12"/>
  <c r="EK74" i="12" s="1"/>
  <c r="DF77" i="12"/>
  <c r="AQ84" i="12"/>
  <c r="DR86" i="12"/>
  <c r="DX87" i="12"/>
  <c r="EL87" i="12" s="1"/>
  <c r="EC88" i="12"/>
  <c r="EA88" i="12"/>
  <c r="DX88" i="12"/>
  <c r="EL88" i="12" s="1"/>
  <c r="DY88" i="12"/>
  <c r="EM88" i="12" s="1"/>
  <c r="DF89" i="12"/>
  <c r="FM89" i="12"/>
  <c r="FR89" i="12"/>
  <c r="FO89" i="12"/>
  <c r="W97" i="12"/>
  <c r="FK98" i="12"/>
  <c r="DD56" i="12"/>
  <c r="DF58" i="12"/>
  <c r="AG63" i="12"/>
  <c r="DF64" i="12"/>
  <c r="DO64" i="12"/>
  <c r="FK68" i="12"/>
  <c r="DD69" i="12"/>
  <c r="DG69" i="12"/>
  <c r="ED71" i="12"/>
  <c r="DD73" i="12"/>
  <c r="K74" i="12"/>
  <c r="FR75" i="12"/>
  <c r="FL75" i="12"/>
  <c r="AT76" i="12"/>
  <c r="AV76" i="12" s="1"/>
  <c r="DT80" i="12"/>
  <c r="EI80" i="12" s="1"/>
  <c r="DU80" i="12"/>
  <c r="DP80" i="12"/>
  <c r="EF80" i="12"/>
  <c r="DO80" i="12"/>
  <c r="AU84" i="12"/>
  <c r="DZ86" i="12"/>
  <c r="DY87" i="12"/>
  <c r="EM87" i="12" s="1"/>
  <c r="EC90" i="12"/>
  <c r="ED90" i="12"/>
  <c r="K90" i="12"/>
  <c r="DW90" i="12"/>
  <c r="EK90" i="12" s="1"/>
  <c r="DU90" i="12"/>
  <c r="DR90" i="12"/>
  <c r="FJ91" i="12"/>
  <c r="FS95" i="12"/>
  <c r="FM95" i="12"/>
  <c r="FR95" i="12"/>
  <c r="FQ95" i="12"/>
  <c r="FO95" i="12"/>
  <c r="FP99" i="12"/>
  <c r="FI99" i="12"/>
  <c r="FM99" i="12"/>
  <c r="FR99" i="12"/>
  <c r="FN115" i="12"/>
  <c r="FK115" i="12"/>
  <c r="FJ115" i="12"/>
  <c r="FS115" i="12"/>
  <c r="FQ115" i="12"/>
  <c r="FS129" i="12"/>
  <c r="FN129" i="12"/>
  <c r="FK129" i="12"/>
  <c r="FH129" i="12"/>
  <c r="FJ129" i="12"/>
  <c r="DF67" i="12"/>
  <c r="DG67" i="12"/>
  <c r="DO70" i="12"/>
  <c r="EE71" i="12"/>
  <c r="EE74" i="12"/>
  <c r="EA74" i="12"/>
  <c r="DO74" i="12"/>
  <c r="DY74" i="12"/>
  <c r="EM74" i="12" s="1"/>
  <c r="DG75" i="12"/>
  <c r="DQ80" i="12"/>
  <c r="EE86" i="12"/>
  <c r="DZ87" i="12"/>
  <c r="EB88" i="12"/>
  <c r="DS90" i="12"/>
  <c r="FK91" i="12"/>
  <c r="DD93" i="12"/>
  <c r="DG93" i="12"/>
  <c r="FM93" i="12"/>
  <c r="FN93" i="12"/>
  <c r="FS93" i="12"/>
  <c r="FR93" i="12"/>
  <c r="FS97" i="12"/>
  <c r="FP97" i="12"/>
  <c r="FI98" i="12"/>
  <c r="FJ98" i="12"/>
  <c r="FH98" i="12"/>
  <c r="FS98" i="12"/>
  <c r="FR98" i="12"/>
  <c r="FO98" i="12"/>
  <c r="FM98" i="12"/>
  <c r="DT102" i="12"/>
  <c r="EI102" i="12" s="1"/>
  <c r="K102" i="12"/>
  <c r="DQ109" i="12"/>
  <c r="DG110" i="12"/>
  <c r="FI110" i="12"/>
  <c r="FJ110" i="12"/>
  <c r="FS110" i="12"/>
  <c r="FR110" i="12"/>
  <c r="FP110" i="12"/>
  <c r="FO110" i="12"/>
  <c r="FM110" i="12"/>
  <c r="FL110" i="12"/>
  <c r="FK110" i="12"/>
  <c r="DL111" i="12"/>
  <c r="DM111" i="12"/>
  <c r="AL111" i="12"/>
  <c r="DK111" i="12"/>
  <c r="DJ111" i="12"/>
  <c r="DI111" i="12" s="1"/>
  <c r="AG112" i="12"/>
  <c r="DF65" i="12"/>
  <c r="AG68" i="12"/>
  <c r="T70" i="12"/>
  <c r="U70" i="12" s="1"/>
  <c r="DS70" i="12"/>
  <c r="AP71" i="12"/>
  <c r="AU71" i="12"/>
  <c r="DP71" i="12"/>
  <c r="EF71" i="12"/>
  <c r="DZ74" i="12"/>
  <c r="DY76" i="12"/>
  <c r="EM76" i="12" s="1"/>
  <c r="DT76" i="12"/>
  <c r="EI76" i="12" s="1"/>
  <c r="DY80" i="12"/>
  <c r="EM80" i="12" s="1"/>
  <c r="Z82" i="12"/>
  <c r="AO82" i="12"/>
  <c r="DE82" i="12"/>
  <c r="AG84" i="12"/>
  <c r="EB84" i="12"/>
  <c r="ED87" i="12"/>
  <c r="DT90" i="12"/>
  <c r="EI90" i="12" s="1"/>
  <c r="EF91" i="12"/>
  <c r="DV91" i="12"/>
  <c r="K91" i="12"/>
  <c r="AL91" i="12"/>
  <c r="DX91" i="12"/>
  <c r="EL91" i="12" s="1"/>
  <c r="FL91" i="12"/>
  <c r="FQ103" i="12"/>
  <c r="FR103" i="12"/>
  <c r="DX109" i="12"/>
  <c r="EL109" i="12" s="1"/>
  <c r="DG84" i="12"/>
  <c r="AO95" i="12"/>
  <c r="Z95" i="12"/>
  <c r="FQ123" i="12"/>
  <c r="FJ123" i="12"/>
  <c r="FH123" i="12"/>
  <c r="FO123" i="12"/>
  <c r="FK123" i="12"/>
  <c r="FS123" i="12"/>
  <c r="FR123" i="12"/>
  <c r="AG95" i="12"/>
  <c r="DV96" i="12"/>
  <c r="AG97" i="12"/>
  <c r="EC97" i="12"/>
  <c r="DZ99" i="12"/>
  <c r="AT100" i="12"/>
  <c r="AV100" i="12" s="1"/>
  <c r="AW100" i="12" s="1"/>
  <c r="AG100" i="12"/>
  <c r="EF101" i="12"/>
  <c r="FQ101" i="12"/>
  <c r="DZ105" i="12"/>
  <c r="T108" i="12"/>
  <c r="U108" i="12" s="1"/>
  <c r="W108" i="12" s="1"/>
  <c r="DW108" i="12"/>
  <c r="EK108" i="12" s="1"/>
  <c r="DF109" i="12"/>
  <c r="DF110" i="12"/>
  <c r="DS111" i="12"/>
  <c r="FO111" i="12"/>
  <c r="EE112" i="12"/>
  <c r="DT113" i="12"/>
  <c r="EI113" i="12" s="1"/>
  <c r="EB115" i="12"/>
  <c r="AS117" i="12"/>
  <c r="DF128" i="12"/>
  <c r="AO93" i="12"/>
  <c r="AT93" i="12"/>
  <c r="AV93" i="12" s="1"/>
  <c r="DX94" i="12"/>
  <c r="EL94" i="12" s="1"/>
  <c r="DZ96" i="12"/>
  <c r="AG99" i="12"/>
  <c r="ED99" i="12"/>
  <c r="DP101" i="12"/>
  <c r="DE105" i="12"/>
  <c r="EC105" i="12"/>
  <c r="DR107" i="12"/>
  <c r="DW107" i="12"/>
  <c r="EK107" i="12" s="1"/>
  <c r="DP107" i="12"/>
  <c r="AG108" i="12"/>
  <c r="DZ108" i="12"/>
  <c r="DW111" i="12"/>
  <c r="EK111" i="12" s="1"/>
  <c r="DV113" i="12"/>
  <c r="DE114" i="12"/>
  <c r="EF115" i="12"/>
  <c r="AT116" i="12"/>
  <c r="AV116" i="12" s="1"/>
  <c r="AS116" i="12"/>
  <c r="AO118" i="12"/>
  <c r="AS118" i="12"/>
  <c r="AG129" i="12"/>
  <c r="FJ134" i="12"/>
  <c r="FQ134" i="12"/>
  <c r="FN134" i="12"/>
  <c r="FM134" i="12"/>
  <c r="FK134" i="12"/>
  <c r="FH134" i="12"/>
  <c r="FS134" i="12"/>
  <c r="DM135" i="12"/>
  <c r="DJ135" i="12"/>
  <c r="DI135" i="12" s="1"/>
  <c r="AL135" i="12"/>
  <c r="DE76" i="12"/>
  <c r="DJ87" i="12"/>
  <c r="DI87" i="12" s="1"/>
  <c r="AG91" i="12"/>
  <c r="DE91" i="12"/>
  <c r="AT92" i="12"/>
  <c r="AV92" i="12" s="1"/>
  <c r="AX92" i="12" s="1"/>
  <c r="DY94" i="12"/>
  <c r="EM94" i="12" s="1"/>
  <c r="AG96" i="12"/>
  <c r="EB100" i="12"/>
  <c r="DZ100" i="12"/>
  <c r="T100" i="12"/>
  <c r="U100" i="12" s="1"/>
  <c r="DU100" i="12"/>
  <c r="DQ104" i="12"/>
  <c r="AG105" i="12"/>
  <c r="ED105" i="12"/>
  <c r="DS106" i="12"/>
  <c r="DQ107" i="12"/>
  <c r="EC108" i="12"/>
  <c r="DD109" i="12"/>
  <c r="AG110" i="12"/>
  <c r="EA111" i="12"/>
  <c r="K112" i="12"/>
  <c r="DX113" i="12"/>
  <c r="EL113" i="12" s="1"/>
  <c r="DF118" i="12"/>
  <c r="DG120" i="12"/>
  <c r="DD132" i="12"/>
  <c r="DZ135" i="12"/>
  <c r="T135" i="12"/>
  <c r="U135" i="12" s="1"/>
  <c r="ED135" i="12"/>
  <c r="EC135" i="12"/>
  <c r="DU135" i="12"/>
  <c r="AG136" i="12"/>
  <c r="DG137" i="12"/>
  <c r="EE97" i="12"/>
  <c r="ED97" i="12"/>
  <c r="DQ97" i="12"/>
  <c r="DD98" i="12"/>
  <c r="DF100" i="12"/>
  <c r="EE101" i="12"/>
  <c r="DR101" i="12"/>
  <c r="DT101" i="12"/>
  <c r="EI101" i="12" s="1"/>
  <c r="DP105" i="12"/>
  <c r="DF106" i="12"/>
  <c r="DS107" i="12"/>
  <c r="ED108" i="12"/>
  <c r="EB111" i="12"/>
  <c r="EB112" i="12"/>
  <c r="EC112" i="12"/>
  <c r="DV112" i="12"/>
  <c r="EJ112" i="12" s="1"/>
  <c r="DE112" i="12"/>
  <c r="DG112" i="12"/>
  <c r="DR112" i="12"/>
  <c r="T113" i="12"/>
  <c r="U113" i="12" s="1"/>
  <c r="DJ115" i="12"/>
  <c r="DI115" i="12" s="1"/>
  <c r="DE116" i="12"/>
  <c r="DE124" i="12"/>
  <c r="DO114" i="12"/>
  <c r="DE115" i="12"/>
  <c r="DK115" i="12"/>
  <c r="FH119" i="12"/>
  <c r="AG120" i="12"/>
  <c r="DG127" i="12"/>
  <c r="AO128" i="12"/>
  <c r="AU128" i="12" s="1"/>
  <c r="Z128" i="12"/>
  <c r="AS128" i="12"/>
  <c r="DF130" i="12"/>
  <c r="DT77" i="12"/>
  <c r="EI77" i="12" s="1"/>
  <c r="AT84" i="12"/>
  <c r="AV84" i="12" s="1"/>
  <c r="DD84" i="12"/>
  <c r="DF87" i="12"/>
  <c r="DD89" i="12"/>
  <c r="DG94" i="12"/>
  <c r="EF94" i="12"/>
  <c r="EA96" i="12"/>
  <c r="K96" i="12"/>
  <c r="DT97" i="12"/>
  <c r="EI97" i="12" s="1"/>
  <c r="DW101" i="12"/>
  <c r="EK101" i="12" s="1"/>
  <c r="DF102" i="12"/>
  <c r="DE103" i="12"/>
  <c r="K105" i="12"/>
  <c r="K108" i="12"/>
  <c r="AT110" i="12"/>
  <c r="AV110" i="12" s="1"/>
  <c r="DE111" i="12"/>
  <c r="DF112" i="12"/>
  <c r="DE113" i="12"/>
  <c r="FP113" i="12"/>
  <c r="FK113" i="12"/>
  <c r="DP114" i="12"/>
  <c r="FH118" i="12"/>
  <c r="FK119" i="12"/>
  <c r="FR120" i="12"/>
  <c r="FH120" i="12"/>
  <c r="FJ127" i="12"/>
  <c r="FH127" i="12"/>
  <c r="FP127" i="12"/>
  <c r="FN127" i="12"/>
  <c r="AT128" i="12"/>
  <c r="AV128" i="12" s="1"/>
  <c r="AO131" i="12"/>
  <c r="AS131" i="12"/>
  <c r="AT136" i="12"/>
  <c r="AV136" i="12" s="1"/>
  <c r="AS136" i="12"/>
  <c r="AO136" i="12"/>
  <c r="AQ136" i="12" s="1"/>
  <c r="Z136" i="12"/>
  <c r="AC136" i="12" s="1"/>
  <c r="AD136" i="12" s="1"/>
  <c r="EE105" i="12"/>
  <c r="DW105" i="12"/>
  <c r="EK105" i="12" s="1"/>
  <c r="DT105" i="12"/>
  <c r="EI105" i="12" s="1"/>
  <c r="EB108" i="12"/>
  <c r="EE108" i="12"/>
  <c r="DR108" i="12"/>
  <c r="DF114" i="12"/>
  <c r="DW115" i="12"/>
  <c r="EK115" i="12" s="1"/>
  <c r="EA115" i="12"/>
  <c r="DS115" i="12"/>
  <c r="DP115" i="12"/>
  <c r="AT117" i="12"/>
  <c r="AV117" i="12" s="1"/>
  <c r="DD118" i="12"/>
  <c r="DG118" i="12"/>
  <c r="DT119" i="12"/>
  <c r="EI119" i="12" s="1"/>
  <c r="FO119" i="12"/>
  <c r="EA122" i="12"/>
  <c r="ED122" i="12"/>
  <c r="EB122" i="12"/>
  <c r="DY122" i="12"/>
  <c r="EM122" i="12" s="1"/>
  <c r="T122" i="12"/>
  <c r="U122" i="12" s="1"/>
  <c r="W122" i="12" s="1"/>
  <c r="DU122" i="12"/>
  <c r="DT122" i="12"/>
  <c r="EI122" i="12" s="1"/>
  <c r="DQ122" i="12"/>
  <c r="EF122" i="12"/>
  <c r="DR122" i="12"/>
  <c r="FJ130" i="12"/>
  <c r="FM130" i="12"/>
  <c r="FK130" i="12"/>
  <c r="FH130" i="12"/>
  <c r="FQ130" i="12"/>
  <c r="FN130" i="12"/>
  <c r="FM135" i="12"/>
  <c r="FP135" i="12"/>
  <c r="FH135" i="12"/>
  <c r="DW77" i="12"/>
  <c r="EK77" i="12" s="1"/>
  <c r="AT78" i="12"/>
  <c r="AV78" i="12" s="1"/>
  <c r="AW78" i="12" s="1"/>
  <c r="AG79" i="12"/>
  <c r="DF80" i="12"/>
  <c r="DF82" i="12"/>
  <c r="DG82" i="12"/>
  <c r="FM82" i="12"/>
  <c r="AR85" i="12"/>
  <c r="AG86" i="12"/>
  <c r="DE86" i="12"/>
  <c r="DO92" i="12"/>
  <c r="AS93" i="12"/>
  <c r="DR94" i="12"/>
  <c r="DQ96" i="12"/>
  <c r="DD97" i="12"/>
  <c r="DW97" i="12"/>
  <c r="EK97" i="12" s="1"/>
  <c r="AG98" i="12"/>
  <c r="DY99" i="12"/>
  <c r="EM99" i="12" s="1"/>
  <c r="DS99" i="12"/>
  <c r="DQ99" i="12"/>
  <c r="DY101" i="12"/>
  <c r="EM101" i="12" s="1"/>
  <c r="DU105" i="12"/>
  <c r="AG107" i="12"/>
  <c r="DE107" i="12"/>
  <c r="DE108" i="12"/>
  <c r="DG108" i="12"/>
  <c r="DS108" i="12"/>
  <c r="AG109" i="12"/>
  <c r="DR115" i="12"/>
  <c r="FO118" i="12"/>
  <c r="FS118" i="12"/>
  <c r="AS120" i="12"/>
  <c r="AT120" i="12"/>
  <c r="AV120" i="12" s="1"/>
  <c r="DE120" i="12"/>
  <c r="EC122" i="12"/>
  <c r="AU126" i="12"/>
  <c r="AP126" i="12"/>
  <c r="EC119" i="12"/>
  <c r="DP119" i="12"/>
  <c r="EE119" i="12"/>
  <c r="ED119" i="12"/>
  <c r="DW119" i="12"/>
  <c r="EK119" i="12" s="1"/>
  <c r="T119" i="12"/>
  <c r="U119" i="12" s="1"/>
  <c r="DS119" i="12"/>
  <c r="DR119" i="12"/>
  <c r="DX119" i="12"/>
  <c r="EL119" i="12" s="1"/>
  <c r="FP119" i="12"/>
  <c r="FR119" i="12"/>
  <c r="FQ119" i="12"/>
  <c r="FJ119" i="12"/>
  <c r="AS124" i="12"/>
  <c r="AT124" i="12"/>
  <c r="AV124" i="12" s="1"/>
  <c r="AO124" i="12"/>
  <c r="AP124" i="12" s="1"/>
  <c r="DZ131" i="12"/>
  <c r="ED131" i="12"/>
  <c r="T131" i="12"/>
  <c r="U131" i="12" s="1"/>
  <c r="AN131" i="12" s="1"/>
  <c r="EC131" i="12"/>
  <c r="DU131" i="12"/>
  <c r="DR131" i="12"/>
  <c r="DQ131" i="12"/>
  <c r="AO132" i="12"/>
  <c r="AP132" i="12" s="1"/>
  <c r="AS132" i="12"/>
  <c r="AG71" i="12"/>
  <c r="DY77" i="12"/>
  <c r="EM77" i="12" s="1"/>
  <c r="DE83" i="12"/>
  <c r="AT85" i="12"/>
  <c r="AV85" i="12" s="1"/>
  <c r="DD87" i="12"/>
  <c r="DE88" i="12"/>
  <c r="AG89" i="12"/>
  <c r="DQ92" i="12"/>
  <c r="DT94" i="12"/>
  <c r="EI94" i="12" s="1"/>
  <c r="DT96" i="12"/>
  <c r="EI96" i="12" s="1"/>
  <c r="DY97" i="12"/>
  <c r="EM97" i="12" s="1"/>
  <c r="DV99" i="12"/>
  <c r="DE101" i="12"/>
  <c r="EC101" i="12"/>
  <c r="DX105" i="12"/>
  <c r="EL105" i="12" s="1"/>
  <c r="DU108" i="12"/>
  <c r="DD112" i="12"/>
  <c r="EE113" i="12"/>
  <c r="EB113" i="12"/>
  <c r="K113" i="12"/>
  <c r="DW113" i="12"/>
  <c r="EK113" i="12" s="1"/>
  <c r="DQ113" i="12"/>
  <c r="DD114" i="12"/>
  <c r="DD115" i="12"/>
  <c r="DF115" i="12"/>
  <c r="DU115" i="12"/>
  <c r="DD116" i="12"/>
  <c r="AC118" i="12"/>
  <c r="AD118" i="12" s="1"/>
  <c r="AA118" i="12"/>
  <c r="DE118" i="12"/>
  <c r="EB119" i="12"/>
  <c r="DF120" i="12"/>
  <c r="AU121" i="12"/>
  <c r="AR121" i="12"/>
  <c r="FS133" i="12"/>
  <c r="FN133" i="12"/>
  <c r="FK133" i="12"/>
  <c r="FH133" i="12"/>
  <c r="FS136" i="12"/>
  <c r="FH136" i="12"/>
  <c r="K120" i="12"/>
  <c r="DZ121" i="12"/>
  <c r="DW123" i="12"/>
  <c r="EK123" i="12" s="1"/>
  <c r="AC125" i="12"/>
  <c r="AD125" i="12" s="1"/>
  <c r="DQ127" i="12"/>
  <c r="T128" i="12"/>
  <c r="U128" i="12" s="1"/>
  <c r="AN128" i="12" s="1"/>
  <c r="DU132" i="12"/>
  <c r="DZ134" i="12"/>
  <c r="T136" i="12"/>
  <c r="U136" i="12" s="1"/>
  <c r="DX136" i="12"/>
  <c r="EL136" i="12" s="1"/>
  <c r="DD137" i="12"/>
  <c r="DE138" i="12"/>
  <c r="DF139" i="12"/>
  <c r="EC139" i="12"/>
  <c r="DF119" i="12"/>
  <c r="EC121" i="12"/>
  <c r="DD123" i="12"/>
  <c r="DX123" i="12"/>
  <c r="EL123" i="12" s="1"/>
  <c r="AT125" i="12"/>
  <c r="AV125" i="12" s="1"/>
  <c r="AW125" i="12" s="1"/>
  <c r="DD125" i="12"/>
  <c r="DG125" i="12"/>
  <c r="DR127" i="12"/>
  <c r="DR128" i="12"/>
  <c r="FH128" i="12"/>
  <c r="T129" i="12"/>
  <c r="U129" i="12" s="1"/>
  <c r="DO130" i="12"/>
  <c r="T132" i="12"/>
  <c r="U132" i="12" s="1"/>
  <c r="DX132" i="12"/>
  <c r="EL132" i="12" s="1"/>
  <c r="DD133" i="12"/>
  <c r="EA134" i="12"/>
  <c r="DD136" i="12"/>
  <c r="EF136" i="12"/>
  <c r="ED139" i="12"/>
  <c r="DE96" i="12"/>
  <c r="DD103" i="12"/>
  <c r="AG104" i="12"/>
  <c r="DD105" i="12"/>
  <c r="DF111" i="12"/>
  <c r="AG121" i="12"/>
  <c r="EF123" i="12"/>
  <c r="ED127" i="12"/>
  <c r="DX128" i="12"/>
  <c r="EL128" i="12" s="1"/>
  <c r="Z130" i="12"/>
  <c r="AT132" i="12"/>
  <c r="AV132" i="12" s="1"/>
  <c r="EF132" i="12"/>
  <c r="DG133" i="12"/>
  <c r="DF134" i="12"/>
  <c r="DE137" i="12"/>
  <c r="FH137" i="12"/>
  <c r="AO138" i="12"/>
  <c r="K136" i="12"/>
  <c r="DE136" i="12"/>
  <c r="FJ137" i="12"/>
  <c r="Z138" i="12"/>
  <c r="T139" i="12"/>
  <c r="U139" i="12" s="1"/>
  <c r="FH125" i="12"/>
  <c r="DD127" i="12"/>
  <c r="ED128" i="12"/>
  <c r="DE132" i="12"/>
  <c r="AG133" i="12"/>
  <c r="DE133" i="12"/>
  <c r="FK137" i="12"/>
  <c r="DR116" i="12"/>
  <c r="T120" i="12"/>
  <c r="U120" i="12" s="1"/>
  <c r="W120" i="12" s="1"/>
  <c r="DU120" i="12"/>
  <c r="K121" i="12"/>
  <c r="DJ123" i="12"/>
  <c r="DI123" i="12" s="1"/>
  <c r="FJ125" i="12"/>
  <c r="DD126" i="12"/>
  <c r="DF126" i="12"/>
  <c r="EF128" i="12"/>
  <c r="DF129" i="12"/>
  <c r="DD130" i="12"/>
  <c r="DG130" i="12"/>
  <c r="DK137" i="12"/>
  <c r="FN137" i="12"/>
  <c r="FH138" i="12"/>
  <c r="DU116" i="12"/>
  <c r="DV120" i="12"/>
  <c r="DQ121" i="12"/>
  <c r="DD122" i="12"/>
  <c r="DK123" i="12"/>
  <c r="FO125" i="12"/>
  <c r="AT130" i="12"/>
  <c r="AV130" i="12" s="1"/>
  <c r="AW130" i="12" s="1"/>
  <c r="AT134" i="12"/>
  <c r="AV134" i="12" s="1"/>
  <c r="DE134" i="12"/>
  <c r="DW137" i="12"/>
  <c r="EK137" i="12" s="1"/>
  <c r="FO137" i="12"/>
  <c r="FM138" i="12"/>
  <c r="AG139" i="12"/>
  <c r="DG139" i="12"/>
  <c r="DP123" i="12"/>
  <c r="DV124" i="12"/>
  <c r="DF125" i="12"/>
  <c r="FR125" i="12"/>
  <c r="DX137" i="12"/>
  <c r="EL137" i="12" s="1"/>
  <c r="FQ137" i="12"/>
  <c r="FN138" i="12"/>
  <c r="DT136" i="12"/>
  <c r="EI136" i="12" s="1"/>
  <c r="DE122" i="12"/>
  <c r="AL123" i="12"/>
  <c r="DT123" i="12"/>
  <c r="EI123" i="12" s="1"/>
  <c r="AS125" i="12"/>
  <c r="DE126" i="12"/>
  <c r="DO127" i="12"/>
  <c r="DF132" i="12"/>
  <c r="DG132" i="12"/>
  <c r="DT132" i="12"/>
  <c r="EI132" i="12" s="1"/>
  <c r="DM134" i="12"/>
  <c r="DE135" i="12"/>
  <c r="DG135" i="12"/>
  <c r="DU136" i="12"/>
  <c r="DR139" i="12"/>
  <c r="AA28" i="12"/>
  <c r="AC28" i="12"/>
  <c r="AD28" i="12" s="1"/>
  <c r="FP6" i="12"/>
  <c r="FK6" i="12"/>
  <c r="FS6" i="12"/>
  <c r="FJ6" i="12"/>
  <c r="FH6" i="12"/>
  <c r="FR6" i="12"/>
  <c r="FQ6" i="12"/>
  <c r="FO6" i="12"/>
  <c r="FM6" i="12"/>
  <c r="FL6" i="12"/>
  <c r="FI6" i="12"/>
  <c r="FN6" i="12"/>
  <c r="FK11" i="12"/>
  <c r="FR11" i="12"/>
  <c r="FN11" i="12"/>
  <c r="FQ11" i="12"/>
  <c r="FM11" i="12"/>
  <c r="FI11" i="12"/>
  <c r="FL11" i="12"/>
  <c r="FJ11" i="12"/>
  <c r="FH11" i="12"/>
  <c r="FP11" i="12"/>
  <c r="FS11" i="12"/>
  <c r="FO11" i="12"/>
  <c r="FS28" i="12"/>
  <c r="FQ28" i="12"/>
  <c r="FN28" i="12"/>
  <c r="FL28" i="12"/>
  <c r="FJ28" i="12"/>
  <c r="FM28" i="12"/>
  <c r="FK28" i="12"/>
  <c r="FH28" i="12"/>
  <c r="FR28" i="12"/>
  <c r="FP28" i="12"/>
  <c r="FO28" i="12"/>
  <c r="FI28" i="12"/>
  <c r="AP46" i="12"/>
  <c r="AR46" i="12"/>
  <c r="AU46" i="12"/>
  <c r="AQ46" i="12"/>
  <c r="AL12" i="12"/>
  <c r="FS22" i="12"/>
  <c r="FQ22" i="12"/>
  <c r="FN22" i="12"/>
  <c r="FL22" i="12"/>
  <c r="FJ22" i="12"/>
  <c r="DL28" i="12"/>
  <c r="DJ28" i="12"/>
  <c r="DI28" i="12" s="1"/>
  <c r="FH7" i="12"/>
  <c r="DE12" i="12"/>
  <c r="AS17" i="12"/>
  <c r="DQ3" i="12"/>
  <c r="FK3" i="12"/>
  <c r="FO4" i="12"/>
  <c r="FJ5" i="12"/>
  <c r="DY7" i="12"/>
  <c r="EM7" i="12" s="1"/>
  <c r="FK7" i="12"/>
  <c r="FI8" i="12"/>
  <c r="DM10" i="12"/>
  <c r="DJ10" i="12"/>
  <c r="DI10" i="12" s="1"/>
  <c r="AL10" i="12"/>
  <c r="AA12" i="12"/>
  <c r="FO12" i="12"/>
  <c r="DO13" i="12"/>
  <c r="EE13" i="12"/>
  <c r="FH13" i="12"/>
  <c r="DG14" i="12"/>
  <c r="FL14" i="12"/>
  <c r="AS15" i="12"/>
  <c r="FK15" i="12"/>
  <c r="FP16" i="12"/>
  <c r="FJ18" i="12"/>
  <c r="FO19" i="12"/>
  <c r="EE20" i="12"/>
  <c r="DV21" i="12"/>
  <c r="AS22" i="12"/>
  <c r="FL23" i="12"/>
  <c r="Z24" i="12"/>
  <c r="FH24" i="12"/>
  <c r="FM25" i="12"/>
  <c r="FK25" i="12"/>
  <c r="FH25" i="12"/>
  <c r="FR25" i="12"/>
  <c r="FP25" i="12"/>
  <c r="FN26" i="12"/>
  <c r="DY27" i="12"/>
  <c r="EM27" i="12" s="1"/>
  <c r="DK29" i="12"/>
  <c r="EF29" i="12"/>
  <c r="FL29" i="12"/>
  <c r="FL30" i="12"/>
  <c r="AU33" i="12"/>
  <c r="AR33" i="12"/>
  <c r="AP33" i="12"/>
  <c r="FH53" i="12"/>
  <c r="FS53" i="12"/>
  <c r="FR53" i="12"/>
  <c r="FQ53" i="12"/>
  <c r="FP53" i="12"/>
  <c r="FK53" i="12"/>
  <c r="FJ53" i="12"/>
  <c r="FN53" i="12"/>
  <c r="FM53" i="12"/>
  <c r="FI53" i="12"/>
  <c r="FO53" i="12"/>
  <c r="FL53" i="12"/>
  <c r="FM27" i="12"/>
  <c r="FK27" i="12"/>
  <c r="FH27" i="12"/>
  <c r="FR27" i="12"/>
  <c r="FP27" i="12"/>
  <c r="DM28" i="12"/>
  <c r="DO3" i="12"/>
  <c r="EB13" i="12"/>
  <c r="DR3" i="12"/>
  <c r="FL3" i="12"/>
  <c r="AA5" i="12"/>
  <c r="FL5" i="12"/>
  <c r="DE6" i="12"/>
  <c r="FL7" i="12"/>
  <c r="FJ8" i="12"/>
  <c r="AO9" i="12"/>
  <c r="AW9" i="12" s="1"/>
  <c r="FP12" i="12"/>
  <c r="T13" i="12"/>
  <c r="U13" i="12" s="1"/>
  <c r="DP13" i="12"/>
  <c r="EF13" i="12"/>
  <c r="FJ13" i="12"/>
  <c r="FM14" i="12"/>
  <c r="FL15" i="12"/>
  <c r="EA18" i="12"/>
  <c r="DU18" i="12"/>
  <c r="DS18" i="12"/>
  <c r="DR18" i="12"/>
  <c r="FL18" i="12"/>
  <c r="EF20" i="12"/>
  <c r="DE21" i="12"/>
  <c r="DW21" i="12"/>
  <c r="EK21" i="12" s="1"/>
  <c r="DK23" i="12"/>
  <c r="FN23" i="12"/>
  <c r="DE24" i="12"/>
  <c r="FJ24" i="12"/>
  <c r="EA26" i="12"/>
  <c r="DR26" i="12"/>
  <c r="ED26" i="12"/>
  <c r="DF26" i="12"/>
  <c r="DS26" i="12"/>
  <c r="FP26" i="12"/>
  <c r="EA27" i="12"/>
  <c r="FN29" i="12"/>
  <c r="FN30" i="12"/>
  <c r="FK31" i="12"/>
  <c r="DG32" i="12"/>
  <c r="AQ33" i="12"/>
  <c r="DG34" i="12"/>
  <c r="FQ38" i="12"/>
  <c r="FP38" i="12"/>
  <c r="FN38" i="12"/>
  <c r="FM38" i="12"/>
  <c r="FK38" i="12"/>
  <c r="FJ38" i="12"/>
  <c r="FI38" i="12"/>
  <c r="FS38" i="12"/>
  <c r="FR38" i="12"/>
  <c r="DR8" i="12"/>
  <c r="FM8" i="12"/>
  <c r="DJ12" i="12"/>
  <c r="DI12" i="12" s="1"/>
  <c r="Z13" i="12"/>
  <c r="AO13" i="12"/>
  <c r="DS13" i="12"/>
  <c r="FM13" i="12"/>
  <c r="DE14" i="12"/>
  <c r="FP14" i="12"/>
  <c r="T15" i="12"/>
  <c r="U15" i="12" s="1"/>
  <c r="W15" i="12" s="1"/>
  <c r="DD15" i="12"/>
  <c r="FO15" i="12"/>
  <c r="FK16" i="12"/>
  <c r="FR16" i="12"/>
  <c r="FN16" i="12"/>
  <c r="AS18" i="12"/>
  <c r="FN18" i="12"/>
  <c r="FS19" i="12"/>
  <c r="FQ19" i="12"/>
  <c r="FN19" i="12"/>
  <c r="FL19" i="12"/>
  <c r="FJ19" i="12"/>
  <c r="DO20" i="12"/>
  <c r="EA21" i="12"/>
  <c r="FI22" i="12"/>
  <c r="FQ23" i="12"/>
  <c r="ED27" i="12"/>
  <c r="FJ27" i="12"/>
  <c r="AL28" i="12"/>
  <c r="DD29" i="12"/>
  <c r="DQ29" i="12"/>
  <c r="FR29" i="12"/>
  <c r="FQ30" i="12"/>
  <c r="Z46" i="12"/>
  <c r="AS46" i="12"/>
  <c r="AT46" i="12"/>
  <c r="AV46" i="12" s="1"/>
  <c r="AW50" i="12"/>
  <c r="AA57" i="12"/>
  <c r="AC57" i="12"/>
  <c r="AD57" i="12" s="1"/>
  <c r="AO5" i="12"/>
  <c r="FQ47" i="12"/>
  <c r="FN47" i="12"/>
  <c r="FL47" i="12"/>
  <c r="FK47" i="12"/>
  <c r="FH47" i="12"/>
  <c r="FS47" i="12"/>
  <c r="FO47" i="12"/>
  <c r="FM47" i="12"/>
  <c r="FJ47" i="12"/>
  <c r="FI47" i="12"/>
  <c r="FR47" i="12"/>
  <c r="FP47" i="12"/>
  <c r="AT3" i="12"/>
  <c r="AV3" i="12" s="1"/>
  <c r="AO3" i="12"/>
  <c r="DU3" i="12"/>
  <c r="FO3" i="12"/>
  <c r="DD4" i="12"/>
  <c r="DG4" i="12"/>
  <c r="FO7" i="12"/>
  <c r="DW3" i="12"/>
  <c r="EK3" i="12" s="1"/>
  <c r="FQ4" i="12"/>
  <c r="FL4" i="12"/>
  <c r="FH4" i="12"/>
  <c r="FP7" i="12"/>
  <c r="EB8" i="12"/>
  <c r="FN8" i="12"/>
  <c r="Z11" i="12"/>
  <c r="AT11" i="12"/>
  <c r="AV11" i="12" s="1"/>
  <c r="DK12" i="12"/>
  <c r="FR12" i="12"/>
  <c r="FM12" i="12"/>
  <c r="FI12" i="12"/>
  <c r="DT13" i="12"/>
  <c r="EI13" i="12" s="1"/>
  <c r="FN13" i="12"/>
  <c r="FQ14" i="12"/>
  <c r="AG15" i="12"/>
  <c r="FP15" i="12"/>
  <c r="FO18" i="12"/>
  <c r="AU19" i="12"/>
  <c r="AP19" i="12"/>
  <c r="DJ20" i="12"/>
  <c r="DI20" i="12" s="1"/>
  <c r="AL20" i="12"/>
  <c r="DM20" i="12"/>
  <c r="DD20" i="12"/>
  <c r="AO21" i="12"/>
  <c r="Z21" i="12"/>
  <c r="AT21" i="12"/>
  <c r="AV21" i="12" s="1"/>
  <c r="EB21" i="12"/>
  <c r="FK22" i="12"/>
  <c r="DG25" i="12"/>
  <c r="FJ26" i="12"/>
  <c r="FH26" i="12"/>
  <c r="FQ26" i="12"/>
  <c r="FO26" i="12"/>
  <c r="FM26" i="12"/>
  <c r="DM27" i="12"/>
  <c r="DK27" i="12"/>
  <c r="DJ27" i="12"/>
  <c r="DI27" i="12" s="1"/>
  <c r="FL27" i="12"/>
  <c r="DJ29" i="12"/>
  <c r="DI29" i="12" s="1"/>
  <c r="AL29" i="12"/>
  <c r="DM29" i="12"/>
  <c r="DG29" i="12"/>
  <c r="FQ39" i="12"/>
  <c r="FL39" i="12"/>
  <c r="FK39" i="12"/>
  <c r="FJ39" i="12"/>
  <c r="FI39" i="12"/>
  <c r="FH39" i="12"/>
  <c r="FS39" i="12"/>
  <c r="FR39" i="12"/>
  <c r="FP39" i="12"/>
  <c r="FN39" i="12"/>
  <c r="FM39" i="12"/>
  <c r="AO27" i="12"/>
  <c r="Z27" i="12"/>
  <c r="AT27" i="12"/>
  <c r="AV27" i="12" s="1"/>
  <c r="DI13" i="12"/>
  <c r="DU13" i="12"/>
  <c r="FO13" i="12"/>
  <c r="FR14" i="12"/>
  <c r="DE15" i="12"/>
  <c r="FR15" i="12"/>
  <c r="DD18" i="12"/>
  <c r="FQ18" i="12"/>
  <c r="DW20" i="12"/>
  <c r="EK20" i="12" s="1"/>
  <c r="DU20" i="12"/>
  <c r="T20" i="12"/>
  <c r="U20" i="12" s="1"/>
  <c r="ED20" i="12"/>
  <c r="DR20" i="12"/>
  <c r="EB20" i="12"/>
  <c r="DP20" i="12"/>
  <c r="DZ20" i="12"/>
  <c r="EN20" i="12" s="1"/>
  <c r="K20" i="12"/>
  <c r="DG20" i="12"/>
  <c r="DS20" i="12"/>
  <c r="ED21" i="12"/>
  <c r="DE22" i="12"/>
  <c r="FM22" i="12"/>
  <c r="FO23" i="12"/>
  <c r="FM23" i="12"/>
  <c r="FJ23" i="12"/>
  <c r="FH23" i="12"/>
  <c r="FR23" i="12"/>
  <c r="DZ27" i="12"/>
  <c r="K27" i="12"/>
  <c r="DX27" i="12"/>
  <c r="EL27" i="12" s="1"/>
  <c r="DU27" i="12"/>
  <c r="T27" i="12"/>
  <c r="U27" i="12" s="1"/>
  <c r="EE27" i="12"/>
  <c r="DS27" i="12"/>
  <c r="EC27" i="12"/>
  <c r="DQ27" i="12"/>
  <c r="FN27" i="12"/>
  <c r="DW29" i="12"/>
  <c r="EK29" i="12" s="1"/>
  <c r="DU29" i="12"/>
  <c r="T29" i="12"/>
  <c r="U29" i="12" s="1"/>
  <c r="ED29" i="12"/>
  <c r="DR29" i="12"/>
  <c r="EB29" i="12"/>
  <c r="DP29" i="12"/>
  <c r="DZ29" i="12"/>
  <c r="EN29" i="12" s="1"/>
  <c r="K29" i="12"/>
  <c r="DT29" i="12"/>
  <c r="EI29" i="12" s="1"/>
  <c r="FJ29" i="12"/>
  <c r="FH29" i="12"/>
  <c r="FQ29" i="12"/>
  <c r="FO29" i="12"/>
  <c r="FM29" i="12"/>
  <c r="FM30" i="12"/>
  <c r="FK30" i="12"/>
  <c r="FH30" i="12"/>
  <c r="FR30" i="12"/>
  <c r="FP30" i="12"/>
  <c r="FK37" i="12"/>
  <c r="FJ37" i="12"/>
  <c r="FH37" i="12"/>
  <c r="FS37" i="12"/>
  <c r="FQ37" i="12"/>
  <c r="FP37" i="12"/>
  <c r="FO37" i="12"/>
  <c r="FM37" i="12"/>
  <c r="FL37" i="12"/>
  <c r="DU5" i="12"/>
  <c r="EB5" i="12"/>
  <c r="DP5" i="12"/>
  <c r="DX5" i="12"/>
  <c r="EL5" i="12" s="1"/>
  <c r="AT5" i="12"/>
  <c r="AV5" i="12" s="1"/>
  <c r="DY5" i="12"/>
  <c r="EM5" i="12" s="1"/>
  <c r="AT6" i="12"/>
  <c r="AV6" i="12" s="1"/>
  <c r="Z6" i="12"/>
  <c r="AO6" i="12"/>
  <c r="Z8" i="12"/>
  <c r="AA8" i="12" s="1"/>
  <c r="AO8" i="12"/>
  <c r="AP8" i="12" s="1"/>
  <c r="FQ8" i="12"/>
  <c r="AG9" i="12"/>
  <c r="FN9" i="12"/>
  <c r="AG10" i="12"/>
  <c r="FH10" i="12"/>
  <c r="FO10" i="12"/>
  <c r="FK10" i="12"/>
  <c r="K13" i="12"/>
  <c r="DW13" i="12"/>
  <c r="EK13" i="12" s="1"/>
  <c r="FQ13" i="12"/>
  <c r="FH16" i="12"/>
  <c r="DG18" i="12"/>
  <c r="AR19" i="12"/>
  <c r="DT20" i="12"/>
  <c r="EI20" i="12" s="1"/>
  <c r="FJ20" i="12"/>
  <c r="FH20" i="12"/>
  <c r="FQ20" i="12"/>
  <c r="FO20" i="12"/>
  <c r="FM20" i="12"/>
  <c r="DM21" i="12"/>
  <c r="DK21" i="12"/>
  <c r="DJ21" i="12"/>
  <c r="DI21" i="12" s="1"/>
  <c r="FO22" i="12"/>
  <c r="DG23" i="12"/>
  <c r="FJ25" i="12"/>
  <c r="T26" i="12"/>
  <c r="U26" i="12" s="1"/>
  <c r="DO27" i="12"/>
  <c r="FO27" i="12"/>
  <c r="DV29" i="12"/>
  <c r="ED31" i="12"/>
  <c r="DW31" i="12"/>
  <c r="EK31" i="12" s="1"/>
  <c r="T31" i="12"/>
  <c r="U31" i="12" s="1"/>
  <c r="AN31" i="12" s="1"/>
  <c r="DX31" i="12"/>
  <c r="EL31" i="12" s="1"/>
  <c r="FO32" i="12"/>
  <c r="FP33" i="12"/>
  <c r="FM34" i="12"/>
  <c r="FL34" i="12"/>
  <c r="FJ34" i="12"/>
  <c r="FI34" i="12"/>
  <c r="FS34" i="12"/>
  <c r="FR34" i="12"/>
  <c r="FQ34" i="12"/>
  <c r="FO34" i="12"/>
  <c r="FN34" i="12"/>
  <c r="FN42" i="12"/>
  <c r="FK42" i="12"/>
  <c r="FH42" i="12"/>
  <c r="FQ42" i="12"/>
  <c r="FP42" i="12"/>
  <c r="FI42" i="12"/>
  <c r="FS42" i="12"/>
  <c r="FR42" i="12"/>
  <c r="FO42" i="12"/>
  <c r="FL42" i="12"/>
  <c r="FJ42" i="12"/>
  <c r="DE46" i="12"/>
  <c r="DM12" i="12"/>
  <c r="AU20" i="12"/>
  <c r="DM3" i="12"/>
  <c r="DY3" i="12"/>
  <c r="EM3" i="12" s="1"/>
  <c r="FR7" i="12"/>
  <c r="FM7" i="12"/>
  <c r="FI7" i="12"/>
  <c r="FR8" i="12"/>
  <c r="FR13" i="12"/>
  <c r="DM15" i="12"/>
  <c r="DK15" i="12"/>
  <c r="FP18" i="12"/>
  <c r="FK18" i="12"/>
  <c r="FI18" i="12"/>
  <c r="FS18" i="12"/>
  <c r="DZ21" i="12"/>
  <c r="K21" i="12"/>
  <c r="DX21" i="12"/>
  <c r="EL21" i="12" s="1"/>
  <c r="DU21" i="12"/>
  <c r="T21" i="12"/>
  <c r="U21" i="12" s="1"/>
  <c r="EE21" i="12"/>
  <c r="DS21" i="12"/>
  <c r="EC21" i="12"/>
  <c r="DQ21" i="12"/>
  <c r="FP22" i="12"/>
  <c r="FP24" i="12"/>
  <c r="FN24" i="12"/>
  <c r="FK24" i="12"/>
  <c r="FI24" i="12"/>
  <c r="FS24" i="12"/>
  <c r="DE25" i="12"/>
  <c r="FL25" i="12"/>
  <c r="DP27" i="12"/>
  <c r="FQ27" i="12"/>
  <c r="AT28" i="12"/>
  <c r="AV28" i="12" s="1"/>
  <c r="AO28" i="12"/>
  <c r="DX29" i="12"/>
  <c r="EL29" i="12" s="1"/>
  <c r="DD30" i="12"/>
  <c r="FJ31" i="12"/>
  <c r="FH31" i="12"/>
  <c r="FQ31" i="12"/>
  <c r="FO31" i="12"/>
  <c r="FM31" i="12"/>
  <c r="DK32" i="12"/>
  <c r="FI35" i="12"/>
  <c r="FK36" i="12"/>
  <c r="FJ36" i="12"/>
  <c r="FH36" i="12"/>
  <c r="FS36" i="12"/>
  <c r="FQ36" i="12"/>
  <c r="FP36" i="12"/>
  <c r="FO36" i="12"/>
  <c r="FM36" i="12"/>
  <c r="FL36" i="12"/>
  <c r="EA37" i="12"/>
  <c r="DY37" i="12"/>
  <c r="EM37" i="12" s="1"/>
  <c r="DR37" i="12"/>
  <c r="FN51" i="12"/>
  <c r="FM51" i="12"/>
  <c r="FL51" i="12"/>
  <c r="FK51" i="12"/>
  <c r="FR51" i="12"/>
  <c r="FQ51" i="12"/>
  <c r="FJ51" i="12"/>
  <c r="FI51" i="12"/>
  <c r="FO51" i="12"/>
  <c r="FH51" i="12"/>
  <c r="FS51" i="12"/>
  <c r="FP51" i="12"/>
  <c r="DK52" i="12"/>
  <c r="AS5" i="12"/>
  <c r="EE3" i="12"/>
  <c r="DS3" i="12"/>
  <c r="DZ3" i="12"/>
  <c r="EN3" i="12" s="1"/>
  <c r="K3" i="12"/>
  <c r="T3" i="12" s="1"/>
  <c r="U3" i="12" s="1"/>
  <c r="DV3" i="12"/>
  <c r="DJ3" i="12"/>
  <c r="DI3" i="12" s="1"/>
  <c r="FR3" i="12"/>
  <c r="FM3" i="12"/>
  <c r="FI3" i="12"/>
  <c r="DV13" i="12"/>
  <c r="EC13" i="12"/>
  <c r="DQ13" i="12"/>
  <c r="DY13" i="12"/>
  <c r="EM13" i="12" s="1"/>
  <c r="FH14" i="12"/>
  <c r="FO14" i="12"/>
  <c r="FK14" i="12"/>
  <c r="FN15" i="12"/>
  <c r="FI15" i="12"/>
  <c r="FQ15" i="12"/>
  <c r="AO17" i="12"/>
  <c r="DK3" i="12"/>
  <c r="EB3" i="12"/>
  <c r="FJ4" i="12"/>
  <c r="DJ5" i="12"/>
  <c r="DI5" i="12" s="1"/>
  <c r="FH5" i="12"/>
  <c r="FO5" i="12"/>
  <c r="FK5" i="12"/>
  <c r="DV7" i="12"/>
  <c r="DW7" i="12"/>
  <c r="EK7" i="12" s="1"/>
  <c r="DZ7" i="12"/>
  <c r="EN7" i="12" s="1"/>
  <c r="DR7" i="12"/>
  <c r="AS11" i="12"/>
  <c r="FJ12" i="12"/>
  <c r="DZ13" i="12"/>
  <c r="EN13" i="12" s="1"/>
  <c r="DF14" i="12"/>
  <c r="DJ15" i="12"/>
  <c r="DI15" i="12" s="1"/>
  <c r="FJ16" i="12"/>
  <c r="DF17" i="12"/>
  <c r="DK17" i="12"/>
  <c r="DF19" i="12"/>
  <c r="FH19" i="12"/>
  <c r="DX20" i="12"/>
  <c r="EL20" i="12" s="1"/>
  <c r="DO21" i="12"/>
  <c r="FR22" i="12"/>
  <c r="DG27" i="12"/>
  <c r="DR27" i="12"/>
  <c r="FS27" i="12"/>
  <c r="DF28" i="12"/>
  <c r="DK28" i="12"/>
  <c r="DY29" i="12"/>
  <c r="EM29" i="12" s="1"/>
  <c r="DG30" i="12"/>
  <c r="DU32" i="12"/>
  <c r="K32" i="12"/>
  <c r="DZ32" i="12"/>
  <c r="DX32" i="12"/>
  <c r="EL32" i="12" s="1"/>
  <c r="DY32" i="12"/>
  <c r="EM32" i="12" s="1"/>
  <c r="FS32" i="12"/>
  <c r="FQ32" i="12"/>
  <c r="FP32" i="12"/>
  <c r="FN32" i="12"/>
  <c r="FL32" i="12"/>
  <c r="FJ32" i="12"/>
  <c r="FR33" i="12"/>
  <c r="FQ33" i="12"/>
  <c r="FO33" i="12"/>
  <c r="FN33" i="12"/>
  <c r="FL33" i="12"/>
  <c r="FJ33" i="12"/>
  <c r="FH33" i="12"/>
  <c r="FM35" i="12"/>
  <c r="EB37" i="12"/>
  <c r="AU53" i="12"/>
  <c r="AR53" i="12"/>
  <c r="AQ53" i="12"/>
  <c r="AP53" i="12"/>
  <c r="DJ33" i="12"/>
  <c r="DI33" i="12" s="1"/>
  <c r="DK33" i="12"/>
  <c r="DU16" i="12"/>
  <c r="DZ16" i="12"/>
  <c r="AO18" i="12"/>
  <c r="Z18" i="12"/>
  <c r="AP20" i="12"/>
  <c r="DG21" i="12"/>
  <c r="DR21" i="12"/>
  <c r="AO26" i="12"/>
  <c r="AP26" i="12" s="1"/>
  <c r="AS26" i="12"/>
  <c r="Z26" i="12"/>
  <c r="AC26" i="12" s="1"/>
  <c r="AD26" i="12" s="1"/>
  <c r="DE31" i="12"/>
  <c r="FR35" i="12"/>
  <c r="FQ35" i="12"/>
  <c r="FO35" i="12"/>
  <c r="FN35" i="12"/>
  <c r="FL35" i="12"/>
  <c r="FK35" i="12"/>
  <c r="FJ35" i="12"/>
  <c r="FH35" i="12"/>
  <c r="FS35" i="12"/>
  <c r="DY36" i="12"/>
  <c r="EM36" i="12" s="1"/>
  <c r="DE38" i="12"/>
  <c r="AP23" i="12"/>
  <c r="DL3" i="12"/>
  <c r="FH8" i="12"/>
  <c r="FO8" i="12"/>
  <c r="FK8" i="12"/>
  <c r="FI13" i="12"/>
  <c r="FP13" i="12"/>
  <c r="FL13" i="12"/>
  <c r="ED3" i="12"/>
  <c r="FH3" i="12"/>
  <c r="DY8" i="12"/>
  <c r="EM8" i="12" s="1"/>
  <c r="DP8" i="12"/>
  <c r="DZ8" i="12"/>
  <c r="FI14" i="12"/>
  <c r="AL15" i="12"/>
  <c r="FH15" i="12"/>
  <c r="DP3" i="12"/>
  <c r="EF3" i="12"/>
  <c r="FJ3" i="12"/>
  <c r="FN4" i="12"/>
  <c r="AL5" i="12"/>
  <c r="DG5" i="12"/>
  <c r="FJ7" i="12"/>
  <c r="DF8" i="12"/>
  <c r="FJ9" i="12"/>
  <c r="FQ9" i="12"/>
  <c r="FM9" i="12"/>
  <c r="FN12" i="12"/>
  <c r="ED13" i="12"/>
  <c r="DD14" i="12"/>
  <c r="FJ14" i="12"/>
  <c r="FJ15" i="12"/>
  <c r="DX16" i="12"/>
  <c r="EL16" i="12" s="1"/>
  <c r="FO16" i="12"/>
  <c r="FI17" i="12"/>
  <c r="FP17" i="12"/>
  <c r="FL17" i="12"/>
  <c r="FH18" i="12"/>
  <c r="FM19" i="12"/>
  <c r="AR20" i="12"/>
  <c r="EC20" i="12"/>
  <c r="DT21" i="12"/>
  <c r="EI21" i="12" s="1"/>
  <c r="FM21" i="12"/>
  <c r="FK21" i="12"/>
  <c r="FH21" i="12"/>
  <c r="FR21" i="12"/>
  <c r="FP21" i="12"/>
  <c r="FK23" i="12"/>
  <c r="FL26" i="12"/>
  <c r="DE27" i="12"/>
  <c r="DW27" i="12"/>
  <c r="EK27" i="12" s="1"/>
  <c r="EE29" i="12"/>
  <c r="FK29" i="12"/>
  <c r="FJ30" i="12"/>
  <c r="DF33" i="12"/>
  <c r="FL38" i="12"/>
  <c r="DF36" i="12"/>
  <c r="FQ43" i="12"/>
  <c r="FN43" i="12"/>
  <c r="FK43" i="12"/>
  <c r="FH43" i="12"/>
  <c r="FS43" i="12"/>
  <c r="DK44" i="12"/>
  <c r="DJ44" i="12"/>
  <c r="DI44" i="12" s="1"/>
  <c r="AL44" i="12"/>
  <c r="DG46" i="12"/>
  <c r="FO46" i="12"/>
  <c r="EA51" i="12"/>
  <c r="DO51" i="12"/>
  <c r="DZ51" i="12"/>
  <c r="DY51" i="12"/>
  <c r="EM51" i="12" s="1"/>
  <c r="DX51" i="12"/>
  <c r="EL51" i="12" s="1"/>
  <c r="EB51" i="12"/>
  <c r="DU51" i="12"/>
  <c r="DS51" i="12"/>
  <c r="K51" i="12"/>
  <c r="DR51" i="12"/>
  <c r="EE51" i="12"/>
  <c r="ED51" i="12"/>
  <c r="T51" i="12"/>
  <c r="U51" i="12" s="1"/>
  <c r="DV51" i="12"/>
  <c r="AS52" i="12"/>
  <c r="AT52" i="12"/>
  <c r="AV52" i="12" s="1"/>
  <c r="DF56" i="12"/>
  <c r="AT7" i="12"/>
  <c r="AV7" i="12" s="1"/>
  <c r="EE9" i="12"/>
  <c r="DV10" i="12"/>
  <c r="DO11" i="12"/>
  <c r="DV12" i="12"/>
  <c r="DL13" i="12"/>
  <c r="AL19" i="12"/>
  <c r="DJ19" i="12"/>
  <c r="DI19" i="12" s="1"/>
  <c r="DW19" i="12"/>
  <c r="EK19" i="12" s="1"/>
  <c r="DW28" i="12"/>
  <c r="EK28" i="12" s="1"/>
  <c r="AO29" i="12"/>
  <c r="AG35" i="12"/>
  <c r="DE35" i="12"/>
  <c r="DT35" i="12"/>
  <c r="EI35" i="12" s="1"/>
  <c r="DD37" i="12"/>
  <c r="AT39" i="12"/>
  <c r="AV39" i="12" s="1"/>
  <c r="DY39" i="12"/>
  <c r="EM39" i="12" s="1"/>
  <c r="DM40" i="12"/>
  <c r="FI40" i="12"/>
  <c r="FI41" i="12"/>
  <c r="DD42" i="12"/>
  <c r="AS47" i="12"/>
  <c r="Z47" i="12"/>
  <c r="AT47" i="12"/>
  <c r="AV47" i="12" s="1"/>
  <c r="AG48" i="12"/>
  <c r="FI48" i="12"/>
  <c r="DW51" i="12"/>
  <c r="EK51" i="12" s="1"/>
  <c r="DW53" i="12"/>
  <c r="EK53" i="12" s="1"/>
  <c r="AC64" i="12"/>
  <c r="AD64" i="12" s="1"/>
  <c r="AA64" i="12"/>
  <c r="DG35" i="12"/>
  <c r="AG37" i="12"/>
  <c r="Z45" i="12"/>
  <c r="AT45" i="12"/>
  <c r="AV45" i="12" s="1"/>
  <c r="AS45" i="12"/>
  <c r="AO45" i="12"/>
  <c r="FN46" i="12"/>
  <c r="FK46" i="12"/>
  <c r="FI46" i="12"/>
  <c r="FH46" i="12"/>
  <c r="FQ46" i="12"/>
  <c r="FP46" i="12"/>
  <c r="DD48" i="12"/>
  <c r="DG48" i="12"/>
  <c r="FM48" i="12"/>
  <c r="FH49" i="12"/>
  <c r="AO51" i="12"/>
  <c r="EF51" i="12"/>
  <c r="DG41" i="12"/>
  <c r="AS43" i="12"/>
  <c r="Z43" i="12"/>
  <c r="FK49" i="12"/>
  <c r="DG56" i="12"/>
  <c r="FI57" i="12"/>
  <c r="FH57" i="12"/>
  <c r="FS57" i="12"/>
  <c r="FR57" i="12"/>
  <c r="FQ57" i="12"/>
  <c r="FP57" i="12"/>
  <c r="FO57" i="12"/>
  <c r="FL57" i="12"/>
  <c r="FJ57" i="12"/>
  <c r="FN57" i="12"/>
  <c r="FM57" i="12"/>
  <c r="DD63" i="12"/>
  <c r="DD36" i="12"/>
  <c r="DG36" i="12"/>
  <c r="DO19" i="12"/>
  <c r="EA19" i="12"/>
  <c r="Z32" i="12"/>
  <c r="AA32" i="12" s="1"/>
  <c r="AT35" i="12"/>
  <c r="AV35" i="12" s="1"/>
  <c r="EB35" i="12"/>
  <c r="DE37" i="12"/>
  <c r="DD39" i="12"/>
  <c r="AO40" i="12"/>
  <c r="FO40" i="12"/>
  <c r="FO41" i="12"/>
  <c r="FI43" i="12"/>
  <c r="FH44" i="12"/>
  <c r="FQ44" i="12"/>
  <c r="FN44" i="12"/>
  <c r="FK44" i="12"/>
  <c r="FJ44" i="12"/>
  <c r="DM45" i="12"/>
  <c r="AG45" i="12"/>
  <c r="DD47" i="12"/>
  <c r="DG47" i="12"/>
  <c r="AT49" i="12"/>
  <c r="AV49" i="12" s="1"/>
  <c r="Z49" i="12"/>
  <c r="AS49" i="12"/>
  <c r="AO49" i="12"/>
  <c r="DF49" i="12"/>
  <c r="FM49" i="12"/>
  <c r="FI52" i="12"/>
  <c r="DG53" i="12"/>
  <c r="DE55" i="12"/>
  <c r="DE59" i="12"/>
  <c r="FQ59" i="12"/>
  <c r="FO59" i="12"/>
  <c r="FN59" i="12"/>
  <c r="FM59" i="12"/>
  <c r="FL59" i="12"/>
  <c r="FK59" i="12"/>
  <c r="FJ59" i="12"/>
  <c r="FI59" i="12"/>
  <c r="FR59" i="12"/>
  <c r="FS59" i="12"/>
  <c r="FP59" i="12"/>
  <c r="AU54" i="12"/>
  <c r="AQ54" i="12"/>
  <c r="AR54" i="12"/>
  <c r="AP54" i="12"/>
  <c r="AC56" i="12"/>
  <c r="AD56" i="12" s="1"/>
  <c r="AA56" i="12"/>
  <c r="AT34" i="12"/>
  <c r="AV34" i="12" s="1"/>
  <c r="AW34" i="12" s="1"/>
  <c r="DS34" i="12"/>
  <c r="EF35" i="12"/>
  <c r="DE36" i="12"/>
  <c r="DF38" i="12"/>
  <c r="FQ40" i="12"/>
  <c r="FR41" i="12"/>
  <c r="Z42" i="12"/>
  <c r="AS42" i="12"/>
  <c r="AO42" i="12"/>
  <c r="FH48" i="12"/>
  <c r="FQ48" i="12"/>
  <c r="FO48" i="12"/>
  <c r="FN48" i="12"/>
  <c r="FK48" i="12"/>
  <c r="FJ48" i="12"/>
  <c r="AG49" i="12"/>
  <c r="AG50" i="12"/>
  <c r="AG51" i="12"/>
  <c r="AU61" i="12"/>
  <c r="AR61" i="12"/>
  <c r="AQ61" i="12"/>
  <c r="AP61" i="12"/>
  <c r="DY24" i="12"/>
  <c r="EM24" i="12" s="1"/>
  <c r="AG28" i="12"/>
  <c r="DR28" i="12"/>
  <c r="ED28" i="12"/>
  <c r="T34" i="12"/>
  <c r="U34" i="12" s="1"/>
  <c r="AN34" i="12" s="1"/>
  <c r="DT34" i="12"/>
  <c r="EI34" i="12" s="1"/>
  <c r="FR40" i="12"/>
  <c r="Z41" i="12"/>
  <c r="AS41" i="12"/>
  <c r="AO41" i="12"/>
  <c r="AQ44" i="12"/>
  <c r="DG45" i="12"/>
  <c r="FK45" i="12"/>
  <c r="FH45" i="12"/>
  <c r="FR45" i="12"/>
  <c r="FQ45" i="12"/>
  <c r="FN45" i="12"/>
  <c r="FM45" i="12"/>
  <c r="FR49" i="12"/>
  <c r="FO49" i="12"/>
  <c r="FL49" i="12"/>
  <c r="FJ49" i="12"/>
  <c r="FI49" i="12"/>
  <c r="FS49" i="12"/>
  <c r="FQ49" i="12"/>
  <c r="AR52" i="12"/>
  <c r="AQ52" i="12"/>
  <c r="AP52" i="12"/>
  <c r="FQ52" i="12"/>
  <c r="FP52" i="12"/>
  <c r="FO52" i="12"/>
  <c r="FN52" i="12"/>
  <c r="FM52" i="12"/>
  <c r="FS52" i="12"/>
  <c r="FL52" i="12"/>
  <c r="FK52" i="12"/>
  <c r="FH52" i="12"/>
  <c r="FK41" i="12"/>
  <c r="FH41" i="12"/>
  <c r="FQ41" i="12"/>
  <c r="FN41" i="12"/>
  <c r="AT42" i="12"/>
  <c r="AV42" i="12" s="1"/>
  <c r="FJ46" i="12"/>
  <c r="Z51" i="12"/>
  <c r="AT51" i="12"/>
  <c r="AV51" i="12" s="1"/>
  <c r="DP51" i="12"/>
  <c r="AU52" i="12"/>
  <c r="FN55" i="12"/>
  <c r="FM55" i="12"/>
  <c r="FL55" i="12"/>
  <c r="FK55" i="12"/>
  <c r="FJ55" i="12"/>
  <c r="FR55" i="12"/>
  <c r="FP55" i="12"/>
  <c r="FO55" i="12"/>
  <c r="FI55" i="12"/>
  <c r="FH55" i="12"/>
  <c r="FS55" i="12"/>
  <c r="AG12" i="12"/>
  <c r="DS12" i="12"/>
  <c r="DK16" i="12"/>
  <c r="DT19" i="12"/>
  <c r="EI19" i="12" s="1"/>
  <c r="DT28" i="12"/>
  <c r="EI28" i="12" s="1"/>
  <c r="ED34" i="12"/>
  <c r="DQ35" i="12"/>
  <c r="DF37" i="12"/>
  <c r="DD38" i="12"/>
  <c r="FH40" i="12"/>
  <c r="FN40" i="12"/>
  <c r="FK40" i="12"/>
  <c r="DG43" i="12"/>
  <c r="AX44" i="12"/>
  <c r="DL44" i="12"/>
  <c r="FI44" i="12"/>
  <c r="FL46" i="12"/>
  <c r="AO47" i="12"/>
  <c r="DG49" i="12"/>
  <c r="DQ51" i="12"/>
  <c r="Z52" i="12"/>
  <c r="DU53" i="12"/>
  <c r="T53" i="12"/>
  <c r="U53" i="12" s="1"/>
  <c r="EF53" i="12"/>
  <c r="DT53" i="12"/>
  <c r="EI53" i="12" s="1"/>
  <c r="EE53" i="12"/>
  <c r="DS53" i="12"/>
  <c r="ED53" i="12"/>
  <c r="DR53" i="12"/>
  <c r="EC53" i="12"/>
  <c r="DQ53" i="12"/>
  <c r="K53" i="12"/>
  <c r="EA53" i="12"/>
  <c r="DY53" i="12"/>
  <c r="EM53" i="12" s="1"/>
  <c r="DX53" i="12"/>
  <c r="EL53" i="12" s="1"/>
  <c r="DP53" i="12"/>
  <c r="DO53" i="12"/>
  <c r="DD54" i="12"/>
  <c r="EE34" i="12"/>
  <c r="DR35" i="12"/>
  <c r="AS37" i="12"/>
  <c r="DG38" i="12"/>
  <c r="AG41" i="12"/>
  <c r="AU44" i="12"/>
  <c r="DE45" i="12"/>
  <c r="FM46" i="12"/>
  <c r="DT51" i="12"/>
  <c r="EI51" i="12" s="1"/>
  <c r="AT57" i="12"/>
  <c r="AV57" i="12" s="1"/>
  <c r="AS57" i="12"/>
  <c r="AO57" i="12"/>
  <c r="DT47" i="12"/>
  <c r="EI47" i="12" s="1"/>
  <c r="EF47" i="12"/>
  <c r="EA50" i="12"/>
  <c r="DD52" i="12"/>
  <c r="EE54" i="12"/>
  <c r="AS56" i="12"/>
  <c r="AO56" i="12"/>
  <c r="AC60" i="12"/>
  <c r="AD60" i="12" s="1"/>
  <c r="AA60" i="12"/>
  <c r="DX61" i="12"/>
  <c r="EL61" i="12" s="1"/>
  <c r="DV61" i="12"/>
  <c r="DU61" i="12"/>
  <c r="T61" i="12"/>
  <c r="U61" i="12" s="1"/>
  <c r="EF61" i="12"/>
  <c r="DT61" i="12"/>
  <c r="EI61" i="12" s="1"/>
  <c r="EE61" i="12"/>
  <c r="DS61" i="12"/>
  <c r="ED61" i="12"/>
  <c r="DR61" i="12"/>
  <c r="EC61" i="12"/>
  <c r="DQ61" i="12"/>
  <c r="EB61" i="12"/>
  <c r="DP61" i="12"/>
  <c r="DY61" i="12"/>
  <c r="EM61" i="12" s="1"/>
  <c r="AU62" i="12"/>
  <c r="AP62" i="12"/>
  <c r="AQ62" i="12"/>
  <c r="FJ63" i="12"/>
  <c r="FQ63" i="12"/>
  <c r="FO63" i="12"/>
  <c r="FN63" i="12"/>
  <c r="FM63" i="12"/>
  <c r="FL63" i="12"/>
  <c r="FK63" i="12"/>
  <c r="FI63" i="12"/>
  <c r="FH63" i="12"/>
  <c r="FR63" i="12"/>
  <c r="ED72" i="12"/>
  <c r="DR72" i="12"/>
  <c r="EC72" i="12"/>
  <c r="DQ72" i="12"/>
  <c r="EB72" i="12"/>
  <c r="DP72" i="12"/>
  <c r="DZ72" i="12"/>
  <c r="K72" i="12"/>
  <c r="DU72" i="12"/>
  <c r="T72" i="12"/>
  <c r="U72" i="12" s="1"/>
  <c r="EF72" i="12"/>
  <c r="DT72" i="12"/>
  <c r="EI72" i="12" s="1"/>
  <c r="EE72" i="12"/>
  <c r="EA72" i="12"/>
  <c r="DY72" i="12"/>
  <c r="EM72" i="12" s="1"/>
  <c r="DX72" i="12"/>
  <c r="EL72" i="12" s="1"/>
  <c r="DW72" i="12"/>
  <c r="EK72" i="12" s="1"/>
  <c r="DV72" i="12"/>
  <c r="DO72" i="12"/>
  <c r="W74" i="12"/>
  <c r="DX40" i="12"/>
  <c r="EL40" i="12" s="1"/>
  <c r="DO41" i="12"/>
  <c r="EA41" i="12"/>
  <c r="DR42" i="12"/>
  <c r="ED42" i="12"/>
  <c r="T43" i="12"/>
  <c r="U43" i="12" s="1"/>
  <c r="DU43" i="12"/>
  <c r="Z44" i="12"/>
  <c r="DX44" i="12"/>
  <c r="EL44" i="12" s="1"/>
  <c r="DO45" i="12"/>
  <c r="EA45" i="12"/>
  <c r="T47" i="12"/>
  <c r="U47" i="12" s="1"/>
  <c r="DU47" i="12"/>
  <c r="Z48" i="12"/>
  <c r="EE49" i="12"/>
  <c r="DS49" i="12"/>
  <c r="DE49" i="12"/>
  <c r="DQ49" i="12"/>
  <c r="ED49" i="12"/>
  <c r="EB50" i="12"/>
  <c r="DD53" i="12"/>
  <c r="FH56" i="12"/>
  <c r="DG58" i="12"/>
  <c r="AT60" i="12"/>
  <c r="AV60" i="12" s="1"/>
  <c r="AS60" i="12"/>
  <c r="AO60" i="12"/>
  <c r="AR62" i="12"/>
  <c r="FS62" i="12"/>
  <c r="FR62" i="12"/>
  <c r="FP62" i="12"/>
  <c r="FO62" i="12"/>
  <c r="FN62" i="12"/>
  <c r="FM62" i="12"/>
  <c r="FL62" i="12"/>
  <c r="FK62" i="12"/>
  <c r="FJ62" i="12"/>
  <c r="DJ63" i="12"/>
  <c r="DI63" i="12" s="1"/>
  <c r="AL63" i="12"/>
  <c r="DL63" i="12"/>
  <c r="DK63" i="12"/>
  <c r="AT74" i="12"/>
  <c r="AV74" i="12" s="1"/>
  <c r="AS74" i="12"/>
  <c r="Z74" i="12"/>
  <c r="AO74" i="12"/>
  <c r="DO40" i="12"/>
  <c r="EA40" i="12"/>
  <c r="DR41" i="12"/>
  <c r="ED41" i="12"/>
  <c r="DU42" i="12"/>
  <c r="DX43" i="12"/>
  <c r="EL43" i="12" s="1"/>
  <c r="DO44" i="12"/>
  <c r="EA44" i="12"/>
  <c r="DR45" i="12"/>
  <c r="ED45" i="12"/>
  <c r="DU46" i="12"/>
  <c r="DK47" i="12"/>
  <c r="DX47" i="12"/>
  <c r="EL47" i="12" s="1"/>
  <c r="DO48" i="12"/>
  <c r="DU49" i="12"/>
  <c r="K50" i="12"/>
  <c r="DQ50" i="12"/>
  <c r="K54" i="12"/>
  <c r="DY58" i="12"/>
  <c r="EM58" i="12" s="1"/>
  <c r="DX58" i="12"/>
  <c r="EL58" i="12" s="1"/>
  <c r="DW58" i="12"/>
  <c r="EK58" i="12" s="1"/>
  <c r="DV58" i="12"/>
  <c r="DU58" i="12"/>
  <c r="T58" i="12"/>
  <c r="U58" i="12" s="1"/>
  <c r="EF58" i="12"/>
  <c r="DT58" i="12"/>
  <c r="EI58" i="12" s="1"/>
  <c r="EE58" i="12"/>
  <c r="DS58" i="12"/>
  <c r="EB58" i="12"/>
  <c r="DP58" i="12"/>
  <c r="DD70" i="12"/>
  <c r="DG70" i="12"/>
  <c r="DV50" i="12"/>
  <c r="DU50" i="12"/>
  <c r="DR50" i="12"/>
  <c r="EF50" i="12"/>
  <c r="DX54" i="12"/>
  <c r="EL54" i="12" s="1"/>
  <c r="DW54" i="12"/>
  <c r="EK54" i="12" s="1"/>
  <c r="DV54" i="12"/>
  <c r="DU54" i="12"/>
  <c r="T54" i="12"/>
  <c r="U54" i="12" s="1"/>
  <c r="EF54" i="12"/>
  <c r="DT54" i="12"/>
  <c r="EI54" i="12" s="1"/>
  <c r="EB54" i="12"/>
  <c r="DP54" i="12"/>
  <c r="DG54" i="12"/>
  <c r="DR54" i="12"/>
  <c r="DE58" i="12"/>
  <c r="DO61" i="12"/>
  <c r="FJ61" i="12"/>
  <c r="DG62" i="12"/>
  <c r="DU65" i="12"/>
  <c r="T65" i="12"/>
  <c r="U65" i="12" s="1"/>
  <c r="EF65" i="12"/>
  <c r="DT65" i="12"/>
  <c r="EI65" i="12" s="1"/>
  <c r="EC65" i="12"/>
  <c r="DQ65" i="12"/>
  <c r="DW65" i="12"/>
  <c r="EK65" i="12" s="1"/>
  <c r="DY65" i="12"/>
  <c r="EM65" i="12" s="1"/>
  <c r="DV65" i="12"/>
  <c r="DS65" i="12"/>
  <c r="DR65" i="12"/>
  <c r="DP65" i="12"/>
  <c r="DO65" i="12"/>
  <c r="EE65" i="12"/>
  <c r="ED65" i="12"/>
  <c r="EA65" i="12"/>
  <c r="DZ65" i="12"/>
  <c r="FK66" i="12"/>
  <c r="FJ66" i="12"/>
  <c r="FS66" i="12"/>
  <c r="FM66" i="12"/>
  <c r="FH66" i="12"/>
  <c r="FR66" i="12"/>
  <c r="FQ66" i="12"/>
  <c r="FP66" i="12"/>
  <c r="FO66" i="12"/>
  <c r="FL66" i="12"/>
  <c r="FI66" i="12"/>
  <c r="DW61" i="12"/>
  <c r="EK61" i="12" s="1"/>
  <c r="DE63" i="12"/>
  <c r="FK70" i="12"/>
  <c r="FJ70" i="12"/>
  <c r="FS70" i="12"/>
  <c r="FN70" i="12"/>
  <c r="FM70" i="12"/>
  <c r="FQ70" i="12"/>
  <c r="FO70" i="12"/>
  <c r="FL70" i="12"/>
  <c r="FI70" i="12"/>
  <c r="FH70" i="12"/>
  <c r="FR70" i="12"/>
  <c r="AC72" i="12"/>
  <c r="AD72" i="12" s="1"/>
  <c r="AA72" i="12"/>
  <c r="DO43" i="12"/>
  <c r="EA43" i="12"/>
  <c r="EN43" i="12" s="1"/>
  <c r="DO47" i="12"/>
  <c r="EA47" i="12"/>
  <c r="EN47" i="12" s="1"/>
  <c r="DT50" i="12"/>
  <c r="EI50" i="12" s="1"/>
  <c r="AT53" i="12"/>
  <c r="AV53" i="12" s="1"/>
  <c r="AS53" i="12"/>
  <c r="Z53" i="12"/>
  <c r="DY54" i="12"/>
  <c r="EM54" i="12" s="1"/>
  <c r="FQ56" i="12"/>
  <c r="FP56" i="12"/>
  <c r="FO56" i="12"/>
  <c r="FN56" i="12"/>
  <c r="FM56" i="12"/>
  <c r="FI56" i="12"/>
  <c r="DF57" i="12"/>
  <c r="DG60" i="12"/>
  <c r="DZ61" i="12"/>
  <c r="AN64" i="12"/>
  <c r="AX69" i="12"/>
  <c r="AW69" i="12"/>
  <c r="Z61" i="12"/>
  <c r="AT61" i="12"/>
  <c r="AV61" i="12" s="1"/>
  <c r="AS61" i="12"/>
  <c r="DD61" i="12"/>
  <c r="EA61" i="12"/>
  <c r="FK61" i="12"/>
  <c r="FI61" i="12"/>
  <c r="FH61" i="12"/>
  <c r="FS61" i="12"/>
  <c r="FR61" i="12"/>
  <c r="FQ61" i="12"/>
  <c r="FP61" i="12"/>
  <c r="FO61" i="12"/>
  <c r="FL61" i="12"/>
  <c r="DK53" i="12"/>
  <c r="EA54" i="12"/>
  <c r="EN54" i="12" s="1"/>
  <c r="K57" i="12"/>
  <c r="DD57" i="12"/>
  <c r="AC58" i="12"/>
  <c r="AD58" i="12" s="1"/>
  <c r="DQ58" i="12"/>
  <c r="AR65" i="12"/>
  <c r="AP65" i="12"/>
  <c r="DX65" i="12"/>
  <c r="EL65" i="12" s="1"/>
  <c r="DG68" i="12"/>
  <c r="T40" i="12"/>
  <c r="U40" i="12" s="1"/>
  <c r="DO42" i="12"/>
  <c r="DR43" i="12"/>
  <c r="T44" i="12"/>
  <c r="U44" i="12" s="1"/>
  <c r="DO46" i="12"/>
  <c r="DR47" i="12"/>
  <c r="EA49" i="12"/>
  <c r="DY50" i="12"/>
  <c r="EM50" i="12" s="1"/>
  <c r="DF53" i="12"/>
  <c r="EC54" i="12"/>
  <c r="AT56" i="12"/>
  <c r="AV56" i="12" s="1"/>
  <c r="DU57" i="12"/>
  <c r="T57" i="12"/>
  <c r="U57" i="12" s="1"/>
  <c r="EF57" i="12"/>
  <c r="DT57" i="12"/>
  <c r="EI57" i="12" s="1"/>
  <c r="EE57" i="12"/>
  <c r="DS57" i="12"/>
  <c r="ED57" i="12"/>
  <c r="DR57" i="12"/>
  <c r="EC57" i="12"/>
  <c r="DQ57" i="12"/>
  <c r="EB57" i="12"/>
  <c r="DP57" i="12"/>
  <c r="DY57" i="12"/>
  <c r="EM57" i="12" s="1"/>
  <c r="DG57" i="12"/>
  <c r="DX57" i="12"/>
  <c r="EL57" i="12" s="1"/>
  <c r="DR58" i="12"/>
  <c r="DG61" i="12"/>
  <c r="FH62" i="12"/>
  <c r="W63" i="12"/>
  <c r="AN63" i="12"/>
  <c r="EB65" i="12"/>
  <c r="FN67" i="12"/>
  <c r="FM67" i="12"/>
  <c r="FJ67" i="12"/>
  <c r="FP67" i="12"/>
  <c r="FS67" i="12"/>
  <c r="FR67" i="12"/>
  <c r="FQ67" i="12"/>
  <c r="FO67" i="12"/>
  <c r="FL67" i="12"/>
  <c r="FK67" i="12"/>
  <c r="FH67" i="12"/>
  <c r="DM68" i="12"/>
  <c r="DJ68" i="12"/>
  <c r="DI68" i="12" s="1"/>
  <c r="AL68" i="12"/>
  <c r="DG74" i="12"/>
  <c r="AO64" i="12"/>
  <c r="AT64" i="12"/>
  <c r="AV64" i="12" s="1"/>
  <c r="AS64" i="12"/>
  <c r="W88" i="12"/>
  <c r="AN88" i="12"/>
  <c r="AT55" i="12"/>
  <c r="AV55" i="12" s="1"/>
  <c r="AT59" i="12"/>
  <c r="AV59" i="12" s="1"/>
  <c r="DS59" i="12"/>
  <c r="EE59" i="12"/>
  <c r="FI60" i="12"/>
  <c r="DR62" i="12"/>
  <c r="EE62" i="12"/>
  <c r="DP63" i="12"/>
  <c r="EC63" i="12"/>
  <c r="DJ65" i="12"/>
  <c r="DI65" i="12" s="1"/>
  <c r="AL65" i="12"/>
  <c r="DX66" i="12"/>
  <c r="EL66" i="12" s="1"/>
  <c r="DW66" i="12"/>
  <c r="EK66" i="12" s="1"/>
  <c r="EF66" i="12"/>
  <c r="DT66" i="12"/>
  <c r="EI66" i="12" s="1"/>
  <c r="DZ66" i="12"/>
  <c r="K66" i="12"/>
  <c r="ED66" i="12"/>
  <c r="EE68" i="12"/>
  <c r="FH68" i="12"/>
  <c r="EE69" i="12"/>
  <c r="DQ70" i="12"/>
  <c r="FN71" i="12"/>
  <c r="FM71" i="12"/>
  <c r="FJ71" i="12"/>
  <c r="FQ71" i="12"/>
  <c r="FP71" i="12"/>
  <c r="FN73" i="12"/>
  <c r="FK73" i="12"/>
  <c r="FJ73" i="12"/>
  <c r="FI73" i="12"/>
  <c r="FO73" i="12"/>
  <c r="FM73" i="12"/>
  <c r="DJ74" i="12"/>
  <c r="DI74" i="12" s="1"/>
  <c r="DE75" i="12"/>
  <c r="AA82" i="12"/>
  <c r="AC82" i="12"/>
  <c r="AD82" i="12" s="1"/>
  <c r="DZ85" i="12"/>
  <c r="K85" i="12"/>
  <c r="DV85" i="12"/>
  <c r="DU85" i="12"/>
  <c r="T85" i="12"/>
  <c r="U85" i="12" s="1"/>
  <c r="DS85" i="12"/>
  <c r="DR85" i="12"/>
  <c r="EF85" i="12"/>
  <c r="DQ85" i="12"/>
  <c r="EE85" i="12"/>
  <c r="DP85" i="12"/>
  <c r="ED85" i="12"/>
  <c r="DO85" i="12"/>
  <c r="EC85" i="12"/>
  <c r="DW85" i="12"/>
  <c r="EK85" i="12" s="1"/>
  <c r="DT85" i="12"/>
  <c r="EI85" i="12" s="1"/>
  <c r="EB85" i="12"/>
  <c r="EA85" i="12"/>
  <c r="DY85" i="12"/>
  <c r="EM85" i="12" s="1"/>
  <c r="DX85" i="12"/>
  <c r="EL85" i="12" s="1"/>
  <c r="AU88" i="12"/>
  <c r="AR88" i="12"/>
  <c r="AQ88" i="12"/>
  <c r="DO66" i="12"/>
  <c r="EE66" i="12"/>
  <c r="FI68" i="12"/>
  <c r="DO69" i="12"/>
  <c r="FL69" i="12"/>
  <c r="DR70" i="12"/>
  <c r="FQ72" i="12"/>
  <c r="FP72" i="12"/>
  <c r="FO72" i="12"/>
  <c r="FM72" i="12"/>
  <c r="FH72" i="12"/>
  <c r="FS72" i="12"/>
  <c r="DJ73" i="12"/>
  <c r="DI73" i="12" s="1"/>
  <c r="AL73" i="12"/>
  <c r="DL73" i="12"/>
  <c r="EC78" i="12"/>
  <c r="DQ78" i="12"/>
  <c r="DY78" i="12"/>
  <c r="EM78" i="12" s="1"/>
  <c r="DS78" i="12"/>
  <c r="K78" i="12"/>
  <c r="EF78" i="12"/>
  <c r="DR78" i="12"/>
  <c r="ED78" i="12"/>
  <c r="DO78" i="12"/>
  <c r="DV78" i="12"/>
  <c r="DU78" i="12"/>
  <c r="EB78" i="12"/>
  <c r="EA78" i="12"/>
  <c r="T78" i="12"/>
  <c r="U78" i="12" s="1"/>
  <c r="DZ78" i="12"/>
  <c r="DX78" i="12"/>
  <c r="EL78" i="12" s="1"/>
  <c r="DW78" i="12"/>
  <c r="EK78" i="12" s="1"/>
  <c r="AN86" i="12"/>
  <c r="W86" i="12"/>
  <c r="DD86" i="12"/>
  <c r="DG86" i="12"/>
  <c r="DG90" i="12"/>
  <c r="AC97" i="12"/>
  <c r="AD97" i="12" s="1"/>
  <c r="AA97" i="12"/>
  <c r="FL60" i="12"/>
  <c r="AT62" i="12"/>
  <c r="AV62" i="12" s="1"/>
  <c r="DV62" i="12"/>
  <c r="DS63" i="12"/>
  <c r="EF63" i="12"/>
  <c r="FI64" i="12"/>
  <c r="FI65" i="12"/>
  <c r="DP68" i="12"/>
  <c r="DU70" i="12"/>
  <c r="DG72" i="12"/>
  <c r="EA73" i="12"/>
  <c r="DO73" i="12"/>
  <c r="DV73" i="12"/>
  <c r="T73" i="12"/>
  <c r="U73" i="12" s="1"/>
  <c r="DU73" i="12"/>
  <c r="DT73" i="12"/>
  <c r="EI73" i="12" s="1"/>
  <c r="EE73" i="12"/>
  <c r="DR73" i="12"/>
  <c r="DY73" i="12"/>
  <c r="EM73" i="12" s="1"/>
  <c r="DX73" i="12"/>
  <c r="EL73" i="12" s="1"/>
  <c r="DP73" i="12"/>
  <c r="AC88" i="12"/>
  <c r="AD88" i="12" s="1"/>
  <c r="AA88" i="12"/>
  <c r="DW59" i="12"/>
  <c r="EK59" i="12" s="1"/>
  <c r="FM60" i="12"/>
  <c r="DF62" i="12"/>
  <c r="DW62" i="12"/>
  <c r="EK62" i="12" s="1"/>
  <c r="DT63" i="12"/>
  <c r="EI63" i="12" s="1"/>
  <c r="ED64" i="12"/>
  <c r="DR64" i="12"/>
  <c r="DZ64" i="12"/>
  <c r="K64" i="12"/>
  <c r="DT64" i="12"/>
  <c r="EI64" i="12" s="1"/>
  <c r="FJ64" i="12"/>
  <c r="FK65" i="12"/>
  <c r="DR66" i="12"/>
  <c r="DS68" i="12"/>
  <c r="FL68" i="12"/>
  <c r="DS69" i="12"/>
  <c r="FO69" i="12"/>
  <c r="AA70" i="12"/>
  <c r="DV70" i="12"/>
  <c r="DQ73" i="12"/>
  <c r="AS75" i="12"/>
  <c r="AT75" i="12"/>
  <c r="AV75" i="12" s="1"/>
  <c r="AO75" i="12"/>
  <c r="FM81" i="12"/>
  <c r="FI81" i="12"/>
  <c r="FS81" i="12"/>
  <c r="FR81" i="12"/>
  <c r="FQ81" i="12"/>
  <c r="FP81" i="12"/>
  <c r="FO81" i="12"/>
  <c r="FH81" i="12"/>
  <c r="FL81" i="12"/>
  <c r="FK81" i="12"/>
  <c r="Z86" i="12"/>
  <c r="AT86" i="12"/>
  <c r="AV86" i="12" s="1"/>
  <c r="AS86" i="12"/>
  <c r="AO86" i="12"/>
  <c r="DO52" i="12"/>
  <c r="EA52" i="12"/>
  <c r="Z55" i="12"/>
  <c r="DX55" i="12"/>
  <c r="EL55" i="12" s="1"/>
  <c r="DO56" i="12"/>
  <c r="EA56" i="12"/>
  <c r="EN56" i="12" s="1"/>
  <c r="Z59" i="12"/>
  <c r="DX59" i="12"/>
  <c r="EL59" i="12" s="1"/>
  <c r="DO60" i="12"/>
  <c r="EA60" i="12"/>
  <c r="FN60" i="12"/>
  <c r="T62" i="12"/>
  <c r="U62" i="12" s="1"/>
  <c r="DX62" i="12"/>
  <c r="EL62" i="12" s="1"/>
  <c r="DU63" i="12"/>
  <c r="DU64" i="12"/>
  <c r="FK64" i="12"/>
  <c r="FL65" i="12"/>
  <c r="DS66" i="12"/>
  <c r="T68" i="12"/>
  <c r="U68" i="12" s="1"/>
  <c r="DU68" i="12"/>
  <c r="FN68" i="12"/>
  <c r="DV69" i="12"/>
  <c r="FQ69" i="12"/>
  <c r="DY70" i="12"/>
  <c r="EM70" i="12" s="1"/>
  <c r="FH71" i="12"/>
  <c r="DS73" i="12"/>
  <c r="FP74" i="12"/>
  <c r="FH74" i="12"/>
  <c r="FM74" i="12"/>
  <c r="FN74" i="12"/>
  <c r="FL74" i="12"/>
  <c r="FK74" i="12"/>
  <c r="FI74" i="12"/>
  <c r="FR74" i="12"/>
  <c r="FQ74" i="12"/>
  <c r="AC76" i="12"/>
  <c r="AD76" i="12" s="1"/>
  <c r="AA76" i="12"/>
  <c r="DE77" i="12"/>
  <c r="DG77" i="12"/>
  <c r="FP78" i="12"/>
  <c r="FL78" i="12"/>
  <c r="FI78" i="12"/>
  <c r="FH78" i="12"/>
  <c r="FM78" i="12"/>
  <c r="FK78" i="12"/>
  <c r="FO78" i="12"/>
  <c r="FN78" i="12"/>
  <c r="FJ78" i="12"/>
  <c r="FS78" i="12"/>
  <c r="FR78" i="12"/>
  <c r="DT81" i="12"/>
  <c r="EI81" i="12" s="1"/>
  <c r="DP52" i="12"/>
  <c r="DY55" i="12"/>
  <c r="EM55" i="12" s="1"/>
  <c r="DP56" i="12"/>
  <c r="DY59" i="12"/>
  <c r="EM59" i="12" s="1"/>
  <c r="DP60" i="12"/>
  <c r="FO60" i="12"/>
  <c r="DY62" i="12"/>
  <c r="EM62" i="12" s="1"/>
  <c r="DV63" i="12"/>
  <c r="DV64" i="12"/>
  <c r="FL64" i="12"/>
  <c r="DG65" i="12"/>
  <c r="FM65" i="12"/>
  <c r="T66" i="12"/>
  <c r="U66" i="12" s="1"/>
  <c r="DU66" i="12"/>
  <c r="EJ67" i="12"/>
  <c r="DV68" i="12"/>
  <c r="FO68" i="12"/>
  <c r="DX69" i="12"/>
  <c r="EL69" i="12" s="1"/>
  <c r="EB70" i="12"/>
  <c r="DD71" i="12"/>
  <c r="FI71" i="12"/>
  <c r="DG73" i="12"/>
  <c r="DW73" i="12"/>
  <c r="EK73" i="12" s="1"/>
  <c r="FH73" i="12"/>
  <c r="AL74" i="12"/>
  <c r="DK74" i="12"/>
  <c r="AC75" i="12"/>
  <c r="AD75" i="12" s="1"/>
  <c r="DF78" i="12"/>
  <c r="AO81" i="12"/>
  <c r="AT81" i="12"/>
  <c r="AV81" i="12" s="1"/>
  <c r="Z81" i="12"/>
  <c r="AS81" i="12"/>
  <c r="DZ93" i="12"/>
  <c r="K93" i="12"/>
  <c r="DY93" i="12"/>
  <c r="EM93" i="12" s="1"/>
  <c r="DX93" i="12"/>
  <c r="EL93" i="12" s="1"/>
  <c r="DW93" i="12"/>
  <c r="EK93" i="12" s="1"/>
  <c r="DV93" i="12"/>
  <c r="DU93" i="12"/>
  <c r="T93" i="12"/>
  <c r="U93" i="12" s="1"/>
  <c r="EB93" i="12"/>
  <c r="DP93" i="12"/>
  <c r="DQ93" i="12"/>
  <c r="DO93" i="12"/>
  <c r="EF93" i="12"/>
  <c r="EE93" i="12"/>
  <c r="DS93" i="12"/>
  <c r="DR93" i="12"/>
  <c r="ED93" i="12"/>
  <c r="EC93" i="12"/>
  <c r="DT93" i="12"/>
  <c r="EI93" i="12" s="1"/>
  <c r="DZ55" i="12"/>
  <c r="DZ59" i="12"/>
  <c r="EN59" i="12" s="1"/>
  <c r="FP60" i="12"/>
  <c r="DZ62" i="12"/>
  <c r="DX63" i="12"/>
  <c r="EL63" i="12" s="1"/>
  <c r="FN64" i="12"/>
  <c r="FN65" i="12"/>
  <c r="DW68" i="12"/>
  <c r="EK68" i="12" s="1"/>
  <c r="AU69" i="12"/>
  <c r="AR69" i="12"/>
  <c r="DY69" i="12"/>
  <c r="EM69" i="12" s="1"/>
  <c r="FH69" i="12"/>
  <c r="FS69" i="12"/>
  <c r="FP69" i="12"/>
  <c r="FJ69" i="12"/>
  <c r="DM70" i="12"/>
  <c r="FK71" i="12"/>
  <c r="DZ73" i="12"/>
  <c r="FL73" i="12"/>
  <c r="AA78" i="12"/>
  <c r="AC78" i="12"/>
  <c r="AD78" i="12" s="1"/>
  <c r="DP78" i="12"/>
  <c r="EA93" i="12"/>
  <c r="DO55" i="12"/>
  <c r="DO59" i="12"/>
  <c r="FQ60" i="12"/>
  <c r="EA62" i="12"/>
  <c r="DY63" i="12"/>
  <c r="EM63" i="12" s="1"/>
  <c r="FO64" i="12"/>
  <c r="FO65" i="12"/>
  <c r="DM67" i="12"/>
  <c r="DJ67" i="12"/>
  <c r="DI67" i="12" s="1"/>
  <c r="AL67" i="12"/>
  <c r="AS68" i="12"/>
  <c r="AO68" i="12"/>
  <c r="Z68" i="12"/>
  <c r="DX68" i="12"/>
  <c r="EL68" i="12" s="1"/>
  <c r="FQ68" i="12"/>
  <c r="FP68" i="12"/>
  <c r="FM68" i="12"/>
  <c r="FS68" i="12"/>
  <c r="DX70" i="12"/>
  <c r="EL70" i="12" s="1"/>
  <c r="DW70" i="12"/>
  <c r="EK70" i="12" s="1"/>
  <c r="EF70" i="12"/>
  <c r="DT70" i="12"/>
  <c r="EI70" i="12" s="1"/>
  <c r="EA70" i="12"/>
  <c r="DZ70" i="12"/>
  <c r="K70" i="12"/>
  <c r="ED70" i="12"/>
  <c r="FL71" i="12"/>
  <c r="EB73" i="12"/>
  <c r="FP73" i="12"/>
  <c r="DF74" i="12"/>
  <c r="DT78" i="12"/>
  <c r="EI78" i="12" s="1"/>
  <c r="FJ80" i="12"/>
  <c r="FR80" i="12"/>
  <c r="FN80" i="12"/>
  <c r="FM80" i="12"/>
  <c r="FL80" i="12"/>
  <c r="FK80" i="12"/>
  <c r="FI80" i="12"/>
  <c r="FQ80" i="12"/>
  <c r="FP80" i="12"/>
  <c r="FO80" i="12"/>
  <c r="FH80" i="12"/>
  <c r="AC105" i="12"/>
  <c r="AD105" i="12" s="1"/>
  <c r="AA105" i="12"/>
  <c r="DO62" i="12"/>
  <c r="AQ69" i="12"/>
  <c r="EE70" i="12"/>
  <c r="FO71" i="12"/>
  <c r="FK72" i="12"/>
  <c r="DE73" i="12"/>
  <c r="EC73" i="12"/>
  <c r="FQ73" i="12"/>
  <c r="DD76" i="12"/>
  <c r="DG76" i="12"/>
  <c r="EE78" i="12"/>
  <c r="DZ81" i="12"/>
  <c r="K81" i="12"/>
  <c r="DV81" i="12"/>
  <c r="EB81" i="12"/>
  <c r="EA81" i="12"/>
  <c r="DY81" i="12"/>
  <c r="EM81" i="12" s="1"/>
  <c r="DX81" i="12"/>
  <c r="EL81" i="12" s="1"/>
  <c r="DW81" i="12"/>
  <c r="EK81" i="12" s="1"/>
  <c r="EE81" i="12"/>
  <c r="DQ81" i="12"/>
  <c r="ED81" i="12"/>
  <c r="DP81" i="12"/>
  <c r="DS81" i="12"/>
  <c r="DR81" i="12"/>
  <c r="DO81" i="12"/>
  <c r="T81" i="12"/>
  <c r="U81" i="12" s="1"/>
  <c r="EC81" i="12"/>
  <c r="DU81" i="12"/>
  <c r="FP86" i="12"/>
  <c r="FL86" i="12"/>
  <c r="FK86" i="12"/>
  <c r="FS86" i="12"/>
  <c r="FR86" i="12"/>
  <c r="FQ86" i="12"/>
  <c r="FO86" i="12"/>
  <c r="FN86" i="12"/>
  <c r="FM86" i="12"/>
  <c r="FI86" i="12"/>
  <c r="FH86" i="12"/>
  <c r="AO89" i="12"/>
  <c r="Z89" i="12"/>
  <c r="AT89" i="12"/>
  <c r="AV89" i="12" s="1"/>
  <c r="AS89" i="12"/>
  <c r="EF62" i="12"/>
  <c r="DT62" i="12"/>
  <c r="EI62" i="12" s="1"/>
  <c r="DQ62" i="12"/>
  <c r="ED62" i="12"/>
  <c r="DD64" i="12"/>
  <c r="FQ64" i="12"/>
  <c r="FM64" i="12"/>
  <c r="FS64" i="12"/>
  <c r="FH65" i="12"/>
  <c r="FS65" i="12"/>
  <c r="FP65" i="12"/>
  <c r="FJ65" i="12"/>
  <c r="ED68" i="12"/>
  <c r="DR68" i="12"/>
  <c r="EC68" i="12"/>
  <c r="DQ68" i="12"/>
  <c r="DZ68" i="12"/>
  <c r="K68" i="12"/>
  <c r="EF68" i="12"/>
  <c r="DT68" i="12"/>
  <c r="EI68" i="12" s="1"/>
  <c r="DF68" i="12"/>
  <c r="EB68" i="12"/>
  <c r="DU69" i="12"/>
  <c r="T69" i="12"/>
  <c r="U69" i="12" s="1"/>
  <c r="EF69" i="12"/>
  <c r="DT69" i="12"/>
  <c r="EI69" i="12" s="1"/>
  <c r="EC69" i="12"/>
  <c r="DQ69" i="12"/>
  <c r="DW69" i="12"/>
  <c r="EK69" i="12" s="1"/>
  <c r="ED69" i="12"/>
  <c r="DP70" i="12"/>
  <c r="FS71" i="12"/>
  <c r="AS72" i="12"/>
  <c r="AO72" i="12"/>
  <c r="AT72" i="12"/>
  <c r="AV72" i="12" s="1"/>
  <c r="DF72" i="12"/>
  <c r="EF73" i="12"/>
  <c r="FS73" i="12"/>
  <c r="DD74" i="12"/>
  <c r="FJ84" i="12"/>
  <c r="FR84" i="12"/>
  <c r="FQ84" i="12"/>
  <c r="FO84" i="12"/>
  <c r="FN84" i="12"/>
  <c r="FM84" i="12"/>
  <c r="FL84" i="12"/>
  <c r="FK84" i="12"/>
  <c r="FI84" i="12"/>
  <c r="FS84" i="12"/>
  <c r="FP84" i="12"/>
  <c r="FH84" i="12"/>
  <c r="FJ88" i="12"/>
  <c r="FI88" i="12"/>
  <c r="FR88" i="12"/>
  <c r="FQ88" i="12"/>
  <c r="FN88" i="12"/>
  <c r="FM88" i="12"/>
  <c r="FL88" i="12"/>
  <c r="FK88" i="12"/>
  <c r="FH88" i="12"/>
  <c r="FP88" i="12"/>
  <c r="FO88" i="12"/>
  <c r="AO66" i="12"/>
  <c r="FJ75" i="12"/>
  <c r="DR77" i="12"/>
  <c r="DG79" i="12"/>
  <c r="DG81" i="12"/>
  <c r="DD102" i="12"/>
  <c r="FK75" i="12"/>
  <c r="FM77" i="12"/>
  <c r="FI77" i="12"/>
  <c r="FH77" i="12"/>
  <c r="FS77" i="12"/>
  <c r="FK77" i="12"/>
  <c r="DF83" i="12"/>
  <c r="DF90" i="12"/>
  <c r="FP90" i="12"/>
  <c r="FO90" i="12"/>
  <c r="FN90" i="12"/>
  <c r="FL90" i="12"/>
  <c r="FK90" i="12"/>
  <c r="FS90" i="12"/>
  <c r="FR90" i="12"/>
  <c r="FQ90" i="12"/>
  <c r="DD96" i="12"/>
  <c r="DG96" i="12"/>
  <c r="DE100" i="12"/>
  <c r="AL81" i="12"/>
  <c r="EC82" i="12"/>
  <c r="DQ82" i="12"/>
  <c r="DY82" i="12"/>
  <c r="EM82" i="12" s="1"/>
  <c r="EE82" i="12"/>
  <c r="DP82" i="12"/>
  <c r="ED82" i="12"/>
  <c r="DO82" i="12"/>
  <c r="EB82" i="12"/>
  <c r="EA82" i="12"/>
  <c r="T82" i="12"/>
  <c r="U82" i="12" s="1"/>
  <c r="DZ82" i="12"/>
  <c r="DX82" i="12"/>
  <c r="EL82" i="12" s="1"/>
  <c r="DS82" i="12"/>
  <c r="K82" i="12"/>
  <c r="EF82" i="12"/>
  <c r="DR82" i="12"/>
  <c r="DU82" i="12"/>
  <c r="FP87" i="12"/>
  <c r="DZ89" i="12"/>
  <c r="K89" i="12"/>
  <c r="DY89" i="12"/>
  <c r="EM89" i="12" s="1"/>
  <c r="DV89" i="12"/>
  <c r="DU89" i="12"/>
  <c r="T89" i="12"/>
  <c r="U89" i="12" s="1"/>
  <c r="DW89" i="12"/>
  <c r="EK89" i="12" s="1"/>
  <c r="DT89" i="12"/>
  <c r="EI89" i="12" s="1"/>
  <c r="DS89" i="12"/>
  <c r="DR89" i="12"/>
  <c r="DQ89" i="12"/>
  <c r="EF89" i="12"/>
  <c r="DP89" i="12"/>
  <c r="EA89" i="12"/>
  <c r="DX89" i="12"/>
  <c r="EL89" i="12" s="1"/>
  <c r="DE89" i="12"/>
  <c r="AT105" i="12"/>
  <c r="AV105" i="12" s="1"/>
  <c r="AS105" i="12"/>
  <c r="AO105" i="12"/>
  <c r="DW67" i="12"/>
  <c r="EK67" i="12" s="1"/>
  <c r="DW71" i="12"/>
  <c r="EK71" i="12" s="1"/>
  <c r="DP74" i="12"/>
  <c r="EF75" i="12"/>
  <c r="DT75" i="12"/>
  <c r="EI75" i="12" s="1"/>
  <c r="EB75" i="12"/>
  <c r="DO75" i="12"/>
  <c r="DU75" i="12"/>
  <c r="AG75" i="12"/>
  <c r="DY75" i="12"/>
  <c r="EM75" i="12" s="1"/>
  <c r="FQ75" i="12"/>
  <c r="DU76" i="12"/>
  <c r="FP76" i="12"/>
  <c r="EA77" i="12"/>
  <c r="FJ77" i="12"/>
  <c r="FQ87" i="12"/>
  <c r="DF104" i="12"/>
  <c r="FO104" i="12"/>
  <c r="FN104" i="12"/>
  <c r="FK104" i="12"/>
  <c r="FJ104" i="12"/>
  <c r="FR104" i="12"/>
  <c r="FQ104" i="12"/>
  <c r="FL104" i="12"/>
  <c r="FI104" i="12"/>
  <c r="FH104" i="12"/>
  <c r="FP104" i="12"/>
  <c r="FM104" i="12"/>
  <c r="DF75" i="12"/>
  <c r="DZ75" i="12"/>
  <c r="DV76" i="12"/>
  <c r="AO77" i="12"/>
  <c r="Z77" i="12"/>
  <c r="AT77" i="12"/>
  <c r="AV77" i="12" s="1"/>
  <c r="FL77" i="12"/>
  <c r="DE78" i="12"/>
  <c r="AC80" i="12"/>
  <c r="AD80" i="12" s="1"/>
  <c r="AA80" i="12"/>
  <c r="AC83" i="12"/>
  <c r="AD83" i="12" s="1"/>
  <c r="AA83" i="12"/>
  <c r="AC92" i="12"/>
  <c r="AD92" i="12" s="1"/>
  <c r="AC104" i="12"/>
  <c r="AD104" i="12" s="1"/>
  <c r="FS75" i="12"/>
  <c r="FP75" i="12"/>
  <c r="FI75" i="12"/>
  <c r="AW85" i="12"/>
  <c r="FS87" i="12"/>
  <c r="FO87" i="12"/>
  <c r="FN87" i="12"/>
  <c r="FK87" i="12"/>
  <c r="FJ87" i="12"/>
  <c r="FI87" i="12"/>
  <c r="FH87" i="12"/>
  <c r="FM87" i="12"/>
  <c r="FL87" i="12"/>
  <c r="DZ71" i="12"/>
  <c r="EC74" i="12"/>
  <c r="DQ74" i="12"/>
  <c r="DT74" i="12"/>
  <c r="EI74" i="12" s="1"/>
  <c r="DU74" i="12"/>
  <c r="EC75" i="12"/>
  <c r="DJ76" i="12"/>
  <c r="DI76" i="12" s="1"/>
  <c r="AL76" i="12"/>
  <c r="DL76" i="12"/>
  <c r="FJ76" i="12"/>
  <c r="FR76" i="12"/>
  <c r="FO76" i="12"/>
  <c r="DJ77" i="12"/>
  <c r="DI77" i="12" s="1"/>
  <c r="FO77" i="12"/>
  <c r="AR78" i="12"/>
  <c r="AQ78" i="12"/>
  <c r="AP78" i="12"/>
  <c r="DD80" i="12"/>
  <c r="FP82" i="12"/>
  <c r="FL82" i="12"/>
  <c r="FS82" i="12"/>
  <c r="FR82" i="12"/>
  <c r="FQ82" i="12"/>
  <c r="FO82" i="12"/>
  <c r="FI82" i="12"/>
  <c r="FH82" i="12"/>
  <c r="DO89" i="12"/>
  <c r="FH90" i="12"/>
  <c r="EN92" i="12"/>
  <c r="DE94" i="12"/>
  <c r="DO67" i="12"/>
  <c r="DO71" i="12"/>
  <c r="DV74" i="12"/>
  <c r="ED75" i="12"/>
  <c r="DW76" i="12"/>
  <c r="EK76" i="12" s="1"/>
  <c r="EC76" i="12"/>
  <c r="DP76" i="12"/>
  <c r="DZ76" i="12"/>
  <c r="T76" i="12"/>
  <c r="U76" i="12" s="1"/>
  <c r="EE76" i="12"/>
  <c r="DR76" i="12"/>
  <c r="K76" i="12"/>
  <c r="EA76" i="12"/>
  <c r="DZ77" i="12"/>
  <c r="K77" i="12"/>
  <c r="DV77" i="12"/>
  <c r="EE77" i="12"/>
  <c r="DQ77" i="12"/>
  <c r="ED77" i="12"/>
  <c r="DP77" i="12"/>
  <c r="EB77" i="12"/>
  <c r="DS77" i="12"/>
  <c r="FP77" i="12"/>
  <c r="DG80" i="12"/>
  <c r="DF84" i="12"/>
  <c r="FI90" i="12"/>
  <c r="AN96" i="12"/>
  <c r="FJ90" i="12"/>
  <c r="AU91" i="12"/>
  <c r="AR91" i="12"/>
  <c r="AQ91" i="12"/>
  <c r="AP91" i="12"/>
  <c r="AT79" i="12"/>
  <c r="AV79" i="12" s="1"/>
  <c r="DW79" i="12"/>
  <c r="EK79" i="12" s="1"/>
  <c r="FL79" i="12"/>
  <c r="DZ80" i="12"/>
  <c r="K83" i="12"/>
  <c r="FI83" i="12"/>
  <c r="DW84" i="12"/>
  <c r="EK84" i="12" s="1"/>
  <c r="EE84" i="12"/>
  <c r="DS84" i="12"/>
  <c r="ED84" i="12"/>
  <c r="DR84" i="12"/>
  <c r="DY84" i="12"/>
  <c r="EM84" i="12" s="1"/>
  <c r="AP85" i="12"/>
  <c r="EA86" i="12"/>
  <c r="AO87" i="12"/>
  <c r="DT88" i="12"/>
  <c r="EI88" i="12" s="1"/>
  <c r="AC90" i="12"/>
  <c r="AD90" i="12" s="1"/>
  <c r="AT90" i="12"/>
  <c r="AV90" i="12" s="1"/>
  <c r="ED95" i="12"/>
  <c r="DV102" i="12"/>
  <c r="DU102" i="12"/>
  <c r="T102" i="12"/>
  <c r="U102" i="12" s="1"/>
  <c r="ED102" i="12"/>
  <c r="DR102" i="12"/>
  <c r="EC102" i="12"/>
  <c r="DQ102" i="12"/>
  <c r="DY102" i="12"/>
  <c r="EM102" i="12" s="1"/>
  <c r="DX102" i="12"/>
  <c r="EL102" i="12" s="1"/>
  <c r="EF102" i="12"/>
  <c r="EE102" i="12"/>
  <c r="EB102" i="12"/>
  <c r="EA102" i="12"/>
  <c r="DZ102" i="12"/>
  <c r="DW102" i="12"/>
  <c r="EK102" i="12" s="1"/>
  <c r="DO102" i="12"/>
  <c r="DP102" i="12"/>
  <c r="DF79" i="12"/>
  <c r="EA80" i="12"/>
  <c r="EF83" i="12"/>
  <c r="DT83" i="12"/>
  <c r="EI83" i="12" s="1"/>
  <c r="EB83" i="12"/>
  <c r="DP83" i="12"/>
  <c r="DU83" i="12"/>
  <c r="EB86" i="12"/>
  <c r="DU88" i="12"/>
  <c r="AW96" i="12"/>
  <c r="DE99" i="12"/>
  <c r="DS102" i="12"/>
  <c r="Z79" i="12"/>
  <c r="FS79" i="12"/>
  <c r="FO79" i="12"/>
  <c r="DE80" i="12"/>
  <c r="DR80" i="12"/>
  <c r="T83" i="12"/>
  <c r="U83" i="12" s="1"/>
  <c r="DZ83" i="12"/>
  <c r="DS86" i="12"/>
  <c r="FS91" i="12"/>
  <c r="FR91" i="12"/>
  <c r="FQ91" i="12"/>
  <c r="FP91" i="12"/>
  <c r="FO91" i="12"/>
  <c r="FN91" i="12"/>
  <c r="FI91" i="12"/>
  <c r="AW92" i="12"/>
  <c r="DD92" i="12"/>
  <c r="FJ94" i="12"/>
  <c r="AQ95" i="12"/>
  <c r="DP95" i="12"/>
  <c r="FL103" i="12"/>
  <c r="FK103" i="12"/>
  <c r="FH103" i="12"/>
  <c r="FS103" i="12"/>
  <c r="FO103" i="12"/>
  <c r="FN103" i="12"/>
  <c r="FJ103" i="12"/>
  <c r="FI103" i="12"/>
  <c r="FP103" i="12"/>
  <c r="FM103" i="12"/>
  <c r="DV110" i="12"/>
  <c r="DU110" i="12"/>
  <c r="T110" i="12"/>
  <c r="U110" i="12" s="1"/>
  <c r="ED110" i="12"/>
  <c r="DR110" i="12"/>
  <c r="EC110" i="12"/>
  <c r="DQ110" i="12"/>
  <c r="DW110" i="12"/>
  <c r="EK110" i="12" s="1"/>
  <c r="EF110" i="12"/>
  <c r="EE110" i="12"/>
  <c r="EB110" i="12"/>
  <c r="EA110" i="12"/>
  <c r="DZ110" i="12"/>
  <c r="DY110" i="12"/>
  <c r="EM110" i="12" s="1"/>
  <c r="DP110" i="12"/>
  <c r="K110" i="12"/>
  <c r="DO110" i="12"/>
  <c r="DX110" i="12"/>
  <c r="EL110" i="12" s="1"/>
  <c r="AC123" i="12"/>
  <c r="AD123" i="12" s="1"/>
  <c r="AA123" i="12"/>
  <c r="DQ79" i="12"/>
  <c r="AP80" i="12"/>
  <c r="EA83" i="12"/>
  <c r="DQ84" i="12"/>
  <c r="K86" i="12"/>
  <c r="DL87" i="12"/>
  <c r="K88" i="12"/>
  <c r="AG88" i="12"/>
  <c r="Z91" i="12"/>
  <c r="DF91" i="12"/>
  <c r="DG92" i="12"/>
  <c r="AT95" i="12"/>
  <c r="AV95" i="12" s="1"/>
  <c r="DQ95" i="12"/>
  <c r="AT97" i="12"/>
  <c r="AV97" i="12" s="1"/>
  <c r="AO97" i="12"/>
  <c r="AS97" i="12"/>
  <c r="AU99" i="12"/>
  <c r="AQ99" i="12"/>
  <c r="AP99" i="12"/>
  <c r="AR99" i="12"/>
  <c r="DG104" i="12"/>
  <c r="DS110" i="12"/>
  <c r="EC83" i="12"/>
  <c r="DG85" i="12"/>
  <c r="EC86" i="12"/>
  <c r="DQ86" i="12"/>
  <c r="DY86" i="12"/>
  <c r="EM86" i="12" s="1"/>
  <c r="DX86" i="12"/>
  <c r="EL86" i="12" s="1"/>
  <c r="DU86" i="12"/>
  <c r="DW88" i="12"/>
  <c r="EK88" i="12" s="1"/>
  <c r="DV88" i="12"/>
  <c r="EE88" i="12"/>
  <c r="DS88" i="12"/>
  <c r="ED88" i="12"/>
  <c r="DR88" i="12"/>
  <c r="EF88" i="12"/>
  <c r="AT91" i="12"/>
  <c r="AV91" i="12" s="1"/>
  <c r="AS91" i="12"/>
  <c r="AO94" i="12"/>
  <c r="Z94" i="12"/>
  <c r="AT94" i="12"/>
  <c r="AV94" i="12" s="1"/>
  <c r="FP94" i="12"/>
  <c r="FQ94" i="12"/>
  <c r="FO94" i="12"/>
  <c r="FN94" i="12"/>
  <c r="FM94" i="12"/>
  <c r="FL94" i="12"/>
  <c r="FK94" i="12"/>
  <c r="FS94" i="12"/>
  <c r="FO100" i="12"/>
  <c r="FN100" i="12"/>
  <c r="FK100" i="12"/>
  <c r="FJ100" i="12"/>
  <c r="FR100" i="12"/>
  <c r="FQ100" i="12"/>
  <c r="FS100" i="12"/>
  <c r="FP100" i="12"/>
  <c r="FM100" i="12"/>
  <c r="FL100" i="12"/>
  <c r="AR102" i="12"/>
  <c r="AQ102" i="12"/>
  <c r="AP102" i="12"/>
  <c r="AU102" i="12"/>
  <c r="FO108" i="12"/>
  <c r="FN108" i="12"/>
  <c r="FK108" i="12"/>
  <c r="FJ108" i="12"/>
  <c r="FP108" i="12"/>
  <c r="FM108" i="12"/>
  <c r="FL108" i="12"/>
  <c r="FI108" i="12"/>
  <c r="FH108" i="12"/>
  <c r="FS108" i="12"/>
  <c r="FR108" i="12"/>
  <c r="FQ108" i="12"/>
  <c r="DT110" i="12"/>
  <c r="EI110" i="12" s="1"/>
  <c r="FI79" i="12"/>
  <c r="DW80" i="12"/>
  <c r="EK80" i="12" s="1"/>
  <c r="EE80" i="12"/>
  <c r="DS80" i="12"/>
  <c r="DV80" i="12"/>
  <c r="DO83" i="12"/>
  <c r="ED83" i="12"/>
  <c r="FS83" i="12"/>
  <c r="FO83" i="12"/>
  <c r="DE84" i="12"/>
  <c r="DU84" i="12"/>
  <c r="DV86" i="12"/>
  <c r="DO88" i="12"/>
  <c r="DG89" i="12"/>
  <c r="DW92" i="12"/>
  <c r="EK92" i="12" s="1"/>
  <c r="DV92" i="12"/>
  <c r="DU92" i="12"/>
  <c r="T92" i="12"/>
  <c r="U92" i="12" s="1"/>
  <c r="EF92" i="12"/>
  <c r="DT92" i="12"/>
  <c r="EI92" i="12" s="1"/>
  <c r="EE92" i="12"/>
  <c r="DS92" i="12"/>
  <c r="ED92" i="12"/>
  <c r="DR92" i="12"/>
  <c r="DY92" i="12"/>
  <c r="EM92" i="12" s="1"/>
  <c r="EC92" i="12"/>
  <c r="DD95" i="12"/>
  <c r="EA95" i="12"/>
  <c r="AS98" i="12"/>
  <c r="AO98" i="12"/>
  <c r="AC98" i="12"/>
  <c r="AD98" i="12" s="1"/>
  <c r="AT98" i="12"/>
  <c r="AV98" i="12" s="1"/>
  <c r="EF79" i="12"/>
  <c r="DT79" i="12"/>
  <c r="EI79" i="12" s="1"/>
  <c r="EB79" i="12"/>
  <c r="DP79" i="12"/>
  <c r="DU79" i="12"/>
  <c r="FJ79" i="12"/>
  <c r="DX80" i="12"/>
  <c r="EL80" i="12" s="1"/>
  <c r="DQ83" i="12"/>
  <c r="EE83" i="12"/>
  <c r="DJ84" i="12"/>
  <c r="DI84" i="12" s="1"/>
  <c r="AL84" i="12"/>
  <c r="DV84" i="12"/>
  <c r="DW86" i="12"/>
  <c r="EK86" i="12" s="1"/>
  <c r="DD88" i="12"/>
  <c r="DP88" i="12"/>
  <c r="AO90" i="12"/>
  <c r="DD91" i="12"/>
  <c r="DE92" i="12"/>
  <c r="K95" i="12"/>
  <c r="DG95" i="12"/>
  <c r="DE97" i="12"/>
  <c r="DG97" i="12"/>
  <c r="FR97" i="12"/>
  <c r="FN97" i="12"/>
  <c r="FM97" i="12"/>
  <c r="FI97" i="12"/>
  <c r="FO97" i="12"/>
  <c r="FL97" i="12"/>
  <c r="FK97" i="12"/>
  <c r="FJ97" i="12"/>
  <c r="FH97" i="12"/>
  <c r="FQ97" i="12"/>
  <c r="AS90" i="12"/>
  <c r="EF95" i="12"/>
  <c r="DT95" i="12"/>
  <c r="EI95" i="12" s="1"/>
  <c r="DX95" i="12"/>
  <c r="EL95" i="12" s="1"/>
  <c r="T95" i="12"/>
  <c r="U95" i="12" s="1"/>
  <c r="DW95" i="12"/>
  <c r="EK95" i="12" s="1"/>
  <c r="DV95" i="12"/>
  <c r="DU95" i="12"/>
  <c r="DS95" i="12"/>
  <c r="EE95" i="12"/>
  <c r="DR95" i="12"/>
  <c r="DZ95" i="12"/>
  <c r="EC95" i="12"/>
  <c r="AQ96" i="12"/>
  <c r="AU96" i="12"/>
  <c r="AR96" i="12"/>
  <c r="AP96" i="12"/>
  <c r="AX96" i="12" s="1"/>
  <c r="DG100" i="12"/>
  <c r="Z107" i="12"/>
  <c r="AT107" i="12"/>
  <c r="AV107" i="12" s="1"/>
  <c r="AS107" i="12"/>
  <c r="AO107" i="12"/>
  <c r="DD100" i="12"/>
  <c r="FO112" i="12"/>
  <c r="FN112" i="12"/>
  <c r="FM112" i="12"/>
  <c r="FK112" i="12"/>
  <c r="FJ112" i="12"/>
  <c r="FP112" i="12"/>
  <c r="FL112" i="12"/>
  <c r="FI112" i="12"/>
  <c r="FH112" i="12"/>
  <c r="FR112" i="12"/>
  <c r="FQ112" i="12"/>
  <c r="AC113" i="12"/>
  <c r="AD113" i="12" s="1"/>
  <c r="AA113" i="12"/>
  <c r="DL92" i="12"/>
  <c r="AT103" i="12"/>
  <c r="AV103" i="12" s="1"/>
  <c r="DF103" i="12"/>
  <c r="FH105" i="12"/>
  <c r="FR109" i="12"/>
  <c r="FQ109" i="12"/>
  <c r="FN109" i="12"/>
  <c r="FM109" i="12"/>
  <c r="FS109" i="12"/>
  <c r="FP109" i="12"/>
  <c r="FO109" i="12"/>
  <c r="FL109" i="12"/>
  <c r="FK109" i="12"/>
  <c r="FJ109" i="12"/>
  <c r="FI109" i="12"/>
  <c r="DG103" i="12"/>
  <c r="FP105" i="12"/>
  <c r="DO87" i="12"/>
  <c r="EA87" i="12"/>
  <c r="EN87" i="12" s="1"/>
  <c r="DX90" i="12"/>
  <c r="EL90" i="12" s="1"/>
  <c r="DO91" i="12"/>
  <c r="EA91" i="12"/>
  <c r="EN91" i="12" s="1"/>
  <c r="FO96" i="12"/>
  <c r="FK96" i="12"/>
  <c r="FJ96" i="12"/>
  <c r="FR96" i="12"/>
  <c r="DV98" i="12"/>
  <c r="DU98" i="12"/>
  <c r="ED98" i="12"/>
  <c r="DR98" i="12"/>
  <c r="EC98" i="12"/>
  <c r="DQ98" i="12"/>
  <c r="DY98" i="12"/>
  <c r="EM98" i="12" s="1"/>
  <c r="DX98" i="12"/>
  <c r="EL98" i="12" s="1"/>
  <c r="DO98" i="12"/>
  <c r="AS99" i="12"/>
  <c r="DD104" i="12"/>
  <c r="DG105" i="12"/>
  <c r="FI85" i="12"/>
  <c r="DP87" i="12"/>
  <c r="EB87" i="12"/>
  <c r="FI89" i="12"/>
  <c r="DY90" i="12"/>
  <c r="EM90" i="12" s="1"/>
  <c r="DP91" i="12"/>
  <c r="EB91" i="12"/>
  <c r="FI93" i="12"/>
  <c r="FH95" i="12"/>
  <c r="DP98" i="12"/>
  <c r="AT99" i="12"/>
  <c r="AV99" i="12" s="1"/>
  <c r="FR105" i="12"/>
  <c r="FS105" i="12"/>
  <c r="FO105" i="12"/>
  <c r="FN105" i="12"/>
  <c r="FJ105" i="12"/>
  <c r="FI105" i="12"/>
  <c r="DQ91" i="12"/>
  <c r="EC91" i="12"/>
  <c r="FS92" i="12"/>
  <c r="AL93" i="12"/>
  <c r="DJ93" i="12"/>
  <c r="DI93" i="12" s="1"/>
  <c r="FJ93" i="12"/>
  <c r="K94" i="12"/>
  <c r="DZ94" i="12"/>
  <c r="AS95" i="12"/>
  <c r="FI95" i="12"/>
  <c r="DS98" i="12"/>
  <c r="AT101" i="12"/>
  <c r="AV101" i="12" s="1"/>
  <c r="AS101" i="12"/>
  <c r="AO101" i="12"/>
  <c r="AA101" i="12"/>
  <c r="DO90" i="12"/>
  <c r="EA90" i="12"/>
  <c r="DR91" i="12"/>
  <c r="ED91" i="12"/>
  <c r="DK93" i="12"/>
  <c r="FK93" i="12"/>
  <c r="DO94" i="12"/>
  <c r="EA94" i="12"/>
  <c r="FJ95" i="12"/>
  <c r="EB96" i="12"/>
  <c r="DP96" i="12"/>
  <c r="DX96" i="12"/>
  <c r="EL96" i="12" s="1"/>
  <c r="DW96" i="12"/>
  <c r="EK96" i="12" s="1"/>
  <c r="EE96" i="12"/>
  <c r="DS96" i="12"/>
  <c r="EC96" i="12"/>
  <c r="DG98" i="12"/>
  <c r="DT98" i="12"/>
  <c r="EI98" i="12" s="1"/>
  <c r="FL99" i="12"/>
  <c r="FK99" i="12"/>
  <c r="FH99" i="12"/>
  <c r="FS99" i="12"/>
  <c r="FO99" i="12"/>
  <c r="FN99" i="12"/>
  <c r="FL107" i="12"/>
  <c r="FK107" i="12"/>
  <c r="FH107" i="12"/>
  <c r="FS107" i="12"/>
  <c r="FM107" i="12"/>
  <c r="FJ107" i="12"/>
  <c r="FI107" i="12"/>
  <c r="FP107" i="12"/>
  <c r="FO107" i="12"/>
  <c r="AA109" i="12"/>
  <c r="DG109" i="12"/>
  <c r="DL89" i="12"/>
  <c r="FL89" i="12"/>
  <c r="DP90" i="12"/>
  <c r="EB90" i="12"/>
  <c r="DS91" i="12"/>
  <c r="EE91" i="12"/>
  <c r="FI92" i="12"/>
  <c r="AA93" i="12"/>
  <c r="DL93" i="12"/>
  <c r="FL93" i="12"/>
  <c r="DP94" i="12"/>
  <c r="EB94" i="12"/>
  <c r="DF95" i="12"/>
  <c r="FK95" i="12"/>
  <c r="FH96" i="12"/>
  <c r="DW98" i="12"/>
  <c r="EK98" i="12" s="1"/>
  <c r="DD101" i="12"/>
  <c r="AO103" i="12"/>
  <c r="AN104" i="12"/>
  <c r="DE104" i="12"/>
  <c r="DT87" i="12"/>
  <c r="EI87" i="12" s="1"/>
  <c r="DQ90" i="12"/>
  <c r="DT91" i="12"/>
  <c r="EI91" i="12" s="1"/>
  <c r="DQ94" i="12"/>
  <c r="FL95" i="12"/>
  <c r="EF96" i="12"/>
  <c r="FI96" i="12"/>
  <c r="DZ98" i="12"/>
  <c r="EN98" i="12" s="1"/>
  <c r="DG99" i="12"/>
  <c r="DG101" i="12"/>
  <c r="AS102" i="12"/>
  <c r="Z102" i="12"/>
  <c r="AT102" i="12"/>
  <c r="AV102" i="12" s="1"/>
  <c r="AQ104" i="12"/>
  <c r="AP104" i="12"/>
  <c r="FS112" i="12"/>
  <c r="AT113" i="12"/>
  <c r="AV113" i="12" s="1"/>
  <c r="AS113" i="12"/>
  <c r="AO113" i="12"/>
  <c r="DG113" i="12"/>
  <c r="DO99" i="12"/>
  <c r="EA99" i="12"/>
  <c r="DR100" i="12"/>
  <c r="ED100" i="12"/>
  <c r="FK102" i="12"/>
  <c r="DO103" i="12"/>
  <c r="EA103" i="12"/>
  <c r="DR104" i="12"/>
  <c r="ED104" i="12"/>
  <c r="DG107" i="12"/>
  <c r="AQ108" i="12"/>
  <c r="AP108" i="12"/>
  <c r="DR111" i="12"/>
  <c r="DZ114" i="12"/>
  <c r="K114" i="12"/>
  <c r="DW114" i="12"/>
  <c r="EK114" i="12" s="1"/>
  <c r="DV114" i="12"/>
  <c r="EE114" i="12"/>
  <c r="DS114" i="12"/>
  <c r="EA114" i="12"/>
  <c r="DY114" i="12"/>
  <c r="EM114" i="12" s="1"/>
  <c r="DX114" i="12"/>
  <c r="EL114" i="12" s="1"/>
  <c r="DU114" i="12"/>
  <c r="DT114" i="12"/>
  <c r="EI114" i="12" s="1"/>
  <c r="DR114" i="12"/>
  <c r="DQ114" i="12"/>
  <c r="EB114" i="12"/>
  <c r="DG114" i="12"/>
  <c r="DV97" i="12"/>
  <c r="FL98" i="12"/>
  <c r="DP99" i="12"/>
  <c r="EB99" i="12"/>
  <c r="DS100" i="12"/>
  <c r="EE100" i="12"/>
  <c r="DV101" i="12"/>
  <c r="FI101" i="12"/>
  <c r="FL102" i="12"/>
  <c r="DP103" i="12"/>
  <c r="EB103" i="12"/>
  <c r="AT104" i="12"/>
  <c r="AV104" i="12" s="1"/>
  <c r="DS104" i="12"/>
  <c r="EE104" i="12"/>
  <c r="DV106" i="12"/>
  <c r="DU106" i="12"/>
  <c r="ED106" i="12"/>
  <c r="DR106" i="12"/>
  <c r="AG106" i="12"/>
  <c r="DZ106" i="12"/>
  <c r="AR108" i="12"/>
  <c r="AT109" i="12"/>
  <c r="AV109" i="12" s="1"/>
  <c r="AS109" i="12"/>
  <c r="AO109" i="12"/>
  <c r="DD110" i="12"/>
  <c r="K97" i="12"/>
  <c r="DZ97" i="12"/>
  <c r="FP98" i="12"/>
  <c r="DT99" i="12"/>
  <c r="EI99" i="12" s="1"/>
  <c r="EF99" i="12"/>
  <c r="DW100" i="12"/>
  <c r="EK100" i="12" s="1"/>
  <c r="K101" i="12"/>
  <c r="DZ101" i="12"/>
  <c r="FM101" i="12"/>
  <c r="FP102" i="12"/>
  <c r="DT103" i="12"/>
  <c r="EI103" i="12" s="1"/>
  <c r="EF103" i="12"/>
  <c r="DW104" i="12"/>
  <c r="EK104" i="12" s="1"/>
  <c r="DD106" i="12"/>
  <c r="DO106" i="12"/>
  <c r="EE106" i="12"/>
  <c r="Z111" i="12"/>
  <c r="AO111" i="12"/>
  <c r="AS111" i="12"/>
  <c r="AN112" i="12"/>
  <c r="DG115" i="12"/>
  <c r="FP117" i="12"/>
  <c r="AQ118" i="12"/>
  <c r="DO97" i="12"/>
  <c r="EA97" i="12"/>
  <c r="FQ98" i="12"/>
  <c r="T99" i="12"/>
  <c r="U99" i="12" s="1"/>
  <c r="DU99" i="12"/>
  <c r="DX100" i="12"/>
  <c r="EL100" i="12" s="1"/>
  <c r="DO101" i="12"/>
  <c r="EA101" i="12"/>
  <c r="FN101" i="12"/>
  <c r="FQ102" i="12"/>
  <c r="T103" i="12"/>
  <c r="U103" i="12" s="1"/>
  <c r="DU103" i="12"/>
  <c r="DX104" i="12"/>
  <c r="EL104" i="12" s="1"/>
  <c r="DO105" i="12"/>
  <c r="EA105" i="12"/>
  <c r="DG106" i="12"/>
  <c r="DP106" i="12"/>
  <c r="EF106" i="12"/>
  <c r="DY107" i="12"/>
  <c r="EM107" i="12" s="1"/>
  <c r="DX107" i="12"/>
  <c r="EL107" i="12" s="1"/>
  <c r="DU107" i="12"/>
  <c r="T107" i="12"/>
  <c r="U107" i="12" s="1"/>
  <c r="EF107" i="12"/>
  <c r="DT107" i="12"/>
  <c r="EI107" i="12" s="1"/>
  <c r="EA107" i="12"/>
  <c r="AT111" i="12"/>
  <c r="AV111" i="12" s="1"/>
  <c r="FN111" i="12"/>
  <c r="DD113" i="12"/>
  <c r="FI113" i="12"/>
  <c r="T114" i="12"/>
  <c r="U114" i="12" s="1"/>
  <c r="EC114" i="12"/>
  <c r="DE119" i="12"/>
  <c r="DG119" i="12"/>
  <c r="FJ117" i="12"/>
  <c r="FH117" i="12"/>
  <c r="FS117" i="12"/>
  <c r="FR117" i="12"/>
  <c r="FO117" i="12"/>
  <c r="FM117" i="12"/>
  <c r="FL117" i="12"/>
  <c r="FK117" i="12"/>
  <c r="FI117" i="12"/>
  <c r="FN117" i="12"/>
  <c r="AW120" i="12"/>
  <c r="DF107" i="12"/>
  <c r="DY111" i="12"/>
  <c r="EM111" i="12" s="1"/>
  <c r="DX111" i="12"/>
  <c r="EL111" i="12" s="1"/>
  <c r="DU111" i="12"/>
  <c r="T111" i="12"/>
  <c r="U111" i="12" s="1"/>
  <c r="EF111" i="12"/>
  <c r="DT111" i="12"/>
  <c r="EI111" i="12" s="1"/>
  <c r="DZ111" i="12"/>
  <c r="K111" i="12"/>
  <c r="EE111" i="12"/>
  <c r="FP111" i="12"/>
  <c r="AA112" i="12"/>
  <c r="FL113" i="12"/>
  <c r="EF114" i="12"/>
  <c r="EC118" i="12"/>
  <c r="DQ118" i="12"/>
  <c r="DZ118" i="12"/>
  <c r="K118" i="12"/>
  <c r="DX118" i="12"/>
  <c r="EL118" i="12" s="1"/>
  <c r="DW118" i="12"/>
  <c r="EK118" i="12" s="1"/>
  <c r="DV118" i="12"/>
  <c r="EE118" i="12"/>
  <c r="DS118" i="12"/>
  <c r="ED118" i="12"/>
  <c r="DR118" i="12"/>
  <c r="T118" i="12"/>
  <c r="U118" i="12" s="1"/>
  <c r="EF118" i="12"/>
  <c r="EB118" i="12"/>
  <c r="EA118" i="12"/>
  <c r="DO118" i="12"/>
  <c r="DP118" i="12"/>
  <c r="DX99" i="12"/>
  <c r="EL99" i="12" s="1"/>
  <c r="DO100" i="12"/>
  <c r="EA100" i="12"/>
  <c r="DO104" i="12"/>
  <c r="EA104" i="12"/>
  <c r="Z106" i="12"/>
  <c r="EN120" i="12"/>
  <c r="AS123" i="12"/>
  <c r="AO123" i="12"/>
  <c r="AT123" i="12"/>
  <c r="AV123" i="12" s="1"/>
  <c r="DS97" i="12"/>
  <c r="DP100" i="12"/>
  <c r="DS101" i="12"/>
  <c r="DP104" i="12"/>
  <c r="DS105" i="12"/>
  <c r="EF105" i="12"/>
  <c r="AO106" i="12"/>
  <c r="DW106" i="12"/>
  <c r="EK106" i="12" s="1"/>
  <c r="DO107" i="12"/>
  <c r="EE107" i="12"/>
  <c r="DG111" i="12"/>
  <c r="DP111" i="12"/>
  <c r="DD117" i="12"/>
  <c r="DU118" i="12"/>
  <c r="DG122" i="12"/>
  <c r="FP122" i="12"/>
  <c r="FN122" i="12"/>
  <c r="FM122" i="12"/>
  <c r="FK122" i="12"/>
  <c r="FJ122" i="12"/>
  <c r="FI122" i="12"/>
  <c r="FR122" i="12"/>
  <c r="FQ122" i="12"/>
  <c r="FH122" i="12"/>
  <c r="FL122" i="12"/>
  <c r="DE109" i="12"/>
  <c r="DQ111" i="12"/>
  <c r="FL111" i="12"/>
  <c r="FK111" i="12"/>
  <c r="FJ111" i="12"/>
  <c r="FH111" i="12"/>
  <c r="FS111" i="12"/>
  <c r="FM111" i="12"/>
  <c r="DK112" i="12"/>
  <c r="DJ112" i="12"/>
  <c r="DI112" i="12" s="1"/>
  <c r="AL112" i="12"/>
  <c r="DL112" i="12"/>
  <c r="FJ113" i="12"/>
  <c r="FS113" i="12"/>
  <c r="FR113" i="12"/>
  <c r="FQ113" i="12"/>
  <c r="FO113" i="12"/>
  <c r="FN113" i="12"/>
  <c r="DG116" i="12"/>
  <c r="DG117" i="12"/>
  <c r="DY118" i="12"/>
  <c r="EM118" i="12" s="1"/>
  <c r="DW117" i="12"/>
  <c r="EK117" i="12" s="1"/>
  <c r="DU117" i="12"/>
  <c r="EF117" i="12"/>
  <c r="DT117" i="12"/>
  <c r="EI117" i="12" s="1"/>
  <c r="EE117" i="12"/>
  <c r="DS117" i="12"/>
  <c r="EB117" i="12"/>
  <c r="DP117" i="12"/>
  <c r="DO117" i="12"/>
  <c r="DE121" i="12"/>
  <c r="DF123" i="12"/>
  <c r="FJ124" i="12"/>
  <c r="FH124" i="12"/>
  <c r="FS124" i="12"/>
  <c r="FQ124" i="12"/>
  <c r="FP124" i="12"/>
  <c r="FO124" i="12"/>
  <c r="FL124" i="12"/>
  <c r="FK124" i="12"/>
  <c r="DM125" i="12"/>
  <c r="DK125" i="12"/>
  <c r="DJ125" i="12"/>
  <c r="DI125" i="12" s="1"/>
  <c r="AL125" i="12"/>
  <c r="FM131" i="12"/>
  <c r="FL131" i="12"/>
  <c r="FK131" i="12"/>
  <c r="FJ131" i="12"/>
  <c r="FI131" i="12"/>
  <c r="FS131" i="12"/>
  <c r="FR131" i="12"/>
  <c r="FO131" i="12"/>
  <c r="FN131" i="12"/>
  <c r="FP131" i="12"/>
  <c r="FH131" i="12"/>
  <c r="AU134" i="12"/>
  <c r="DW138" i="12"/>
  <c r="EK138" i="12" s="1"/>
  <c r="DV138" i="12"/>
  <c r="DU138" i="12"/>
  <c r="T138" i="12"/>
  <c r="U138" i="12" s="1"/>
  <c r="EF138" i="12"/>
  <c r="DT138" i="12"/>
  <c r="EI138" i="12" s="1"/>
  <c r="EE138" i="12"/>
  <c r="DS138" i="12"/>
  <c r="ED138" i="12"/>
  <c r="DR138" i="12"/>
  <c r="EC138" i="12"/>
  <c r="DQ138" i="12"/>
  <c r="EB138" i="12"/>
  <c r="DP138" i="12"/>
  <c r="DY138" i="12"/>
  <c r="EM138" i="12" s="1"/>
  <c r="DX138" i="12"/>
  <c r="EL138" i="12" s="1"/>
  <c r="EA138" i="12"/>
  <c r="DZ138" i="12"/>
  <c r="DO138" i="12"/>
  <c r="K138" i="12"/>
  <c r="AP134" i="12"/>
  <c r="FI120" i="12"/>
  <c r="DF124" i="12"/>
  <c r="DG126" i="12"/>
  <c r="W127" i="12"/>
  <c r="W131" i="12"/>
  <c r="FO114" i="12"/>
  <c r="DS116" i="12"/>
  <c r="FM116" i="12"/>
  <c r="T117" i="12"/>
  <c r="U117" i="12" s="1"/>
  <c r="DE117" i="12"/>
  <c r="DY117" i="12"/>
  <c r="EM117" i="12" s="1"/>
  <c r="FL118" i="12"/>
  <c r="FM120" i="12"/>
  <c r="AQ122" i="12"/>
  <c r="DG123" i="12"/>
  <c r="DE125" i="12"/>
  <c r="DW126" i="12"/>
  <c r="EK126" i="12" s="1"/>
  <c r="EE126" i="12"/>
  <c r="DS126" i="12"/>
  <c r="EC126" i="12"/>
  <c r="DQ126" i="12"/>
  <c r="EB126" i="12"/>
  <c r="DP126" i="12"/>
  <c r="DY126" i="12"/>
  <c r="EM126" i="12" s="1"/>
  <c r="ED126" i="12"/>
  <c r="DZ126" i="12"/>
  <c r="EN126" i="12" s="1"/>
  <c r="DX126" i="12"/>
  <c r="EL126" i="12" s="1"/>
  <c r="T126" i="12"/>
  <c r="U126" i="12" s="1"/>
  <c r="DU126" i="12"/>
  <c r="DT126" i="12"/>
  <c r="EI126" i="12" s="1"/>
  <c r="DR126" i="12"/>
  <c r="K126" i="12"/>
  <c r="EF126" i="12"/>
  <c r="AC127" i="12"/>
  <c r="AD127" i="12" s="1"/>
  <c r="AA127" i="12"/>
  <c r="FP114" i="12"/>
  <c r="AP115" i="12"/>
  <c r="FN116" i="12"/>
  <c r="DZ117" i="12"/>
  <c r="AS119" i="12"/>
  <c r="AU120" i="12"/>
  <c r="AR120" i="12"/>
  <c r="AQ120" i="12"/>
  <c r="FN120" i="12"/>
  <c r="DO124" i="12"/>
  <c r="FQ106" i="12"/>
  <c r="DX108" i="12"/>
  <c r="EL108" i="12" s="1"/>
  <c r="DO109" i="12"/>
  <c r="EA109" i="12"/>
  <c r="EN109" i="12" s="1"/>
  <c r="FQ110" i="12"/>
  <c r="DX112" i="12"/>
  <c r="EL112" i="12" s="1"/>
  <c r="DO113" i="12"/>
  <c r="EA113" i="12"/>
  <c r="Z115" i="12"/>
  <c r="AQ115" i="12"/>
  <c r="FP115" i="12"/>
  <c r="FM115" i="12"/>
  <c r="FL115" i="12"/>
  <c r="FI115" i="12"/>
  <c r="Z116" i="12"/>
  <c r="AO116" i="12"/>
  <c r="EA117" i="12"/>
  <c r="Z119" i="12"/>
  <c r="AT119" i="12"/>
  <c r="AV119" i="12" s="1"/>
  <c r="AP120" i="12"/>
  <c r="DD124" i="12"/>
  <c r="DS124" i="12"/>
  <c r="AU130" i="12"/>
  <c r="AR130" i="12"/>
  <c r="AQ130" i="12"/>
  <c r="AT133" i="12"/>
  <c r="AV133" i="12" s="1"/>
  <c r="AS133" i="12"/>
  <c r="AO133" i="12"/>
  <c r="Z133" i="12"/>
  <c r="AC137" i="12"/>
  <c r="AD137" i="12" s="1"/>
  <c r="AA137" i="12"/>
  <c r="AS115" i="12"/>
  <c r="AU117" i="12"/>
  <c r="AQ117" i="12"/>
  <c r="AU119" i="12"/>
  <c r="AR119" i="12"/>
  <c r="AP119" i="12"/>
  <c r="FJ120" i="12"/>
  <c r="FS120" i="12"/>
  <c r="FQ120" i="12"/>
  <c r="FP120" i="12"/>
  <c r="FO120" i="12"/>
  <c r="FL120" i="12"/>
  <c r="FK120" i="12"/>
  <c r="FI124" i="12"/>
  <c r="DL125" i="12"/>
  <c r="DG128" i="12"/>
  <c r="AP131" i="12"/>
  <c r="FP132" i="12"/>
  <c r="FO132" i="12"/>
  <c r="FN132" i="12"/>
  <c r="FM132" i="12"/>
  <c r="FL132" i="12"/>
  <c r="FK132" i="12"/>
  <c r="FJ132" i="12"/>
  <c r="FI132" i="12"/>
  <c r="FR132" i="12"/>
  <c r="FQ132" i="12"/>
  <c r="FH132" i="12"/>
  <c r="FM114" i="12"/>
  <c r="FJ114" i="12"/>
  <c r="FI114" i="12"/>
  <c r="FR114" i="12"/>
  <c r="AT115" i="12"/>
  <c r="AV115" i="12" s="1"/>
  <c r="FS116" i="12"/>
  <c r="FP116" i="12"/>
  <c r="FO116" i="12"/>
  <c r="FL116" i="12"/>
  <c r="AP117" i="12"/>
  <c r="ED117" i="12"/>
  <c r="FP118" i="12"/>
  <c r="FM118" i="12"/>
  <c r="FK118" i="12"/>
  <c r="FJ118" i="12"/>
  <c r="FI118" i="12"/>
  <c r="FR118" i="12"/>
  <c r="FQ118" i="12"/>
  <c r="DG121" i="12"/>
  <c r="AR122" i="12"/>
  <c r="AP122" i="12"/>
  <c r="K124" i="12"/>
  <c r="DG124" i="12"/>
  <c r="FM124" i="12"/>
  <c r="AT129" i="12"/>
  <c r="AV129" i="12" s="1"/>
  <c r="AS129" i="12"/>
  <c r="AO129" i="12"/>
  <c r="Z129" i="12"/>
  <c r="DO108" i="12"/>
  <c r="EA108" i="12"/>
  <c r="DR109" i="12"/>
  <c r="ED109" i="12"/>
  <c r="DO112" i="12"/>
  <c r="EA112" i="12"/>
  <c r="AU115" i="12"/>
  <c r="EF116" i="12"/>
  <c r="DT116" i="12"/>
  <c r="EI116" i="12" s="1"/>
  <c r="EC116" i="12"/>
  <c r="DQ116" i="12"/>
  <c r="EB116" i="12"/>
  <c r="DP116" i="12"/>
  <c r="DY116" i="12"/>
  <c r="EM116" i="12" s="1"/>
  <c r="DZ116" i="12"/>
  <c r="AL117" i="12"/>
  <c r="AR117" i="12"/>
  <c r="DF117" i="12"/>
  <c r="DL117" i="12"/>
  <c r="DW124" i="12"/>
  <c r="EK124" i="12" s="1"/>
  <c r="DU124" i="12"/>
  <c r="T124" i="12"/>
  <c r="U124" i="12" s="1"/>
  <c r="EF124" i="12"/>
  <c r="DT124" i="12"/>
  <c r="EI124" i="12" s="1"/>
  <c r="ED124" i="12"/>
  <c r="DR124" i="12"/>
  <c r="EC124" i="12"/>
  <c r="DQ124" i="12"/>
  <c r="EB124" i="12"/>
  <c r="DP124" i="12"/>
  <c r="DY124" i="12"/>
  <c r="EM124" i="12" s="1"/>
  <c r="DX124" i="12"/>
  <c r="EL124" i="12" s="1"/>
  <c r="EA124" i="12"/>
  <c r="EN124" i="12" s="1"/>
  <c r="FN124" i="12"/>
  <c r="DO126" i="12"/>
  <c r="FJ126" i="12"/>
  <c r="FR126" i="12"/>
  <c r="FP126" i="12"/>
  <c r="FO126" i="12"/>
  <c r="FL126" i="12"/>
  <c r="FH126" i="12"/>
  <c r="FS126" i="12"/>
  <c r="FQ126" i="12"/>
  <c r="FK126" i="12"/>
  <c r="FI126" i="12"/>
  <c r="DP108" i="12"/>
  <c r="DS109" i="12"/>
  <c r="DP112" i="12"/>
  <c r="DS113" i="12"/>
  <c r="AO114" i="12"/>
  <c r="AT114" i="12"/>
  <c r="AV114" i="12" s="1"/>
  <c r="AA114" i="12"/>
  <c r="EC115" i="12"/>
  <c r="DQ115" i="12"/>
  <c r="DZ115" i="12"/>
  <c r="K115" i="12"/>
  <c r="DY115" i="12"/>
  <c r="EM115" i="12" s="1"/>
  <c r="DV115" i="12"/>
  <c r="ED115" i="12"/>
  <c r="FH115" i="12"/>
  <c r="DF116" i="12"/>
  <c r="EA116" i="12"/>
  <c r="K117" i="12"/>
  <c r="DM117" i="12"/>
  <c r="DW120" i="12"/>
  <c r="EK120" i="12" s="1"/>
  <c r="EF120" i="12"/>
  <c r="DT120" i="12"/>
  <c r="EI120" i="12" s="1"/>
  <c r="ED120" i="12"/>
  <c r="DR120" i="12"/>
  <c r="EC120" i="12"/>
  <c r="DQ120" i="12"/>
  <c r="EB120" i="12"/>
  <c r="DP120" i="12"/>
  <c r="DY120" i="12"/>
  <c r="EM120" i="12" s="1"/>
  <c r="DX120" i="12"/>
  <c r="EL120" i="12" s="1"/>
  <c r="DD120" i="12"/>
  <c r="DO120" i="12"/>
  <c r="FM121" i="12"/>
  <c r="FK121" i="12"/>
  <c r="FJ121" i="12"/>
  <c r="FH121" i="12"/>
  <c r="FS121" i="12"/>
  <c r="FR121" i="12"/>
  <c r="FO121" i="12"/>
  <c r="FN121" i="12"/>
  <c r="EE124" i="12"/>
  <c r="FR124" i="12"/>
  <c r="AA126" i="12"/>
  <c r="AC126" i="12"/>
  <c r="AD126" i="12" s="1"/>
  <c r="DV126" i="12"/>
  <c r="FQ131" i="12"/>
  <c r="Z120" i="12"/>
  <c r="DO121" i="12"/>
  <c r="EA121" i="12"/>
  <c r="DU123" i="12"/>
  <c r="Z124" i="12"/>
  <c r="EF125" i="12"/>
  <c r="DZ125" i="12"/>
  <c r="AP125" i="12"/>
  <c r="DP125" i="12"/>
  <c r="EC125" i="12"/>
  <c r="AT118" i="12"/>
  <c r="AV118" i="12" s="1"/>
  <c r="DV119" i="12"/>
  <c r="FI119" i="12"/>
  <c r="DP121" i="12"/>
  <c r="EB121" i="12"/>
  <c r="AT122" i="12"/>
  <c r="AV122" i="12" s="1"/>
  <c r="DS122" i="12"/>
  <c r="EE122" i="12"/>
  <c r="DV123" i="12"/>
  <c r="FI123" i="12"/>
  <c r="AQ125" i="12"/>
  <c r="DQ125" i="12"/>
  <c r="ED125" i="12"/>
  <c r="FM127" i="12"/>
  <c r="FL127" i="12"/>
  <c r="FK127" i="12"/>
  <c r="FI127" i="12"/>
  <c r="FS127" i="12"/>
  <c r="FR127" i="12"/>
  <c r="FO127" i="12"/>
  <c r="DO134" i="12"/>
  <c r="DY119" i="12"/>
  <c r="EM119" i="12" s="1"/>
  <c r="FL119" i="12"/>
  <c r="DS121" i="12"/>
  <c r="EE121" i="12"/>
  <c r="DV122" i="12"/>
  <c r="DL123" i="12"/>
  <c r="DY123" i="12"/>
  <c r="EM123" i="12" s="1"/>
  <c r="FL123" i="12"/>
  <c r="DT125" i="12"/>
  <c r="EI125" i="12" s="1"/>
  <c r="FK125" i="12"/>
  <c r="DF127" i="12"/>
  <c r="DZ130" i="12"/>
  <c r="AU135" i="12"/>
  <c r="AQ135" i="12"/>
  <c r="AP135" i="12"/>
  <c r="AT137" i="12"/>
  <c r="AV137" i="12" s="1"/>
  <c r="AS137" i="12"/>
  <c r="AO137" i="12"/>
  <c r="K119" i="12"/>
  <c r="DZ119" i="12"/>
  <c r="FM119" i="12"/>
  <c r="DT121" i="12"/>
  <c r="EI121" i="12" s="1"/>
  <c r="EF121" i="12"/>
  <c r="DW122" i="12"/>
  <c r="EK122" i="12" s="1"/>
  <c r="K123" i="12"/>
  <c r="DZ123" i="12"/>
  <c r="FM123" i="12"/>
  <c r="DU125" i="12"/>
  <c r="FL125" i="12"/>
  <c r="AO127" i="12"/>
  <c r="AT127" i="12"/>
  <c r="AV127" i="12" s="1"/>
  <c r="DE128" i="12"/>
  <c r="EA130" i="12"/>
  <c r="FP136" i="12"/>
  <c r="FO136" i="12"/>
  <c r="FN136" i="12"/>
  <c r="FM136" i="12"/>
  <c r="FL136" i="12"/>
  <c r="FK136" i="12"/>
  <c r="FJ136" i="12"/>
  <c r="FI136" i="12"/>
  <c r="FR136" i="12"/>
  <c r="FQ136" i="12"/>
  <c r="AP139" i="12"/>
  <c r="DE139" i="12"/>
  <c r="FP139" i="12"/>
  <c r="DO119" i="12"/>
  <c r="EA119" i="12"/>
  <c r="FN119" i="12"/>
  <c r="T121" i="12"/>
  <c r="U121" i="12" s="1"/>
  <c r="DU121" i="12"/>
  <c r="DX122" i="12"/>
  <c r="EL122" i="12" s="1"/>
  <c r="DO123" i="12"/>
  <c r="EA123" i="12"/>
  <c r="FN123" i="12"/>
  <c r="T125" i="12"/>
  <c r="U125" i="12" s="1"/>
  <c r="DV125" i="12"/>
  <c r="FN125" i="12"/>
  <c r="DD134" i="12"/>
  <c r="DG134" i="12"/>
  <c r="AP138" i="12"/>
  <c r="AX138" i="12" s="1"/>
  <c r="FM139" i="12"/>
  <c r="FL139" i="12"/>
  <c r="FK139" i="12"/>
  <c r="FJ139" i="12"/>
  <c r="FI139" i="12"/>
  <c r="FH139" i="12"/>
  <c r="FS139" i="12"/>
  <c r="FR139" i="12"/>
  <c r="FO139" i="12"/>
  <c r="FN139" i="12"/>
  <c r="DQ119" i="12"/>
  <c r="DW121" i="12"/>
  <c r="EK121" i="12" s="1"/>
  <c r="K122" i="12"/>
  <c r="DZ122" i="12"/>
  <c r="DQ123" i="12"/>
  <c r="EC123" i="12"/>
  <c r="FP123" i="12"/>
  <c r="DX125" i="12"/>
  <c r="EL125" i="12" s="1"/>
  <c r="FP125" i="12"/>
  <c r="DZ127" i="12"/>
  <c r="K127" i="12"/>
  <c r="DY127" i="12"/>
  <c r="EM127" i="12" s="1"/>
  <c r="DX127" i="12"/>
  <c r="EL127" i="12" s="1"/>
  <c r="DV127" i="12"/>
  <c r="EF127" i="12"/>
  <c r="DT127" i="12"/>
  <c r="EI127" i="12" s="1"/>
  <c r="EE127" i="12"/>
  <c r="DS127" i="12"/>
  <c r="EB127" i="12"/>
  <c r="DP127" i="12"/>
  <c r="DW127" i="12"/>
  <c r="EK127" i="12" s="1"/>
  <c r="FP128" i="12"/>
  <c r="FO128" i="12"/>
  <c r="FN128" i="12"/>
  <c r="FL128" i="12"/>
  <c r="FJ128" i="12"/>
  <c r="FI128" i="12"/>
  <c r="FR128" i="12"/>
  <c r="DE131" i="12"/>
  <c r="DO122" i="12"/>
  <c r="DR123" i="12"/>
  <c r="DY125" i="12"/>
  <c r="EM125" i="12" s="1"/>
  <c r="AR126" i="12"/>
  <c r="AQ126" i="12"/>
  <c r="AP128" i="12"/>
  <c r="DG129" i="12"/>
  <c r="DW130" i="12"/>
  <c r="EK130" i="12" s="1"/>
  <c r="DV130" i="12"/>
  <c r="DU130" i="12"/>
  <c r="T130" i="12"/>
  <c r="U130" i="12" s="1"/>
  <c r="EF130" i="12"/>
  <c r="DT130" i="12"/>
  <c r="EI130" i="12" s="1"/>
  <c r="EE130" i="12"/>
  <c r="DS130" i="12"/>
  <c r="EC130" i="12"/>
  <c r="DQ130" i="12"/>
  <c r="EB130" i="12"/>
  <c r="DP130" i="12"/>
  <c r="DY130" i="12"/>
  <c r="EM130" i="12" s="1"/>
  <c r="DX130" i="12"/>
  <c r="EL130" i="12" s="1"/>
  <c r="DE130" i="12"/>
  <c r="DW134" i="12"/>
  <c r="EK134" i="12" s="1"/>
  <c r="DV134" i="12"/>
  <c r="DU134" i="12"/>
  <c r="T134" i="12"/>
  <c r="U134" i="12" s="1"/>
  <c r="EF134" i="12"/>
  <c r="DT134" i="12"/>
  <c r="EI134" i="12" s="1"/>
  <c r="EE134" i="12"/>
  <c r="DS134" i="12"/>
  <c r="ED134" i="12"/>
  <c r="DR134" i="12"/>
  <c r="EC134" i="12"/>
  <c r="DQ134" i="12"/>
  <c r="EB134" i="12"/>
  <c r="DP134" i="12"/>
  <c r="DY134" i="12"/>
  <c r="EM134" i="12" s="1"/>
  <c r="DX134" i="12"/>
  <c r="EL134" i="12" s="1"/>
  <c r="DF137" i="12"/>
  <c r="EC127" i="12"/>
  <c r="EF129" i="12"/>
  <c r="DT129" i="12"/>
  <c r="EI129" i="12" s="1"/>
  <c r="EE129" i="12"/>
  <c r="DS129" i="12"/>
  <c r="ED129" i="12"/>
  <c r="DR129" i="12"/>
  <c r="EC129" i="12"/>
  <c r="DQ129" i="12"/>
  <c r="EB129" i="12"/>
  <c r="DP129" i="12"/>
  <c r="DZ129" i="12"/>
  <c r="K129" i="12"/>
  <c r="DY129" i="12"/>
  <c r="EM129" i="12" s="1"/>
  <c r="DV129" i="12"/>
  <c r="DU129" i="12"/>
  <c r="AR135" i="12"/>
  <c r="FS125" i="12"/>
  <c r="FM125" i="12"/>
  <c r="FI125" i="12"/>
  <c r="DE127" i="12"/>
  <c r="DD138" i="12"/>
  <c r="DG138" i="12"/>
  <c r="DO131" i="12"/>
  <c r="EA131" i="12"/>
  <c r="T133" i="12"/>
  <c r="U133" i="12" s="1"/>
  <c r="DU133" i="12"/>
  <c r="DO135" i="12"/>
  <c r="EA135" i="12"/>
  <c r="FN135" i="12"/>
  <c r="DR136" i="12"/>
  <c r="ED136" i="12"/>
  <c r="T137" i="12"/>
  <c r="U137" i="12" s="1"/>
  <c r="DU137" i="12"/>
  <c r="FK138" i="12"/>
  <c r="DO139" i="12"/>
  <c r="EA139" i="12"/>
  <c r="EN139" i="12" s="1"/>
  <c r="DS128" i="12"/>
  <c r="EE128" i="12"/>
  <c r="FI129" i="12"/>
  <c r="FL130" i="12"/>
  <c r="DP131" i="12"/>
  <c r="EB131" i="12"/>
  <c r="DS132" i="12"/>
  <c r="EE132" i="12"/>
  <c r="DV133" i="12"/>
  <c r="FI133" i="12"/>
  <c r="DL134" i="12"/>
  <c r="FL134" i="12"/>
  <c r="DP135" i="12"/>
  <c r="EB135" i="12"/>
  <c r="FO135" i="12"/>
  <c r="DS136" i="12"/>
  <c r="EE136" i="12"/>
  <c r="DV137" i="12"/>
  <c r="FI137" i="12"/>
  <c r="FL138" i="12"/>
  <c r="DP139" i="12"/>
  <c r="EB139" i="12"/>
  <c r="DV128" i="12"/>
  <c r="FL129" i="12"/>
  <c r="FO130" i="12"/>
  <c r="AT131" i="12"/>
  <c r="AV131" i="12" s="1"/>
  <c r="DS131" i="12"/>
  <c r="EE131" i="12"/>
  <c r="DV132" i="12"/>
  <c r="DY133" i="12"/>
  <c r="EM133" i="12" s="1"/>
  <c r="FL133" i="12"/>
  <c r="FO134" i="12"/>
  <c r="AT135" i="12"/>
  <c r="AV135" i="12" s="1"/>
  <c r="DS135" i="12"/>
  <c r="EE135" i="12"/>
  <c r="FR135" i="12"/>
  <c r="DV136" i="12"/>
  <c r="DL137" i="12"/>
  <c r="DY137" i="12"/>
  <c r="EM137" i="12" s="1"/>
  <c r="FL137" i="12"/>
  <c r="FO138" i="12"/>
  <c r="AT139" i="12"/>
  <c r="AV139" i="12" s="1"/>
  <c r="DS139" i="12"/>
  <c r="EE139" i="12"/>
  <c r="DW128" i="12"/>
  <c r="EK128" i="12" s="1"/>
  <c r="FM129" i="12"/>
  <c r="FP130" i="12"/>
  <c r="DT131" i="12"/>
  <c r="EI131" i="12" s="1"/>
  <c r="EF131" i="12"/>
  <c r="DW132" i="12"/>
  <c r="EK132" i="12" s="1"/>
  <c r="K133" i="12"/>
  <c r="DZ133" i="12"/>
  <c r="FM133" i="12"/>
  <c r="FP134" i="12"/>
  <c r="DT135" i="12"/>
  <c r="EI135" i="12" s="1"/>
  <c r="EF135" i="12"/>
  <c r="FS135" i="12"/>
  <c r="DW136" i="12"/>
  <c r="EK136" i="12" s="1"/>
  <c r="K137" i="12"/>
  <c r="DZ137" i="12"/>
  <c r="FM137" i="12"/>
  <c r="FP138" i="12"/>
  <c r="DT139" i="12"/>
  <c r="EI139" i="12" s="1"/>
  <c r="EF139" i="12"/>
  <c r="DO133" i="12"/>
  <c r="EA133" i="12"/>
  <c r="DO137" i="12"/>
  <c r="EA137" i="12"/>
  <c r="FQ138" i="12"/>
  <c r="DU139" i="12"/>
  <c r="DY128" i="12"/>
  <c r="EM128" i="12" s="1"/>
  <c r="FO129" i="12"/>
  <c r="FR130" i="12"/>
  <c r="DV131" i="12"/>
  <c r="AA132" i="12"/>
  <c r="DY132" i="12"/>
  <c r="EM132" i="12" s="1"/>
  <c r="DP133" i="12"/>
  <c r="EB133" i="12"/>
  <c r="FO133" i="12"/>
  <c r="FR134" i="12"/>
  <c r="DV135" i="12"/>
  <c r="FI135" i="12"/>
  <c r="DY136" i="12"/>
  <c r="EM136" i="12" s="1"/>
  <c r="DP137" i="12"/>
  <c r="EB137" i="12"/>
  <c r="FR138" i="12"/>
  <c r="DV139" i="12"/>
  <c r="FP129" i="12"/>
  <c r="DW131" i="12"/>
  <c r="EK131" i="12" s="1"/>
  <c r="DQ133" i="12"/>
  <c r="EC133" i="12"/>
  <c r="FP133" i="12"/>
  <c r="DW135" i="12"/>
  <c r="EK135" i="12" s="1"/>
  <c r="FJ135" i="12"/>
  <c r="DZ136" i="12"/>
  <c r="DQ137" i="12"/>
  <c r="EC137" i="12"/>
  <c r="FP137" i="12"/>
  <c r="FS138" i="12"/>
  <c r="DW139" i="12"/>
  <c r="EK139" i="12" s="1"/>
  <c r="DO128" i="12"/>
  <c r="EA128" i="12"/>
  <c r="EN128" i="12" s="1"/>
  <c r="FQ129" i="12"/>
  <c r="Z131" i="12"/>
  <c r="DK131" i="12"/>
  <c r="DX131" i="12"/>
  <c r="EL131" i="12" s="1"/>
  <c r="DO132" i="12"/>
  <c r="EA132" i="12"/>
  <c r="DR133" i="12"/>
  <c r="ED133" i="12"/>
  <c r="FQ133" i="12"/>
  <c r="Z135" i="12"/>
  <c r="DK135" i="12"/>
  <c r="DX135" i="12"/>
  <c r="EL135" i="12" s="1"/>
  <c r="FK135" i="12"/>
  <c r="DO136" i="12"/>
  <c r="EA136" i="12"/>
  <c r="DR137" i="12"/>
  <c r="ED137" i="12"/>
  <c r="DX139" i="12"/>
  <c r="EL139" i="12" s="1"/>
  <c r="DP128" i="12"/>
  <c r="EB128" i="12"/>
  <c r="FR129" i="12"/>
  <c r="FI130" i="12"/>
  <c r="DL131" i="12"/>
  <c r="DY131" i="12"/>
  <c r="EM131" i="12" s="1"/>
  <c r="DP132" i="12"/>
  <c r="EB132" i="12"/>
  <c r="DS133" i="12"/>
  <c r="EE133" i="12"/>
  <c r="FR133" i="12"/>
  <c r="FI134" i="12"/>
  <c r="DL135" i="12"/>
  <c r="DY135" i="12"/>
  <c r="EM135" i="12" s="1"/>
  <c r="FL135" i="12"/>
  <c r="DP136" i="12"/>
  <c r="EB136" i="12"/>
  <c r="DS137" i="12"/>
  <c r="EE137" i="12"/>
  <c r="FR137" i="12"/>
  <c r="FI138" i="12"/>
  <c r="AA139" i="12"/>
  <c r="DY139" i="12"/>
  <c r="EM139" i="12" s="1"/>
  <c r="DQ128" i="12"/>
  <c r="K131" i="12"/>
  <c r="DQ132" i="12"/>
  <c r="DT133" i="12"/>
  <c r="EI133" i="12" s="1"/>
  <c r="K135" i="12"/>
  <c r="DQ136" i="12"/>
  <c r="DT137" i="12"/>
  <c r="EI137" i="12" s="1"/>
  <c r="K139" i="12"/>
  <c r="DG6" i="12"/>
  <c r="DF6" i="12"/>
  <c r="DY4" i="12"/>
  <c r="EM4" i="12" s="1"/>
  <c r="EA4" i="12"/>
  <c r="AA4" i="12"/>
  <c r="DP4" i="12"/>
  <c r="EB4" i="12"/>
  <c r="DQ4" i="12"/>
  <c r="EC4" i="12"/>
  <c r="DZ4" i="12"/>
  <c r="DO4" i="12"/>
  <c r="K4" i="12"/>
  <c r="T4" i="12" s="1"/>
  <c r="U4" i="12" s="1"/>
  <c r="DR4" i="12"/>
  <c r="ED4" i="12"/>
  <c r="EE4" i="12"/>
  <c r="EF4" i="12"/>
  <c r="DS4" i="12"/>
  <c r="DT4" i="12"/>
  <c r="EI4" i="12" s="1"/>
  <c r="DU4" i="12"/>
  <c r="DV4" i="12"/>
  <c r="DW4" i="12"/>
  <c r="EK4" i="12" s="1"/>
  <c r="D420" i="10"/>
  <c r="B153" i="22"/>
  <c r="B197" i="22" s="1"/>
  <c r="B203" i="22" s="1"/>
  <c r="B177" i="22" s="1"/>
  <c r="B152" i="22"/>
  <c r="B196" i="22" s="1"/>
  <c r="B202" i="22" s="1"/>
  <c r="B162" i="22" s="1"/>
  <c r="M140" i="22"/>
  <c r="G5" i="26" s="1"/>
  <c r="F155" i="22"/>
  <c r="B156" i="22"/>
  <c r="F156" i="22"/>
  <c r="F152" i="22"/>
  <c r="F196" i="22" s="1"/>
  <c r="F202" i="22" s="1"/>
  <c r="B291" i="22"/>
  <c r="F291" i="22"/>
  <c r="B288" i="22"/>
  <c r="D332" i="22" s="1"/>
  <c r="D338" i="22" s="1"/>
  <c r="F288" i="22"/>
  <c r="F332" i="22" s="1"/>
  <c r="F338" i="22" s="1"/>
  <c r="B290" i="22"/>
  <c r="B287" i="22"/>
  <c r="D331" i="22" s="1"/>
  <c r="D337" i="22" s="1"/>
  <c r="D297" i="22" s="1"/>
  <c r="D302" i="22" s="1"/>
  <c r="D303" i="22" s="1"/>
  <c r="M304" i="22" s="1"/>
  <c r="BL6" i="26" s="1"/>
  <c r="F290" i="22"/>
  <c r="M275" i="22"/>
  <c r="G6" i="26" s="1"/>
  <c r="M276" i="22"/>
  <c r="H6" i="26" s="1"/>
  <c r="F331" i="22"/>
  <c r="F337" i="22" s="1"/>
  <c r="B226" i="22"/>
  <c r="B237" i="22"/>
  <c r="B248" i="22" s="1"/>
  <c r="F153" i="22"/>
  <c r="B108" i="22"/>
  <c r="E108" i="22"/>
  <c r="D62" i="22"/>
  <c r="D68" i="22" s="1"/>
  <c r="F63" i="22"/>
  <c r="F69" i="22" s="1"/>
  <c r="F62" i="22"/>
  <c r="F68" i="22" s="1"/>
  <c r="B63" i="22"/>
  <c r="B69" i="22" s="1"/>
  <c r="D63" i="22"/>
  <c r="D69" i="22" s="1"/>
  <c r="F61" i="22"/>
  <c r="F67" i="22" s="1"/>
  <c r="M6" i="22"/>
  <c r="H4" i="26" s="1"/>
  <c r="N5" i="31"/>
  <c r="K6" i="31"/>
  <c r="W6" i="31"/>
  <c r="N8" i="31"/>
  <c r="K9" i="31"/>
  <c r="W9" i="31"/>
  <c r="N12" i="31"/>
  <c r="K13" i="31"/>
  <c r="W13" i="31"/>
  <c r="N16" i="31"/>
  <c r="K17" i="31"/>
  <c r="W17" i="31"/>
  <c r="N20" i="31"/>
  <c r="M24" i="31"/>
  <c r="Y24" i="31"/>
  <c r="M27" i="31"/>
  <c r="Y27" i="31"/>
  <c r="O30" i="31"/>
  <c r="M35" i="31"/>
  <c r="Y35" i="31"/>
  <c r="M37" i="31"/>
  <c r="Y37" i="31"/>
  <c r="M40" i="31"/>
  <c r="Y40" i="31"/>
  <c r="U4" i="31"/>
  <c r="O5" i="31"/>
  <c r="L6" i="31"/>
  <c r="X6" i="31"/>
  <c r="R7" i="31"/>
  <c r="O8" i="31"/>
  <c r="L9" i="31"/>
  <c r="X9" i="31"/>
  <c r="U10" i="31"/>
  <c r="R11" i="31"/>
  <c r="O12" i="31"/>
  <c r="L13" i="31"/>
  <c r="X13" i="31"/>
  <c r="U14" i="31"/>
  <c r="R15" i="31"/>
  <c r="O16" i="31"/>
  <c r="L17" i="31"/>
  <c r="X17" i="31"/>
  <c r="U18" i="31"/>
  <c r="R19" i="31"/>
  <c r="O20" i="31"/>
  <c r="K21" i="31"/>
  <c r="W21" i="31"/>
  <c r="T22" i="31"/>
  <c r="Q23" i="31"/>
  <c r="N24" i="31"/>
  <c r="K25" i="31"/>
  <c r="W25" i="31"/>
  <c r="T26" i="31"/>
  <c r="N27" i="31"/>
  <c r="K28" i="31"/>
  <c r="W28" i="31"/>
  <c r="S29" i="31"/>
  <c r="P30" i="31"/>
  <c r="M31" i="31"/>
  <c r="Y31" i="31"/>
  <c r="V32" i="31"/>
  <c r="R34" i="31"/>
  <c r="N35" i="31"/>
  <c r="V36" i="31"/>
  <c r="N37" i="31"/>
  <c r="V38" i="31"/>
  <c r="R39" i="31"/>
  <c r="N40" i="31"/>
  <c r="V41" i="31"/>
  <c r="M6" i="31"/>
  <c r="Y6" i="31"/>
  <c r="M9" i="31"/>
  <c r="Y9" i="31"/>
  <c r="M13" i="31"/>
  <c r="Y13" i="31"/>
  <c r="M17" i="31"/>
  <c r="Y17" i="31"/>
  <c r="M25" i="31"/>
  <c r="O6" i="31"/>
  <c r="K26" i="31"/>
  <c r="Y4" i="31"/>
  <c r="M18" i="31"/>
  <c r="O25" i="31"/>
  <c r="O28" i="31"/>
  <c r="W29" i="31"/>
  <c r="N36" i="31"/>
  <c r="N41" i="31"/>
  <c r="N13" i="31"/>
  <c r="N17" i="31"/>
  <c r="M21" i="31"/>
  <c r="Y25" i="31"/>
  <c r="O9" i="31"/>
  <c r="O17" i="31"/>
  <c r="K22" i="31"/>
  <c r="N25" i="31"/>
  <c r="Y36" i="31"/>
  <c r="Y38" i="31"/>
  <c r="P6" i="31"/>
  <c r="M14" i="31"/>
  <c r="Y18" i="31"/>
  <c r="K29" i="31"/>
  <c r="N32" i="31"/>
  <c r="N38" i="31"/>
  <c r="N4" i="31"/>
  <c r="T5" i="31"/>
  <c r="Q6" i="31"/>
  <c r="K7" i="31"/>
  <c r="W7" i="31"/>
  <c r="T8" i="31"/>
  <c r="Q9" i="31"/>
  <c r="N10" i="31"/>
  <c r="K11" i="31"/>
  <c r="W11" i="31"/>
  <c r="T12" i="31"/>
  <c r="Q13" i="31"/>
  <c r="N14" i="31"/>
  <c r="K15" i="31"/>
  <c r="W15" i="31"/>
  <c r="T16" i="31"/>
  <c r="Q17" i="31"/>
  <c r="N18" i="31"/>
  <c r="K19" i="31"/>
  <c r="W19" i="31"/>
  <c r="T20" i="31"/>
  <c r="P21" i="31"/>
  <c r="M22" i="31"/>
  <c r="Y22" i="31"/>
  <c r="V23" i="31"/>
  <c r="S24" i="31"/>
  <c r="P25" i="31"/>
  <c r="M26" i="31"/>
  <c r="Y26" i="31"/>
  <c r="S27" i="31"/>
  <c r="P28" i="31"/>
  <c r="L29" i="31"/>
  <c r="X29" i="31"/>
  <c r="U30" i="31"/>
  <c r="R31" i="31"/>
  <c r="O32" i="31"/>
  <c r="K34" i="31"/>
  <c r="W34" i="31"/>
  <c r="S35" i="31"/>
  <c r="O36" i="31"/>
  <c r="S37" i="31"/>
  <c r="O38" i="31"/>
  <c r="K39" i="31"/>
  <c r="W39" i="31"/>
  <c r="S40" i="31"/>
  <c r="O41" i="31"/>
  <c r="N6" i="31"/>
  <c r="W22" i="31"/>
  <c r="M32" i="31"/>
  <c r="M38" i="31"/>
  <c r="M4" i="31"/>
  <c r="Y10" i="31"/>
  <c r="Y14" i="31"/>
  <c r="O4" i="31"/>
  <c r="U5" i="31"/>
  <c r="R6" i="31"/>
  <c r="L7" i="31"/>
  <c r="X7" i="31"/>
  <c r="U8" i="31"/>
  <c r="R9" i="31"/>
  <c r="O10" i="31"/>
  <c r="L11" i="31"/>
  <c r="X11" i="31"/>
  <c r="U12" i="31"/>
  <c r="R13" i="31"/>
  <c r="O14" i="31"/>
  <c r="L15" i="31"/>
  <c r="X15" i="31"/>
  <c r="U16" i="31"/>
  <c r="R17" i="31"/>
  <c r="O18" i="31"/>
  <c r="L19" i="31"/>
  <c r="X19" i="31"/>
  <c r="U20" i="31"/>
  <c r="Q21" i="31"/>
  <c r="N22" i="31"/>
  <c r="K23" i="31"/>
  <c r="W23" i="31"/>
  <c r="T24" i="31"/>
  <c r="Q25" i="31"/>
  <c r="N26" i="31"/>
  <c r="T27" i="31"/>
  <c r="Q28" i="31"/>
  <c r="M29" i="31"/>
  <c r="Y29" i="31"/>
  <c r="V30" i="31"/>
  <c r="S31" i="31"/>
  <c r="P32" i="31"/>
  <c r="L34" i="31"/>
  <c r="X34" i="31"/>
  <c r="T35" i="31"/>
  <c r="P36" i="31"/>
  <c r="T37" i="31"/>
  <c r="P38" i="31"/>
  <c r="L39" i="31"/>
  <c r="X39" i="31"/>
  <c r="T40" i="31"/>
  <c r="P41" i="31"/>
  <c r="N9" i="31"/>
  <c r="Y21" i="31"/>
  <c r="Y28" i="31"/>
  <c r="M10" i="31"/>
  <c r="P13" i="31"/>
  <c r="P17" i="31"/>
  <c r="O21" i="31"/>
  <c r="P4" i="31"/>
  <c r="V5" i="31"/>
  <c r="S6" i="31"/>
  <c r="M7" i="31"/>
  <c r="Y7" i="31"/>
  <c r="V8" i="31"/>
  <c r="S9" i="31"/>
  <c r="P10" i="31"/>
  <c r="M11" i="31"/>
  <c r="Y11" i="31"/>
  <c r="V12" i="31"/>
  <c r="S13" i="31"/>
  <c r="P14" i="31"/>
  <c r="M15" i="31"/>
  <c r="Y15" i="31"/>
  <c r="V16" i="31"/>
  <c r="S17" i="31"/>
  <c r="P18" i="31"/>
  <c r="M19" i="31"/>
  <c r="Y19" i="31"/>
  <c r="V20" i="31"/>
  <c r="R21" i="31"/>
  <c r="O22" i="31"/>
  <c r="L23" i="31"/>
  <c r="X23" i="31"/>
  <c r="U24" i="31"/>
  <c r="R25" i="31"/>
  <c r="O26" i="31"/>
  <c r="U27" i="31"/>
  <c r="R28" i="31"/>
  <c r="N29" i="31"/>
  <c r="K30" i="31"/>
  <c r="W30" i="31"/>
  <c r="T31" i="31"/>
  <c r="Q32" i="31"/>
  <c r="M34" i="31"/>
  <c r="Y34" i="31"/>
  <c r="U35" i="31"/>
  <c r="Q36" i="31"/>
  <c r="U37" i="31"/>
  <c r="Q38" i="31"/>
  <c r="M39" i="31"/>
  <c r="Y39" i="31"/>
  <c r="U40" i="31"/>
  <c r="Q41" i="31"/>
  <c r="M28" i="31"/>
  <c r="O13" i="31"/>
  <c r="W26" i="31"/>
  <c r="P9" i="31"/>
  <c r="Q4" i="31"/>
  <c r="K5" i="31"/>
  <c r="W5" i="31"/>
  <c r="T6" i="31"/>
  <c r="N7" i="31"/>
  <c r="K8" i="31"/>
  <c r="W8" i="31"/>
  <c r="T9" i="31"/>
  <c r="Q10" i="31"/>
  <c r="N11" i="31"/>
  <c r="K12" i="31"/>
  <c r="W12" i="31"/>
  <c r="T13" i="31"/>
  <c r="Q14" i="31"/>
  <c r="N15" i="31"/>
  <c r="K16" i="31"/>
  <c r="W16" i="31"/>
  <c r="T17" i="31"/>
  <c r="Q18" i="31"/>
  <c r="N19" i="31"/>
  <c r="K20" i="31"/>
  <c r="W20" i="31"/>
  <c r="S21" i="31"/>
  <c r="P22" i="31"/>
  <c r="M23" i="31"/>
  <c r="Y23" i="31"/>
  <c r="V24" i="31"/>
  <c r="S25" i="31"/>
  <c r="P26" i="31"/>
  <c r="V27" i="31"/>
  <c r="S28" i="31"/>
  <c r="O29" i="31"/>
  <c r="L30" i="31"/>
  <c r="X30" i="31"/>
  <c r="U31" i="31"/>
  <c r="R32" i="31"/>
  <c r="N34" i="31"/>
  <c r="V35" i="31"/>
  <c r="R36" i="31"/>
  <c r="V37" i="31"/>
  <c r="R38" i="31"/>
  <c r="N39" i="31"/>
  <c r="V40" i="31"/>
  <c r="R41" i="31"/>
  <c r="Y32" i="31"/>
  <c r="M36" i="31"/>
  <c r="M41" i="31"/>
  <c r="R4" i="31"/>
  <c r="L5" i="31"/>
  <c r="X5" i="31"/>
  <c r="U6" i="31"/>
  <c r="O7" i="31"/>
  <c r="L8" i="31"/>
  <c r="X8" i="31"/>
  <c r="U9" i="31"/>
  <c r="R10" i="31"/>
  <c r="O11" i="31"/>
  <c r="L12" i="31"/>
  <c r="X12" i="31"/>
  <c r="U13" i="31"/>
  <c r="R14" i="31"/>
  <c r="O15" i="31"/>
  <c r="L16" i="31"/>
  <c r="X16" i="31"/>
  <c r="U17" i="31"/>
  <c r="R18" i="31"/>
  <c r="O19" i="31"/>
  <c r="L20" i="31"/>
  <c r="X20" i="31"/>
  <c r="T21" i="31"/>
  <c r="Q22" i="31"/>
  <c r="N23" i="31"/>
  <c r="K24" i="31"/>
  <c r="W24" i="31"/>
  <c r="T25" i="31"/>
  <c r="Q26" i="31"/>
  <c r="K27" i="31"/>
  <c r="W27" i="31"/>
  <c r="T28" i="31"/>
  <c r="P29" i="31"/>
  <c r="M30" i="31"/>
  <c r="Y30" i="31"/>
  <c r="V31" i="31"/>
  <c r="S32" i="31"/>
  <c r="O34" i="31"/>
  <c r="K35" i="31"/>
  <c r="W35" i="31"/>
  <c r="S36" i="31"/>
  <c r="K37" i="31"/>
  <c r="W37" i="31"/>
  <c r="S38" i="31"/>
  <c r="O39" i="31"/>
  <c r="K40" i="31"/>
  <c r="W40" i="31"/>
  <c r="S41" i="31"/>
  <c r="N21" i="31"/>
  <c r="N28" i="31"/>
  <c r="Y41" i="31"/>
  <c r="S4" i="31"/>
  <c r="M5" i="31"/>
  <c r="Y5" i="31"/>
  <c r="V6" i="31"/>
  <c r="P7" i="31"/>
  <c r="M8" i="31"/>
  <c r="Y8" i="31"/>
  <c r="V9" i="31"/>
  <c r="S10" i="31"/>
  <c r="P11" i="31"/>
  <c r="M12" i="31"/>
  <c r="Y12" i="31"/>
  <c r="V13" i="31"/>
  <c r="S14" i="31"/>
  <c r="P15" i="31"/>
  <c r="M16" i="31"/>
  <c r="Y16" i="31"/>
  <c r="P19" i="31"/>
  <c r="U21" i="31"/>
  <c r="R22" i="31"/>
  <c r="L24" i="31"/>
  <c r="X24" i="31"/>
  <c r="U25" i="31"/>
  <c r="L27" i="31"/>
  <c r="X27" i="31"/>
  <c r="T32" i="31"/>
  <c r="P34" i="31"/>
  <c r="L35" i="31"/>
  <c r="X35" i="31"/>
  <c r="T36" i="31"/>
  <c r="L37" i="31"/>
  <c r="X37" i="31"/>
  <c r="T38" i="31"/>
  <c r="DW15" i="12"/>
  <c r="EK15" i="12" s="1"/>
  <c r="DX15" i="12"/>
  <c r="EL15" i="12" s="1"/>
  <c r="DY15" i="12"/>
  <c r="EM15" i="12" s="1"/>
  <c r="EA15" i="12"/>
  <c r="EB15" i="12"/>
  <c r="DO15" i="12"/>
  <c r="ED15" i="12"/>
  <c r="AS30" i="12"/>
  <c r="AT30" i="12"/>
  <c r="AV30" i="12" s="1"/>
  <c r="AW30" i="12" s="1"/>
  <c r="Z30" i="12"/>
  <c r="AC30" i="12" s="1"/>
  <c r="AD30" i="12" s="1"/>
  <c r="AT22" i="12"/>
  <c r="AV22" i="12" s="1"/>
  <c r="AW22" i="12" s="1"/>
  <c r="Z22" i="12"/>
  <c r="AC22" i="12" s="1"/>
  <c r="AD22" i="12" s="1"/>
  <c r="K14" i="12"/>
  <c r="AS14" i="12"/>
  <c r="DJ14" i="12"/>
  <c r="DI14" i="12" s="1"/>
  <c r="DL14" i="12"/>
  <c r="DP14" i="12"/>
  <c r="EB14" i="12"/>
  <c r="AS6" i="12"/>
  <c r="DX39" i="12"/>
  <c r="EL39" i="12" s="1"/>
  <c r="DZ39" i="12"/>
  <c r="K39" i="12"/>
  <c r="DW35" i="12"/>
  <c r="EK35" i="12" s="1"/>
  <c r="DP37" i="12"/>
  <c r="EF37" i="12"/>
  <c r="ED38" i="12"/>
  <c r="K36" i="12"/>
  <c r="DQ37" i="12"/>
  <c r="T38" i="12"/>
  <c r="U38" i="12" s="1"/>
  <c r="AN38" i="12" s="1"/>
  <c r="DP38" i="12"/>
  <c r="EE38" i="12"/>
  <c r="EC35" i="12"/>
  <c r="DS37" i="12"/>
  <c r="DR38" i="12"/>
  <c r="DQ38" i="12"/>
  <c r="ED35" i="12"/>
  <c r="K37" i="12"/>
  <c r="DT37" i="12"/>
  <c r="EI37" i="12" s="1"/>
  <c r="DS38" i="12"/>
  <c r="DX37" i="12"/>
  <c r="EL37" i="12" s="1"/>
  <c r="DT38" i="12"/>
  <c r="EI38" i="12" s="1"/>
  <c r="DW38" i="12"/>
  <c r="EK38" i="12" s="1"/>
  <c r="EF38" i="12"/>
  <c r="DU38" i="12"/>
  <c r="DX36" i="12"/>
  <c r="EL36" i="12" s="1"/>
  <c r="DZ37" i="12"/>
  <c r="DV38" i="12"/>
  <c r="DZ36" i="12"/>
  <c r="EC37" i="12"/>
  <c r="DX38" i="12"/>
  <c r="EL38" i="12" s="1"/>
  <c r="ED37" i="12"/>
  <c r="EB38" i="12"/>
  <c r="EE37" i="12"/>
  <c r="EC38" i="12"/>
  <c r="AP37" i="12"/>
  <c r="AX37" i="12" s="1"/>
  <c r="AU37" i="12"/>
  <c r="AQ37" i="12"/>
  <c r="AR37" i="12"/>
  <c r="W35" i="12"/>
  <c r="AW37" i="12"/>
  <c r="Z39" i="12"/>
  <c r="DO36" i="12"/>
  <c r="EA36" i="12"/>
  <c r="AO39" i="12"/>
  <c r="Z35" i="12"/>
  <c r="DP36" i="12"/>
  <c r="EB36" i="12"/>
  <c r="Z38" i="12"/>
  <c r="DO39" i="12"/>
  <c r="EA39" i="12"/>
  <c r="DY35" i="12"/>
  <c r="EM35" i="12" s="1"/>
  <c r="DQ36" i="12"/>
  <c r="EC36" i="12"/>
  <c r="T37" i="12"/>
  <c r="U37" i="12" s="1"/>
  <c r="DU37" i="12"/>
  <c r="DY38" i="12"/>
  <c r="EM38" i="12" s="1"/>
  <c r="DP39" i="12"/>
  <c r="EB39" i="12"/>
  <c r="Z36" i="12"/>
  <c r="AO36" i="12"/>
  <c r="AW36" i="12" s="1"/>
  <c r="K35" i="12"/>
  <c r="AO35" i="12"/>
  <c r="DZ35" i="12"/>
  <c r="EN35" i="12" s="1"/>
  <c r="AS36" i="12"/>
  <c r="DR36" i="12"/>
  <c r="ED36" i="12"/>
  <c r="DV37" i="12"/>
  <c r="K38" i="12"/>
  <c r="AO38" i="12"/>
  <c r="DZ38" i="12"/>
  <c r="EN38" i="12" s="1"/>
  <c r="DQ39" i="12"/>
  <c r="EC39" i="12"/>
  <c r="DO35" i="12"/>
  <c r="DS36" i="12"/>
  <c r="EE36" i="12"/>
  <c r="DW37" i="12"/>
  <c r="EK37" i="12" s="1"/>
  <c r="DO38" i="12"/>
  <c r="AS39" i="12"/>
  <c r="DR39" i="12"/>
  <c r="ED39" i="12"/>
  <c r="DT36" i="12"/>
  <c r="EI36" i="12" s="1"/>
  <c r="EF36" i="12"/>
  <c r="Z37" i="12"/>
  <c r="DS39" i="12"/>
  <c r="EE39" i="12"/>
  <c r="T36" i="12"/>
  <c r="U36" i="12" s="1"/>
  <c r="DU36" i="12"/>
  <c r="DT39" i="12"/>
  <c r="EI39" i="12" s="1"/>
  <c r="EF39" i="12"/>
  <c r="AS35" i="12"/>
  <c r="DV36" i="12"/>
  <c r="AS38" i="12"/>
  <c r="T39" i="12"/>
  <c r="U39" i="12" s="1"/>
  <c r="DU39" i="12"/>
  <c r="DO37" i="12"/>
  <c r="AP30" i="12"/>
  <c r="AU30" i="12"/>
  <c r="AR30" i="12"/>
  <c r="AQ30" i="12"/>
  <c r="AP34" i="12"/>
  <c r="AU34" i="12"/>
  <c r="AQ34" i="12"/>
  <c r="EC33" i="12"/>
  <c r="AT31" i="12"/>
  <c r="AV31" i="12" s="1"/>
  <c r="DS31" i="12"/>
  <c r="EE31" i="12"/>
  <c r="DV32" i="12"/>
  <c r="AA33" i="12"/>
  <c r="DL33" i="12"/>
  <c r="DY33" i="12"/>
  <c r="EM33" i="12" s="1"/>
  <c r="DP34" i="12"/>
  <c r="EB34" i="12"/>
  <c r="EA33" i="12"/>
  <c r="DP33" i="12"/>
  <c r="DM32" i="12"/>
  <c r="DT31" i="12"/>
  <c r="EI31" i="12" s="1"/>
  <c r="EF31" i="12"/>
  <c r="AL32" i="12"/>
  <c r="DJ32" i="12"/>
  <c r="DI32" i="12" s="1"/>
  <c r="DW32" i="12"/>
  <c r="EK32" i="12" s="1"/>
  <c r="K33" i="12"/>
  <c r="DM33" i="12"/>
  <c r="DZ33" i="12"/>
  <c r="DQ34" i="12"/>
  <c r="EC34" i="12"/>
  <c r="DY31" i="12"/>
  <c r="EM31" i="12" s="1"/>
  <c r="AQ32" i="12"/>
  <c r="DP32" i="12"/>
  <c r="EB32" i="12"/>
  <c r="DS33" i="12"/>
  <c r="EE33" i="12"/>
  <c r="DV34" i="12"/>
  <c r="DO33" i="12"/>
  <c r="DQ33" i="12"/>
  <c r="Z31" i="12"/>
  <c r="K31" i="12"/>
  <c r="AO31" i="12"/>
  <c r="DZ31" i="12"/>
  <c r="DQ32" i="12"/>
  <c r="EC32" i="12"/>
  <c r="DT33" i="12"/>
  <c r="EI33" i="12" s="1"/>
  <c r="EF33" i="12"/>
  <c r="DW34" i="12"/>
  <c r="EK34" i="12" s="1"/>
  <c r="DO32" i="12"/>
  <c r="EA32" i="12"/>
  <c r="DO31" i="12"/>
  <c r="EA31" i="12"/>
  <c r="DR32" i="12"/>
  <c r="ED32" i="12"/>
  <c r="T33" i="12"/>
  <c r="U33" i="12" s="1"/>
  <c r="DU33" i="12"/>
  <c r="DX34" i="12"/>
  <c r="EL34" i="12" s="1"/>
  <c r="DR33" i="12"/>
  <c r="ED33" i="12"/>
  <c r="DP31" i="12"/>
  <c r="EB31" i="12"/>
  <c r="DS32" i="12"/>
  <c r="EE32" i="12"/>
  <c r="DV33" i="12"/>
  <c r="DY34" i="12"/>
  <c r="EM34" i="12" s="1"/>
  <c r="EB33" i="12"/>
  <c r="DQ31" i="12"/>
  <c r="EC31" i="12"/>
  <c r="DT32" i="12"/>
  <c r="EI32" i="12" s="1"/>
  <c r="EF32" i="12"/>
  <c r="AL33" i="12"/>
  <c r="DW33" i="12"/>
  <c r="EK33" i="12" s="1"/>
  <c r="K34" i="12"/>
  <c r="DZ34" i="12"/>
  <c r="EN34" i="12" s="1"/>
  <c r="DR31" i="12"/>
  <c r="T32" i="12"/>
  <c r="U32" i="12" s="1"/>
  <c r="DO34" i="12"/>
  <c r="AN23" i="12"/>
  <c r="W23" i="12"/>
  <c r="AW23" i="12"/>
  <c r="AP22" i="12"/>
  <c r="AU22" i="12"/>
  <c r="AR22" i="12"/>
  <c r="AQ22" i="12"/>
  <c r="J261" i="10"/>
  <c r="L261" i="10" s="1"/>
  <c r="L260" i="10" s="1"/>
  <c r="DS23" i="12"/>
  <c r="EE23" i="12"/>
  <c r="DV24" i="12"/>
  <c r="DL25" i="12"/>
  <c r="DY25" i="12"/>
  <c r="EM25" i="12" s="1"/>
  <c r="DP26" i="12"/>
  <c r="EB26" i="12"/>
  <c r="DT23" i="12"/>
  <c r="EI23" i="12" s="1"/>
  <c r="EF23" i="12"/>
  <c r="AL24" i="12"/>
  <c r="DW24" i="12"/>
  <c r="EK24" i="12" s="1"/>
  <c r="K25" i="12"/>
  <c r="DM25" i="12"/>
  <c r="DZ25" i="12"/>
  <c r="DQ26" i="12"/>
  <c r="EC26" i="12"/>
  <c r="DO25" i="12"/>
  <c r="EA25" i="12"/>
  <c r="DP25" i="12"/>
  <c r="EB25" i="12"/>
  <c r="EF22" i="12"/>
  <c r="AL23" i="12"/>
  <c r="DW23" i="12"/>
  <c r="EK23" i="12" s="1"/>
  <c r="K24" i="12"/>
  <c r="AO24" i="12"/>
  <c r="DZ24" i="12"/>
  <c r="DQ25" i="12"/>
  <c r="EC25" i="12"/>
  <c r="DT26" i="12"/>
  <c r="EI26" i="12" s="1"/>
  <c r="EF26" i="12"/>
  <c r="DO24" i="12"/>
  <c r="EA24" i="12"/>
  <c r="DR25" i="12"/>
  <c r="ED25" i="12"/>
  <c r="DL23" i="12"/>
  <c r="DY23" i="12"/>
  <c r="EM23" i="12" s="1"/>
  <c r="DP24" i="12"/>
  <c r="EB24" i="12"/>
  <c r="DS25" i="12"/>
  <c r="EE25" i="12"/>
  <c r="DV26" i="12"/>
  <c r="DJ22" i="12"/>
  <c r="DI22" i="12" s="1"/>
  <c r="DW22" i="12"/>
  <c r="EK22" i="12" s="1"/>
  <c r="K23" i="12"/>
  <c r="DZ23" i="12"/>
  <c r="DQ24" i="12"/>
  <c r="EC24" i="12"/>
  <c r="DT25" i="12"/>
  <c r="EI25" i="12" s="1"/>
  <c r="EF25" i="12"/>
  <c r="AL26" i="12"/>
  <c r="DJ26" i="12"/>
  <c r="DI26" i="12" s="1"/>
  <c r="DW26" i="12"/>
  <c r="EK26" i="12" s="1"/>
  <c r="DO23" i="12"/>
  <c r="EA23" i="12"/>
  <c r="AS24" i="12"/>
  <c r="DR24" i="12"/>
  <c r="ED24" i="12"/>
  <c r="T25" i="12"/>
  <c r="U25" i="12" s="1"/>
  <c r="DU25" i="12"/>
  <c r="DK26" i="12"/>
  <c r="DX26" i="12"/>
  <c r="EL26" i="12" s="1"/>
  <c r="AQ23" i="12"/>
  <c r="DP23" i="12"/>
  <c r="EB23" i="12"/>
  <c r="DS24" i="12"/>
  <c r="EE24" i="12"/>
  <c r="DV25" i="12"/>
  <c r="DL26" i="12"/>
  <c r="DY26" i="12"/>
  <c r="EM26" i="12" s="1"/>
  <c r="DQ23" i="12"/>
  <c r="EC23" i="12"/>
  <c r="DT24" i="12"/>
  <c r="EI24" i="12" s="1"/>
  <c r="EF24" i="12"/>
  <c r="AL25" i="12"/>
  <c r="DW25" i="12"/>
  <c r="EK25" i="12" s="1"/>
  <c r="K26" i="12"/>
  <c r="DZ26" i="12"/>
  <c r="DR23" i="12"/>
  <c r="T24" i="12"/>
  <c r="U24" i="12" s="1"/>
  <c r="DO26" i="12"/>
  <c r="AR15" i="12"/>
  <c r="AQ15" i="12"/>
  <c r="AP15" i="12"/>
  <c r="AU15" i="12"/>
  <c r="Z14" i="12"/>
  <c r="DM14" i="12"/>
  <c r="DZ14" i="12"/>
  <c r="DV16" i="12"/>
  <c r="DL17" i="12"/>
  <c r="DY17" i="12"/>
  <c r="EM17" i="12" s="1"/>
  <c r="DP18" i="12"/>
  <c r="EB18" i="12"/>
  <c r="DL16" i="12"/>
  <c r="EB17" i="12"/>
  <c r="AO14" i="12"/>
  <c r="DO14" i="12"/>
  <c r="EA14" i="12"/>
  <c r="AL16" i="12"/>
  <c r="DJ16" i="12"/>
  <c r="DI16" i="12" s="1"/>
  <c r="DW16" i="12"/>
  <c r="EK16" i="12" s="1"/>
  <c r="K17" i="12"/>
  <c r="DM17" i="12"/>
  <c r="DZ17" i="12"/>
  <c r="DQ18" i="12"/>
  <c r="EC18" i="12"/>
  <c r="DT14" i="12"/>
  <c r="EI14" i="12" s="1"/>
  <c r="EF14" i="12"/>
  <c r="DL15" i="12"/>
  <c r="DP16" i="12"/>
  <c r="EB16" i="12"/>
  <c r="DS17" i="12"/>
  <c r="EE17" i="12"/>
  <c r="DV18" i="12"/>
  <c r="EA17" i="12"/>
  <c r="EC17" i="12"/>
  <c r="EE14" i="12"/>
  <c r="DU14" i="12"/>
  <c r="Z15" i="12"/>
  <c r="DZ15" i="12"/>
  <c r="DQ16" i="12"/>
  <c r="EC16" i="12"/>
  <c r="DT17" i="12"/>
  <c r="EI17" i="12" s="1"/>
  <c r="EF17" i="12"/>
  <c r="AL18" i="12"/>
  <c r="DJ18" i="12"/>
  <c r="DI18" i="12" s="1"/>
  <c r="DW18" i="12"/>
  <c r="EK18" i="12" s="1"/>
  <c r="DO17" i="12"/>
  <c r="DP17" i="12"/>
  <c r="DO16" i="12"/>
  <c r="EA16" i="12"/>
  <c r="DV14" i="12"/>
  <c r="DR16" i="12"/>
  <c r="ED16" i="12"/>
  <c r="DU17" i="12"/>
  <c r="DK18" i="12"/>
  <c r="DX18" i="12"/>
  <c r="EL18" i="12" s="1"/>
  <c r="EC14" i="12"/>
  <c r="DQ17" i="12"/>
  <c r="T14" i="12"/>
  <c r="U14" i="12" s="1"/>
  <c r="DW14" i="12"/>
  <c r="EK14" i="12" s="1"/>
  <c r="DS16" i="12"/>
  <c r="EE16" i="12"/>
  <c r="DV17" i="12"/>
  <c r="DL18" i="12"/>
  <c r="DY18" i="12"/>
  <c r="EM18" i="12" s="1"/>
  <c r="DQ14" i="12"/>
  <c r="DR17" i="12"/>
  <c r="AL14" i="12"/>
  <c r="DX14" i="12"/>
  <c r="EL14" i="12" s="1"/>
  <c r="DQ15" i="12"/>
  <c r="DT16" i="12"/>
  <c r="EI16" i="12" s="1"/>
  <c r="EF16" i="12"/>
  <c r="AL17" i="12"/>
  <c r="DW17" i="12"/>
  <c r="EK17" i="12" s="1"/>
  <c r="K18" i="12"/>
  <c r="DZ18" i="12"/>
  <c r="DR14" i="12"/>
  <c r="ED14" i="12"/>
  <c r="DS14" i="12"/>
  <c r="ED17" i="12"/>
  <c r="T16" i="12"/>
  <c r="U16" i="12" s="1"/>
  <c r="DO18" i="12"/>
  <c r="AN9" i="12"/>
  <c r="W9" i="12"/>
  <c r="DO8" i="12"/>
  <c r="EA8" i="12"/>
  <c r="DR9" i="12"/>
  <c r="ED9" i="12"/>
  <c r="DU10" i="12"/>
  <c r="DL7" i="12"/>
  <c r="AA7" i="12"/>
  <c r="Z10" i="12"/>
  <c r="K7" i="12"/>
  <c r="T7" i="12" s="1"/>
  <c r="U7" i="12" s="1"/>
  <c r="DP7" i="12"/>
  <c r="EB7" i="12"/>
  <c r="AT8" i="12"/>
  <c r="AV8" i="12" s="1"/>
  <c r="DS8" i="12"/>
  <c r="EE8" i="12"/>
  <c r="DV9" i="12"/>
  <c r="DL10" i="12"/>
  <c r="DY10" i="12"/>
  <c r="EM10" i="12" s="1"/>
  <c r="DQ7" i="12"/>
  <c r="EC7" i="12"/>
  <c r="DT8" i="12"/>
  <c r="EI8" i="12" s="1"/>
  <c r="EF8" i="12"/>
  <c r="DJ9" i="12"/>
  <c r="DI9" i="12" s="1"/>
  <c r="DW9" i="12"/>
  <c r="EK9" i="12" s="1"/>
  <c r="K10" i="12"/>
  <c r="T10" i="12" s="1"/>
  <c r="U10" i="12" s="1"/>
  <c r="AO10" i="12"/>
  <c r="DZ10" i="12"/>
  <c r="AS7" i="12"/>
  <c r="DU8" i="12"/>
  <c r="DX9" i="12"/>
  <c r="EL9" i="12" s="1"/>
  <c r="DO10" i="12"/>
  <c r="EA10" i="12"/>
  <c r="DS7" i="12"/>
  <c r="EE7" i="12"/>
  <c r="DV8" i="12"/>
  <c r="DL9" i="12"/>
  <c r="DY9" i="12"/>
  <c r="EM9" i="12" s="1"/>
  <c r="DP10" i="12"/>
  <c r="EB10" i="12"/>
  <c r="DW8" i="12"/>
  <c r="EK8" i="12" s="1"/>
  <c r="DZ9" i="12"/>
  <c r="DQ10" i="12"/>
  <c r="EC10" i="12"/>
  <c r="DX8" i="12"/>
  <c r="EL8" i="12" s="1"/>
  <c r="DO9" i="12"/>
  <c r="EA9" i="12"/>
  <c r="AS10" i="12"/>
  <c r="DR10" i="12"/>
  <c r="ED10" i="12"/>
  <c r="DP9" i="12"/>
  <c r="DS10" i="12"/>
  <c r="DL6" i="12"/>
  <c r="AE14" i="21"/>
  <c r="CO29" i="21"/>
  <c r="DB29" i="21"/>
  <c r="CP29" i="21"/>
  <c r="DC29" i="21"/>
  <c r="CQ29" i="21"/>
  <c r="DD29" i="21"/>
  <c r="CR29" i="21"/>
  <c r="DG29" i="21"/>
  <c r="CU29" i="21"/>
  <c r="DI29" i="21"/>
  <c r="CW29" i="21"/>
  <c r="CK29" i="21"/>
  <c r="M4" i="33" s="1"/>
  <c r="CY29" i="21"/>
  <c r="CM29" i="21"/>
  <c r="DA29" i="21"/>
  <c r="DO32" i="21"/>
  <c r="DO31" i="21"/>
  <c r="DM31" i="21"/>
  <c r="AC23" i="21"/>
  <c r="AE22" i="21"/>
  <c r="AC22" i="21"/>
  <c r="AE21" i="21"/>
  <c r="DM29" i="21"/>
  <c r="AE29" i="21"/>
  <c r="AE11" i="21"/>
  <c r="AE6" i="21"/>
  <c r="DO30" i="21"/>
  <c r="L407" i="10"/>
  <c r="AN75" i="26"/>
  <c r="AN71" i="26"/>
  <c r="AN67" i="26"/>
  <c r="AN63" i="26"/>
  <c r="AN59" i="26"/>
  <c r="AN55" i="26"/>
  <c r="AN54" i="26"/>
  <c r="AN27" i="26"/>
  <c r="AN73" i="26"/>
  <c r="AN69" i="26"/>
  <c r="AN65" i="26"/>
  <c r="AN61" i="26"/>
  <c r="AN57" i="26"/>
  <c r="AN74" i="26"/>
  <c r="AN70" i="26"/>
  <c r="AN66" i="26"/>
  <c r="AN62" i="26"/>
  <c r="AN58" i="26"/>
  <c r="AN31" i="26"/>
  <c r="AN25" i="26"/>
  <c r="AN53" i="26"/>
  <c r="AZ75" i="26"/>
  <c r="AZ71" i="26"/>
  <c r="AZ67" i="26"/>
  <c r="AZ63" i="26"/>
  <c r="AZ59" i="26"/>
  <c r="AZ55" i="26"/>
  <c r="AZ54" i="26"/>
  <c r="AZ27" i="26"/>
  <c r="AZ73" i="26"/>
  <c r="AZ69" i="26"/>
  <c r="AZ65" i="26"/>
  <c r="AZ61" i="26"/>
  <c r="AZ57" i="26"/>
  <c r="AZ74" i="26"/>
  <c r="AZ70" i="26"/>
  <c r="AZ66" i="26"/>
  <c r="AZ62" i="26"/>
  <c r="AZ58" i="26"/>
  <c r="AZ31" i="26"/>
  <c r="AZ25" i="26"/>
  <c r="AZ53" i="26"/>
  <c r="AM6" i="26"/>
  <c r="AN7" i="26"/>
  <c r="AZ7" i="26"/>
  <c r="AT10" i="26"/>
  <c r="AN13" i="26"/>
  <c r="AZ13" i="26"/>
  <c r="AT16" i="26"/>
  <c r="AN19" i="26"/>
  <c r="AZ19" i="26"/>
  <c r="AT22" i="26"/>
  <c r="AT25" i="26"/>
  <c r="AZ29" i="26"/>
  <c r="AT33" i="26"/>
  <c r="AZ36" i="26"/>
  <c r="AN39" i="26"/>
  <c r="AZ45" i="26"/>
  <c r="AZ48" i="26"/>
  <c r="AN50" i="26"/>
  <c r="AT54" i="26"/>
  <c r="AM63" i="26"/>
  <c r="AN64" i="26"/>
  <c r="AU66" i="26"/>
  <c r="D397" i="10"/>
  <c r="D403" i="10"/>
  <c r="AO73" i="26"/>
  <c r="AO69" i="26"/>
  <c r="AO65" i="26"/>
  <c r="AO61" i="26"/>
  <c r="AO57" i="26"/>
  <c r="AO74" i="26"/>
  <c r="AO70" i="26"/>
  <c r="AO66" i="26"/>
  <c r="AO62" i="26"/>
  <c r="AO58" i="26"/>
  <c r="AO53" i="26"/>
  <c r="AK4" i="26"/>
  <c r="AW4" i="26"/>
  <c r="AQ5" i="26"/>
  <c r="AN6" i="26"/>
  <c r="AZ6" i="26"/>
  <c r="AO7" i="26"/>
  <c r="AM8" i="26"/>
  <c r="AY8" i="26"/>
  <c r="AK9" i="26"/>
  <c r="AW9" i="26"/>
  <c r="AU10" i="26"/>
  <c r="AS11" i="26"/>
  <c r="AQ12" i="26"/>
  <c r="AO13" i="26"/>
  <c r="AM14" i="26"/>
  <c r="AY14" i="26"/>
  <c r="AK15" i="26"/>
  <c r="AW15" i="26"/>
  <c r="AU16" i="26"/>
  <c r="AS17" i="26"/>
  <c r="AQ18" i="26"/>
  <c r="AO19" i="26"/>
  <c r="AM20" i="26"/>
  <c r="AY20" i="26"/>
  <c r="AK21" i="26"/>
  <c r="AW21" i="26"/>
  <c r="AU22" i="26"/>
  <c r="AT23" i="26"/>
  <c r="AU24" i="26"/>
  <c r="AU25" i="26"/>
  <c r="AV26" i="26"/>
  <c r="AX27" i="26"/>
  <c r="AK28" i="26"/>
  <c r="AZ28" i="26"/>
  <c r="AM29" i="26"/>
  <c r="AQ30" i="26"/>
  <c r="AP31" i="26"/>
  <c r="AP32" i="26"/>
  <c r="AV33" i="26"/>
  <c r="AN34" i="26"/>
  <c r="AS35" i="26"/>
  <c r="AQ37" i="26"/>
  <c r="AW38" i="26"/>
  <c r="AO39" i="26"/>
  <c r="AT40" i="26"/>
  <c r="AK41" i="26"/>
  <c r="AR42" i="26"/>
  <c r="AZ43" i="26"/>
  <c r="AP44" i="26"/>
  <c r="AR46" i="26"/>
  <c r="AN47" i="26"/>
  <c r="AS49" i="26"/>
  <c r="AO50" i="26"/>
  <c r="AM53" i="26"/>
  <c r="AL58" i="26"/>
  <c r="AL59" i="26"/>
  <c r="AM60" i="26"/>
  <c r="AT62" i="26"/>
  <c r="AO63" i="26"/>
  <c r="AO64" i="26"/>
  <c r="AR65" i="26"/>
  <c r="AV66" i="26"/>
  <c r="AW67" i="26"/>
  <c r="AR68" i="26"/>
  <c r="AU69" i="26"/>
  <c r="AY71" i="26"/>
  <c r="AZ72" i="26"/>
  <c r="J403" i="10"/>
  <c r="L413" i="10"/>
  <c r="D419" i="10"/>
  <c r="D422" i="10"/>
  <c r="D434" i="10"/>
  <c r="AP26" i="26"/>
  <c r="AP74" i="26"/>
  <c r="AP70" i="26"/>
  <c r="AP66" i="26"/>
  <c r="AP62" i="26"/>
  <c r="AP58" i="26"/>
  <c r="AP53" i="26"/>
  <c r="AP24" i="26"/>
  <c r="AP75" i="26"/>
  <c r="AP71" i="26"/>
  <c r="AP67" i="26"/>
  <c r="AP63" i="26"/>
  <c r="AP59" i="26"/>
  <c r="AP55" i="26"/>
  <c r="AL4" i="26"/>
  <c r="AX4" i="26"/>
  <c r="AR5" i="26"/>
  <c r="AO6" i="26"/>
  <c r="AP7" i="26"/>
  <c r="AN8" i="26"/>
  <c r="AZ8" i="26"/>
  <c r="AL9" i="26"/>
  <c r="AX9" i="26"/>
  <c r="AV10" i="26"/>
  <c r="AT11" i="26"/>
  <c r="AR12" i="26"/>
  <c r="AP13" i="26"/>
  <c r="AN14" i="26"/>
  <c r="AZ14" i="26"/>
  <c r="AL15" i="26"/>
  <c r="AX15" i="26"/>
  <c r="AV16" i="26"/>
  <c r="AT17" i="26"/>
  <c r="AR18" i="26"/>
  <c r="AP19" i="26"/>
  <c r="AN20" i="26"/>
  <c r="AZ20" i="26"/>
  <c r="AL21" i="26"/>
  <c r="AX21" i="26"/>
  <c r="AV22" i="26"/>
  <c r="AU23" i="26"/>
  <c r="AV24" i="26"/>
  <c r="AV25" i="26"/>
  <c r="AW26" i="26"/>
  <c r="AK27" i="26"/>
  <c r="AY27" i="26"/>
  <c r="AM28" i="26"/>
  <c r="AN29" i="26"/>
  <c r="AR30" i="26"/>
  <c r="AS31" i="26"/>
  <c r="AQ32" i="26"/>
  <c r="AW33" i="26"/>
  <c r="AO34" i="26"/>
  <c r="AT35" i="26"/>
  <c r="AK36" i="26"/>
  <c r="AR37" i="26"/>
  <c r="AZ38" i="26"/>
  <c r="AP39" i="26"/>
  <c r="AV40" i="26"/>
  <c r="AN41" i="26"/>
  <c r="AS42" i="26"/>
  <c r="AQ44" i="26"/>
  <c r="AS46" i="26"/>
  <c r="AO47" i="26"/>
  <c r="AV49" i="26"/>
  <c r="AP50" i="26"/>
  <c r="AN51" i="26"/>
  <c r="AT53" i="26"/>
  <c r="AK55" i="26"/>
  <c r="AS58" i="26"/>
  <c r="AM59" i="26"/>
  <c r="AN60" i="26"/>
  <c r="AU62" i="26"/>
  <c r="AV63" i="26"/>
  <c r="AP64" i="26"/>
  <c r="AS65" i="26"/>
  <c r="AX66" i="26"/>
  <c r="AX67" i="26"/>
  <c r="AY68" i="26"/>
  <c r="AQ72" i="26"/>
  <c r="AQ68" i="26"/>
  <c r="AQ64" i="26"/>
  <c r="AQ60" i="26"/>
  <c r="AQ56" i="26"/>
  <c r="AQ74" i="26"/>
  <c r="AQ70" i="26"/>
  <c r="AQ66" i="26"/>
  <c r="AQ62" i="26"/>
  <c r="AQ58" i="26"/>
  <c r="AQ31" i="26"/>
  <c r="AQ53" i="26"/>
  <c r="AQ75" i="26"/>
  <c r="AQ71" i="26"/>
  <c r="AQ67" i="26"/>
  <c r="AQ63" i="26"/>
  <c r="AQ59" i="26"/>
  <c r="AQ55" i="26"/>
  <c r="AM4" i="26"/>
  <c r="AY4" i="26"/>
  <c r="AS5" i="26"/>
  <c r="AP6" i="26"/>
  <c r="AQ7" i="26"/>
  <c r="AO8" i="26"/>
  <c r="AM9" i="26"/>
  <c r="AY9" i="26"/>
  <c r="AK10" i="26"/>
  <c r="AW10" i="26"/>
  <c r="AU11" i="26"/>
  <c r="AS12" i="26"/>
  <c r="AQ13" i="26"/>
  <c r="AO14" i="26"/>
  <c r="AM15" i="26"/>
  <c r="AY15" i="26"/>
  <c r="AK16" i="26"/>
  <c r="AW16" i="26"/>
  <c r="AU17" i="26"/>
  <c r="AS18" i="26"/>
  <c r="AQ19" i="26"/>
  <c r="AO20" i="26"/>
  <c r="AM21" i="26"/>
  <c r="AY21" i="26"/>
  <c r="AK22" i="26"/>
  <c r="AW22" i="26"/>
  <c r="AW23" i="26"/>
  <c r="AW24" i="26"/>
  <c r="AW25" i="26"/>
  <c r="AY26" i="26"/>
  <c r="AL27" i="26"/>
  <c r="AN28" i="26"/>
  <c r="AO29" i="26"/>
  <c r="AT30" i="26"/>
  <c r="AT31" i="26"/>
  <c r="AR32" i="26"/>
  <c r="AZ33" i="26"/>
  <c r="AP34" i="26"/>
  <c r="AV35" i="26"/>
  <c r="AN36" i="26"/>
  <c r="AS37" i="26"/>
  <c r="AQ39" i="26"/>
  <c r="AW40" i="26"/>
  <c r="AO41" i="26"/>
  <c r="AT42" i="26"/>
  <c r="AK43" i="26"/>
  <c r="AR44" i="26"/>
  <c r="AV46" i="26"/>
  <c r="AP47" i="26"/>
  <c r="AZ49" i="26"/>
  <c r="AQ50" i="26"/>
  <c r="AO51" i="26"/>
  <c r="AU53" i="26"/>
  <c r="AL55" i="26"/>
  <c r="AM56" i="26"/>
  <c r="AP57" i="26"/>
  <c r="AT58" i="26"/>
  <c r="AO59" i="26"/>
  <c r="AO60" i="26"/>
  <c r="AR61" i="26"/>
  <c r="AV62" i="26"/>
  <c r="AW63" i="26"/>
  <c r="AU65" i="26"/>
  <c r="AY67" i="26"/>
  <c r="AZ68" i="26"/>
  <c r="AR52" i="26"/>
  <c r="AR51" i="26"/>
  <c r="AR50" i="26"/>
  <c r="AR49" i="26"/>
  <c r="AR74" i="26"/>
  <c r="AR70" i="26"/>
  <c r="AR66" i="26"/>
  <c r="AR62" i="26"/>
  <c r="AR58" i="26"/>
  <c r="AR31" i="26"/>
  <c r="AR25" i="26"/>
  <c r="AR53" i="26"/>
  <c r="AR75" i="26"/>
  <c r="AR71" i="26"/>
  <c r="AR67" i="26"/>
  <c r="AR63" i="26"/>
  <c r="AR59" i="26"/>
  <c r="AR55" i="26"/>
  <c r="AR29" i="26"/>
  <c r="AN4" i="26"/>
  <c r="AZ4" i="26"/>
  <c r="AT5" i="26"/>
  <c r="AQ6" i="26"/>
  <c r="AR7" i="26"/>
  <c r="AP8" i="26"/>
  <c r="AN9" i="26"/>
  <c r="AZ9" i="26"/>
  <c r="AL10" i="26"/>
  <c r="AX10" i="26"/>
  <c r="AV11" i="26"/>
  <c r="AT12" i="26"/>
  <c r="AR13" i="26"/>
  <c r="AP14" i="26"/>
  <c r="AN15" i="26"/>
  <c r="AZ15" i="26"/>
  <c r="AL16" i="26"/>
  <c r="AX16" i="26"/>
  <c r="AV17" i="26"/>
  <c r="AT18" i="26"/>
  <c r="AR19" i="26"/>
  <c r="AP20" i="26"/>
  <c r="AN21" i="26"/>
  <c r="AZ21" i="26"/>
  <c r="AL22" i="26"/>
  <c r="AX22" i="26"/>
  <c r="AK23" i="26"/>
  <c r="AX23" i="26"/>
  <c r="AX24" i="26"/>
  <c r="AX25" i="26"/>
  <c r="AK26" i="26"/>
  <c r="AZ26" i="26"/>
  <c r="AM27" i="26"/>
  <c r="AO28" i="26"/>
  <c r="AP29" i="26"/>
  <c r="AU30" i="26"/>
  <c r="AU31" i="26"/>
  <c r="AS32" i="26"/>
  <c r="AQ34" i="26"/>
  <c r="AW35" i="26"/>
  <c r="AO36" i="26"/>
  <c r="AT37" i="26"/>
  <c r="AK38" i="26"/>
  <c r="AR39" i="26"/>
  <c r="AZ40" i="26"/>
  <c r="AP41" i="26"/>
  <c r="AV42" i="26"/>
  <c r="AN43" i="26"/>
  <c r="AS44" i="26"/>
  <c r="AK45" i="26"/>
  <c r="AZ46" i="26"/>
  <c r="AQ47" i="26"/>
  <c r="AS50" i="26"/>
  <c r="AP51" i="26"/>
  <c r="AN52" i="26"/>
  <c r="AV53" i="26"/>
  <c r="AM55" i="26"/>
  <c r="AN56" i="26"/>
  <c r="AQ57" i="26"/>
  <c r="AU58" i="26"/>
  <c r="AV59" i="26"/>
  <c r="AP60" i="26"/>
  <c r="AX62" i="26"/>
  <c r="AX63" i="26"/>
  <c r="AY64" i="26"/>
  <c r="AK75" i="26"/>
  <c r="H11" i="20"/>
  <c r="L404" i="10"/>
  <c r="J415" i="10"/>
  <c r="AS54" i="26"/>
  <c r="AS53" i="26"/>
  <c r="AS75" i="26"/>
  <c r="AS71" i="26"/>
  <c r="AS67" i="26"/>
  <c r="AS63" i="26"/>
  <c r="AS59" i="26"/>
  <c r="AS55" i="26"/>
  <c r="AS30" i="26"/>
  <c r="AS72" i="26"/>
  <c r="AS68" i="26"/>
  <c r="AS64" i="26"/>
  <c r="AS60" i="26"/>
  <c r="AS56" i="26"/>
  <c r="AU5" i="26"/>
  <c r="AR6" i="26"/>
  <c r="AS7" i="26"/>
  <c r="AQ8" i="26"/>
  <c r="AO9" i="26"/>
  <c r="AM10" i="26"/>
  <c r="AK11" i="26"/>
  <c r="AW11" i="26"/>
  <c r="AU12" i="26"/>
  <c r="AS13" i="26"/>
  <c r="AQ14" i="26"/>
  <c r="AO15" i="26"/>
  <c r="AM16" i="26"/>
  <c r="AY16" i="26"/>
  <c r="AK17" i="26"/>
  <c r="AW17" i="26"/>
  <c r="AU18" i="26"/>
  <c r="AS19" i="26"/>
  <c r="AQ20" i="26"/>
  <c r="AO21" i="26"/>
  <c r="AM22" i="26"/>
  <c r="AY22" i="26"/>
  <c r="AL23" i="26"/>
  <c r="AY23" i="26"/>
  <c r="AK24" i="26"/>
  <c r="AY24" i="26"/>
  <c r="AK25" i="26"/>
  <c r="AY25" i="26"/>
  <c r="AM26" i="26"/>
  <c r="AO27" i="26"/>
  <c r="AP28" i="26"/>
  <c r="AQ29" i="26"/>
  <c r="AX30" i="26"/>
  <c r="AV31" i="26"/>
  <c r="AK33" i="26"/>
  <c r="AR34" i="26"/>
  <c r="AZ35" i="26"/>
  <c r="AP36" i="26"/>
  <c r="AV37" i="26"/>
  <c r="AN38" i="26"/>
  <c r="AS39" i="26"/>
  <c r="AQ41" i="26"/>
  <c r="AW42" i="26"/>
  <c r="AO43" i="26"/>
  <c r="AV44" i="26"/>
  <c r="AN45" i="26"/>
  <c r="AR47" i="26"/>
  <c r="AN48" i="26"/>
  <c r="AZ50" i="26"/>
  <c r="AQ51" i="26"/>
  <c r="AO52" i="26"/>
  <c r="AW53" i="26"/>
  <c r="AO55" i="26"/>
  <c r="AO56" i="26"/>
  <c r="AR57" i="26"/>
  <c r="AV58" i="26"/>
  <c r="AW59" i="26"/>
  <c r="AR60" i="26"/>
  <c r="AY63" i="26"/>
  <c r="AZ64" i="26"/>
  <c r="AL74" i="26"/>
  <c r="AL75" i="26"/>
  <c r="AT73" i="26"/>
  <c r="AT69" i="26"/>
  <c r="AT65" i="26"/>
  <c r="AT61" i="26"/>
  <c r="AT57" i="26"/>
  <c r="AT24" i="26"/>
  <c r="AT75" i="26"/>
  <c r="AT71" i="26"/>
  <c r="AT67" i="26"/>
  <c r="AT63" i="26"/>
  <c r="AT59" i="26"/>
  <c r="AT55" i="26"/>
  <c r="AT72" i="26"/>
  <c r="AT68" i="26"/>
  <c r="AT64" i="26"/>
  <c r="AT60" i="26"/>
  <c r="AT56" i="26"/>
  <c r="AT28" i="26"/>
  <c r="AT52" i="26"/>
  <c r="AT51" i="26"/>
  <c r="AT50" i="26"/>
  <c r="AT49" i="26"/>
  <c r="AT48" i="26"/>
  <c r="AT47" i="26"/>
  <c r="AT46" i="26"/>
  <c r="AT45" i="26"/>
  <c r="AT44" i="26"/>
  <c r="AV5" i="26"/>
  <c r="AS6" i="26"/>
  <c r="AT7" i="26"/>
  <c r="AR8" i="26"/>
  <c r="AP9" i="26"/>
  <c r="AN10" i="26"/>
  <c r="AZ10" i="26"/>
  <c r="AL11" i="26"/>
  <c r="AX11" i="26"/>
  <c r="AV12" i="26"/>
  <c r="AT13" i="26"/>
  <c r="AR14" i="26"/>
  <c r="AP15" i="26"/>
  <c r="AN16" i="26"/>
  <c r="AZ16" i="26"/>
  <c r="AL17" i="26"/>
  <c r="AX17" i="26"/>
  <c r="AV18" i="26"/>
  <c r="AT19" i="26"/>
  <c r="AR20" i="26"/>
  <c r="AP21" i="26"/>
  <c r="AN22" i="26"/>
  <c r="AZ22" i="26"/>
  <c r="AM23" i="26"/>
  <c r="AZ23" i="26"/>
  <c r="AL24" i="26"/>
  <c r="AZ24" i="26"/>
  <c r="AL25" i="26"/>
  <c r="AN26" i="26"/>
  <c r="AP27" i="26"/>
  <c r="AQ28" i="26"/>
  <c r="AS29" i="26"/>
  <c r="AY30" i="26"/>
  <c r="AW31" i="26"/>
  <c r="AV32" i="26"/>
  <c r="AN33" i="26"/>
  <c r="AS34" i="26"/>
  <c r="AQ36" i="26"/>
  <c r="AW37" i="26"/>
  <c r="AO38" i="26"/>
  <c r="AT39" i="26"/>
  <c r="AK40" i="26"/>
  <c r="AR41" i="26"/>
  <c r="AZ42" i="26"/>
  <c r="AP43" i="26"/>
  <c r="AW44" i="26"/>
  <c r="AO45" i="26"/>
  <c r="AS47" i="26"/>
  <c r="AO48" i="26"/>
  <c r="AS51" i="26"/>
  <c r="AP52" i="26"/>
  <c r="AY53" i="26"/>
  <c r="AV55" i="26"/>
  <c r="AP56" i="26"/>
  <c r="AS57" i="26"/>
  <c r="AX58" i="26"/>
  <c r="AX59" i="26"/>
  <c r="AY60" i="26"/>
  <c r="AK71" i="26"/>
  <c r="AS74" i="26"/>
  <c r="AM75" i="26"/>
  <c r="L410" i="10"/>
  <c r="J420" i="10"/>
  <c r="J423" i="10"/>
  <c r="J426" i="10"/>
  <c r="J429" i="10"/>
  <c r="J432" i="10"/>
  <c r="L435" i="10"/>
  <c r="AU75" i="26"/>
  <c r="AU71" i="26"/>
  <c r="AU67" i="26"/>
  <c r="AU63" i="26"/>
  <c r="AU59" i="26"/>
  <c r="AU55" i="26"/>
  <c r="AU72" i="26"/>
  <c r="AU68" i="26"/>
  <c r="AU64" i="26"/>
  <c r="AU60" i="26"/>
  <c r="AU56" i="26"/>
  <c r="AU52" i="26"/>
  <c r="AU51" i="26"/>
  <c r="AU50" i="26"/>
  <c r="AU49" i="26"/>
  <c r="AU48" i="26"/>
  <c r="AU47" i="26"/>
  <c r="AU46" i="26"/>
  <c r="AU45" i="26"/>
  <c r="AU44" i="26"/>
  <c r="AU43" i="26"/>
  <c r="AU42" i="26"/>
  <c r="AU41" i="26"/>
  <c r="AU40" i="26"/>
  <c r="AU39" i="26"/>
  <c r="AU38" i="26"/>
  <c r="AU37" i="26"/>
  <c r="AU36" i="26"/>
  <c r="AU35" i="26"/>
  <c r="AU34" i="26"/>
  <c r="AU33" i="26"/>
  <c r="AU32" i="26"/>
  <c r="AU54" i="26"/>
  <c r="AK5" i="26"/>
  <c r="AW5" i="26"/>
  <c r="AT6" i="26"/>
  <c r="AU7" i="26"/>
  <c r="AS8" i="26"/>
  <c r="AQ9" i="26"/>
  <c r="AO10" i="26"/>
  <c r="AM11" i="26"/>
  <c r="AK12" i="26"/>
  <c r="AW12" i="26"/>
  <c r="AU13" i="26"/>
  <c r="AS14" i="26"/>
  <c r="AQ15" i="26"/>
  <c r="AO16" i="26"/>
  <c r="AM17" i="26"/>
  <c r="AK18" i="26"/>
  <c r="AW18" i="26"/>
  <c r="AU19" i="26"/>
  <c r="AS20" i="26"/>
  <c r="AQ21" i="26"/>
  <c r="AO22" i="26"/>
  <c r="AN23" i="26"/>
  <c r="AM24" i="26"/>
  <c r="AM25" i="26"/>
  <c r="AO26" i="26"/>
  <c r="AQ27" i="26"/>
  <c r="AR28" i="26"/>
  <c r="AT29" i="26"/>
  <c r="AZ30" i="26"/>
  <c r="AX31" i="26"/>
  <c r="AW32" i="26"/>
  <c r="AO33" i="26"/>
  <c r="AT34" i="26"/>
  <c r="AK35" i="26"/>
  <c r="AR36" i="26"/>
  <c r="AZ37" i="26"/>
  <c r="AP38" i="26"/>
  <c r="AV39" i="26"/>
  <c r="AN40" i="26"/>
  <c r="AS41" i="26"/>
  <c r="AQ43" i="26"/>
  <c r="AZ44" i="26"/>
  <c r="AP45" i="26"/>
  <c r="AP48" i="26"/>
  <c r="AZ51" i="26"/>
  <c r="AQ52" i="26"/>
  <c r="AW55" i="26"/>
  <c r="AR56" i="26"/>
  <c r="AU57" i="26"/>
  <c r="AY59" i="26"/>
  <c r="AZ60" i="26"/>
  <c r="AL70" i="26"/>
  <c r="AL71" i="26"/>
  <c r="AM72" i="26"/>
  <c r="AP73" i="26"/>
  <c r="AT74" i="26"/>
  <c r="AO75" i="26"/>
  <c r="L417" i="10"/>
  <c r="AV29" i="26"/>
  <c r="AV23" i="26"/>
  <c r="AV30" i="26"/>
  <c r="AV72" i="26"/>
  <c r="AV68" i="26"/>
  <c r="AV64" i="26"/>
  <c r="AV60" i="26"/>
  <c r="AV56" i="26"/>
  <c r="AV52" i="26"/>
  <c r="AV51" i="26"/>
  <c r="AV50" i="26"/>
  <c r="AV54" i="26"/>
  <c r="AV27" i="26"/>
  <c r="AV73" i="26"/>
  <c r="AV69" i="26"/>
  <c r="AV65" i="26"/>
  <c r="AV61" i="26"/>
  <c r="AV57" i="26"/>
  <c r="AR4" i="26"/>
  <c r="AL5" i="26"/>
  <c r="AU6" i="26"/>
  <c r="AV7" i="26"/>
  <c r="AT8" i="26"/>
  <c r="AR9" i="26"/>
  <c r="AP10" i="26"/>
  <c r="AN11" i="26"/>
  <c r="AZ11" i="26"/>
  <c r="AL12" i="26"/>
  <c r="AX12" i="26"/>
  <c r="AV13" i="26"/>
  <c r="AT14" i="26"/>
  <c r="AR15" i="26"/>
  <c r="AP16" i="26"/>
  <c r="AN17" i="26"/>
  <c r="AZ17" i="26"/>
  <c r="AL18" i="26"/>
  <c r="AX18" i="26"/>
  <c r="AV19" i="26"/>
  <c r="AT20" i="26"/>
  <c r="AR21" i="26"/>
  <c r="AP22" i="26"/>
  <c r="AO23" i="26"/>
  <c r="AN24" i="26"/>
  <c r="AO25" i="26"/>
  <c r="AQ26" i="26"/>
  <c r="AR27" i="26"/>
  <c r="AS28" i="26"/>
  <c r="AU29" i="26"/>
  <c r="AL30" i="26"/>
  <c r="AY31" i="26"/>
  <c r="AZ32" i="26"/>
  <c r="AP33" i="26"/>
  <c r="D9" i="20"/>
  <c r="AV34" i="26"/>
  <c r="AN35" i="26"/>
  <c r="AS36" i="26"/>
  <c r="AQ38" i="26"/>
  <c r="AO40" i="26"/>
  <c r="AT41" i="26"/>
  <c r="AK42" i="26"/>
  <c r="AR43" i="26"/>
  <c r="AQ45" i="26"/>
  <c r="AZ47" i="26"/>
  <c r="AQ48" i="26"/>
  <c r="AS52" i="26"/>
  <c r="AO54" i="26"/>
  <c r="AY56" i="26"/>
  <c r="AS70" i="26"/>
  <c r="AM71" i="26"/>
  <c r="AN72" i="26"/>
  <c r="AQ73" i="26"/>
  <c r="AU74" i="26"/>
  <c r="AV75" i="26"/>
  <c r="J406" i="10"/>
  <c r="AK74" i="26"/>
  <c r="AK70" i="26"/>
  <c r="AK66" i="26"/>
  <c r="AK62" i="26"/>
  <c r="AK58" i="26"/>
  <c r="AK30" i="26"/>
  <c r="AK72" i="26"/>
  <c r="AK68" i="26"/>
  <c r="AK64" i="26"/>
  <c r="AK60" i="26"/>
  <c r="AK56" i="26"/>
  <c r="AK52" i="26"/>
  <c r="AK51" i="26"/>
  <c r="AK50" i="26"/>
  <c r="AK49" i="26"/>
  <c r="AK48" i="26"/>
  <c r="AK47" i="26"/>
  <c r="AK46" i="26"/>
  <c r="AK54" i="26"/>
  <c r="AK73" i="26"/>
  <c r="AK69" i="26"/>
  <c r="AK65" i="26"/>
  <c r="AK61" i="26"/>
  <c r="AK57" i="26"/>
  <c r="AW74" i="26"/>
  <c r="AW70" i="26"/>
  <c r="AW66" i="26"/>
  <c r="AW62" i="26"/>
  <c r="AW58" i="26"/>
  <c r="AW30" i="26"/>
  <c r="AW72" i="26"/>
  <c r="AW68" i="26"/>
  <c r="AW64" i="26"/>
  <c r="AW60" i="26"/>
  <c r="AW56" i="26"/>
  <c r="AW52" i="26"/>
  <c r="AW51" i="26"/>
  <c r="AW50" i="26"/>
  <c r="AW49" i="26"/>
  <c r="AW48" i="26"/>
  <c r="AW47" i="26"/>
  <c r="AW46" i="26"/>
  <c r="AW45" i="26"/>
  <c r="AW54" i="26"/>
  <c r="AW73" i="26"/>
  <c r="AW69" i="26"/>
  <c r="AW65" i="26"/>
  <c r="AW61" i="26"/>
  <c r="AW57" i="26"/>
  <c r="AS4" i="26"/>
  <c r="AM5" i="26"/>
  <c r="AV6" i="26"/>
  <c r="AK7" i="26"/>
  <c r="AW7" i="26"/>
  <c r="AU8" i="26"/>
  <c r="AS9" i="26"/>
  <c r="AQ10" i="26"/>
  <c r="AO11" i="26"/>
  <c r="AM12" i="26"/>
  <c r="AK13" i="26"/>
  <c r="AW13" i="26"/>
  <c r="AU14" i="26"/>
  <c r="AS15" i="26"/>
  <c r="AQ16" i="26"/>
  <c r="AO17" i="26"/>
  <c r="AM18" i="26"/>
  <c r="AK19" i="26"/>
  <c r="AW19" i="26"/>
  <c r="AU20" i="26"/>
  <c r="AS21" i="26"/>
  <c r="AQ22" i="26"/>
  <c r="AP23" i="26"/>
  <c r="AO24" i="26"/>
  <c r="AP25" i="26"/>
  <c r="AR26" i="26"/>
  <c r="AS27" i="26"/>
  <c r="AU28" i="26"/>
  <c r="AW29" i="26"/>
  <c r="AM30" i="26"/>
  <c r="AK31" i="26"/>
  <c r="AQ33" i="26"/>
  <c r="AW34" i="26"/>
  <c r="AO35" i="26"/>
  <c r="AT36" i="26"/>
  <c r="AK37" i="26"/>
  <c r="AR38" i="26"/>
  <c r="AZ39" i="26"/>
  <c r="AP40" i="26"/>
  <c r="AV41" i="26"/>
  <c r="AN42" i="26"/>
  <c r="AS43" i="26"/>
  <c r="AR45" i="26"/>
  <c r="AN46" i="26"/>
  <c r="AR48" i="26"/>
  <c r="AN49" i="26"/>
  <c r="AZ52" i="26"/>
  <c r="AP54" i="26"/>
  <c r="AZ56" i="26"/>
  <c r="AL66" i="26"/>
  <c r="AM68" i="26"/>
  <c r="AP69" i="26"/>
  <c r="AT70" i="26"/>
  <c r="AO71" i="26"/>
  <c r="AO72" i="26"/>
  <c r="AR73" i="26"/>
  <c r="AV74" i="26"/>
  <c r="AW75" i="26"/>
  <c r="L401" i="10"/>
  <c r="AL53" i="26"/>
  <c r="AL72" i="26"/>
  <c r="AL68" i="26"/>
  <c r="AL64" i="26"/>
  <c r="AL60" i="26"/>
  <c r="AL56" i="26"/>
  <c r="AL28" i="26"/>
  <c r="AL52" i="26"/>
  <c r="AL51" i="26"/>
  <c r="AL50" i="26"/>
  <c r="AL49" i="26"/>
  <c r="AL48" i="26"/>
  <c r="AL47" i="26"/>
  <c r="AL46" i="26"/>
  <c r="AL45" i="26"/>
  <c r="AL44" i="26"/>
  <c r="AL43" i="26"/>
  <c r="AL42" i="26"/>
  <c r="AL41" i="26"/>
  <c r="AL40" i="26"/>
  <c r="AL39" i="26"/>
  <c r="AL38" i="26"/>
  <c r="AL37" i="26"/>
  <c r="AL36" i="26"/>
  <c r="AL35" i="26"/>
  <c r="AL34" i="26"/>
  <c r="AL33" i="26"/>
  <c r="AL32" i="26"/>
  <c r="AL54" i="26"/>
  <c r="AL73" i="26"/>
  <c r="AL69" i="26"/>
  <c r="AL65" i="26"/>
  <c r="AL61" i="26"/>
  <c r="AL57" i="26"/>
  <c r="AL26" i="26"/>
  <c r="AX53" i="26"/>
  <c r="AX72" i="26"/>
  <c r="AX68" i="26"/>
  <c r="AX64" i="26"/>
  <c r="AX60" i="26"/>
  <c r="AX56" i="26"/>
  <c r="AX28" i="26"/>
  <c r="AX52" i="26"/>
  <c r="AX51" i="26"/>
  <c r="AX50" i="26"/>
  <c r="AX49" i="26"/>
  <c r="AX48" i="26"/>
  <c r="AX47" i="26"/>
  <c r="AX46" i="26"/>
  <c r="AX45" i="26"/>
  <c r="AX44" i="26"/>
  <c r="AX43" i="26"/>
  <c r="AX42" i="26"/>
  <c r="AX41" i="26"/>
  <c r="AX40" i="26"/>
  <c r="AX39" i="26"/>
  <c r="AX38" i="26"/>
  <c r="AX37" i="26"/>
  <c r="AX36" i="26"/>
  <c r="AX35" i="26"/>
  <c r="AX34" i="26"/>
  <c r="AX33" i="26"/>
  <c r="AX32" i="26"/>
  <c r="AX54" i="26"/>
  <c r="AX73" i="26"/>
  <c r="AX69" i="26"/>
  <c r="AX65" i="26"/>
  <c r="AX61" i="26"/>
  <c r="AX57" i="26"/>
  <c r="AX26" i="26"/>
  <c r="AT4" i="26"/>
  <c r="AN5" i="26"/>
  <c r="AZ5" i="26"/>
  <c r="AK6" i="26"/>
  <c r="AW6" i="26"/>
  <c r="AL7" i="26"/>
  <c r="AX7" i="26"/>
  <c r="AV8" i="26"/>
  <c r="AT9" i="26"/>
  <c r="AR10" i="26"/>
  <c r="AP11" i="26"/>
  <c r="AN12" i="26"/>
  <c r="AZ12" i="26"/>
  <c r="AL13" i="26"/>
  <c r="AX13" i="26"/>
  <c r="AV14" i="26"/>
  <c r="AT15" i="26"/>
  <c r="AR16" i="26"/>
  <c r="AP17" i="26"/>
  <c r="AN18" i="26"/>
  <c r="AZ18" i="26"/>
  <c r="AL19" i="26"/>
  <c r="AX19" i="26"/>
  <c r="AV20" i="26"/>
  <c r="AT21" i="26"/>
  <c r="AR22" i="26"/>
  <c r="AQ23" i="26"/>
  <c r="AQ24" i="26"/>
  <c r="AQ25" i="26"/>
  <c r="AS26" i="26"/>
  <c r="AT27" i="26"/>
  <c r="AV28" i="26"/>
  <c r="AX29" i="26"/>
  <c r="AN30" i="26"/>
  <c r="AL31" i="26"/>
  <c r="AK32" i="26"/>
  <c r="AR33" i="26"/>
  <c r="AZ34" i="26"/>
  <c r="AP35" i="26"/>
  <c r="AV36" i="26"/>
  <c r="AN37" i="26"/>
  <c r="AS38" i="26"/>
  <c r="AQ40" i="26"/>
  <c r="AW41" i="26"/>
  <c r="AO42" i="26"/>
  <c r="AT43" i="26"/>
  <c r="AK44" i="26"/>
  <c r="AS45" i="26"/>
  <c r="AO46" i="26"/>
  <c r="AS48" i="26"/>
  <c r="AO49" i="26"/>
  <c r="AQ54" i="26"/>
  <c r="AK63" i="26"/>
  <c r="AS66" i="26"/>
  <c r="AN68" i="26"/>
  <c r="AQ69" i="26"/>
  <c r="AU70" i="26"/>
  <c r="AV71" i="26"/>
  <c r="AP72" i="26"/>
  <c r="AS73" i="26"/>
  <c r="AX74" i="26"/>
  <c r="AX75" i="26"/>
  <c r="AM52" i="26"/>
  <c r="AM51" i="26"/>
  <c r="AM50" i="26"/>
  <c r="AM49" i="26"/>
  <c r="AM48" i="26"/>
  <c r="AM47" i="26"/>
  <c r="AM46" i="26"/>
  <c r="AM45" i="26"/>
  <c r="AM44" i="26"/>
  <c r="AM43" i="26"/>
  <c r="AM42" i="26"/>
  <c r="AM41" i="26"/>
  <c r="AM40" i="26"/>
  <c r="AM39" i="26"/>
  <c r="AM38" i="26"/>
  <c r="AM37" i="26"/>
  <c r="AM36" i="26"/>
  <c r="AM35" i="26"/>
  <c r="AM34" i="26"/>
  <c r="AM33" i="26"/>
  <c r="AM32" i="26"/>
  <c r="AM54" i="26"/>
  <c r="AM73" i="26"/>
  <c r="AM69" i="26"/>
  <c r="AM65" i="26"/>
  <c r="AM61" i="26"/>
  <c r="AM57" i="26"/>
  <c r="AM74" i="26"/>
  <c r="AM70" i="26"/>
  <c r="AM66" i="26"/>
  <c r="AM62" i="26"/>
  <c r="AM58" i="26"/>
  <c r="AY52" i="26"/>
  <c r="AY51" i="26"/>
  <c r="AY50" i="26"/>
  <c r="AY49" i="26"/>
  <c r="AY48" i="26"/>
  <c r="AY47" i="26"/>
  <c r="AY46" i="26"/>
  <c r="AY45" i="26"/>
  <c r="AY44" i="26"/>
  <c r="AY43" i="26"/>
  <c r="AY42" i="26"/>
  <c r="AY41" i="26"/>
  <c r="AY40" i="26"/>
  <c r="AY39" i="26"/>
  <c r="AY38" i="26"/>
  <c r="AY37" i="26"/>
  <c r="AY36" i="26"/>
  <c r="AY35" i="26"/>
  <c r="AY34" i="26"/>
  <c r="AY33" i="26"/>
  <c r="AY32" i="26"/>
  <c r="AY54" i="26"/>
  <c r="AY73" i="26"/>
  <c r="AY69" i="26"/>
  <c r="AY65" i="26"/>
  <c r="AY61" i="26"/>
  <c r="AY57" i="26"/>
  <c r="AY74" i="26"/>
  <c r="AY70" i="26"/>
  <c r="AY66" i="26"/>
  <c r="AY62" i="26"/>
  <c r="AY58" i="26"/>
  <c r="AU4" i="26"/>
  <c r="AO5" i="26"/>
  <c r="AL6" i="26"/>
  <c r="AX6" i="26"/>
  <c r="AM7" i="26"/>
  <c r="AY7" i="26"/>
  <c r="AK8" i="26"/>
  <c r="AW8" i="26"/>
  <c r="AU9" i="26"/>
  <c r="AS10" i="26"/>
  <c r="AQ11" i="26"/>
  <c r="AO12" i="26"/>
  <c r="AM13" i="26"/>
  <c r="AY13" i="26"/>
  <c r="AK14" i="26"/>
  <c r="AW14" i="26"/>
  <c r="AU15" i="26"/>
  <c r="AS16" i="26"/>
  <c r="AQ17" i="26"/>
  <c r="AO18" i="26"/>
  <c r="AM19" i="26"/>
  <c r="AY19" i="26"/>
  <c r="AK20" i="26"/>
  <c r="AW20" i="26"/>
  <c r="AU21" i="26"/>
  <c r="AS22" i="26"/>
  <c r="AR23" i="26"/>
  <c r="AR24" i="26"/>
  <c r="AS25" i="26"/>
  <c r="AT26" i="26"/>
  <c r="AU27" i="26"/>
  <c r="AW28" i="26"/>
  <c r="AK29" i="26"/>
  <c r="AY29" i="26"/>
  <c r="AO30" i="26"/>
  <c r="AM31" i="26"/>
  <c r="AN32" i="26"/>
  <c r="AS33" i="26"/>
  <c r="AQ35" i="26"/>
  <c r="AW36" i="26"/>
  <c r="AO37" i="26"/>
  <c r="AT38" i="26"/>
  <c r="AK39" i="26"/>
  <c r="AR40" i="26"/>
  <c r="AZ41" i="26"/>
  <c r="AP42" i="26"/>
  <c r="AV43" i="26"/>
  <c r="AN44" i="26"/>
  <c r="AV45" i="26"/>
  <c r="AP46" i="26"/>
  <c r="AV48" i="26"/>
  <c r="AP49" i="26"/>
  <c r="AR54" i="26"/>
  <c r="AL62" i="26"/>
  <c r="AL63" i="26"/>
  <c r="AM64" i="26"/>
  <c r="AP65" i="26"/>
  <c r="AT66" i="26"/>
  <c r="AO67" i="26"/>
  <c r="AO68" i="26"/>
  <c r="AR69" i="26"/>
  <c r="AV70" i="26"/>
  <c r="AW71" i="26"/>
  <c r="AR72" i="26"/>
  <c r="AU73" i="26"/>
  <c r="AY75" i="26"/>
  <c r="J397" i="10"/>
  <c r="D401" i="10"/>
  <c r="D404" i="10"/>
  <c r="D407" i="10"/>
  <c r="D410" i="10"/>
  <c r="D413" i="10"/>
  <c r="D416" i="10"/>
  <c r="J398" i="10"/>
  <c r="D402" i="10"/>
  <c r="D405" i="10"/>
  <c r="D408" i="10"/>
  <c r="D411" i="10"/>
  <c r="D414" i="10"/>
  <c r="J402" i="10"/>
  <c r="J405" i="10"/>
  <c r="J408" i="10"/>
  <c r="J411" i="10"/>
  <c r="J414" i="10"/>
  <c r="D436" i="10"/>
  <c r="J436" i="10"/>
  <c r="D437" i="10"/>
  <c r="J437" i="10"/>
  <c r="W12" i="12"/>
  <c r="AG7" i="12"/>
  <c r="AE19" i="21"/>
  <c r="DO13" i="21"/>
  <c r="AC4" i="21"/>
  <c r="AC12" i="21"/>
  <c r="CN29" i="21"/>
  <c r="CZ29" i="21"/>
  <c r="DM25" i="21"/>
  <c r="AC27" i="21"/>
  <c r="DM32" i="21"/>
  <c r="J29" i="33" s="1"/>
  <c r="DM5" i="21"/>
  <c r="DO8" i="21"/>
  <c r="AE10" i="21"/>
  <c r="AC15" i="21"/>
  <c r="DM18" i="21"/>
  <c r="AC20" i="21"/>
  <c r="AE27" i="21"/>
  <c r="AE34" i="21"/>
  <c r="DM37" i="21"/>
  <c r="AE15" i="21"/>
  <c r="AE20" i="21"/>
  <c r="AC25" i="21"/>
  <c r="AE39" i="21"/>
  <c r="AC5" i="21"/>
  <c r="AC13" i="21"/>
  <c r="AE25" i="21"/>
  <c r="CS29" i="21"/>
  <c r="DE29" i="21"/>
  <c r="AE32" i="21"/>
  <c r="AC10" i="21"/>
  <c r="AE5" i="21"/>
  <c r="AE13" i="21"/>
  <c r="AC18" i="21"/>
  <c r="CT29" i="21"/>
  <c r="K13" i="33" s="1"/>
  <c r="DF29" i="21"/>
  <c r="AE37" i="21"/>
  <c r="AC16" i="21"/>
  <c r="AC21" i="21"/>
  <c r="CJ29" i="21"/>
  <c r="CV29" i="21"/>
  <c r="DH29" i="21"/>
  <c r="AE40" i="21"/>
  <c r="AC6" i="21"/>
  <c r="AC14" i="21"/>
  <c r="AC19" i="21"/>
  <c r="CL29" i="21"/>
  <c r="M5" i="33" s="1"/>
  <c r="CX29" i="21"/>
  <c r="AC8" i="21"/>
  <c r="BK8" i="21"/>
  <c r="BM8" i="21" s="1"/>
  <c r="AE8" i="21"/>
  <c r="AG8" i="21"/>
  <c r="BL39" i="21"/>
  <c r="BM39" i="21" s="1"/>
  <c r="AC7" i="21"/>
  <c r="BK16" i="21"/>
  <c r="BM16" i="21" s="1"/>
  <c r="AE7" i="21"/>
  <c r="BK28" i="21"/>
  <c r="BM28" i="21" s="1"/>
  <c r="BK30" i="21"/>
  <c r="BM30" i="21" s="1"/>
  <c r="BK12" i="21"/>
  <c r="BM12" i="21" s="1"/>
  <c r="BK42" i="21"/>
  <c r="BM42" i="21" s="1"/>
  <c r="BK4" i="21"/>
  <c r="BM4" i="21" s="1"/>
  <c r="BK22" i="21"/>
  <c r="BM22" i="21" s="1"/>
  <c r="BK35" i="21"/>
  <c r="BM35" i="21" s="1"/>
  <c r="Z48" i="21"/>
  <c r="AG48" i="21" s="1"/>
  <c r="BL31" i="21"/>
  <c r="BM31" i="21" s="1"/>
  <c r="BK10" i="21"/>
  <c r="BM10" i="21" s="1"/>
  <c r="BK6" i="21"/>
  <c r="BM6" i="21" s="1"/>
  <c r="BK14" i="21"/>
  <c r="BM14" i="21" s="1"/>
  <c r="BL34" i="21"/>
  <c r="BM34" i="21" s="1"/>
  <c r="BL26" i="21"/>
  <c r="BM26" i="21" s="1"/>
  <c r="D50" i="21"/>
  <c r="BK18" i="21"/>
  <c r="BM18" i="21" s="1"/>
  <c r="BK20" i="21"/>
  <c r="BM20" i="21" s="1"/>
  <c r="BK43" i="21"/>
  <c r="BM43" i="21" s="1"/>
  <c r="AG18" i="21"/>
  <c r="BK24" i="21"/>
  <c r="BM24" i="21" s="1"/>
  <c r="BK38" i="21"/>
  <c r="BM38" i="21" s="1"/>
  <c r="Z44" i="21"/>
  <c r="AG44" i="21" s="1"/>
  <c r="Z45" i="21"/>
  <c r="AG45" i="21" s="1"/>
  <c r="Z47" i="21"/>
  <c r="AG47" i="21" s="1"/>
  <c r="BK5" i="21"/>
  <c r="BK9" i="21"/>
  <c r="BM9" i="21" s="1"/>
  <c r="BK13" i="21"/>
  <c r="BM13" i="21" s="1"/>
  <c r="BK17" i="21"/>
  <c r="BM17" i="21" s="1"/>
  <c r="BK21" i="21"/>
  <c r="BM21" i="21" s="1"/>
  <c r="BK25" i="21"/>
  <c r="BM25" i="21" s="1"/>
  <c r="BK33" i="21"/>
  <c r="BM33" i="21" s="1"/>
  <c r="BK37" i="21"/>
  <c r="BM37" i="21" s="1"/>
  <c r="BK41" i="21"/>
  <c r="BM41" i="21" s="1"/>
  <c r="BK32" i="21"/>
  <c r="BM32" i="21" s="1"/>
  <c r="BK36" i="21"/>
  <c r="BM36" i="21" s="1"/>
  <c r="BK40" i="21"/>
  <c r="BM40" i="21" s="1"/>
  <c r="BK7" i="21"/>
  <c r="BM7" i="21" s="1"/>
  <c r="BK11" i="21"/>
  <c r="BM11" i="21" s="1"/>
  <c r="BK15" i="21"/>
  <c r="BM15" i="21" s="1"/>
  <c r="BK19" i="21"/>
  <c r="BM19" i="21" s="1"/>
  <c r="BK23" i="21"/>
  <c r="BM23" i="21" s="1"/>
  <c r="BK27" i="21"/>
  <c r="BM27" i="21" s="1"/>
  <c r="Z46" i="21"/>
  <c r="BA4" i="16"/>
  <c r="E17" i="31"/>
  <c r="AE21" i="19"/>
  <c r="S21" i="19"/>
  <c r="G21" i="19"/>
  <c r="AA21" i="19"/>
  <c r="N21" i="19"/>
  <c r="AC21" i="19"/>
  <c r="O21" i="19"/>
  <c r="AB21" i="19"/>
  <c r="M21" i="19"/>
  <c r="Z21" i="19"/>
  <c r="L21" i="19"/>
  <c r="Y21" i="19"/>
  <c r="K21" i="19"/>
  <c r="X21" i="19"/>
  <c r="J21" i="19"/>
  <c r="W21" i="19"/>
  <c r="I21" i="19"/>
  <c r="AF21" i="19"/>
  <c r="Q21" i="19"/>
  <c r="AD21" i="19"/>
  <c r="P21" i="19"/>
  <c r="U21" i="19"/>
  <c r="T21" i="19"/>
  <c r="R21" i="19"/>
  <c r="H21" i="19"/>
  <c r="AG21" i="19"/>
  <c r="V21" i="19"/>
  <c r="G4" i="19"/>
  <c r="AA37" i="19"/>
  <c r="N37" i="19"/>
  <c r="V37" i="19"/>
  <c r="I37" i="19"/>
  <c r="AH37" i="19"/>
  <c r="U37" i="19"/>
  <c r="H37" i="19"/>
  <c r="AG37" i="19"/>
  <c r="P37" i="19"/>
  <c r="AF37" i="19"/>
  <c r="O37" i="19"/>
  <c r="R37" i="19"/>
  <c r="M37" i="19"/>
  <c r="L37" i="19"/>
  <c r="AE37" i="19"/>
  <c r="K37" i="19"/>
  <c r="AD37" i="19"/>
  <c r="J37" i="19"/>
  <c r="AB37" i="19"/>
  <c r="G37" i="19"/>
  <c r="T37" i="19"/>
  <c r="S37" i="19"/>
  <c r="Z37" i="19"/>
  <c r="Y37" i="19"/>
  <c r="X37" i="19"/>
  <c r="W37" i="19"/>
  <c r="AB8" i="19"/>
  <c r="P8" i="19"/>
  <c r="X8" i="19"/>
  <c r="K8" i="19"/>
  <c r="W8" i="19"/>
  <c r="J8" i="19"/>
  <c r="V8" i="19"/>
  <c r="I8" i="19"/>
  <c r="AH8" i="19"/>
  <c r="U8" i="19"/>
  <c r="H8" i="19"/>
  <c r="AG8" i="19"/>
  <c r="T8" i="19"/>
  <c r="G8" i="19"/>
  <c r="AF8" i="19"/>
  <c r="S8" i="19"/>
  <c r="Z8" i="19"/>
  <c r="M8" i="19"/>
  <c r="Y8" i="19"/>
  <c r="L8" i="19"/>
  <c r="AA8" i="19"/>
  <c r="R8" i="19"/>
  <c r="Q8" i="19"/>
  <c r="O8" i="19"/>
  <c r="N8" i="19"/>
  <c r="AD8" i="19"/>
  <c r="AC8" i="19"/>
  <c r="AE8" i="19"/>
  <c r="AA13" i="19"/>
  <c r="M13" i="19"/>
  <c r="Z13" i="19"/>
  <c r="L13" i="19"/>
  <c r="Y13" i="19"/>
  <c r="K13" i="19"/>
  <c r="X13" i="19"/>
  <c r="J13" i="19"/>
  <c r="W13" i="19"/>
  <c r="I13" i="19"/>
  <c r="V13" i="19"/>
  <c r="H13" i="19"/>
  <c r="AC13" i="19"/>
  <c r="O13" i="19"/>
  <c r="AB13" i="19"/>
  <c r="N13" i="19"/>
  <c r="AH13" i="19"/>
  <c r="AG13" i="19"/>
  <c r="AD13" i="19"/>
  <c r="U13" i="19"/>
  <c r="V43" i="19"/>
  <c r="U43" i="19"/>
  <c r="T43" i="19"/>
  <c r="Q43" i="19"/>
  <c r="AB4" i="19"/>
  <c r="P4" i="19"/>
  <c r="Z4" i="19"/>
  <c r="M4" i="19"/>
  <c r="Y4" i="19"/>
  <c r="L4" i="19"/>
  <c r="X4" i="19"/>
  <c r="K4" i="19"/>
  <c r="W4" i="19"/>
  <c r="J4" i="19"/>
  <c r="V4" i="19"/>
  <c r="I4" i="19"/>
  <c r="AH4" i="19"/>
  <c r="U4" i="19"/>
  <c r="H4" i="19"/>
  <c r="AC4" i="19"/>
  <c r="O4" i="19"/>
  <c r="AA4" i="19"/>
  <c r="N4" i="19"/>
  <c r="AD4" i="19"/>
  <c r="T4" i="19"/>
  <c r="S4" i="19"/>
  <c r="R4" i="19"/>
  <c r="Q4" i="19"/>
  <c r="AF4" i="19"/>
  <c r="AE4" i="19"/>
  <c r="P13" i="19"/>
  <c r="Z40" i="19"/>
  <c r="N40" i="19"/>
  <c r="AH40" i="19"/>
  <c r="V40" i="19"/>
  <c r="AG40" i="19"/>
  <c r="S40" i="19"/>
  <c r="AB40" i="19"/>
  <c r="M40" i="19"/>
  <c r="AA40" i="19"/>
  <c r="L40" i="19"/>
  <c r="R40" i="19"/>
  <c r="Q40" i="19"/>
  <c r="K40" i="19"/>
  <c r="AF40" i="19"/>
  <c r="J40" i="19"/>
  <c r="AE40" i="19"/>
  <c r="I40" i="19"/>
  <c r="AD40" i="19"/>
  <c r="H40" i="19"/>
  <c r="AC40" i="19"/>
  <c r="G40" i="19"/>
  <c r="Y40" i="19"/>
  <c r="P40" i="19"/>
  <c r="O40" i="19"/>
  <c r="X40" i="19"/>
  <c r="AB16" i="19"/>
  <c r="P16" i="19"/>
  <c r="W16" i="19"/>
  <c r="J16" i="19"/>
  <c r="Z16" i="19"/>
  <c r="L16" i="19"/>
  <c r="Y16" i="19"/>
  <c r="K16" i="19"/>
  <c r="X16" i="19"/>
  <c r="I16" i="19"/>
  <c r="V16" i="19"/>
  <c r="H16" i="19"/>
  <c r="U16" i="19"/>
  <c r="G16" i="19"/>
  <c r="AH16" i="19"/>
  <c r="T16" i="19"/>
  <c r="AC16" i="19"/>
  <c r="N16" i="19"/>
  <c r="AA16" i="19"/>
  <c r="M16" i="19"/>
  <c r="AG16" i="19"/>
  <c r="AF16" i="19"/>
  <c r="AE16" i="19"/>
  <c r="AD16" i="19"/>
  <c r="S16" i="19"/>
  <c r="Z44" i="19"/>
  <c r="N44" i="19"/>
  <c r="AH44" i="19"/>
  <c r="V44" i="19"/>
  <c r="J44" i="19"/>
  <c r="AB44" i="19"/>
  <c r="M44" i="19"/>
  <c r="U44" i="19"/>
  <c r="G44" i="19"/>
  <c r="T44" i="19"/>
  <c r="AD44" i="19"/>
  <c r="K44" i="19"/>
  <c r="AC44" i="19"/>
  <c r="I44" i="19"/>
  <c r="W44" i="19"/>
  <c r="S44" i="19"/>
  <c r="R44" i="19"/>
  <c r="Q44" i="19"/>
  <c r="P44" i="19"/>
  <c r="O44" i="19"/>
  <c r="Y44" i="19"/>
  <c r="X44" i="19"/>
  <c r="AG44" i="19"/>
  <c r="AF44" i="19"/>
  <c r="AE44" i="19"/>
  <c r="AH10" i="19"/>
  <c r="V10" i="19"/>
  <c r="J10" i="19"/>
  <c r="AA10" i="19"/>
  <c r="N10" i="19"/>
  <c r="AC10" i="19"/>
  <c r="O10" i="19"/>
  <c r="AB10" i="19"/>
  <c r="M10" i="19"/>
  <c r="Z10" i="19"/>
  <c r="L10" i="19"/>
  <c r="Y10" i="19"/>
  <c r="K10" i="19"/>
  <c r="X10" i="19"/>
  <c r="I10" i="19"/>
  <c r="W10" i="19"/>
  <c r="H10" i="19"/>
  <c r="AE10" i="19"/>
  <c r="Q10" i="19"/>
  <c r="AD10" i="19"/>
  <c r="P10" i="19"/>
  <c r="U10" i="19"/>
  <c r="T10" i="19"/>
  <c r="S10" i="19"/>
  <c r="R10" i="19"/>
  <c r="G10" i="19"/>
  <c r="AG10" i="19"/>
  <c r="AF10" i="19"/>
  <c r="H44" i="19"/>
  <c r="L44" i="19"/>
  <c r="G2" i="19"/>
  <c r="S18" i="19"/>
  <c r="Y41" i="19"/>
  <c r="M41" i="19"/>
  <c r="AB41" i="19"/>
  <c r="N41" i="19"/>
  <c r="V41" i="19"/>
  <c r="H41" i="19"/>
  <c r="U41" i="19"/>
  <c r="G41" i="19"/>
  <c r="W41" i="19"/>
  <c r="T41" i="19"/>
  <c r="S41" i="19"/>
  <c r="R41" i="19"/>
  <c r="P41" i="19"/>
  <c r="O41" i="19"/>
  <c r="AH41" i="19"/>
  <c r="L41" i="19"/>
  <c r="AG41" i="19"/>
  <c r="K41" i="19"/>
  <c r="Z41" i="19"/>
  <c r="X41" i="19"/>
  <c r="Q53" i="19"/>
  <c r="P6" i="19"/>
  <c r="AB78" i="19"/>
  <c r="P78" i="19"/>
  <c r="AA78" i="19"/>
  <c r="O78" i="19"/>
  <c r="Z78" i="19"/>
  <c r="N78" i="19"/>
  <c r="AF78" i="19"/>
  <c r="T78" i="19"/>
  <c r="H78" i="19"/>
  <c r="AE78" i="19"/>
  <c r="S78" i="19"/>
  <c r="G78" i="19"/>
  <c r="M78" i="19"/>
  <c r="AH78" i="19"/>
  <c r="L78" i="19"/>
  <c r="AG78" i="19"/>
  <c r="AC78" i="19"/>
  <c r="Y78" i="19"/>
  <c r="R78" i="19"/>
  <c r="X78" i="19"/>
  <c r="K78" i="19"/>
  <c r="J78" i="19"/>
  <c r="AD78" i="19"/>
  <c r="W78" i="19"/>
  <c r="V78" i="19"/>
  <c r="U78" i="19"/>
  <c r="Q78" i="19"/>
  <c r="I78" i="19"/>
  <c r="X2" i="19"/>
  <c r="O3" i="19"/>
  <c r="AE6" i="19"/>
  <c r="P14" i="19"/>
  <c r="AB48" i="19"/>
  <c r="P48" i="19"/>
  <c r="AG48" i="19"/>
  <c r="T48" i="19"/>
  <c r="G48" i="19"/>
  <c r="AF48" i="19"/>
  <c r="S48" i="19"/>
  <c r="AA48" i="19"/>
  <c r="N48" i="19"/>
  <c r="AE48" i="19"/>
  <c r="M48" i="19"/>
  <c r="X48" i="19"/>
  <c r="H48" i="19"/>
  <c r="W48" i="19"/>
  <c r="AH48" i="19"/>
  <c r="J48" i="19"/>
  <c r="AD48" i="19"/>
  <c r="I48" i="19"/>
  <c r="V48" i="19"/>
  <c r="U48" i="19"/>
  <c r="R48" i="19"/>
  <c r="Q48" i="19"/>
  <c r="O48" i="19"/>
  <c r="L48" i="19"/>
  <c r="Z48" i="19"/>
  <c r="Y48" i="19"/>
  <c r="AE2" i="19"/>
  <c r="X3" i="19"/>
  <c r="AH18" i="19"/>
  <c r="V18" i="19"/>
  <c r="J18" i="19"/>
  <c r="W18" i="19"/>
  <c r="I18" i="19"/>
  <c r="AD18" i="19"/>
  <c r="P18" i="19"/>
  <c r="AC18" i="19"/>
  <c r="O18" i="19"/>
  <c r="AB18" i="19"/>
  <c r="N18" i="19"/>
  <c r="AA18" i="19"/>
  <c r="M18" i="19"/>
  <c r="Z18" i="19"/>
  <c r="L18" i="19"/>
  <c r="Y18" i="19"/>
  <c r="K18" i="19"/>
  <c r="AF18" i="19"/>
  <c r="R18" i="19"/>
  <c r="AE18" i="19"/>
  <c r="Q18" i="19"/>
  <c r="J59" i="19"/>
  <c r="I59" i="19"/>
  <c r="AH2" i="19"/>
  <c r="V2" i="19"/>
  <c r="J2" i="19"/>
  <c r="AB2" i="19"/>
  <c r="O2" i="19"/>
  <c r="AA2" i="19"/>
  <c r="N2" i="19"/>
  <c r="Z2" i="19"/>
  <c r="M2" i="19"/>
  <c r="Y2" i="19"/>
  <c r="L2" i="19"/>
  <c r="W2" i="19"/>
  <c r="I2" i="19"/>
  <c r="AD2" i="19"/>
  <c r="Q2" i="19"/>
  <c r="AC2" i="19"/>
  <c r="P2" i="19"/>
  <c r="AG2" i="19"/>
  <c r="G18" i="19"/>
  <c r="AB24" i="19"/>
  <c r="P24" i="19"/>
  <c r="AH24" i="19"/>
  <c r="V24" i="19"/>
  <c r="AG24" i="19"/>
  <c r="S24" i="19"/>
  <c r="AC24" i="19"/>
  <c r="M24" i="19"/>
  <c r="AA24" i="19"/>
  <c r="L24" i="19"/>
  <c r="Z24" i="19"/>
  <c r="K24" i="19"/>
  <c r="Y24" i="19"/>
  <c r="J24" i="19"/>
  <c r="X24" i="19"/>
  <c r="I24" i="19"/>
  <c r="W24" i="19"/>
  <c r="H24" i="19"/>
  <c r="AE24" i="19"/>
  <c r="O24" i="19"/>
  <c r="AD24" i="19"/>
  <c r="N24" i="19"/>
  <c r="AC48" i="19"/>
  <c r="AH6" i="19"/>
  <c r="V6" i="19"/>
  <c r="J6" i="19"/>
  <c r="Z6" i="19"/>
  <c r="M6" i="19"/>
  <c r="Y6" i="19"/>
  <c r="L6" i="19"/>
  <c r="X6" i="19"/>
  <c r="K6" i="19"/>
  <c r="W6" i="19"/>
  <c r="I6" i="19"/>
  <c r="U6" i="19"/>
  <c r="H6" i="19"/>
  <c r="AG6" i="19"/>
  <c r="T6" i="19"/>
  <c r="G6" i="19"/>
  <c r="AB6" i="19"/>
  <c r="O6" i="19"/>
  <c r="AA6" i="19"/>
  <c r="N6" i="19"/>
  <c r="AH46" i="19"/>
  <c r="V46" i="19"/>
  <c r="AG46" i="19"/>
  <c r="T46" i="19"/>
  <c r="H46" i="19"/>
  <c r="AC46" i="19"/>
  <c r="P46" i="19"/>
  <c r="AF46" i="19"/>
  <c r="Q46" i="19"/>
  <c r="Z46" i="19"/>
  <c r="K46" i="19"/>
  <c r="Y46" i="19"/>
  <c r="J46" i="19"/>
  <c r="N46" i="19"/>
  <c r="M46" i="19"/>
  <c r="S46" i="19"/>
  <c r="R46" i="19"/>
  <c r="O46" i="19"/>
  <c r="L46" i="19"/>
  <c r="I46" i="19"/>
  <c r="AE46" i="19"/>
  <c r="G46" i="19"/>
  <c r="W46" i="19"/>
  <c r="U46" i="19"/>
  <c r="K49" i="19"/>
  <c r="J49" i="19"/>
  <c r="I3" i="19"/>
  <c r="V3" i="19"/>
  <c r="H5" i="19"/>
  <c r="U5" i="19"/>
  <c r="AH5" i="19"/>
  <c r="G7" i="19"/>
  <c r="T7" i="19"/>
  <c r="AG7" i="19"/>
  <c r="AE9" i="19"/>
  <c r="S9" i="19"/>
  <c r="G9" i="19"/>
  <c r="AH9" i="19"/>
  <c r="U9" i="19"/>
  <c r="H9" i="19"/>
  <c r="T9" i="19"/>
  <c r="K11" i="19"/>
  <c r="Z11" i="19"/>
  <c r="T12" i="19"/>
  <c r="AH12" i="19"/>
  <c r="I14" i="19"/>
  <c r="X14" i="19"/>
  <c r="S15" i="19"/>
  <c r="AG15" i="19"/>
  <c r="H17" i="19"/>
  <c r="V17" i="19"/>
  <c r="K19" i="19"/>
  <c r="T20" i="19"/>
  <c r="L22" i="19"/>
  <c r="Z22" i="19"/>
  <c r="G23" i="19"/>
  <c r="U23" i="19"/>
  <c r="L25" i="19"/>
  <c r="K26" i="19"/>
  <c r="Z26" i="19"/>
  <c r="H27" i="19"/>
  <c r="W27" i="19"/>
  <c r="W28" i="19"/>
  <c r="Z29" i="19"/>
  <c r="AF30" i="19"/>
  <c r="R30" i="19"/>
  <c r="W30" i="19"/>
  <c r="W31" i="19"/>
  <c r="Y32" i="19"/>
  <c r="T33" i="19"/>
  <c r="X33" i="19"/>
  <c r="S34" i="19"/>
  <c r="P34" i="19"/>
  <c r="Z34" i="19"/>
  <c r="H35" i="19"/>
  <c r="AC35" i="19"/>
  <c r="K36" i="19"/>
  <c r="AF36" i="19"/>
  <c r="AF38" i="19"/>
  <c r="T38" i="19"/>
  <c r="H38" i="19"/>
  <c r="AH38" i="19"/>
  <c r="U38" i="19"/>
  <c r="G38" i="19"/>
  <c r="AB38" i="19"/>
  <c r="O38" i="19"/>
  <c r="AA38" i="19"/>
  <c r="N38" i="19"/>
  <c r="Q38" i="19"/>
  <c r="AG38" i="19"/>
  <c r="P38" i="19"/>
  <c r="Y38" i="19"/>
  <c r="L39" i="19"/>
  <c r="AE39" i="19"/>
  <c r="AA42" i="19"/>
  <c r="O43" i="19"/>
  <c r="I45" i="19"/>
  <c r="AH45" i="19"/>
  <c r="J47" i="19"/>
  <c r="N51" i="19"/>
  <c r="AD52" i="19"/>
  <c r="AH54" i="19"/>
  <c r="V54" i="19"/>
  <c r="J54" i="19"/>
  <c r="AD54" i="19"/>
  <c r="Q54" i="19"/>
  <c r="AC54" i="19"/>
  <c r="P54" i="19"/>
  <c r="Y54" i="19"/>
  <c r="L54" i="19"/>
  <c r="AF54" i="19"/>
  <c r="N54" i="19"/>
  <c r="X54" i="19"/>
  <c r="G54" i="19"/>
  <c r="W54" i="19"/>
  <c r="AB54" i="19"/>
  <c r="K54" i="19"/>
  <c r="AG54" i="19"/>
  <c r="I54" i="19"/>
  <c r="N57" i="19"/>
  <c r="J3" i="19"/>
  <c r="W3" i="19"/>
  <c r="I5" i="19"/>
  <c r="V5" i="19"/>
  <c r="H7" i="19"/>
  <c r="U7" i="19"/>
  <c r="AH7" i="19"/>
  <c r="V9" i="19"/>
  <c r="L11" i="19"/>
  <c r="AA11" i="19"/>
  <c r="G12" i="19"/>
  <c r="U12" i="19"/>
  <c r="K14" i="19"/>
  <c r="Z14" i="19"/>
  <c r="T15" i="19"/>
  <c r="AH15" i="19"/>
  <c r="I17" i="19"/>
  <c r="W17" i="19"/>
  <c r="L19" i="19"/>
  <c r="AA19" i="19"/>
  <c r="G20" i="19"/>
  <c r="V20" i="19"/>
  <c r="M22" i="19"/>
  <c r="AA22" i="19"/>
  <c r="H23" i="19"/>
  <c r="V23" i="19"/>
  <c r="N25" i="19"/>
  <c r="AD25" i="19"/>
  <c r="L26" i="19"/>
  <c r="AA26" i="19"/>
  <c r="I27" i="19"/>
  <c r="X27" i="19"/>
  <c r="G28" i="19"/>
  <c r="X28" i="19"/>
  <c r="H29" i="19"/>
  <c r="AA29" i="19"/>
  <c r="H31" i="19"/>
  <c r="X31" i="19"/>
  <c r="G32" i="19"/>
  <c r="Z32" i="19"/>
  <c r="H33" i="19"/>
  <c r="I35" i="19"/>
  <c r="AE35" i="19"/>
  <c r="L36" i="19"/>
  <c r="Z38" i="19"/>
  <c r="M39" i="19"/>
  <c r="AF39" i="19"/>
  <c r="P43" i="19"/>
  <c r="L45" i="19"/>
  <c r="K47" i="19"/>
  <c r="O51" i="19"/>
  <c r="AG52" i="19"/>
  <c r="N52" i="19"/>
  <c r="X52" i="19"/>
  <c r="H52" i="19"/>
  <c r="W52" i="19"/>
  <c r="G52" i="19"/>
  <c r="M52" i="19"/>
  <c r="T52" i="19"/>
  <c r="S52" i="19"/>
  <c r="U53" i="19"/>
  <c r="T53" i="19"/>
  <c r="AG68" i="19"/>
  <c r="U68" i="19"/>
  <c r="I68" i="19"/>
  <c r="Z68" i="19"/>
  <c r="N68" i="19"/>
  <c r="X68" i="19"/>
  <c r="J68" i="19"/>
  <c r="AF68" i="19"/>
  <c r="R68" i="19"/>
  <c r="AA68" i="19"/>
  <c r="L68" i="19"/>
  <c r="AB68" i="19"/>
  <c r="G68" i="19"/>
  <c r="Y68" i="19"/>
  <c r="S68" i="19"/>
  <c r="T68" i="19"/>
  <c r="Q68" i="19"/>
  <c r="O68" i="19"/>
  <c r="K68" i="19"/>
  <c r="W68" i="19"/>
  <c r="V68" i="19"/>
  <c r="AH68" i="19"/>
  <c r="AE68" i="19"/>
  <c r="AD68" i="19"/>
  <c r="AC68" i="19"/>
  <c r="P68" i="19"/>
  <c r="P3" i="19"/>
  <c r="N5" i="19"/>
  <c r="AA5" i="19"/>
  <c r="N7" i="19"/>
  <c r="AA7" i="19"/>
  <c r="M9" i="19"/>
  <c r="R11" i="19"/>
  <c r="M12" i="19"/>
  <c r="Q14" i="19"/>
  <c r="K15" i="19"/>
  <c r="N17" i="19"/>
  <c r="AB17" i="19"/>
  <c r="Y19" i="19"/>
  <c r="M19" i="19"/>
  <c r="AC19" i="19"/>
  <c r="P19" i="19"/>
  <c r="S19" i="19"/>
  <c r="AG19" i="19"/>
  <c r="M20" i="19"/>
  <c r="R22" i="19"/>
  <c r="O23" i="19"/>
  <c r="AC23" i="19"/>
  <c r="AE25" i="19"/>
  <c r="S25" i="19"/>
  <c r="G25" i="19"/>
  <c r="Y25" i="19"/>
  <c r="M25" i="19"/>
  <c r="AC25" i="19"/>
  <c r="O25" i="19"/>
  <c r="U25" i="19"/>
  <c r="R26" i="19"/>
  <c r="O27" i="19"/>
  <c r="AD27" i="19"/>
  <c r="O28" i="19"/>
  <c r="P29" i="19"/>
  <c r="M30" i="19"/>
  <c r="P31" i="19"/>
  <c r="O32" i="19"/>
  <c r="O33" i="19"/>
  <c r="U45" i="19"/>
  <c r="T47" i="19"/>
  <c r="AE49" i="19"/>
  <c r="S49" i="19"/>
  <c r="G49" i="19"/>
  <c r="Z49" i="19"/>
  <c r="M49" i="19"/>
  <c r="Y49" i="19"/>
  <c r="L49" i="19"/>
  <c r="AH49" i="19"/>
  <c r="U49" i="19"/>
  <c r="H49" i="19"/>
  <c r="AG49" i="19"/>
  <c r="P49" i="19"/>
  <c r="AA49" i="19"/>
  <c r="I49" i="19"/>
  <c r="X49" i="19"/>
  <c r="T49" i="19"/>
  <c r="R49" i="19"/>
  <c r="AF49" i="19"/>
  <c r="U52" i="19"/>
  <c r="Y11" i="19"/>
  <c r="M11" i="19"/>
  <c r="AG11" i="19"/>
  <c r="T11" i="19"/>
  <c r="G11" i="19"/>
  <c r="S11" i="19"/>
  <c r="AH11" i="19"/>
  <c r="T19" i="19"/>
  <c r="AH19" i="19"/>
  <c r="AH22" i="19"/>
  <c r="V22" i="19"/>
  <c r="J22" i="19"/>
  <c r="AG22" i="19"/>
  <c r="T22" i="19"/>
  <c r="G22" i="19"/>
  <c r="S22" i="19"/>
  <c r="P23" i="19"/>
  <c r="V25" i="19"/>
  <c r="P27" i="19"/>
  <c r="Z36" i="19"/>
  <c r="N36" i="19"/>
  <c r="V36" i="19"/>
  <c r="I36" i="19"/>
  <c r="AD36" i="19"/>
  <c r="Q36" i="19"/>
  <c r="AC36" i="19"/>
  <c r="P36" i="19"/>
  <c r="AH36" i="19"/>
  <c r="R36" i="19"/>
  <c r="AG36" i="19"/>
  <c r="O36" i="19"/>
  <c r="X36" i="19"/>
  <c r="W43" i="19"/>
  <c r="K43" i="19"/>
  <c r="AE43" i="19"/>
  <c r="S43" i="19"/>
  <c r="G43" i="19"/>
  <c r="AG43" i="19"/>
  <c r="R43" i="19"/>
  <c r="AA43" i="19"/>
  <c r="M43" i="19"/>
  <c r="Z43" i="19"/>
  <c r="L43" i="19"/>
  <c r="AB43" i="19"/>
  <c r="H43" i="19"/>
  <c r="Y43" i="19"/>
  <c r="AC43" i="19"/>
  <c r="Y3" i="19"/>
  <c r="M3" i="19"/>
  <c r="R3" i="19"/>
  <c r="AE3" i="19"/>
  <c r="U11" i="19"/>
  <c r="AH14" i="19"/>
  <c r="V14" i="19"/>
  <c r="J14" i="19"/>
  <c r="Y14" i="19"/>
  <c r="L14" i="19"/>
  <c r="S14" i="19"/>
  <c r="AG14" i="19"/>
  <c r="G19" i="19"/>
  <c r="U19" i="19"/>
  <c r="U22" i="19"/>
  <c r="H25" i="19"/>
  <c r="W25" i="19"/>
  <c r="AH26" i="19"/>
  <c r="V26" i="19"/>
  <c r="J26" i="19"/>
  <c r="AB26" i="19"/>
  <c r="P26" i="19"/>
  <c r="X26" i="19"/>
  <c r="I26" i="19"/>
  <c r="T26" i="19"/>
  <c r="Q27" i="19"/>
  <c r="R28" i="19"/>
  <c r="R31" i="19"/>
  <c r="R32" i="19"/>
  <c r="Y36" i="19"/>
  <c r="W39" i="19"/>
  <c r="K39" i="19"/>
  <c r="AA39" i="19"/>
  <c r="N39" i="19"/>
  <c r="AH39" i="19"/>
  <c r="U39" i="19"/>
  <c r="H39" i="19"/>
  <c r="AG39" i="19"/>
  <c r="T39" i="19"/>
  <c r="G39" i="19"/>
  <c r="R39" i="19"/>
  <c r="Q39" i="19"/>
  <c r="Z39" i="19"/>
  <c r="AD43" i="19"/>
  <c r="AH84" i="19"/>
  <c r="V84" i="19"/>
  <c r="J84" i="19"/>
  <c r="AG84" i="19"/>
  <c r="U84" i="19"/>
  <c r="I84" i="19"/>
  <c r="AF84" i="19"/>
  <c r="T84" i="19"/>
  <c r="H84" i="19"/>
  <c r="Z84" i="19"/>
  <c r="N84" i="19"/>
  <c r="Y84" i="19"/>
  <c r="M84" i="19"/>
  <c r="X84" i="19"/>
  <c r="W84" i="19"/>
  <c r="S84" i="19"/>
  <c r="R84" i="19"/>
  <c r="Q84" i="19"/>
  <c r="P84" i="19"/>
  <c r="AB84" i="19"/>
  <c r="AE84" i="19"/>
  <c r="AD84" i="19"/>
  <c r="AC84" i="19"/>
  <c r="AA84" i="19"/>
  <c r="O84" i="19"/>
  <c r="L84" i="19"/>
  <c r="K84" i="19"/>
  <c r="G84" i="19"/>
  <c r="S3" i="19"/>
  <c r="AF3" i="19"/>
  <c r="Q5" i="19"/>
  <c r="Q7" i="19"/>
  <c r="H11" i="19"/>
  <c r="V11" i="19"/>
  <c r="T14" i="19"/>
  <c r="R17" i="19"/>
  <c r="H19" i="19"/>
  <c r="V19" i="19"/>
  <c r="H22" i="19"/>
  <c r="W22" i="19"/>
  <c r="R23" i="19"/>
  <c r="I25" i="19"/>
  <c r="X25" i="19"/>
  <c r="U26" i="19"/>
  <c r="R27" i="19"/>
  <c r="S28" i="19"/>
  <c r="T31" i="19"/>
  <c r="S32" i="19"/>
  <c r="R33" i="19"/>
  <c r="W35" i="19"/>
  <c r="K35" i="19"/>
  <c r="AD35" i="19"/>
  <c r="Q35" i="19"/>
  <c r="Y35" i="19"/>
  <c r="L35" i="19"/>
  <c r="X35" i="19"/>
  <c r="J35" i="19"/>
  <c r="S35" i="19"/>
  <c r="AH35" i="19"/>
  <c r="R35" i="19"/>
  <c r="Z35" i="19"/>
  <c r="G36" i="19"/>
  <c r="AA36" i="19"/>
  <c r="AB39" i="19"/>
  <c r="I43" i="19"/>
  <c r="AF43" i="19"/>
  <c r="AC45" i="19"/>
  <c r="L70" i="19"/>
  <c r="AH70" i="19"/>
  <c r="K70" i="19"/>
  <c r="V70" i="19"/>
  <c r="U70" i="19"/>
  <c r="R70" i="19"/>
  <c r="J70" i="19"/>
  <c r="AB70" i="19"/>
  <c r="X70" i="19"/>
  <c r="AE70" i="19"/>
  <c r="AC70" i="19"/>
  <c r="S70" i="19"/>
  <c r="G3" i="19"/>
  <c r="T3" i="19"/>
  <c r="AG3" i="19"/>
  <c r="AE5" i="19"/>
  <c r="S5" i="19"/>
  <c r="G5" i="19"/>
  <c r="R5" i="19"/>
  <c r="AF5" i="19"/>
  <c r="Y7" i="19"/>
  <c r="M7" i="19"/>
  <c r="R7" i="19"/>
  <c r="AE7" i="19"/>
  <c r="I11" i="19"/>
  <c r="W11" i="19"/>
  <c r="G14" i="19"/>
  <c r="U14" i="19"/>
  <c r="AE17" i="19"/>
  <c r="S17" i="19"/>
  <c r="G17" i="19"/>
  <c r="AC17" i="19"/>
  <c r="P17" i="19"/>
  <c r="T17" i="19"/>
  <c r="AH17" i="19"/>
  <c r="I19" i="19"/>
  <c r="W19" i="19"/>
  <c r="I22" i="19"/>
  <c r="X22" i="19"/>
  <c r="Y23" i="19"/>
  <c r="M23" i="19"/>
  <c r="AA23" i="19"/>
  <c r="N23" i="19"/>
  <c r="S23" i="19"/>
  <c r="AG23" i="19"/>
  <c r="J25" i="19"/>
  <c r="Z25" i="19"/>
  <c r="G26" i="19"/>
  <c r="W26" i="19"/>
  <c r="H36" i="19"/>
  <c r="AB36" i="19"/>
  <c r="I39" i="19"/>
  <c r="AC39" i="19"/>
  <c r="J43" i="19"/>
  <c r="AH43" i="19"/>
  <c r="Y45" i="19"/>
  <c r="M45" i="19"/>
  <c r="V45" i="19"/>
  <c r="H45" i="19"/>
  <c r="AE45" i="19"/>
  <c r="P45" i="19"/>
  <c r="AD45" i="19"/>
  <c r="O45" i="19"/>
  <c r="AF45" i="19"/>
  <c r="K45" i="19"/>
  <c r="AB45" i="19"/>
  <c r="J45" i="19"/>
  <c r="AA45" i="19"/>
  <c r="Y47" i="19"/>
  <c r="M47" i="19"/>
  <c r="AB47" i="19"/>
  <c r="O47" i="19"/>
  <c r="AA47" i="19"/>
  <c r="N47" i="19"/>
  <c r="V47" i="19"/>
  <c r="I47" i="19"/>
  <c r="AG47" i="19"/>
  <c r="Q47" i="19"/>
  <c r="Z47" i="19"/>
  <c r="H47" i="19"/>
  <c r="X47" i="19"/>
  <c r="G47" i="19"/>
  <c r="W47" i="19"/>
  <c r="U47" i="19"/>
  <c r="AF47" i="19"/>
  <c r="Y51" i="19"/>
  <c r="M51" i="19"/>
  <c r="Z51" i="19"/>
  <c r="L51" i="19"/>
  <c r="X51" i="19"/>
  <c r="K51" i="19"/>
  <c r="AG51" i="19"/>
  <c r="T51" i="19"/>
  <c r="G51" i="19"/>
  <c r="AH51" i="19"/>
  <c r="Q51" i="19"/>
  <c r="AB51" i="19"/>
  <c r="I51" i="19"/>
  <c r="AA51" i="19"/>
  <c r="H51" i="19"/>
  <c r="AC51" i="19"/>
  <c r="AF51" i="19"/>
  <c r="J51" i="19"/>
  <c r="AE51" i="19"/>
  <c r="R57" i="19"/>
  <c r="AB57" i="19"/>
  <c r="Z57" i="19"/>
  <c r="Y57" i="19"/>
  <c r="K57" i="19"/>
  <c r="AG57" i="19"/>
  <c r="J57" i="19"/>
  <c r="I70" i="19"/>
  <c r="H3" i="19"/>
  <c r="U3" i="19"/>
  <c r="AH3" i="19"/>
  <c r="T5" i="19"/>
  <c r="AG5" i="19"/>
  <c r="S7" i="19"/>
  <c r="AF7" i="19"/>
  <c r="J11" i="19"/>
  <c r="X11" i="19"/>
  <c r="AB12" i="19"/>
  <c r="P12" i="19"/>
  <c r="Y12" i="19"/>
  <c r="L12" i="19"/>
  <c r="S12" i="19"/>
  <c r="AG12" i="19"/>
  <c r="H14" i="19"/>
  <c r="W14" i="19"/>
  <c r="U17" i="19"/>
  <c r="J19" i="19"/>
  <c r="AB20" i="19"/>
  <c r="P20" i="19"/>
  <c r="AH20" i="19"/>
  <c r="U20" i="19"/>
  <c r="H20" i="19"/>
  <c r="S20" i="19"/>
  <c r="AG20" i="19"/>
  <c r="K22" i="19"/>
  <c r="Y22" i="19"/>
  <c r="T23" i="19"/>
  <c r="AH23" i="19"/>
  <c r="K25" i="19"/>
  <c r="H26" i="19"/>
  <c r="Y26" i="19"/>
  <c r="V27" i="19"/>
  <c r="AB28" i="19"/>
  <c r="P28" i="19"/>
  <c r="AH28" i="19"/>
  <c r="V28" i="19"/>
  <c r="J28" i="19"/>
  <c r="AC28" i="19"/>
  <c r="N28" i="19"/>
  <c r="AA28" i="19"/>
  <c r="M28" i="19"/>
  <c r="U28" i="19"/>
  <c r="AE29" i="19"/>
  <c r="S29" i="19"/>
  <c r="G29" i="19"/>
  <c r="Y29" i="19"/>
  <c r="M29" i="19"/>
  <c r="X29" i="19"/>
  <c r="J29" i="19"/>
  <c r="W29" i="19"/>
  <c r="I29" i="19"/>
  <c r="V29" i="19"/>
  <c r="Y31" i="19"/>
  <c r="M31" i="19"/>
  <c r="AE31" i="19"/>
  <c r="S31" i="19"/>
  <c r="G31" i="19"/>
  <c r="AC31" i="19"/>
  <c r="O31" i="19"/>
  <c r="AB31" i="19"/>
  <c r="N31" i="19"/>
  <c r="V31" i="19"/>
  <c r="AB32" i="19"/>
  <c r="P32" i="19"/>
  <c r="AH32" i="19"/>
  <c r="V32" i="19"/>
  <c r="J32" i="19"/>
  <c r="X32" i="19"/>
  <c r="I32" i="19"/>
  <c r="W32" i="19"/>
  <c r="H32" i="19"/>
  <c r="U32" i="19"/>
  <c r="G35" i="19"/>
  <c r="AB35" i="19"/>
  <c r="J36" i="19"/>
  <c r="AE36" i="19"/>
  <c r="J39" i="19"/>
  <c r="AD39" i="19"/>
  <c r="N43" i="19"/>
  <c r="G45" i="19"/>
  <c r="AG45" i="19"/>
  <c r="AH47" i="19"/>
  <c r="L57" i="19"/>
  <c r="X65" i="19"/>
  <c r="L65" i="19"/>
  <c r="AB65" i="19"/>
  <c r="V65" i="19"/>
  <c r="I65" i="19"/>
  <c r="AD65" i="19"/>
  <c r="Q65" i="19"/>
  <c r="W65" i="19"/>
  <c r="G65" i="19"/>
  <c r="U65" i="19"/>
  <c r="AG65" i="19"/>
  <c r="P65" i="19"/>
  <c r="R65" i="19"/>
  <c r="O65" i="19"/>
  <c r="AH65" i="19"/>
  <c r="M65" i="19"/>
  <c r="AE65" i="19"/>
  <c r="J65" i="19"/>
  <c r="T65" i="19"/>
  <c r="S65" i="19"/>
  <c r="Y65" i="19"/>
  <c r="N65" i="19"/>
  <c r="K65" i="19"/>
  <c r="H65" i="19"/>
  <c r="AA65" i="19"/>
  <c r="Z65" i="19"/>
  <c r="P70" i="19"/>
  <c r="W61" i="19"/>
  <c r="Y63" i="19"/>
  <c r="M63" i="19"/>
  <c r="AF63" i="19"/>
  <c r="T63" i="19"/>
  <c r="H63" i="19"/>
  <c r="AD63" i="19"/>
  <c r="P63" i="19"/>
  <c r="AC63" i="19"/>
  <c r="O63" i="19"/>
  <c r="X63" i="19"/>
  <c r="J63" i="19"/>
  <c r="AE63" i="19"/>
  <c r="K63" i="19"/>
  <c r="AB63" i="19"/>
  <c r="I63" i="19"/>
  <c r="Z63" i="19"/>
  <c r="V63" i="19"/>
  <c r="AH63" i="19"/>
  <c r="N63" i="19"/>
  <c r="AG63" i="19"/>
  <c r="L63" i="19"/>
  <c r="AE13" i="19"/>
  <c r="S13" i="19"/>
  <c r="G13" i="19"/>
  <c r="R13" i="19"/>
  <c r="AF13" i="19"/>
  <c r="Y15" i="19"/>
  <c r="M15" i="19"/>
  <c r="R15" i="19"/>
  <c r="AE15" i="19"/>
  <c r="Y27" i="19"/>
  <c r="M27" i="19"/>
  <c r="AE27" i="19"/>
  <c r="S27" i="19"/>
  <c r="G27" i="19"/>
  <c r="T27" i="19"/>
  <c r="AH27" i="19"/>
  <c r="AH30" i="19"/>
  <c r="V30" i="19"/>
  <c r="J30" i="19"/>
  <c r="AB30" i="19"/>
  <c r="P30" i="19"/>
  <c r="S30" i="19"/>
  <c r="AG30" i="19"/>
  <c r="AE33" i="19"/>
  <c r="S33" i="19"/>
  <c r="G33" i="19"/>
  <c r="Z33" i="19"/>
  <c r="N33" i="19"/>
  <c r="Y33" i="19"/>
  <c r="M33" i="19"/>
  <c r="U33" i="19"/>
  <c r="AF42" i="19"/>
  <c r="T42" i="19"/>
  <c r="H42" i="19"/>
  <c r="AB42" i="19"/>
  <c r="P42" i="19"/>
  <c r="W42" i="19"/>
  <c r="I42" i="19"/>
  <c r="AE42" i="19"/>
  <c r="Q42" i="19"/>
  <c r="AD42" i="19"/>
  <c r="O42" i="19"/>
  <c r="X42" i="19"/>
  <c r="G55" i="19"/>
  <c r="N64" i="19"/>
  <c r="M64" i="19"/>
  <c r="O64" i="19"/>
  <c r="Y67" i="19"/>
  <c r="J67" i="19"/>
  <c r="H67" i="19"/>
  <c r="M67" i="19"/>
  <c r="L67" i="19"/>
  <c r="W57" i="19"/>
  <c r="P67" i="19"/>
  <c r="Q34" i="19"/>
  <c r="X53" i="19"/>
  <c r="K53" i="19"/>
  <c r="Y53" i="19"/>
  <c r="W55" i="19"/>
  <c r="J55" i="19"/>
  <c r="X55" i="19"/>
  <c r="AB56" i="19"/>
  <c r="P56" i="19"/>
  <c r="AC56" i="19"/>
  <c r="O56" i="19"/>
  <c r="AA56" i="19"/>
  <c r="N56" i="19"/>
  <c r="W56" i="19"/>
  <c r="J56" i="19"/>
  <c r="U56" i="19"/>
  <c r="AH58" i="19"/>
  <c r="V58" i="19"/>
  <c r="J58" i="19"/>
  <c r="AB58" i="19"/>
  <c r="O58" i="19"/>
  <c r="AA58" i="19"/>
  <c r="N58" i="19"/>
  <c r="W58" i="19"/>
  <c r="I58" i="19"/>
  <c r="U58" i="19"/>
  <c r="Y59" i="19"/>
  <c r="M59" i="19"/>
  <c r="AF59" i="19"/>
  <c r="T59" i="19"/>
  <c r="V59" i="19"/>
  <c r="H59" i="19"/>
  <c r="U59" i="19"/>
  <c r="G59" i="19"/>
  <c r="AD59" i="19"/>
  <c r="P59" i="19"/>
  <c r="X59" i="19"/>
  <c r="X60" i="19"/>
  <c r="H61" i="19"/>
  <c r="AB61" i="19"/>
  <c r="V66" i="19"/>
  <c r="AB66" i="19"/>
  <c r="K69" i="19"/>
  <c r="J72" i="19"/>
  <c r="M74" i="19"/>
  <c r="X80" i="19"/>
  <c r="W80" i="19"/>
  <c r="R80" i="19"/>
  <c r="AD80" i="19"/>
  <c r="P80" i="19"/>
  <c r="O80" i="19"/>
  <c r="T81" i="19"/>
  <c r="AF34" i="19"/>
  <c r="T34" i="19"/>
  <c r="H34" i="19"/>
  <c r="R34" i="19"/>
  <c r="AE34" i="19"/>
  <c r="AE57" i="19"/>
  <c r="S57" i="19"/>
  <c r="G57" i="19"/>
  <c r="V57" i="19"/>
  <c r="I57" i="19"/>
  <c r="AH57" i="19"/>
  <c r="U57" i="19"/>
  <c r="H57" i="19"/>
  <c r="AC57" i="19"/>
  <c r="P57" i="19"/>
  <c r="X57" i="19"/>
  <c r="G60" i="19"/>
  <c r="Z60" i="19"/>
  <c r="I61" i="19"/>
  <c r="AC61" i="19"/>
  <c r="AD66" i="19"/>
  <c r="N69" i="19"/>
  <c r="L72" i="19"/>
  <c r="Q74" i="19"/>
  <c r="K80" i="19"/>
  <c r="K34" i="19"/>
  <c r="X34" i="19"/>
  <c r="O53" i="19"/>
  <c r="AG53" i="19"/>
  <c r="O55" i="19"/>
  <c r="AF55" i="19"/>
  <c r="L56" i="19"/>
  <c r="AE56" i="19"/>
  <c r="M57" i="19"/>
  <c r="AD57" i="19"/>
  <c r="M58" i="19"/>
  <c r="AE58" i="19"/>
  <c r="N59" i="19"/>
  <c r="AG59" i="19"/>
  <c r="N60" i="19"/>
  <c r="AH60" i="19"/>
  <c r="Q61" i="19"/>
  <c r="Z64" i="19"/>
  <c r="J64" i="19"/>
  <c r="Y64" i="19"/>
  <c r="I64" i="19"/>
  <c r="AA64" i="19"/>
  <c r="U61" i="19"/>
  <c r="W88" i="19"/>
  <c r="S88" i="19"/>
  <c r="R88" i="19"/>
  <c r="Q88" i="19"/>
  <c r="P88" i="19"/>
  <c r="X88" i="19"/>
  <c r="AE88" i="19"/>
  <c r="AD88" i="19"/>
  <c r="AC88" i="19"/>
  <c r="G88" i="19"/>
  <c r="X69" i="19"/>
  <c r="L69" i="19"/>
  <c r="AG69" i="19"/>
  <c r="S69" i="19"/>
  <c r="AA69" i="19"/>
  <c r="M69" i="19"/>
  <c r="U69" i="19"/>
  <c r="G69" i="19"/>
  <c r="AD69" i="19"/>
  <c r="J69" i="19"/>
  <c r="AB69" i="19"/>
  <c r="I69" i="19"/>
  <c r="V69" i="19"/>
  <c r="AF69" i="19"/>
  <c r="AG72" i="19"/>
  <c r="U72" i="19"/>
  <c r="I72" i="19"/>
  <c r="AF72" i="19"/>
  <c r="T72" i="19"/>
  <c r="H72" i="19"/>
  <c r="Z72" i="19"/>
  <c r="N72" i="19"/>
  <c r="X72" i="19"/>
  <c r="G72" i="19"/>
  <c r="W72" i="19"/>
  <c r="AH72" i="19"/>
  <c r="Q72" i="19"/>
  <c r="AA72" i="19"/>
  <c r="K72" i="19"/>
  <c r="P72" i="19"/>
  <c r="O72" i="19"/>
  <c r="AD72" i="19"/>
  <c r="V74" i="19"/>
  <c r="L74" i="19"/>
  <c r="K74" i="19"/>
  <c r="AC74" i="19"/>
  <c r="Y81" i="19"/>
  <c r="M81" i="19"/>
  <c r="X81" i="19"/>
  <c r="L81" i="19"/>
  <c r="W81" i="19"/>
  <c r="K81" i="19"/>
  <c r="AB81" i="19"/>
  <c r="P81" i="19"/>
  <c r="AE81" i="19"/>
  <c r="I81" i="19"/>
  <c r="AD81" i="19"/>
  <c r="H81" i="19"/>
  <c r="AA81" i="19"/>
  <c r="G81" i="19"/>
  <c r="V81" i="19"/>
  <c r="U81" i="19"/>
  <c r="AG81" i="19"/>
  <c r="N81" i="19"/>
  <c r="AH81" i="19"/>
  <c r="Z81" i="19"/>
  <c r="S81" i="19"/>
  <c r="R81" i="19"/>
  <c r="O81" i="19"/>
  <c r="K88" i="19"/>
  <c r="AB60" i="19"/>
  <c r="P60" i="19"/>
  <c r="W60" i="19"/>
  <c r="K60" i="19"/>
  <c r="AE60" i="19"/>
  <c r="Q60" i="19"/>
  <c r="AD60" i="19"/>
  <c r="O60" i="19"/>
  <c r="Y60" i="19"/>
  <c r="J60" i="19"/>
  <c r="V60" i="19"/>
  <c r="Y61" i="19"/>
  <c r="K61" i="19"/>
  <c r="X61" i="19"/>
  <c r="J61" i="19"/>
  <c r="AA61" i="19"/>
  <c r="H69" i="19"/>
  <c r="AH69" i="19"/>
  <c r="L88" i="19"/>
  <c r="N50" i="19"/>
  <c r="AA50" i="19"/>
  <c r="L52" i="19"/>
  <c r="Y52" i="19"/>
  <c r="AE53" i="19"/>
  <c r="S53" i="19"/>
  <c r="G53" i="19"/>
  <c r="R53" i="19"/>
  <c r="AF53" i="19"/>
  <c r="Y55" i="19"/>
  <c r="M55" i="19"/>
  <c r="R55" i="19"/>
  <c r="AE55" i="19"/>
  <c r="AE61" i="19"/>
  <c r="S61" i="19"/>
  <c r="G61" i="19"/>
  <c r="Z61" i="19"/>
  <c r="N61" i="19"/>
  <c r="T61" i="19"/>
  <c r="AH61" i="19"/>
  <c r="N62" i="19"/>
  <c r="AB62" i="19"/>
  <c r="AG64" i="19"/>
  <c r="U64" i="19"/>
  <c r="AC64" i="19"/>
  <c r="P64" i="19"/>
  <c r="X64" i="19"/>
  <c r="K64" i="19"/>
  <c r="S64" i="19"/>
  <c r="P66" i="19"/>
  <c r="AH66" i="19"/>
  <c r="AA70" i="19"/>
  <c r="O70" i="19"/>
  <c r="Z70" i="19"/>
  <c r="N70" i="19"/>
  <c r="AF70" i="19"/>
  <c r="T70" i="19"/>
  <c r="H70" i="19"/>
  <c r="AD70" i="19"/>
  <c r="M70" i="19"/>
  <c r="W70" i="19"/>
  <c r="G70" i="19"/>
  <c r="AG70" i="19"/>
  <c r="Q70" i="19"/>
  <c r="Y70" i="19"/>
  <c r="H77" i="19"/>
  <c r="Q80" i="19"/>
  <c r="AB90" i="19"/>
  <c r="P90" i="19"/>
  <c r="AA90" i="19"/>
  <c r="O90" i="19"/>
  <c r="Z90" i="19"/>
  <c r="N90" i="19"/>
  <c r="Y90" i="19"/>
  <c r="M90" i="19"/>
  <c r="AF90" i="19"/>
  <c r="T90" i="19"/>
  <c r="H90" i="19"/>
  <c r="AE90" i="19"/>
  <c r="S90" i="19"/>
  <c r="G90" i="19"/>
  <c r="Q90" i="19"/>
  <c r="L90" i="19"/>
  <c r="K90" i="19"/>
  <c r="AH90" i="19"/>
  <c r="J90" i="19"/>
  <c r="AG90" i="19"/>
  <c r="I90" i="19"/>
  <c r="AD90" i="19"/>
  <c r="U90" i="19"/>
  <c r="R90" i="19"/>
  <c r="AA97" i="19"/>
  <c r="O97" i="19"/>
  <c r="Z97" i="19"/>
  <c r="N97" i="19"/>
  <c r="Y97" i="19"/>
  <c r="M97" i="19"/>
  <c r="X97" i="19"/>
  <c r="L97" i="19"/>
  <c r="W97" i="19"/>
  <c r="K97" i="19"/>
  <c r="AH97" i="19"/>
  <c r="V97" i="19"/>
  <c r="J97" i="19"/>
  <c r="AB97" i="19"/>
  <c r="P97" i="19"/>
  <c r="U97" i="19"/>
  <c r="T97" i="19"/>
  <c r="S97" i="19"/>
  <c r="R97" i="19"/>
  <c r="I97" i="19"/>
  <c r="H97" i="19"/>
  <c r="AE97" i="19"/>
  <c r="AD97" i="19"/>
  <c r="Q37" i="19"/>
  <c r="Q41" i="19"/>
  <c r="Q45" i="19"/>
  <c r="AH50" i="19"/>
  <c r="V50" i="19"/>
  <c r="J50" i="19"/>
  <c r="R50" i="19"/>
  <c r="AE50" i="19"/>
  <c r="Q52" i="19"/>
  <c r="J53" i="19"/>
  <c r="W53" i="19"/>
  <c r="I55" i="19"/>
  <c r="V55" i="19"/>
  <c r="AH62" i="19"/>
  <c r="S62" i="19"/>
  <c r="AG62" i="19"/>
  <c r="AD67" i="19"/>
  <c r="R67" i="19"/>
  <c r="W67" i="19"/>
  <c r="K67" i="19"/>
  <c r="AC67" i="19"/>
  <c r="O67" i="19"/>
  <c r="X67" i="19"/>
  <c r="I67" i="19"/>
  <c r="AF67" i="19"/>
  <c r="Q67" i="19"/>
  <c r="V67" i="19"/>
  <c r="T77" i="19"/>
  <c r="X96" i="19"/>
  <c r="L96" i="19"/>
  <c r="W96" i="19"/>
  <c r="K96" i="19"/>
  <c r="AH96" i="19"/>
  <c r="V96" i="19"/>
  <c r="J96" i="19"/>
  <c r="AG96" i="19"/>
  <c r="U96" i="19"/>
  <c r="I96" i="19"/>
  <c r="AF96" i="19"/>
  <c r="T96" i="19"/>
  <c r="H96" i="19"/>
  <c r="AE96" i="19"/>
  <c r="S96" i="19"/>
  <c r="G96" i="19"/>
  <c r="Z96" i="19"/>
  <c r="N96" i="19"/>
  <c r="Y96" i="19"/>
  <c r="M96" i="19"/>
  <c r="AD96" i="19"/>
  <c r="AC96" i="19"/>
  <c r="AB96" i="19"/>
  <c r="AA96" i="19"/>
  <c r="R96" i="19"/>
  <c r="Q96" i="19"/>
  <c r="S50" i="19"/>
  <c r="AB52" i="19"/>
  <c r="P52" i="19"/>
  <c r="R52" i="19"/>
  <c r="AE52" i="19"/>
  <c r="AA66" i="19"/>
  <c r="O66" i="19"/>
  <c r="AF66" i="19"/>
  <c r="T66" i="19"/>
  <c r="U66" i="19"/>
  <c r="G66" i="19"/>
  <c r="AC66" i="19"/>
  <c r="N66" i="19"/>
  <c r="W66" i="19"/>
  <c r="I66" i="19"/>
  <c r="X66" i="19"/>
  <c r="AC90" i="19"/>
  <c r="X100" i="19"/>
  <c r="L100" i="19"/>
  <c r="W100" i="19"/>
  <c r="K100" i="19"/>
  <c r="AH100" i="19"/>
  <c r="V100" i="19"/>
  <c r="J100" i="19"/>
  <c r="AG100" i="19"/>
  <c r="U100" i="19"/>
  <c r="I100" i="19"/>
  <c r="AF100" i="19"/>
  <c r="T100" i="19"/>
  <c r="H100" i="19"/>
  <c r="AE100" i="19"/>
  <c r="S100" i="19"/>
  <c r="G100" i="19"/>
  <c r="Z100" i="19"/>
  <c r="N100" i="19"/>
  <c r="Y100" i="19"/>
  <c r="M100" i="19"/>
  <c r="AA100" i="19"/>
  <c r="R100" i="19"/>
  <c r="Q100" i="19"/>
  <c r="P100" i="19"/>
  <c r="O100" i="19"/>
  <c r="AC100" i="19"/>
  <c r="AB100" i="19"/>
  <c r="AC93" i="19"/>
  <c r="Y93" i="19"/>
  <c r="M93" i="19"/>
  <c r="X93" i="19"/>
  <c r="L93" i="19"/>
  <c r="W93" i="19"/>
  <c r="K93" i="19"/>
  <c r="AH93" i="19"/>
  <c r="V93" i="19"/>
  <c r="J93" i="19"/>
  <c r="AB93" i="19"/>
  <c r="P93" i="19"/>
  <c r="T93" i="19"/>
  <c r="S93" i="19"/>
  <c r="R93" i="19"/>
  <c r="O93" i="19"/>
  <c r="N93" i="19"/>
  <c r="AG93" i="19"/>
  <c r="I93" i="19"/>
  <c r="Z93" i="19"/>
  <c r="U93" i="19"/>
  <c r="G93" i="19"/>
  <c r="H93" i="19"/>
  <c r="Y77" i="19"/>
  <c r="M77" i="19"/>
  <c r="X77" i="19"/>
  <c r="L77" i="19"/>
  <c r="W77" i="19"/>
  <c r="K77" i="19"/>
  <c r="AB77" i="19"/>
  <c r="P77" i="19"/>
  <c r="AF77" i="19"/>
  <c r="J77" i="19"/>
  <c r="AE77" i="19"/>
  <c r="I77" i="19"/>
  <c r="V77" i="19"/>
  <c r="AH77" i="19"/>
  <c r="O77" i="19"/>
  <c r="AA93" i="19"/>
  <c r="Q62" i="19"/>
  <c r="AC62" i="19"/>
  <c r="H73" i="19"/>
  <c r="Z73" i="19"/>
  <c r="I74" i="19"/>
  <c r="Y74" i="19"/>
  <c r="K76" i="19"/>
  <c r="AD76" i="19"/>
  <c r="G80" i="19"/>
  <c r="AC80" i="19"/>
  <c r="Q82" i="19"/>
  <c r="J85" i="19"/>
  <c r="AF85" i="19"/>
  <c r="M86" i="19"/>
  <c r="AH88" i="19"/>
  <c r="V88" i="19"/>
  <c r="J88" i="19"/>
  <c r="AG88" i="19"/>
  <c r="U88" i="19"/>
  <c r="I88" i="19"/>
  <c r="AF88" i="19"/>
  <c r="T88" i="19"/>
  <c r="H88" i="19"/>
  <c r="Z88" i="19"/>
  <c r="N88" i="19"/>
  <c r="Y88" i="19"/>
  <c r="M88" i="19"/>
  <c r="AA88" i="19"/>
  <c r="I89" i="19"/>
  <c r="AG89" i="19"/>
  <c r="O92" i="19"/>
  <c r="J94" i="19"/>
  <c r="AH94" i="19"/>
  <c r="T101" i="19"/>
  <c r="J62" i="19"/>
  <c r="V62" i="19"/>
  <c r="O73" i="19"/>
  <c r="P74" i="19"/>
  <c r="AC77" i="19"/>
  <c r="AB82" i="19"/>
  <c r="P82" i="19"/>
  <c r="AA82" i="19"/>
  <c r="O82" i="19"/>
  <c r="Z82" i="19"/>
  <c r="N82" i="19"/>
  <c r="AF82" i="19"/>
  <c r="T82" i="19"/>
  <c r="H82" i="19"/>
  <c r="AE82" i="19"/>
  <c r="S82" i="19"/>
  <c r="G82" i="19"/>
  <c r="X82" i="19"/>
  <c r="T85" i="19"/>
  <c r="O88" i="19"/>
  <c r="Y101" i="19"/>
  <c r="AC81" i="19"/>
  <c r="Y82" i="19"/>
  <c r="AB86" i="19"/>
  <c r="P86" i="19"/>
  <c r="AA86" i="19"/>
  <c r="O86" i="19"/>
  <c r="Z86" i="19"/>
  <c r="N86" i="19"/>
  <c r="AF86" i="19"/>
  <c r="T86" i="19"/>
  <c r="H86" i="19"/>
  <c r="AE86" i="19"/>
  <c r="S86" i="19"/>
  <c r="G86" i="19"/>
  <c r="X86" i="19"/>
  <c r="AA101" i="19"/>
  <c r="O101" i="19"/>
  <c r="Z101" i="19"/>
  <c r="N101" i="19"/>
  <c r="X101" i="19"/>
  <c r="L101" i="19"/>
  <c r="W101" i="19"/>
  <c r="K101" i="19"/>
  <c r="AH101" i="19"/>
  <c r="V101" i="19"/>
  <c r="J101" i="19"/>
  <c r="Y86" i="19"/>
  <c r="G101" i="19"/>
  <c r="J82" i="19"/>
  <c r="AD82" i="19"/>
  <c r="Y85" i="19"/>
  <c r="M85" i="19"/>
  <c r="X85" i="19"/>
  <c r="L85" i="19"/>
  <c r="W85" i="19"/>
  <c r="K85" i="19"/>
  <c r="AB85" i="19"/>
  <c r="P85" i="19"/>
  <c r="Z85" i="19"/>
  <c r="AC86" i="19"/>
  <c r="AH92" i="19"/>
  <c r="V92" i="19"/>
  <c r="J92" i="19"/>
  <c r="AG92" i="19"/>
  <c r="U92" i="19"/>
  <c r="I92" i="19"/>
  <c r="AF92" i="19"/>
  <c r="T92" i="19"/>
  <c r="H92" i="19"/>
  <c r="AE92" i="19"/>
  <c r="S92" i="19"/>
  <c r="G92" i="19"/>
  <c r="Z92" i="19"/>
  <c r="N92" i="19"/>
  <c r="Y92" i="19"/>
  <c r="M92" i="19"/>
  <c r="AC92" i="19"/>
  <c r="H101" i="19"/>
  <c r="AH76" i="19"/>
  <c r="V76" i="19"/>
  <c r="J76" i="19"/>
  <c r="AG76" i="19"/>
  <c r="U76" i="19"/>
  <c r="I76" i="19"/>
  <c r="AF76" i="19"/>
  <c r="T76" i="19"/>
  <c r="H76" i="19"/>
  <c r="Z76" i="19"/>
  <c r="N76" i="19"/>
  <c r="Y76" i="19"/>
  <c r="M76" i="19"/>
  <c r="AA76" i="19"/>
  <c r="K82" i="19"/>
  <c r="AG82" i="19"/>
  <c r="G85" i="19"/>
  <c r="AA85" i="19"/>
  <c r="J86" i="19"/>
  <c r="AD86" i="19"/>
  <c r="Y89" i="19"/>
  <c r="M89" i="19"/>
  <c r="X89" i="19"/>
  <c r="L89" i="19"/>
  <c r="W89" i="19"/>
  <c r="K89" i="19"/>
  <c r="AH89" i="19"/>
  <c r="V89" i="19"/>
  <c r="J89" i="19"/>
  <c r="AB89" i="19"/>
  <c r="P89" i="19"/>
  <c r="AD89" i="19"/>
  <c r="AD92" i="19"/>
  <c r="AB94" i="19"/>
  <c r="P94" i="19"/>
  <c r="AA94" i="19"/>
  <c r="O94" i="19"/>
  <c r="Z94" i="19"/>
  <c r="N94" i="19"/>
  <c r="Y94" i="19"/>
  <c r="M94" i="19"/>
  <c r="AF94" i="19"/>
  <c r="T94" i="19"/>
  <c r="H94" i="19"/>
  <c r="AE94" i="19"/>
  <c r="S94" i="19"/>
  <c r="G94" i="19"/>
  <c r="AC94" i="19"/>
  <c r="I101" i="19"/>
  <c r="AC69" i="19"/>
  <c r="X73" i="19"/>
  <c r="L73" i="19"/>
  <c r="W73" i="19"/>
  <c r="K73" i="19"/>
  <c r="AB73" i="19"/>
  <c r="P73" i="19"/>
  <c r="V73" i="19"/>
  <c r="AA74" i="19"/>
  <c r="O74" i="19"/>
  <c r="Z74" i="19"/>
  <c r="N74" i="19"/>
  <c r="AF74" i="19"/>
  <c r="T74" i="19"/>
  <c r="H74" i="19"/>
  <c r="AE74" i="19"/>
  <c r="S74" i="19"/>
  <c r="G74" i="19"/>
  <c r="W74" i="19"/>
  <c r="AB76" i="19"/>
  <c r="AH80" i="19"/>
  <c r="V80" i="19"/>
  <c r="J80" i="19"/>
  <c r="AG80" i="19"/>
  <c r="U80" i="19"/>
  <c r="I80" i="19"/>
  <c r="AF80" i="19"/>
  <c r="T80" i="19"/>
  <c r="H80" i="19"/>
  <c r="Z80" i="19"/>
  <c r="N80" i="19"/>
  <c r="Y80" i="19"/>
  <c r="M80" i="19"/>
  <c r="AA80" i="19"/>
  <c r="L82" i="19"/>
  <c r="H85" i="19"/>
  <c r="AD85" i="19"/>
  <c r="K86" i="19"/>
  <c r="AG86" i="19"/>
  <c r="G89" i="19"/>
  <c r="AE89" i="19"/>
  <c r="K92" i="19"/>
  <c r="AD94" i="19"/>
  <c r="R101" i="19"/>
  <c r="J75" i="19"/>
  <c r="V75" i="19"/>
  <c r="AH75" i="19"/>
  <c r="J79" i="19"/>
  <c r="V79" i="19"/>
  <c r="AH79" i="19"/>
  <c r="J83" i="19"/>
  <c r="V83" i="19"/>
  <c r="AH83" i="19"/>
  <c r="J87" i="19"/>
  <c r="V87" i="19"/>
  <c r="AH87" i="19"/>
  <c r="J91" i="19"/>
  <c r="V91" i="19"/>
  <c r="AH91" i="19"/>
  <c r="J95" i="19"/>
  <c r="V95" i="19"/>
  <c r="AH95" i="19"/>
  <c r="G98" i="19"/>
  <c r="S98" i="19"/>
  <c r="AE98" i="19"/>
  <c r="J99" i="19"/>
  <c r="V99" i="19"/>
  <c r="AH99" i="19"/>
  <c r="P101" i="19"/>
  <c r="AB101" i="19"/>
  <c r="Q69" i="19"/>
  <c r="K71" i="19"/>
  <c r="W71" i="19"/>
  <c r="Q73" i="19"/>
  <c r="K75" i="19"/>
  <c r="W75" i="19"/>
  <c r="Q77" i="19"/>
  <c r="K79" i="19"/>
  <c r="W79" i="19"/>
  <c r="Q81" i="19"/>
  <c r="K83" i="19"/>
  <c r="W83" i="19"/>
  <c r="Q85" i="19"/>
  <c r="K87" i="19"/>
  <c r="W87" i="19"/>
  <c r="Q89" i="19"/>
  <c r="K91" i="19"/>
  <c r="W91" i="19"/>
  <c r="Q93" i="19"/>
  <c r="K95" i="19"/>
  <c r="W95" i="19"/>
  <c r="Q97" i="19"/>
  <c r="H98" i="19"/>
  <c r="T98" i="19"/>
  <c r="AF98" i="19"/>
  <c r="K99" i="19"/>
  <c r="W99" i="19"/>
  <c r="Q101" i="19"/>
  <c r="AC101" i="19"/>
  <c r="M98" i="19"/>
  <c r="Y98" i="19"/>
  <c r="P99" i="19"/>
  <c r="AB99" i="19"/>
  <c r="Q71" i="19"/>
  <c r="AC71" i="19"/>
  <c r="Q75" i="19"/>
  <c r="AC75" i="19"/>
  <c r="Q79" i="19"/>
  <c r="AC79" i="19"/>
  <c r="Q83" i="19"/>
  <c r="AC83" i="19"/>
  <c r="Q87" i="19"/>
  <c r="AC87" i="19"/>
  <c r="Q91" i="19"/>
  <c r="AC91" i="19"/>
  <c r="Q95" i="19"/>
  <c r="AC95" i="19"/>
  <c r="N98" i="19"/>
  <c r="Z98" i="19"/>
  <c r="Q99" i="19"/>
  <c r="AC99" i="19"/>
  <c r="R71" i="19"/>
  <c r="R75" i="19"/>
  <c r="R79" i="19"/>
  <c r="AD79" i="19"/>
  <c r="R83" i="19"/>
  <c r="AD83" i="19"/>
  <c r="R87" i="19"/>
  <c r="AD87" i="19"/>
  <c r="R91" i="19"/>
  <c r="AD91" i="19"/>
  <c r="R95" i="19"/>
  <c r="AD95" i="19"/>
  <c r="O98" i="19"/>
  <c r="AA98" i="19"/>
  <c r="R99" i="19"/>
  <c r="AD99" i="19"/>
  <c r="G79" i="19"/>
  <c r="S79" i="19"/>
  <c r="G83" i="19"/>
  <c r="S83" i="19"/>
  <c r="G87" i="19"/>
  <c r="S87" i="19"/>
  <c r="G91" i="19"/>
  <c r="S91" i="19"/>
  <c r="G95" i="19"/>
  <c r="S95" i="19"/>
  <c r="P98" i="19"/>
  <c r="AB98" i="19"/>
  <c r="G99" i="19"/>
  <c r="S99" i="19"/>
  <c r="M101" i="19"/>
  <c r="Q98" i="19"/>
  <c r="AC98" i="19"/>
  <c r="R98" i="19"/>
  <c r="B46" i="20"/>
  <c r="C46" i="20" s="1"/>
  <c r="N6" i="11"/>
  <c r="B81" i="11"/>
  <c r="D81" i="11" s="1"/>
  <c r="H81" i="11" s="1"/>
  <c r="L364" i="10"/>
  <c r="H80" i="11"/>
  <c r="H5" i="11"/>
  <c r="E26" i="31"/>
  <c r="V30" i="26"/>
  <c r="H20" i="31" s="1"/>
  <c r="F20" i="31" s="1"/>
  <c r="L341" i="10"/>
  <c r="L339" i="10" s="1"/>
  <c r="H26" i="31" s="1"/>
  <c r="B361" i="22"/>
  <c r="B372" i="22"/>
  <c r="B383" i="22" s="1"/>
  <c r="B94" i="22"/>
  <c r="B102" i="22" s="1"/>
  <c r="B113" i="22" s="1"/>
  <c r="B91" i="22"/>
  <c r="J399" i="10"/>
  <c r="B378" i="22"/>
  <c r="E378" i="22"/>
  <c r="BV12" i="26"/>
  <c r="EW21" i="26"/>
  <c r="L8" i="30"/>
  <c r="O8" i="30" s="1"/>
  <c r="B243" i="22"/>
  <c r="DQ7" i="26"/>
  <c r="DY7" i="26"/>
  <c r="M15" i="30"/>
  <c r="N15" i="30" s="1"/>
  <c r="EW8" i="26"/>
  <c r="EB9" i="26"/>
  <c r="DD7" i="26"/>
  <c r="ES9" i="26"/>
  <c r="ES14" i="26"/>
  <c r="AE20" i="30"/>
  <c r="AI20" i="30" s="1"/>
  <c r="EU8" i="26"/>
  <c r="DP7" i="26"/>
  <c r="BY25" i="26"/>
  <c r="L31" i="30"/>
  <c r="O31" i="30" s="1"/>
  <c r="E243" i="22"/>
  <c r="DY8" i="26"/>
  <c r="U24" i="26"/>
  <c r="ED11" i="26"/>
  <c r="U16" i="26"/>
  <c r="ET11" i="26"/>
  <c r="L32" i="30"/>
  <c r="O32" i="30" s="1"/>
  <c r="L41" i="30"/>
  <c r="O41" i="30" s="1"/>
  <c r="K47" i="30"/>
  <c r="K71" i="30"/>
  <c r="M16" i="30"/>
  <c r="N16" i="30" s="1"/>
  <c r="EC7" i="26"/>
  <c r="EW9" i="26"/>
  <c r="DB5" i="26"/>
  <c r="EP7" i="26"/>
  <c r="DP5" i="26"/>
  <c r="CO27" i="26"/>
  <c r="DR5" i="26"/>
  <c r="EG10" i="26"/>
  <c r="EK14" i="26"/>
  <c r="BY18" i="26"/>
  <c r="CP27" i="26"/>
  <c r="CX8" i="26"/>
  <c r="ER14" i="26"/>
  <c r="EK18" i="26"/>
  <c r="CJ10" i="26"/>
  <c r="CW6" i="26"/>
  <c r="DH18" i="26"/>
  <c r="CK28" i="26"/>
  <c r="DJ6" i="26"/>
  <c r="S7" i="26"/>
  <c r="EU7" i="26"/>
  <c r="S8" i="26"/>
  <c r="V8" i="26" s="1"/>
  <c r="DY12" i="26"/>
  <c r="DQ15" i="26"/>
  <c r="EI18" i="26"/>
  <c r="DJ22" i="26"/>
  <c r="EK25" i="26"/>
  <c r="DM28" i="26"/>
  <c r="CO9" i="26"/>
  <c r="CC4" i="26"/>
  <c r="DS6" i="26"/>
  <c r="EW7" i="26"/>
  <c r="EA28" i="26"/>
  <c r="CO4" i="26"/>
  <c r="DZ9" i="26"/>
  <c r="CL11" i="26"/>
  <c r="M67" i="30"/>
  <c r="N67" i="30" s="1"/>
  <c r="L71" i="30"/>
  <c r="O71" i="30" s="1"/>
  <c r="DF11" i="26"/>
  <c r="DS26" i="26"/>
  <c r="CU4" i="26"/>
  <c r="EC9" i="26"/>
  <c r="DH11" i="26"/>
  <c r="EN16" i="26"/>
  <c r="BX19" i="26"/>
  <c r="CZ23" i="26"/>
  <c r="CA29" i="26"/>
  <c r="CY23" i="26"/>
  <c r="DC7" i="26"/>
  <c r="CA8" i="26"/>
  <c r="ER9" i="26"/>
  <c r="DZ11" i="26"/>
  <c r="EI14" i="26"/>
  <c r="S18" i="26"/>
  <c r="V18" i="26" s="1"/>
  <c r="DC23" i="26"/>
  <c r="ER11" i="26"/>
  <c r="EN14" i="26"/>
  <c r="K23" i="30"/>
  <c r="S9" i="26"/>
  <c r="J324" i="10" s="1"/>
  <c r="L324" i="10" s="1"/>
  <c r="EH27" i="26"/>
  <c r="DS4" i="26"/>
  <c r="CH15" i="26"/>
  <c r="EW19" i="26"/>
  <c r="M8" i="30"/>
  <c r="N8" i="30" s="1"/>
  <c r="L15" i="30"/>
  <c r="O15" i="30" s="1"/>
  <c r="CX6" i="26"/>
  <c r="CR11" i="26"/>
  <c r="CC12" i="26"/>
  <c r="CJ15" i="26"/>
  <c r="CH17" i="26"/>
  <c r="DI18" i="26"/>
  <c r="DQ23" i="26"/>
  <c r="EL27" i="26"/>
  <c r="AE19" i="30"/>
  <c r="AI19" i="30" s="1"/>
  <c r="CC5" i="26"/>
  <c r="BY8" i="26"/>
  <c r="CL9" i="26"/>
  <c r="CI10" i="26"/>
  <c r="DX12" i="26"/>
  <c r="DG14" i="26"/>
  <c r="EK17" i="26"/>
  <c r="BY29" i="26"/>
  <c r="M45" i="30"/>
  <c r="N45" i="30" s="1"/>
  <c r="M70" i="30"/>
  <c r="N70" i="30" s="1"/>
  <c r="DH14" i="26"/>
  <c r="EL17" i="26"/>
  <c r="DC5" i="26"/>
  <c r="EL6" i="26"/>
  <c r="EA7" i="26"/>
  <c r="CT8" i="26"/>
  <c r="DY9" i="26"/>
  <c r="DI10" i="26"/>
  <c r="DX11" i="26"/>
  <c r="EC12" i="26"/>
  <c r="EG14" i="26"/>
  <c r="CI20" i="26"/>
  <c r="CL22" i="26"/>
  <c r="EU26" i="26"/>
  <c r="CH29" i="26"/>
  <c r="K6" i="30"/>
  <c r="AE71" i="30"/>
  <c r="AI71" i="30" s="1"/>
  <c r="EB7" i="26"/>
  <c r="CW8" i="26"/>
  <c r="DK10" i="26"/>
  <c r="EE12" i="26"/>
  <c r="EB20" i="26"/>
  <c r="DH22" i="26"/>
  <c r="S23" i="26"/>
  <c r="V23" i="26" s="1"/>
  <c r="CU24" i="26"/>
  <c r="CN29" i="26"/>
  <c r="AE67" i="30"/>
  <c r="AG67" i="30" s="1"/>
  <c r="M73" i="30"/>
  <c r="N73" i="30" s="1"/>
  <c r="EP12" i="26"/>
  <c r="BV19" i="26"/>
  <c r="EG20" i="26"/>
  <c r="CO29" i="26"/>
  <c r="K35" i="30"/>
  <c r="ES12" i="26"/>
  <c r="DM16" i="26"/>
  <c r="BW19" i="26"/>
  <c r="EM20" i="26"/>
  <c r="DY28" i="26"/>
  <c r="DK29" i="26"/>
  <c r="M31" i="30"/>
  <c r="N31" i="30" s="1"/>
  <c r="CA7" i="26"/>
  <c r="CG11" i="26"/>
  <c r="EQ16" i="26"/>
  <c r="CB18" i="26"/>
  <c r="BY19" i="26"/>
  <c r="BZ25" i="26"/>
  <c r="CX27" i="26"/>
  <c r="EC28" i="26"/>
  <c r="K9" i="30"/>
  <c r="K15" i="30"/>
  <c r="M34" i="30"/>
  <c r="N34" i="30" s="1"/>
  <c r="M65" i="30"/>
  <c r="N65" i="30" s="1"/>
  <c r="CB7" i="26"/>
  <c r="CI11" i="26"/>
  <c r="DU13" i="26"/>
  <c r="CR18" i="26"/>
  <c r="CB19" i="26"/>
  <c r="DG21" i="26"/>
  <c r="CU25" i="26"/>
  <c r="DQ27" i="26"/>
  <c r="EM28" i="26"/>
  <c r="K8" i="30"/>
  <c r="L9" i="30"/>
  <c r="O9" i="30" s="1"/>
  <c r="DJ4" i="26"/>
  <c r="CI6" i="26"/>
  <c r="CK11" i="26"/>
  <c r="EP13" i="26"/>
  <c r="CS18" i="26"/>
  <c r="U20" i="26"/>
  <c r="S22" i="26"/>
  <c r="V22" i="26" s="1"/>
  <c r="EG27" i="26"/>
  <c r="EV28" i="26"/>
  <c r="T16" i="30"/>
  <c r="EH4" i="26"/>
  <c r="BZ13" i="26"/>
  <c r="DQ13" i="26"/>
  <c r="EL15" i="26"/>
  <c r="DF18" i="26"/>
  <c r="EU19" i="26"/>
  <c r="DZ20" i="26"/>
  <c r="DA21" i="26"/>
  <c r="CE22" i="26"/>
  <c r="CI23" i="26"/>
  <c r="CA28" i="26"/>
  <c r="CI4" i="26"/>
  <c r="EI4" i="26"/>
  <c r="DL5" i="26"/>
  <c r="DZ7" i="26"/>
  <c r="CU8" i="26"/>
  <c r="ED12" i="26"/>
  <c r="CF13" i="26"/>
  <c r="DT13" i="26"/>
  <c r="EP14" i="26"/>
  <c r="EM15" i="26"/>
  <c r="EI16" i="26"/>
  <c r="DG18" i="26"/>
  <c r="EV19" i="26"/>
  <c r="CF22" i="26"/>
  <c r="CX25" i="26"/>
  <c r="DT27" i="26"/>
  <c r="CB28" i="26"/>
  <c r="L44" i="30"/>
  <c r="O44" i="30" s="1"/>
  <c r="EK4" i="26"/>
  <c r="CS13" i="26"/>
  <c r="DV13" i="26"/>
  <c r="EV15" i="26"/>
  <c r="DO21" i="26"/>
  <c r="DF24" i="26"/>
  <c r="DA25" i="26"/>
  <c r="CG26" i="26"/>
  <c r="CI27" i="26"/>
  <c r="EL4" i="26"/>
  <c r="EK10" i="26"/>
  <c r="CN12" i="26"/>
  <c r="CT13" i="26"/>
  <c r="DZ13" i="26"/>
  <c r="EW15" i="26"/>
  <c r="DJ18" i="26"/>
  <c r="DU21" i="26"/>
  <c r="DG24" i="26"/>
  <c r="DB25" i="26"/>
  <c r="CH26" i="26"/>
  <c r="CK27" i="26"/>
  <c r="CO28" i="26"/>
  <c r="CW4" i="26"/>
  <c r="EP5" i="26"/>
  <c r="DX6" i="26"/>
  <c r="CP7" i="26"/>
  <c r="ED7" i="26"/>
  <c r="BV8" i="26"/>
  <c r="EJ8" i="26"/>
  <c r="DR9" i="26"/>
  <c r="EL10" i="26"/>
  <c r="DI11" i="26"/>
  <c r="DA12" i="26"/>
  <c r="EU12" i="26"/>
  <c r="CU13" i="26"/>
  <c r="EA13" i="26"/>
  <c r="DF14" i="26"/>
  <c r="DP18" i="26"/>
  <c r="CP19" i="26"/>
  <c r="EN20" i="26"/>
  <c r="DZ21" i="26"/>
  <c r="DL22" i="26"/>
  <c r="DI23" i="26"/>
  <c r="DK25" i="26"/>
  <c r="CP28" i="26"/>
  <c r="ER28" i="26"/>
  <c r="CP29" i="26"/>
  <c r="K44" i="30"/>
  <c r="S4" i="26"/>
  <c r="CX4" i="26"/>
  <c r="CA5" i="26"/>
  <c r="EQ5" i="26"/>
  <c r="DY6" i="26"/>
  <c r="EE7" i="26"/>
  <c r="DX9" i="26"/>
  <c r="DC12" i="26"/>
  <c r="CW13" i="26"/>
  <c r="EB13" i="26"/>
  <c r="CF15" i="26"/>
  <c r="DQ18" i="26"/>
  <c r="CR19" i="26"/>
  <c r="ER21" i="26"/>
  <c r="DJ23" i="26"/>
  <c r="DR25" i="26"/>
  <c r="CY26" i="26"/>
  <c r="CQ28" i="26"/>
  <c r="ET28" i="26"/>
  <c r="DG29" i="26"/>
  <c r="K14" i="30"/>
  <c r="L25" i="30"/>
  <c r="O25" i="30" s="1"/>
  <c r="M44" i="30"/>
  <c r="N44" i="30" s="1"/>
  <c r="EJ4" i="26"/>
  <c r="CN13" i="26"/>
  <c r="ER5" i="26"/>
  <c r="EG6" i="26"/>
  <c r="EN7" i="26"/>
  <c r="CX13" i="26"/>
  <c r="CF17" i="26"/>
  <c r="DD19" i="26"/>
  <c r="CF20" i="26"/>
  <c r="ET21" i="26"/>
  <c r="DQ22" i="26"/>
  <c r="DO23" i="26"/>
  <c r="DV25" i="26"/>
  <c r="DF26" i="26"/>
  <c r="CS28" i="26"/>
  <c r="EU28" i="26"/>
  <c r="DJ29" i="26"/>
  <c r="L21" i="30"/>
  <c r="O21" i="30" s="1"/>
  <c r="L56" i="30"/>
  <c r="O56" i="30" s="1"/>
  <c r="L59" i="30"/>
  <c r="O59" i="30" s="1"/>
  <c r="DT4" i="26"/>
  <c r="EW6" i="26"/>
  <c r="DI7" i="26"/>
  <c r="EQ7" i="26"/>
  <c r="CQ8" i="26"/>
  <c r="EA9" i="26"/>
  <c r="CQ10" i="26"/>
  <c r="CE11" i="26"/>
  <c r="DZ12" i="26"/>
  <c r="BW13" i="26"/>
  <c r="DA13" i="26"/>
  <c r="EV13" i="26"/>
  <c r="EH14" i="26"/>
  <c r="CO16" i="26"/>
  <c r="CJ17" i="26"/>
  <c r="CG18" i="26"/>
  <c r="DQ19" i="26"/>
  <c r="CS20" i="26"/>
  <c r="CE21" i="26"/>
  <c r="DV23" i="26"/>
  <c r="CF25" i="26"/>
  <c r="ES25" i="26"/>
  <c r="DJ26" i="26"/>
  <c r="CY27" i="26"/>
  <c r="BW28" i="26"/>
  <c r="DK28" i="26"/>
  <c r="DL29" i="26"/>
  <c r="K32" i="30"/>
  <c r="M38" i="30"/>
  <c r="N38" i="30" s="1"/>
  <c r="AE47" i="30"/>
  <c r="AH47" i="30" s="1"/>
  <c r="BV13" i="26"/>
  <c r="BX21" i="26"/>
  <c r="AD7" i="30"/>
  <c r="DV4" i="26"/>
  <c r="CC6" i="26"/>
  <c r="ER7" i="26"/>
  <c r="CR8" i="26"/>
  <c r="CR10" i="26"/>
  <c r="EA12" i="26"/>
  <c r="BX13" i="26"/>
  <c r="DC13" i="26"/>
  <c r="S14" i="26"/>
  <c r="J329" i="10" s="1"/>
  <c r="L329" i="10" s="1"/>
  <c r="CQ16" i="26"/>
  <c r="DM17" i="26"/>
  <c r="DZ19" i="26"/>
  <c r="DF20" i="26"/>
  <c r="CJ21" i="26"/>
  <c r="CG25" i="26"/>
  <c r="ET25" i="26"/>
  <c r="DC27" i="26"/>
  <c r="BX28" i="26"/>
  <c r="L14" i="30"/>
  <c r="O14" i="30" s="1"/>
  <c r="K16" i="30"/>
  <c r="AJ25" i="30"/>
  <c r="AN25" i="30" s="1"/>
  <c r="L49" i="30"/>
  <c r="O49" i="30" s="1"/>
  <c r="CY13" i="26"/>
  <c r="EW22" i="26"/>
  <c r="BV28" i="26"/>
  <c r="CU28" i="26"/>
  <c r="EG4" i="26"/>
  <c r="CH6" i="26"/>
  <c r="CS8" i="26"/>
  <c r="BY13" i="26"/>
  <c r="DO13" i="26"/>
  <c r="ED15" i="26"/>
  <c r="DF16" i="26"/>
  <c r="DU17" i="26"/>
  <c r="ER19" i="26"/>
  <c r="DG20" i="26"/>
  <c r="CL21" i="26"/>
  <c r="EW25" i="26"/>
  <c r="ET26" i="26"/>
  <c r="BY28" i="26"/>
  <c r="DT28" i="26"/>
  <c r="M14" i="30"/>
  <c r="N14" i="30" s="1"/>
  <c r="BV4" i="26"/>
  <c r="CH5" i="26"/>
  <c r="EU5" i="26"/>
  <c r="CR6" i="26"/>
  <c r="EH6" i="26"/>
  <c r="DL7" i="26"/>
  <c r="DS8" i="26"/>
  <c r="CQ9" i="26"/>
  <c r="EU10" i="26"/>
  <c r="S11" i="26"/>
  <c r="EN11" i="26"/>
  <c r="CI13" i="26"/>
  <c r="DM14" i="26"/>
  <c r="EV14" i="26"/>
  <c r="DY15" i="26"/>
  <c r="CW17" i="26"/>
  <c r="EB17" i="26"/>
  <c r="DS19" i="26"/>
  <c r="DM20" i="26"/>
  <c r="CB21" i="26"/>
  <c r="CW22" i="26"/>
  <c r="EC22" i="26"/>
  <c r="CE23" i="26"/>
  <c r="EA23" i="26"/>
  <c r="CH24" i="26"/>
  <c r="DJ24" i="26"/>
  <c r="DD25" i="26"/>
  <c r="DC25" i="26"/>
  <c r="DY26" i="26"/>
  <c r="BV27" i="26"/>
  <c r="ED27" i="26"/>
  <c r="EA29" i="26"/>
  <c r="T6" i="30"/>
  <c r="AK19" i="30"/>
  <c r="K21" i="30"/>
  <c r="J327" i="10"/>
  <c r="L327" i="10" s="1"/>
  <c r="BW4" i="26"/>
  <c r="DI4" i="26"/>
  <c r="EN4" i="26"/>
  <c r="S5" i="26"/>
  <c r="CJ5" i="26"/>
  <c r="DX5" i="26"/>
  <c r="EI6" i="26"/>
  <c r="DM7" i="26"/>
  <c r="CI8" i="26"/>
  <c r="DT8" i="26"/>
  <c r="EV9" i="26"/>
  <c r="EP9" i="26"/>
  <c r="DB9" i="26"/>
  <c r="ED9" i="26"/>
  <c r="BY10" i="26"/>
  <c r="EW10" i="26"/>
  <c r="CC11" i="26"/>
  <c r="CB11" i="26"/>
  <c r="CS11" i="26"/>
  <c r="CJ13" i="26"/>
  <c r="DH13" i="26"/>
  <c r="EH13" i="26"/>
  <c r="CW15" i="26"/>
  <c r="DZ15" i="26"/>
  <c r="DG16" i="26"/>
  <c r="DM18" i="26"/>
  <c r="DV19" i="26"/>
  <c r="CC21" i="26"/>
  <c r="CF23" i="26"/>
  <c r="DK23" i="26"/>
  <c r="EB23" i="26"/>
  <c r="CI24" i="26"/>
  <c r="DL24" i="26"/>
  <c r="CN25" i="26"/>
  <c r="DO25" i="26"/>
  <c r="BY27" i="26"/>
  <c r="CZ27" i="26"/>
  <c r="EE27" i="26"/>
  <c r="EG28" i="26"/>
  <c r="CK29" i="26"/>
  <c r="CJ29" i="26"/>
  <c r="CI29" i="26"/>
  <c r="BV29" i="26"/>
  <c r="CR29" i="26"/>
  <c r="EB29" i="26"/>
  <c r="AD25" i="30"/>
  <c r="AD21" i="30"/>
  <c r="AD5" i="30"/>
  <c r="K28" i="30"/>
  <c r="M28" i="30"/>
  <c r="N28" i="30" s="1"/>
  <c r="L28" i="30"/>
  <c r="O28" i="30" s="1"/>
  <c r="AJ56" i="30"/>
  <c r="AM56" i="30" s="1"/>
  <c r="AE56" i="30"/>
  <c r="AH56" i="30" s="1"/>
  <c r="EE4" i="26"/>
  <c r="DY4" i="26"/>
  <c r="DX4" i="26"/>
  <c r="DD10" i="26"/>
  <c r="CW10" i="26"/>
  <c r="CC17" i="26"/>
  <c r="BX17" i="26"/>
  <c r="BW17" i="26"/>
  <c r="CN17" i="26"/>
  <c r="CC22" i="26"/>
  <c r="CB22" i="26"/>
  <c r="CR22" i="26"/>
  <c r="EV27" i="26"/>
  <c r="EU27" i="26"/>
  <c r="ET27" i="26"/>
  <c r="DQ29" i="26"/>
  <c r="DM5" i="26"/>
  <c r="DL12" i="26"/>
  <c r="DJ12" i="26"/>
  <c r="CR15" i="26"/>
  <c r="CU15" i="26"/>
  <c r="CT15" i="26"/>
  <c r="DD17" i="26"/>
  <c r="CY17" i="26"/>
  <c r="CX17" i="26"/>
  <c r="CS17" i="26"/>
  <c r="DV17" i="26"/>
  <c r="CS22" i="26"/>
  <c r="DV22" i="26"/>
  <c r="DX23" i="26"/>
  <c r="CE24" i="26"/>
  <c r="DA26" i="26"/>
  <c r="CW26" i="26"/>
  <c r="CZ26" i="26"/>
  <c r="DT26" i="26"/>
  <c r="EV29" i="26"/>
  <c r="EP29" i="26"/>
  <c r="DR29" i="26"/>
  <c r="ET29" i="26"/>
  <c r="M26" i="30"/>
  <c r="N26" i="30" s="1"/>
  <c r="K26" i="30"/>
  <c r="CP6" i="26"/>
  <c r="CO6" i="26"/>
  <c r="DJ8" i="26"/>
  <c r="DI8" i="26"/>
  <c r="EK11" i="26"/>
  <c r="CK12" i="26"/>
  <c r="DS15" i="26"/>
  <c r="DV15" i="26"/>
  <c r="DU15" i="26"/>
  <c r="DT15" i="26"/>
  <c r="CR16" i="26"/>
  <c r="EE17" i="26"/>
  <c r="DZ17" i="26"/>
  <c r="DY17" i="26"/>
  <c r="ET17" i="26"/>
  <c r="EW17" i="26"/>
  <c r="CT17" i="26"/>
  <c r="DX17" i="26"/>
  <c r="V20" i="26"/>
  <c r="DY22" i="26"/>
  <c r="EB22" i="26"/>
  <c r="EA22" i="26"/>
  <c r="CT22" i="26"/>
  <c r="DX22" i="26"/>
  <c r="DY23" i="26"/>
  <c r="CF24" i="26"/>
  <c r="DH24" i="26"/>
  <c r="EB26" i="26"/>
  <c r="EE26" i="26"/>
  <c r="ED26" i="26"/>
  <c r="DB26" i="26"/>
  <c r="DU26" i="26"/>
  <c r="DX27" i="26"/>
  <c r="DY29" i="26"/>
  <c r="EU29" i="26"/>
  <c r="J331" i="10"/>
  <c r="L331" i="10" s="1"/>
  <c r="CF5" i="26"/>
  <c r="S6" i="26"/>
  <c r="CQ6" i="26"/>
  <c r="CI7" i="26"/>
  <c r="CL7" i="26"/>
  <c r="EM8" i="26"/>
  <c r="EL8" i="26"/>
  <c r="EK8" i="26"/>
  <c r="DK8" i="26"/>
  <c r="CX10" i="26"/>
  <c r="EM11" i="26"/>
  <c r="EE14" i="26"/>
  <c r="EC14" i="26"/>
  <c r="DJ14" i="26"/>
  <c r="ET14" i="26"/>
  <c r="ET15" i="26"/>
  <c r="EU15" i="26"/>
  <c r="ER15" i="26"/>
  <c r="CN15" i="26"/>
  <c r="DX15" i="26"/>
  <c r="DT16" i="26"/>
  <c r="DQ16" i="26"/>
  <c r="DP16" i="26"/>
  <c r="CS16" i="26"/>
  <c r="CU17" i="26"/>
  <c r="EA17" i="26"/>
  <c r="BY21" i="26"/>
  <c r="CU22" i="26"/>
  <c r="DZ22" i="26"/>
  <c r="CG24" i="26"/>
  <c r="DI24" i="26"/>
  <c r="DC26" i="26"/>
  <c r="DX26" i="26"/>
  <c r="EC27" i="26"/>
  <c r="CF28" i="26"/>
  <c r="CE28" i="26"/>
  <c r="DZ29" i="26"/>
  <c r="EW29" i="26"/>
  <c r="AE24" i="30"/>
  <c r="AI24" i="30" s="1"/>
  <c r="AJ24" i="30"/>
  <c r="AK24" i="30" s="1"/>
  <c r="AJ28" i="30"/>
  <c r="AL28" i="30" s="1"/>
  <c r="AE28" i="30"/>
  <c r="AH28" i="30" s="1"/>
  <c r="D399" i="10"/>
  <c r="BY4" i="26"/>
  <c r="EU4" i="26"/>
  <c r="CQ5" i="26"/>
  <c r="CP5" i="26"/>
  <c r="CK5" i="26"/>
  <c r="DY5" i="26"/>
  <c r="CU6" i="26"/>
  <c r="EJ6" i="26"/>
  <c r="CF7" i="26"/>
  <c r="CJ8" i="26"/>
  <c r="DV8" i="26"/>
  <c r="DC9" i="26"/>
  <c r="CA10" i="26"/>
  <c r="EE13" i="26"/>
  <c r="DY13" i="26"/>
  <c r="DX13" i="26"/>
  <c r="ET13" i="26"/>
  <c r="EU13" i="26"/>
  <c r="ER13" i="26"/>
  <c r="CK13" i="26"/>
  <c r="DL13" i="26"/>
  <c r="EI13" i="26"/>
  <c r="EB14" i="26"/>
  <c r="CX15" i="26"/>
  <c r="EA15" i="26"/>
  <c r="DH16" i="26"/>
  <c r="BV17" i="26"/>
  <c r="DA17" i="26"/>
  <c r="EM18" i="26"/>
  <c r="EH18" i="26"/>
  <c r="EG18" i="26"/>
  <c r="CE18" i="26"/>
  <c r="DX19" i="26"/>
  <c r="DX21" i="26"/>
  <c r="BX22" i="26"/>
  <c r="EE22" i="26"/>
  <c r="CG23" i="26"/>
  <c r="DL23" i="26"/>
  <c r="EM23" i="26"/>
  <c r="DM24" i="26"/>
  <c r="CO25" i="26"/>
  <c r="DP25" i="26"/>
  <c r="CE26" i="26"/>
  <c r="CL26" i="26"/>
  <c r="EA26" i="26"/>
  <c r="DA27" i="26"/>
  <c r="EH28" i="26"/>
  <c r="BW29" i="26"/>
  <c r="CU29" i="26"/>
  <c r="EC29" i="26"/>
  <c r="AJ18" i="30"/>
  <c r="AE18" i="30"/>
  <c r="AJ23" i="30"/>
  <c r="AM23" i="30" s="1"/>
  <c r="AE23" i="30"/>
  <c r="AI23" i="30" s="1"/>
  <c r="K25" i="30"/>
  <c r="CA4" i="26"/>
  <c r="EW4" i="26"/>
  <c r="CL5" i="26"/>
  <c r="EK6" i="26"/>
  <c r="CH7" i="26"/>
  <c r="CB8" i="26"/>
  <c r="CC8" i="26"/>
  <c r="CO8" i="26"/>
  <c r="DX8" i="26"/>
  <c r="EQ9" i="26"/>
  <c r="EM10" i="26"/>
  <c r="EJ10" i="26"/>
  <c r="EH10" i="26"/>
  <c r="DS10" i="26"/>
  <c r="U12" i="26"/>
  <c r="DD12" i="26"/>
  <c r="DM13" i="26"/>
  <c r="EK13" i="26"/>
  <c r="CK14" i="26"/>
  <c r="CL14" i="26"/>
  <c r="CG14" i="26"/>
  <c r="CE14" i="26"/>
  <c r="BV15" i="26"/>
  <c r="CY15" i="26"/>
  <c r="EB15" i="26"/>
  <c r="DJ16" i="26"/>
  <c r="BY17" i="26"/>
  <c r="DC17" i="26"/>
  <c r="CF18" i="26"/>
  <c r="DY19" i="26"/>
  <c r="CE20" i="26"/>
  <c r="DY21" i="26"/>
  <c r="DK22" i="26"/>
  <c r="DG22" i="26"/>
  <c r="DF22" i="26"/>
  <c r="BY22" i="26"/>
  <c r="DI22" i="26"/>
  <c r="EP22" i="26"/>
  <c r="CH23" i="26"/>
  <c r="DM23" i="26"/>
  <c r="EP23" i="26"/>
  <c r="CR24" i="26"/>
  <c r="CT24" i="26"/>
  <c r="CS24" i="26"/>
  <c r="CN24" i="26"/>
  <c r="CS25" i="26"/>
  <c r="DQ25" i="26"/>
  <c r="DH26" i="26"/>
  <c r="DM26" i="26"/>
  <c r="DK26" i="26"/>
  <c r="CF26" i="26"/>
  <c r="DI26" i="26"/>
  <c r="EL26" i="26"/>
  <c r="CH27" i="26"/>
  <c r="DB27" i="26"/>
  <c r="DJ28" i="26"/>
  <c r="EK28" i="26"/>
  <c r="EN29" i="26"/>
  <c r="EK29" i="26"/>
  <c r="BX29" i="26"/>
  <c r="CW29" i="26"/>
  <c r="ED29" i="26"/>
  <c r="AJ27" i="30"/>
  <c r="AK27" i="30" s="1"/>
  <c r="AE27" i="30"/>
  <c r="AI27" i="30" s="1"/>
  <c r="AJ41" i="30"/>
  <c r="AL41" i="30" s="1"/>
  <c r="AE41" i="30"/>
  <c r="AH41" i="30" s="1"/>
  <c r="L47" i="30"/>
  <c r="O47" i="30" s="1"/>
  <c r="L53" i="30"/>
  <c r="O53" i="30" s="1"/>
  <c r="EA5" i="26"/>
  <c r="DZ5" i="26"/>
  <c r="EV5" i="26"/>
  <c r="EW5" i="26"/>
  <c r="EC5" i="26"/>
  <c r="BV6" i="26"/>
  <c r="DT10" i="26"/>
  <c r="EL13" i="26"/>
  <c r="BW15" i="26"/>
  <c r="CZ15" i="26"/>
  <c r="CK16" i="26"/>
  <c r="CG16" i="26"/>
  <c r="CF16" i="26"/>
  <c r="BY16" i="26"/>
  <c r="BZ17" i="26"/>
  <c r="DU19" i="26"/>
  <c r="DT19" i="26"/>
  <c r="CX19" i="26"/>
  <c r="DK20" i="26"/>
  <c r="DJ20" i="26"/>
  <c r="EQ22" i="26"/>
  <c r="EQ23" i="26"/>
  <c r="DV24" i="26"/>
  <c r="DR24" i="26"/>
  <c r="EM26" i="26"/>
  <c r="U28" i="26"/>
  <c r="S28" i="26"/>
  <c r="V28" i="26" s="1"/>
  <c r="EE29" i="26"/>
  <c r="CH4" i="26"/>
  <c r="ED5" i="26"/>
  <c r="BW6" i="26"/>
  <c r="DI6" i="26"/>
  <c r="EN6" i="26"/>
  <c r="CK7" i="26"/>
  <c r="EG8" i="26"/>
  <c r="CI9" i="26"/>
  <c r="CF9" i="26"/>
  <c r="CA9" i="26"/>
  <c r="DQ9" i="26"/>
  <c r="DV10" i="26"/>
  <c r="EM13" i="26"/>
  <c r="CN14" i="26"/>
  <c r="BX15" i="26"/>
  <c r="DA15" i="26"/>
  <c r="CB16" i="26"/>
  <c r="DR16" i="26"/>
  <c r="DO17" i="26"/>
  <c r="EP17" i="26"/>
  <c r="CL18" i="26"/>
  <c r="CY19" i="26"/>
  <c r="EE19" i="26"/>
  <c r="EL20" i="26"/>
  <c r="CP21" i="26"/>
  <c r="ER22" i="26"/>
  <c r="CJ23" i="26"/>
  <c r="ET23" i="26"/>
  <c r="CK25" i="26"/>
  <c r="CJ25" i="26"/>
  <c r="CI25" i="26"/>
  <c r="BV25" i="26"/>
  <c r="CW25" i="26"/>
  <c r="DS25" i="26"/>
  <c r="DP26" i="26"/>
  <c r="EN26" i="26"/>
  <c r="CJ27" i="26"/>
  <c r="DD27" i="26"/>
  <c r="CG28" i="26"/>
  <c r="DL28" i="26"/>
  <c r="BZ29" i="26"/>
  <c r="CP4" i="26"/>
  <c r="CR4" i="26"/>
  <c r="CQ4" i="26"/>
  <c r="EE5" i="26"/>
  <c r="BY6" i="26"/>
  <c r="EH8" i="26"/>
  <c r="DK9" i="26"/>
  <c r="DM9" i="26"/>
  <c r="CB9" i="26"/>
  <c r="S10" i="26"/>
  <c r="DX10" i="26"/>
  <c r="CE13" i="26"/>
  <c r="CH13" i="26"/>
  <c r="CG13" i="26"/>
  <c r="CO14" i="26"/>
  <c r="BY15" i="26"/>
  <c r="DC15" i="26"/>
  <c r="CE16" i="26"/>
  <c r="EG16" i="26"/>
  <c r="DQ17" i="26"/>
  <c r="ER17" i="26"/>
  <c r="CZ19" i="26"/>
  <c r="CQ20" i="26"/>
  <c r="EE21" i="26"/>
  <c r="EC21" i="26"/>
  <c r="EB21" i="26"/>
  <c r="CR21" i="26"/>
  <c r="EP21" i="26"/>
  <c r="ES22" i="26"/>
  <c r="CZ24" i="26"/>
  <c r="BW25" i="26"/>
  <c r="DQ26" i="26"/>
  <c r="EQ26" i="26"/>
  <c r="CC27" i="26"/>
  <c r="BX27" i="26"/>
  <c r="BW27" i="26"/>
  <c r="CQ27" i="26"/>
  <c r="CU27" i="26"/>
  <c r="ES27" i="26"/>
  <c r="CX28" i="26"/>
  <c r="CW28" i="26"/>
  <c r="CH28" i="26"/>
  <c r="EQ29" i="26"/>
  <c r="EN5" i="26"/>
  <c r="CA6" i="26"/>
  <c r="CQ7" i="26"/>
  <c r="EI8" i="26"/>
  <c r="CJ9" i="26"/>
  <c r="CB10" i="26"/>
  <c r="BW10" i="26"/>
  <c r="BV10" i="26"/>
  <c r="CP10" i="26"/>
  <c r="CU10" i="26"/>
  <c r="CO10" i="26"/>
  <c r="DY10" i="26"/>
  <c r="CP14" i="26"/>
  <c r="BZ15" i="26"/>
  <c r="DM15" i="26"/>
  <c r="CL16" i="26"/>
  <c r="EH16" i="26"/>
  <c r="DT17" i="26"/>
  <c r="EU17" i="26"/>
  <c r="CS21" i="26"/>
  <c r="DD23" i="26"/>
  <c r="DB23" i="26"/>
  <c r="DA23" i="26"/>
  <c r="DR23" i="26"/>
  <c r="DU23" i="26"/>
  <c r="DT23" i="26"/>
  <c r="CX23" i="26"/>
  <c r="DS23" i="26"/>
  <c r="BX25" i="26"/>
  <c r="CY25" i="26"/>
  <c r="EG25" i="26"/>
  <c r="CX26" i="26"/>
  <c r="DR26" i="26"/>
  <c r="ER26" i="26"/>
  <c r="DU27" i="26"/>
  <c r="DS27" i="26"/>
  <c r="DR27" i="26"/>
  <c r="DP27" i="26"/>
  <c r="EW27" i="26"/>
  <c r="EB28" i="26"/>
  <c r="EE28" i="26"/>
  <c r="ED28" i="26"/>
  <c r="EP28" i="26"/>
  <c r="EW28" i="26"/>
  <c r="CI28" i="26"/>
  <c r="ES28" i="26"/>
  <c r="CC29" i="26"/>
  <c r="ER29" i="26"/>
  <c r="M17" i="30"/>
  <c r="N17" i="30" s="1"/>
  <c r="L17" i="30"/>
  <c r="O17" i="30" s="1"/>
  <c r="K17" i="30"/>
  <c r="AM26" i="30"/>
  <c r="AN26" i="30"/>
  <c r="AJ70" i="30"/>
  <c r="AN70" i="30" s="1"/>
  <c r="AE70" i="30"/>
  <c r="AG70" i="30" s="1"/>
  <c r="L37" i="30"/>
  <c r="O37" i="30" s="1"/>
  <c r="L46" i="30"/>
  <c r="O46" i="30" s="1"/>
  <c r="L50" i="30"/>
  <c r="O50" i="30" s="1"/>
  <c r="AE64" i="30"/>
  <c r="AG64" i="30" s="1"/>
  <c r="DT6" i="26"/>
  <c r="EN9" i="26"/>
  <c r="EQ12" i="26"/>
  <c r="CO18" i="26"/>
  <c r="M37" i="30"/>
  <c r="N37" i="30" s="1"/>
  <c r="AJ46" i="30"/>
  <c r="AK46" i="30" s="1"/>
  <c r="M50" i="30"/>
  <c r="N50" i="30" s="1"/>
  <c r="DV6" i="26"/>
  <c r="ES7" i="26"/>
  <c r="DJ11" i="26"/>
  <c r="ER12" i="26"/>
  <c r="CZ13" i="26"/>
  <c r="CQ18" i="26"/>
  <c r="CQ19" i="26"/>
  <c r="ER25" i="26"/>
  <c r="AD10" i="30"/>
  <c r="AE21" i="30"/>
  <c r="AJ40" i="30"/>
  <c r="AL40" i="30" s="1"/>
  <c r="AE53" i="30"/>
  <c r="AH53" i="30" s="1"/>
  <c r="M48" i="30"/>
  <c r="N48" i="30" s="1"/>
  <c r="K64" i="30"/>
  <c r="M72" i="30"/>
  <c r="N72" i="30" s="1"/>
  <c r="M42" i="30"/>
  <c r="N42" i="30" s="1"/>
  <c r="M71" i="30"/>
  <c r="N71" i="30" s="1"/>
  <c r="CE4" i="26"/>
  <c r="CL4" i="26"/>
  <c r="CK4" i="26"/>
  <c r="CG4" i="26"/>
  <c r="CF4" i="26"/>
  <c r="DF4" i="26"/>
  <c r="DM4" i="26"/>
  <c r="DL4" i="26"/>
  <c r="DH4" i="26"/>
  <c r="DG4" i="26"/>
  <c r="BX5" i="26"/>
  <c r="BW5" i="26"/>
  <c r="BV5" i="26"/>
  <c r="BZ5" i="26"/>
  <c r="BY5" i="26"/>
  <c r="CY5" i="26"/>
  <c r="CX5" i="26"/>
  <c r="CW5" i="26"/>
  <c r="DA5" i="26"/>
  <c r="CZ5" i="26"/>
  <c r="CU5" i="26"/>
  <c r="CT5" i="26"/>
  <c r="CS5" i="26"/>
  <c r="CR5" i="26"/>
  <c r="CN5" i="26"/>
  <c r="DV5" i="26"/>
  <c r="DU5" i="26"/>
  <c r="DT5" i="26"/>
  <c r="DS5" i="26"/>
  <c r="DO5" i="26"/>
  <c r="CE6" i="26"/>
  <c r="CL6" i="26"/>
  <c r="CK6" i="26"/>
  <c r="CG6" i="26"/>
  <c r="CF6" i="26"/>
  <c r="DF6" i="26"/>
  <c r="DM6" i="26"/>
  <c r="DL6" i="26"/>
  <c r="DH6" i="26"/>
  <c r="DG6" i="26"/>
  <c r="BX7" i="26"/>
  <c r="BW7" i="26"/>
  <c r="BV7" i="26"/>
  <c r="BZ7" i="26"/>
  <c r="BY7" i="26"/>
  <c r="CY7" i="26"/>
  <c r="CX7" i="26"/>
  <c r="CW7" i="26"/>
  <c r="DA7" i="26"/>
  <c r="CZ7" i="26"/>
  <c r="CU7" i="26"/>
  <c r="CT7" i="26"/>
  <c r="CS7" i="26"/>
  <c r="CR7" i="26"/>
  <c r="CN7" i="26"/>
  <c r="DV7" i="26"/>
  <c r="DU7" i="26"/>
  <c r="DT7" i="26"/>
  <c r="DS7" i="26"/>
  <c r="DO7" i="26"/>
  <c r="CE8" i="26"/>
  <c r="CL8" i="26"/>
  <c r="CK8" i="26"/>
  <c r="CG8" i="26"/>
  <c r="CF8" i="26"/>
  <c r="DF8" i="26"/>
  <c r="DM8" i="26"/>
  <c r="DL8" i="26"/>
  <c r="DH8" i="26"/>
  <c r="DG8" i="26"/>
  <c r="BX9" i="26"/>
  <c r="BW9" i="26"/>
  <c r="BV9" i="26"/>
  <c r="BZ9" i="26"/>
  <c r="BY9" i="26"/>
  <c r="CY9" i="26"/>
  <c r="CX9" i="26"/>
  <c r="CW9" i="26"/>
  <c r="DA9" i="26"/>
  <c r="CZ9" i="26"/>
  <c r="CU9" i="26"/>
  <c r="CT9" i="26"/>
  <c r="CS9" i="26"/>
  <c r="CR9" i="26"/>
  <c r="CN9" i="26"/>
  <c r="DV9" i="26"/>
  <c r="DU9" i="26"/>
  <c r="DT9" i="26"/>
  <c r="DS9" i="26"/>
  <c r="DO9" i="26"/>
  <c r="CE10" i="26"/>
  <c r="CL10" i="26"/>
  <c r="CK10" i="26"/>
  <c r="CG10" i="26"/>
  <c r="CF10" i="26"/>
  <c r="DF10" i="26"/>
  <c r="DM10" i="26"/>
  <c r="DL10" i="26"/>
  <c r="DH10" i="26"/>
  <c r="DG10" i="26"/>
  <c r="CA11" i="26"/>
  <c r="BX11" i="26"/>
  <c r="BW11" i="26"/>
  <c r="BV11" i="26"/>
  <c r="BZ11" i="26"/>
  <c r="BY11" i="26"/>
  <c r="DB11" i="26"/>
  <c r="DA11" i="26"/>
  <c r="DD11" i="26"/>
  <c r="DC11" i="26"/>
  <c r="CZ11" i="26"/>
  <c r="CY11" i="26"/>
  <c r="CX11" i="26"/>
  <c r="CW11" i="26"/>
  <c r="CO11" i="26"/>
  <c r="CN11" i="26"/>
  <c r="CU11" i="26"/>
  <c r="CQ11" i="26"/>
  <c r="CP11" i="26"/>
  <c r="DP11" i="26"/>
  <c r="DO11" i="26"/>
  <c r="DT11" i="26"/>
  <c r="DS11" i="26"/>
  <c r="DR11" i="26"/>
  <c r="DQ11" i="26"/>
  <c r="DV11" i="26"/>
  <c r="DU11" i="26"/>
  <c r="CH12" i="26"/>
  <c r="CG12" i="26"/>
  <c r="CF12" i="26"/>
  <c r="CE12" i="26"/>
  <c r="CJ12" i="26"/>
  <c r="CI12" i="26"/>
  <c r="U15" i="26"/>
  <c r="S15" i="26"/>
  <c r="U17" i="26"/>
  <c r="S17" i="26"/>
  <c r="EG19" i="26"/>
  <c r="EN19" i="26"/>
  <c r="EM19" i="26"/>
  <c r="EL19" i="26"/>
  <c r="EK19" i="26"/>
  <c r="EJ19" i="26"/>
  <c r="EI19" i="26"/>
  <c r="EH19" i="26"/>
  <c r="BZ20" i="26"/>
  <c r="BY20" i="26"/>
  <c r="BX20" i="26"/>
  <c r="BW20" i="26"/>
  <c r="BV20" i="26"/>
  <c r="CC20" i="26"/>
  <c r="CB20" i="26"/>
  <c r="CA20" i="26"/>
  <c r="DD20" i="26"/>
  <c r="DC20" i="26"/>
  <c r="DB20" i="26"/>
  <c r="DA20" i="26"/>
  <c r="CZ20" i="26"/>
  <c r="CY20" i="26"/>
  <c r="CX20" i="26"/>
  <c r="CW20" i="26"/>
  <c r="DX20" i="26"/>
  <c r="EE20" i="26"/>
  <c r="ED20" i="26"/>
  <c r="EC20" i="26"/>
  <c r="DY20" i="26"/>
  <c r="CU20" i="26"/>
  <c r="CT20" i="26"/>
  <c r="CP20" i="26"/>
  <c r="CO20" i="26"/>
  <c r="CN20" i="26"/>
  <c r="DV20" i="26"/>
  <c r="DU20" i="26"/>
  <c r="DT20" i="26"/>
  <c r="DS20" i="26"/>
  <c r="DR20" i="26"/>
  <c r="DQ20" i="26"/>
  <c r="DP20" i="26"/>
  <c r="DO20" i="26"/>
  <c r="EW20" i="26"/>
  <c r="EV20" i="26"/>
  <c r="EU20" i="26"/>
  <c r="ET20" i="26"/>
  <c r="EQ20" i="26"/>
  <c r="EP20" i="26"/>
  <c r="ES20" i="26"/>
  <c r="ER20" i="26"/>
  <c r="CC23" i="26"/>
  <c r="CA23" i="26"/>
  <c r="BZ23" i="26"/>
  <c r="BX23" i="26"/>
  <c r="BW23" i="26"/>
  <c r="BV23" i="26"/>
  <c r="CB23" i="26"/>
  <c r="BY23" i="26"/>
  <c r="CQ23" i="26"/>
  <c r="CP23" i="26"/>
  <c r="CO23" i="26"/>
  <c r="CR23" i="26"/>
  <c r="CN23" i="26"/>
  <c r="CU23" i="26"/>
  <c r="CT23" i="26"/>
  <c r="CS23" i="26"/>
  <c r="DY24" i="26"/>
  <c r="ED24" i="26"/>
  <c r="EE24" i="26"/>
  <c r="EC24" i="26"/>
  <c r="EB24" i="26"/>
  <c r="EA24" i="26"/>
  <c r="DZ24" i="26"/>
  <c r="DX24" i="26"/>
  <c r="EW24" i="26"/>
  <c r="EV24" i="26"/>
  <c r="ES24" i="26"/>
  <c r="ET24" i="26"/>
  <c r="ER24" i="26"/>
  <c r="EQ24" i="26"/>
  <c r="EP24" i="26"/>
  <c r="EU24" i="26"/>
  <c r="U26" i="26"/>
  <c r="S26" i="26"/>
  <c r="V26" i="26" s="1"/>
  <c r="L7" i="30"/>
  <c r="O7" i="30" s="1"/>
  <c r="M7" i="30"/>
  <c r="N7" i="30" s="1"/>
  <c r="K7" i="30"/>
  <c r="T19" i="30"/>
  <c r="M19" i="30"/>
  <c r="N19" i="30" s="1"/>
  <c r="K19" i="30"/>
  <c r="L20" i="30"/>
  <c r="O20" i="30" s="1"/>
  <c r="M20" i="30"/>
  <c r="N20" i="30" s="1"/>
  <c r="K20" i="30"/>
  <c r="AH25" i="30"/>
  <c r="AI25" i="30"/>
  <c r="L40" i="30"/>
  <c r="O40" i="30" s="1"/>
  <c r="M40" i="30"/>
  <c r="N40" i="30" s="1"/>
  <c r="AJ62" i="30"/>
  <c r="AM62" i="30" s="1"/>
  <c r="AE62" i="30"/>
  <c r="AH62" i="30" s="1"/>
  <c r="EU6" i="26"/>
  <c r="CY14" i="26"/>
  <c r="CX14" i="26"/>
  <c r="CW14" i="26"/>
  <c r="DC14" i="26"/>
  <c r="DT14" i="26"/>
  <c r="EI15" i="26"/>
  <c r="EG15" i="26"/>
  <c r="EH15" i="26"/>
  <c r="EB16" i="26"/>
  <c r="DZ16" i="26"/>
  <c r="DY16" i="26"/>
  <c r="DX16" i="26"/>
  <c r="EP16" i="26"/>
  <c r="EW16" i="26"/>
  <c r="EV16" i="26"/>
  <c r="EI17" i="26"/>
  <c r="EG17" i="26"/>
  <c r="EH17" i="26"/>
  <c r="EB18" i="26"/>
  <c r="DZ18" i="26"/>
  <c r="DY18" i="26"/>
  <c r="DX18" i="26"/>
  <c r="EP18" i="26"/>
  <c r="EW18" i="26"/>
  <c r="EV18" i="26"/>
  <c r="CI19" i="26"/>
  <c r="CG19" i="26"/>
  <c r="CF19" i="26"/>
  <c r="CE19" i="26"/>
  <c r="BW24" i="26"/>
  <c r="CC24" i="26"/>
  <c r="CB24" i="26"/>
  <c r="CA24" i="26"/>
  <c r="BX24" i="26"/>
  <c r="BZ24" i="26"/>
  <c r="BY24" i="26"/>
  <c r="BV24" i="26"/>
  <c r="L12" i="30"/>
  <c r="O12" i="30" s="1"/>
  <c r="K12" i="30"/>
  <c r="M12" i="30"/>
  <c r="N12" i="30" s="1"/>
  <c r="L22" i="30"/>
  <c r="O22" i="30" s="1"/>
  <c r="M22" i="30"/>
  <c r="N22" i="30" s="1"/>
  <c r="K22" i="30"/>
  <c r="CT4" i="26"/>
  <c r="DU4" i="26"/>
  <c r="EV4" i="26"/>
  <c r="CT6" i="26"/>
  <c r="DU6" i="26"/>
  <c r="EV6" i="26"/>
  <c r="DU8" i="26"/>
  <c r="EV8" i="26"/>
  <c r="CT10" i="26"/>
  <c r="DU10" i="26"/>
  <c r="EI10" i="26"/>
  <c r="EV10" i="26"/>
  <c r="DG11" i="26"/>
  <c r="EL11" i="26"/>
  <c r="DB12" i="26"/>
  <c r="EJ13" i="26"/>
  <c r="DZ14" i="26"/>
  <c r="DY14" i="26"/>
  <c r="DX14" i="26"/>
  <c r="DD14" i="26"/>
  <c r="DU14" i="26"/>
  <c r="EQ14" i="26"/>
  <c r="EJ15" i="26"/>
  <c r="EJ17" i="26"/>
  <c r="DL19" i="26"/>
  <c r="DK19" i="26"/>
  <c r="DJ19" i="26"/>
  <c r="DI19" i="26"/>
  <c r="DH19" i="26"/>
  <c r="CX24" i="26"/>
  <c r="DD24" i="26"/>
  <c r="DA24" i="26"/>
  <c r="CY24" i="26"/>
  <c r="CW24" i="26"/>
  <c r="DU24" i="26"/>
  <c r="DT24" i="26"/>
  <c r="DS24" i="26"/>
  <c r="DP24" i="26"/>
  <c r="DQ24" i="26"/>
  <c r="DO24" i="26"/>
  <c r="AN20" i="30"/>
  <c r="AM20" i="30"/>
  <c r="AL20" i="30"/>
  <c r="BX4" i="26"/>
  <c r="CY4" i="26"/>
  <c r="DZ4" i="26"/>
  <c r="CE5" i="26"/>
  <c r="DF5" i="26"/>
  <c r="EG5" i="26"/>
  <c r="ET5" i="26"/>
  <c r="BX6" i="26"/>
  <c r="CY6" i="26"/>
  <c r="DZ6" i="26"/>
  <c r="CE7" i="26"/>
  <c r="DF7" i="26"/>
  <c r="EG7" i="26"/>
  <c r="ET7" i="26"/>
  <c r="BX8" i="26"/>
  <c r="CY8" i="26"/>
  <c r="DZ8" i="26"/>
  <c r="CE9" i="26"/>
  <c r="DF9" i="26"/>
  <c r="EG9" i="26"/>
  <c r="ET9" i="26"/>
  <c r="BX10" i="26"/>
  <c r="CY10" i="26"/>
  <c r="DZ10" i="26"/>
  <c r="EC11" i="26"/>
  <c r="EB11" i="26"/>
  <c r="EQ11" i="26"/>
  <c r="EP11" i="26"/>
  <c r="CF11" i="26"/>
  <c r="DK11" i="26"/>
  <c r="EA11" i="26"/>
  <c r="ES11" i="26"/>
  <c r="DI12" i="26"/>
  <c r="DH12" i="26"/>
  <c r="DG12" i="26"/>
  <c r="DF12" i="26"/>
  <c r="BW12" i="26"/>
  <c r="CO12" i="26"/>
  <c r="DK12" i="26"/>
  <c r="DG13" i="26"/>
  <c r="EN13" i="26"/>
  <c r="BY14" i="26"/>
  <c r="CQ14" i="26"/>
  <c r="ED14" i="26"/>
  <c r="EU14" i="26"/>
  <c r="CI15" i="26"/>
  <c r="EN15" i="26"/>
  <c r="CA16" i="26"/>
  <c r="CZ16" i="26"/>
  <c r="DS16" i="26"/>
  <c r="ES16" i="26"/>
  <c r="CI17" i="26"/>
  <c r="EN17" i="26"/>
  <c r="CA18" i="26"/>
  <c r="CZ18" i="26"/>
  <c r="DR18" i="26"/>
  <c r="EQ18" i="26"/>
  <c r="CH19" i="26"/>
  <c r="DF19" i="26"/>
  <c r="DF21" i="26"/>
  <c r="DM21" i="26"/>
  <c r="DL21" i="26"/>
  <c r="BZ26" i="26"/>
  <c r="BX26" i="26"/>
  <c r="BW26" i="26"/>
  <c r="BV26" i="26"/>
  <c r="CB26" i="26"/>
  <c r="CA26" i="26"/>
  <c r="BY26" i="26"/>
  <c r="CN26" i="26"/>
  <c r="CS26" i="26"/>
  <c r="CO26" i="26"/>
  <c r="CU26" i="26"/>
  <c r="CT26" i="26"/>
  <c r="CR26" i="26"/>
  <c r="CQ26" i="26"/>
  <c r="CP26" i="26"/>
  <c r="U29" i="26"/>
  <c r="S29" i="26"/>
  <c r="AD15" i="30"/>
  <c r="CZ4" i="26"/>
  <c r="EA4" i="26"/>
  <c r="DG5" i="26"/>
  <c r="EH5" i="26"/>
  <c r="CZ6" i="26"/>
  <c r="EA6" i="26"/>
  <c r="DG7" i="26"/>
  <c r="EH7" i="26"/>
  <c r="CZ8" i="26"/>
  <c r="EA8" i="26"/>
  <c r="DG9" i="26"/>
  <c r="EH9" i="26"/>
  <c r="CZ10" i="26"/>
  <c r="EA10" i="26"/>
  <c r="DL11" i="26"/>
  <c r="EJ12" i="26"/>
  <c r="EI12" i="26"/>
  <c r="EH12" i="26"/>
  <c r="EG12" i="26"/>
  <c r="BX12" i="26"/>
  <c r="CP12" i="26"/>
  <c r="BZ14" i="26"/>
  <c r="CR14" i="26"/>
  <c r="DB16" i="26"/>
  <c r="ET16" i="26"/>
  <c r="DB18" i="26"/>
  <c r="DS18" i="26"/>
  <c r="ER18" i="26"/>
  <c r="U19" i="26"/>
  <c r="S19" i="26"/>
  <c r="CJ19" i="26"/>
  <c r="EH21" i="26"/>
  <c r="EG21" i="26"/>
  <c r="EM21" i="26"/>
  <c r="EL21" i="26"/>
  <c r="EK21" i="26"/>
  <c r="EJ21" i="26"/>
  <c r="EI21" i="26"/>
  <c r="DA28" i="26"/>
  <c r="DD28" i="26"/>
  <c r="CZ28" i="26"/>
  <c r="DO28" i="26"/>
  <c r="DU28" i="26"/>
  <c r="DV28" i="26"/>
  <c r="DR28" i="26"/>
  <c r="DQ28" i="26"/>
  <c r="DP28" i="26"/>
  <c r="CY28" i="26"/>
  <c r="AE31" i="30"/>
  <c r="AI31" i="30" s="1"/>
  <c r="AJ31" i="30"/>
  <c r="AM31" i="30" s="1"/>
  <c r="AJ35" i="30"/>
  <c r="AM35" i="30" s="1"/>
  <c r="AE35" i="30"/>
  <c r="AI35" i="30" s="1"/>
  <c r="BZ4" i="26"/>
  <c r="CN4" i="26"/>
  <c r="DA4" i="26"/>
  <c r="DO4" i="26"/>
  <c r="EB4" i="26"/>
  <c r="EP4" i="26"/>
  <c r="CG5" i="26"/>
  <c r="DH5" i="26"/>
  <c r="EI5" i="26"/>
  <c r="BZ6" i="26"/>
  <c r="CN6" i="26"/>
  <c r="DA6" i="26"/>
  <c r="DO6" i="26"/>
  <c r="EB6" i="26"/>
  <c r="EP6" i="26"/>
  <c r="CG7" i="26"/>
  <c r="DH7" i="26"/>
  <c r="EI7" i="26"/>
  <c r="BZ8" i="26"/>
  <c r="CN8" i="26"/>
  <c r="DA8" i="26"/>
  <c r="DO8" i="26"/>
  <c r="EB8" i="26"/>
  <c r="EP8" i="26"/>
  <c r="CG9" i="26"/>
  <c r="DH9" i="26"/>
  <c r="EI9" i="26"/>
  <c r="BZ10" i="26"/>
  <c r="CN10" i="26"/>
  <c r="DA10" i="26"/>
  <c r="DO10" i="26"/>
  <c r="EB10" i="26"/>
  <c r="EP10" i="26"/>
  <c r="CH11" i="26"/>
  <c r="EE11" i="26"/>
  <c r="EU11" i="26"/>
  <c r="BY12" i="26"/>
  <c r="DM12" i="26"/>
  <c r="DI13" i="26"/>
  <c r="CA14" i="26"/>
  <c r="CS14" i="26"/>
  <c r="DO14" i="26"/>
  <c r="CK15" i="26"/>
  <c r="DG15" i="26"/>
  <c r="DC16" i="26"/>
  <c r="EA16" i="26"/>
  <c r="EU16" i="26"/>
  <c r="CK17" i="26"/>
  <c r="DG17" i="26"/>
  <c r="DC18" i="26"/>
  <c r="ES18" i="26"/>
  <c r="CK19" i="26"/>
  <c r="DM19" i="26"/>
  <c r="DH21" i="26"/>
  <c r="EL22" i="26"/>
  <c r="EH22" i="26"/>
  <c r="EG22" i="26"/>
  <c r="EN22" i="26"/>
  <c r="EM22" i="26"/>
  <c r="EK22" i="26"/>
  <c r="EJ22" i="26"/>
  <c r="EI22" i="26"/>
  <c r="DC24" i="26"/>
  <c r="DB28" i="26"/>
  <c r="DB4" i="26"/>
  <c r="DP4" i="26"/>
  <c r="EC4" i="26"/>
  <c r="EQ4" i="26"/>
  <c r="DI5" i="26"/>
  <c r="EJ5" i="26"/>
  <c r="DB6" i="26"/>
  <c r="DP6" i="26"/>
  <c r="EC6" i="26"/>
  <c r="EQ6" i="26"/>
  <c r="EJ7" i="26"/>
  <c r="DB8" i="26"/>
  <c r="DP8" i="26"/>
  <c r="EC8" i="26"/>
  <c r="EQ8" i="26"/>
  <c r="CH9" i="26"/>
  <c r="DI9" i="26"/>
  <c r="EJ9" i="26"/>
  <c r="DB10" i="26"/>
  <c r="DP10" i="26"/>
  <c r="EC10" i="26"/>
  <c r="EQ10" i="26"/>
  <c r="EG11" i="26"/>
  <c r="BZ12" i="26"/>
  <c r="CW12" i="26"/>
  <c r="DO12" i="26"/>
  <c r="EK12" i="26"/>
  <c r="DJ13" i="26"/>
  <c r="CB14" i="26"/>
  <c r="CT14" i="26"/>
  <c r="DP14" i="26"/>
  <c r="DI15" i="26"/>
  <c r="EC16" i="26"/>
  <c r="DI17" i="26"/>
  <c r="EA18" i="26"/>
  <c r="ET18" i="26"/>
  <c r="CL19" i="26"/>
  <c r="DI21" i="26"/>
  <c r="EN21" i="26"/>
  <c r="DC28" i="26"/>
  <c r="DC4" i="26"/>
  <c r="DQ4" i="26"/>
  <c r="ED4" i="26"/>
  <c r="ER4" i="26"/>
  <c r="DJ5" i="26"/>
  <c r="EK5" i="26"/>
  <c r="DC6" i="26"/>
  <c r="DQ6" i="26"/>
  <c r="ED6" i="26"/>
  <c r="ER6" i="26"/>
  <c r="DJ7" i="26"/>
  <c r="EK7" i="26"/>
  <c r="DC8" i="26"/>
  <c r="DQ8" i="26"/>
  <c r="ED8" i="26"/>
  <c r="ER8" i="26"/>
  <c r="DJ9" i="26"/>
  <c r="EK9" i="26"/>
  <c r="DC10" i="26"/>
  <c r="DQ10" i="26"/>
  <c r="ED10" i="26"/>
  <c r="ER10" i="26"/>
  <c r="EH11" i="26"/>
  <c r="EW11" i="26"/>
  <c r="CA12" i="26"/>
  <c r="CX12" i="26"/>
  <c r="DP12" i="26"/>
  <c r="EL12" i="26"/>
  <c r="DK13" i="26"/>
  <c r="CZ14" i="26"/>
  <c r="DQ14" i="26"/>
  <c r="DJ15" i="26"/>
  <c r="ED16" i="26"/>
  <c r="DJ17" i="26"/>
  <c r="EC18" i="26"/>
  <c r="EU18" i="26"/>
  <c r="DJ21" i="26"/>
  <c r="U25" i="26"/>
  <c r="S25" i="26"/>
  <c r="V25" i="26" s="1"/>
  <c r="EA25" i="26"/>
  <c r="U27" i="26"/>
  <c r="S27" i="26"/>
  <c r="V27" i="26" s="1"/>
  <c r="ES4" i="26"/>
  <c r="EL5" i="26"/>
  <c r="ES6" i="26"/>
  <c r="EL7" i="26"/>
  <c r="ES8" i="26"/>
  <c r="EL9" i="26"/>
  <c r="ES10" i="26"/>
  <c r="EI11" i="26"/>
  <c r="CU12" i="26"/>
  <c r="CT12" i="26"/>
  <c r="CS12" i="26"/>
  <c r="CR12" i="26"/>
  <c r="CY12" i="26"/>
  <c r="EM12" i="26"/>
  <c r="DA14" i="26"/>
  <c r="DR14" i="26"/>
  <c r="CG15" i="26"/>
  <c r="CE15" i="26"/>
  <c r="BZ16" i="26"/>
  <c r="BX16" i="26"/>
  <c r="BW16" i="26"/>
  <c r="BV16" i="26"/>
  <c r="CN16" i="26"/>
  <c r="CU16" i="26"/>
  <c r="CT16" i="26"/>
  <c r="EE16" i="26"/>
  <c r="CG17" i="26"/>
  <c r="CE17" i="26"/>
  <c r="BZ18" i="26"/>
  <c r="BX18" i="26"/>
  <c r="BW18" i="26"/>
  <c r="BV18" i="26"/>
  <c r="CN18" i="26"/>
  <c r="CU18" i="26"/>
  <c r="CT18" i="26"/>
  <c r="ED18" i="26"/>
  <c r="S21" i="26"/>
  <c r="U21" i="26"/>
  <c r="AJ22" i="30"/>
  <c r="AE22" i="30"/>
  <c r="DV12" i="26"/>
  <c r="DU12" i="26"/>
  <c r="DT12" i="26"/>
  <c r="DS12" i="26"/>
  <c r="DR12" i="26"/>
  <c r="BX14" i="26"/>
  <c r="BW14" i="26"/>
  <c r="BV14" i="26"/>
  <c r="DB14" i="26"/>
  <c r="DS14" i="26"/>
  <c r="DH15" i="26"/>
  <c r="DF15" i="26"/>
  <c r="DL15" i="26"/>
  <c r="DA16" i="26"/>
  <c r="CY16" i="26"/>
  <c r="CX16" i="26"/>
  <c r="CW16" i="26"/>
  <c r="DO16" i="26"/>
  <c r="DV16" i="26"/>
  <c r="DU16" i="26"/>
  <c r="DH17" i="26"/>
  <c r="DF17" i="26"/>
  <c r="DL17" i="26"/>
  <c r="DA18" i="26"/>
  <c r="CY18" i="26"/>
  <c r="CX18" i="26"/>
  <c r="CW18" i="26"/>
  <c r="DO18" i="26"/>
  <c r="DV18" i="26"/>
  <c r="DU18" i="26"/>
  <c r="EE18" i="26"/>
  <c r="DZ25" i="26"/>
  <c r="DY25" i="26"/>
  <c r="DX25" i="26"/>
  <c r="EE25" i="26"/>
  <c r="ED25" i="26"/>
  <c r="EC25" i="26"/>
  <c r="EV25" i="26"/>
  <c r="EP25" i="26"/>
  <c r="EQ25" i="26"/>
  <c r="CA21" i="26"/>
  <c r="BZ21" i="26"/>
  <c r="CQ21" i="26"/>
  <c r="CO21" i="26"/>
  <c r="CN21" i="26"/>
  <c r="CU21" i="26"/>
  <c r="BW22" i="26"/>
  <c r="CA22" i="26"/>
  <c r="BZ22" i="26"/>
  <c r="CP22" i="26"/>
  <c r="CO22" i="26"/>
  <c r="EE23" i="26"/>
  <c r="EC23" i="26"/>
  <c r="ES23" i="26"/>
  <c r="EW23" i="26"/>
  <c r="EV23" i="26"/>
  <c r="ER23" i="26"/>
  <c r="ED23" i="26"/>
  <c r="CX29" i="26"/>
  <c r="AJ30" i="30"/>
  <c r="AM30" i="30" s="1"/>
  <c r="AE30" i="30"/>
  <c r="AI30" i="30" s="1"/>
  <c r="AJ52" i="30"/>
  <c r="AM52" i="30" s="1"/>
  <c r="AE52" i="30"/>
  <c r="AF52" i="30" s="1"/>
  <c r="ET12" i="26"/>
  <c r="CA13" i="26"/>
  <c r="CO13" i="26"/>
  <c r="DB13" i="26"/>
  <c r="DP13" i="26"/>
  <c r="EC13" i="26"/>
  <c r="EQ13" i="26"/>
  <c r="CH14" i="26"/>
  <c r="DI14" i="26"/>
  <c r="EJ14" i="26"/>
  <c r="CA15" i="26"/>
  <c r="CO15" i="26"/>
  <c r="DB15" i="26"/>
  <c r="DP15" i="26"/>
  <c r="EC15" i="26"/>
  <c r="EQ15" i="26"/>
  <c r="CH16" i="26"/>
  <c r="DI16" i="26"/>
  <c r="EJ16" i="26"/>
  <c r="CA17" i="26"/>
  <c r="CO17" i="26"/>
  <c r="DB17" i="26"/>
  <c r="DP17" i="26"/>
  <c r="EC17" i="26"/>
  <c r="EQ17" i="26"/>
  <c r="CH18" i="26"/>
  <c r="EJ18" i="26"/>
  <c r="DD21" i="26"/>
  <c r="DC21" i="26"/>
  <c r="DB21" i="26"/>
  <c r="DR21" i="26"/>
  <c r="DS21" i="26"/>
  <c r="DQ21" i="26"/>
  <c r="CF21" i="26"/>
  <c r="CW21" i="26"/>
  <c r="ED21" i="26"/>
  <c r="CX22" i="26"/>
  <c r="DD22" i="26"/>
  <c r="DC22" i="26"/>
  <c r="DS22" i="26"/>
  <c r="DR22" i="26"/>
  <c r="CG22" i="26"/>
  <c r="CY22" i="26"/>
  <c r="DP22" i="26"/>
  <c r="EG23" i="26"/>
  <c r="AD12" i="30"/>
  <c r="T18" i="30"/>
  <c r="M18" i="30"/>
  <c r="N18" i="30" s="1"/>
  <c r="L18" i="30"/>
  <c r="O18" i="30" s="1"/>
  <c r="K18" i="30"/>
  <c r="M24" i="30"/>
  <c r="N24" i="30" s="1"/>
  <c r="L24" i="30"/>
  <c r="O24" i="30" s="1"/>
  <c r="K24" i="30"/>
  <c r="CB13" i="26"/>
  <c r="CP13" i="26"/>
  <c r="CI14" i="26"/>
  <c r="CB15" i="26"/>
  <c r="CP15" i="26"/>
  <c r="CI16" i="26"/>
  <c r="EK16" i="26"/>
  <c r="CB17" i="26"/>
  <c r="CP17" i="26"/>
  <c r="CI18" i="26"/>
  <c r="CA19" i="26"/>
  <c r="BZ19" i="26"/>
  <c r="CO19" i="26"/>
  <c r="CN19" i="26"/>
  <c r="CT19" i="26"/>
  <c r="CH20" i="26"/>
  <c r="CG20" i="26"/>
  <c r="CK20" i="26"/>
  <c r="ES21" i="26"/>
  <c r="EV21" i="26"/>
  <c r="EU21" i="26"/>
  <c r="CG21" i="26"/>
  <c r="EV22" i="26"/>
  <c r="EU22" i="26"/>
  <c r="CH22" i="26"/>
  <c r="EJ23" i="26"/>
  <c r="CE25" i="26"/>
  <c r="CL25" i="26"/>
  <c r="DF27" i="26"/>
  <c r="DD29" i="26"/>
  <c r="DC29" i="26"/>
  <c r="DB29" i="26"/>
  <c r="CY29" i="26"/>
  <c r="DU29" i="26"/>
  <c r="DT29" i="26"/>
  <c r="DV29" i="26"/>
  <c r="DS29" i="26"/>
  <c r="DP29" i="26"/>
  <c r="DA29" i="26"/>
  <c r="M5" i="30"/>
  <c r="N5" i="30" s="1"/>
  <c r="L5" i="30"/>
  <c r="O5" i="30" s="1"/>
  <c r="K5" i="30"/>
  <c r="L30" i="30"/>
  <c r="O30" i="30" s="1"/>
  <c r="M30" i="30"/>
  <c r="N30" i="30" s="1"/>
  <c r="K30" i="30"/>
  <c r="EV12" i="26"/>
  <c r="CQ13" i="26"/>
  <c r="DR13" i="26"/>
  <c r="ES13" i="26"/>
  <c r="CJ14" i="26"/>
  <c r="DK14" i="26"/>
  <c r="EL14" i="26"/>
  <c r="CQ15" i="26"/>
  <c r="DR15" i="26"/>
  <c r="ES15" i="26"/>
  <c r="CJ16" i="26"/>
  <c r="DK16" i="26"/>
  <c r="EL16" i="26"/>
  <c r="CQ17" i="26"/>
  <c r="DR17" i="26"/>
  <c r="ES17" i="26"/>
  <c r="CJ18" i="26"/>
  <c r="DK18" i="26"/>
  <c r="EL18" i="26"/>
  <c r="DB19" i="26"/>
  <c r="DA19" i="26"/>
  <c r="DP19" i="26"/>
  <c r="DO19" i="26"/>
  <c r="CU19" i="26"/>
  <c r="DI20" i="26"/>
  <c r="DH20" i="26"/>
  <c r="CL20" i="26"/>
  <c r="CH21" i="26"/>
  <c r="CY21" i="26"/>
  <c r="DP21" i="26"/>
  <c r="CI22" i="26"/>
  <c r="DA22" i="26"/>
  <c r="DT22" i="26"/>
  <c r="CK23" i="26"/>
  <c r="EK23" i="26"/>
  <c r="CJ24" i="26"/>
  <c r="CL24" i="26"/>
  <c r="EG24" i="26"/>
  <c r="DH25" i="26"/>
  <c r="DF25" i="26"/>
  <c r="DJ25" i="26"/>
  <c r="DI25" i="26"/>
  <c r="DG25" i="26"/>
  <c r="DM25" i="26"/>
  <c r="AN19" i="30"/>
  <c r="AL19" i="30"/>
  <c r="EC19" i="26"/>
  <c r="EB19" i="26"/>
  <c r="EQ19" i="26"/>
  <c r="EP19" i="26"/>
  <c r="CW19" i="26"/>
  <c r="ED19" i="26"/>
  <c r="ET19" i="26"/>
  <c r="EJ20" i="26"/>
  <c r="EI20" i="26"/>
  <c r="EK20" i="26"/>
  <c r="CI21" i="26"/>
  <c r="CZ21" i="26"/>
  <c r="DT21" i="26"/>
  <c r="CK22" i="26"/>
  <c r="DB22" i="26"/>
  <c r="DU22" i="26"/>
  <c r="CG27" i="26"/>
  <c r="CF27" i="26"/>
  <c r="CE27" i="26"/>
  <c r="AD27" i="30"/>
  <c r="AD26" i="30"/>
  <c r="AD23" i="30"/>
  <c r="AD20" i="30"/>
  <c r="AD17" i="30"/>
  <c r="AD14" i="30"/>
  <c r="AD11" i="30"/>
  <c r="AD8" i="30"/>
  <c r="AD28" i="30"/>
  <c r="AD19" i="30"/>
  <c r="AD18" i="30"/>
  <c r="AD16" i="30"/>
  <c r="AD6" i="30"/>
  <c r="AD24" i="30"/>
  <c r="AD22" i="30"/>
  <c r="AD13" i="30"/>
  <c r="AD9" i="30"/>
  <c r="AE17" i="30"/>
  <c r="AJ17" i="30"/>
  <c r="AM17" i="30" s="1"/>
  <c r="M27" i="30"/>
  <c r="N27" i="30" s="1"/>
  <c r="L27" i="30"/>
  <c r="O27" i="30" s="1"/>
  <c r="K27" i="30"/>
  <c r="DG23" i="26"/>
  <c r="EL24" i="26"/>
  <c r="EJ24" i="26"/>
  <c r="EI24" i="26"/>
  <c r="EH24" i="26"/>
  <c r="EM24" i="26"/>
  <c r="DH27" i="26"/>
  <c r="DG27" i="26"/>
  <c r="DL27" i="26"/>
  <c r="DK27" i="26"/>
  <c r="DJ27" i="26"/>
  <c r="DI27" i="26"/>
  <c r="M6" i="30"/>
  <c r="N6" i="30" s="1"/>
  <c r="L6" i="30"/>
  <c r="O6" i="30" s="1"/>
  <c r="AE37" i="30"/>
  <c r="AI37" i="30" s="1"/>
  <c r="AJ37" i="30"/>
  <c r="AM37" i="30" s="1"/>
  <c r="BV21" i="26"/>
  <c r="BV22" i="26"/>
  <c r="CN22" i="26"/>
  <c r="EI23" i="26"/>
  <c r="EH23" i="26"/>
  <c r="DH23" i="26"/>
  <c r="EN23" i="26"/>
  <c r="EN24" i="26"/>
  <c r="T26" i="30"/>
  <c r="L26" i="30"/>
  <c r="O26" i="30" s="1"/>
  <c r="L62" i="30"/>
  <c r="O62" i="30" s="1"/>
  <c r="K62" i="30"/>
  <c r="EI25" i="26"/>
  <c r="EJ25" i="26"/>
  <c r="EH25" i="26"/>
  <c r="DL26" i="26"/>
  <c r="EC26" i="26"/>
  <c r="ES26" i="26"/>
  <c r="EI27" i="26"/>
  <c r="EK27" i="26"/>
  <c r="EJ27" i="26"/>
  <c r="EI28" i="26"/>
  <c r="EG29" i="26"/>
  <c r="L10" i="30"/>
  <c r="O10" i="30" s="1"/>
  <c r="M10" i="30"/>
  <c r="N10" i="30" s="1"/>
  <c r="K10" i="30"/>
  <c r="AJ29" i="30"/>
  <c r="AM29" i="30" s="1"/>
  <c r="AE29" i="30"/>
  <c r="AF29" i="30" s="1"/>
  <c r="L52" i="30"/>
  <c r="O52" i="30" s="1"/>
  <c r="M52" i="30"/>
  <c r="N52" i="30" s="1"/>
  <c r="AJ55" i="30"/>
  <c r="AM55" i="30" s="1"/>
  <c r="AE55" i="30"/>
  <c r="AF55" i="30" s="1"/>
  <c r="L65" i="30"/>
  <c r="O65" i="30" s="1"/>
  <c r="K65" i="30"/>
  <c r="AJ68" i="30"/>
  <c r="AM68" i="30" s="1"/>
  <c r="AE68" i="30"/>
  <c r="AI68" i="30" s="1"/>
  <c r="AJ58" i="30"/>
  <c r="AM58" i="30" s="1"/>
  <c r="AE58" i="30"/>
  <c r="AF58" i="30" s="1"/>
  <c r="AN64" i="30"/>
  <c r="AL64" i="30"/>
  <c r="AK64" i="30"/>
  <c r="AL21" i="30"/>
  <c r="AN21" i="30"/>
  <c r="AM21" i="30"/>
  <c r="M25" i="30"/>
  <c r="N25" i="30" s="1"/>
  <c r="M29" i="30"/>
  <c r="N29" i="30" s="1"/>
  <c r="L29" i="30"/>
  <c r="O29" i="30" s="1"/>
  <c r="K29" i="30"/>
  <c r="AE44" i="30"/>
  <c r="AH44" i="30" s="1"/>
  <c r="L55" i="30"/>
  <c r="O55" i="30" s="1"/>
  <c r="M55" i="30"/>
  <c r="N55" i="30" s="1"/>
  <c r="CP24" i="26"/>
  <c r="CA25" i="26"/>
  <c r="EM25" i="26"/>
  <c r="CJ26" i="26"/>
  <c r="EG26" i="26"/>
  <c r="EV26" i="26"/>
  <c r="CA27" i="26"/>
  <c r="DY27" i="26"/>
  <c r="EN27" i="26"/>
  <c r="CL28" i="26"/>
  <c r="EM29" i="26"/>
  <c r="M35" i="30"/>
  <c r="N35" i="30" s="1"/>
  <c r="L35" i="30"/>
  <c r="O35" i="30" s="1"/>
  <c r="AJ50" i="30"/>
  <c r="AM50" i="30" s="1"/>
  <c r="AE50" i="30"/>
  <c r="AH50" i="30" s="1"/>
  <c r="K58" i="30"/>
  <c r="M58" i="30"/>
  <c r="N58" i="30" s="1"/>
  <c r="CQ24" i="26"/>
  <c r="CT25" i="26"/>
  <c r="CQ25" i="26"/>
  <c r="CB25" i="26"/>
  <c r="CR25" i="26"/>
  <c r="EN25" i="26"/>
  <c r="CK26" i="26"/>
  <c r="EH26" i="26"/>
  <c r="EW26" i="26"/>
  <c r="CT27" i="26"/>
  <c r="CR27" i="26"/>
  <c r="CB27" i="26"/>
  <c r="CS27" i="26"/>
  <c r="DZ27" i="26"/>
  <c r="EP27" i="26"/>
  <c r="DI28" i="26"/>
  <c r="DG28" i="26"/>
  <c r="DF28" i="26"/>
  <c r="CG29" i="26"/>
  <c r="CE29" i="26"/>
  <c r="CL29" i="26"/>
  <c r="M21" i="30"/>
  <c r="N21" i="30" s="1"/>
  <c r="M23" i="30"/>
  <c r="N23" i="30" s="1"/>
  <c r="L23" i="30"/>
  <c r="O23" i="30" s="1"/>
  <c r="AE34" i="30"/>
  <c r="AF34" i="30" s="1"/>
  <c r="AJ34" i="30"/>
  <c r="AM34" i="30" s="1"/>
  <c r="EI26" i="26"/>
  <c r="EA27" i="26"/>
  <c r="EQ27" i="26"/>
  <c r="EL28" i="26"/>
  <c r="EJ28" i="26"/>
  <c r="DH29" i="26"/>
  <c r="DI29" i="26"/>
  <c r="DF29" i="26"/>
  <c r="M11" i="30"/>
  <c r="N11" i="30" s="1"/>
  <c r="L11" i="30"/>
  <c r="O11" i="30" s="1"/>
  <c r="K11" i="30"/>
  <c r="L13" i="30"/>
  <c r="O13" i="30" s="1"/>
  <c r="M13" i="30"/>
  <c r="N13" i="30" s="1"/>
  <c r="K13" i="30"/>
  <c r="AJ38" i="30"/>
  <c r="AK38" i="30" s="1"/>
  <c r="AE38" i="30"/>
  <c r="AG38" i="30" s="1"/>
  <c r="EJ26" i="26"/>
  <c r="ER27" i="26"/>
  <c r="EI29" i="26"/>
  <c r="EL29" i="26"/>
  <c r="EJ29" i="26"/>
  <c r="M9" i="30"/>
  <c r="N9" i="30" s="1"/>
  <c r="L34" i="30"/>
  <c r="O34" i="30" s="1"/>
  <c r="AN67" i="30"/>
  <c r="AL67" i="30"/>
  <c r="AK67" i="30"/>
  <c r="L68" i="30"/>
  <c r="O68" i="30" s="1"/>
  <c r="K68" i="30"/>
  <c r="CC28" i="26"/>
  <c r="CR28" i="26"/>
  <c r="CQ29" i="26"/>
  <c r="L16" i="30"/>
  <c r="O16" i="30" s="1"/>
  <c r="AE26" i="30"/>
  <c r="AG26" i="30" s="1"/>
  <c r="M32" i="30"/>
  <c r="N32" i="30" s="1"/>
  <c r="L38" i="30"/>
  <c r="O38" i="30" s="1"/>
  <c r="K38" i="30"/>
  <c r="L43" i="30"/>
  <c r="O43" i="30" s="1"/>
  <c r="M43" i="30"/>
  <c r="N43" i="30" s="1"/>
  <c r="AE49" i="30"/>
  <c r="AI49" i="30" s="1"/>
  <c r="AJ49" i="30"/>
  <c r="AM49" i="30" s="1"/>
  <c r="M68" i="30"/>
  <c r="N68" i="30" s="1"/>
  <c r="AK26" i="30"/>
  <c r="DT25" i="26"/>
  <c r="DV26" i="26"/>
  <c r="DV27" i="26"/>
  <c r="CT28" i="26"/>
  <c r="DX28" i="26"/>
  <c r="CS29" i="26"/>
  <c r="AL26" i="30"/>
  <c r="L19" i="30"/>
  <c r="O19" i="30" s="1"/>
  <c r="K41" i="30"/>
  <c r="M41" i="30"/>
  <c r="N41" i="30" s="1"/>
  <c r="M64" i="30"/>
  <c r="N64" i="30" s="1"/>
  <c r="AJ43" i="30"/>
  <c r="AM43" i="30" s="1"/>
  <c r="M47" i="30"/>
  <c r="N47" i="30" s="1"/>
  <c r="K61" i="30"/>
  <c r="M69" i="30"/>
  <c r="N69" i="30" s="1"/>
  <c r="M61" i="30"/>
  <c r="N61" i="30" s="1"/>
  <c r="M62" i="30"/>
  <c r="N62" i="30" s="1"/>
  <c r="M59" i="30"/>
  <c r="N59" i="30" s="1"/>
  <c r="M53" i="30"/>
  <c r="N53" i="30" s="1"/>
  <c r="M56" i="30"/>
  <c r="N56" i="30" s="1"/>
  <c r="K59" i="30"/>
  <c r="AE65" i="30"/>
  <c r="AH65" i="30" s="1"/>
  <c r="M49" i="30"/>
  <c r="N49" i="30" s="1"/>
  <c r="K50" i="30"/>
  <c r="K53" i="30"/>
  <c r="K56" i="30"/>
  <c r="K70" i="30"/>
  <c r="AE32" i="30"/>
  <c r="AG32" i="30" s="1"/>
  <c r="M46" i="30"/>
  <c r="N46" i="30" s="1"/>
  <c r="K67" i="30"/>
  <c r="AD73" i="30"/>
  <c r="AD70" i="30"/>
  <c r="AD67" i="30"/>
  <c r="AD64" i="30"/>
  <c r="AD61" i="30"/>
  <c r="AD58" i="30"/>
  <c r="AD55" i="30"/>
  <c r="AD52" i="30"/>
  <c r="AD49" i="30"/>
  <c r="AD46" i="30"/>
  <c r="AD43" i="30"/>
  <c r="AD40" i="30"/>
  <c r="AD37" i="30"/>
  <c r="AD34" i="30"/>
  <c r="AD31" i="30"/>
  <c r="AD72" i="30"/>
  <c r="AD69" i="30"/>
  <c r="AD71" i="30"/>
  <c r="AD68" i="30"/>
  <c r="AD65" i="30"/>
  <c r="AD62" i="30"/>
  <c r="AD59" i="30"/>
  <c r="AD56" i="30"/>
  <c r="AD53" i="30"/>
  <c r="AD50" i="30"/>
  <c r="AD47" i="30"/>
  <c r="AD44" i="30"/>
  <c r="AD41" i="30"/>
  <c r="AD38" i="30"/>
  <c r="AD35" i="30"/>
  <c r="AD32" i="30"/>
  <c r="AD29" i="30"/>
  <c r="AE33" i="30"/>
  <c r="AJ33" i="30"/>
  <c r="M51" i="30"/>
  <c r="N51" i="30" s="1"/>
  <c r="AD66" i="30"/>
  <c r="AM32" i="30"/>
  <c r="AL32" i="30"/>
  <c r="AK32" i="30"/>
  <c r="AN32" i="30"/>
  <c r="AE45" i="30"/>
  <c r="AJ45" i="30"/>
  <c r="AH46" i="30"/>
  <c r="AG46" i="30"/>
  <c r="AF46" i="30"/>
  <c r="AD48" i="30"/>
  <c r="M54" i="30"/>
  <c r="N54" i="30" s="1"/>
  <c r="M63" i="30"/>
  <c r="N63" i="30" s="1"/>
  <c r="AI73" i="30"/>
  <c r="AH73" i="30"/>
  <c r="AG73" i="30"/>
  <c r="AF73" i="30"/>
  <c r="AD33" i="30"/>
  <c r="M36" i="30"/>
  <c r="N36" i="30" s="1"/>
  <c r="L36" i="30"/>
  <c r="O36" i="30" s="1"/>
  <c r="K36" i="30"/>
  <c r="AD39" i="30"/>
  <c r="AM44" i="30"/>
  <c r="AL44" i="30"/>
  <c r="AK44" i="30"/>
  <c r="AN44" i="30"/>
  <c r="AM53" i="30"/>
  <c r="AL53" i="30"/>
  <c r="AK53" i="30"/>
  <c r="AN53" i="30"/>
  <c r="AE54" i="30"/>
  <c r="AJ54" i="30"/>
  <c r="AD57" i="30"/>
  <c r="AE63" i="30"/>
  <c r="AJ63" i="30"/>
  <c r="AD30" i="30"/>
  <c r="AE39" i="30"/>
  <c r="AJ39" i="30"/>
  <c r="AH40" i="30"/>
  <c r="AG40" i="30"/>
  <c r="AF40" i="30"/>
  <c r="AM47" i="30"/>
  <c r="AL47" i="30"/>
  <c r="AK47" i="30"/>
  <c r="AN47" i="30"/>
  <c r="AE57" i="30"/>
  <c r="AJ57" i="30"/>
  <c r="AD60" i="30"/>
  <c r="AM65" i="30"/>
  <c r="AL65" i="30"/>
  <c r="AK65" i="30"/>
  <c r="AN65" i="30"/>
  <c r="AE66" i="30"/>
  <c r="AJ66" i="30"/>
  <c r="AD51" i="30"/>
  <c r="M33" i="30"/>
  <c r="N33" i="30" s="1"/>
  <c r="L33" i="30"/>
  <c r="O33" i="30" s="1"/>
  <c r="K33" i="30"/>
  <c r="AD36" i="30"/>
  <c r="M39" i="30"/>
  <c r="N39" i="30" s="1"/>
  <c r="L39" i="30"/>
  <c r="O39" i="30" s="1"/>
  <c r="K39" i="30"/>
  <c r="AD42" i="30"/>
  <c r="AE48" i="30"/>
  <c r="AJ48" i="30"/>
  <c r="M57" i="30"/>
  <c r="N57" i="30" s="1"/>
  <c r="M66" i="30"/>
  <c r="N66" i="30" s="1"/>
  <c r="AI72" i="30"/>
  <c r="AH72" i="30"/>
  <c r="AG72" i="30"/>
  <c r="AF72" i="30"/>
  <c r="AM71" i="30"/>
  <c r="AL71" i="30"/>
  <c r="AK71" i="30"/>
  <c r="AN71" i="30"/>
  <c r="AD54" i="30"/>
  <c r="AE69" i="30"/>
  <c r="AJ69" i="30"/>
  <c r="AE51" i="30"/>
  <c r="AJ51" i="30"/>
  <c r="AD63" i="30"/>
  <c r="AE36" i="30"/>
  <c r="AJ36" i="30"/>
  <c r="AE42" i="30"/>
  <c r="AJ42" i="30"/>
  <c r="AH43" i="30"/>
  <c r="AG43" i="30"/>
  <c r="AF43" i="30"/>
  <c r="AD45" i="30"/>
  <c r="AI46" i="30"/>
  <c r="M60" i="30"/>
  <c r="N60" i="30" s="1"/>
  <c r="AF25" i="30"/>
  <c r="T53" i="30"/>
  <c r="T56" i="30"/>
  <c r="T59" i="30"/>
  <c r="T62" i="30"/>
  <c r="T65" i="30"/>
  <c r="T68" i="30"/>
  <c r="T71" i="30"/>
  <c r="AJ72" i="30"/>
  <c r="AG25" i="30"/>
  <c r="K31" i="30"/>
  <c r="K34" i="30"/>
  <c r="K37" i="30"/>
  <c r="K40" i="30"/>
  <c r="K43" i="30"/>
  <c r="K46" i="30"/>
  <c r="K49" i="30"/>
  <c r="K52" i="30"/>
  <c r="K55" i="30"/>
  <c r="K73" i="30"/>
  <c r="L58" i="30"/>
  <c r="O58" i="30" s="1"/>
  <c r="L61" i="30"/>
  <c r="O61" i="30" s="1"/>
  <c r="L64" i="30"/>
  <c r="O64" i="30" s="1"/>
  <c r="L67" i="30"/>
  <c r="O67" i="30" s="1"/>
  <c r="L70" i="30"/>
  <c r="O70" i="30" s="1"/>
  <c r="L73" i="30"/>
  <c r="O73" i="30" s="1"/>
  <c r="AJ73" i="30"/>
  <c r="AM64" i="30"/>
  <c r="AM67" i="30"/>
  <c r="K42" i="30"/>
  <c r="K45" i="30"/>
  <c r="K48" i="30"/>
  <c r="K51" i="30"/>
  <c r="K54" i="30"/>
  <c r="K57" i="30"/>
  <c r="K60" i="30"/>
  <c r="K63" i="30"/>
  <c r="K66" i="30"/>
  <c r="K69" i="30"/>
  <c r="K72" i="30"/>
  <c r="L42" i="30"/>
  <c r="O42" i="30" s="1"/>
  <c r="L45" i="30"/>
  <c r="O45" i="30" s="1"/>
  <c r="L48" i="30"/>
  <c r="O48" i="30" s="1"/>
  <c r="L51" i="30"/>
  <c r="O51" i="30" s="1"/>
  <c r="L54" i="30"/>
  <c r="O54" i="30" s="1"/>
  <c r="L57" i="30"/>
  <c r="O57" i="30" s="1"/>
  <c r="L60" i="30"/>
  <c r="O60" i="30" s="1"/>
  <c r="L63" i="30"/>
  <c r="O63" i="30" s="1"/>
  <c r="L66" i="30"/>
  <c r="O66" i="30" s="1"/>
  <c r="L69" i="30"/>
  <c r="O69" i="30" s="1"/>
  <c r="L72" i="30"/>
  <c r="O72" i="30" s="1"/>
  <c r="F6" i="33" l="1"/>
  <c r="J8" i="33"/>
  <c r="G29" i="33"/>
  <c r="F25" i="33"/>
  <c r="M7" i="33"/>
  <c r="O27" i="33"/>
  <c r="H28" i="33"/>
  <c r="O14" i="33"/>
  <c r="C27" i="33"/>
  <c r="O24" i="33"/>
  <c r="C16" i="33"/>
  <c r="F3" i="33"/>
  <c r="M12" i="33"/>
  <c r="N11" i="33"/>
  <c r="H23" i="33"/>
  <c r="H10" i="33"/>
  <c r="K22" i="33"/>
  <c r="G17" i="33"/>
  <c r="O9" i="33"/>
  <c r="F5" i="33"/>
  <c r="H4" i="33"/>
  <c r="F13" i="33"/>
  <c r="AX12" i="12"/>
  <c r="F468" i="22"/>
  <c r="F474" i="22" s="1"/>
  <c r="D456" i="22"/>
  <c r="D457" i="22"/>
  <c r="B468" i="22"/>
  <c r="B474" i="22" s="1"/>
  <c r="B466" i="22"/>
  <c r="B472" i="22" s="1"/>
  <c r="M415" i="22" s="1"/>
  <c r="M7" i="26" s="1"/>
  <c r="L396" i="10"/>
  <c r="AE59" i="30"/>
  <c r="AH59" i="30" s="1"/>
  <c r="AJ61" i="30"/>
  <c r="AM61" i="30" s="1"/>
  <c r="AE60" i="30"/>
  <c r="AH60" i="30" s="1"/>
  <c r="AJ60" i="30"/>
  <c r="AN60" i="30" s="1"/>
  <c r="AE61" i="30"/>
  <c r="AF61" i="30" s="1"/>
  <c r="AJ59" i="30"/>
  <c r="AK59" i="30" s="1"/>
  <c r="AP32" i="12"/>
  <c r="AX32" i="12" s="1"/>
  <c r="AW7" i="12"/>
  <c r="L7" i="10"/>
  <c r="J18" i="10"/>
  <c r="L18" i="10" s="1"/>
  <c r="AR139" i="12"/>
  <c r="AQ139" i="12"/>
  <c r="AL114" i="12"/>
  <c r="AA17" i="12"/>
  <c r="DJ114" i="12"/>
  <c r="DI114" i="12" s="1"/>
  <c r="DL80" i="12"/>
  <c r="DM114" i="12"/>
  <c r="AA87" i="12"/>
  <c r="AA71" i="12"/>
  <c r="DL95" i="12"/>
  <c r="DK59" i="12"/>
  <c r="AW40" i="12"/>
  <c r="AQ43" i="12"/>
  <c r="DJ24" i="12"/>
  <c r="DI24" i="12" s="1"/>
  <c r="DJ95" i="12"/>
  <c r="DI95" i="12" s="1"/>
  <c r="DL88" i="12"/>
  <c r="DL42" i="12"/>
  <c r="AN41" i="12"/>
  <c r="DM75" i="12"/>
  <c r="DL72" i="12"/>
  <c r="DK92" i="12"/>
  <c r="DJ92" i="12"/>
  <c r="DI92" i="12" s="1"/>
  <c r="DJ53" i="12"/>
  <c r="DI53" i="12" s="1"/>
  <c r="Z16" i="12"/>
  <c r="AC16" i="12" s="1"/>
  <c r="AD16" i="12" s="1"/>
  <c r="DJ116" i="12"/>
  <c r="DI116" i="12" s="1"/>
  <c r="AX71" i="12"/>
  <c r="DM116" i="12"/>
  <c r="AL42" i="12"/>
  <c r="DJ42" i="12"/>
  <c r="DI42" i="12" s="1"/>
  <c r="AR43" i="12"/>
  <c r="AP43" i="12"/>
  <c r="AX43" i="12" s="1"/>
  <c r="DM42" i="12"/>
  <c r="AT16" i="12"/>
  <c r="AV16" i="12" s="1"/>
  <c r="AW16" i="12" s="1"/>
  <c r="DK99" i="12"/>
  <c r="DK116" i="12"/>
  <c r="DL84" i="12"/>
  <c r="DM84" i="12"/>
  <c r="AT14" i="12"/>
  <c r="AV14" i="12" s="1"/>
  <c r="AW14" i="12" s="1"/>
  <c r="DL24" i="12"/>
  <c r="T17" i="12"/>
  <c r="U17" i="12" s="1"/>
  <c r="DK88" i="12"/>
  <c r="AL88" i="12"/>
  <c r="DK7" i="12"/>
  <c r="AX80" i="12"/>
  <c r="DJ88" i="12"/>
  <c r="DI88" i="12" s="1"/>
  <c r="AU43" i="12"/>
  <c r="AO16" i="12"/>
  <c r="AQ16" i="12" s="1"/>
  <c r="AL7" i="12"/>
  <c r="AC99" i="12"/>
  <c r="AD99" i="12" s="1"/>
  <c r="AL80" i="12"/>
  <c r="DJ7" i="12"/>
  <c r="DI7" i="12" s="1"/>
  <c r="AQ4" i="12"/>
  <c r="AP112" i="12"/>
  <c r="AX112" i="12" s="1"/>
  <c r="DJ80" i="12"/>
  <c r="DI80" i="12" s="1"/>
  <c r="AX54" i="12"/>
  <c r="DK24" i="12"/>
  <c r="DL116" i="12"/>
  <c r="DM80" i="12"/>
  <c r="DJ23" i="12"/>
  <c r="DI23" i="12" s="1"/>
  <c r="AR112" i="12"/>
  <c r="AW33" i="12"/>
  <c r="AX121" i="12"/>
  <c r="AN50" i="12"/>
  <c r="EN52" i="12"/>
  <c r="DQ30" i="12"/>
  <c r="DV30" i="12"/>
  <c r="EN33" i="12"/>
  <c r="EB22" i="12"/>
  <c r="DW30" i="12"/>
  <c r="EK30" i="12" s="1"/>
  <c r="EB30" i="12"/>
  <c r="EN50" i="12"/>
  <c r="EN106" i="12"/>
  <c r="DX22" i="12"/>
  <c r="EL22" i="12" s="1"/>
  <c r="EJ44" i="12"/>
  <c r="W34" i="12"/>
  <c r="ED22" i="12"/>
  <c r="W123" i="12"/>
  <c r="DS30" i="12"/>
  <c r="EC30" i="12"/>
  <c r="AN91" i="12"/>
  <c r="EJ55" i="12"/>
  <c r="ED30" i="12"/>
  <c r="EJ77" i="12"/>
  <c r="W55" i="12"/>
  <c r="EN32" i="12"/>
  <c r="DP30" i="12"/>
  <c r="AN52" i="12"/>
  <c r="EN119" i="12"/>
  <c r="EJ98" i="12"/>
  <c r="EN64" i="12"/>
  <c r="AN45" i="12"/>
  <c r="EJ71" i="12"/>
  <c r="EN104" i="12"/>
  <c r="W84" i="12"/>
  <c r="EE30" i="12"/>
  <c r="DT30" i="12"/>
  <c r="EI30" i="12" s="1"/>
  <c r="DT22" i="12"/>
  <c r="EI22" i="12" s="1"/>
  <c r="DU22" i="12"/>
  <c r="EN129" i="12"/>
  <c r="W80" i="12"/>
  <c r="DS22" i="12"/>
  <c r="W106" i="12"/>
  <c r="DY22" i="12"/>
  <c r="EM22" i="12" s="1"/>
  <c r="EN44" i="12"/>
  <c r="EN63" i="12"/>
  <c r="EC22" i="12"/>
  <c r="EJ119" i="12"/>
  <c r="AN101" i="12"/>
  <c r="W98" i="12"/>
  <c r="EN60" i="12"/>
  <c r="EH11" i="12"/>
  <c r="DZ22" i="12"/>
  <c r="DQ22" i="12"/>
  <c r="DX30" i="12"/>
  <c r="EL30" i="12" s="1"/>
  <c r="EN112" i="12"/>
  <c r="EN49" i="12"/>
  <c r="EN5" i="12"/>
  <c r="EB6" i="12"/>
  <c r="K22" i="12"/>
  <c r="DY30" i="12"/>
  <c r="EM30" i="12" s="1"/>
  <c r="DU30" i="12"/>
  <c r="EJ42" i="12"/>
  <c r="EJ34" i="12"/>
  <c r="EH46" i="12"/>
  <c r="EN88" i="12"/>
  <c r="ED6" i="12"/>
  <c r="EJ9" i="12"/>
  <c r="DO22" i="12"/>
  <c r="DV22" i="12"/>
  <c r="EN103" i="12"/>
  <c r="EJ49" i="12"/>
  <c r="EN45" i="12"/>
  <c r="T30" i="12"/>
  <c r="U30" i="12" s="1"/>
  <c r="AN30" i="12" s="1"/>
  <c r="DR30" i="12"/>
  <c r="W94" i="12"/>
  <c r="AN59" i="12"/>
  <c r="EN40" i="12"/>
  <c r="EN21" i="12"/>
  <c r="EF30" i="12"/>
  <c r="DZ30" i="12"/>
  <c r="EN132" i="12"/>
  <c r="EN127" i="12"/>
  <c r="EN107" i="12"/>
  <c r="AN109" i="12"/>
  <c r="EJ7" i="12"/>
  <c r="EJ91" i="12"/>
  <c r="EN67" i="12"/>
  <c r="EJ59" i="12"/>
  <c r="EJ94" i="12"/>
  <c r="DK103" i="12"/>
  <c r="DM103" i="12"/>
  <c r="DM47" i="12"/>
  <c r="DL47" i="12"/>
  <c r="DJ47" i="12"/>
  <c r="DI47" i="12" s="1"/>
  <c r="DM131" i="12"/>
  <c r="AL131" i="12"/>
  <c r="DJ131" i="12"/>
  <c r="DI131" i="12" s="1"/>
  <c r="DL52" i="12"/>
  <c r="DJ129" i="12"/>
  <c r="DI129" i="12" s="1"/>
  <c r="DK101" i="12"/>
  <c r="DL53" i="12"/>
  <c r="DM53" i="12"/>
  <c r="P59" i="12"/>
  <c r="AI45" i="12"/>
  <c r="G75" i="18"/>
  <c r="AJ114" i="12"/>
  <c r="H49" i="12"/>
  <c r="G84" i="18"/>
  <c r="G55" i="18"/>
  <c r="G39" i="18"/>
  <c r="G12" i="18"/>
  <c r="G53" i="18"/>
  <c r="G72" i="18"/>
  <c r="G46" i="18"/>
  <c r="AI57" i="12"/>
  <c r="G82" i="18"/>
  <c r="G38" i="18"/>
  <c r="G10" i="18"/>
  <c r="G30" i="18"/>
  <c r="AH87" i="12"/>
  <c r="O118" i="12"/>
  <c r="G31" i="18"/>
  <c r="P44" i="12"/>
  <c r="G95" i="18"/>
  <c r="AH62" i="12"/>
  <c r="O39" i="12"/>
  <c r="AJ45" i="12"/>
  <c r="J218" i="10" s="1"/>
  <c r="L218" i="10" s="1"/>
  <c r="G93" i="18"/>
  <c r="AB19" i="18"/>
  <c r="G85" i="18"/>
  <c r="AB55" i="18"/>
  <c r="G13" i="18"/>
  <c r="G37" i="18"/>
  <c r="AB73" i="18"/>
  <c r="G44" i="18"/>
  <c r="G28" i="18"/>
  <c r="G94" i="18"/>
  <c r="AB31" i="18"/>
  <c r="G14" i="18"/>
  <c r="AB97" i="18"/>
  <c r="O40" i="12"/>
  <c r="G99" i="18"/>
  <c r="AI91" i="12"/>
  <c r="G89" i="18"/>
  <c r="P90" i="12"/>
  <c r="AB61" i="18"/>
  <c r="AK137" i="12"/>
  <c r="AK106" i="12"/>
  <c r="H41" i="21"/>
  <c r="AI129" i="12"/>
  <c r="H110" i="12"/>
  <c r="P91" i="12"/>
  <c r="AI74" i="12"/>
  <c r="AK127" i="12"/>
  <c r="AK110" i="12"/>
  <c r="O85" i="12"/>
  <c r="H34" i="21"/>
  <c r="H133" i="12"/>
  <c r="AJ121" i="12"/>
  <c r="O95" i="12"/>
  <c r="G39" i="21"/>
  <c r="AH121" i="12"/>
  <c r="AI96" i="12"/>
  <c r="AI78" i="12"/>
  <c r="P137" i="12"/>
  <c r="G38" i="21"/>
  <c r="AK131" i="12"/>
  <c r="P115" i="12"/>
  <c r="AH91" i="12"/>
  <c r="AK125" i="12"/>
  <c r="AH108" i="12"/>
  <c r="O89" i="12"/>
  <c r="AH68" i="12"/>
  <c r="H42" i="21"/>
  <c r="O127" i="12"/>
  <c r="O114" i="12"/>
  <c r="H97" i="12"/>
  <c r="AI125" i="12"/>
  <c r="AJ102" i="12"/>
  <c r="AJ83" i="12"/>
  <c r="P63" i="12"/>
  <c r="AH45" i="12"/>
  <c r="AB96" i="18"/>
  <c r="AB12" i="18"/>
  <c r="AJ74" i="12"/>
  <c r="O47" i="12"/>
  <c r="P102" i="12"/>
  <c r="AK64" i="12"/>
  <c r="AI37" i="12"/>
  <c r="J189" i="10" s="1"/>
  <c r="L189" i="10" s="1"/>
  <c r="AB59" i="18"/>
  <c r="AI88" i="12"/>
  <c r="AK65" i="12"/>
  <c r="AK48" i="12"/>
  <c r="AI69" i="12"/>
  <c r="AK52" i="12"/>
  <c r="AB76" i="18"/>
  <c r="H108" i="12"/>
  <c r="AJ59" i="12"/>
  <c r="AI44" i="12"/>
  <c r="H78" i="12"/>
  <c r="DM78" i="12" s="1"/>
  <c r="AH48" i="12"/>
  <c r="J152" i="10" s="1"/>
  <c r="L152" i="10" s="1"/>
  <c r="AK104" i="12"/>
  <c r="P60" i="12"/>
  <c r="AK38" i="12"/>
  <c r="AK86" i="12"/>
  <c r="AK50" i="12"/>
  <c r="AB38" i="18"/>
  <c r="P98" i="12"/>
  <c r="AI62" i="12"/>
  <c r="P40" i="12"/>
  <c r="AK91" i="12"/>
  <c r="G26" i="18"/>
  <c r="AB43" i="18"/>
  <c r="AJ42" i="12"/>
  <c r="AB39" i="18"/>
  <c r="G32" i="18"/>
  <c r="AK55" i="12"/>
  <c r="AB99" i="18"/>
  <c r="G70" i="18"/>
  <c r="AK136" i="12"/>
  <c r="H106" i="12"/>
  <c r="H35" i="21"/>
  <c r="AK128" i="12"/>
  <c r="H109" i="12"/>
  <c r="AK89" i="12"/>
  <c r="AJ73" i="12"/>
  <c r="O126" i="12"/>
  <c r="AK109" i="12"/>
  <c r="AJ82" i="12"/>
  <c r="P132" i="12"/>
  <c r="P117" i="12"/>
  <c r="AJ92" i="12"/>
  <c r="G33" i="21"/>
  <c r="H120" i="12"/>
  <c r="H96" i="12"/>
  <c r="AJ76" i="12"/>
  <c r="P136" i="12"/>
  <c r="H37" i="21"/>
  <c r="AK130" i="12"/>
  <c r="AJ113" i="12"/>
  <c r="AK90" i="12"/>
  <c r="AK124" i="12"/>
  <c r="AK107" i="12"/>
  <c r="AH85" i="12"/>
  <c r="AJ67" i="12"/>
  <c r="AJ125" i="12"/>
  <c r="AH113" i="12"/>
  <c r="AI95" i="12"/>
  <c r="AI124" i="12"/>
  <c r="AJ101" i="12"/>
  <c r="AI134" i="12"/>
  <c r="AK60" i="12"/>
  <c r="AH42" i="12"/>
  <c r="AB90" i="18"/>
  <c r="AJ72" i="12"/>
  <c r="O46" i="12"/>
  <c r="P94" i="12"/>
  <c r="P62" i="12"/>
  <c r="O36" i="12"/>
  <c r="AB53" i="18"/>
  <c r="O87" i="12"/>
  <c r="AJ64" i="12"/>
  <c r="AK44" i="12"/>
  <c r="AK68" i="12"/>
  <c r="AK51" i="12"/>
  <c r="AB70" i="18"/>
  <c r="P106" i="12"/>
  <c r="P56" i="12"/>
  <c r="O42" i="12"/>
  <c r="P72" i="12"/>
  <c r="AJ47" i="12"/>
  <c r="O103" i="12"/>
  <c r="AH59" i="12"/>
  <c r="P37" i="12"/>
  <c r="AI82" i="12"/>
  <c r="H50" i="12"/>
  <c r="AB32" i="18"/>
  <c r="AH96" i="12"/>
  <c r="AJ61" i="12"/>
  <c r="P39" i="12"/>
  <c r="AJ87" i="12"/>
  <c r="G35" i="18"/>
  <c r="G52" i="18"/>
  <c r="AH57" i="12"/>
  <c r="G47" i="18"/>
  <c r="AH38" i="12"/>
  <c r="AB57" i="18"/>
  <c r="AI50" i="12"/>
  <c r="AI58" i="12"/>
  <c r="G81" i="18"/>
  <c r="AI42" i="12"/>
  <c r="O133" i="12"/>
  <c r="AH103" i="12"/>
  <c r="H128" i="12"/>
  <c r="P108" i="12"/>
  <c r="O86" i="12"/>
  <c r="AK71" i="12"/>
  <c r="AI122" i="12"/>
  <c r="O108" i="12"/>
  <c r="AJ81" i="12"/>
  <c r="P131" i="12"/>
  <c r="AI135" i="12"/>
  <c r="AH115" i="12"/>
  <c r="O90" i="12"/>
  <c r="H32" i="21"/>
  <c r="H119" i="12"/>
  <c r="O94" i="12"/>
  <c r="O75" i="12"/>
  <c r="AH133" i="12"/>
  <c r="P128" i="12"/>
  <c r="O112" i="12"/>
  <c r="P89" i="12"/>
  <c r="AI120" i="12"/>
  <c r="H107" i="12"/>
  <c r="AJ84" i="12"/>
  <c r="AJ66" i="12"/>
  <c r="AJ124" i="12"/>
  <c r="O111" i="12"/>
  <c r="AK94" i="12"/>
  <c r="H139" i="12"/>
  <c r="AJ123" i="12"/>
  <c r="AH98" i="12"/>
  <c r="AH114" i="12"/>
  <c r="O59" i="12"/>
  <c r="AK41" i="12"/>
  <c r="AB84" i="18"/>
  <c r="AI121" i="12"/>
  <c r="O71" i="12"/>
  <c r="AJ41" i="12"/>
  <c r="AI92" i="12"/>
  <c r="AI60" i="12"/>
  <c r="AB47" i="18"/>
  <c r="H82" i="12"/>
  <c r="DJ82" i="12" s="1"/>
  <c r="DI82" i="12" s="1"/>
  <c r="O62" i="12"/>
  <c r="O43" i="12"/>
  <c r="AI67" i="12"/>
  <c r="P50" i="12"/>
  <c r="AB58" i="18"/>
  <c r="H86" i="12"/>
  <c r="P55" i="12"/>
  <c r="AH39" i="12"/>
  <c r="AH70" i="12"/>
  <c r="AJ46" i="12"/>
  <c r="AI89" i="12"/>
  <c r="H58" i="12"/>
  <c r="AJ36" i="12"/>
  <c r="AK78" i="12"/>
  <c r="O49" i="12"/>
  <c r="AB98" i="18"/>
  <c r="AB26" i="18"/>
  <c r="AI86" i="12"/>
  <c r="AK58" i="12"/>
  <c r="AI38" i="12"/>
  <c r="AI83" i="12"/>
  <c r="G42" i="18"/>
  <c r="G71" i="18"/>
  <c r="O69" i="12"/>
  <c r="G11" i="18"/>
  <c r="G57" i="18"/>
  <c r="G66" i="18"/>
  <c r="O113" i="12"/>
  <c r="AH73" i="12"/>
  <c r="G91" i="18"/>
  <c r="P51" i="12"/>
  <c r="AJ129" i="12"/>
  <c r="AI102" i="12"/>
  <c r="H127" i="12"/>
  <c r="DM127" i="12" s="1"/>
  <c r="AJ106" i="12"/>
  <c r="P85" i="12"/>
  <c r="H71" i="12"/>
  <c r="H121" i="12"/>
  <c r="AI106" i="12"/>
  <c r="AK80" i="12"/>
  <c r="P130" i="12"/>
  <c r="AJ134" i="12"/>
  <c r="AI114" i="12"/>
  <c r="AH89" i="12"/>
  <c r="H118" i="12"/>
  <c r="P93" i="12"/>
  <c r="P74" i="12"/>
  <c r="H132" i="12"/>
  <c r="DK132" i="12" s="1"/>
  <c r="AH126" i="12"/>
  <c r="AI108" i="12"/>
  <c r="AH86" i="12"/>
  <c r="AI119" i="12"/>
  <c r="AI104" i="12"/>
  <c r="H83" i="12"/>
  <c r="P64" i="12"/>
  <c r="AK123" i="12"/>
  <c r="O110" i="12"/>
  <c r="AK93" i="12"/>
  <c r="H138" i="12"/>
  <c r="DK138" i="12" s="1"/>
  <c r="H122" i="12"/>
  <c r="DL122" i="12" s="1"/>
  <c r="AK97" i="12"/>
  <c r="AJ111" i="12"/>
  <c r="AH58" i="12"/>
  <c r="AK37" i="12"/>
  <c r="J238" i="10" s="1"/>
  <c r="L238" i="10" s="1"/>
  <c r="AB78" i="18"/>
  <c r="AK119" i="12"/>
  <c r="H69" i="12"/>
  <c r="AK40" i="12"/>
  <c r="H90" i="12"/>
  <c r="AK53" i="12"/>
  <c r="AB35" i="18"/>
  <c r="AH80" i="12"/>
  <c r="P61" i="12"/>
  <c r="AH41" i="12"/>
  <c r="O125" i="12"/>
  <c r="AH66" i="12"/>
  <c r="AJ48" i="12"/>
  <c r="AB52" i="18"/>
  <c r="P84" i="12"/>
  <c r="AI54" i="12"/>
  <c r="P35" i="12"/>
  <c r="AI68" i="12"/>
  <c r="AH44" i="12"/>
  <c r="J160" i="10" s="1"/>
  <c r="L160" i="10" s="1"/>
  <c r="P88" i="12"/>
  <c r="H57" i="12"/>
  <c r="DL57" i="12" s="1"/>
  <c r="AH127" i="12"/>
  <c r="P75" i="12"/>
  <c r="AH47" i="12"/>
  <c r="AB92" i="18"/>
  <c r="AK83" i="12"/>
  <c r="AJ57" i="12"/>
  <c r="AH36" i="12"/>
  <c r="AJ79" i="12"/>
  <c r="G51" i="18"/>
  <c r="AB81" i="18"/>
  <c r="AB93" i="18"/>
  <c r="AB13" i="18"/>
  <c r="G77" i="18"/>
  <c r="G78" i="18"/>
  <c r="H60" i="12"/>
  <c r="DI60" i="12" s="1"/>
  <c r="G69" i="18"/>
  <c r="G43" i="18"/>
  <c r="AK139" i="12"/>
  <c r="AJ112" i="12"/>
  <c r="AI93" i="12"/>
  <c r="AJ136" i="12"/>
  <c r="AI112" i="12"/>
  <c r="AH94" i="12"/>
  <c r="O76" i="12"/>
  <c r="AH129" i="12"/>
  <c r="AH112" i="12"/>
  <c r="AJ89" i="12"/>
  <c r="AH65" i="12"/>
  <c r="AJ135" i="12"/>
  <c r="G34" i="21"/>
  <c r="P125" i="12"/>
  <c r="P103" i="12"/>
  <c r="AJ126" i="12"/>
  <c r="O98" i="12"/>
  <c r="H85" i="12"/>
  <c r="P139" i="12"/>
  <c r="AK120" i="12"/>
  <c r="O136" i="12"/>
  <c r="AK117" i="12"/>
  <c r="AK95" i="12"/>
  <c r="AH76" i="12"/>
  <c r="O128" i="12"/>
  <c r="P110" i="12"/>
  <c r="H94" i="12"/>
  <c r="P71" i="12"/>
  <c r="O54" i="12"/>
  <c r="AI130" i="12"/>
  <c r="AK116" i="12"/>
  <c r="AK101" i="12"/>
  <c r="AH130" i="12"/>
  <c r="O105" i="12"/>
  <c r="P87" i="12"/>
  <c r="H66" i="12"/>
  <c r="P47" i="12"/>
  <c r="AB24" i="18"/>
  <c r="AI84" i="12"/>
  <c r="H54" i="12"/>
  <c r="AK69" i="12"/>
  <c r="AK39" i="12"/>
  <c r="J247" i="10" s="1"/>
  <c r="L247" i="10" s="1"/>
  <c r="AB77" i="18"/>
  <c r="H104" i="12"/>
  <c r="DK104" i="12" s="1"/>
  <c r="AK67" i="12"/>
  <c r="H51" i="12"/>
  <c r="O73" i="12"/>
  <c r="AJ54" i="12"/>
  <c r="AI39" i="12"/>
  <c r="AB88" i="18"/>
  <c r="AH135" i="12"/>
  <c r="AH64" i="12"/>
  <c r="AK46" i="12"/>
  <c r="AJ85" i="12"/>
  <c r="AI52" i="12"/>
  <c r="P112" i="12"/>
  <c r="AK62" i="12"/>
  <c r="H43" i="12"/>
  <c r="O93" i="12"/>
  <c r="O60" i="12"/>
  <c r="AI36" i="12"/>
  <c r="AB50" i="18"/>
  <c r="O107" i="12"/>
  <c r="O65" i="12"/>
  <c r="AI43" i="12"/>
  <c r="H126" i="12"/>
  <c r="DJ126" i="12" s="1"/>
  <c r="DI126" i="12" s="1"/>
  <c r="G8" i="18"/>
  <c r="G19" i="18"/>
  <c r="DS42" i="21"/>
  <c r="DS34" i="21"/>
  <c r="DS4" i="21"/>
  <c r="E14" i="33" s="1"/>
  <c r="DS29" i="21"/>
  <c r="DS22" i="21"/>
  <c r="DS17" i="21"/>
  <c r="DS43" i="21"/>
  <c r="DS35" i="21"/>
  <c r="DS30" i="21"/>
  <c r="DS27" i="21"/>
  <c r="DS28" i="21"/>
  <c r="DS23" i="21"/>
  <c r="DS13" i="21"/>
  <c r="DS6" i="21"/>
  <c r="DS33" i="21"/>
  <c r="DS10" i="21"/>
  <c r="DS41" i="21"/>
  <c r="DS24" i="21"/>
  <c r="DS21" i="21"/>
  <c r="DS37" i="21"/>
  <c r="DS26" i="21"/>
  <c r="DS19" i="21"/>
  <c r="DS16" i="21"/>
  <c r="DS12" i="21"/>
  <c r="DS8" i="21"/>
  <c r="DS38" i="21"/>
  <c r="DS36" i="21"/>
  <c r="DS32" i="21"/>
  <c r="DS20" i="21"/>
  <c r="DS5" i="21"/>
  <c r="DS39" i="21"/>
  <c r="DS14" i="21"/>
  <c r="DS7" i="21"/>
  <c r="DS25" i="21"/>
  <c r="DS15" i="21"/>
  <c r="DS11" i="21"/>
  <c r="DS40" i="21"/>
  <c r="DS9" i="21"/>
  <c r="DS31" i="21"/>
  <c r="DS18" i="21"/>
  <c r="AA62" i="12"/>
  <c r="AC62" i="12"/>
  <c r="AD62" i="12" s="1"/>
  <c r="DK91" i="12"/>
  <c r="DL91" i="12"/>
  <c r="DK40" i="12"/>
  <c r="DJ40" i="12"/>
  <c r="DI40" i="12" s="1"/>
  <c r="DJ79" i="12"/>
  <c r="DI79" i="12" s="1"/>
  <c r="DK79" i="12"/>
  <c r="AW65" i="12"/>
  <c r="DK129" i="12"/>
  <c r="DJ61" i="12"/>
  <c r="DI61" i="12" s="1"/>
  <c r="DM61" i="12"/>
  <c r="AU83" i="12"/>
  <c r="DJ117" i="12"/>
  <c r="DI117" i="12" s="1"/>
  <c r="AP83" i="12"/>
  <c r="AX83" i="12" s="1"/>
  <c r="EN108" i="12"/>
  <c r="DM100" i="12"/>
  <c r="AN108" i="12"/>
  <c r="AR48" i="12"/>
  <c r="AL56" i="12"/>
  <c r="AQ48" i="12"/>
  <c r="EJ10" i="12"/>
  <c r="DL129" i="12"/>
  <c r="AX120" i="12"/>
  <c r="AL100" i="12"/>
  <c r="DL81" i="12"/>
  <c r="AQ59" i="12"/>
  <c r="EN41" i="12"/>
  <c r="DM56" i="12"/>
  <c r="AL41" i="12"/>
  <c r="AX124" i="12"/>
  <c r="AW121" i="12"/>
  <c r="DM95" i="12"/>
  <c r="DK95" i="12"/>
  <c r="EJ31" i="12"/>
  <c r="DK81" i="12"/>
  <c r="DM52" i="12"/>
  <c r="EJ133" i="12"/>
  <c r="W116" i="12"/>
  <c r="EN105" i="12"/>
  <c r="EJ96" i="12"/>
  <c r="DM101" i="12"/>
  <c r="DJ100" i="12"/>
  <c r="DI100" i="12" s="1"/>
  <c r="DM81" i="12"/>
  <c r="W77" i="12"/>
  <c r="DM98" i="12"/>
  <c r="AW48" i="12"/>
  <c r="AW4" i="12"/>
  <c r="AW110" i="12"/>
  <c r="AW82" i="12"/>
  <c r="DL103" i="12"/>
  <c r="DJ70" i="12"/>
  <c r="DI70" i="12" s="1"/>
  <c r="DK56" i="12"/>
  <c r="DL56" i="12"/>
  <c r="AP48" i="12"/>
  <c r="AX48" i="12" s="1"/>
  <c r="DJ52" i="12"/>
  <c r="DI52" i="12" s="1"/>
  <c r="EN66" i="12"/>
  <c r="W11" i="12"/>
  <c r="AL98" i="12"/>
  <c r="DJ89" i="12"/>
  <c r="DI89" i="12" s="1"/>
  <c r="DK89" i="12"/>
  <c r="AP4" i="12"/>
  <c r="AX4" i="12" s="1"/>
  <c r="DL70" i="12"/>
  <c r="EH59" i="12"/>
  <c r="AL70" i="12"/>
  <c r="EJ5" i="12"/>
  <c r="DL101" i="12"/>
  <c r="AL101" i="12"/>
  <c r="AQ121" i="12"/>
  <c r="EJ80" i="12"/>
  <c r="W67" i="12"/>
  <c r="AA29" i="12"/>
  <c r="EJ108" i="12"/>
  <c r="EJ90" i="12"/>
  <c r="AR4" i="12"/>
  <c r="EN135" i="12"/>
  <c r="AQ134" i="12"/>
  <c r="DK100" i="12"/>
  <c r="AA23" i="12"/>
  <c r="EJ105" i="12"/>
  <c r="EN76" i="12"/>
  <c r="DM74" i="12"/>
  <c r="AR58" i="12"/>
  <c r="DL41" i="12"/>
  <c r="AX33" i="12"/>
  <c r="AL129" i="12"/>
  <c r="AW128" i="12"/>
  <c r="EJ104" i="12"/>
  <c r="DM137" i="12"/>
  <c r="DJ137" i="12"/>
  <c r="DI137" i="12" s="1"/>
  <c r="AW73" i="12"/>
  <c r="AW80" i="12"/>
  <c r="AW117" i="12"/>
  <c r="AE15" i="30"/>
  <c r="AI15" i="30" s="1"/>
  <c r="AJ15" i="30"/>
  <c r="AN15" i="30" s="1"/>
  <c r="AJ14" i="30"/>
  <c r="AM14" i="30" s="1"/>
  <c r="AE16" i="30"/>
  <c r="AI16" i="30" s="1"/>
  <c r="AE14" i="30"/>
  <c r="AF14" i="30" s="1"/>
  <c r="AJ16" i="30"/>
  <c r="AL16" i="30" s="1"/>
  <c r="DQ6" i="12"/>
  <c r="DR6" i="12"/>
  <c r="DO6" i="12"/>
  <c r="DZ6" i="12"/>
  <c r="DY6" i="12"/>
  <c r="EM6" i="12" s="1"/>
  <c r="DX6" i="12"/>
  <c r="EL6" i="12" s="1"/>
  <c r="DW6" i="12"/>
  <c r="EK6" i="12" s="1"/>
  <c r="DV6" i="12"/>
  <c r="DU6" i="12"/>
  <c r="DS6" i="12"/>
  <c r="EN10" i="12"/>
  <c r="G8" i="33"/>
  <c r="J14" i="33"/>
  <c r="K27" i="33"/>
  <c r="L26" i="33"/>
  <c r="K24" i="33"/>
  <c r="L23" i="33"/>
  <c r="I28" i="33"/>
  <c r="H14" i="33"/>
  <c r="O4" i="33"/>
  <c r="D28" i="33"/>
  <c r="AA3" i="12"/>
  <c r="BK29" i="21"/>
  <c r="BM29" i="21" s="1"/>
  <c r="W31" i="12"/>
  <c r="DK22" i="12"/>
  <c r="DL22" i="12"/>
  <c r="AL22" i="12"/>
  <c r="DL30" i="12"/>
  <c r="DJ30" i="12"/>
  <c r="DI30" i="12" s="1"/>
  <c r="DK30" i="12"/>
  <c r="AL30" i="12"/>
  <c r="DJ6" i="12"/>
  <c r="DI6" i="12" s="1"/>
  <c r="AL6" i="12"/>
  <c r="B198" i="22"/>
  <c r="B204" i="22" s="1"/>
  <c r="B176" i="22" s="1"/>
  <c r="D196" i="22"/>
  <c r="D202" i="22" s="1"/>
  <c r="D162" i="22" s="1"/>
  <c r="D61" i="22"/>
  <c r="D67" i="22" s="1"/>
  <c r="D27" i="22" s="1"/>
  <c r="D29" i="22" s="1"/>
  <c r="AC84" i="12"/>
  <c r="AD84" i="12" s="1"/>
  <c r="AA84" i="12"/>
  <c r="AC6" i="12"/>
  <c r="AD6" i="12" s="1"/>
  <c r="AA6" i="12"/>
  <c r="AP50" i="12"/>
  <c r="AX50" i="12" s="1"/>
  <c r="AR50" i="12"/>
  <c r="AP88" i="12"/>
  <c r="AX88" i="12" s="1"/>
  <c r="AW88" i="12"/>
  <c r="AN26" i="12"/>
  <c r="W26" i="12"/>
  <c r="EJ28" i="12"/>
  <c r="AN132" i="12"/>
  <c r="W132" i="12"/>
  <c r="AN87" i="12"/>
  <c r="W87" i="12"/>
  <c r="EN115" i="12"/>
  <c r="AN122" i="12"/>
  <c r="AQ50" i="12"/>
  <c r="AX65" i="12"/>
  <c r="AU50" i="12"/>
  <c r="AX84" i="12"/>
  <c r="AW84" i="12"/>
  <c r="AL115" i="12"/>
  <c r="EJ100" i="12"/>
  <c r="DJ91" i="12"/>
  <c r="DI91" i="12" s="1"/>
  <c r="DJ60" i="12"/>
  <c r="AL8" i="12"/>
  <c r="DM87" i="12"/>
  <c r="K30" i="12"/>
  <c r="AQ128" i="12"/>
  <c r="EN86" i="12"/>
  <c r="EJ46" i="12"/>
  <c r="DL43" i="12"/>
  <c r="DJ43" i="12"/>
  <c r="DI43" i="12" s="1"/>
  <c r="AU112" i="12"/>
  <c r="AR80" i="12"/>
  <c r="DK51" i="12"/>
  <c r="EA30" i="12"/>
  <c r="DP6" i="12"/>
  <c r="EF6" i="12"/>
  <c r="AW38" i="12"/>
  <c r="AR128" i="12"/>
  <c r="AC108" i="12"/>
  <c r="AD108" i="12" s="1"/>
  <c r="EN68" i="12"/>
  <c r="DK45" i="12"/>
  <c r="DM43" i="12"/>
  <c r="DL114" i="12"/>
  <c r="EJ113" i="12"/>
  <c r="AX76" i="12"/>
  <c r="DM51" i="12"/>
  <c r="K6" i="12"/>
  <c r="T6" i="12" s="1"/>
  <c r="U6" i="12" s="1"/>
  <c r="DT6" i="12"/>
  <c r="EI6" i="12" s="1"/>
  <c r="AL9" i="12"/>
  <c r="DL115" i="12"/>
  <c r="EN113" i="12"/>
  <c r="AX108" i="12"/>
  <c r="AN105" i="12"/>
  <c r="DK68" i="12"/>
  <c r="EJ43" i="12"/>
  <c r="EN84" i="12"/>
  <c r="AW63" i="12"/>
  <c r="EA6" i="12"/>
  <c r="EE6" i="12"/>
  <c r="AT15" i="12"/>
  <c r="AV15" i="12" s="1"/>
  <c r="AX15" i="12" s="1"/>
  <c r="AR32" i="12"/>
  <c r="AL134" i="12"/>
  <c r="AQ83" i="12"/>
  <c r="EJ64" i="12"/>
  <c r="DK73" i="12"/>
  <c r="EJ35" i="12"/>
  <c r="AW6" i="12"/>
  <c r="EN27" i="12"/>
  <c r="AW20" i="12"/>
  <c r="AW126" i="12"/>
  <c r="AT17" i="12"/>
  <c r="AV17" i="12" s="1"/>
  <c r="AW17" i="12" s="1"/>
  <c r="DL79" i="12"/>
  <c r="DK87" i="12"/>
  <c r="AL79" i="12"/>
  <c r="DK9" i="12"/>
  <c r="DK134" i="12"/>
  <c r="EJ87" i="12"/>
  <c r="EN48" i="12"/>
  <c r="DL124" i="12"/>
  <c r="AP11" i="12"/>
  <c r="AX11" i="12" s="1"/>
  <c r="AU11" i="12"/>
  <c r="AQ11" i="12"/>
  <c r="AR11" i="12"/>
  <c r="EA22" i="12"/>
  <c r="EN22" i="12" s="1"/>
  <c r="DR22" i="12"/>
  <c r="T22" i="12"/>
  <c r="U22" i="12" s="1"/>
  <c r="W22" i="12" s="1"/>
  <c r="DP22" i="12"/>
  <c r="AT18" i="12"/>
  <c r="AV18" i="12" s="1"/>
  <c r="AW18" i="12" s="1"/>
  <c r="T18" i="12"/>
  <c r="U18" i="12" s="1"/>
  <c r="AN18" i="12" s="1"/>
  <c r="DJ90" i="12"/>
  <c r="DI90" i="12" s="1"/>
  <c r="DM90" i="12"/>
  <c r="DL90" i="12"/>
  <c r="AL90" i="12"/>
  <c r="DK90" i="12"/>
  <c r="DK69" i="12"/>
  <c r="DM69" i="12"/>
  <c r="DJ69" i="12"/>
  <c r="DI69" i="12" s="1"/>
  <c r="DJ138" i="12"/>
  <c r="DI138" i="12" s="1"/>
  <c r="DL118" i="12"/>
  <c r="DJ46" i="12"/>
  <c r="AL46" i="12"/>
  <c r="DM46" i="12"/>
  <c r="DM77" i="12"/>
  <c r="DI46" i="12"/>
  <c r="AR18" i="12"/>
  <c r="AQ18" i="12"/>
  <c r="D21" i="33"/>
  <c r="AN15" i="12"/>
  <c r="DL62" i="12"/>
  <c r="DK46" i="12"/>
  <c r="EN16" i="12"/>
  <c r="AL48" i="12"/>
  <c r="AC85" i="12"/>
  <c r="AD85" i="12" s="1"/>
  <c r="AA85" i="12"/>
  <c r="EJ97" i="12"/>
  <c r="DK130" i="12"/>
  <c r="DL31" i="12"/>
  <c r="AL62" i="12"/>
  <c r="EJ63" i="12"/>
  <c r="DJ48" i="12"/>
  <c r="DI48" i="12" s="1"/>
  <c r="DJ55" i="12"/>
  <c r="DI55" i="12" s="1"/>
  <c r="DM39" i="12"/>
  <c r="DM48" i="12"/>
  <c r="AA9" i="12"/>
  <c r="DJ34" i="12"/>
  <c r="DI34" i="12" s="1"/>
  <c r="DL39" i="12"/>
  <c r="DL102" i="12"/>
  <c r="AL31" i="12"/>
  <c r="DK48" i="12"/>
  <c r="AR131" i="12"/>
  <c r="AU131" i="12"/>
  <c r="AQ131" i="12"/>
  <c r="EN71" i="12"/>
  <c r="DK34" i="12"/>
  <c r="AL34" i="12"/>
  <c r="DK39" i="12"/>
  <c r="AW106" i="12"/>
  <c r="EN110" i="12"/>
  <c r="EN102" i="12"/>
  <c r="DK77" i="12"/>
  <c r="DJ62" i="12"/>
  <c r="DI62" i="12" s="1"/>
  <c r="EN53" i="12"/>
  <c r="DI31" i="12"/>
  <c r="DK55" i="12"/>
  <c r="AU23" i="12"/>
  <c r="AR23" i="12"/>
  <c r="AX130" i="12"/>
  <c r="DK113" i="12"/>
  <c r="DJ113" i="12"/>
  <c r="DI113" i="12" s="1"/>
  <c r="DL34" i="12"/>
  <c r="AL113" i="12"/>
  <c r="DK62" i="12"/>
  <c r="DJ39" i="12"/>
  <c r="DI39" i="12" s="1"/>
  <c r="DK31" i="12"/>
  <c r="DM64" i="12"/>
  <c r="AL64" i="12"/>
  <c r="DK64" i="12"/>
  <c r="DL77" i="12"/>
  <c r="DL46" i="12"/>
  <c r="AX126" i="12"/>
  <c r="DL113" i="12"/>
  <c r="DJ105" i="12"/>
  <c r="DI105" i="12" s="1"/>
  <c r="DM31" i="12"/>
  <c r="EN96" i="12"/>
  <c r="DM136" i="12"/>
  <c r="AL136" i="12"/>
  <c r="DM102" i="12"/>
  <c r="DK102" i="12"/>
  <c r="DJ102" i="12"/>
  <c r="DI102" i="12" s="1"/>
  <c r="AL102" i="12"/>
  <c r="DJ130" i="12"/>
  <c r="DI130" i="12" s="1"/>
  <c r="DM130" i="12"/>
  <c r="AP136" i="12"/>
  <c r="AX136" i="12" s="1"/>
  <c r="AQ124" i="12"/>
  <c r="DL105" i="12"/>
  <c r="DK105" i="12"/>
  <c r="AR25" i="12"/>
  <c r="AQ25" i="12"/>
  <c r="DJ64" i="12"/>
  <c r="DI64" i="12" s="1"/>
  <c r="AL55" i="12"/>
  <c r="DM55" i="12"/>
  <c r="DJ59" i="12"/>
  <c r="DI59" i="12" s="1"/>
  <c r="DL59" i="12"/>
  <c r="AL59" i="12"/>
  <c r="DJ124" i="12"/>
  <c r="DI124" i="12" s="1"/>
  <c r="AL124" i="12"/>
  <c r="DM124" i="12"/>
  <c r="AC18" i="12"/>
  <c r="AD18" i="12" s="1"/>
  <c r="AA18" i="12"/>
  <c r="AL130" i="12"/>
  <c r="DL136" i="12"/>
  <c r="AR124" i="12"/>
  <c r="AL105" i="12"/>
  <c r="AN115" i="12"/>
  <c r="EN19" i="12"/>
  <c r="AC69" i="12"/>
  <c r="AD69" i="12" s="1"/>
  <c r="AA69" i="12"/>
  <c r="EN101" i="12"/>
  <c r="D29" i="33"/>
  <c r="AA136" i="12"/>
  <c r="EN138" i="12"/>
  <c r="AU124" i="12"/>
  <c r="EJ66" i="12"/>
  <c r="EH40" i="12"/>
  <c r="EJ27" i="12"/>
  <c r="W19" i="12"/>
  <c r="AX85" i="12"/>
  <c r="AN135" i="12"/>
  <c r="W135" i="12"/>
  <c r="EN74" i="12"/>
  <c r="W71" i="12"/>
  <c r="AN71" i="12"/>
  <c r="DK136" i="12"/>
  <c r="EH64" i="12"/>
  <c r="DL61" i="12"/>
  <c r="DL67" i="12"/>
  <c r="DK67" i="12"/>
  <c r="DL120" i="12"/>
  <c r="DM120" i="12"/>
  <c r="DJ120" i="12"/>
  <c r="DI120" i="12" s="1"/>
  <c r="EJ52" i="12"/>
  <c r="EJ48" i="12"/>
  <c r="EJ40" i="12"/>
  <c r="DL99" i="12"/>
  <c r="DM99" i="12"/>
  <c r="DJ99" i="12"/>
  <c r="DI99" i="12" s="1"/>
  <c r="DL65" i="12"/>
  <c r="DK65" i="12"/>
  <c r="DM89" i="12"/>
  <c r="AL89" i="12"/>
  <c r="DM60" i="12"/>
  <c r="DK60" i="12"/>
  <c r="AL61" i="12"/>
  <c r="DJ41" i="12"/>
  <c r="DI41" i="12" s="1"/>
  <c r="DJ45" i="12"/>
  <c r="DI45" i="12" s="1"/>
  <c r="AL45" i="12"/>
  <c r="DJ75" i="12"/>
  <c r="DI75" i="12" s="1"/>
  <c r="AL75" i="12"/>
  <c r="DK75" i="12"/>
  <c r="AX58" i="12"/>
  <c r="DM41" i="12"/>
  <c r="AR71" i="12"/>
  <c r="AQ71" i="12"/>
  <c r="DM72" i="12"/>
  <c r="DJ72" i="12"/>
  <c r="DI72" i="12" s="1"/>
  <c r="AL72" i="12"/>
  <c r="DK98" i="12"/>
  <c r="DJ98" i="12"/>
  <c r="DI98" i="12" s="1"/>
  <c r="EJ23" i="12"/>
  <c r="EN39" i="12"/>
  <c r="D19" i="33"/>
  <c r="EN100" i="12"/>
  <c r="EJ103" i="12"/>
  <c r="EN99" i="12"/>
  <c r="EH55" i="12"/>
  <c r="EN62" i="12"/>
  <c r="EH54" i="12"/>
  <c r="AW76" i="12"/>
  <c r="EN51" i="12"/>
  <c r="AL86" i="12"/>
  <c r="EJ15" i="12"/>
  <c r="DJ86" i="12"/>
  <c r="DI86" i="12" s="1"/>
  <c r="DL8" i="12"/>
  <c r="DJ8" i="12"/>
  <c r="DI8" i="12" s="1"/>
  <c r="AC96" i="12"/>
  <c r="AD96" i="12" s="1"/>
  <c r="AA96" i="12"/>
  <c r="DM76" i="12"/>
  <c r="DK76" i="12"/>
  <c r="D7" i="20"/>
  <c r="H17" i="31"/>
  <c r="F17" i="31" s="1"/>
  <c r="B42" i="22"/>
  <c r="F333" i="22"/>
  <c r="F339" i="22" s="1"/>
  <c r="B333" i="22"/>
  <c r="B339" i="22" s="1"/>
  <c r="B311" i="22" s="1"/>
  <c r="B331" i="22"/>
  <c r="B337" i="22" s="1"/>
  <c r="B297" i="22" s="1"/>
  <c r="B299" i="22" s="1"/>
  <c r="M145" i="22"/>
  <c r="M5" i="26" s="1"/>
  <c r="B446" i="22"/>
  <c r="B511" i="22" s="1"/>
  <c r="B457" i="22"/>
  <c r="B462" i="22" s="1"/>
  <c r="B456" i="22"/>
  <c r="D442" i="22"/>
  <c r="D447" i="22"/>
  <c r="B442" i="22"/>
  <c r="B447" i="22"/>
  <c r="B432" i="22"/>
  <c r="D458" i="22"/>
  <c r="D460" i="22"/>
  <c r="D299" i="22"/>
  <c r="B172" i="22"/>
  <c r="B179" i="22" s="1"/>
  <c r="B180" i="22" s="1"/>
  <c r="O22" i="33"/>
  <c r="O19" i="33"/>
  <c r="J19" i="33"/>
  <c r="I9" i="33"/>
  <c r="M10" i="33"/>
  <c r="O7" i="33"/>
  <c r="K19" i="33"/>
  <c r="J23" i="33"/>
  <c r="K3" i="33"/>
  <c r="H11" i="33"/>
  <c r="G11" i="33"/>
  <c r="AN28" i="12"/>
  <c r="AX20" i="12"/>
  <c r="EH28" i="12"/>
  <c r="AU6" i="12"/>
  <c r="AR6" i="12"/>
  <c r="AN136" i="12"/>
  <c r="W136" i="12"/>
  <c r="EN70" i="12"/>
  <c r="AC24" i="12"/>
  <c r="AD24" i="12" s="1"/>
  <c r="AA24" i="12"/>
  <c r="EN134" i="12"/>
  <c r="EH135" i="12"/>
  <c r="EH43" i="12"/>
  <c r="EN90" i="12"/>
  <c r="AC66" i="12"/>
  <c r="AD66" i="12" s="1"/>
  <c r="AA66" i="12"/>
  <c r="AN120" i="12"/>
  <c r="AX26" i="12"/>
  <c r="EJ54" i="12"/>
  <c r="AU118" i="12"/>
  <c r="AP118" i="12"/>
  <c r="AX118" i="12" s="1"/>
  <c r="AU95" i="12"/>
  <c r="AR95" i="12"/>
  <c r="AP95" i="12"/>
  <c r="EN130" i="12"/>
  <c r="AU73" i="12"/>
  <c r="AR73" i="12"/>
  <c r="AU16" i="12"/>
  <c r="AP16" i="12"/>
  <c r="AX134" i="12"/>
  <c r="AW134" i="12"/>
  <c r="EN121" i="12"/>
  <c r="AU100" i="12"/>
  <c r="AQ100" i="12"/>
  <c r="AP100" i="12"/>
  <c r="AR100" i="12"/>
  <c r="AW13" i="12"/>
  <c r="AX132" i="12"/>
  <c r="AW136" i="12"/>
  <c r="AW67" i="12"/>
  <c r="AX128" i="12"/>
  <c r="EH80" i="12"/>
  <c r="EN15" i="12"/>
  <c r="EJ18" i="12"/>
  <c r="EN26" i="12"/>
  <c r="AA26" i="12"/>
  <c r="EH116" i="12"/>
  <c r="EH105" i="12"/>
  <c r="AQ58" i="12"/>
  <c r="EJ53" i="12"/>
  <c r="EJ17" i="12"/>
  <c r="EJ132" i="12"/>
  <c r="AX117" i="12"/>
  <c r="EH96" i="12"/>
  <c r="EN80" i="12"/>
  <c r="EN75" i="12"/>
  <c r="EJ57" i="12"/>
  <c r="AU58" i="12"/>
  <c r="EJ29" i="12"/>
  <c r="EJ122" i="12"/>
  <c r="EJ115" i="12"/>
  <c r="AW58" i="12"/>
  <c r="EH5" i="12"/>
  <c r="AU26" i="12"/>
  <c r="AX125" i="12"/>
  <c r="EJ73" i="12"/>
  <c r="EJ62" i="12"/>
  <c r="AQ65" i="12"/>
  <c r="EH47" i="12"/>
  <c r="EH19" i="12"/>
  <c r="EJ24" i="12"/>
  <c r="EN23" i="12"/>
  <c r="AC32" i="12"/>
  <c r="AD32" i="12" s="1"/>
  <c r="EJ136" i="12"/>
  <c r="EH127" i="12"/>
  <c r="EN57" i="12"/>
  <c r="AC122" i="12"/>
  <c r="AD122" i="12" s="1"/>
  <c r="AA122" i="12"/>
  <c r="AC121" i="12"/>
  <c r="AD121" i="12" s="1"/>
  <c r="AA121" i="12"/>
  <c r="EN28" i="12"/>
  <c r="EN46" i="12"/>
  <c r="AA103" i="12"/>
  <c r="AC103" i="12"/>
  <c r="AD103" i="12" s="1"/>
  <c r="EN42" i="12"/>
  <c r="EH12" i="12"/>
  <c r="EJ12" i="12"/>
  <c r="AW26" i="12"/>
  <c r="AR26" i="12"/>
  <c r="AQ26" i="12"/>
  <c r="EJ135" i="12"/>
  <c r="EH130" i="12"/>
  <c r="EJ127" i="12"/>
  <c r="AR82" i="12"/>
  <c r="AU82" i="12"/>
  <c r="AP82" i="12"/>
  <c r="AX82" i="12" s="1"/>
  <c r="AQ82" i="12"/>
  <c r="EH90" i="12"/>
  <c r="EJ120" i="12"/>
  <c r="AA130" i="12"/>
  <c r="AC130" i="12"/>
  <c r="AD130" i="12" s="1"/>
  <c r="AQ93" i="12"/>
  <c r="AR93" i="12"/>
  <c r="AP93" i="12"/>
  <c r="AX93" i="12" s="1"/>
  <c r="EH84" i="12"/>
  <c r="W128" i="12"/>
  <c r="AQ132" i="12"/>
  <c r="AU93" i="12"/>
  <c r="AN129" i="12"/>
  <c r="W129" i="12"/>
  <c r="AR132" i="12"/>
  <c r="AU132" i="12"/>
  <c r="AW132" i="12"/>
  <c r="EH95" i="12"/>
  <c r="AW93" i="12"/>
  <c r="AU138" i="12"/>
  <c r="AR138" i="12"/>
  <c r="AQ138" i="12"/>
  <c r="AW138" i="12"/>
  <c r="AA128" i="12"/>
  <c r="AC128" i="12"/>
  <c r="AD128" i="12" s="1"/>
  <c r="W100" i="12"/>
  <c r="AN100" i="12"/>
  <c r="EJ26" i="12"/>
  <c r="EH111" i="12"/>
  <c r="AN119" i="12"/>
  <c r="W119" i="12"/>
  <c r="EH91" i="12"/>
  <c r="EH86" i="12"/>
  <c r="AN139" i="12"/>
  <c r="W139" i="12"/>
  <c r="EN83" i="12"/>
  <c r="EJ82" i="12"/>
  <c r="EH63" i="12"/>
  <c r="AC34" i="12"/>
  <c r="AD34" i="12" s="1"/>
  <c r="AA34" i="12"/>
  <c r="AU70" i="12"/>
  <c r="AQ70" i="12"/>
  <c r="AP70" i="12"/>
  <c r="AX70" i="12" s="1"/>
  <c r="AR70" i="12"/>
  <c r="AU7" i="12"/>
  <c r="AP7" i="12"/>
  <c r="AX7" i="12" s="1"/>
  <c r="AR7" i="12"/>
  <c r="EH74" i="12"/>
  <c r="AU79" i="12"/>
  <c r="AQ79" i="12"/>
  <c r="AR79" i="12"/>
  <c r="AU63" i="12"/>
  <c r="AP63" i="12"/>
  <c r="AX63" i="12" s="1"/>
  <c r="AR63" i="12"/>
  <c r="AQ63" i="12"/>
  <c r="AA73" i="12"/>
  <c r="AC73" i="12"/>
  <c r="AD73" i="12" s="1"/>
  <c r="EH57" i="12"/>
  <c r="EH50" i="12"/>
  <c r="EH51" i="12"/>
  <c r="AX23" i="12"/>
  <c r="AA138" i="12"/>
  <c r="AC138" i="12"/>
  <c r="AD138" i="12" s="1"/>
  <c r="AC8" i="12"/>
  <c r="AD8" i="12" s="1"/>
  <c r="AW25" i="12"/>
  <c r="EJ139" i="12"/>
  <c r="EH122" i="12"/>
  <c r="EH112" i="12"/>
  <c r="EJ88" i="12"/>
  <c r="AW66" i="12"/>
  <c r="EH29" i="12"/>
  <c r="EJ20" i="12"/>
  <c r="EJ60" i="12"/>
  <c r="AC110" i="12"/>
  <c r="AD110" i="12" s="1"/>
  <c r="AA110" i="12"/>
  <c r="AP9" i="12"/>
  <c r="AX9" i="12" s="1"/>
  <c r="EN8" i="12"/>
  <c r="EH35" i="12"/>
  <c r="AQ6" i="12"/>
  <c r="EJ131" i="12"/>
  <c r="EN131" i="12"/>
  <c r="EJ102" i="12"/>
  <c r="EH71" i="12"/>
  <c r="EN89" i="12"/>
  <c r="EH82" i="12"/>
  <c r="EN55" i="12"/>
  <c r="EN78" i="12"/>
  <c r="EJ72" i="12"/>
  <c r="EH21" i="12"/>
  <c r="AX19" i="12"/>
  <c r="AP25" i="12"/>
  <c r="AX25" i="12" s="1"/>
  <c r="AA95" i="12"/>
  <c r="AC95" i="12"/>
  <c r="AD95" i="12" s="1"/>
  <c r="AR110" i="12"/>
  <c r="AP110" i="12"/>
  <c r="AX110" i="12" s="1"/>
  <c r="AA54" i="12"/>
  <c r="AC54" i="12"/>
  <c r="AD54" i="12" s="1"/>
  <c r="EH26" i="12"/>
  <c r="EJ32" i="12"/>
  <c r="AP6" i="12"/>
  <c r="AX6" i="12" s="1"/>
  <c r="EN122" i="12"/>
  <c r="EH114" i="12"/>
  <c r="AX100" i="12"/>
  <c r="EH79" i="12"/>
  <c r="EJ92" i="12"/>
  <c r="EJ83" i="12"/>
  <c r="EH67" i="12"/>
  <c r="EJ68" i="12"/>
  <c r="EH60" i="12"/>
  <c r="EH48" i="12"/>
  <c r="AU25" i="12"/>
  <c r="EJ109" i="12"/>
  <c r="AN90" i="12"/>
  <c r="W90" i="12"/>
  <c r="AN60" i="12"/>
  <c r="W60" i="12"/>
  <c r="AQ12" i="12"/>
  <c r="AU12" i="12"/>
  <c r="AR12" i="12"/>
  <c r="AW12" i="12"/>
  <c r="AA50" i="12"/>
  <c r="AC50" i="12"/>
  <c r="AD50" i="12" s="1"/>
  <c r="AN56" i="12"/>
  <c r="W56" i="12"/>
  <c r="EJ41" i="12"/>
  <c r="EN12" i="12"/>
  <c r="EJ11" i="12"/>
  <c r="EN79" i="12"/>
  <c r="AC20" i="12"/>
  <c r="AD20" i="12" s="1"/>
  <c r="AA20" i="12"/>
  <c r="EJ45" i="12"/>
  <c r="AN49" i="12"/>
  <c r="W49" i="12"/>
  <c r="AP55" i="12"/>
  <c r="AX55" i="12" s="1"/>
  <c r="AR55" i="12"/>
  <c r="EN69" i="12"/>
  <c r="EJ19" i="12"/>
  <c r="EJ21" i="12"/>
  <c r="AN113" i="12"/>
  <c r="W113" i="12"/>
  <c r="AC65" i="12"/>
  <c r="AD65" i="12" s="1"/>
  <c r="AA65" i="12"/>
  <c r="AQ73" i="12"/>
  <c r="AP73" i="12"/>
  <c r="AX73" i="12" s="1"/>
  <c r="AN75" i="12"/>
  <c r="W75" i="12"/>
  <c r="AP67" i="12"/>
  <c r="AX67" i="12" s="1"/>
  <c r="AQ67" i="12"/>
  <c r="AU67" i="12"/>
  <c r="EN111" i="12"/>
  <c r="EN95" i="12"/>
  <c r="AX78" i="12"/>
  <c r="EH58" i="12"/>
  <c r="EJ16" i="12"/>
  <c r="AW39" i="12"/>
  <c r="EJ128" i="12"/>
  <c r="EN125" i="12"/>
  <c r="EH92" i="12"/>
  <c r="EH77" i="12"/>
  <c r="EJ76" i="12"/>
  <c r="EN18" i="12"/>
  <c r="EN133" i="12"/>
  <c r="AW124" i="12"/>
  <c r="EN94" i="12"/>
  <c r="EJ86" i="12"/>
  <c r="EJ74" i="12"/>
  <c r="AU55" i="12"/>
  <c r="EH49" i="12"/>
  <c r="AR136" i="12"/>
  <c r="AU136" i="12"/>
  <c r="AX34" i="12"/>
  <c r="EH129" i="12"/>
  <c r="EJ116" i="12"/>
  <c r="AR118" i="12"/>
  <c r="EJ101" i="12"/>
  <c r="AU110" i="12"/>
  <c r="EN82" i="12"/>
  <c r="EH68" i="12"/>
  <c r="EJ81" i="12"/>
  <c r="EN85" i="12"/>
  <c r="AQ55" i="12"/>
  <c r="EH44" i="12"/>
  <c r="W70" i="12"/>
  <c r="AN70" i="12"/>
  <c r="AC100" i="12"/>
  <c r="AD100" i="12" s="1"/>
  <c r="AA100" i="12"/>
  <c r="W42" i="12"/>
  <c r="AN42" i="12"/>
  <c r="AC67" i="12"/>
  <c r="AD67" i="12" s="1"/>
  <c r="AA67" i="12"/>
  <c r="AU59" i="12"/>
  <c r="AR59" i="12"/>
  <c r="AW70" i="12"/>
  <c r="AN46" i="12"/>
  <c r="W46" i="12"/>
  <c r="AN79" i="12"/>
  <c r="W79" i="12"/>
  <c r="EJ56" i="12"/>
  <c r="W48" i="12"/>
  <c r="AN48" i="12"/>
  <c r="AA25" i="12"/>
  <c r="AC25" i="12"/>
  <c r="AD25" i="12" s="1"/>
  <c r="AN3" i="12"/>
  <c r="W3" i="12"/>
  <c r="AW103" i="12"/>
  <c r="AR68" i="12"/>
  <c r="AU68" i="12"/>
  <c r="AQ68" i="12"/>
  <c r="AP68" i="12"/>
  <c r="AX68" i="12" s="1"/>
  <c r="AN40" i="12"/>
  <c r="W40" i="12"/>
  <c r="AW56" i="12"/>
  <c r="EH132" i="12"/>
  <c r="AW123" i="12"/>
  <c r="AQ107" i="12"/>
  <c r="AP107" i="12"/>
  <c r="AX107" i="12" s="1"/>
  <c r="AU107" i="12"/>
  <c r="AR107" i="12"/>
  <c r="EJ36" i="12"/>
  <c r="EH119" i="12"/>
  <c r="AA120" i="12"/>
  <c r="AC120" i="12"/>
  <c r="AD120" i="12" s="1"/>
  <c r="W138" i="12"/>
  <c r="AN138" i="12"/>
  <c r="EJ118" i="12"/>
  <c r="W114" i="12"/>
  <c r="AN114" i="12"/>
  <c r="EJ106" i="12"/>
  <c r="AA102" i="12"/>
  <c r="AC102" i="12"/>
  <c r="AD102" i="12" s="1"/>
  <c r="W95" i="12"/>
  <c r="AN95" i="12"/>
  <c r="AW91" i="12"/>
  <c r="AX91" i="12"/>
  <c r="AC91" i="12"/>
  <c r="AD91" i="12" s="1"/>
  <c r="AA91" i="12"/>
  <c r="AW90" i="12"/>
  <c r="EH75" i="12"/>
  <c r="AC89" i="12"/>
  <c r="AD89" i="12" s="1"/>
  <c r="AA89" i="12"/>
  <c r="EH62" i="12"/>
  <c r="EN73" i="12"/>
  <c r="AN93" i="12"/>
  <c r="W93" i="12"/>
  <c r="AR86" i="12"/>
  <c r="AU86" i="12"/>
  <c r="AQ86" i="12"/>
  <c r="AP86" i="12"/>
  <c r="AX86" i="12" s="1"/>
  <c r="EH66" i="12"/>
  <c r="AR56" i="12"/>
  <c r="AQ56" i="12"/>
  <c r="AP56" i="12"/>
  <c r="AX56" i="12" s="1"/>
  <c r="AU56" i="12"/>
  <c r="AA51" i="12"/>
  <c r="AC51" i="12"/>
  <c r="AD51" i="12" s="1"/>
  <c r="AW42" i="12"/>
  <c r="AP42" i="12"/>
  <c r="AX42" i="12" s="1"/>
  <c r="AR42" i="12"/>
  <c r="AU42" i="12"/>
  <c r="AQ42" i="12"/>
  <c r="AQ29" i="12"/>
  <c r="AR29" i="12"/>
  <c r="AP29" i="12"/>
  <c r="AX29" i="12" s="1"/>
  <c r="AU29" i="12"/>
  <c r="EH27" i="12"/>
  <c r="AN27" i="12"/>
  <c r="W27" i="12"/>
  <c r="AW27" i="12"/>
  <c r="AR90" i="12"/>
  <c r="AQ90" i="12"/>
  <c r="AP90" i="12"/>
  <c r="AX90" i="12" s="1"/>
  <c r="AU90" i="12"/>
  <c r="AW86" i="12"/>
  <c r="EH100" i="12"/>
  <c r="AX62" i="12"/>
  <c r="AW62" i="12"/>
  <c r="EN137" i="12"/>
  <c r="AX139" i="12"/>
  <c r="AW139" i="12"/>
  <c r="AW114" i="12"/>
  <c r="AW115" i="12"/>
  <c r="AX115" i="12"/>
  <c r="EH124" i="12"/>
  <c r="EJ138" i="12"/>
  <c r="EH104" i="12"/>
  <c r="EJ99" i="12"/>
  <c r="EJ79" i="12"/>
  <c r="AP89" i="12"/>
  <c r="AX89" i="12" s="1"/>
  <c r="AR89" i="12"/>
  <c r="AQ89" i="12"/>
  <c r="AU89" i="12"/>
  <c r="AC68" i="12"/>
  <c r="AD68" i="12" s="1"/>
  <c r="AA68" i="12"/>
  <c r="EJ93" i="12"/>
  <c r="EH85" i="12"/>
  <c r="AN57" i="12"/>
  <c r="W57" i="12"/>
  <c r="EH42" i="12"/>
  <c r="W43" i="12"/>
  <c r="AN43" i="12"/>
  <c r="AC49" i="12"/>
  <c r="AD49" i="12" s="1"/>
  <c r="AA49" i="12"/>
  <c r="AR51" i="12"/>
  <c r="AQ51" i="12"/>
  <c r="AP51" i="12"/>
  <c r="AX51" i="12" s="1"/>
  <c r="AU51" i="12"/>
  <c r="AW52" i="12"/>
  <c r="AX52" i="12"/>
  <c r="AC27" i="12"/>
  <c r="AD27" i="12" s="1"/>
  <c r="AA27" i="12"/>
  <c r="EH3" i="12"/>
  <c r="EH13" i="12"/>
  <c r="AW11" i="12"/>
  <c r="AW55" i="12"/>
  <c r="EN65" i="12"/>
  <c r="EJ58" i="12"/>
  <c r="AN51" i="12"/>
  <c r="W51" i="12"/>
  <c r="AA11" i="12"/>
  <c r="AC11" i="12"/>
  <c r="AD11" i="12" s="1"/>
  <c r="EJ3" i="12"/>
  <c r="AQ5" i="12"/>
  <c r="AU5" i="12"/>
  <c r="AR5" i="12"/>
  <c r="AP5" i="12"/>
  <c r="AX5" i="12" s="1"/>
  <c r="AQ9" i="12"/>
  <c r="AR9" i="12"/>
  <c r="AU9" i="12"/>
  <c r="AR13" i="12"/>
  <c r="AU13" i="12"/>
  <c r="AQ13" i="12"/>
  <c r="AP13" i="12"/>
  <c r="AX13" i="12" s="1"/>
  <c r="AN68" i="12"/>
  <c r="W68" i="12"/>
  <c r="AR27" i="12"/>
  <c r="AQ27" i="12"/>
  <c r="AU27" i="12"/>
  <c r="AP27" i="12"/>
  <c r="AX27" i="12" s="1"/>
  <c r="EH125" i="12"/>
  <c r="AU87" i="12"/>
  <c r="AQ87" i="12"/>
  <c r="AP87" i="12"/>
  <c r="AX87" i="12" s="1"/>
  <c r="AR87" i="12"/>
  <c r="W73" i="12"/>
  <c r="AN73" i="12"/>
  <c r="AW5" i="12"/>
  <c r="EH113" i="12"/>
  <c r="AA111" i="12"/>
  <c r="AC111" i="12"/>
  <c r="AD111" i="12" s="1"/>
  <c r="AP18" i="12"/>
  <c r="AN102" i="12"/>
  <c r="W102" i="12"/>
  <c r="EH73" i="12"/>
  <c r="AA48" i="12"/>
  <c r="AC48" i="12"/>
  <c r="AD48" i="12" s="1"/>
  <c r="EH7" i="12"/>
  <c r="EN17" i="12"/>
  <c r="EH136" i="12"/>
  <c r="EH137" i="12"/>
  <c r="W130" i="12"/>
  <c r="AN130" i="12"/>
  <c r="EH123" i="12"/>
  <c r="AW127" i="12"/>
  <c r="AW118" i="12"/>
  <c r="AU133" i="12"/>
  <c r="AR133" i="12"/>
  <c r="AQ133" i="12"/>
  <c r="AP133" i="12"/>
  <c r="AX133" i="12" s="1"/>
  <c r="EH106" i="12"/>
  <c r="AW109" i="12"/>
  <c r="AW113" i="12"/>
  <c r="AW107" i="12"/>
  <c r="AW97" i="12"/>
  <c r="AN83" i="12"/>
  <c r="W83" i="12"/>
  <c r="AR72" i="12"/>
  <c r="AQ72" i="12"/>
  <c r="AU72" i="12"/>
  <c r="AP72" i="12"/>
  <c r="AX72" i="12" s="1"/>
  <c r="EJ69" i="12"/>
  <c r="EH56" i="12"/>
  <c r="AW87" i="12"/>
  <c r="EN61" i="12"/>
  <c r="AC74" i="12"/>
  <c r="AD74" i="12" s="1"/>
  <c r="AA74" i="12"/>
  <c r="EJ47" i="12"/>
  <c r="AN61" i="12"/>
  <c r="W61" i="12"/>
  <c r="AP41" i="12"/>
  <c r="AX41" i="12" s="1"/>
  <c r="AR41" i="12"/>
  <c r="AQ41" i="12"/>
  <c r="AU41" i="12"/>
  <c r="AP40" i="12"/>
  <c r="AX40" i="12" s="1"/>
  <c r="AU40" i="12"/>
  <c r="AR40" i="12"/>
  <c r="AQ40" i="12"/>
  <c r="AC45" i="12"/>
  <c r="AD45" i="12" s="1"/>
  <c r="AA45" i="12"/>
  <c r="AW41" i="12"/>
  <c r="AU3" i="12"/>
  <c r="AR3" i="12"/>
  <c r="AQ3" i="12"/>
  <c r="AP3" i="12"/>
  <c r="AA13" i="12"/>
  <c r="AC13" i="12"/>
  <c r="AD13" i="12" s="1"/>
  <c r="AN21" i="12"/>
  <c r="W21" i="12"/>
  <c r="AU111" i="12"/>
  <c r="AR111" i="12"/>
  <c r="AQ111" i="12"/>
  <c r="AP111" i="12"/>
  <c r="AX111" i="12" s="1"/>
  <c r="W66" i="12"/>
  <c r="AN66" i="12"/>
  <c r="AC119" i="12"/>
  <c r="AD119" i="12" s="1"/>
  <c r="AA119" i="12"/>
  <c r="EH97" i="12"/>
  <c r="EH110" i="12"/>
  <c r="EH76" i="12"/>
  <c r="AW45" i="12"/>
  <c r="EN37" i="12"/>
  <c r="EH139" i="12"/>
  <c r="EH131" i="12"/>
  <c r="EJ130" i="12"/>
  <c r="AU127" i="12"/>
  <c r="AQ127" i="12"/>
  <c r="AR127" i="12"/>
  <c r="AP127" i="12"/>
  <c r="AX127" i="12" s="1"/>
  <c r="AU137" i="12"/>
  <c r="AR137" i="12"/>
  <c r="AQ137" i="12"/>
  <c r="AP137" i="12"/>
  <c r="AX137" i="12" s="1"/>
  <c r="EH134" i="12"/>
  <c r="AA124" i="12"/>
  <c r="AC124" i="12"/>
  <c r="AD124" i="12" s="1"/>
  <c r="W124" i="12"/>
  <c r="AN124" i="12"/>
  <c r="EH108" i="12"/>
  <c r="AU116" i="12"/>
  <c r="AR116" i="12"/>
  <c r="AQ116" i="12"/>
  <c r="AP116" i="12"/>
  <c r="AX116" i="12" s="1"/>
  <c r="W117" i="12"/>
  <c r="AN117" i="12"/>
  <c r="EH107" i="12"/>
  <c r="EH118" i="12"/>
  <c r="AN103" i="12"/>
  <c r="W103" i="12"/>
  <c r="EN97" i="12"/>
  <c r="AW101" i="12"/>
  <c r="AA107" i="12"/>
  <c r="AC107" i="12"/>
  <c r="AD107" i="12" s="1"/>
  <c r="EH88" i="12"/>
  <c r="W110" i="12"/>
  <c r="AN110" i="12"/>
  <c r="AP105" i="12"/>
  <c r="AX105" i="12" s="1"/>
  <c r="AQ105" i="12"/>
  <c r="AU105" i="12"/>
  <c r="AR105" i="12"/>
  <c r="EN81" i="12"/>
  <c r="EN93" i="12"/>
  <c r="W65" i="12"/>
  <c r="AN65" i="12"/>
  <c r="AW60" i="12"/>
  <c r="AN47" i="12"/>
  <c r="W47" i="12"/>
  <c r="EJ61" i="12"/>
  <c r="EH53" i="12"/>
  <c r="AU17" i="12"/>
  <c r="AP17" i="12"/>
  <c r="AR17" i="12"/>
  <c r="AQ17" i="12"/>
  <c r="AN5" i="12"/>
  <c r="W5" i="12"/>
  <c r="AW3" i="12"/>
  <c r="AX3" i="12"/>
  <c r="AQ114" i="12"/>
  <c r="AP114" i="12"/>
  <c r="AX114" i="12" s="1"/>
  <c r="AR114" i="12"/>
  <c r="AU114" i="12"/>
  <c r="AC115" i="12"/>
  <c r="AD115" i="12" s="1"/>
  <c r="AA115" i="12"/>
  <c r="AN99" i="12"/>
  <c r="W99" i="12"/>
  <c r="W92" i="12"/>
  <c r="AN92" i="12"/>
  <c r="AU75" i="12"/>
  <c r="AR75" i="12"/>
  <c r="AQ75" i="12"/>
  <c r="AP75" i="12"/>
  <c r="AX75" i="12" s="1"/>
  <c r="AC42" i="12"/>
  <c r="AD42" i="12" s="1"/>
  <c r="AA42" i="12"/>
  <c r="AU18" i="12"/>
  <c r="EH37" i="12"/>
  <c r="AW111" i="12"/>
  <c r="AR113" i="12"/>
  <c r="AP113" i="12"/>
  <c r="AX113" i="12" s="1"/>
  <c r="AU113" i="12"/>
  <c r="AQ113" i="12"/>
  <c r="EH87" i="12"/>
  <c r="AU123" i="12"/>
  <c r="AR123" i="12"/>
  <c r="AP123" i="12"/>
  <c r="AX123" i="12" s="1"/>
  <c r="AQ123" i="12"/>
  <c r="AU103" i="12"/>
  <c r="AQ103" i="12"/>
  <c r="AP103" i="12"/>
  <c r="AX103" i="12" s="1"/>
  <c r="AR103" i="12"/>
  <c r="AR74" i="12"/>
  <c r="AQ74" i="12"/>
  <c r="AP74" i="12"/>
  <c r="AX74" i="12" s="1"/>
  <c r="AU74" i="12"/>
  <c r="EH41" i="12"/>
  <c r="EH9" i="12"/>
  <c r="AC131" i="12"/>
  <c r="AD131" i="12" s="1"/>
  <c r="AA131" i="12"/>
  <c r="EN136" i="12"/>
  <c r="EH133" i="12"/>
  <c r="AX131" i="12"/>
  <c r="AW131" i="12"/>
  <c r="EJ129" i="12"/>
  <c r="EJ121" i="12"/>
  <c r="EJ123" i="12"/>
  <c r="EJ124" i="12"/>
  <c r="AC129" i="12"/>
  <c r="AD129" i="12" s="1"/>
  <c r="AA129" i="12"/>
  <c r="AW133" i="12"/>
  <c r="AA116" i="12"/>
  <c r="AC116" i="12"/>
  <c r="AD116" i="12" s="1"/>
  <c r="EH109" i="12"/>
  <c r="EN118" i="12"/>
  <c r="AN107" i="12"/>
  <c r="W107" i="12"/>
  <c r="EN114" i="12"/>
  <c r="EH94" i="12"/>
  <c r="AW98" i="12"/>
  <c r="AW94" i="12"/>
  <c r="EJ110" i="12"/>
  <c r="AX79" i="12"/>
  <c r="AW79" i="12"/>
  <c r="AW77" i="12"/>
  <c r="EH93" i="12"/>
  <c r="AC55" i="12"/>
  <c r="AD55" i="12" s="1"/>
  <c r="AA55" i="12"/>
  <c r="EJ70" i="12"/>
  <c r="EJ78" i="12"/>
  <c r="AW61" i="12"/>
  <c r="AX61" i="12"/>
  <c r="AC53" i="12"/>
  <c r="AD53" i="12" s="1"/>
  <c r="AA53" i="12"/>
  <c r="EH65" i="12"/>
  <c r="EJ65" i="12"/>
  <c r="AW74" i="12"/>
  <c r="EH72" i="12"/>
  <c r="EN72" i="12"/>
  <c r="AC41" i="12"/>
  <c r="AD41" i="12" s="1"/>
  <c r="AA41" i="12"/>
  <c r="AW21" i="12"/>
  <c r="AN13" i="12"/>
  <c r="W13" i="12"/>
  <c r="W76" i="12"/>
  <c r="AN76" i="12"/>
  <c r="AU66" i="12"/>
  <c r="AR66" i="12"/>
  <c r="AQ66" i="12"/>
  <c r="AP66" i="12"/>
  <c r="AX66" i="12" s="1"/>
  <c r="AA86" i="12"/>
  <c r="AC86" i="12"/>
  <c r="AD86" i="12" s="1"/>
  <c r="W29" i="12"/>
  <c r="AN29" i="12"/>
  <c r="AN133" i="12"/>
  <c r="W133" i="12"/>
  <c r="EH126" i="12"/>
  <c r="AP97" i="12"/>
  <c r="AX97" i="12" s="1"/>
  <c r="AU97" i="12"/>
  <c r="AR97" i="12"/>
  <c r="AQ97" i="12"/>
  <c r="EH81" i="12"/>
  <c r="EJ50" i="12"/>
  <c r="AR60" i="12"/>
  <c r="AQ60" i="12"/>
  <c r="AP60" i="12"/>
  <c r="AX60" i="12" s="1"/>
  <c r="AU60" i="12"/>
  <c r="AA22" i="12"/>
  <c r="AA30" i="12"/>
  <c r="EN36" i="12"/>
  <c r="EJ38" i="12"/>
  <c r="EH4" i="12"/>
  <c r="EJ137" i="12"/>
  <c r="W121" i="12"/>
  <c r="AN121" i="12"/>
  <c r="EJ125" i="12"/>
  <c r="AW137" i="12"/>
  <c r="AU129" i="12"/>
  <c r="AR129" i="12"/>
  <c r="AQ129" i="12"/>
  <c r="AP129" i="12"/>
  <c r="AX129" i="12" s="1"/>
  <c r="EH138" i="12"/>
  <c r="AR106" i="12"/>
  <c r="AQ106" i="12"/>
  <c r="AP106" i="12"/>
  <c r="AX106" i="12" s="1"/>
  <c r="AU106" i="12"/>
  <c r="AN111" i="12"/>
  <c r="W111" i="12"/>
  <c r="EJ107" i="12"/>
  <c r="EH103" i="12"/>
  <c r="EJ95" i="12"/>
  <c r="EJ84" i="12"/>
  <c r="AC94" i="12"/>
  <c r="AD94" i="12" s="1"/>
  <c r="AA94" i="12"/>
  <c r="AW95" i="12"/>
  <c r="AX95" i="12"/>
  <c r="AC77" i="12"/>
  <c r="AD77" i="12" s="1"/>
  <c r="AA77" i="12"/>
  <c r="AW105" i="12"/>
  <c r="AN89" i="12"/>
  <c r="W89" i="12"/>
  <c r="AC81" i="12"/>
  <c r="AD81" i="12" s="1"/>
  <c r="AA81" i="12"/>
  <c r="EH69" i="12"/>
  <c r="AN85" i="12"/>
  <c r="W85" i="12"/>
  <c r="AA61" i="12"/>
  <c r="AC61" i="12"/>
  <c r="AD61" i="12" s="1"/>
  <c r="AW68" i="12"/>
  <c r="EH45" i="12"/>
  <c r="AU57" i="12"/>
  <c r="AR57" i="12"/>
  <c r="AQ57" i="12"/>
  <c r="AP57" i="12"/>
  <c r="AX57" i="12" s="1"/>
  <c r="AN53" i="12"/>
  <c r="W53" i="12"/>
  <c r="AC43" i="12"/>
  <c r="AD43" i="12" s="1"/>
  <c r="AA43" i="12"/>
  <c r="AW47" i="12"/>
  <c r="AU8" i="12"/>
  <c r="AQ8" i="12"/>
  <c r="AR8" i="12"/>
  <c r="EJ13" i="12"/>
  <c r="AC21" i="12"/>
  <c r="AD21" i="12" s="1"/>
  <c r="AA21" i="12"/>
  <c r="AW46" i="12"/>
  <c r="AX46" i="12"/>
  <c r="W134" i="12"/>
  <c r="AN134" i="12"/>
  <c r="EH83" i="12"/>
  <c r="EH89" i="12"/>
  <c r="AX59" i="12"/>
  <c r="AW59" i="12"/>
  <c r="AP47" i="12"/>
  <c r="AX47" i="12" s="1"/>
  <c r="AU47" i="12"/>
  <c r="AQ47" i="12"/>
  <c r="AR47" i="12"/>
  <c r="AP45" i="12"/>
  <c r="AX45" i="12" s="1"/>
  <c r="AU45" i="12"/>
  <c r="AR45" i="12"/>
  <c r="AQ45" i="12"/>
  <c r="AW119" i="12"/>
  <c r="AX119" i="12"/>
  <c r="AX104" i="12"/>
  <c r="AW104" i="12"/>
  <c r="AC59" i="12"/>
  <c r="AD59" i="12" s="1"/>
  <c r="AA59" i="12"/>
  <c r="AC133" i="12"/>
  <c r="AD133" i="12" s="1"/>
  <c r="AA133" i="12"/>
  <c r="EJ117" i="12"/>
  <c r="AP101" i="12"/>
  <c r="AX101" i="12" s="1"/>
  <c r="AU101" i="12"/>
  <c r="AR101" i="12"/>
  <c r="AQ101" i="12"/>
  <c r="W69" i="12"/>
  <c r="AN69" i="12"/>
  <c r="AN78" i="12"/>
  <c r="W78" i="12"/>
  <c r="AN72" i="12"/>
  <c r="W72" i="12"/>
  <c r="AX30" i="12"/>
  <c r="EN4" i="12"/>
  <c r="AN137" i="12"/>
  <c r="W137" i="12"/>
  <c r="EH121" i="12"/>
  <c r="EH115" i="12"/>
  <c r="EN117" i="12"/>
  <c r="EJ126" i="12"/>
  <c r="EH117" i="12"/>
  <c r="EJ111" i="12"/>
  <c r="AX99" i="12"/>
  <c r="AW99" i="12"/>
  <c r="AR98" i="12"/>
  <c r="AU98" i="12"/>
  <c r="AQ98" i="12"/>
  <c r="AP98" i="12"/>
  <c r="AX98" i="12" s="1"/>
  <c r="AR94" i="12"/>
  <c r="AQ94" i="12"/>
  <c r="AP94" i="12"/>
  <c r="AX94" i="12" s="1"/>
  <c r="AU94" i="12"/>
  <c r="EN77" i="12"/>
  <c r="AQ77" i="12"/>
  <c r="AU77" i="12"/>
  <c r="AR77" i="12"/>
  <c r="AP77" i="12"/>
  <c r="AX77" i="12" s="1"/>
  <c r="EJ89" i="12"/>
  <c r="EH70" i="12"/>
  <c r="AW81" i="12"/>
  <c r="AN62" i="12"/>
  <c r="W62" i="12"/>
  <c r="EH52" i="12"/>
  <c r="EH78" i="12"/>
  <c r="EJ85" i="12"/>
  <c r="AW64" i="12"/>
  <c r="AX53" i="12"/>
  <c r="AW53" i="12"/>
  <c r="W54" i="12"/>
  <c r="AN54" i="12"/>
  <c r="AA47" i="12"/>
  <c r="AC47" i="12"/>
  <c r="AD47" i="12" s="1"/>
  <c r="EJ51" i="12"/>
  <c r="AR28" i="12"/>
  <c r="AU28" i="12"/>
  <c r="AQ28" i="12"/>
  <c r="AP28" i="12"/>
  <c r="AX28" i="12" s="1"/>
  <c r="W20" i="12"/>
  <c r="AN20" i="12"/>
  <c r="AR21" i="12"/>
  <c r="AU21" i="12"/>
  <c r="AQ21" i="12"/>
  <c r="AP21" i="12"/>
  <c r="AX21" i="12" s="1"/>
  <c r="EH20" i="12"/>
  <c r="EH99" i="12"/>
  <c r="AW49" i="12"/>
  <c r="W125" i="12"/>
  <c r="AN125" i="12"/>
  <c r="AW75" i="12"/>
  <c r="AN58" i="12"/>
  <c r="W58" i="12"/>
  <c r="EJ134" i="12"/>
  <c r="EN116" i="12"/>
  <c r="AP109" i="12"/>
  <c r="AX109" i="12" s="1"/>
  <c r="AQ109" i="12"/>
  <c r="AU109" i="12"/>
  <c r="AR109" i="12"/>
  <c r="EH102" i="12"/>
  <c r="AN81" i="12"/>
  <c r="W81" i="12"/>
  <c r="AW72" i="12"/>
  <c r="EH8" i="12"/>
  <c r="AC135" i="12"/>
  <c r="AD135" i="12" s="1"/>
  <c r="AA135" i="12"/>
  <c r="EH128" i="12"/>
  <c r="AX135" i="12"/>
  <c r="AW135" i="12"/>
  <c r="EN123" i="12"/>
  <c r="AX122" i="12"/>
  <c r="AW122" i="12"/>
  <c r="EH120" i="12"/>
  <c r="AW129" i="12"/>
  <c r="W126" i="12"/>
  <c r="AN126" i="12"/>
  <c r="AW116" i="12"/>
  <c r="AA106" i="12"/>
  <c r="AC106" i="12"/>
  <c r="AD106" i="12" s="1"/>
  <c r="W118" i="12"/>
  <c r="AN118" i="12"/>
  <c r="EH101" i="12"/>
  <c r="EJ114" i="12"/>
  <c r="AW102" i="12"/>
  <c r="AX102" i="12"/>
  <c r="EH98" i="12"/>
  <c r="AC79" i="12"/>
  <c r="AD79" i="12" s="1"/>
  <c r="AA79" i="12"/>
  <c r="EJ75" i="12"/>
  <c r="AN82" i="12"/>
  <c r="W82" i="12"/>
  <c r="AW89" i="12"/>
  <c r="AU81" i="12"/>
  <c r="AR81" i="12"/>
  <c r="AQ81" i="12"/>
  <c r="AP81" i="12"/>
  <c r="AX81" i="12" s="1"/>
  <c r="AU64" i="12"/>
  <c r="AR64" i="12"/>
  <c r="AQ64" i="12"/>
  <c r="AP64" i="12"/>
  <c r="AX64" i="12" s="1"/>
  <c r="W44" i="12"/>
  <c r="AN44" i="12"/>
  <c r="EH61" i="12"/>
  <c r="AC44" i="12"/>
  <c r="AD44" i="12" s="1"/>
  <c r="AA44" i="12"/>
  <c r="AW57" i="12"/>
  <c r="AA52" i="12"/>
  <c r="AC52" i="12"/>
  <c r="AD52" i="12" s="1"/>
  <c r="AW51" i="12"/>
  <c r="AU49" i="12"/>
  <c r="AP49" i="12"/>
  <c r="AX49" i="12" s="1"/>
  <c r="AR49" i="12"/>
  <c r="AQ49" i="12"/>
  <c r="AW28" i="12"/>
  <c r="AC46" i="12"/>
  <c r="AD46" i="12" s="1"/>
  <c r="AA46" i="12"/>
  <c r="AW29" i="12"/>
  <c r="W4" i="12"/>
  <c r="AN4" i="12"/>
  <c r="EJ4" i="12"/>
  <c r="D198" i="22"/>
  <c r="D204" i="22" s="1"/>
  <c r="D176" i="22" s="1"/>
  <c r="D197" i="22"/>
  <c r="D203" i="22" s="1"/>
  <c r="D177" i="22" s="1"/>
  <c r="H246" i="22" s="1"/>
  <c r="B253" i="22" s="1"/>
  <c r="D312" i="22"/>
  <c r="D307" i="22"/>
  <c r="D313" i="22" s="1"/>
  <c r="D301" i="22"/>
  <c r="B332" i="22"/>
  <c r="B338" i="22" s="1"/>
  <c r="B312" i="22" s="1"/>
  <c r="D333" i="22"/>
  <c r="D339" i="22" s="1"/>
  <c r="D311" i="22" s="1"/>
  <c r="Q56" i="30"/>
  <c r="AG56" i="30"/>
  <c r="F198" i="22"/>
  <c r="F204" i="22" s="1"/>
  <c r="F197" i="22"/>
  <c r="F203" i="22" s="1"/>
  <c r="D164" i="22"/>
  <c r="D166" i="22"/>
  <c r="D167" i="22"/>
  <c r="D168" i="22" s="1"/>
  <c r="M169" i="22" s="1"/>
  <c r="BL5" i="26" s="1"/>
  <c r="B164" i="22"/>
  <c r="B167" i="22"/>
  <c r="B168" i="22" s="1"/>
  <c r="B166" i="22"/>
  <c r="E244" i="22"/>
  <c r="B244" i="22"/>
  <c r="D32" i="22"/>
  <c r="D33" i="22" s="1"/>
  <c r="M34" i="22" s="1"/>
  <c r="BL4" i="26" s="1"/>
  <c r="D31" i="22"/>
  <c r="D51" i="22"/>
  <c r="D52" i="22"/>
  <c r="D41" i="22"/>
  <c r="B51" i="22"/>
  <c r="B41" i="22"/>
  <c r="B52" i="22"/>
  <c r="B57" i="22" s="1"/>
  <c r="M10" i="22"/>
  <c r="M4" i="26" s="1"/>
  <c r="B27" i="22"/>
  <c r="D42" i="22"/>
  <c r="D37" i="22"/>
  <c r="B43" i="22"/>
  <c r="B44" i="22"/>
  <c r="B45" i="22" s="1"/>
  <c r="EJ14" i="12"/>
  <c r="EH15" i="12"/>
  <c r="AX22" i="12"/>
  <c r="W38" i="12"/>
  <c r="EH38" i="12"/>
  <c r="EH36" i="12"/>
  <c r="W36" i="12"/>
  <c r="AN36" i="12"/>
  <c r="AR35" i="12"/>
  <c r="AQ35" i="12"/>
  <c r="AP35" i="12"/>
  <c r="AX35" i="12" s="1"/>
  <c r="AU35" i="12"/>
  <c r="AC39" i="12"/>
  <c r="AD39" i="12" s="1"/>
  <c r="AA39" i="12"/>
  <c r="EH39" i="12"/>
  <c r="AU36" i="12"/>
  <c r="AR36" i="12"/>
  <c r="AQ36" i="12"/>
  <c r="AP36" i="12"/>
  <c r="AX36" i="12" s="1"/>
  <c r="AC38" i="12"/>
  <c r="AD38" i="12" s="1"/>
  <c r="AA38" i="12"/>
  <c r="AC37" i="12"/>
  <c r="AD37" i="12" s="1"/>
  <c r="AA37" i="12"/>
  <c r="AC36" i="12"/>
  <c r="AD36" i="12" s="1"/>
  <c r="AA36" i="12"/>
  <c r="EJ39" i="12"/>
  <c r="AW35" i="12"/>
  <c r="AN39" i="12"/>
  <c r="W39" i="12"/>
  <c r="AR38" i="12"/>
  <c r="AQ38" i="12"/>
  <c r="AP38" i="12"/>
  <c r="AX38" i="12" s="1"/>
  <c r="AU38" i="12"/>
  <c r="AC35" i="12"/>
  <c r="AD35" i="12" s="1"/>
  <c r="AA35" i="12"/>
  <c r="EJ37" i="12"/>
  <c r="AU39" i="12"/>
  <c r="AR39" i="12"/>
  <c r="AQ39" i="12"/>
  <c r="AP39" i="12"/>
  <c r="AX39" i="12" s="1"/>
  <c r="AN37" i="12"/>
  <c r="W37" i="12"/>
  <c r="AC31" i="12"/>
  <c r="AD31" i="12" s="1"/>
  <c r="AA31" i="12"/>
  <c r="W33" i="12"/>
  <c r="AN33" i="12"/>
  <c r="EH33" i="12"/>
  <c r="AW31" i="12"/>
  <c r="EJ33" i="12"/>
  <c r="EH34" i="12"/>
  <c r="W32" i="12"/>
  <c r="AN32" i="12"/>
  <c r="EH31" i="12"/>
  <c r="EN31" i="12"/>
  <c r="AR31" i="12"/>
  <c r="AQ31" i="12"/>
  <c r="AP31" i="12"/>
  <c r="AX31" i="12" s="1"/>
  <c r="AU31" i="12"/>
  <c r="EH32" i="12"/>
  <c r="W25" i="12"/>
  <c r="AN25" i="12"/>
  <c r="EH23" i="12"/>
  <c r="EN24" i="12"/>
  <c r="AU24" i="12"/>
  <c r="AR24" i="12"/>
  <c r="AQ24" i="12"/>
  <c r="AP24" i="12"/>
  <c r="AX24" i="12" s="1"/>
  <c r="AN24" i="12"/>
  <c r="W24" i="12"/>
  <c r="EH25" i="12"/>
  <c r="EN25" i="12"/>
  <c r="AW24" i="12"/>
  <c r="EJ25" i="12"/>
  <c r="EH24" i="12"/>
  <c r="AR14" i="12"/>
  <c r="AQ14" i="12"/>
  <c r="AP14" i="12"/>
  <c r="AU14" i="12"/>
  <c r="EH18" i="12"/>
  <c r="EH17" i="12"/>
  <c r="W16" i="12"/>
  <c r="AN16" i="12"/>
  <c r="EH16" i="12"/>
  <c r="EH14" i="12"/>
  <c r="W14" i="12"/>
  <c r="AN14" i="12"/>
  <c r="W17" i="12"/>
  <c r="AN17" i="12"/>
  <c r="EN14" i="12"/>
  <c r="AC15" i="12"/>
  <c r="AD15" i="12" s="1"/>
  <c r="AA15" i="12"/>
  <c r="AC14" i="12"/>
  <c r="AD14" i="12" s="1"/>
  <c r="AA14" i="12"/>
  <c r="EN9" i="12"/>
  <c r="AR10" i="12"/>
  <c r="AQ10" i="12"/>
  <c r="AP10" i="12"/>
  <c r="AX10" i="12" s="1"/>
  <c r="AU10" i="12"/>
  <c r="EH10" i="12"/>
  <c r="AC10" i="12"/>
  <c r="AD10" i="12" s="1"/>
  <c r="AA10" i="12"/>
  <c r="AN10" i="12"/>
  <c r="W10" i="12"/>
  <c r="AN7" i="12"/>
  <c r="W7" i="12"/>
  <c r="EJ8" i="12"/>
  <c r="AX8" i="12"/>
  <c r="AW8" i="12"/>
  <c r="AW10" i="12"/>
  <c r="AN8" i="12"/>
  <c r="W8" i="12"/>
  <c r="F56" i="20"/>
  <c r="P65" i="30"/>
  <c r="AC44" i="21"/>
  <c r="F50" i="20"/>
  <c r="F54" i="20"/>
  <c r="AE44" i="21"/>
  <c r="H29" i="33"/>
  <c r="I17" i="33"/>
  <c r="L10" i="33"/>
  <c r="L8" i="33"/>
  <c r="K21" i="33"/>
  <c r="K4" i="33"/>
  <c r="C28" i="33"/>
  <c r="G5" i="33"/>
  <c r="H8" i="33"/>
  <c r="M23" i="33"/>
  <c r="M26" i="33"/>
  <c r="K29" i="33"/>
  <c r="C7" i="33"/>
  <c r="L17" i="33"/>
  <c r="H20" i="33"/>
  <c r="D4" i="33"/>
  <c r="M14" i="33"/>
  <c r="M16" i="33"/>
  <c r="G12" i="33"/>
  <c r="G14" i="33"/>
  <c r="L15" i="33"/>
  <c r="H17" i="33"/>
  <c r="L16" i="33"/>
  <c r="F46" i="20"/>
  <c r="J16" i="33"/>
  <c r="I15" i="33"/>
  <c r="I8" i="33"/>
  <c r="I24" i="33"/>
  <c r="L20" i="33"/>
  <c r="J17" i="33"/>
  <c r="D27" i="33"/>
  <c r="O28" i="33"/>
  <c r="G7" i="33"/>
  <c r="C20" i="33"/>
  <c r="F22" i="33"/>
  <c r="N25" i="33"/>
  <c r="J28" i="33"/>
  <c r="N5" i="33"/>
  <c r="C8" i="33"/>
  <c r="I19" i="33"/>
  <c r="C3" i="33"/>
  <c r="D12" i="33"/>
  <c r="M9" i="33"/>
  <c r="G9" i="33"/>
  <c r="D9" i="33"/>
  <c r="J6" i="33"/>
  <c r="H5" i="33"/>
  <c r="N13" i="33"/>
  <c r="L5" i="33"/>
  <c r="J21" i="33"/>
  <c r="F51" i="20"/>
  <c r="F52" i="20"/>
  <c r="J4" i="33"/>
  <c r="G16" i="33"/>
  <c r="I26" i="33"/>
  <c r="I5" i="33"/>
  <c r="F49" i="20"/>
  <c r="D11" i="33"/>
  <c r="L12" i="33"/>
  <c r="I12" i="33"/>
  <c r="L21" i="33"/>
  <c r="K7" i="33"/>
  <c r="F26" i="33"/>
  <c r="C24" i="33"/>
  <c r="D26" i="33"/>
  <c r="O29" i="33"/>
  <c r="F7" i="33"/>
  <c r="C19" i="33"/>
  <c r="M25" i="33"/>
  <c r="J27" i="33"/>
  <c r="F29" i="33"/>
  <c r="J5" i="33"/>
  <c r="D10" i="33"/>
  <c r="M18" i="33"/>
  <c r="D13" i="33"/>
  <c r="F12" i="33"/>
  <c r="D18" i="33"/>
  <c r="G28" i="33"/>
  <c r="G18" i="33"/>
  <c r="F27" i="33"/>
  <c r="J20" i="33"/>
  <c r="L29" i="33"/>
  <c r="J25" i="33"/>
  <c r="F45" i="20"/>
  <c r="H25" i="33"/>
  <c r="K25" i="33"/>
  <c r="N14" i="33"/>
  <c r="I11" i="33"/>
  <c r="O11" i="33"/>
  <c r="I3" i="33"/>
  <c r="K10" i="33"/>
  <c r="I10" i="33"/>
  <c r="L6" i="33"/>
  <c r="G25" i="33"/>
  <c r="M22" i="33"/>
  <c r="M28" i="33"/>
  <c r="O17" i="33"/>
  <c r="C21" i="33"/>
  <c r="N24" i="33"/>
  <c r="K26" i="33"/>
  <c r="F28" i="33"/>
  <c r="H19" i="33"/>
  <c r="D15" i="33"/>
  <c r="C4" i="33"/>
  <c r="O16" i="33"/>
  <c r="O10" i="33"/>
  <c r="F9" i="33"/>
  <c r="N10" i="33"/>
  <c r="G24" i="33"/>
  <c r="N15" i="33"/>
  <c r="K17" i="33"/>
  <c r="F17" i="33"/>
  <c r="H27" i="33"/>
  <c r="N18" i="33"/>
  <c r="L18" i="33"/>
  <c r="G3" i="33"/>
  <c r="M11" i="33"/>
  <c r="C11" i="33"/>
  <c r="I14" i="33"/>
  <c r="L9" i="33"/>
  <c r="J9" i="33"/>
  <c r="I22" i="33"/>
  <c r="D24" i="33"/>
  <c r="G21" i="33"/>
  <c r="O23" i="33"/>
  <c r="N27" i="33"/>
  <c r="N29" i="33"/>
  <c r="F8" i="33"/>
  <c r="N19" i="33"/>
  <c r="G23" i="33"/>
  <c r="L25" i="33"/>
  <c r="G27" i="33"/>
  <c r="J7" i="33"/>
  <c r="C6" i="33"/>
  <c r="O18" i="33"/>
  <c r="M15" i="33"/>
  <c r="D14" i="33"/>
  <c r="I7" i="33"/>
  <c r="H18" i="33"/>
  <c r="H15" i="33"/>
  <c r="F15" i="33"/>
  <c r="N21" i="33"/>
  <c r="H16" i="33"/>
  <c r="N6" i="33"/>
  <c r="N9" i="33"/>
  <c r="N28" i="33"/>
  <c r="I16" i="33"/>
  <c r="J13" i="33"/>
  <c r="J24" i="33"/>
  <c r="K8" i="33"/>
  <c r="K20" i="33"/>
  <c r="N22" i="33"/>
  <c r="H22" i="33"/>
  <c r="O26" i="33"/>
  <c r="L28" i="33"/>
  <c r="N17" i="33"/>
  <c r="D22" i="33"/>
  <c r="M24" i="33"/>
  <c r="H26" i="33"/>
  <c r="D3" i="33"/>
  <c r="O15" i="33"/>
  <c r="C12" i="33"/>
  <c r="C14" i="33"/>
  <c r="K14" i="33"/>
  <c r="G6" i="33"/>
  <c r="G13" i="33"/>
  <c r="E13" i="33"/>
  <c r="L14" i="33"/>
  <c r="F47" i="20"/>
  <c r="N4" i="33"/>
  <c r="O13" i="33"/>
  <c r="I29" i="33"/>
  <c r="L11" i="33"/>
  <c r="J15" i="33"/>
  <c r="K12" i="33"/>
  <c r="K23" i="33"/>
  <c r="L7" i="33"/>
  <c r="I21" i="33"/>
  <c r="H21" i="33"/>
  <c r="F19" i="33"/>
  <c r="F21" i="33"/>
  <c r="C26" i="33"/>
  <c r="M27" i="33"/>
  <c r="D5" i="33"/>
  <c r="O20" i="33"/>
  <c r="F23" i="33"/>
  <c r="I25" i="33"/>
  <c r="C18" i="33"/>
  <c r="C10" i="33"/>
  <c r="M6" i="33"/>
  <c r="G19" i="33"/>
  <c r="O12" i="33"/>
  <c r="F14" i="33"/>
  <c r="F4" i="33"/>
  <c r="D6" i="33"/>
  <c r="K5" i="33"/>
  <c r="K15" i="33"/>
  <c r="N7" i="33"/>
  <c r="F57" i="20"/>
  <c r="F53" i="20"/>
  <c r="C9" i="33"/>
  <c r="E29" i="33"/>
  <c r="J11" i="33"/>
  <c r="I4" i="33"/>
  <c r="L24" i="33"/>
  <c r="L22" i="33"/>
  <c r="N16" i="33"/>
  <c r="I20" i="33"/>
  <c r="F20" i="33"/>
  <c r="D17" i="33"/>
  <c r="D20" i="33"/>
  <c r="D25" i="33"/>
  <c r="N26" i="33"/>
  <c r="M29" i="33"/>
  <c r="D7" i="33"/>
  <c r="M19" i="33"/>
  <c r="C22" i="33"/>
  <c r="F24" i="33"/>
  <c r="D16" i="33"/>
  <c r="O6" i="33"/>
  <c r="M3" i="33"/>
  <c r="H12" i="33"/>
  <c r="F10" i="33"/>
  <c r="H24" i="33"/>
  <c r="H6" i="33"/>
  <c r="I27" i="33"/>
  <c r="L3" i="33"/>
  <c r="H3" i="33"/>
  <c r="H13" i="33"/>
  <c r="L4" i="33"/>
  <c r="AE48" i="21"/>
  <c r="F60" i="20"/>
  <c r="K11" i="33"/>
  <c r="J3" i="33"/>
  <c r="I13" i="33"/>
  <c r="J10" i="33"/>
  <c r="I23" i="33"/>
  <c r="K18" i="33"/>
  <c r="I18" i="33"/>
  <c r="M8" i="33"/>
  <c r="N23" i="33"/>
  <c r="O25" i="33"/>
  <c r="K28" i="33"/>
  <c r="O5" i="33"/>
  <c r="M17" i="33"/>
  <c r="N20" i="33"/>
  <c r="C23" i="33"/>
  <c r="C15" i="33"/>
  <c r="O3" i="33"/>
  <c r="C13" i="33"/>
  <c r="H9" i="33"/>
  <c r="M13" i="33"/>
  <c r="J18" i="33"/>
  <c r="G4" i="33"/>
  <c r="J26" i="33"/>
  <c r="G26" i="33"/>
  <c r="E3" i="33"/>
  <c r="F58" i="20"/>
  <c r="F59" i="20"/>
  <c r="F44" i="20"/>
  <c r="K16" i="33"/>
  <c r="G10" i="33"/>
  <c r="F11" i="33"/>
  <c r="K6" i="33"/>
  <c r="J12" i="33"/>
  <c r="K9" i="33"/>
  <c r="J22" i="33"/>
  <c r="I6" i="33"/>
  <c r="C29" i="33"/>
  <c r="H7" i="33"/>
  <c r="C17" i="33"/>
  <c r="G22" i="33"/>
  <c r="C25" i="33"/>
  <c r="L27" i="33"/>
  <c r="C5" i="33"/>
  <c r="D8" i="33"/>
  <c r="L19" i="33"/>
  <c r="M21" i="33"/>
  <c r="O8" i="33"/>
  <c r="O21" i="33"/>
  <c r="D23" i="33"/>
  <c r="L13" i="33"/>
  <c r="N12" i="33"/>
  <c r="F16" i="33"/>
  <c r="G15" i="33"/>
  <c r="F18" i="33"/>
  <c r="M20" i="33"/>
  <c r="G20" i="33"/>
  <c r="N3" i="33"/>
  <c r="N8" i="33"/>
  <c r="F48" i="20"/>
  <c r="AC48" i="21"/>
  <c r="F55" i="20"/>
  <c r="AL59" i="21"/>
  <c r="AL61" i="21"/>
  <c r="AL62" i="21"/>
  <c r="AL60" i="21"/>
  <c r="AL65" i="21"/>
  <c r="AL63" i="21"/>
  <c r="AE47" i="21"/>
  <c r="AL67" i="21"/>
  <c r="AL69" i="21"/>
  <c r="AL71" i="21"/>
  <c r="AL68" i="21"/>
  <c r="AL66" i="21"/>
  <c r="AL70" i="21"/>
  <c r="AL73" i="21"/>
  <c r="AL64" i="21"/>
  <c r="AL72" i="21"/>
  <c r="AC47" i="21"/>
  <c r="AL57" i="21"/>
  <c r="AL58" i="21"/>
  <c r="AC45" i="21"/>
  <c r="AE45" i="21"/>
  <c r="AC46" i="21"/>
  <c r="AE46" i="21"/>
  <c r="AG46" i="21"/>
  <c r="BM5" i="21"/>
  <c r="B97" i="16"/>
  <c r="B99" i="16"/>
  <c r="B95" i="16"/>
  <c r="B88" i="16"/>
  <c r="B85" i="16"/>
  <c r="B82" i="16"/>
  <c r="B79" i="16"/>
  <c r="B76" i="16"/>
  <c r="B68" i="16"/>
  <c r="B98" i="16"/>
  <c r="B59" i="16"/>
  <c r="B56" i="16"/>
  <c r="B54" i="16"/>
  <c r="B64" i="16"/>
  <c r="B55" i="16"/>
  <c r="B35" i="16"/>
  <c r="B29" i="16"/>
  <c r="B87" i="16"/>
  <c r="B84" i="16"/>
  <c r="B81" i="16"/>
  <c r="B78" i="16"/>
  <c r="B75" i="16"/>
  <c r="B53" i="16"/>
  <c r="B93" i="16"/>
  <c r="B67" i="16"/>
  <c r="B63" i="16"/>
  <c r="B61" i="16"/>
  <c r="B60" i="16"/>
  <c r="B57" i="16"/>
  <c r="B52" i="16"/>
  <c r="B46" i="16"/>
  <c r="B37" i="16"/>
  <c r="B90" i="16"/>
  <c r="B96" i="16"/>
  <c r="B89" i="16"/>
  <c r="B72" i="16"/>
  <c r="B71" i="16"/>
  <c r="B74" i="16"/>
  <c r="B73" i="16"/>
  <c r="B66" i="16"/>
  <c r="B44" i="16"/>
  <c r="B77" i="16"/>
  <c r="B70" i="16"/>
  <c r="B58" i="16"/>
  <c r="B39" i="16"/>
  <c r="B38" i="16"/>
  <c r="B92" i="16"/>
  <c r="B91" i="16"/>
  <c r="B48" i="16"/>
  <c r="B31" i="16"/>
  <c r="B40" i="16"/>
  <c r="B36" i="16"/>
  <c r="B25" i="16"/>
  <c r="B8" i="16"/>
  <c r="B80" i="16"/>
  <c r="B26" i="16"/>
  <c r="B19" i="16"/>
  <c r="B5" i="16"/>
  <c r="B69" i="16"/>
  <c r="B21" i="16"/>
  <c r="B20" i="16"/>
  <c r="B18" i="16"/>
  <c r="B17" i="16"/>
  <c r="B94" i="16"/>
  <c r="B49" i="16"/>
  <c r="B7" i="16"/>
  <c r="B33" i="16"/>
  <c r="B62" i="16"/>
  <c r="B30" i="16"/>
  <c r="B23" i="16"/>
  <c r="B15" i="16"/>
  <c r="B86" i="16"/>
  <c r="B51" i="16"/>
  <c r="B42" i="16"/>
  <c r="B28" i="16"/>
  <c r="B14" i="16"/>
  <c r="B6" i="16"/>
  <c r="B47" i="16"/>
  <c r="B43" i="16"/>
  <c r="B41" i="16"/>
  <c r="B32" i="16"/>
  <c r="B16" i="16"/>
  <c r="B13" i="16"/>
  <c r="B12" i="16"/>
  <c r="B11" i="16"/>
  <c r="B10" i="16"/>
  <c r="B22" i="16"/>
  <c r="B50" i="16"/>
  <c r="B34" i="16"/>
  <c r="B83" i="16"/>
  <c r="B9" i="16"/>
  <c r="B24" i="16"/>
  <c r="B3" i="16"/>
  <c r="B65" i="16"/>
  <c r="B27" i="16"/>
  <c r="B45" i="16"/>
  <c r="B4" i="16"/>
  <c r="I77" i="11"/>
  <c r="B44" i="20" s="1"/>
  <c r="J24" i="10"/>
  <c r="L24" i="10" s="1"/>
  <c r="J279" i="10"/>
  <c r="L279" i="10" s="1"/>
  <c r="I2" i="11"/>
  <c r="B45" i="20"/>
  <c r="C45" i="20" s="1"/>
  <c r="C61" i="20" s="1"/>
  <c r="N5" i="11"/>
  <c r="F9" i="20"/>
  <c r="I9" i="20" s="1"/>
  <c r="F26" i="31"/>
  <c r="AF56" i="30"/>
  <c r="AM70" i="30"/>
  <c r="AK70" i="30"/>
  <c r="V6" i="26"/>
  <c r="J321" i="10"/>
  <c r="L321" i="10" s="1"/>
  <c r="AI41" i="30"/>
  <c r="AH71" i="30"/>
  <c r="AL62" i="30"/>
  <c r="AF71" i="30"/>
  <c r="AL70" i="30"/>
  <c r="AF31" i="30"/>
  <c r="AF53" i="30"/>
  <c r="AG31" i="30"/>
  <c r="AG52" i="30"/>
  <c r="AF67" i="30"/>
  <c r="Q15" i="30"/>
  <c r="AH30" i="30"/>
  <c r="Q44" i="30"/>
  <c r="P15" i="30"/>
  <c r="AM41" i="30"/>
  <c r="AK62" i="30"/>
  <c r="AG28" i="30"/>
  <c r="AF28" i="30"/>
  <c r="AK56" i="30"/>
  <c r="Q38" i="30"/>
  <c r="AH24" i="30"/>
  <c r="AG24" i="30"/>
  <c r="AF24" i="30"/>
  <c r="AK30" i="30"/>
  <c r="AF47" i="30"/>
  <c r="Q32" i="30"/>
  <c r="Q25" i="30"/>
  <c r="AM25" i="30"/>
  <c r="Q47" i="30"/>
  <c r="AM28" i="30"/>
  <c r="AH31" i="30"/>
  <c r="Q59" i="30"/>
  <c r="AN56" i="30"/>
  <c r="AF27" i="30"/>
  <c r="AL56" i="30"/>
  <c r="AN41" i="30"/>
  <c r="AN46" i="30"/>
  <c r="AK41" i="30"/>
  <c r="P44" i="30"/>
  <c r="AG71" i="30"/>
  <c r="AL29" i="30"/>
  <c r="Q46" i="30"/>
  <c r="J333" i="10"/>
  <c r="L333" i="10" s="1"/>
  <c r="Q50" i="30"/>
  <c r="J337" i="10"/>
  <c r="L337" i="10" s="1"/>
  <c r="AK23" i="30"/>
  <c r="AN62" i="30"/>
  <c r="AL23" i="30"/>
  <c r="AG20" i="30"/>
  <c r="AI64" i="30"/>
  <c r="AN23" i="30"/>
  <c r="AG47" i="30"/>
  <c r="AI29" i="30"/>
  <c r="AG53" i="30"/>
  <c r="P50" i="30"/>
  <c r="AI47" i="30"/>
  <c r="Q14" i="30"/>
  <c r="AF70" i="30"/>
  <c r="AI53" i="30"/>
  <c r="AH70" i="30"/>
  <c r="AN50" i="30"/>
  <c r="AI70" i="30"/>
  <c r="AG41" i="30"/>
  <c r="AI56" i="30"/>
  <c r="AK29" i="30"/>
  <c r="Q53" i="30"/>
  <c r="AH19" i="30"/>
  <c r="AH64" i="30"/>
  <c r="AF35" i="30"/>
  <c r="AG23" i="30"/>
  <c r="AN29" i="30"/>
  <c r="Q37" i="30"/>
  <c r="AK40" i="30"/>
  <c r="P31" i="30"/>
  <c r="P26" i="30"/>
  <c r="Q41" i="30"/>
  <c r="V14" i="26"/>
  <c r="AF41" i="30"/>
  <c r="Q31" i="30"/>
  <c r="Q21" i="30"/>
  <c r="AG30" i="30"/>
  <c r="P28" i="30"/>
  <c r="P35" i="30"/>
  <c r="AH38" i="30"/>
  <c r="AL38" i="30"/>
  <c r="AM38" i="30"/>
  <c r="AF38" i="30"/>
  <c r="Q8" i="30"/>
  <c r="P52" i="30"/>
  <c r="AF65" i="30"/>
  <c r="Q68" i="30"/>
  <c r="AG65" i="30"/>
  <c r="AI44" i="30"/>
  <c r="P46" i="30"/>
  <c r="AF62" i="30"/>
  <c r="P32" i="30"/>
  <c r="AG62" i="30"/>
  <c r="AF20" i="30"/>
  <c r="AH20" i="30"/>
  <c r="AH26" i="30"/>
  <c r="Q29" i="30"/>
  <c r="AJ6" i="30"/>
  <c r="AM6" i="30" s="1"/>
  <c r="AE7" i="30"/>
  <c r="AF7" i="30" s="1"/>
  <c r="P21" i="30"/>
  <c r="Q26" i="30"/>
  <c r="P55" i="30"/>
  <c r="AF37" i="30"/>
  <c r="P68" i="30"/>
  <c r="AG37" i="30"/>
  <c r="AH37" i="30"/>
  <c r="AH32" i="30"/>
  <c r="Q65" i="30"/>
  <c r="AK50" i="30"/>
  <c r="AN40" i="30"/>
  <c r="AL50" i="30"/>
  <c r="P53" i="30"/>
  <c r="AI65" i="30"/>
  <c r="AI38" i="30"/>
  <c r="AM46" i="30"/>
  <c r="P38" i="30"/>
  <c r="AL46" i="30"/>
  <c r="P29" i="30"/>
  <c r="AI28" i="30"/>
  <c r="AM24" i="30"/>
  <c r="V9" i="26"/>
  <c r="AN24" i="30"/>
  <c r="AI50" i="30"/>
  <c r="Q9" i="30"/>
  <c r="AF19" i="30"/>
  <c r="AJ7" i="30"/>
  <c r="AN7" i="30" s="1"/>
  <c r="P43" i="30"/>
  <c r="AH27" i="30"/>
  <c r="AK35" i="30"/>
  <c r="Q49" i="30"/>
  <c r="AF26" i="30"/>
  <c r="AL35" i="30"/>
  <c r="AG27" i="30"/>
  <c r="AI26" i="30"/>
  <c r="P62" i="30"/>
  <c r="AM27" i="30"/>
  <c r="P8" i="30"/>
  <c r="AN27" i="30"/>
  <c r="AG19" i="30"/>
  <c r="Q71" i="30"/>
  <c r="AL27" i="30"/>
  <c r="AG50" i="30"/>
  <c r="P47" i="30"/>
  <c r="P49" i="30"/>
  <c r="AI62" i="30"/>
  <c r="AN38" i="30"/>
  <c r="AF32" i="30"/>
  <c r="AH67" i="30"/>
  <c r="AN68" i="30"/>
  <c r="AI32" i="30"/>
  <c r="P37" i="30"/>
  <c r="Q35" i="30"/>
  <c r="AI67" i="30"/>
  <c r="J323" i="10"/>
  <c r="L323" i="10" s="1"/>
  <c r="V7" i="26"/>
  <c r="J322" i="10"/>
  <c r="L322" i="10" s="1"/>
  <c r="P59" i="30"/>
  <c r="AG34" i="30"/>
  <c r="P17" i="30"/>
  <c r="AE6" i="30"/>
  <c r="AH6" i="30" s="1"/>
  <c r="AH34" i="30"/>
  <c r="AJ5" i="30"/>
  <c r="AN5" i="30" s="1"/>
  <c r="AL24" i="30"/>
  <c r="AN35" i="30"/>
  <c r="AF49" i="30"/>
  <c r="Q43" i="30"/>
  <c r="AE5" i="30"/>
  <c r="AG5" i="30" s="1"/>
  <c r="AF23" i="30"/>
  <c r="V4" i="26"/>
  <c r="J319" i="10"/>
  <c r="L319" i="10" s="1"/>
  <c r="AH23" i="30"/>
  <c r="AF30" i="30"/>
  <c r="AM40" i="30"/>
  <c r="AF64" i="30"/>
  <c r="AL68" i="30"/>
  <c r="Q62" i="30"/>
  <c r="AG68" i="30"/>
  <c r="P41" i="30"/>
  <c r="AK25" i="30"/>
  <c r="Q28" i="30"/>
  <c r="AG49" i="30"/>
  <c r="AH68" i="30"/>
  <c r="P71" i="30"/>
  <c r="AI34" i="30"/>
  <c r="AE13" i="30"/>
  <c r="AH13" i="30" s="1"/>
  <c r="AL25" i="30"/>
  <c r="AK68" i="30"/>
  <c r="AH49" i="30"/>
  <c r="AF68" i="30"/>
  <c r="AJ9" i="30"/>
  <c r="AN9" i="30" s="1"/>
  <c r="AF50" i="30"/>
  <c r="Q55" i="30"/>
  <c r="P25" i="30"/>
  <c r="AJ12" i="30"/>
  <c r="AM12" i="30" s="1"/>
  <c r="AJ10" i="30"/>
  <c r="AL10" i="30" s="1"/>
  <c r="AE11" i="30"/>
  <c r="AG11" i="30" s="1"/>
  <c r="AE12" i="30"/>
  <c r="AI12" i="30" s="1"/>
  <c r="Q52" i="30"/>
  <c r="AE9" i="30"/>
  <c r="AH9" i="30" s="1"/>
  <c r="AE10" i="30"/>
  <c r="P9" i="30"/>
  <c r="AF44" i="30"/>
  <c r="AG44" i="30"/>
  <c r="P56" i="30"/>
  <c r="AJ13" i="30"/>
  <c r="AK13" i="30" s="1"/>
  <c r="AK28" i="30"/>
  <c r="AJ11" i="30"/>
  <c r="AN11" i="30" s="1"/>
  <c r="AN28" i="30"/>
  <c r="Q17" i="30"/>
  <c r="P14" i="30"/>
  <c r="AG21" i="30"/>
  <c r="AI21" i="30"/>
  <c r="AH21" i="30"/>
  <c r="AF21" i="30"/>
  <c r="J325" i="10"/>
  <c r="L325" i="10" s="1"/>
  <c r="V10" i="26"/>
  <c r="AH18" i="30"/>
  <c r="AF18" i="30"/>
  <c r="AI18" i="30"/>
  <c r="AG18" i="30"/>
  <c r="AL18" i="30"/>
  <c r="AM18" i="30"/>
  <c r="AK18" i="30"/>
  <c r="AN18" i="30"/>
  <c r="J320" i="10"/>
  <c r="L320" i="10" s="1"/>
  <c r="V5" i="26"/>
  <c r="V11" i="26"/>
  <c r="J326" i="10"/>
  <c r="L326" i="10" s="1"/>
  <c r="V21" i="26"/>
  <c r="J336" i="10"/>
  <c r="L336" i="10" s="1"/>
  <c r="V19" i="26"/>
  <c r="J334" i="10"/>
  <c r="L334" i="10" s="1"/>
  <c r="V29" i="26"/>
  <c r="J338" i="10"/>
  <c r="L338" i="10" s="1"/>
  <c r="V17" i="26"/>
  <c r="J332" i="10"/>
  <c r="L332" i="10" s="1"/>
  <c r="V15" i="26"/>
  <c r="H60" i="20"/>
  <c r="H53" i="20"/>
  <c r="H45" i="20"/>
  <c r="H58" i="20"/>
  <c r="H54" i="20"/>
  <c r="H50" i="20"/>
  <c r="H46" i="20"/>
  <c r="J330" i="10"/>
  <c r="H59" i="20"/>
  <c r="H55" i="20"/>
  <c r="H51" i="20"/>
  <c r="H47" i="20"/>
  <c r="H56" i="20"/>
  <c r="H52" i="20"/>
  <c r="H48" i="20"/>
  <c r="H44" i="20"/>
  <c r="H57" i="20"/>
  <c r="H49" i="20"/>
  <c r="AN43" i="30"/>
  <c r="AL43" i="30"/>
  <c r="AK43" i="30"/>
  <c r="Q19" i="30"/>
  <c r="P19" i="30"/>
  <c r="AN49" i="30"/>
  <c r="AL49" i="30"/>
  <c r="AK49" i="30"/>
  <c r="P16" i="30"/>
  <c r="Q16" i="30"/>
  <c r="Q34" i="30"/>
  <c r="P34" i="30"/>
  <c r="Q13" i="30"/>
  <c r="P13" i="30"/>
  <c r="Q11" i="30"/>
  <c r="P11" i="30"/>
  <c r="AN34" i="30"/>
  <c r="AL34" i="30"/>
  <c r="AK34" i="30"/>
  <c r="Q23" i="30"/>
  <c r="P23" i="30"/>
  <c r="AG58" i="30"/>
  <c r="AI58" i="30"/>
  <c r="AH58" i="30"/>
  <c r="AN58" i="30"/>
  <c r="AK58" i="30"/>
  <c r="AL58" i="30"/>
  <c r="AG55" i="30"/>
  <c r="AI55" i="30"/>
  <c r="AH55" i="30"/>
  <c r="AN55" i="30"/>
  <c r="AL55" i="30"/>
  <c r="AK55" i="30"/>
  <c r="AG29" i="30"/>
  <c r="AH29" i="30"/>
  <c r="Q10" i="30"/>
  <c r="P10" i="30"/>
  <c r="AN37" i="30"/>
  <c r="AK37" i="30"/>
  <c r="AL37" i="30"/>
  <c r="P6" i="30"/>
  <c r="Q6" i="30"/>
  <c r="Q27" i="30"/>
  <c r="P27" i="30"/>
  <c r="AN17" i="30"/>
  <c r="AL17" i="30"/>
  <c r="AK17" i="30"/>
  <c r="AF17" i="30"/>
  <c r="AI17" i="30"/>
  <c r="AH17" i="30"/>
  <c r="AG17" i="30"/>
  <c r="AE8" i="30"/>
  <c r="AJ8" i="30"/>
  <c r="P30" i="30"/>
  <c r="Q30" i="30"/>
  <c r="Q5" i="30"/>
  <c r="P5" i="30"/>
  <c r="P24" i="30"/>
  <c r="Q24" i="30"/>
  <c r="P18" i="30"/>
  <c r="Q18" i="30"/>
  <c r="AH52" i="30"/>
  <c r="AI52" i="30"/>
  <c r="AN52" i="30"/>
  <c r="AL52" i="30"/>
  <c r="AK52" i="30"/>
  <c r="AL30" i="30"/>
  <c r="AN30" i="30"/>
  <c r="AF22" i="30"/>
  <c r="AH22" i="30"/>
  <c r="AI22" i="30"/>
  <c r="AG22" i="30"/>
  <c r="AN22" i="30"/>
  <c r="AM22" i="30"/>
  <c r="AL22" i="30"/>
  <c r="AK22" i="30"/>
  <c r="AG35" i="30"/>
  <c r="AH35" i="30"/>
  <c r="AN31" i="30"/>
  <c r="AL31" i="30"/>
  <c r="AK31" i="30"/>
  <c r="Q22" i="30"/>
  <c r="P22" i="30"/>
  <c r="P12" i="30"/>
  <c r="Q12" i="30"/>
  <c r="Q40" i="30"/>
  <c r="P40" i="30"/>
  <c r="Q20" i="30"/>
  <c r="P20" i="30"/>
  <c r="Q7" i="30"/>
  <c r="P7" i="30"/>
  <c r="P54" i="30"/>
  <c r="Q54" i="30"/>
  <c r="AI66" i="30"/>
  <c r="AH66" i="30"/>
  <c r="AG66" i="30"/>
  <c r="AF66" i="30"/>
  <c r="AN39" i="30"/>
  <c r="AL39" i="30"/>
  <c r="AK39" i="30"/>
  <c r="AM39" i="30"/>
  <c r="AN54" i="30"/>
  <c r="AL54" i="30"/>
  <c r="AK54" i="30"/>
  <c r="AM54" i="30"/>
  <c r="P36" i="30"/>
  <c r="Q36" i="30"/>
  <c r="P66" i="30"/>
  <c r="Q66" i="30"/>
  <c r="P51" i="30"/>
  <c r="Q51" i="30"/>
  <c r="P39" i="30"/>
  <c r="Q39" i="30"/>
  <c r="AI39" i="30"/>
  <c r="AH39" i="30"/>
  <c r="AG39" i="30"/>
  <c r="AF39" i="30"/>
  <c r="AI54" i="30"/>
  <c r="AH54" i="30"/>
  <c r="AG54" i="30"/>
  <c r="AF54" i="30"/>
  <c r="P45" i="30"/>
  <c r="Q45" i="30"/>
  <c r="AN63" i="30"/>
  <c r="AL63" i="30"/>
  <c r="AK63" i="30"/>
  <c r="AM63" i="30"/>
  <c r="P63" i="30"/>
  <c r="Q63" i="30"/>
  <c r="P60" i="30"/>
  <c r="Q60" i="30"/>
  <c r="Q61" i="30"/>
  <c r="P61" i="30"/>
  <c r="AI36" i="30"/>
  <c r="AH36" i="30"/>
  <c r="AG36" i="30"/>
  <c r="AF36" i="30"/>
  <c r="P42" i="30"/>
  <c r="Q42" i="30"/>
  <c r="AI63" i="30"/>
  <c r="AH63" i="30"/>
  <c r="AG63" i="30"/>
  <c r="AF63" i="30"/>
  <c r="AN73" i="30"/>
  <c r="AM73" i="30"/>
  <c r="AL73" i="30"/>
  <c r="AK73" i="30"/>
  <c r="P57" i="30"/>
  <c r="Q57" i="30"/>
  <c r="AN66" i="30"/>
  <c r="AL66" i="30"/>
  <c r="AK66" i="30"/>
  <c r="AM66" i="30"/>
  <c r="Q58" i="30"/>
  <c r="P58" i="30"/>
  <c r="P48" i="30"/>
  <c r="Q48" i="30"/>
  <c r="AN72" i="30"/>
  <c r="AM72" i="30"/>
  <c r="AL72" i="30"/>
  <c r="AK72" i="30"/>
  <c r="AN51" i="30"/>
  <c r="AL51" i="30"/>
  <c r="AK51" i="30"/>
  <c r="AM51" i="30"/>
  <c r="AI51" i="30"/>
  <c r="AH51" i="30"/>
  <c r="AG51" i="30"/>
  <c r="AF51" i="30"/>
  <c r="P33" i="30"/>
  <c r="Q33" i="30"/>
  <c r="AN42" i="30"/>
  <c r="AL42" i="30"/>
  <c r="AK42" i="30"/>
  <c r="AM42" i="30"/>
  <c r="AN69" i="30"/>
  <c r="AL69" i="30"/>
  <c r="AK69" i="30"/>
  <c r="AM69" i="30"/>
  <c r="P69" i="30"/>
  <c r="Q69" i="30"/>
  <c r="AI42" i="30"/>
  <c r="AH42" i="30"/>
  <c r="AG42" i="30"/>
  <c r="AF42" i="30"/>
  <c r="AI69" i="30"/>
  <c r="AH69" i="30"/>
  <c r="AG69" i="30"/>
  <c r="AF69" i="30"/>
  <c r="AN33" i="30"/>
  <c r="AL33" i="30"/>
  <c r="AK33" i="30"/>
  <c r="AM33" i="30"/>
  <c r="Q73" i="30"/>
  <c r="P73" i="30"/>
  <c r="AN45" i="30"/>
  <c r="AL45" i="30"/>
  <c r="AK45" i="30"/>
  <c r="AM45" i="30"/>
  <c r="AI33" i="30"/>
  <c r="AH33" i="30"/>
  <c r="AG33" i="30"/>
  <c r="AF33" i="30"/>
  <c r="Q72" i="30"/>
  <c r="P72" i="30"/>
  <c r="AI45" i="30"/>
  <c r="AH45" i="30"/>
  <c r="AG45" i="30"/>
  <c r="AF45" i="30"/>
  <c r="Q67" i="30"/>
  <c r="P67" i="30"/>
  <c r="AN48" i="30"/>
  <c r="AL48" i="30"/>
  <c r="AK48" i="30"/>
  <c r="AM48" i="30"/>
  <c r="AN57" i="30"/>
  <c r="AL57" i="30"/>
  <c r="AK57" i="30"/>
  <c r="AM57" i="30"/>
  <c r="Q70" i="30"/>
  <c r="P70" i="30"/>
  <c r="Q64" i="30"/>
  <c r="P64" i="30"/>
  <c r="AN36" i="30"/>
  <c r="AL36" i="30"/>
  <c r="AK36" i="30"/>
  <c r="AM36" i="30"/>
  <c r="AI48" i="30"/>
  <c r="AH48" i="30"/>
  <c r="AG48" i="30"/>
  <c r="AF48" i="30"/>
  <c r="AI57" i="30"/>
  <c r="AH57" i="30"/>
  <c r="AG57" i="30"/>
  <c r="AF57" i="30"/>
  <c r="E7" i="33" l="1"/>
  <c r="B7" i="33" s="1"/>
  <c r="E25" i="33"/>
  <c r="B25" i="33" s="1"/>
  <c r="E28" i="33"/>
  <c r="B28" i="33" s="1"/>
  <c r="AF59" i="30"/>
  <c r="AI60" i="30"/>
  <c r="AF60" i="30"/>
  <c r="AG60" i="30"/>
  <c r="AM59" i="30"/>
  <c r="H516" i="22"/>
  <c r="B523" i="22" s="1"/>
  <c r="AM60" i="30"/>
  <c r="AK60" i="30"/>
  <c r="AL60" i="30"/>
  <c r="AG59" i="30"/>
  <c r="AH61" i="30"/>
  <c r="AI59" i="30"/>
  <c r="AI61" i="30"/>
  <c r="AG61" i="30"/>
  <c r="AK61" i="30"/>
  <c r="AL61" i="30"/>
  <c r="AN61" i="30"/>
  <c r="AN59" i="30"/>
  <c r="AL59" i="30"/>
  <c r="AX16" i="12"/>
  <c r="AR16" i="12"/>
  <c r="AA16" i="12"/>
  <c r="J442" i="10" s="1"/>
  <c r="L442" i="10" s="1"/>
  <c r="AK58" i="21"/>
  <c r="AK71" i="21"/>
  <c r="AK61" i="21"/>
  <c r="AK66" i="21"/>
  <c r="AK63" i="21"/>
  <c r="AK60" i="21"/>
  <c r="AK65" i="21"/>
  <c r="AK59" i="21"/>
  <c r="AK64" i="21"/>
  <c r="AK70" i="21"/>
  <c r="AK72" i="21"/>
  <c r="AK57" i="21"/>
  <c r="AK68" i="21"/>
  <c r="AK67" i="21"/>
  <c r="AK69" i="21"/>
  <c r="AK73" i="21"/>
  <c r="AK62" i="21"/>
  <c r="AX14" i="12"/>
  <c r="AM15" i="30"/>
  <c r="AL15" i="30"/>
  <c r="AH15" i="30"/>
  <c r="AK15" i="30"/>
  <c r="AF15" i="30"/>
  <c r="AG15" i="30"/>
  <c r="AK16" i="30"/>
  <c r="AL82" i="12"/>
  <c r="J159" i="10"/>
  <c r="L159" i="10" s="1"/>
  <c r="J185" i="10"/>
  <c r="L185" i="10" s="1"/>
  <c r="DL132" i="12"/>
  <c r="J175" i="10"/>
  <c r="L175" i="10" s="1"/>
  <c r="DM82" i="12"/>
  <c r="J211" i="10"/>
  <c r="L211" i="10" s="1"/>
  <c r="J165" i="10"/>
  <c r="L165" i="10" s="1"/>
  <c r="J192" i="10"/>
  <c r="L192" i="10" s="1"/>
  <c r="DJ78" i="12"/>
  <c r="DI78" i="12" s="1"/>
  <c r="DM126" i="12"/>
  <c r="DL78" i="12"/>
  <c r="DJ104" i="12"/>
  <c r="DI104" i="12" s="1"/>
  <c r="DM122" i="12"/>
  <c r="J253" i="10"/>
  <c r="L253" i="10" s="1"/>
  <c r="DJ127" i="12"/>
  <c r="DI127" i="12" s="1"/>
  <c r="J157" i="10"/>
  <c r="L157" i="10" s="1"/>
  <c r="J231" i="10"/>
  <c r="L231" i="10" s="1"/>
  <c r="J186" i="10"/>
  <c r="L186" i="10" s="1"/>
  <c r="J237" i="10"/>
  <c r="L237" i="10" s="1"/>
  <c r="EJ22" i="12"/>
  <c r="EH30" i="12"/>
  <c r="J266" i="10"/>
  <c r="W18" i="12"/>
  <c r="J289" i="10"/>
  <c r="L289" i="10" s="1"/>
  <c r="EJ30" i="12"/>
  <c r="F90" i="10" s="1"/>
  <c r="D44" i="20"/>
  <c r="W30" i="12"/>
  <c r="EH6" i="12"/>
  <c r="EH22" i="12"/>
  <c r="AN22" i="12"/>
  <c r="EJ6" i="12"/>
  <c r="J267" i="10"/>
  <c r="L267" i="10" s="1"/>
  <c r="EN30" i="12"/>
  <c r="E24" i="33"/>
  <c r="B24" i="33" s="1"/>
  <c r="J226" i="10"/>
  <c r="L226" i="10" s="1"/>
  <c r="J187" i="10"/>
  <c r="L187" i="10" s="1"/>
  <c r="J203" i="10"/>
  <c r="L203" i="10" s="1"/>
  <c r="J217" i="10"/>
  <c r="L217" i="10" s="1"/>
  <c r="J257" i="10"/>
  <c r="L257" i="10" s="1"/>
  <c r="J258" i="10"/>
  <c r="L258" i="10" s="1"/>
  <c r="J245" i="10"/>
  <c r="L245" i="10" s="1"/>
  <c r="J174" i="10"/>
  <c r="L174" i="10" s="1"/>
  <c r="J149" i="10"/>
  <c r="L149" i="10" s="1"/>
  <c r="DM107" i="12"/>
  <c r="DK107" i="12"/>
  <c r="DM133" i="12"/>
  <c r="DJ133" i="12"/>
  <c r="DI133" i="12" s="1"/>
  <c r="DK133" i="12"/>
  <c r="AL133" i="12"/>
  <c r="DL133" i="12"/>
  <c r="E18" i="33"/>
  <c r="B18" i="33" s="1"/>
  <c r="E12" i="33"/>
  <c r="B12" i="33" s="1"/>
  <c r="E22" i="33"/>
  <c r="B22" i="33" s="1"/>
  <c r="J154" i="10"/>
  <c r="L154" i="10" s="1"/>
  <c r="J151" i="10"/>
  <c r="L151" i="10" s="1"/>
  <c r="J199" i="10"/>
  <c r="L199" i="10" s="1"/>
  <c r="J222" i="10"/>
  <c r="L222" i="10" s="1"/>
  <c r="J170" i="10"/>
  <c r="L170" i="10" s="1"/>
  <c r="J162" i="10"/>
  <c r="L162" i="10" s="1"/>
  <c r="J161" i="10"/>
  <c r="L161" i="10" s="1"/>
  <c r="J229" i="10"/>
  <c r="L229" i="10" s="1"/>
  <c r="DK43" i="12"/>
  <c r="AL43" i="12"/>
  <c r="DL51" i="12"/>
  <c r="DJ51" i="12"/>
  <c r="DI51" i="12" s="1"/>
  <c r="H40" i="10" s="1"/>
  <c r="AL51" i="12"/>
  <c r="DL60" i="12"/>
  <c r="AL60" i="12"/>
  <c r="J256" i="10"/>
  <c r="L256" i="10" s="1"/>
  <c r="J227" i="10"/>
  <c r="L227" i="10" s="1"/>
  <c r="J173" i="10"/>
  <c r="L173" i="10" s="1"/>
  <c r="DM104" i="12"/>
  <c r="AL104" i="12"/>
  <c r="DL104" i="12"/>
  <c r="DL121" i="12"/>
  <c r="AL121" i="12"/>
  <c r="DM121" i="12"/>
  <c r="DK121" i="12"/>
  <c r="DJ121" i="12"/>
  <c r="DI121" i="12" s="1"/>
  <c r="J230" i="10"/>
  <c r="L230" i="10" s="1"/>
  <c r="J254" i="10"/>
  <c r="L254" i="10" s="1"/>
  <c r="E10" i="33"/>
  <c r="B10" i="33" s="1"/>
  <c r="DJ107" i="12"/>
  <c r="DI107" i="12" s="1"/>
  <c r="J220" i="10"/>
  <c r="L220" i="10" s="1"/>
  <c r="J181" i="10"/>
  <c r="L181" i="10" s="1"/>
  <c r="J236" i="10"/>
  <c r="L236" i="10" s="1"/>
  <c r="J249" i="10"/>
  <c r="L249" i="10" s="1"/>
  <c r="J239" i="10"/>
  <c r="L239" i="10" s="1"/>
  <c r="J252" i="10"/>
  <c r="L252" i="10" s="1"/>
  <c r="J180" i="10"/>
  <c r="L180" i="10" s="1"/>
  <c r="J168" i="10"/>
  <c r="L168" i="10" s="1"/>
  <c r="EN6" i="12"/>
  <c r="J297" i="10"/>
  <c r="L297" i="10" s="1"/>
  <c r="J223" i="10"/>
  <c r="L223" i="10" s="1"/>
  <c r="DL126" i="12"/>
  <c r="AL126" i="12"/>
  <c r="DK126" i="12"/>
  <c r="DL85" i="12"/>
  <c r="DK85" i="12"/>
  <c r="AL85" i="12"/>
  <c r="DJ85" i="12"/>
  <c r="DI85" i="12" s="1"/>
  <c r="DM85" i="12"/>
  <c r="DK122" i="12"/>
  <c r="DJ122" i="12"/>
  <c r="DI122" i="12" s="1"/>
  <c r="AL122" i="12"/>
  <c r="AL132" i="12"/>
  <c r="DM132" i="12"/>
  <c r="DJ132" i="12"/>
  <c r="DI132" i="12" s="1"/>
  <c r="DL58" i="12"/>
  <c r="AL58" i="12"/>
  <c r="DK58" i="12"/>
  <c r="DM58" i="12"/>
  <c r="DJ58" i="12"/>
  <c r="DI58" i="12" s="1"/>
  <c r="I144" i="10" s="1"/>
  <c r="DL82" i="12"/>
  <c r="DK82" i="12"/>
  <c r="AL97" i="12"/>
  <c r="DK97" i="12"/>
  <c r="DL97" i="12"/>
  <c r="DM97" i="12"/>
  <c r="DJ97" i="12"/>
  <c r="DI97" i="12" s="1"/>
  <c r="E6" i="33"/>
  <c r="B6" i="33" s="1"/>
  <c r="J221" i="10"/>
  <c r="L221" i="10" s="1"/>
  <c r="J188" i="10"/>
  <c r="L188" i="10" s="1"/>
  <c r="J213" i="10"/>
  <c r="L213" i="10" s="1"/>
  <c r="E23" i="33"/>
  <c r="B23" i="33" s="1"/>
  <c r="AL107" i="12"/>
  <c r="J255" i="10"/>
  <c r="L255" i="10" s="1"/>
  <c r="J216" i="10"/>
  <c r="L216" i="10" s="1"/>
  <c r="J208" i="10"/>
  <c r="L208" i="10" s="1"/>
  <c r="J244" i="10"/>
  <c r="L244" i="10" s="1"/>
  <c r="J163" i="10"/>
  <c r="L163" i="10" s="1"/>
  <c r="J228" i="10"/>
  <c r="L228" i="10" s="1"/>
  <c r="J243" i="10"/>
  <c r="L243" i="10" s="1"/>
  <c r="J214" i="10"/>
  <c r="L214" i="10" s="1"/>
  <c r="J259" i="10"/>
  <c r="L259" i="10" s="1"/>
  <c r="J167" i="10"/>
  <c r="L167" i="10" s="1"/>
  <c r="AL138" i="12"/>
  <c r="DM138" i="12"/>
  <c r="DL138" i="12"/>
  <c r="DM139" i="12"/>
  <c r="DK139" i="12"/>
  <c r="AL139" i="12"/>
  <c r="DL139" i="12"/>
  <c r="DJ139" i="12"/>
  <c r="DI139" i="12" s="1"/>
  <c r="DL109" i="12"/>
  <c r="DK109" i="12"/>
  <c r="DM109" i="12"/>
  <c r="DJ109" i="12"/>
  <c r="DI109" i="12" s="1"/>
  <c r="AL109" i="12"/>
  <c r="AL78" i="12"/>
  <c r="DK78" i="12"/>
  <c r="E21" i="33"/>
  <c r="B21" i="33" s="1"/>
  <c r="J197" i="10"/>
  <c r="L197" i="10" s="1"/>
  <c r="E9" i="33"/>
  <c r="B9" i="33" s="1"/>
  <c r="DL107" i="12"/>
  <c r="J241" i="10"/>
  <c r="L241" i="10" s="1"/>
  <c r="J215" i="10"/>
  <c r="L215" i="10" s="1"/>
  <c r="J246" i="10"/>
  <c r="L246" i="10" s="1"/>
  <c r="J153" i="10"/>
  <c r="L153" i="10" s="1"/>
  <c r="J209" i="10"/>
  <c r="L209" i="10" s="1"/>
  <c r="J150" i="10"/>
  <c r="L150" i="10" s="1"/>
  <c r="J156" i="10"/>
  <c r="L156" i="10" s="1"/>
  <c r="J190" i="10"/>
  <c r="L190" i="10" s="1"/>
  <c r="J205" i="10"/>
  <c r="L205" i="10" s="1"/>
  <c r="J206" i="10"/>
  <c r="L206" i="10" s="1"/>
  <c r="J172" i="10"/>
  <c r="L172" i="10" s="1"/>
  <c r="E27" i="33"/>
  <c r="B27" i="33" s="1"/>
  <c r="DM54" i="12"/>
  <c r="DL54" i="12"/>
  <c r="DK54" i="12"/>
  <c r="DJ54" i="12"/>
  <c r="DI54" i="12" s="1"/>
  <c r="AL54" i="12"/>
  <c r="AL127" i="12"/>
  <c r="DK127" i="12"/>
  <c r="DL127" i="12"/>
  <c r="DM96" i="12"/>
  <c r="DK96" i="12"/>
  <c r="DJ96" i="12"/>
  <c r="DI96" i="12" s="1"/>
  <c r="AL96" i="12"/>
  <c r="DL96" i="12"/>
  <c r="DK110" i="12"/>
  <c r="AL110" i="12"/>
  <c r="DL110" i="12"/>
  <c r="DJ110" i="12"/>
  <c r="DI110" i="12" s="1"/>
  <c r="DM110" i="12"/>
  <c r="E17" i="33"/>
  <c r="B17" i="33" s="1"/>
  <c r="J202" i="10"/>
  <c r="L202" i="10" s="1"/>
  <c r="E8" i="33"/>
  <c r="B8" i="33" s="1"/>
  <c r="E5" i="33"/>
  <c r="B5" i="33" s="1"/>
  <c r="E20" i="33"/>
  <c r="B20" i="33" s="1"/>
  <c r="J248" i="10"/>
  <c r="L248" i="10" s="1"/>
  <c r="J179" i="10"/>
  <c r="L179" i="10" s="1"/>
  <c r="J184" i="10"/>
  <c r="L184" i="10" s="1"/>
  <c r="J183" i="10"/>
  <c r="L183" i="10" s="1"/>
  <c r="J169" i="10"/>
  <c r="L169" i="10" s="1"/>
  <c r="J212" i="10"/>
  <c r="L212" i="10" s="1"/>
  <c r="J196" i="10"/>
  <c r="L196" i="10" s="1"/>
  <c r="J224" i="10"/>
  <c r="L224" i="10" s="1"/>
  <c r="J225" i="10"/>
  <c r="L225" i="10" s="1"/>
  <c r="DK57" i="12"/>
  <c r="G60" i="10" s="1"/>
  <c r="J235" i="10"/>
  <c r="L235" i="10" s="1"/>
  <c r="E26" i="33"/>
  <c r="B26" i="33" s="1"/>
  <c r="AL94" i="12"/>
  <c r="DK94" i="12"/>
  <c r="DM94" i="12"/>
  <c r="DJ94" i="12"/>
  <c r="DI94" i="12" s="1"/>
  <c r="DL94" i="12"/>
  <c r="DK118" i="12"/>
  <c r="DJ118" i="12"/>
  <c r="DI118" i="12" s="1"/>
  <c r="AL118" i="12"/>
  <c r="DM118" i="12"/>
  <c r="DK119" i="12"/>
  <c r="AL119" i="12"/>
  <c r="DL119" i="12"/>
  <c r="DM119" i="12"/>
  <c r="DJ119" i="12"/>
  <c r="DI119" i="12"/>
  <c r="DL128" i="12"/>
  <c r="DM128" i="12"/>
  <c r="DK128" i="12"/>
  <c r="AL128" i="12"/>
  <c r="DJ128" i="12"/>
  <c r="DI128" i="12" s="1"/>
  <c r="AL120" i="12"/>
  <c r="DK120" i="12"/>
  <c r="E4" i="33"/>
  <c r="B4" i="33" s="1"/>
  <c r="DL71" i="12"/>
  <c r="DM71" i="12"/>
  <c r="DJ71" i="12"/>
  <c r="DI71" i="12" s="1"/>
  <c r="DK71" i="12"/>
  <c r="AL71" i="12"/>
  <c r="E19" i="33"/>
  <c r="B19" i="33" s="1"/>
  <c r="E15" i="33"/>
  <c r="B15" i="33" s="1"/>
  <c r="J166" i="10"/>
  <c r="L166" i="10" s="1"/>
  <c r="J155" i="10"/>
  <c r="L155" i="10" s="1"/>
  <c r="J207" i="10"/>
  <c r="L207" i="10" s="1"/>
  <c r="J210" i="10"/>
  <c r="L210" i="10" s="1"/>
  <c r="J171" i="10"/>
  <c r="L171" i="10" s="1"/>
  <c r="J219" i="10"/>
  <c r="L219" i="10" s="1"/>
  <c r="AL57" i="12"/>
  <c r="DM106" i="12"/>
  <c r="DL106" i="12"/>
  <c r="DJ106" i="12"/>
  <c r="DI106" i="12" s="1"/>
  <c r="AL106" i="12"/>
  <c r="DK106" i="12"/>
  <c r="DL108" i="12"/>
  <c r="DM108" i="12"/>
  <c r="DK108" i="12"/>
  <c r="DJ108" i="12"/>
  <c r="DI108" i="12" s="1"/>
  <c r="AL108" i="12"/>
  <c r="DK50" i="12"/>
  <c r="DJ50" i="12"/>
  <c r="DI50" i="12" s="1"/>
  <c r="DM50" i="12"/>
  <c r="DL50" i="12"/>
  <c r="AL50" i="12"/>
  <c r="J201" i="10"/>
  <c r="L201" i="10" s="1"/>
  <c r="E11" i="33"/>
  <c r="B11" i="33" s="1"/>
  <c r="J200" i="10"/>
  <c r="L200" i="10" s="1"/>
  <c r="J191" i="10"/>
  <c r="L191" i="10" s="1"/>
  <c r="J195" i="10"/>
  <c r="L195" i="10" s="1"/>
  <c r="J242" i="10"/>
  <c r="L242" i="10" s="1"/>
  <c r="J234" i="10"/>
  <c r="L234" i="10" s="1"/>
  <c r="J240" i="10"/>
  <c r="L240" i="10" s="1"/>
  <c r="J198" i="10"/>
  <c r="L198" i="10" s="1"/>
  <c r="J250" i="10"/>
  <c r="L250" i="10" s="1"/>
  <c r="J194" i="10"/>
  <c r="L194" i="10" s="1"/>
  <c r="DJ57" i="12"/>
  <c r="DI57" i="12" s="1"/>
  <c r="J178" i="10"/>
  <c r="L178" i="10" s="1"/>
  <c r="AL69" i="12"/>
  <c r="DL69" i="12"/>
  <c r="J233" i="10"/>
  <c r="L233" i="10" s="1"/>
  <c r="DL49" i="12"/>
  <c r="E14" i="31" s="1"/>
  <c r="DM49" i="12"/>
  <c r="DK49" i="12"/>
  <c r="DJ49" i="12"/>
  <c r="DI49" i="12" s="1"/>
  <c r="AL49" i="12"/>
  <c r="E16" i="33"/>
  <c r="B16" i="33" s="1"/>
  <c r="J182" i="10"/>
  <c r="L182" i="10" s="1"/>
  <c r="J177" i="10"/>
  <c r="L177" i="10" s="1"/>
  <c r="J193" i="10"/>
  <c r="L193" i="10" s="1"/>
  <c r="J158" i="10"/>
  <c r="L158" i="10" s="1"/>
  <c r="J164" i="10"/>
  <c r="L164" i="10" s="1"/>
  <c r="DM57" i="12"/>
  <c r="DL66" i="12"/>
  <c r="DM66" i="12"/>
  <c r="DK66" i="12"/>
  <c r="DJ66" i="12"/>
  <c r="DI66" i="12" s="1"/>
  <c r="AL66" i="12"/>
  <c r="DM83" i="12"/>
  <c r="DL83" i="12"/>
  <c r="AL83" i="12"/>
  <c r="DK83" i="12"/>
  <c r="DJ83" i="12"/>
  <c r="DI83" i="12" s="1"/>
  <c r="DK86" i="12"/>
  <c r="DL86" i="12"/>
  <c r="DM86" i="12"/>
  <c r="J251" i="10"/>
  <c r="AI14" i="30"/>
  <c r="B187" i="22"/>
  <c r="B192" i="22" s="1"/>
  <c r="B186" i="22"/>
  <c r="AG14" i="30"/>
  <c r="AH14" i="30"/>
  <c r="AN16" i="30"/>
  <c r="AM16" i="30"/>
  <c r="AN14" i="30"/>
  <c r="AK14" i="30"/>
  <c r="AF16" i="30"/>
  <c r="AH16" i="30"/>
  <c r="AG16" i="30"/>
  <c r="AL14" i="30"/>
  <c r="J291" i="10"/>
  <c r="L291" i="10" s="1"/>
  <c r="D57" i="20"/>
  <c r="J298" i="10"/>
  <c r="L298" i="10" s="1"/>
  <c r="J292" i="10"/>
  <c r="L292" i="10" s="1"/>
  <c r="D56" i="20"/>
  <c r="D46" i="20"/>
  <c r="D50" i="20"/>
  <c r="D51" i="20"/>
  <c r="D60" i="20"/>
  <c r="D49" i="20"/>
  <c r="E8" i="31"/>
  <c r="J281" i="10"/>
  <c r="L281" i="10" s="1"/>
  <c r="D52" i="20"/>
  <c r="D48" i="20"/>
  <c r="J287" i="10"/>
  <c r="L287" i="10" s="1"/>
  <c r="D55" i="20"/>
  <c r="J268" i="10"/>
  <c r="L268" i="10" s="1"/>
  <c r="J283" i="10"/>
  <c r="L283" i="10" s="1"/>
  <c r="J285" i="10"/>
  <c r="L285" i="10" s="1"/>
  <c r="D58" i="20"/>
  <c r="J293" i="10"/>
  <c r="L293" i="10" s="1"/>
  <c r="J295" i="10"/>
  <c r="L295" i="10" s="1"/>
  <c r="J286" i="10"/>
  <c r="L286" i="10" s="1"/>
  <c r="J290" i="10"/>
  <c r="L290" i="10" s="1"/>
  <c r="D47" i="20"/>
  <c r="J294" i="10"/>
  <c r="L294" i="10" s="1"/>
  <c r="AN6" i="12"/>
  <c r="D45" i="20"/>
  <c r="D54" i="20"/>
  <c r="J269" i="10"/>
  <c r="L269" i="10" s="1"/>
  <c r="J282" i="10"/>
  <c r="L282" i="10" s="1"/>
  <c r="W6" i="12"/>
  <c r="J288" i="10"/>
  <c r="L288" i="10" s="1"/>
  <c r="D53" i="20"/>
  <c r="J296" i="10"/>
  <c r="L296" i="10" s="1"/>
  <c r="J284" i="10"/>
  <c r="L284" i="10" s="1"/>
  <c r="D59" i="20"/>
  <c r="E240" i="22"/>
  <c r="B178" i="22"/>
  <c r="B375" i="22"/>
  <c r="H111" i="22"/>
  <c r="B118" i="22" s="1"/>
  <c r="H136" i="10"/>
  <c r="I133" i="10"/>
  <c r="AW15" i="12"/>
  <c r="AX17" i="12"/>
  <c r="J143" i="10"/>
  <c r="E111" i="10"/>
  <c r="G47" i="10"/>
  <c r="G68" i="10"/>
  <c r="I35" i="10"/>
  <c r="E108" i="10"/>
  <c r="H65" i="10"/>
  <c r="G108" i="10"/>
  <c r="H139" i="10"/>
  <c r="H51" i="10"/>
  <c r="E52" i="10"/>
  <c r="G83" i="10"/>
  <c r="I83" i="10"/>
  <c r="G139" i="10"/>
  <c r="H70" i="10"/>
  <c r="I65" i="10"/>
  <c r="G35" i="10"/>
  <c r="G138" i="10"/>
  <c r="I82" i="10"/>
  <c r="H41" i="10"/>
  <c r="I41" i="10"/>
  <c r="E137" i="10"/>
  <c r="AX18" i="12"/>
  <c r="I97" i="10"/>
  <c r="I47" i="10"/>
  <c r="G40" i="10"/>
  <c r="I116" i="10"/>
  <c r="B302" i="22"/>
  <c r="B303" i="22" s="1"/>
  <c r="M298" i="22" s="1"/>
  <c r="BF6" i="26" s="1"/>
  <c r="M280" i="22"/>
  <c r="M6" i="26" s="1"/>
  <c r="B322" i="22"/>
  <c r="B327" i="22" s="1"/>
  <c r="B321" i="22"/>
  <c r="B326" i="22" s="1"/>
  <c r="B376" i="22"/>
  <c r="B379" i="22"/>
  <c r="E379" i="22"/>
  <c r="B301" i="22"/>
  <c r="E375" i="22" s="1"/>
  <c r="H381" i="22"/>
  <c r="B388" i="22" s="1"/>
  <c r="D186" i="22"/>
  <c r="D187" i="22"/>
  <c r="B514" i="22"/>
  <c r="B436" i="22"/>
  <c r="E510" i="22" s="1"/>
  <c r="B437" i="22"/>
  <c r="B438" i="22" s="1"/>
  <c r="E514" i="22"/>
  <c r="B434" i="22"/>
  <c r="B510" i="22" s="1"/>
  <c r="B449" i="22"/>
  <c r="B450" i="22" s="1"/>
  <c r="B448" i="22"/>
  <c r="D449" i="22"/>
  <c r="D450" i="22" s="1"/>
  <c r="M440" i="22" s="1"/>
  <c r="BM7" i="26" s="1"/>
  <c r="D448" i="22"/>
  <c r="B458" i="22"/>
  <c r="B512" i="22" s="1"/>
  <c r="B461" i="22"/>
  <c r="B463" i="22" s="1"/>
  <c r="B460" i="22"/>
  <c r="E512" i="22" s="1"/>
  <c r="B240" i="22"/>
  <c r="J13" i="10"/>
  <c r="L13" i="10" s="1"/>
  <c r="D172" i="22"/>
  <c r="D178" i="22" s="1"/>
  <c r="B307" i="22"/>
  <c r="B314" i="22" s="1"/>
  <c r="B315" i="22" s="1"/>
  <c r="M299" i="22" s="1"/>
  <c r="BG6" i="26" s="1"/>
  <c r="D314" i="22"/>
  <c r="D315" i="22" s="1"/>
  <c r="M305" i="22" s="1"/>
  <c r="BM6" i="26" s="1"/>
  <c r="D321" i="22"/>
  <c r="D322" i="22"/>
  <c r="M164" i="22"/>
  <c r="BG5" i="26" s="1"/>
  <c r="B241" i="22"/>
  <c r="M163" i="22"/>
  <c r="BF5" i="26" s="1"/>
  <c r="H240" i="22"/>
  <c r="B32" i="22"/>
  <c r="B33" i="22" s="1"/>
  <c r="B29" i="22"/>
  <c r="B105" i="22" s="1"/>
  <c r="E109" i="22"/>
  <c r="B109" i="22"/>
  <c r="B31" i="22"/>
  <c r="E105" i="22" s="1"/>
  <c r="B106" i="22"/>
  <c r="B55" i="22"/>
  <c r="B53" i="22"/>
  <c r="B56" i="22"/>
  <c r="B58" i="22" s="1"/>
  <c r="M29" i="22"/>
  <c r="BG4" i="26" s="1"/>
  <c r="D55" i="22"/>
  <c r="D53" i="22"/>
  <c r="D44" i="22"/>
  <c r="D45" i="22" s="1"/>
  <c r="M35" i="22" s="1"/>
  <c r="BM4" i="26" s="1"/>
  <c r="D43" i="22"/>
  <c r="E106" i="22" s="1"/>
  <c r="J488" i="10"/>
  <c r="J479" i="10" s="1"/>
  <c r="L479" i="10" s="1"/>
  <c r="J443" i="10"/>
  <c r="L443" i="10" s="1"/>
  <c r="D30" i="10"/>
  <c r="J487" i="10"/>
  <c r="L487" i="10" s="1"/>
  <c r="J486" i="10"/>
  <c r="L486" i="10" s="1"/>
  <c r="J482" i="10"/>
  <c r="L482" i="10" s="1"/>
  <c r="J489" i="10"/>
  <c r="J480" i="10" s="1"/>
  <c r="L480" i="10" s="1"/>
  <c r="J483" i="10"/>
  <c r="L483" i="10" s="1"/>
  <c r="J454" i="10"/>
  <c r="L454" i="10" s="1"/>
  <c r="B38" i="20"/>
  <c r="F125" i="10"/>
  <c r="J447" i="10"/>
  <c r="L447" i="10" s="1"/>
  <c r="J448" i="10"/>
  <c r="L448" i="10" s="1"/>
  <c r="J452" i="10"/>
  <c r="L452" i="10" s="1"/>
  <c r="J445" i="10"/>
  <c r="L445" i="10" s="1"/>
  <c r="J446" i="10"/>
  <c r="L446" i="10" s="1"/>
  <c r="B36" i="20"/>
  <c r="J444" i="10"/>
  <c r="L444" i="10" s="1"/>
  <c r="J453" i="10"/>
  <c r="L453" i="10" s="1"/>
  <c r="J450" i="10"/>
  <c r="L450" i="10" s="1"/>
  <c r="B37" i="20"/>
  <c r="F132" i="10"/>
  <c r="F135" i="10"/>
  <c r="J65" i="10"/>
  <c r="J485" i="10"/>
  <c r="L485" i="10" s="1"/>
  <c r="J484" i="10"/>
  <c r="J127" i="10"/>
  <c r="J271" i="10"/>
  <c r="L271" i="10" s="1"/>
  <c r="L266" i="10"/>
  <c r="D55" i="10"/>
  <c r="H9" i="20"/>
  <c r="F61" i="20"/>
  <c r="B3" i="33"/>
  <c r="B29" i="33"/>
  <c r="B14" i="33"/>
  <c r="B13" i="33"/>
  <c r="R68" i="16"/>
  <c r="P68" i="16"/>
  <c r="O68" i="16"/>
  <c r="N68" i="16"/>
  <c r="T68" i="16"/>
  <c r="H68" i="16"/>
  <c r="S68" i="16"/>
  <c r="G68" i="16"/>
  <c r="I68" i="16"/>
  <c r="X68" i="16"/>
  <c r="W68" i="16"/>
  <c r="V68" i="16"/>
  <c r="K68" i="16"/>
  <c r="U68" i="16"/>
  <c r="J68" i="16"/>
  <c r="Q68" i="16"/>
  <c r="M68" i="16"/>
  <c r="L68" i="16"/>
  <c r="N58" i="16"/>
  <c r="X58" i="16"/>
  <c r="L58" i="16"/>
  <c r="W58" i="16"/>
  <c r="K58" i="16"/>
  <c r="V58" i="16"/>
  <c r="J58" i="16"/>
  <c r="P58" i="16"/>
  <c r="O58" i="16"/>
  <c r="Q58" i="16"/>
  <c r="M58" i="16"/>
  <c r="I58" i="16"/>
  <c r="H58" i="16"/>
  <c r="G58" i="16"/>
  <c r="S58" i="16"/>
  <c r="R58" i="16"/>
  <c r="U58" i="16"/>
  <c r="T58" i="16"/>
  <c r="O33" i="16"/>
  <c r="S33" i="16"/>
  <c r="G33" i="16"/>
  <c r="R33" i="16"/>
  <c r="Q33" i="16"/>
  <c r="N33" i="16"/>
  <c r="M33" i="16"/>
  <c r="L33" i="16"/>
  <c r="K33" i="16"/>
  <c r="J33" i="16"/>
  <c r="I33" i="16"/>
  <c r="H33" i="16"/>
  <c r="T33" i="16"/>
  <c r="P33" i="16"/>
  <c r="X33" i="16"/>
  <c r="W33" i="16"/>
  <c r="V33" i="16"/>
  <c r="U33" i="16"/>
  <c r="O36" i="16"/>
  <c r="S36" i="16"/>
  <c r="G36" i="16"/>
  <c r="T36" i="16"/>
  <c r="R36" i="16"/>
  <c r="P36" i="16"/>
  <c r="N36" i="16"/>
  <c r="H36" i="16"/>
  <c r="X36" i="16"/>
  <c r="W36" i="16"/>
  <c r="Q36" i="16"/>
  <c r="V36" i="16"/>
  <c r="U36" i="16"/>
  <c r="J36" i="16"/>
  <c r="I36" i="16"/>
  <c r="M36" i="16"/>
  <c r="K36" i="16"/>
  <c r="L36" i="16"/>
  <c r="T45" i="16"/>
  <c r="H45" i="16"/>
  <c r="S45" i="16"/>
  <c r="G45" i="16"/>
  <c r="X45" i="16"/>
  <c r="W45" i="16"/>
  <c r="K45" i="16"/>
  <c r="P45" i="16"/>
  <c r="O45" i="16"/>
  <c r="M45" i="16"/>
  <c r="L45" i="16"/>
  <c r="J45" i="16"/>
  <c r="V45" i="16"/>
  <c r="U45" i="16"/>
  <c r="Q45" i="16"/>
  <c r="R45" i="16"/>
  <c r="N45" i="16"/>
  <c r="I45" i="16"/>
  <c r="Q12" i="16"/>
  <c r="P12" i="16"/>
  <c r="O12" i="16"/>
  <c r="N12" i="16"/>
  <c r="M12" i="16"/>
  <c r="X12" i="16"/>
  <c r="L12" i="16"/>
  <c r="S12" i="16"/>
  <c r="G12" i="16"/>
  <c r="R12" i="16"/>
  <c r="J12" i="16"/>
  <c r="I12" i="16"/>
  <c r="V12" i="16"/>
  <c r="H12" i="16"/>
  <c r="W12" i="16"/>
  <c r="U12" i="16"/>
  <c r="T12" i="16"/>
  <c r="K12" i="16"/>
  <c r="W21" i="16"/>
  <c r="K21" i="16"/>
  <c r="V21" i="16"/>
  <c r="J21" i="16"/>
  <c r="T21" i="16"/>
  <c r="H21" i="16"/>
  <c r="L21" i="16"/>
  <c r="R21" i="16"/>
  <c r="I21" i="16"/>
  <c r="G21" i="16"/>
  <c r="X21" i="16"/>
  <c r="U21" i="16"/>
  <c r="S21" i="16"/>
  <c r="N21" i="16"/>
  <c r="M21" i="16"/>
  <c r="Q21" i="16"/>
  <c r="P21" i="16"/>
  <c r="O21" i="16"/>
  <c r="M91" i="16"/>
  <c r="O91" i="16"/>
  <c r="K91" i="16"/>
  <c r="X91" i="16"/>
  <c r="J91" i="16"/>
  <c r="W91" i="16"/>
  <c r="I91" i="16"/>
  <c r="V91" i="16"/>
  <c r="H91" i="16"/>
  <c r="U91" i="16"/>
  <c r="G91" i="16"/>
  <c r="N91" i="16"/>
  <c r="L91" i="16"/>
  <c r="T91" i="16"/>
  <c r="S91" i="16"/>
  <c r="P91" i="16"/>
  <c r="R91" i="16"/>
  <c r="Q91" i="16"/>
  <c r="M72" i="16"/>
  <c r="X72" i="16"/>
  <c r="L72" i="16"/>
  <c r="W72" i="16"/>
  <c r="K72" i="16"/>
  <c r="V72" i="16"/>
  <c r="J72" i="16"/>
  <c r="U72" i="16"/>
  <c r="I72" i="16"/>
  <c r="O72" i="16"/>
  <c r="N72" i="16"/>
  <c r="H72" i="16"/>
  <c r="G72" i="16"/>
  <c r="Q72" i="16"/>
  <c r="P72" i="16"/>
  <c r="S72" i="16"/>
  <c r="R72" i="16"/>
  <c r="T72" i="16"/>
  <c r="W93" i="16"/>
  <c r="K93" i="16"/>
  <c r="V93" i="16"/>
  <c r="J93" i="16"/>
  <c r="M93" i="16"/>
  <c r="S93" i="16"/>
  <c r="R93" i="16"/>
  <c r="Q93" i="16"/>
  <c r="P93" i="16"/>
  <c r="O93" i="16"/>
  <c r="U93" i="16"/>
  <c r="T93" i="16"/>
  <c r="I93" i="16"/>
  <c r="H93" i="16"/>
  <c r="G93" i="16"/>
  <c r="N93" i="16"/>
  <c r="L93" i="16"/>
  <c r="X93" i="16"/>
  <c r="T56" i="16"/>
  <c r="H56" i="16"/>
  <c r="R56" i="16"/>
  <c r="Q56" i="16"/>
  <c r="P56" i="16"/>
  <c r="V56" i="16"/>
  <c r="J56" i="16"/>
  <c r="U56" i="16"/>
  <c r="I56" i="16"/>
  <c r="X56" i="16"/>
  <c r="W56" i="16"/>
  <c r="S56" i="16"/>
  <c r="O56" i="16"/>
  <c r="N56" i="16"/>
  <c r="G56" i="16"/>
  <c r="M56" i="16"/>
  <c r="L56" i="16"/>
  <c r="K56" i="16"/>
  <c r="O38" i="16"/>
  <c r="S38" i="16"/>
  <c r="G38" i="16"/>
  <c r="L38" i="16"/>
  <c r="K38" i="16"/>
  <c r="W38" i="16"/>
  <c r="I38" i="16"/>
  <c r="V38" i="16"/>
  <c r="H38" i="16"/>
  <c r="U38" i="16"/>
  <c r="T38" i="16"/>
  <c r="R38" i="16"/>
  <c r="Q38" i="16"/>
  <c r="P38" i="16"/>
  <c r="N38" i="16"/>
  <c r="M38" i="16"/>
  <c r="X38" i="16"/>
  <c r="J38" i="16"/>
  <c r="T90" i="16"/>
  <c r="H90" i="16"/>
  <c r="N90" i="16"/>
  <c r="M90" i="16"/>
  <c r="L90" i="16"/>
  <c r="X90" i="16"/>
  <c r="K90" i="16"/>
  <c r="W90" i="16"/>
  <c r="J90" i="16"/>
  <c r="P90" i="16"/>
  <c r="O90" i="16"/>
  <c r="V90" i="16"/>
  <c r="I90" i="16"/>
  <c r="U90" i="16"/>
  <c r="S90" i="16"/>
  <c r="R90" i="16"/>
  <c r="Q90" i="16"/>
  <c r="G90" i="16"/>
  <c r="O46" i="16"/>
  <c r="N46" i="16"/>
  <c r="S46" i="16"/>
  <c r="G46" i="16"/>
  <c r="R46" i="16"/>
  <c r="X46" i="16"/>
  <c r="H46" i="16"/>
  <c r="W46" i="16"/>
  <c r="U46" i="16"/>
  <c r="T46" i="16"/>
  <c r="Q46" i="16"/>
  <c r="J46" i="16"/>
  <c r="P46" i="16"/>
  <c r="V46" i="16"/>
  <c r="I46" i="16"/>
  <c r="K46" i="16"/>
  <c r="L46" i="16"/>
  <c r="M46" i="16"/>
  <c r="W4" i="16"/>
  <c r="S4" i="16"/>
  <c r="N4" i="16"/>
  <c r="M4" i="16"/>
  <c r="G4" i="16"/>
  <c r="P4" i="16"/>
  <c r="V4" i="16"/>
  <c r="R4" i="16"/>
  <c r="I4" i="16"/>
  <c r="U4" i="16"/>
  <c r="L4" i="16"/>
  <c r="X4" i="16"/>
  <c r="Q4" i="16"/>
  <c r="J4" i="16"/>
  <c r="O4" i="16"/>
  <c r="H4" i="16"/>
  <c r="K4" i="16"/>
  <c r="T4" i="16"/>
  <c r="N27" i="16"/>
  <c r="M27" i="16"/>
  <c r="W27" i="16"/>
  <c r="K27" i="16"/>
  <c r="R27" i="16"/>
  <c r="Q27" i="16"/>
  <c r="P27" i="16"/>
  <c r="O27" i="16"/>
  <c r="L27" i="16"/>
  <c r="J27" i="16"/>
  <c r="T27" i="16"/>
  <c r="S27" i="16"/>
  <c r="I27" i="16"/>
  <c r="X27" i="16"/>
  <c r="V27" i="16"/>
  <c r="U27" i="16"/>
  <c r="H27" i="16"/>
  <c r="G27" i="16"/>
  <c r="Q13" i="16"/>
  <c r="P13" i="16"/>
  <c r="O13" i="16"/>
  <c r="N13" i="16"/>
  <c r="M13" i="16"/>
  <c r="X13" i="16"/>
  <c r="L13" i="16"/>
  <c r="S13" i="16"/>
  <c r="G13" i="16"/>
  <c r="R13" i="16"/>
  <c r="T13" i="16"/>
  <c r="K13" i="16"/>
  <c r="J13" i="16"/>
  <c r="I13" i="16"/>
  <c r="H13" i="16"/>
  <c r="W13" i="16"/>
  <c r="V13" i="16"/>
  <c r="U13" i="16"/>
  <c r="W15" i="16"/>
  <c r="K15" i="16"/>
  <c r="Q15" i="16"/>
  <c r="V15" i="16"/>
  <c r="J15" i="16"/>
  <c r="U15" i="16"/>
  <c r="I15" i="16"/>
  <c r="T15" i="16"/>
  <c r="H15" i="16"/>
  <c r="S15" i="16"/>
  <c r="G15" i="16"/>
  <c r="R15" i="16"/>
  <c r="M15" i="16"/>
  <c r="X15" i="16"/>
  <c r="L15" i="16"/>
  <c r="N15" i="16"/>
  <c r="P15" i="16"/>
  <c r="O15" i="16"/>
  <c r="O69" i="16"/>
  <c r="M69" i="16"/>
  <c r="X69" i="16"/>
  <c r="L69" i="16"/>
  <c r="W69" i="16"/>
  <c r="K69" i="16"/>
  <c r="Q69" i="16"/>
  <c r="P69" i="16"/>
  <c r="V69" i="16"/>
  <c r="U69" i="16"/>
  <c r="T69" i="16"/>
  <c r="S69" i="16"/>
  <c r="R69" i="16"/>
  <c r="G69" i="16"/>
  <c r="J69" i="16"/>
  <c r="I69" i="16"/>
  <c r="H69" i="16"/>
  <c r="N69" i="16"/>
  <c r="W92" i="16"/>
  <c r="K92" i="16"/>
  <c r="M92" i="16"/>
  <c r="L92" i="16"/>
  <c r="J92" i="16"/>
  <c r="X92" i="16"/>
  <c r="I92" i="16"/>
  <c r="V92" i="16"/>
  <c r="H92" i="16"/>
  <c r="U92" i="16"/>
  <c r="G92" i="16"/>
  <c r="O92" i="16"/>
  <c r="N92" i="16"/>
  <c r="T92" i="16"/>
  <c r="R92" i="16"/>
  <c r="Q92" i="16"/>
  <c r="P92" i="16"/>
  <c r="S92" i="16"/>
  <c r="W89" i="16"/>
  <c r="K89" i="16"/>
  <c r="O89" i="16"/>
  <c r="N89" i="16"/>
  <c r="M89" i="16"/>
  <c r="L89" i="16"/>
  <c r="X89" i="16"/>
  <c r="J89" i="16"/>
  <c r="Q89" i="16"/>
  <c r="P89" i="16"/>
  <c r="G89" i="16"/>
  <c r="V89" i="16"/>
  <c r="I89" i="16"/>
  <c r="H89" i="16"/>
  <c r="S89" i="16"/>
  <c r="R89" i="16"/>
  <c r="U89" i="16"/>
  <c r="T89" i="16"/>
  <c r="T53" i="16"/>
  <c r="H53" i="16"/>
  <c r="S53" i="16"/>
  <c r="G53" i="16"/>
  <c r="R53" i="16"/>
  <c r="X53" i="16"/>
  <c r="L53" i="16"/>
  <c r="W53" i="16"/>
  <c r="K53" i="16"/>
  <c r="V53" i="16"/>
  <c r="U53" i="16"/>
  <c r="Q53" i="16"/>
  <c r="P53" i="16"/>
  <c r="I53" i="16"/>
  <c r="O53" i="16"/>
  <c r="N53" i="16"/>
  <c r="M53" i="16"/>
  <c r="J53" i="16"/>
  <c r="T59" i="16"/>
  <c r="H59" i="16"/>
  <c r="R59" i="16"/>
  <c r="Q59" i="16"/>
  <c r="P59" i="16"/>
  <c r="V59" i="16"/>
  <c r="J59" i="16"/>
  <c r="U59" i="16"/>
  <c r="I59" i="16"/>
  <c r="L59" i="16"/>
  <c r="K59" i="16"/>
  <c r="G59" i="16"/>
  <c r="N59" i="16"/>
  <c r="O59" i="16"/>
  <c r="M59" i="16"/>
  <c r="W59" i="16"/>
  <c r="S59" i="16"/>
  <c r="X59" i="16"/>
  <c r="N98" i="16"/>
  <c r="M98" i="16"/>
  <c r="X98" i="16"/>
  <c r="L98" i="16"/>
  <c r="U98" i="16"/>
  <c r="I98" i="16"/>
  <c r="P98" i="16"/>
  <c r="O98" i="16"/>
  <c r="G98" i="16"/>
  <c r="W98" i="16"/>
  <c r="V98" i="16"/>
  <c r="J98" i="16"/>
  <c r="H98" i="16"/>
  <c r="T98" i="16"/>
  <c r="Q98" i="16"/>
  <c r="K98" i="16"/>
  <c r="S98" i="16"/>
  <c r="R98" i="16"/>
  <c r="W39" i="16"/>
  <c r="K39" i="16"/>
  <c r="O39" i="16"/>
  <c r="L39" i="16"/>
  <c r="J39" i="16"/>
  <c r="V39" i="16"/>
  <c r="H39" i="16"/>
  <c r="U39" i="16"/>
  <c r="G39" i="16"/>
  <c r="T39" i="16"/>
  <c r="Q39" i="16"/>
  <c r="P39" i="16"/>
  <c r="N39" i="16"/>
  <c r="M39" i="16"/>
  <c r="I39" i="16"/>
  <c r="S39" i="16"/>
  <c r="R39" i="16"/>
  <c r="X39" i="16"/>
  <c r="P26" i="16"/>
  <c r="O26" i="16"/>
  <c r="M26" i="16"/>
  <c r="L26" i="16"/>
  <c r="K26" i="16"/>
  <c r="J26" i="16"/>
  <c r="U26" i="16"/>
  <c r="X26" i="16"/>
  <c r="I26" i="16"/>
  <c r="W26" i="16"/>
  <c r="H26" i="16"/>
  <c r="V26" i="16"/>
  <c r="G26" i="16"/>
  <c r="Q26" i="16"/>
  <c r="N26" i="16"/>
  <c r="S26" i="16"/>
  <c r="R26" i="16"/>
  <c r="T26" i="16"/>
  <c r="W47" i="16"/>
  <c r="K47" i="16"/>
  <c r="V47" i="16"/>
  <c r="J47" i="16"/>
  <c r="O47" i="16"/>
  <c r="N47" i="16"/>
  <c r="P47" i="16"/>
  <c r="M47" i="16"/>
  <c r="I47" i="16"/>
  <c r="H47" i="16"/>
  <c r="G47" i="16"/>
  <c r="R47" i="16"/>
  <c r="U47" i="16"/>
  <c r="X47" i="16"/>
  <c r="L47" i="16"/>
  <c r="S47" i="16"/>
  <c r="Q47" i="16"/>
  <c r="T47" i="16"/>
  <c r="Q7" i="16"/>
  <c r="K7" i="16"/>
  <c r="P7" i="16"/>
  <c r="J7" i="16"/>
  <c r="W7" i="16"/>
  <c r="R7" i="16"/>
  <c r="I7" i="16"/>
  <c r="V7" i="16"/>
  <c r="O7" i="16"/>
  <c r="U7" i="16"/>
  <c r="G7" i="16"/>
  <c r="M7" i="16"/>
  <c r="S7" i="16"/>
  <c r="H7" i="16"/>
  <c r="X7" i="16"/>
  <c r="N7" i="16"/>
  <c r="L7" i="16"/>
  <c r="T7" i="16"/>
  <c r="S8" i="16"/>
  <c r="G8" i="16"/>
  <c r="R8" i="16"/>
  <c r="Q8" i="16"/>
  <c r="P8" i="16"/>
  <c r="O8" i="16"/>
  <c r="N8" i="16"/>
  <c r="U8" i="16"/>
  <c r="I8" i="16"/>
  <c r="T8" i="16"/>
  <c r="H8" i="16"/>
  <c r="V8" i="16"/>
  <c r="M8" i="16"/>
  <c r="L8" i="16"/>
  <c r="K8" i="16"/>
  <c r="J8" i="16"/>
  <c r="X8" i="16"/>
  <c r="W8" i="16"/>
  <c r="O52" i="16"/>
  <c r="N52" i="16"/>
  <c r="M52" i="16"/>
  <c r="S52" i="16"/>
  <c r="G52" i="16"/>
  <c r="R52" i="16"/>
  <c r="P52" i="16"/>
  <c r="L52" i="16"/>
  <c r="K52" i="16"/>
  <c r="J52" i="16"/>
  <c r="I52" i="16"/>
  <c r="H52" i="16"/>
  <c r="T52" i="16"/>
  <c r="Q52" i="16"/>
  <c r="V52" i="16"/>
  <c r="U52" i="16"/>
  <c r="X52" i="16"/>
  <c r="W52" i="16"/>
  <c r="M3" i="16"/>
  <c r="X3" i="16"/>
  <c r="L3" i="16"/>
  <c r="W3" i="16"/>
  <c r="K3" i="16"/>
  <c r="V3" i="16"/>
  <c r="J3" i="16"/>
  <c r="U3" i="16"/>
  <c r="I3" i="16"/>
  <c r="T3" i="16"/>
  <c r="H3" i="16"/>
  <c r="O3" i="16"/>
  <c r="N3" i="16"/>
  <c r="G3" i="16"/>
  <c r="S3" i="16"/>
  <c r="R3" i="16"/>
  <c r="P3" i="16"/>
  <c r="Q3" i="16"/>
  <c r="Q24" i="16"/>
  <c r="P24" i="16"/>
  <c r="N24" i="16"/>
  <c r="R24" i="16"/>
  <c r="I24" i="16"/>
  <c r="O24" i="16"/>
  <c r="M24" i="16"/>
  <c r="L24" i="16"/>
  <c r="K24" i="16"/>
  <c r="J24" i="16"/>
  <c r="T24" i="16"/>
  <c r="S24" i="16"/>
  <c r="X24" i="16"/>
  <c r="H24" i="16"/>
  <c r="G24" i="16"/>
  <c r="W24" i="16"/>
  <c r="V24" i="16"/>
  <c r="U24" i="16"/>
  <c r="T34" i="16"/>
  <c r="H34" i="16"/>
  <c r="X34" i="16"/>
  <c r="L34" i="16"/>
  <c r="P34" i="16"/>
  <c r="O34" i="16"/>
  <c r="M34" i="16"/>
  <c r="K34" i="16"/>
  <c r="V34" i="16"/>
  <c r="U34" i="16"/>
  <c r="S34" i="16"/>
  <c r="R34" i="16"/>
  <c r="Q34" i="16"/>
  <c r="J34" i="16"/>
  <c r="N34" i="16"/>
  <c r="W34" i="16"/>
  <c r="G34" i="16"/>
  <c r="I34" i="16"/>
  <c r="P6" i="16"/>
  <c r="O6" i="16"/>
  <c r="N6" i="16"/>
  <c r="M6" i="16"/>
  <c r="X6" i="16"/>
  <c r="L6" i="16"/>
  <c r="W6" i="16"/>
  <c r="K6" i="16"/>
  <c r="R6" i="16"/>
  <c r="Q6" i="16"/>
  <c r="I6" i="16"/>
  <c r="V6" i="16"/>
  <c r="U6" i="16"/>
  <c r="T6" i="16"/>
  <c r="J6" i="16"/>
  <c r="S6" i="16"/>
  <c r="G6" i="16"/>
  <c r="H6" i="16"/>
  <c r="V49" i="16"/>
  <c r="J49" i="16"/>
  <c r="U49" i="16"/>
  <c r="I49" i="16"/>
  <c r="N49" i="16"/>
  <c r="M49" i="16"/>
  <c r="S49" i="16"/>
  <c r="R49" i="16"/>
  <c r="P49" i="16"/>
  <c r="O49" i="16"/>
  <c r="L49" i="16"/>
  <c r="W49" i="16"/>
  <c r="Q49" i="16"/>
  <c r="K49" i="16"/>
  <c r="H49" i="16"/>
  <c r="G49" i="16"/>
  <c r="X49" i="16"/>
  <c r="T49" i="16"/>
  <c r="P25" i="16"/>
  <c r="O25" i="16"/>
  <c r="M25" i="16"/>
  <c r="V25" i="16"/>
  <c r="G25" i="16"/>
  <c r="N25" i="16"/>
  <c r="U25" i="16"/>
  <c r="T25" i="16"/>
  <c r="S25" i="16"/>
  <c r="R25" i="16"/>
  <c r="Q25" i="16"/>
  <c r="X25" i="16"/>
  <c r="I25" i="16"/>
  <c r="W25" i="16"/>
  <c r="H25" i="16"/>
  <c r="L25" i="16"/>
  <c r="K25" i="16"/>
  <c r="J25" i="16"/>
  <c r="W44" i="16"/>
  <c r="K44" i="16"/>
  <c r="V44" i="16"/>
  <c r="J44" i="16"/>
  <c r="N44" i="16"/>
  <c r="L44" i="16"/>
  <c r="I44" i="16"/>
  <c r="X44" i="16"/>
  <c r="G44" i="16"/>
  <c r="U44" i="16"/>
  <c r="T44" i="16"/>
  <c r="Q44" i="16"/>
  <c r="S44" i="16"/>
  <c r="R44" i="16"/>
  <c r="H44" i="16"/>
  <c r="P44" i="16"/>
  <c r="O44" i="16"/>
  <c r="M44" i="16"/>
  <c r="Q57" i="16"/>
  <c r="O57" i="16"/>
  <c r="N57" i="16"/>
  <c r="M57" i="16"/>
  <c r="S57" i="16"/>
  <c r="G57" i="16"/>
  <c r="R57" i="16"/>
  <c r="V57" i="16"/>
  <c r="U57" i="16"/>
  <c r="T57" i="16"/>
  <c r="P57" i="16"/>
  <c r="L57" i="16"/>
  <c r="K57" i="16"/>
  <c r="X57" i="16"/>
  <c r="J57" i="16"/>
  <c r="I57" i="16"/>
  <c r="H57" i="16"/>
  <c r="W57" i="16"/>
  <c r="R29" i="16"/>
  <c r="V29" i="16"/>
  <c r="J29" i="16"/>
  <c r="Q29" i="16"/>
  <c r="P29" i="16"/>
  <c r="N29" i="16"/>
  <c r="X29" i="16"/>
  <c r="W29" i="16"/>
  <c r="M29" i="16"/>
  <c r="U29" i="16"/>
  <c r="T29" i="16"/>
  <c r="S29" i="16"/>
  <c r="O29" i="16"/>
  <c r="H29" i="16"/>
  <c r="G29" i="16"/>
  <c r="K29" i="16"/>
  <c r="I29" i="16"/>
  <c r="L29" i="16"/>
  <c r="T5" i="16"/>
  <c r="H5" i="16"/>
  <c r="S5" i="16"/>
  <c r="G5" i="16"/>
  <c r="R5" i="16"/>
  <c r="Q5" i="16"/>
  <c r="P5" i="16"/>
  <c r="O5" i="16"/>
  <c r="V5" i="16"/>
  <c r="J5" i="16"/>
  <c r="U5" i="16"/>
  <c r="I5" i="16"/>
  <c r="X5" i="16"/>
  <c r="W5" i="16"/>
  <c r="N5" i="16"/>
  <c r="M5" i="16"/>
  <c r="L5" i="16"/>
  <c r="K5" i="16"/>
  <c r="P19" i="16"/>
  <c r="M19" i="16"/>
  <c r="V19" i="16"/>
  <c r="H19" i="16"/>
  <c r="U19" i="16"/>
  <c r="G19" i="16"/>
  <c r="T19" i="16"/>
  <c r="S19" i="16"/>
  <c r="O19" i="16"/>
  <c r="R19" i="16"/>
  <c r="Q19" i="16"/>
  <c r="X19" i="16"/>
  <c r="J19" i="16"/>
  <c r="W19" i="16"/>
  <c r="I19" i="16"/>
  <c r="K19" i="16"/>
  <c r="N19" i="16"/>
  <c r="L19" i="16"/>
  <c r="M41" i="16"/>
  <c r="Q41" i="16"/>
  <c r="L41" i="16"/>
  <c r="K41" i="16"/>
  <c r="W41" i="16"/>
  <c r="I41" i="16"/>
  <c r="V41" i="16"/>
  <c r="H41" i="16"/>
  <c r="U41" i="16"/>
  <c r="G41" i="16"/>
  <c r="R41" i="16"/>
  <c r="X41" i="16"/>
  <c r="T41" i="16"/>
  <c r="S41" i="16"/>
  <c r="J41" i="16"/>
  <c r="O41" i="16"/>
  <c r="N41" i="16"/>
  <c r="P41" i="16"/>
  <c r="X9" i="16"/>
  <c r="L9" i="16"/>
  <c r="W9" i="16"/>
  <c r="K9" i="16"/>
  <c r="V9" i="16"/>
  <c r="J9" i="16"/>
  <c r="U9" i="16"/>
  <c r="I9" i="16"/>
  <c r="T9" i="16"/>
  <c r="H9" i="16"/>
  <c r="S9" i="16"/>
  <c r="G9" i="16"/>
  <c r="N9" i="16"/>
  <c r="M9" i="16"/>
  <c r="O9" i="16"/>
  <c r="R9" i="16"/>
  <c r="Q9" i="16"/>
  <c r="P9" i="16"/>
  <c r="P14" i="16"/>
  <c r="O14" i="16"/>
  <c r="N14" i="16"/>
  <c r="M14" i="16"/>
  <c r="X14" i="16"/>
  <c r="L14" i="16"/>
  <c r="W14" i="16"/>
  <c r="K14" i="16"/>
  <c r="R14" i="16"/>
  <c r="V14" i="16"/>
  <c r="Q14" i="16"/>
  <c r="U14" i="16"/>
  <c r="T14" i="16"/>
  <c r="H14" i="16"/>
  <c r="S14" i="16"/>
  <c r="J14" i="16"/>
  <c r="I14" i="16"/>
  <c r="G14" i="16"/>
  <c r="P60" i="16"/>
  <c r="N60" i="16"/>
  <c r="M60" i="16"/>
  <c r="X60" i="16"/>
  <c r="L60" i="16"/>
  <c r="R60" i="16"/>
  <c r="Q60" i="16"/>
  <c r="W60" i="16"/>
  <c r="V60" i="16"/>
  <c r="U60" i="16"/>
  <c r="T60" i="16"/>
  <c r="S60" i="16"/>
  <c r="O60" i="16"/>
  <c r="G60" i="16"/>
  <c r="K60" i="16"/>
  <c r="J60" i="16"/>
  <c r="I60" i="16"/>
  <c r="H60" i="16"/>
  <c r="R35" i="16"/>
  <c r="V35" i="16"/>
  <c r="J35" i="16"/>
  <c r="S35" i="16"/>
  <c r="Q35" i="16"/>
  <c r="O35" i="16"/>
  <c r="N35" i="16"/>
  <c r="P35" i="16"/>
  <c r="M35" i="16"/>
  <c r="G35" i="16"/>
  <c r="L35" i="16"/>
  <c r="K35" i="16"/>
  <c r="I35" i="16"/>
  <c r="H35" i="16"/>
  <c r="U35" i="16"/>
  <c r="T35" i="16"/>
  <c r="X35" i="16"/>
  <c r="W35" i="16"/>
  <c r="S65" i="16"/>
  <c r="G65" i="16"/>
  <c r="Q65" i="16"/>
  <c r="P65" i="16"/>
  <c r="O65" i="16"/>
  <c r="U65" i="16"/>
  <c r="I65" i="16"/>
  <c r="T65" i="16"/>
  <c r="H65" i="16"/>
  <c r="X65" i="16"/>
  <c r="W65" i="16"/>
  <c r="V65" i="16"/>
  <c r="R65" i="16"/>
  <c r="N65" i="16"/>
  <c r="M65" i="16"/>
  <c r="L65" i="16"/>
  <c r="K65" i="16"/>
  <c r="J65" i="16"/>
  <c r="T23" i="16"/>
  <c r="H23" i="16"/>
  <c r="S23" i="16"/>
  <c r="G23" i="16"/>
  <c r="Q23" i="16"/>
  <c r="M23" i="16"/>
  <c r="L23" i="16"/>
  <c r="K23" i="16"/>
  <c r="J23" i="16"/>
  <c r="X23" i="16"/>
  <c r="I23" i="16"/>
  <c r="W23" i="16"/>
  <c r="O23" i="16"/>
  <c r="V23" i="16"/>
  <c r="N23" i="16"/>
  <c r="U23" i="16"/>
  <c r="R23" i="16"/>
  <c r="P23" i="16"/>
  <c r="S32" i="16"/>
  <c r="G32" i="16"/>
  <c r="W32" i="16"/>
  <c r="K32" i="16"/>
  <c r="P32" i="16"/>
  <c r="O32" i="16"/>
  <c r="M32" i="16"/>
  <c r="X32" i="16"/>
  <c r="V32" i="16"/>
  <c r="U32" i="16"/>
  <c r="T32" i="16"/>
  <c r="N32" i="16"/>
  <c r="R32" i="16"/>
  <c r="Q32" i="16"/>
  <c r="H32" i="16"/>
  <c r="L32" i="16"/>
  <c r="I32" i="16"/>
  <c r="J32" i="16"/>
  <c r="M50" i="16"/>
  <c r="X50" i="16"/>
  <c r="L50" i="16"/>
  <c r="W50" i="16"/>
  <c r="Q50" i="16"/>
  <c r="P50" i="16"/>
  <c r="N50" i="16"/>
  <c r="K50" i="16"/>
  <c r="J50" i="16"/>
  <c r="I50" i="16"/>
  <c r="H50" i="16"/>
  <c r="G50" i="16"/>
  <c r="R50" i="16"/>
  <c r="V50" i="16"/>
  <c r="U50" i="16"/>
  <c r="T50" i="16"/>
  <c r="O50" i="16"/>
  <c r="S50" i="16"/>
  <c r="P22" i="16"/>
  <c r="O22" i="16"/>
  <c r="M22" i="16"/>
  <c r="L22" i="16"/>
  <c r="K22" i="16"/>
  <c r="J22" i="16"/>
  <c r="X22" i="16"/>
  <c r="I22" i="16"/>
  <c r="W22" i="16"/>
  <c r="H22" i="16"/>
  <c r="V22" i="16"/>
  <c r="G22" i="16"/>
  <c r="Q22" i="16"/>
  <c r="U22" i="16"/>
  <c r="N22" i="16"/>
  <c r="T22" i="16"/>
  <c r="S22" i="16"/>
  <c r="R22" i="16"/>
  <c r="V28" i="16"/>
  <c r="J28" i="16"/>
  <c r="U28" i="16"/>
  <c r="I28" i="16"/>
  <c r="S28" i="16"/>
  <c r="G28" i="16"/>
  <c r="T28" i="16"/>
  <c r="R28" i="16"/>
  <c r="Q28" i="16"/>
  <c r="P28" i="16"/>
  <c r="M28" i="16"/>
  <c r="O28" i="16"/>
  <c r="N28" i="16"/>
  <c r="X28" i="16"/>
  <c r="W28" i="16"/>
  <c r="L28" i="16"/>
  <c r="H28" i="16"/>
  <c r="K28" i="16"/>
  <c r="U17" i="16"/>
  <c r="I17" i="16"/>
  <c r="T17" i="16"/>
  <c r="H17" i="16"/>
  <c r="S17" i="16"/>
  <c r="G17" i="16"/>
  <c r="R17" i="16"/>
  <c r="O17" i="16"/>
  <c r="Q17" i="16"/>
  <c r="P17" i="16"/>
  <c r="W17" i="16"/>
  <c r="K17" i="16"/>
  <c r="V17" i="16"/>
  <c r="J17" i="16"/>
  <c r="N17" i="16"/>
  <c r="M17" i="16"/>
  <c r="L17" i="16"/>
  <c r="X17" i="16"/>
  <c r="T40" i="16"/>
  <c r="H40" i="16"/>
  <c r="X40" i="16"/>
  <c r="L40" i="16"/>
  <c r="N40" i="16"/>
  <c r="M40" i="16"/>
  <c r="J40" i="16"/>
  <c r="W40" i="16"/>
  <c r="I40" i="16"/>
  <c r="V40" i="16"/>
  <c r="G40" i="16"/>
  <c r="K40" i="16"/>
  <c r="P40" i="16"/>
  <c r="U40" i="16"/>
  <c r="O40" i="16"/>
  <c r="Q40" i="16"/>
  <c r="S40" i="16"/>
  <c r="R40" i="16"/>
  <c r="N73" i="16"/>
  <c r="M73" i="16"/>
  <c r="X73" i="16"/>
  <c r="L73" i="16"/>
  <c r="W73" i="16"/>
  <c r="K73" i="16"/>
  <c r="V73" i="16"/>
  <c r="J73" i="16"/>
  <c r="P73" i="16"/>
  <c r="O73" i="16"/>
  <c r="I73" i="16"/>
  <c r="H73" i="16"/>
  <c r="G73" i="16"/>
  <c r="R73" i="16"/>
  <c r="U73" i="16"/>
  <c r="T73" i="16"/>
  <c r="S73" i="16"/>
  <c r="Q73" i="16"/>
  <c r="P61" i="16"/>
  <c r="N61" i="16"/>
  <c r="M61" i="16"/>
  <c r="X61" i="16"/>
  <c r="L61" i="16"/>
  <c r="R61" i="16"/>
  <c r="Q61" i="16"/>
  <c r="T61" i="16"/>
  <c r="S61" i="16"/>
  <c r="O61" i="16"/>
  <c r="K61" i="16"/>
  <c r="J61" i="16"/>
  <c r="I61" i="16"/>
  <c r="V61" i="16"/>
  <c r="H61" i="16"/>
  <c r="G61" i="16"/>
  <c r="W61" i="16"/>
  <c r="U61" i="16"/>
  <c r="U55" i="16"/>
  <c r="I55" i="16"/>
  <c r="S55" i="16"/>
  <c r="G55" i="16"/>
  <c r="R55" i="16"/>
  <c r="Q55" i="16"/>
  <c r="W55" i="16"/>
  <c r="K55" i="16"/>
  <c r="V55" i="16"/>
  <c r="J55" i="16"/>
  <c r="X55" i="16"/>
  <c r="T55" i="16"/>
  <c r="P55" i="16"/>
  <c r="O55" i="16"/>
  <c r="N55" i="16"/>
  <c r="M55" i="16"/>
  <c r="L55" i="16"/>
  <c r="H55" i="16"/>
  <c r="O95" i="16"/>
  <c r="N95" i="16"/>
  <c r="W95" i="16"/>
  <c r="K95" i="16"/>
  <c r="R95" i="16"/>
  <c r="Q95" i="16"/>
  <c r="H95" i="16"/>
  <c r="G95" i="16"/>
  <c r="X95" i="16"/>
  <c r="V95" i="16"/>
  <c r="U95" i="16"/>
  <c r="J95" i="16"/>
  <c r="I95" i="16"/>
  <c r="T95" i="16"/>
  <c r="M95" i="16"/>
  <c r="L95" i="16"/>
  <c r="S95" i="16"/>
  <c r="P95" i="16"/>
  <c r="X96" i="16"/>
  <c r="W96" i="16"/>
  <c r="K96" i="16"/>
  <c r="V96" i="16"/>
  <c r="J96" i="16"/>
  <c r="S96" i="16"/>
  <c r="G96" i="16"/>
  <c r="N96" i="16"/>
  <c r="M96" i="16"/>
  <c r="T96" i="16"/>
  <c r="R96" i="16"/>
  <c r="Q96" i="16"/>
  <c r="P96" i="16"/>
  <c r="O96" i="16"/>
  <c r="U96" i="16"/>
  <c r="H96" i="16"/>
  <c r="L96" i="16"/>
  <c r="I96" i="16"/>
  <c r="N37" i="16"/>
  <c r="R37" i="16"/>
  <c r="V37" i="16"/>
  <c r="H37" i="16"/>
  <c r="U37" i="16"/>
  <c r="G37" i="16"/>
  <c r="S37" i="16"/>
  <c r="Q37" i="16"/>
  <c r="W37" i="16"/>
  <c r="T37" i="16"/>
  <c r="P37" i="16"/>
  <c r="K37" i="16"/>
  <c r="O37" i="16"/>
  <c r="M37" i="16"/>
  <c r="L37" i="16"/>
  <c r="X37" i="16"/>
  <c r="J37" i="16"/>
  <c r="I37" i="16"/>
  <c r="W70" i="16"/>
  <c r="K70" i="16"/>
  <c r="V70" i="16"/>
  <c r="U70" i="16"/>
  <c r="I70" i="16"/>
  <c r="T70" i="16"/>
  <c r="H70" i="16"/>
  <c r="S70" i="16"/>
  <c r="G70" i="16"/>
  <c r="M70" i="16"/>
  <c r="X70" i="16"/>
  <c r="L70" i="16"/>
  <c r="Q70" i="16"/>
  <c r="P70" i="16"/>
  <c r="O70" i="16"/>
  <c r="N70" i="16"/>
  <c r="J70" i="16"/>
  <c r="R70" i="16"/>
  <c r="O66" i="16"/>
  <c r="M66" i="16"/>
  <c r="X66" i="16"/>
  <c r="L66" i="16"/>
  <c r="W66" i="16"/>
  <c r="K66" i="16"/>
  <c r="Q66" i="16"/>
  <c r="P66" i="16"/>
  <c r="J66" i="16"/>
  <c r="I66" i="16"/>
  <c r="H66" i="16"/>
  <c r="G66" i="16"/>
  <c r="R66" i="16"/>
  <c r="S66" i="16"/>
  <c r="N66" i="16"/>
  <c r="U66" i="16"/>
  <c r="T66" i="16"/>
  <c r="V66" i="16"/>
  <c r="Q10" i="16"/>
  <c r="P10" i="16"/>
  <c r="O10" i="16"/>
  <c r="N10" i="16"/>
  <c r="M10" i="16"/>
  <c r="X10" i="16"/>
  <c r="L10" i="16"/>
  <c r="S10" i="16"/>
  <c r="G10" i="16"/>
  <c r="R10" i="16"/>
  <c r="J10" i="16"/>
  <c r="I10" i="16"/>
  <c r="V10" i="16"/>
  <c r="H10" i="16"/>
  <c r="W10" i="16"/>
  <c r="U10" i="16"/>
  <c r="T10" i="16"/>
  <c r="K10" i="16"/>
  <c r="V42" i="16"/>
  <c r="J42" i="16"/>
  <c r="N42" i="16"/>
  <c r="O42" i="16"/>
  <c r="M42" i="16"/>
  <c r="K42" i="16"/>
  <c r="X42" i="16"/>
  <c r="I42" i="16"/>
  <c r="W42" i="16"/>
  <c r="H42" i="16"/>
  <c r="U42" i="16"/>
  <c r="T42" i="16"/>
  <c r="S42" i="16"/>
  <c r="R42" i="16"/>
  <c r="Q42" i="16"/>
  <c r="P42" i="16"/>
  <c r="L42" i="16"/>
  <c r="G42" i="16"/>
  <c r="U18" i="16"/>
  <c r="I18" i="16"/>
  <c r="O18" i="16"/>
  <c r="T18" i="16"/>
  <c r="H18" i="16"/>
  <c r="S18" i="16"/>
  <c r="G18" i="16"/>
  <c r="R18" i="16"/>
  <c r="Q18" i="16"/>
  <c r="P18" i="16"/>
  <c r="W18" i="16"/>
  <c r="K18" i="16"/>
  <c r="V18" i="16"/>
  <c r="J18" i="16"/>
  <c r="N18" i="16"/>
  <c r="L18" i="16"/>
  <c r="M18" i="16"/>
  <c r="X18" i="16"/>
  <c r="P31" i="16"/>
  <c r="T31" i="16"/>
  <c r="H31" i="16"/>
  <c r="W31" i="16"/>
  <c r="I31" i="16"/>
  <c r="V31" i="16"/>
  <c r="G31" i="16"/>
  <c r="S31" i="16"/>
  <c r="X31" i="16"/>
  <c r="U31" i="16"/>
  <c r="R31" i="16"/>
  <c r="Q31" i="16"/>
  <c r="K31" i="16"/>
  <c r="J31" i="16"/>
  <c r="O31" i="16"/>
  <c r="N31" i="16"/>
  <c r="M31" i="16"/>
  <c r="L31" i="16"/>
  <c r="P63" i="16"/>
  <c r="N63" i="16"/>
  <c r="M63" i="16"/>
  <c r="X63" i="16"/>
  <c r="L63" i="16"/>
  <c r="R63" i="16"/>
  <c r="Q63" i="16"/>
  <c r="K63" i="16"/>
  <c r="J63" i="16"/>
  <c r="I63" i="16"/>
  <c r="H63" i="16"/>
  <c r="G63" i="16"/>
  <c r="S63" i="16"/>
  <c r="T63" i="16"/>
  <c r="O63" i="16"/>
  <c r="W63" i="16"/>
  <c r="U63" i="16"/>
  <c r="V63" i="16"/>
  <c r="U64" i="16"/>
  <c r="I64" i="16"/>
  <c r="S64" i="16"/>
  <c r="G64" i="16"/>
  <c r="R64" i="16"/>
  <c r="Q64" i="16"/>
  <c r="W64" i="16"/>
  <c r="K64" i="16"/>
  <c r="V64" i="16"/>
  <c r="J64" i="16"/>
  <c r="X64" i="16"/>
  <c r="T64" i="16"/>
  <c r="P64" i="16"/>
  <c r="O64" i="16"/>
  <c r="N64" i="16"/>
  <c r="M64" i="16"/>
  <c r="L64" i="16"/>
  <c r="H64" i="16"/>
  <c r="W99" i="16"/>
  <c r="K99" i="16"/>
  <c r="V99" i="16"/>
  <c r="J99" i="16"/>
  <c r="U99" i="16"/>
  <c r="I99" i="16"/>
  <c r="R99" i="16"/>
  <c r="M99" i="16"/>
  <c r="X99" i="16"/>
  <c r="L99" i="16"/>
  <c r="T99" i="16"/>
  <c r="S99" i="16"/>
  <c r="Q99" i="16"/>
  <c r="H99" i="16"/>
  <c r="G99" i="16"/>
  <c r="O99" i="16"/>
  <c r="P99" i="16"/>
  <c r="N99" i="16"/>
  <c r="Q16" i="16"/>
  <c r="K16" i="16"/>
  <c r="P16" i="16"/>
  <c r="O16" i="16"/>
  <c r="W16" i="16"/>
  <c r="N16" i="16"/>
  <c r="M16" i="16"/>
  <c r="X16" i="16"/>
  <c r="L16" i="16"/>
  <c r="S16" i="16"/>
  <c r="G16" i="16"/>
  <c r="R16" i="16"/>
  <c r="H16" i="16"/>
  <c r="U16" i="16"/>
  <c r="V16" i="16"/>
  <c r="T16" i="16"/>
  <c r="J16" i="16"/>
  <c r="I16" i="16"/>
  <c r="P30" i="16"/>
  <c r="T30" i="16"/>
  <c r="H30" i="16"/>
  <c r="S30" i="16"/>
  <c r="R30" i="16"/>
  <c r="O30" i="16"/>
  <c r="L30" i="16"/>
  <c r="K30" i="16"/>
  <c r="J30" i="16"/>
  <c r="I30" i="16"/>
  <c r="G30" i="16"/>
  <c r="X30" i="16"/>
  <c r="N30" i="16"/>
  <c r="M30" i="16"/>
  <c r="W30" i="16"/>
  <c r="Q30" i="16"/>
  <c r="V30" i="16"/>
  <c r="U30" i="16"/>
  <c r="S62" i="16"/>
  <c r="G62" i="16"/>
  <c r="Q62" i="16"/>
  <c r="P62" i="16"/>
  <c r="O62" i="16"/>
  <c r="U62" i="16"/>
  <c r="I62" i="16"/>
  <c r="T62" i="16"/>
  <c r="H62" i="16"/>
  <c r="R62" i="16"/>
  <c r="N62" i="16"/>
  <c r="M62" i="16"/>
  <c r="L62" i="16"/>
  <c r="K62" i="16"/>
  <c r="J62" i="16"/>
  <c r="W62" i="16"/>
  <c r="X62" i="16"/>
  <c r="V62" i="16"/>
  <c r="W43" i="16"/>
  <c r="V43" i="16"/>
  <c r="J43" i="16"/>
  <c r="N43" i="16"/>
  <c r="S43" i="16"/>
  <c r="R43" i="16"/>
  <c r="P43" i="16"/>
  <c r="O43" i="16"/>
  <c r="M43" i="16"/>
  <c r="X43" i="16"/>
  <c r="L43" i="16"/>
  <c r="U43" i="16"/>
  <c r="T43" i="16"/>
  <c r="Q43" i="16"/>
  <c r="G43" i="16"/>
  <c r="I43" i="16"/>
  <c r="K43" i="16"/>
  <c r="H43" i="16"/>
  <c r="M94" i="16"/>
  <c r="X94" i="16"/>
  <c r="L94" i="16"/>
  <c r="O94" i="16"/>
  <c r="N94" i="16"/>
  <c r="K94" i="16"/>
  <c r="J94" i="16"/>
  <c r="I94" i="16"/>
  <c r="W94" i="16"/>
  <c r="H94" i="16"/>
  <c r="Q94" i="16"/>
  <c r="P94" i="16"/>
  <c r="V94" i="16"/>
  <c r="U94" i="16"/>
  <c r="T94" i="16"/>
  <c r="S94" i="16"/>
  <c r="R94" i="16"/>
  <c r="G94" i="16"/>
  <c r="Q11" i="16"/>
  <c r="P11" i="16"/>
  <c r="O11" i="16"/>
  <c r="N11" i="16"/>
  <c r="M11" i="16"/>
  <c r="X11" i="16"/>
  <c r="L11" i="16"/>
  <c r="S11" i="16"/>
  <c r="G11" i="16"/>
  <c r="R11" i="16"/>
  <c r="J11" i="16"/>
  <c r="I11" i="16"/>
  <c r="H11" i="16"/>
  <c r="V11" i="16"/>
  <c r="W11" i="16"/>
  <c r="U11" i="16"/>
  <c r="T11" i="16"/>
  <c r="K11" i="16"/>
  <c r="V51" i="16"/>
  <c r="J51" i="16"/>
  <c r="U51" i="16"/>
  <c r="I51" i="16"/>
  <c r="T51" i="16"/>
  <c r="H51" i="16"/>
  <c r="N51" i="16"/>
  <c r="M51" i="16"/>
  <c r="X51" i="16"/>
  <c r="W51" i="16"/>
  <c r="S51" i="16"/>
  <c r="R51" i="16"/>
  <c r="Q51" i="16"/>
  <c r="G51" i="16"/>
  <c r="P51" i="16"/>
  <c r="L51" i="16"/>
  <c r="O51" i="16"/>
  <c r="K51" i="16"/>
  <c r="O20" i="16"/>
  <c r="X20" i="16"/>
  <c r="L20" i="16"/>
  <c r="W20" i="16"/>
  <c r="I20" i="16"/>
  <c r="V20" i="16"/>
  <c r="H20" i="16"/>
  <c r="U20" i="16"/>
  <c r="G20" i="16"/>
  <c r="Q20" i="16"/>
  <c r="T20" i="16"/>
  <c r="S20" i="16"/>
  <c r="R20" i="16"/>
  <c r="K20" i="16"/>
  <c r="J20" i="16"/>
  <c r="N20" i="16"/>
  <c r="P20" i="16"/>
  <c r="M20" i="16"/>
  <c r="T48" i="16"/>
  <c r="H48" i="16"/>
  <c r="S48" i="16"/>
  <c r="G48" i="16"/>
  <c r="X48" i="16"/>
  <c r="L48" i="16"/>
  <c r="W48" i="16"/>
  <c r="K48" i="16"/>
  <c r="V48" i="16"/>
  <c r="R48" i="16"/>
  <c r="Q48" i="16"/>
  <c r="P48" i="16"/>
  <c r="I48" i="16"/>
  <c r="M48" i="16"/>
  <c r="J48" i="16"/>
  <c r="O48" i="16"/>
  <c r="U48" i="16"/>
  <c r="N48" i="16"/>
  <c r="O71" i="16"/>
  <c r="N71" i="16"/>
  <c r="M71" i="16"/>
  <c r="X71" i="16"/>
  <c r="L71" i="16"/>
  <c r="W71" i="16"/>
  <c r="K71" i="16"/>
  <c r="Q71" i="16"/>
  <c r="P71" i="16"/>
  <c r="H71" i="16"/>
  <c r="G71" i="16"/>
  <c r="V71" i="16"/>
  <c r="J71" i="16"/>
  <c r="U71" i="16"/>
  <c r="T71" i="16"/>
  <c r="R71" i="16"/>
  <c r="S71" i="16"/>
  <c r="I71" i="16"/>
  <c r="P67" i="16"/>
  <c r="N67" i="16"/>
  <c r="M67" i="16"/>
  <c r="X67" i="16"/>
  <c r="L67" i="16"/>
  <c r="R67" i="16"/>
  <c r="Q67" i="16"/>
  <c r="I67" i="16"/>
  <c r="H67" i="16"/>
  <c r="G67" i="16"/>
  <c r="W67" i="16"/>
  <c r="V67" i="16"/>
  <c r="K67" i="16"/>
  <c r="U67" i="16"/>
  <c r="T67" i="16"/>
  <c r="S67" i="16"/>
  <c r="O67" i="16"/>
  <c r="J67" i="16"/>
  <c r="R54" i="16"/>
  <c r="Q54" i="16"/>
  <c r="P54" i="16"/>
  <c r="V54" i="16"/>
  <c r="J54" i="16"/>
  <c r="U54" i="16"/>
  <c r="I54" i="16"/>
  <c r="X54" i="16"/>
  <c r="W54" i="16"/>
  <c r="T54" i="16"/>
  <c r="S54" i="16"/>
  <c r="O54" i="16"/>
  <c r="N54" i="16"/>
  <c r="G54" i="16"/>
  <c r="H54" i="16"/>
  <c r="M54" i="16"/>
  <c r="L54" i="16"/>
  <c r="K54" i="16"/>
  <c r="R97" i="16"/>
  <c r="Q97" i="16"/>
  <c r="P97" i="16"/>
  <c r="M97" i="16"/>
  <c r="T97" i="16"/>
  <c r="H97" i="16"/>
  <c r="S97" i="16"/>
  <c r="G97" i="16"/>
  <c r="N97" i="16"/>
  <c r="L97" i="16"/>
  <c r="K97" i="16"/>
  <c r="J97" i="16"/>
  <c r="I97" i="16"/>
  <c r="U97" i="16"/>
  <c r="O97" i="16"/>
  <c r="X97" i="16"/>
  <c r="W97" i="16"/>
  <c r="V97" i="16"/>
  <c r="J4" i="10"/>
  <c r="I20" i="11"/>
  <c r="B61" i="20"/>
  <c r="AG12" i="30"/>
  <c r="AH12" i="30"/>
  <c r="AG13" i="30"/>
  <c r="AI13" i="30"/>
  <c r="AF13" i="30"/>
  <c r="AK9" i="30"/>
  <c r="AL9" i="30"/>
  <c r="AF12" i="30"/>
  <c r="AF9" i="30"/>
  <c r="AI9" i="30"/>
  <c r="AK5" i="30"/>
  <c r="AM9" i="30"/>
  <c r="AH11" i="30"/>
  <c r="AI11" i="30"/>
  <c r="AF11" i="30"/>
  <c r="AG9" i="30"/>
  <c r="AM7" i="30"/>
  <c r="AL7" i="30"/>
  <c r="AK7" i="30"/>
  <c r="AL5" i="30"/>
  <c r="AM5" i="30"/>
  <c r="AF6" i="30"/>
  <c r="AN6" i="30"/>
  <c r="AK6" i="30"/>
  <c r="AN10" i="30"/>
  <c r="AH7" i="30"/>
  <c r="AK10" i="30"/>
  <c r="AM10" i="30"/>
  <c r="AL11" i="30"/>
  <c r="AM11" i="30"/>
  <c r="AK11" i="30"/>
  <c r="AL6" i="30"/>
  <c r="AN13" i="30"/>
  <c r="AH5" i="30"/>
  <c r="AI5" i="30"/>
  <c r="AF5" i="30"/>
  <c r="AN12" i="30"/>
  <c r="AK12" i="30"/>
  <c r="AL12" i="30"/>
  <c r="AG6" i="30"/>
  <c r="AG7" i="30"/>
  <c r="AL13" i="30"/>
  <c r="AI6" i="30"/>
  <c r="AI7" i="30"/>
  <c r="AM13" i="30"/>
  <c r="AF10" i="30"/>
  <c r="AH10" i="30"/>
  <c r="AI10" i="30"/>
  <c r="AG10" i="30"/>
  <c r="V1" i="26"/>
  <c r="H19" i="31" s="1"/>
  <c r="D8" i="20"/>
  <c r="H61" i="20"/>
  <c r="L330" i="10"/>
  <c r="L318" i="10" s="1"/>
  <c r="H25" i="31" s="1"/>
  <c r="B8" i="20"/>
  <c r="E25" i="31"/>
  <c r="AN8" i="30"/>
  <c r="AM8" i="30"/>
  <c r="AK8" i="30"/>
  <c r="AL8" i="30"/>
  <c r="AG8" i="30"/>
  <c r="AF8" i="30"/>
  <c r="AI8" i="30"/>
  <c r="AH8" i="30"/>
  <c r="H375" i="22" l="1"/>
  <c r="E511" i="22"/>
  <c r="B188" i="22"/>
  <c r="J451" i="10"/>
  <c r="L451" i="10" s="1"/>
  <c r="J449" i="10"/>
  <c r="L449" i="10" s="1"/>
  <c r="Z49" i="21"/>
  <c r="AC49" i="21" s="1"/>
  <c r="E30" i="31" s="1"/>
  <c r="H30" i="31" s="1"/>
  <c r="B190" i="22"/>
  <c r="B191" i="22"/>
  <c r="B193" i="22" s="1"/>
  <c r="D6" i="20"/>
  <c r="J54" i="10"/>
  <c r="B35" i="20"/>
  <c r="B34" i="20" s="1"/>
  <c r="H44" i="10"/>
  <c r="H69" i="10"/>
  <c r="E143" i="10"/>
  <c r="E95" i="10"/>
  <c r="E109" i="10"/>
  <c r="G143" i="10"/>
  <c r="H109" i="10"/>
  <c r="H112" i="10"/>
  <c r="E77" i="10"/>
  <c r="I39" i="10"/>
  <c r="I74" i="10"/>
  <c r="H108" i="10"/>
  <c r="G36" i="10"/>
  <c r="G44" i="10"/>
  <c r="H50" i="10"/>
  <c r="G70" i="10"/>
  <c r="E112" i="10"/>
  <c r="I76" i="10"/>
  <c r="H107" i="10"/>
  <c r="E37" i="10"/>
  <c r="I38" i="10"/>
  <c r="G144" i="10"/>
  <c r="G86" i="10"/>
  <c r="H83" i="10"/>
  <c r="E66" i="10"/>
  <c r="E81" i="10"/>
  <c r="E136" i="10"/>
  <c r="I95" i="10"/>
  <c r="E60" i="10"/>
  <c r="J125" i="10"/>
  <c r="H142" i="10"/>
  <c r="G97" i="10"/>
  <c r="G41" i="10"/>
  <c r="H56" i="10"/>
  <c r="H144" i="10"/>
  <c r="E93" i="10"/>
  <c r="G107" i="10"/>
  <c r="I140" i="10"/>
  <c r="I77" i="10"/>
  <c r="I56" i="10"/>
  <c r="G98" i="10"/>
  <c r="G34" i="10"/>
  <c r="E138" i="10"/>
  <c r="G120" i="10"/>
  <c r="L232" i="10"/>
  <c r="L204" i="10"/>
  <c r="F61" i="10"/>
  <c r="H39" i="10"/>
  <c r="H95" i="10"/>
  <c r="I112" i="10"/>
  <c r="E107" i="10"/>
  <c r="E34" i="10"/>
  <c r="I31" i="10"/>
  <c r="I49" i="10"/>
  <c r="I85" i="10"/>
  <c r="H53" i="10"/>
  <c r="H145" i="10"/>
  <c r="I84" i="10"/>
  <c r="I51" i="10"/>
  <c r="I37" i="10"/>
  <c r="I120" i="10"/>
  <c r="J263" i="10"/>
  <c r="L263" i="10" s="1"/>
  <c r="L262" i="10" s="1"/>
  <c r="L148" i="10"/>
  <c r="E55" i="20"/>
  <c r="J31" i="10"/>
  <c r="G132" i="10"/>
  <c r="E33" i="10"/>
  <c r="H30" i="10"/>
  <c r="I86" i="10"/>
  <c r="H84" i="10"/>
  <c r="G114" i="10"/>
  <c r="I75" i="10"/>
  <c r="H143" i="10"/>
  <c r="E80" i="10"/>
  <c r="H47" i="10"/>
  <c r="I99" i="10"/>
  <c r="H113" i="10"/>
  <c r="I111" i="10"/>
  <c r="G125" i="10"/>
  <c r="I123" i="10"/>
  <c r="D124" i="10"/>
  <c r="J103" i="10"/>
  <c r="G99" i="10"/>
  <c r="E114" i="10"/>
  <c r="E54" i="10"/>
  <c r="E47" i="10"/>
  <c r="I34" i="10"/>
  <c r="H114" i="10"/>
  <c r="G142" i="10"/>
  <c r="H66" i="10"/>
  <c r="H115" i="10"/>
  <c r="E115" i="10"/>
  <c r="I115" i="10"/>
  <c r="G48" i="10"/>
  <c r="E142" i="10"/>
  <c r="I45" i="10"/>
  <c r="H120" i="10"/>
  <c r="G62" i="10"/>
  <c r="L176" i="10"/>
  <c r="E91" i="10"/>
  <c r="D47" i="10"/>
  <c r="J100" i="10"/>
  <c r="H74" i="10"/>
  <c r="C17" i="20"/>
  <c r="I139" i="10"/>
  <c r="G137" i="10"/>
  <c r="H34" i="10"/>
  <c r="E79" i="10"/>
  <c r="E40" i="10"/>
  <c r="I105" i="10"/>
  <c r="G80" i="10"/>
  <c r="E63" i="10"/>
  <c r="E105" i="10"/>
  <c r="H45" i="10"/>
  <c r="E32" i="10"/>
  <c r="H138" i="10"/>
  <c r="E75" i="10"/>
  <c r="J81" i="10"/>
  <c r="H43" i="10"/>
  <c r="G106" i="10"/>
  <c r="H86" i="10"/>
  <c r="G91" i="10"/>
  <c r="H85" i="10"/>
  <c r="G31" i="10"/>
  <c r="E110" i="10"/>
  <c r="H104" i="10"/>
  <c r="E74" i="10"/>
  <c r="I60" i="10"/>
  <c r="I96" i="10"/>
  <c r="E83" i="10"/>
  <c r="I138" i="10"/>
  <c r="E38" i="10"/>
  <c r="G90" i="10"/>
  <c r="J144" i="10"/>
  <c r="H46" i="10"/>
  <c r="I101" i="10"/>
  <c r="I50" i="10"/>
  <c r="G78" i="10"/>
  <c r="E64" i="10"/>
  <c r="G140" i="10"/>
  <c r="G56" i="10"/>
  <c r="I110" i="10"/>
  <c r="H100" i="10"/>
  <c r="I94" i="10"/>
  <c r="H98" i="10"/>
  <c r="E65" i="10"/>
  <c r="G113" i="10"/>
  <c r="H42" i="10"/>
  <c r="I100" i="10"/>
  <c r="H141" i="10"/>
  <c r="G101" i="10"/>
  <c r="H140" i="10"/>
  <c r="G96" i="10"/>
  <c r="E44" i="10"/>
  <c r="G145" i="10"/>
  <c r="G39" i="10"/>
  <c r="H137" i="10"/>
  <c r="I48" i="10"/>
  <c r="G50" i="10"/>
  <c r="I70" i="10"/>
  <c r="G45" i="10"/>
  <c r="G103" i="10"/>
  <c r="E11" i="31"/>
  <c r="F84" i="10"/>
  <c r="F79" i="10"/>
  <c r="F101" i="10"/>
  <c r="F102" i="10"/>
  <c r="F82" i="10"/>
  <c r="F74" i="10"/>
  <c r="F38" i="10"/>
  <c r="F64" i="10"/>
  <c r="F70" i="10"/>
  <c r="F141" i="10"/>
  <c r="F75" i="10"/>
  <c r="F49" i="10"/>
  <c r="F73" i="10"/>
  <c r="F51" i="10"/>
  <c r="F56" i="10"/>
  <c r="F128" i="10"/>
  <c r="F40" i="10"/>
  <c r="E58" i="20"/>
  <c r="F72" i="10"/>
  <c r="F139" i="10"/>
  <c r="F69" i="10"/>
  <c r="F121" i="10"/>
  <c r="F47" i="10"/>
  <c r="F35" i="10"/>
  <c r="F115" i="10"/>
  <c r="F33" i="10"/>
  <c r="F92" i="10"/>
  <c r="F112" i="10"/>
  <c r="F83" i="10"/>
  <c r="D82" i="10"/>
  <c r="F113" i="10"/>
  <c r="F63" i="10"/>
  <c r="F85" i="10"/>
  <c r="D61" i="10"/>
  <c r="E44" i="20"/>
  <c r="F80" i="10"/>
  <c r="F94" i="10"/>
  <c r="F36" i="10"/>
  <c r="F145" i="10"/>
  <c r="F146" i="10"/>
  <c r="F91" i="10"/>
  <c r="D141" i="10"/>
  <c r="F46" i="10"/>
  <c r="F45" i="10"/>
  <c r="F53" i="10"/>
  <c r="F107" i="10"/>
  <c r="D37" i="10"/>
  <c r="D32" i="10"/>
  <c r="F143" i="10"/>
  <c r="E51" i="20"/>
  <c r="F140" i="10"/>
  <c r="F126" i="10"/>
  <c r="F134" i="10"/>
  <c r="F106" i="10"/>
  <c r="F109" i="10"/>
  <c r="F42" i="10"/>
  <c r="F99" i="10"/>
  <c r="F55" i="10"/>
  <c r="F34" i="10"/>
  <c r="F93" i="10"/>
  <c r="F39" i="10"/>
  <c r="F105" i="10"/>
  <c r="F95" i="10"/>
  <c r="D65" i="10"/>
  <c r="F52" i="10"/>
  <c r="F110" i="10"/>
  <c r="H8" i="31"/>
  <c r="F8" i="31" s="1"/>
  <c r="F124" i="10"/>
  <c r="D66" i="10"/>
  <c r="F44" i="10"/>
  <c r="F60" i="10"/>
  <c r="F122" i="10"/>
  <c r="F96" i="10"/>
  <c r="F104" i="10"/>
  <c r="F108" i="10"/>
  <c r="F130" i="10"/>
  <c r="J74" i="10"/>
  <c r="F123" i="10"/>
  <c r="F97" i="10"/>
  <c r="F65" i="10"/>
  <c r="F32" i="10"/>
  <c r="F31" i="10"/>
  <c r="D35" i="10"/>
  <c r="F76" i="10"/>
  <c r="F77" i="10"/>
  <c r="F67" i="10"/>
  <c r="D145" i="10"/>
  <c r="D127" i="10"/>
  <c r="D63" i="10"/>
  <c r="D67" i="10"/>
  <c r="D69" i="10"/>
  <c r="D96" i="10"/>
  <c r="D68" i="10"/>
  <c r="D112" i="10"/>
  <c r="D139" i="10"/>
  <c r="D97" i="10"/>
  <c r="D100" i="10"/>
  <c r="D94" i="10"/>
  <c r="D98" i="10"/>
  <c r="D79" i="10"/>
  <c r="D102" i="10"/>
  <c r="D110" i="10"/>
  <c r="D131" i="10"/>
  <c r="D130" i="10"/>
  <c r="D135" i="10"/>
  <c r="D71" i="10"/>
  <c r="D81" i="10"/>
  <c r="D56" i="10"/>
  <c r="D43" i="10"/>
  <c r="D31" i="10"/>
  <c r="D85" i="10"/>
  <c r="D99" i="10"/>
  <c r="D103" i="10"/>
  <c r="D51" i="10"/>
  <c r="D54" i="10"/>
  <c r="D83" i="10"/>
  <c r="D90" i="10"/>
  <c r="D129" i="10"/>
  <c r="D142" i="10"/>
  <c r="D53" i="10"/>
  <c r="D92" i="10"/>
  <c r="D132" i="10"/>
  <c r="D39" i="10"/>
  <c r="D41" i="10"/>
  <c r="D101" i="10"/>
  <c r="D123" i="10"/>
  <c r="D121" i="10"/>
  <c r="D113" i="10"/>
  <c r="D104" i="10"/>
  <c r="D93" i="10"/>
  <c r="D91" i="10"/>
  <c r="D38" i="10"/>
  <c r="D64" i="10"/>
  <c r="D122" i="10"/>
  <c r="D76" i="10"/>
  <c r="D108" i="10"/>
  <c r="D46" i="10"/>
  <c r="D72" i="10"/>
  <c r="D134" i="10"/>
  <c r="D44" i="10"/>
  <c r="D42" i="10"/>
  <c r="D84" i="10"/>
  <c r="D45" i="10"/>
  <c r="D105" i="10"/>
  <c r="D73" i="10"/>
  <c r="D52" i="10"/>
  <c r="D34" i="10"/>
  <c r="D114" i="10"/>
  <c r="D106" i="10"/>
  <c r="D33" i="10"/>
  <c r="D48" i="10"/>
  <c r="D133" i="10"/>
  <c r="D128" i="10"/>
  <c r="D146" i="10"/>
  <c r="D125" i="10"/>
  <c r="D111" i="10"/>
  <c r="D74" i="10"/>
  <c r="D36" i="10"/>
  <c r="D138" i="10"/>
  <c r="D115" i="10"/>
  <c r="D109" i="10"/>
  <c r="D77" i="10"/>
  <c r="D120" i="10"/>
  <c r="D116" i="10"/>
  <c r="D80" i="10"/>
  <c r="D126" i="10"/>
  <c r="D143" i="10"/>
  <c r="D136" i="10"/>
  <c r="D86" i="10"/>
  <c r="D107" i="10"/>
  <c r="D62" i="10"/>
  <c r="D50" i="10"/>
  <c r="D78" i="10"/>
  <c r="D137" i="10"/>
  <c r="D70" i="10"/>
  <c r="D95" i="10"/>
  <c r="D144" i="10"/>
  <c r="D75" i="10"/>
  <c r="D60" i="10"/>
  <c r="D140" i="10"/>
  <c r="D40" i="10"/>
  <c r="D49" i="10"/>
  <c r="J135" i="10"/>
  <c r="J109" i="10"/>
  <c r="J51" i="10"/>
  <c r="J146" i="10"/>
  <c r="J128" i="10"/>
  <c r="J56" i="10"/>
  <c r="J110" i="10"/>
  <c r="J60" i="10"/>
  <c r="J122" i="10"/>
  <c r="J41" i="10"/>
  <c r="J36" i="10"/>
  <c r="J42" i="10"/>
  <c r="J43" i="10"/>
  <c r="J112" i="10"/>
  <c r="J40" i="10"/>
  <c r="J134" i="10"/>
  <c r="J33" i="10"/>
  <c r="J52" i="10"/>
  <c r="J75" i="10"/>
  <c r="J50" i="10"/>
  <c r="J92" i="10"/>
  <c r="H11" i="31"/>
  <c r="F11" i="31" s="1"/>
  <c r="J121" i="10"/>
  <c r="J68" i="10"/>
  <c r="J142" i="10"/>
  <c r="J77" i="10"/>
  <c r="J30" i="10"/>
  <c r="J94" i="10"/>
  <c r="J32" i="10"/>
  <c r="J141" i="10"/>
  <c r="J37" i="10"/>
  <c r="J115" i="10"/>
  <c r="J86" i="10"/>
  <c r="J82" i="10"/>
  <c r="J106" i="10"/>
  <c r="J129" i="10"/>
  <c r="J91" i="10"/>
  <c r="J63" i="10"/>
  <c r="J76" i="10"/>
  <c r="J124" i="10"/>
  <c r="J104" i="10"/>
  <c r="J97" i="10"/>
  <c r="J105" i="10"/>
  <c r="J101" i="10"/>
  <c r="J107" i="10"/>
  <c r="J95" i="10"/>
  <c r="J123" i="10"/>
  <c r="J67" i="10"/>
  <c r="J130" i="10"/>
  <c r="J38" i="10"/>
  <c r="J116" i="10"/>
  <c r="J78" i="10"/>
  <c r="J71" i="10"/>
  <c r="J96" i="10"/>
  <c r="J90" i="10"/>
  <c r="J64" i="10"/>
  <c r="J34" i="10"/>
  <c r="F54" i="10"/>
  <c r="B6" i="20"/>
  <c r="E48" i="20"/>
  <c r="E47" i="20"/>
  <c r="E57" i="20"/>
  <c r="J72" i="10"/>
  <c r="J136" i="10"/>
  <c r="F129" i="10"/>
  <c r="F133" i="10"/>
  <c r="F48" i="10"/>
  <c r="F43" i="10"/>
  <c r="F37" i="10"/>
  <c r="F136" i="10"/>
  <c r="F68" i="10"/>
  <c r="J99" i="10"/>
  <c r="J45" i="10"/>
  <c r="J137" i="10"/>
  <c r="J44" i="10"/>
  <c r="F142" i="10"/>
  <c r="F127" i="10"/>
  <c r="J49" i="10"/>
  <c r="E52" i="20"/>
  <c r="E60" i="20"/>
  <c r="E23" i="31"/>
  <c r="J55" i="10"/>
  <c r="E54" i="20"/>
  <c r="E49" i="20"/>
  <c r="J126" i="10"/>
  <c r="J120" i="10"/>
  <c r="F71" i="10"/>
  <c r="F86" i="10"/>
  <c r="F116" i="10"/>
  <c r="F98" i="10"/>
  <c r="F144" i="10"/>
  <c r="F50" i="10"/>
  <c r="J145" i="10"/>
  <c r="J132" i="10"/>
  <c r="J66" i="10"/>
  <c r="J131" i="10"/>
  <c r="J93" i="10"/>
  <c r="F111" i="10"/>
  <c r="J98" i="10"/>
  <c r="J79" i="10"/>
  <c r="J47" i="10"/>
  <c r="E50" i="20"/>
  <c r="E56" i="20"/>
  <c r="E59" i="20"/>
  <c r="E53" i="20"/>
  <c r="J70" i="10"/>
  <c r="F62" i="10"/>
  <c r="J133" i="10"/>
  <c r="F138" i="10"/>
  <c r="F103" i="10"/>
  <c r="F30" i="10"/>
  <c r="F41" i="10"/>
  <c r="J102" i="10"/>
  <c r="J140" i="10"/>
  <c r="J85" i="10"/>
  <c r="J139" i="10"/>
  <c r="J80" i="10"/>
  <c r="F137" i="10"/>
  <c r="J108" i="10"/>
  <c r="E46" i="20"/>
  <c r="E45" i="20"/>
  <c r="F120" i="10"/>
  <c r="F100" i="10"/>
  <c r="J61" i="10"/>
  <c r="J46" i="10"/>
  <c r="F78" i="10"/>
  <c r="F114" i="10"/>
  <c r="F81" i="10"/>
  <c r="F66" i="10"/>
  <c r="F131" i="10"/>
  <c r="J48" i="10"/>
  <c r="J35" i="10"/>
  <c r="J113" i="10"/>
  <c r="J69" i="10"/>
  <c r="J83" i="10"/>
  <c r="G104" i="10"/>
  <c r="G100" i="10"/>
  <c r="G61" i="10"/>
  <c r="G102" i="10"/>
  <c r="G75" i="10"/>
  <c r="E94" i="10"/>
  <c r="H101" i="10"/>
  <c r="E98" i="10"/>
  <c r="G66" i="10"/>
  <c r="H71" i="10"/>
  <c r="G30" i="10"/>
  <c r="I93" i="10"/>
  <c r="E82" i="10"/>
  <c r="I46" i="10"/>
  <c r="G67" i="10"/>
  <c r="H37" i="10"/>
  <c r="I78" i="10"/>
  <c r="I81" i="10"/>
  <c r="G65" i="10"/>
  <c r="G81" i="10"/>
  <c r="J84" i="10"/>
  <c r="E51" i="10"/>
  <c r="G146" i="10"/>
  <c r="I32" i="10"/>
  <c r="H35" i="10"/>
  <c r="E36" i="10"/>
  <c r="G33" i="10"/>
  <c r="G92" i="10"/>
  <c r="I125" i="10"/>
  <c r="H121" i="10"/>
  <c r="H132" i="10"/>
  <c r="J62" i="10"/>
  <c r="I130" i="10"/>
  <c r="G128" i="10"/>
  <c r="E20" i="20"/>
  <c r="H128" i="10"/>
  <c r="G122" i="10"/>
  <c r="E122" i="10"/>
  <c r="I121" i="10"/>
  <c r="H123" i="10"/>
  <c r="C18" i="20"/>
  <c r="I127" i="10"/>
  <c r="I91" i="10"/>
  <c r="E124" i="10"/>
  <c r="E10" i="31"/>
  <c r="E9" i="31"/>
  <c r="I122" i="10"/>
  <c r="H60" i="10"/>
  <c r="G74" i="10"/>
  <c r="E61" i="10"/>
  <c r="I66" i="10"/>
  <c r="E127" i="10"/>
  <c r="H131" i="10"/>
  <c r="H134" i="10"/>
  <c r="G130" i="10"/>
  <c r="I124" i="10"/>
  <c r="E17" i="20"/>
  <c r="H63" i="10"/>
  <c r="G131" i="10"/>
  <c r="I62" i="10"/>
  <c r="G69" i="10"/>
  <c r="H61" i="10"/>
  <c r="E100" i="10"/>
  <c r="G95" i="10"/>
  <c r="H96" i="10"/>
  <c r="E101" i="10"/>
  <c r="E113" i="10"/>
  <c r="E97" i="10"/>
  <c r="I109" i="10"/>
  <c r="H10" i="31"/>
  <c r="I108" i="10"/>
  <c r="E76" i="10"/>
  <c r="I54" i="10"/>
  <c r="I55" i="10"/>
  <c r="H68" i="10"/>
  <c r="E13" i="31"/>
  <c r="H99" i="10"/>
  <c r="E56" i="10"/>
  <c r="I43" i="10"/>
  <c r="E141" i="10"/>
  <c r="E48" i="10"/>
  <c r="G116" i="10"/>
  <c r="I36" i="10"/>
  <c r="H111" i="10"/>
  <c r="E139" i="10"/>
  <c r="G134" i="10"/>
  <c r="H122" i="10"/>
  <c r="E129" i="10"/>
  <c r="E96" i="10"/>
  <c r="E125" i="10"/>
  <c r="H124" i="10"/>
  <c r="E120" i="10"/>
  <c r="I103" i="10"/>
  <c r="I69" i="10"/>
  <c r="E106" i="10"/>
  <c r="H73" i="10"/>
  <c r="I92" i="10"/>
  <c r="H9" i="31"/>
  <c r="G52" i="10"/>
  <c r="E103" i="10"/>
  <c r="G93" i="10"/>
  <c r="G37" i="10"/>
  <c r="I102" i="10"/>
  <c r="B18" i="20"/>
  <c r="E53" i="10"/>
  <c r="E42" i="10"/>
  <c r="G46" i="10"/>
  <c r="I113" i="10"/>
  <c r="H116" i="10"/>
  <c r="H79" i="10"/>
  <c r="I107" i="10"/>
  <c r="G79" i="10"/>
  <c r="I53" i="10"/>
  <c r="E130" i="10"/>
  <c r="H90" i="10"/>
  <c r="I68" i="10"/>
  <c r="I132" i="10"/>
  <c r="G133" i="10"/>
  <c r="I136" i="10"/>
  <c r="G73" i="10"/>
  <c r="H94" i="10"/>
  <c r="E71" i="10"/>
  <c r="I98" i="10"/>
  <c r="H75" i="10"/>
  <c r="I44" i="10"/>
  <c r="G85" i="10"/>
  <c r="E102" i="10"/>
  <c r="G64" i="10"/>
  <c r="H48" i="10"/>
  <c r="I137" i="10"/>
  <c r="G111" i="10"/>
  <c r="H82" i="10"/>
  <c r="J138" i="10"/>
  <c r="E49" i="10"/>
  <c r="H36" i="10"/>
  <c r="E144" i="10"/>
  <c r="E45" i="10"/>
  <c r="H127" i="10"/>
  <c r="G72" i="10"/>
  <c r="B20" i="20"/>
  <c r="H125" i="10"/>
  <c r="H126" i="10"/>
  <c r="E15" i="31"/>
  <c r="L280" i="10"/>
  <c r="H23" i="31" s="1"/>
  <c r="E19" i="20"/>
  <c r="I61" i="10"/>
  <c r="E62" i="10"/>
  <c r="I63" i="10"/>
  <c r="H81" i="10"/>
  <c r="G115" i="10"/>
  <c r="H78" i="10"/>
  <c r="H72" i="10"/>
  <c r="E99" i="10"/>
  <c r="G51" i="10"/>
  <c r="H92" i="10"/>
  <c r="I104" i="10"/>
  <c r="I114" i="10"/>
  <c r="G141" i="10"/>
  <c r="H77" i="10"/>
  <c r="H52" i="10"/>
  <c r="G109" i="10"/>
  <c r="I141" i="10"/>
  <c r="J114" i="10"/>
  <c r="E140" i="10"/>
  <c r="E50" i="10"/>
  <c r="G43" i="10"/>
  <c r="I128" i="10"/>
  <c r="H67" i="10"/>
  <c r="G94" i="10"/>
  <c r="E135" i="10"/>
  <c r="H129" i="10"/>
  <c r="E128" i="10"/>
  <c r="I131" i="10"/>
  <c r="G127" i="10"/>
  <c r="E72" i="10"/>
  <c r="C19" i="20"/>
  <c r="H49" i="10"/>
  <c r="I72" i="10"/>
  <c r="E41" i="10"/>
  <c r="H105" i="10"/>
  <c r="I143" i="10"/>
  <c r="G42" i="10"/>
  <c r="I106" i="10"/>
  <c r="B19" i="20"/>
  <c r="G84" i="10"/>
  <c r="I142" i="10"/>
  <c r="E30" i="10"/>
  <c r="G38" i="10"/>
  <c r="G55" i="10"/>
  <c r="I80" i="10"/>
  <c r="H146" i="10"/>
  <c r="H54" i="10"/>
  <c r="H38" i="10"/>
  <c r="E133" i="10"/>
  <c r="E126" i="10"/>
  <c r="I135" i="10"/>
  <c r="E132" i="10"/>
  <c r="G136" i="10"/>
  <c r="G121" i="10"/>
  <c r="D61" i="20"/>
  <c r="I67" i="10"/>
  <c r="E123" i="10"/>
  <c r="G71" i="10"/>
  <c r="I73" i="10"/>
  <c r="H102" i="10"/>
  <c r="G76" i="10"/>
  <c r="H97" i="10"/>
  <c r="E69" i="10"/>
  <c r="H91" i="10"/>
  <c r="G49" i="10"/>
  <c r="E116" i="10"/>
  <c r="G112" i="10"/>
  <c r="H31" i="10"/>
  <c r="I42" i="10"/>
  <c r="H103" i="10"/>
  <c r="G105" i="10"/>
  <c r="J111" i="10"/>
  <c r="I146" i="10"/>
  <c r="G82" i="10"/>
  <c r="E31" i="10"/>
  <c r="H80" i="10"/>
  <c r="G110" i="10"/>
  <c r="B17" i="20"/>
  <c r="D17" i="20" s="1"/>
  <c r="I145" i="10"/>
  <c r="E145" i="10"/>
  <c r="H106" i="10"/>
  <c r="I64" i="10"/>
  <c r="H130" i="10"/>
  <c r="G123" i="10"/>
  <c r="E121" i="10"/>
  <c r="I129" i="10"/>
  <c r="E18" i="20"/>
  <c r="E104" i="10"/>
  <c r="H64" i="10"/>
  <c r="E68" i="10"/>
  <c r="E73" i="10"/>
  <c r="H62" i="10"/>
  <c r="E67" i="10"/>
  <c r="E78" i="10"/>
  <c r="H33" i="10"/>
  <c r="I33" i="10"/>
  <c r="G53" i="10"/>
  <c r="E70" i="10"/>
  <c r="J39" i="10"/>
  <c r="G54" i="10"/>
  <c r="G77" i="10"/>
  <c r="H110" i="10"/>
  <c r="G32" i="10"/>
  <c r="J53" i="10"/>
  <c r="I40" i="10"/>
  <c r="E12" i="31"/>
  <c r="E39" i="10"/>
  <c r="G126" i="10"/>
  <c r="G63" i="10"/>
  <c r="G129" i="10"/>
  <c r="G124" i="10"/>
  <c r="I134" i="10"/>
  <c r="H135" i="10"/>
  <c r="E43" i="10"/>
  <c r="I71" i="10"/>
  <c r="E90" i="10"/>
  <c r="H93" i="10"/>
  <c r="H76" i="10"/>
  <c r="I90" i="10"/>
  <c r="E86" i="10"/>
  <c r="E46" i="10"/>
  <c r="E146" i="10"/>
  <c r="J73" i="10"/>
  <c r="I79" i="10"/>
  <c r="H32" i="10"/>
  <c r="E84" i="10"/>
  <c r="I52" i="10"/>
  <c r="E85" i="10"/>
  <c r="H55" i="10"/>
  <c r="E55" i="10"/>
  <c r="E35" i="10"/>
  <c r="I30" i="10"/>
  <c r="G135" i="10"/>
  <c r="E131" i="10"/>
  <c r="C20" i="20"/>
  <c r="H133" i="10"/>
  <c r="E134" i="10"/>
  <c r="E92" i="10"/>
  <c r="I126" i="10"/>
  <c r="B323" i="22"/>
  <c r="E241" i="22"/>
  <c r="D188" i="22"/>
  <c r="J272" i="10"/>
  <c r="L272" i="10" s="1"/>
  <c r="L270" i="10" s="1"/>
  <c r="D190" i="22"/>
  <c r="D179" i="22"/>
  <c r="D180" i="22" s="1"/>
  <c r="M170" i="22" s="1"/>
  <c r="BM5" i="26" s="1"/>
  <c r="B328" i="22"/>
  <c r="H377" i="22" s="1"/>
  <c r="B325" i="22"/>
  <c r="D325" i="22"/>
  <c r="H376" i="22"/>
  <c r="E107" i="22"/>
  <c r="B116" i="22" s="1"/>
  <c r="B524" i="22"/>
  <c r="I407" i="22" s="1"/>
  <c r="M435" i="22"/>
  <c r="BH7" i="26" s="1"/>
  <c r="H512" i="22"/>
  <c r="H511" i="22"/>
  <c r="M434" i="22"/>
  <c r="BG7" i="26" s="1"/>
  <c r="M433" i="22"/>
  <c r="BF7" i="26" s="1"/>
  <c r="H510" i="22"/>
  <c r="B521" i="22"/>
  <c r="B313" i="22"/>
  <c r="E376" i="22" s="1"/>
  <c r="D323" i="22"/>
  <c r="B107" i="22"/>
  <c r="B119" i="22" s="1"/>
  <c r="I2" i="22" s="1"/>
  <c r="E242" i="22"/>
  <c r="H242" i="22"/>
  <c r="M165" i="22"/>
  <c r="BH5" i="26" s="1"/>
  <c r="B242" i="22"/>
  <c r="B254" i="22" s="1"/>
  <c r="I137" i="22" s="1"/>
  <c r="H106" i="22"/>
  <c r="H107" i="22"/>
  <c r="M30" i="22"/>
  <c r="BH4" i="26" s="1"/>
  <c r="H105" i="22"/>
  <c r="M28" i="22"/>
  <c r="BF4" i="26" s="1"/>
  <c r="J478" i="10"/>
  <c r="L478" i="10" s="1"/>
  <c r="J473" i="10"/>
  <c r="L473" i="10" s="1"/>
  <c r="J477" i="10"/>
  <c r="L477" i="10" s="1"/>
  <c r="L488" i="10"/>
  <c r="J474" i="10"/>
  <c r="L474" i="10" s="1"/>
  <c r="L489" i="10"/>
  <c r="L265" i="10"/>
  <c r="J476" i="10"/>
  <c r="L476" i="10" s="1"/>
  <c r="L484" i="10"/>
  <c r="J475" i="10"/>
  <c r="L475" i="10" s="1"/>
  <c r="AX39" i="16"/>
  <c r="DL48" i="16"/>
  <c r="DI48" i="16"/>
  <c r="DN48" i="16"/>
  <c r="DM48" i="16"/>
  <c r="DK48" i="16"/>
  <c r="DJ48" i="16"/>
  <c r="CL95" i="16"/>
  <c r="CO95" i="16"/>
  <c r="CN95" i="16"/>
  <c r="CM95" i="16"/>
  <c r="DN23" i="16"/>
  <c r="DM23" i="16"/>
  <c r="AX21" i="16"/>
  <c r="DL23" i="16"/>
  <c r="DK23" i="16"/>
  <c r="DJ23" i="16"/>
  <c r="DI23" i="16"/>
  <c r="DN20" i="16"/>
  <c r="AX20" i="16"/>
  <c r="DM20" i="16"/>
  <c r="DL20" i="16"/>
  <c r="DK20" i="16"/>
  <c r="DJ20" i="16"/>
  <c r="DI20" i="16"/>
  <c r="DJ70" i="16"/>
  <c r="DL70" i="16"/>
  <c r="DK70" i="16"/>
  <c r="DN70" i="16"/>
  <c r="DM70" i="16"/>
  <c r="DI70" i="16"/>
  <c r="AX72" i="16"/>
  <c r="AX62" i="16"/>
  <c r="DN24" i="16"/>
  <c r="DM24" i="16"/>
  <c r="DL24" i="16"/>
  <c r="DK24" i="16"/>
  <c r="DJ24" i="16"/>
  <c r="DI24" i="16"/>
  <c r="DI93" i="16"/>
  <c r="AX93" i="16"/>
  <c r="DK93" i="16"/>
  <c r="DN93" i="16"/>
  <c r="DM93" i="16"/>
  <c r="DL93" i="16"/>
  <c r="DJ93" i="16"/>
  <c r="CO58" i="16"/>
  <c r="CM58" i="16"/>
  <c r="CL58" i="16"/>
  <c r="CN58" i="16"/>
  <c r="DN68" i="16"/>
  <c r="DK68" i="16"/>
  <c r="DI68" i="16"/>
  <c r="DM68" i="16"/>
  <c r="DL68" i="16"/>
  <c r="DJ68" i="16"/>
  <c r="AX55" i="16"/>
  <c r="CN13" i="16"/>
  <c r="CM13" i="16"/>
  <c r="CO13" i="16"/>
  <c r="CL13" i="16"/>
  <c r="DJ16" i="16"/>
  <c r="AX16" i="16"/>
  <c r="DN16" i="16"/>
  <c r="DM16" i="16"/>
  <c r="DL16" i="16"/>
  <c r="DK16" i="16"/>
  <c r="DI16" i="16"/>
  <c r="CL17" i="16"/>
  <c r="CO17" i="16"/>
  <c r="CN17" i="16"/>
  <c r="CM17" i="16"/>
  <c r="DN7" i="16"/>
  <c r="DM7" i="16"/>
  <c r="DL7" i="16"/>
  <c r="DI7" i="16"/>
  <c r="AX7" i="16"/>
  <c r="DK7" i="16"/>
  <c r="DJ7" i="16"/>
  <c r="CN48" i="16"/>
  <c r="CO48" i="16"/>
  <c r="CM48" i="16"/>
  <c r="CL48" i="16"/>
  <c r="DK94" i="16"/>
  <c r="DI94" i="16"/>
  <c r="DM94" i="16"/>
  <c r="AX94" i="16"/>
  <c r="DL94" i="16"/>
  <c r="DJ94" i="16"/>
  <c r="DN94" i="16"/>
  <c r="DN63" i="16"/>
  <c r="AX51" i="16"/>
  <c r="DK63" i="16"/>
  <c r="DJ63" i="16"/>
  <c r="DI63" i="16"/>
  <c r="DM63" i="16"/>
  <c r="DL63" i="16"/>
  <c r="CO31" i="16"/>
  <c r="CN31" i="16"/>
  <c r="CL31" i="16"/>
  <c r="CM31" i="16"/>
  <c r="DI42" i="16"/>
  <c r="AX65" i="16"/>
  <c r="DK42" i="16"/>
  <c r="DJ42" i="16"/>
  <c r="DM42" i="16"/>
  <c r="DL42" i="16"/>
  <c r="DN42" i="16"/>
  <c r="CL70" i="16"/>
  <c r="CM70" i="16"/>
  <c r="CO70" i="16"/>
  <c r="CN70" i="16"/>
  <c r="DI37" i="16"/>
  <c r="DJ37" i="16"/>
  <c r="DK37" i="16"/>
  <c r="DM37" i="16"/>
  <c r="AX37" i="16"/>
  <c r="DL37" i="16"/>
  <c r="DN37" i="16"/>
  <c r="DJ28" i="16"/>
  <c r="DL28" i="16"/>
  <c r="DK28" i="16"/>
  <c r="AX24" i="16"/>
  <c r="DN28" i="16"/>
  <c r="DM28" i="16"/>
  <c r="DI28" i="16"/>
  <c r="DJ22" i="16"/>
  <c r="DN22" i="16"/>
  <c r="DM22" i="16"/>
  <c r="DL22" i="16"/>
  <c r="AX19" i="16"/>
  <c r="DK22" i="16"/>
  <c r="DI22" i="16"/>
  <c r="AX14" i="16"/>
  <c r="DN14" i="16"/>
  <c r="DJ14" i="16"/>
  <c r="DI14" i="16"/>
  <c r="DM14" i="16"/>
  <c r="DK14" i="16"/>
  <c r="DL14" i="16"/>
  <c r="CL14" i="16"/>
  <c r="CN14" i="16"/>
  <c r="CO14" i="16"/>
  <c r="CM14" i="16"/>
  <c r="DK9" i="16"/>
  <c r="DN9" i="16"/>
  <c r="DM9" i="16"/>
  <c r="DL9" i="16"/>
  <c r="AX9" i="16"/>
  <c r="DJ9" i="16"/>
  <c r="DI9" i="16"/>
  <c r="DK57" i="16"/>
  <c r="DI57" i="16"/>
  <c r="DM57" i="16"/>
  <c r="DL57" i="16"/>
  <c r="AX47" i="16"/>
  <c r="DJ57" i="16"/>
  <c r="DN57" i="16"/>
  <c r="CL6" i="16"/>
  <c r="CO6" i="16"/>
  <c r="CN6" i="16"/>
  <c r="CM6" i="16"/>
  <c r="DN59" i="16"/>
  <c r="DK59" i="16"/>
  <c r="DM59" i="16"/>
  <c r="AX48" i="16"/>
  <c r="DJ59" i="16"/>
  <c r="DI59" i="16"/>
  <c r="DL59" i="16"/>
  <c r="DM27" i="16"/>
  <c r="DL27" i="16"/>
  <c r="DK27" i="16"/>
  <c r="AX23" i="16"/>
  <c r="DJ27" i="16"/>
  <c r="DI27" i="16"/>
  <c r="DN27" i="16"/>
  <c r="CN36" i="16"/>
  <c r="CO36" i="16"/>
  <c r="CM36" i="16"/>
  <c r="CL36" i="16"/>
  <c r="DI64" i="16"/>
  <c r="AX71" i="16"/>
  <c r="DN64" i="16"/>
  <c r="DM64" i="16"/>
  <c r="DL64" i="16"/>
  <c r="DK64" i="16"/>
  <c r="DJ64" i="16"/>
  <c r="CM28" i="16"/>
  <c r="CL28" i="16"/>
  <c r="CN28" i="16"/>
  <c r="CO28" i="16"/>
  <c r="DM5" i="16"/>
  <c r="DL5" i="16"/>
  <c r="DK5" i="16"/>
  <c r="DJ5" i="16"/>
  <c r="DI5" i="16"/>
  <c r="DN5" i="16"/>
  <c r="AX5" i="16"/>
  <c r="CL38" i="16"/>
  <c r="CM38" i="16"/>
  <c r="CO38" i="16"/>
  <c r="CN38" i="16"/>
  <c r="DN44" i="16"/>
  <c r="DI44" i="16"/>
  <c r="DK44" i="16"/>
  <c r="AX36" i="16"/>
  <c r="DJ44" i="16"/>
  <c r="DM44" i="16"/>
  <c r="DL44" i="16"/>
  <c r="DI39" i="16"/>
  <c r="DN39" i="16"/>
  <c r="DM39" i="16"/>
  <c r="DL39" i="16"/>
  <c r="AX33" i="16"/>
  <c r="DJ39" i="16"/>
  <c r="DK39" i="16"/>
  <c r="CM15" i="16"/>
  <c r="CN15" i="16"/>
  <c r="CO15" i="16"/>
  <c r="CL15" i="16"/>
  <c r="DL51" i="16"/>
  <c r="DK51" i="16"/>
  <c r="DJ51" i="16"/>
  <c r="AX42" i="16"/>
  <c r="DN51" i="16"/>
  <c r="DM51" i="16"/>
  <c r="DI51" i="16"/>
  <c r="DN96" i="16"/>
  <c r="DM96" i="16"/>
  <c r="DJ96" i="16"/>
  <c r="AX96" i="16"/>
  <c r="DL96" i="16"/>
  <c r="DK96" i="16"/>
  <c r="DI96" i="16"/>
  <c r="DN26" i="16"/>
  <c r="DJ26" i="16"/>
  <c r="DI26" i="16"/>
  <c r="DK26" i="16"/>
  <c r="AX22" i="16"/>
  <c r="DM26" i="16"/>
  <c r="DL26" i="16"/>
  <c r="CL89" i="16"/>
  <c r="CO89" i="16"/>
  <c r="CN89" i="16"/>
  <c r="CM89" i="16"/>
  <c r="CN54" i="16"/>
  <c r="CO54" i="16"/>
  <c r="CM54" i="16"/>
  <c r="CL54" i="16"/>
  <c r="CL71" i="16"/>
  <c r="CO71" i="16"/>
  <c r="CN71" i="16"/>
  <c r="CM71" i="16"/>
  <c r="CM63" i="16"/>
  <c r="CO63" i="16"/>
  <c r="CN63" i="16"/>
  <c r="CL63" i="16"/>
  <c r="DN15" i="16"/>
  <c r="DM15" i="16"/>
  <c r="DL15" i="16"/>
  <c r="DK15" i="16"/>
  <c r="DJ15" i="16"/>
  <c r="DI15" i="16"/>
  <c r="AX15" i="16"/>
  <c r="DJ4" i="16"/>
  <c r="DN4" i="16"/>
  <c r="DL4" i="16"/>
  <c r="DM4" i="16"/>
  <c r="DI4" i="16"/>
  <c r="AX4" i="16"/>
  <c r="DK4" i="16"/>
  <c r="CL56" i="16"/>
  <c r="CM56" i="16"/>
  <c r="CO56" i="16"/>
  <c r="CN56" i="16"/>
  <c r="DJ91" i="16"/>
  <c r="AX91" i="16"/>
  <c r="DM91" i="16"/>
  <c r="DL91" i="16"/>
  <c r="DK91" i="16"/>
  <c r="DN91" i="16"/>
  <c r="DI91" i="16"/>
  <c r="CN67" i="16"/>
  <c r="CM67" i="16"/>
  <c r="CL67" i="16"/>
  <c r="CO67" i="16"/>
  <c r="AX57" i="16"/>
  <c r="DM71" i="16"/>
  <c r="DL71" i="16"/>
  <c r="DK71" i="16"/>
  <c r="DN71" i="16"/>
  <c r="DJ71" i="16"/>
  <c r="DI71" i="16"/>
  <c r="CM43" i="16"/>
  <c r="CL43" i="16"/>
  <c r="CO43" i="16"/>
  <c r="CN43" i="16"/>
  <c r="AX63" i="16"/>
  <c r="DI30" i="16"/>
  <c r="DK30" i="16"/>
  <c r="DJ30" i="16"/>
  <c r="DN30" i="16"/>
  <c r="DM30" i="16"/>
  <c r="DL30" i="16"/>
  <c r="CO64" i="16"/>
  <c r="CL64" i="16"/>
  <c r="CM64" i="16"/>
  <c r="CN64" i="16"/>
  <c r="CN42" i="16"/>
  <c r="CO42" i="16"/>
  <c r="CM42" i="16"/>
  <c r="CL42" i="16"/>
  <c r="CL61" i="16"/>
  <c r="CO61" i="16"/>
  <c r="CN61" i="16"/>
  <c r="CM61" i="16"/>
  <c r="CM5" i="16"/>
  <c r="CO5" i="16"/>
  <c r="CL5" i="16"/>
  <c r="CN5" i="16"/>
  <c r="DJ25" i="16"/>
  <c r="DI25" i="16"/>
  <c r="DK25" i="16"/>
  <c r="AX25" i="16"/>
  <c r="DN25" i="16"/>
  <c r="DM25" i="16"/>
  <c r="DL25" i="16"/>
  <c r="CO49" i="16"/>
  <c r="CN49" i="16"/>
  <c r="CM49" i="16"/>
  <c r="CL49" i="16"/>
  <c r="DI6" i="16"/>
  <c r="AX6" i="16"/>
  <c r="DN6" i="16"/>
  <c r="DL6" i="16"/>
  <c r="DM6" i="16"/>
  <c r="DK6" i="16"/>
  <c r="DJ6" i="16"/>
  <c r="DJ52" i="16"/>
  <c r="AX43" i="16"/>
  <c r="DM52" i="16"/>
  <c r="DL52" i="16"/>
  <c r="DK52" i="16"/>
  <c r="DN52" i="16"/>
  <c r="DI52" i="16"/>
  <c r="CM7" i="16"/>
  <c r="CL7" i="16"/>
  <c r="CO7" i="16"/>
  <c r="CN7" i="16"/>
  <c r="AX68" i="16"/>
  <c r="DN47" i="16"/>
  <c r="DM47" i="16"/>
  <c r="DI47" i="16"/>
  <c r="DL47" i="16"/>
  <c r="DK47" i="16"/>
  <c r="DJ47" i="16"/>
  <c r="DN89" i="16"/>
  <c r="DI89" i="16"/>
  <c r="AX89" i="16"/>
  <c r="DK89" i="16"/>
  <c r="DJ89" i="16"/>
  <c r="DM89" i="16"/>
  <c r="DL89" i="16"/>
  <c r="CM4" i="16"/>
  <c r="CN4" i="16"/>
  <c r="CL4" i="16"/>
  <c r="CO4" i="16"/>
  <c r="CO46" i="16"/>
  <c r="CL46" i="16"/>
  <c r="CN46" i="16"/>
  <c r="CM46" i="16"/>
  <c r="CN93" i="16"/>
  <c r="CO93" i="16"/>
  <c r="CL93" i="16"/>
  <c r="CM93" i="16"/>
  <c r="CM45" i="16"/>
  <c r="CO45" i="16"/>
  <c r="CN45" i="16"/>
  <c r="CL45" i="16"/>
  <c r="CL51" i="16"/>
  <c r="CO51" i="16"/>
  <c r="CN51" i="16"/>
  <c r="CM51" i="16"/>
  <c r="CN66" i="16"/>
  <c r="CO66" i="16"/>
  <c r="CM66" i="16"/>
  <c r="CL66" i="16"/>
  <c r="DK61" i="16"/>
  <c r="DI61" i="16"/>
  <c r="DJ61" i="16"/>
  <c r="AX50" i="16"/>
  <c r="DN61" i="16"/>
  <c r="DL61" i="16"/>
  <c r="DM61" i="16"/>
  <c r="CL26" i="16"/>
  <c r="CN26" i="16"/>
  <c r="CO26" i="16"/>
  <c r="CM26" i="16"/>
  <c r="DN53" i="16"/>
  <c r="DM53" i="16"/>
  <c r="DL53" i="16"/>
  <c r="DJ53" i="16"/>
  <c r="DK53" i="16"/>
  <c r="DI53" i="16"/>
  <c r="AX53" i="16"/>
  <c r="CM94" i="16"/>
  <c r="CO94" i="16"/>
  <c r="CN94" i="16"/>
  <c r="CL94" i="16"/>
  <c r="CN37" i="16"/>
  <c r="CL37" i="16"/>
  <c r="CO37" i="16"/>
  <c r="CM37" i="16"/>
  <c r="CM33" i="16"/>
  <c r="CO33" i="16"/>
  <c r="CN33" i="16"/>
  <c r="CL33" i="16"/>
  <c r="CN30" i="16"/>
  <c r="CO30" i="16"/>
  <c r="CM30" i="16"/>
  <c r="CL30" i="16"/>
  <c r="DK17" i="16"/>
  <c r="DN17" i="16"/>
  <c r="DM17" i="16"/>
  <c r="DL17" i="16"/>
  <c r="DI17" i="16"/>
  <c r="DJ17" i="16"/>
  <c r="AX17" i="16"/>
  <c r="CL68" i="16"/>
  <c r="CO68" i="16"/>
  <c r="CN68" i="16"/>
  <c r="CM68" i="16"/>
  <c r="DJ40" i="16"/>
  <c r="DI40" i="16"/>
  <c r="DN40" i="16"/>
  <c r="DM40" i="16"/>
  <c r="DL40" i="16"/>
  <c r="DK40" i="16"/>
  <c r="AX40" i="16"/>
  <c r="CM60" i="16"/>
  <c r="CO60" i="16"/>
  <c r="CN60" i="16"/>
  <c r="CL60" i="16"/>
  <c r="CO97" i="16"/>
  <c r="CM97" i="16"/>
  <c r="CL97" i="16"/>
  <c r="CN97" i="16"/>
  <c r="DJ67" i="16"/>
  <c r="DK67" i="16"/>
  <c r="AX54" i="16"/>
  <c r="DN67" i="16"/>
  <c r="DL67" i="16"/>
  <c r="DM67" i="16"/>
  <c r="DI67" i="16"/>
  <c r="CN18" i="16"/>
  <c r="CM18" i="16"/>
  <c r="CO18" i="16"/>
  <c r="CL18" i="16"/>
  <c r="DK55" i="16"/>
  <c r="DJ55" i="16"/>
  <c r="DI55" i="16"/>
  <c r="DM55" i="16"/>
  <c r="DL55" i="16"/>
  <c r="AX45" i="16"/>
  <c r="DN55" i="16"/>
  <c r="CO73" i="16"/>
  <c r="CN73" i="16"/>
  <c r="CM73" i="16"/>
  <c r="CL73" i="16"/>
  <c r="CO22" i="16"/>
  <c r="CM22" i="16"/>
  <c r="CN22" i="16"/>
  <c r="CL22" i="16"/>
  <c r="CL32" i="16"/>
  <c r="CN32" i="16"/>
  <c r="CM32" i="16"/>
  <c r="CO32" i="16"/>
  <c r="CM65" i="16"/>
  <c r="CL65" i="16"/>
  <c r="CO65" i="16"/>
  <c r="CN65" i="16"/>
  <c r="AX64" i="16"/>
  <c r="DN35" i="16"/>
  <c r="DM35" i="16"/>
  <c r="DL35" i="16"/>
  <c r="DK35" i="16"/>
  <c r="DJ35" i="16"/>
  <c r="DI35" i="16"/>
  <c r="DM41" i="16"/>
  <c r="AX34" i="16"/>
  <c r="DN41" i="16"/>
  <c r="DL41" i="16"/>
  <c r="DK41" i="16"/>
  <c r="DJ41" i="16"/>
  <c r="DI41" i="16"/>
  <c r="DI49" i="16"/>
  <c r="AX49" i="16"/>
  <c r="DL49" i="16"/>
  <c r="DJ49" i="16"/>
  <c r="DK49" i="16"/>
  <c r="DN49" i="16"/>
  <c r="DM49" i="16"/>
  <c r="CO34" i="16"/>
  <c r="CL34" i="16"/>
  <c r="CM34" i="16"/>
  <c r="CN34" i="16"/>
  <c r="CM39" i="16"/>
  <c r="CL39" i="16"/>
  <c r="CN39" i="16"/>
  <c r="CO39" i="16"/>
  <c r="CN69" i="16"/>
  <c r="CL69" i="16"/>
  <c r="CM69" i="16"/>
  <c r="CO69" i="16"/>
  <c r="AX67" i="16"/>
  <c r="DL45" i="16"/>
  <c r="DK45" i="16"/>
  <c r="DN45" i="16"/>
  <c r="DJ45" i="16"/>
  <c r="DI45" i="16"/>
  <c r="DM45" i="16"/>
  <c r="CN99" i="16"/>
  <c r="CO99" i="16"/>
  <c r="CM99" i="16"/>
  <c r="CL99" i="16"/>
  <c r="CL98" i="16"/>
  <c r="CO98" i="16"/>
  <c r="CN98" i="16"/>
  <c r="CM98" i="16"/>
  <c r="DN36" i="16"/>
  <c r="DM36" i="16"/>
  <c r="AX30" i="16"/>
  <c r="DJ36" i="16"/>
  <c r="DL36" i="16"/>
  <c r="DK36" i="16"/>
  <c r="DI36" i="16"/>
  <c r="CN11" i="16"/>
  <c r="CO11" i="16"/>
  <c r="CM11" i="16"/>
  <c r="CL11" i="16"/>
  <c r="DM18" i="16"/>
  <c r="DN18" i="16"/>
  <c r="AX60" i="16"/>
  <c r="DL18" i="16"/>
  <c r="DK18" i="16"/>
  <c r="DJ18" i="16"/>
  <c r="DI18" i="16"/>
  <c r="CL10" i="16"/>
  <c r="CO10" i="16"/>
  <c r="CM10" i="16"/>
  <c r="CN10" i="16"/>
  <c r="CL29" i="16"/>
  <c r="CN29" i="16"/>
  <c r="CM29" i="16"/>
  <c r="CO29" i="16"/>
  <c r="CL55" i="16"/>
  <c r="CO55" i="16"/>
  <c r="CN55" i="16"/>
  <c r="CM55" i="16"/>
  <c r="DJ34" i="16"/>
  <c r="DM34" i="16"/>
  <c r="DL34" i="16"/>
  <c r="DI34" i="16"/>
  <c r="AX29" i="16"/>
  <c r="DN34" i="16"/>
  <c r="DK34" i="16"/>
  <c r="AX92" i="16"/>
  <c r="DI92" i="16"/>
  <c r="DM92" i="16"/>
  <c r="DN92" i="16"/>
  <c r="DL92" i="16"/>
  <c r="DK92" i="16"/>
  <c r="DJ92" i="16"/>
  <c r="CM90" i="16"/>
  <c r="CN90" i="16"/>
  <c r="CL90" i="16"/>
  <c r="CO90" i="16"/>
  <c r="DI43" i="16"/>
  <c r="DK43" i="16"/>
  <c r="AX35" i="16"/>
  <c r="DJ43" i="16"/>
  <c r="DN43" i="16"/>
  <c r="DM43" i="16"/>
  <c r="DL43" i="16"/>
  <c r="CL16" i="16"/>
  <c r="CO16" i="16"/>
  <c r="CN16" i="16"/>
  <c r="CM16" i="16"/>
  <c r="DN99" i="16"/>
  <c r="DI99" i="16"/>
  <c r="DM99" i="16"/>
  <c r="DJ99" i="16"/>
  <c r="AX99" i="16"/>
  <c r="DL99" i="16"/>
  <c r="DK99" i="16"/>
  <c r="AX26" i="16"/>
  <c r="DJ29" i="16"/>
  <c r="DK29" i="16"/>
  <c r="DI29" i="16"/>
  <c r="DL29" i="16"/>
  <c r="DM29" i="16"/>
  <c r="DN29" i="16"/>
  <c r="CN3" i="16"/>
  <c r="CO3" i="16"/>
  <c r="CM3" i="16"/>
  <c r="CL3" i="16"/>
  <c r="CL47" i="16"/>
  <c r="CM47" i="16"/>
  <c r="CO47" i="16"/>
  <c r="CN47" i="16"/>
  <c r="AX98" i="16"/>
  <c r="DN98" i="16"/>
  <c r="DM98" i="16"/>
  <c r="DL98" i="16"/>
  <c r="DK98" i="16"/>
  <c r="DJ98" i="16"/>
  <c r="DI98" i="16"/>
  <c r="CL27" i="16"/>
  <c r="CM27" i="16"/>
  <c r="CN27" i="16"/>
  <c r="CO27" i="16"/>
  <c r="DN56" i="16"/>
  <c r="DM56" i="16"/>
  <c r="DK56" i="16"/>
  <c r="DJ56" i="16"/>
  <c r="AX46" i="16"/>
  <c r="DI56" i="16"/>
  <c r="DL56" i="16"/>
  <c r="CN72" i="16"/>
  <c r="CO72" i="16"/>
  <c r="CL72" i="16"/>
  <c r="CM72" i="16"/>
  <c r="DK12" i="16"/>
  <c r="DJ12" i="16"/>
  <c r="DI12" i="16"/>
  <c r="DL12" i="16"/>
  <c r="DM12" i="16"/>
  <c r="AX12" i="16"/>
  <c r="DN12" i="16"/>
  <c r="DI33" i="16"/>
  <c r="DK33" i="16"/>
  <c r="DJ33" i="16"/>
  <c r="DL33" i="16"/>
  <c r="DN33" i="16"/>
  <c r="DM33" i="16"/>
  <c r="AX28" i="16"/>
  <c r="CL25" i="16"/>
  <c r="CO25" i="16"/>
  <c r="CN25" i="16"/>
  <c r="CM25" i="16"/>
  <c r="DM21" i="16"/>
  <c r="DL21" i="16"/>
  <c r="DJ21" i="16"/>
  <c r="DI21" i="16"/>
  <c r="AX18" i="16"/>
  <c r="DN21" i="16"/>
  <c r="DK21" i="16"/>
  <c r="CL50" i="16"/>
  <c r="CN50" i="16"/>
  <c r="CO50" i="16"/>
  <c r="CM50" i="16"/>
  <c r="DN13" i="16"/>
  <c r="DK13" i="16"/>
  <c r="DJ13" i="16"/>
  <c r="AX13" i="16"/>
  <c r="DM13" i="16"/>
  <c r="DL13" i="16"/>
  <c r="DI13" i="16"/>
  <c r="DN62" i="16"/>
  <c r="DL62" i="16"/>
  <c r="DJ62" i="16"/>
  <c r="DI62" i="16"/>
  <c r="DM62" i="16"/>
  <c r="DK62" i="16"/>
  <c r="AX70" i="16"/>
  <c r="DJ58" i="16"/>
  <c r="AX58" i="16"/>
  <c r="DN58" i="16"/>
  <c r="DM58" i="16"/>
  <c r="DL58" i="16"/>
  <c r="DK58" i="16"/>
  <c r="DI58" i="16"/>
  <c r="CL62" i="16"/>
  <c r="CN62" i="16"/>
  <c r="CO62" i="16"/>
  <c r="CM62" i="16"/>
  <c r="CM91" i="16"/>
  <c r="CO91" i="16"/>
  <c r="CL91" i="16"/>
  <c r="CN91" i="16"/>
  <c r="DI66" i="16"/>
  <c r="DM66" i="16"/>
  <c r="AX66" i="16"/>
  <c r="DL66" i="16"/>
  <c r="DK66" i="16"/>
  <c r="DJ66" i="16"/>
  <c r="DN66" i="16"/>
  <c r="DN50" i="16"/>
  <c r="DJ50" i="16"/>
  <c r="DI50" i="16"/>
  <c r="DM50" i="16"/>
  <c r="AX41" i="16"/>
  <c r="DL50" i="16"/>
  <c r="DK50" i="16"/>
  <c r="CO19" i="16"/>
  <c r="CM19" i="16"/>
  <c r="CL19" i="16"/>
  <c r="CN19" i="16"/>
  <c r="CL44" i="16"/>
  <c r="CN44" i="16"/>
  <c r="CO44" i="16"/>
  <c r="CM44" i="16"/>
  <c r="CL20" i="16"/>
  <c r="CO20" i="16"/>
  <c r="CN20" i="16"/>
  <c r="CM20" i="16"/>
  <c r="DJ97" i="16"/>
  <c r="DK97" i="16"/>
  <c r="DM97" i="16"/>
  <c r="DL97" i="16"/>
  <c r="DN97" i="16"/>
  <c r="AX97" i="16"/>
  <c r="DI97" i="16"/>
  <c r="DI54" i="16"/>
  <c r="AX44" i="16"/>
  <c r="DK54" i="16"/>
  <c r="DM54" i="16"/>
  <c r="DN54" i="16"/>
  <c r="DL54" i="16"/>
  <c r="DJ54" i="16"/>
  <c r="DN95" i="16"/>
  <c r="AX95" i="16"/>
  <c r="DJ95" i="16"/>
  <c r="DI95" i="16"/>
  <c r="DL95" i="16"/>
  <c r="DK95" i="16"/>
  <c r="DM95" i="16"/>
  <c r="DN32" i="16"/>
  <c r="DK32" i="16"/>
  <c r="DL32" i="16"/>
  <c r="AX27" i="16"/>
  <c r="DJ32" i="16"/>
  <c r="DM32" i="16"/>
  <c r="DI32" i="16"/>
  <c r="AX52" i="16"/>
  <c r="DN65" i="16"/>
  <c r="DM65" i="16"/>
  <c r="DL65" i="16"/>
  <c r="DK65" i="16"/>
  <c r="DJ65" i="16"/>
  <c r="DI65" i="16"/>
  <c r="DI60" i="16"/>
  <c r="AX69" i="16"/>
  <c r="DJ60" i="16"/>
  <c r="DM60" i="16"/>
  <c r="DN60" i="16"/>
  <c r="DL60" i="16"/>
  <c r="DK60" i="16"/>
  <c r="CM9" i="16"/>
  <c r="CL9" i="16"/>
  <c r="CN9" i="16"/>
  <c r="CO9" i="16"/>
  <c r="CN24" i="16"/>
  <c r="CO24" i="16"/>
  <c r="CM24" i="16"/>
  <c r="CL24" i="16"/>
  <c r="DN3" i="16"/>
  <c r="DM3" i="16"/>
  <c r="DL3" i="16"/>
  <c r="DK3" i="16"/>
  <c r="DJ3" i="16"/>
  <c r="DI3" i="16"/>
  <c r="AX3" i="16"/>
  <c r="CL52" i="16"/>
  <c r="CO52" i="16"/>
  <c r="CN52" i="16"/>
  <c r="CM52" i="16"/>
  <c r="CO8" i="16"/>
  <c r="CL8" i="16"/>
  <c r="CN8" i="16"/>
  <c r="CM8" i="16"/>
  <c r="DI8" i="16"/>
  <c r="AX8" i="16"/>
  <c r="DK8" i="16"/>
  <c r="DJ8" i="16"/>
  <c r="DN8" i="16"/>
  <c r="DM8" i="16"/>
  <c r="DL8" i="16"/>
  <c r="DJ69" i="16"/>
  <c r="DI69" i="16"/>
  <c r="DN69" i="16"/>
  <c r="DM69" i="16"/>
  <c r="AX56" i="16"/>
  <c r="DL69" i="16"/>
  <c r="DK69" i="16"/>
  <c r="CM40" i="16"/>
  <c r="CO40" i="16"/>
  <c r="CN40" i="16"/>
  <c r="CL40" i="16"/>
  <c r="CO59" i="16"/>
  <c r="CN59" i="16"/>
  <c r="CM59" i="16"/>
  <c r="CL59" i="16"/>
  <c r="CL92" i="16"/>
  <c r="CN92" i="16"/>
  <c r="CM92" i="16"/>
  <c r="CO92" i="16"/>
  <c r="DJ46" i="16"/>
  <c r="DL46" i="16"/>
  <c r="DK46" i="16"/>
  <c r="AX38" i="16"/>
  <c r="DN46" i="16"/>
  <c r="DM46" i="16"/>
  <c r="DI46" i="16"/>
  <c r="DN11" i="16"/>
  <c r="DK11" i="16"/>
  <c r="DI11" i="16"/>
  <c r="DJ11" i="16"/>
  <c r="AX11" i="16"/>
  <c r="DL11" i="16"/>
  <c r="DM11" i="16"/>
  <c r="DM10" i="16"/>
  <c r="DL10" i="16"/>
  <c r="DK10" i="16"/>
  <c r="DJ10" i="16"/>
  <c r="DI10" i="16"/>
  <c r="DN10" i="16"/>
  <c r="AX10" i="16"/>
  <c r="CL41" i="16"/>
  <c r="CM41" i="16"/>
  <c r="CO41" i="16"/>
  <c r="CN41" i="16"/>
  <c r="DN38" i="16"/>
  <c r="DK38" i="16"/>
  <c r="DL38" i="16"/>
  <c r="DM38" i="16"/>
  <c r="AX32" i="16"/>
  <c r="DJ38" i="16"/>
  <c r="DI38" i="16"/>
  <c r="CL21" i="16"/>
  <c r="CM21" i="16"/>
  <c r="CO21" i="16"/>
  <c r="CN21" i="16"/>
  <c r="DJ19" i="16"/>
  <c r="DI19" i="16"/>
  <c r="DN19" i="16"/>
  <c r="DL19" i="16"/>
  <c r="AX61" i="16"/>
  <c r="DM19" i="16"/>
  <c r="DK19" i="16"/>
  <c r="CL57" i="16"/>
  <c r="CO57" i="16"/>
  <c r="CM57" i="16"/>
  <c r="CN57" i="16"/>
  <c r="DL90" i="16"/>
  <c r="AX90" i="16"/>
  <c r="DI90" i="16"/>
  <c r="DM90" i="16"/>
  <c r="DK90" i="16"/>
  <c r="DJ90" i="16"/>
  <c r="DN90" i="16"/>
  <c r="CN96" i="16"/>
  <c r="CO96" i="16"/>
  <c r="CM96" i="16"/>
  <c r="CL96" i="16"/>
  <c r="CL35" i="16"/>
  <c r="CO35" i="16"/>
  <c r="CN35" i="16"/>
  <c r="CM35" i="16"/>
  <c r="DK31" i="16"/>
  <c r="DI31" i="16"/>
  <c r="DJ31" i="16"/>
  <c r="DM31" i="16"/>
  <c r="AX31" i="16"/>
  <c r="DL31" i="16"/>
  <c r="DN31" i="16"/>
  <c r="DJ73" i="16"/>
  <c r="DI73" i="16"/>
  <c r="DK73" i="16"/>
  <c r="DL73" i="16"/>
  <c r="DN73" i="16"/>
  <c r="DM73" i="16"/>
  <c r="AX73" i="16"/>
  <c r="CL23" i="16"/>
  <c r="CO23" i="16"/>
  <c r="CN23" i="16"/>
  <c r="CM23" i="16"/>
  <c r="CL53" i="16"/>
  <c r="CO53" i="16"/>
  <c r="CN53" i="16"/>
  <c r="CM53" i="16"/>
  <c r="DI72" i="16"/>
  <c r="AX59" i="16"/>
  <c r="DK72" i="16"/>
  <c r="DN72" i="16"/>
  <c r="DM72" i="16"/>
  <c r="DL72" i="16"/>
  <c r="DJ72" i="16"/>
  <c r="CN12" i="16"/>
  <c r="CL12" i="16"/>
  <c r="CO12" i="16"/>
  <c r="CM12" i="16"/>
  <c r="N21" i="11"/>
  <c r="B32" i="20" s="1"/>
  <c r="I32" i="20" s="1"/>
  <c r="J5" i="10"/>
  <c r="J15" i="10"/>
  <c r="L15" i="10" s="1"/>
  <c r="L4" i="10"/>
  <c r="J275" i="10"/>
  <c r="L275" i="10" s="1"/>
  <c r="F8" i="20"/>
  <c r="I8" i="20" s="1"/>
  <c r="F19" i="31"/>
  <c r="E377" i="22" l="1"/>
  <c r="B386" i="22" s="1"/>
  <c r="M282" i="22" s="1"/>
  <c r="Q6" i="26" s="1"/>
  <c r="R6" i="26" s="1"/>
  <c r="L441" i="10"/>
  <c r="I34" i="20" s="1"/>
  <c r="H34" i="20" s="1"/>
  <c r="L65" i="10"/>
  <c r="AE49" i="21"/>
  <c r="B10" i="20" s="1"/>
  <c r="AG49" i="21"/>
  <c r="H18" i="31" s="1"/>
  <c r="L46" i="10"/>
  <c r="B377" i="22"/>
  <c r="B389" i="22" s="1"/>
  <c r="I272" i="22" s="1"/>
  <c r="L83" i="10"/>
  <c r="L45" i="10"/>
  <c r="L44" i="10"/>
  <c r="L34" i="10"/>
  <c r="D20" i="20"/>
  <c r="L144" i="10"/>
  <c r="L51" i="10"/>
  <c r="L69" i="10"/>
  <c r="B22" i="20"/>
  <c r="L142" i="10"/>
  <c r="L100" i="10"/>
  <c r="L113" i="10"/>
  <c r="L125" i="10"/>
  <c r="L96" i="10"/>
  <c r="F9" i="31"/>
  <c r="L115" i="10"/>
  <c r="L74" i="10"/>
  <c r="L40" i="10"/>
  <c r="B251" i="22"/>
  <c r="M147" i="22" s="1"/>
  <c r="Q5" i="26" s="1"/>
  <c r="R5" i="26" s="1"/>
  <c r="L60" i="10"/>
  <c r="L143" i="10"/>
  <c r="L47" i="10"/>
  <c r="L80" i="10"/>
  <c r="L112" i="10"/>
  <c r="L120" i="10"/>
  <c r="L72" i="10"/>
  <c r="L132" i="10"/>
  <c r="L109" i="10"/>
  <c r="L56" i="10"/>
  <c r="L101" i="10"/>
  <c r="L31" i="10"/>
  <c r="L128" i="10"/>
  <c r="L53" i="10"/>
  <c r="L146" i="10"/>
  <c r="L32" i="10"/>
  <c r="L136" i="10"/>
  <c r="L38" i="10"/>
  <c r="L105" i="10"/>
  <c r="L139" i="10"/>
  <c r="L127" i="10"/>
  <c r="L85" i="10"/>
  <c r="L108" i="10"/>
  <c r="L131" i="10"/>
  <c r="L70" i="10"/>
  <c r="L82" i="10"/>
  <c r="L97" i="10"/>
  <c r="L106" i="10"/>
  <c r="L62" i="10"/>
  <c r="L95" i="10"/>
  <c r="L99" i="10"/>
  <c r="L107" i="10"/>
  <c r="L124" i="10"/>
  <c r="L79" i="10"/>
  <c r="L67" i="10"/>
  <c r="L140" i="10"/>
  <c r="L63" i="10"/>
  <c r="L122" i="10"/>
  <c r="L41" i="10"/>
  <c r="L135" i="10"/>
  <c r="L86" i="10"/>
  <c r="L35" i="10"/>
  <c r="L126" i="10"/>
  <c r="L36" i="10"/>
  <c r="L103" i="10"/>
  <c r="L129" i="10"/>
  <c r="L75" i="10"/>
  <c r="L81" i="10"/>
  <c r="L50" i="10"/>
  <c r="L33" i="10"/>
  <c r="L121" i="10"/>
  <c r="L61" i="10"/>
  <c r="L49" i="10"/>
  <c r="L52" i="10"/>
  <c r="L114" i="10"/>
  <c r="L64" i="10"/>
  <c r="L76" i="10"/>
  <c r="L104" i="10"/>
  <c r="L123" i="10"/>
  <c r="F10" i="31"/>
  <c r="L110" i="10"/>
  <c r="L102" i="10"/>
  <c r="L98" i="10"/>
  <c r="L68" i="10"/>
  <c r="L137" i="10"/>
  <c r="L94" i="10"/>
  <c r="L66" i="10"/>
  <c r="E61" i="20"/>
  <c r="F23" i="31"/>
  <c r="L37" i="10"/>
  <c r="L39" i="10"/>
  <c r="L55" i="10"/>
  <c r="L111" i="10"/>
  <c r="L73" i="10"/>
  <c r="L145" i="10"/>
  <c r="L141" i="10"/>
  <c r="L78" i="10"/>
  <c r="L92" i="10"/>
  <c r="L84" i="10"/>
  <c r="L43" i="10"/>
  <c r="L133" i="10"/>
  <c r="L42" i="10"/>
  <c r="L30" i="10"/>
  <c r="L93" i="10"/>
  <c r="L134" i="10"/>
  <c r="L77" i="10"/>
  <c r="L116" i="10"/>
  <c r="L130" i="10"/>
  <c r="L91" i="10"/>
  <c r="L90" i="10"/>
  <c r="L71" i="10"/>
  <c r="F6" i="20"/>
  <c r="L54" i="10"/>
  <c r="E22" i="20"/>
  <c r="C22" i="20"/>
  <c r="D18" i="20"/>
  <c r="D19" i="20"/>
  <c r="H241" i="22"/>
  <c r="B252" i="22" s="1"/>
  <c r="M300" i="22"/>
  <c r="BH6" i="26" s="1"/>
  <c r="H16" i="31"/>
  <c r="F16" i="31" s="1"/>
  <c r="B522" i="22"/>
  <c r="C522" i="22"/>
  <c r="M417" i="22"/>
  <c r="Q7" i="26" s="1"/>
  <c r="R7" i="26" s="1"/>
  <c r="B387" i="22"/>
  <c r="C117" i="22"/>
  <c r="M12" i="22"/>
  <c r="Q4" i="26" s="1"/>
  <c r="R4" i="26" s="1"/>
  <c r="B117" i="22"/>
  <c r="L481" i="10"/>
  <c r="I21" i="20"/>
  <c r="L472" i="10"/>
  <c r="AY28" i="16"/>
  <c r="BC28" i="16"/>
  <c r="BC32" i="16"/>
  <c r="AY32" i="16"/>
  <c r="BC27" i="16"/>
  <c r="AY27" i="16"/>
  <c r="AY26" i="16"/>
  <c r="BC26" i="16"/>
  <c r="AY45" i="16"/>
  <c r="BC45" i="16"/>
  <c r="BC41" i="16"/>
  <c r="AY41" i="16"/>
  <c r="AY54" i="16"/>
  <c r="BC54" i="16"/>
  <c r="BC10" i="16"/>
  <c r="AY10" i="16"/>
  <c r="BC95" i="16"/>
  <c r="AY95" i="16"/>
  <c r="AY29" i="16"/>
  <c r="BC29" i="16"/>
  <c r="AY25" i="16"/>
  <c r="BC25" i="16"/>
  <c r="BC15" i="16"/>
  <c r="AY15" i="16"/>
  <c r="BC47" i="16"/>
  <c r="AY47" i="16"/>
  <c r="BC33" i="16"/>
  <c r="AY33" i="16"/>
  <c r="BC69" i="16"/>
  <c r="AY69" i="16"/>
  <c r="BC55" i="16"/>
  <c r="AY55" i="16"/>
  <c r="AY20" i="16"/>
  <c r="BC20" i="16"/>
  <c r="BC73" i="16"/>
  <c r="AY73" i="16"/>
  <c r="AY98" i="16"/>
  <c r="BC98" i="16"/>
  <c r="BC67" i="16"/>
  <c r="AY67" i="16"/>
  <c r="AY89" i="16"/>
  <c r="BC89" i="16"/>
  <c r="BC57" i="16"/>
  <c r="AY57" i="16"/>
  <c r="AY22" i="16"/>
  <c r="BC22" i="16"/>
  <c r="BC19" i="16"/>
  <c r="AY19" i="16"/>
  <c r="BC3" i="16"/>
  <c r="AY3" i="16"/>
  <c r="BC44" i="16"/>
  <c r="AY44" i="16"/>
  <c r="AY58" i="16"/>
  <c r="BC58" i="16"/>
  <c r="BC13" i="16"/>
  <c r="AY13" i="16"/>
  <c r="AY99" i="16"/>
  <c r="BC99" i="16"/>
  <c r="BC49" i="16"/>
  <c r="AY49" i="16"/>
  <c r="BC23" i="16"/>
  <c r="AY23" i="16"/>
  <c r="BC9" i="16"/>
  <c r="AY9" i="16"/>
  <c r="BC7" i="16"/>
  <c r="AY7" i="16"/>
  <c r="BC93" i="16"/>
  <c r="AY93" i="16"/>
  <c r="BC34" i="16"/>
  <c r="AY34" i="16"/>
  <c r="BC53" i="16"/>
  <c r="AY53" i="16"/>
  <c r="AY40" i="16"/>
  <c r="BC40" i="16"/>
  <c r="AY65" i="16"/>
  <c r="BC65" i="16"/>
  <c r="BC90" i="16"/>
  <c r="AY90" i="16"/>
  <c r="AY35" i="16"/>
  <c r="BC35" i="16"/>
  <c r="AY30" i="16"/>
  <c r="BC30" i="16"/>
  <c r="BC43" i="16"/>
  <c r="AY43" i="16"/>
  <c r="BC63" i="16"/>
  <c r="AY63" i="16"/>
  <c r="AY48" i="16"/>
  <c r="BC48" i="16"/>
  <c r="AY6" i="16"/>
  <c r="BC6" i="16"/>
  <c r="BC17" i="16"/>
  <c r="AY17" i="16"/>
  <c r="AY18" i="16"/>
  <c r="BC18" i="16"/>
  <c r="AY50" i="16"/>
  <c r="BC50" i="16"/>
  <c r="BC4" i="16"/>
  <c r="AY4" i="16"/>
  <c r="AY11" i="16"/>
  <c r="BC11" i="16"/>
  <c r="AY8" i="16"/>
  <c r="BC8" i="16"/>
  <c r="AY70" i="16"/>
  <c r="BC70" i="16"/>
  <c r="BC92" i="16"/>
  <c r="AY92" i="16"/>
  <c r="AY60" i="16"/>
  <c r="BC60" i="16"/>
  <c r="BC96" i="16"/>
  <c r="AY96" i="16"/>
  <c r="AY24" i="16"/>
  <c r="BC24" i="16"/>
  <c r="AY94" i="16"/>
  <c r="BC94" i="16"/>
  <c r="BC16" i="16"/>
  <c r="AY16" i="16"/>
  <c r="AY31" i="16"/>
  <c r="BC31" i="16"/>
  <c r="AY72" i="16"/>
  <c r="BC72" i="16"/>
  <c r="BC97" i="16"/>
  <c r="AY97" i="16"/>
  <c r="BC12" i="16"/>
  <c r="AY12" i="16"/>
  <c r="AY46" i="16"/>
  <c r="BC46" i="16"/>
  <c r="BC64" i="16"/>
  <c r="AY64" i="16"/>
  <c r="AY68" i="16"/>
  <c r="BC68" i="16"/>
  <c r="AY36" i="16"/>
  <c r="BC36" i="16"/>
  <c r="AY71" i="16"/>
  <c r="BC71" i="16"/>
  <c r="BC14" i="16"/>
  <c r="AY14" i="16"/>
  <c r="BC21" i="16"/>
  <c r="AY21" i="16"/>
  <c r="AY66" i="16"/>
  <c r="BC66" i="16"/>
  <c r="AY37" i="16"/>
  <c r="BC37" i="16"/>
  <c r="BC62" i="16"/>
  <c r="AY62" i="16"/>
  <c r="AY61" i="16"/>
  <c r="BC61" i="16"/>
  <c r="AY42" i="16"/>
  <c r="BC42" i="16"/>
  <c r="BC51" i="16"/>
  <c r="AY51" i="16"/>
  <c r="BC38" i="16"/>
  <c r="AY38" i="16"/>
  <c r="BC5" i="16"/>
  <c r="AY5" i="16"/>
  <c r="BC59" i="16"/>
  <c r="AY59" i="16"/>
  <c r="BC56" i="16"/>
  <c r="AY56" i="16"/>
  <c r="AY52" i="16"/>
  <c r="BC52" i="16"/>
  <c r="BC91" i="16"/>
  <c r="AY91" i="16"/>
  <c r="BC39" i="16"/>
  <c r="AY39" i="16"/>
  <c r="L5" i="10"/>
  <c r="J276" i="10"/>
  <c r="L276" i="10" s="1"/>
  <c r="J16" i="10"/>
  <c r="L16" i="10" s="1"/>
  <c r="H8" i="20"/>
  <c r="F25" i="31"/>
  <c r="D10" i="20" l="1"/>
  <c r="I10" i="20" s="1"/>
  <c r="H10" i="20" s="1"/>
  <c r="L57" i="10"/>
  <c r="I18" i="20" s="1"/>
  <c r="G18" i="20" s="1"/>
  <c r="L87" i="10"/>
  <c r="H14" i="31" s="1"/>
  <c r="F14" i="31" s="1"/>
  <c r="L27" i="10"/>
  <c r="L117" i="10"/>
  <c r="I20" i="20" s="1"/>
  <c r="F20" i="20" s="1"/>
  <c r="L25" i="10"/>
  <c r="C252" i="22"/>
  <c r="J466" i="10"/>
  <c r="J467" i="10"/>
  <c r="J469" i="10"/>
  <c r="J468" i="10"/>
  <c r="J465" i="10"/>
  <c r="J470" i="10"/>
  <c r="J471" i="10"/>
  <c r="C387" i="22"/>
  <c r="B39" i="20"/>
  <c r="B40" i="20" s="1"/>
  <c r="C37" i="20" s="1"/>
  <c r="F18" i="31"/>
  <c r="H5" i="32"/>
  <c r="H6" i="32"/>
  <c r="J301" i="10"/>
  <c r="L301" i="10" s="1"/>
  <c r="G52" i="20"/>
  <c r="I52" i="20" s="1"/>
  <c r="G51" i="20"/>
  <c r="I51" i="20" s="1"/>
  <c r="J306" i="10"/>
  <c r="L306" i="10" s="1"/>
  <c r="J314" i="10"/>
  <c r="L314" i="10" s="1"/>
  <c r="G44" i="20"/>
  <c r="G60" i="20"/>
  <c r="I60" i="20" s="1"/>
  <c r="G55" i="20"/>
  <c r="I55" i="20" s="1"/>
  <c r="G47" i="20"/>
  <c r="I47" i="20" s="1"/>
  <c r="D367" i="10" s="1"/>
  <c r="G56" i="20"/>
  <c r="I56" i="20" s="1"/>
  <c r="J315" i="10"/>
  <c r="L315" i="10" s="1"/>
  <c r="G58" i="20"/>
  <c r="I58" i="20" s="1"/>
  <c r="J303" i="10"/>
  <c r="L303" i="10" s="1"/>
  <c r="J302" i="10"/>
  <c r="L302" i="10" s="1"/>
  <c r="J300" i="10"/>
  <c r="G54" i="20"/>
  <c r="I54" i="20" s="1"/>
  <c r="J311" i="10"/>
  <c r="L311" i="10" s="1"/>
  <c r="J312" i="10"/>
  <c r="L312" i="10" s="1"/>
  <c r="G57" i="20"/>
  <c r="I57" i="20" s="1"/>
  <c r="G48" i="20"/>
  <c r="I48" i="20" s="1"/>
  <c r="J309" i="10"/>
  <c r="L309" i="10" s="1"/>
  <c r="J304" i="10"/>
  <c r="L304" i="10" s="1"/>
  <c r="G50" i="20"/>
  <c r="I50" i="20" s="1"/>
  <c r="J307" i="10"/>
  <c r="L307" i="10" s="1"/>
  <c r="G59" i="20"/>
  <c r="I59" i="20" s="1"/>
  <c r="J313" i="10"/>
  <c r="L313" i="10" s="1"/>
  <c r="G45" i="20"/>
  <c r="I45" i="20" s="1"/>
  <c r="D365" i="10" s="1"/>
  <c r="G46" i="20"/>
  <c r="I46" i="20" s="1"/>
  <c r="D366" i="10" s="1"/>
  <c r="J310" i="10"/>
  <c r="L310" i="10" s="1"/>
  <c r="J308" i="10"/>
  <c r="L308" i="10" s="1"/>
  <c r="G53" i="20"/>
  <c r="I53" i="20" s="1"/>
  <c r="J305" i="10"/>
  <c r="L305" i="10" s="1"/>
  <c r="J316" i="10"/>
  <c r="L316" i="10" s="1"/>
  <c r="G49" i="20"/>
  <c r="I49" i="20" s="1"/>
  <c r="J317" i="10"/>
  <c r="L317" i="10" s="1"/>
  <c r="J9" i="10"/>
  <c r="J10" i="10"/>
  <c r="J11" i="10"/>
  <c r="J12" i="10"/>
  <c r="I19" i="20" l="1"/>
  <c r="H19" i="20" s="1"/>
  <c r="H13" i="31"/>
  <c r="F13" i="31" s="1"/>
  <c r="E6" i="20"/>
  <c r="I6" i="20" s="1"/>
  <c r="H6" i="20" s="1"/>
  <c r="H12" i="31"/>
  <c r="F12" i="31" s="1"/>
  <c r="I17" i="20"/>
  <c r="F17" i="20" s="1"/>
  <c r="H15" i="31"/>
  <c r="F15" i="31" s="1"/>
  <c r="F18" i="20"/>
  <c r="H18" i="20"/>
  <c r="L471" i="10"/>
  <c r="J463" i="10"/>
  <c r="L463" i="10" s="1"/>
  <c r="L470" i="10"/>
  <c r="J462" i="10"/>
  <c r="L462" i="10" s="1"/>
  <c r="J457" i="10"/>
  <c r="L465" i="10"/>
  <c r="L468" i="10"/>
  <c r="J460" i="10"/>
  <c r="L460" i="10" s="1"/>
  <c r="L469" i="10"/>
  <c r="J461" i="10"/>
  <c r="L461" i="10" s="1"/>
  <c r="L467" i="10"/>
  <c r="J459" i="10"/>
  <c r="L459" i="10" s="1"/>
  <c r="L466" i="10"/>
  <c r="J458" i="10"/>
  <c r="L458" i="10" s="1"/>
  <c r="C39" i="20"/>
  <c r="C34" i="20"/>
  <c r="C35" i="20"/>
  <c r="C36" i="20"/>
  <c r="C32" i="20"/>
  <c r="C38" i="20"/>
  <c r="E31" i="31"/>
  <c r="C33" i="20"/>
  <c r="I39" i="20"/>
  <c r="I40" i="20" s="1"/>
  <c r="H31" i="31" s="1"/>
  <c r="H20" i="20"/>
  <c r="G20" i="20"/>
  <c r="F6" i="32"/>
  <c r="I6" i="32"/>
  <c r="I5" i="32"/>
  <c r="F5" i="32"/>
  <c r="G61" i="20"/>
  <c r="J439" i="10"/>
  <c r="I44" i="20"/>
  <c r="I61" i="20" s="1"/>
  <c r="D439" i="10"/>
  <c r="E24" i="31"/>
  <c r="L300" i="10"/>
  <c r="L299" i="10" s="1"/>
  <c r="H24" i="31" s="1"/>
  <c r="B7" i="20"/>
  <c r="L12" i="10"/>
  <c r="J23" i="10"/>
  <c r="L23" i="10" s="1"/>
  <c r="J22" i="10"/>
  <c r="L22" i="10" s="1"/>
  <c r="L11" i="10"/>
  <c r="L10" i="10"/>
  <c r="J21" i="10"/>
  <c r="L21" i="10" s="1"/>
  <c r="J20" i="10"/>
  <c r="L20" i="10" s="1"/>
  <c r="L9" i="10"/>
  <c r="J278" i="10"/>
  <c r="L278" i="10" s="1"/>
  <c r="L274" i="10" s="1"/>
  <c r="H22" i="31" s="1"/>
  <c r="E4" i="31"/>
  <c r="B4" i="20"/>
  <c r="F19" i="20" l="1"/>
  <c r="G19" i="20"/>
  <c r="G17" i="20"/>
  <c r="I22" i="20"/>
  <c r="H17" i="20"/>
  <c r="H4" i="31"/>
  <c r="H6" i="31"/>
  <c r="L464" i="10"/>
  <c r="L457" i="10"/>
  <c r="L456" i="10" s="1"/>
  <c r="C40" i="20"/>
  <c r="F31" i="31"/>
  <c r="L14" i="10"/>
  <c r="E4" i="20"/>
  <c r="E13" i="20" s="1"/>
  <c r="B13" i="20"/>
  <c r="F7" i="20"/>
  <c r="I7" i="20" s="1"/>
  <c r="F24" i="31"/>
  <c r="E22" i="31"/>
  <c r="E6" i="31"/>
  <c r="F4" i="20"/>
  <c r="L3" i="10"/>
  <c r="D4" i="20"/>
  <c r="L439" i="10"/>
  <c r="L438" i="10" s="1"/>
  <c r="L363" i="10" s="1"/>
  <c r="H28" i="31" s="1"/>
  <c r="E28" i="31"/>
  <c r="H7" i="20" l="1"/>
  <c r="F22" i="31"/>
  <c r="F13" i="20"/>
  <c r="F28" i="31"/>
  <c r="D13" i="20"/>
  <c r="I4" i="20"/>
  <c r="I13" i="20" s="1"/>
  <c r="H4" i="32"/>
  <c r="F4" i="31"/>
  <c r="C8" i="20"/>
  <c r="C6" i="20"/>
  <c r="C9" i="20"/>
  <c r="C10" i="20"/>
  <c r="C12" i="20"/>
  <c r="C11" i="20"/>
  <c r="C5" i="20"/>
  <c r="C7" i="20"/>
  <c r="F6" i="31"/>
  <c r="H13" i="32"/>
  <c r="H11" i="32"/>
  <c r="C4" i="20"/>
  <c r="H80" i="31" l="1"/>
  <c r="H83" i="31"/>
  <c r="H93" i="31"/>
  <c r="H82" i="31"/>
  <c r="H87" i="31"/>
  <c r="H84" i="31"/>
  <c r="H86" i="31"/>
  <c r="H7" i="32"/>
  <c r="I7" i="32" s="1"/>
  <c r="H91" i="31"/>
  <c r="H92" i="31"/>
  <c r="H88" i="31"/>
  <c r="H8" i="32"/>
  <c r="F8" i="32" s="1"/>
  <c r="H94" i="31"/>
  <c r="H85" i="31"/>
  <c r="H81" i="31"/>
  <c r="H89" i="31"/>
  <c r="H90" i="31"/>
  <c r="I42" i="31"/>
  <c r="G11" i="31" s="1"/>
  <c r="C13" i="20"/>
  <c r="F11" i="32"/>
  <c r="I11" i="32"/>
  <c r="F13" i="32"/>
  <c r="I13" i="32"/>
  <c r="F4" i="32"/>
  <c r="I4" i="32"/>
  <c r="H4" i="20"/>
  <c r="F7" i="32" l="1"/>
  <c r="F9" i="32" s="1"/>
  <c r="G21" i="31"/>
  <c r="G41" i="31"/>
  <c r="G19" i="31"/>
  <c r="G7" i="31"/>
  <c r="G38" i="31"/>
  <c r="G23" i="31"/>
  <c r="G36" i="31"/>
  <c r="G15" i="31"/>
  <c r="G5" i="31"/>
  <c r="G29" i="31"/>
  <c r="G32" i="31"/>
  <c r="G12" i="31"/>
  <c r="G8" i="31"/>
  <c r="G18" i="31"/>
  <c r="G14" i="31"/>
  <c r="G6" i="31"/>
  <c r="G30" i="31"/>
  <c r="G4" i="31"/>
  <c r="I95" i="31"/>
  <c r="G85" i="31" s="1"/>
  <c r="G9" i="31"/>
  <c r="G27" i="31"/>
  <c r="G40" i="31"/>
  <c r="G16" i="31"/>
  <c r="G17" i="31"/>
  <c r="G25" i="31"/>
  <c r="G13" i="31"/>
  <c r="G33" i="31"/>
  <c r="H9" i="32"/>
  <c r="G24" i="31"/>
  <c r="G26" i="31"/>
  <c r="G39" i="31"/>
  <c r="I8" i="32"/>
  <c r="I9" i="32" s="1"/>
  <c r="I23" i="32" s="1"/>
  <c r="G34" i="31"/>
  <c r="G31" i="31"/>
  <c r="G37" i="31"/>
  <c r="G20" i="31"/>
  <c r="G10" i="31"/>
  <c r="G28" i="31"/>
  <c r="G22" i="31"/>
  <c r="G35" i="31"/>
  <c r="G81" i="31" l="1"/>
  <c r="G87" i="31"/>
  <c r="G91" i="31"/>
  <c r="G80" i="31"/>
  <c r="G86" i="31"/>
  <c r="G90" i="31"/>
  <c r="G84" i="31"/>
  <c r="G89" i="31"/>
  <c r="G82" i="31"/>
  <c r="G92" i="31"/>
  <c r="G83" i="31"/>
  <c r="G94" i="31"/>
  <c r="G93" i="31"/>
  <c r="G88" i="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tc={18E5DBFF-6FD7-4B5F-BF29-CA0C1820CEE4}</author>
  </authors>
  <commentList>
    <comment ref="F35" authorId="0" shapeId="0" xr:uid="{18E5DBFF-6FD7-4B5F-BF29-CA0C1820CEE4}">
      <text>
        <t>[Threaded comment]
Your version of Excel allows you to read this threaded comment; however, any edits to it will get removed if the file is opened in a newer version of Excel. Learn more: https://go.microsoft.com/fwlink/?linkid=870924
Comment:
    Offerta Heareus 17-01-24</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tc={ECF36AC9-83BE-4945-909A-96B440CA8DA5}</author>
    <author>tc={8C6445DA-F3C0-4BA1-BEF3-DF57988FAC49}</author>
    <author>tc={6DA67AA8-DC26-4C6A-BB86-F0D211E78936}</author>
    <author>tc={A6C9361D-304D-4A18-8ACE-67BBA107BBF0}</author>
    <author>tc={DAD95333-B999-4BE0-9124-3E5581D35650}</author>
  </authors>
  <commentList>
    <comment ref="U33" authorId="0" shapeId="0" xr:uid="{ECF36AC9-83BE-4945-909A-96B440CA8DA5}">
      <text>
        <t xml:space="preserve">[Threaded comment]
Your version of Excel allows you to read this threaded comment; however, any edits to it will get removed if the file is opened in a newer version of Excel. Learn more: https://go.microsoft.com/fwlink/?linkid=870924
Comment:
    Offerta FATI </t>
      </text>
    </comment>
    <comment ref="U34" authorId="1" shapeId="0" xr:uid="{8C6445DA-F3C0-4BA1-BEF3-DF57988FAC49}">
      <text>
        <t>[Threaded comment]
Your version of Excel allows you to read this threaded comment; however, any edits to it will get removed if the file is opened in a newer version of Excel. Learn more: https://go.microsoft.com/fwlink/?linkid=870924
Comment:
    Stima DATCOR</t>
      </text>
    </comment>
    <comment ref="U35" authorId="2" shapeId="0" xr:uid="{6DA67AA8-DC26-4C6A-BB86-F0D211E78936}">
      <text>
        <t>[Threaded comment]
Your version of Excel allows you to read this threaded comment; however, any edits to it will get removed if the file is opened in a newer version of Excel. Learn more: https://go.microsoft.com/fwlink/?linkid=870924
Comment:
    Offerta FATI</t>
      </text>
    </comment>
    <comment ref="U36" authorId="3" shapeId="0" xr:uid="{A6C9361D-304D-4A18-8ACE-67BBA107BBF0}">
      <text>
        <t>[Threaded comment]
Your version of Excel allows you to read this threaded comment; however, any edits to it will get removed if the file is opened in a newer version of Excel. Learn more: https://go.microsoft.com/fwlink/?linkid=870924
Comment:
    Offerta FINK 6440324 dtd 16/01/24</t>
      </text>
    </comment>
    <comment ref="U38" authorId="4" shapeId="0" xr:uid="{DAD95333-B999-4BE0-9124-3E5581D35650}">
      <text>
        <t>[Threaded comment]
Your version of Excel allows you to read this threaded comment; however, any edits to it will get removed if the file is opened in a newer version of Excel. Learn more: https://go.microsoft.com/fwlink/?linkid=870924
Comment:
    Stima DATCOR</t>
      </text>
    </comment>
  </commentList>
</comments>
</file>

<file path=xl/sharedStrings.xml><?xml version="1.0" encoding="utf-8"?>
<sst xmlns="http://schemas.openxmlformats.org/spreadsheetml/2006/main" count="36887" uniqueCount="4572">
  <si>
    <t>MASTER COST ESTIMATOR v.1.1</t>
  </si>
  <si>
    <t>Features to be added on the next version</t>
  </si>
  <si>
    <t>Name of the applicant</t>
  </si>
  <si>
    <t>feature application description</t>
  </si>
  <si>
    <t>MASTER COST ESTIMATOR</t>
  </si>
  <si>
    <t>COVER PAGE</t>
  </si>
  <si>
    <t>CLIENT</t>
  </si>
  <si>
    <t>PROJECT</t>
  </si>
  <si>
    <t>PROJECT PF No</t>
  </si>
  <si>
    <t>LOCATION</t>
  </si>
  <si>
    <t>DOC. DESCRIPTION</t>
  </si>
  <si>
    <t>DOC. PF No</t>
  </si>
  <si>
    <t>A</t>
  </si>
  <si>
    <t>AG</t>
  </si>
  <si>
    <t>FR</t>
  </si>
  <si>
    <t>REV.</t>
  </si>
  <si>
    <t>DATE</t>
  </si>
  <si>
    <t>DESCRIPTION</t>
  </si>
  <si>
    <t>PREPARED</t>
  </si>
  <si>
    <t>CHECKED</t>
  </si>
  <si>
    <t>APPROVED</t>
  </si>
  <si>
    <t>Possibilità di parzializzare il peso a seconda dello skid o se loose</t>
  </si>
  <si>
    <t>Verniciatura e Insulation</t>
  </si>
  <si>
    <t xml:space="preserve"> indicazioni sulla claddatura degli equipment</t>
  </si>
  <si>
    <t>1.1.5.2</t>
  </si>
  <si>
    <t xml:space="preserve">Stainless Steel </t>
  </si>
  <si>
    <t>ELIMINARE
NON SI FANNIO SUPPORTI DIVERSI DA CS</t>
  </si>
  <si>
    <t>1.1.5.3</t>
  </si>
  <si>
    <t>Duplex Stainless Steel</t>
  </si>
  <si>
    <t>1.1.5.4</t>
  </si>
  <si>
    <t>Incoloy 825/625</t>
  </si>
  <si>
    <t>1.2.5.2</t>
  </si>
  <si>
    <t>1.2.5.3</t>
  </si>
  <si>
    <t>1.2.5.4</t>
  </si>
  <si>
    <t xml:space="preserve">AGGIUNGERE TE A STRUMENTAZIONE </t>
  </si>
  <si>
    <t>AGGIUNGERE VALVOLE CONE ATTUATORI A INSTRUMENT</t>
  </si>
  <si>
    <t xml:space="preserve">evidenziare errore se inserite quantità ma non costo unitario e totale o viceversa </t>
  </si>
  <si>
    <t>PSV DOVE LE METTIAMO?</t>
  </si>
  <si>
    <t>Montaggio equipment logica su loose o meno</t>
  </si>
  <si>
    <t>materiale vessel da piping</t>
  </si>
  <si>
    <t>schedule e pesi acciaio inox</t>
  </si>
  <si>
    <t>Conteggio n° flange automatico in una finestra come riferimento? Da n° valvole e da n° strumenti</t>
  </si>
  <si>
    <t>conteggio bulloneria e guarnizioni (utile per rating alti dal &gt;600#)</t>
  </si>
  <si>
    <t xml:space="preserve">Elenco guarnizioni, bulloni per commissioning (indicare percentuale e pezzi min) solo per equipment MH, HH </t>
  </si>
  <si>
    <t>Peso LWN</t>
  </si>
  <si>
    <t>Sommario dei segnali strumenti</t>
  </si>
  <si>
    <t>possibilità di scegliere la visualizzazione delle dimensioni del diametro della bulloneria secondo le ISO o UNC</t>
  </si>
  <si>
    <t>implementare conteggio peso e selezione delle valvole attuate</t>
  </si>
  <si>
    <t xml:space="preserve">pipe line size instrument non chiaro serve size per valvole attuate, strumenti per calcolo flange </t>
  </si>
  <si>
    <t>in instrument dividere PID 1-2-3….</t>
  </si>
  <si>
    <t>ggiungere tag SOV,AT, JB…..</t>
  </si>
  <si>
    <t>PREZZO TOTALE SU PROPOSAL REPORT</t>
  </si>
  <si>
    <t>mounting materials per strumenti</t>
  </si>
  <si>
    <t>LOOSE STRUCTURE PACKING LIST</t>
  </si>
  <si>
    <t>mettere colonna note dove inseriamo costi per indicare se stima/offerta</t>
  </si>
  <si>
    <t>tracciatura e coibentazione</t>
  </si>
  <si>
    <t>Pesi valvole attuate nel listino montaggi</t>
  </si>
  <si>
    <t>Packing List Completare</t>
  </si>
  <si>
    <t>Piping Class</t>
  </si>
  <si>
    <t>DN</t>
  </si>
  <si>
    <t>Thickness SCH</t>
  </si>
  <si>
    <t>CS-150#</t>
  </si>
  <si>
    <t>SS-600#</t>
  </si>
  <si>
    <t>80S</t>
  </si>
  <si>
    <t>40S</t>
  </si>
  <si>
    <t>STD</t>
  </si>
  <si>
    <t>XS</t>
  </si>
  <si>
    <t>SS-300#</t>
  </si>
  <si>
    <t>Pipe Material</t>
  </si>
  <si>
    <t xml:space="preserve">ASTM 106 Gr.B </t>
  </si>
  <si>
    <t>ASTM A672 Gr C60 Cl.12</t>
  </si>
  <si>
    <t>ASTM A312-
TP316/316L</t>
  </si>
  <si>
    <t>Fitting Material</t>
  </si>
  <si>
    <t>Flange Material</t>
  </si>
  <si>
    <t>Stud Bolts &amp; Nuts Material</t>
  </si>
  <si>
    <t>ASTM A193 Gr.B7 / A194 Gr.2H-HDG</t>
  </si>
  <si>
    <t>ASTM A320 Gr.7 / A194 Gr.4 S3 - HDG</t>
  </si>
  <si>
    <t>ASTM A193 Gr.B7M / A194 Gr.2HM</t>
  </si>
  <si>
    <t>Gaskets Type&amp;Material</t>
  </si>
  <si>
    <t>Spiral Wound / SS 316 IE</t>
  </si>
  <si>
    <t>General Information</t>
  </si>
  <si>
    <t>ANSI Rating</t>
  </si>
  <si>
    <t>Flange Facing</t>
  </si>
  <si>
    <t>C.A.</t>
  </si>
  <si>
    <t>NACE</t>
  </si>
  <si>
    <t>Sour Service</t>
  </si>
  <si>
    <t>Material Group</t>
  </si>
  <si>
    <t>Std. Ref.</t>
  </si>
  <si>
    <t>Mat. Cert.</t>
  </si>
  <si>
    <t>RT</t>
  </si>
  <si>
    <t>MPI</t>
  </si>
  <si>
    <t>LPI</t>
  </si>
  <si>
    <t>UT</t>
  </si>
  <si>
    <t>mm</t>
  </si>
  <si>
    <t>YES / NO</t>
  </si>
  <si>
    <t>%</t>
  </si>
  <si>
    <t>RF</t>
  </si>
  <si>
    <t>YES</t>
  </si>
  <si>
    <t>NO</t>
  </si>
  <si>
    <t>CS</t>
  </si>
  <si>
    <t>B31.3 / B16.5</t>
  </si>
  <si>
    <t>3.1</t>
  </si>
  <si>
    <t>SS</t>
  </si>
  <si>
    <t>Painting</t>
  </si>
  <si>
    <t>Painting Cycle</t>
  </si>
  <si>
    <t>Cycle 1</t>
  </si>
  <si>
    <t>Cycle 2</t>
  </si>
  <si>
    <t>Cycle 3</t>
  </si>
  <si>
    <t>Insulated</t>
  </si>
  <si>
    <t>Index</t>
  </si>
  <si>
    <t>Valve Type</t>
  </si>
  <si>
    <t>Bore (for Ball Valve only)</t>
  </si>
  <si>
    <t>DN min</t>
  </si>
  <si>
    <t>DN max</t>
  </si>
  <si>
    <t>Rating</t>
  </si>
  <si>
    <t>Construction Code</t>
  </si>
  <si>
    <t>Body Contruction</t>
  </si>
  <si>
    <t>Valve Description</t>
  </si>
  <si>
    <t>Body Material</t>
  </si>
  <si>
    <t>Trim Matrial</t>
  </si>
  <si>
    <t>Ends Type</t>
  </si>
  <si>
    <t>Ends Face</t>
  </si>
  <si>
    <t>Trunnion / Floating</t>
  </si>
  <si>
    <t>Gear / Lever / Handwheel Operated</t>
  </si>
  <si>
    <t>Seat Type / Material</t>
  </si>
  <si>
    <t>Packing Type / Material</t>
  </si>
  <si>
    <t>NACE MR0175/ISO 15156</t>
  </si>
  <si>
    <t>Lethal Service</t>
  </si>
  <si>
    <t>Material Certification EN10204</t>
  </si>
  <si>
    <t>Disc Type</t>
  </si>
  <si>
    <t>Disc Material</t>
  </si>
  <si>
    <t>C.A. [mm]</t>
  </si>
  <si>
    <t>Fire Safe</t>
  </si>
  <si>
    <t>NOTE 1</t>
  </si>
  <si>
    <t>NOTE 2</t>
  </si>
  <si>
    <t>Ball_valve</t>
  </si>
  <si>
    <t>RB</t>
  </si>
  <si>
    <t>ISO 14313 / API 608</t>
  </si>
  <si>
    <t>Split Body</t>
  </si>
  <si>
    <t>A105</t>
  </si>
  <si>
    <t>F316</t>
  </si>
  <si>
    <t>Flange</t>
  </si>
  <si>
    <t>Floating</t>
  </si>
  <si>
    <t>Lever</t>
  </si>
  <si>
    <t>R-PTFE</t>
  </si>
  <si>
    <t>Graphite</t>
  </si>
  <si>
    <t>API 608 / ISO 10497</t>
  </si>
  <si>
    <t>Check_valve</t>
  </si>
  <si>
    <t>ISO 15761/API 602</t>
  </si>
  <si>
    <t>A216 WCB</t>
  </si>
  <si>
    <t>AISI 316</t>
  </si>
  <si>
    <t>Globe_valve</t>
  </si>
  <si>
    <t>ISO 14313 / API 611</t>
  </si>
  <si>
    <t>Handwheel</t>
  </si>
  <si>
    <t>Gate_valve</t>
  </si>
  <si>
    <t>DBB</t>
  </si>
  <si>
    <t>AISI 316L</t>
  </si>
  <si>
    <t>CS-900#</t>
  </si>
  <si>
    <t>Trunion</t>
  </si>
  <si>
    <t>gear</t>
  </si>
  <si>
    <t>SS-150#</t>
  </si>
  <si>
    <t>SS-900#</t>
  </si>
  <si>
    <t>SBB</t>
  </si>
  <si>
    <t>A 105</t>
  </si>
  <si>
    <t>EQUIPMENT WEIGHT CALCULATION</t>
  </si>
  <si>
    <t>Extraction</t>
  </si>
  <si>
    <t>Design Code</t>
  </si>
  <si>
    <t>ASME VIII</t>
  </si>
  <si>
    <t>div.1</t>
  </si>
  <si>
    <t>Orientation</t>
  </si>
  <si>
    <t>Vessel Orientation</t>
  </si>
  <si>
    <t>Vertical</t>
  </si>
  <si>
    <t>Design Temperature</t>
  </si>
  <si>
    <t>Design Pressure</t>
  </si>
  <si>
    <t>Design Data:</t>
  </si>
  <si>
    <t>Material</t>
  </si>
  <si>
    <t>Temperature</t>
  </si>
  <si>
    <t>°C</t>
  </si>
  <si>
    <t>Inside Diameter</t>
  </si>
  <si>
    <t>Internal Pressure</t>
  </si>
  <si>
    <t>barg</t>
  </si>
  <si>
    <t>Tan / Tan</t>
  </si>
  <si>
    <t>External Pressure</t>
  </si>
  <si>
    <t>Thickness</t>
  </si>
  <si>
    <t>Unit Weight</t>
  </si>
  <si>
    <t>Material Selection:</t>
  </si>
  <si>
    <t>from plate</t>
  </si>
  <si>
    <t>from piping</t>
  </si>
  <si>
    <t>Unit External Surface</t>
  </si>
  <si>
    <t>Shell</t>
  </si>
  <si>
    <t>SA-240 Gr.316L</t>
  </si>
  <si>
    <t>M1 DN</t>
  </si>
  <si>
    <t>Head</t>
  </si>
  <si>
    <t>M1 Rating</t>
  </si>
  <si>
    <t>M1 Type</t>
  </si>
  <si>
    <t>ASME VIII div.1</t>
  </si>
  <si>
    <t>M1 Quantity</t>
  </si>
  <si>
    <t>Maximum Allowable Stress Shell</t>
  </si>
  <si>
    <t>N/mm2</t>
  </si>
  <si>
    <t>M2 DN</t>
  </si>
  <si>
    <t>Maximum Allowable Stress Head</t>
  </si>
  <si>
    <t>M2 Rating</t>
  </si>
  <si>
    <t>ASME VIII div.2</t>
  </si>
  <si>
    <t>M2 Type</t>
  </si>
  <si>
    <t>M2 Quantity</t>
  </si>
  <si>
    <t>M3 DN</t>
  </si>
  <si>
    <t>M3 Rating</t>
  </si>
  <si>
    <t>Dimension:</t>
  </si>
  <si>
    <t>M3 Type</t>
  </si>
  <si>
    <t>SHELL 1 from plate</t>
  </si>
  <si>
    <t>SHELL 2 from plate</t>
  </si>
  <si>
    <t>SHELL 3 from piping</t>
  </si>
  <si>
    <t>M3 Quantity</t>
  </si>
  <si>
    <t>Nominal Diameter</t>
  </si>
  <si>
    <t>inch</t>
  </si>
  <si>
    <t>Shell insulation thk 1</t>
  </si>
  <si>
    <t>Shell Inside Diameter</t>
  </si>
  <si>
    <t>Head insulation thk 1</t>
  </si>
  <si>
    <t>Shell Outside Diameter</t>
  </si>
  <si>
    <t>Reducer insulation thk 1</t>
  </si>
  <si>
    <t>Shell insulation area 1</t>
  </si>
  <si>
    <t>Shell Unit Weight</t>
  </si>
  <si>
    <t>kg</t>
  </si>
  <si>
    <t>Head insulation area 1</t>
  </si>
  <si>
    <t>Shell Unit Volume</t>
  </si>
  <si>
    <t>m3</t>
  </si>
  <si>
    <t>Reducer insulation area 1</t>
  </si>
  <si>
    <t>Shell Unit External Surface</t>
  </si>
  <si>
    <t>m2</t>
  </si>
  <si>
    <t>Shell insulation thk 2</t>
  </si>
  <si>
    <t>Shell Insulated Diameter</t>
  </si>
  <si>
    <t>Head insulation thk 2</t>
  </si>
  <si>
    <t>Shell Unit Insulated Surface</t>
  </si>
  <si>
    <t>Reducer insulation thk 2</t>
  </si>
  <si>
    <t>Shell insulation area 2</t>
  </si>
  <si>
    <t>HEAD 1</t>
  </si>
  <si>
    <t>HEAD 2</t>
  </si>
  <si>
    <t>HEAD 3 from cap</t>
  </si>
  <si>
    <t>Head insulation area 2</t>
  </si>
  <si>
    <t>Head Inside Diameter</t>
  </si>
  <si>
    <t>Reducer insulation area 2</t>
  </si>
  <si>
    <t>Head Outside Diameter</t>
  </si>
  <si>
    <t>Shell insulation thk 3</t>
  </si>
  <si>
    <t>Head Height</t>
  </si>
  <si>
    <t>Head insulation thk 3</t>
  </si>
  <si>
    <t>Heads Quantity</t>
  </si>
  <si>
    <t>Reducer insulation thk 3</t>
  </si>
  <si>
    <t>Gap</t>
  </si>
  <si>
    <t>Shell insulation area 3</t>
  </si>
  <si>
    <t>Head Unit Weight</t>
  </si>
  <si>
    <t>Head insulation area 3</t>
  </si>
  <si>
    <t>Head Unit Volume</t>
  </si>
  <si>
    <t>Reducer insulation area 3</t>
  </si>
  <si>
    <t>Head Unit External Surface</t>
  </si>
  <si>
    <t>Head Insulated Diameter</t>
  </si>
  <si>
    <t>Head Unit Insulated Surface</t>
  </si>
  <si>
    <t>REDUCER 1</t>
  </si>
  <si>
    <t>REDUCER 2</t>
  </si>
  <si>
    <t>REDUCER 3</t>
  </si>
  <si>
    <t>Reducer Inside Max. Diameter</t>
  </si>
  <si>
    <t>Reducer Inside Min. Diameter</t>
  </si>
  <si>
    <t>Reducer Lenght</t>
  </si>
  <si>
    <t>Reducer Outside Max. Diameter</t>
  </si>
  <si>
    <t>Reducer Outside Min. Diameter</t>
  </si>
  <si>
    <t>Reducer Unit Weight</t>
  </si>
  <si>
    <t>Reducer Unit Volume</t>
  </si>
  <si>
    <t>Reducer Unit External Surface</t>
  </si>
  <si>
    <t>Reducer Insulated Max. Diameter</t>
  </si>
  <si>
    <t>Reducer Insulated Min. Diameter</t>
  </si>
  <si>
    <t>Reducer Unit Insulated Surface</t>
  </si>
  <si>
    <t>Min Allowable Thickness (with C.A.)</t>
  </si>
  <si>
    <t>Shell Thickness</t>
  </si>
  <si>
    <t>2:1 Elliptical Head Thickness</t>
  </si>
  <si>
    <t>Reducer Thickness</t>
  </si>
  <si>
    <t>Corrosion Allowance Shell/Cladding</t>
  </si>
  <si>
    <t>Corrosion Allowance  2:1 Elliptical Head/Cladding</t>
  </si>
  <si>
    <t>Corrosion Allowance Reducer/Cladding</t>
  </si>
  <si>
    <t>Final Shell Thickness</t>
  </si>
  <si>
    <t>Final 2:1 Elliptical Head Thickness</t>
  </si>
  <si>
    <t>Final Reducer Thickness</t>
  </si>
  <si>
    <t>Selected Piping Schedule</t>
  </si>
  <si>
    <t>Selected Piping Thickness</t>
  </si>
  <si>
    <t>Shell Insulation Thickness</t>
  </si>
  <si>
    <t>2:1 Elliptical Head Insulation Thickness</t>
  </si>
  <si>
    <t>Reducer Insulation Thickness</t>
  </si>
  <si>
    <t>Skirt:</t>
  </si>
  <si>
    <t>Internal Plate:</t>
  </si>
  <si>
    <t>Skirt Thickness</t>
  </si>
  <si>
    <t>Internal Plate Diameter</t>
  </si>
  <si>
    <t>Skirt Height</t>
  </si>
  <si>
    <t>Plate Thickness</t>
  </si>
  <si>
    <t>Skirt Plate Internal Diameter</t>
  </si>
  <si>
    <t>Quantity</t>
  </si>
  <si>
    <t>Skirt Plate Outside Diameter</t>
  </si>
  <si>
    <t>Skirt Plate Thickness</t>
  </si>
  <si>
    <t>Bundle:</t>
  </si>
  <si>
    <t>O.D.</t>
  </si>
  <si>
    <t>Thk.</t>
  </si>
  <si>
    <t>Bundle Lenght</t>
  </si>
  <si>
    <t>Bundle Type</t>
  </si>
  <si>
    <t>Tubes quantity</t>
  </si>
  <si>
    <t>cad</t>
  </si>
  <si>
    <t>Tube Lenght</t>
  </si>
  <si>
    <t>External Surface</t>
  </si>
  <si>
    <t>Steel density</t>
  </si>
  <si>
    <t>g/cm3</t>
  </si>
  <si>
    <t>Linear Weight</t>
  </si>
  <si>
    <t>kg/m</t>
  </si>
  <si>
    <t>Pipes weight</t>
  </si>
  <si>
    <t>Tubesheet</t>
  </si>
  <si>
    <t>Dia.</t>
  </si>
  <si>
    <t>Surface</t>
  </si>
  <si>
    <t>Weight</t>
  </si>
  <si>
    <t>Total Weight</t>
  </si>
  <si>
    <t>Weigths:</t>
  </si>
  <si>
    <t>Extrenal Surface:</t>
  </si>
  <si>
    <t>Insulated Surface:</t>
  </si>
  <si>
    <t>Heads</t>
  </si>
  <si>
    <t>Reducer</t>
  </si>
  <si>
    <t>Nozzles</t>
  </si>
  <si>
    <t>Skirt</t>
  </si>
  <si>
    <t>Volume:</t>
  </si>
  <si>
    <t>Skirt Plate</t>
  </si>
  <si>
    <t>Saddles</t>
  </si>
  <si>
    <t>Internal Plate</t>
  </si>
  <si>
    <t>Bundle</t>
  </si>
  <si>
    <t>Other</t>
  </si>
  <si>
    <t>Total External Surface</t>
  </si>
  <si>
    <t>Total Insulated Surface</t>
  </si>
  <si>
    <t>Total Volume</t>
  </si>
  <si>
    <t>Total Calculated Weight</t>
  </si>
  <si>
    <t>Total Estimated Weight</t>
  </si>
  <si>
    <t>NOZZLE TABLE</t>
  </si>
  <si>
    <t>Tag</t>
  </si>
  <si>
    <t>Type</t>
  </si>
  <si>
    <t>Description</t>
  </si>
  <si>
    <t>Unit Surface</t>
  </si>
  <si>
    <t>N1</t>
  </si>
  <si>
    <t>Welding Neck</t>
  </si>
  <si>
    <t>IN</t>
  </si>
  <si>
    <t>N2</t>
  </si>
  <si>
    <t>OUT</t>
  </si>
  <si>
    <t>N3</t>
  </si>
  <si>
    <t>TI / TT</t>
  </si>
  <si>
    <t>N4</t>
  </si>
  <si>
    <t>Blind</t>
  </si>
  <si>
    <t>FLANGE</t>
  </si>
  <si>
    <t>N5</t>
  </si>
  <si>
    <t>Catlyst unloading</t>
  </si>
  <si>
    <t>N6</t>
  </si>
  <si>
    <t>N7</t>
  </si>
  <si>
    <t>N8</t>
  </si>
  <si>
    <t>N9</t>
  </si>
  <si>
    <t>M1</t>
  </si>
  <si>
    <t>M2</t>
  </si>
  <si>
    <t>M3</t>
  </si>
  <si>
    <t/>
  </si>
  <si>
    <t>water in</t>
  </si>
  <si>
    <t>VENT</t>
  </si>
  <si>
    <t>SA-516 Gr.70</t>
  </si>
  <si>
    <t>LWN</t>
  </si>
  <si>
    <t>Horizontal</t>
  </si>
  <si>
    <t>IN/OUT</t>
  </si>
  <si>
    <t>SPARE</t>
  </si>
  <si>
    <t>MANHOLE</t>
  </si>
  <si>
    <t>Cost Summary</t>
  </si>
  <si>
    <t>Pos.</t>
  </si>
  <si>
    <t>Cost type code</t>
  </si>
  <si>
    <t>U.M.</t>
  </si>
  <si>
    <t>Quanity</t>
  </si>
  <si>
    <t>Unit Cost</t>
  </si>
  <si>
    <t>Cost %</t>
  </si>
  <si>
    <t>Total Cost</t>
  </si>
  <si>
    <t>Note</t>
  </si>
  <si>
    <t>€/U.M.</t>
  </si>
  <si>
    <t>€</t>
  </si>
  <si>
    <t>STRUCTURES</t>
  </si>
  <si>
    <t>Skid Structures Supply</t>
  </si>
  <si>
    <t>Aux. Structure Supply</t>
  </si>
  <si>
    <t>FABRICATION / ASSEMBLING /TESTS</t>
  </si>
  <si>
    <t>Skid Structures Fabrication</t>
  </si>
  <si>
    <t>Aux. Structure Fabrication</t>
  </si>
  <si>
    <t>PIPE &amp; FITTINGS</t>
  </si>
  <si>
    <t>Carbon Steel Piping Supply</t>
  </si>
  <si>
    <t>Stainless Steel Piping Supply</t>
  </si>
  <si>
    <t>Duplex Stainless Steel Piping Supply</t>
  </si>
  <si>
    <t>Incoloy 625/685 Piping Supply</t>
  </si>
  <si>
    <t>Carbon Steel Piping Fabrication</t>
  </si>
  <si>
    <t>d-inches</t>
  </si>
  <si>
    <t>Stainless Steel Piping Fabrication</t>
  </si>
  <si>
    <t>Duplex Stainless Steel Piping Fabrication</t>
  </si>
  <si>
    <t>Incoloy 625/685 Piping Fabrication</t>
  </si>
  <si>
    <t>NDE &amp; Hydrotest &amp; PWHT</t>
  </si>
  <si>
    <t>set</t>
  </si>
  <si>
    <t>MANUAL VALVES</t>
  </si>
  <si>
    <t>Manual Valve Supply</t>
  </si>
  <si>
    <t>INSTRUMENTATION</t>
  </si>
  <si>
    <t>Instrumentation Supply</t>
  </si>
  <si>
    <t>EQUIPMENT</t>
  </si>
  <si>
    <t>Equipment Supply</t>
  </si>
  <si>
    <t>MACHINERY</t>
  </si>
  <si>
    <t>Machinery Supply</t>
  </si>
  <si>
    <t>OTHER COSTS</t>
  </si>
  <si>
    <t>Accessiories</t>
  </si>
  <si>
    <t>Skid Structures Installation</t>
  </si>
  <si>
    <t>Piping Installation</t>
  </si>
  <si>
    <t>Valve Installation</t>
  </si>
  <si>
    <t>Equipment Installation</t>
  </si>
  <si>
    <t>Machinery Installation</t>
  </si>
  <si>
    <t>Assembling&amp;Dismalting</t>
  </si>
  <si>
    <t>PACKING &amp; SHIPMENT</t>
  </si>
  <si>
    <t>Packing</t>
  </si>
  <si>
    <t>Collaudo</t>
  </si>
  <si>
    <t>Instrument assembly</t>
  </si>
  <si>
    <t>h</t>
  </si>
  <si>
    <t>ESTERNI</t>
  </si>
  <si>
    <t xml:space="preserve">STD </t>
  </si>
  <si>
    <t>Insultation</t>
  </si>
  <si>
    <t>ENGINEERING</t>
  </si>
  <si>
    <t>ENGINEERING ESTERNA</t>
  </si>
  <si>
    <t>Setacci Molecolari Dryer</t>
  </si>
  <si>
    <t>ENGINEERING INTERNA</t>
  </si>
  <si>
    <t>QUALITA</t>
  </si>
  <si>
    <t>ACQUISTI</t>
  </si>
  <si>
    <t>CERTIFICAZIONI</t>
  </si>
  <si>
    <t>TOTAL COST</t>
  </si>
  <si>
    <t>Cost Summary by category</t>
  </si>
  <si>
    <t>PROG</t>
  </si>
  <si>
    <t>CAT1</t>
  </si>
  <si>
    <t>CAT1_DESC</t>
  </si>
  <si>
    <t>CAT2</t>
  </si>
  <si>
    <t>ARTICOLI (IT)</t>
  </si>
  <si>
    <t>ARTICOLI (EN)</t>
  </si>
  <si>
    <t>COST TYPE</t>
  </si>
  <si>
    <t>MA100</t>
  </si>
  <si>
    <t>MA</t>
  </si>
  <si>
    <t>Mechanical Vessel / Heater Eng.</t>
  </si>
  <si>
    <t>Progettazione vessel</t>
  </si>
  <si>
    <t>Vessel Engineering</t>
  </si>
  <si>
    <t>MA200</t>
  </si>
  <si>
    <t>Mechanical Eng.</t>
  </si>
  <si>
    <t>Progettazione piping
Progettazione componenti meccanici
Stress Analysis</t>
  </si>
  <si>
    <t>Piping Engineering
Mechanical Components Engineering
Stress Analysis</t>
  </si>
  <si>
    <t>MA300</t>
  </si>
  <si>
    <t>Elect./Instr. Eng.</t>
  </si>
  <si>
    <t>Progettazione elettro-strumentale
Classificazione aree pericolose</t>
  </si>
  <si>
    <t>Instruments and Electrical Components Engineering
Hazardous Area Classification</t>
  </si>
  <si>
    <t>MA400</t>
  </si>
  <si>
    <t>Process &amp; Termal Calculation</t>
  </si>
  <si>
    <t>Ingegneria di base
Ingegneria di processo</t>
  </si>
  <si>
    <t>Basic Engineering
Process Engineering</t>
  </si>
  <si>
    <t>MA500</t>
  </si>
  <si>
    <t xml:space="preserve">Civil Engineering </t>
  </si>
  <si>
    <t>Progettazione Opere Civili</t>
  </si>
  <si>
    <t>MA600</t>
  </si>
  <si>
    <t>Project Manager</t>
  </si>
  <si>
    <t>PM</t>
  </si>
  <si>
    <t>MA610</t>
  </si>
  <si>
    <t>Project Engineering</t>
  </si>
  <si>
    <t>PE</t>
  </si>
  <si>
    <t>MA620</t>
  </si>
  <si>
    <t>Buyer</t>
  </si>
  <si>
    <t>Acquisti</t>
  </si>
  <si>
    <t>MA630</t>
  </si>
  <si>
    <t>Quality Control</t>
  </si>
  <si>
    <t>Qualità</t>
  </si>
  <si>
    <t>MA640</t>
  </si>
  <si>
    <t>Expediting</t>
  </si>
  <si>
    <t>MB110</t>
  </si>
  <si>
    <t>MB</t>
  </si>
  <si>
    <t>Tanks</t>
  </si>
  <si>
    <t>Serbatoio accumulo condensa
Serbatoio di accumulo circuito acqua
Vaso di espansione circuito acqua</t>
  </si>
  <si>
    <t>Condensate tank
Water tank
Expansion tank</t>
  </si>
  <si>
    <t>MB111</t>
  </si>
  <si>
    <t>Inlet Scrubber</t>
  </si>
  <si>
    <t>For proces Packages</t>
  </si>
  <si>
    <t>MB112</t>
  </si>
  <si>
    <t>Outlet Scrubber</t>
  </si>
  <si>
    <t>MB113</t>
  </si>
  <si>
    <t>Flash Drum</t>
  </si>
  <si>
    <t>MB114</t>
  </si>
  <si>
    <t>Glycol Reboiler</t>
  </si>
  <si>
    <t>MB115</t>
  </si>
  <si>
    <t>OVHD Vapours KO Drum</t>
  </si>
  <si>
    <t>MB116</t>
  </si>
  <si>
    <t>Surge Drum</t>
  </si>
  <si>
    <t>MB120</t>
  </si>
  <si>
    <t>Columns</t>
  </si>
  <si>
    <t>MB121</t>
  </si>
  <si>
    <t>Dehydration Column</t>
  </si>
  <si>
    <t>MB122</t>
  </si>
  <si>
    <t>Still Column</t>
  </si>
  <si>
    <t>MB123</t>
  </si>
  <si>
    <t>Stripping Column</t>
  </si>
  <si>
    <t>MB130</t>
  </si>
  <si>
    <t>Separators</t>
  </si>
  <si>
    <t>KO Drum
Scrubber (Vane, cyclones, meshpad, …)</t>
  </si>
  <si>
    <t>MB140</t>
  </si>
  <si>
    <t>Filter separators</t>
  </si>
  <si>
    <t>Filtri Separatori a cartuccia + Vane 
Filtri separatori a cicloni+cartuccia
Filtri Separatori a cartuccia</t>
  </si>
  <si>
    <t>Cartridge + Vane Filter Separator
Cyclones + Cartridge Filter Separator
Cartridge Filter Separator</t>
  </si>
  <si>
    <t>MB150</t>
  </si>
  <si>
    <t>Filters</t>
  </si>
  <si>
    <t>Filtro a cartuccie standard HFA / HF
Filtri a cestello
Filtri temporanei</t>
  </si>
  <si>
    <t>Standard cartridge filter HFA / HF
Basket Filter
Temporary Filter</t>
  </si>
  <si>
    <t>MB151</t>
  </si>
  <si>
    <t>Glycol Filters</t>
  </si>
  <si>
    <t>MB152</t>
  </si>
  <si>
    <t>Carbon Filters</t>
  </si>
  <si>
    <t>MB160</t>
  </si>
  <si>
    <t>Pig Traps</t>
  </si>
  <si>
    <t>Trappole di lancio</t>
  </si>
  <si>
    <t>Pig launcher/receivers</t>
  </si>
  <si>
    <t>MB210</t>
  </si>
  <si>
    <t>Shell &amp; Tube Heat Exchanger</t>
  </si>
  <si>
    <t xml:space="preserve">Scambiatore a fascio tubiero standard KSI
Scambiatore a fascio tubiero  </t>
  </si>
  <si>
    <t>Tube Bundle heat exchanger  KSI
Tube Bundle heat exchanger</t>
  </si>
  <si>
    <t>MB211</t>
  </si>
  <si>
    <t>Lean / Rich Heat Exchanger</t>
  </si>
  <si>
    <t>MB212</t>
  </si>
  <si>
    <t>Reflux Condenser</t>
  </si>
  <si>
    <t>MB213</t>
  </si>
  <si>
    <t>S&amp;T OVHD Vapours Condenser</t>
  </si>
  <si>
    <t>MB214</t>
  </si>
  <si>
    <t>S&amp;T Lean Glycol Cooler</t>
  </si>
  <si>
    <t>MB220</t>
  </si>
  <si>
    <t>Air Cooler</t>
  </si>
  <si>
    <t>MB221</t>
  </si>
  <si>
    <t>Air Lean Glycol Cooler</t>
  </si>
  <si>
    <t>MB222</t>
  </si>
  <si>
    <t>Air OVHD Vapours Condenser</t>
  </si>
  <si>
    <t>MB230</t>
  </si>
  <si>
    <t>Plate Heat Exchanger</t>
  </si>
  <si>
    <t>MB310</t>
  </si>
  <si>
    <t>Direct Heater</t>
  </si>
  <si>
    <t>MB320</t>
  </si>
  <si>
    <t>Indirect Heater</t>
  </si>
  <si>
    <t>WBH
Camino per WBH</t>
  </si>
  <si>
    <t>Wather Bath Heater 
Chimney</t>
  </si>
  <si>
    <t>MB330</t>
  </si>
  <si>
    <t>Coil For Indirect Heater</t>
  </si>
  <si>
    <t>Serpentina per scambiatori indiretti</t>
  </si>
  <si>
    <t>MB335</t>
  </si>
  <si>
    <t>Tube bundle</t>
  </si>
  <si>
    <t>Fascio tubiero</t>
  </si>
  <si>
    <t>Tube Bundle</t>
  </si>
  <si>
    <t>MB410</t>
  </si>
  <si>
    <t>Direct electric heaters</t>
  </si>
  <si>
    <t>MB420</t>
  </si>
  <si>
    <t>Indirect electric heaters</t>
  </si>
  <si>
    <t>Scambiatore elettrico a bagno acqua/olio</t>
  </si>
  <si>
    <t>Electrical Oil/Water  bath heater</t>
  </si>
  <si>
    <t>MB600</t>
  </si>
  <si>
    <t>Quick opening closures</t>
  </si>
  <si>
    <t>Chiusura rapida</t>
  </si>
  <si>
    <t>MB710</t>
  </si>
  <si>
    <t>Trays</t>
  </si>
  <si>
    <t>MB720</t>
  </si>
  <si>
    <t>Demisters</t>
  </si>
  <si>
    <t>MB730</t>
  </si>
  <si>
    <t>Vanes</t>
  </si>
  <si>
    <t>MB731</t>
  </si>
  <si>
    <t>Vane for Inlet Scrubber</t>
  </si>
  <si>
    <t>MB732</t>
  </si>
  <si>
    <t>Vane for Dehydration Column</t>
  </si>
  <si>
    <t>MB740</t>
  </si>
  <si>
    <t>Cartridges</t>
  </si>
  <si>
    <t>Cartucce filtranti</t>
  </si>
  <si>
    <t>MB750</t>
  </si>
  <si>
    <t>Cyclones</t>
  </si>
  <si>
    <t>Pacco cicloni</t>
  </si>
  <si>
    <t>MB760</t>
  </si>
  <si>
    <t>Process packing/beds</t>
  </si>
  <si>
    <t>MB770</t>
  </si>
  <si>
    <t>Membranes</t>
  </si>
  <si>
    <t>MB780</t>
  </si>
  <si>
    <t>Internal distributors and supports</t>
  </si>
  <si>
    <t>MB781</t>
  </si>
  <si>
    <t>Inlet Gas Distributor for Inlet Scubber</t>
  </si>
  <si>
    <t>MB782</t>
  </si>
  <si>
    <t>Inlet Gas Distributor for Outlet Scubber</t>
  </si>
  <si>
    <t>MB783</t>
  </si>
  <si>
    <t>Inlet Gas Distributor for Dehydration Column</t>
  </si>
  <si>
    <t>MB784</t>
  </si>
  <si>
    <t>Inlet Glycol Distributor for Dehydration Column</t>
  </si>
  <si>
    <t>MB785</t>
  </si>
  <si>
    <t>Inlet Glycol Distributor for Still Column</t>
  </si>
  <si>
    <t>MB790</t>
  </si>
  <si>
    <t>Refractory</t>
  </si>
  <si>
    <t>Refrattario</t>
  </si>
  <si>
    <t>MB810</t>
  </si>
  <si>
    <t>Flare</t>
  </si>
  <si>
    <t>MB820</t>
  </si>
  <si>
    <t>Cold Vent Stack</t>
  </si>
  <si>
    <t>Terminali di sfiato
Arrestatori di fiamma</t>
  </si>
  <si>
    <t>Vents
Flame arrestor</t>
  </si>
  <si>
    <t>MC200</t>
  </si>
  <si>
    <t>MC</t>
  </si>
  <si>
    <t>PACKAGES</t>
  </si>
  <si>
    <t>Boilers</t>
  </si>
  <si>
    <t>Caldaia
Camino per caldaia</t>
  </si>
  <si>
    <t>Boiler
Chimney</t>
  </si>
  <si>
    <t>MC300</t>
  </si>
  <si>
    <t>Burners</t>
  </si>
  <si>
    <t>Bruciatore</t>
  </si>
  <si>
    <t>Burner</t>
  </si>
  <si>
    <t>MC500</t>
  </si>
  <si>
    <t>Odorization systems</t>
  </si>
  <si>
    <t>Sistemi odorizzazione (completi)</t>
  </si>
  <si>
    <t>MC600</t>
  </si>
  <si>
    <t>Incinerators</t>
  </si>
  <si>
    <t>Inceneritori</t>
  </si>
  <si>
    <t>MC700</t>
  </si>
  <si>
    <t>Firefighting system</t>
  </si>
  <si>
    <t>Sistema antincendio</t>
  </si>
  <si>
    <t>MC800</t>
  </si>
  <si>
    <t>Other Package</t>
  </si>
  <si>
    <t>Bombole azoto
Kit riduzione azoto
Generatore di corrente
Gas generator
Gas dryer, etc</t>
  </si>
  <si>
    <t>Nitrogen Bottles
Nitrogen Reduction unit
Generator
Gas generator
Gas dryer</t>
  </si>
  <si>
    <t>MD100</t>
  </si>
  <si>
    <t>MD</t>
  </si>
  <si>
    <t>Pumps</t>
  </si>
  <si>
    <t>Pompa
Motore pompa
Quadro comando pompa
Accessori pompa</t>
  </si>
  <si>
    <t>Pump
Pump motor
pump control cabinet
Pump accessories</t>
  </si>
  <si>
    <t>MD110</t>
  </si>
  <si>
    <t>Centrifugal Pumps</t>
  </si>
  <si>
    <t>Pompe centrifughe</t>
  </si>
  <si>
    <t>Centrifugal pumps</t>
  </si>
  <si>
    <t>MD120</t>
  </si>
  <si>
    <t>Reciprocating Pumps</t>
  </si>
  <si>
    <t>Pompe a pistone</t>
  </si>
  <si>
    <t>Reciprocating pumps</t>
  </si>
  <si>
    <t>MD130</t>
  </si>
  <si>
    <t>Chemical Injection Pumps</t>
  </si>
  <si>
    <t>Pompe dosaggio reagenti chimici</t>
  </si>
  <si>
    <t>MD200</t>
  </si>
  <si>
    <t>Compressors</t>
  </si>
  <si>
    <t>Compressori alternativi
Compressori a palette
Compressori ad anello liquido
Compressori a lobi
Compressori a vite
Compressori a spirale
Compressori centrifughi
Compressori assiali</t>
  </si>
  <si>
    <t>Reciprocating compressors
Rotary Vane compressors
Rotary Liquid Ring Compressors
Rotary Lobe Compressor
Rotary Screw Compressor
Scrolls
Centrifugal Compressors
Axial Compressors</t>
  </si>
  <si>
    <t>MD300</t>
  </si>
  <si>
    <t>Mixers</t>
  </si>
  <si>
    <t>Miscelatori</t>
  </si>
  <si>
    <t>MD410</t>
  </si>
  <si>
    <t>Fans</t>
  </si>
  <si>
    <t>Ventilatori</t>
  </si>
  <si>
    <t>MD420</t>
  </si>
  <si>
    <t>Blowers</t>
  </si>
  <si>
    <t>Soffianti</t>
  </si>
  <si>
    <t>MD500</t>
  </si>
  <si>
    <t>Other Machinery</t>
  </si>
  <si>
    <t>ME110</t>
  </si>
  <si>
    <t>ME</t>
  </si>
  <si>
    <t>Ball valves &lt;=2"</t>
  </si>
  <si>
    <t>Valvole a sfera &lt;= 2"
BAR STOCK
SPLIT BODY
Leva</t>
  </si>
  <si>
    <t>Ball valve &lt;= 2"
BAR STOCK
SPLIT BODY
Lever</t>
  </si>
  <si>
    <t>ME120</t>
  </si>
  <si>
    <t>Ball valves &gt;2"</t>
  </si>
  <si>
    <t>Valvole a sfera &gt; 2"
TRUNNION imbullonate
TRUNNION saldate
BAR STOCK
SPLIT BODY
Leva o riduttore di coppia</t>
  </si>
  <si>
    <t>Ball valve &gt; 2"
TRUNNION bolted
TRUNNION fully welded
BAR STOCK
SPLIT BODY
Lever or gear</t>
  </si>
  <si>
    <t>ME121</t>
  </si>
  <si>
    <t>Forging - bars</t>
  </si>
  <si>
    <t>SPLIT BODY (per area valvole)</t>
  </si>
  <si>
    <t>SPLIT BODY ( for Valves Division)</t>
  </si>
  <si>
    <t>ME122</t>
  </si>
  <si>
    <t>Ball</t>
  </si>
  <si>
    <t>Sfera (per area valvole)</t>
  </si>
  <si>
    <t>Ball (for Valves Division)</t>
  </si>
  <si>
    <t>ME123</t>
  </si>
  <si>
    <t>Seats</t>
  </si>
  <si>
    <t>Sedi (per area valvole)</t>
  </si>
  <si>
    <t>Seats (for Valves Division)</t>
  </si>
  <si>
    <t>ME124</t>
  </si>
  <si>
    <t>Stem</t>
  </si>
  <si>
    <t>Stelo (per area valvole)</t>
  </si>
  <si>
    <t>Stem (for Valves Division)</t>
  </si>
  <si>
    <t>ME125</t>
  </si>
  <si>
    <t>Stem Ext.</t>
  </si>
  <si>
    <t>Estensione stelo (per area valvole)</t>
  </si>
  <si>
    <t>Stem Extension (for Valves Division)</t>
  </si>
  <si>
    <t>ME126</t>
  </si>
  <si>
    <t>Body</t>
  </si>
  <si>
    <t>Corpo (per area valvole)</t>
  </si>
  <si>
    <t>ME127</t>
  </si>
  <si>
    <t>Terminal</t>
  </si>
  <si>
    <t>Imbocco (per area valvole)</t>
  </si>
  <si>
    <t>ME128</t>
  </si>
  <si>
    <t>Bonnet</t>
  </si>
  <si>
    <t>Coperchio (per area valvole)</t>
  </si>
  <si>
    <t>ME129</t>
  </si>
  <si>
    <t>Valve Gaskets</t>
  </si>
  <si>
    <t>O.ring
Lip Seal
Pacchi baderna
Fire Safe</t>
  </si>
  <si>
    <t>ME130</t>
  </si>
  <si>
    <t>Thrust Bearing</t>
  </si>
  <si>
    <t>Cuscinetti</t>
  </si>
  <si>
    <t>ME131</t>
  </si>
  <si>
    <t>Valve Fittings</t>
  </si>
  <si>
    <t>Drain
Vent
Sealing fittings</t>
  </si>
  <si>
    <t>ME132</t>
  </si>
  <si>
    <t>Pups</t>
  </si>
  <si>
    <t>ME199</t>
  </si>
  <si>
    <t>Other components (PF Valves)</t>
  </si>
  <si>
    <t>Altri componenti (per valvole produzione PF)</t>
  </si>
  <si>
    <t>Other components (For PF Production Valves)</t>
  </si>
  <si>
    <t>ME200</t>
  </si>
  <si>
    <t>Globe valves</t>
  </si>
  <si>
    <t>Valvola Globo</t>
  </si>
  <si>
    <t>ME300</t>
  </si>
  <si>
    <t>Gate valves</t>
  </si>
  <si>
    <t>Valvola a saracinesca (SA/FI, SA/FL)</t>
  </si>
  <si>
    <t>ME400</t>
  </si>
  <si>
    <t>Check  valves</t>
  </si>
  <si>
    <t>Valvola ritegno gas
Valvola ritegno acqua</t>
  </si>
  <si>
    <t>ME500</t>
  </si>
  <si>
    <t>Plug Valves</t>
  </si>
  <si>
    <t>Valvole maschio</t>
  </si>
  <si>
    <t>ME600</t>
  </si>
  <si>
    <t>Butterfly Valves</t>
  </si>
  <si>
    <t>Valvole a farfalla</t>
  </si>
  <si>
    <t>ME700</t>
  </si>
  <si>
    <t>Other valves</t>
  </si>
  <si>
    <t>Valvole a spillo</t>
  </si>
  <si>
    <t>Needle valve</t>
  </si>
  <si>
    <t>MF110</t>
  </si>
  <si>
    <t>MF</t>
  </si>
  <si>
    <t>Ultrasonic flow meters</t>
  </si>
  <si>
    <t>Contatore Ultrasonico
Calibrazione contatore
Raddrizzatore di flusso
Accessori</t>
  </si>
  <si>
    <t>Ultrasonic Flow meter
Calibration
Flow straightner
Accessories</t>
  </si>
  <si>
    <t>MF120</t>
  </si>
  <si>
    <t xml:space="preserve">Turbine flow meters </t>
  </si>
  <si>
    <t>Contatore a turbina
Calibrazione contatore ultasonico
Raddrizzatore di flusso
Accessori</t>
  </si>
  <si>
    <t>Turbine Flow meter
Calibration
Flow straightner
Accessories</t>
  </si>
  <si>
    <t>MF130</t>
  </si>
  <si>
    <t>Vortex</t>
  </si>
  <si>
    <t>Vortex and Accessories</t>
  </si>
  <si>
    <t>MF140</t>
  </si>
  <si>
    <t>Flow elements - orifices</t>
  </si>
  <si>
    <t>Dischi 
Portadischi FIOMASTER / FIOMINOR
Barilotti per fittings
Flussostato
Raddrizzatore di flusso</t>
  </si>
  <si>
    <t>Disc
Disc holder FIOMASTER / FIOMINOR
Instrumentation for orife fittings
Flow straightner
Quantometer</t>
  </si>
  <si>
    <t>MF141</t>
  </si>
  <si>
    <t>(per area valvole)</t>
  </si>
  <si>
    <t>(for valves Division)</t>
  </si>
  <si>
    <t>MF142</t>
  </si>
  <si>
    <t>MF143</t>
  </si>
  <si>
    <t>MF144</t>
  </si>
  <si>
    <t>Casting</t>
  </si>
  <si>
    <t>MF145</t>
  </si>
  <si>
    <t>other components (orifice)</t>
  </si>
  <si>
    <t>MF150</t>
  </si>
  <si>
    <t>Anubar / pitot</t>
  </si>
  <si>
    <t>MF160</t>
  </si>
  <si>
    <t>Coriolis</t>
  </si>
  <si>
    <t>MF170</t>
  </si>
  <si>
    <t>MPFM</t>
  </si>
  <si>
    <t>(per Div. MPFM)</t>
  </si>
  <si>
    <t>(for MPFM Division)</t>
  </si>
  <si>
    <t>MF171</t>
  </si>
  <si>
    <t>Gamma</t>
  </si>
  <si>
    <t>MF172</t>
  </si>
  <si>
    <t>Sensori Wet Gas</t>
  </si>
  <si>
    <t>MF173</t>
  </si>
  <si>
    <t>Nir</t>
  </si>
  <si>
    <t>MF174</t>
  </si>
  <si>
    <t>Venturi</t>
  </si>
  <si>
    <t>Modulo Venturi (MPFM)</t>
  </si>
  <si>
    <t>Venturi Module (MPFM)</t>
  </si>
  <si>
    <t>MF175</t>
  </si>
  <si>
    <t xml:space="preserve">Impedence </t>
  </si>
  <si>
    <t>Impedence Module (MPFM)</t>
  </si>
  <si>
    <t>MF200</t>
  </si>
  <si>
    <t>Instruments</t>
  </si>
  <si>
    <t>Segnalatore passaggio Pig
Sonda erosione
Corrosion coupon
Altri strumenti</t>
  </si>
  <si>
    <t>Pig signaller
Erosion probe
Corrosion coupon
Other instruments</t>
  </si>
  <si>
    <t>MF210</t>
  </si>
  <si>
    <t>Indicators</t>
  </si>
  <si>
    <t>Termometro
Registratore di temperatura su carta
Pozzetto
Termocoppia
Manometro
Manometro  differenziale
Registratore di pressione su carta
Indicatori di intasamento
Indicatore di livello
Indicatore di livello
Indicatore di livello a vetro</t>
  </si>
  <si>
    <t>Temperature indicator 
Thermograph
Thermowell
Thermocouple
Pressure gauge
Differential Pressure Indicator
Clogging Indicators
Manograph
Level Indicator
Level gauge
Level glass</t>
  </si>
  <si>
    <t>MF220</t>
  </si>
  <si>
    <t>Transmitters</t>
  </si>
  <si>
    <t>Trasmettitore temperatura
Trasmettitore di pressione
Trasmettitore di pressione differenziale
Trasmettitore di livello</t>
  </si>
  <si>
    <t>Temperature Transmitter
Pressure Transmitter
Differential Pressure Transmitters
Level Transmitter</t>
  </si>
  <si>
    <t>MF230</t>
  </si>
  <si>
    <t>Switches</t>
  </si>
  <si>
    <t>Termostato
Pressostato
Livellostato
Finecorsa</t>
  </si>
  <si>
    <t>Temperature switch
Pressure switch
Level switch
Positioner / Limit switch</t>
  </si>
  <si>
    <t>MF310</t>
  </si>
  <si>
    <t>Gas chromatograph</t>
  </si>
  <si>
    <t>Gas cromatografo - Unità di controllo
Gas cromatografo - Unità analitica
Bombole per carrier gas
Bombole per gas di calibrazione</t>
  </si>
  <si>
    <t>Gas Chromatograph Control Unit
Gas Chromatograph Analytic Unit
Bottles of carrier gas
Bottles of calibration gas</t>
  </si>
  <si>
    <t>MF320</t>
  </si>
  <si>
    <t>Dew Point Analyzers (H2O, HC)</t>
  </si>
  <si>
    <t>Analizzatore H2O
Analizzatore HC
Analizzatore di umidità
Accessori</t>
  </si>
  <si>
    <t>H2O analyzer
HC analyzer
Moisture analyzer
Accessories</t>
  </si>
  <si>
    <t>MF330</t>
  </si>
  <si>
    <t>Sampling system</t>
  </si>
  <si>
    <t xml:space="preserve">Sistema di campionamento per analizzatori
Gruppo di riduzione per sistema di campionamento </t>
  </si>
  <si>
    <t>Sampling system 
Reduction unit for sampling system</t>
  </si>
  <si>
    <t>MF340</t>
  </si>
  <si>
    <t>Analyzer (O2, etc.)</t>
  </si>
  <si>
    <t>Analizzatore O2
Analizzatore di zolfo e componemti dello zolfo
Densimetro
Altri analizzatori
Accessori</t>
  </si>
  <si>
    <t>O2 analizer 
Sulphur and Sulphur compounds Analyzer
Densitometer
Other Analyzer
Accessories</t>
  </si>
  <si>
    <t>MF400</t>
  </si>
  <si>
    <t>Actuators</t>
  </si>
  <si>
    <t>Attuatore elettrico
Attuatore pneumatico
Attuatore Gas over oil
Pannello comando attuatore</t>
  </si>
  <si>
    <t>Electrical actuator
Pneumatic actuator
Gas over oil actuator
Actuator control panel</t>
  </si>
  <si>
    <t>MF402</t>
  </si>
  <si>
    <t>Pneumatic Actuators</t>
  </si>
  <si>
    <t>MF403</t>
  </si>
  <si>
    <t>Hydraulic Actuators</t>
  </si>
  <si>
    <t>MF404</t>
  </si>
  <si>
    <t>Electro Hydraulic Actuators</t>
  </si>
  <si>
    <t>MF405</t>
  </si>
  <si>
    <t>Electric Actuators</t>
  </si>
  <si>
    <t>MF406</t>
  </si>
  <si>
    <t>Gear Operator</t>
  </si>
  <si>
    <t>MF510</t>
  </si>
  <si>
    <t>Control valves</t>
  </si>
  <si>
    <t>Valvola controllo pressione
Valvola controllo temperatura 
Valvola 2 vie
Valvola 3 vie
Valvola controllo livello  (valvola + attuatore)
Valvola controllo portata  (valvola + attuatore)</t>
  </si>
  <si>
    <t>Pressure control valve
Temperature control valve 
2-ways valve
3-ways valve
Level Control Valve (valve + actuator)
Flow Control Valve (valve + actuator)</t>
  </si>
  <si>
    <t>MF520</t>
  </si>
  <si>
    <r>
      <t xml:space="preserve">Regulators </t>
    </r>
    <r>
      <rPr>
        <sz val="11"/>
        <rFont val="Calibri"/>
        <family val="2"/>
      </rPr>
      <t>and Slum Shut Valves</t>
    </r>
  </si>
  <si>
    <t>Regolatore 
Valvola di blocco
Silenziatore
Pressostato
Piloti per regolatori
Preriduttori per piloti
Regolatori per circuiti pneumatici
Sistemi di controllo elettropneumatici
Sistema F.I.O. 
Microinterruttori
Accessori per regolatori e valvole di blocco</t>
  </si>
  <si>
    <t>Pressure regulator
Slam shut Valve
Silencer 
Pressure switch 
Pilot 
Pre-regulators for pilots
regulators for pneumatic circuits
Electropneumatic Control system
F.I.O. System
Microswitches 
Components for regulators and Slam Shut Valves</t>
  </si>
  <si>
    <t>MF530</t>
  </si>
  <si>
    <t>ON/OFF Actuated Valve</t>
  </si>
  <si>
    <t>Valvola a sfera attuate (valvola + attuatore)
Valvola maschio attuate (valvola + attuatore)
Valvole ON /OFF attuate
(Valvole complete di attuatore, solo per prodotti di acquisto)</t>
  </si>
  <si>
    <t>Actuated ball valves (valve + actuator)
Actuated plug valve (valve + actuator)
Actuated ON/OFF valves
(Valves c/w actuator, only for purchased products)</t>
  </si>
  <si>
    <t>MF600</t>
  </si>
  <si>
    <t>Safety relief valves</t>
  </si>
  <si>
    <t>Valvola di sfioro
Valvola di sicurezza
Disco di rottura</t>
  </si>
  <si>
    <t>Pressure relief valve
Safety valve
Rupture disc</t>
  </si>
  <si>
    <t>MF700</t>
  </si>
  <si>
    <t>Solenoid valves</t>
  </si>
  <si>
    <t>Elettrovalvola</t>
  </si>
  <si>
    <t>MF810</t>
  </si>
  <si>
    <t>Control panels</t>
  </si>
  <si>
    <t>PLC
DCS
HMI</t>
  </si>
  <si>
    <t>MF820</t>
  </si>
  <si>
    <t>Measure panels</t>
  </si>
  <si>
    <t>Pannello di controllo per unità di misura</t>
  </si>
  <si>
    <t>MF840</t>
  </si>
  <si>
    <t>Flow computer</t>
  </si>
  <si>
    <t>Flowcomputers
FLOWeb
Explorer
Data Logger
Correttore volumetrico
Convertitore PTZ</t>
  </si>
  <si>
    <t>Flowcomputers
FLOWeb
Explorer
Data Logger
Volume corrector
PTZ converter</t>
  </si>
  <si>
    <t>MF841</t>
  </si>
  <si>
    <t>Flow Computer Cabinet - Hazardous area</t>
  </si>
  <si>
    <t>Cabinato per Flow computer - Area pericolosa (per area valvole)</t>
  </si>
  <si>
    <t>MF842</t>
  </si>
  <si>
    <t>Flow Computer Cabinet - Safe Area</t>
  </si>
  <si>
    <t>Cabinato per Flow computer - Area sicura (per area valvole)</t>
  </si>
  <si>
    <t>MF843</t>
  </si>
  <si>
    <t>PC - Lap Top</t>
  </si>
  <si>
    <t>MF900</t>
  </si>
  <si>
    <t>Accessories/Miscellaneous</t>
  </si>
  <si>
    <t xml:space="preserve">manifold a 3 vie
manifold a 5 vie
valvola di radice
Cappottina strumenti 
Paline, staffe e supporti per strumenti
Accessori per strumenti </t>
  </si>
  <si>
    <t>3-ways manifold
5-way manifold
root valve
Sunshade for instruments S
Instruments supports
Accessories</t>
  </si>
  <si>
    <t>MF910</t>
  </si>
  <si>
    <t>Electrical Bulk Material and Accessories</t>
  </si>
  <si>
    <t>Box alimentazione comandi
Custodia EX</t>
  </si>
  <si>
    <t>MF920</t>
  </si>
  <si>
    <t>Pneumatic Bulk Material and Accessories</t>
  </si>
  <si>
    <t>Tubo in gomma trasparente
Tubo nylon neutro
Tubo flessibile</t>
  </si>
  <si>
    <t>MG100</t>
  </si>
  <si>
    <t>MG</t>
  </si>
  <si>
    <t>ELECTRICA EQUIPMENT</t>
  </si>
  <si>
    <t>Heat tracing</t>
  </si>
  <si>
    <t>Tracciatura elettrica
Cavi scaldanti</t>
  </si>
  <si>
    <t>Heat tracing
Heating cables</t>
  </si>
  <si>
    <t>MG200</t>
  </si>
  <si>
    <t>Panels</t>
  </si>
  <si>
    <t xml:space="preserve">Quadro di distribuzione di potenza
Ricambi quadri elettrici ( fusibili, relè, morsetti, teleruttori)
Barriere </t>
  </si>
  <si>
    <r>
      <t>Power distribution panel
Spare for electrical panels (relays, switch, contactor, etc,..)</t>
    </r>
    <r>
      <rPr>
        <strike/>
        <sz val="11"/>
        <rFont val="Calibri"/>
        <family val="2"/>
        <scheme val="minor"/>
      </rPr>
      <t xml:space="preserve">
</t>
    </r>
    <r>
      <rPr>
        <sz val="11"/>
        <rFont val="Calibri"/>
        <family val="2"/>
        <scheme val="minor"/>
      </rPr>
      <t>Barrier</t>
    </r>
  </si>
  <si>
    <t>MG210</t>
  </si>
  <si>
    <t>MCC Panels</t>
  </si>
  <si>
    <t>Quadro di potenza</t>
  </si>
  <si>
    <t>MG220</t>
  </si>
  <si>
    <t>SCR Panels</t>
  </si>
  <si>
    <t>Pannello per heater elettrico</t>
  </si>
  <si>
    <t>MG300</t>
  </si>
  <si>
    <t>UPS</t>
  </si>
  <si>
    <t>MG410</t>
  </si>
  <si>
    <t>HVAC</t>
  </si>
  <si>
    <t>Impianto climatizzazione per cabine / shelter</t>
  </si>
  <si>
    <t>MG420</t>
  </si>
  <si>
    <t>Lighting system</t>
  </si>
  <si>
    <t>Impianto illuminazione per cabine / shelter</t>
  </si>
  <si>
    <t>MG430</t>
  </si>
  <si>
    <t>Lightning protection system</t>
  </si>
  <si>
    <t>Impianto protezione fulmini</t>
  </si>
  <si>
    <t>MG450</t>
  </si>
  <si>
    <t>FV system</t>
  </si>
  <si>
    <t>Impianto a pannelli fotovoltaici</t>
  </si>
  <si>
    <t>MG460</t>
  </si>
  <si>
    <t>F&amp;G Detection System</t>
  </si>
  <si>
    <t>Rilevatore di fiamma
Rilevatore di gas
Rilevatore di fumi</t>
  </si>
  <si>
    <t>Flame detector
Gas Detector
Smoke Detector</t>
  </si>
  <si>
    <t>MG500</t>
  </si>
  <si>
    <t>Cables</t>
  </si>
  <si>
    <t>Cavo
Cavo armato
Cavo schermato
Canala
Treccia in rame
Tubo conduit
Pressacavo
Capicorda</t>
  </si>
  <si>
    <t>Cable
Armoured cable
Shielded cable
Cable trays 
Cable trenches
Conduit
Cable gland
Strips terminal</t>
  </si>
  <si>
    <t>MG600</t>
  </si>
  <si>
    <t>Junction Boxes</t>
  </si>
  <si>
    <t>Cassette di I&amp;C
Cassette di potenza</t>
  </si>
  <si>
    <t>I&amp;C junction boxes
Power junction boxes</t>
  </si>
  <si>
    <t>MG700</t>
  </si>
  <si>
    <t>Transformers</t>
  </si>
  <si>
    <t>Trasformatori</t>
  </si>
  <si>
    <t>MG800</t>
  </si>
  <si>
    <t>Miscellaneous</t>
  </si>
  <si>
    <t>MH100</t>
  </si>
  <si>
    <t>MH</t>
  </si>
  <si>
    <t>Pipes</t>
  </si>
  <si>
    <t>Tubi</t>
  </si>
  <si>
    <t>MH200</t>
  </si>
  <si>
    <t>Fittings</t>
  </si>
  <si>
    <t>Tee
Riduzioni
Fondi
Curve
Disco cieco
Sezionatore di linea ad occhiale
Raccordi filettati (raccordi ogiva, 3 pezzi, riduzioni, nippli)
Manicotto, mezzo manicotto, tappo, …</t>
  </si>
  <si>
    <t>Tee
Reductions
Caps
Elbow
Blind disc
Spectable blind
Threadolet, weldolet, sockolet, elbowlet, …
Sleeve</t>
  </si>
  <si>
    <t>MH300</t>
  </si>
  <si>
    <t>Flanges</t>
  </si>
  <si>
    <t>Flange da saldare di testa
Flange da saldare a sovrapposizione
Flange cieche</t>
  </si>
  <si>
    <t>Welding neck flanges
Slip-on flages
Blind flanges</t>
  </si>
  <si>
    <t>MH400</t>
  </si>
  <si>
    <t>Gaskets, studs, nuts, bolts</t>
  </si>
  <si>
    <t>Kit fissaggio flange
Guarnizioni
O-ring
Tiranti 
Tiranti di fondazione
Barre filettate
Dadi, rondelle, viti, rosette, spine, golfari, …</t>
  </si>
  <si>
    <t>Kit  flange
Gaskets, studs, nuts, bolts
O-ring
Bolts
Foundation bolt
Threaded bars
Nut, washers, screws, pins</t>
  </si>
  <si>
    <t>MH500</t>
  </si>
  <si>
    <t>Insulating joints</t>
  </si>
  <si>
    <t>MH600</t>
  </si>
  <si>
    <t>Plates</t>
  </si>
  <si>
    <t>Lamiere per Tank, Lamiere Claddate</t>
  </si>
  <si>
    <t>Plates, cladded plats</t>
  </si>
  <si>
    <t>MH700</t>
  </si>
  <si>
    <t>MI100</t>
  </si>
  <si>
    <t>MI</t>
  </si>
  <si>
    <t>Skid structures</t>
  </si>
  <si>
    <t>Telaio
Tettoie
Tondi, piatti, profilati, UPN, angolari, ….
Lamiere
Supporti per sostegno tubazioni
Palina
Cavallotti / Collari</t>
  </si>
  <si>
    <t>Skid frame
Canopy
Modular building
Beams
Plates 
Chassis
U-bolts</t>
  </si>
  <si>
    <t>MI200</t>
  </si>
  <si>
    <t>Platforms, ladders, stairs, gratings</t>
  </si>
  <si>
    <t>Piattaforme, scale, passerelle e griglie</t>
  </si>
  <si>
    <t>MI300</t>
  </si>
  <si>
    <t>Lifting beam</t>
  </si>
  <si>
    <t>Trave di sollevamento</t>
  </si>
  <si>
    <t>MI400</t>
  </si>
  <si>
    <t>Enclosures for panels  and/or stations</t>
  </si>
  <si>
    <t>Armadio per quadri e/o cabine
Shelter per quadri e/o cabine</t>
  </si>
  <si>
    <t>Cabinet 
Shelter</t>
  </si>
  <si>
    <t>MI500</t>
  </si>
  <si>
    <t>Enclosures for Analyzers</t>
  </si>
  <si>
    <t xml:space="preserve">Rack aperto
Cabinato </t>
  </si>
  <si>
    <t>Open rack
Closed shelter</t>
  </si>
  <si>
    <t>MJ100</t>
  </si>
  <si>
    <t>MJ</t>
  </si>
  <si>
    <t xml:space="preserve">Prefabrication </t>
  </si>
  <si>
    <r>
      <t xml:space="preserve">Pre-fabbricazione </t>
    </r>
    <r>
      <rPr>
        <strike/>
        <sz val="11"/>
        <rFont val="Calibri"/>
        <family val="2"/>
        <scheme val="minor"/>
      </rPr>
      <t>e assemblaggio meccanico</t>
    </r>
  </si>
  <si>
    <t>MJ110</t>
  </si>
  <si>
    <t>Welding</t>
  </si>
  <si>
    <t>Costo saldatura finito
Elettrodi
Filo saldatura
Bacchette</t>
  </si>
  <si>
    <t>MJ120</t>
  </si>
  <si>
    <t>NDE Test</t>
  </si>
  <si>
    <t>Radiografie (RT)
Liquidi penetranti (PT)
Magnetoscopia (MT)
Ultrasuoni (UT)
Esame visivo 
PMI</t>
  </si>
  <si>
    <t>Radiographic Examination (RT)
Dye Penetrant Test (PT)
Magnetic particle inspection (MT)
Ultrasonic test (UT)
Visual test 
Positive Material Identification (PMI)</t>
  </si>
  <si>
    <t>MJ130</t>
  </si>
  <si>
    <t>Heat treatments</t>
  </si>
  <si>
    <t>Trattamento termico</t>
  </si>
  <si>
    <t>MJ140</t>
  </si>
  <si>
    <t>Costo verniciatura finito
Zincante
Diluente
Catalizzatore
Amercoat
Vernici
Smalti</t>
  </si>
  <si>
    <t>MJ150</t>
  </si>
  <si>
    <t>Mechanical assembling</t>
  </si>
  <si>
    <t>Ore manodopera assemblaggio</t>
  </si>
  <si>
    <t>MJ160</t>
  </si>
  <si>
    <t>Components Machining</t>
  </si>
  <si>
    <t>MJ170</t>
  </si>
  <si>
    <t>Mechanical disassembling</t>
  </si>
  <si>
    <t>Smontaggio meccanico prima della spedizione</t>
  </si>
  <si>
    <t>MJ180</t>
  </si>
  <si>
    <t>MPFM Skid Construction</t>
  </si>
  <si>
    <t>MJ200</t>
  </si>
  <si>
    <t>Istrum. Assembly</t>
  </si>
  <si>
    <t>Ore manodopera assemblaggio strumentale</t>
  </si>
  <si>
    <t>MJ210</t>
  </si>
  <si>
    <t>Electrical Assembly</t>
  </si>
  <si>
    <t>Ore manodopera assemblaggio elettrico</t>
  </si>
  <si>
    <t>MJ300</t>
  </si>
  <si>
    <t>Third Party Inspection</t>
  </si>
  <si>
    <t>Ispezioni parziali / finali
Certificazioni e approvazioni locali (GOST, DOSH, etc, ..)
Spese vitto/alloggio ispettore</t>
  </si>
  <si>
    <t>Third party inspection partial / final
Local certificates and approvals 
Food and accomodations cost for inspectors</t>
  </si>
  <si>
    <t>MJ400</t>
  </si>
  <si>
    <t>Insulation</t>
  </si>
  <si>
    <t>Costo manodopera per coibentazione
Costo materiale coibentazione</t>
  </si>
  <si>
    <t>Labour cost for insulation
Material cost for insulation</t>
  </si>
  <si>
    <t>MJ600</t>
  </si>
  <si>
    <t>Test</t>
  </si>
  <si>
    <t>Test idraulico
Test pneumatico 
Test di tenuta 
Test funzionale (elettrico /meccanico)
FAT
SAT</t>
  </si>
  <si>
    <t>Hydraulic Test
Pneumatic Test
Leakage Test
Functional mechanical and electrical Test
FAT
SAT</t>
  </si>
  <si>
    <t>MK100</t>
  </si>
  <si>
    <t>MK</t>
  </si>
  <si>
    <t>Casse / gabbie / pallet in legno
Container
Materiale per containerizzazione 
Inertizzazione
Ore per imballaggio</t>
  </si>
  <si>
    <t>Box  / wooden crate / pallet
Container 
Material for packing 
Blanketing with nitrogen for shipment
Labour cost for packing</t>
  </si>
  <si>
    <t>MK210</t>
  </si>
  <si>
    <t>Internal Transports (incoming goods)</t>
  </si>
  <si>
    <t>MK220</t>
  </si>
  <si>
    <t>Transport (selling goods)</t>
  </si>
  <si>
    <t>Trasporto
Assicurazione trasporto</t>
  </si>
  <si>
    <t>Transport
Insurance</t>
  </si>
  <si>
    <t>MK300</t>
  </si>
  <si>
    <t>Custom duties</t>
  </si>
  <si>
    <t>MK400</t>
  </si>
  <si>
    <t>Insurance</t>
  </si>
  <si>
    <t>ML100</t>
  </si>
  <si>
    <t>ML</t>
  </si>
  <si>
    <t>SITE ACTIVITIES</t>
  </si>
  <si>
    <t>Supervision activities</t>
  </si>
  <si>
    <t>ML200</t>
  </si>
  <si>
    <t>Training</t>
  </si>
  <si>
    <t>ML300</t>
  </si>
  <si>
    <t>On site fabrication, erection &amp; assembly</t>
  </si>
  <si>
    <t>ML310</t>
  </si>
  <si>
    <t>Opere Civili</t>
  </si>
  <si>
    <t>ML320</t>
  </si>
  <si>
    <t>Smontaggio impianto esistente</t>
  </si>
  <si>
    <t>ML330</t>
  </si>
  <si>
    <t>Smaltimento materiali</t>
  </si>
  <si>
    <t>ML340</t>
  </si>
  <si>
    <t>Montaggio meccanico in cantiere</t>
  </si>
  <si>
    <t>ML350</t>
  </si>
  <si>
    <t>Montaggio elettrostrumentale in cantiere</t>
  </si>
  <si>
    <t>ML360</t>
  </si>
  <si>
    <t>Coibentazioni in cantiere</t>
  </si>
  <si>
    <t>ML370</t>
  </si>
  <si>
    <t>Utilizzo gruppo provvisorio / carro bombolaio</t>
  </si>
  <si>
    <t>ML400</t>
  </si>
  <si>
    <t xml:space="preserve">Commiss. &amp; start-up  </t>
  </si>
  <si>
    <t>MM100</t>
  </si>
  <si>
    <t>MM</t>
  </si>
  <si>
    <t>SPARE PARTS</t>
  </si>
  <si>
    <t>Commiss. &amp; start-up spare</t>
  </si>
  <si>
    <t>MM200</t>
  </si>
  <si>
    <t>2 years operation</t>
  </si>
  <si>
    <t>MN100</t>
  </si>
  <si>
    <t>MN</t>
  </si>
  <si>
    <t>Chemicals, Lube Oil</t>
  </si>
  <si>
    <t>MN200</t>
  </si>
  <si>
    <t>Manuals</t>
  </si>
  <si>
    <t>Manuali</t>
  </si>
  <si>
    <t>MN300</t>
  </si>
  <si>
    <t>Travel &amp; Living</t>
  </si>
  <si>
    <t>Viaggi e alloggi</t>
  </si>
  <si>
    <t>MN400</t>
  </si>
  <si>
    <t>Uso bene di terzi</t>
  </si>
  <si>
    <t>Noleggi</t>
  </si>
  <si>
    <t>Rental</t>
  </si>
  <si>
    <t>MN500</t>
  </si>
  <si>
    <t>MN600</t>
  </si>
  <si>
    <t>Commission</t>
  </si>
  <si>
    <t>Provvigioni</t>
  </si>
  <si>
    <t>MN700</t>
  </si>
  <si>
    <t>Bank Fee</t>
  </si>
  <si>
    <t>Oneri bancari</t>
  </si>
  <si>
    <t>MZ100</t>
  </si>
  <si>
    <t>MZ</t>
  </si>
  <si>
    <t>CONTINGENCY</t>
  </si>
  <si>
    <t>Contingency</t>
  </si>
  <si>
    <t>Weight Summary</t>
  </si>
  <si>
    <t>Descritpion</t>
  </si>
  <si>
    <t>Weight %</t>
  </si>
  <si>
    <t>Procurement  Cost</t>
  </si>
  <si>
    <t>Fabrication Cost</t>
  </si>
  <si>
    <t>Installation Cost</t>
  </si>
  <si>
    <t>€/kg</t>
  </si>
  <si>
    <t>Skid Structures</t>
  </si>
  <si>
    <t>Aux. Structure</t>
  </si>
  <si>
    <t>Piping</t>
  </si>
  <si>
    <t>Valves</t>
  </si>
  <si>
    <t>Equipment</t>
  </si>
  <si>
    <t>Machinery</t>
  </si>
  <si>
    <t>Instrumentation</t>
  </si>
  <si>
    <t>Accessories</t>
  </si>
  <si>
    <t>Insternals</t>
  </si>
  <si>
    <t>TOTAL</t>
  </si>
  <si>
    <t>Welding&amp;Fabrication Summary</t>
  </si>
  <si>
    <t>Joint</t>
  </si>
  <si>
    <t>Avarage Diameter</t>
  </si>
  <si>
    <t>inches</t>
  </si>
  <si>
    <t>€/joint</t>
  </si>
  <si>
    <t>€/d-inches</t>
  </si>
  <si>
    <t>Carbon Steel</t>
  </si>
  <si>
    <t>Stainless Steel</t>
  </si>
  <si>
    <t>Incoloy 625/685</t>
  </si>
  <si>
    <t>Surface Summary</t>
  </si>
  <si>
    <t>External Surface %</t>
  </si>
  <si>
    <t>Painting Unit Cost</t>
  </si>
  <si>
    <t>Painting Total Cost</t>
  </si>
  <si>
    <t>€/m2</t>
  </si>
  <si>
    <t>Total Piping</t>
  </si>
  <si>
    <t>Carbon Steel Piping</t>
  </si>
  <si>
    <t>Stainless Steel Piping</t>
  </si>
  <si>
    <t>Duplex Stainless Steel Piping</t>
  </si>
  <si>
    <t>Incoloy 625/685 Piping</t>
  </si>
  <si>
    <t>SKID WEIGHT SUMMARY</t>
  </si>
  <si>
    <t>SKID</t>
  </si>
  <si>
    <t>Main Structure</t>
  </si>
  <si>
    <t>Secondary Structure</t>
  </si>
  <si>
    <t>Piping Material</t>
  </si>
  <si>
    <t>Piping Support</t>
  </si>
  <si>
    <t>Manual Valves</t>
  </si>
  <si>
    <t>Equipments</t>
  </si>
  <si>
    <t>Not assigned</t>
  </si>
  <si>
    <t>Unit of Measurem.
[U.M.]</t>
  </si>
  <si>
    <t>Estimated Quantities</t>
  </si>
  <si>
    <t>Unit Price
[€/U.M.]</t>
  </si>
  <si>
    <t>TOTAL PRICE 
[€]</t>
  </si>
  <si>
    <t>STEEL STRUCTURE SUPPLY AND FABRICATION</t>
  </si>
  <si>
    <t>1.1</t>
  </si>
  <si>
    <t xml:space="preserve">Steel structure Supply </t>
  </si>
  <si>
    <t>1.1.1</t>
  </si>
  <si>
    <t>Skid Main Structure</t>
  </si>
  <si>
    <t>1.1.2</t>
  </si>
  <si>
    <t>Skid Secondary Structure</t>
  </si>
  <si>
    <t>1.1.3</t>
  </si>
  <si>
    <t>Auxiliary Structure</t>
  </si>
  <si>
    <t>1.1.4</t>
  </si>
  <si>
    <t>Vertical Ladders</t>
  </si>
  <si>
    <t>1.1.5</t>
  </si>
  <si>
    <t>Piping Support for</t>
  </si>
  <si>
    <t>1.1.5.1</t>
  </si>
  <si>
    <t>Carbon Steel Lines</t>
  </si>
  <si>
    <t>Stainless Steel Lines</t>
  </si>
  <si>
    <t>Duplex Stainless Steel Lines</t>
  </si>
  <si>
    <t>Incoloy 825/625 Lines</t>
  </si>
  <si>
    <t>1.1.6</t>
  </si>
  <si>
    <t>Gratings</t>
  </si>
  <si>
    <t>1.2</t>
  </si>
  <si>
    <t>Steel structure Fabrication</t>
  </si>
  <si>
    <t>1.2.1</t>
  </si>
  <si>
    <t>1.2.2</t>
  </si>
  <si>
    <t>1.2.3</t>
  </si>
  <si>
    <t>1.2.4</t>
  </si>
  <si>
    <t>1.2.5</t>
  </si>
  <si>
    <t>1.2.5.1</t>
  </si>
  <si>
    <t>1.2.6</t>
  </si>
  <si>
    <t>Drilling and Cutting Gratings</t>
  </si>
  <si>
    <t>PIPING FABRICATION</t>
  </si>
  <si>
    <t>2.1</t>
  </si>
  <si>
    <t>Welding Activity</t>
  </si>
  <si>
    <t>2.1.1</t>
  </si>
  <si>
    <t>SCH</t>
  </si>
  <si>
    <t>k</t>
  </si>
  <si>
    <t>2.1.1.1</t>
  </si>
  <si>
    <t>Diameter 1/2 inches SW or BW</t>
  </si>
  <si>
    <t>2.1.1.2</t>
  </si>
  <si>
    <t>Diameter 3/4 inches SW or BW</t>
  </si>
  <si>
    <t>2.1.1.3</t>
  </si>
  <si>
    <t>Diameter 1 inches SW or BW</t>
  </si>
  <si>
    <t>2.1.1.4</t>
  </si>
  <si>
    <t>Diameter 1 1/2 inches SW or BW</t>
  </si>
  <si>
    <t>2.1.1.5</t>
  </si>
  <si>
    <t>Diameter 2 inches BW</t>
  </si>
  <si>
    <t>2.1.1.6</t>
  </si>
  <si>
    <t>Diameter 2 1/2 inches BW</t>
  </si>
  <si>
    <t>2.1.1.7</t>
  </si>
  <si>
    <t>Diameter 3 inches BW</t>
  </si>
  <si>
    <t>2.1.1.8</t>
  </si>
  <si>
    <t>Diameter 4 inches BW</t>
  </si>
  <si>
    <t>2.1.1.9</t>
  </si>
  <si>
    <t>Diameter 6 inches BW</t>
  </si>
  <si>
    <t>2.1.1.10</t>
  </si>
  <si>
    <t>Diameter 8 inches BW</t>
  </si>
  <si>
    <t>2.1.1.11</t>
  </si>
  <si>
    <t>Diameter 10 inches BW</t>
  </si>
  <si>
    <t>2.1.1.12</t>
  </si>
  <si>
    <t>Diameter 12 inches BW</t>
  </si>
  <si>
    <t>2.1.1.13</t>
  </si>
  <si>
    <t>Diameter 14 inches BW</t>
  </si>
  <si>
    <t>2.1.1.14</t>
  </si>
  <si>
    <t>Diameter 16 inches BW</t>
  </si>
  <si>
    <t>2.1.1.15</t>
  </si>
  <si>
    <t>Diameter 18 inches BW</t>
  </si>
  <si>
    <t>2.1.1.16</t>
  </si>
  <si>
    <t>Diameter 20 inches BW</t>
  </si>
  <si>
    <t>2.1.1.17</t>
  </si>
  <si>
    <t>Diameter 22 inches BW</t>
  </si>
  <si>
    <t>2.1.1.18</t>
  </si>
  <si>
    <t>Diameter 24 inches BW</t>
  </si>
  <si>
    <t>2.1.1.19</t>
  </si>
  <si>
    <t>Diameter 26 inches BW</t>
  </si>
  <si>
    <t>2.1.1.20</t>
  </si>
  <si>
    <t>Diameter 28 inches BW</t>
  </si>
  <si>
    <t>2.1.1.21</t>
  </si>
  <si>
    <t>Diameter 30 inches BW</t>
  </si>
  <si>
    <t>2.1.1.22</t>
  </si>
  <si>
    <t>Diameter 32 inches BW</t>
  </si>
  <si>
    <t>2.1.1.23</t>
  </si>
  <si>
    <t>Diameter 34 inches BW</t>
  </si>
  <si>
    <t>2.1.1.24</t>
  </si>
  <si>
    <t>Diameter 36 inches BW</t>
  </si>
  <si>
    <t>2.1.1.25</t>
  </si>
  <si>
    <t>Diameter 38 inches BW</t>
  </si>
  <si>
    <t>2.1.1.26</t>
  </si>
  <si>
    <t>Diameter 40 inches BW</t>
  </si>
  <si>
    <t>2.1.1.27</t>
  </si>
  <si>
    <t>Diameter 42 inches BW</t>
  </si>
  <si>
    <t>2.1.2</t>
  </si>
  <si>
    <t>2.1.2.1</t>
  </si>
  <si>
    <t>2.1.2.2</t>
  </si>
  <si>
    <t>2.1.2.3</t>
  </si>
  <si>
    <t>2.1.2.4</t>
  </si>
  <si>
    <t>2.1.2.5</t>
  </si>
  <si>
    <t>2.1.2.6</t>
  </si>
  <si>
    <t>2.1.2.7</t>
  </si>
  <si>
    <t>2.1.2.8</t>
  </si>
  <si>
    <t>2.1.2.9</t>
  </si>
  <si>
    <t>2.1.2.10</t>
  </si>
  <si>
    <t>2.1.2.11</t>
  </si>
  <si>
    <t>2.1.2.12</t>
  </si>
  <si>
    <t>2.1.2.13</t>
  </si>
  <si>
    <t>2.1.2.14</t>
  </si>
  <si>
    <t>2.1.2.15</t>
  </si>
  <si>
    <t>2.1.2.16</t>
  </si>
  <si>
    <t>2.1.2.17</t>
  </si>
  <si>
    <t>2.1.2.18</t>
  </si>
  <si>
    <t>2.1.3</t>
  </si>
  <si>
    <t>2.1.3.1</t>
  </si>
  <si>
    <t>joint</t>
  </si>
  <si>
    <t>2.1.3.2</t>
  </si>
  <si>
    <t>2.1.3.3</t>
  </si>
  <si>
    <t>2.1.3.4</t>
  </si>
  <si>
    <t>2.1.3.5</t>
  </si>
  <si>
    <t>2.1.3.6</t>
  </si>
  <si>
    <t>2.1.3.7</t>
  </si>
  <si>
    <t>2.1.3.8</t>
  </si>
  <si>
    <t>2.1.3.9</t>
  </si>
  <si>
    <t>2.1.3.10</t>
  </si>
  <si>
    <t>2.1.3.11</t>
  </si>
  <si>
    <t>2.1.3.12</t>
  </si>
  <si>
    <t>2.1.3.13</t>
  </si>
  <si>
    <t>2.1.3.14</t>
  </si>
  <si>
    <t>2.1.3.15</t>
  </si>
  <si>
    <t>2.1.3.16</t>
  </si>
  <si>
    <t>2.1.3.17</t>
  </si>
  <si>
    <t>2.1.3.18</t>
  </si>
  <si>
    <t>2.1.4</t>
  </si>
  <si>
    <t>Incoloy 825/625 Piping</t>
  </si>
  <si>
    <t>2.1.4.1</t>
  </si>
  <si>
    <t>2.1.4.2</t>
  </si>
  <si>
    <t>2.1.4.3</t>
  </si>
  <si>
    <t>2.1.4.4</t>
  </si>
  <si>
    <t>2.1.4.5</t>
  </si>
  <si>
    <t>2.1.4.6</t>
  </si>
  <si>
    <t>2.1.4.7</t>
  </si>
  <si>
    <t>2.1.4.8</t>
  </si>
  <si>
    <t>2.1.4.9</t>
  </si>
  <si>
    <t>2.1.4.10</t>
  </si>
  <si>
    <t>2.1.4.11</t>
  </si>
  <si>
    <t>2.1.4.12</t>
  </si>
  <si>
    <t>2.1.4.13</t>
  </si>
  <si>
    <t>2.1.4.14</t>
  </si>
  <si>
    <t>2.1.4.15</t>
  </si>
  <si>
    <t>2.1.4.16</t>
  </si>
  <si>
    <t>2.1.4.17</t>
  </si>
  <si>
    <t>2.1.4.18</t>
  </si>
  <si>
    <t>2.2</t>
  </si>
  <si>
    <t>Non Desctructive Test (NDT)</t>
  </si>
  <si>
    <t>2.2.1</t>
  </si>
  <si>
    <t>Radiographic Testing (RT) - X ray or Gamma ray</t>
  </si>
  <si>
    <t>2.2.1.1</t>
  </si>
  <si>
    <t xml:space="preserve">Diameter 1/2 inches </t>
  </si>
  <si>
    <t>2.2.1.2</t>
  </si>
  <si>
    <t xml:space="preserve">Diameter 3/4 inches </t>
  </si>
  <si>
    <t>2.2.1.3</t>
  </si>
  <si>
    <t xml:space="preserve">Diameter 1 inches </t>
  </si>
  <si>
    <t>2.2.1.4</t>
  </si>
  <si>
    <t xml:space="preserve">Diameter 1 1/2 inches </t>
  </si>
  <si>
    <t>2.2.1.5</t>
  </si>
  <si>
    <t xml:space="preserve">Diameter 2 inches </t>
  </si>
  <si>
    <t>2.2.1.6</t>
  </si>
  <si>
    <t xml:space="preserve">Diameter 2 1/2 inches </t>
  </si>
  <si>
    <t>2.2.1.7</t>
  </si>
  <si>
    <t xml:space="preserve">Diameter 3 inches </t>
  </si>
  <si>
    <t>2.2.1.8</t>
  </si>
  <si>
    <t xml:space="preserve">Diameter 4 inches </t>
  </si>
  <si>
    <t>2.2.1.9</t>
  </si>
  <si>
    <t xml:space="preserve">Diameter 6 inches </t>
  </si>
  <si>
    <t>2.2.1.10</t>
  </si>
  <si>
    <t xml:space="preserve">Diameter 8 inches </t>
  </si>
  <si>
    <t>2.2.1.11</t>
  </si>
  <si>
    <t xml:space="preserve">Diameter 10 inches </t>
  </si>
  <si>
    <t>2.2.1.12</t>
  </si>
  <si>
    <t xml:space="preserve">Diameter 12 inches </t>
  </si>
  <si>
    <t>2.2.1.13</t>
  </si>
  <si>
    <t xml:space="preserve">Diameter 14 inches </t>
  </si>
  <si>
    <t>2.2.1.14</t>
  </si>
  <si>
    <t xml:space="preserve">Diameter 16 inches </t>
  </si>
  <si>
    <t>2.2.1.15</t>
  </si>
  <si>
    <t xml:space="preserve">Diameter 18 inches </t>
  </si>
  <si>
    <t>2.2.1.16</t>
  </si>
  <si>
    <t xml:space="preserve">Diameter 20 inches </t>
  </si>
  <si>
    <t>2.2.1.17</t>
  </si>
  <si>
    <t xml:space="preserve">Diameter 22 inches </t>
  </si>
  <si>
    <t>2.2.1.18</t>
  </si>
  <si>
    <t xml:space="preserve">Diameter 24 inches </t>
  </si>
  <si>
    <t>2.2.2</t>
  </si>
  <si>
    <t>Magnetic Particle Inspection (MPI)</t>
  </si>
  <si>
    <t>2.2.2.1</t>
  </si>
  <si>
    <t>2.2.2.2</t>
  </si>
  <si>
    <t>2.2.2.3</t>
  </si>
  <si>
    <t>2.2.2.4</t>
  </si>
  <si>
    <t>2.2.2.5</t>
  </si>
  <si>
    <t>2.2.2.6</t>
  </si>
  <si>
    <t>2.2.2.7</t>
  </si>
  <si>
    <t>2.2.2.8</t>
  </si>
  <si>
    <t>2.2.2.9</t>
  </si>
  <si>
    <t>2.2.2.10</t>
  </si>
  <si>
    <t>2.2.2.11</t>
  </si>
  <si>
    <t>2.2.2.12</t>
  </si>
  <si>
    <t>2.2.2.13</t>
  </si>
  <si>
    <t>2.2.2.14</t>
  </si>
  <si>
    <t>2.2.2.15</t>
  </si>
  <si>
    <t>2.2.2.16</t>
  </si>
  <si>
    <t>2.2.2.17</t>
  </si>
  <si>
    <t>2.2.2.18</t>
  </si>
  <si>
    <t xml:space="preserve">Diameter 26 inches </t>
  </si>
  <si>
    <t xml:space="preserve">Diameter 28 inches </t>
  </si>
  <si>
    <t xml:space="preserve">Diameter 30 inches </t>
  </si>
  <si>
    <t xml:space="preserve">Diameter 32 inches </t>
  </si>
  <si>
    <t xml:space="preserve">Diameter 34 inches </t>
  </si>
  <si>
    <t xml:space="preserve">Diameter 36 inches </t>
  </si>
  <si>
    <t xml:space="preserve">Diameter 38 inches </t>
  </si>
  <si>
    <t xml:space="preserve">Diameter 40 inches </t>
  </si>
  <si>
    <t xml:space="preserve">Diameter 42 inches </t>
  </si>
  <si>
    <t>2.2.3</t>
  </si>
  <si>
    <t>Liquid Penetrant Instection (LPI)</t>
  </si>
  <si>
    <t>2.2.3.1</t>
  </si>
  <si>
    <t>2.2.3.2</t>
  </si>
  <si>
    <t>2.2.3.3</t>
  </si>
  <si>
    <t>2.2.3.4</t>
  </si>
  <si>
    <t>2.2.3.5</t>
  </si>
  <si>
    <t>2.2.3.6</t>
  </si>
  <si>
    <t>2.2.3.7</t>
  </si>
  <si>
    <t>2.2.3.8</t>
  </si>
  <si>
    <t>2.2.3.9</t>
  </si>
  <si>
    <t>2.2.3.10</t>
  </si>
  <si>
    <t>2.2.3.11</t>
  </si>
  <si>
    <t>2.2.3.12</t>
  </si>
  <si>
    <t>2.2.3.13</t>
  </si>
  <si>
    <t>2.2.3.14</t>
  </si>
  <si>
    <t>2.2.3.15</t>
  </si>
  <si>
    <t>2.2.3.16</t>
  </si>
  <si>
    <t>2.2.3.17</t>
  </si>
  <si>
    <t>2.2.3.18</t>
  </si>
  <si>
    <t>2.2.4</t>
  </si>
  <si>
    <t>Ultrasonic Testing (UT)</t>
  </si>
  <si>
    <t>2.2.4.1</t>
  </si>
  <si>
    <t>2.2.4.2</t>
  </si>
  <si>
    <t>2.2.4.3</t>
  </si>
  <si>
    <t>2.2.4.4</t>
  </si>
  <si>
    <t>2.2.4.5</t>
  </si>
  <si>
    <t>2.2.4.6</t>
  </si>
  <si>
    <t>2.2.4.7</t>
  </si>
  <si>
    <t>2.2.4.8</t>
  </si>
  <si>
    <t>2.2.4.9</t>
  </si>
  <si>
    <t>2.2.4.10</t>
  </si>
  <si>
    <t>2.2.4.11</t>
  </si>
  <si>
    <t>2.2.4.12</t>
  </si>
  <si>
    <t>2.2.4.13</t>
  </si>
  <si>
    <t>2.2.4.14</t>
  </si>
  <si>
    <t>2.2.4.15</t>
  </si>
  <si>
    <t>2.2.4.16</t>
  </si>
  <si>
    <t>2.2.4.17</t>
  </si>
  <si>
    <t>2.2.4.18</t>
  </si>
  <si>
    <t>2.2.5</t>
  </si>
  <si>
    <t>Hardness Test</t>
  </si>
  <si>
    <t>2.2.5.1</t>
  </si>
  <si>
    <t>2.2.6</t>
  </si>
  <si>
    <t>Positive Material Identification (PMI)</t>
  </si>
  <si>
    <t>2.2.6.1</t>
  </si>
  <si>
    <t>shot</t>
  </si>
  <si>
    <t>2.3</t>
  </si>
  <si>
    <t>2.3.1</t>
  </si>
  <si>
    <t>Hydrostatic Test</t>
  </si>
  <si>
    <t>2.3.1.1</t>
  </si>
  <si>
    <t>Piping Diameter 1/2 - 1 1/2 inches</t>
  </si>
  <si>
    <t>2.3.1.2</t>
  </si>
  <si>
    <t>Piping Diameter 2 - 6 inches</t>
  </si>
  <si>
    <t>2.3.1.3</t>
  </si>
  <si>
    <t>Piping Diameter 8 - 14 inches</t>
  </si>
  <si>
    <t>2.3.1.4</t>
  </si>
  <si>
    <t>Piping Diameter 16 - 42 inches</t>
  </si>
  <si>
    <t>2.3.2</t>
  </si>
  <si>
    <t>Post Weld Heat Treatment (PWHT)</t>
  </si>
  <si>
    <t>2.3.2.1</t>
  </si>
  <si>
    <t>PWHT in workshop 1/2 - 6 inches</t>
  </si>
  <si>
    <t>2.3.2.2</t>
  </si>
  <si>
    <t>PWHT in workshop 8 - 42 inches</t>
  </si>
  <si>
    <t>MECHANICAL INSTALLATION</t>
  </si>
  <si>
    <t>Steel Structure</t>
  </si>
  <si>
    <t>3.1.1</t>
  </si>
  <si>
    <t>3.1.2</t>
  </si>
  <si>
    <t>3.1.3</t>
  </si>
  <si>
    <t>3.1.4</t>
  </si>
  <si>
    <t>3.1.5</t>
  </si>
  <si>
    <t>3.2</t>
  </si>
  <si>
    <t>3.2.1</t>
  </si>
  <si>
    <t>3.2.2</t>
  </si>
  <si>
    <t>3.2.3</t>
  </si>
  <si>
    <t>3.2.4</t>
  </si>
  <si>
    <t>3.2.5</t>
  </si>
  <si>
    <t>3.2.6</t>
  </si>
  <si>
    <t>3.2.7</t>
  </si>
  <si>
    <t>3.2.8</t>
  </si>
  <si>
    <t>3.2.9</t>
  </si>
  <si>
    <t>3.2.10</t>
  </si>
  <si>
    <t>3.2.11</t>
  </si>
  <si>
    <t>3.2.12</t>
  </si>
  <si>
    <t>3.2.13</t>
  </si>
  <si>
    <t>3.2.14</t>
  </si>
  <si>
    <t>3.2.15</t>
  </si>
  <si>
    <t>3.2.16</t>
  </si>
  <si>
    <t>3.2.17</t>
  </si>
  <si>
    <t>3.2.18</t>
  </si>
  <si>
    <t>3.3</t>
  </si>
  <si>
    <t>Manual, Actuated and Safety Valves</t>
  </si>
  <si>
    <t>3.3.1</t>
  </si>
  <si>
    <t>3.3.2</t>
  </si>
  <si>
    <t>3.3.3</t>
  </si>
  <si>
    <t>3.3.4</t>
  </si>
  <si>
    <t>3.3.5</t>
  </si>
  <si>
    <t>3.3.6</t>
  </si>
  <si>
    <t>3.3.7</t>
  </si>
  <si>
    <t>3.3.8</t>
  </si>
  <si>
    <t>3.3.9</t>
  </si>
  <si>
    <t>3.3.10</t>
  </si>
  <si>
    <t>3.3.11</t>
  </si>
  <si>
    <t>3.3.12</t>
  </si>
  <si>
    <t>3.3.13</t>
  </si>
  <si>
    <t>3.3.14</t>
  </si>
  <si>
    <t>3.3.15</t>
  </si>
  <si>
    <t>3.3.16</t>
  </si>
  <si>
    <t>3.3.17</t>
  </si>
  <si>
    <t>3.3.18</t>
  </si>
  <si>
    <t>3.4</t>
  </si>
  <si>
    <t>3.4.1</t>
  </si>
  <si>
    <t>3.4.2</t>
  </si>
  <si>
    <t>3.4.3</t>
  </si>
  <si>
    <t>3.4.4</t>
  </si>
  <si>
    <t>3.4.5</t>
  </si>
  <si>
    <t>3.4.6</t>
  </si>
  <si>
    <t>3.4.7</t>
  </si>
  <si>
    <t>3.4.8</t>
  </si>
  <si>
    <t>3.4.9</t>
  </si>
  <si>
    <t>3.4.10</t>
  </si>
  <si>
    <t>3.4.11</t>
  </si>
  <si>
    <t>3.4.12</t>
  </si>
  <si>
    <t>3.4.13</t>
  </si>
  <si>
    <t>3.4.14</t>
  </si>
  <si>
    <t>3.4.15</t>
  </si>
  <si>
    <t>3.4.16</t>
  </si>
  <si>
    <t>3.4.17</t>
  </si>
  <si>
    <t>3.4.18</t>
  </si>
  <si>
    <t>3.4.19</t>
  </si>
  <si>
    <t>3.4.20</t>
  </si>
  <si>
    <t>3.5</t>
  </si>
  <si>
    <t>Machinery (pumps, compressors, fans, turbines, motors, stirrers, etc.)</t>
  </si>
  <si>
    <t>3.5.1</t>
  </si>
  <si>
    <t>3.5.2</t>
  </si>
  <si>
    <t>3.5.3</t>
  </si>
  <si>
    <t>3.5.4</t>
  </si>
  <si>
    <t>3.5.5</t>
  </si>
  <si>
    <t>3.5.6</t>
  </si>
  <si>
    <t>3.5.7</t>
  </si>
  <si>
    <t>3.5.8</t>
  </si>
  <si>
    <t>3.5.9</t>
  </si>
  <si>
    <t>3.5.10</t>
  </si>
  <si>
    <t>3.5.11</t>
  </si>
  <si>
    <t>3.5.12</t>
  </si>
  <si>
    <t>3.5.13</t>
  </si>
  <si>
    <t>3.5.14</t>
  </si>
  <si>
    <t>3.5.15</t>
  </si>
  <si>
    <t>3.5.16</t>
  </si>
  <si>
    <t>3.5.17</t>
  </si>
  <si>
    <t>3.5.18</t>
  </si>
  <si>
    <t>3.5.19</t>
  </si>
  <si>
    <t>3.5.20</t>
  </si>
  <si>
    <t>PRE-SHIPMENT ACTIVITIES</t>
  </si>
  <si>
    <t>4.1</t>
  </si>
  <si>
    <t>4.1.1</t>
  </si>
  <si>
    <t>4.2</t>
  </si>
  <si>
    <t>4.2.1</t>
  </si>
  <si>
    <t>Skids</t>
  </si>
  <si>
    <t>4.2.1.1</t>
  </si>
  <si>
    <t>4.2.1.2</t>
  </si>
  <si>
    <t>4.2.1.3</t>
  </si>
  <si>
    <t>4.2.1.4</t>
  </si>
  <si>
    <t>4.2.1.5</t>
  </si>
  <si>
    <t>4.2.1.6</t>
  </si>
  <si>
    <t>4.2.1.7</t>
  </si>
  <si>
    <t>4.2.1.8</t>
  </si>
  <si>
    <t>4.2.1.9</t>
  </si>
  <si>
    <t>4.2.1.10</t>
  </si>
  <si>
    <t>4.2.2</t>
  </si>
  <si>
    <t>Auxiliary Steel Structure</t>
  </si>
  <si>
    <t>4.2.2.1</t>
  </si>
  <si>
    <t>4.2.2.2</t>
  </si>
  <si>
    <t>4.2.2.3</t>
  </si>
  <si>
    <t>4.2.2.4</t>
  </si>
  <si>
    <t>4.2.2.5</t>
  </si>
  <si>
    <t>4.2.2.6</t>
  </si>
  <si>
    <t>4.2.2.7</t>
  </si>
  <si>
    <t>4.2.2.8</t>
  </si>
  <si>
    <t>4.2.2.9</t>
  </si>
  <si>
    <t>4.2.2.10</t>
  </si>
  <si>
    <t>4.2.2.11</t>
  </si>
  <si>
    <t>4.2.2.12</t>
  </si>
  <si>
    <t>4.2.2.13</t>
  </si>
  <si>
    <t>4.2.2.14</t>
  </si>
  <si>
    <t>4.2.2.15</t>
  </si>
  <si>
    <t>4.2.2.16</t>
  </si>
  <si>
    <t>4.2.2.17</t>
  </si>
  <si>
    <t>4.2.2.18</t>
  </si>
  <si>
    <t>4.2.2.19</t>
  </si>
  <si>
    <t>4.2.2.20</t>
  </si>
  <si>
    <t>4.2.3</t>
  </si>
  <si>
    <t>Loose Equipments</t>
  </si>
  <si>
    <t>4.2.3.1</t>
  </si>
  <si>
    <t>4.2.3.2</t>
  </si>
  <si>
    <t>4.2.3.3</t>
  </si>
  <si>
    <t>4.2.3.4</t>
  </si>
  <si>
    <t>4.2.3.5</t>
  </si>
  <si>
    <t>4.2.3.6</t>
  </si>
  <si>
    <t>4.2.3.7</t>
  </si>
  <si>
    <t>4.2.3.8</t>
  </si>
  <si>
    <t>4.2.3.9</t>
  </si>
  <si>
    <t>4.2.3.10</t>
  </si>
  <si>
    <t>4.2.3.11</t>
  </si>
  <si>
    <t>4.2.3.12</t>
  </si>
  <si>
    <t>4.2.3.13</t>
  </si>
  <si>
    <t>4.2.3.14</t>
  </si>
  <si>
    <t>4.2.3.15</t>
  </si>
  <si>
    <t>4.2.3.16</t>
  </si>
  <si>
    <t>4.2.3.17</t>
  </si>
  <si>
    <t>4.2.3.18</t>
  </si>
  <si>
    <t>4.2.3.19</t>
  </si>
  <si>
    <t>4.2.3.20</t>
  </si>
  <si>
    <t>4.2.4</t>
  </si>
  <si>
    <t>Loose Machinery</t>
  </si>
  <si>
    <t>4.2.4.1</t>
  </si>
  <si>
    <t>4.2.4.2</t>
  </si>
  <si>
    <t>4.2.4.3</t>
  </si>
  <si>
    <t>4.2.4.4</t>
  </si>
  <si>
    <t>4.2.4.5</t>
  </si>
  <si>
    <t>4.2.4.6</t>
  </si>
  <si>
    <t>4.2.4.7</t>
  </si>
  <si>
    <t>4.2.4.8</t>
  </si>
  <si>
    <t>4.2.4.9</t>
  </si>
  <si>
    <t>4.2.4.10</t>
  </si>
  <si>
    <t>4.2.4.11</t>
  </si>
  <si>
    <t>4.2.4.12</t>
  </si>
  <si>
    <t>4.2.4.13</t>
  </si>
  <si>
    <t>4.2.4.14</t>
  </si>
  <si>
    <t>4.2.4.15</t>
  </si>
  <si>
    <t>4.2.4.16</t>
  </si>
  <si>
    <t>4.2.4.17</t>
  </si>
  <si>
    <t>4.2.4.18</t>
  </si>
  <si>
    <t>4.2.4.19</t>
  </si>
  <si>
    <t>4.2.4.20</t>
  </si>
  <si>
    <t>4.2.5</t>
  </si>
  <si>
    <t>Loose Materials &amp; Utilities</t>
  </si>
  <si>
    <t>4.2.5.1</t>
  </si>
  <si>
    <t>PAINTING</t>
  </si>
  <si>
    <t>5.1</t>
  </si>
  <si>
    <t>PIPING PAINTING - surface preparation, application of complete cycle, testing and inspection as per specification</t>
  </si>
  <si>
    <t>5.1.1</t>
  </si>
  <si>
    <t>5.1.2</t>
  </si>
  <si>
    <t>5.1.3</t>
  </si>
  <si>
    <t>5.1.4</t>
  </si>
  <si>
    <t>5.1.5</t>
  </si>
  <si>
    <t>5.1.6</t>
  </si>
  <si>
    <t>5.1.7</t>
  </si>
  <si>
    <t>5.1.8</t>
  </si>
  <si>
    <t>5.1.9</t>
  </si>
  <si>
    <t>5.1.10</t>
  </si>
  <si>
    <t>5.1.11</t>
  </si>
  <si>
    <t>5.1.12</t>
  </si>
  <si>
    <t>5.1.13</t>
  </si>
  <si>
    <t>INSULATION</t>
  </si>
  <si>
    <t>6.1</t>
  </si>
  <si>
    <t>Insulation of equipment - supply and installation of insulation material, complete with cover</t>
  </si>
  <si>
    <t>6.1.1</t>
  </si>
  <si>
    <t>Insulation thickness 50mm</t>
  </si>
  <si>
    <t>6.1.2</t>
  </si>
  <si>
    <t>Insulation thickness 80mm</t>
  </si>
  <si>
    <t>6.1.3</t>
  </si>
  <si>
    <t>Insulation thickness 100mm</t>
  </si>
  <si>
    <t>6.1.4</t>
  </si>
  <si>
    <t>Insulation thickness 110mm</t>
  </si>
  <si>
    <t>6.1.5</t>
  </si>
  <si>
    <t>Insulation thickness 130mm</t>
  </si>
  <si>
    <t>6.1.6</t>
  </si>
  <si>
    <t>Insulation thickness 140mm</t>
  </si>
  <si>
    <t>6.1.7</t>
  </si>
  <si>
    <t>Insulation thickness 160mm</t>
  </si>
  <si>
    <t>6.2</t>
  </si>
  <si>
    <t>Insulation of equipment - supply of loose insulation material (complete with cover) for loose supplied equipment</t>
  </si>
  <si>
    <t>6.2.1</t>
  </si>
  <si>
    <t>6.2.2</t>
  </si>
  <si>
    <t>6.2.3</t>
  </si>
  <si>
    <t>6.2.4</t>
  </si>
  <si>
    <t>6.2.5</t>
  </si>
  <si>
    <t>6.2.6</t>
  </si>
  <si>
    <t>6.2.7</t>
  </si>
  <si>
    <t>6.3</t>
  </si>
  <si>
    <t>Insulation of piping - supply and installation of insulation material, complete with cover</t>
  </si>
  <si>
    <t>6.3.1</t>
  </si>
  <si>
    <t>Insulation thickness 30mm</t>
  </si>
  <si>
    <t>6.3.2</t>
  </si>
  <si>
    <t>Insulation thickness 40mm</t>
  </si>
  <si>
    <t>6.3.3</t>
  </si>
  <si>
    <t>6.3.4</t>
  </si>
  <si>
    <t>Insulation thickness 60mm</t>
  </si>
  <si>
    <t>6.3.5</t>
  </si>
  <si>
    <t>Insulation thickness 70mm</t>
  </si>
  <si>
    <t>6.3.6</t>
  </si>
  <si>
    <t>6.3.7</t>
  </si>
  <si>
    <t>Insulation thickness 90mm</t>
  </si>
  <si>
    <t>6.3.8</t>
  </si>
  <si>
    <t>6.4</t>
  </si>
  <si>
    <t>Insulation of piping - supply of loose insulation material (complete with cover) for loose supplied equipment</t>
  </si>
  <si>
    <t>6.4.1</t>
  </si>
  <si>
    <t>6.4.2</t>
  </si>
  <si>
    <t>6.4.3</t>
  </si>
  <si>
    <t>6.4.4</t>
  </si>
  <si>
    <t>6.4.5</t>
  </si>
  <si>
    <t>6.4.6</t>
  </si>
  <si>
    <t>6.4.7</t>
  </si>
  <si>
    <t>6.4.8</t>
  </si>
  <si>
    <t>CATEGORIA</t>
  </si>
  <si>
    <t xml:space="preserve">ARTICOLI </t>
  </si>
  <si>
    <t>Q.Ty</t>
  </si>
  <si>
    <t>h/CAD</t>
  </si>
  <si>
    <t>h/ Totali</t>
  </si>
  <si>
    <t>% carico</t>
  </si>
  <si>
    <t xml:space="preserve">costo </t>
  </si>
  <si>
    <t>k cliente</t>
  </si>
  <si>
    <t>Documents</t>
  </si>
  <si>
    <t>Documentazione da produrre incluse 4 revisioni</t>
  </si>
  <si>
    <t>€/h</t>
  </si>
  <si>
    <t>Engeenering</t>
  </si>
  <si>
    <t>ingegneria esterna</t>
  </si>
  <si>
    <t>Process</t>
  </si>
  <si>
    <t>SKID STRUCTURE STEEL FRAMES</t>
  </si>
  <si>
    <t>SKID STRUCTURE SURFACE &amp; PACKING</t>
  </si>
  <si>
    <t>Lenght</t>
  </si>
  <si>
    <t>Width</t>
  </si>
  <si>
    <t>Height</t>
  </si>
  <si>
    <t>Volume</t>
  </si>
  <si>
    <t>Base Skid Area</t>
  </si>
  <si>
    <t>Notes</t>
  </si>
  <si>
    <t>Structure Profile</t>
  </si>
  <si>
    <t>Total Surface</t>
  </si>
  <si>
    <t>Packing Surface Area</t>
  </si>
  <si>
    <t>Packing Unit Weight</t>
  </si>
  <si>
    <t>Packing Weight</t>
  </si>
  <si>
    <t>m</t>
  </si>
  <si>
    <t>kg/m2</t>
  </si>
  <si>
    <t>m2/kg</t>
  </si>
  <si>
    <t>MODULO PIANO 1</t>
  </si>
  <si>
    <t>HEA 140</t>
  </si>
  <si>
    <t>HEA 300</t>
  </si>
  <si>
    <t>HEA 600</t>
  </si>
  <si>
    <t>Estimated</t>
  </si>
  <si>
    <t>of Main Structure</t>
  </si>
  <si>
    <t>HEA 200</t>
  </si>
  <si>
    <t>STEEL AUX. STRUCTURE</t>
  </si>
  <si>
    <t>Access Walkways</t>
  </si>
  <si>
    <t>Aux. Structure area</t>
  </si>
  <si>
    <t>HEA 320</t>
  </si>
  <si>
    <t>Column Circular Access Walkways</t>
  </si>
  <si>
    <t>Outside Diameter</t>
  </si>
  <si>
    <t>Circularity</t>
  </si>
  <si>
    <t>°</t>
  </si>
  <si>
    <t>HEA 120</t>
  </si>
  <si>
    <t>Vertical Ladder</t>
  </si>
  <si>
    <t>Total Skid Area</t>
  </si>
  <si>
    <t>Gratings Area</t>
  </si>
  <si>
    <t>For class 150 flanges</t>
  </si>
  <si>
    <t>Weight of bolt and 2 nuts (100 pieces)</t>
  </si>
  <si>
    <t>NPS</t>
  </si>
  <si>
    <t>Number of bolts</t>
  </si>
  <si>
    <t>Diameter of bolts</t>
  </si>
  <si>
    <t>Length of bolts</t>
  </si>
  <si>
    <t>Ring Joint</t>
  </si>
  <si>
    <t>UNC</t>
  </si>
  <si>
    <t>ISO</t>
  </si>
  <si>
    <t>1,6 mm RF</t>
  </si>
  <si>
    <t>cod.</t>
  </si>
  <si>
    <t>M 10</t>
  </si>
  <si>
    <t>M 12</t>
  </si>
  <si>
    <t>M 14</t>
  </si>
  <si>
    <t>M 16</t>
  </si>
  <si>
    <t>M 18</t>
  </si>
  <si>
    <t>M 20</t>
  </si>
  <si>
    <t>M 22</t>
  </si>
  <si>
    <t>M 24</t>
  </si>
  <si>
    <t>M 27</t>
  </si>
  <si>
    <t>M 30</t>
  </si>
  <si>
    <t>M 33</t>
  </si>
  <si>
    <t>M 36</t>
  </si>
  <si>
    <t>M 39</t>
  </si>
  <si>
    <t>M 42</t>
  </si>
  <si>
    <t>M 45</t>
  </si>
  <si>
    <t>M 48</t>
  </si>
  <si>
    <t>M 52</t>
  </si>
  <si>
    <t>0,5B150</t>
  </si>
  <si>
    <t>–</t>
  </si>
  <si>
    <t>0,75B150</t>
  </si>
  <si>
    <t>1B150</t>
  </si>
  <si>
    <t>1,25B150</t>
  </si>
  <si>
    <t>1,5B150</t>
  </si>
  <si>
    <t>2B150</t>
  </si>
  <si>
    <t>2,5B150</t>
  </si>
  <si>
    <t>3B150</t>
  </si>
  <si>
    <t>3,5B150</t>
  </si>
  <si>
    <t>-</t>
  </si>
  <si>
    <t>4B150</t>
  </si>
  <si>
    <t>5B150</t>
  </si>
  <si>
    <t>6B150</t>
  </si>
  <si>
    <t>8B150</t>
  </si>
  <si>
    <t>10B150</t>
  </si>
  <si>
    <t>12B150</t>
  </si>
  <si>
    <t>14B150</t>
  </si>
  <si>
    <t>16B150</t>
  </si>
  <si>
    <t>18B150</t>
  </si>
  <si>
    <t>20B150</t>
  </si>
  <si>
    <t>24B150</t>
  </si>
  <si>
    <t>For class 300 flanges</t>
  </si>
  <si>
    <t>0,5B300</t>
  </si>
  <si>
    <t>0,75B300</t>
  </si>
  <si>
    <t>1B300</t>
  </si>
  <si>
    <t>1,25B300</t>
  </si>
  <si>
    <t>1,5B300</t>
  </si>
  <si>
    <t>2B300</t>
  </si>
  <si>
    <t>2,5B300</t>
  </si>
  <si>
    <t>3B300</t>
  </si>
  <si>
    <t>3,5B300</t>
  </si>
  <si>
    <t>4B300</t>
  </si>
  <si>
    <t>5B300</t>
  </si>
  <si>
    <t>6B300</t>
  </si>
  <si>
    <t>8B300</t>
  </si>
  <si>
    <t>10B300</t>
  </si>
  <si>
    <t>12B300</t>
  </si>
  <si>
    <t>14B300</t>
  </si>
  <si>
    <t>16B300</t>
  </si>
  <si>
    <t>18B300</t>
  </si>
  <si>
    <t>20B300</t>
  </si>
  <si>
    <t>24B300</t>
  </si>
  <si>
    <t>For class 400 flanges</t>
  </si>
  <si>
    <t>0,5B400</t>
  </si>
  <si>
    <t>0,75B400</t>
  </si>
  <si>
    <t>1B400</t>
  </si>
  <si>
    <t>1,25B400</t>
  </si>
  <si>
    <t>1,5B400</t>
  </si>
  <si>
    <t>2B400</t>
  </si>
  <si>
    <t>2,5B400</t>
  </si>
  <si>
    <t>3B400</t>
  </si>
  <si>
    <t>3,5B400</t>
  </si>
  <si>
    <t>4B400</t>
  </si>
  <si>
    <t>5B400</t>
  </si>
  <si>
    <t>6B400</t>
  </si>
  <si>
    <t>8B400</t>
  </si>
  <si>
    <t>10B400</t>
  </si>
  <si>
    <t>12B400</t>
  </si>
  <si>
    <t>14B400</t>
  </si>
  <si>
    <t>16B400</t>
  </si>
  <si>
    <t>18B400</t>
  </si>
  <si>
    <t>20B400</t>
  </si>
  <si>
    <t>24B400</t>
  </si>
  <si>
    <t>For class 600 flanges</t>
  </si>
  <si>
    <t>0,5B600</t>
  </si>
  <si>
    <t>0,75B600</t>
  </si>
  <si>
    <t>1B600</t>
  </si>
  <si>
    <t>1,25B600</t>
  </si>
  <si>
    <t>1,5B600</t>
  </si>
  <si>
    <t>2B600</t>
  </si>
  <si>
    <t>2,5B600</t>
  </si>
  <si>
    <t>3B600</t>
  </si>
  <si>
    <t>3,5B600</t>
  </si>
  <si>
    <t>4B600</t>
  </si>
  <si>
    <t>5B600</t>
  </si>
  <si>
    <t>6B600</t>
  </si>
  <si>
    <t>8B600</t>
  </si>
  <si>
    <t>10B600</t>
  </si>
  <si>
    <t>12B600</t>
  </si>
  <si>
    <t>14B600</t>
  </si>
  <si>
    <t>16B600</t>
  </si>
  <si>
    <t>18B600</t>
  </si>
  <si>
    <t>20B600</t>
  </si>
  <si>
    <t>24B600</t>
  </si>
  <si>
    <t>For class 900 flanges</t>
  </si>
  <si>
    <t>0,5B900</t>
  </si>
  <si>
    <t>0,75B900</t>
  </si>
  <si>
    <t>1B900</t>
  </si>
  <si>
    <t>1,25B900</t>
  </si>
  <si>
    <t>1,5B900</t>
  </si>
  <si>
    <t>2B900</t>
  </si>
  <si>
    <t>2,5B900</t>
  </si>
  <si>
    <t>3B900</t>
  </si>
  <si>
    <t>4B900</t>
  </si>
  <si>
    <t>5B900</t>
  </si>
  <si>
    <t>6B900</t>
  </si>
  <si>
    <t>8B900</t>
  </si>
  <si>
    <t>10B900</t>
  </si>
  <si>
    <t>12B900</t>
  </si>
  <si>
    <t>14B900</t>
  </si>
  <si>
    <t>16B900</t>
  </si>
  <si>
    <t>18B900</t>
  </si>
  <si>
    <t>20B900</t>
  </si>
  <si>
    <t>24B900</t>
  </si>
  <si>
    <t>M 64</t>
  </si>
  <si>
    <t>For class 1500 flanges</t>
  </si>
  <si>
    <t>0,5B1500</t>
  </si>
  <si>
    <t>0,75B1500</t>
  </si>
  <si>
    <t>1B1500</t>
  </si>
  <si>
    <t>1,25B1500</t>
  </si>
  <si>
    <t>1,5B1500</t>
  </si>
  <si>
    <t>2B1500</t>
  </si>
  <si>
    <t>2,5B1500</t>
  </si>
  <si>
    <t>3B1500</t>
  </si>
  <si>
    <t>4B1500</t>
  </si>
  <si>
    <t>5B1500</t>
  </si>
  <si>
    <t>6B1500</t>
  </si>
  <si>
    <t>8B1500</t>
  </si>
  <si>
    <t>10B1500</t>
  </si>
  <si>
    <t>12B1500</t>
  </si>
  <si>
    <t>14B1500</t>
  </si>
  <si>
    <t>M 56</t>
  </si>
  <si>
    <t>16B1500</t>
  </si>
  <si>
    <t>18B1500</t>
  </si>
  <si>
    <t>M 70</t>
  </si>
  <si>
    <t>20B1500</t>
  </si>
  <si>
    <t>M 76</t>
  </si>
  <si>
    <t>24B1500</t>
  </si>
  <si>
    <t>M 90</t>
  </si>
  <si>
    <t>For class 2500 flanges</t>
  </si>
  <si>
    <t>0,5B2500</t>
  </si>
  <si>
    <t>0,75B2500</t>
  </si>
  <si>
    <t>1B2500</t>
  </si>
  <si>
    <t>1,25B2500</t>
  </si>
  <si>
    <t>1,5B2500</t>
  </si>
  <si>
    <t>2B2500</t>
  </si>
  <si>
    <t>2,5B2500</t>
  </si>
  <si>
    <t>3B2500</t>
  </si>
  <si>
    <t>4B2500</t>
  </si>
  <si>
    <t>5B2500</t>
  </si>
  <si>
    <t>6B2500</t>
  </si>
  <si>
    <t>8B2500</t>
  </si>
  <si>
    <t>10B2500</t>
  </si>
  <si>
    <t>12B2500</t>
  </si>
  <si>
    <t>0B150</t>
  </si>
  <si>
    <t>0B300</t>
  </si>
  <si>
    <t>0B400</t>
  </si>
  <si>
    <t>0B600</t>
  </si>
  <si>
    <t>0B900</t>
  </si>
  <si>
    <t>0B1500</t>
  </si>
  <si>
    <t>0B2500</t>
  </si>
  <si>
    <t>Dimensione UNC weight for 100 pieces</t>
  </si>
  <si>
    <t>B</t>
  </si>
  <si>
    <r>
      <t>FLANGE QUANTITY ESTIMATION (</t>
    </r>
    <r>
      <rPr>
        <b/>
        <u/>
        <sz val="16"/>
        <color rgb="FFFF0000"/>
        <rFont val="Calibri"/>
        <family val="2"/>
        <scheme val="minor"/>
      </rPr>
      <t>ONLY VALVES AND ON-LINE INSTRUMENTS</t>
    </r>
    <r>
      <rPr>
        <b/>
        <sz val="16"/>
        <color theme="1"/>
        <rFont val="Calibri"/>
        <family val="2"/>
        <scheme val="minor"/>
      </rPr>
      <t>)</t>
    </r>
  </si>
  <si>
    <t>Total</t>
  </si>
  <si>
    <t>Size 1</t>
  </si>
  <si>
    <t>Size 2</t>
  </si>
  <si>
    <t>Pipe Thk. 1</t>
  </si>
  <si>
    <t>Pipe Thk. 2</t>
  </si>
  <si>
    <t>Skid Section</t>
  </si>
  <si>
    <t>Unit</t>
  </si>
  <si>
    <t>Unit Price</t>
  </si>
  <si>
    <t>Total Price</t>
  </si>
  <si>
    <t>Insulation thickness</t>
  </si>
  <si>
    <t>Unit Insulated Surface</t>
  </si>
  <si>
    <t>Total Insulation Surface</t>
  </si>
  <si>
    <t>Joints 1</t>
  </si>
  <si>
    <t>Joints 2</t>
  </si>
  <si>
    <t>PMI</t>
  </si>
  <si>
    <t>HT</t>
  </si>
  <si>
    <t>Pipiping Support</t>
  </si>
  <si>
    <t>Unit bolt quantity</t>
  </si>
  <si>
    <t>Total bolt quantity</t>
  </si>
  <si>
    <t>Gasket Quantity</t>
  </si>
  <si>
    <t>Bolt Diameter</t>
  </si>
  <si>
    <t>Bolt Lenght</t>
  </si>
  <si>
    <t>Gasket Type&amp;Material</t>
  </si>
  <si>
    <t>inch.</t>
  </si>
  <si>
    <t>kg/unit</t>
  </si>
  <si>
    <t>m2/unit</t>
  </si>
  <si>
    <t>cad/flange</t>
  </si>
  <si>
    <t>kg/bolt&amp;2nuts</t>
  </si>
  <si>
    <t>kg/flange</t>
  </si>
  <si>
    <t>1/2 - 1 1/2</t>
  </si>
  <si>
    <t>2 - 6</t>
  </si>
  <si>
    <t>8 - 14</t>
  </si>
  <si>
    <t>16 - 42</t>
  </si>
  <si>
    <t>LTCS</t>
  </si>
  <si>
    <t>Duplex</t>
  </si>
  <si>
    <t>Incoloy</t>
  </si>
  <si>
    <t>5S - 40</t>
  </si>
  <si>
    <t>XS - 80</t>
  </si>
  <si>
    <t>160 - XXS</t>
  </si>
  <si>
    <t>N/A</t>
  </si>
  <si>
    <t>Seamless</t>
  </si>
  <si>
    <t>Fitting</t>
  </si>
  <si>
    <t>Elbow 90 LR</t>
  </si>
  <si>
    <t>Equal Tee</t>
  </si>
  <si>
    <t>FIELD INSTRUMENTS</t>
  </si>
  <si>
    <t>Instrument Tag</t>
  </si>
  <si>
    <t>Instrument Type</t>
  </si>
  <si>
    <t>Instrument Description</t>
  </si>
  <si>
    <t xml:space="preserve"> Size</t>
  </si>
  <si>
    <t>Piping Line Material Group</t>
  </si>
  <si>
    <t>Piping Line Rating</t>
  </si>
  <si>
    <t>System</t>
  </si>
  <si>
    <t>System Signal Type</t>
  </si>
  <si>
    <t>P&amp;ID No</t>
  </si>
  <si>
    <t>Unit Fitting time</t>
  </si>
  <si>
    <t>Total Fitting time</t>
  </si>
  <si>
    <t>Typical Fitting Time</t>
  </si>
  <si>
    <t>h/cad</t>
  </si>
  <si>
    <t>kg/cad</t>
  </si>
  <si>
    <t>€/cad</t>
  </si>
  <si>
    <t>PDT</t>
  </si>
  <si>
    <t>PDI</t>
  </si>
  <si>
    <t>LV</t>
  </si>
  <si>
    <t>XV</t>
  </si>
  <si>
    <t>FV</t>
  </si>
  <si>
    <t>BDV</t>
  </si>
  <si>
    <t>SDV</t>
  </si>
  <si>
    <t>Double Effect Valve</t>
  </si>
  <si>
    <t>Single Effect Valve</t>
  </si>
  <si>
    <t>Signals</t>
  </si>
  <si>
    <t>DCS</t>
  </si>
  <si>
    <t>ESD</t>
  </si>
  <si>
    <t>Line Instruments</t>
  </si>
  <si>
    <t>Actuated Valves</t>
  </si>
  <si>
    <t>PI</t>
  </si>
  <si>
    <t>Pressure gauge</t>
  </si>
  <si>
    <t>PRECISION</t>
  </si>
  <si>
    <t>Vortex flow meter</t>
  </si>
  <si>
    <t>PT</t>
  </si>
  <si>
    <t>Pressure transmitter</t>
  </si>
  <si>
    <t>Turbine flow meter</t>
  </si>
  <si>
    <t>Pressure differential transmitter</t>
  </si>
  <si>
    <t>DP meter - Orifice plate</t>
  </si>
  <si>
    <t>TI</t>
  </si>
  <si>
    <t>Bi-metal thermometer</t>
  </si>
  <si>
    <t>DP meter - Cone meter</t>
  </si>
  <si>
    <t>TT</t>
  </si>
  <si>
    <t>Temperature transmitter</t>
  </si>
  <si>
    <t>DP meter - Venturi nozzle</t>
  </si>
  <si>
    <t>LI</t>
  </si>
  <si>
    <t>Magnetic level gauge</t>
  </si>
  <si>
    <t>DP meter - Venturi tube</t>
  </si>
  <si>
    <t>LT</t>
  </si>
  <si>
    <t>Differential pressure level</t>
  </si>
  <si>
    <t>Positive displacement meter</t>
  </si>
  <si>
    <t>FI</t>
  </si>
  <si>
    <t>Orifice plate - flow indicator</t>
  </si>
  <si>
    <t>Coriolis mass meter</t>
  </si>
  <si>
    <t>CV</t>
  </si>
  <si>
    <t>Temperature Control Valve</t>
  </si>
  <si>
    <t>Ultrasonic flow meter</t>
  </si>
  <si>
    <t>Electromagnetic flow meter</t>
  </si>
  <si>
    <t>Pressure Control Valve</t>
  </si>
  <si>
    <t>Thermal mass meter</t>
  </si>
  <si>
    <t>Rotameter - flow indicator</t>
  </si>
  <si>
    <t>Capacitance level</t>
  </si>
  <si>
    <t>Admittance level</t>
  </si>
  <si>
    <t>Guided-Wave Radar level</t>
  </si>
  <si>
    <t>Microwave level</t>
  </si>
  <si>
    <t>Ultrasonic level</t>
  </si>
  <si>
    <t>Radioactive level</t>
  </si>
  <si>
    <t>PSV</t>
  </si>
  <si>
    <t>Spring Loaded Safety Valve</t>
  </si>
  <si>
    <t>Displacer level</t>
  </si>
  <si>
    <t>Magnetostrictive  level</t>
  </si>
  <si>
    <t>Reflex level gauge</t>
  </si>
  <si>
    <t>Transparent level Gauge</t>
  </si>
  <si>
    <t>Glass level gauge</t>
  </si>
  <si>
    <t>Thermocouple</t>
  </si>
  <si>
    <t>Resistance thermometer</t>
  </si>
  <si>
    <t>Temperature Transmitter</t>
  </si>
  <si>
    <t>Piloted Safety Valve</t>
  </si>
  <si>
    <t>Flow Control Valve</t>
  </si>
  <si>
    <t>TW</t>
  </si>
  <si>
    <t>Thermowell</t>
  </si>
  <si>
    <t>Pressure differential indicator</t>
  </si>
  <si>
    <t>3-way manifold</t>
  </si>
  <si>
    <t>Orifice plate - flow element</t>
  </si>
  <si>
    <t>5-way manifold</t>
  </si>
  <si>
    <t>Cone meter  - flow element</t>
  </si>
  <si>
    <t>SOV</t>
  </si>
  <si>
    <t>3-way solenoid valve</t>
  </si>
  <si>
    <t>Venturi nozzle - flow element</t>
  </si>
  <si>
    <t>4-way solenoid valve</t>
  </si>
  <si>
    <t>Venturi tube - flow element</t>
  </si>
  <si>
    <t>JB</t>
  </si>
  <si>
    <t>Junction box - 24 signals</t>
  </si>
  <si>
    <t>Level Switch</t>
  </si>
  <si>
    <t>LS</t>
  </si>
  <si>
    <t>Limit Switch</t>
  </si>
  <si>
    <t>Level Transmitter</t>
  </si>
  <si>
    <t>Electric actuator</t>
  </si>
  <si>
    <t>AT</t>
  </si>
  <si>
    <t>Pressure Switch</t>
  </si>
  <si>
    <t>BE</t>
  </si>
  <si>
    <t>UV SCANNER</t>
  </si>
  <si>
    <t>Mounting Material</t>
  </si>
  <si>
    <t>SIGNALS SUMMARY</t>
  </si>
  <si>
    <t>ET</t>
  </si>
  <si>
    <t>Electric tracing</t>
  </si>
  <si>
    <t>Valve Index</t>
  </si>
  <si>
    <t>Bore</t>
  </si>
  <si>
    <t>Operating Pressure</t>
  </si>
  <si>
    <t>Operating Temperature</t>
  </si>
  <si>
    <t>MDMT</t>
  </si>
  <si>
    <t>Insulation Type</t>
  </si>
  <si>
    <t>Insulation Thickness</t>
  </si>
  <si>
    <t>Stem Extension</t>
  </si>
  <si>
    <t>Total Quantity</t>
  </si>
  <si>
    <t>Valve Support</t>
  </si>
  <si>
    <t>RB/FB</t>
  </si>
  <si>
    <t>Barg</t>
  </si>
  <si>
    <t>Sh. 1</t>
  </si>
  <si>
    <t>Sh. 2</t>
  </si>
  <si>
    <t>Sh. 3</t>
  </si>
  <si>
    <t>Sh. 4</t>
  </si>
  <si>
    <t>Sh. 5</t>
  </si>
  <si>
    <t>Sh. 6</t>
  </si>
  <si>
    <t>Sh. 7</t>
  </si>
  <si>
    <t>Sh. 8</t>
  </si>
  <si>
    <t>Sh. 9</t>
  </si>
  <si>
    <t>Sh. 10</t>
  </si>
  <si>
    <t>Sh. 11</t>
  </si>
  <si>
    <t>Sh. 12</t>
  </si>
  <si>
    <t>Sh. 13</t>
  </si>
  <si>
    <t>Sh. 14</t>
  </si>
  <si>
    <t>Sh. 15</t>
  </si>
  <si>
    <t>EQUIPMENT LIST</t>
  </si>
  <si>
    <t>INTERNALS</t>
  </si>
  <si>
    <t>PACKING</t>
  </si>
  <si>
    <t>Equipment Type</t>
  </si>
  <si>
    <t>Cladding Material</t>
  </si>
  <si>
    <t>AU</t>
  </si>
  <si>
    <t>AV</t>
  </si>
  <si>
    <t>AW</t>
  </si>
  <si>
    <t>AX</t>
  </si>
  <si>
    <t>AY</t>
  </si>
  <si>
    <t>AZ</t>
  </si>
  <si>
    <t>BA</t>
  </si>
  <si>
    <t>Shell 1</t>
  </si>
  <si>
    <t>Shell 2</t>
  </si>
  <si>
    <t>Shell 3</t>
  </si>
  <si>
    <t>Head 1</t>
  </si>
  <si>
    <t>Head 2</t>
  </si>
  <si>
    <t>Head 3</t>
  </si>
  <si>
    <t>Reducer 1</t>
  </si>
  <si>
    <t>Reducer 2</t>
  </si>
  <si>
    <t>Reducer 3</t>
  </si>
  <si>
    <t>Deoxo reactor</t>
  </si>
  <si>
    <t>Vessel</t>
  </si>
  <si>
    <t>D-101</t>
  </si>
  <si>
    <t>Hydrogen gas/water separator</t>
  </si>
  <si>
    <t>Hydrogen dryers</t>
  </si>
  <si>
    <t>Loose</t>
  </si>
  <si>
    <t>MACHINERY LIST</t>
  </si>
  <si>
    <t>Machine Type</t>
  </si>
  <si>
    <t>Installed Power</t>
  </si>
  <si>
    <t>Operating Flow</t>
  </si>
  <si>
    <t>Design Flow</t>
  </si>
  <si>
    <t>kW</t>
  </si>
  <si>
    <t>m3/h</t>
  </si>
  <si>
    <t>bar</t>
  </si>
  <si>
    <t>E-101</t>
  </si>
  <si>
    <t>Feed hydrogen heater</t>
  </si>
  <si>
    <t>VESSEL</t>
  </si>
  <si>
    <t>E-102</t>
  </si>
  <si>
    <t>Hydrogen cooler</t>
  </si>
  <si>
    <t>1C-101</t>
  </si>
  <si>
    <t>Regeneration blower</t>
  </si>
  <si>
    <t>1F-101</t>
  </si>
  <si>
    <t>Hydrogen particulate filter</t>
  </si>
  <si>
    <t>OTHER ACCESSORIES</t>
  </si>
  <si>
    <t>Equipment Spare Part List</t>
  </si>
  <si>
    <t xml:space="preserve">Manway / Manhole </t>
  </si>
  <si>
    <t>Installed Bolt &amp; Nuts</t>
  </si>
  <si>
    <t>Gaskets</t>
  </si>
  <si>
    <t>Comm.&amp;Start-up</t>
  </si>
  <si>
    <t>2 Years Operation</t>
  </si>
  <si>
    <t>Commissioning Spare Part List</t>
  </si>
  <si>
    <t>2 Years Operation Spare Part List</t>
  </si>
  <si>
    <t>Bolt &amp; Nuts Material</t>
  </si>
  <si>
    <t>Diameter</t>
  </si>
  <si>
    <t>Gasket material</t>
  </si>
  <si>
    <t>Gasket Type</t>
  </si>
  <si>
    <t>Pos. Index</t>
  </si>
  <si>
    <t>Bolt &amp; 2 Nuts</t>
  </si>
  <si>
    <t>Gasket</t>
  </si>
  <si>
    <t>Bolt %</t>
  </si>
  <si>
    <t>Bolt Min</t>
  </si>
  <si>
    <t>Gasket %</t>
  </si>
  <si>
    <t>Gasket Min</t>
  </si>
  <si>
    <t xml:space="preserve"> Description</t>
  </si>
  <si>
    <t>SS 316L</t>
  </si>
  <si>
    <t>Spiral Wound</t>
  </si>
  <si>
    <t>Piping Units</t>
  </si>
  <si>
    <t>Structural Units</t>
  </si>
  <si>
    <t>Material Gruop</t>
  </si>
  <si>
    <t>Welds Unit</t>
  </si>
  <si>
    <t>Joint Type</t>
  </si>
  <si>
    <t>Joint 1</t>
  </si>
  <si>
    <t>Joint 2</t>
  </si>
  <si>
    <t>FT</t>
  </si>
  <si>
    <t>FE</t>
  </si>
  <si>
    <t>TE</t>
  </si>
  <si>
    <t>ESDV</t>
  </si>
  <si>
    <t>MOV</t>
  </si>
  <si>
    <t>ASME VIII div.1&amp;2 Materials</t>
  </si>
  <si>
    <t>Material Code List (Editable)</t>
  </si>
  <si>
    <t>Saddles Weight Chart</t>
  </si>
  <si>
    <t>Flange Type</t>
  </si>
  <si>
    <t>Pressure</t>
  </si>
  <si>
    <t>Supply Type</t>
  </si>
  <si>
    <t>Bolting Diameter</t>
  </si>
  <si>
    <t>Piping_Class</t>
  </si>
  <si>
    <t>Flange_Face</t>
  </si>
  <si>
    <t>Category</t>
  </si>
  <si>
    <t>Painting_cycle</t>
  </si>
  <si>
    <t>Piping Insultation Thickness</t>
  </si>
  <si>
    <t>Equipment Insultation Thickness</t>
  </si>
  <si>
    <t>BW</t>
  </si>
  <si>
    <t>Cap</t>
  </si>
  <si>
    <t>Electric Actuator</t>
  </si>
  <si>
    <t>Spec. No.</t>
  </si>
  <si>
    <t>Type/Grade</t>
  </si>
  <si>
    <t>Material Code</t>
  </si>
  <si>
    <t>psig</t>
  </si>
  <si>
    <t>MPa</t>
  </si>
  <si>
    <t>°F</t>
  </si>
  <si>
    <t>U-Tube</t>
  </si>
  <si>
    <t>Skid Mounted</t>
  </si>
  <si>
    <t>SW</t>
  </si>
  <si>
    <t>Welded</t>
  </si>
  <si>
    <t>Elbow 45</t>
  </si>
  <si>
    <t>FB</t>
  </si>
  <si>
    <t>SA/AS 1548</t>
  </si>
  <si>
    <t>SA-516</t>
  </si>
  <si>
    <t>Lapped</t>
  </si>
  <si>
    <t>Straight</t>
  </si>
  <si>
    <t>Supplied Loose</t>
  </si>
  <si>
    <t>RTJ</t>
  </si>
  <si>
    <t>Ø-inches</t>
  </si>
  <si>
    <t>SA/CSA-G40.21</t>
  </si>
  <si>
    <t>div.2</t>
  </si>
  <si>
    <t>Threaded</t>
  </si>
  <si>
    <t>Elbow 90 SR</t>
  </si>
  <si>
    <t>Level Control Valve</t>
  </si>
  <si>
    <t>SA/EN 10028-2</t>
  </si>
  <si>
    <t>Butterfly_valve</t>
  </si>
  <si>
    <t>SA/EN 10028-3</t>
  </si>
  <si>
    <t>SA-240</t>
  </si>
  <si>
    <t>316L</t>
  </si>
  <si>
    <t>Socket Welding</t>
  </si>
  <si>
    <t>SA/EN 10028-7</t>
  </si>
  <si>
    <t>SA-106</t>
  </si>
  <si>
    <t>Reduced Tee</t>
  </si>
  <si>
    <t>SA/GB 6654</t>
  </si>
  <si>
    <t>SA-333</t>
  </si>
  <si>
    <t>SA/JIS G3118</t>
  </si>
  <si>
    <t>SA-234</t>
  </si>
  <si>
    <t>WPB</t>
  </si>
  <si>
    <t>SA/JIS G4303</t>
  </si>
  <si>
    <t>SA-533</t>
  </si>
  <si>
    <t>SA-1008</t>
  </si>
  <si>
    <t>SA-1010</t>
  </si>
  <si>
    <t>B, Cl. 3</t>
  </si>
  <si>
    <t>SA-105</t>
  </si>
  <si>
    <t>316Ti</t>
  </si>
  <si>
    <t>SA-134</t>
  </si>
  <si>
    <t>SA-135</t>
  </si>
  <si>
    <t>SA-178</t>
  </si>
  <si>
    <t>SA-179</t>
  </si>
  <si>
    <t>SA-181</t>
  </si>
  <si>
    <t>SA-182</t>
  </si>
  <si>
    <t>SA-192</t>
  </si>
  <si>
    <t>SA-202</t>
  </si>
  <si>
    <t>SA-203</t>
  </si>
  <si>
    <t>SA-204</t>
  </si>
  <si>
    <t>SA-209</t>
  </si>
  <si>
    <t>SA-210</t>
  </si>
  <si>
    <t>SA-213</t>
  </si>
  <si>
    <t>SA-214</t>
  </si>
  <si>
    <t>SA-216</t>
  </si>
  <si>
    <t>SA-217</t>
  </si>
  <si>
    <t>SA-225</t>
  </si>
  <si>
    <t>SA-249</t>
  </si>
  <si>
    <t>SA-250</t>
  </si>
  <si>
    <t>SA-266</t>
  </si>
  <si>
    <t>SA-268</t>
  </si>
  <si>
    <t>SA-283</t>
  </si>
  <si>
    <t>SA-285</t>
  </si>
  <si>
    <t>SA-299</t>
  </si>
  <si>
    <t>SA-302</t>
  </si>
  <si>
    <t>SA-312</t>
  </si>
  <si>
    <t>SA-334</t>
  </si>
  <si>
    <t>SA-335</t>
  </si>
  <si>
    <t>SA-336</t>
  </si>
  <si>
    <t>SA-350</t>
  </si>
  <si>
    <t>SA-351</t>
  </si>
  <si>
    <t>SA-352</t>
  </si>
  <si>
    <t>SA-353</t>
  </si>
  <si>
    <t>1⁄2CR</t>
  </si>
  <si>
    <t>SA-358</t>
  </si>
  <si>
    <t>11⁄4CR</t>
  </si>
  <si>
    <t>SA-36</t>
  </si>
  <si>
    <t>16MnR</t>
  </si>
  <si>
    <t>SA-369</t>
  </si>
  <si>
    <t>1A</t>
  </si>
  <si>
    <t>SA-372</t>
  </si>
  <si>
    <t>1B</t>
  </si>
  <si>
    <t>SA-376</t>
  </si>
  <si>
    <t>1CR</t>
  </si>
  <si>
    <t>SA-387</t>
  </si>
  <si>
    <t>201-1</t>
  </si>
  <si>
    <t>SA-403</t>
  </si>
  <si>
    <t>201-2</t>
  </si>
  <si>
    <t>SA-409</t>
  </si>
  <si>
    <t>201LN</t>
  </si>
  <si>
    <t>SA-414</t>
  </si>
  <si>
    <t>21⁄4CR</t>
  </si>
  <si>
    <t>SA-420</t>
  </si>
  <si>
    <t>21V</t>
  </si>
  <si>
    <t>SA-423</t>
  </si>
  <si>
    <t>22V</t>
  </si>
  <si>
    <t>SA-426</t>
  </si>
  <si>
    <t>23V</t>
  </si>
  <si>
    <t>SA-451</t>
  </si>
  <si>
    <t>2A</t>
  </si>
  <si>
    <t>SA-455</t>
  </si>
  <si>
    <t>304H</t>
  </si>
  <si>
    <t>SA-479</t>
  </si>
  <si>
    <t>304L</t>
  </si>
  <si>
    <t>SA-487</t>
  </si>
  <si>
    <t>304LN</t>
  </si>
  <si>
    <t>SA-508</t>
  </si>
  <si>
    <t>304N</t>
  </si>
  <si>
    <t>SA-515</t>
  </si>
  <si>
    <t>309Cb</t>
  </si>
  <si>
    <t>309H</t>
  </si>
  <si>
    <t>SA-517</t>
  </si>
  <si>
    <t>309S</t>
  </si>
  <si>
    <t>SA-522</t>
  </si>
  <si>
    <t>310Cb</t>
  </si>
  <si>
    <t>SA-524</t>
  </si>
  <si>
    <t>310H</t>
  </si>
  <si>
    <t>SA-53</t>
  </si>
  <si>
    <t>310MoLN</t>
  </si>
  <si>
    <t>SA-537</t>
  </si>
  <si>
    <t>SA-541</t>
  </si>
  <si>
    <t>310S</t>
  </si>
  <si>
    <t>SA-542</t>
  </si>
  <si>
    <t>316Cb</t>
  </si>
  <si>
    <t>SA-543</t>
  </si>
  <si>
    <t>316H</t>
  </si>
  <si>
    <t>SA-553</t>
  </si>
  <si>
    <t>SA-556</t>
  </si>
  <si>
    <t>316LN</t>
  </si>
  <si>
    <t>SA-557</t>
  </si>
  <si>
    <t>316N</t>
  </si>
  <si>
    <t>SA-562</t>
  </si>
  <si>
    <t>SA-564</t>
  </si>
  <si>
    <t>317L</t>
  </si>
  <si>
    <t>SA-587</t>
  </si>
  <si>
    <t>321H</t>
  </si>
  <si>
    <t>SA-592</t>
  </si>
  <si>
    <t>347H</t>
  </si>
  <si>
    <t>SA-612</t>
  </si>
  <si>
    <t>348H</t>
  </si>
  <si>
    <t>SA-638</t>
  </si>
  <si>
    <t>38W</t>
  </si>
  <si>
    <t>SA-645</t>
  </si>
  <si>
    <t>3V</t>
  </si>
  <si>
    <t>SA-656</t>
  </si>
  <si>
    <t>3VCb</t>
  </si>
  <si>
    <t>SA-660</t>
  </si>
  <si>
    <t>410S</t>
  </si>
  <si>
    <t>SA-662</t>
  </si>
  <si>
    <t>4N</t>
  </si>
  <si>
    <t>SA-666</t>
  </si>
  <si>
    <t>5-490A</t>
  </si>
  <si>
    <t>SA-671</t>
  </si>
  <si>
    <t>5-490N</t>
  </si>
  <si>
    <t>SA-672</t>
  </si>
  <si>
    <t>5CR</t>
  </si>
  <si>
    <t>SA-675</t>
  </si>
  <si>
    <t>7-430A</t>
  </si>
  <si>
    <t>SA-688</t>
  </si>
  <si>
    <t>7-430N</t>
  </si>
  <si>
    <t>SA-691</t>
  </si>
  <si>
    <t>7-430R</t>
  </si>
  <si>
    <t>SA-723</t>
  </si>
  <si>
    <t>7-460A</t>
  </si>
  <si>
    <t>SA-724</t>
  </si>
  <si>
    <t>7-460N</t>
  </si>
  <si>
    <t>SA-727</t>
  </si>
  <si>
    <t>7-460R</t>
  </si>
  <si>
    <t>SA-731</t>
  </si>
  <si>
    <t>7-490A</t>
  </si>
  <si>
    <t>SA-737</t>
  </si>
  <si>
    <t>7-490N</t>
  </si>
  <si>
    <t>SA-738</t>
  </si>
  <si>
    <t>7-490R</t>
  </si>
  <si>
    <t>SA-739</t>
  </si>
  <si>
    <t>SA-747</t>
  </si>
  <si>
    <t>A-1</t>
  </si>
  <si>
    <t>SA-765</t>
  </si>
  <si>
    <t>A2</t>
  </si>
  <si>
    <t>SA-789</t>
  </si>
  <si>
    <t>A283A</t>
  </si>
  <si>
    <t>SA-790</t>
  </si>
  <si>
    <t>A283B</t>
  </si>
  <si>
    <t>SA-803</t>
  </si>
  <si>
    <t>A283C</t>
  </si>
  <si>
    <t>SA-813</t>
  </si>
  <si>
    <t>A283D</t>
  </si>
  <si>
    <t>SA-814</t>
  </si>
  <si>
    <t>A45</t>
  </si>
  <si>
    <t>SA-815</t>
  </si>
  <si>
    <t>A50</t>
  </si>
  <si>
    <t>SA-832</t>
  </si>
  <si>
    <t>A55</t>
  </si>
  <si>
    <t>SA-836</t>
  </si>
  <si>
    <t>SA-965</t>
  </si>
  <si>
    <t>SA-995</t>
  </si>
  <si>
    <t>B/35</t>
  </si>
  <si>
    <t>B/40</t>
  </si>
  <si>
    <t>B11</t>
  </si>
  <si>
    <t>B2</t>
  </si>
  <si>
    <t>B22</t>
  </si>
  <si>
    <t>B55</t>
  </si>
  <si>
    <t>B60</t>
  </si>
  <si>
    <t>B65</t>
  </si>
  <si>
    <t>B70</t>
  </si>
  <si>
    <t>C</t>
  </si>
  <si>
    <t>C12</t>
  </si>
  <si>
    <t>C2</t>
  </si>
  <si>
    <t>C5</t>
  </si>
  <si>
    <t>C55</t>
  </si>
  <si>
    <t>C60</t>
  </si>
  <si>
    <t>C65</t>
  </si>
  <si>
    <t>C70</t>
  </si>
  <si>
    <t>CA15</t>
  </si>
  <si>
    <t>CA55</t>
  </si>
  <si>
    <t>CA6NM</t>
  </si>
  <si>
    <t>CB60</t>
  </si>
  <si>
    <t>CB65</t>
  </si>
  <si>
    <t>CB70</t>
  </si>
  <si>
    <t>CB7Cu-1</t>
  </si>
  <si>
    <t>CC60</t>
  </si>
  <si>
    <t>CC65</t>
  </si>
  <si>
    <t>CC70</t>
  </si>
  <si>
    <t>CD70</t>
  </si>
  <si>
    <t>CD80</t>
  </si>
  <si>
    <t>CE55</t>
  </si>
  <si>
    <t>CE60</t>
  </si>
  <si>
    <t>CF10</t>
  </si>
  <si>
    <t>CF10M</t>
  </si>
  <si>
    <t>CF3</t>
  </si>
  <si>
    <t>CF3A</t>
  </si>
  <si>
    <t>CF3M</t>
  </si>
  <si>
    <t>CF8</t>
  </si>
  <si>
    <t>CF8A</t>
  </si>
  <si>
    <t>CF8C</t>
  </si>
  <si>
    <t>CF8M</t>
  </si>
  <si>
    <t>CG6MMN</t>
  </si>
  <si>
    <t>CG8M</t>
  </si>
  <si>
    <t>CH20</t>
  </si>
  <si>
    <t>CH8</t>
  </si>
  <si>
    <t>CK20</t>
  </si>
  <si>
    <t>CK3MCuN</t>
  </si>
  <si>
    <t>CK75</t>
  </si>
  <si>
    <t>CM-65</t>
  </si>
  <si>
    <t>CM-70</t>
  </si>
  <si>
    <t>CM-75</t>
  </si>
  <si>
    <t>CMS-75</t>
  </si>
  <si>
    <t>CMSH-70</t>
  </si>
  <si>
    <t>CMSH-80</t>
  </si>
  <si>
    <t>CN7M</t>
  </si>
  <si>
    <t>CP1</t>
  </si>
  <si>
    <t>CP11</t>
  </si>
  <si>
    <t>CP12</t>
  </si>
  <si>
    <t>CP2</t>
  </si>
  <si>
    <t>CP21</t>
  </si>
  <si>
    <t>CP22</t>
  </si>
  <si>
    <t>CP5</t>
  </si>
  <si>
    <t>CP9</t>
  </si>
  <si>
    <t>CPCA15</t>
  </si>
  <si>
    <t>CPF3</t>
  </si>
  <si>
    <t>CPF3A</t>
  </si>
  <si>
    <t>CPF3M</t>
  </si>
  <si>
    <t>CPF8</t>
  </si>
  <si>
    <t>CPF8A</t>
  </si>
  <si>
    <t>CPF8C</t>
  </si>
  <si>
    <t>CPF8M</t>
  </si>
  <si>
    <t>CPH20</t>
  </si>
  <si>
    <t>CPH8</t>
  </si>
  <si>
    <t>CPK20</t>
  </si>
  <si>
    <t>CS-A</t>
  </si>
  <si>
    <t>CS-B</t>
  </si>
  <si>
    <t>D</t>
  </si>
  <si>
    <t>D70</t>
  </si>
  <si>
    <t>D80</t>
  </si>
  <si>
    <t>E</t>
  </si>
  <si>
    <t>E/A</t>
  </si>
  <si>
    <t>E/B</t>
  </si>
  <si>
    <t>E55</t>
  </si>
  <si>
    <t>E60</t>
  </si>
  <si>
    <t>ER308</t>
  </si>
  <si>
    <t>F</t>
  </si>
  <si>
    <t>F/A</t>
  </si>
  <si>
    <t>F1</t>
  </si>
  <si>
    <t>F11</t>
  </si>
  <si>
    <t>F12</t>
  </si>
  <si>
    <t>F2</t>
  </si>
  <si>
    <t>F21</t>
  </si>
  <si>
    <t>F22</t>
  </si>
  <si>
    <t>F22V</t>
  </si>
  <si>
    <t>F304</t>
  </si>
  <si>
    <t>F304H</t>
  </si>
  <si>
    <t>F304L</t>
  </si>
  <si>
    <t>F304LN</t>
  </si>
  <si>
    <t>F304N</t>
  </si>
  <si>
    <t>F310</t>
  </si>
  <si>
    <t>F310MoLN</t>
  </si>
  <si>
    <t>F316H</t>
  </si>
  <si>
    <t>F316L</t>
  </si>
  <si>
    <t>F316LN</t>
  </si>
  <si>
    <t>F316N</t>
  </si>
  <si>
    <t>F317</t>
  </si>
  <si>
    <t>F317L</t>
  </si>
  <si>
    <t>F321</t>
  </si>
  <si>
    <t>F321H</t>
  </si>
  <si>
    <t>F347</t>
  </si>
  <si>
    <t>F347H</t>
  </si>
  <si>
    <t>F348</t>
  </si>
  <si>
    <t>F348H</t>
  </si>
  <si>
    <t>F3V</t>
  </si>
  <si>
    <t>F3VCb</t>
  </si>
  <si>
    <t>F44</t>
  </si>
  <si>
    <t>F45</t>
  </si>
  <si>
    <t>F5</t>
  </si>
  <si>
    <t>F51</t>
  </si>
  <si>
    <t>F53</t>
  </si>
  <si>
    <t>F54</t>
  </si>
  <si>
    <t>F5A</t>
  </si>
  <si>
    <t>F6</t>
  </si>
  <si>
    <t>F6a</t>
  </si>
  <si>
    <t>F6NM</t>
  </si>
  <si>
    <t>F9</t>
  </si>
  <si>
    <t>F91</t>
  </si>
  <si>
    <t>FP1</t>
  </si>
  <si>
    <t>FP11</t>
  </si>
  <si>
    <t>FP12</t>
  </si>
  <si>
    <t>FP2</t>
  </si>
  <si>
    <t>FP21</t>
  </si>
  <si>
    <t>FP22</t>
  </si>
  <si>
    <t>FP5</t>
  </si>
  <si>
    <t>FP9</t>
  </si>
  <si>
    <t>FP91</t>
  </si>
  <si>
    <t>FPA</t>
  </si>
  <si>
    <t>FPB</t>
  </si>
  <si>
    <t>FXM-11</t>
  </si>
  <si>
    <t>FXM-19</t>
  </si>
  <si>
    <t>FXM-27Cb</t>
  </si>
  <si>
    <t>G</t>
  </si>
  <si>
    <t>H</t>
  </si>
  <si>
    <t>H75</t>
  </si>
  <si>
    <t>H80</t>
  </si>
  <si>
    <t>I</t>
  </si>
  <si>
    <t>II</t>
  </si>
  <si>
    <t>III</t>
  </si>
  <si>
    <t>IV</t>
  </si>
  <si>
    <t>J</t>
  </si>
  <si>
    <t>J100</t>
  </si>
  <si>
    <t>J80</t>
  </si>
  <si>
    <t>J90</t>
  </si>
  <si>
    <t>L</t>
  </si>
  <si>
    <t>L65</t>
  </si>
  <si>
    <t>L70</t>
  </si>
  <si>
    <t>L75</t>
  </si>
  <si>
    <t>LC1</t>
  </si>
  <si>
    <t>LC2</t>
  </si>
  <si>
    <t>LC3</t>
  </si>
  <si>
    <t>LCA</t>
  </si>
  <si>
    <t>LCB</t>
  </si>
  <si>
    <t>LCC</t>
  </si>
  <si>
    <t>LF1</t>
  </si>
  <si>
    <t>LF2</t>
  </si>
  <si>
    <t>LF3</t>
  </si>
  <si>
    <t>LF5</t>
  </si>
  <si>
    <t>LF9</t>
  </si>
  <si>
    <t>M</t>
  </si>
  <si>
    <t>N75</t>
  </si>
  <si>
    <t>P</t>
  </si>
  <si>
    <t>P1</t>
  </si>
  <si>
    <t>P11</t>
  </si>
  <si>
    <t>P12</t>
  </si>
  <si>
    <t>P15</t>
  </si>
  <si>
    <t>P2</t>
  </si>
  <si>
    <t>P21</t>
  </si>
  <si>
    <t>P22</t>
  </si>
  <si>
    <t>P275NH</t>
  </si>
  <si>
    <t>P295GH</t>
  </si>
  <si>
    <t>P5</t>
  </si>
  <si>
    <t>P5b</t>
  </si>
  <si>
    <t>P5c</t>
  </si>
  <si>
    <t>P9</t>
  </si>
  <si>
    <t>P91</t>
  </si>
  <si>
    <t>S/A</t>
  </si>
  <si>
    <t>S/B</t>
  </si>
  <si>
    <t>SGV480</t>
  </si>
  <si>
    <t>SUS302</t>
  </si>
  <si>
    <t>SUS304</t>
  </si>
  <si>
    <t>SUS304L</t>
  </si>
  <si>
    <t>SUS310S</t>
  </si>
  <si>
    <t>SUS316</t>
  </si>
  <si>
    <t>SUS316L</t>
  </si>
  <si>
    <t>SUS321</t>
  </si>
  <si>
    <t>SUS347</t>
  </si>
  <si>
    <t>SUS405</t>
  </si>
  <si>
    <t>T1</t>
  </si>
  <si>
    <t>T11</t>
  </si>
  <si>
    <t>T11S1</t>
  </si>
  <si>
    <t>T12</t>
  </si>
  <si>
    <t>T12S1</t>
  </si>
  <si>
    <t>T17</t>
  </si>
  <si>
    <t>T1a</t>
  </si>
  <si>
    <t>T1b</t>
  </si>
  <si>
    <t>T2</t>
  </si>
  <si>
    <t>T21</t>
  </si>
  <si>
    <t>T22</t>
  </si>
  <si>
    <t>T22S1</t>
  </si>
  <si>
    <t>T2S1</t>
  </si>
  <si>
    <t>T3</t>
  </si>
  <si>
    <t>T5</t>
  </si>
  <si>
    <t>T5b</t>
  </si>
  <si>
    <t>T5c</t>
  </si>
  <si>
    <t>T7</t>
  </si>
  <si>
    <t>T9</t>
  </si>
  <si>
    <t>T91</t>
  </si>
  <si>
    <t>TP304</t>
  </si>
  <si>
    <t>TP304H</t>
  </si>
  <si>
    <t>TP304L</t>
  </si>
  <si>
    <t>TP304LN</t>
  </si>
  <si>
    <t>TP304N</t>
  </si>
  <si>
    <t>TP309Cb</t>
  </si>
  <si>
    <t>TP309H</t>
  </si>
  <si>
    <t>TP309S</t>
  </si>
  <si>
    <t>TP310Cb</t>
  </si>
  <si>
    <t>TP310H</t>
  </si>
  <si>
    <t>TP310HCbN</t>
  </si>
  <si>
    <t>TP310MoLN</t>
  </si>
  <si>
    <t>TP310S</t>
  </si>
  <si>
    <t>TP316</t>
  </si>
  <si>
    <t>TP316H</t>
  </si>
  <si>
    <t>TP316L</t>
  </si>
  <si>
    <t>TP316LN</t>
  </si>
  <si>
    <t>TP316N</t>
  </si>
  <si>
    <t>TP317</t>
  </si>
  <si>
    <t>TP317L</t>
  </si>
  <si>
    <t>TP321</t>
  </si>
  <si>
    <t>TP321H</t>
  </si>
  <si>
    <t>TP347</t>
  </si>
  <si>
    <t>TP347H</t>
  </si>
  <si>
    <t>TP347HFG</t>
  </si>
  <si>
    <t>TP348</t>
  </si>
  <si>
    <t>TP348H</t>
  </si>
  <si>
    <t>TP405</t>
  </si>
  <si>
    <t>TP409</t>
  </si>
  <si>
    <t>TP410</t>
  </si>
  <si>
    <t>TP429</t>
  </si>
  <si>
    <t>TP430</t>
  </si>
  <si>
    <t>TP430 Ti</t>
  </si>
  <si>
    <t>TP439</t>
  </si>
  <si>
    <t>TP446-1</t>
  </si>
  <si>
    <t>TPXM-11</t>
  </si>
  <si>
    <t>TPXM-15</t>
  </si>
  <si>
    <t>TPXM-19</t>
  </si>
  <si>
    <t>TPXM-27</t>
  </si>
  <si>
    <t>TPXM-29</t>
  </si>
  <si>
    <t>TPXM-33</t>
  </si>
  <si>
    <t>WC1</t>
  </si>
  <si>
    <t>WC4</t>
  </si>
  <si>
    <t>WC5</t>
  </si>
  <si>
    <t>WC6</t>
  </si>
  <si>
    <t>WC9</t>
  </si>
  <si>
    <t>WCA</t>
  </si>
  <si>
    <t>WCB</t>
  </si>
  <si>
    <t>WCC</t>
  </si>
  <si>
    <t>WP1</t>
  </si>
  <si>
    <t>WP11</t>
  </si>
  <si>
    <t>WP12</t>
  </si>
  <si>
    <t>WP22</t>
  </si>
  <si>
    <t>WP5</t>
  </si>
  <si>
    <t>WP9</t>
  </si>
  <si>
    <t>WP91</t>
  </si>
  <si>
    <t>WPC</t>
  </si>
  <si>
    <t>WPL3</t>
  </si>
  <si>
    <t>WPL6</t>
  </si>
  <si>
    <t>WPL8</t>
  </si>
  <si>
    <t>WPL9</t>
  </si>
  <si>
    <t>WPR</t>
  </si>
  <si>
    <t>X5CrNi18-10</t>
  </si>
  <si>
    <t>X5CrNiMo17-12-2</t>
  </si>
  <si>
    <t>XM-11</t>
  </si>
  <si>
    <t>XM-15</t>
  </si>
  <si>
    <t>XM-19</t>
  </si>
  <si>
    <t>XM-27</t>
  </si>
  <si>
    <t>XM-29</t>
  </si>
  <si>
    <t>XM-33</t>
  </si>
  <si>
    <t xml:space="preserve">STIMA COSTI CABLAGGI </t>
  </si>
  <si>
    <r>
      <t>M</t>
    </r>
    <r>
      <rPr>
        <b/>
        <vertAlign val="superscript"/>
        <sz val="10"/>
        <rFont val="Arial"/>
        <family val="2"/>
      </rPr>
      <t>2</t>
    </r>
    <r>
      <rPr>
        <b/>
        <sz val="10"/>
        <rFont val="Arial"/>
        <family val="2"/>
      </rPr>
      <t xml:space="preserve"> Skid(s)</t>
    </r>
  </si>
  <si>
    <t>Q.tà</t>
  </si>
  <si>
    <t>Descrizione</t>
  </si>
  <si>
    <t>attività</t>
  </si>
  <si>
    <t>Costo Unit</t>
  </si>
  <si>
    <t>Tot</t>
  </si>
  <si>
    <t>PG</t>
  </si>
  <si>
    <t>montaggio</t>
  </si>
  <si>
    <t>TG</t>
  </si>
  <si>
    <t>DPT</t>
  </si>
  <si>
    <t>on-off valve DA</t>
  </si>
  <si>
    <t>cablaggio el</t>
  </si>
  <si>
    <t>on-off valve SA</t>
  </si>
  <si>
    <t>analyzer</t>
  </si>
  <si>
    <t>local panel</t>
  </si>
  <si>
    <t>local control station</t>
  </si>
  <si>
    <t>analog/digita  signal</t>
  </si>
  <si>
    <t>instr support</t>
  </si>
  <si>
    <t>messa a terra (eur/m2)</t>
  </si>
  <si>
    <t>posa canaline (eur/m2)</t>
  </si>
  <si>
    <t>test finale (lump sum)</t>
  </si>
  <si>
    <t>totale MO</t>
  </si>
  <si>
    <t>set materiale per cablaggi (% su MO)</t>
  </si>
  <si>
    <t>TOT</t>
  </si>
  <si>
    <t>K Varie</t>
  </si>
  <si>
    <t>TOTALE</t>
  </si>
  <si>
    <t>Blank Sheet 1</t>
  </si>
  <si>
    <t>TABLE 1A</t>
  </si>
  <si>
    <t>SECTION I; SECTION III, CLASSES 2 AND 3;* SECTION VIII,  DIVISION 1; AND SECTION XII</t>
  </si>
  <si>
    <t xml:space="preserve"> MAXIMUM ALLOWABLE STRESS VALUES S FOR FERROUS MATERIALS</t>
  </si>
  <si>
    <t>(*See Maximum Temperature Limits for Restrictions on Class)</t>
  </si>
  <si>
    <t>Applicability and Max. Temperature Limits
(NP p Not Permitted)
(SPT p Supports Only)</t>
  </si>
  <si>
    <t>Maximum Allowable Stress, Mpa / Multiply by 1000 to Obtain kPa), for Meral Temperature, °C, Not Exceeding+</t>
  </si>
  <si>
    <t>Line No.</t>
  </si>
  <si>
    <t>Nominal Composition</t>
  </si>
  <si>
    <t>Product Form</t>
  </si>
  <si>
    <t>Spec No.</t>
  </si>
  <si>
    <t>Alloy Designation/ UNS No.</t>
  </si>
  <si>
    <t>Class/ Condition/ Temper</t>
  </si>
  <si>
    <t>Size/Thickness, mm</t>
  </si>
  <si>
    <t>P-No.</t>
  </si>
  <si>
    <t>Group No.</t>
  </si>
  <si>
    <t>Min. Tensile Strength, Mpa</t>
  </si>
  <si>
    <t>Min. Yield Strength, Mpa</t>
  </si>
  <si>
    <t>VIII-1</t>
  </si>
  <si>
    <t>XII</t>
  </si>
  <si>
    <t>External Pressure Chart No.</t>
  </si>
  <si>
    <t>Carbon steel</t>
  </si>
  <si>
    <t>Sheet</t>
  </si>
  <si>
    <t>NP</t>
  </si>
  <si>
    <t>CS-6</t>
  </si>
  <si>
    <t>Bar</t>
  </si>
  <si>
    <t>343 (Cl. 3 only)</t>
  </si>
  <si>
    <t>G10, G22, T10</t>
  </si>
  <si>
    <t>Wld. pipe</t>
  </si>
  <si>
    <t>149 (Cl. 3 only)</t>
  </si>
  <si>
    <t>CS-1</t>
  </si>
  <si>
    <t>W12</t>
  </si>
  <si>
    <t>Plate</t>
  </si>
  <si>
    <t>K01700</t>
  </si>
  <si>
    <t>G10, T2</t>
  </si>
  <si>
    <t>S6, W10, W12</t>
  </si>
  <si>
    <t>K01501</t>
  </si>
  <si>
    <t>Wld. tube</t>
  </si>
  <si>
    <t>K01200</t>
  </si>
  <si>
    <t>G4, G10, S1, T2, W13</t>
  </si>
  <si>
    <t>G3, G10, G24, S1, T2, W6</t>
  </si>
  <si>
    <t>Smls. tube</t>
  </si>
  <si>
    <t>K01201</t>
  </si>
  <si>
    <t>G10, S1, T2</t>
  </si>
  <si>
    <t>K01807</t>
  </si>
  <si>
    <t>G24, T2, W6</t>
  </si>
  <si>
    <t>K02504</t>
  </si>
  <si>
    <t>CS-2</t>
  </si>
  <si>
    <t>G3, G10, S1, T2</t>
  </si>
  <si>
    <t>G10, S1, T2, W12, W13</t>
  </si>
  <si>
    <t>G2, G10, S10, T2, W15</t>
  </si>
  <si>
    <t>Smls. pipe</t>
  </si>
  <si>
    <t>371 (SPT)</t>
  </si>
  <si>
    <t>K02501</t>
  </si>
  <si>
    <t>G10, S1, T1</t>
  </si>
  <si>
    <t>Forged pipe</t>
  </si>
  <si>
    <t>K11500</t>
  </si>
  <si>
    <t>G10, G15, G22, S1, T2</t>
  </si>
  <si>
    <t>K02200</t>
  </si>
  <si>
    <t>G10, T1</t>
  </si>
  <si>
    <t>S6, T1, W10, W12</t>
  </si>
  <si>
    <t>K02201</t>
  </si>
  <si>
    <r>
      <t xml:space="preserve">150 &lt; </t>
    </r>
    <r>
      <rPr>
        <sz val="11"/>
        <color theme="1"/>
        <rFont val="Calibri"/>
        <family val="2"/>
        <scheme val="minor"/>
      </rPr>
      <t>t ≤ 250</t>
    </r>
  </si>
  <si>
    <t>G10</t>
  </si>
  <si>
    <r>
      <t xml:space="preserve">100 &lt; </t>
    </r>
    <r>
      <rPr>
        <sz val="11"/>
        <color theme="1"/>
        <rFont val="Calibri"/>
        <family val="2"/>
        <scheme val="minor"/>
      </rPr>
      <t>t ≤ 150</t>
    </r>
  </si>
  <si>
    <r>
      <t xml:space="preserve">50 &lt; </t>
    </r>
    <r>
      <rPr>
        <sz val="11"/>
        <color theme="1"/>
        <rFont val="Calibri"/>
        <family val="2"/>
        <scheme val="minor"/>
      </rPr>
      <t>t ≤ 100</t>
    </r>
  </si>
  <si>
    <t>K02401</t>
  </si>
  <si>
    <t>K02801</t>
  </si>
  <si>
    <t>Smls. &amp; wld. pipe</t>
  </si>
  <si>
    <t>K03008</t>
  </si>
  <si>
    <t>W12, W14</t>
  </si>
  <si>
    <t>Smls. &amp; wld. tube</t>
  </si>
  <si>
    <t>G24, W6</t>
  </si>
  <si>
    <t>K01800</t>
  </si>
  <si>
    <t>K02104</t>
  </si>
  <si>
    <t>K02202</t>
  </si>
  <si>
    <t>K02001</t>
  </si>
  <si>
    <t>K02503</t>
  </si>
  <si>
    <t>≤ 50</t>
  </si>
  <si>
    <t>K02600</t>
  </si>
  <si>
    <t>343 (SPT)</t>
  </si>
  <si>
    <t>G10, G15, T1</t>
  </si>
  <si>
    <t>Plate, sheet</t>
  </si>
  <si>
    <t>G9, G10, T1</t>
  </si>
  <si>
    <t>K01701</t>
  </si>
  <si>
    <t>Forgings</t>
  </si>
  <si>
    <t>K03502</t>
  </si>
  <si>
    <t>Castings</t>
  </si>
  <si>
    <t>J02502</t>
  </si>
  <si>
    <t>G1, G10, G17, S1, T2</t>
  </si>
  <si>
    <t>K03506</t>
  </si>
  <si>
    <t>K03009</t>
  </si>
  <si>
    <t>J02504</t>
  </si>
  <si>
    <t>G17</t>
  </si>
  <si>
    <t>Cast pipe</t>
  </si>
  <si>
    <t>G10, G15, S1, T2</t>
  </si>
  <si>
    <t>G10, G22, T2</t>
  </si>
  <si>
    <t>K03046</t>
  </si>
  <si>
    <t>K02100</t>
  </si>
  <si>
    <t>K02402</t>
  </si>
  <si>
    <t>K02702</t>
  </si>
  <si>
    <t>K03005</t>
  </si>
  <si>
    <t>G10, S1, T1, W12, W13</t>
  </si>
  <si>
    <t>G3, G10, G24, S1, T1, W6</t>
  </si>
  <si>
    <t>K03006</t>
  </si>
  <si>
    <t>G24, T1, W6</t>
  </si>
  <si>
    <t>Smls. &amp; wld. fittings</t>
  </si>
  <si>
    <t>G10, T1, W12, W13, W14</t>
  </si>
  <si>
    <t>T1, W12, W14</t>
  </si>
  <si>
    <t>K03002</t>
  </si>
  <si>
    <t>K02505</t>
  </si>
  <si>
    <t>G10, T1, W14</t>
  </si>
  <si>
    <t>SA-695</t>
  </si>
  <si>
    <t>K03504</t>
  </si>
  <si>
    <t>G10, G22, T1</t>
  </si>
  <si>
    <t>SA-696</t>
  </si>
  <si>
    <t>K03200</t>
  </si>
  <si>
    <t>K02506</t>
  </si>
  <si>
    <t>K03503</t>
  </si>
  <si>
    <t>G4, G10, S1, T2</t>
  </si>
  <si>
    <t>G10, S1, T1, W13</t>
  </si>
  <si>
    <t>K02707</t>
  </si>
  <si>
    <t>K03007</t>
  </si>
  <si>
    <t>Plate, bar</t>
  </si>
  <si>
    <t>Annealed</t>
  </si>
  <si>
    <t>≤ 150</t>
  </si>
  <si>
    <t>G10, G18, S1, T1</t>
  </si>
  <si>
    <t>Normalized</t>
  </si>
  <si>
    <t>As rolled</t>
  </si>
  <si>
    <t>≤ 40</t>
  </si>
  <si>
    <t>150 &lt; t ≤ 250</t>
  </si>
  <si>
    <t>100 &lt; t ≤ 150</t>
  </si>
  <si>
    <t>J03003</t>
  </si>
  <si>
    <t>G1, G17</t>
  </si>
  <si>
    <t>K02800</t>
  </si>
  <si>
    <t>K02403</t>
  </si>
  <si>
    <t>K02704</t>
  </si>
  <si>
    <t>K02203</t>
  </si>
  <si>
    <t>100 &lt; t ≤ 120</t>
  </si>
  <si>
    <t>K12437</t>
  </si>
  <si>
    <t>64 &lt; t ≤ 100</t>
  </si>
  <si>
    <t>G26, T1, W10, W12</t>
  </si>
  <si>
    <t>60 &lt; t ≤ 100</t>
  </si>
  <si>
    <t>≤ 60</t>
  </si>
  <si>
    <t>36 &lt; t ≤ 60</t>
  </si>
  <si>
    <t>K03300</t>
  </si>
  <si>
    <t>15 &lt; t ≤ 19</t>
  </si>
  <si>
    <t>204 (Cl. 3 only)</t>
  </si>
  <si>
    <t>J03002</t>
  </si>
  <si>
    <t>K03017</t>
  </si>
  <si>
    <t>K03011</t>
  </si>
  <si>
    <t>K13502</t>
  </si>
  <si>
    <t>K03020</t>
  </si>
  <si>
    <t>K03047</t>
  </si>
  <si>
    <t>K03101</t>
  </si>
  <si>
    <t>K02700</t>
  </si>
  <si>
    <t>S5, W10, W12</t>
  </si>
  <si>
    <t>K03501</t>
  </si>
  <si>
    <t>G4, G10, S1, T4</t>
  </si>
  <si>
    <t>J02503</t>
  </si>
  <si>
    <t>G1, G10, G17, S1, T1</t>
  </si>
  <si>
    <t>J02505</t>
  </si>
  <si>
    <t>G17, T1</t>
  </si>
  <si>
    <t>G21, G23, W11</t>
  </si>
  <si>
    <t>K03505</t>
  </si>
  <si>
    <t>K03102</t>
  </si>
  <si>
    <t>K02007</t>
  </si>
  <si>
    <t>CS-3</t>
  </si>
  <si>
    <t>G21, G23, T1, W11</t>
  </si>
  <si>
    <t>K02008</t>
  </si>
  <si>
    <t>≤ 64</t>
  </si>
  <si>
    <t>G23, T1</t>
  </si>
  <si>
    <t>16 &lt; t ≤ 36</t>
  </si>
  <si>
    <t>10 &lt; t ≤ 15</t>
  </si>
  <si>
    <t>6 ≤ t ≤ 16</t>
  </si>
  <si>
    <t>K05001</t>
  </si>
  <si>
    <t>G10, S1, T2, W8, W11</t>
  </si>
  <si>
    <t>≤ 10</t>
  </si>
  <si>
    <t>K02803</t>
  </si>
  <si>
    <t>&gt; 25</t>
  </si>
  <si>
    <t>≤ 25</t>
  </si>
  <si>
    <t>T1, W10, W12</t>
  </si>
  <si>
    <t>K04001</t>
  </si>
  <si>
    <t>W11</t>
  </si>
  <si>
    <t>K03103</t>
  </si>
  <si>
    <t>K12447</t>
  </si>
  <si>
    <t>CS-5</t>
  </si>
  <si>
    <t>G23, T1, W11</t>
  </si>
  <si>
    <t>K02009</t>
  </si>
  <si>
    <t>G23, S6, T1, W10, W11, W12</t>
  </si>
  <si>
    <t>G23, W11</t>
  </si>
  <si>
    <t>K02900</t>
  </si>
  <si>
    <t>13 &lt; t ≤ 25</t>
  </si>
  <si>
    <t>10C</t>
  </si>
  <si>
    <t>≤ 13</t>
  </si>
  <si>
    <t>K12007</t>
  </si>
  <si>
    <t>G20</t>
  </si>
  <si>
    <t>K04801</t>
  </si>
  <si>
    <t>K11831</t>
  </si>
  <si>
    <t>K12037</t>
  </si>
  <si>
    <t>K12031</t>
  </si>
  <si>
    <t>C – Mn – Si – Cb</t>
  </si>
  <si>
    <t>K12001</t>
  </si>
  <si>
    <t>G19, T1</t>
  </si>
  <si>
    <t>C – Mn – Si – V</t>
  </si>
  <si>
    <t>K12202</t>
  </si>
  <si>
    <t>C–Mn–Si–V–Cb</t>
  </si>
  <si>
    <t>≤ 20</t>
  </si>
  <si>
    <t>C – Mn – Ti</t>
  </si>
  <si>
    <t>K11224</t>
  </si>
  <si>
    <t>G30</t>
  </si>
  <si>
    <t>C – Si – Ti</t>
  </si>
  <si>
    <r>
      <t xml:space="preserve">C – </t>
    </r>
    <r>
      <rPr>
        <sz val="11"/>
        <color theme="1"/>
        <rFont val="Calibri"/>
        <family val="2"/>
        <scheme val="minor"/>
      </rPr>
      <t>1⁄2Mo</t>
    </r>
  </si>
  <si>
    <t>K11422</t>
  </si>
  <si>
    <t>G11, S3, T5</t>
  </si>
  <si>
    <t>G11, S2, T5, W13</t>
  </si>
  <si>
    <t>G3, G11, G24, S2, T5</t>
  </si>
  <si>
    <t>K11522</t>
  </si>
  <si>
    <t>G11, S3, T4</t>
  </si>
  <si>
    <t>K12821</t>
  </si>
  <si>
    <t>G11, T4, W14</t>
  </si>
  <si>
    <t>G11, S2, T4, W13</t>
  </si>
  <si>
    <t>G3, G11, G24, S2, T4</t>
  </si>
  <si>
    <t>G11, S2, T4</t>
  </si>
  <si>
    <t>K12023</t>
  </si>
  <si>
    <t>J12524</t>
  </si>
  <si>
    <t>G1, G11, G17, S2, T4</t>
  </si>
  <si>
    <t>J12522</t>
  </si>
  <si>
    <t>J12521</t>
  </si>
  <si>
    <t>K11820</t>
  </si>
  <si>
    <t>G26, W10, W12</t>
  </si>
  <si>
    <t>G27, W10, W12</t>
  </si>
  <si>
    <t>K12822</t>
  </si>
  <si>
    <t>K12020</t>
  </si>
  <si>
    <t>K12520</t>
  </si>
  <si>
    <t>K12320</t>
  </si>
  <si>
    <t>G11, S2, T4, W12</t>
  </si>
  <si>
    <r>
      <t>1</t>
    </r>
    <r>
      <rPr>
        <sz val="11"/>
        <color theme="1"/>
        <rFont val="Calibri"/>
        <family val="2"/>
        <scheme val="minor"/>
      </rPr>
      <t>⁄2Cr – 1⁄5Mo</t>
    </r>
  </si>
  <si>
    <t>K13049</t>
  </si>
  <si>
    <t>K13547</t>
  </si>
  <si>
    <r>
      <t>1</t>
    </r>
    <r>
      <rPr>
        <sz val="11"/>
        <color theme="1"/>
        <rFont val="Calibri"/>
        <family val="2"/>
        <scheme val="minor"/>
      </rPr>
      <t>⁄2Cr – 1⁄5Mo – V</t>
    </r>
  </si>
  <si>
    <t>K11630</t>
  </si>
  <si>
    <t>≤ 32</t>
  </si>
  <si>
    <t>11B</t>
  </si>
  <si>
    <t>HT-1</t>
  </si>
  <si>
    <r>
      <t>1</t>
    </r>
    <r>
      <rPr>
        <sz val="11"/>
        <color theme="1"/>
        <rFont val="Calibri"/>
        <family val="2"/>
        <scheme val="minor"/>
      </rPr>
      <t>⁄2Cr – 1⁄4Mo – Si</t>
    </r>
  </si>
  <si>
    <t>K11856</t>
  </si>
  <si>
    <r>
      <t>1</t>
    </r>
    <r>
      <rPr>
        <sz val="11"/>
        <color theme="1"/>
        <rFont val="Calibri"/>
        <family val="2"/>
        <scheme val="minor"/>
      </rPr>
      <t>⁄2Cr – 1⁄2Mo</t>
    </r>
  </si>
  <si>
    <t>K11547</t>
  </si>
  <si>
    <t>K12143</t>
  </si>
  <si>
    <r>
      <t>1</t>
    </r>
    <r>
      <rPr>
        <sz val="11"/>
        <color theme="1"/>
        <rFont val="Calibri"/>
        <family val="2"/>
        <scheme val="minor"/>
      </rPr>
      <t>⁄2CR</t>
    </r>
  </si>
  <si>
    <t>G3, T5</t>
  </si>
  <si>
    <t>T5, W13</t>
  </si>
  <si>
    <t>J11547</t>
  </si>
  <si>
    <t>K12122</t>
  </si>
  <si>
    <r>
      <t>1</t>
    </r>
    <r>
      <rPr>
        <sz val="11"/>
        <color theme="1"/>
        <rFont val="Calibri"/>
        <family val="2"/>
        <scheme val="minor"/>
      </rPr>
      <t>⁄2Cr–11⁄4Mn – Si</t>
    </r>
  </si>
  <si>
    <t>K11742</t>
  </si>
  <si>
    <t>S1, T2</t>
  </si>
  <si>
    <t>K12542</t>
  </si>
  <si>
    <r>
      <t>3</t>
    </r>
    <r>
      <rPr>
        <sz val="11"/>
        <color theme="1"/>
        <rFont val="Calibri"/>
        <family val="2"/>
        <scheme val="minor"/>
      </rPr>
      <t>⁄4Cr – 1⁄2Ni – Cu</t>
    </r>
  </si>
  <si>
    <t>K11535</t>
  </si>
  <si>
    <t>W13, W14</t>
  </si>
  <si>
    <t>G3, G24</t>
  </si>
  <si>
    <r>
      <t>3</t>
    </r>
    <r>
      <rPr>
        <sz val="11"/>
        <color theme="1"/>
        <rFont val="Calibri"/>
        <family val="2"/>
        <scheme val="minor"/>
      </rPr>
      <t>⁄4Cr – 3⁄4Ni – Cu – Al</t>
    </r>
  </si>
  <si>
    <t>Pipe</t>
  </si>
  <si>
    <t>K11267</t>
  </si>
  <si>
    <r>
      <t xml:space="preserve">1Cr – </t>
    </r>
    <r>
      <rPr>
        <sz val="11"/>
        <color theme="1"/>
        <rFont val="Calibri"/>
        <family val="2"/>
        <scheme val="minor"/>
      </rPr>
      <t>1⁄5Mo</t>
    </r>
  </si>
  <si>
    <t>K13047</t>
  </si>
  <si>
    <t>K13548</t>
  </si>
  <si>
    <t>G41350</t>
  </si>
  <si>
    <t>G41370</t>
  </si>
  <si>
    <r>
      <t xml:space="preserve">1Cr – </t>
    </r>
    <r>
      <rPr>
        <sz val="11"/>
        <color theme="1"/>
        <rFont val="Calibri"/>
        <family val="2"/>
        <scheme val="minor"/>
      </rPr>
      <t>1⁄2Mo</t>
    </r>
  </si>
  <si>
    <t>K11757</t>
  </si>
  <si>
    <t>S4, T5</t>
  </si>
  <si>
    <t>J11562</t>
  </si>
  <si>
    <t>K11562</t>
  </si>
  <si>
    <t>K12062</t>
  </si>
  <si>
    <t>S4, T5, W14</t>
  </si>
  <si>
    <t>G3, S4, T5</t>
  </si>
  <si>
    <t>S4, T5, W13</t>
  </si>
  <si>
    <t>K11564</t>
  </si>
  <si>
    <t>S4, T4</t>
  </si>
  <si>
    <t>1Cr – V</t>
  </si>
  <si>
    <t>K12047</t>
  </si>
  <si>
    <t>10B</t>
  </si>
  <si>
    <r>
      <t>1</t>
    </r>
    <r>
      <rPr>
        <sz val="11"/>
        <color theme="1"/>
        <rFont val="Calibri"/>
        <family val="2"/>
        <scheme val="minor"/>
      </rPr>
      <t>1⁄4Cr – 1⁄2Mo</t>
    </r>
  </si>
  <si>
    <t>J12072</t>
  </si>
  <si>
    <t>G1, G17, T4</t>
  </si>
  <si>
    <t>K11797</t>
  </si>
  <si>
    <t>T4</t>
  </si>
  <si>
    <r>
      <t>1</t>
    </r>
    <r>
      <rPr>
        <sz val="11"/>
        <color theme="1"/>
        <rFont val="Calibri"/>
        <family val="2"/>
        <scheme val="minor"/>
      </rPr>
      <t>1⁄4Cr – 1⁄2Mo – Si</t>
    </r>
  </si>
  <si>
    <t>K11597</t>
  </si>
  <si>
    <t>K11789</t>
  </si>
  <si>
    <r>
      <t>1</t>
    </r>
    <r>
      <rPr>
        <sz val="11"/>
        <color theme="1"/>
        <rFont val="Calibri"/>
        <family val="2"/>
        <scheme val="minor"/>
      </rPr>
      <t>1⁄4CR</t>
    </r>
  </si>
  <si>
    <t>K11572</t>
  </si>
  <si>
    <t>S4, T3</t>
  </si>
  <si>
    <r>
      <t>1</t>
    </r>
    <r>
      <rPr>
        <sz val="11"/>
        <color theme="1"/>
        <rFont val="Calibri"/>
        <family val="2"/>
        <scheme val="minor"/>
      </rPr>
      <t>3⁄4Cr – 1⁄2Mo – Cu</t>
    </r>
  </si>
  <si>
    <t>K11695</t>
  </si>
  <si>
    <t>S7</t>
  </si>
  <si>
    <r>
      <t>1</t>
    </r>
    <r>
      <rPr>
        <sz val="11"/>
        <color theme="1"/>
        <rFont val="Calibri"/>
        <family val="2"/>
        <scheme val="minor"/>
      </rPr>
      <t>3⁄4Cr – 1⁄2Mo – Ti</t>
    </r>
  </si>
  <si>
    <t>K21604</t>
  </si>
  <si>
    <t>64 &lt; t ≤ 150</t>
  </si>
  <si>
    <r>
      <t>2</t>
    </r>
    <r>
      <rPr>
        <sz val="11"/>
        <color theme="1"/>
        <rFont val="Calibri"/>
        <family val="2"/>
        <scheme val="minor"/>
      </rPr>
      <t>1⁄4Cr – 1Mo</t>
    </r>
  </si>
  <si>
    <t>K21590</t>
  </si>
  <si>
    <t>5A</t>
  </si>
  <si>
    <t>S4, T4, W7, W9</t>
  </si>
  <si>
    <t>S4, T4, W7, W9, W14</t>
  </si>
  <si>
    <t>G3, S4, T4, W9</t>
  </si>
  <si>
    <t>S4, T4, W9, W13</t>
  </si>
  <si>
    <r>
      <t>2</t>
    </r>
    <r>
      <rPr>
        <sz val="11"/>
        <color theme="1"/>
        <rFont val="Calibri"/>
        <family val="2"/>
        <scheme val="minor"/>
      </rPr>
      <t>1⁄4CR</t>
    </r>
  </si>
  <si>
    <t>J21890</t>
  </si>
  <si>
    <t>G1, G17, S4, T4, W7, W9</t>
  </si>
  <si>
    <t>K21390</t>
  </si>
  <si>
    <t>T4, W7</t>
  </si>
  <si>
    <t>J22091</t>
  </si>
  <si>
    <t>5C</t>
  </si>
  <si>
    <t>G1, T4, W7</t>
  </si>
  <si>
    <r>
      <t>2</t>
    </r>
    <r>
      <rPr>
        <sz val="11"/>
        <color theme="1"/>
        <rFont val="Calibri"/>
        <family val="2"/>
        <scheme val="minor"/>
      </rPr>
      <t>1⁄4Cr – 1Mo – V</t>
    </r>
  </si>
  <si>
    <t>K31835</t>
  </si>
  <si>
    <t>4a</t>
  </si>
  <si>
    <t>3Cr – 1Mo</t>
  </si>
  <si>
    <t>K31545</t>
  </si>
  <si>
    <t>J31545</t>
  </si>
  <si>
    <r>
      <t xml:space="preserve">3Cr – 1Mo – </t>
    </r>
    <r>
      <rPr>
        <sz val="11"/>
        <color theme="1"/>
        <rFont val="Calibri"/>
        <family val="2"/>
        <scheme val="minor"/>
      </rPr>
      <t>1⁄4V – Ti – B</t>
    </r>
  </si>
  <si>
    <t>K31830</t>
  </si>
  <si>
    <r>
      <t xml:space="preserve">3Cr – 1Mo – </t>
    </r>
    <r>
      <rPr>
        <sz val="11"/>
        <color theme="1"/>
        <rFont val="Calibri"/>
        <family val="2"/>
        <scheme val="minor"/>
      </rPr>
      <t>1⁄4V – Cb – Ca</t>
    </r>
  </si>
  <si>
    <r>
      <t xml:space="preserve">5Cr – </t>
    </r>
    <r>
      <rPr>
        <sz val="11"/>
        <color theme="1"/>
        <rFont val="Calibri"/>
        <family val="2"/>
        <scheme val="minor"/>
      </rPr>
      <t>1⁄2Mo</t>
    </r>
  </si>
  <si>
    <t>K41545</t>
  </si>
  <si>
    <t>5B</t>
  </si>
  <si>
    <t>T4, W14</t>
  </si>
  <si>
    <t>K42544</t>
  </si>
  <si>
    <t>J42045</t>
  </si>
  <si>
    <t>G1, G17, T3</t>
  </si>
  <si>
    <t>F5a</t>
  </si>
  <si>
    <r>
      <t xml:space="preserve">5Cr – </t>
    </r>
    <r>
      <rPr>
        <sz val="11"/>
        <color theme="1"/>
        <rFont val="Calibri"/>
        <family val="2"/>
        <scheme val="minor"/>
      </rPr>
      <t>1⁄2Mo – Si</t>
    </r>
  </si>
  <si>
    <t>K51545</t>
  </si>
  <si>
    <r>
      <t xml:space="preserve">5Cr – </t>
    </r>
    <r>
      <rPr>
        <sz val="11"/>
        <color theme="1"/>
        <rFont val="Calibri"/>
        <family val="2"/>
        <scheme val="minor"/>
      </rPr>
      <t>1⁄2Mo – Ti</t>
    </r>
  </si>
  <si>
    <t>K41245</t>
  </si>
  <si>
    <t>9Cr – 1Mo</t>
  </si>
  <si>
    <t>K90941</t>
  </si>
  <si>
    <t>J82090</t>
  </si>
  <si>
    <t>G1, T4</t>
  </si>
  <si>
    <t>9Cr – 1Mo – V</t>
  </si>
  <si>
    <t>K90901</t>
  </si>
  <si>
    <t>t ≤ 75</t>
  </si>
  <si>
    <t>15E</t>
  </si>
  <si>
    <t>t &gt; 75</t>
  </si>
  <si>
    <t>11Cr – Ti</t>
  </si>
  <si>
    <t>S40910</t>
  </si>
  <si>
    <t>S40920</t>
  </si>
  <si>
    <t>S40930</t>
  </si>
  <si>
    <t>S40900</t>
  </si>
  <si>
    <t>G24</t>
  </si>
  <si>
    <t>12Cr</t>
  </si>
  <si>
    <t>S41003</t>
  </si>
  <si>
    <t>t ≤ 19</t>
  </si>
  <si>
    <t>S40300</t>
  </si>
  <si>
    <t>12Cr – Al</t>
  </si>
  <si>
    <t>G32, T5</t>
  </si>
  <si>
    <t>S40500</t>
  </si>
  <si>
    <t>G32</t>
  </si>
  <si>
    <t>G32, T5, W13, W14</t>
  </si>
  <si>
    <t>G3, G24, G32, T5</t>
  </si>
  <si>
    <t>12Cr – Ti</t>
  </si>
  <si>
    <t>S40800</t>
  </si>
  <si>
    <t>G32, W14</t>
  </si>
  <si>
    <t>13Cr</t>
  </si>
  <si>
    <t>S41008</t>
  </si>
  <si>
    <t>S41000</t>
  </si>
  <si>
    <t>T4, W13, W14</t>
  </si>
  <si>
    <t>G3, G24, T4</t>
  </si>
  <si>
    <t>G22, T4</t>
  </si>
  <si>
    <t>J91150</t>
  </si>
  <si>
    <t>13Cr – 4Ni</t>
  </si>
  <si>
    <t>J91540</t>
  </si>
  <si>
    <t>S41500</t>
  </si>
  <si>
    <t>15Cr</t>
  </si>
  <si>
    <t>S42900</t>
  </si>
  <si>
    <t>G3, G32, W14</t>
  </si>
  <si>
    <t>G32, T4, W13, W14</t>
  </si>
  <si>
    <t>G32, T4</t>
  </si>
  <si>
    <t>17Cr</t>
  </si>
  <si>
    <t>S43000</t>
  </si>
  <si>
    <t>G3, G24, G32, T4</t>
  </si>
  <si>
    <t>G32, T4, W12, W13, W14</t>
  </si>
  <si>
    <t>G22, G32, T4</t>
  </si>
  <si>
    <t>17Cr – 4Ni – 3Cu</t>
  </si>
  <si>
    <t>J92180</t>
  </si>
  <si>
    <t>HA-7</t>
  </si>
  <si>
    <t>G1, G28, W1</t>
  </si>
  <si>
    <t>17Cr – 4Ni – 4Cu</t>
  </si>
  <si>
    <t>S17400</t>
  </si>
  <si>
    <t>H1150</t>
  </si>
  <si>
    <t>G31, G32, W1</t>
  </si>
  <si>
    <t>SA-693</t>
  </si>
  <si>
    <t>G32, W1</t>
  </si>
  <si>
    <t>SA-705</t>
  </si>
  <si>
    <t>H1100</t>
  </si>
  <si>
    <t>H1075</t>
  </si>
  <si>
    <t>18Cr – 2Mo</t>
  </si>
  <si>
    <t>S44400</t>
  </si>
  <si>
    <t>G24, G32</t>
  </si>
  <si>
    <t>18Cr – Ti</t>
  </si>
  <si>
    <t>S43035</t>
  </si>
  <si>
    <t>S43036</t>
  </si>
  <si>
    <t>26Cr – 3Ni – 3Mo</t>
  </si>
  <si>
    <t>S44660</t>
  </si>
  <si>
    <t>≤ 5</t>
  </si>
  <si>
    <t>10K</t>
  </si>
  <si>
    <t>HA-5</t>
  </si>
  <si>
    <t>G32, H5</t>
  </si>
  <si>
    <t>G32, H5, W12</t>
  </si>
  <si>
    <t>27Cr</t>
  </si>
  <si>
    <t>S44600</t>
  </si>
  <si>
    <t>10I</t>
  </si>
  <si>
    <t>27Cr – 1Mo</t>
  </si>
  <si>
    <t>S44627</t>
  </si>
  <si>
    <t>HA-2</t>
  </si>
  <si>
    <t>G22, G32</t>
  </si>
  <si>
    <t>27Cr – 1Mo – Ti</t>
  </si>
  <si>
    <t>S44626</t>
  </si>
  <si>
    <t>HA-6</t>
  </si>
  <si>
    <t>29Cr – 4Mo</t>
  </si>
  <si>
    <t>S44700</t>
  </si>
  <si>
    <t>10J</t>
  </si>
  <si>
    <t>29Cr – 4Mo – 2Ni</t>
  </si>
  <si>
    <t>S44800</t>
  </si>
  <si>
    <t>29Cr – 4Mo – Ti</t>
  </si>
  <si>
    <t>S44735</t>
  </si>
  <si>
    <r>
      <t xml:space="preserve">Mn – </t>
    </r>
    <r>
      <rPr>
        <sz val="11"/>
        <color theme="1"/>
        <rFont val="Calibri"/>
        <family val="2"/>
        <scheme val="minor"/>
      </rPr>
      <t>1⁄4Mo</t>
    </r>
  </si>
  <si>
    <t>K14508</t>
  </si>
  <si>
    <t>G25, W2, W11</t>
  </si>
  <si>
    <r>
      <t xml:space="preserve">Mn – </t>
    </r>
    <r>
      <rPr>
        <sz val="11"/>
        <color theme="1"/>
        <rFont val="Calibri"/>
        <family val="2"/>
        <scheme val="minor"/>
      </rPr>
      <t>1⁄4Mo – V</t>
    </r>
  </si>
  <si>
    <t>J13005</t>
  </si>
  <si>
    <t>G1</t>
  </si>
  <si>
    <r>
      <t xml:space="preserve">Mn – </t>
    </r>
    <r>
      <rPr>
        <sz val="11"/>
        <color theme="1"/>
        <rFont val="Calibri"/>
        <family val="2"/>
        <scheme val="minor"/>
      </rPr>
      <t>1⁄2Mo</t>
    </r>
  </si>
  <si>
    <t>K12021</t>
  </si>
  <si>
    <t>G11, S2, T3</t>
  </si>
  <si>
    <t>K12022</t>
  </si>
  <si>
    <t>K12521</t>
  </si>
  <si>
    <t>G23, T4</t>
  </si>
  <si>
    <t>11A</t>
  </si>
  <si>
    <r>
      <t xml:space="preserve">Mn – </t>
    </r>
    <r>
      <rPr>
        <sz val="11"/>
        <color theme="1"/>
        <rFont val="Calibri"/>
        <family val="2"/>
        <scheme val="minor"/>
      </rPr>
      <t>1⁄2Mo – 1⁄4Ni</t>
    </r>
  </si>
  <si>
    <t>K12529</t>
  </si>
  <si>
    <r>
      <t xml:space="preserve">Mn – </t>
    </r>
    <r>
      <rPr>
        <sz val="11"/>
        <color theme="1"/>
        <rFont val="Calibri"/>
        <family val="2"/>
        <scheme val="minor"/>
      </rPr>
      <t>1⁄2Mo – 1⁄2Ni</t>
    </r>
  </si>
  <si>
    <t>K12039</t>
  </si>
  <si>
    <t>K12539</t>
  </si>
  <si>
    <t>G23</t>
  </si>
  <si>
    <r>
      <t xml:space="preserve">Mn – </t>
    </r>
    <r>
      <rPr>
        <sz val="11"/>
        <color theme="1"/>
        <rFont val="Calibri"/>
        <family val="2"/>
        <scheme val="minor"/>
      </rPr>
      <t>1⁄2Mo – 3⁄4Ni</t>
    </r>
  </si>
  <si>
    <t>K12054</t>
  </si>
  <si>
    <t>K12554</t>
  </si>
  <si>
    <r>
      <t xml:space="preserve">Mn – </t>
    </r>
    <r>
      <rPr>
        <sz val="11"/>
        <color theme="1"/>
        <rFont val="Calibri"/>
        <family val="2"/>
        <scheme val="minor"/>
      </rPr>
      <t>1⁄2Ni – V</t>
    </r>
  </si>
  <si>
    <t>K12524</t>
  </si>
  <si>
    <t>10A</t>
  </si>
  <si>
    <t>Mn – V</t>
  </si>
  <si>
    <t>J13002</t>
  </si>
  <si>
    <r>
      <t>1</t>
    </r>
    <r>
      <rPr>
        <sz val="11"/>
        <color theme="1"/>
        <rFont val="Calibri"/>
        <family val="2"/>
        <scheme val="minor"/>
      </rPr>
      <t>1⁄2Si – 1⁄2Mo</t>
    </r>
  </si>
  <si>
    <t>K11578</t>
  </si>
  <si>
    <r>
      <t>1</t>
    </r>
    <r>
      <rPr>
        <sz val="11"/>
        <color theme="1"/>
        <rFont val="Calibri"/>
        <family val="2"/>
        <scheme val="minor"/>
      </rPr>
      <t>⁄2Ni – 1⁄2Cr – 1⁄4Mo – V</t>
    </r>
  </si>
  <si>
    <t>J13047</t>
  </si>
  <si>
    <r>
      <t>1</t>
    </r>
    <r>
      <rPr>
        <sz val="11"/>
        <color theme="1"/>
        <rFont val="Calibri"/>
        <family val="2"/>
        <scheme val="minor"/>
      </rPr>
      <t>⁄2Ni – 1⁄2Mo – V</t>
    </r>
  </si>
  <si>
    <t>K12045</t>
  </si>
  <si>
    <r>
      <t>3</t>
    </r>
    <r>
      <rPr>
        <sz val="11"/>
        <color theme="1"/>
        <rFont val="Calibri"/>
        <family val="2"/>
        <scheme val="minor"/>
      </rPr>
      <t>⁄4Ni – 1⁄2Cr – 1⁄2Mo – V</t>
    </r>
  </si>
  <si>
    <t>K11576</t>
  </si>
  <si>
    <r>
      <t>3</t>
    </r>
    <r>
      <rPr>
        <sz val="11"/>
        <color theme="1"/>
        <rFont val="Calibri"/>
        <family val="2"/>
        <scheme val="minor"/>
      </rPr>
      <t>⁄4Ni – 1⁄2Cu – Mo</t>
    </r>
  </si>
  <si>
    <t>K11540</t>
  </si>
  <si>
    <r>
      <t>3</t>
    </r>
    <r>
      <rPr>
        <sz val="11"/>
        <color theme="1"/>
        <rFont val="Calibri"/>
        <family val="2"/>
        <scheme val="minor"/>
      </rPr>
      <t>⁄4Ni – 1⁄2Mo – 1⁄3Cr – V</t>
    </r>
  </si>
  <si>
    <t>K12766</t>
  </si>
  <si>
    <t>K12765</t>
  </si>
  <si>
    <r>
      <t>3</t>
    </r>
    <r>
      <rPr>
        <sz val="11"/>
        <color theme="1"/>
        <rFont val="Calibri"/>
        <family val="2"/>
        <scheme val="minor"/>
      </rPr>
      <t>⁄4Ni – 1⁄2Mo – Cr – V</t>
    </r>
  </si>
  <si>
    <t>K12042</t>
  </si>
  <si>
    <r>
      <t>3</t>
    </r>
    <r>
      <rPr>
        <sz val="11"/>
        <color theme="1"/>
        <rFont val="Calibri"/>
        <family val="2"/>
        <scheme val="minor"/>
      </rPr>
      <t>⁄4Ni – 1Mo – 3⁄4Cr</t>
    </r>
  </si>
  <si>
    <t>J22000</t>
  </si>
  <si>
    <r>
      <t xml:space="preserve">1Ni – </t>
    </r>
    <r>
      <rPr>
        <sz val="11"/>
        <color theme="1"/>
        <rFont val="Calibri"/>
        <family val="2"/>
        <scheme val="minor"/>
      </rPr>
      <t>1⁄2Cr – 1⁄2Mo</t>
    </r>
  </si>
  <si>
    <t>J12082</t>
  </si>
  <si>
    <r>
      <t>1</t>
    </r>
    <r>
      <rPr>
        <sz val="11"/>
        <color theme="1"/>
        <rFont val="Calibri"/>
        <family val="2"/>
        <scheme val="minor"/>
      </rPr>
      <t>1⁄4Ni – 1Cr – 1⁄2Mo</t>
    </r>
  </si>
  <si>
    <t>K21650</t>
  </si>
  <si>
    <r>
      <t>1</t>
    </r>
    <r>
      <rPr>
        <sz val="11"/>
        <color theme="1"/>
        <rFont val="Calibri"/>
        <family val="2"/>
        <scheme val="minor"/>
      </rPr>
      <t>1⁄2Ni</t>
    </r>
  </si>
  <si>
    <t>K13050</t>
  </si>
  <si>
    <t>9A</t>
  </si>
  <si>
    <r>
      <t>1</t>
    </r>
    <r>
      <rPr>
        <sz val="11"/>
        <color theme="1"/>
        <rFont val="Calibri"/>
        <family val="2"/>
        <scheme val="minor"/>
      </rPr>
      <t>3⁄4Ni – 3⁄4Cr – Mo</t>
    </r>
  </si>
  <si>
    <t>K24055</t>
  </si>
  <si>
    <t>2Ni – 1Cu</t>
  </si>
  <si>
    <t>K22035</t>
  </si>
  <si>
    <t>Tube</t>
  </si>
  <si>
    <t>K22036</t>
  </si>
  <si>
    <t>W14</t>
  </si>
  <si>
    <r>
      <t>2Ni – 1</t>
    </r>
    <r>
      <rPr>
        <sz val="11"/>
        <color theme="1"/>
        <rFont val="Calibri"/>
        <family val="2"/>
        <scheme val="minor"/>
      </rPr>
      <t>1⁄2Cr – 1⁄4Mo – V</t>
    </r>
  </si>
  <si>
    <t>K23550</t>
  </si>
  <si>
    <t>W1</t>
  </si>
  <si>
    <r>
      <t>2</t>
    </r>
    <r>
      <rPr>
        <sz val="11"/>
        <color theme="1"/>
        <rFont val="Calibri"/>
        <family val="2"/>
        <scheme val="minor"/>
      </rPr>
      <t>1⁄2Ni</t>
    </r>
  </si>
  <si>
    <t>K21903</t>
  </si>
  <si>
    <t>K21703</t>
  </si>
  <si>
    <t>K22103</t>
  </si>
  <si>
    <t>J22500</t>
  </si>
  <si>
    <r>
      <t>2</t>
    </r>
    <r>
      <rPr>
        <sz val="11"/>
        <color theme="1"/>
        <rFont val="Calibri"/>
        <family val="2"/>
        <scheme val="minor"/>
      </rPr>
      <t>3⁄4Ni–11⁄2Cr – 1⁄2Mo</t>
    </r>
  </si>
  <si>
    <r>
      <t>2</t>
    </r>
    <r>
      <rPr>
        <sz val="11"/>
        <color theme="1"/>
        <rFont val="Calibri"/>
        <family val="2"/>
        <scheme val="minor"/>
      </rPr>
      <t>3⁄4Ni–11⁄2Cr – 1⁄2Mo – V</t>
    </r>
  </si>
  <si>
    <t>K34035</t>
  </si>
  <si>
    <r>
      <t>3Ni – 1</t>
    </r>
    <r>
      <rPr>
        <sz val="11"/>
        <color theme="1"/>
        <rFont val="Calibri"/>
        <family val="2"/>
        <scheme val="minor"/>
      </rPr>
      <t>3⁄4Cr – 1⁄2Mo</t>
    </r>
  </si>
  <si>
    <t>K42339</t>
  </si>
  <si>
    <t>K42365</t>
  </si>
  <si>
    <r>
      <t>3</t>
    </r>
    <r>
      <rPr>
        <sz val="11"/>
        <color theme="1"/>
        <rFont val="Calibri"/>
        <family val="2"/>
        <scheme val="minor"/>
      </rPr>
      <t>1⁄2Ni</t>
    </r>
  </si>
  <si>
    <t>K31918</t>
  </si>
  <si>
    <t>9B</t>
  </si>
  <si>
    <t>K31718</t>
  </si>
  <si>
    <t>K32025</t>
  </si>
  <si>
    <t>K32026</t>
  </si>
  <si>
    <t>K32018</t>
  </si>
  <si>
    <t>149 (SPT)</t>
  </si>
  <si>
    <t>S1</t>
  </si>
  <si>
    <t>J31550</t>
  </si>
  <si>
    <t>&gt; 50</t>
  </si>
  <si>
    <r>
      <t>3</t>
    </r>
    <r>
      <rPr>
        <sz val="11"/>
        <color theme="1"/>
        <rFont val="Calibri"/>
        <family val="2"/>
        <scheme val="minor"/>
      </rPr>
      <t>1⁄2Ni–13⁄4Cr – 1⁄2Mo – V</t>
    </r>
  </si>
  <si>
    <t>K22375</t>
  </si>
  <si>
    <t>316 (SPT)</t>
  </si>
  <si>
    <r>
      <t>4Ni – 1</t>
    </r>
    <r>
      <rPr>
        <sz val="11"/>
        <color theme="1"/>
        <rFont val="Calibri"/>
        <family val="2"/>
        <scheme val="minor"/>
      </rPr>
      <t>1⁄2Cr – 1⁄2Mo – V</t>
    </r>
  </si>
  <si>
    <t>K44045</t>
  </si>
  <si>
    <r>
      <t xml:space="preserve">5Ni – </t>
    </r>
    <r>
      <rPr>
        <sz val="11"/>
        <color theme="1"/>
        <rFont val="Calibri"/>
        <family val="2"/>
        <scheme val="minor"/>
      </rPr>
      <t>1⁄4Mo</t>
    </r>
  </si>
  <si>
    <t>K41583</t>
  </si>
  <si>
    <t>8Ni</t>
  </si>
  <si>
    <t>K71340</t>
  </si>
  <si>
    <t>93 (Cl. 3 only)</t>
  </si>
  <si>
    <t>G33, W5</t>
  </si>
  <si>
    <t>G33, W4</t>
  </si>
  <si>
    <t>9Ni</t>
  </si>
  <si>
    <t>K81340</t>
  </si>
  <si>
    <t>G33, W12</t>
  </si>
  <si>
    <t>G33, W5, W12</t>
  </si>
  <si>
    <t>G24, G33, W3</t>
  </si>
  <si>
    <t>G33, W3</t>
  </si>
  <si>
    <t>G33, S8, W4</t>
  </si>
  <si>
    <t>G33, S8, W5</t>
  </si>
  <si>
    <t>25Ni – 15Cr – 2Ti</t>
  </si>
  <si>
    <t>S66286</t>
  </si>
  <si>
    <t>27Ni – 22Cr – 7Mo – Mn – Cu – N</t>
  </si>
  <si>
    <t>S31277</t>
  </si>
  <si>
    <t>NFN-26</t>
  </si>
  <si>
    <t>G5</t>
  </si>
  <si>
    <t>G3, G5</t>
  </si>
  <si>
    <t>29Ni – 20Cr – 3Cu – 2Mo</t>
  </si>
  <si>
    <t>J95150</t>
  </si>
  <si>
    <t>316 (Cl. 3 only)</t>
  </si>
  <si>
    <t>NFN-9</t>
  </si>
  <si>
    <t>G1, G5</t>
  </si>
  <si>
    <t>16Cr – 4Ni – 6Mn</t>
  </si>
  <si>
    <t>S20153</t>
  </si>
  <si>
    <t>16Cr – 9Mn – 2Ni – N</t>
  </si>
  <si>
    <t>S20400</t>
  </si>
  <si>
    <t>16Cr – 12Ni – 2Mo</t>
  </si>
  <si>
    <t>S31603</t>
  </si>
  <si>
    <t>&gt; 125</t>
  </si>
  <si>
    <t>HA-4</t>
  </si>
  <si>
    <t>G5, G34</t>
  </si>
  <si>
    <t>G34</t>
  </si>
  <si>
    <t>G5, G22, G34</t>
  </si>
  <si>
    <t>≤ 125</t>
  </si>
  <si>
    <t>G5, W12</t>
  </si>
  <si>
    <t>G5, G24, G34</t>
  </si>
  <si>
    <t>G24, G34</t>
  </si>
  <si>
    <t>G5, G34, W12, W14</t>
  </si>
  <si>
    <t>G5, W12, W14</t>
  </si>
  <si>
    <t>G22, G34</t>
  </si>
  <si>
    <t>G5, G24</t>
  </si>
  <si>
    <t>J92800</t>
  </si>
  <si>
    <t>G1, G5, G16, G17, G32</t>
  </si>
  <si>
    <t>G1, G32</t>
  </si>
  <si>
    <t>G5, G16, G17, G32</t>
  </si>
  <si>
    <t>J92900</t>
  </si>
  <si>
    <t>G1, G5, G12, G16, G17, G32, H1, T6</t>
  </si>
  <si>
    <t>G1, G12, G32, H1, T8</t>
  </si>
  <si>
    <t>S31600</t>
  </si>
  <si>
    <t>G5, G12, T8</t>
  </si>
  <si>
    <t>G12, T9</t>
  </si>
  <si>
    <t>G12, T9, W13</t>
  </si>
  <si>
    <t>G5, G12, T8, W12, W13</t>
  </si>
  <si>
    <t>G3, G5, G12, G24, T7</t>
  </si>
  <si>
    <t>G3, G12, G24, T9</t>
  </si>
  <si>
    <t>G5, G12, T8, W12, W13, W14</t>
  </si>
  <si>
    <t>G12, T9, W13, W14</t>
  </si>
  <si>
    <t>G5, G12, H1, T8, W12</t>
  </si>
  <si>
    <t>G12, H1, T9</t>
  </si>
  <si>
    <t>G5, G12, T8, W12, W14</t>
  </si>
  <si>
    <t>G5, G12, G22, H1, T8</t>
  </si>
  <si>
    <t>G12, G22, H1, T9</t>
  </si>
  <si>
    <t>G5, G12, G24, T7</t>
  </si>
  <si>
    <t>G12, G24, T9</t>
  </si>
  <si>
    <t>≤ 75</t>
  </si>
  <si>
    <t>S31609</t>
  </si>
  <si>
    <t>G5, T8</t>
  </si>
  <si>
    <t>G3, G5, G24, T7</t>
  </si>
  <si>
    <t>G3, G24, T9</t>
  </si>
  <si>
    <t>T9, W13</t>
  </si>
  <si>
    <t>G5, T8, W12, W13</t>
  </si>
  <si>
    <t>G5, H1, T8</t>
  </si>
  <si>
    <t>H1, T9</t>
  </si>
  <si>
    <t>16Cr – 12Ni – 2Mo – Cb</t>
  </si>
  <si>
    <t>S31640</t>
  </si>
  <si>
    <t>16Cr – 12Ni – 2Mo – N</t>
  </si>
  <si>
    <t>S31653</t>
  </si>
  <si>
    <t>S31651</t>
  </si>
  <si>
    <t>G5, G12, T7</t>
  </si>
  <si>
    <t>G12, T8</t>
  </si>
  <si>
    <t>G5, G12, T7, W13</t>
  </si>
  <si>
    <t>G12, T8, W13</t>
  </si>
  <si>
    <t>G3, G12, G24, T8</t>
  </si>
  <si>
    <t>G5, G12, T7, W12, W13, W14</t>
  </si>
  <si>
    <t>G12, T8, W13, W14</t>
  </si>
  <si>
    <t>G5, G12, H1, T7</t>
  </si>
  <si>
    <t>G12, H1, T8</t>
  </si>
  <si>
    <t>G5, G12, T7, W12, W14</t>
  </si>
  <si>
    <t>16Cr – 12Ni – 2Mo – Ti</t>
  </si>
  <si>
    <t>S31635</t>
  </si>
  <si>
    <t>17Cr – 4Ni – 6Mn</t>
  </si>
  <si>
    <t>S20100</t>
  </si>
  <si>
    <t>17Cr – 7Ni</t>
  </si>
  <si>
    <t>Plate, sheet, strip</t>
  </si>
  <si>
    <t>S30100</t>
  </si>
  <si>
    <t>HA-1</t>
  </si>
  <si>
    <t>18Cr – 3Ni – 12Mn</t>
  </si>
  <si>
    <t>S24000</t>
  </si>
  <si>
    <t>G5, G22</t>
  </si>
  <si>
    <t>G22</t>
  </si>
  <si>
    <t>18Cr – 5Ni – 3Mo</t>
  </si>
  <si>
    <t>S31500</t>
  </si>
  <si>
    <t>10H</t>
  </si>
  <si>
    <t>18Cr – 8Ni</t>
  </si>
  <si>
    <t>S30403</t>
  </si>
  <si>
    <t>HA-3</t>
  </si>
  <si>
    <t>G5, G34, T4</t>
  </si>
  <si>
    <t>G34, T5</t>
  </si>
  <si>
    <t>G5, G22, G34, T4</t>
  </si>
  <si>
    <t>G5, G24, G34, T4</t>
  </si>
  <si>
    <t>G24, G34, T5</t>
  </si>
  <si>
    <t>G5, G34, T4, W12, W14</t>
  </si>
  <si>
    <t>G5, T4, W12, W14</t>
  </si>
  <si>
    <t>G22, G34, T5</t>
  </si>
  <si>
    <t>G5, G24, T4</t>
  </si>
  <si>
    <t>G24, T5</t>
  </si>
  <si>
    <t>S30400</t>
  </si>
  <si>
    <t>S30409</t>
  </si>
  <si>
    <t>G5, T7</t>
  </si>
  <si>
    <t>T8</t>
  </si>
  <si>
    <t>J92500</t>
  </si>
  <si>
    <t>J92600</t>
  </si>
  <si>
    <t>G1, G12, G32, H1, T7</t>
  </si>
  <si>
    <t>G1, G5, G12, G32, T6</t>
  </si>
  <si>
    <t>G5, G12, S9, T7</t>
  </si>
  <si>
    <t>G12, S9, T8</t>
  </si>
  <si>
    <t>S30200</t>
  </si>
  <si>
    <t>G5, G12, T7, W12, W13</t>
  </si>
  <si>
    <t>T8, W13</t>
  </si>
  <si>
    <t>G5, T7, W12, W13</t>
  </si>
  <si>
    <t>G3, G24, T8</t>
  </si>
  <si>
    <t>G5, T7, W12, W13, W14</t>
  </si>
  <si>
    <t>T8, W13, W14</t>
  </si>
  <si>
    <t>S30453</t>
  </si>
  <si>
    <t>G5, H1, T7</t>
  </si>
  <si>
    <t>H1, T8</t>
  </si>
  <si>
    <t>G5, T7, W12, W14</t>
  </si>
  <si>
    <t>G5, G12, G22, T7</t>
  </si>
  <si>
    <t>G12, G22, T8</t>
  </si>
  <si>
    <t>G5, G22, T7</t>
  </si>
  <si>
    <t>G22, T8</t>
  </si>
  <si>
    <t>G12, G24, T8</t>
  </si>
  <si>
    <t>18Cr – 8Ni – N</t>
  </si>
  <si>
    <t>WP</t>
  </si>
  <si>
    <t>S30451</t>
  </si>
  <si>
    <t>G3, G5, G12, T5</t>
  </si>
  <si>
    <t>G5, G12, G24, T5</t>
  </si>
  <si>
    <t>G3, G5, G12, G24, T5</t>
  </si>
  <si>
    <t>18Cr – 8Ni – 4Si – N</t>
  </si>
  <si>
    <t>S21800</t>
  </si>
  <si>
    <t>18Cr – 10Ni – Cb</t>
  </si>
  <si>
    <t>S34809</t>
  </si>
  <si>
    <t>G5, H2, T9</t>
  </si>
  <si>
    <t>H2, T9</t>
  </si>
  <si>
    <t>J92710</t>
  </si>
  <si>
    <t>G1, G5, G12, G32, T7</t>
  </si>
  <si>
    <t>G1, G12, G32, T7</t>
  </si>
  <si>
    <t>S34700</t>
  </si>
  <si>
    <t>G12, H1, T7</t>
  </si>
  <si>
    <t>S34709</t>
  </si>
  <si>
    <t>G5, H2, T8</t>
  </si>
  <si>
    <t>S34800</t>
  </si>
  <si>
    <t>G5, G12, H1, T6</t>
  </si>
  <si>
    <t>G5, G12, T6</t>
  </si>
  <si>
    <t>G12, T7</t>
  </si>
  <si>
    <t>G12, T7, W13</t>
  </si>
  <si>
    <t>G5, G12, T6, W12, W13</t>
  </si>
  <si>
    <t>G3, G5, G12, G24, T6</t>
  </si>
  <si>
    <t>G3, G12, G24, T7</t>
  </si>
  <si>
    <t>G5, G12, T6, W12, W13, W14</t>
  </si>
  <si>
    <t>G12, T7, W13, W14</t>
  </si>
  <si>
    <t>G5, H1, W12</t>
  </si>
  <si>
    <t>G5, G12, T6, W12, W14</t>
  </si>
  <si>
    <t>G5, G12, G22, T6</t>
  </si>
  <si>
    <t>G12, G22, T7</t>
  </si>
  <si>
    <t>G3, G5, G24, T8</t>
  </si>
  <si>
    <t>G5, H2, T8, W12, W13, W14</t>
  </si>
  <si>
    <t>H2, T9, W13, W14</t>
  </si>
  <si>
    <t>G3, G5, G24, H2, T8</t>
  </si>
  <si>
    <t>G3, G24, H2, T9</t>
  </si>
  <si>
    <t>G5, H2, T8, W12, W14</t>
  </si>
  <si>
    <t>G5, H2, W12</t>
  </si>
  <si>
    <t>G5, G12, G24, T6</t>
  </si>
  <si>
    <t>G12, G24, T7</t>
  </si>
  <si>
    <t>G5, G12, H2, T6, W12, W14</t>
  </si>
  <si>
    <t>G5, G12, G22, H1, T6</t>
  </si>
  <si>
    <t>G12, G22, H1, T7</t>
  </si>
  <si>
    <t>G5, H2</t>
  </si>
  <si>
    <t>G5, G24, H2, T8</t>
  </si>
  <si>
    <t>G24, H2, T9</t>
  </si>
  <si>
    <t>S34710</t>
  </si>
  <si>
    <t>18Cr – 10Ni – Ti</t>
  </si>
  <si>
    <t>S32100</t>
  </si>
  <si>
    <t>&gt; 10</t>
  </si>
  <si>
    <t>S32109</t>
  </si>
  <si>
    <t>&gt; 5</t>
  </si>
  <si>
    <t>G5, T8, W12, W13, W14</t>
  </si>
  <si>
    <t>H2, T8</t>
  </si>
  <si>
    <t>T7, W13, W14</t>
  </si>
  <si>
    <t>18Cr – 11Ni</t>
  </si>
  <si>
    <t>S30500</t>
  </si>
  <si>
    <t>18Cr – 13Ni – 3Mo</t>
  </si>
  <si>
    <t>S31703</t>
  </si>
  <si>
    <t>S31700</t>
  </si>
  <si>
    <t>G5, G12, G24, T8</t>
  </si>
  <si>
    <t>G5, G12, T8, W14</t>
  </si>
  <si>
    <t>CR</t>
  </si>
  <si>
    <t>WP-S</t>
  </si>
  <si>
    <t>WP-W</t>
  </si>
  <si>
    <t>WP-WU</t>
  </si>
  <si>
    <t>WP-WX</t>
  </si>
  <si>
    <t>18Cr – 18Ni – 2Si</t>
  </si>
  <si>
    <t>S38100</t>
  </si>
  <si>
    <r>
      <t xml:space="preserve">19Cr – 9Ni – </t>
    </r>
    <r>
      <rPr>
        <sz val="11"/>
        <color theme="1"/>
        <rFont val="Calibri"/>
        <family val="2"/>
        <scheme val="minor"/>
      </rPr>
      <t>1⁄2Mo</t>
    </r>
  </si>
  <si>
    <t>J92590</t>
  </si>
  <si>
    <t>G1, G5, G32, T6</t>
  </si>
  <si>
    <t>G1, G32, T7</t>
  </si>
  <si>
    <t>19Cr – 9Ni – 2Mo</t>
  </si>
  <si>
    <t>G1, G32, T8</t>
  </si>
  <si>
    <t>19Cr – 10Ni – 3Mo</t>
  </si>
  <si>
    <t>J93000</t>
  </si>
  <si>
    <t>G1, G5, G32</t>
  </si>
  <si>
    <t>19Cr – 15Ni – 4Mo</t>
  </si>
  <si>
    <t>S31725</t>
  </si>
  <si>
    <t>20Cr – 10Ni</t>
  </si>
  <si>
    <t>S30880</t>
  </si>
  <si>
    <t>20Cr – 18Ni – 6Mo</t>
  </si>
  <si>
    <t>J93254</t>
  </si>
  <si>
    <t>S31254</t>
  </si>
  <si>
    <t>21Cr – 6Ni – 9Mn</t>
  </si>
  <si>
    <t>S21904</t>
  </si>
  <si>
    <t>21Cr – 11Ni – N</t>
  </si>
  <si>
    <t>S30815</t>
  </si>
  <si>
    <t>G5, G6, T5</t>
  </si>
  <si>
    <t>G6, T6</t>
  </si>
  <si>
    <t>G5, G6, G24, T5</t>
  </si>
  <si>
    <t>G6, G24, T6</t>
  </si>
  <si>
    <t>22Cr – 5Ni – 3Mo – N</t>
  </si>
  <si>
    <t>S31803</t>
  </si>
  <si>
    <t>Smls. fittings</t>
  </si>
  <si>
    <t>Wld. fittings</t>
  </si>
  <si>
    <t>22Cr – 13Ni – 5Mn</t>
  </si>
  <si>
    <t>J93790</t>
  </si>
  <si>
    <t>S20910</t>
  </si>
  <si>
    <t>G24, T8</t>
  </si>
  <si>
    <t>G5, T8, W12, W14</t>
  </si>
  <si>
    <t>G5, G22, T8</t>
  </si>
  <si>
    <t>23Cr – 4Ni – Mo – Cu – N</t>
  </si>
  <si>
    <t>S32304</t>
  </si>
  <si>
    <t>23Cr – 12Ni</t>
  </si>
  <si>
    <t>S30900</t>
  </si>
  <si>
    <t>G5, G12, T5, W12, W14</t>
  </si>
  <si>
    <t>S30908</t>
  </si>
  <si>
    <t>G5, G12, T5</t>
  </si>
  <si>
    <t>G12, T6</t>
  </si>
  <si>
    <t>G12, G24, T6</t>
  </si>
  <si>
    <t>G5, G12, T5, W13</t>
  </si>
  <si>
    <t>G12, T6, W13</t>
  </si>
  <si>
    <t>G3, G12, G24, T6</t>
  </si>
  <si>
    <t>G5, G12, G22, T5</t>
  </si>
  <si>
    <t>G12, G22, T6</t>
  </si>
  <si>
    <t>S30909</t>
  </si>
  <si>
    <t>G5, T6</t>
  </si>
  <si>
    <t>G5, H1, T6</t>
  </si>
  <si>
    <t>H1, T7</t>
  </si>
  <si>
    <t>G5, G24, T6</t>
  </si>
  <si>
    <t>G24, T7</t>
  </si>
  <si>
    <t>G3, G5, G24, T6</t>
  </si>
  <si>
    <t>G3, G24, T7</t>
  </si>
  <si>
    <t>23Cr – 12Ni – Cb</t>
  </si>
  <si>
    <t>S30940</t>
  </si>
  <si>
    <t>G5, G12, T5, W12</t>
  </si>
  <si>
    <t>G5, G12, G22</t>
  </si>
  <si>
    <t>G12, G22</t>
  </si>
  <si>
    <t>G5, G12, G13, G24, T5</t>
  </si>
  <si>
    <t>24Cr – 10Ni – 4Mo – N</t>
  </si>
  <si>
    <t>J93345</t>
  </si>
  <si>
    <t>25Cr – 4Ni – 4Mo – Ti</t>
  </si>
  <si>
    <t>S44635</t>
  </si>
  <si>
    <t>25Cr – 5Ni – 3Mo – 2Cu</t>
  </si>
  <si>
    <t>J93372</t>
  </si>
  <si>
    <t>G29, G32</t>
  </si>
  <si>
    <t>S32550</t>
  </si>
  <si>
    <t>25Cr – 6Ni – Mo – N</t>
  </si>
  <si>
    <t>S31200</t>
  </si>
  <si>
    <t>25Cr – 6.5Ni – 3Mo – N</t>
  </si>
  <si>
    <t>S31260</t>
  </si>
  <si>
    <t xml:space="preserve">25Cr–7Ni–3Mo–W–Cu–N </t>
  </si>
  <si>
    <t>S39274</t>
  </si>
  <si>
    <t>HA-8</t>
  </si>
  <si>
    <t>25Cr – 7Ni – 4Mo – N</t>
  </si>
  <si>
    <t>S32750</t>
  </si>
  <si>
    <t>25Cr – 12Ni</t>
  </si>
  <si>
    <t>J93400</t>
  </si>
  <si>
    <t>G1, G5, G12, G16, G17, G32, T6</t>
  </si>
  <si>
    <t>J93402</t>
  </si>
  <si>
    <t>G1, G5, G12, G16, G17, T6</t>
  </si>
  <si>
    <t>G1, G12, T7</t>
  </si>
  <si>
    <t>G5, G16, G17</t>
  </si>
  <si>
    <t>25Cr – 20Ni</t>
  </si>
  <si>
    <t>J94202</t>
  </si>
  <si>
    <t>G1, G12, T8</t>
  </si>
  <si>
    <t>S31000</t>
  </si>
  <si>
    <t>G5, G12, G14, T5</t>
  </si>
  <si>
    <t>S31008</t>
  </si>
  <si>
    <t>G3, G5, G12, G14, G24, T5</t>
  </si>
  <si>
    <t>G3, G12, G14, G24, T6</t>
  </si>
  <si>
    <t>S31009</t>
  </si>
  <si>
    <t>25Cr – 20Ni – Cb</t>
  </si>
  <si>
    <t>S31040</t>
  </si>
  <si>
    <t>G12, G14, G24, T6</t>
  </si>
  <si>
    <t>25Cr – 20Ni – Cb – N</t>
  </si>
  <si>
    <t>S31042</t>
  </si>
  <si>
    <t>G5, G12, S4, T8</t>
  </si>
  <si>
    <t>G12, S4, T9</t>
  </si>
  <si>
    <t>25Cr – 22Ni – 2Mo – N</t>
  </si>
  <si>
    <t>S31050</t>
  </si>
  <si>
    <t>6 &lt; t ≤ 32</t>
  </si>
  <si>
    <t>≤ 6, wall</t>
  </si>
  <si>
    <t>26Cr – 4Ni – Mo</t>
  </si>
  <si>
    <t>S32900</t>
  </si>
  <si>
    <t>26Cr – 4Ni – Mo – N</t>
  </si>
  <si>
    <t>S32950</t>
  </si>
  <si>
    <t>29Cr – 6.5Ni – 2Mo – N</t>
  </si>
  <si>
    <t>S32906</t>
  </si>
  <si>
    <t>≥ 10</t>
  </si>
  <si>
    <t>&lt; 10</t>
  </si>
  <si>
    <t>TABLE 5A</t>
  </si>
  <si>
    <t>SECTION VIII,  DIVISION 2</t>
  </si>
  <si>
    <t>MAXIMUM ALLOWABLE STRESS VALUES Sm FOR FERROUS MATERIALS</t>
  </si>
  <si>
    <t>Maximum Allowable Stress, Mpa (Multiply by 1000 to Obtain kPa), for Meral Temperature, °C, Not Exceeding</t>
  </si>
  <si>
    <t>Alloy Designation / UNS No.</t>
  </si>
  <si>
    <t>Class / Condition  / Temper</t>
  </si>
  <si>
    <t>Size / Thickness, mm</t>
  </si>
  <si>
    <t>Maximum Use Temperature, °C</t>
  </si>
  <si>
    <t>Bar, shapes</t>
  </si>
  <si>
    <t>G13, T4</t>
  </si>
  <si>
    <t>G13, T3</t>
  </si>
  <si>
    <t>G13, T1</t>
  </si>
  <si>
    <t>t ≤ 50</t>
  </si>
  <si>
    <t>G13, T2</t>
  </si>
  <si>
    <t>Plate, bar, shapes</t>
  </si>
  <si>
    <t>G13</t>
  </si>
  <si>
    <t>G9, H5</t>
  </si>
  <si>
    <t>G6, G13, T2</t>
  </si>
  <si>
    <t>t ≤ 64</t>
  </si>
  <si>
    <t>G13, T3, W1, W6</t>
  </si>
  <si>
    <t>t &gt; 25</t>
  </si>
  <si>
    <t>t ≤ 25</t>
  </si>
  <si>
    <t>G9, H5, W2, W6</t>
  </si>
  <si>
    <t>H7, T2</t>
  </si>
  <si>
    <t>H3, T2</t>
  </si>
  <si>
    <t>H7</t>
  </si>
  <si>
    <t>t ≤ 13</t>
  </si>
  <si>
    <t>G9, H5, T1, W2, W6</t>
  </si>
  <si>
    <t>C – 1⁄2Mo</t>
  </si>
  <si>
    <t>G14, T7</t>
  </si>
  <si>
    <t>G14, T6</t>
  </si>
  <si>
    <t>1⁄2Cr – 1⁄5Mo</t>
  </si>
  <si>
    <t>G9, H4, W2, W6</t>
  </si>
  <si>
    <t>1⁄2Cr – 1⁄5Mo – V</t>
  </si>
  <si>
    <t>t ≤ 32</t>
  </si>
  <si>
    <t>1⁄2Cr – 1⁄4Mo – Si</t>
  </si>
  <si>
    <t>1⁄2Cr – 1⁄2Mo</t>
  </si>
  <si>
    <t>H2, T7</t>
  </si>
  <si>
    <t>3⁄4Cr – 1⁄2Ni – Cu</t>
  </si>
  <si>
    <t>3⁄4Cr – 3⁄4Ni – Cu – Al</t>
  </si>
  <si>
    <t>1Cr – 1⁄5Mo</t>
  </si>
  <si>
    <t>H4, W2, W6</t>
  </si>
  <si>
    <t>1Cr – 1⁄2Mo</t>
  </si>
  <si>
    <t>11⁄4Cr – 1⁄2Mo</t>
  </si>
  <si>
    <t>11⁄4Cr – 1⁄2Mo – Si</t>
  </si>
  <si>
    <t>13⁄4Cr – 1⁄2Mo – Cu</t>
  </si>
  <si>
    <t>13⁄4Cr – 1⁄2Mo – Ti</t>
  </si>
  <si>
    <t>21⁄4Cr – 1Mo</t>
  </si>
  <si>
    <t>T6, W5</t>
  </si>
  <si>
    <t>H1, T6, W5</t>
  </si>
  <si>
    <t>21⁄4Cr – 1Mo – V</t>
  </si>
  <si>
    <t>G12, T5</t>
  </si>
  <si>
    <t>T6</t>
  </si>
  <si>
    <t>3Cr – 1Mo – 1⁄4V – Ti – B</t>
  </si>
  <si>
    <t>5Cr – 1⁄2Mo</t>
  </si>
  <si>
    <t>H2, T6</t>
  </si>
  <si>
    <t>5Cr – 1⁄2Mo – Si</t>
  </si>
  <si>
    <t>5Cr – 1⁄2Mo – Ti</t>
  </si>
  <si>
    <t>G8, T7</t>
  </si>
  <si>
    <t>G8, T6</t>
  </si>
  <si>
    <t>G8, W1</t>
  </si>
  <si>
    <t>t ≤ 5</t>
  </si>
  <si>
    <t>G8, H6</t>
  </si>
  <si>
    <t>G6, G8, H6</t>
  </si>
  <si>
    <t>G8</t>
  </si>
  <si>
    <t>Mn – 1⁄4Mo</t>
  </si>
  <si>
    <t>G9, H3, T1, W2, W6</t>
  </si>
  <si>
    <t>K10508</t>
  </si>
  <si>
    <t>Mn – 1⁄2Mo</t>
  </si>
  <si>
    <t>Mn – 1⁄2Mo – 1⁄4Ni</t>
  </si>
  <si>
    <t>Mn – 1⁄2Mo – 1⁄2Ni</t>
  </si>
  <si>
    <t>Mn – 1⁄2Mo – 3⁄4Ni</t>
  </si>
  <si>
    <t>Mn – 1⁄2Ni – V</t>
  </si>
  <si>
    <t>H2, T1</t>
  </si>
  <si>
    <t>1⁄2Ni – 1⁄2Cr – 1⁄4Mo – V</t>
  </si>
  <si>
    <t>H2</t>
  </si>
  <si>
    <t>1⁄2Ni – 1⁄2Mo – V</t>
  </si>
  <si>
    <t>3⁄4Ni – 1⁄2Cr – 1⁄2Mo – V</t>
  </si>
  <si>
    <t>3⁄4Ni – 1⁄2Cu – Mo</t>
  </si>
  <si>
    <t>3⁄4Ni – 1⁄2Mo – 1⁄3Cr – V</t>
  </si>
  <si>
    <t>3⁄4Ni – 1⁄2Mo – Cr – V</t>
  </si>
  <si>
    <t>3⁄4Ni – 1Mo – 3⁄4Cr</t>
  </si>
  <si>
    <t>1Ni – 1⁄2Cr – 1⁄2Mo</t>
  </si>
  <si>
    <t>11⁄4Ni – 1Cr – 1⁄2Mo</t>
  </si>
  <si>
    <t>2Ni – 11⁄2Cr – 1⁄4Mo – V</t>
  </si>
  <si>
    <t>G10, G11, W1</t>
  </si>
  <si>
    <t>G11, W1</t>
  </si>
  <si>
    <t>21⁄2Ni</t>
  </si>
  <si>
    <t>23⁄4Ni–11⁄2Cr – 1⁄2Mo</t>
  </si>
  <si>
    <t>23⁄4Ni–11⁄2Cr – 1⁄2Mo – V</t>
  </si>
  <si>
    <t>3Ni – 13⁄4Cr – 1⁄2Mo</t>
  </si>
  <si>
    <t>W7</t>
  </si>
  <si>
    <t>31⁄2Ni</t>
  </si>
  <si>
    <t>t &gt; 50</t>
  </si>
  <si>
    <t>31⁄2Ni–13⁄4Cr – 1⁄2Mo – V</t>
  </si>
  <si>
    <t>4Ni – 11⁄2Cr – 1⁄2Mo – V</t>
  </si>
  <si>
    <t>5Ni – 1⁄4Mo</t>
  </si>
  <si>
    <t>W4</t>
  </si>
  <si>
    <t>W3</t>
  </si>
  <si>
    <t>G9, S2, W3</t>
  </si>
  <si>
    <t>G9, S2, W4</t>
  </si>
  <si>
    <t>G2</t>
  </si>
  <si>
    <t>t &gt; 125</t>
  </si>
  <si>
    <t>t ≤ 125</t>
  </si>
  <si>
    <t>G2, G6</t>
  </si>
  <si>
    <t>G2, G3, G4, G8, T10</t>
  </si>
  <si>
    <t>G2, T10</t>
  </si>
  <si>
    <t>G2, G3, T10</t>
  </si>
  <si>
    <t>G2, G3, G4, T10</t>
  </si>
  <si>
    <t>G2, G3, G6, T10</t>
  </si>
  <si>
    <t>G2, G3, G4, G6, T10</t>
  </si>
  <si>
    <t>G2, G6, T10</t>
  </si>
  <si>
    <t>G2, G4, T10</t>
  </si>
  <si>
    <t>17.5Cr – 17.5Ni – 5.3Si</t>
  </si>
  <si>
    <t>S30601</t>
  </si>
  <si>
    <t>t &gt; 5</t>
  </si>
  <si>
    <t>G6, G8</t>
  </si>
  <si>
    <t>G2, G8</t>
  </si>
  <si>
    <t>G2, G4, G8, T8</t>
  </si>
  <si>
    <t>G2, G3, G4, G8, T8</t>
  </si>
  <si>
    <t>G2, G3</t>
  </si>
  <si>
    <t>G2, G3, G4, S3, T10</t>
  </si>
  <si>
    <t>G2, T9</t>
  </si>
  <si>
    <t>G2, G6, T9</t>
  </si>
  <si>
    <t>G2, G4, T9</t>
  </si>
  <si>
    <t>G2, G3, G8, T9</t>
  </si>
  <si>
    <t>G2, G3, T9</t>
  </si>
  <si>
    <t>G1, G2, T10</t>
  </si>
  <si>
    <t>G2, G3, G4, T9</t>
  </si>
  <si>
    <t>G2, G3, G6, T9</t>
  </si>
  <si>
    <t>G1, G2, G6, T10</t>
  </si>
  <si>
    <t>G1, G2, G6, T9</t>
  </si>
  <si>
    <t>G1, G2, T9</t>
  </si>
  <si>
    <t>t &gt; 10</t>
  </si>
  <si>
    <t>G1, G2, G3, T9</t>
  </si>
  <si>
    <t>t ≤ 10</t>
  </si>
  <si>
    <t>G2, G3, G6</t>
  </si>
  <si>
    <t>G2, T11</t>
  </si>
  <si>
    <t>G2, G6, T11</t>
  </si>
  <si>
    <t>G2, G6, T8</t>
  </si>
  <si>
    <t>G2, T8</t>
  </si>
  <si>
    <t>G2, G3, T8</t>
  </si>
  <si>
    <t>G2, G3, G6, T8</t>
  </si>
  <si>
    <t>G2, G4, T8</t>
  </si>
  <si>
    <t>G2, G3, G4, G8, T9</t>
  </si>
  <si>
    <t>G2, G3, G5, G7, T8</t>
  </si>
  <si>
    <t>G2, G3, G5, G6, G7, T6</t>
  </si>
  <si>
    <t>G2, G3, G5, G6, G7</t>
  </si>
  <si>
    <t>G2, G6, T6</t>
  </si>
  <si>
    <t>G2, G3, G5, G6, G7, T8</t>
  </si>
  <si>
    <t>G6</t>
  </si>
  <si>
    <t>t ≤ 6</t>
  </si>
  <si>
    <t>Ball Valves</t>
  </si>
  <si>
    <t>Full Bore</t>
  </si>
  <si>
    <t>Trunnion</t>
  </si>
  <si>
    <t>FB.24</t>
  </si>
  <si>
    <t>FB.26</t>
  </si>
  <si>
    <t>FB.28</t>
  </si>
  <si>
    <t>FB.30</t>
  </si>
  <si>
    <t>FB.32</t>
  </si>
  <si>
    <t>FB.34</t>
  </si>
  <si>
    <t>FB.36</t>
  </si>
  <si>
    <t>FB.38</t>
  </si>
  <si>
    <t>FB.40</t>
  </si>
  <si>
    <t>FB.42</t>
  </si>
  <si>
    <t>Reduced Bore</t>
  </si>
  <si>
    <t>STRUCTURAL BEAM</t>
  </si>
  <si>
    <t>identification</t>
  </si>
  <si>
    <t>Nominal weight 1m</t>
  </si>
  <si>
    <t>Nominal dimensions</t>
  </si>
  <si>
    <t>Cross-section</t>
  </si>
  <si>
    <t>Dimensions for detailing</t>
  </si>
  <si>
    <t>b</t>
  </si>
  <si>
    <t>s</t>
  </si>
  <si>
    <t>t</t>
  </si>
  <si>
    <t>r</t>
  </si>
  <si>
    <t>h1</t>
  </si>
  <si>
    <t>d</t>
  </si>
  <si>
    <t>Ø</t>
  </si>
  <si>
    <t>pmin</t>
  </si>
  <si>
    <t>pmax</t>
  </si>
  <si>
    <t>AL</t>
  </si>
  <si>
    <t>AL / Weight</t>
  </si>
  <si>
    <t>cm2</t>
  </si>
  <si>
    <t>m2/m</t>
  </si>
  <si>
    <t>HEA 100</t>
  </si>
  <si>
    <t>M10</t>
  </si>
  <si>
    <t>HEA 160</t>
  </si>
  <si>
    <t>HEA 180</t>
  </si>
  <si>
    <t>HEA 220</t>
  </si>
  <si>
    <t>HEA 240</t>
  </si>
  <si>
    <t>HEA 260</t>
  </si>
  <si>
    <t>HEA 280</t>
  </si>
  <si>
    <t>HEA 340</t>
  </si>
  <si>
    <t>HEA 360</t>
  </si>
  <si>
    <t>HEA 400</t>
  </si>
  <si>
    <t>HEA 450</t>
  </si>
  <si>
    <t>HEA 500</t>
  </si>
  <si>
    <t>HEA 550</t>
  </si>
  <si>
    <t>HEA 650</t>
  </si>
  <si>
    <t>HEA 700</t>
  </si>
  <si>
    <t>HEA 800</t>
  </si>
  <si>
    <t>HEA 900</t>
  </si>
  <si>
    <t>HEA 1000</t>
  </si>
  <si>
    <t>HEB 100</t>
  </si>
  <si>
    <t>HEB 120</t>
  </si>
  <si>
    <t>M12</t>
  </si>
  <si>
    <t>HEB 140</t>
  </si>
  <si>
    <t>M16</t>
  </si>
  <si>
    <t>HEB 160</t>
  </si>
  <si>
    <t>M20</t>
  </si>
  <si>
    <t>HEB 180</t>
  </si>
  <si>
    <t>M24</t>
  </si>
  <si>
    <t>HEB 200</t>
  </si>
  <si>
    <t>M27</t>
  </si>
  <si>
    <t>HEB 220</t>
  </si>
  <si>
    <t>HEB 240</t>
  </si>
  <si>
    <t>HEB 260</t>
  </si>
  <si>
    <t>HEB 280</t>
  </si>
  <si>
    <t>HEB 300</t>
  </si>
  <si>
    <t>HEB 320</t>
  </si>
  <si>
    <t>HEB 340</t>
  </si>
  <si>
    <t>HEB 360</t>
  </si>
  <si>
    <t>HEB 400</t>
  </si>
  <si>
    <t>HEB 450</t>
  </si>
  <si>
    <t>HEB 500</t>
  </si>
  <si>
    <t>HEB 550</t>
  </si>
  <si>
    <t>HEB 600</t>
  </si>
  <si>
    <t>HEB 650</t>
  </si>
  <si>
    <t>HEB 700</t>
  </si>
  <si>
    <t>HEB 800</t>
  </si>
  <si>
    <t>HEB 900</t>
  </si>
  <si>
    <t>HEB 1000</t>
  </si>
  <si>
    <t>HEM 100</t>
  </si>
  <si>
    <t>HEM 120</t>
  </si>
  <si>
    <t>HEM 140</t>
  </si>
  <si>
    <t>HEM 160</t>
  </si>
  <si>
    <t>HEM 180</t>
  </si>
  <si>
    <t>HEM 200</t>
  </si>
  <si>
    <t>HEM 220</t>
  </si>
  <si>
    <t>HEM 240</t>
  </si>
  <si>
    <t>HEM 260</t>
  </si>
  <si>
    <t>HEM 280</t>
  </si>
  <si>
    <t>HEM 300</t>
  </si>
  <si>
    <t>HEM 320</t>
  </si>
  <si>
    <t>HEM 340</t>
  </si>
  <si>
    <t>HEM 360</t>
  </si>
  <si>
    <t>HEM 400</t>
  </si>
  <si>
    <t>HEM 450</t>
  </si>
  <si>
    <t>HEM 500</t>
  </si>
  <si>
    <t>HEM 550</t>
  </si>
  <si>
    <t>HEM 600</t>
  </si>
  <si>
    <t>HEM 650</t>
  </si>
  <si>
    <t>HEM 700</t>
  </si>
  <si>
    <t>HEM 800</t>
  </si>
  <si>
    <t>HEM 900</t>
  </si>
  <si>
    <t>HEM 1000</t>
  </si>
  <si>
    <t>GREATING (19-W-4)</t>
  </si>
  <si>
    <t>Height x Bar Thickness</t>
  </si>
  <si>
    <t>Inches</t>
  </si>
  <si>
    <t>Lbs. Sq. Ft.</t>
  </si>
  <si>
    <t>3/4 x 3/16</t>
  </si>
  <si>
    <t>1 x 1/8</t>
  </si>
  <si>
    <t>1 x 3/16</t>
  </si>
  <si>
    <t>1 1/4 x 1/8</t>
  </si>
  <si>
    <t>1 1/4 x 3/16</t>
  </si>
  <si>
    <t>1 1/2 x 1/8</t>
  </si>
  <si>
    <t>1 1/2 x 3/16</t>
  </si>
  <si>
    <t>1 3/4 x 3/16</t>
  </si>
  <si>
    <t>2 x 3/16</t>
  </si>
  <si>
    <t>2 1/4 x 3/16</t>
  </si>
  <si>
    <t>2 1/2 x 3/16</t>
  </si>
  <si>
    <t>1 x 1/4</t>
  </si>
  <si>
    <t>1 x 3/8</t>
  </si>
  <si>
    <t>1 1/4 x 1/4</t>
  </si>
  <si>
    <t>1 1/4 x 3/8</t>
  </si>
  <si>
    <t>1 1/2 x 1/4</t>
  </si>
  <si>
    <t>1 1/2 x 5/16</t>
  </si>
  <si>
    <t>1 1/2 x 3/8</t>
  </si>
  <si>
    <t>1 3/4 x 1/4</t>
  </si>
  <si>
    <t>1 3/4 x 3/8</t>
  </si>
  <si>
    <t>2 x 1/4</t>
  </si>
  <si>
    <t>2 x 5/16</t>
  </si>
  <si>
    <t>2 x 3/8</t>
  </si>
  <si>
    <t>2 1/4 x 1/4</t>
  </si>
  <si>
    <t>2 1/4 x 3/8</t>
  </si>
  <si>
    <t>2 1/2 x 1/4</t>
  </si>
  <si>
    <t>2 1/2 x 5/16</t>
  </si>
  <si>
    <t>2 1/2 x 3/8</t>
  </si>
  <si>
    <t>3 x 1/4</t>
  </si>
  <si>
    <t>3 x 5/16</t>
  </si>
  <si>
    <t>3 x 3/8</t>
  </si>
  <si>
    <t>3 x 1/2</t>
  </si>
  <si>
    <t>3 1/2 x 1/4</t>
  </si>
  <si>
    <t>3 1/2 x 3/8</t>
  </si>
  <si>
    <t>3 1/2 x 1/2</t>
  </si>
  <si>
    <t>4 x 1/4</t>
  </si>
  <si>
    <t>4 x 5/16</t>
  </si>
  <si>
    <t>4 x 3/8</t>
  </si>
  <si>
    <t>4 x 1/2</t>
  </si>
  <si>
    <t>4 1/2 x 1/4</t>
  </si>
  <si>
    <t>4 1/2 x 3/8</t>
  </si>
  <si>
    <t>4 1/2 x 1/2</t>
  </si>
  <si>
    <t>5 x 1/4</t>
  </si>
  <si>
    <t>5 x 5/16</t>
  </si>
  <si>
    <t>5 x 3/8</t>
  </si>
  <si>
    <t>5 x 1/2</t>
  </si>
  <si>
    <t>5 1/2 x 1/4</t>
  </si>
  <si>
    <t>5 1/2 x 3/8</t>
  </si>
  <si>
    <t>5 1/2 x 1/2</t>
  </si>
  <si>
    <t>6 x 1/4</t>
  </si>
  <si>
    <t>6 x 5/16</t>
  </si>
  <si>
    <t>6 x 3/8</t>
  </si>
  <si>
    <t>6 x 1/2</t>
  </si>
  <si>
    <t>Trouvay Cauvin</t>
  </si>
  <si>
    <t>ASME B16.5</t>
  </si>
  <si>
    <t>Slip on</t>
  </si>
  <si>
    <t>Welding neck</t>
  </si>
  <si>
    <t>LWN Coeff</t>
  </si>
  <si>
    <t>Size</t>
  </si>
  <si>
    <t>O</t>
  </si>
  <si>
    <t>C mini</t>
  </si>
  <si>
    <t>R</t>
  </si>
  <si>
    <t>K</t>
  </si>
  <si>
    <t>Drilling</t>
  </si>
  <si>
    <t>B mini</t>
  </si>
  <si>
    <t>X</t>
  </si>
  <si>
    <t>Y</t>
  </si>
  <si>
    <t>Y1</t>
  </si>
  <si>
    <t>B2 mini</t>
  </si>
  <si>
    <t>Y2</t>
  </si>
  <si>
    <t>T mini</t>
  </si>
  <si>
    <t>B3</t>
  </si>
  <si>
    <t>Area 1</t>
  </si>
  <si>
    <t>Area 2</t>
  </si>
  <si>
    <t>Area 3</t>
  </si>
  <si>
    <t>Number</t>
  </si>
  <si>
    <t>G [mm]</t>
  </si>
  <si>
    <t>d [mm]</t>
  </si>
  <si>
    <t>0F150</t>
  </si>
  <si>
    <t>0F</t>
  </si>
  <si>
    <t>0,5F150</t>
  </si>
  <si>
    <t>0,75F150</t>
  </si>
  <si>
    <t>1F150</t>
  </si>
  <si>
    <t>1,25F150</t>
  </si>
  <si>
    <t>1,5F150</t>
  </si>
  <si>
    <t>2F150</t>
  </si>
  <si>
    <t>2,5F150</t>
  </si>
  <si>
    <t>3F150</t>
  </si>
  <si>
    <t>3,5F150</t>
  </si>
  <si>
    <t>4F150</t>
  </si>
  <si>
    <t>5F150</t>
  </si>
  <si>
    <t>6F150</t>
  </si>
  <si>
    <t>8F150</t>
  </si>
  <si>
    <t>10F150</t>
  </si>
  <si>
    <t>12F150</t>
  </si>
  <si>
    <t>14F150</t>
  </si>
  <si>
    <t>16F150</t>
  </si>
  <si>
    <t>18F150</t>
  </si>
  <si>
    <t>20F150</t>
  </si>
  <si>
    <t>24F150</t>
  </si>
  <si>
    <t>0F300</t>
  </si>
  <si>
    <t>0,5F300</t>
  </si>
  <si>
    <t>0,75F300</t>
  </si>
  <si>
    <t>1F300</t>
  </si>
  <si>
    <t>1,25F300</t>
  </si>
  <si>
    <t>1,5F300</t>
  </si>
  <si>
    <t>2F300</t>
  </si>
  <si>
    <t>2,5F300</t>
  </si>
  <si>
    <t>3F300</t>
  </si>
  <si>
    <t>3,5F300</t>
  </si>
  <si>
    <t>4F300</t>
  </si>
  <si>
    <t>5F300</t>
  </si>
  <si>
    <t>6F300</t>
  </si>
  <si>
    <t>8F300</t>
  </si>
  <si>
    <t>10F300</t>
  </si>
  <si>
    <t>12F300</t>
  </si>
  <si>
    <t>14F300</t>
  </si>
  <si>
    <t>16F300</t>
  </si>
  <si>
    <t>18F300</t>
  </si>
  <si>
    <t>20F300</t>
  </si>
  <si>
    <t>24F300</t>
  </si>
  <si>
    <t>0F400</t>
  </si>
  <si>
    <t>0,5F400</t>
  </si>
  <si>
    <t>0,75F400</t>
  </si>
  <si>
    <t>1F400</t>
  </si>
  <si>
    <t>1,25F400</t>
  </si>
  <si>
    <t>1,5F400</t>
  </si>
  <si>
    <t>2F400</t>
  </si>
  <si>
    <t>2,5F400</t>
  </si>
  <si>
    <t>3F400</t>
  </si>
  <si>
    <t>3,5F400</t>
  </si>
  <si>
    <t>4F400</t>
  </si>
  <si>
    <t>5F400</t>
  </si>
  <si>
    <t>6F400</t>
  </si>
  <si>
    <t>8F400</t>
  </si>
  <si>
    <t>10F400</t>
  </si>
  <si>
    <t>12F400</t>
  </si>
  <si>
    <t>14F400</t>
  </si>
  <si>
    <t>16F400</t>
  </si>
  <si>
    <t>18F400</t>
  </si>
  <si>
    <t>20F400</t>
  </si>
  <si>
    <t>24F400</t>
  </si>
  <si>
    <t>0F600</t>
  </si>
  <si>
    <t>0,5F600</t>
  </si>
  <si>
    <t>0,75F600</t>
  </si>
  <si>
    <t>1F600</t>
  </si>
  <si>
    <t>1,25F600</t>
  </si>
  <si>
    <t>1,5F600</t>
  </si>
  <si>
    <t>2F600</t>
  </si>
  <si>
    <t>2,5F600</t>
  </si>
  <si>
    <t>3F600</t>
  </si>
  <si>
    <t>3,5F600</t>
  </si>
  <si>
    <t>4F600</t>
  </si>
  <si>
    <t>5F600</t>
  </si>
  <si>
    <t>6F600</t>
  </si>
  <si>
    <t>8F600</t>
  </si>
  <si>
    <t>10F600</t>
  </si>
  <si>
    <t>12F600</t>
  </si>
  <si>
    <t>14F600</t>
  </si>
  <si>
    <t>16F600</t>
  </si>
  <si>
    <t>18F600</t>
  </si>
  <si>
    <t>20F600</t>
  </si>
  <si>
    <t>24F600</t>
  </si>
  <si>
    <t>0F900</t>
  </si>
  <si>
    <t>0,5F900</t>
  </si>
  <si>
    <t>0,75F900</t>
  </si>
  <si>
    <t>1F900</t>
  </si>
  <si>
    <t>1,25F900</t>
  </si>
  <si>
    <t>1,5F900</t>
  </si>
  <si>
    <t>2F900</t>
  </si>
  <si>
    <t>2,5F900</t>
  </si>
  <si>
    <t>3F900</t>
  </si>
  <si>
    <t>4F900</t>
  </si>
  <si>
    <t>5F900</t>
  </si>
  <si>
    <t>6F900</t>
  </si>
  <si>
    <t>8F900</t>
  </si>
  <si>
    <t>10F900</t>
  </si>
  <si>
    <t>12F900</t>
  </si>
  <si>
    <t>14F900</t>
  </si>
  <si>
    <t>16F900</t>
  </si>
  <si>
    <t>18F900</t>
  </si>
  <si>
    <t>20F900</t>
  </si>
  <si>
    <t>24F900</t>
  </si>
  <si>
    <t>0F1500</t>
  </si>
  <si>
    <t>0,5F1500</t>
  </si>
  <si>
    <t>0,75F1500</t>
  </si>
  <si>
    <t>1F1500</t>
  </si>
  <si>
    <t>1,25F1500</t>
  </si>
  <si>
    <t>1,5F1500</t>
  </si>
  <si>
    <t>2F1500</t>
  </si>
  <si>
    <t>2,5F1500</t>
  </si>
  <si>
    <t>3F1500</t>
  </si>
  <si>
    <t>4F1500</t>
  </si>
  <si>
    <t>5F1500</t>
  </si>
  <si>
    <t>6F1500</t>
  </si>
  <si>
    <t>8F1500</t>
  </si>
  <si>
    <t>10F1500</t>
  </si>
  <si>
    <t>12F1500</t>
  </si>
  <si>
    <t>14F1500</t>
  </si>
  <si>
    <t>16F1500</t>
  </si>
  <si>
    <t>18F1500</t>
  </si>
  <si>
    <t>20F1500</t>
  </si>
  <si>
    <t>24F1500</t>
  </si>
  <si>
    <t>0F2500</t>
  </si>
  <si>
    <t>0,5F2500</t>
  </si>
  <si>
    <t>0,75F2500</t>
  </si>
  <si>
    <t>1F2500</t>
  </si>
  <si>
    <t>1,25F2500</t>
  </si>
  <si>
    <t>1,5F2500</t>
  </si>
  <si>
    <t>2F2500</t>
  </si>
  <si>
    <t>2,5F2500</t>
  </si>
  <si>
    <t>3F2500</t>
  </si>
  <si>
    <t>4F2500</t>
  </si>
  <si>
    <t>5F2500</t>
  </si>
  <si>
    <t>6F2500</t>
  </si>
  <si>
    <t>8F2500</t>
  </si>
  <si>
    <t>10F2500</t>
  </si>
  <si>
    <t>12F2500</t>
  </si>
  <si>
    <t>ASME B 16.47 A</t>
  </si>
  <si>
    <t>MSS-SP 44 - ASME B 16,47 - Serie A</t>
  </si>
  <si>
    <t>BS 3293</t>
  </si>
  <si>
    <t>Radius r mini</t>
  </si>
  <si>
    <t>26F150</t>
  </si>
  <si>
    <t>28F150</t>
  </si>
  <si>
    <t>30F150</t>
  </si>
  <si>
    <t>32F150</t>
  </si>
  <si>
    <t>34F150</t>
  </si>
  <si>
    <t>36F150</t>
  </si>
  <si>
    <t>38F150</t>
  </si>
  <si>
    <t>40F150</t>
  </si>
  <si>
    <t>42F150</t>
  </si>
  <si>
    <t>44F150</t>
  </si>
  <si>
    <t>46F150</t>
  </si>
  <si>
    <t>48F150</t>
  </si>
  <si>
    <t>50F150</t>
  </si>
  <si>
    <t>52F150</t>
  </si>
  <si>
    <t>54F150</t>
  </si>
  <si>
    <t>56F150</t>
  </si>
  <si>
    <t>58F150</t>
  </si>
  <si>
    <t>60F150</t>
  </si>
  <si>
    <t>26F300</t>
  </si>
  <si>
    <t>28F300</t>
  </si>
  <si>
    <t>30F300</t>
  </si>
  <si>
    <t>32F300</t>
  </si>
  <si>
    <t>34F300</t>
  </si>
  <si>
    <t>36F300</t>
  </si>
  <si>
    <t>38F300</t>
  </si>
  <si>
    <t>40F300</t>
  </si>
  <si>
    <t>42F300</t>
  </si>
  <si>
    <t>44F300</t>
  </si>
  <si>
    <t>46F300</t>
  </si>
  <si>
    <t>48F300</t>
  </si>
  <si>
    <t>50F300</t>
  </si>
  <si>
    <t>52F300</t>
  </si>
  <si>
    <t>54F300</t>
  </si>
  <si>
    <t>56F300</t>
  </si>
  <si>
    <t>58F300</t>
  </si>
  <si>
    <t>60F300</t>
  </si>
  <si>
    <t>26F400</t>
  </si>
  <si>
    <t>28F400</t>
  </si>
  <si>
    <t>30F400</t>
  </si>
  <si>
    <t>32F400</t>
  </si>
  <si>
    <t>34F400</t>
  </si>
  <si>
    <t>36F400</t>
  </si>
  <si>
    <t>38F400</t>
  </si>
  <si>
    <t>40F400</t>
  </si>
  <si>
    <t>42F400</t>
  </si>
  <si>
    <t>44F400</t>
  </si>
  <si>
    <t>46F400</t>
  </si>
  <si>
    <t>48F400</t>
  </si>
  <si>
    <t>50F400</t>
  </si>
  <si>
    <t>52F400</t>
  </si>
  <si>
    <t>54F400</t>
  </si>
  <si>
    <t>56F400</t>
  </si>
  <si>
    <t>58F400</t>
  </si>
  <si>
    <t>60F400</t>
  </si>
  <si>
    <t>26F600</t>
  </si>
  <si>
    <t>28F600</t>
  </si>
  <si>
    <t>30F600</t>
  </si>
  <si>
    <t>32F600</t>
  </si>
  <si>
    <t>34F600</t>
  </si>
  <si>
    <t>36F600</t>
  </si>
  <si>
    <t>38F600</t>
  </si>
  <si>
    <t>40F600</t>
  </si>
  <si>
    <t>42F600</t>
  </si>
  <si>
    <t>44F600</t>
  </si>
  <si>
    <t>46F600</t>
  </si>
  <si>
    <t>48F600</t>
  </si>
  <si>
    <t>50F600</t>
  </si>
  <si>
    <t>52F600</t>
  </si>
  <si>
    <t>54F600</t>
  </si>
  <si>
    <t>56F600</t>
  </si>
  <si>
    <t>58F600</t>
  </si>
  <si>
    <t>60F600</t>
  </si>
  <si>
    <t>26F900</t>
  </si>
  <si>
    <t>28F900</t>
  </si>
  <si>
    <t>30F900</t>
  </si>
  <si>
    <t>32F900</t>
  </si>
  <si>
    <t>34F900</t>
  </si>
  <si>
    <t>36F900</t>
  </si>
  <si>
    <t>38F900</t>
  </si>
  <si>
    <t>40F900</t>
  </si>
  <si>
    <t>42F900</t>
  </si>
  <si>
    <t>44F900</t>
  </si>
  <si>
    <t>46F900</t>
  </si>
  <si>
    <t>48F900</t>
  </si>
  <si>
    <t>ASME B 16.47 B</t>
  </si>
  <si>
    <t>C1</t>
  </si>
  <si>
    <t>0FB150</t>
  </si>
  <si>
    <t>26FB150</t>
  </si>
  <si>
    <t>28FB150</t>
  </si>
  <si>
    <t>30FB150</t>
  </si>
  <si>
    <t>32FB150</t>
  </si>
  <si>
    <t>34FB150</t>
  </si>
  <si>
    <t>36FB150</t>
  </si>
  <si>
    <t>38FB150</t>
  </si>
  <si>
    <t>40FB150</t>
  </si>
  <si>
    <t>42FB150</t>
  </si>
  <si>
    <t>44FB150</t>
  </si>
  <si>
    <t>46FB150</t>
  </si>
  <si>
    <t>48FB150</t>
  </si>
  <si>
    <t>50FB150</t>
  </si>
  <si>
    <t>52FB150</t>
  </si>
  <si>
    <t>54FB150</t>
  </si>
  <si>
    <t>56FB150</t>
  </si>
  <si>
    <t>58FB150</t>
  </si>
  <si>
    <t>60FB150</t>
  </si>
  <si>
    <t>0FB300</t>
  </si>
  <si>
    <t>26FB300</t>
  </si>
  <si>
    <t>28FB300</t>
  </si>
  <si>
    <t>30FB300</t>
  </si>
  <si>
    <t>32FB300</t>
  </si>
  <si>
    <t>34FB300</t>
  </si>
  <si>
    <t>36FB300</t>
  </si>
  <si>
    <t>38FB300</t>
  </si>
  <si>
    <t>40FB300</t>
  </si>
  <si>
    <t>42FB300</t>
  </si>
  <si>
    <t>44FB300</t>
  </si>
  <si>
    <t>46FB300</t>
  </si>
  <si>
    <t>48FB300</t>
  </si>
  <si>
    <t>50FB300</t>
  </si>
  <si>
    <t>52FB300</t>
  </si>
  <si>
    <t>54FB300</t>
  </si>
  <si>
    <t>56FB300</t>
  </si>
  <si>
    <t>58FB300</t>
  </si>
  <si>
    <t>60FB300</t>
  </si>
  <si>
    <t>0FB400</t>
  </si>
  <si>
    <t>26FB400</t>
  </si>
  <si>
    <t>28FB400</t>
  </si>
  <si>
    <t>30FB400</t>
  </si>
  <si>
    <t>32FB400</t>
  </si>
  <si>
    <t>34FB400</t>
  </si>
  <si>
    <t>36FB400</t>
  </si>
  <si>
    <t>0FB600</t>
  </si>
  <si>
    <t>26FB600</t>
  </si>
  <si>
    <t>28FB600</t>
  </si>
  <si>
    <t>30FB600</t>
  </si>
  <si>
    <t>32FB600</t>
  </si>
  <si>
    <t>34FB600</t>
  </si>
  <si>
    <t>36FB600</t>
  </si>
  <si>
    <t>0FB900</t>
  </si>
  <si>
    <t>26FB900</t>
  </si>
  <si>
    <t>28FB900</t>
  </si>
  <si>
    <t>30FB900</t>
  </si>
  <si>
    <t>32FB900</t>
  </si>
  <si>
    <t>34FB900</t>
  </si>
  <si>
    <t>36FB900</t>
  </si>
  <si>
    <t>Code</t>
  </si>
  <si>
    <t>Thk</t>
  </si>
  <si>
    <t>0,125.10</t>
  </si>
  <si>
    <t>0,125.20</t>
  </si>
  <si>
    <t>0,125.30</t>
  </si>
  <si>
    <t>0,125.STD</t>
  </si>
  <si>
    <t>0,125.40</t>
  </si>
  <si>
    <t>0,125.60</t>
  </si>
  <si>
    <t>0,125.XS</t>
  </si>
  <si>
    <t>0,125.80</t>
  </si>
  <si>
    <t>0,125.100</t>
  </si>
  <si>
    <t>0,125.120</t>
  </si>
  <si>
    <t>0,125.140</t>
  </si>
  <si>
    <t>0,125.160</t>
  </si>
  <si>
    <t>0,125.XXS</t>
  </si>
  <si>
    <t>XXS</t>
  </si>
  <si>
    <t>0,25.10</t>
  </si>
  <si>
    <t>0,25.20</t>
  </si>
  <si>
    <t>0,25.30</t>
  </si>
  <si>
    <t>0,25.STD</t>
  </si>
  <si>
    <t>0,25.40</t>
  </si>
  <si>
    <t>0,25.60</t>
  </si>
  <si>
    <t>0,25.XS</t>
  </si>
  <si>
    <t>0,25.80</t>
  </si>
  <si>
    <t>0,25.100</t>
  </si>
  <si>
    <t>0,25.120</t>
  </si>
  <si>
    <t>0,25.140</t>
  </si>
  <si>
    <t>0,25.160</t>
  </si>
  <si>
    <t>0,25.XXS</t>
  </si>
  <si>
    <t>0,5.10</t>
  </si>
  <si>
    <t>0,5.20</t>
  </si>
  <si>
    <t>0,5.30</t>
  </si>
  <si>
    <t>0,5.STD</t>
  </si>
  <si>
    <t>0,5.40</t>
  </si>
  <si>
    <t>0,5.60</t>
  </si>
  <si>
    <t>0,5.XS</t>
  </si>
  <si>
    <t>0,5.80</t>
  </si>
  <si>
    <t>0,5.100</t>
  </si>
  <si>
    <t>0,5.120</t>
  </si>
  <si>
    <t>0,5.140</t>
  </si>
  <si>
    <t>0,5.160</t>
  </si>
  <si>
    <t>0,5.XXS</t>
  </si>
  <si>
    <t>0,75.10</t>
  </si>
  <si>
    <t>0,75.20</t>
  </si>
  <si>
    <t>0,75.30</t>
  </si>
  <si>
    <t>0,75.STD</t>
  </si>
  <si>
    <t>0,75.40</t>
  </si>
  <si>
    <t>0,75.60</t>
  </si>
  <si>
    <t>0,75.XS</t>
  </si>
  <si>
    <t>0,75.80</t>
  </si>
  <si>
    <t>0,75.100</t>
  </si>
  <si>
    <t>0,75.120</t>
  </si>
  <si>
    <t>0,75.140</t>
  </si>
  <si>
    <t>0,75.160</t>
  </si>
  <si>
    <t>0,75.XXS</t>
  </si>
  <si>
    <t>1.10</t>
  </si>
  <si>
    <t>1.20</t>
  </si>
  <si>
    <t>1.30</t>
  </si>
  <si>
    <t>1.STD</t>
  </si>
  <si>
    <t>1.40</t>
  </si>
  <si>
    <t>1.60</t>
  </si>
  <si>
    <t>1.XS</t>
  </si>
  <si>
    <t>1.80</t>
  </si>
  <si>
    <t>1.100</t>
  </si>
  <si>
    <t>1.120</t>
  </si>
  <si>
    <t>1.140</t>
  </si>
  <si>
    <t>1.160</t>
  </si>
  <si>
    <t>1.XXS</t>
  </si>
  <si>
    <t>1,25.10</t>
  </si>
  <si>
    <t>1,25.20</t>
  </si>
  <si>
    <t>1,25.30</t>
  </si>
  <si>
    <t>1,25.STD</t>
  </si>
  <si>
    <t>1,25.40</t>
  </si>
  <si>
    <t>1,25.60</t>
  </si>
  <si>
    <t>1,25.XS</t>
  </si>
  <si>
    <t>1,25.80</t>
  </si>
  <si>
    <t>1,25.100</t>
  </si>
  <si>
    <t>1,25.120</t>
  </si>
  <si>
    <t>1,25.140</t>
  </si>
  <si>
    <t>1,25.160</t>
  </si>
  <si>
    <t>1,25.XXS</t>
  </si>
  <si>
    <t>1,5.10</t>
  </si>
  <si>
    <t>1,5.20</t>
  </si>
  <si>
    <t>1,5.30</t>
  </si>
  <si>
    <t>1,5.STD</t>
  </si>
  <si>
    <t>1,5.40</t>
  </si>
  <si>
    <t>1,5.60</t>
  </si>
  <si>
    <t>1,5.XS</t>
  </si>
  <si>
    <t>1,5.80</t>
  </si>
  <si>
    <t>1,5.100</t>
  </si>
  <si>
    <t>1,5.120</t>
  </si>
  <si>
    <t>1,5.140</t>
  </si>
  <si>
    <t>1,5.160</t>
  </si>
  <si>
    <t>1,5.XXS</t>
  </si>
  <si>
    <t>2.10</t>
  </si>
  <si>
    <t>2.20</t>
  </si>
  <si>
    <t>2.30</t>
  </si>
  <si>
    <t>2.STD</t>
  </si>
  <si>
    <t>2.40</t>
  </si>
  <si>
    <t>2.60</t>
  </si>
  <si>
    <t>2.XS</t>
  </si>
  <si>
    <t>2.80</t>
  </si>
  <si>
    <t>2.100</t>
  </si>
  <si>
    <t>2.120</t>
  </si>
  <si>
    <t>2.140</t>
  </si>
  <si>
    <t>2.160</t>
  </si>
  <si>
    <t>2.XXS</t>
  </si>
  <si>
    <t>2,5.10</t>
  </si>
  <si>
    <t>2,5.20</t>
  </si>
  <si>
    <t>2,5.30</t>
  </si>
  <si>
    <t>2,5.STD</t>
  </si>
  <si>
    <t>2,5.40</t>
  </si>
  <si>
    <t>2,5.60</t>
  </si>
  <si>
    <t>2,5.XS</t>
  </si>
  <si>
    <t>2,5.80</t>
  </si>
  <si>
    <t>2,5.100</t>
  </si>
  <si>
    <t>2,5.120</t>
  </si>
  <si>
    <t>2,5.140</t>
  </si>
  <si>
    <t>2,5.160</t>
  </si>
  <si>
    <t>2,5.XXS</t>
  </si>
  <si>
    <t>3.10</t>
  </si>
  <si>
    <t>3.20</t>
  </si>
  <si>
    <t>3.30</t>
  </si>
  <si>
    <t>3.STD</t>
  </si>
  <si>
    <t>3.40</t>
  </si>
  <si>
    <t>3.60</t>
  </si>
  <si>
    <t>3.XS</t>
  </si>
  <si>
    <t>3.80</t>
  </si>
  <si>
    <t>3.100</t>
  </si>
  <si>
    <t>3.120</t>
  </si>
  <si>
    <t>3.140</t>
  </si>
  <si>
    <t>3.160</t>
  </si>
  <si>
    <t>3.XXS</t>
  </si>
  <si>
    <t>3,5.10</t>
  </si>
  <si>
    <t>3,5.20</t>
  </si>
  <si>
    <t>3,5.30</t>
  </si>
  <si>
    <t>3,5.STD</t>
  </si>
  <si>
    <t>3,5.40</t>
  </si>
  <si>
    <t>3,5.60</t>
  </si>
  <si>
    <t>3,5.XS</t>
  </si>
  <si>
    <t>3,5.80</t>
  </si>
  <si>
    <t>3,5.100</t>
  </si>
  <si>
    <t>3,5.120</t>
  </si>
  <si>
    <t>3,5.140</t>
  </si>
  <si>
    <t>3,5.160</t>
  </si>
  <si>
    <t>3,5.XXS</t>
  </si>
  <si>
    <t>4.10</t>
  </si>
  <si>
    <t>4.20</t>
  </si>
  <si>
    <t>4.30</t>
  </si>
  <si>
    <t>4.STD</t>
  </si>
  <si>
    <t>4.40</t>
  </si>
  <si>
    <t>4.60</t>
  </si>
  <si>
    <t>4.XS</t>
  </si>
  <si>
    <t>4.80</t>
  </si>
  <si>
    <t>4.100</t>
  </si>
  <si>
    <t>4.120</t>
  </si>
  <si>
    <t>4.140</t>
  </si>
  <si>
    <t>4.160</t>
  </si>
  <si>
    <t>4.XXS</t>
  </si>
  <si>
    <t>5.10</t>
  </si>
  <si>
    <t>5.20</t>
  </si>
  <si>
    <t>5.30</t>
  </si>
  <si>
    <t>5.STD</t>
  </si>
  <si>
    <t>5.40</t>
  </si>
  <si>
    <t>5.60</t>
  </si>
  <si>
    <t>5.XS</t>
  </si>
  <si>
    <t>5.80</t>
  </si>
  <si>
    <t>5.100</t>
  </si>
  <si>
    <t>5.120</t>
  </si>
  <si>
    <t>5.140</t>
  </si>
  <si>
    <t>5.160</t>
  </si>
  <si>
    <t>5.XXS</t>
  </si>
  <si>
    <t>6.10</t>
  </si>
  <si>
    <t>6.20</t>
  </si>
  <si>
    <t>6.30</t>
  </si>
  <si>
    <t>6.STD</t>
  </si>
  <si>
    <t>6.40</t>
  </si>
  <si>
    <t>6.60</t>
  </si>
  <si>
    <t>6.XS</t>
  </si>
  <si>
    <t>6.80</t>
  </si>
  <si>
    <t>6.100</t>
  </si>
  <si>
    <t>6.120</t>
  </si>
  <si>
    <t>6.140</t>
  </si>
  <si>
    <t>6.160</t>
  </si>
  <si>
    <t>6.XXS</t>
  </si>
  <si>
    <t>8.10</t>
  </si>
  <si>
    <t>8.20</t>
  </si>
  <si>
    <t>8.30</t>
  </si>
  <si>
    <t>8.STD</t>
  </si>
  <si>
    <t>8.40</t>
  </si>
  <si>
    <t>8.60</t>
  </si>
  <si>
    <t>8.XS</t>
  </si>
  <si>
    <t>8.80</t>
  </si>
  <si>
    <t>8.100</t>
  </si>
  <si>
    <t>8.120</t>
  </si>
  <si>
    <t>8.140</t>
  </si>
  <si>
    <t>8.160</t>
  </si>
  <si>
    <t>8.XXS</t>
  </si>
  <si>
    <t>10.10</t>
  </si>
  <si>
    <t>10.20</t>
  </si>
  <si>
    <t>10.30</t>
  </si>
  <si>
    <t>10.STD</t>
  </si>
  <si>
    <t>10.40</t>
  </si>
  <si>
    <t>10.60</t>
  </si>
  <si>
    <t>10.XS</t>
  </si>
  <si>
    <t>10.80</t>
  </si>
  <si>
    <t>10.100</t>
  </si>
  <si>
    <t>10.120</t>
  </si>
  <si>
    <t>10.140</t>
  </si>
  <si>
    <t>10.160</t>
  </si>
  <si>
    <t>10.XXS</t>
  </si>
  <si>
    <t>12.10</t>
  </si>
  <si>
    <t>12.20</t>
  </si>
  <si>
    <t>12.30</t>
  </si>
  <si>
    <t>12.STD</t>
  </si>
  <si>
    <t>12.40</t>
  </si>
  <si>
    <t>12.60</t>
  </si>
  <si>
    <t>12.XS</t>
  </si>
  <si>
    <t>12.80</t>
  </si>
  <si>
    <t>12.100</t>
  </si>
  <si>
    <t>12.120</t>
  </si>
  <si>
    <t>12.140</t>
  </si>
  <si>
    <t>12.160</t>
  </si>
  <si>
    <t>12.XXS</t>
  </si>
  <si>
    <t>14.10</t>
  </si>
  <si>
    <t>14.20</t>
  </si>
  <si>
    <t>14.30</t>
  </si>
  <si>
    <t>14.STD</t>
  </si>
  <si>
    <t>14.40</t>
  </si>
  <si>
    <t>14.60</t>
  </si>
  <si>
    <t>14.XS</t>
  </si>
  <si>
    <t>14.80</t>
  </si>
  <si>
    <t>14.100</t>
  </si>
  <si>
    <t>14.120</t>
  </si>
  <si>
    <t>14.140</t>
  </si>
  <si>
    <t>14.160</t>
  </si>
  <si>
    <t>14.XXS</t>
  </si>
  <si>
    <t>16.10</t>
  </si>
  <si>
    <t>16.20</t>
  </si>
  <si>
    <t>16.30</t>
  </si>
  <si>
    <t>16.STD</t>
  </si>
  <si>
    <t>16.40</t>
  </si>
  <si>
    <t>16.60</t>
  </si>
  <si>
    <t>16.XS</t>
  </si>
  <si>
    <t>16.80</t>
  </si>
  <si>
    <t>16.100</t>
  </si>
  <si>
    <t>16.120</t>
  </si>
  <si>
    <t>16.140</t>
  </si>
  <si>
    <t>16.160</t>
  </si>
  <si>
    <t>16.XXS</t>
  </si>
  <si>
    <t>18.10</t>
  </si>
  <si>
    <t>18.20</t>
  </si>
  <si>
    <t>18.30</t>
  </si>
  <si>
    <t>18.STD</t>
  </si>
  <si>
    <t>18.40</t>
  </si>
  <si>
    <t>18.60</t>
  </si>
  <si>
    <t>18.XS</t>
  </si>
  <si>
    <t>18.80</t>
  </si>
  <si>
    <t>18.100</t>
  </si>
  <si>
    <t>18.120</t>
  </si>
  <si>
    <t>18.140</t>
  </si>
  <si>
    <t>18.160</t>
  </si>
  <si>
    <t>18.XXS</t>
  </si>
  <si>
    <t>20.10</t>
  </si>
  <si>
    <t>20.20</t>
  </si>
  <si>
    <t>20.30</t>
  </si>
  <si>
    <t>20.STD</t>
  </si>
  <si>
    <t>20.40</t>
  </si>
  <si>
    <t>20.60</t>
  </si>
  <si>
    <t>20.XS</t>
  </si>
  <si>
    <t>20.80</t>
  </si>
  <si>
    <t>20.100</t>
  </si>
  <si>
    <t>20.120</t>
  </si>
  <si>
    <t>20.140</t>
  </si>
  <si>
    <t>20.160</t>
  </si>
  <si>
    <t>20.XXS</t>
  </si>
  <si>
    <t>22.10</t>
  </si>
  <si>
    <t>22.20</t>
  </si>
  <si>
    <t>22.30</t>
  </si>
  <si>
    <t>22.STD</t>
  </si>
  <si>
    <t>22.40</t>
  </si>
  <si>
    <t>22.60</t>
  </si>
  <si>
    <t>22.XS</t>
  </si>
  <si>
    <t>22.80</t>
  </si>
  <si>
    <t>22.100</t>
  </si>
  <si>
    <t>22.120</t>
  </si>
  <si>
    <t>22.140</t>
  </si>
  <si>
    <t>22.160</t>
  </si>
  <si>
    <t>22.XXS</t>
  </si>
  <si>
    <t>24.10</t>
  </si>
  <si>
    <t>24.20</t>
  </si>
  <si>
    <t>24.30</t>
  </si>
  <si>
    <t>24.STD</t>
  </si>
  <si>
    <t>24.40</t>
  </si>
  <si>
    <t>24.60</t>
  </si>
  <si>
    <t>24.XS</t>
  </si>
  <si>
    <t>24.80</t>
  </si>
  <si>
    <t>24.100</t>
  </si>
  <si>
    <t>24.120</t>
  </si>
  <si>
    <t>24.140</t>
  </si>
  <si>
    <t>24.160</t>
  </si>
  <si>
    <t>24.XXS</t>
  </si>
  <si>
    <t>26.10</t>
  </si>
  <si>
    <t>26.20</t>
  </si>
  <si>
    <t>26.30</t>
  </si>
  <si>
    <t>26.STD</t>
  </si>
  <si>
    <t>26.40</t>
  </si>
  <si>
    <t>26.60</t>
  </si>
  <si>
    <t>26.XS</t>
  </si>
  <si>
    <t>26.80</t>
  </si>
  <si>
    <t>26.100</t>
  </si>
  <si>
    <t>26.120</t>
  </si>
  <si>
    <t>26.140</t>
  </si>
  <si>
    <t>26.160</t>
  </si>
  <si>
    <t>26.XXS</t>
  </si>
  <si>
    <t>28.10</t>
  </si>
  <si>
    <t>28.20</t>
  </si>
  <si>
    <t>28.30</t>
  </si>
  <si>
    <t>28.STD</t>
  </si>
  <si>
    <t>28.40</t>
  </si>
  <si>
    <t>28.60</t>
  </si>
  <si>
    <t>28.XS</t>
  </si>
  <si>
    <t>28.80</t>
  </si>
  <si>
    <t>28.100</t>
  </si>
  <si>
    <t>28.120</t>
  </si>
  <si>
    <t>28.140</t>
  </si>
  <si>
    <t>28.160</t>
  </si>
  <si>
    <t>28.XXS</t>
  </si>
  <si>
    <t>30.10</t>
  </si>
  <si>
    <t>30.20</t>
  </si>
  <si>
    <t>30.30</t>
  </si>
  <si>
    <t>30.STD</t>
  </si>
  <si>
    <t>30.40</t>
  </si>
  <si>
    <t>30.60</t>
  </si>
  <si>
    <t>30.XS</t>
  </si>
  <si>
    <t>30.80</t>
  </si>
  <si>
    <t>30.100</t>
  </si>
  <si>
    <t>30.120</t>
  </si>
  <si>
    <t>30.140</t>
  </si>
  <si>
    <t>30.160</t>
  </si>
  <si>
    <t>30.XXS</t>
  </si>
  <si>
    <t>32.10</t>
  </si>
  <si>
    <t>32.20</t>
  </si>
  <si>
    <t>32.30</t>
  </si>
  <si>
    <t>32.STD</t>
  </si>
  <si>
    <t>32.40</t>
  </si>
  <si>
    <t>32.60</t>
  </si>
  <si>
    <t>32.XS</t>
  </si>
  <si>
    <t>32.80</t>
  </si>
  <si>
    <t>32.100</t>
  </si>
  <si>
    <t>32.120</t>
  </si>
  <si>
    <t>32.140</t>
  </si>
  <si>
    <t>32.160</t>
  </si>
  <si>
    <t>32.XXS</t>
  </si>
  <si>
    <t>34.10</t>
  </si>
  <si>
    <t>34.20</t>
  </si>
  <si>
    <t>34.30</t>
  </si>
  <si>
    <t>34.STD</t>
  </si>
  <si>
    <t>34.40</t>
  </si>
  <si>
    <t>34.60</t>
  </si>
  <si>
    <t>34.XS</t>
  </si>
  <si>
    <t>34.80</t>
  </si>
  <si>
    <t>34.100</t>
  </si>
  <si>
    <t>34.120</t>
  </si>
  <si>
    <t>34.140</t>
  </si>
  <si>
    <t>34.160</t>
  </si>
  <si>
    <t>34.XXS</t>
  </si>
  <si>
    <t>36.10</t>
  </si>
  <si>
    <t>36.20</t>
  </si>
  <si>
    <t>36.30</t>
  </si>
  <si>
    <t>36.STD</t>
  </si>
  <si>
    <t>36.40</t>
  </si>
  <si>
    <t>36.60</t>
  </si>
  <si>
    <t>36.XS</t>
  </si>
  <si>
    <t>36.80</t>
  </si>
  <si>
    <t>36.100</t>
  </si>
  <si>
    <t>36.120</t>
  </si>
  <si>
    <t>36.140</t>
  </si>
  <si>
    <t>36.160</t>
  </si>
  <si>
    <t>36.XXS</t>
  </si>
  <si>
    <t>40.10</t>
  </si>
  <si>
    <t>40.20</t>
  </si>
  <si>
    <t>40.30</t>
  </si>
  <si>
    <t>40.STD</t>
  </si>
  <si>
    <t>40.40</t>
  </si>
  <si>
    <t>40.60</t>
  </si>
  <si>
    <t>40.XS</t>
  </si>
  <si>
    <t>40.80</t>
  </si>
  <si>
    <t>40.100</t>
  </si>
  <si>
    <t>40.120</t>
  </si>
  <si>
    <t>40.140</t>
  </si>
  <si>
    <t>40.160</t>
  </si>
  <si>
    <t>40.XXS</t>
  </si>
  <si>
    <t>42.10</t>
  </si>
  <si>
    <t>42.20</t>
  </si>
  <si>
    <t>42.30</t>
  </si>
  <si>
    <t>42.STD</t>
  </si>
  <si>
    <t>42.40</t>
  </si>
  <si>
    <t>42.60</t>
  </si>
  <si>
    <t>42.XS</t>
  </si>
  <si>
    <t>42.80</t>
  </si>
  <si>
    <t>5S</t>
  </si>
  <si>
    <t>10S</t>
  </si>
  <si>
    <t>20S</t>
  </si>
  <si>
    <t>ND</t>
  </si>
  <si>
    <t>OD</t>
  </si>
  <si>
    <t>CIRC</t>
  </si>
  <si>
    <t>SIEVES UNLOAD</t>
  </si>
  <si>
    <t>T-101 A/B</t>
  </si>
  <si>
    <t>ATEX</t>
  </si>
  <si>
    <t>ROTATING</t>
  </si>
  <si>
    <t>Catalizzatore DEOXO</t>
  </si>
  <si>
    <t>Orifice plate</t>
  </si>
  <si>
    <t>RO</t>
  </si>
  <si>
    <t>Blind Flanges</t>
  </si>
  <si>
    <t>three way valve</t>
  </si>
  <si>
    <t>Trasporti Interni</t>
  </si>
  <si>
    <t>Moisture analyzer</t>
  </si>
  <si>
    <t>O2 analyzer</t>
  </si>
  <si>
    <t>Regeneration heater (FATI )</t>
  </si>
  <si>
    <t>E-103</t>
  </si>
  <si>
    <t>SKID 1 MODULO PIANO 1</t>
  </si>
  <si>
    <t>SKID 1 MODULO PIANO 2</t>
  </si>
  <si>
    <t>SKID 2 MODULO PIANO 1</t>
  </si>
  <si>
    <t>analyzer cabinet</t>
  </si>
  <si>
    <t xml:space="preserve">ATEX / PED </t>
  </si>
  <si>
    <t>ANDRITZ</t>
  </si>
  <si>
    <t>GERMANY</t>
  </si>
  <si>
    <t>10000 NM3/H H2 PDU UNIT</t>
  </si>
  <si>
    <t>R-201</t>
  </si>
  <si>
    <t>Marshalling cabinet</t>
  </si>
  <si>
    <t>COSTO ING. DIVISO PER DUE UNITA'</t>
  </si>
  <si>
    <t>Cost revision</t>
  </si>
  <si>
    <t>E-104</t>
  </si>
  <si>
    <t>D-102</t>
  </si>
  <si>
    <t>E-105</t>
  </si>
  <si>
    <t>214000 Kcal/h</t>
  </si>
  <si>
    <t>458000 Kcal/h</t>
  </si>
  <si>
    <t>166000 Kcal/h</t>
  </si>
  <si>
    <t>grounding</t>
  </si>
  <si>
    <t>cables</t>
  </si>
  <si>
    <t>DUE CARICHE SETACCIO 5 ANNI GARANZIA</t>
  </si>
  <si>
    <t>HYROS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</si>
</sst>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6" formatCode="&quot;$&quot;#,##0_);[Red]\(&quot;$&quot;#,##0\)"/>
    <numFmt numFmtId="164" formatCode="_-* #,##0.00_-;\-* #,##0.00_-;_-* &quot;-&quot;??_-;_-@_-"/>
    <numFmt numFmtId="165" formatCode="_-&quot;€&quot;\ * #,##0.00_-;\-&quot;€&quot;\ * #,##0.00_-;_-&quot;€&quot;\ * &quot;-&quot;??_-;_-@_-"/>
    <numFmt numFmtId="166" formatCode="0.000"/>
    <numFmt numFmtId="167" formatCode="_-[$€]\ * #,##0.00_-;\-[$€]\ * #,##0.00_-;_-[$€]\ * &quot;-&quot;??_-;_-@_-"/>
    <numFmt numFmtId="168" formatCode="_-* #,##0_-;\-* #,##0_-;_-* &quot;-&quot;??_-;_-@_-"/>
    <numFmt numFmtId="169" formatCode="0.0"/>
    <numFmt numFmtId="170" formatCode="0.00000000"/>
    <numFmt numFmtId="171" formatCode="0.0000"/>
    <numFmt numFmtId="172" formatCode="_-[$€-410]\ * #,##0.00_-;\-[$€-410]\ * #,##0.00_-;_-[$€-410]\ * &quot;-&quot;??_-;_-@_-"/>
    <numFmt numFmtId="173" formatCode="00.0"/>
    <numFmt numFmtId="174" formatCode="_-* #,##0.00\ [$€-410]_-;\-* #,##0.00\ [$€-410]_-;_-* &quot;-&quot;??\ [$€-410]_-;_-@_-"/>
    <numFmt numFmtId="175" formatCode="_-&quot;L.&quot;\ * #,##0_-;\-&quot;L.&quot;\ * #,##0_-;_-&quot;L.&quot;\ * &quot;-&quot;_-;_-@_-"/>
    <numFmt numFmtId="176" formatCode="_-&quot;L.&quot;\ * #,##0.00_-;\-&quot;L.&quot;\ * #,##0.00_-;_-&quot;L.&quot;\ * &quot;-&quot;??_-;_-@_-"/>
    <numFmt numFmtId="177" formatCode="#,##0\ &quot;€&quot;"/>
    <numFmt numFmtId="178" formatCode="_-[$€-410]\ * #,##0_-;\-[$€-410]\ * #,##0_-;_-[$€-410]\ * &quot;-&quot;??_-;_-@_-"/>
    <numFmt numFmtId="179" formatCode="0.0%"/>
  </numFmts>
  <fonts count="95" x14ac:knownFonts="1">
    <font>
      <sz val="11"/>
      <color theme="1"/>
      <name val="Calibri"/>
      <family val="2"/>
      <scheme val="minor"/>
    </font>
    <font>
      <sz val="11"/>
      <color theme="1"/>
      <name val="Calibri"/>
      <family val="2"/>
      <scheme val="minor"/>
    </font>
    <font>
      <sz val="18"/>
      <color theme="1"/>
      <name val="Calibri"/>
      <family val="2"/>
      <scheme val="minor"/>
    </font>
    <font>
      <sz val="10"/>
      <name val="Arial"/>
      <family val="2"/>
    </font>
    <font>
      <b/>
      <sz val="10"/>
      <color indexed="8"/>
      <name val="Times New Roman"/>
      <family val="1"/>
    </font>
    <font>
      <b/>
      <sz val="12"/>
      <color indexed="8"/>
      <name val="Calibri"/>
      <family val="2"/>
      <scheme val="minor"/>
    </font>
    <font>
      <b/>
      <sz val="12"/>
      <name val="Calibri"/>
      <family val="2"/>
      <scheme val="minor"/>
    </font>
    <font>
      <sz val="12"/>
      <color indexed="8"/>
      <name val="Calibri"/>
      <family val="2"/>
      <scheme val="minor"/>
    </font>
    <font>
      <sz val="12"/>
      <name val="Calibri"/>
      <family val="2"/>
      <scheme val="minor"/>
    </font>
    <font>
      <i/>
      <sz val="12"/>
      <color indexed="8"/>
      <name val="Calibri"/>
      <family val="2"/>
      <scheme val="minor"/>
    </font>
    <font>
      <sz val="12"/>
      <color theme="1"/>
      <name val="Calibri"/>
      <family val="2"/>
      <scheme val="minor"/>
    </font>
    <font>
      <b/>
      <sz val="7"/>
      <name val="Arial"/>
      <family val="2"/>
    </font>
    <font>
      <sz val="11"/>
      <name val="Calibri"/>
      <family val="2"/>
      <scheme val="minor"/>
    </font>
    <font>
      <sz val="14"/>
      <color theme="1"/>
      <name val="Calibri"/>
      <family val="2"/>
      <scheme val="minor"/>
    </font>
    <font>
      <b/>
      <sz val="14"/>
      <color rgb="FFFF0000"/>
      <name val="Calibri"/>
      <family val="2"/>
      <scheme val="minor"/>
    </font>
    <font>
      <b/>
      <sz val="12"/>
      <color theme="1"/>
      <name val="Calibri"/>
      <family val="2"/>
      <scheme val="minor"/>
    </font>
    <font>
      <sz val="6"/>
      <color theme="1"/>
      <name val="Calibri"/>
      <family val="2"/>
      <scheme val="minor"/>
    </font>
    <font>
      <b/>
      <sz val="16"/>
      <color theme="0"/>
      <name val="Tahoma"/>
      <family val="2"/>
    </font>
    <font>
      <b/>
      <sz val="7"/>
      <color theme="0"/>
      <name val="Tahoma"/>
      <family val="2"/>
    </font>
    <font>
      <sz val="6"/>
      <name val="Tahoma"/>
      <family val="2"/>
    </font>
    <font>
      <sz val="7"/>
      <name val="Tahoma"/>
      <family val="2"/>
    </font>
    <font>
      <sz val="10"/>
      <name val="Helv"/>
    </font>
    <font>
      <sz val="7"/>
      <name val="Arial"/>
      <family val="2"/>
    </font>
    <font>
      <b/>
      <sz val="14"/>
      <name val="Tahoma"/>
      <family val="2"/>
    </font>
    <font>
      <sz val="14"/>
      <name val="Tahoma"/>
      <family val="2"/>
    </font>
    <font>
      <sz val="14"/>
      <name val="Arial"/>
      <family val="2"/>
    </font>
    <font>
      <b/>
      <sz val="14"/>
      <color theme="1"/>
      <name val="Calibri"/>
      <family val="2"/>
      <scheme val="minor"/>
    </font>
    <font>
      <b/>
      <sz val="7"/>
      <color theme="0"/>
      <name val="Arial"/>
      <family val="2"/>
    </font>
    <font>
      <sz val="7"/>
      <color theme="0"/>
      <name val="Arial"/>
      <family val="2"/>
    </font>
    <font>
      <b/>
      <sz val="7"/>
      <name val="Tahoma"/>
      <family val="2"/>
    </font>
    <font>
      <sz val="7"/>
      <color theme="1"/>
      <name val="Tahoma"/>
      <family val="2"/>
    </font>
    <font>
      <b/>
      <sz val="10"/>
      <name val="Helv"/>
    </font>
    <font>
      <b/>
      <sz val="11"/>
      <color theme="1"/>
      <name val="Calibri"/>
      <family val="2"/>
      <scheme val="minor"/>
    </font>
    <font>
      <sz val="22"/>
      <color theme="1"/>
      <name val="Calibri"/>
      <family val="2"/>
      <scheme val="minor"/>
    </font>
    <font>
      <sz val="16"/>
      <color theme="1"/>
      <name val="Calibri"/>
      <family val="2"/>
      <scheme val="minor"/>
    </font>
    <font>
      <sz val="8"/>
      <color theme="1"/>
      <name val="Calibri"/>
      <family val="2"/>
      <scheme val="minor"/>
    </font>
    <font>
      <b/>
      <sz val="16"/>
      <name val="Calibri"/>
      <family val="2"/>
      <scheme val="minor"/>
    </font>
    <font>
      <sz val="10"/>
      <name val="Calibri"/>
      <family val="2"/>
      <scheme val="minor"/>
    </font>
    <font>
      <b/>
      <sz val="11"/>
      <name val="Calibri"/>
      <family val="2"/>
      <scheme val="minor"/>
    </font>
    <font>
      <sz val="11"/>
      <color rgb="FFFF0000"/>
      <name val="Calibri"/>
      <family val="2"/>
      <scheme val="minor"/>
    </font>
    <font>
      <b/>
      <sz val="12"/>
      <color rgb="FFFF0000"/>
      <name val="Calibri"/>
      <family val="2"/>
      <scheme val="minor"/>
    </font>
    <font>
      <strike/>
      <sz val="11"/>
      <color theme="1"/>
      <name val="Calibri"/>
      <family val="2"/>
      <scheme val="minor"/>
    </font>
    <font>
      <b/>
      <sz val="6"/>
      <color theme="1"/>
      <name val="Calibri"/>
      <family val="2"/>
      <scheme val="minor"/>
    </font>
    <font>
      <sz val="14"/>
      <name val="Calibri"/>
      <family val="2"/>
      <scheme val="minor"/>
    </font>
    <font>
      <u val="singleAccounting"/>
      <sz val="7"/>
      <name val="Times New Roman"/>
      <family val="1"/>
    </font>
    <font>
      <sz val="5.5"/>
      <name val="Tahoma"/>
      <family val="2"/>
    </font>
    <font>
      <sz val="8"/>
      <name val="Tahoma"/>
      <family val="2"/>
    </font>
    <font>
      <b/>
      <u/>
      <sz val="16"/>
      <color rgb="FFFF0000"/>
      <name val="Calibri"/>
      <family val="2"/>
      <scheme val="minor"/>
    </font>
    <font>
      <b/>
      <sz val="16"/>
      <color theme="1"/>
      <name val="Calibri"/>
      <family val="2"/>
      <scheme val="minor"/>
    </font>
    <font>
      <b/>
      <sz val="16"/>
      <color rgb="FFFF0000"/>
      <name val="Calibri"/>
      <family val="2"/>
      <scheme val="minor"/>
    </font>
    <font>
      <sz val="10"/>
      <name val="Arial"/>
      <family val="2"/>
    </font>
    <font>
      <sz val="10"/>
      <name val="MS Sans Serif"/>
      <family val="2"/>
    </font>
    <font>
      <sz val="11"/>
      <color indexed="8"/>
      <name val="Calibri"/>
      <family val="2"/>
    </font>
    <font>
      <sz val="11"/>
      <color indexed="9"/>
      <name val="Calibri"/>
      <family val="2"/>
    </font>
    <font>
      <sz val="11"/>
      <color indexed="20"/>
      <name val="Calibri"/>
      <family val="2"/>
    </font>
    <font>
      <b/>
      <sz val="11"/>
      <color indexed="52"/>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60"/>
      <name val="Calibri"/>
      <family val="2"/>
    </font>
    <font>
      <b/>
      <sz val="11"/>
      <color indexed="63"/>
      <name val="Calibri"/>
      <family val="2"/>
    </font>
    <font>
      <b/>
      <sz val="18"/>
      <color indexed="56"/>
      <name val="Cambria"/>
      <family val="2"/>
    </font>
    <font>
      <b/>
      <sz val="15"/>
      <color indexed="62"/>
      <name val="Calibri"/>
      <family val="2"/>
    </font>
    <font>
      <b/>
      <sz val="13"/>
      <color indexed="62"/>
      <name val="Calibri"/>
      <family val="2"/>
    </font>
    <font>
      <b/>
      <sz val="11"/>
      <color indexed="62"/>
      <name val="Calibri"/>
      <family val="2"/>
    </font>
    <font>
      <b/>
      <sz val="18"/>
      <color indexed="62"/>
      <name val="Cambria"/>
      <family val="2"/>
    </font>
    <font>
      <b/>
      <sz val="11"/>
      <color indexed="8"/>
      <name val="Calibri"/>
      <family val="2"/>
    </font>
    <font>
      <sz val="8"/>
      <name val="Calibri"/>
      <family val="2"/>
      <scheme val="minor"/>
    </font>
    <font>
      <b/>
      <sz val="8"/>
      <name val="Calibri"/>
      <family val="2"/>
      <scheme val="minor"/>
    </font>
    <font>
      <b/>
      <sz val="7"/>
      <name val="Calibri"/>
      <family val="2"/>
      <scheme val="minor"/>
    </font>
    <font>
      <b/>
      <sz val="8"/>
      <color rgb="FFFF0000"/>
      <name val="Calibri"/>
      <family val="2"/>
      <scheme val="minor"/>
    </font>
    <font>
      <b/>
      <sz val="12"/>
      <color indexed="8"/>
      <name val="Calibri"/>
      <family val="2"/>
    </font>
    <font>
      <b/>
      <sz val="20"/>
      <color theme="1"/>
      <name val="Calibri"/>
      <family val="2"/>
      <scheme val="minor"/>
    </font>
    <font>
      <sz val="11"/>
      <name val="Calibri"/>
      <family val="2"/>
    </font>
    <font>
      <strike/>
      <sz val="11"/>
      <name val="Calibri"/>
      <family val="2"/>
      <scheme val="minor"/>
    </font>
    <font>
      <b/>
      <sz val="14"/>
      <color indexed="8"/>
      <name val="Calibri"/>
      <family val="2"/>
      <scheme val="minor"/>
    </font>
    <font>
      <b/>
      <sz val="14"/>
      <name val="Calibri"/>
      <family val="2"/>
      <scheme val="minor"/>
    </font>
    <font>
      <i/>
      <sz val="11"/>
      <name val="Calibri"/>
      <family val="2"/>
      <scheme val="minor"/>
    </font>
    <font>
      <b/>
      <sz val="10"/>
      <name val="Arial"/>
      <family val="2"/>
    </font>
    <font>
      <sz val="11"/>
      <color rgb="FF000000"/>
      <name val="Calibri"/>
      <family val="2"/>
    </font>
    <font>
      <b/>
      <vertAlign val="superscript"/>
      <sz val="10"/>
      <name val="Arial"/>
      <family val="2"/>
    </font>
    <font>
      <sz val="8"/>
      <name val="Arial"/>
      <family val="2"/>
    </font>
    <font>
      <b/>
      <sz val="12"/>
      <color rgb="FF000000"/>
      <name val="Calibri"/>
      <family val="2"/>
    </font>
    <font>
      <b/>
      <sz val="11"/>
      <color rgb="FF000000"/>
      <name val="Calibri"/>
      <family val="2"/>
    </font>
    <font>
      <sz val="11"/>
      <color theme="1"/>
      <name val="Calibri"/>
      <family val="2"/>
      <charset val="238"/>
      <scheme val="minor"/>
    </font>
    <font>
      <sz val="11"/>
      <color indexed="8"/>
      <name val="Calibri"/>
      <family val="2"/>
      <charset val="238"/>
    </font>
    <font>
      <sz val="10"/>
      <color indexed="8"/>
      <name val="Arial"/>
      <family val="2"/>
      <charset val="238"/>
    </font>
    <font>
      <sz val="10"/>
      <name val="Arial"/>
      <family val="2"/>
      <charset val="238"/>
    </font>
    <font>
      <sz val="10"/>
      <color rgb="FF000000"/>
      <name val="Times New Roman"/>
      <family val="1"/>
    </font>
    <font>
      <sz val="10"/>
      <name val="Arial CE"/>
      <family val="2"/>
      <charset val="238"/>
    </font>
    <font>
      <sz val="11"/>
      <color rgb="FF000000"/>
      <name val="Calibri"/>
      <family val="2"/>
      <scheme val="minor"/>
    </font>
    <font>
      <sz val="11"/>
      <color rgb="FFBFBFBF"/>
      <name val="Calibri"/>
      <family val="2"/>
      <scheme val="minor"/>
    </font>
  </fonts>
  <fills count="57">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rgb="FFD1FFD1"/>
        <bgColor indexed="64"/>
      </patternFill>
    </fill>
    <fill>
      <patternFill patternType="solid">
        <fgColor theme="6" tint="0.39997558519241921"/>
        <bgColor indexed="64"/>
      </patternFill>
    </fill>
    <fill>
      <patternFill patternType="solid">
        <fgColor rgb="FFFF0000"/>
        <bgColor indexed="64"/>
      </patternFill>
    </fill>
    <fill>
      <patternFill patternType="solid">
        <fgColor rgb="FF99FF99"/>
        <bgColor indexed="64"/>
      </patternFill>
    </fill>
    <fill>
      <patternFill patternType="solid">
        <fgColor rgb="FFCFAFE7"/>
        <bgColor indexed="64"/>
      </patternFill>
    </fill>
    <fill>
      <patternFill patternType="solid">
        <fgColor rgb="FF7030A0"/>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rgb="FF0070C0"/>
        <bgColor indexed="64"/>
      </patternFill>
    </fill>
    <fill>
      <patternFill patternType="solid">
        <fgColor theme="6" tint="-0.249977111117893"/>
        <bgColor indexed="64"/>
      </patternFill>
    </fill>
    <fill>
      <patternFill patternType="solid">
        <fgColor rgb="FFCCFF99"/>
        <bgColor indexed="64"/>
      </patternFill>
    </fill>
    <fill>
      <patternFill patternType="solid">
        <fgColor rgb="FFE2EFDA"/>
        <bgColor indexed="64"/>
      </patternFill>
    </fill>
    <fill>
      <patternFill patternType="solid">
        <fgColor rgb="FFE2EFDA"/>
        <bgColor theme="0"/>
      </patternFill>
    </fill>
    <fill>
      <patternFill patternType="solid">
        <fgColor theme="7" tint="0.39997558519241921"/>
        <bgColor indexed="64"/>
      </patternFill>
    </fill>
    <fill>
      <patternFill patternType="solid">
        <fgColor theme="0"/>
        <bgColor auto="1"/>
      </patternFill>
    </fill>
    <fill>
      <patternFill patternType="solid">
        <fgColor theme="0"/>
        <bgColor theme="0"/>
      </patternFill>
    </fill>
    <fill>
      <patternFill patternType="solid">
        <fgColor rgb="FFFFFF00"/>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2" tint="-0.499984740745262"/>
        <bgColor indexed="64"/>
      </patternFill>
    </fill>
    <fill>
      <patternFill patternType="solid">
        <fgColor theme="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9"/>
      </patternFill>
    </fill>
    <fill>
      <patternFill patternType="solid">
        <fgColor indexed="26"/>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4"/>
      </patternFill>
    </fill>
    <fill>
      <patternFill patternType="solid">
        <fgColor theme="9" tint="0.59999389629810485"/>
        <bgColor indexed="64"/>
      </patternFill>
    </fill>
    <fill>
      <patternFill patternType="solid">
        <fgColor theme="7" tint="0.79998168889431442"/>
        <bgColor indexed="64"/>
      </patternFill>
    </fill>
    <fill>
      <patternFill patternType="solid">
        <fgColor rgb="FF37FF8D"/>
        <bgColor indexed="64"/>
      </patternFill>
    </fill>
    <fill>
      <patternFill patternType="solid">
        <fgColor rgb="FF53DEFF"/>
        <bgColor indexed="64"/>
      </patternFill>
    </fill>
    <fill>
      <patternFill patternType="solid">
        <fgColor indexed="42"/>
        <bgColor indexed="64"/>
      </patternFill>
    </fill>
    <fill>
      <patternFill patternType="solid">
        <fgColor rgb="FFCCFFCC"/>
        <bgColor indexed="64"/>
      </patternFill>
    </fill>
    <fill>
      <patternFill patternType="solid">
        <fgColor rgb="FFE2EFDA"/>
        <bgColor rgb="FF000000"/>
      </patternFill>
    </fill>
  </fills>
  <borders count="234">
    <border>
      <left/>
      <right/>
      <top/>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hair">
        <color auto="1"/>
      </left>
      <right style="hair">
        <color auto="1"/>
      </right>
      <top/>
      <bottom style="hair">
        <color auto="1"/>
      </bottom>
      <diagonal/>
    </border>
    <border>
      <left style="hair">
        <color auto="1"/>
      </left>
      <right style="medium">
        <color auto="1"/>
      </right>
      <top/>
      <bottom style="hair">
        <color auto="1"/>
      </bottom>
      <diagonal/>
    </border>
    <border>
      <left style="hair">
        <color auto="1"/>
      </left>
      <right style="hair">
        <color auto="1"/>
      </right>
      <top style="medium">
        <color auto="1"/>
      </top>
      <bottom style="thin">
        <color auto="1"/>
      </bottom>
      <diagonal/>
    </border>
    <border>
      <left style="hair">
        <color auto="1"/>
      </left>
      <right style="medium">
        <color auto="1"/>
      </right>
      <top style="medium">
        <color auto="1"/>
      </top>
      <bottom style="thin">
        <color auto="1"/>
      </bottom>
      <diagonal/>
    </border>
    <border>
      <left/>
      <right style="hair">
        <color auto="1"/>
      </right>
      <top/>
      <bottom style="hair">
        <color auto="1"/>
      </bottom>
      <diagonal/>
    </border>
    <border>
      <left/>
      <right style="hair">
        <color auto="1"/>
      </right>
      <top style="hair">
        <color auto="1"/>
      </top>
      <bottom style="hair">
        <color auto="1"/>
      </bottom>
      <diagonal/>
    </border>
    <border>
      <left/>
      <right style="hair">
        <color auto="1"/>
      </right>
      <top style="hair">
        <color auto="1"/>
      </top>
      <bottom style="medium">
        <color auto="1"/>
      </bottom>
      <diagonal/>
    </border>
    <border>
      <left style="medium">
        <color auto="1"/>
      </left>
      <right style="thin">
        <color auto="1"/>
      </right>
      <top/>
      <bottom style="hair">
        <color auto="1"/>
      </bottom>
      <diagonal/>
    </border>
    <border>
      <left style="thin">
        <color auto="1"/>
      </left>
      <right style="thin">
        <color auto="1"/>
      </right>
      <top/>
      <bottom style="hair">
        <color auto="1"/>
      </bottom>
      <diagonal/>
    </border>
    <border>
      <left style="medium">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medium">
        <color auto="1"/>
      </left>
      <right style="thin">
        <color auto="1"/>
      </right>
      <top style="hair">
        <color auto="1"/>
      </top>
      <bottom style="medium">
        <color auto="1"/>
      </bottom>
      <diagonal/>
    </border>
    <border>
      <left style="thin">
        <color auto="1"/>
      </left>
      <right style="thin">
        <color auto="1"/>
      </right>
      <top style="hair">
        <color auto="1"/>
      </top>
      <bottom style="medium">
        <color auto="1"/>
      </bottom>
      <diagonal/>
    </border>
    <border>
      <left style="thin">
        <color indexed="64"/>
      </left>
      <right style="thin">
        <color indexed="64"/>
      </right>
      <top style="hair">
        <color indexed="64"/>
      </top>
      <bottom/>
      <diagonal/>
    </border>
    <border>
      <left/>
      <right/>
      <top style="thin">
        <color indexed="64"/>
      </top>
      <bottom style="hair">
        <color indexed="64"/>
      </bottom>
      <diagonal/>
    </border>
    <border>
      <left/>
      <right style="medium">
        <color indexed="64"/>
      </right>
      <top style="hair">
        <color indexed="64"/>
      </top>
      <bottom style="hair">
        <color indexed="64"/>
      </bottom>
      <diagonal/>
    </border>
    <border>
      <left style="medium">
        <color indexed="64"/>
      </left>
      <right/>
      <top style="medium">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style="hair">
        <color indexed="64"/>
      </bottom>
      <diagonal/>
    </border>
    <border>
      <left/>
      <right style="medium">
        <color indexed="64"/>
      </right>
      <top style="thin">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medium">
        <color indexed="64"/>
      </left>
      <right/>
      <top style="hair">
        <color indexed="64"/>
      </top>
      <bottom style="thin">
        <color indexed="64"/>
      </bottom>
      <diagonal/>
    </border>
    <border>
      <left/>
      <right/>
      <top style="hair">
        <color indexed="64"/>
      </top>
      <bottom style="thin">
        <color indexed="64"/>
      </bottom>
      <diagonal/>
    </border>
    <border>
      <left/>
      <right style="medium">
        <color indexed="64"/>
      </right>
      <top style="hair">
        <color indexed="64"/>
      </top>
      <bottom style="thin">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medium">
        <color indexed="64"/>
      </left>
      <right/>
      <top style="hair">
        <color indexed="64"/>
      </top>
      <bottom/>
      <diagonal/>
    </border>
    <border>
      <left/>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style="medium">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thin">
        <color indexed="64"/>
      </right>
      <top/>
      <bottom/>
      <diagonal/>
    </border>
    <border>
      <left style="thin">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top style="hair">
        <color indexed="64"/>
      </top>
      <bottom style="double">
        <color indexed="64"/>
      </bottom>
      <diagonal/>
    </border>
    <border>
      <left/>
      <right style="thin">
        <color indexed="64"/>
      </right>
      <top style="hair">
        <color indexed="64"/>
      </top>
      <bottom style="double">
        <color indexed="64"/>
      </bottom>
      <diagonal/>
    </border>
    <border>
      <left style="thin">
        <color indexed="64"/>
      </left>
      <right/>
      <top style="hair">
        <color indexed="64"/>
      </top>
      <bottom style="double">
        <color indexed="64"/>
      </bottom>
      <diagonal/>
    </border>
    <border>
      <left/>
      <right/>
      <top style="hair">
        <color indexed="64"/>
      </top>
      <bottom style="double">
        <color indexed="64"/>
      </bottom>
      <diagonal/>
    </border>
    <border>
      <left/>
      <right/>
      <top/>
      <bottom style="double">
        <color indexed="64"/>
      </bottom>
      <diagonal/>
    </border>
    <border>
      <left/>
      <right style="medium">
        <color indexed="64"/>
      </right>
      <top style="hair">
        <color auto="1"/>
      </top>
      <bottom style="double">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right style="hair">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auto="1"/>
      </right>
      <top style="medium">
        <color indexed="64"/>
      </top>
      <bottom style="hair">
        <color indexed="64"/>
      </bottom>
      <diagonal/>
    </border>
    <border>
      <left style="thin">
        <color indexed="64"/>
      </left>
      <right style="medium">
        <color auto="1"/>
      </right>
      <top style="hair">
        <color indexed="64"/>
      </top>
      <bottom style="hair">
        <color indexed="64"/>
      </bottom>
      <diagonal/>
    </border>
    <border>
      <left style="thin">
        <color indexed="64"/>
      </left>
      <right style="medium">
        <color auto="1"/>
      </right>
      <top style="hair">
        <color indexed="64"/>
      </top>
      <bottom style="medium">
        <color auto="1"/>
      </bottom>
      <diagonal/>
    </border>
    <border>
      <left style="medium">
        <color indexed="64"/>
      </left>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right style="thin">
        <color indexed="64"/>
      </right>
      <top style="medium">
        <color indexed="64"/>
      </top>
      <bottom style="hair">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auto="1"/>
      </right>
      <top/>
      <bottom style="hair">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medium">
        <color indexed="64"/>
      </top>
      <bottom style="medium">
        <color indexed="64"/>
      </bottom>
      <diagonal/>
    </border>
    <border>
      <left style="medium">
        <color auto="1"/>
      </left>
      <right style="thin">
        <color auto="1"/>
      </right>
      <top/>
      <bottom/>
      <diagonal/>
    </border>
    <border>
      <left style="thin">
        <color indexed="64"/>
      </left>
      <right style="thin">
        <color indexed="64"/>
      </right>
      <top/>
      <bottom/>
      <diagonal/>
    </border>
    <border>
      <left style="medium">
        <color indexed="64"/>
      </left>
      <right style="medium">
        <color indexed="64"/>
      </right>
      <top/>
      <bottom/>
      <diagonal/>
    </border>
    <border>
      <left style="thin">
        <color indexed="64"/>
      </left>
      <right style="medium">
        <color indexed="64"/>
      </right>
      <top/>
      <bottom/>
      <diagonal/>
    </border>
    <border>
      <left style="thin">
        <color indexed="64"/>
      </left>
      <right style="medium">
        <color indexed="64"/>
      </right>
      <top style="medium">
        <color indexed="64"/>
      </top>
      <bottom/>
      <diagonal/>
    </border>
    <border>
      <left/>
      <right style="medium">
        <color indexed="64"/>
      </right>
      <top style="thin">
        <color indexed="64"/>
      </top>
      <bottom style="medium">
        <color indexed="64"/>
      </bottom>
      <diagonal/>
    </border>
    <border>
      <left style="thin">
        <color indexed="64"/>
      </left>
      <right/>
      <top style="medium">
        <color indexed="64"/>
      </top>
      <bottom style="hair">
        <color indexed="64"/>
      </bottom>
      <diagonal/>
    </border>
    <border>
      <left style="thin">
        <color indexed="64"/>
      </left>
      <right/>
      <top style="hair">
        <color indexed="64"/>
      </top>
      <bottom style="medium">
        <color indexed="64"/>
      </bottom>
      <diagonal/>
    </border>
    <border>
      <left style="medium">
        <color auto="1"/>
      </left>
      <right style="hair">
        <color auto="1"/>
      </right>
      <top style="medium">
        <color indexed="64"/>
      </top>
      <bottom style="hair">
        <color auto="1"/>
      </bottom>
      <diagonal/>
    </border>
    <border>
      <left style="hair">
        <color auto="1"/>
      </left>
      <right/>
      <top style="medium">
        <color indexed="64"/>
      </top>
      <bottom style="hair">
        <color auto="1"/>
      </bottom>
      <diagonal/>
    </border>
    <border>
      <left style="medium">
        <color auto="1"/>
      </left>
      <right style="hair">
        <color auto="1"/>
      </right>
      <top style="hair">
        <color auto="1"/>
      </top>
      <bottom style="hair">
        <color auto="1"/>
      </bottom>
      <diagonal/>
    </border>
    <border>
      <left style="hair">
        <color auto="1"/>
      </left>
      <right/>
      <top style="hair">
        <color auto="1"/>
      </top>
      <bottom style="hair">
        <color auto="1"/>
      </bottom>
      <diagonal/>
    </border>
    <border>
      <left style="medium">
        <color indexed="64"/>
      </left>
      <right/>
      <top/>
      <bottom style="double">
        <color indexed="64"/>
      </bottom>
      <diagonal/>
    </border>
    <border>
      <left style="thin">
        <color indexed="64"/>
      </left>
      <right/>
      <top/>
      <bottom style="hair">
        <color indexed="64"/>
      </bottom>
      <diagonal/>
    </border>
    <border>
      <left style="medium">
        <color indexed="64"/>
      </left>
      <right style="thin">
        <color auto="1"/>
      </right>
      <top style="hair">
        <color auto="1"/>
      </top>
      <bottom style="double">
        <color indexed="64"/>
      </bottom>
      <diagonal/>
    </border>
    <border>
      <left style="thin">
        <color auto="1"/>
      </left>
      <right style="thin">
        <color auto="1"/>
      </right>
      <top style="hair">
        <color auto="1"/>
      </top>
      <bottom style="double">
        <color indexed="64"/>
      </bottom>
      <diagonal/>
    </border>
    <border>
      <left style="medium">
        <color indexed="64"/>
      </left>
      <right/>
      <top/>
      <bottom style="hair">
        <color indexed="64"/>
      </bottom>
      <diagonal/>
    </border>
    <border>
      <left style="medium">
        <color auto="1"/>
      </left>
      <right style="thin">
        <color auto="1"/>
      </right>
      <top style="hair">
        <color auto="1"/>
      </top>
      <bottom/>
      <diagonal/>
    </border>
    <border>
      <left style="hair">
        <color auto="1"/>
      </left>
      <right/>
      <top/>
      <bottom/>
      <diagonal/>
    </border>
    <border>
      <left style="dotted">
        <color auto="1"/>
      </left>
      <right style="dotted">
        <color auto="1"/>
      </right>
      <top/>
      <bottom style="dotted">
        <color auto="1"/>
      </bottom>
      <diagonal/>
    </border>
    <border>
      <left style="dotted">
        <color auto="1"/>
      </left>
      <right style="dotted">
        <color auto="1"/>
      </right>
      <top style="dotted">
        <color auto="1"/>
      </top>
      <bottom style="dotted">
        <color auto="1"/>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thin">
        <color indexed="64"/>
      </left>
      <right style="medium">
        <color auto="1"/>
      </right>
      <top style="hair">
        <color indexed="64"/>
      </top>
      <bottom/>
      <diagonal/>
    </border>
    <border>
      <left style="double">
        <color indexed="64"/>
      </left>
      <right style="double">
        <color indexed="64"/>
      </right>
      <top/>
      <bottom/>
      <diagonal/>
    </border>
    <border>
      <left/>
      <right/>
      <top/>
      <bottom style="hair">
        <color auto="1"/>
      </bottom>
      <diagonal/>
    </border>
    <border>
      <left/>
      <right/>
      <top style="hair">
        <color auto="1"/>
      </top>
      <bottom style="medium">
        <color auto="1"/>
      </bottom>
      <diagonal/>
    </border>
    <border>
      <left/>
      <right style="thin">
        <color auto="1"/>
      </right>
      <top/>
      <bottom style="hair">
        <color auto="1"/>
      </bottom>
      <diagonal/>
    </border>
    <border>
      <left/>
      <right style="medium">
        <color indexed="64"/>
      </right>
      <top/>
      <bottom style="hair">
        <color auto="1"/>
      </bottom>
      <diagonal/>
    </border>
    <border>
      <left/>
      <right style="medium">
        <color indexed="64"/>
      </right>
      <top style="hair">
        <color auto="1"/>
      </top>
      <bottom style="medium">
        <color indexed="64"/>
      </bottom>
      <diagonal/>
    </border>
    <border>
      <left style="medium">
        <color indexed="64"/>
      </left>
      <right style="medium">
        <color indexed="64"/>
      </right>
      <top/>
      <bottom style="hair">
        <color auto="1"/>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49"/>
      </bottom>
      <diagonal/>
    </border>
    <border>
      <left/>
      <right/>
      <top/>
      <bottom style="medium">
        <color indexed="49"/>
      </bottom>
      <diagonal/>
    </border>
    <border>
      <left/>
      <right/>
      <top style="thin">
        <color indexed="62"/>
      </top>
      <bottom style="double">
        <color indexed="62"/>
      </bottom>
      <diagonal/>
    </border>
    <border>
      <left/>
      <right/>
      <top style="thin">
        <color indexed="49"/>
      </top>
      <bottom style="double">
        <color indexed="49"/>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49"/>
      </top>
      <bottom style="double">
        <color indexed="49"/>
      </bottom>
      <diagonal/>
    </border>
    <border>
      <left/>
      <right style="medium">
        <color indexed="64"/>
      </right>
      <top style="medium">
        <color indexed="64"/>
      </top>
      <bottom style="hair">
        <color indexed="64"/>
      </bottom>
      <diagonal/>
    </border>
    <border>
      <left style="thin">
        <color auto="1"/>
      </left>
      <right style="medium">
        <color indexed="64"/>
      </right>
      <top style="hair">
        <color indexed="64"/>
      </top>
      <bottom style="thin">
        <color indexed="64"/>
      </bottom>
      <diagonal/>
    </border>
    <border>
      <left style="medium">
        <color auto="1"/>
      </left>
      <right/>
      <top style="thin">
        <color theme="0" tint="-0.24994659260841701"/>
      </top>
      <bottom style="thin">
        <color theme="0" tint="-0.24994659260841701"/>
      </bottom>
      <diagonal/>
    </border>
    <border>
      <left style="medium">
        <color auto="1"/>
      </left>
      <right/>
      <top style="thin">
        <color theme="0" tint="-0.24994659260841701"/>
      </top>
      <bottom style="medium">
        <color indexed="64"/>
      </bottom>
      <diagonal/>
    </border>
    <border>
      <left style="medium">
        <color auto="1"/>
      </left>
      <right/>
      <top style="medium">
        <color indexed="64"/>
      </top>
      <bottom style="thin">
        <color theme="0" tint="-0.24994659260841701"/>
      </bottom>
      <diagonal/>
    </border>
    <border>
      <left/>
      <right/>
      <top style="thin">
        <color theme="0" tint="-0.24994659260841701"/>
      </top>
      <bottom style="thin">
        <color theme="0" tint="-0.24994659260841701"/>
      </bottom>
      <diagonal/>
    </border>
    <border>
      <left/>
      <right style="medium">
        <color auto="1"/>
      </right>
      <top style="thin">
        <color theme="0" tint="-0.24994659260841701"/>
      </top>
      <bottom style="thin">
        <color theme="0" tint="-0.24994659260841701"/>
      </bottom>
      <diagonal/>
    </border>
    <border>
      <left/>
      <right/>
      <top style="thin">
        <color theme="0" tint="-0.24994659260841701"/>
      </top>
      <bottom style="medium">
        <color auto="1"/>
      </bottom>
      <diagonal/>
    </border>
    <border>
      <left/>
      <right style="medium">
        <color auto="1"/>
      </right>
      <top style="thin">
        <color theme="0" tint="-0.24994659260841701"/>
      </top>
      <bottom style="medium">
        <color auto="1"/>
      </bottom>
      <diagonal/>
    </border>
    <border>
      <left style="medium">
        <color auto="1"/>
      </left>
      <right/>
      <top style="thin">
        <color theme="0" tint="-0.24994659260841701"/>
      </top>
      <bottom/>
      <diagonal/>
    </border>
    <border>
      <left/>
      <right/>
      <top style="thin">
        <color theme="0" tint="-0.24994659260841701"/>
      </top>
      <bottom/>
      <diagonal/>
    </border>
    <border>
      <left/>
      <right style="medium">
        <color auto="1"/>
      </right>
      <top style="thin">
        <color theme="0" tint="-0.24994659260841701"/>
      </top>
      <bottom/>
      <diagonal/>
    </border>
    <border>
      <left style="medium">
        <color auto="1"/>
      </left>
      <right/>
      <top/>
      <bottom style="thin">
        <color theme="0" tint="-0.24994659260841701"/>
      </bottom>
      <diagonal/>
    </border>
    <border>
      <left style="medium">
        <color indexed="64"/>
      </left>
      <right style="medium">
        <color indexed="64"/>
      </right>
      <top style="hair">
        <color indexed="64"/>
      </top>
      <bottom/>
      <diagonal/>
    </border>
    <border>
      <left style="hair">
        <color auto="1"/>
      </left>
      <right style="medium">
        <color auto="1"/>
      </right>
      <top style="hair">
        <color auto="1"/>
      </top>
      <bottom/>
      <diagonal/>
    </border>
    <border>
      <left style="medium">
        <color indexed="64"/>
      </left>
      <right/>
      <top/>
      <bottom style="thin">
        <color indexed="64"/>
      </bottom>
      <diagonal/>
    </border>
    <border>
      <left style="medium">
        <color auto="1"/>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medium">
        <color indexed="64"/>
      </right>
      <top style="thin">
        <color indexed="64"/>
      </top>
      <bottom style="thin">
        <color indexed="64"/>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style="medium">
        <color indexed="64"/>
      </left>
      <right style="hair">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auto="1"/>
      </left>
      <right style="thin">
        <color auto="1"/>
      </right>
      <top/>
      <bottom style="thin">
        <color auto="1"/>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style="medium">
        <color indexed="64"/>
      </right>
      <top/>
      <bottom style="thin">
        <color indexed="64"/>
      </bottom>
      <diagonal/>
    </border>
    <border>
      <left style="medium">
        <color auto="1"/>
      </left>
      <right/>
      <top style="thin">
        <color indexed="22"/>
      </top>
      <bottom style="thin">
        <color indexed="22"/>
      </bottom>
      <diagonal/>
    </border>
    <border>
      <left style="medium">
        <color auto="1"/>
      </left>
      <right style="medium">
        <color auto="1"/>
      </right>
      <top style="thin">
        <color indexed="22"/>
      </top>
      <bottom style="thin">
        <color indexed="22"/>
      </bottom>
      <diagonal/>
    </border>
    <border>
      <left style="medium">
        <color auto="1"/>
      </left>
      <right/>
      <top style="thin">
        <color indexed="22"/>
      </top>
      <bottom/>
      <diagonal/>
    </border>
    <border>
      <left style="medium">
        <color auto="1"/>
      </left>
      <right style="medium">
        <color auto="1"/>
      </right>
      <top style="thin">
        <color indexed="22"/>
      </top>
      <bottom/>
      <diagonal/>
    </border>
    <border>
      <left style="medium">
        <color auto="1"/>
      </left>
      <right/>
      <top style="thin">
        <color indexed="22"/>
      </top>
      <bottom style="medium">
        <color auto="1"/>
      </bottom>
      <diagonal/>
    </border>
    <border>
      <left style="medium">
        <color auto="1"/>
      </left>
      <right style="medium">
        <color auto="1"/>
      </right>
      <top style="thin">
        <color indexed="22"/>
      </top>
      <bottom style="medium">
        <color auto="1"/>
      </bottom>
      <diagonal/>
    </border>
    <border>
      <left/>
      <right/>
      <top style="thin">
        <color indexed="64"/>
      </top>
      <bottom/>
      <diagonal/>
    </border>
    <border>
      <left/>
      <right style="medium">
        <color indexed="64"/>
      </right>
      <top style="thin">
        <color indexed="64"/>
      </top>
      <bottom/>
      <diagonal/>
    </border>
    <border>
      <left style="medium">
        <color auto="1"/>
      </left>
      <right style="medium">
        <color auto="1"/>
      </right>
      <top style="medium">
        <color indexed="64"/>
      </top>
      <bottom style="thin">
        <color indexed="22"/>
      </bottom>
      <diagonal/>
    </border>
    <border>
      <left style="thin">
        <color auto="1"/>
      </left>
      <right style="thin">
        <color auto="1"/>
      </right>
      <top style="medium">
        <color auto="1"/>
      </top>
      <bottom style="thin">
        <color auto="1"/>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auto="1"/>
      </left>
      <right style="thin">
        <color auto="1"/>
      </right>
      <top style="medium">
        <color auto="1"/>
      </top>
      <bottom style="thin">
        <color auto="1"/>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hair">
        <color auto="1"/>
      </right>
      <top style="medium">
        <color auto="1"/>
      </top>
      <bottom style="thin">
        <color auto="1"/>
      </bottom>
      <diagonal/>
    </border>
    <border>
      <left style="thin">
        <color auto="1"/>
      </left>
      <right style="thin">
        <color auto="1"/>
      </right>
      <top style="thin">
        <color auto="1"/>
      </top>
      <bottom/>
      <diagonal/>
    </border>
    <border>
      <left style="medium">
        <color indexed="64"/>
      </left>
      <right/>
      <top/>
      <bottom style="thin">
        <color indexed="22"/>
      </bottom>
      <diagonal/>
    </border>
    <border>
      <left style="medium">
        <color auto="1"/>
      </left>
      <right style="medium">
        <color auto="1"/>
      </right>
      <top/>
      <bottom style="thin">
        <color indexed="22"/>
      </bottom>
      <diagonal/>
    </border>
    <border>
      <left/>
      <right style="medium">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style="thin">
        <color indexed="64"/>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style="medium">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auto="1"/>
      </left>
      <right style="medium">
        <color indexed="64"/>
      </right>
      <top/>
      <bottom style="thin">
        <color auto="1"/>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right style="hair">
        <color auto="1"/>
      </right>
      <top style="thin">
        <color auto="1"/>
      </top>
      <bottom style="thin">
        <color auto="1"/>
      </bottom>
      <diagonal/>
    </border>
  </borders>
  <cellStyleXfs count="128">
    <xf numFmtId="0" fontId="0" fillId="0" borderId="0"/>
    <xf numFmtId="9" fontId="1" fillId="0" borderId="0" applyFont="0" applyFill="0" applyBorder="0" applyAlignment="0" applyProtection="0"/>
    <xf numFmtId="164" fontId="1"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applyAlignment="0"/>
    <xf numFmtId="0" fontId="21" fillId="0" borderId="0"/>
    <xf numFmtId="165" fontId="1" fillId="0" borderId="0" applyFont="0" applyFill="0" applyBorder="0" applyAlignment="0" applyProtection="0"/>
    <xf numFmtId="0" fontId="50" fillId="0" borderId="0"/>
    <xf numFmtId="38" fontId="51" fillId="0" borderId="0" applyFont="0" applyFill="0" applyBorder="0" applyAlignment="0" applyProtection="0"/>
    <xf numFmtId="6" fontId="51" fillId="0" borderId="0" applyFont="0" applyFill="0" applyBorder="0" applyAlignment="0" applyProtection="0"/>
    <xf numFmtId="0" fontId="52" fillId="34" borderId="147" applyNumberFormat="0" applyFont="0" applyAlignment="0" applyProtection="0"/>
    <xf numFmtId="0" fontId="52" fillId="27" borderId="0" applyNumberFormat="0" applyBorder="0" applyAlignment="0" applyProtection="0"/>
    <xf numFmtId="0" fontId="52" fillId="28" borderId="0" applyNumberFormat="0" applyBorder="0" applyAlignment="0" applyProtection="0"/>
    <xf numFmtId="0" fontId="52" fillId="29" borderId="0" applyNumberFormat="0" applyBorder="0" applyAlignment="0" applyProtection="0"/>
    <xf numFmtId="0" fontId="52" fillId="30" borderId="0" applyNumberFormat="0" applyBorder="0" applyAlignment="0" applyProtection="0"/>
    <xf numFmtId="0" fontId="52" fillId="31" borderId="0" applyNumberFormat="0" applyBorder="0" applyAlignment="0" applyProtection="0"/>
    <xf numFmtId="0" fontId="52" fillId="32" borderId="0" applyNumberFormat="0" applyBorder="0" applyAlignment="0" applyProtection="0"/>
    <xf numFmtId="0" fontId="52" fillId="27" borderId="0" applyNumberFormat="0" applyBorder="0" applyAlignment="0" applyProtection="0"/>
    <xf numFmtId="0" fontId="52" fillId="33" borderId="0" applyNumberFormat="0" applyBorder="0" applyAlignment="0" applyProtection="0"/>
    <xf numFmtId="0" fontId="52" fillId="28" borderId="0" applyNumberFormat="0" applyBorder="0" applyAlignment="0" applyProtection="0"/>
    <xf numFmtId="0" fontId="52" fillId="32" borderId="0" applyNumberFormat="0" applyBorder="0" applyAlignment="0" applyProtection="0"/>
    <xf numFmtId="0" fontId="52" fillId="29" borderId="0" applyNumberFormat="0" applyBorder="0" applyAlignment="0" applyProtection="0"/>
    <xf numFmtId="0" fontId="52" fillId="34" borderId="0" applyNumberFormat="0" applyBorder="0" applyAlignment="0" applyProtection="0"/>
    <xf numFmtId="0" fontId="52" fillId="30" borderId="0" applyNumberFormat="0" applyBorder="0" applyAlignment="0" applyProtection="0"/>
    <xf numFmtId="0" fontId="52" fillId="33" borderId="0" applyNumberFormat="0" applyBorder="0" applyAlignment="0" applyProtection="0"/>
    <xf numFmtId="0" fontId="52" fillId="31" borderId="0" applyNumberFormat="0" applyBorder="0" applyAlignment="0" applyProtection="0"/>
    <xf numFmtId="0" fontId="52" fillId="32" borderId="0" applyNumberFormat="0" applyBorder="0" applyAlignment="0" applyProtection="0"/>
    <xf numFmtId="0" fontId="52" fillId="35" borderId="0" applyNumberFormat="0" applyBorder="0" applyAlignment="0" applyProtection="0"/>
    <xf numFmtId="0" fontId="52" fillId="36" borderId="0" applyNumberFormat="0" applyBorder="0" applyAlignment="0" applyProtection="0"/>
    <xf numFmtId="0" fontId="52" fillId="37" borderId="0" applyNumberFormat="0" applyBorder="0" applyAlignment="0" applyProtection="0"/>
    <xf numFmtId="0" fontId="52" fillId="30" borderId="0" applyNumberFormat="0" applyBorder="0" applyAlignment="0" applyProtection="0"/>
    <xf numFmtId="0" fontId="52" fillId="35" borderId="0" applyNumberFormat="0" applyBorder="0" applyAlignment="0" applyProtection="0"/>
    <xf numFmtId="0" fontId="52" fillId="38" borderId="0" applyNumberFormat="0" applyBorder="0" applyAlignment="0" applyProtection="0"/>
    <xf numFmtId="0" fontId="52" fillId="35" borderId="0" applyNumberFormat="0" applyBorder="0" applyAlignment="0" applyProtection="0"/>
    <xf numFmtId="0" fontId="52" fillId="39" borderId="0" applyNumberFormat="0" applyBorder="0" applyAlignment="0" applyProtection="0"/>
    <xf numFmtId="0" fontId="52" fillId="36" borderId="0" applyNumberFormat="0" applyBorder="0" applyAlignment="0" applyProtection="0"/>
    <xf numFmtId="0" fontId="52" fillId="37" borderId="0" applyNumberFormat="0" applyBorder="0" applyAlignment="0" applyProtection="0"/>
    <xf numFmtId="0" fontId="52" fillId="40" borderId="0" applyNumberFormat="0" applyBorder="0" applyAlignment="0" applyProtection="0"/>
    <xf numFmtId="0" fontId="52" fillId="30" borderId="0" applyNumberFormat="0" applyBorder="0" applyAlignment="0" applyProtection="0"/>
    <xf numFmtId="0" fontId="52" fillId="39" borderId="0" applyNumberFormat="0" applyBorder="0" applyAlignment="0" applyProtection="0"/>
    <xf numFmtId="0" fontId="52" fillId="35" borderId="0" applyNumberFormat="0" applyBorder="0" applyAlignment="0" applyProtection="0"/>
    <xf numFmtId="0" fontId="52" fillId="38" borderId="0" applyNumberFormat="0" applyBorder="0" applyAlignment="0" applyProtection="0"/>
    <xf numFmtId="0" fontId="52" fillId="32" borderId="0" applyNumberFormat="0" applyBorder="0" applyAlignment="0" applyProtection="0"/>
    <xf numFmtId="0" fontId="53" fillId="41" borderId="0" applyNumberFormat="0" applyBorder="0" applyAlignment="0" applyProtection="0"/>
    <xf numFmtId="0" fontId="53" fillId="36" borderId="0" applyNumberFormat="0" applyBorder="0" applyAlignment="0" applyProtection="0"/>
    <xf numFmtId="0" fontId="53" fillId="37"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4" borderId="0" applyNumberFormat="0" applyBorder="0" applyAlignment="0" applyProtection="0"/>
    <xf numFmtId="0" fontId="53" fillId="41" borderId="0" applyNumberFormat="0" applyBorder="0" applyAlignment="0" applyProtection="0"/>
    <xf numFmtId="0" fontId="53" fillId="43" borderId="0" applyNumberFormat="0" applyBorder="0" applyAlignment="0" applyProtection="0"/>
    <xf numFmtId="0" fontId="53" fillId="36" borderId="0" applyNumberFormat="0" applyBorder="0" applyAlignment="0" applyProtection="0"/>
    <xf numFmtId="0" fontId="53" fillId="37" borderId="0" applyNumberFormat="0" applyBorder="0" applyAlignment="0" applyProtection="0"/>
    <xf numFmtId="0" fontId="53" fillId="40" borderId="0" applyNumberFormat="0" applyBorder="0" applyAlignment="0" applyProtection="0"/>
    <xf numFmtId="0" fontId="53" fillId="42"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4" borderId="0" applyNumberFormat="0" applyBorder="0" applyAlignment="0" applyProtection="0"/>
    <xf numFmtId="0" fontId="53" fillId="32" borderId="0" applyNumberFormat="0" applyBorder="0" applyAlignment="0" applyProtection="0"/>
    <xf numFmtId="0" fontId="53" fillId="45"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8" borderId="0" applyNumberFormat="0" applyBorder="0" applyAlignment="0" applyProtection="0"/>
    <xf numFmtId="0" fontId="54" fillId="28" borderId="0" applyNumberFormat="0" applyBorder="0" applyAlignment="0" applyProtection="0"/>
    <xf numFmtId="0" fontId="55" fillId="33" borderId="136" applyNumberFormat="0" applyAlignment="0" applyProtection="0"/>
    <xf numFmtId="0" fontId="53" fillId="45"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42" borderId="0" applyNumberFormat="0" applyBorder="0" applyAlignment="0" applyProtection="0"/>
    <xf numFmtId="0" fontId="53" fillId="49" borderId="0" applyNumberFormat="0" applyBorder="0" applyAlignment="0" applyProtection="0"/>
    <xf numFmtId="0" fontId="53" fillId="43" borderId="0" applyNumberFormat="0" applyBorder="0" applyAlignment="0" applyProtection="0"/>
    <xf numFmtId="0" fontId="53" fillId="48" borderId="0" applyNumberFormat="0" applyBorder="0" applyAlignment="0" applyProtection="0"/>
    <xf numFmtId="0" fontId="56" fillId="0" borderId="0" applyNumberFormat="0" applyFill="0" applyBorder="0" applyAlignment="0" applyProtection="0"/>
    <xf numFmtId="0" fontId="57" fillId="29" borderId="0" applyNumberFormat="0" applyBorder="0" applyAlignment="0" applyProtection="0"/>
    <xf numFmtId="0" fontId="58" fillId="0" borderId="137" applyNumberFormat="0" applyFill="0" applyAlignment="0" applyProtection="0"/>
    <xf numFmtId="0" fontId="59" fillId="0" borderId="138" applyNumberFormat="0" applyFill="0" applyAlignment="0" applyProtection="0"/>
    <xf numFmtId="0" fontId="60" fillId="0" borderId="139" applyNumberFormat="0" applyFill="0" applyAlignment="0" applyProtection="0"/>
    <xf numFmtId="0" fontId="60" fillId="0" borderId="0" applyNumberFormat="0" applyFill="0" applyBorder="0" applyAlignment="0" applyProtection="0"/>
    <xf numFmtId="0" fontId="61" fillId="32" borderId="136" applyNumberFormat="0" applyAlignment="0" applyProtection="0"/>
    <xf numFmtId="0" fontId="62" fillId="40" borderId="0" applyNumberFormat="0" applyBorder="0" applyAlignment="0" applyProtection="0"/>
    <xf numFmtId="0" fontId="62" fillId="40" borderId="0" applyNumberFormat="0" applyBorder="0" applyAlignment="0" applyProtection="0"/>
    <xf numFmtId="0" fontId="52" fillId="0" borderId="0"/>
    <xf numFmtId="0" fontId="52" fillId="34" borderId="140" applyNumberFormat="0" applyFont="0" applyAlignment="0" applyProtection="0"/>
    <xf numFmtId="0" fontId="63" fillId="39" borderId="141" applyNumberFormat="0" applyAlignment="0" applyProtection="0"/>
    <xf numFmtId="0" fontId="63" fillId="33" borderId="141" applyNumberFormat="0" applyAlignment="0" applyProtection="0"/>
    <xf numFmtId="0" fontId="56"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58" fillId="0" borderId="137" applyNumberFormat="0" applyFill="0" applyAlignment="0" applyProtection="0"/>
    <xf numFmtId="0" fontId="65" fillId="0" borderId="142" applyNumberFormat="0" applyFill="0" applyAlignment="0" applyProtection="0"/>
    <xf numFmtId="0" fontId="59" fillId="0" borderId="138" applyNumberFormat="0" applyFill="0" applyAlignment="0" applyProtection="0"/>
    <xf numFmtId="0" fontId="66" fillId="0" borderId="138" applyNumberFormat="0" applyFill="0" applyAlignment="0" applyProtection="0"/>
    <xf numFmtId="0" fontId="60" fillId="0" borderId="139" applyNumberFormat="0" applyFill="0" applyAlignment="0" applyProtection="0"/>
    <xf numFmtId="0" fontId="67" fillId="0" borderId="143" applyNumberFormat="0" applyFill="0" applyAlignment="0" applyProtection="0"/>
    <xf numFmtId="0" fontId="60" fillId="0" borderId="0" applyNumberFormat="0" applyFill="0" applyBorder="0" applyAlignment="0" applyProtection="0"/>
    <xf numFmtId="0" fontId="67" fillId="0" borderId="0" applyNumberFormat="0" applyFill="0" applyBorder="0" applyAlignment="0" applyProtection="0"/>
    <xf numFmtId="0" fontId="68" fillId="0" borderId="0" applyNumberFormat="0" applyFill="0" applyBorder="0" applyAlignment="0" applyProtection="0"/>
    <xf numFmtId="0" fontId="69" fillId="0" borderId="144" applyNumberFormat="0" applyFill="0" applyAlignment="0" applyProtection="0"/>
    <xf numFmtId="0" fontId="69" fillId="0" borderId="144" applyNumberFormat="0" applyFill="0" applyAlignment="0" applyProtection="0"/>
    <xf numFmtId="0" fontId="69" fillId="0" borderId="145" applyNumberFormat="0" applyFill="0" applyAlignment="0" applyProtection="0"/>
    <xf numFmtId="0" fontId="54" fillId="28" borderId="0" applyNumberFormat="0" applyBorder="0" applyAlignment="0" applyProtection="0"/>
    <xf numFmtId="0" fontId="57" fillId="29" borderId="0" applyNumberFormat="0" applyBorder="0" applyAlignment="0" applyProtection="0"/>
    <xf numFmtId="0" fontId="55" fillId="33" borderId="146" applyNumberFormat="0" applyAlignment="0" applyProtection="0"/>
    <xf numFmtId="0" fontId="61" fillId="32" borderId="146" applyNumberFormat="0" applyAlignment="0" applyProtection="0"/>
    <xf numFmtId="0" fontId="63" fillId="39" borderId="148" applyNumberFormat="0" applyAlignment="0" applyProtection="0"/>
    <xf numFmtId="0" fontId="63" fillId="33" borderId="148" applyNumberFormat="0" applyAlignment="0" applyProtection="0"/>
    <xf numFmtId="0" fontId="69" fillId="0" borderId="149" applyNumberFormat="0" applyFill="0" applyAlignment="0" applyProtection="0"/>
    <xf numFmtId="0" fontId="69" fillId="0" borderId="149" applyNumberFormat="0" applyFill="0" applyAlignment="0" applyProtection="0"/>
    <xf numFmtId="0" fontId="69" fillId="0" borderId="150" applyNumberFormat="0" applyFill="0" applyAlignment="0" applyProtection="0"/>
    <xf numFmtId="165" fontId="1" fillId="0" borderId="0" applyFont="0" applyFill="0" applyBorder="0" applyAlignment="0" applyProtection="0"/>
    <xf numFmtId="164" fontId="1" fillId="0" borderId="0" applyFont="0" applyFill="0" applyBorder="0" applyAlignment="0" applyProtection="0"/>
    <xf numFmtId="0" fontId="87" fillId="0" borderId="0"/>
    <xf numFmtId="0" fontId="88" fillId="0" borderId="0"/>
    <xf numFmtId="0" fontId="90" fillId="0" borderId="0"/>
    <xf numFmtId="0" fontId="89" fillId="0" borderId="0">
      <alignment vertical="top"/>
    </xf>
    <xf numFmtId="0" fontId="90" fillId="0" borderId="0"/>
    <xf numFmtId="0" fontId="91" fillId="0" borderId="0"/>
    <xf numFmtId="0" fontId="91" fillId="0" borderId="0"/>
    <xf numFmtId="0" fontId="91" fillId="0" borderId="0"/>
    <xf numFmtId="0" fontId="92" fillId="0" borderId="0"/>
    <xf numFmtId="0" fontId="90" fillId="0" borderId="0"/>
    <xf numFmtId="0" fontId="91" fillId="0" borderId="0"/>
    <xf numFmtId="0" fontId="91" fillId="0" borderId="0"/>
  </cellStyleXfs>
  <cellXfs count="1888">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horizontal="center" vertical="center"/>
    </xf>
    <xf numFmtId="12" fontId="0" fillId="0" borderId="0" xfId="0" applyNumberFormat="1" applyAlignment="1">
      <alignment horizontal="center" vertical="center" wrapText="1"/>
    </xf>
    <xf numFmtId="0" fontId="0" fillId="0" borderId="0" xfId="0" applyAlignment="1">
      <alignment horizontal="center" vertical="center" wrapText="1"/>
    </xf>
    <xf numFmtId="2" fontId="0" fillId="0" borderId="0" xfId="0" applyNumberFormat="1"/>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12" fontId="0" fillId="0" borderId="12" xfId="0" applyNumberFormat="1" applyBorder="1" applyAlignment="1">
      <alignment horizontal="center" vertical="center" wrapText="1"/>
    </xf>
    <xf numFmtId="0" fontId="0" fillId="0" borderId="13" xfId="0" applyBorder="1" applyAlignment="1">
      <alignment horizontal="center" vertical="center"/>
    </xf>
    <xf numFmtId="12" fontId="0" fillId="0" borderId="14" xfId="0" applyNumberFormat="1" applyBorder="1" applyAlignment="1">
      <alignment horizontal="center" vertical="center" wrapText="1"/>
    </xf>
    <xf numFmtId="0" fontId="0" fillId="0" borderId="15" xfId="0" applyBorder="1" applyAlignment="1">
      <alignment horizontal="center" vertical="center"/>
    </xf>
    <xf numFmtId="12" fontId="0" fillId="0" borderId="16" xfId="0" applyNumberFormat="1" applyBorder="1" applyAlignment="1">
      <alignment horizontal="center" vertical="center" wrapText="1"/>
    </xf>
    <xf numFmtId="0" fontId="0" fillId="0" borderId="17" xfId="0" applyBorder="1" applyAlignment="1">
      <alignment horizontal="center" vertical="center"/>
    </xf>
    <xf numFmtId="0" fontId="5" fillId="2" borderId="21" xfId="0" applyFont="1" applyFill="1" applyBorder="1" applyAlignment="1">
      <alignment horizontal="right" vertical="center" indent="1"/>
    </xf>
    <xf numFmtId="0" fontId="7" fillId="2" borderId="27" xfId="0" applyFont="1" applyFill="1" applyBorder="1" applyAlignment="1">
      <alignment horizontal="right" vertical="center" indent="1"/>
    </xf>
    <xf numFmtId="0" fontId="7" fillId="2" borderId="19" xfId="0" applyFont="1" applyFill="1" applyBorder="1" applyAlignment="1">
      <alignment vertical="center" wrapText="1"/>
    </xf>
    <xf numFmtId="0" fontId="8" fillId="2" borderId="22" xfId="0" applyFont="1" applyFill="1" applyBorder="1" applyAlignment="1">
      <alignment horizontal="center" vertical="center" wrapText="1"/>
    </xf>
    <xf numFmtId="0" fontId="8" fillId="2" borderId="23" xfId="0" applyFont="1" applyFill="1" applyBorder="1" applyAlignment="1">
      <alignment vertical="center" wrapText="1"/>
    </xf>
    <xf numFmtId="0" fontId="8" fillId="2" borderId="19" xfId="0" applyFont="1" applyFill="1" applyBorder="1" applyAlignment="1">
      <alignment vertical="center" wrapText="1"/>
    </xf>
    <xf numFmtId="164" fontId="8" fillId="2" borderId="28" xfId="2" applyFont="1" applyFill="1" applyBorder="1" applyAlignment="1" applyProtection="1">
      <alignment vertical="center" wrapText="1"/>
    </xf>
    <xf numFmtId="0" fontId="7" fillId="2" borderId="29" xfId="0" applyFont="1" applyFill="1" applyBorder="1" applyAlignment="1">
      <alignment horizontal="right" vertical="center" indent="1"/>
    </xf>
    <xf numFmtId="0" fontId="7" fillId="2" borderId="30" xfId="0" applyFont="1" applyFill="1" applyBorder="1" applyAlignment="1">
      <alignment vertical="center" wrapText="1"/>
    </xf>
    <xf numFmtId="0" fontId="8" fillId="2" borderId="15" xfId="0" applyFont="1" applyFill="1" applyBorder="1" applyAlignment="1">
      <alignment horizontal="center" vertical="center" wrapText="1"/>
    </xf>
    <xf numFmtId="0" fontId="8" fillId="2" borderId="35" xfId="0" applyFont="1" applyFill="1" applyBorder="1" applyAlignment="1">
      <alignment vertical="center" wrapText="1"/>
    </xf>
    <xf numFmtId="0" fontId="8" fillId="2" borderId="30" xfId="0" applyFont="1" applyFill="1" applyBorder="1" applyAlignment="1">
      <alignment vertical="center" wrapText="1"/>
    </xf>
    <xf numFmtId="164" fontId="8" fillId="2" borderId="36" xfId="2" applyFont="1" applyFill="1" applyBorder="1" applyAlignment="1" applyProtection="1">
      <alignment vertical="center" wrapText="1"/>
    </xf>
    <xf numFmtId="164" fontId="8" fillId="2" borderId="20" xfId="2" applyFont="1" applyFill="1" applyBorder="1" applyAlignment="1" applyProtection="1">
      <alignment vertical="center" wrapText="1"/>
    </xf>
    <xf numFmtId="0" fontId="7" fillId="2" borderId="39" xfId="0" applyFont="1" applyFill="1" applyBorder="1" applyAlignment="1">
      <alignment horizontal="right" vertical="center" indent="1"/>
    </xf>
    <xf numFmtId="0" fontId="9" fillId="2" borderId="40" xfId="0" applyFont="1" applyFill="1" applyBorder="1" applyAlignment="1">
      <alignment horizontal="left" vertical="center" wrapText="1" indent="2"/>
    </xf>
    <xf numFmtId="0" fontId="8" fillId="2" borderId="41" xfId="0" applyFont="1" applyFill="1" applyBorder="1" applyAlignment="1">
      <alignment vertical="center" wrapText="1"/>
    </xf>
    <xf numFmtId="0" fontId="8" fillId="2" borderId="40" xfId="0" applyFont="1" applyFill="1" applyBorder="1" applyAlignment="1">
      <alignment vertical="center" wrapText="1"/>
    </xf>
    <xf numFmtId="164" fontId="8" fillId="2" borderId="43" xfId="2" applyFont="1" applyFill="1" applyBorder="1" applyAlignment="1" applyProtection="1">
      <alignment vertical="center" wrapText="1"/>
    </xf>
    <xf numFmtId="0" fontId="7" fillId="2" borderId="31" xfId="0" applyFont="1" applyFill="1" applyBorder="1" applyAlignment="1">
      <alignment horizontal="right" vertical="center" indent="1"/>
    </xf>
    <xf numFmtId="0" fontId="7" fillId="2" borderId="32" xfId="0" applyFont="1" applyFill="1" applyBorder="1" applyAlignment="1">
      <alignment vertical="center" wrapText="1"/>
    </xf>
    <xf numFmtId="0" fontId="8" fillId="2" borderId="24" xfId="0" applyFont="1" applyFill="1" applyBorder="1" applyAlignment="1">
      <alignment horizontal="center" vertical="center" wrapText="1"/>
    </xf>
    <xf numFmtId="0" fontId="8" fillId="2" borderId="37" xfId="0" applyFont="1" applyFill="1" applyBorder="1" applyAlignment="1">
      <alignment vertical="center" wrapText="1"/>
    </xf>
    <xf numFmtId="0" fontId="8" fillId="2" borderId="32" xfId="0" applyFont="1" applyFill="1" applyBorder="1" applyAlignment="1">
      <alignment vertical="center" wrapText="1"/>
    </xf>
    <xf numFmtId="164" fontId="8" fillId="2" borderId="33" xfId="2" applyFont="1" applyFill="1" applyBorder="1" applyAlignment="1" applyProtection="1">
      <alignment vertical="center" wrapText="1"/>
    </xf>
    <xf numFmtId="0" fontId="10" fillId="0" borderId="0" xfId="0" applyFont="1"/>
    <xf numFmtId="167" fontId="10" fillId="0" borderId="0" xfId="3" applyFont="1"/>
    <xf numFmtId="12" fontId="7" fillId="2" borderId="30" xfId="0" applyNumberFormat="1" applyFont="1" applyFill="1" applyBorder="1" applyAlignment="1">
      <alignment horizontal="left" vertical="center" wrapText="1"/>
    </xf>
    <xf numFmtId="0" fontId="8" fillId="2" borderId="34" xfId="2" applyNumberFormat="1" applyFont="1" applyFill="1" applyBorder="1" applyAlignment="1" applyProtection="1">
      <alignment horizontal="center" vertical="center" wrapText="1"/>
    </xf>
    <xf numFmtId="0" fontId="8" fillId="2" borderId="36" xfId="2" applyNumberFormat="1" applyFont="1" applyFill="1" applyBorder="1" applyAlignment="1" applyProtection="1">
      <alignment horizontal="center" vertical="center" wrapText="1"/>
    </xf>
    <xf numFmtId="2" fontId="0" fillId="0" borderId="13" xfId="0" applyNumberFormat="1" applyBorder="1" applyAlignment="1">
      <alignment horizontal="center" vertical="center"/>
    </xf>
    <xf numFmtId="2" fontId="0" fillId="0" borderId="15" xfId="0" applyNumberFormat="1" applyBorder="1" applyAlignment="1">
      <alignment horizontal="center" vertical="center"/>
    </xf>
    <xf numFmtId="2" fontId="0" fillId="0" borderId="17" xfId="0" applyNumberFormat="1" applyBorder="1" applyAlignment="1">
      <alignment horizontal="center" vertical="center"/>
    </xf>
    <xf numFmtId="1" fontId="8" fillId="0" borderId="22" xfId="0" applyNumberFormat="1" applyFont="1" applyBorder="1" applyAlignment="1">
      <alignment horizontal="center" vertical="center" wrapText="1"/>
    </xf>
    <xf numFmtId="1" fontId="8" fillId="0" borderId="15" xfId="0" applyNumberFormat="1" applyFont="1" applyBorder="1" applyAlignment="1">
      <alignment horizontal="center" vertical="center" wrapText="1"/>
    </xf>
    <xf numFmtId="0" fontId="0" fillId="2" borderId="0" xfId="0" applyFill="1"/>
    <xf numFmtId="164" fontId="8" fillId="2" borderId="36" xfId="2" applyFont="1" applyFill="1" applyBorder="1" applyAlignment="1" applyProtection="1">
      <alignment vertical="center" wrapText="1"/>
      <protection locked="0"/>
    </xf>
    <xf numFmtId="164" fontId="8" fillId="2" borderId="34" xfId="2" applyFont="1" applyFill="1" applyBorder="1" applyAlignment="1" applyProtection="1">
      <alignment vertical="center" wrapText="1"/>
      <protection locked="0"/>
    </xf>
    <xf numFmtId="0" fontId="12" fillId="0" borderId="68" xfId="0" applyFont="1" applyBorder="1" applyAlignment="1">
      <alignment horizontal="center" vertical="center" wrapText="1"/>
    </xf>
    <xf numFmtId="0" fontId="12" fillId="0" borderId="69" xfId="0" applyFont="1" applyBorder="1" applyAlignment="1">
      <alignment horizontal="center" vertical="center" wrapText="1"/>
    </xf>
    <xf numFmtId="0" fontId="12" fillId="0" borderId="70" xfId="0" applyFont="1" applyBorder="1" applyAlignment="1">
      <alignment horizontal="center" vertical="center" wrapText="1"/>
    </xf>
    <xf numFmtId="4" fontId="12" fillId="0" borderId="75" xfId="0" applyNumberFormat="1" applyFont="1" applyBorder="1"/>
    <xf numFmtId="4" fontId="12" fillId="0" borderId="76" xfId="0" applyNumberFormat="1" applyFont="1" applyBorder="1"/>
    <xf numFmtId="4" fontId="12" fillId="0" borderId="77" xfId="0" applyNumberFormat="1" applyFont="1" applyBorder="1"/>
    <xf numFmtId="0" fontId="12" fillId="0" borderId="78" xfId="0" applyFont="1" applyBorder="1" applyAlignment="1">
      <alignment horizontal="center" vertical="center" wrapText="1"/>
    </xf>
    <xf numFmtId="0" fontId="12" fillId="0" borderId="29" xfId="0" applyFont="1" applyBorder="1" applyAlignment="1">
      <alignment horizontal="center" vertical="center" wrapText="1"/>
    </xf>
    <xf numFmtId="0" fontId="12" fillId="0" borderId="44" xfId="0" applyFont="1" applyBorder="1" applyAlignment="1">
      <alignment horizontal="center" vertical="center" wrapText="1"/>
    </xf>
    <xf numFmtId="0" fontId="12" fillId="0" borderId="46" xfId="0" applyFont="1" applyBorder="1" applyAlignment="1">
      <alignment horizontal="center" vertical="center" wrapText="1"/>
    </xf>
    <xf numFmtId="0" fontId="12" fillId="2" borderId="48" xfId="0" applyFont="1" applyFill="1" applyBorder="1" applyAlignment="1">
      <alignment horizontal="center" vertical="center" wrapText="1"/>
    </xf>
    <xf numFmtId="0" fontId="12" fillId="2" borderId="49" xfId="0" applyFont="1" applyFill="1" applyBorder="1" applyAlignment="1">
      <alignment horizontal="center" vertical="center" wrapText="1"/>
    </xf>
    <xf numFmtId="0" fontId="12" fillId="2" borderId="52" xfId="0" applyFont="1" applyFill="1" applyBorder="1" applyAlignment="1">
      <alignment horizontal="center" vertical="center" wrapText="1"/>
    </xf>
    <xf numFmtId="0" fontId="12" fillId="2" borderId="53" xfId="0" applyFont="1" applyFill="1" applyBorder="1" applyAlignment="1">
      <alignment horizontal="center" vertical="center" wrapText="1"/>
    </xf>
    <xf numFmtId="0" fontId="12" fillId="2" borderId="0" xfId="0" applyFont="1" applyFill="1" applyAlignment="1">
      <alignment horizontal="center" vertical="center" wrapText="1"/>
    </xf>
    <xf numFmtId="0" fontId="12" fillId="2" borderId="56" xfId="0" applyFont="1" applyFill="1" applyBorder="1" applyAlignment="1">
      <alignment horizontal="center" vertical="center" wrapText="1"/>
    </xf>
    <xf numFmtId="0" fontId="12" fillId="2" borderId="56" xfId="0" applyFont="1" applyFill="1" applyBorder="1" applyAlignment="1">
      <alignment horizontal="center"/>
    </xf>
    <xf numFmtId="0" fontId="12" fillId="0" borderId="47" xfId="0" applyFont="1" applyBorder="1" applyAlignment="1">
      <alignment horizontal="center" vertical="center" wrapText="1"/>
    </xf>
    <xf numFmtId="0" fontId="12" fillId="0" borderId="26" xfId="0" applyFont="1" applyBorder="1" applyAlignment="1">
      <alignment horizontal="center" vertical="center" wrapText="1"/>
    </xf>
    <xf numFmtId="0" fontId="12" fillId="0" borderId="79" xfId="0" applyFont="1" applyBorder="1" applyAlignment="1">
      <alignment horizontal="center" vertical="center" wrapText="1"/>
    </xf>
    <xf numFmtId="0" fontId="12" fillId="0" borderId="80" xfId="0" applyFont="1" applyBorder="1" applyAlignment="1">
      <alignment horizontal="center" vertical="center" wrapText="1"/>
    </xf>
    <xf numFmtId="0" fontId="12" fillId="2" borderId="25" xfId="0" applyFont="1" applyFill="1" applyBorder="1" applyAlignment="1">
      <alignment horizontal="center" vertical="center" wrapText="1"/>
    </xf>
    <xf numFmtId="0" fontId="12" fillId="2" borderId="46" xfId="0" applyFont="1" applyFill="1" applyBorder="1" applyAlignment="1">
      <alignment horizontal="center" vertical="center" wrapText="1"/>
    </xf>
    <xf numFmtId="0" fontId="12" fillId="2" borderId="46" xfId="0" applyFont="1" applyFill="1" applyBorder="1" applyAlignment="1">
      <alignment horizontal="center"/>
    </xf>
    <xf numFmtId="0" fontId="12" fillId="2" borderId="46" xfId="0" applyFont="1" applyFill="1" applyBorder="1"/>
    <xf numFmtId="4" fontId="12" fillId="2" borderId="46" xfId="0" applyNumberFormat="1" applyFont="1" applyFill="1" applyBorder="1"/>
    <xf numFmtId="0" fontId="0" fillId="2" borderId="47" xfId="0" applyFill="1" applyBorder="1"/>
    <xf numFmtId="12" fontId="0" fillId="0" borderId="0" xfId="0" applyNumberFormat="1" applyAlignment="1">
      <alignment horizontal="center" vertical="center"/>
    </xf>
    <xf numFmtId="0" fontId="0" fillId="0" borderId="74" xfId="0" applyBorder="1" applyAlignment="1">
      <alignment horizontal="center" vertical="center" wrapText="1"/>
    </xf>
    <xf numFmtId="0" fontId="0" fillId="0" borderId="14" xfId="0" applyBorder="1" applyAlignment="1">
      <alignment horizontal="center" vertical="center"/>
    </xf>
    <xf numFmtId="166" fontId="0" fillId="0" borderId="15" xfId="0" applyNumberFormat="1" applyBorder="1" applyAlignment="1">
      <alignment horizontal="center" vertical="center"/>
    </xf>
    <xf numFmtId="166" fontId="0" fillId="0" borderId="76" xfId="0" applyNumberFormat="1" applyBorder="1" applyAlignment="1">
      <alignment horizontal="center" vertical="center"/>
    </xf>
    <xf numFmtId="0" fontId="0" fillId="0" borderId="16" xfId="0" applyBorder="1" applyAlignment="1">
      <alignment horizontal="center" vertical="center"/>
    </xf>
    <xf numFmtId="166" fontId="0" fillId="0" borderId="17" xfId="0" applyNumberFormat="1" applyBorder="1" applyAlignment="1">
      <alignment horizontal="center" vertical="center"/>
    </xf>
    <xf numFmtId="166" fontId="0" fillId="0" borderId="77" xfId="0" applyNumberFormat="1" applyBorder="1" applyAlignment="1">
      <alignment horizontal="center" vertical="center"/>
    </xf>
    <xf numFmtId="0" fontId="0" fillId="0" borderId="12" xfId="0" applyBorder="1" applyAlignment="1">
      <alignment horizontal="center" vertical="center"/>
    </xf>
    <xf numFmtId="166" fontId="0" fillId="0" borderId="13" xfId="0" applyNumberFormat="1" applyBorder="1" applyAlignment="1">
      <alignment horizontal="center" vertical="center"/>
    </xf>
    <xf numFmtId="166" fontId="0" fillId="0" borderId="88" xfId="0" applyNumberFormat="1" applyBorder="1" applyAlignment="1">
      <alignment horizontal="center" vertical="center"/>
    </xf>
    <xf numFmtId="0" fontId="0" fillId="0" borderId="77" xfId="0" applyBorder="1" applyAlignment="1">
      <alignment horizontal="center" vertical="center" wrapText="1"/>
    </xf>
    <xf numFmtId="0" fontId="0" fillId="0" borderId="89" xfId="0" applyBorder="1" applyAlignment="1">
      <alignment vertical="center" wrapText="1"/>
    </xf>
    <xf numFmtId="0" fontId="0" fillId="0" borderId="90" xfId="0" applyBorder="1" applyAlignment="1">
      <alignment horizontal="center" vertical="center"/>
    </xf>
    <xf numFmtId="0" fontId="0" fillId="0" borderId="91" xfId="0" applyBorder="1" applyAlignment="1">
      <alignment horizontal="center" vertical="center"/>
    </xf>
    <xf numFmtId="0" fontId="2" fillId="4" borderId="25" xfId="0" applyFont="1" applyFill="1" applyBorder="1" applyAlignment="1">
      <alignment horizontal="left" vertical="center"/>
    </xf>
    <xf numFmtId="0" fontId="0" fillId="4" borderId="46" xfId="0" applyFill="1" applyBorder="1"/>
    <xf numFmtId="0" fontId="0" fillId="4" borderId="47" xfId="0" applyFill="1" applyBorder="1"/>
    <xf numFmtId="0" fontId="0" fillId="0" borderId="76" xfId="0" applyBorder="1" applyAlignment="1">
      <alignment horizontal="center" vertical="center" wrapText="1"/>
    </xf>
    <xf numFmtId="0" fontId="2" fillId="4" borderId="48" xfId="0" applyFont="1" applyFill="1" applyBorder="1" applyAlignment="1">
      <alignment horizontal="left" vertical="center"/>
    </xf>
    <xf numFmtId="0" fontId="0" fillId="4" borderId="49" xfId="0" applyFill="1" applyBorder="1"/>
    <xf numFmtId="0" fontId="0" fillId="0" borderId="88" xfId="0" applyBorder="1" applyAlignment="1">
      <alignment horizontal="center" vertical="center" wrapText="1"/>
    </xf>
    <xf numFmtId="12" fontId="0" fillId="0" borderId="89" xfId="0" applyNumberFormat="1" applyBorder="1" applyAlignment="1">
      <alignment horizontal="center" vertical="center" wrapText="1"/>
    </xf>
    <xf numFmtId="12" fontId="0" fillId="0" borderId="91" xfId="0" applyNumberFormat="1" applyBorder="1" applyAlignment="1">
      <alignment horizontal="center" vertical="center" wrapText="1"/>
    </xf>
    <xf numFmtId="0" fontId="0" fillId="2" borderId="48" xfId="0" applyFill="1" applyBorder="1"/>
    <xf numFmtId="0" fontId="0" fillId="2" borderId="49" xfId="0" applyFill="1" applyBorder="1"/>
    <xf numFmtId="0" fontId="0" fillId="2" borderId="52" xfId="0" applyFill="1" applyBorder="1"/>
    <xf numFmtId="0" fontId="0" fillId="2" borderId="53" xfId="0" applyFill="1" applyBorder="1"/>
    <xf numFmtId="0" fontId="0" fillId="2" borderId="56" xfId="0" applyFill="1" applyBorder="1"/>
    <xf numFmtId="0" fontId="0" fillId="2" borderId="57" xfId="0" applyFill="1" applyBorder="1"/>
    <xf numFmtId="0" fontId="0" fillId="2" borderId="58" xfId="0" applyFill="1" applyBorder="1"/>
    <xf numFmtId="0" fontId="0" fillId="2" borderId="61" xfId="0" applyFill="1" applyBorder="1"/>
    <xf numFmtId="12" fontId="0" fillId="0" borderId="15" xfId="0" applyNumberFormat="1" applyBorder="1" applyAlignment="1">
      <alignment horizontal="center" vertical="center"/>
    </xf>
    <xf numFmtId="12" fontId="0" fillId="0" borderId="17" xfId="0" applyNumberFormat="1" applyBorder="1" applyAlignment="1">
      <alignment horizontal="center" vertical="center"/>
    </xf>
    <xf numFmtId="0" fontId="0" fillId="0" borderId="73" xfId="0" applyBorder="1" applyAlignment="1">
      <alignment horizontal="center" vertical="center"/>
    </xf>
    <xf numFmtId="2" fontId="0" fillId="0" borderId="76" xfId="0" applyNumberFormat="1" applyBorder="1" applyAlignment="1">
      <alignment horizontal="center" vertical="center"/>
    </xf>
    <xf numFmtId="2" fontId="0" fillId="0" borderId="77" xfId="0" applyNumberFormat="1" applyBorder="1" applyAlignment="1">
      <alignment horizontal="center" vertical="center"/>
    </xf>
    <xf numFmtId="12" fontId="0" fillId="0" borderId="13" xfId="0" applyNumberFormat="1" applyBorder="1" applyAlignment="1">
      <alignment horizontal="center" vertical="center"/>
    </xf>
    <xf numFmtId="0" fontId="0" fillId="0" borderId="89" xfId="0" applyBorder="1" applyAlignment="1">
      <alignment horizontal="center" vertical="center"/>
    </xf>
    <xf numFmtId="12" fontId="0" fillId="0" borderId="85" xfId="0" applyNumberFormat="1" applyBorder="1" applyAlignment="1">
      <alignment horizontal="center" vertical="center" wrapText="1"/>
    </xf>
    <xf numFmtId="12" fontId="0" fillId="0" borderId="86" xfId="0" applyNumberFormat="1" applyBorder="1" applyAlignment="1">
      <alignment horizontal="center" vertical="center" wrapText="1"/>
    </xf>
    <xf numFmtId="12" fontId="0" fillId="0" borderId="92" xfId="0" applyNumberFormat="1" applyBorder="1" applyAlignment="1">
      <alignment horizontal="center" vertical="center" wrapText="1"/>
    </xf>
    <xf numFmtId="0" fontId="0" fillId="0" borderId="90" xfId="0" applyBorder="1" applyAlignment="1">
      <alignment horizontal="center" vertical="center" wrapText="1"/>
    </xf>
    <xf numFmtId="0" fontId="0" fillId="0" borderId="91" xfId="0" applyBorder="1" applyAlignment="1">
      <alignment horizontal="center" vertical="center" wrapText="1"/>
    </xf>
    <xf numFmtId="0" fontId="17" fillId="6" borderId="25" xfId="5" applyFont="1" applyFill="1" applyBorder="1" applyAlignment="1">
      <alignment horizontal="left" vertical="center"/>
    </xf>
    <xf numFmtId="0" fontId="18" fillId="6" borderId="46" xfId="5" applyFont="1" applyFill="1" applyBorder="1" applyAlignment="1">
      <alignment horizontal="center" vertical="center"/>
    </xf>
    <xf numFmtId="0" fontId="18" fillId="6" borderId="47" xfId="5" applyFont="1" applyFill="1" applyBorder="1" applyAlignment="1">
      <alignment horizontal="center" vertical="center"/>
    </xf>
    <xf numFmtId="0" fontId="19" fillId="0" borderId="93" xfId="5" applyFont="1" applyBorder="1" applyAlignment="1">
      <alignment horizontal="center" vertical="center" wrapText="1"/>
    </xf>
    <xf numFmtId="0" fontId="20" fillId="0" borderId="90" xfId="5" applyFont="1" applyBorder="1" applyAlignment="1">
      <alignment horizontal="center" vertical="center" wrapText="1"/>
    </xf>
    <xf numFmtId="0" fontId="19" fillId="0" borderId="90" xfId="5" applyFont="1" applyBorder="1" applyAlignment="1">
      <alignment horizontal="center" vertical="center" wrapText="1"/>
    </xf>
    <xf numFmtId="0" fontId="20" fillId="0" borderId="91" xfId="5" applyFont="1" applyBorder="1" applyAlignment="1">
      <alignment horizontal="center" vertical="center" wrapText="1"/>
    </xf>
    <xf numFmtId="0" fontId="21" fillId="0" borderId="0" xfId="7"/>
    <xf numFmtId="0" fontId="11" fillId="2" borderId="53" xfId="5" applyFont="1" applyFill="1" applyBorder="1" applyAlignment="1">
      <alignment horizontal="center" vertical="center"/>
    </xf>
    <xf numFmtId="0" fontId="22" fillId="2" borderId="0" xfId="5" applyFont="1" applyFill="1" applyAlignment="1">
      <alignment horizontal="center" vertical="center" wrapText="1"/>
    </xf>
    <xf numFmtId="12" fontId="22" fillId="2" borderId="0" xfId="5" applyNumberFormat="1" applyFont="1" applyFill="1" applyAlignment="1">
      <alignment horizontal="center" vertical="center" wrapText="1"/>
    </xf>
    <xf numFmtId="0" fontId="22" fillId="2" borderId="56" xfId="5" applyFont="1" applyFill="1" applyBorder="1" applyAlignment="1">
      <alignment horizontal="center" vertical="center" wrapText="1"/>
    </xf>
    <xf numFmtId="0" fontId="11" fillId="2" borderId="57" xfId="5" applyFont="1" applyFill="1" applyBorder="1" applyAlignment="1">
      <alignment horizontal="center" vertical="center"/>
    </xf>
    <xf numFmtId="0" fontId="22" fillId="2" borderId="58" xfId="5" applyFont="1" applyFill="1" applyBorder="1" applyAlignment="1">
      <alignment horizontal="center" vertical="center" wrapText="1"/>
    </xf>
    <xf numFmtId="12" fontId="22" fillId="2" borderId="58" xfId="5" applyNumberFormat="1" applyFont="1" applyFill="1" applyBorder="1" applyAlignment="1">
      <alignment horizontal="center" vertical="center" wrapText="1"/>
    </xf>
    <xf numFmtId="0" fontId="22" fillId="2" borderId="61" xfId="5" applyFont="1" applyFill="1" applyBorder="1" applyAlignment="1">
      <alignment horizontal="center" vertical="center" wrapText="1"/>
    </xf>
    <xf numFmtId="0" fontId="23" fillId="8" borderId="25" xfId="5" applyFont="1" applyFill="1" applyBorder="1" applyAlignment="1">
      <alignment horizontal="left" vertical="center"/>
    </xf>
    <xf numFmtId="0" fontId="24" fillId="8" borderId="46" xfId="5" applyFont="1" applyFill="1" applyBorder="1" applyAlignment="1">
      <alignment horizontal="left" vertical="center" wrapText="1"/>
    </xf>
    <xf numFmtId="12" fontId="24" fillId="8" borderId="46" xfId="5" applyNumberFormat="1" applyFont="1" applyFill="1" applyBorder="1" applyAlignment="1">
      <alignment horizontal="left" vertical="center" wrapText="1"/>
    </xf>
    <xf numFmtId="0" fontId="24" fillId="8" borderId="49" xfId="5" applyFont="1" applyFill="1" applyBorder="1" applyAlignment="1">
      <alignment horizontal="left" vertical="center" wrapText="1"/>
    </xf>
    <xf numFmtId="0" fontId="25" fillId="8" borderId="49" xfId="5" applyFont="1" applyFill="1" applyBorder="1" applyAlignment="1">
      <alignment horizontal="left"/>
    </xf>
    <xf numFmtId="0" fontId="24" fillId="8" borderId="52" xfId="5" applyFont="1" applyFill="1" applyBorder="1" applyAlignment="1">
      <alignment horizontal="left" vertical="center" wrapText="1"/>
    </xf>
    <xf numFmtId="0" fontId="26" fillId="0" borderId="0" xfId="7" applyFont="1" applyAlignment="1">
      <alignment horizontal="left"/>
    </xf>
    <xf numFmtId="0" fontId="27" fillId="9" borderId="25" xfId="5" applyFont="1" applyFill="1" applyBorder="1" applyAlignment="1">
      <alignment horizontal="center" vertical="center"/>
    </xf>
    <xf numFmtId="0" fontId="28" fillId="9" borderId="46" xfId="5" applyFont="1" applyFill="1" applyBorder="1" applyAlignment="1">
      <alignment horizontal="center" vertical="center" wrapText="1"/>
    </xf>
    <xf numFmtId="12" fontId="20" fillId="9" borderId="46" xfId="5" applyNumberFormat="1" applyFont="1" applyFill="1" applyBorder="1" applyAlignment="1">
      <alignment horizontal="center" vertical="center" wrapText="1"/>
    </xf>
    <xf numFmtId="0" fontId="20" fillId="9" borderId="46" xfId="5" applyFont="1" applyFill="1" applyBorder="1" applyAlignment="1">
      <alignment horizontal="center" vertical="center" wrapText="1"/>
    </xf>
    <xf numFmtId="0" fontId="20" fillId="0" borderId="26" xfId="5" applyFont="1" applyBorder="1" applyAlignment="1">
      <alignment horizontal="center" vertical="center" wrapText="1"/>
    </xf>
    <xf numFmtId="0" fontId="20" fillId="0" borderId="89" xfId="5" applyFont="1" applyBorder="1" applyAlignment="1">
      <alignment horizontal="center" vertical="center" wrapText="1"/>
    </xf>
    <xf numFmtId="0" fontId="20" fillId="0" borderId="93" xfId="5" applyFont="1" applyBorder="1" applyAlignment="1">
      <alignment horizontal="center" vertical="center" wrapText="1"/>
    </xf>
    <xf numFmtId="0" fontId="20" fillId="0" borderId="47" xfId="5" applyFont="1" applyBorder="1" applyAlignment="1">
      <alignment horizontal="center" vertical="center" wrapText="1"/>
    </xf>
    <xf numFmtId="0" fontId="20" fillId="0" borderId="46" xfId="5" applyFont="1" applyBorder="1" applyAlignment="1">
      <alignment horizontal="center" vertical="center" wrapText="1"/>
    </xf>
    <xf numFmtId="0" fontId="20" fillId="0" borderId="94" xfId="5" applyFont="1" applyBorder="1" applyAlignment="1">
      <alignment horizontal="center" vertical="center" wrapText="1"/>
    </xf>
    <xf numFmtId="0" fontId="20" fillId="0" borderId="87" xfId="5" applyFont="1" applyBorder="1" applyAlignment="1">
      <alignment horizontal="center" vertical="center" wrapText="1"/>
    </xf>
    <xf numFmtId="0" fontId="20" fillId="0" borderId="95" xfId="5" applyFont="1" applyBorder="1" applyAlignment="1">
      <alignment horizontal="center" vertical="center" wrapText="1"/>
    </xf>
    <xf numFmtId="0" fontId="20" fillId="0" borderId="96" xfId="5" applyFont="1" applyBorder="1" applyAlignment="1">
      <alignment horizontal="center" vertical="center" wrapText="1"/>
    </xf>
    <xf numFmtId="0" fontId="20" fillId="0" borderId="97" xfId="5" applyFont="1" applyBorder="1" applyAlignment="1">
      <alignment horizontal="center" vertical="center" wrapText="1"/>
    </xf>
    <xf numFmtId="0" fontId="20" fillId="0" borderId="98" xfId="5" applyFont="1" applyBorder="1" applyAlignment="1">
      <alignment horizontal="center" vertical="center" wrapText="1"/>
    </xf>
    <xf numFmtId="0" fontId="20" fillId="0" borderId="99" xfId="5" applyFont="1" applyBorder="1" applyAlignment="1">
      <alignment horizontal="center" vertical="center" wrapText="1"/>
    </xf>
    <xf numFmtId="0" fontId="20" fillId="0" borderId="100" xfId="5" applyFont="1" applyBorder="1" applyAlignment="1">
      <alignment horizontal="center" vertical="center" wrapText="1"/>
    </xf>
    <xf numFmtId="0" fontId="29" fillId="0" borderId="85" xfId="5" applyFont="1" applyBorder="1" applyAlignment="1">
      <alignment horizontal="center" vertical="center"/>
    </xf>
    <xf numFmtId="0" fontId="20" fillId="0" borderId="86" xfId="5" applyFont="1" applyBorder="1" applyAlignment="1">
      <alignment horizontal="center" vertical="center" wrapText="1"/>
    </xf>
    <xf numFmtId="12" fontId="20" fillId="0" borderId="59" xfId="5" applyNumberFormat="1" applyFont="1" applyBorder="1" applyAlignment="1">
      <alignment horizontal="center" vertical="center" wrapText="1"/>
    </xf>
    <xf numFmtId="0" fontId="20" fillId="0" borderId="59" xfId="5" applyFont="1" applyBorder="1" applyAlignment="1">
      <alignment horizontal="center" vertical="center" wrapText="1"/>
    </xf>
    <xf numFmtId="0" fontId="20" fillId="0" borderId="60" xfId="5" applyFont="1" applyBorder="1" applyAlignment="1">
      <alignment horizontal="center" vertical="center" wrapText="1"/>
    </xf>
    <xf numFmtId="166" fontId="30" fillId="0" borderId="96" xfId="7" applyNumberFormat="1" applyFont="1" applyBorder="1" applyAlignment="1">
      <alignment horizontal="center" vertical="center"/>
    </xf>
    <xf numFmtId="166" fontId="30" fillId="0" borderId="87" xfId="7" applyNumberFormat="1" applyFont="1" applyBorder="1" applyAlignment="1">
      <alignment horizontal="center" vertical="center"/>
    </xf>
    <xf numFmtId="166" fontId="30" fillId="0" borderId="97" xfId="7" applyNumberFormat="1" applyFont="1" applyBorder="1" applyAlignment="1">
      <alignment horizontal="center" vertical="center"/>
    </xf>
    <xf numFmtId="166" fontId="30" fillId="0" borderId="99" xfId="7" applyNumberFormat="1" applyFont="1" applyBorder="1" applyAlignment="1">
      <alignment horizontal="center" vertical="center"/>
    </xf>
    <xf numFmtId="0" fontId="11" fillId="2" borderId="48" xfId="5" applyFont="1" applyFill="1" applyBorder="1" applyAlignment="1">
      <alignment horizontal="center" vertical="center"/>
    </xf>
    <xf numFmtId="0" fontId="22" fillId="2" borderId="49" xfId="5" applyFont="1" applyFill="1" applyBorder="1" applyAlignment="1">
      <alignment horizontal="center" vertical="center" wrapText="1"/>
    </xf>
    <xf numFmtId="12" fontId="22" fillId="2" borderId="49" xfId="5" applyNumberFormat="1" applyFont="1" applyFill="1" applyBorder="1" applyAlignment="1">
      <alignment horizontal="center" vertical="center" wrapText="1"/>
    </xf>
    <xf numFmtId="0" fontId="22" fillId="2" borderId="52" xfId="5" applyFont="1" applyFill="1" applyBorder="1" applyAlignment="1">
      <alignment horizontal="center" vertical="center" wrapText="1"/>
    </xf>
    <xf numFmtId="0" fontId="29" fillId="0" borderId="96" xfId="5" applyFont="1" applyBorder="1" applyAlignment="1">
      <alignment horizontal="center" vertical="center"/>
    </xf>
    <xf numFmtId="12" fontId="20" fillId="0" borderId="99" xfId="5" applyNumberFormat="1" applyFont="1" applyBorder="1" applyAlignment="1">
      <alignment horizontal="center" vertical="center" wrapText="1"/>
    </xf>
    <xf numFmtId="0" fontId="20" fillId="0" borderId="102" xfId="5" applyFont="1" applyBorder="1" applyAlignment="1">
      <alignment horizontal="center" vertical="center" wrapText="1"/>
    </xf>
    <xf numFmtId="0" fontId="20" fillId="0" borderId="103" xfId="5" applyFont="1" applyBorder="1" applyAlignment="1">
      <alignment horizontal="center" vertical="center" wrapText="1"/>
    </xf>
    <xf numFmtId="0" fontId="29" fillId="0" borderId="89" xfId="5" applyFont="1" applyBorder="1" applyAlignment="1">
      <alignment horizontal="center" vertical="center"/>
    </xf>
    <xf numFmtId="12" fontId="20" fillId="0" borderId="93" xfId="5" applyNumberFormat="1" applyFont="1" applyBorder="1" applyAlignment="1">
      <alignment horizontal="center" vertical="center" wrapText="1"/>
    </xf>
    <xf numFmtId="0" fontId="20" fillId="0" borderId="104" xfId="5" applyFont="1" applyBorder="1" applyAlignment="1">
      <alignment horizontal="center" vertical="center" wrapText="1"/>
    </xf>
    <xf numFmtId="166" fontId="30" fillId="0" borderId="89" xfId="7" applyNumberFormat="1" applyFont="1" applyBorder="1" applyAlignment="1">
      <alignment horizontal="center" vertical="center"/>
    </xf>
    <xf numFmtId="166" fontId="30" fillId="0" borderId="90" xfId="7" applyNumberFormat="1" applyFont="1" applyBorder="1" applyAlignment="1">
      <alignment horizontal="center" vertical="center"/>
    </xf>
    <xf numFmtId="166" fontId="30" fillId="0" borderId="91" xfId="7" applyNumberFormat="1" applyFont="1" applyBorder="1" applyAlignment="1">
      <alignment horizontal="center" vertical="center"/>
    </xf>
    <xf numFmtId="166" fontId="30" fillId="0" borderId="93" xfId="7" applyNumberFormat="1" applyFont="1" applyBorder="1" applyAlignment="1">
      <alignment horizontal="center" vertical="center"/>
    </xf>
    <xf numFmtId="0" fontId="29" fillId="0" borderId="105" xfId="5" applyFont="1" applyBorder="1" applyAlignment="1">
      <alignment horizontal="center" vertical="center"/>
    </xf>
    <xf numFmtId="0" fontId="20" fillId="0" borderId="106" xfId="5" applyFont="1" applyBorder="1" applyAlignment="1">
      <alignment horizontal="center" vertical="center" wrapText="1"/>
    </xf>
    <xf numFmtId="12" fontId="20" fillId="0" borderId="54" xfId="5" applyNumberFormat="1" applyFont="1" applyBorder="1" applyAlignment="1">
      <alignment horizontal="center" vertical="center" wrapText="1"/>
    </xf>
    <xf numFmtId="0" fontId="20" fillId="0" borderId="54" xfId="5" applyFont="1" applyBorder="1" applyAlignment="1">
      <alignment horizontal="center" vertical="center" wrapText="1"/>
    </xf>
    <xf numFmtId="0" fontId="20" fillId="0" borderId="55" xfId="5" applyFont="1" applyBorder="1" applyAlignment="1">
      <alignment horizontal="center" vertical="center" wrapText="1"/>
    </xf>
    <xf numFmtId="0" fontId="20" fillId="0" borderId="107" xfId="5" applyFont="1" applyBorder="1" applyAlignment="1">
      <alignment horizontal="center" vertical="center" wrapText="1"/>
    </xf>
    <xf numFmtId="0" fontId="20" fillId="0" borderId="105" xfId="5" applyFont="1" applyBorder="1" applyAlignment="1">
      <alignment horizontal="center" vertical="center" wrapText="1"/>
    </xf>
    <xf numFmtId="0" fontId="20" fillId="0" borderId="108" xfId="5" applyFont="1" applyBorder="1" applyAlignment="1">
      <alignment horizontal="center" vertical="center" wrapText="1"/>
    </xf>
    <xf numFmtId="0" fontId="20" fillId="0" borderId="0" xfId="5" applyFont="1" applyAlignment="1">
      <alignment horizontal="center" vertical="center" wrapText="1"/>
    </xf>
    <xf numFmtId="0" fontId="23" fillId="11" borderId="53" xfId="5" applyFont="1" applyFill="1" applyBorder="1" applyAlignment="1">
      <alignment horizontal="left" vertical="center"/>
    </xf>
    <xf numFmtId="0" fontId="24" fillId="11" borderId="0" xfId="5" applyFont="1" applyFill="1" applyAlignment="1">
      <alignment horizontal="left" vertical="center" wrapText="1"/>
    </xf>
    <xf numFmtId="12" fontId="24" fillId="11" borderId="0" xfId="5" applyNumberFormat="1" applyFont="1" applyFill="1" applyAlignment="1">
      <alignment horizontal="left" vertical="center" wrapText="1"/>
    </xf>
    <xf numFmtId="0" fontId="25" fillId="11" borderId="0" xfId="5" applyFont="1" applyFill="1" applyAlignment="1">
      <alignment horizontal="left"/>
    </xf>
    <xf numFmtId="0" fontId="24" fillId="11" borderId="56" xfId="5" applyFont="1" applyFill="1" applyBorder="1" applyAlignment="1">
      <alignment horizontal="left" vertical="center" wrapText="1"/>
    </xf>
    <xf numFmtId="0" fontId="29" fillId="12" borderId="48" xfId="5" applyFont="1" applyFill="1" applyBorder="1" applyAlignment="1">
      <alignment horizontal="center" vertical="center"/>
    </xf>
    <xf numFmtId="0" fontId="20" fillId="12" borderId="49" xfId="5" applyFont="1" applyFill="1" applyBorder="1" applyAlignment="1">
      <alignment horizontal="center" vertical="center" wrapText="1"/>
    </xf>
    <xf numFmtId="12" fontId="20" fillId="12" borderId="49" xfId="5" applyNumberFormat="1" applyFont="1" applyFill="1" applyBorder="1" applyAlignment="1">
      <alignment horizontal="center" vertical="center" wrapText="1"/>
    </xf>
    <xf numFmtId="0" fontId="27" fillId="12" borderId="57" xfId="5" applyFont="1" applyFill="1" applyBorder="1" applyAlignment="1">
      <alignment horizontal="center" vertical="center"/>
    </xf>
    <xf numFmtId="0" fontId="28" fillId="12" borderId="58" xfId="5" applyFont="1" applyFill="1" applyBorder="1" applyAlignment="1">
      <alignment horizontal="center" vertical="center" wrapText="1"/>
    </xf>
    <xf numFmtId="12" fontId="20" fillId="12" borderId="58" xfId="5" applyNumberFormat="1" applyFont="1" applyFill="1" applyBorder="1" applyAlignment="1">
      <alignment horizontal="center" vertical="center" wrapText="1"/>
    </xf>
    <xf numFmtId="0" fontId="20" fillId="12" borderId="58" xfId="5" applyFont="1" applyFill="1" applyBorder="1" applyAlignment="1">
      <alignment horizontal="center" vertical="center" wrapText="1"/>
    </xf>
    <xf numFmtId="0" fontId="20" fillId="12" borderId="0" xfId="5" applyFont="1" applyFill="1" applyAlignment="1">
      <alignment horizontal="center" vertical="center" wrapText="1"/>
    </xf>
    <xf numFmtId="0" fontId="20" fillId="0" borderId="48" xfId="5" applyFont="1" applyBorder="1" applyAlignment="1">
      <alignment vertical="center" wrapText="1"/>
    </xf>
    <xf numFmtId="0" fontId="20" fillId="0" borderId="51" xfId="5" applyFont="1" applyBorder="1" applyAlignment="1">
      <alignment vertical="center" wrapText="1"/>
    </xf>
    <xf numFmtId="0" fontId="20" fillId="0" borderId="109" xfId="5" applyFont="1" applyBorder="1" applyAlignment="1">
      <alignment vertical="center" wrapText="1"/>
    </xf>
    <xf numFmtId="0" fontId="20" fillId="2" borderId="93" xfId="5" applyFont="1" applyFill="1" applyBorder="1" applyAlignment="1">
      <alignment horizontal="center" vertical="center" wrapText="1"/>
    </xf>
    <xf numFmtId="0" fontId="20" fillId="2" borderId="90" xfId="5" applyFont="1" applyFill="1" applyBorder="1" applyAlignment="1">
      <alignment horizontal="center" vertical="center" wrapText="1"/>
    </xf>
    <xf numFmtId="0" fontId="20" fillId="0" borderId="25" xfId="5" applyFont="1" applyBorder="1" applyAlignment="1">
      <alignment vertical="center" wrapText="1"/>
    </xf>
    <xf numFmtId="0" fontId="20" fillId="0" borderId="104" xfId="5" applyFont="1" applyBorder="1" applyAlignment="1">
      <alignment vertical="center" wrapText="1"/>
    </xf>
    <xf numFmtId="0" fontId="20" fillId="0" borderId="91" xfId="5" applyFont="1" applyBorder="1" applyAlignment="1">
      <alignment vertical="center" wrapText="1"/>
    </xf>
    <xf numFmtId="0" fontId="20" fillId="0" borderId="100" xfId="5" applyFont="1" applyBorder="1" applyAlignment="1">
      <alignment horizontal="center" vertical="center"/>
    </xf>
    <xf numFmtId="0" fontId="29" fillId="0" borderId="83" xfId="5" applyFont="1" applyBorder="1" applyAlignment="1">
      <alignment horizontal="center" vertical="center"/>
    </xf>
    <xf numFmtId="0" fontId="20" fillId="0" borderId="84" xfId="5" applyFont="1" applyBorder="1" applyAlignment="1">
      <alignment horizontal="center" vertical="center" wrapText="1"/>
    </xf>
    <xf numFmtId="0" fontId="21" fillId="0" borderId="90" xfId="7" applyBorder="1"/>
    <xf numFmtId="0" fontId="21" fillId="0" borderId="104" xfId="7" applyBorder="1"/>
    <xf numFmtId="0" fontId="21" fillId="0" borderId="93" xfId="7" applyBorder="1"/>
    <xf numFmtId="12" fontId="20" fillId="0" borderId="87" xfId="5" applyNumberFormat="1" applyFont="1" applyBorder="1" applyAlignment="1">
      <alignment horizontal="center" vertical="center" wrapText="1"/>
    </xf>
    <xf numFmtId="0" fontId="21" fillId="0" borderId="87" xfId="7" applyBorder="1"/>
    <xf numFmtId="0" fontId="21" fillId="0" borderId="102" xfId="7" applyBorder="1"/>
    <xf numFmtId="0" fontId="21" fillId="0" borderId="99" xfId="7" applyBorder="1"/>
    <xf numFmtId="0" fontId="21" fillId="0" borderId="97" xfId="7" applyBorder="1"/>
    <xf numFmtId="0" fontId="20" fillId="0" borderId="110" xfId="5" applyFont="1" applyBorder="1" applyAlignment="1">
      <alignment horizontal="center" vertical="center" wrapText="1"/>
    </xf>
    <xf numFmtId="0" fontId="21" fillId="0" borderId="96" xfId="7" applyBorder="1"/>
    <xf numFmtId="0" fontId="27" fillId="12" borderId="53" xfId="5" applyFont="1" applyFill="1" applyBorder="1" applyAlignment="1">
      <alignment horizontal="center" vertical="center"/>
    </xf>
    <xf numFmtId="0" fontId="28" fillId="12" borderId="0" xfId="5" applyFont="1" applyFill="1" applyAlignment="1">
      <alignment horizontal="center" vertical="center" wrapText="1"/>
    </xf>
    <xf numFmtId="12" fontId="20" fillId="12" borderId="0" xfId="5" applyNumberFormat="1" applyFont="1" applyFill="1" applyAlignment="1">
      <alignment horizontal="center" vertical="center" wrapText="1"/>
    </xf>
    <xf numFmtId="0" fontId="20" fillId="0" borderId="87" xfId="5" applyFont="1" applyBorder="1" applyAlignment="1">
      <alignment horizontal="center" vertical="center"/>
    </xf>
    <xf numFmtId="12" fontId="20" fillId="0" borderId="99" xfId="5" applyNumberFormat="1" applyFont="1" applyBorder="1" applyAlignment="1">
      <alignment horizontal="center" vertical="center"/>
    </xf>
    <xf numFmtId="0" fontId="20" fillId="0" borderId="99" xfId="5" applyFont="1" applyBorder="1" applyAlignment="1">
      <alignment horizontal="center" vertical="center"/>
    </xf>
    <xf numFmtId="0" fontId="20" fillId="0" borderId="83" xfId="5" applyFont="1" applyBorder="1" applyAlignment="1">
      <alignment horizontal="center" vertical="center" wrapText="1"/>
    </xf>
    <xf numFmtId="0" fontId="20" fillId="0" borderId="109" xfId="5" applyFont="1" applyBorder="1" applyAlignment="1">
      <alignment horizontal="center" vertical="center" wrapText="1"/>
    </xf>
    <xf numFmtId="0" fontId="20" fillId="0" borderId="50" xfId="5" applyFont="1" applyBorder="1" applyAlignment="1">
      <alignment horizontal="center" vertical="center" wrapText="1"/>
    </xf>
    <xf numFmtId="0" fontId="29" fillId="0" borderId="98" xfId="5" applyFont="1" applyBorder="1" applyAlignment="1">
      <alignment horizontal="center" vertical="center"/>
    </xf>
    <xf numFmtId="0" fontId="29" fillId="0" borderId="25" xfId="5" applyFont="1" applyBorder="1" applyAlignment="1">
      <alignment horizontal="center" vertical="center"/>
    </xf>
    <xf numFmtId="0" fontId="23" fillId="5" borderId="48" xfId="5" applyFont="1" applyFill="1" applyBorder="1" applyAlignment="1">
      <alignment horizontal="left" vertical="center"/>
    </xf>
    <xf numFmtId="0" fontId="24" fillId="5" borderId="49" xfId="5" applyFont="1" applyFill="1" applyBorder="1" applyAlignment="1">
      <alignment horizontal="left" vertical="center" wrapText="1"/>
    </xf>
    <xf numFmtId="12" fontId="24" fillId="5" borderId="49" xfId="5" applyNumberFormat="1" applyFont="1" applyFill="1" applyBorder="1" applyAlignment="1">
      <alignment horizontal="left" vertical="center" wrapText="1"/>
    </xf>
    <xf numFmtId="0" fontId="25" fillId="5" borderId="49" xfId="5" applyFont="1" applyFill="1" applyBorder="1" applyAlignment="1">
      <alignment horizontal="left"/>
    </xf>
    <xf numFmtId="0" fontId="24" fillId="5" borderId="52" xfId="5" applyFont="1" applyFill="1" applyBorder="1" applyAlignment="1">
      <alignment horizontal="left" vertical="center" wrapText="1"/>
    </xf>
    <xf numFmtId="0" fontId="27" fillId="13" borderId="25" xfId="5" applyFont="1" applyFill="1" applyBorder="1" applyAlignment="1">
      <alignment horizontal="center" vertical="center"/>
    </xf>
    <xf numFmtId="0" fontId="28" fillId="13" borderId="46" xfId="5" applyFont="1" applyFill="1" applyBorder="1" applyAlignment="1">
      <alignment horizontal="center" vertical="center" wrapText="1"/>
    </xf>
    <xf numFmtId="12" fontId="20" fillId="13" borderId="46" xfId="5" applyNumberFormat="1" applyFont="1" applyFill="1" applyBorder="1" applyAlignment="1">
      <alignment horizontal="center" vertical="center" wrapText="1"/>
    </xf>
    <xf numFmtId="0" fontId="20" fillId="13" borderId="46" xfId="5" applyFont="1" applyFill="1" applyBorder="1" applyAlignment="1">
      <alignment horizontal="center" vertical="center" wrapText="1"/>
    </xf>
    <xf numFmtId="0" fontId="20" fillId="13" borderId="46" xfId="5" applyFont="1" applyFill="1" applyBorder="1" applyAlignment="1">
      <alignment vertical="center" wrapText="1"/>
    </xf>
    <xf numFmtId="0" fontId="20" fillId="0" borderId="26" xfId="5" applyFont="1" applyBorder="1" applyAlignment="1">
      <alignment vertical="center" wrapText="1"/>
    </xf>
    <xf numFmtId="0" fontId="20" fillId="0" borderId="89" xfId="5" applyFont="1" applyBorder="1" applyAlignment="1">
      <alignment vertical="center" wrapText="1"/>
    </xf>
    <xf numFmtId="0" fontId="20" fillId="0" borderId="90" xfId="5" applyFont="1" applyBorder="1" applyAlignment="1">
      <alignment vertical="center" wrapText="1"/>
    </xf>
    <xf numFmtId="0" fontId="20" fillId="0" borderId="95" xfId="5" applyFont="1" applyBorder="1" applyAlignment="1">
      <alignment horizontal="center" vertical="center"/>
    </xf>
    <xf numFmtId="0" fontId="27" fillId="13" borderId="53" xfId="5" applyFont="1" applyFill="1" applyBorder="1" applyAlignment="1">
      <alignment horizontal="center" vertical="center"/>
    </xf>
    <xf numFmtId="0" fontId="31" fillId="0" borderId="0" xfId="7" applyFont="1"/>
    <xf numFmtId="12" fontId="21" fillId="0" borderId="0" xfId="7" applyNumberFormat="1"/>
    <xf numFmtId="166" fontId="21" fillId="0" borderId="0" xfId="7" applyNumberFormat="1"/>
    <xf numFmtId="1" fontId="0" fillId="0" borderId="0" xfId="0" applyNumberFormat="1" applyAlignment="1">
      <alignment horizontal="center" vertical="center"/>
    </xf>
    <xf numFmtId="0" fontId="0" fillId="0" borderId="79" xfId="0" applyBorder="1" applyAlignment="1">
      <alignment horizontal="center" vertical="center"/>
    </xf>
    <xf numFmtId="0" fontId="0" fillId="0" borderId="80" xfId="0" applyBorder="1" applyAlignment="1">
      <alignment horizontal="center" vertical="center"/>
    </xf>
    <xf numFmtId="0" fontId="0" fillId="0" borderId="81" xfId="0" applyBorder="1" applyAlignment="1">
      <alignment horizontal="center" vertical="center"/>
    </xf>
    <xf numFmtId="0" fontId="12" fillId="2" borderId="46" xfId="0" applyFont="1" applyFill="1" applyBorder="1" applyAlignment="1">
      <alignment horizontal="left" vertical="center" indent="1"/>
    </xf>
    <xf numFmtId="164" fontId="8" fillId="2" borderId="38" xfId="2" applyFont="1" applyFill="1" applyBorder="1" applyAlignment="1" applyProtection="1">
      <alignment vertical="center" wrapText="1"/>
    </xf>
    <xf numFmtId="164" fontId="8" fillId="2" borderId="34" xfId="2" applyFont="1" applyFill="1" applyBorder="1" applyAlignment="1" applyProtection="1">
      <alignment vertical="center" wrapText="1"/>
    </xf>
    <xf numFmtId="12" fontId="0" fillId="0" borderId="75" xfId="0" applyNumberFormat="1" applyBorder="1" applyAlignment="1">
      <alignment horizontal="center" vertical="center" wrapText="1"/>
    </xf>
    <xf numFmtId="12" fontId="0" fillId="0" borderId="77" xfId="0" applyNumberFormat="1" applyBorder="1" applyAlignment="1">
      <alignment horizontal="center" vertical="center" wrapText="1"/>
    </xf>
    <xf numFmtId="0" fontId="0" fillId="0" borderId="17" xfId="0" applyBorder="1" applyAlignment="1">
      <alignment horizontal="center" vertical="center" wrapText="1"/>
    </xf>
    <xf numFmtId="12" fontId="0" fillId="0" borderId="73" xfId="0" applyNumberFormat="1" applyBorder="1" applyAlignment="1">
      <alignment horizontal="center" vertical="center" wrapText="1"/>
    </xf>
    <xf numFmtId="169" fontId="12" fillId="0" borderId="74" xfId="0" applyNumberFormat="1" applyFont="1" applyBorder="1" applyAlignment="1">
      <alignment horizontal="center"/>
    </xf>
    <xf numFmtId="169" fontId="12" fillId="0" borderId="15" xfId="0" applyNumberFormat="1" applyFont="1" applyBorder="1" applyAlignment="1">
      <alignment horizontal="center"/>
    </xf>
    <xf numFmtId="169" fontId="12" fillId="0" borderId="17" xfId="0" applyNumberFormat="1" applyFont="1" applyBorder="1" applyAlignment="1">
      <alignment horizontal="center"/>
    </xf>
    <xf numFmtId="0" fontId="12" fillId="2" borderId="0" xfId="0" applyFont="1" applyFill="1" applyAlignment="1">
      <alignment horizontal="center"/>
    </xf>
    <xf numFmtId="0" fontId="0" fillId="0" borderId="113" xfId="0" applyBorder="1" applyAlignment="1">
      <alignment horizontal="center" vertical="center"/>
    </xf>
    <xf numFmtId="0" fontId="0" fillId="0" borderId="115" xfId="0" applyBorder="1" applyAlignment="1">
      <alignment horizontal="center" vertical="center"/>
    </xf>
    <xf numFmtId="164" fontId="0" fillId="0" borderId="0" xfId="0" applyNumberFormat="1"/>
    <xf numFmtId="12" fontId="33" fillId="2" borderId="48" xfId="0" applyNumberFormat="1" applyFont="1" applyFill="1" applyBorder="1" applyAlignment="1">
      <alignment horizontal="left" vertical="center"/>
    </xf>
    <xf numFmtId="0" fontId="0" fillId="2" borderId="49" xfId="0" applyFill="1" applyBorder="1" applyAlignment="1">
      <alignment horizontal="center" vertical="center"/>
    </xf>
    <xf numFmtId="12" fontId="34" fillId="2" borderId="117" xfId="0" applyNumberFormat="1" applyFont="1" applyFill="1" applyBorder="1" applyAlignment="1">
      <alignment horizontal="left" vertical="center"/>
    </xf>
    <xf numFmtId="0" fontId="0" fillId="2" borderId="66" xfId="0" applyFill="1" applyBorder="1"/>
    <xf numFmtId="0" fontId="0" fillId="2" borderId="66" xfId="0" applyFill="1" applyBorder="1" applyAlignment="1">
      <alignment horizontal="center" vertical="center"/>
    </xf>
    <xf numFmtId="0" fontId="0" fillId="2" borderId="12" xfId="0" applyFill="1" applyBorder="1"/>
    <xf numFmtId="0" fontId="0" fillId="2" borderId="13" xfId="0" applyFill="1" applyBorder="1"/>
    <xf numFmtId="12" fontId="0" fillId="2" borderId="13" xfId="0" applyNumberFormat="1" applyFill="1" applyBorder="1" applyAlignment="1">
      <alignment horizontal="center" vertical="center" wrapText="1"/>
    </xf>
    <xf numFmtId="0" fontId="0" fillId="2" borderId="13" xfId="0" applyFill="1" applyBorder="1" applyAlignment="1">
      <alignment horizontal="center" vertical="center"/>
    </xf>
    <xf numFmtId="0" fontId="0" fillId="2" borderId="118" xfId="0" applyFill="1" applyBorder="1"/>
    <xf numFmtId="0" fontId="0" fillId="2" borderId="108" xfId="0" applyFill="1" applyBorder="1"/>
    <xf numFmtId="0" fontId="0" fillId="2" borderId="48" xfId="0" applyFill="1" applyBorder="1" applyAlignment="1">
      <alignment horizontal="center" vertical="center"/>
    </xf>
    <xf numFmtId="0" fontId="0" fillId="2" borderId="14" xfId="0" applyFill="1" applyBorder="1"/>
    <xf numFmtId="12" fontId="0" fillId="2" borderId="15" xfId="0" applyNumberFormat="1" applyFill="1" applyBorder="1" applyAlignment="1">
      <alignment horizontal="center" vertical="center" wrapText="1"/>
    </xf>
    <xf numFmtId="164" fontId="0" fillId="2" borderId="15" xfId="2" applyFont="1" applyFill="1" applyBorder="1" applyAlignment="1">
      <alignment horizontal="center" vertical="center"/>
    </xf>
    <xf numFmtId="0" fontId="0" fillId="2" borderId="15" xfId="0" applyFill="1" applyBorder="1" applyAlignment="1">
      <alignment horizontal="center" vertical="center"/>
    </xf>
    <xf numFmtId="0" fontId="0" fillId="2" borderId="35" xfId="0" applyFill="1" applyBorder="1"/>
    <xf numFmtId="164" fontId="0" fillId="2" borderId="53" xfId="2" applyFont="1" applyFill="1" applyBorder="1"/>
    <xf numFmtId="164" fontId="0" fillId="2" borderId="0" xfId="2" applyFont="1" applyFill="1" applyBorder="1"/>
    <xf numFmtId="164" fontId="0" fillId="2" borderId="15" xfId="0" applyNumberFormat="1" applyFill="1" applyBorder="1" applyAlignment="1">
      <alignment horizontal="center" vertical="center"/>
    </xf>
    <xf numFmtId="164" fontId="0" fillId="2" borderId="0" xfId="0" applyNumberFormat="1" applyFill="1"/>
    <xf numFmtId="0" fontId="0" fillId="2" borderId="119" xfId="0" applyFill="1" applyBorder="1"/>
    <xf numFmtId="12" fontId="0" fillId="2" borderId="120" xfId="0" applyNumberFormat="1" applyFill="1" applyBorder="1" applyAlignment="1">
      <alignment horizontal="center" vertical="center" wrapText="1"/>
    </xf>
    <xf numFmtId="164" fontId="0" fillId="2" borderId="120" xfId="2" applyFont="1" applyFill="1" applyBorder="1" applyAlignment="1">
      <alignment horizontal="center" vertical="center"/>
    </xf>
    <xf numFmtId="0" fontId="0" fillId="2" borderId="120" xfId="0" applyFill="1" applyBorder="1" applyAlignment="1">
      <alignment horizontal="center" vertical="center"/>
    </xf>
    <xf numFmtId="0" fontId="0" fillId="2" borderId="17" xfId="0" applyFill="1" applyBorder="1" applyAlignment="1">
      <alignment horizontal="center" vertical="center"/>
    </xf>
    <xf numFmtId="0" fontId="0" fillId="2" borderId="92" xfId="0" applyFill="1" applyBorder="1"/>
    <xf numFmtId="164" fontId="0" fillId="0" borderId="0" xfId="2" applyFont="1"/>
    <xf numFmtId="164" fontId="0" fillId="0" borderId="0" xfId="2" applyFont="1" applyAlignment="1">
      <alignment horizontal="center" vertical="center"/>
    </xf>
    <xf numFmtId="0" fontId="0" fillId="0" borderId="104" xfId="0" applyBorder="1" applyAlignment="1">
      <alignment horizontal="center" vertical="center" wrapText="1"/>
    </xf>
    <xf numFmtId="0" fontId="0" fillId="0" borderId="93" xfId="0" applyBorder="1" applyAlignment="1">
      <alignment horizontal="center" vertical="center" wrapText="1"/>
    </xf>
    <xf numFmtId="12" fontId="0" fillId="0" borderId="121" xfId="0" applyNumberFormat="1" applyBorder="1" applyAlignment="1">
      <alignment horizontal="center" vertical="center" wrapText="1"/>
    </xf>
    <xf numFmtId="12" fontId="0" fillId="0" borderId="29" xfId="0" applyNumberFormat="1" applyBorder="1" applyAlignment="1">
      <alignment horizontal="center" vertical="center" wrapText="1"/>
    </xf>
    <xf numFmtId="12" fontId="0" fillId="0" borderId="25" xfId="0" applyNumberFormat="1" applyBorder="1" applyAlignment="1">
      <alignment horizontal="center" vertical="center" wrapText="1"/>
    </xf>
    <xf numFmtId="12" fontId="0" fillId="0" borderId="93" xfId="0" applyNumberFormat="1" applyBorder="1" applyAlignment="1">
      <alignment horizontal="center" vertical="center" wrapText="1"/>
    </xf>
    <xf numFmtId="12" fontId="0" fillId="0" borderId="90" xfId="0" applyNumberFormat="1" applyBorder="1" applyAlignment="1">
      <alignment horizontal="center" vertical="center" wrapText="1"/>
    </xf>
    <xf numFmtId="12" fontId="0" fillId="0" borderId="0" xfId="0" applyNumberFormat="1"/>
    <xf numFmtId="0" fontId="0" fillId="0" borderId="114" xfId="2" applyNumberFormat="1" applyFont="1" applyBorder="1" applyAlignment="1">
      <alignment horizontal="center" vertical="center" wrapText="1"/>
    </xf>
    <xf numFmtId="0" fontId="0" fillId="0" borderId="116" xfId="2" applyNumberFormat="1" applyFont="1" applyBorder="1" applyAlignment="1">
      <alignment horizontal="center" vertical="center" wrapText="1"/>
    </xf>
    <xf numFmtId="0" fontId="0" fillId="0" borderId="74" xfId="0" applyBorder="1" applyAlignment="1">
      <alignment horizontal="center" vertical="center"/>
    </xf>
    <xf numFmtId="0" fontId="0" fillId="0" borderId="74" xfId="2" applyNumberFormat="1" applyFont="1" applyBorder="1" applyAlignment="1">
      <alignment horizontal="center" vertical="center" wrapText="1"/>
    </xf>
    <xf numFmtId="0" fontId="0" fillId="0" borderId="15" xfId="2" applyNumberFormat="1" applyFont="1" applyBorder="1" applyAlignment="1">
      <alignment horizontal="center" vertical="center" wrapText="1"/>
    </xf>
    <xf numFmtId="0" fontId="0" fillId="0" borderId="17" xfId="2" applyNumberFormat="1" applyFont="1" applyBorder="1" applyAlignment="1">
      <alignment horizontal="center" vertical="center" wrapText="1"/>
    </xf>
    <xf numFmtId="0" fontId="0" fillId="0" borderId="75" xfId="0" applyBorder="1" applyAlignment="1">
      <alignment horizontal="center" vertical="center"/>
    </xf>
    <xf numFmtId="0" fontId="0" fillId="0" borderId="76" xfId="0" applyBorder="1" applyAlignment="1">
      <alignment horizontal="center" vertical="center"/>
    </xf>
    <xf numFmtId="0" fontId="0" fillId="0" borderId="77" xfId="0" applyBorder="1" applyAlignment="1">
      <alignment horizontal="center" vertical="center"/>
    </xf>
    <xf numFmtId="12" fontId="0" fillId="0" borderId="74" xfId="0" applyNumberFormat="1" applyBorder="1" applyAlignment="1">
      <alignment horizontal="center" vertical="center" wrapText="1"/>
    </xf>
    <xf numFmtId="12" fontId="0" fillId="0" borderId="15" xfId="0" applyNumberFormat="1" applyBorder="1" applyAlignment="1">
      <alignment horizontal="center" vertical="center" wrapText="1"/>
    </xf>
    <xf numFmtId="12" fontId="0" fillId="0" borderId="17" xfId="0" applyNumberFormat="1" applyBorder="1" applyAlignment="1">
      <alignment horizontal="center" vertical="center" wrapText="1"/>
    </xf>
    <xf numFmtId="0" fontId="0" fillId="0" borderId="79" xfId="0" applyBorder="1"/>
    <xf numFmtId="0" fontId="0" fillId="0" borderId="80" xfId="0" applyBorder="1"/>
    <xf numFmtId="0" fontId="0" fillId="7" borderId="87" xfId="0" applyFill="1" applyBorder="1" applyAlignment="1">
      <alignment horizontal="center" vertical="center" wrapText="1"/>
    </xf>
    <xf numFmtId="0" fontId="0" fillId="7" borderId="99" xfId="0" applyFill="1" applyBorder="1" applyAlignment="1">
      <alignment horizontal="center" vertical="center" wrapText="1"/>
    </xf>
    <xf numFmtId="0" fontId="0" fillId="7" borderId="87" xfId="0" applyFill="1" applyBorder="1" applyAlignment="1">
      <alignment horizontal="center" vertical="center"/>
    </xf>
    <xf numFmtId="0" fontId="0" fillId="7" borderId="97" xfId="0" applyFill="1" applyBorder="1" applyAlignment="1">
      <alignment horizontal="center" vertical="center" wrapText="1"/>
    </xf>
    <xf numFmtId="0" fontId="2" fillId="7" borderId="25" xfId="0" applyFont="1" applyFill="1" applyBorder="1" applyAlignment="1">
      <alignment horizontal="left" vertical="center"/>
    </xf>
    <xf numFmtId="0" fontId="2" fillId="7" borderId="46" xfId="0" applyFont="1" applyFill="1" applyBorder="1" applyAlignment="1">
      <alignment horizontal="left" vertical="center" wrapText="1"/>
    </xf>
    <xf numFmtId="0" fontId="2" fillId="7" borderId="47" xfId="0" applyFont="1" applyFill="1" applyBorder="1" applyAlignment="1">
      <alignment horizontal="left" vertical="center" wrapText="1"/>
    </xf>
    <xf numFmtId="0" fontId="15" fillId="7" borderId="25" xfId="0" applyFont="1" applyFill="1" applyBorder="1" applyAlignment="1">
      <alignment horizontal="left" vertical="center"/>
    </xf>
    <xf numFmtId="0" fontId="10" fillId="7" borderId="46" xfId="0" applyFont="1" applyFill="1" applyBorder="1" applyAlignment="1">
      <alignment horizontal="left" vertical="center" wrapText="1"/>
    </xf>
    <xf numFmtId="0" fontId="10" fillId="7" borderId="47" xfId="0" applyFont="1" applyFill="1" applyBorder="1" applyAlignment="1">
      <alignment horizontal="left" vertical="center" wrapText="1"/>
    </xf>
    <xf numFmtId="0" fontId="35" fillId="0" borderId="74" xfId="0" applyFont="1" applyBorder="1" applyAlignment="1">
      <alignment horizontal="center" vertical="center" wrapText="1"/>
    </xf>
    <xf numFmtId="0" fontId="0" fillId="0" borderId="15" xfId="0" applyBorder="1" applyAlignment="1">
      <alignment horizontal="center" vertical="center" wrapText="1"/>
    </xf>
    <xf numFmtId="0" fontId="35" fillId="0" borderId="15" xfId="0" applyFont="1" applyBorder="1" applyAlignment="1">
      <alignment horizontal="center" vertical="center" wrapText="1"/>
    </xf>
    <xf numFmtId="0" fontId="35" fillId="0" borderId="17" xfId="0" applyFont="1" applyBorder="1" applyAlignment="1">
      <alignment horizontal="center" vertical="center" wrapText="1"/>
    </xf>
    <xf numFmtId="0" fontId="0" fillId="0" borderId="111" xfId="0" applyBorder="1" applyAlignment="1">
      <alignment horizontal="center" vertical="center" wrapText="1"/>
    </xf>
    <xf numFmtId="0" fontId="0" fillId="0" borderId="35" xfId="0" applyBorder="1" applyAlignment="1">
      <alignment horizontal="center" vertical="center" wrapText="1"/>
    </xf>
    <xf numFmtId="0" fontId="0" fillId="0" borderId="112" xfId="0" applyBorder="1" applyAlignment="1">
      <alignment horizontal="center" vertical="center" wrapText="1"/>
    </xf>
    <xf numFmtId="0" fontId="35" fillId="0" borderId="82" xfId="0" applyFont="1" applyBorder="1" applyAlignment="1">
      <alignment horizontal="center" vertical="center" wrapText="1"/>
    </xf>
    <xf numFmtId="0" fontId="35" fillId="0" borderId="36" xfId="0" applyFont="1" applyBorder="1" applyAlignment="1">
      <alignment horizontal="center" vertical="center" wrapText="1"/>
    </xf>
    <xf numFmtId="0" fontId="35" fillId="0" borderId="45" xfId="0" applyFont="1" applyBorder="1" applyAlignment="1">
      <alignment horizontal="center" vertical="center" wrapText="1"/>
    </xf>
    <xf numFmtId="12" fontId="0" fillId="0" borderId="76" xfId="0" applyNumberFormat="1" applyBorder="1" applyAlignment="1">
      <alignment horizontal="center" vertical="center" wrapText="1"/>
    </xf>
    <xf numFmtId="0" fontId="0" fillId="0" borderId="82" xfId="0" applyBorder="1" applyAlignment="1">
      <alignment horizontal="center" vertical="center" wrapText="1"/>
    </xf>
    <xf numFmtId="0" fontId="0" fillId="0" borderId="36" xfId="0" applyBorder="1" applyAlignment="1">
      <alignment horizontal="center" vertical="center" wrapText="1"/>
    </xf>
    <xf numFmtId="0" fontId="0" fillId="0" borderId="45" xfId="0" applyBorder="1" applyAlignment="1">
      <alignment horizontal="center" vertical="center" wrapText="1"/>
    </xf>
    <xf numFmtId="0" fontId="0" fillId="0" borderId="26" xfId="0" applyBorder="1" applyAlignment="1">
      <alignment horizontal="center" vertical="center" wrapText="1"/>
    </xf>
    <xf numFmtId="0" fontId="0" fillId="0" borderId="79" xfId="0" applyBorder="1" applyAlignment="1">
      <alignment horizontal="center" vertical="center" wrapText="1"/>
    </xf>
    <xf numFmtId="0" fontId="0" fillId="0" borderId="80" xfId="0" applyBorder="1" applyAlignment="1">
      <alignment horizontal="center" vertical="center" wrapText="1"/>
    </xf>
    <xf numFmtId="0" fontId="0" fillId="0" borderId="81" xfId="0" applyBorder="1" applyAlignment="1">
      <alignment horizontal="center" vertical="center" wrapText="1"/>
    </xf>
    <xf numFmtId="0" fontId="13" fillId="7" borderId="25" xfId="0" applyFont="1" applyFill="1" applyBorder="1"/>
    <xf numFmtId="0" fontId="0" fillId="7" borderId="46" xfId="0" applyFill="1" applyBorder="1"/>
    <xf numFmtId="0" fontId="14" fillId="7" borderId="46" xfId="0" applyFont="1" applyFill="1" applyBorder="1" applyAlignment="1">
      <alignment horizontal="right"/>
    </xf>
    <xf numFmtId="4" fontId="14" fillId="7" borderId="47" xfId="0" applyNumberFormat="1" applyFont="1" applyFill="1" applyBorder="1"/>
    <xf numFmtId="0" fontId="13" fillId="7" borderId="48" xfId="0" applyFont="1" applyFill="1" applyBorder="1"/>
    <xf numFmtId="0" fontId="0" fillId="7" borderId="49" xfId="0" applyFill="1" applyBorder="1"/>
    <xf numFmtId="0" fontId="14" fillId="7" borderId="49" xfId="0" applyFont="1" applyFill="1" applyBorder="1" applyAlignment="1">
      <alignment horizontal="right"/>
    </xf>
    <xf numFmtId="4" fontId="14" fillId="7" borderId="52" xfId="0" applyNumberFormat="1" applyFont="1" applyFill="1" applyBorder="1"/>
    <xf numFmtId="0" fontId="5" fillId="7" borderId="26" xfId="0" applyFont="1" applyFill="1" applyBorder="1" applyAlignment="1">
      <alignment horizontal="center" vertical="center"/>
    </xf>
    <xf numFmtId="0" fontId="5" fillId="7" borderId="26" xfId="0" applyFont="1" applyFill="1" applyBorder="1" applyAlignment="1">
      <alignment horizontal="center" vertical="center" wrapText="1"/>
    </xf>
    <xf numFmtId="0" fontId="5" fillId="7" borderId="25" xfId="0" applyFont="1" applyFill="1" applyBorder="1" applyAlignment="1">
      <alignment vertical="center"/>
    </xf>
    <xf numFmtId="0" fontId="5" fillId="7" borderId="46" xfId="0" applyFont="1" applyFill="1" applyBorder="1" applyAlignment="1">
      <alignment vertical="center"/>
    </xf>
    <xf numFmtId="0" fontId="5" fillId="7" borderId="47" xfId="0" applyFont="1" applyFill="1" applyBorder="1" applyAlignment="1">
      <alignment vertical="center"/>
    </xf>
    <xf numFmtId="167" fontId="5" fillId="7" borderId="26" xfId="3" applyFont="1" applyFill="1" applyBorder="1" applyAlignment="1">
      <alignment horizontal="center" vertical="center" wrapText="1"/>
    </xf>
    <xf numFmtId="0" fontId="36" fillId="14" borderId="25" xfId="0" applyFont="1" applyFill="1" applyBorder="1" applyAlignment="1">
      <alignment horizontal="left" vertical="center"/>
    </xf>
    <xf numFmtId="0" fontId="12" fillId="14" borderId="46" xfId="0" applyFont="1" applyFill="1" applyBorder="1" applyAlignment="1">
      <alignment horizontal="center" vertical="center" wrapText="1"/>
    </xf>
    <xf numFmtId="0" fontId="12" fillId="14" borderId="46" xfId="0" applyFont="1" applyFill="1" applyBorder="1"/>
    <xf numFmtId="0" fontId="0" fillId="14" borderId="47" xfId="0" applyFill="1" applyBorder="1"/>
    <xf numFmtId="0" fontId="36" fillId="14" borderId="57" xfId="0" applyFont="1" applyFill="1" applyBorder="1" applyAlignment="1">
      <alignment horizontal="left" vertical="center"/>
    </xf>
    <xf numFmtId="0" fontId="12" fillId="14" borderId="58" xfId="0" applyFont="1" applyFill="1" applyBorder="1" applyAlignment="1">
      <alignment horizontal="center" vertical="center" wrapText="1"/>
    </xf>
    <xf numFmtId="0" fontId="12" fillId="14" borderId="58" xfId="0" applyFont="1" applyFill="1" applyBorder="1"/>
    <xf numFmtId="0" fontId="0" fillId="14" borderId="61" xfId="0" applyFill="1" applyBorder="1"/>
    <xf numFmtId="0" fontId="0" fillId="0" borderId="25" xfId="0" applyBorder="1" applyAlignment="1">
      <alignment horizontal="center" vertical="center" wrapText="1"/>
    </xf>
    <xf numFmtId="0" fontId="0" fillId="0" borderId="89" xfId="0" applyBorder="1" applyAlignment="1">
      <alignment horizontal="center" vertical="center" wrapText="1"/>
    </xf>
    <xf numFmtId="0" fontId="12" fillId="0" borderId="74"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73" xfId="0" applyFont="1" applyBorder="1" applyAlignment="1">
      <alignment horizontal="center" vertical="center" wrapText="1"/>
    </xf>
    <xf numFmtId="0" fontId="12" fillId="0" borderId="14" xfId="0" applyFont="1" applyBorder="1" applyAlignment="1">
      <alignment horizontal="center" vertical="center" wrapText="1"/>
    </xf>
    <xf numFmtId="1" fontId="12" fillId="0" borderId="15" xfId="0" applyNumberFormat="1" applyFont="1" applyBorder="1" applyAlignment="1">
      <alignment horizontal="center" vertical="center" wrapText="1"/>
    </xf>
    <xf numFmtId="0" fontId="12" fillId="0" borderId="87" xfId="0" applyFont="1" applyBorder="1" applyAlignment="1">
      <alignment horizontal="center" vertical="center" wrapText="1"/>
    </xf>
    <xf numFmtId="0" fontId="12" fillId="2" borderId="90" xfId="0" applyFont="1" applyFill="1" applyBorder="1" applyAlignment="1">
      <alignment horizontal="center" vertical="center" wrapText="1"/>
    </xf>
    <xf numFmtId="9" fontId="12" fillId="2" borderId="90" xfId="0" applyNumberFormat="1" applyFont="1" applyFill="1" applyBorder="1" applyAlignment="1">
      <alignment horizontal="center" vertical="center" wrapText="1"/>
    </xf>
    <xf numFmtId="164" fontId="0" fillId="0" borderId="106" xfId="2" applyFont="1" applyFill="1" applyBorder="1" applyAlignment="1">
      <alignment horizontal="center" vertical="center"/>
    </xf>
    <xf numFmtId="0" fontId="0" fillId="7" borderId="55" xfId="0" applyFill="1" applyBorder="1" applyAlignment="1">
      <alignment horizontal="center" vertical="center" wrapText="1"/>
    </xf>
    <xf numFmtId="0" fontId="0" fillId="7" borderId="106" xfId="0" applyFill="1" applyBorder="1" applyAlignment="1">
      <alignment horizontal="center" vertical="center" wrapText="1"/>
    </xf>
    <xf numFmtId="0" fontId="36" fillId="14" borderId="46" xfId="0" applyFont="1" applyFill="1" applyBorder="1" applyAlignment="1">
      <alignment horizontal="left" vertical="center"/>
    </xf>
    <xf numFmtId="0" fontId="12" fillId="17" borderId="58" xfId="0" applyFont="1" applyFill="1" applyBorder="1" applyAlignment="1">
      <alignment horizontal="center" vertical="center" wrapText="1"/>
    </xf>
    <xf numFmtId="0" fontId="12" fillId="17" borderId="46" xfId="0" applyFont="1" applyFill="1" applyBorder="1" applyAlignment="1">
      <alignment horizontal="center" vertical="center" wrapText="1"/>
    </xf>
    <xf numFmtId="165" fontId="12" fillId="0" borderId="15" xfId="8" applyFont="1" applyBorder="1" applyAlignment="1">
      <alignment horizontal="center" vertical="center" wrapText="1"/>
    </xf>
    <xf numFmtId="165" fontId="12" fillId="0" borderId="74" xfId="8" applyFont="1" applyBorder="1" applyAlignment="1">
      <alignment horizontal="center" vertical="center" wrapText="1"/>
    </xf>
    <xf numFmtId="165" fontId="12" fillId="0" borderId="13" xfId="8" applyFont="1" applyBorder="1" applyAlignment="1">
      <alignment horizontal="center" vertical="center" wrapText="1"/>
    </xf>
    <xf numFmtId="2" fontId="12" fillId="0" borderId="0" xfId="5" applyNumberFormat="1" applyFont="1" applyAlignment="1" applyProtection="1">
      <alignment horizontal="center" vertical="center"/>
      <protection hidden="1"/>
    </xf>
    <xf numFmtId="0" fontId="0" fillId="2" borderId="0" xfId="2" applyNumberFormat="1" applyFont="1" applyFill="1" applyBorder="1" applyAlignment="1">
      <alignment horizontal="left" vertical="center"/>
    </xf>
    <xf numFmtId="0" fontId="0" fillId="2" borderId="0" xfId="2" applyNumberFormat="1" applyFont="1" applyFill="1" applyBorder="1" applyAlignment="1">
      <alignment horizontal="center" vertical="center"/>
    </xf>
    <xf numFmtId="164" fontId="0" fillId="2" borderId="0" xfId="2" applyFont="1" applyFill="1" applyBorder="1" applyAlignment="1">
      <alignment horizontal="center" vertical="center"/>
    </xf>
    <xf numFmtId="164" fontId="0" fillId="0" borderId="0" xfId="2" applyFont="1" applyBorder="1" applyAlignment="1">
      <alignment horizontal="center" vertical="center"/>
    </xf>
    <xf numFmtId="164" fontId="0" fillId="0" borderId="0" xfId="2" applyFont="1" applyBorder="1" applyAlignment="1">
      <alignment horizontal="center" vertical="center" wrapText="1"/>
    </xf>
    <xf numFmtId="0" fontId="0" fillId="0" borderId="124" xfId="2" applyNumberFormat="1" applyFont="1" applyBorder="1" applyAlignment="1">
      <alignment horizontal="center" vertical="center" wrapText="1"/>
    </xf>
    <xf numFmtId="164" fontId="0" fillId="0" borderId="124" xfId="2" applyFont="1" applyBorder="1" applyAlignment="1">
      <alignment horizontal="center" vertical="center" wrapText="1"/>
    </xf>
    <xf numFmtId="0" fontId="0" fillId="0" borderId="125" xfId="2" applyNumberFormat="1" applyFont="1" applyBorder="1" applyAlignment="1">
      <alignment horizontal="center" vertical="center" wrapText="1"/>
    </xf>
    <xf numFmtId="164" fontId="0" fillId="0" borderId="125" xfId="2" applyFont="1" applyBorder="1" applyAlignment="1">
      <alignment horizontal="center" vertical="center" wrapText="1"/>
    </xf>
    <xf numFmtId="0" fontId="0" fillId="0" borderId="125" xfId="2" applyNumberFormat="1" applyFont="1" applyBorder="1" applyAlignment="1">
      <alignment horizontal="center" vertical="center"/>
    </xf>
    <xf numFmtId="164" fontId="0" fillId="0" borderId="125" xfId="2" applyFont="1" applyBorder="1" applyAlignment="1">
      <alignment horizontal="center" vertical="center"/>
    </xf>
    <xf numFmtId="0" fontId="0" fillId="0" borderId="0" xfId="2" applyNumberFormat="1" applyFont="1" applyBorder="1" applyAlignment="1">
      <alignment horizontal="center" vertical="center"/>
    </xf>
    <xf numFmtId="0" fontId="1" fillId="2" borderId="0" xfId="2" applyNumberFormat="1" applyFont="1" applyFill="1" applyBorder="1" applyAlignment="1">
      <alignment horizontal="left" vertical="center"/>
    </xf>
    <xf numFmtId="0" fontId="21" fillId="2" borderId="0" xfId="7" applyFill="1" applyAlignment="1">
      <alignment horizontal="center"/>
    </xf>
    <xf numFmtId="0" fontId="21" fillId="0" borderId="0" xfId="7" applyAlignment="1">
      <alignment horizontal="center"/>
    </xf>
    <xf numFmtId="164" fontId="0" fillId="0" borderId="0" xfId="2" applyFont="1" applyBorder="1" applyAlignment="1">
      <alignment horizontal="center"/>
    </xf>
    <xf numFmtId="0" fontId="21" fillId="2" borderId="89" xfId="7" applyFill="1" applyBorder="1" applyAlignment="1">
      <alignment horizontal="center" vertical="center" wrapText="1"/>
    </xf>
    <xf numFmtId="12" fontId="21" fillId="0" borderId="95" xfId="7" applyNumberFormat="1" applyBorder="1" applyAlignment="1">
      <alignment horizontal="center" vertical="center" wrapText="1"/>
    </xf>
    <xf numFmtId="0" fontId="0" fillId="2" borderId="89" xfId="0" applyFill="1" applyBorder="1" applyAlignment="1">
      <alignment horizontal="center" vertical="center" wrapText="1"/>
    </xf>
    <xf numFmtId="0" fontId="0" fillId="0" borderId="100" xfId="0" applyBorder="1" applyAlignment="1">
      <alignment horizontal="center" vertical="center" wrapText="1"/>
    </xf>
    <xf numFmtId="0" fontId="0" fillId="0" borderId="94" xfId="0" applyBorder="1" applyAlignment="1">
      <alignment horizontal="center" vertical="center" wrapText="1"/>
    </xf>
    <xf numFmtId="0" fontId="0" fillId="0" borderId="95" xfId="0" applyBorder="1" applyAlignment="1">
      <alignment horizontal="center" vertical="center" wrapText="1"/>
    </xf>
    <xf numFmtId="0" fontId="21" fillId="0" borderId="26" xfId="7" applyBorder="1" applyAlignment="1">
      <alignment horizontal="center" vertical="center" wrapText="1"/>
    </xf>
    <xf numFmtId="12" fontId="21" fillId="0" borderId="100" xfId="7" applyNumberFormat="1" applyBorder="1" applyAlignment="1">
      <alignment horizontal="center" vertical="center" wrapText="1"/>
    </xf>
    <xf numFmtId="12" fontId="21" fillId="0" borderId="26" xfId="7" applyNumberFormat="1" applyBorder="1" applyAlignment="1">
      <alignment horizontal="center" vertical="center" wrapText="1"/>
    </xf>
    <xf numFmtId="12" fontId="21" fillId="0" borderId="96" xfId="7" applyNumberFormat="1" applyBorder="1" applyAlignment="1">
      <alignment horizontal="center" vertical="center" wrapText="1"/>
    </xf>
    <xf numFmtId="12" fontId="21" fillId="0" borderId="87" xfId="7" applyNumberFormat="1" applyBorder="1" applyAlignment="1">
      <alignment horizontal="center" vertical="center" wrapText="1"/>
    </xf>
    <xf numFmtId="12" fontId="21" fillId="0" borderId="97" xfId="7" applyNumberFormat="1" applyBorder="1" applyAlignment="1">
      <alignment horizontal="center" vertical="center" wrapText="1"/>
    </xf>
    <xf numFmtId="0" fontId="21" fillId="0" borderId="89" xfId="7" applyBorder="1" applyAlignment="1">
      <alignment horizontal="center" vertical="center" wrapText="1"/>
    </xf>
    <xf numFmtId="0" fontId="21" fillId="0" borderId="90" xfId="7" applyBorder="1" applyAlignment="1">
      <alignment horizontal="center" vertical="center" wrapText="1"/>
    </xf>
    <xf numFmtId="0" fontId="21" fillId="0" borderId="91" xfId="7" applyBorder="1" applyAlignment="1">
      <alignment horizontal="center" vertical="center" wrapText="1"/>
    </xf>
    <xf numFmtId="0" fontId="21" fillId="2" borderId="90" xfId="7" applyFill="1" applyBorder="1" applyAlignment="1">
      <alignment horizontal="center" vertical="center" wrapText="1"/>
    </xf>
    <xf numFmtId="0" fontId="21" fillId="2" borderId="91" xfId="7" applyFill="1" applyBorder="1" applyAlignment="1">
      <alignment horizontal="center" vertical="center" wrapText="1"/>
    </xf>
    <xf numFmtId="0" fontId="0" fillId="2" borderId="91" xfId="0" applyFill="1" applyBorder="1" applyAlignment="1">
      <alignment horizontal="center" vertical="center" wrapText="1"/>
    </xf>
    <xf numFmtId="0" fontId="0" fillId="2" borderId="100" xfId="0" applyFill="1" applyBorder="1" applyAlignment="1">
      <alignment horizontal="center" vertical="center" wrapText="1"/>
    </xf>
    <xf numFmtId="0" fontId="0" fillId="0" borderId="98" xfId="0" applyBorder="1" applyAlignment="1">
      <alignment horizontal="center" vertical="center" wrapText="1"/>
    </xf>
    <xf numFmtId="0" fontId="21" fillId="2" borderId="97" xfId="7" applyFill="1" applyBorder="1" applyAlignment="1">
      <alignment horizontal="center" vertical="center" wrapText="1"/>
    </xf>
    <xf numFmtId="0" fontId="21" fillId="0" borderId="0" xfId="7" applyAlignment="1">
      <alignment horizontal="center" vertical="center" wrapText="1"/>
    </xf>
    <xf numFmtId="0" fontId="21" fillId="0" borderId="96" xfId="7" applyBorder="1" applyAlignment="1">
      <alignment horizontal="center" vertical="center" wrapText="1"/>
    </xf>
    <xf numFmtId="0" fontId="21" fillId="0" borderId="97" xfId="7" applyBorder="1" applyAlignment="1">
      <alignment horizontal="center" vertical="center" wrapText="1"/>
    </xf>
    <xf numFmtId="0" fontId="0" fillId="0" borderId="96" xfId="0" applyBorder="1" applyAlignment="1">
      <alignment horizontal="center" vertical="center" wrapText="1"/>
    </xf>
    <xf numFmtId="0" fontId="0" fillId="0" borderId="97" xfId="0" applyBorder="1" applyAlignment="1">
      <alignment horizontal="center" vertical="center" wrapText="1"/>
    </xf>
    <xf numFmtId="0" fontId="37" fillId="0" borderId="0" xfId="7" applyFont="1"/>
    <xf numFmtId="0" fontId="37" fillId="2" borderId="0" xfId="7" applyFont="1" applyFill="1"/>
    <xf numFmtId="2" fontId="1" fillId="2" borderId="0" xfId="2" applyNumberFormat="1" applyFont="1" applyFill="1" applyBorder="1"/>
    <xf numFmtId="164" fontId="1" fillId="2" borderId="0" xfId="2" applyFont="1" applyFill="1" applyBorder="1"/>
    <xf numFmtId="1" fontId="1" fillId="2" borderId="0" xfId="2" applyNumberFormat="1" applyFont="1" applyFill="1" applyBorder="1" applyAlignment="1">
      <alignment horizontal="center"/>
    </xf>
    <xf numFmtId="164" fontId="1" fillId="2" borderId="0" xfId="2" applyFont="1" applyFill="1" applyBorder="1" applyAlignment="1">
      <alignment horizontal="center"/>
    </xf>
    <xf numFmtId="2" fontId="1" fillId="2" borderId="123" xfId="2" applyNumberFormat="1" applyFont="1" applyFill="1" applyBorder="1"/>
    <xf numFmtId="164" fontId="1" fillId="2" borderId="0" xfId="2" applyFont="1" applyFill="1" applyBorder="1" applyAlignment="1">
      <alignment horizontal="right" indent="1"/>
    </xf>
    <xf numFmtId="0" fontId="21" fillId="0" borderId="25" xfId="7" applyBorder="1" applyAlignment="1">
      <alignment horizontal="center" vertical="center" wrapText="1"/>
    </xf>
    <xf numFmtId="0" fontId="12" fillId="18" borderId="0" xfId="7" applyFont="1" applyFill="1"/>
    <xf numFmtId="0" fontId="12" fillId="2" borderId="0" xfId="7" applyFont="1" applyFill="1"/>
    <xf numFmtId="0" fontId="12" fillId="2" borderId="0" xfId="7" applyFont="1" applyFill="1" applyAlignment="1">
      <alignment horizontal="right"/>
    </xf>
    <xf numFmtId="2" fontId="12" fillId="2" borderId="0" xfId="7" applyNumberFormat="1" applyFont="1" applyFill="1" applyAlignment="1">
      <alignment horizontal="right"/>
    </xf>
    <xf numFmtId="0" fontId="38" fillId="2" borderId="55" xfId="7" applyFont="1" applyFill="1" applyBorder="1" applyAlignment="1">
      <alignment horizontal="right" indent="1"/>
    </xf>
    <xf numFmtId="2" fontId="12" fillId="2" borderId="0" xfId="7" applyNumberFormat="1" applyFont="1" applyFill="1"/>
    <xf numFmtId="170" fontId="12" fillId="2" borderId="0" xfId="7" applyNumberFormat="1" applyFont="1" applyFill="1"/>
    <xf numFmtId="0" fontId="12" fillId="2" borderId="0" xfId="7" applyFont="1" applyFill="1" applyAlignment="1">
      <alignment horizontal="center"/>
    </xf>
    <xf numFmtId="166" fontId="12" fillId="2" borderId="0" xfId="7" applyNumberFormat="1" applyFont="1" applyFill="1"/>
    <xf numFmtId="164" fontId="12" fillId="2" borderId="0" xfId="7" applyNumberFormat="1" applyFont="1" applyFill="1"/>
    <xf numFmtId="0" fontId="12" fillId="2" borderId="0" xfId="7" applyFont="1" applyFill="1" applyAlignment="1">
      <alignment horizontal="center" vertical="center"/>
    </xf>
    <xf numFmtId="2" fontId="38" fillId="2" borderId="0" xfId="7" applyNumberFormat="1" applyFont="1" applyFill="1"/>
    <xf numFmtId="0" fontId="38" fillId="2" borderId="0" xfId="7" applyFont="1" applyFill="1" applyAlignment="1">
      <alignment horizontal="right" indent="1"/>
    </xf>
    <xf numFmtId="0" fontId="12" fillId="2" borderId="0" xfId="7" applyFont="1" applyFill="1" applyAlignment="1">
      <alignment horizontal="right" indent="1"/>
    </xf>
    <xf numFmtId="164" fontId="12" fillId="18" borderId="0" xfId="7" applyNumberFormat="1" applyFont="1" applyFill="1"/>
    <xf numFmtId="0" fontId="12" fillId="2" borderId="25" xfId="7" applyFont="1" applyFill="1" applyBorder="1"/>
    <xf numFmtId="0" fontId="12" fillId="2" borderId="46" xfId="7" applyFont="1" applyFill="1" applyBorder="1"/>
    <xf numFmtId="0" fontId="12" fillId="2" borderId="47" xfId="7" applyFont="1" applyFill="1" applyBorder="1"/>
    <xf numFmtId="0" fontId="12" fillId="0" borderId="0" xfId="7" applyFont="1" applyAlignment="1">
      <alignment horizontal="right"/>
    </xf>
    <xf numFmtId="0" fontId="12" fillId="0" borderId="0" xfId="7" applyFont="1"/>
    <xf numFmtId="0" fontId="0" fillId="0" borderId="0" xfId="0" applyAlignment="1">
      <alignment horizontal="right"/>
    </xf>
    <xf numFmtId="2" fontId="0" fillId="2" borderId="0" xfId="0" applyNumberFormat="1" applyFill="1"/>
    <xf numFmtId="0" fontId="0" fillId="0" borderId="48" xfId="0" applyBorder="1" applyAlignment="1">
      <alignment horizontal="center" vertical="center" wrapText="1"/>
    </xf>
    <xf numFmtId="0" fontId="12" fillId="0" borderId="96" xfId="7" applyFont="1" applyBorder="1" applyAlignment="1">
      <alignment horizontal="center" vertical="center"/>
    </xf>
    <xf numFmtId="0" fontId="12" fillId="0" borderId="87" xfId="7" applyFont="1" applyBorder="1" applyAlignment="1">
      <alignment horizontal="center" vertical="center"/>
    </xf>
    <xf numFmtId="0" fontId="12" fillId="0" borderId="97" xfId="7" applyFont="1" applyBorder="1" applyAlignment="1">
      <alignment horizontal="center" vertical="center"/>
    </xf>
    <xf numFmtId="0" fontId="12" fillId="0" borderId="99" xfId="7" applyFont="1" applyBorder="1" applyAlignment="1">
      <alignment horizontal="center" vertical="center"/>
    </xf>
    <xf numFmtId="0" fontId="8" fillId="2" borderId="30" xfId="0" applyFont="1" applyFill="1" applyBorder="1" applyAlignment="1">
      <alignment horizontal="right" vertical="center"/>
    </xf>
    <xf numFmtId="165" fontId="0" fillId="0" borderId="74" xfId="8" applyFont="1" applyFill="1" applyBorder="1" applyAlignment="1">
      <alignment horizontal="center" vertical="center" wrapText="1"/>
    </xf>
    <xf numFmtId="165" fontId="0" fillId="0" borderId="15" xfId="8" applyFont="1" applyFill="1" applyBorder="1" applyAlignment="1">
      <alignment horizontal="center" vertical="center" wrapText="1"/>
    </xf>
    <xf numFmtId="0" fontId="12" fillId="7" borderId="87" xfId="5" applyFont="1" applyFill="1" applyBorder="1" applyAlignment="1">
      <alignment horizontal="center" vertical="center" wrapText="1"/>
    </xf>
    <xf numFmtId="0" fontId="12" fillId="14" borderId="47" xfId="0" applyFont="1" applyFill="1" applyBorder="1"/>
    <xf numFmtId="0" fontId="14" fillId="7" borderId="47" xfId="0" applyFont="1" applyFill="1" applyBorder="1" applyAlignment="1">
      <alignment horizontal="right"/>
    </xf>
    <xf numFmtId="4" fontId="12" fillId="0" borderId="91" xfId="0" applyNumberFormat="1" applyFont="1" applyBorder="1"/>
    <xf numFmtId="0" fontId="13" fillId="7" borderId="25" xfId="0" applyFont="1" applyFill="1" applyBorder="1" applyAlignment="1">
      <alignment vertical="center"/>
    </xf>
    <xf numFmtId="164" fontId="0" fillId="7" borderId="46" xfId="0" applyNumberFormat="1" applyFill="1" applyBorder="1" applyAlignment="1">
      <alignment vertical="center"/>
    </xf>
    <xf numFmtId="0" fontId="0" fillId="7" borderId="46" xfId="0" applyFill="1" applyBorder="1" applyAlignment="1">
      <alignment vertical="center"/>
    </xf>
    <xf numFmtId="0" fontId="0" fillId="0" borderId="0" xfId="0" applyAlignment="1">
      <alignment vertical="center"/>
    </xf>
    <xf numFmtId="168" fontId="0" fillId="7" borderId="46" xfId="2" applyNumberFormat="1" applyFont="1" applyFill="1" applyBorder="1" applyAlignment="1">
      <alignment vertical="center"/>
    </xf>
    <xf numFmtId="165" fontId="0" fillId="0" borderId="0" xfId="0" applyNumberFormat="1"/>
    <xf numFmtId="172" fontId="12" fillId="2" borderId="90" xfId="0" applyNumberFormat="1" applyFont="1" applyFill="1" applyBorder="1" applyAlignment="1">
      <alignment horizontal="center" vertical="center" wrapText="1"/>
    </xf>
    <xf numFmtId="12" fontId="21" fillId="0" borderId="110" xfId="7" applyNumberFormat="1" applyBorder="1" applyAlignment="1">
      <alignment horizontal="center" vertical="center" wrapText="1"/>
    </xf>
    <xf numFmtId="0" fontId="21" fillId="0" borderId="100" xfId="7" applyBorder="1" applyAlignment="1">
      <alignment horizontal="center" vertical="center" wrapText="1"/>
    </xf>
    <xf numFmtId="0" fontId="21" fillId="0" borderId="95" xfId="7" applyBorder="1" applyAlignment="1">
      <alignment horizontal="center" vertical="center" wrapText="1"/>
    </xf>
    <xf numFmtId="12" fontId="21" fillId="0" borderId="0" xfId="7" applyNumberFormat="1" applyAlignment="1">
      <alignment horizontal="center" vertical="center" wrapText="1"/>
    </xf>
    <xf numFmtId="0" fontId="41" fillId="0" borderId="0" xfId="0" applyFont="1" applyAlignment="1">
      <alignment horizontal="center" vertical="center"/>
    </xf>
    <xf numFmtId="0" fontId="41" fillId="20" borderId="0" xfId="0" applyFont="1" applyFill="1"/>
    <xf numFmtId="1" fontId="41" fillId="0" borderId="0" xfId="0" applyNumberFormat="1" applyFont="1" applyAlignment="1">
      <alignment horizontal="center" vertical="center"/>
    </xf>
    <xf numFmtId="0" fontId="41" fillId="0" borderId="0" xfId="0" applyFont="1"/>
    <xf numFmtId="0" fontId="12" fillId="7" borderId="99" xfId="5" applyFont="1" applyFill="1" applyBorder="1" applyAlignment="1">
      <alignment horizontal="center" vertical="center" wrapText="1"/>
    </xf>
    <xf numFmtId="0" fontId="36" fillId="0" borderId="0" xfId="0" applyFont="1" applyAlignment="1">
      <alignment horizontal="left" vertical="center"/>
    </xf>
    <xf numFmtId="165" fontId="0" fillId="0" borderId="0" xfId="8" applyFont="1" applyFill="1" applyBorder="1" applyAlignment="1">
      <alignment horizontal="center" vertical="center" wrapText="1"/>
    </xf>
    <xf numFmtId="0" fontId="0" fillId="7" borderId="46" xfId="0" applyFill="1" applyBorder="1" applyAlignment="1">
      <alignment horizontal="left" vertical="center"/>
    </xf>
    <xf numFmtId="169" fontId="0" fillId="0" borderId="13" xfId="0" applyNumberFormat="1" applyBorder="1" applyAlignment="1">
      <alignment horizontal="center" vertical="center"/>
    </xf>
    <xf numFmtId="169" fontId="0" fillId="0" borderId="15" xfId="0" applyNumberFormat="1" applyBorder="1" applyAlignment="1">
      <alignment horizontal="center" vertical="center"/>
    </xf>
    <xf numFmtId="2" fontId="12" fillId="0" borderId="86" xfId="0" applyNumberFormat="1" applyFont="1" applyBorder="1" applyAlignment="1">
      <alignment horizontal="center" vertical="center" wrapText="1"/>
    </xf>
    <xf numFmtId="2" fontId="12" fillId="0" borderId="74" xfId="8" applyNumberFormat="1" applyFont="1" applyBorder="1" applyAlignment="1">
      <alignment horizontal="center" vertical="center" wrapText="1"/>
    </xf>
    <xf numFmtId="2" fontId="12" fillId="0" borderId="15" xfId="8" applyNumberFormat="1" applyFont="1" applyBorder="1" applyAlignment="1">
      <alignment horizontal="center" vertical="center" wrapText="1"/>
    </xf>
    <xf numFmtId="2" fontId="12" fillId="0" borderId="13" xfId="8" applyNumberFormat="1" applyFont="1" applyBorder="1" applyAlignment="1">
      <alignment horizontal="center" vertical="center" wrapText="1"/>
    </xf>
    <xf numFmtId="2" fontId="12" fillId="0" borderId="18" xfId="8" applyNumberFormat="1" applyFont="1" applyBorder="1" applyAlignment="1">
      <alignment horizontal="center" vertical="center" wrapText="1"/>
    </xf>
    <xf numFmtId="2" fontId="12" fillId="0" borderId="90" xfId="8" applyNumberFormat="1" applyFont="1" applyBorder="1" applyAlignment="1">
      <alignment horizontal="center" vertical="center" wrapText="1"/>
    </xf>
    <xf numFmtId="0" fontId="8" fillId="2" borderId="35" xfId="0" applyFont="1" applyFill="1" applyBorder="1" applyAlignment="1">
      <alignment horizontal="left" vertical="center"/>
    </xf>
    <xf numFmtId="0" fontId="12" fillId="0" borderId="90" xfId="0" applyFont="1" applyBorder="1" applyAlignment="1">
      <alignment horizontal="center" vertical="center" wrapText="1"/>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12" fontId="12" fillId="0" borderId="0" xfId="0" applyNumberFormat="1" applyFont="1" applyAlignment="1">
      <alignment horizontal="center" vertical="center" wrapText="1"/>
    </xf>
    <xf numFmtId="0" fontId="32" fillId="21" borderId="25" xfId="0" applyFont="1" applyFill="1" applyBorder="1"/>
    <xf numFmtId="0" fontId="32" fillId="21" borderId="46" xfId="0" applyFont="1" applyFill="1" applyBorder="1"/>
    <xf numFmtId="12" fontId="32" fillId="21" borderId="46" xfId="0" applyNumberFormat="1" applyFont="1" applyFill="1" applyBorder="1"/>
    <xf numFmtId="0" fontId="32" fillId="21" borderId="47" xfId="0" applyFont="1" applyFill="1" applyBorder="1"/>
    <xf numFmtId="0" fontId="0" fillId="22" borderId="129" xfId="0" applyFill="1" applyBorder="1"/>
    <xf numFmtId="0" fontId="0" fillId="0" borderId="100" xfId="0" applyBorder="1" applyAlignment="1">
      <alignment horizontal="center" vertical="center"/>
    </xf>
    <xf numFmtId="0" fontId="0" fillId="22" borderId="129" xfId="0" applyFill="1" applyBorder="1" applyAlignment="1">
      <alignment horizontal="center" vertical="center" wrapText="1"/>
    </xf>
    <xf numFmtId="0" fontId="0" fillId="0" borderId="96" xfId="0" applyBorder="1" applyAlignment="1">
      <alignment horizontal="center" vertical="center"/>
    </xf>
    <xf numFmtId="12" fontId="0" fillId="0" borderId="87" xfId="0" applyNumberFormat="1" applyBorder="1" applyAlignment="1">
      <alignment horizontal="center" vertical="center"/>
    </xf>
    <xf numFmtId="0" fontId="0" fillId="0" borderId="102" xfId="0" applyBorder="1" applyAlignment="1">
      <alignment horizontal="center" vertical="center"/>
    </xf>
    <xf numFmtId="0" fontId="0" fillId="0" borderId="95" xfId="0" applyBorder="1" applyAlignment="1">
      <alignment horizontal="center" vertical="center"/>
    </xf>
    <xf numFmtId="0" fontId="0" fillId="0" borderId="99" xfId="0" applyBorder="1" applyAlignment="1">
      <alignment horizontal="center" vertical="center"/>
    </xf>
    <xf numFmtId="0" fontId="0" fillId="0" borderId="97" xfId="0" applyBorder="1" applyAlignment="1">
      <alignment horizontal="center" vertical="center"/>
    </xf>
    <xf numFmtId="12" fontId="0" fillId="0" borderId="46" xfId="0" applyNumberFormat="1" applyBorder="1"/>
    <xf numFmtId="12" fontId="0" fillId="0" borderId="47" xfId="0" applyNumberFormat="1" applyBorder="1"/>
    <xf numFmtId="164" fontId="44" fillId="0" borderId="0" xfId="2" applyFont="1" applyFill="1" applyBorder="1" applyAlignment="1">
      <alignment horizontal="right" vertical="center"/>
    </xf>
    <xf numFmtId="0" fontId="32" fillId="23" borderId="25" xfId="0" applyFont="1" applyFill="1" applyBorder="1"/>
    <xf numFmtId="0" fontId="32" fillId="23" borderId="46" xfId="0" applyFont="1" applyFill="1" applyBorder="1"/>
    <xf numFmtId="12" fontId="32" fillId="23" borderId="46" xfId="0" applyNumberFormat="1" applyFont="1" applyFill="1" applyBorder="1"/>
    <xf numFmtId="0" fontId="32" fillId="23" borderId="47" xfId="0" applyFont="1" applyFill="1" applyBorder="1"/>
    <xf numFmtId="0" fontId="0" fillId="0" borderId="87" xfId="0" applyBorder="1" applyAlignment="1">
      <alignment horizontal="center" vertical="center"/>
    </xf>
    <xf numFmtId="0" fontId="32" fillId="17" borderId="25" xfId="0" applyFont="1" applyFill="1" applyBorder="1"/>
    <xf numFmtId="0" fontId="32" fillId="17" borderId="46" xfId="0" applyFont="1" applyFill="1" applyBorder="1"/>
    <xf numFmtId="12" fontId="32" fillId="17" borderId="46" xfId="0" applyNumberFormat="1" applyFont="1" applyFill="1" applyBorder="1"/>
    <xf numFmtId="0" fontId="32" fillId="17" borderId="47" xfId="0" applyFont="1" applyFill="1" applyBorder="1"/>
    <xf numFmtId="0" fontId="32" fillId="5" borderId="25" xfId="0" applyFont="1" applyFill="1" applyBorder="1"/>
    <xf numFmtId="0" fontId="32" fillId="5" borderId="46" xfId="0" applyFont="1" applyFill="1" applyBorder="1"/>
    <xf numFmtId="12" fontId="32" fillId="5" borderId="46" xfId="0" applyNumberFormat="1" applyFont="1" applyFill="1" applyBorder="1"/>
    <xf numFmtId="0" fontId="32" fillId="5" borderId="47" xfId="0" applyFont="1" applyFill="1" applyBorder="1"/>
    <xf numFmtId="0" fontId="32" fillId="24" borderId="25" xfId="0" applyFont="1" applyFill="1" applyBorder="1"/>
    <xf numFmtId="0" fontId="32" fillId="24" borderId="46" xfId="0" applyFont="1" applyFill="1" applyBorder="1"/>
    <xf numFmtId="12" fontId="32" fillId="24" borderId="46" xfId="0" applyNumberFormat="1" applyFont="1" applyFill="1" applyBorder="1"/>
    <xf numFmtId="0" fontId="32" fillId="24" borderId="47" xfId="0" applyFont="1" applyFill="1" applyBorder="1"/>
    <xf numFmtId="0" fontId="32" fillId="11" borderId="25" xfId="0" applyFont="1" applyFill="1" applyBorder="1"/>
    <xf numFmtId="0" fontId="32" fillId="11" borderId="46" xfId="0" applyFont="1" applyFill="1" applyBorder="1"/>
    <xf numFmtId="12" fontId="32" fillId="11" borderId="46" xfId="0" applyNumberFormat="1" applyFont="1" applyFill="1" applyBorder="1"/>
    <xf numFmtId="0" fontId="32" fillId="11" borderId="47" xfId="0" applyFont="1" applyFill="1" applyBorder="1"/>
    <xf numFmtId="0" fontId="32" fillId="25" borderId="25" xfId="0" applyFont="1" applyFill="1" applyBorder="1"/>
    <xf numFmtId="0" fontId="32" fillId="25" borderId="46" xfId="0" applyFont="1" applyFill="1" applyBorder="1"/>
    <xf numFmtId="12" fontId="32" fillId="25" borderId="46" xfId="0" applyNumberFormat="1" applyFont="1" applyFill="1" applyBorder="1"/>
    <xf numFmtId="0" fontId="32" fillId="25" borderId="47" xfId="0" applyFont="1" applyFill="1" applyBorder="1"/>
    <xf numFmtId="12" fontId="20" fillId="0" borderId="0" xfId="5" applyNumberFormat="1" applyFont="1" applyAlignment="1">
      <alignment horizontal="center" vertical="center" wrapText="1"/>
    </xf>
    <xf numFmtId="0" fontId="0" fillId="22" borderId="0" xfId="0" applyFill="1"/>
    <xf numFmtId="0" fontId="0" fillId="26" borderId="25" xfId="0" applyFill="1" applyBorder="1"/>
    <xf numFmtId="0" fontId="0" fillId="26" borderId="46" xfId="0" applyFill="1" applyBorder="1"/>
    <xf numFmtId="12" fontId="0" fillId="26" borderId="46" xfId="0" applyNumberFormat="1" applyFill="1" applyBorder="1"/>
    <xf numFmtId="0" fontId="0" fillId="26" borderId="47" xfId="0" applyFill="1" applyBorder="1"/>
    <xf numFmtId="0" fontId="0" fillId="0" borderId="26" xfId="0" applyBorder="1"/>
    <xf numFmtId="0" fontId="0" fillId="0" borderId="107" xfId="0" applyBorder="1"/>
    <xf numFmtId="0" fontId="0" fillId="0" borderId="72" xfId="0" applyBorder="1"/>
    <xf numFmtId="164" fontId="1" fillId="0" borderId="0" xfId="2" applyFont="1"/>
    <xf numFmtId="2" fontId="32" fillId="23" borderId="46" xfId="0" applyNumberFormat="1" applyFont="1" applyFill="1" applyBorder="1"/>
    <xf numFmtId="2" fontId="0" fillId="0" borderId="100" xfId="0" applyNumberFormat="1" applyBorder="1" applyAlignment="1">
      <alignment horizontal="center" vertical="center"/>
    </xf>
    <xf numFmtId="2" fontId="0" fillId="0" borderId="95" xfId="0" applyNumberFormat="1" applyBorder="1" applyAlignment="1">
      <alignment horizontal="center" vertical="center"/>
    </xf>
    <xf numFmtId="2" fontId="20" fillId="0" borderId="95" xfId="5" applyNumberFormat="1" applyFont="1" applyBorder="1" applyAlignment="1">
      <alignment horizontal="center" vertical="center" wrapText="1"/>
    </xf>
    <xf numFmtId="2" fontId="32" fillId="17" borderId="46" xfId="0" applyNumberFormat="1" applyFont="1" applyFill="1" applyBorder="1"/>
    <xf numFmtId="2" fontId="32" fillId="5" borderId="46" xfId="0" applyNumberFormat="1" applyFont="1" applyFill="1" applyBorder="1"/>
    <xf numFmtId="2" fontId="32" fillId="24" borderId="46" xfId="0" applyNumberFormat="1" applyFont="1" applyFill="1" applyBorder="1"/>
    <xf numFmtId="2" fontId="32" fillId="11" borderId="46" xfId="0" applyNumberFormat="1" applyFont="1" applyFill="1" applyBorder="1"/>
    <xf numFmtId="2" fontId="32" fillId="25" borderId="46" xfId="0" applyNumberFormat="1" applyFont="1" applyFill="1" applyBorder="1"/>
    <xf numFmtId="0" fontId="0" fillId="0" borderId="87" xfId="0" applyBorder="1" applyAlignment="1">
      <alignment horizontal="center" vertical="center" wrapText="1"/>
    </xf>
    <xf numFmtId="164" fontId="19" fillId="0" borderId="90" xfId="2" applyFont="1" applyFill="1" applyBorder="1" applyAlignment="1">
      <alignment horizontal="center" vertical="center" wrapText="1"/>
    </xf>
    <xf numFmtId="164" fontId="22" fillId="2" borderId="0" xfId="2" applyFont="1" applyFill="1" applyBorder="1" applyAlignment="1">
      <alignment horizontal="center" vertical="center" wrapText="1"/>
    </xf>
    <xf numFmtId="164" fontId="22" fillId="2" borderId="58" xfId="2" applyFont="1" applyFill="1" applyBorder="1" applyAlignment="1">
      <alignment horizontal="center" vertical="center" wrapText="1"/>
    </xf>
    <xf numFmtId="164" fontId="24" fillId="8" borderId="49" xfId="2" applyFont="1" applyFill="1" applyBorder="1" applyAlignment="1">
      <alignment horizontal="left" vertical="center" wrapText="1"/>
    </xf>
    <xf numFmtId="164" fontId="20" fillId="0" borderId="47" xfId="2" applyFont="1" applyFill="1" applyBorder="1" applyAlignment="1">
      <alignment horizontal="center" vertical="center" wrapText="1"/>
    </xf>
    <xf numFmtId="164" fontId="20" fillId="0" borderId="97" xfId="2" applyFont="1" applyFill="1" applyBorder="1" applyAlignment="1">
      <alignment horizontal="center" vertical="center" wrapText="1"/>
    </xf>
    <xf numFmtId="164" fontId="22" fillId="2" borderId="49" xfId="2" applyFont="1" applyFill="1" applyBorder="1" applyAlignment="1">
      <alignment horizontal="center" vertical="center" wrapText="1"/>
    </xf>
    <xf numFmtId="164" fontId="20" fillId="0" borderId="91" xfId="2" applyFont="1" applyFill="1" applyBorder="1" applyAlignment="1">
      <alignment horizontal="center" vertical="center" wrapText="1"/>
    </xf>
    <xf numFmtId="164" fontId="20" fillId="0" borderId="108" xfId="2" applyFont="1" applyFill="1" applyBorder="1" applyAlignment="1">
      <alignment horizontal="center" vertical="center" wrapText="1"/>
    </xf>
    <xf numFmtId="164" fontId="24" fillId="11" borderId="0" xfId="2" applyFont="1" applyFill="1" applyBorder="1" applyAlignment="1">
      <alignment horizontal="left" vertical="center" wrapText="1"/>
    </xf>
    <xf numFmtId="164" fontId="21" fillId="0" borderId="0" xfId="2" applyFont="1"/>
    <xf numFmtId="164" fontId="24" fillId="5" borderId="49" xfId="2" applyFont="1" applyFill="1" applyBorder="1" applyAlignment="1">
      <alignment horizontal="left" vertical="center" wrapText="1"/>
    </xf>
    <xf numFmtId="164" fontId="20" fillId="0" borderId="100" xfId="2" applyFont="1" applyFill="1" applyBorder="1" applyAlignment="1">
      <alignment horizontal="center" vertical="center"/>
    </xf>
    <xf numFmtId="164" fontId="20" fillId="0" borderId="95" xfId="2" applyFont="1" applyFill="1" applyBorder="1" applyAlignment="1">
      <alignment horizontal="center" vertical="center"/>
    </xf>
    <xf numFmtId="164" fontId="20" fillId="0" borderId="26" xfId="2" applyFont="1" applyFill="1" applyBorder="1" applyAlignment="1">
      <alignment horizontal="center" vertical="center" wrapText="1"/>
    </xf>
    <xf numFmtId="164" fontId="20" fillId="0" borderId="100" xfId="2" applyFont="1" applyFill="1" applyBorder="1" applyAlignment="1">
      <alignment horizontal="center" vertical="center" wrapText="1"/>
    </xf>
    <xf numFmtId="164" fontId="20" fillId="0" borderId="95" xfId="2" applyFont="1" applyFill="1" applyBorder="1" applyAlignment="1">
      <alignment horizontal="center" vertical="center" wrapText="1"/>
    </xf>
    <xf numFmtId="0" fontId="12" fillId="0" borderId="0" xfId="7" applyFont="1" applyAlignment="1">
      <alignment horizontal="left"/>
    </xf>
    <xf numFmtId="0" fontId="0" fillId="0" borderId="74" xfId="0" applyBorder="1"/>
    <xf numFmtId="0" fontId="0" fillId="0" borderId="15" xfId="0" applyBorder="1"/>
    <xf numFmtId="0" fontId="0" fillId="0" borderId="87" xfId="0" applyBorder="1" applyAlignment="1">
      <alignment vertical="center" wrapText="1"/>
    </xf>
    <xf numFmtId="0" fontId="0" fillId="0" borderId="102" xfId="0" applyBorder="1" applyAlignment="1">
      <alignment horizontal="center" vertical="center" wrapText="1"/>
    </xf>
    <xf numFmtId="0" fontId="0" fillId="0" borderId="118" xfId="0" applyBorder="1" applyAlignment="1">
      <alignment horizontal="center" vertical="center"/>
    </xf>
    <xf numFmtId="0" fontId="0" fillId="0" borderId="35" xfId="0" applyBorder="1" applyAlignment="1">
      <alignment horizontal="center" vertical="center"/>
    </xf>
    <xf numFmtId="0" fontId="36" fillId="14" borderId="49" xfId="0" applyFont="1" applyFill="1" applyBorder="1" applyAlignment="1">
      <alignment horizontal="left" vertical="center"/>
    </xf>
    <xf numFmtId="0" fontId="0" fillId="0" borderId="73" xfId="0" applyBorder="1"/>
    <xf numFmtId="0" fontId="0" fillId="0" borderId="75" xfId="0" applyBorder="1"/>
    <xf numFmtId="0" fontId="0" fillId="0" borderId="14" xfId="0" applyBorder="1"/>
    <xf numFmtId="0" fontId="0" fillId="0" borderId="76" xfId="0" applyBorder="1"/>
    <xf numFmtId="0" fontId="0" fillId="0" borderId="130" xfId="0" applyBorder="1" applyAlignment="1">
      <alignment horizontal="center" vertical="center"/>
    </xf>
    <xf numFmtId="0" fontId="0" fillId="0" borderId="30" xfId="0" applyBorder="1" applyAlignment="1">
      <alignment horizontal="center" vertical="center"/>
    </xf>
    <xf numFmtId="0" fontId="0" fillId="0" borderId="131" xfId="0" applyBorder="1" applyAlignment="1">
      <alignment horizontal="center" vertical="center"/>
    </xf>
    <xf numFmtId="2" fontId="0" fillId="0" borderId="132" xfId="0" applyNumberFormat="1" applyBorder="1" applyAlignment="1">
      <alignment horizontal="center" vertical="center"/>
    </xf>
    <xf numFmtId="2" fontId="0" fillId="0" borderId="36" xfId="0" applyNumberFormat="1" applyBorder="1" applyAlignment="1">
      <alignment horizontal="center" vertical="center"/>
    </xf>
    <xf numFmtId="2" fontId="0" fillId="0" borderId="45" xfId="0" applyNumberFormat="1" applyBorder="1" applyAlignment="1">
      <alignment horizontal="center" vertical="center"/>
    </xf>
    <xf numFmtId="0" fontId="0" fillId="0" borderId="121" xfId="0" applyBorder="1" applyAlignment="1">
      <alignment horizontal="center" vertical="center"/>
    </xf>
    <xf numFmtId="0" fontId="0" fillId="0" borderId="133" xfId="0" applyBorder="1" applyAlignment="1">
      <alignment horizontal="center" vertical="center"/>
    </xf>
    <xf numFmtId="0" fontId="0" fillId="0" borderId="29" xfId="0" applyBorder="1" applyAlignment="1">
      <alignment horizontal="center" vertical="center"/>
    </xf>
    <xf numFmtId="0" fontId="0" fillId="0" borderId="20" xfId="0" applyBorder="1" applyAlignment="1">
      <alignment horizontal="center" vertical="center"/>
    </xf>
    <xf numFmtId="0" fontId="0" fillId="0" borderId="44" xfId="0" applyBorder="1" applyAlignment="1">
      <alignment horizontal="center" vertical="center"/>
    </xf>
    <xf numFmtId="0" fontId="0" fillId="0" borderId="134" xfId="0" applyBorder="1" applyAlignment="1">
      <alignment horizontal="center" vertical="center"/>
    </xf>
    <xf numFmtId="12" fontId="0" fillId="0" borderId="74" xfId="0" applyNumberFormat="1" applyBorder="1" applyAlignment="1">
      <alignment horizontal="center" vertical="center"/>
    </xf>
    <xf numFmtId="2" fontId="0" fillId="0" borderId="74" xfId="0" applyNumberFormat="1" applyBorder="1" applyAlignment="1">
      <alignment horizontal="center" vertical="center"/>
    </xf>
    <xf numFmtId="2" fontId="0" fillId="0" borderId="75" xfId="0" applyNumberFormat="1" applyBorder="1" applyAlignment="1">
      <alignment horizontal="center" vertical="center"/>
    </xf>
    <xf numFmtId="0" fontId="0" fillId="0" borderId="122" xfId="0" applyBorder="1" applyAlignment="1">
      <alignment horizontal="center" vertical="center"/>
    </xf>
    <xf numFmtId="12" fontId="0" fillId="0" borderId="18" xfId="0" applyNumberFormat="1" applyBorder="1" applyAlignment="1">
      <alignment horizontal="center" vertical="center"/>
    </xf>
    <xf numFmtId="0" fontId="0" fillId="0" borderId="18" xfId="0" applyBorder="1" applyAlignment="1">
      <alignment horizontal="center" vertical="center"/>
    </xf>
    <xf numFmtId="0" fontId="0" fillId="4" borderId="15" xfId="0" applyFill="1" applyBorder="1" applyAlignment="1">
      <alignment horizontal="center" vertical="center"/>
    </xf>
    <xf numFmtId="2" fontId="0" fillId="4" borderId="15" xfId="0" applyNumberFormat="1" applyFill="1" applyBorder="1" applyAlignment="1">
      <alignment horizontal="center" vertical="center"/>
    </xf>
    <xf numFmtId="2" fontId="0" fillId="4" borderId="76" xfId="0" applyNumberFormat="1" applyFill="1" applyBorder="1" applyAlignment="1">
      <alignment horizontal="center" vertical="center"/>
    </xf>
    <xf numFmtId="0" fontId="0" fillId="4" borderId="17" xfId="0" applyFill="1" applyBorder="1" applyAlignment="1">
      <alignment horizontal="center" vertical="center"/>
    </xf>
    <xf numFmtId="2" fontId="0" fillId="4" borderId="17" xfId="0" applyNumberFormat="1" applyFill="1" applyBorder="1" applyAlignment="1">
      <alignment horizontal="center" vertical="center"/>
    </xf>
    <xf numFmtId="2" fontId="0" fillId="4" borderId="77" xfId="0" applyNumberFormat="1" applyFill="1" applyBorder="1" applyAlignment="1">
      <alignment horizontal="center" vertical="center"/>
    </xf>
    <xf numFmtId="0" fontId="0" fillId="4" borderId="74" xfId="0" applyFill="1" applyBorder="1" applyAlignment="1">
      <alignment horizontal="center" vertical="center"/>
    </xf>
    <xf numFmtId="2" fontId="0" fillId="4" borderId="74" xfId="0" applyNumberFormat="1" applyFill="1" applyBorder="1" applyAlignment="1">
      <alignment horizontal="center" vertical="center"/>
    </xf>
    <xf numFmtId="2" fontId="0" fillId="4" borderId="75" xfId="0" applyNumberFormat="1" applyFill="1" applyBorder="1" applyAlignment="1">
      <alignment horizontal="center" vertical="center"/>
    </xf>
    <xf numFmtId="0" fontId="0" fillId="4" borderId="13" xfId="0" applyFill="1" applyBorder="1" applyAlignment="1">
      <alignment horizontal="center" vertical="center"/>
    </xf>
    <xf numFmtId="2" fontId="0" fillId="4" borderId="13" xfId="0" applyNumberFormat="1" applyFill="1" applyBorder="1" applyAlignment="1">
      <alignment horizontal="center" vertical="center"/>
    </xf>
    <xf numFmtId="2" fontId="0" fillId="4" borderId="88" xfId="0" applyNumberFormat="1" applyFill="1" applyBorder="1" applyAlignment="1">
      <alignment horizontal="center" vertical="center"/>
    </xf>
    <xf numFmtId="0" fontId="0" fillId="4" borderId="18" xfId="0" applyFill="1" applyBorder="1" applyAlignment="1">
      <alignment horizontal="center" vertical="center"/>
    </xf>
    <xf numFmtId="2" fontId="0" fillId="4" borderId="18" xfId="0" applyNumberFormat="1" applyFill="1" applyBorder="1" applyAlignment="1">
      <alignment horizontal="center" vertical="center"/>
    </xf>
    <xf numFmtId="2" fontId="0" fillId="17" borderId="74" xfId="0" applyNumberFormat="1" applyFill="1" applyBorder="1" applyAlignment="1">
      <alignment horizontal="center" vertical="center"/>
    </xf>
    <xf numFmtId="2" fontId="0" fillId="17" borderId="75" xfId="0" applyNumberFormat="1" applyFill="1" applyBorder="1" applyAlignment="1">
      <alignment horizontal="center" vertical="center"/>
    </xf>
    <xf numFmtId="2" fontId="0" fillId="17" borderId="15" xfId="0" applyNumberFormat="1" applyFill="1" applyBorder="1" applyAlignment="1">
      <alignment horizontal="center" vertical="center"/>
    </xf>
    <xf numFmtId="2" fontId="0" fillId="17" borderId="76" xfId="0" applyNumberFormat="1" applyFill="1" applyBorder="1" applyAlignment="1">
      <alignment horizontal="center" vertical="center"/>
    </xf>
    <xf numFmtId="2" fontId="0" fillId="17" borderId="17" xfId="0" applyNumberFormat="1" applyFill="1" applyBorder="1" applyAlignment="1">
      <alignment horizontal="center" vertical="center"/>
    </xf>
    <xf numFmtId="2" fontId="0" fillId="17" borderId="77" xfId="0" applyNumberFormat="1" applyFill="1" applyBorder="1" applyAlignment="1">
      <alignment horizontal="center" vertical="center"/>
    </xf>
    <xf numFmtId="0" fontId="0" fillId="22" borderId="89" xfId="0" applyFill="1" applyBorder="1" applyAlignment="1">
      <alignment horizontal="center" vertical="center"/>
    </xf>
    <xf numFmtId="12" fontId="0" fillId="22" borderId="90" xfId="0" applyNumberFormat="1" applyFill="1" applyBorder="1" applyAlignment="1">
      <alignment horizontal="center" vertical="center"/>
    </xf>
    <xf numFmtId="0" fontId="0" fillId="22" borderId="90" xfId="0" applyFill="1" applyBorder="1" applyAlignment="1">
      <alignment horizontal="center" vertical="center"/>
    </xf>
    <xf numFmtId="2" fontId="0" fillId="22" borderId="90" xfId="0" applyNumberFormat="1" applyFill="1" applyBorder="1" applyAlignment="1">
      <alignment horizontal="center" vertical="center"/>
    </xf>
    <xf numFmtId="2" fontId="0" fillId="22" borderId="91" xfId="0" applyNumberFormat="1" applyFill="1" applyBorder="1" applyAlignment="1">
      <alignment horizontal="center" vertical="center"/>
    </xf>
    <xf numFmtId="0" fontId="12" fillId="7" borderId="96" xfId="5" applyFont="1" applyFill="1" applyBorder="1" applyAlignment="1">
      <alignment horizontal="center" vertical="center" wrapText="1"/>
    </xf>
    <xf numFmtId="0" fontId="12" fillId="7" borderId="97" xfId="5" applyFont="1" applyFill="1" applyBorder="1" applyAlignment="1">
      <alignment horizontal="center" vertical="center" wrapText="1"/>
    </xf>
    <xf numFmtId="2" fontId="0" fillId="0" borderId="74" xfId="0" applyNumberFormat="1" applyBorder="1" applyAlignment="1">
      <alignment horizontal="center" vertical="center" wrapText="1"/>
    </xf>
    <xf numFmtId="2" fontId="0" fillId="0" borderId="15" xfId="0" applyNumberFormat="1" applyBorder="1" applyAlignment="1">
      <alignment horizontal="center" vertical="center" wrapText="1"/>
    </xf>
    <xf numFmtId="0" fontId="12" fillId="15" borderId="78" xfId="0" applyFont="1" applyFill="1" applyBorder="1" applyAlignment="1" applyProtection="1">
      <alignment horizontal="center" vertical="center" wrapText="1"/>
      <protection locked="0"/>
    </xf>
    <xf numFmtId="0" fontId="12" fillId="15" borderId="73" xfId="0" applyFont="1" applyFill="1" applyBorder="1" applyAlignment="1" applyProtection="1">
      <alignment horizontal="center" vertical="center" wrapText="1"/>
      <protection locked="0"/>
    </xf>
    <xf numFmtId="0" fontId="12" fillId="15" borderId="74" xfId="0" applyFont="1" applyFill="1" applyBorder="1" applyAlignment="1" applyProtection="1">
      <alignment horizontal="center" vertical="center" wrapText="1"/>
      <protection locked="0"/>
    </xf>
    <xf numFmtId="0" fontId="12" fillId="15" borderId="29" xfId="0" applyFont="1" applyFill="1" applyBorder="1" applyAlignment="1" applyProtection="1">
      <alignment horizontal="center" vertical="center" wrapText="1"/>
      <protection locked="0"/>
    </xf>
    <xf numFmtId="0" fontId="12" fillId="15" borderId="14" xfId="0" applyFont="1" applyFill="1" applyBorder="1" applyAlignment="1" applyProtection="1">
      <alignment horizontal="center" vertical="center" wrapText="1"/>
      <protection locked="0"/>
    </xf>
    <xf numFmtId="0" fontId="12" fillId="15" borderId="15" xfId="0" applyFont="1" applyFill="1" applyBorder="1" applyAlignment="1" applyProtection="1">
      <alignment horizontal="center" vertical="center" wrapText="1"/>
      <protection locked="0"/>
    </xf>
    <xf numFmtId="0" fontId="12" fillId="15" borderId="44" xfId="0" applyFont="1" applyFill="1" applyBorder="1" applyAlignment="1" applyProtection="1">
      <alignment horizontal="center" vertical="center" wrapText="1"/>
      <protection locked="0"/>
    </xf>
    <xf numFmtId="0" fontId="12" fillId="15" borderId="16" xfId="0" applyFont="1" applyFill="1" applyBorder="1" applyAlignment="1" applyProtection="1">
      <alignment horizontal="center" vertical="center" wrapText="1"/>
      <protection locked="0"/>
    </xf>
    <xf numFmtId="0" fontId="12" fillId="15" borderId="17" xfId="0" applyFont="1" applyFill="1" applyBorder="1" applyAlignment="1" applyProtection="1">
      <alignment horizontal="center" vertical="center" wrapText="1"/>
      <protection locked="0"/>
    </xf>
    <xf numFmtId="9" fontId="12" fillId="15" borderId="79" xfId="1" applyFont="1" applyFill="1" applyBorder="1" applyAlignment="1" applyProtection="1">
      <alignment horizontal="center" vertical="center" wrapText="1"/>
      <protection locked="0"/>
    </xf>
    <xf numFmtId="9" fontId="12" fillId="15" borderId="80" xfId="1" applyFont="1" applyFill="1" applyBorder="1" applyAlignment="1" applyProtection="1">
      <alignment horizontal="center" vertical="center" wrapText="1"/>
      <protection locked="0"/>
    </xf>
    <xf numFmtId="4" fontId="12" fillId="15" borderId="80" xfId="0" applyNumberFormat="1" applyFont="1" applyFill="1" applyBorder="1" applyAlignment="1" applyProtection="1">
      <alignment horizontal="center" vertical="center"/>
      <protection locked="0"/>
    </xf>
    <xf numFmtId="4" fontId="12" fillId="15" borderId="26" xfId="0" applyNumberFormat="1" applyFont="1" applyFill="1" applyBorder="1" applyAlignment="1" applyProtection="1">
      <alignment horizontal="center" vertical="center"/>
      <protection locked="0"/>
    </xf>
    <xf numFmtId="4" fontId="12" fillId="15" borderId="79" xfId="0" applyNumberFormat="1" applyFont="1" applyFill="1" applyBorder="1" applyAlignment="1" applyProtection="1">
      <alignment horizontal="center" vertical="center"/>
      <protection locked="0"/>
    </xf>
    <xf numFmtId="4" fontId="12" fillId="15" borderId="81" xfId="0" applyNumberFormat="1" applyFont="1" applyFill="1" applyBorder="1" applyAlignment="1" applyProtection="1">
      <alignment horizontal="center" vertical="center"/>
      <protection locked="0"/>
    </xf>
    <xf numFmtId="0" fontId="0" fillId="15" borderId="74" xfId="0" applyFill="1" applyBorder="1" applyAlignment="1" applyProtection="1">
      <alignment horizontal="center" vertical="center"/>
      <protection locked="0"/>
    </xf>
    <xf numFmtId="0" fontId="0" fillId="15" borderId="15" xfId="0" applyFill="1" applyBorder="1" applyAlignment="1" applyProtection="1">
      <alignment horizontal="center" vertical="center"/>
      <protection locked="0"/>
    </xf>
    <xf numFmtId="0" fontId="0" fillId="15" borderId="17" xfId="0" applyFill="1" applyBorder="1" applyAlignment="1" applyProtection="1">
      <alignment horizontal="center" vertical="center"/>
      <protection locked="0"/>
    </xf>
    <xf numFmtId="0" fontId="0" fillId="15" borderId="14" xfId="0" applyFill="1" applyBorder="1" applyAlignment="1" applyProtection="1">
      <alignment horizontal="center" vertical="center"/>
      <protection locked="0"/>
    </xf>
    <xf numFmtId="12" fontId="0" fillId="15" borderId="15" xfId="0" applyNumberFormat="1" applyFill="1" applyBorder="1" applyAlignment="1" applyProtection="1">
      <alignment horizontal="center" vertical="center" wrapText="1"/>
      <protection locked="0"/>
    </xf>
    <xf numFmtId="0" fontId="0" fillId="15" borderId="35" xfId="0" applyFill="1" applyBorder="1" applyAlignment="1" applyProtection="1">
      <alignment horizontal="center" vertical="center"/>
      <protection locked="0"/>
    </xf>
    <xf numFmtId="0" fontId="0" fillId="15" borderId="16" xfId="0" applyFill="1" applyBorder="1" applyAlignment="1" applyProtection="1">
      <alignment horizontal="center" vertical="center"/>
      <protection locked="0"/>
    </xf>
    <xf numFmtId="12" fontId="0" fillId="15" borderId="17" xfId="0" applyNumberFormat="1" applyFill="1" applyBorder="1" applyAlignment="1" applyProtection="1">
      <alignment horizontal="center" vertical="center" wrapText="1"/>
      <protection locked="0"/>
    </xf>
    <xf numFmtId="0" fontId="0" fillId="15" borderId="112" xfId="0" applyFill="1" applyBorder="1" applyAlignment="1" applyProtection="1">
      <alignment horizontal="center" vertical="center"/>
      <protection locked="0"/>
    </xf>
    <xf numFmtId="0" fontId="0" fillId="15" borderId="87" xfId="0" applyFill="1" applyBorder="1" applyAlignment="1" applyProtection="1">
      <alignment horizontal="center" vertical="center"/>
      <protection locked="0"/>
    </xf>
    <xf numFmtId="0" fontId="0" fillId="15" borderId="111" xfId="0" applyFill="1" applyBorder="1" applyAlignment="1" applyProtection="1">
      <alignment horizontal="center" vertical="center"/>
      <protection locked="0"/>
    </xf>
    <xf numFmtId="12" fontId="0" fillId="15" borderId="74" xfId="0" applyNumberFormat="1" applyFill="1" applyBorder="1" applyAlignment="1" applyProtection="1">
      <alignment horizontal="center" vertical="center" wrapText="1"/>
      <protection locked="0"/>
    </xf>
    <xf numFmtId="165" fontId="0" fillId="15" borderId="74" xfId="8" applyFont="1" applyFill="1" applyBorder="1" applyAlignment="1" applyProtection="1">
      <alignment horizontal="center" vertical="center" wrapText="1"/>
      <protection locked="0"/>
    </xf>
    <xf numFmtId="165" fontId="0" fillId="15" borderId="15" xfId="8" applyFont="1" applyFill="1" applyBorder="1" applyAlignment="1" applyProtection="1">
      <alignment horizontal="center" vertical="center" wrapText="1"/>
      <protection locked="0"/>
    </xf>
    <xf numFmtId="0" fontId="0" fillId="15" borderId="13" xfId="0" applyFill="1" applyBorder="1" applyAlignment="1" applyProtection="1">
      <alignment horizontal="center" vertical="center"/>
      <protection locked="0"/>
    </xf>
    <xf numFmtId="9" fontId="0" fillId="15" borderId="118" xfId="1" applyFont="1" applyFill="1" applyBorder="1" applyAlignment="1" applyProtection="1">
      <alignment horizontal="center" vertical="center"/>
      <protection locked="0"/>
    </xf>
    <xf numFmtId="0" fontId="0" fillId="15" borderId="118" xfId="0" applyFill="1" applyBorder="1" applyAlignment="1" applyProtection="1">
      <alignment horizontal="center" vertical="center"/>
      <protection locked="0"/>
    </xf>
    <xf numFmtId="9" fontId="0" fillId="15" borderId="121" xfId="1" applyFont="1" applyFill="1" applyBorder="1" applyAlignment="1" applyProtection="1">
      <alignment horizontal="center" vertical="center"/>
      <protection locked="0"/>
    </xf>
    <xf numFmtId="0" fontId="0" fillId="15" borderId="88" xfId="0" applyFill="1" applyBorder="1" applyAlignment="1" applyProtection="1">
      <alignment horizontal="center" vertical="center"/>
      <protection locked="0"/>
    </xf>
    <xf numFmtId="9" fontId="0" fillId="15" borderId="35" xfId="1" applyFont="1" applyFill="1" applyBorder="1" applyAlignment="1" applyProtection="1">
      <alignment horizontal="center" vertical="center"/>
      <protection locked="0"/>
    </xf>
    <xf numFmtId="0" fontId="0" fillId="15" borderId="79" xfId="0" applyFill="1" applyBorder="1" applyAlignment="1" applyProtection="1">
      <alignment horizontal="center" vertical="center"/>
      <protection locked="0"/>
    </xf>
    <xf numFmtId="0" fontId="0" fillId="15" borderId="36" xfId="0" applyFill="1" applyBorder="1" applyAlignment="1" applyProtection="1">
      <alignment horizontal="center" vertical="center" wrapText="1"/>
      <protection locked="0"/>
    </xf>
    <xf numFmtId="0" fontId="0" fillId="15" borderId="15" xfId="0" applyFill="1" applyBorder="1" applyAlignment="1" applyProtection="1">
      <alignment horizontal="center" vertical="center" wrapText="1"/>
      <protection locked="0"/>
    </xf>
    <xf numFmtId="0" fontId="0" fillId="15" borderId="76" xfId="0" applyFill="1" applyBorder="1" applyAlignment="1" applyProtection="1">
      <alignment horizontal="center" vertical="center" wrapText="1"/>
      <protection locked="0"/>
    </xf>
    <xf numFmtId="0" fontId="0" fillId="15" borderId="80" xfId="0" applyFill="1" applyBorder="1" applyAlignment="1" applyProtection="1">
      <alignment horizontal="center" vertical="center"/>
      <protection locked="0"/>
    </xf>
    <xf numFmtId="0" fontId="0" fillId="15" borderId="81" xfId="0" applyFill="1" applyBorder="1" applyAlignment="1" applyProtection="1">
      <alignment horizontal="center" vertical="center"/>
      <protection locked="0"/>
    </xf>
    <xf numFmtId="0" fontId="16" fillId="15" borderId="36" xfId="0" applyFont="1" applyFill="1" applyBorder="1" applyAlignment="1" applyProtection="1">
      <alignment horizontal="center" vertical="center" wrapText="1"/>
      <protection locked="0"/>
    </xf>
    <xf numFmtId="0" fontId="16" fillId="15" borderId="15" xfId="0" applyFont="1" applyFill="1" applyBorder="1" applyAlignment="1" applyProtection="1">
      <alignment horizontal="center" vertical="center" wrapText="1"/>
      <protection locked="0"/>
    </xf>
    <xf numFmtId="0" fontId="16" fillId="15" borderId="76" xfId="0" applyFont="1" applyFill="1" applyBorder="1" applyAlignment="1" applyProtection="1">
      <alignment horizontal="center" vertical="center" wrapText="1"/>
      <protection locked="0"/>
    </xf>
    <xf numFmtId="0" fontId="16" fillId="15" borderId="45" xfId="0" applyFont="1" applyFill="1" applyBorder="1" applyAlignment="1" applyProtection="1">
      <alignment horizontal="center" vertical="center" wrapText="1"/>
      <protection locked="0"/>
    </xf>
    <xf numFmtId="0" fontId="16" fillId="15" borderId="17" xfId="0" applyFont="1" applyFill="1" applyBorder="1" applyAlignment="1" applyProtection="1">
      <alignment horizontal="center" vertical="center" wrapText="1"/>
      <protection locked="0"/>
    </xf>
    <xf numFmtId="0" fontId="16" fillId="15" borderId="77" xfId="0" applyFont="1" applyFill="1" applyBorder="1" applyAlignment="1" applyProtection="1">
      <alignment horizontal="center" vertical="center" wrapText="1"/>
      <protection locked="0"/>
    </xf>
    <xf numFmtId="0" fontId="16" fillId="15" borderId="82" xfId="0" applyFont="1" applyFill="1" applyBorder="1" applyAlignment="1" applyProtection="1">
      <alignment horizontal="center" vertical="center" wrapText="1"/>
      <protection locked="0"/>
    </xf>
    <xf numFmtId="0" fontId="0" fillId="15" borderId="12" xfId="0" applyFill="1" applyBorder="1" applyAlignment="1" applyProtection="1">
      <alignment horizontal="center" vertical="center"/>
      <protection locked="0"/>
    </xf>
    <xf numFmtId="0" fontId="0" fillId="15" borderId="76" xfId="0" applyFill="1" applyBorder="1" applyAlignment="1" applyProtection="1">
      <alignment horizontal="center" vertical="center"/>
      <protection locked="0"/>
    </xf>
    <xf numFmtId="0" fontId="0" fillId="15" borderId="77" xfId="0" applyFill="1" applyBorder="1" applyAlignment="1" applyProtection="1">
      <alignment horizontal="center" vertical="center"/>
      <protection locked="0"/>
    </xf>
    <xf numFmtId="0" fontId="0" fillId="15" borderId="75" xfId="0" applyFill="1" applyBorder="1" applyAlignment="1" applyProtection="1">
      <alignment horizontal="center" vertical="center"/>
      <protection locked="0"/>
    </xf>
    <xf numFmtId="0" fontId="21" fillId="15" borderId="99" xfId="7" applyFill="1" applyBorder="1" applyAlignment="1" applyProtection="1">
      <alignment horizontal="center" vertical="center" wrapText="1"/>
      <protection locked="0"/>
    </xf>
    <xf numFmtId="0" fontId="21" fillId="15" borderId="87" xfId="7" applyFill="1" applyBorder="1" applyAlignment="1" applyProtection="1">
      <alignment horizontal="center" vertical="center" wrapText="1"/>
      <protection locked="0"/>
    </xf>
    <xf numFmtId="0" fontId="12" fillId="15" borderId="1" xfId="7" applyFont="1" applyFill="1" applyBorder="1" applyProtection="1">
      <protection locked="0"/>
    </xf>
    <xf numFmtId="2" fontId="12" fillId="15" borderId="116" xfId="7" applyNumberFormat="1" applyFont="1" applyFill="1" applyBorder="1" applyProtection="1">
      <protection locked="0"/>
    </xf>
    <xf numFmtId="0" fontId="12" fillId="15" borderId="10" xfId="7" applyFont="1" applyFill="1" applyBorder="1" applyProtection="1">
      <protection locked="0"/>
    </xf>
    <xf numFmtId="2" fontId="1" fillId="15" borderId="116" xfId="2" applyNumberFormat="1" applyFont="1" applyFill="1" applyBorder="1" applyProtection="1">
      <protection locked="0"/>
    </xf>
    <xf numFmtId="2" fontId="1" fillId="15" borderId="1" xfId="2" applyNumberFormat="1" applyFont="1" applyFill="1" applyBorder="1" applyProtection="1">
      <protection locked="0"/>
    </xf>
    <xf numFmtId="12" fontId="1" fillId="15" borderId="1" xfId="2" applyNumberFormat="1" applyFont="1" applyFill="1" applyBorder="1" applyProtection="1">
      <protection locked="0"/>
    </xf>
    <xf numFmtId="1" fontId="1" fillId="15" borderId="1" xfId="2" applyNumberFormat="1" applyFont="1" applyFill="1" applyBorder="1" applyAlignment="1" applyProtection="1">
      <alignment horizontal="center"/>
      <protection locked="0"/>
    </xf>
    <xf numFmtId="164" fontId="1" fillId="15" borderId="1" xfId="2" applyFont="1" applyFill="1" applyBorder="1" applyProtection="1">
      <protection locked="0"/>
    </xf>
    <xf numFmtId="0" fontId="1" fillId="15" borderId="1" xfId="2" applyNumberFormat="1" applyFont="1" applyFill="1" applyBorder="1" applyAlignment="1" applyProtection="1">
      <alignment horizontal="center"/>
      <protection locked="0"/>
    </xf>
    <xf numFmtId="0" fontId="12" fillId="15" borderId="1" xfId="7" applyFont="1" applyFill="1" applyBorder="1" applyAlignment="1" applyProtection="1">
      <alignment horizontal="center" vertical="center"/>
      <protection locked="0"/>
    </xf>
    <xf numFmtId="0" fontId="12" fillId="16" borderId="9" xfId="7" applyFont="1" applyFill="1" applyBorder="1" applyAlignment="1" applyProtection="1">
      <alignment horizontal="center" vertical="center"/>
      <protection locked="0"/>
    </xf>
    <xf numFmtId="0" fontId="12" fillId="16" borderId="1" xfId="7" applyFont="1" applyFill="1" applyBorder="1" applyAlignment="1" applyProtection="1">
      <alignment horizontal="center" vertical="center"/>
      <protection locked="0"/>
    </xf>
    <xf numFmtId="0" fontId="12" fillId="16" borderId="5" xfId="7" applyFont="1" applyFill="1" applyBorder="1" applyAlignment="1" applyProtection="1">
      <alignment horizontal="center" vertical="center"/>
      <protection locked="0"/>
    </xf>
    <xf numFmtId="0" fontId="12" fillId="16" borderId="10" xfId="7" applyFont="1" applyFill="1" applyBorder="1" applyAlignment="1" applyProtection="1">
      <alignment horizontal="center" vertical="center"/>
      <protection locked="0"/>
    </xf>
    <xf numFmtId="0" fontId="12" fillId="16" borderId="126" xfId="7" applyFont="1" applyFill="1" applyBorder="1" applyAlignment="1" applyProtection="1">
      <alignment horizontal="center" vertical="center"/>
      <protection locked="0"/>
    </xf>
    <xf numFmtId="0" fontId="12" fillId="16" borderId="127" xfId="7" applyFont="1" applyFill="1" applyBorder="1" applyAlignment="1" applyProtection="1">
      <alignment horizontal="center" vertical="center"/>
      <protection locked="0"/>
    </xf>
    <xf numFmtId="12" fontId="12" fillId="14" borderId="46" xfId="0" applyNumberFormat="1" applyFont="1" applyFill="1" applyBorder="1" applyAlignment="1">
      <alignment horizontal="center" vertical="center" wrapText="1"/>
    </xf>
    <xf numFmtId="12" fontId="12" fillId="7" borderId="99" xfId="5" applyNumberFormat="1" applyFont="1" applyFill="1" applyBorder="1" applyAlignment="1">
      <alignment horizontal="center" vertical="center" wrapText="1"/>
    </xf>
    <xf numFmtId="172" fontId="12" fillId="7" borderId="87" xfId="5" applyNumberFormat="1" applyFont="1" applyFill="1" applyBorder="1" applyAlignment="1">
      <alignment horizontal="center" vertical="center" wrapText="1"/>
    </xf>
    <xf numFmtId="172" fontId="5" fillId="7" borderId="26" xfId="0" applyNumberFormat="1" applyFont="1" applyFill="1" applyBorder="1" applyAlignment="1">
      <alignment horizontal="center" vertical="center" wrapText="1"/>
    </xf>
    <xf numFmtId="172" fontId="8" fillId="3" borderId="22" xfId="0" applyNumberFormat="1" applyFont="1" applyFill="1" applyBorder="1" applyAlignment="1" applyProtection="1">
      <alignment vertical="center" wrapText="1"/>
      <protection locked="0"/>
    </xf>
    <xf numFmtId="172" fontId="8" fillId="3" borderId="15" xfId="0" applyNumberFormat="1" applyFont="1" applyFill="1" applyBorder="1" applyAlignment="1" applyProtection="1">
      <alignment vertical="center" wrapText="1"/>
      <protection locked="0"/>
    </xf>
    <xf numFmtId="172" fontId="8" fillId="3" borderId="18" xfId="0" applyNumberFormat="1" applyFont="1" applyFill="1" applyBorder="1" applyAlignment="1" applyProtection="1">
      <alignment vertical="center" wrapText="1"/>
      <protection locked="0"/>
    </xf>
    <xf numFmtId="172" fontId="8" fillId="3" borderId="24" xfId="0" applyNumberFormat="1" applyFont="1" applyFill="1" applyBorder="1" applyAlignment="1" applyProtection="1">
      <alignment vertical="center" wrapText="1"/>
      <protection locked="0"/>
    </xf>
    <xf numFmtId="172" fontId="10" fillId="0" borderId="0" xfId="0" applyNumberFormat="1" applyFont="1"/>
    <xf numFmtId="172" fontId="36" fillId="14" borderId="46" xfId="0" applyNumberFormat="1" applyFont="1" applyFill="1" applyBorder="1" applyAlignment="1">
      <alignment horizontal="left" vertical="center"/>
    </xf>
    <xf numFmtId="172" fontId="0" fillId="7" borderId="87" xfId="0" applyNumberFormat="1" applyFill="1" applyBorder="1" applyAlignment="1">
      <alignment horizontal="center" vertical="center" wrapText="1"/>
    </xf>
    <xf numFmtId="172" fontId="0" fillId="15" borderId="74" xfId="0" applyNumberFormat="1" applyFill="1" applyBorder="1" applyAlignment="1" applyProtection="1">
      <alignment horizontal="center" vertical="center" wrapText="1"/>
      <protection locked="0"/>
    </xf>
    <xf numFmtId="172" fontId="0" fillId="15" borderId="15" xfId="0" applyNumberFormat="1" applyFill="1" applyBorder="1" applyAlignment="1" applyProtection="1">
      <alignment horizontal="center" vertical="center" wrapText="1"/>
      <protection locked="0"/>
    </xf>
    <xf numFmtId="172" fontId="36" fillId="0" borderId="0" xfId="0" applyNumberFormat="1" applyFont="1" applyAlignment="1">
      <alignment horizontal="left" vertical="center"/>
    </xf>
    <xf numFmtId="172" fontId="0" fillId="0" borderId="0" xfId="0" applyNumberFormat="1" applyAlignment="1">
      <alignment horizontal="center" vertical="center" wrapText="1"/>
    </xf>
    <xf numFmtId="172" fontId="0" fillId="0" borderId="0" xfId="0" applyNumberFormat="1"/>
    <xf numFmtId="0" fontId="12" fillId="17" borderId="46" xfId="0" applyFont="1" applyFill="1" applyBorder="1" applyAlignment="1">
      <alignment horizontal="right" vertical="center" wrapText="1"/>
    </xf>
    <xf numFmtId="4" fontId="12" fillId="0" borderId="15" xfId="0" applyNumberFormat="1" applyFont="1" applyBorder="1" applyAlignment="1">
      <alignment horizontal="center" vertical="center" wrapText="1"/>
    </xf>
    <xf numFmtId="4" fontId="12" fillId="0" borderId="15" xfId="2" applyNumberFormat="1" applyFont="1" applyBorder="1" applyAlignment="1">
      <alignment horizontal="center" vertical="center" wrapText="1"/>
    </xf>
    <xf numFmtId="4" fontId="12" fillId="0" borderId="13" xfId="2" applyNumberFormat="1" applyFont="1" applyBorder="1" applyAlignment="1">
      <alignment horizontal="center" vertical="center" wrapText="1"/>
    </xf>
    <xf numFmtId="4" fontId="8" fillId="2" borderId="34" xfId="2" applyNumberFormat="1" applyFont="1" applyFill="1" applyBorder="1" applyAlignment="1" applyProtection="1">
      <alignment vertical="center" wrapText="1"/>
    </xf>
    <xf numFmtId="4" fontId="8" fillId="2" borderId="36" xfId="2" applyNumberFormat="1" applyFont="1" applyFill="1" applyBorder="1" applyAlignment="1" applyProtection="1">
      <alignment vertical="center" wrapText="1"/>
    </xf>
    <xf numFmtId="4" fontId="8" fillId="2" borderId="42" xfId="2" applyNumberFormat="1" applyFont="1" applyFill="1" applyBorder="1" applyAlignment="1" applyProtection="1">
      <alignment vertical="center" wrapText="1"/>
    </xf>
    <xf numFmtId="4" fontId="8" fillId="2" borderId="38" xfId="2" applyNumberFormat="1" applyFont="1" applyFill="1" applyBorder="1" applyAlignment="1" applyProtection="1">
      <alignment vertical="center" wrapText="1"/>
    </xf>
    <xf numFmtId="12" fontId="7" fillId="0" borderId="30" xfId="0" applyNumberFormat="1" applyFont="1" applyBorder="1" applyAlignment="1">
      <alignment horizontal="left" vertical="center" wrapText="1"/>
    </xf>
    <xf numFmtId="12" fontId="0" fillId="0" borderId="13" xfId="0" applyNumberFormat="1" applyBorder="1" applyAlignment="1">
      <alignment horizontal="center" vertical="center" wrapText="1"/>
    </xf>
    <xf numFmtId="0" fontId="12" fillId="2" borderId="104" xfId="0" applyFont="1" applyFill="1" applyBorder="1" applyAlignment="1">
      <alignment horizontal="center" vertical="center" wrapText="1"/>
    </xf>
    <xf numFmtId="0" fontId="12" fillId="0" borderId="102" xfId="0" applyFont="1" applyBorder="1" applyAlignment="1">
      <alignment horizontal="center" vertical="center" wrapText="1"/>
    </xf>
    <xf numFmtId="165" fontId="12" fillId="0" borderId="118" xfId="8" applyFont="1" applyBorder="1" applyAlignment="1">
      <alignment horizontal="center" vertical="center" wrapText="1"/>
    </xf>
    <xf numFmtId="12" fontId="21" fillId="0" borderId="72" xfId="7" applyNumberFormat="1" applyBorder="1" applyAlignment="1">
      <alignment horizontal="center" vertical="center" wrapText="1"/>
    </xf>
    <xf numFmtId="12" fontId="21" fillId="0" borderId="107" xfId="7" applyNumberFormat="1" applyBorder="1" applyAlignment="1">
      <alignment horizontal="center" vertical="center" wrapText="1"/>
    </xf>
    <xf numFmtId="10" fontId="12" fillId="0" borderId="15" xfId="1" applyNumberFormat="1" applyFont="1" applyBorder="1" applyAlignment="1">
      <alignment horizontal="center" vertical="center" wrapText="1"/>
    </xf>
    <xf numFmtId="165" fontId="12" fillId="0" borderId="15" xfId="8" applyFont="1" applyFill="1" applyBorder="1" applyAlignment="1">
      <alignment horizontal="center" vertical="center" wrapText="1"/>
    </xf>
    <xf numFmtId="4" fontId="12" fillId="0" borderId="80" xfId="0" applyNumberFormat="1" applyFont="1" applyBorder="1" applyAlignment="1">
      <alignment horizontal="right" indent="2"/>
    </xf>
    <xf numFmtId="4" fontId="43" fillId="0" borderId="26" xfId="0" applyNumberFormat="1" applyFont="1" applyBorder="1" applyAlignment="1">
      <alignment horizontal="right" indent="2"/>
    </xf>
    <xf numFmtId="0" fontId="0" fillId="0" borderId="0" xfId="0" applyAlignment="1">
      <alignment horizontal="right" indent="2"/>
    </xf>
    <xf numFmtId="0" fontId="36" fillId="17" borderId="25" xfId="0" applyFont="1" applyFill="1" applyBorder="1" applyAlignment="1">
      <alignment horizontal="left" vertical="center" indent="2"/>
    </xf>
    <xf numFmtId="0" fontId="36" fillId="17" borderId="57" xfId="0" applyFont="1" applyFill="1" applyBorder="1" applyAlignment="1">
      <alignment horizontal="left" vertical="center" indent="2"/>
    </xf>
    <xf numFmtId="4" fontId="12" fillId="0" borderId="76" xfId="0" applyNumberFormat="1" applyFont="1" applyBorder="1" applyAlignment="1">
      <alignment horizontal="center" vertical="center"/>
    </xf>
    <xf numFmtId="4" fontId="12" fillId="0" borderId="128" xfId="0" applyNumberFormat="1" applyFont="1" applyBorder="1" applyAlignment="1">
      <alignment horizontal="center" vertical="center"/>
    </xf>
    <xf numFmtId="4" fontId="12" fillId="0" borderId="91" xfId="0" applyNumberFormat="1" applyFont="1" applyBorder="1" applyAlignment="1">
      <alignment horizontal="center" vertical="center"/>
    </xf>
    <xf numFmtId="0" fontId="12" fillId="17" borderId="61" xfId="0" applyFont="1" applyFill="1" applyBorder="1" applyAlignment="1">
      <alignment horizontal="center" vertical="center" wrapText="1"/>
    </xf>
    <xf numFmtId="165" fontId="12" fillId="0" borderId="41" xfId="8" applyFont="1" applyBorder="1" applyAlignment="1">
      <alignment horizontal="center" vertical="center" wrapText="1"/>
    </xf>
    <xf numFmtId="165" fontId="12" fillId="0" borderId="17" xfId="8" applyFont="1" applyBorder="1" applyAlignment="1">
      <alignment horizontal="center" vertical="center" wrapText="1"/>
    </xf>
    <xf numFmtId="0" fontId="0" fillId="0" borderId="111" xfId="0" applyBorder="1" applyAlignment="1">
      <alignment horizontal="center" vertical="center"/>
    </xf>
    <xf numFmtId="0" fontId="0" fillId="0" borderId="112" xfId="0" applyBorder="1" applyAlignment="1">
      <alignment horizontal="center" vertical="center"/>
    </xf>
    <xf numFmtId="0" fontId="0" fillId="7" borderId="96" xfId="0" applyFill="1" applyBorder="1" applyAlignment="1">
      <alignment horizontal="center" vertical="center"/>
    </xf>
    <xf numFmtId="4" fontId="12" fillId="0" borderId="88" xfId="0" applyNumberFormat="1" applyFont="1" applyBorder="1" applyAlignment="1">
      <alignment horizontal="center" vertical="center"/>
    </xf>
    <xf numFmtId="0" fontId="12" fillId="0" borderId="100"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95" xfId="0" applyFont="1" applyBorder="1" applyAlignment="1">
      <alignment horizontal="center" vertical="center" wrapText="1"/>
    </xf>
    <xf numFmtId="4" fontId="12" fillId="0" borderId="135" xfId="0" applyNumberFormat="1" applyFont="1" applyBorder="1" applyAlignment="1">
      <alignment horizontal="right" indent="2"/>
    </xf>
    <xf numFmtId="165" fontId="49" fillId="17" borderId="47" xfId="8" applyFont="1" applyFill="1" applyBorder="1" applyAlignment="1">
      <alignment horizontal="center" vertical="center" wrapText="1"/>
    </xf>
    <xf numFmtId="0" fontId="49" fillId="17" borderId="25" xfId="0" applyFont="1" applyFill="1" applyBorder="1" applyAlignment="1">
      <alignment horizontal="left" vertical="center"/>
    </xf>
    <xf numFmtId="0" fontId="0" fillId="2" borderId="49" xfId="0" applyFill="1" applyBorder="1" applyAlignment="1">
      <alignment horizontal="right"/>
    </xf>
    <xf numFmtId="0" fontId="0" fillId="2" borderId="0" xfId="0" applyFill="1" applyAlignment="1">
      <alignment horizontal="right"/>
    </xf>
    <xf numFmtId="0" fontId="0" fillId="2" borderId="58" xfId="0" applyFill="1" applyBorder="1" applyAlignment="1">
      <alignment horizontal="right"/>
    </xf>
    <xf numFmtId="0" fontId="36" fillId="2" borderId="0" xfId="0" applyFont="1" applyFill="1" applyAlignment="1">
      <alignment horizontal="left" vertical="center"/>
    </xf>
    <xf numFmtId="0" fontId="0" fillId="2" borderId="0" xfId="0" applyFill="1" applyAlignment="1">
      <alignment horizontal="center" vertical="center" wrapText="1"/>
    </xf>
    <xf numFmtId="12" fontId="0" fillId="2" borderId="0" xfId="0" applyNumberFormat="1" applyFill="1" applyAlignment="1">
      <alignment horizontal="center" vertical="center" wrapText="1"/>
    </xf>
    <xf numFmtId="12" fontId="0" fillId="2" borderId="0" xfId="0" applyNumberFormat="1" applyFill="1" applyAlignment="1" applyProtection="1">
      <alignment horizontal="center" vertical="center" wrapText="1"/>
      <protection locked="0"/>
    </xf>
    <xf numFmtId="0" fontId="0" fillId="2" borderId="0" xfId="0" applyFill="1" applyAlignment="1" applyProtection="1">
      <alignment horizontal="center" vertical="center" wrapText="1"/>
      <protection locked="0"/>
    </xf>
    <xf numFmtId="165" fontId="0" fillId="0" borderId="76" xfId="8" applyFont="1" applyFill="1" applyBorder="1" applyAlignment="1">
      <alignment horizontal="center" vertical="center" wrapText="1"/>
    </xf>
    <xf numFmtId="12" fontId="0" fillId="2" borderId="14" xfId="0" applyNumberFormat="1" applyFill="1" applyBorder="1" applyAlignment="1" applyProtection="1">
      <alignment horizontal="center" vertical="center" wrapText="1"/>
      <protection locked="0"/>
    </xf>
    <xf numFmtId="165" fontId="0" fillId="15" borderId="17" xfId="8" applyFont="1" applyFill="1" applyBorder="1" applyAlignment="1" applyProtection="1">
      <alignment horizontal="center" vertical="center" wrapText="1"/>
      <protection locked="0"/>
    </xf>
    <xf numFmtId="165" fontId="0" fillId="0" borderId="77" xfId="8" applyFont="1" applyFill="1" applyBorder="1" applyAlignment="1">
      <alignment horizontal="center" vertical="center" wrapText="1"/>
    </xf>
    <xf numFmtId="0" fontId="36" fillId="14" borderId="58" xfId="0" applyFont="1" applyFill="1" applyBorder="1" applyAlignment="1">
      <alignment horizontal="left" vertical="center"/>
    </xf>
    <xf numFmtId="165" fontId="0" fillId="0" borderId="75" xfId="8" applyFont="1" applyFill="1" applyBorder="1" applyAlignment="1">
      <alignment horizontal="center" vertical="center" wrapText="1"/>
    </xf>
    <xf numFmtId="165" fontId="49" fillId="14" borderId="47" xfId="0" applyNumberFormat="1" applyFont="1" applyFill="1" applyBorder="1" applyAlignment="1">
      <alignment horizontal="left" vertical="center"/>
    </xf>
    <xf numFmtId="165" fontId="12" fillId="0" borderId="55" xfId="8" applyFont="1" applyBorder="1" applyAlignment="1">
      <alignment horizontal="center" vertical="center" wrapText="1"/>
    </xf>
    <xf numFmtId="12" fontId="42" fillId="0" borderId="0" xfId="0" applyNumberFormat="1" applyFont="1" applyAlignment="1">
      <alignment horizontal="center" vertical="center" wrapText="1"/>
    </xf>
    <xf numFmtId="0" fontId="0" fillId="7" borderId="102" xfId="0" applyFill="1" applyBorder="1" applyAlignment="1">
      <alignment horizontal="center" vertical="center" wrapText="1"/>
    </xf>
    <xf numFmtId="0" fontId="0" fillId="7" borderId="96" xfId="0" applyFill="1" applyBorder="1" applyAlignment="1">
      <alignment horizontal="center" vertical="center" wrapText="1"/>
    </xf>
    <xf numFmtId="4" fontId="12" fillId="0" borderId="80" xfId="0" applyNumberFormat="1" applyFont="1" applyBorder="1"/>
    <xf numFmtId="4" fontId="12" fillId="0" borderId="26" xfId="0" applyNumberFormat="1" applyFont="1" applyBorder="1"/>
    <xf numFmtId="4" fontId="12" fillId="0" borderId="79" xfId="0" applyNumberFormat="1" applyFont="1" applyBorder="1"/>
    <xf numFmtId="4" fontId="12" fillId="0" borderId="81" xfId="0" applyNumberFormat="1" applyFont="1" applyBorder="1"/>
    <xf numFmtId="4" fontId="12" fillId="0" borderId="47" xfId="0" applyNumberFormat="1" applyFont="1" applyBorder="1"/>
    <xf numFmtId="0" fontId="36" fillId="14" borderId="47" xfId="0" applyFont="1" applyFill="1" applyBorder="1" applyAlignment="1">
      <alignment horizontal="left" vertical="center"/>
    </xf>
    <xf numFmtId="164" fontId="0" fillId="0" borderId="74" xfId="2" applyFont="1" applyFill="1" applyBorder="1" applyAlignment="1">
      <alignment horizontal="center" vertical="center" wrapText="1"/>
    </xf>
    <xf numFmtId="164" fontId="0" fillId="0" borderId="15" xfId="2" applyFont="1" applyFill="1" applyBorder="1" applyAlignment="1">
      <alignment horizontal="center" vertical="center" wrapText="1"/>
    </xf>
    <xf numFmtId="164" fontId="0" fillId="0" borderId="111" xfId="2" applyFont="1" applyFill="1" applyBorder="1" applyAlignment="1">
      <alignment horizontal="center" vertical="center" wrapText="1"/>
    </xf>
    <xf numFmtId="164" fontId="0" fillId="0" borderId="35" xfId="2" applyFont="1" applyFill="1" applyBorder="1" applyAlignment="1">
      <alignment horizontal="center" vertical="center" wrapText="1"/>
    </xf>
    <xf numFmtId="164" fontId="0" fillId="0" borderId="75" xfId="2" applyFont="1" applyFill="1" applyBorder="1" applyAlignment="1">
      <alignment horizontal="center" vertical="center" wrapText="1"/>
    </xf>
    <xf numFmtId="164" fontId="0" fillId="0" borderId="76" xfId="2" applyFont="1" applyFill="1" applyBorder="1" applyAlignment="1">
      <alignment horizontal="center" vertical="center" wrapText="1"/>
    </xf>
    <xf numFmtId="164" fontId="0" fillId="15" borderId="73" xfId="2" applyFont="1" applyFill="1" applyBorder="1" applyAlignment="1" applyProtection="1">
      <alignment horizontal="center" vertical="center" wrapText="1"/>
      <protection locked="0"/>
    </xf>
    <xf numFmtId="164" fontId="0" fillId="15" borderId="74" xfId="2" applyFont="1" applyFill="1" applyBorder="1" applyAlignment="1" applyProtection="1">
      <alignment horizontal="center" vertical="center" wrapText="1"/>
      <protection locked="0"/>
    </xf>
    <xf numFmtId="164" fontId="0" fillId="15" borderId="14" xfId="2" applyFont="1" applyFill="1" applyBorder="1" applyAlignment="1" applyProtection="1">
      <alignment horizontal="center" vertical="center" wrapText="1"/>
      <protection locked="0"/>
    </xf>
    <xf numFmtId="164" fontId="0" fillId="15" borderId="15" xfId="2" applyFont="1" applyFill="1" applyBorder="1" applyAlignment="1" applyProtection="1">
      <alignment horizontal="center" vertical="center" wrapText="1"/>
      <protection locked="0"/>
    </xf>
    <xf numFmtId="0" fontId="8" fillId="0" borderId="35" xfId="0" applyFont="1" applyBorder="1" applyAlignment="1">
      <alignment horizontal="left" vertical="center"/>
    </xf>
    <xf numFmtId="164" fontId="8" fillId="2" borderId="36" xfId="2" applyFont="1" applyFill="1" applyBorder="1" applyAlignment="1" applyProtection="1">
      <alignment horizontal="left" vertical="center" wrapText="1" indent="2"/>
    </xf>
    <xf numFmtId="164" fontId="8" fillId="2" borderId="36" xfId="2" applyFont="1" applyFill="1" applyBorder="1" applyAlignment="1" applyProtection="1">
      <alignment horizontal="left" vertical="center" wrapText="1" indent="4"/>
    </xf>
    <xf numFmtId="0" fontId="7" fillId="2" borderId="44" xfId="0" applyFont="1" applyFill="1" applyBorder="1" applyAlignment="1">
      <alignment horizontal="right" vertical="center" indent="1"/>
    </xf>
    <xf numFmtId="12" fontId="7" fillId="2" borderId="131" xfId="0" applyNumberFormat="1" applyFont="1" applyFill="1" applyBorder="1" applyAlignment="1">
      <alignment horizontal="left" vertical="center" wrapText="1"/>
    </xf>
    <xf numFmtId="0" fontId="8" fillId="2" borderId="17" xfId="0" applyFont="1" applyFill="1" applyBorder="1" applyAlignment="1">
      <alignment horizontal="center" vertical="center" wrapText="1"/>
    </xf>
    <xf numFmtId="0" fontId="8" fillId="2" borderId="112" xfId="0" applyFont="1" applyFill="1" applyBorder="1" applyAlignment="1">
      <alignment vertical="center"/>
    </xf>
    <xf numFmtId="0" fontId="8" fillId="2" borderId="131" xfId="0" applyFont="1" applyFill="1" applyBorder="1" applyAlignment="1">
      <alignment vertical="center" wrapText="1"/>
    </xf>
    <xf numFmtId="168" fontId="8" fillId="2" borderId="45" xfId="2" applyNumberFormat="1" applyFont="1" applyFill="1" applyBorder="1" applyAlignment="1" applyProtection="1">
      <alignment vertical="center" wrapText="1"/>
    </xf>
    <xf numFmtId="172" fontId="8" fillId="3" borderId="17" xfId="0" applyNumberFormat="1" applyFont="1" applyFill="1" applyBorder="1" applyAlignment="1" applyProtection="1">
      <alignment vertical="center" wrapText="1"/>
      <protection locked="0"/>
    </xf>
    <xf numFmtId="12" fontId="0" fillId="0" borderId="60" xfId="0" applyNumberFormat="1" applyBorder="1" applyAlignment="1">
      <alignment horizontal="center" vertical="center" wrapText="1"/>
    </xf>
    <xf numFmtId="0" fontId="0" fillId="15" borderId="35" xfId="0" applyFill="1" applyBorder="1" applyAlignment="1" applyProtection="1">
      <alignment horizontal="center" vertical="center" wrapText="1"/>
      <protection locked="0"/>
    </xf>
    <xf numFmtId="0" fontId="16" fillId="15" borderId="35" xfId="0" applyFont="1" applyFill="1" applyBorder="1" applyAlignment="1" applyProtection="1">
      <alignment horizontal="center" vertical="center" wrapText="1"/>
      <protection locked="0"/>
    </xf>
    <xf numFmtId="0" fontId="16" fillId="15" borderId="112" xfId="0" applyFont="1" applyFill="1" applyBorder="1" applyAlignment="1" applyProtection="1">
      <alignment horizontal="center" vertical="center" wrapText="1"/>
      <protection locked="0"/>
    </xf>
    <xf numFmtId="0" fontId="0" fillId="2" borderId="122" xfId="0" applyFill="1" applyBorder="1"/>
    <xf numFmtId="12" fontId="0" fillId="2" borderId="18" xfId="0" applyNumberFormat="1" applyFill="1" applyBorder="1" applyAlignment="1">
      <alignment horizontal="center" vertical="center" wrapText="1"/>
    </xf>
    <xf numFmtId="164" fontId="0" fillId="2" borderId="18" xfId="2" applyFont="1" applyFill="1" applyBorder="1" applyAlignment="1">
      <alignment horizontal="center" vertical="center"/>
    </xf>
    <xf numFmtId="0" fontId="0" fillId="2" borderId="18" xfId="0" applyFill="1" applyBorder="1" applyAlignment="1">
      <alignment horizontal="center" vertical="center"/>
    </xf>
    <xf numFmtId="164" fontId="0" fillId="2" borderId="18" xfId="0" applyNumberFormat="1" applyFill="1" applyBorder="1" applyAlignment="1">
      <alignment horizontal="center" vertical="center"/>
    </xf>
    <xf numFmtId="0" fontId="0" fillId="2" borderId="41" xfId="0" applyFill="1" applyBorder="1"/>
    <xf numFmtId="0" fontId="0" fillId="2" borderId="120" xfId="0" applyFill="1" applyBorder="1"/>
    <xf numFmtId="12" fontId="0" fillId="0" borderId="104" xfId="0" applyNumberFormat="1" applyBorder="1" applyAlignment="1">
      <alignment horizontal="center" vertical="center" wrapText="1"/>
    </xf>
    <xf numFmtId="1" fontId="0" fillId="0" borderId="36" xfId="0" applyNumberFormat="1" applyBorder="1" applyAlignment="1">
      <alignment horizontal="center" vertical="center"/>
    </xf>
    <xf numFmtId="1" fontId="0" fillId="0" borderId="15" xfId="0" applyNumberFormat="1" applyBorder="1" applyAlignment="1">
      <alignment horizontal="center" vertical="center"/>
    </xf>
    <xf numFmtId="1" fontId="0" fillId="0" borderId="82" xfId="0" applyNumberFormat="1" applyBorder="1" applyAlignment="1">
      <alignment horizontal="center" vertical="center"/>
    </xf>
    <xf numFmtId="1" fontId="0" fillId="0" borderId="74" xfId="0" applyNumberFormat="1" applyBorder="1" applyAlignment="1">
      <alignment horizontal="center" vertical="center"/>
    </xf>
    <xf numFmtId="1" fontId="0" fillId="0" borderId="45" xfId="0" applyNumberFormat="1" applyBorder="1" applyAlignment="1">
      <alignment horizontal="center" vertical="center"/>
    </xf>
    <xf numFmtId="1" fontId="0" fillId="0" borderId="17" xfId="0" applyNumberFormat="1" applyBorder="1" applyAlignment="1">
      <alignment horizontal="center" vertical="center"/>
    </xf>
    <xf numFmtId="168" fontId="0" fillId="0" borderId="74" xfId="2" applyNumberFormat="1" applyFont="1" applyFill="1" applyBorder="1" applyAlignment="1">
      <alignment horizontal="center" vertical="center"/>
    </xf>
    <xf numFmtId="168" fontId="0" fillId="0" borderId="15" xfId="2" applyNumberFormat="1" applyFont="1" applyFill="1" applyBorder="1" applyAlignment="1">
      <alignment horizontal="center" vertical="center"/>
    </xf>
    <xf numFmtId="168" fontId="0" fillId="0" borderId="17" xfId="2" applyNumberFormat="1" applyFont="1" applyFill="1" applyBorder="1" applyAlignment="1">
      <alignment horizontal="center" vertical="center"/>
    </xf>
    <xf numFmtId="174" fontId="0" fillId="15" borderId="15" xfId="2" applyNumberFormat="1" applyFont="1" applyFill="1" applyBorder="1" applyAlignment="1" applyProtection="1">
      <alignment horizontal="center" vertical="center"/>
      <protection locked="0"/>
    </xf>
    <xf numFmtId="174" fontId="0" fillId="0" borderId="75" xfId="2" applyNumberFormat="1" applyFont="1" applyBorder="1" applyAlignment="1">
      <alignment horizontal="center" vertical="center"/>
    </xf>
    <xf numFmtId="174" fontId="0" fillId="0" borderId="76" xfId="2" applyNumberFormat="1" applyFont="1" applyBorder="1" applyAlignment="1">
      <alignment horizontal="center" vertical="center"/>
    </xf>
    <xf numFmtId="174" fontId="0" fillId="0" borderId="77" xfId="2" applyNumberFormat="1" applyFont="1" applyBorder="1" applyAlignment="1">
      <alignment horizontal="center" vertical="center"/>
    </xf>
    <xf numFmtId="0" fontId="12" fillId="15" borderId="39" xfId="0" applyFont="1" applyFill="1" applyBorder="1" applyAlignment="1" applyProtection="1">
      <alignment horizontal="center" vertical="center" wrapText="1"/>
      <protection locked="0"/>
    </xf>
    <xf numFmtId="0" fontId="12" fillId="15" borderId="18" xfId="0" applyFont="1" applyFill="1" applyBorder="1" applyAlignment="1" applyProtection="1">
      <alignment horizontal="center" vertical="center" wrapText="1"/>
      <protection locked="0"/>
    </xf>
    <xf numFmtId="1" fontId="12" fillId="15" borderId="18" xfId="0" applyNumberFormat="1" applyFont="1" applyFill="1" applyBorder="1" applyAlignment="1" applyProtection="1">
      <alignment horizontal="center" vertical="center" wrapText="1"/>
      <protection locked="0"/>
    </xf>
    <xf numFmtId="4" fontId="12" fillId="15" borderId="18" xfId="0" applyNumberFormat="1" applyFont="1" applyFill="1" applyBorder="1" applyAlignment="1" applyProtection="1">
      <alignment horizontal="center" vertical="center" wrapText="1"/>
      <protection locked="0"/>
    </xf>
    <xf numFmtId="165" fontId="12" fillId="15" borderId="18" xfId="8" applyFont="1" applyFill="1" applyBorder="1" applyAlignment="1" applyProtection="1">
      <alignment horizontal="center" vertical="center" wrapText="1"/>
      <protection locked="0"/>
    </xf>
    <xf numFmtId="0" fontId="0" fillId="15" borderId="82" xfId="0" applyFill="1" applyBorder="1" applyAlignment="1" applyProtection="1">
      <alignment horizontal="center" vertical="center"/>
      <protection locked="0"/>
    </xf>
    <xf numFmtId="0" fontId="0" fillId="15" borderId="79" xfId="0" applyFill="1" applyBorder="1" applyProtection="1">
      <protection locked="0"/>
    </xf>
    <xf numFmtId="0" fontId="0" fillId="15" borderId="36" xfId="0" applyFill="1" applyBorder="1" applyAlignment="1" applyProtection="1">
      <alignment horizontal="center" vertical="center"/>
      <protection locked="0"/>
    </xf>
    <xf numFmtId="0" fontId="0" fillId="15" borderId="80" xfId="0" applyFill="1" applyBorder="1" applyProtection="1">
      <protection locked="0"/>
    </xf>
    <xf numFmtId="0" fontId="0" fillId="15" borderId="35" xfId="0" applyFill="1" applyBorder="1" applyAlignment="1" applyProtection="1">
      <alignment horizontal="center"/>
      <protection locked="0"/>
    </xf>
    <xf numFmtId="0" fontId="0" fillId="15" borderId="35" xfId="0" applyFill="1" applyBorder="1" applyProtection="1">
      <protection locked="0"/>
    </xf>
    <xf numFmtId="0" fontId="0" fillId="15" borderId="45" xfId="0" applyFill="1" applyBorder="1" applyAlignment="1" applyProtection="1">
      <alignment horizontal="center" vertical="center"/>
      <protection locked="0"/>
    </xf>
    <xf numFmtId="0" fontId="0" fillId="15" borderId="112" xfId="0" applyFill="1" applyBorder="1" applyProtection="1">
      <protection locked="0"/>
    </xf>
    <xf numFmtId="0" fontId="0" fillId="15" borderId="81" xfId="0" applyFill="1" applyBorder="1" applyProtection="1">
      <protection locked="0"/>
    </xf>
    <xf numFmtId="0" fontId="16" fillId="15" borderId="20" xfId="0" applyFont="1" applyFill="1" applyBorder="1" applyAlignment="1" applyProtection="1">
      <alignment horizontal="center" vertical="center" wrapText="1"/>
      <protection locked="0"/>
    </xf>
    <xf numFmtId="0" fontId="0" fillId="15" borderId="13" xfId="0" applyFill="1" applyBorder="1" applyAlignment="1" applyProtection="1">
      <alignment horizontal="center" vertical="center" shrinkToFit="1"/>
      <protection locked="0"/>
    </xf>
    <xf numFmtId="0" fontId="0" fillId="15" borderId="15" xfId="0" applyFill="1" applyBorder="1" applyAlignment="1" applyProtection="1">
      <alignment horizontal="center" vertical="center" shrinkToFit="1"/>
      <protection locked="0"/>
    </xf>
    <xf numFmtId="9" fontId="0" fillId="15" borderId="130" xfId="1" applyFont="1" applyFill="1" applyBorder="1" applyAlignment="1" applyProtection="1">
      <alignment horizontal="center" vertical="center"/>
      <protection locked="0"/>
    </xf>
    <xf numFmtId="0" fontId="0" fillId="15" borderId="74" xfId="0" applyFill="1" applyBorder="1" applyAlignment="1" applyProtection="1">
      <alignment horizontal="center" vertical="center" shrinkToFit="1"/>
      <protection locked="0"/>
    </xf>
    <xf numFmtId="0" fontId="0" fillId="15" borderId="75" xfId="0" applyFill="1" applyBorder="1" applyAlignment="1" applyProtection="1">
      <alignment horizontal="center" vertical="center" shrinkToFit="1"/>
      <protection locked="0"/>
    </xf>
    <xf numFmtId="0" fontId="0" fillId="15" borderId="76" xfId="0" applyFill="1" applyBorder="1" applyAlignment="1" applyProtection="1">
      <alignment horizontal="center" vertical="center" shrinkToFit="1"/>
      <protection locked="0"/>
    </xf>
    <xf numFmtId="0" fontId="0" fillId="15" borderId="14" xfId="0" applyFill="1" applyBorder="1" applyAlignment="1" applyProtection="1">
      <alignment horizontal="center" vertical="center" shrinkToFit="1"/>
      <protection locked="0"/>
    </xf>
    <xf numFmtId="0" fontId="0" fillId="15" borderId="88" xfId="0" applyFill="1" applyBorder="1" applyAlignment="1" applyProtection="1">
      <alignment horizontal="center" vertical="center" shrinkToFit="1"/>
      <protection locked="0"/>
    </xf>
    <xf numFmtId="0" fontId="0" fillId="15" borderId="17" xfId="0" applyFill="1" applyBorder="1" applyAlignment="1" applyProtection="1">
      <alignment horizontal="center" vertical="center" shrinkToFit="1"/>
      <protection locked="0"/>
    </xf>
    <xf numFmtId="0" fontId="0" fillId="15" borderId="77" xfId="0" applyFill="1" applyBorder="1" applyAlignment="1" applyProtection="1">
      <alignment horizontal="center" vertical="center" shrinkToFit="1"/>
      <protection locked="0"/>
    </xf>
    <xf numFmtId="0" fontId="0" fillId="15" borderId="16" xfId="0" applyFill="1" applyBorder="1" applyAlignment="1" applyProtection="1">
      <alignment horizontal="center" vertical="center" shrinkToFit="1"/>
      <protection locked="0"/>
    </xf>
    <xf numFmtId="12" fontId="0" fillId="16" borderId="79" xfId="0" applyNumberFormat="1" applyFill="1" applyBorder="1" applyAlignment="1" applyProtection="1">
      <alignment horizontal="center" vertical="center" shrinkToFit="1"/>
      <protection locked="0"/>
    </xf>
    <xf numFmtId="12" fontId="0" fillId="16" borderId="82" xfId="0" applyNumberFormat="1" applyFill="1" applyBorder="1" applyAlignment="1" applyProtection="1">
      <alignment horizontal="center" vertical="center" shrinkToFit="1"/>
      <protection locked="0"/>
    </xf>
    <xf numFmtId="0" fontId="0" fillId="16" borderId="12" xfId="0" applyFill="1" applyBorder="1" applyAlignment="1" applyProtection="1">
      <alignment horizontal="center" vertical="center" shrinkToFit="1"/>
      <protection locked="0"/>
    </xf>
    <xf numFmtId="0" fontId="0" fillId="16" borderId="13" xfId="0" applyFill="1" applyBorder="1" applyAlignment="1" applyProtection="1">
      <alignment horizontal="center" vertical="center" shrinkToFit="1"/>
      <protection locked="0"/>
    </xf>
    <xf numFmtId="0" fontId="0" fillId="16" borderId="76" xfId="0" applyFill="1" applyBorder="1" applyAlignment="1" applyProtection="1">
      <alignment horizontal="center" vertical="center" shrinkToFit="1"/>
      <protection locked="0"/>
    </xf>
    <xf numFmtId="12" fontId="0" fillId="16" borderId="135" xfId="0" applyNumberFormat="1" applyFill="1" applyBorder="1" applyAlignment="1" applyProtection="1">
      <alignment horizontal="center" vertical="center" shrinkToFit="1"/>
      <protection locked="0"/>
    </xf>
    <xf numFmtId="12" fontId="0" fillId="16" borderId="132" xfId="0" applyNumberFormat="1" applyFill="1" applyBorder="1" applyAlignment="1" applyProtection="1">
      <alignment horizontal="center" vertical="center" shrinkToFit="1"/>
      <protection locked="0"/>
    </xf>
    <xf numFmtId="0" fontId="0" fillId="16" borderId="14" xfId="0" applyFill="1" applyBorder="1" applyAlignment="1" applyProtection="1">
      <alignment horizontal="center" vertical="center" shrinkToFit="1"/>
      <protection locked="0"/>
    </xf>
    <xf numFmtId="0" fontId="0" fillId="16" borderId="15" xfId="0" applyFill="1" applyBorder="1" applyAlignment="1" applyProtection="1">
      <alignment horizontal="center" vertical="center" shrinkToFit="1"/>
      <protection locked="0"/>
    </xf>
    <xf numFmtId="12" fontId="0" fillId="16" borderId="80" xfId="0" applyNumberFormat="1" applyFill="1" applyBorder="1" applyAlignment="1" applyProtection="1">
      <alignment horizontal="center" vertical="center" shrinkToFit="1"/>
      <protection locked="0"/>
    </xf>
    <xf numFmtId="12" fontId="0" fillId="16" borderId="20" xfId="0" applyNumberFormat="1" applyFill="1" applyBorder="1" applyAlignment="1" applyProtection="1">
      <alignment horizontal="center" shrinkToFit="1"/>
      <protection locked="0"/>
    </xf>
    <xf numFmtId="12" fontId="0" fillId="16" borderId="133" xfId="0" applyNumberFormat="1" applyFill="1" applyBorder="1" applyAlignment="1" applyProtection="1">
      <alignment horizontal="center" shrinkToFit="1"/>
      <protection locked="0"/>
    </xf>
    <xf numFmtId="0" fontId="0" fillId="16" borderId="20" xfId="0" applyFill="1" applyBorder="1" applyAlignment="1" applyProtection="1">
      <alignment horizontal="center" shrinkToFit="1"/>
      <protection locked="0"/>
    </xf>
    <xf numFmtId="0" fontId="0" fillId="16" borderId="17" xfId="0" applyFill="1" applyBorder="1" applyAlignment="1" applyProtection="1">
      <alignment horizontal="center" vertical="center" shrinkToFit="1"/>
      <protection locked="0"/>
    </xf>
    <xf numFmtId="0" fontId="0" fillId="16" borderId="77" xfId="0" applyFill="1" applyBorder="1" applyAlignment="1" applyProtection="1">
      <alignment horizontal="center" vertical="center" shrinkToFit="1"/>
      <protection locked="0"/>
    </xf>
    <xf numFmtId="12" fontId="0" fillId="16" borderId="81" xfId="0" applyNumberFormat="1" applyFill="1" applyBorder="1" applyAlignment="1" applyProtection="1">
      <alignment horizontal="center" vertical="center" shrinkToFit="1"/>
      <protection locked="0"/>
    </xf>
    <xf numFmtId="12" fontId="0" fillId="16" borderId="134" xfId="0" applyNumberFormat="1" applyFill="1" applyBorder="1" applyAlignment="1" applyProtection="1">
      <alignment horizontal="center" shrinkToFit="1"/>
      <protection locked="0"/>
    </xf>
    <xf numFmtId="12" fontId="0" fillId="15" borderId="74" xfId="0" applyNumberFormat="1" applyFill="1" applyBorder="1" applyAlignment="1" applyProtection="1">
      <alignment horizontal="center" vertical="center" shrinkToFit="1"/>
      <protection locked="0"/>
    </xf>
    <xf numFmtId="12" fontId="0" fillId="15" borderId="15" xfId="0" applyNumberFormat="1" applyFill="1" applyBorder="1" applyAlignment="1" applyProtection="1">
      <alignment horizontal="center" vertical="center" shrinkToFit="1"/>
      <protection locked="0"/>
    </xf>
    <xf numFmtId="2" fontId="0" fillId="15" borderId="74" xfId="0" applyNumberFormat="1" applyFill="1" applyBorder="1" applyAlignment="1" applyProtection="1">
      <alignment horizontal="center" vertical="center" shrinkToFit="1"/>
      <protection locked="0"/>
    </xf>
    <xf numFmtId="2" fontId="0" fillId="15" borderId="15" xfId="0" applyNumberFormat="1" applyFill="1" applyBorder="1" applyAlignment="1" applyProtection="1">
      <alignment horizontal="center" vertical="center" shrinkToFit="1"/>
      <protection locked="0"/>
    </xf>
    <xf numFmtId="12" fontId="0" fillId="15" borderId="17" xfId="0" applyNumberFormat="1" applyFill="1" applyBorder="1" applyAlignment="1" applyProtection="1">
      <alignment horizontal="center" vertical="center" shrinkToFit="1"/>
      <protection locked="0"/>
    </xf>
    <xf numFmtId="12" fontId="0" fillId="15" borderId="36" xfId="0" applyNumberFormat="1" applyFill="1" applyBorder="1" applyAlignment="1" applyProtection="1">
      <alignment horizontal="center" vertical="center" shrinkToFit="1"/>
      <protection locked="0"/>
    </xf>
    <xf numFmtId="165" fontId="0" fillId="15" borderId="15" xfId="8" applyFont="1" applyFill="1" applyBorder="1" applyAlignment="1" applyProtection="1">
      <alignment horizontal="center" vertical="center" shrinkToFit="1"/>
      <protection locked="0"/>
    </xf>
    <xf numFmtId="12" fontId="0" fillId="15" borderId="13" xfId="0" applyNumberFormat="1" applyFill="1" applyBorder="1" applyAlignment="1" applyProtection="1">
      <alignment horizontal="center" vertical="center" shrinkToFit="1"/>
      <protection locked="0"/>
    </xf>
    <xf numFmtId="165" fontId="0" fillId="15" borderId="13" xfId="8" applyFont="1" applyFill="1" applyBorder="1" applyAlignment="1" applyProtection="1">
      <alignment horizontal="center" vertical="center" shrinkToFit="1"/>
      <protection locked="0"/>
    </xf>
    <xf numFmtId="165" fontId="0" fillId="0" borderId="88" xfId="8" applyFont="1" applyFill="1" applyBorder="1" applyAlignment="1">
      <alignment horizontal="center" vertical="center" wrapText="1"/>
    </xf>
    <xf numFmtId="169" fontId="0" fillId="0" borderId="17" xfId="0" applyNumberFormat="1" applyBorder="1" applyAlignment="1">
      <alignment horizontal="center" vertical="center"/>
    </xf>
    <xf numFmtId="9" fontId="12" fillId="15" borderId="26" xfId="1" applyFont="1" applyFill="1" applyBorder="1" applyAlignment="1" applyProtection="1">
      <alignment horizontal="center" vertical="center" wrapText="1"/>
      <protection locked="0"/>
    </xf>
    <xf numFmtId="0" fontId="12" fillId="0" borderId="121" xfId="0" applyFont="1" applyBorder="1" applyAlignment="1">
      <alignment horizontal="center" vertical="center" wrapText="1"/>
    </xf>
    <xf numFmtId="0" fontId="12" fillId="15" borderId="81" xfId="0" applyFont="1" applyFill="1" applyBorder="1" applyAlignment="1" applyProtection="1">
      <alignment horizontal="center" vertical="center" wrapText="1"/>
      <protection locked="0"/>
    </xf>
    <xf numFmtId="9" fontId="12" fillId="15" borderId="135" xfId="1" applyFont="1" applyFill="1" applyBorder="1" applyAlignment="1" applyProtection="1">
      <alignment horizontal="center" vertical="center" wrapText="1"/>
      <protection locked="0"/>
    </xf>
    <xf numFmtId="9" fontId="12" fillId="15" borderId="81" xfId="1" applyFont="1" applyFill="1" applyBorder="1" applyAlignment="1" applyProtection="1">
      <alignment horizontal="center" vertical="center" wrapText="1"/>
      <protection locked="0"/>
    </xf>
    <xf numFmtId="0" fontId="12" fillId="0" borderId="81" xfId="0" applyFont="1" applyBorder="1" applyAlignment="1">
      <alignment horizontal="center" vertical="center" wrapText="1"/>
    </xf>
    <xf numFmtId="169" fontId="12" fillId="0" borderId="121" xfId="0" applyNumberFormat="1" applyFont="1" applyBorder="1" applyAlignment="1">
      <alignment horizontal="center" vertical="center" wrapText="1"/>
    </xf>
    <xf numFmtId="169" fontId="12" fillId="0" borderId="80" xfId="0" applyNumberFormat="1" applyFont="1" applyBorder="1" applyAlignment="1">
      <alignment horizontal="center" vertical="center" wrapText="1"/>
    </xf>
    <xf numFmtId="169" fontId="12" fillId="0" borderId="135" xfId="0" applyNumberFormat="1" applyFont="1" applyBorder="1" applyAlignment="1">
      <alignment horizontal="center" vertical="center" wrapText="1"/>
    </xf>
    <xf numFmtId="169" fontId="12" fillId="0" borderId="44" xfId="0" applyNumberFormat="1" applyFont="1" applyBorder="1" applyAlignment="1">
      <alignment horizontal="center" vertical="center" wrapText="1"/>
    </xf>
    <xf numFmtId="169" fontId="12" fillId="0" borderId="81" xfId="0" applyNumberFormat="1" applyFont="1" applyBorder="1" applyAlignment="1">
      <alignment horizontal="center" vertical="center" wrapText="1"/>
    </xf>
    <xf numFmtId="164" fontId="8" fillId="2" borderId="133" xfId="2" applyFont="1" applyFill="1" applyBorder="1" applyAlignment="1" applyProtection="1">
      <alignment vertical="center" wrapText="1"/>
    </xf>
    <xf numFmtId="164" fontId="8" fillId="2" borderId="152" xfId="2" applyFont="1" applyFill="1" applyBorder="1" applyAlignment="1" applyProtection="1">
      <alignment vertical="center" wrapText="1"/>
    </xf>
    <xf numFmtId="0" fontId="70" fillId="2" borderId="0" xfId="0" applyFont="1" applyFill="1"/>
    <xf numFmtId="0" fontId="70" fillId="0" borderId="0" xfId="0" applyFont="1"/>
    <xf numFmtId="0" fontId="70" fillId="2" borderId="48" xfId="0" applyFont="1" applyFill="1" applyBorder="1"/>
    <xf numFmtId="0" fontId="70" fillId="2" borderId="49" xfId="0" applyFont="1" applyFill="1" applyBorder="1"/>
    <xf numFmtId="0" fontId="70" fillId="2" borderId="50" xfId="0" applyFont="1" applyFill="1" applyBorder="1"/>
    <xf numFmtId="0" fontId="70" fillId="2" borderId="53" xfId="0" applyFont="1" applyFill="1" applyBorder="1"/>
    <xf numFmtId="0" fontId="70" fillId="2" borderId="54" xfId="0" applyFont="1" applyFill="1" applyBorder="1"/>
    <xf numFmtId="0" fontId="70" fillId="2" borderId="57" xfId="0" applyFont="1" applyFill="1" applyBorder="1"/>
    <xf numFmtId="0" fontId="70" fillId="2" borderId="58" xfId="0" applyFont="1" applyFill="1" applyBorder="1"/>
    <xf numFmtId="0" fontId="70" fillId="2" borderId="59" xfId="0" applyFont="1" applyFill="1" applyBorder="1"/>
    <xf numFmtId="0" fontId="70" fillId="2" borderId="52" xfId="0" applyFont="1" applyFill="1" applyBorder="1"/>
    <xf numFmtId="0" fontId="70" fillId="2" borderId="56" xfId="0" applyFont="1" applyFill="1" applyBorder="1"/>
    <xf numFmtId="0" fontId="71" fillId="2" borderId="53" xfId="0" applyFont="1" applyFill="1" applyBorder="1"/>
    <xf numFmtId="0" fontId="71" fillId="2" borderId="0" xfId="0" applyFont="1" applyFill="1"/>
    <xf numFmtId="0" fontId="6" fillId="2" borderId="0" xfId="0" applyFont="1" applyFill="1"/>
    <xf numFmtId="0" fontId="8" fillId="2" borderId="0" xfId="0" applyFont="1" applyFill="1"/>
    <xf numFmtId="0" fontId="8" fillId="2" borderId="0" xfId="0" applyFont="1" applyFill="1" applyAlignment="1">
      <alignment horizontal="left"/>
    </xf>
    <xf numFmtId="0" fontId="70" fillId="2" borderId="0" xfId="0" applyFont="1" applyFill="1" applyAlignment="1">
      <alignment horizontal="left"/>
    </xf>
    <xf numFmtId="0" fontId="6" fillId="2" borderId="0" xfId="0" quotePrefix="1" applyFont="1" applyFill="1"/>
    <xf numFmtId="0" fontId="70" fillId="2" borderId="0" xfId="0" quotePrefix="1" applyFont="1" applyFill="1"/>
    <xf numFmtId="0" fontId="72" fillId="2" borderId="57" xfId="0" applyFont="1" applyFill="1" applyBorder="1"/>
    <xf numFmtId="0" fontId="72" fillId="2" borderId="59" xfId="0" applyFont="1" applyFill="1" applyBorder="1"/>
    <xf numFmtId="0" fontId="72" fillId="2" borderId="58" xfId="0" applyFont="1" applyFill="1" applyBorder="1"/>
    <xf numFmtId="0" fontId="70" fillId="2" borderId="61" xfId="0" applyFont="1" applyFill="1" applyBorder="1"/>
    <xf numFmtId="0" fontId="70" fillId="7" borderId="51" xfId="6" applyFont="1" applyFill="1" applyBorder="1" applyAlignment="1">
      <alignment horizontal="center" vertical="center" wrapText="1"/>
    </xf>
    <xf numFmtId="0" fontId="70" fillId="7" borderId="83" xfId="5" applyFont="1" applyFill="1" applyBorder="1" applyAlignment="1">
      <alignment horizontal="center" vertical="center" wrapText="1"/>
    </xf>
    <xf numFmtId="0" fontId="70" fillId="7" borderId="84" xfId="5" applyFont="1" applyFill="1" applyBorder="1" applyAlignment="1">
      <alignment horizontal="center" vertical="center" wrapText="1"/>
    </xf>
    <xf numFmtId="0" fontId="70" fillId="7" borderId="51" xfId="5" applyFont="1" applyFill="1" applyBorder="1" applyAlignment="1">
      <alignment horizontal="center" vertical="center" wrapText="1"/>
    </xf>
    <xf numFmtId="0" fontId="70" fillId="7" borderId="109" xfId="5" applyFont="1" applyFill="1" applyBorder="1" applyAlignment="1">
      <alignment horizontal="center" vertical="center" wrapText="1"/>
    </xf>
    <xf numFmtId="0" fontId="70" fillId="7" borderId="100" xfId="5" applyFont="1" applyFill="1" applyBorder="1" applyAlignment="1">
      <alignment horizontal="center" vertical="center" wrapText="1"/>
    </xf>
    <xf numFmtId="0" fontId="70" fillId="7" borderId="50" xfId="5" applyFont="1" applyFill="1" applyBorder="1" applyAlignment="1">
      <alignment horizontal="center" vertical="center" wrapText="1"/>
    </xf>
    <xf numFmtId="0" fontId="70" fillId="7" borderId="0" xfId="5" applyFont="1" applyFill="1" applyAlignment="1">
      <alignment horizontal="center" vertical="center" wrapText="1"/>
    </xf>
    <xf numFmtId="0" fontId="1" fillId="0" borderId="0" xfId="0" applyFont="1" applyAlignment="1">
      <alignment horizontal="center" vertical="center"/>
    </xf>
    <xf numFmtId="0" fontId="1" fillId="0" borderId="0" xfId="0" applyFont="1"/>
    <xf numFmtId="12" fontId="1" fillId="0" borderId="0" xfId="0" applyNumberFormat="1" applyFont="1" applyAlignment="1">
      <alignment horizontal="center" vertical="center" wrapText="1"/>
    </xf>
    <xf numFmtId="1" fontId="1" fillId="0" borderId="0" xfId="0" applyNumberFormat="1" applyFont="1" applyAlignment="1">
      <alignment horizontal="center" vertical="center"/>
    </xf>
    <xf numFmtId="0" fontId="8" fillId="0" borderId="73" xfId="0" applyFont="1" applyBorder="1" applyAlignment="1">
      <alignment horizontal="center" vertical="center" shrinkToFit="1"/>
    </xf>
    <xf numFmtId="0" fontId="8" fillId="15" borderId="74" xfId="0" applyFont="1" applyFill="1" applyBorder="1" applyAlignment="1" applyProtection="1">
      <alignment horizontal="center" vertical="center" shrinkToFit="1"/>
      <protection locked="0"/>
    </xf>
    <xf numFmtId="0" fontId="8" fillId="15" borderId="74" xfId="6" applyFont="1" applyFill="1" applyBorder="1" applyAlignment="1" applyProtection="1">
      <alignment horizontal="center" vertical="center" shrinkToFit="1"/>
      <protection locked="0"/>
    </xf>
    <xf numFmtId="164" fontId="8" fillId="0" borderId="74" xfId="2" applyFont="1" applyFill="1" applyBorder="1" applyAlignment="1" applyProtection="1">
      <alignment horizontal="center" vertical="center" shrinkToFit="1"/>
    </xf>
    <xf numFmtId="1" fontId="8" fillId="0" borderId="74" xfId="2" applyNumberFormat="1" applyFont="1" applyFill="1" applyBorder="1" applyAlignment="1" applyProtection="1">
      <alignment horizontal="center" vertical="center" shrinkToFit="1"/>
    </xf>
    <xf numFmtId="12" fontId="8" fillId="15" borderId="74" xfId="0" applyNumberFormat="1" applyFont="1" applyFill="1" applyBorder="1" applyAlignment="1" applyProtection="1">
      <alignment horizontal="center" vertical="center" shrinkToFit="1"/>
      <protection locked="0"/>
    </xf>
    <xf numFmtId="12" fontId="8" fillId="15" borderId="74" xfId="2" applyNumberFormat="1" applyFont="1" applyFill="1" applyBorder="1" applyAlignment="1" applyProtection="1">
      <alignment horizontal="center" vertical="center" shrinkToFit="1"/>
      <protection locked="0"/>
    </xf>
    <xf numFmtId="164" fontId="8" fillId="0" borderId="15" xfId="2" applyFont="1" applyFill="1" applyBorder="1" applyAlignment="1" applyProtection="1">
      <alignment horizontal="center" vertical="center" shrinkToFit="1"/>
    </xf>
    <xf numFmtId="168" fontId="8" fillId="0" borderId="15" xfId="2" applyNumberFormat="1" applyFont="1" applyFill="1" applyBorder="1" applyAlignment="1" applyProtection="1">
      <alignment horizontal="center" vertical="center" shrinkToFit="1"/>
    </xf>
    <xf numFmtId="0" fontId="8" fillId="0" borderId="15" xfId="0" applyFont="1" applyBorder="1" applyAlignment="1">
      <alignment horizontal="center" vertical="center" shrinkToFit="1"/>
    </xf>
    <xf numFmtId="168" fontId="8" fillId="15" borderId="74" xfId="2" applyNumberFormat="1" applyFont="1" applyFill="1" applyBorder="1" applyAlignment="1" applyProtection="1">
      <alignment horizontal="center" vertical="center" shrinkToFit="1"/>
      <protection locked="0"/>
    </xf>
    <xf numFmtId="168" fontId="8" fillId="0" borderId="74" xfId="2" applyNumberFormat="1" applyFont="1" applyFill="1" applyBorder="1" applyAlignment="1" applyProtection="1">
      <alignment horizontal="center" vertical="center" shrinkToFit="1"/>
    </xf>
    <xf numFmtId="164" fontId="8" fillId="0" borderId="111" xfId="2" applyFont="1" applyFill="1" applyBorder="1" applyAlignment="1" applyProtection="1">
      <alignment horizontal="center" vertical="center" shrinkToFit="1"/>
    </xf>
    <xf numFmtId="0" fontId="8" fillId="0" borderId="14" xfId="0" applyFont="1" applyBorder="1" applyAlignment="1">
      <alignment horizontal="center" vertical="center" shrinkToFit="1"/>
    </xf>
    <xf numFmtId="0" fontId="8" fillId="0" borderId="111" xfId="0" applyFont="1" applyBorder="1" applyAlignment="1">
      <alignment horizontal="center" vertical="center" shrinkToFit="1"/>
    </xf>
    <xf numFmtId="164" fontId="8" fillId="0" borderId="79" xfId="0" applyNumberFormat="1" applyFont="1" applyBorder="1" applyAlignment="1">
      <alignment horizontal="center" vertical="center" shrinkToFit="1"/>
    </xf>
    <xf numFmtId="0" fontId="8" fillId="0" borderId="82" xfId="1" applyNumberFormat="1" applyFont="1" applyFill="1" applyBorder="1" applyAlignment="1" applyProtection="1">
      <alignment horizontal="center" vertical="center" shrinkToFit="1"/>
    </xf>
    <xf numFmtId="12" fontId="8" fillId="0" borderId="82" xfId="1" applyNumberFormat="1" applyFont="1" applyFill="1" applyBorder="1" applyAlignment="1" applyProtection="1">
      <alignment horizontal="center" vertical="center" shrinkToFit="1"/>
    </xf>
    <xf numFmtId="0" fontId="8" fillId="0" borderId="74" xfId="1" applyNumberFormat="1" applyFont="1" applyFill="1" applyBorder="1" applyAlignment="1" applyProtection="1">
      <alignment horizontal="center" vertical="center" shrinkToFit="1"/>
    </xf>
    <xf numFmtId="2" fontId="8" fillId="0" borderId="82" xfId="1" applyNumberFormat="1" applyFont="1" applyFill="1" applyBorder="1" applyAlignment="1" applyProtection="1">
      <alignment horizontal="center" vertical="center" shrinkToFit="1"/>
    </xf>
    <xf numFmtId="2" fontId="8" fillId="0" borderId="0" xfId="1" applyNumberFormat="1" applyFont="1" applyFill="1" applyBorder="1" applyAlignment="1" applyProtection="1">
      <alignment horizontal="center" vertical="center" shrinkToFit="1"/>
    </xf>
    <xf numFmtId="0" fontId="10" fillId="0" borderId="0" xfId="0" applyFont="1" applyAlignment="1">
      <alignment shrinkToFit="1"/>
    </xf>
    <xf numFmtId="0" fontId="8" fillId="15" borderId="15" xfId="0" applyFont="1" applyFill="1" applyBorder="1" applyAlignment="1" applyProtection="1">
      <alignment horizontal="center" vertical="center" shrinkToFit="1"/>
      <protection locked="0"/>
    </xf>
    <xf numFmtId="0" fontId="8" fillId="15" borderId="15" xfId="6" applyFont="1" applyFill="1" applyBorder="1" applyAlignment="1" applyProtection="1">
      <alignment horizontal="center" vertical="center" shrinkToFit="1"/>
      <protection locked="0"/>
    </xf>
    <xf numFmtId="1" fontId="8" fillId="0" borderId="15" xfId="2" applyNumberFormat="1" applyFont="1" applyFill="1" applyBorder="1" applyAlignment="1" applyProtection="1">
      <alignment horizontal="center" vertical="center" shrinkToFit="1"/>
    </xf>
    <xf numFmtId="12" fontId="8" fillId="15" borderId="15" xfId="0" applyNumberFormat="1" applyFont="1" applyFill="1" applyBorder="1" applyAlignment="1" applyProtection="1">
      <alignment horizontal="center" vertical="center" shrinkToFit="1"/>
      <protection locked="0"/>
    </xf>
    <xf numFmtId="12" fontId="8" fillId="15" borderId="15" xfId="2" applyNumberFormat="1" applyFont="1" applyFill="1" applyBorder="1" applyAlignment="1" applyProtection="1">
      <alignment horizontal="center" vertical="center" shrinkToFit="1"/>
      <protection locked="0"/>
    </xf>
    <xf numFmtId="168" fontId="8" fillId="15" borderId="15" xfId="2" applyNumberFormat="1" applyFont="1" applyFill="1" applyBorder="1" applyAlignment="1" applyProtection="1">
      <alignment horizontal="center" vertical="center" shrinkToFit="1"/>
      <protection locked="0"/>
    </xf>
    <xf numFmtId="164" fontId="8" fillId="0" borderId="35" xfId="2" applyFont="1" applyFill="1" applyBorder="1" applyAlignment="1" applyProtection="1">
      <alignment horizontal="center" vertical="center" shrinkToFit="1"/>
    </xf>
    <xf numFmtId="0" fontId="8" fillId="0" borderId="35" xfId="0" applyFont="1" applyBorder="1" applyAlignment="1">
      <alignment horizontal="center" vertical="center" shrinkToFit="1"/>
    </xf>
    <xf numFmtId="9" fontId="8" fillId="0" borderId="15" xfId="1" applyFont="1" applyFill="1" applyBorder="1" applyAlignment="1" applyProtection="1">
      <alignment horizontal="center" vertical="center" shrinkToFit="1"/>
    </xf>
    <xf numFmtId="164" fontId="8" fillId="0" borderId="80" xfId="0" applyNumberFormat="1" applyFont="1" applyBorder="1" applyAlignment="1">
      <alignment horizontal="center" vertical="center" shrinkToFit="1"/>
    </xf>
    <xf numFmtId="0" fontId="8" fillId="0" borderId="36" xfId="1" applyNumberFormat="1" applyFont="1" applyFill="1" applyBorder="1" applyAlignment="1" applyProtection="1">
      <alignment horizontal="center" vertical="center" shrinkToFit="1"/>
    </xf>
    <xf numFmtId="12" fontId="8" fillId="0" borderId="36" xfId="1" applyNumberFormat="1" applyFont="1" applyFill="1" applyBorder="1" applyAlignment="1" applyProtection="1">
      <alignment horizontal="center" vertical="center" shrinkToFit="1"/>
    </xf>
    <xf numFmtId="0" fontId="8" fillId="0" borderId="15" xfId="1" applyNumberFormat="1" applyFont="1" applyFill="1" applyBorder="1" applyAlignment="1" applyProtection="1">
      <alignment horizontal="center" vertical="center" shrinkToFit="1"/>
    </xf>
    <xf numFmtId="2" fontId="8" fillId="0" borderId="36" xfId="1" applyNumberFormat="1" applyFont="1" applyFill="1" applyBorder="1" applyAlignment="1" applyProtection="1">
      <alignment horizontal="center" vertical="center" shrinkToFit="1"/>
    </xf>
    <xf numFmtId="164" fontId="8" fillId="0" borderId="106" xfId="2" applyFont="1" applyFill="1" applyBorder="1" applyAlignment="1" applyProtection="1">
      <alignment horizontal="center" vertical="center" shrinkToFit="1"/>
    </xf>
    <xf numFmtId="0" fontId="70" fillId="0" borderId="106" xfId="6" applyFont="1" applyBorder="1" applyAlignment="1">
      <alignment horizontal="center" vertical="center" wrapText="1"/>
    </xf>
    <xf numFmtId="164" fontId="70" fillId="0" borderId="106" xfId="2" applyFont="1" applyFill="1" applyBorder="1" applyAlignment="1" applyProtection="1">
      <alignment horizontal="center" vertical="center" wrapText="1" shrinkToFit="1"/>
    </xf>
    <xf numFmtId="174" fontId="8" fillId="0" borderId="74" xfId="2" applyNumberFormat="1" applyFont="1" applyFill="1" applyBorder="1" applyAlignment="1" applyProtection="1">
      <alignment horizontal="center" vertical="center" shrinkToFit="1"/>
    </xf>
    <xf numFmtId="174" fontId="8" fillId="0" borderId="15" xfId="2" applyNumberFormat="1" applyFont="1" applyFill="1" applyBorder="1" applyAlignment="1" applyProtection="1">
      <alignment horizontal="center" vertical="center" shrinkToFit="1"/>
    </xf>
    <xf numFmtId="174" fontId="1" fillId="0" borderId="0" xfId="0" applyNumberFormat="1" applyFont="1"/>
    <xf numFmtId="174" fontId="8" fillId="15" borderId="15" xfId="2" applyNumberFormat="1" applyFont="1" applyFill="1" applyBorder="1" applyAlignment="1" applyProtection="1">
      <alignment horizontal="center" vertical="center" shrinkToFit="1"/>
      <protection locked="0"/>
    </xf>
    <xf numFmtId="9" fontId="0" fillId="15" borderId="13" xfId="1" applyFont="1" applyFill="1" applyBorder="1" applyAlignment="1" applyProtection="1">
      <alignment horizontal="center" vertical="center"/>
      <protection locked="0"/>
    </xf>
    <xf numFmtId="9" fontId="0" fillId="15" borderId="15" xfId="1" applyFont="1" applyFill="1" applyBorder="1" applyAlignment="1" applyProtection="1">
      <alignment horizontal="center" vertical="center"/>
      <protection locked="0"/>
    </xf>
    <xf numFmtId="9" fontId="0" fillId="15" borderId="17" xfId="1" applyFont="1" applyFill="1" applyBorder="1" applyAlignment="1" applyProtection="1">
      <alignment horizontal="center" vertical="center"/>
      <protection locked="0"/>
    </xf>
    <xf numFmtId="0" fontId="0" fillId="7" borderId="102" xfId="0" applyFill="1" applyBorder="1" applyAlignment="1">
      <alignment horizontal="center" vertical="center"/>
    </xf>
    <xf numFmtId="0" fontId="12" fillId="7" borderId="100" xfId="5" applyFont="1" applyFill="1" applyBorder="1" applyAlignment="1">
      <alignment horizontal="center" vertical="center" wrapText="1"/>
    </xf>
    <xf numFmtId="0" fontId="12" fillId="7" borderId="95" xfId="5" applyFont="1" applyFill="1" applyBorder="1" applyAlignment="1">
      <alignment horizontal="center" vertical="center" wrapText="1"/>
    </xf>
    <xf numFmtId="0" fontId="10" fillId="0" borderId="0" xfId="0" applyFont="1" applyAlignment="1">
      <alignment vertical="center"/>
    </xf>
    <xf numFmtId="0" fontId="10" fillId="0" borderId="0" xfId="0" applyFont="1" applyAlignment="1">
      <alignment vertical="center" wrapText="1"/>
    </xf>
    <xf numFmtId="0" fontId="10" fillId="0" borderId="0" xfId="0" applyFont="1" applyAlignment="1">
      <alignment horizontal="center" vertical="center"/>
    </xf>
    <xf numFmtId="174" fontId="10" fillId="0" borderId="0" xfId="0" applyNumberFormat="1" applyFont="1" applyAlignment="1">
      <alignment horizontal="center" vertical="center"/>
    </xf>
    <xf numFmtId="0" fontId="8" fillId="0" borderId="153" xfId="0" applyFont="1" applyBorder="1" applyAlignment="1">
      <alignment vertical="center"/>
    </xf>
    <xf numFmtId="1" fontId="10" fillId="0" borderId="0" xfId="0" applyNumberFormat="1" applyFont="1" applyAlignment="1">
      <alignment horizontal="center" vertical="center"/>
    </xf>
    <xf numFmtId="0" fontId="8" fillId="0" borderId="154" xfId="0" applyFont="1" applyBorder="1" applyAlignment="1">
      <alignment vertical="center"/>
    </xf>
    <xf numFmtId="0" fontId="74" fillId="51" borderId="26" xfId="0" applyFont="1" applyFill="1" applyBorder="1" applyAlignment="1">
      <alignment horizontal="center" vertical="center" wrapText="1"/>
    </xf>
    <xf numFmtId="0" fontId="8" fillId="0" borderId="53" xfId="0" applyFont="1" applyBorder="1" applyAlignment="1">
      <alignment vertical="center"/>
    </xf>
    <xf numFmtId="0" fontId="8" fillId="0" borderId="155" xfId="0" applyFont="1" applyBorder="1" applyAlignment="1">
      <alignment vertical="center"/>
    </xf>
    <xf numFmtId="174" fontId="10" fillId="0" borderId="52" xfId="0" applyNumberFormat="1" applyFont="1" applyBorder="1" applyAlignment="1">
      <alignment horizontal="center" vertical="center"/>
    </xf>
    <xf numFmtId="174" fontId="10" fillId="0" borderId="56" xfId="0" applyNumberFormat="1" applyFont="1" applyBorder="1" applyAlignment="1">
      <alignment horizontal="center" vertical="center"/>
    </xf>
    <xf numFmtId="174" fontId="10" fillId="0" borderId="58" xfId="0" applyNumberFormat="1" applyFont="1" applyBorder="1" applyAlignment="1">
      <alignment horizontal="center" vertical="center"/>
    </xf>
    <xf numFmtId="174" fontId="10" fillId="0" borderId="61" xfId="0" applyNumberFormat="1" applyFont="1" applyBorder="1" applyAlignment="1">
      <alignment horizontal="center" vertical="center"/>
    </xf>
    <xf numFmtId="174" fontId="10" fillId="0" borderId="26" xfId="0" applyNumberFormat="1" applyFont="1" applyBorder="1" applyAlignment="1">
      <alignment horizontal="center" vertical="center"/>
    </xf>
    <xf numFmtId="1" fontId="10" fillId="0" borderId="26" xfId="0" applyNumberFormat="1" applyFont="1" applyBorder="1" applyAlignment="1">
      <alignment horizontal="center" vertical="center"/>
    </xf>
    <xf numFmtId="0" fontId="74" fillId="51" borderId="47" xfId="0" applyFont="1" applyFill="1" applyBorder="1" applyAlignment="1">
      <alignment horizontal="center" vertical="center" wrapText="1"/>
    </xf>
    <xf numFmtId="2" fontId="10" fillId="0" borderId="72" xfId="0" applyNumberFormat="1" applyFont="1" applyBorder="1" applyAlignment="1">
      <alignment horizontal="center" vertical="center"/>
    </xf>
    <xf numFmtId="12" fontId="10" fillId="0" borderId="71" xfId="0" applyNumberFormat="1" applyFont="1" applyBorder="1" applyAlignment="1">
      <alignment horizontal="center" vertical="center"/>
    </xf>
    <xf numFmtId="1" fontId="10" fillId="0" borderId="107" xfId="0" applyNumberFormat="1" applyFont="1" applyBorder="1" applyAlignment="1">
      <alignment horizontal="center" vertical="center"/>
    </xf>
    <xf numFmtId="1" fontId="10" fillId="0" borderId="72" xfId="0" applyNumberFormat="1" applyFont="1" applyBorder="1" applyAlignment="1">
      <alignment horizontal="center" vertical="center"/>
    </xf>
    <xf numFmtId="0" fontId="10" fillId="0" borderId="107" xfId="0" applyFont="1" applyBorder="1" applyAlignment="1">
      <alignment horizontal="center" vertical="center"/>
    </xf>
    <xf numFmtId="0" fontId="10" fillId="0" borderId="72" xfId="0" applyFont="1" applyBorder="1" applyAlignment="1">
      <alignment horizontal="center" vertical="center"/>
    </xf>
    <xf numFmtId="174" fontId="10" fillId="0" borderId="107" xfId="0" applyNumberFormat="1" applyFont="1" applyBorder="1" applyAlignment="1">
      <alignment horizontal="center" vertical="center"/>
    </xf>
    <xf numFmtId="174" fontId="10" fillId="0" borderId="72" xfId="0" applyNumberFormat="1" applyFont="1" applyBorder="1" applyAlignment="1">
      <alignment horizontal="center" vertical="center"/>
    </xf>
    <xf numFmtId="0" fontId="10" fillId="50" borderId="26" xfId="0" applyFont="1" applyFill="1" applyBorder="1" applyAlignment="1">
      <alignment horizontal="center" vertical="center"/>
    </xf>
    <xf numFmtId="174" fontId="10" fillId="0" borderId="71" xfId="0" applyNumberFormat="1" applyFont="1" applyBorder="1" applyAlignment="1">
      <alignment horizontal="center" vertical="center"/>
    </xf>
    <xf numFmtId="0" fontId="8" fillId="0" borderId="25" xfId="0" applyFont="1" applyBorder="1" applyAlignment="1">
      <alignment vertical="center"/>
    </xf>
    <xf numFmtId="0" fontId="8" fillId="0" borderId="26" xfId="0" applyFont="1" applyBorder="1" applyAlignment="1">
      <alignment vertical="center" wrapText="1"/>
    </xf>
    <xf numFmtId="174" fontId="15" fillId="50" borderId="26" xfId="0" applyNumberFormat="1" applyFont="1" applyFill="1" applyBorder="1" applyAlignment="1">
      <alignment horizontal="center" vertical="center"/>
    </xf>
    <xf numFmtId="174" fontId="40" fillId="50" borderId="61" xfId="0" applyNumberFormat="1" applyFont="1" applyFill="1" applyBorder="1" applyAlignment="1">
      <alignment horizontal="center" vertical="center"/>
    </xf>
    <xf numFmtId="0" fontId="10" fillId="0" borderId="26" xfId="0" applyFont="1" applyBorder="1" applyAlignment="1">
      <alignment horizontal="center" vertical="center"/>
    </xf>
    <xf numFmtId="9" fontId="10" fillId="0" borderId="71" xfId="1" applyFont="1" applyBorder="1" applyAlignment="1">
      <alignment horizontal="center" vertical="center"/>
    </xf>
    <xf numFmtId="9" fontId="10" fillId="0" borderId="0" xfId="1" applyFont="1" applyAlignment="1">
      <alignment horizontal="center" vertical="center"/>
    </xf>
    <xf numFmtId="9" fontId="10" fillId="0" borderId="26" xfId="1" applyFont="1" applyBorder="1" applyAlignment="1">
      <alignment horizontal="center" vertical="center"/>
    </xf>
    <xf numFmtId="174" fontId="10" fillId="50" borderId="26" xfId="1" applyNumberFormat="1" applyFont="1" applyFill="1" applyBorder="1" applyAlignment="1">
      <alignment horizontal="center" vertical="center"/>
    </xf>
    <xf numFmtId="174" fontId="75" fillId="0" borderId="0" xfId="0" applyNumberFormat="1" applyFont="1" applyAlignment="1">
      <alignment vertical="center"/>
    </xf>
    <xf numFmtId="0" fontId="12" fillId="0" borderId="86" xfId="0" applyFont="1" applyBorder="1" applyAlignment="1">
      <alignment horizontal="center" vertical="center" wrapText="1"/>
    </xf>
    <xf numFmtId="4" fontId="12" fillId="0" borderId="107" xfId="0" applyNumberFormat="1" applyFont="1" applyBorder="1" applyAlignment="1">
      <alignment horizontal="right" indent="2"/>
    </xf>
    <xf numFmtId="4" fontId="38" fillId="0" borderId="95" xfId="0" applyNumberFormat="1" applyFont="1" applyBorder="1" applyAlignment="1">
      <alignment horizontal="right" indent="2"/>
    </xf>
    <xf numFmtId="4" fontId="12" fillId="0" borderId="97" xfId="0" applyNumberFormat="1" applyFont="1" applyBorder="1" applyAlignment="1">
      <alignment horizontal="center" vertical="center"/>
    </xf>
    <xf numFmtId="0" fontId="12" fillId="17" borderId="47" xfId="0" applyFont="1" applyFill="1" applyBorder="1" applyAlignment="1">
      <alignment horizontal="center" vertical="center" wrapText="1"/>
    </xf>
    <xf numFmtId="12" fontId="12" fillId="0" borderId="89" xfId="0" applyNumberFormat="1" applyFont="1" applyBorder="1" applyAlignment="1">
      <alignment horizontal="center" vertical="center" wrapText="1"/>
    </xf>
    <xf numFmtId="0" fontId="12" fillId="0" borderId="91" xfId="0" applyFont="1" applyBorder="1" applyAlignment="1">
      <alignment horizontal="center" vertical="center" wrapText="1"/>
    </xf>
    <xf numFmtId="12" fontId="12" fillId="0" borderId="73" xfId="0" applyNumberFormat="1" applyFont="1" applyBorder="1" applyAlignment="1">
      <alignment horizontal="center" vertical="center" wrapText="1"/>
    </xf>
    <xf numFmtId="0" fontId="12" fillId="0" borderId="75" xfId="0" applyFont="1" applyBorder="1" applyAlignment="1">
      <alignment horizontal="center" vertical="center" wrapText="1"/>
    </xf>
    <xf numFmtId="12" fontId="0" fillId="0" borderId="14" xfId="0" applyNumberFormat="1" applyBorder="1" applyAlignment="1">
      <alignment horizontal="center" wrapText="1"/>
    </xf>
    <xf numFmtId="0" fontId="0" fillId="0" borderId="76" xfId="0" applyBorder="1" applyAlignment="1">
      <alignment horizontal="center"/>
    </xf>
    <xf numFmtId="12" fontId="0" fillId="0" borderId="16" xfId="0" applyNumberFormat="1" applyBorder="1" applyAlignment="1">
      <alignment horizontal="center" wrapText="1"/>
    </xf>
    <xf numFmtId="0" fontId="0" fillId="0" borderId="77" xfId="0" applyBorder="1" applyAlignment="1">
      <alignment horizontal="center"/>
    </xf>
    <xf numFmtId="0" fontId="12" fillId="2" borderId="48" xfId="0" applyFont="1" applyFill="1" applyBorder="1" applyAlignment="1">
      <alignment horizontal="right" vertical="center" wrapText="1" indent="2"/>
    </xf>
    <xf numFmtId="0" fontId="12" fillId="2" borderId="53" xfId="0" applyFont="1" applyFill="1" applyBorder="1" applyAlignment="1">
      <alignment horizontal="right" vertical="center" wrapText="1" indent="2"/>
    </xf>
    <xf numFmtId="9" fontId="12" fillId="2" borderId="49" xfId="0" applyNumberFormat="1" applyFont="1" applyFill="1" applyBorder="1" applyAlignment="1">
      <alignment horizontal="center" vertical="center" wrapText="1"/>
    </xf>
    <xf numFmtId="9" fontId="12" fillId="2" borderId="0" xfId="0" applyNumberFormat="1" applyFont="1" applyFill="1" applyAlignment="1">
      <alignment horizontal="center" vertical="center" wrapText="1"/>
    </xf>
    <xf numFmtId="1" fontId="12" fillId="2" borderId="49" xfId="0" applyNumberFormat="1" applyFont="1" applyFill="1" applyBorder="1" applyAlignment="1">
      <alignment horizontal="center" vertical="center" wrapText="1"/>
    </xf>
    <xf numFmtId="172" fontId="39" fillId="2" borderId="52" xfId="0" applyNumberFormat="1" applyFont="1" applyFill="1" applyBorder="1" applyAlignment="1">
      <alignment horizontal="center" vertical="center" wrapText="1"/>
    </xf>
    <xf numFmtId="1" fontId="12" fillId="2" borderId="0" xfId="0" applyNumberFormat="1" applyFont="1" applyFill="1" applyAlignment="1">
      <alignment horizontal="center" vertical="center" wrapText="1"/>
    </xf>
    <xf numFmtId="172" fontId="39" fillId="2" borderId="56" xfId="0" applyNumberFormat="1" applyFont="1" applyFill="1" applyBorder="1" applyAlignment="1">
      <alignment horizontal="center" vertical="center" wrapText="1"/>
    </xf>
    <xf numFmtId="0" fontId="39" fillId="20" borderId="101" xfId="0" applyFont="1" applyFill="1" applyBorder="1" applyAlignment="1">
      <alignment horizontal="center" vertical="center" wrapText="1"/>
    </xf>
    <xf numFmtId="0" fontId="39" fillId="20" borderId="92" xfId="0" applyFont="1" applyFill="1" applyBorder="1" applyAlignment="1">
      <alignment horizontal="center" vertical="center" wrapText="1"/>
    </xf>
    <xf numFmtId="0" fontId="12" fillId="0" borderId="73" xfId="0" applyFont="1" applyBorder="1" applyAlignment="1">
      <alignment horizontal="right" vertical="center" wrapText="1" indent="2"/>
    </xf>
    <xf numFmtId="165" fontId="39" fillId="20" borderId="75" xfId="8" applyFont="1" applyFill="1" applyBorder="1" applyAlignment="1">
      <alignment horizontal="center" vertical="center" wrapText="1"/>
    </xf>
    <xf numFmtId="0" fontId="12" fillId="0" borderId="14" xfId="0" applyFont="1" applyBorder="1" applyAlignment="1">
      <alignment horizontal="right" vertical="center" wrapText="1" indent="2"/>
    </xf>
    <xf numFmtId="165" fontId="39" fillId="20" borderId="76" xfId="8" applyFont="1" applyFill="1" applyBorder="1" applyAlignment="1">
      <alignment horizontal="center" vertical="center" wrapText="1"/>
    </xf>
    <xf numFmtId="0" fontId="12" fillId="0" borderId="12" xfId="0" applyFont="1" applyBorder="1" applyAlignment="1">
      <alignment horizontal="right" vertical="center" wrapText="1" indent="2"/>
    </xf>
    <xf numFmtId="165" fontId="39" fillId="20" borderId="88" xfId="8" applyFont="1" applyFill="1" applyBorder="1" applyAlignment="1">
      <alignment horizontal="center" vertical="center" wrapText="1"/>
    </xf>
    <xf numFmtId="0" fontId="12" fillId="0" borderId="122" xfId="0" applyFont="1" applyBorder="1" applyAlignment="1">
      <alignment horizontal="right" vertical="center" wrapText="1" indent="2"/>
    </xf>
    <xf numFmtId="0" fontId="12" fillId="2" borderId="89" xfId="0" applyFont="1" applyFill="1" applyBorder="1" applyAlignment="1">
      <alignment horizontal="right" vertical="center" wrapText="1" indent="2"/>
    </xf>
    <xf numFmtId="165" fontId="39" fillId="20" borderId="91" xfId="8" applyFont="1" applyFill="1" applyBorder="1" applyAlignment="1">
      <alignment horizontal="center" vertical="center" wrapText="1"/>
    </xf>
    <xf numFmtId="172" fontId="39" fillId="20" borderId="101" xfId="0" applyNumberFormat="1" applyFont="1" applyFill="1" applyBorder="1" applyAlignment="1">
      <alignment horizontal="center" vertical="center" wrapText="1"/>
    </xf>
    <xf numFmtId="172" fontId="39" fillId="20" borderId="97" xfId="0" applyNumberFormat="1" applyFont="1" applyFill="1" applyBorder="1" applyAlignment="1">
      <alignment horizontal="center" vertical="center" wrapText="1"/>
    </xf>
    <xf numFmtId="172" fontId="39" fillId="20" borderId="76" xfId="0" applyNumberFormat="1" applyFont="1" applyFill="1" applyBorder="1" applyAlignment="1">
      <alignment horizontal="center" vertical="center" wrapText="1"/>
    </xf>
    <xf numFmtId="172" fontId="39" fillId="20" borderId="76" xfId="8" applyNumberFormat="1" applyFont="1" applyFill="1" applyBorder="1" applyAlignment="1">
      <alignment horizontal="center" vertical="center" wrapText="1"/>
    </xf>
    <xf numFmtId="172" fontId="39" fillId="20" borderId="91" xfId="0" applyNumberFormat="1" applyFont="1" applyFill="1" applyBorder="1" applyAlignment="1">
      <alignment horizontal="center" vertical="center" wrapText="1"/>
    </xf>
    <xf numFmtId="0" fontId="12" fillId="0" borderId="13" xfId="0" applyFont="1" applyBorder="1" applyAlignment="1">
      <alignment horizontal="center" vertical="center" wrapText="1"/>
    </xf>
    <xf numFmtId="2" fontId="12" fillId="0" borderId="13" xfId="0" applyNumberFormat="1" applyFont="1" applyBorder="1" applyAlignment="1">
      <alignment horizontal="center" vertical="center" wrapText="1"/>
    </xf>
    <xf numFmtId="2" fontId="12" fillId="0" borderId="15" xfId="0" applyNumberFormat="1" applyFont="1" applyBorder="1" applyAlignment="1">
      <alignment horizontal="center" vertical="center" wrapText="1"/>
    </xf>
    <xf numFmtId="1" fontId="12" fillId="0" borderId="17" xfId="0" applyNumberFormat="1" applyFont="1" applyBorder="1" applyAlignment="1">
      <alignment horizontal="center" vertical="center" wrapText="1"/>
    </xf>
    <xf numFmtId="2" fontId="12" fillId="0" borderId="17" xfId="0" applyNumberFormat="1" applyFont="1" applyBorder="1" applyAlignment="1">
      <alignment horizontal="center" vertical="center" wrapText="1"/>
    </xf>
    <xf numFmtId="1" fontId="12" fillId="0" borderId="90" xfId="0" applyNumberFormat="1" applyFont="1" applyBorder="1" applyAlignment="1">
      <alignment horizontal="center" vertical="center" wrapText="1"/>
    </xf>
    <xf numFmtId="168" fontId="12" fillId="0" borderId="74" xfId="2" applyNumberFormat="1" applyFont="1" applyFill="1" applyBorder="1" applyAlignment="1">
      <alignment horizontal="center" vertical="center" wrapText="1"/>
    </xf>
    <xf numFmtId="9" fontId="12" fillId="0" borderId="74" xfId="1" applyFont="1" applyFill="1" applyBorder="1" applyAlignment="1">
      <alignment horizontal="center" vertical="center" wrapText="1"/>
    </xf>
    <xf numFmtId="168" fontId="12" fillId="0" borderId="15" xfId="2" applyNumberFormat="1" applyFont="1" applyFill="1" applyBorder="1" applyAlignment="1">
      <alignment horizontal="center" vertical="center" wrapText="1"/>
    </xf>
    <xf numFmtId="9" fontId="12" fillId="0" borderId="15" xfId="1" applyFont="1" applyFill="1" applyBorder="1" applyAlignment="1">
      <alignment horizontal="center" vertical="center" wrapText="1"/>
    </xf>
    <xf numFmtId="168" fontId="12" fillId="0" borderId="13" xfId="2" applyNumberFormat="1" applyFont="1" applyFill="1" applyBorder="1" applyAlignment="1">
      <alignment horizontal="center" vertical="center" wrapText="1"/>
    </xf>
    <xf numFmtId="9" fontId="12" fillId="0" borderId="13" xfId="1" applyFont="1" applyFill="1" applyBorder="1" applyAlignment="1">
      <alignment horizontal="center" vertical="center" wrapText="1"/>
    </xf>
    <xf numFmtId="168" fontId="12" fillId="0" borderId="90" xfId="2" applyNumberFormat="1" applyFont="1" applyFill="1" applyBorder="1" applyAlignment="1">
      <alignment horizontal="center" vertical="center" wrapText="1"/>
    </xf>
    <xf numFmtId="9" fontId="12" fillId="0" borderId="90" xfId="0" applyNumberFormat="1" applyFont="1" applyBorder="1" applyAlignment="1">
      <alignment horizontal="center" vertical="center" wrapText="1"/>
    </xf>
    <xf numFmtId="0" fontId="12" fillId="15" borderId="26" xfId="0" applyFont="1" applyFill="1" applyBorder="1" applyAlignment="1" applyProtection="1">
      <alignment horizontal="center" vertical="center" wrapText="1"/>
      <protection locked="0"/>
    </xf>
    <xf numFmtId="0" fontId="14" fillId="7" borderId="46" xfId="0" applyFont="1" applyFill="1" applyBorder="1" applyAlignment="1">
      <alignment horizontal="center" vertical="center"/>
    </xf>
    <xf numFmtId="0" fontId="12" fillId="14" borderId="46" xfId="0" applyFont="1" applyFill="1" applyBorder="1" applyAlignment="1">
      <alignment horizontal="center" vertical="center"/>
    </xf>
    <xf numFmtId="4" fontId="12" fillId="0" borderId="13" xfId="0" applyNumberFormat="1" applyFont="1" applyBorder="1" applyAlignment="1">
      <alignment horizontal="center" vertical="center" wrapText="1"/>
    </xf>
    <xf numFmtId="4" fontId="12" fillId="0" borderId="18" xfId="0" applyNumberFormat="1" applyFont="1" applyBorder="1" applyAlignment="1">
      <alignment horizontal="center" vertical="center" wrapText="1"/>
    </xf>
    <xf numFmtId="9" fontId="12" fillId="0" borderId="18" xfId="1" applyFont="1" applyFill="1" applyBorder="1" applyAlignment="1">
      <alignment horizontal="center" vertical="center" wrapText="1"/>
    </xf>
    <xf numFmtId="9" fontId="12" fillId="0" borderId="90" xfId="1" applyFont="1" applyFill="1" applyBorder="1" applyAlignment="1">
      <alignment horizontal="center" vertical="center" wrapText="1"/>
    </xf>
    <xf numFmtId="4" fontId="12" fillId="0" borderId="15" xfId="2" applyNumberFormat="1" applyFont="1" applyBorder="1" applyAlignment="1" applyProtection="1">
      <alignment horizontal="center" vertical="center" wrapText="1"/>
    </xf>
    <xf numFmtId="0" fontId="12" fillId="2" borderId="18" xfId="0" applyFont="1" applyFill="1" applyBorder="1" applyAlignment="1">
      <alignment horizontal="center" vertical="center" wrapText="1"/>
    </xf>
    <xf numFmtId="165" fontId="12" fillId="0" borderId="15" xfId="8" applyFont="1" applyBorder="1" applyAlignment="1" applyProtection="1">
      <alignment horizontal="center" vertical="center" wrapText="1"/>
    </xf>
    <xf numFmtId="10" fontId="12" fillId="0" borderId="15" xfId="1" applyNumberFormat="1" applyFont="1" applyBorder="1" applyAlignment="1" applyProtection="1">
      <alignment horizontal="center" vertical="center" wrapText="1"/>
    </xf>
    <xf numFmtId="165" fontId="12" fillId="0" borderId="15" xfId="8" applyFont="1" applyFill="1" applyBorder="1" applyAlignment="1" applyProtection="1">
      <alignment horizontal="center" vertical="center" wrapText="1"/>
    </xf>
    <xf numFmtId="165" fontId="12" fillId="0" borderId="18" xfId="8" applyFont="1" applyFill="1" applyBorder="1" applyAlignment="1" applyProtection="1">
      <alignment horizontal="center" vertical="center" wrapText="1"/>
    </xf>
    <xf numFmtId="0" fontId="8" fillId="2" borderId="0" xfId="0" applyFont="1" applyFill="1" applyProtection="1">
      <protection locked="0"/>
    </xf>
    <xf numFmtId="0" fontId="8" fillId="2" borderId="54" xfId="0" applyFont="1" applyFill="1" applyBorder="1" applyProtection="1">
      <protection locked="0"/>
    </xf>
    <xf numFmtId="0" fontId="8" fillId="2" borderId="56" xfId="0" applyFont="1" applyFill="1" applyBorder="1" applyProtection="1">
      <protection locked="0"/>
    </xf>
    <xf numFmtId="0" fontId="8" fillId="2" borderId="30" xfId="0" applyFont="1" applyFill="1" applyBorder="1" applyProtection="1">
      <protection locked="0"/>
    </xf>
    <xf numFmtId="0" fontId="8" fillId="2" borderId="36" xfId="0" applyFont="1" applyFill="1" applyBorder="1" applyProtection="1">
      <protection locked="0"/>
    </xf>
    <xf numFmtId="0" fontId="6" fillId="2" borderId="36" xfId="0" applyFont="1" applyFill="1" applyBorder="1" applyProtection="1">
      <protection locked="0"/>
    </xf>
    <xf numFmtId="0" fontId="8" fillId="2" borderId="20" xfId="0" applyFont="1" applyFill="1" applyBorder="1" applyProtection="1">
      <protection locked="0"/>
    </xf>
    <xf numFmtId="9" fontId="8" fillId="0" borderId="14" xfId="1" applyFont="1" applyFill="1" applyBorder="1" applyAlignment="1" applyProtection="1">
      <alignment horizontal="center" vertical="center" shrinkToFit="1"/>
    </xf>
    <xf numFmtId="9" fontId="8" fillId="0" borderId="76" xfId="1" applyFont="1" applyFill="1" applyBorder="1" applyAlignment="1" applyProtection="1">
      <alignment horizontal="center" vertical="center" shrinkToFit="1"/>
    </xf>
    <xf numFmtId="9" fontId="8" fillId="0" borderId="16" xfId="1" applyFont="1" applyFill="1" applyBorder="1" applyAlignment="1" applyProtection="1">
      <alignment horizontal="center" vertical="center" shrinkToFit="1"/>
    </xf>
    <xf numFmtId="9" fontId="8" fillId="0" borderId="17" xfId="1" applyFont="1" applyFill="1" applyBorder="1" applyAlignment="1" applyProtection="1">
      <alignment horizontal="center" vertical="center" shrinkToFit="1"/>
    </xf>
    <xf numFmtId="9" fontId="8" fillId="0" borderId="77" xfId="1" applyFont="1" applyFill="1" applyBorder="1" applyAlignment="1" applyProtection="1">
      <alignment horizontal="center" vertical="center" shrinkToFit="1"/>
    </xf>
    <xf numFmtId="0" fontId="36" fillId="17" borderId="25" xfId="0" applyFont="1" applyFill="1" applyBorder="1" applyAlignment="1">
      <alignment horizontal="left" vertical="center"/>
    </xf>
    <xf numFmtId="2" fontId="12" fillId="15" borderId="76" xfId="0" applyNumberFormat="1" applyFont="1" applyFill="1" applyBorder="1" applyAlignment="1" applyProtection="1">
      <alignment horizontal="center" vertical="center" wrapText="1"/>
      <protection locked="0"/>
    </xf>
    <xf numFmtId="2" fontId="12" fillId="15" borderId="128" xfId="0" applyNumberFormat="1" applyFont="1" applyFill="1" applyBorder="1" applyAlignment="1" applyProtection="1">
      <alignment horizontal="center" vertical="center" wrapText="1"/>
      <protection locked="0"/>
    </xf>
    <xf numFmtId="0" fontId="6" fillId="2" borderId="52" xfId="0" applyFont="1" applyFill="1" applyBorder="1" applyAlignment="1">
      <alignment horizontal="left" vertical="center" wrapText="1"/>
    </xf>
    <xf numFmtId="164" fontId="8" fillId="2" borderId="56" xfId="2" applyFont="1" applyFill="1" applyBorder="1" applyAlignment="1" applyProtection="1">
      <alignment vertical="center" wrapText="1"/>
    </xf>
    <xf numFmtId="164" fontId="8" fillId="2" borderId="61" xfId="2" applyFont="1" applyFill="1" applyBorder="1" applyAlignment="1" applyProtection="1">
      <alignment vertical="center" wrapText="1"/>
    </xf>
    <xf numFmtId="165" fontId="6" fillId="52" borderId="26" xfId="8" applyFont="1" applyFill="1" applyBorder="1" applyAlignment="1" applyProtection="1">
      <alignment horizontal="left" vertical="center" wrapText="1"/>
    </xf>
    <xf numFmtId="172" fontId="6" fillId="52" borderId="26" xfId="0" applyNumberFormat="1" applyFont="1" applyFill="1" applyBorder="1" applyAlignment="1">
      <alignment horizontal="left" vertical="center" wrapText="1"/>
    </xf>
    <xf numFmtId="165" fontId="6" fillId="52" borderId="26" xfId="8" applyFont="1" applyFill="1" applyBorder="1" applyAlignment="1" applyProtection="1">
      <alignment vertical="center" wrapText="1"/>
    </xf>
    <xf numFmtId="0" fontId="0" fillId="2" borderId="105" xfId="0" applyFill="1" applyBorder="1"/>
    <xf numFmtId="0" fontId="0" fillId="2" borderId="0" xfId="0" applyFill="1" applyAlignment="1">
      <alignment horizontal="center" vertical="center"/>
    </xf>
    <xf numFmtId="0" fontId="0" fillId="2" borderId="56" xfId="0" applyFill="1" applyBorder="1" applyAlignment="1">
      <alignment horizontal="left" vertical="top"/>
    </xf>
    <xf numFmtId="0" fontId="0" fillId="2" borderId="85" xfId="0" applyFill="1" applyBorder="1"/>
    <xf numFmtId="0" fontId="0" fillId="2" borderId="58" xfId="0" applyFill="1" applyBorder="1" applyAlignment="1">
      <alignment horizontal="center" vertical="center"/>
    </xf>
    <xf numFmtId="0" fontId="0" fillId="2" borderId="61" xfId="0" applyFill="1" applyBorder="1" applyAlignment="1">
      <alignment horizontal="left" vertical="top"/>
    </xf>
    <xf numFmtId="0" fontId="26" fillId="2" borderId="49" xfId="0" applyFont="1" applyFill="1" applyBorder="1"/>
    <xf numFmtId="0" fontId="0" fillId="0" borderId="56" xfId="0" applyBorder="1"/>
    <xf numFmtId="0" fontId="32" fillId="51" borderId="26" xfId="0" applyFont="1" applyFill="1" applyBorder="1" applyAlignment="1">
      <alignment horizontal="left" vertical="center"/>
    </xf>
    <xf numFmtId="0" fontId="69" fillId="51" borderId="26" xfId="0" applyFont="1" applyFill="1" applyBorder="1" applyAlignment="1">
      <alignment horizontal="left" vertical="center"/>
    </xf>
    <xf numFmtId="0" fontId="12" fillId="0" borderId="153" xfId="0" applyFont="1" applyBorder="1" applyAlignment="1">
      <alignment vertical="center"/>
    </xf>
    <xf numFmtId="0" fontId="12" fillId="0" borderId="156" xfId="0" applyFont="1" applyBorder="1"/>
    <xf numFmtId="0" fontId="0" fillId="0" borderId="157" xfId="0" applyBorder="1" applyAlignment="1">
      <alignment vertical="center"/>
    </xf>
    <xf numFmtId="0" fontId="12" fillId="0" borderId="154" xfId="0" applyFont="1" applyBorder="1" applyAlignment="1">
      <alignment vertical="center"/>
    </xf>
    <xf numFmtId="0" fontId="12" fillId="0" borderId="158" xfId="0" applyFont="1" applyBorder="1"/>
    <xf numFmtId="0" fontId="0" fillId="0" borderId="159" xfId="0" applyBorder="1" applyAlignment="1">
      <alignment vertical="center"/>
    </xf>
    <xf numFmtId="0" fontId="39" fillId="0" borderId="153" xfId="0" applyFont="1" applyBorder="1" applyAlignment="1">
      <alignment vertical="center"/>
    </xf>
    <xf numFmtId="0" fontId="12" fillId="0" borderId="156" xfId="0" applyFont="1" applyBorder="1" applyProtection="1">
      <protection locked="0"/>
    </xf>
    <xf numFmtId="0" fontId="12" fillId="0" borderId="158" xfId="0" applyFont="1" applyBorder="1" applyProtection="1">
      <protection locked="0"/>
    </xf>
    <xf numFmtId="0" fontId="12" fillId="0" borderId="160" xfId="0" applyFont="1" applyBorder="1" applyAlignment="1">
      <alignment vertical="center"/>
    </xf>
    <xf numFmtId="0" fontId="12" fillId="0" borderId="161" xfId="0" applyFont="1" applyBorder="1" applyProtection="1">
      <protection locked="0"/>
    </xf>
    <xf numFmtId="0" fontId="0" fillId="0" borderId="162" xfId="0" applyBorder="1" applyAlignment="1">
      <alignment vertical="center"/>
    </xf>
    <xf numFmtId="0" fontId="0" fillId="0" borderId="159" xfId="0" applyBorder="1" applyProtection="1">
      <protection locked="0"/>
    </xf>
    <xf numFmtId="0" fontId="12" fillId="0" borderId="163" xfId="0" applyFont="1" applyBorder="1" applyAlignment="1">
      <alignment vertical="center"/>
    </xf>
    <xf numFmtId="0" fontId="0" fillId="0" borderId="157" xfId="0" applyBorder="1" applyProtection="1">
      <protection locked="0"/>
    </xf>
    <xf numFmtId="0" fontId="12" fillId="0" borderId="53" xfId="0" applyFont="1" applyBorder="1" applyAlignment="1">
      <alignment vertical="center"/>
    </xf>
    <xf numFmtId="0" fontId="12" fillId="0" borderId="25" xfId="0" applyFont="1" applyBorder="1" applyAlignment="1">
      <alignment vertical="center"/>
    </xf>
    <xf numFmtId="0" fontId="12" fillId="0" borderId="46" xfId="0" applyFont="1" applyBorder="1" applyProtection="1">
      <protection locked="0"/>
    </xf>
    <xf numFmtId="0" fontId="0" fillId="0" borderId="47" xfId="0" applyBorder="1" applyProtection="1">
      <protection locked="0"/>
    </xf>
    <xf numFmtId="0" fontId="69" fillId="51" borderId="25" xfId="0" applyFont="1" applyFill="1" applyBorder="1" applyAlignment="1">
      <alignment horizontal="left" vertical="center"/>
    </xf>
    <xf numFmtId="0" fontId="36" fillId="17" borderId="46" xfId="0" applyFont="1" applyFill="1" applyBorder="1" applyAlignment="1">
      <alignment horizontal="left" vertical="center"/>
    </xf>
    <xf numFmtId="0" fontId="12" fillId="0" borderId="36" xfId="0" applyFont="1" applyBorder="1" applyAlignment="1">
      <alignment horizontal="center" vertical="center" wrapText="1"/>
    </xf>
    <xf numFmtId="0" fontId="12" fillId="0" borderId="42" xfId="0" applyFont="1" applyBorder="1" applyAlignment="1">
      <alignment horizontal="center" vertical="center" wrapText="1"/>
    </xf>
    <xf numFmtId="0" fontId="49" fillId="17" borderId="46" xfId="0" applyFont="1" applyFill="1" applyBorder="1" applyAlignment="1">
      <alignment horizontal="left" vertical="center"/>
    </xf>
    <xf numFmtId="0" fontId="12" fillId="17" borderId="49" xfId="0" applyFont="1" applyFill="1" applyBorder="1" applyAlignment="1">
      <alignment horizontal="center" vertical="center" wrapText="1"/>
    </xf>
    <xf numFmtId="0" fontId="12" fillId="17" borderId="49" xfId="0" applyFont="1" applyFill="1" applyBorder="1" applyAlignment="1">
      <alignment horizontal="right" vertical="center" wrapText="1"/>
    </xf>
    <xf numFmtId="0" fontId="12" fillId="0" borderId="30" xfId="0" applyFont="1" applyBorder="1" applyAlignment="1">
      <alignment horizontal="center" vertical="center" wrapText="1"/>
    </xf>
    <xf numFmtId="4" fontId="12" fillId="2" borderId="0" xfId="2" applyNumberFormat="1" applyFont="1" applyFill="1" applyBorder="1" applyAlignment="1" applyProtection="1">
      <alignment horizontal="center" vertical="center" wrapText="1"/>
    </xf>
    <xf numFmtId="165" fontId="12" fillId="2" borderId="56" xfId="8" applyFont="1" applyFill="1" applyBorder="1" applyAlignment="1" applyProtection="1">
      <alignment horizontal="center" vertical="center" wrapText="1"/>
    </xf>
    <xf numFmtId="10" fontId="12" fillId="0" borderId="36" xfId="1" applyNumberFormat="1" applyFont="1" applyBorder="1" applyAlignment="1" applyProtection="1">
      <alignment horizontal="center" vertical="center" wrapText="1"/>
    </xf>
    <xf numFmtId="165" fontId="49" fillId="17" borderId="47" xfId="8" applyFont="1" applyFill="1" applyBorder="1" applyAlignment="1" applyProtection="1">
      <alignment horizontal="center" vertical="center" wrapText="1"/>
    </xf>
    <xf numFmtId="0" fontId="0" fillId="2" borderId="15" xfId="0" applyFill="1" applyBorder="1" applyAlignment="1" applyProtection="1">
      <alignment horizontal="center" vertical="center"/>
      <protection locked="0"/>
    </xf>
    <xf numFmtId="2" fontId="12" fillId="50" borderId="74" xfId="8" applyNumberFormat="1" applyFont="1" applyFill="1" applyBorder="1" applyAlignment="1" applyProtection="1">
      <alignment horizontal="center" vertical="center" wrapText="1"/>
      <protection locked="0"/>
    </xf>
    <xf numFmtId="2" fontId="12" fillId="50" borderId="15" xfId="8" applyNumberFormat="1" applyFont="1" applyFill="1" applyBorder="1" applyAlignment="1" applyProtection="1">
      <alignment horizontal="center" vertical="center" wrapText="1"/>
      <protection locked="0"/>
    </xf>
    <xf numFmtId="2" fontId="12" fillId="50" borderId="18" xfId="8" applyNumberFormat="1" applyFont="1" applyFill="1" applyBorder="1" applyAlignment="1" applyProtection="1">
      <alignment horizontal="center" vertical="center" wrapText="1"/>
      <protection locked="0"/>
    </xf>
    <xf numFmtId="0" fontId="8" fillId="50" borderId="15" xfId="0" applyFont="1" applyFill="1" applyBorder="1" applyAlignment="1" applyProtection="1">
      <alignment horizontal="center" vertical="center" wrapText="1"/>
      <protection locked="0"/>
    </xf>
    <xf numFmtId="0" fontId="12" fillId="15" borderId="164" xfId="0" applyFont="1" applyFill="1" applyBorder="1" applyAlignment="1" applyProtection="1">
      <alignment horizontal="center" vertical="center" wrapText="1"/>
      <protection locked="0"/>
    </xf>
    <xf numFmtId="0" fontId="12" fillId="15" borderId="71" xfId="0" applyFont="1" applyFill="1" applyBorder="1" applyAlignment="1" applyProtection="1">
      <alignment horizontal="center" vertical="center" wrapText="1"/>
      <protection locked="0"/>
    </xf>
    <xf numFmtId="0" fontId="12" fillId="0" borderId="57" xfId="0" applyFont="1" applyBorder="1" applyAlignment="1">
      <alignment horizontal="center" vertical="center" wrapText="1"/>
    </xf>
    <xf numFmtId="169" fontId="12" fillId="0" borderId="57" xfId="0" applyNumberFormat="1" applyFont="1" applyBorder="1" applyAlignment="1">
      <alignment horizontal="center" vertical="center" wrapText="1"/>
    </xf>
    <xf numFmtId="0" fontId="12" fillId="2" borderId="58" xfId="0" applyFont="1" applyFill="1" applyBorder="1" applyAlignment="1">
      <alignment horizontal="center"/>
    </xf>
    <xf numFmtId="0" fontId="12" fillId="2" borderId="61" xfId="0" applyFont="1" applyFill="1" applyBorder="1" applyAlignment="1">
      <alignment horizontal="center"/>
    </xf>
    <xf numFmtId="169" fontId="73" fillId="15" borderId="48" xfId="5" applyNumberFormat="1" applyFont="1" applyFill="1" applyBorder="1" applyAlignment="1" applyProtection="1">
      <alignment horizontal="center" vertical="center" wrapText="1"/>
      <protection locked="0"/>
    </xf>
    <xf numFmtId="169" fontId="73" fillId="15" borderId="71" xfId="5" applyNumberFormat="1" applyFont="1" applyFill="1" applyBorder="1" applyAlignment="1" applyProtection="1">
      <alignment horizontal="center" vertical="center" wrapText="1"/>
      <protection locked="0"/>
    </xf>
    <xf numFmtId="0" fontId="70" fillId="7" borderId="107" xfId="5" applyFont="1" applyFill="1" applyBorder="1" applyAlignment="1">
      <alignment horizontal="center" vertical="center" wrapText="1"/>
    </xf>
    <xf numFmtId="0" fontId="70" fillId="7" borderId="106" xfId="5" applyFont="1" applyFill="1" applyBorder="1" applyAlignment="1">
      <alignment horizontal="center" vertical="center" wrapText="1"/>
    </xf>
    <xf numFmtId="164" fontId="8" fillId="0" borderId="84" xfId="2" applyFont="1" applyFill="1" applyBorder="1" applyAlignment="1" applyProtection="1">
      <alignment horizontal="center" vertical="center" shrinkToFit="1"/>
    </xf>
    <xf numFmtId="0" fontId="8" fillId="0" borderId="74" xfId="0" applyFont="1" applyBorder="1" applyAlignment="1">
      <alignment horizontal="center" vertical="center" shrinkToFit="1"/>
    </xf>
    <xf numFmtId="9" fontId="8" fillId="0" borderId="73" xfId="1" applyFont="1" applyFill="1" applyBorder="1" applyAlignment="1" applyProtection="1">
      <alignment horizontal="center" vertical="center" shrinkToFit="1"/>
    </xf>
    <xf numFmtId="9" fontId="8" fillId="0" borderId="74" xfId="1" applyFont="1" applyFill="1" applyBorder="1" applyAlignment="1" applyProtection="1">
      <alignment horizontal="center" vertical="center" shrinkToFit="1"/>
    </xf>
    <xf numFmtId="9" fontId="8" fillId="0" borderId="75" xfId="1" applyFont="1" applyFill="1" applyBorder="1" applyAlignment="1" applyProtection="1">
      <alignment horizontal="center" vertical="center" shrinkToFit="1"/>
    </xf>
    <xf numFmtId="2" fontId="8" fillId="0" borderId="151" xfId="1" applyNumberFormat="1" applyFont="1" applyFill="1" applyBorder="1" applyAlignment="1" applyProtection="1">
      <alignment horizontal="center" vertical="center" shrinkToFit="1"/>
    </xf>
    <xf numFmtId="2" fontId="8" fillId="0" borderId="20" xfId="1" applyNumberFormat="1" applyFont="1" applyFill="1" applyBorder="1" applyAlignment="1" applyProtection="1">
      <alignment horizontal="center" vertical="center" shrinkToFit="1"/>
    </xf>
    <xf numFmtId="0" fontId="8" fillId="0" borderId="16" xfId="0" applyFont="1" applyBorder="1" applyAlignment="1">
      <alignment horizontal="center" vertical="center" shrinkToFit="1"/>
    </xf>
    <xf numFmtId="0" fontId="8" fillId="15" borderId="17" xfId="0" applyFont="1" applyFill="1" applyBorder="1" applyAlignment="1" applyProtection="1">
      <alignment horizontal="center" vertical="center" shrinkToFit="1"/>
      <protection locked="0"/>
    </xf>
    <xf numFmtId="0" fontId="8" fillId="15" borderId="17" xfId="6" applyFont="1" applyFill="1" applyBorder="1" applyAlignment="1" applyProtection="1">
      <alignment horizontal="center" vertical="center" shrinkToFit="1"/>
      <protection locked="0"/>
    </xf>
    <xf numFmtId="164" fontId="8" fillId="0" borderId="17" xfId="2" applyFont="1" applyFill="1" applyBorder="1" applyAlignment="1" applyProtection="1">
      <alignment horizontal="center" vertical="center" shrinkToFit="1"/>
    </xf>
    <xf numFmtId="1" fontId="8" fillId="0" borderId="17" xfId="2" applyNumberFormat="1" applyFont="1" applyFill="1" applyBorder="1" applyAlignment="1" applyProtection="1">
      <alignment horizontal="center" vertical="center" shrinkToFit="1"/>
    </xf>
    <xf numFmtId="12" fontId="8" fillId="15" borderId="17" xfId="0" applyNumberFormat="1" applyFont="1" applyFill="1" applyBorder="1" applyAlignment="1" applyProtection="1">
      <alignment horizontal="center" vertical="center" shrinkToFit="1"/>
      <protection locked="0"/>
    </xf>
    <xf numFmtId="12" fontId="8" fillId="15" borderId="17" xfId="2" applyNumberFormat="1" applyFont="1" applyFill="1" applyBorder="1" applyAlignment="1" applyProtection="1">
      <alignment horizontal="center" vertical="center" shrinkToFit="1"/>
      <protection locked="0"/>
    </xf>
    <xf numFmtId="168" fontId="8" fillId="0" borderId="17" xfId="2" applyNumberFormat="1" applyFont="1" applyFill="1" applyBorder="1" applyAlignment="1" applyProtection="1">
      <alignment horizontal="center" vertical="center" shrinkToFit="1"/>
    </xf>
    <xf numFmtId="168" fontId="8" fillId="15" borderId="17" xfId="2" applyNumberFormat="1" applyFont="1" applyFill="1" applyBorder="1" applyAlignment="1" applyProtection="1">
      <alignment horizontal="center" vertical="center" shrinkToFit="1"/>
      <protection locked="0"/>
    </xf>
    <xf numFmtId="164" fontId="8" fillId="0" borderId="112" xfId="2" applyFont="1" applyFill="1" applyBorder="1" applyAlignment="1" applyProtection="1">
      <alignment horizontal="center" vertical="center" shrinkToFit="1"/>
    </xf>
    <xf numFmtId="174" fontId="8" fillId="15" borderId="17" xfId="2" applyNumberFormat="1" applyFont="1" applyFill="1" applyBorder="1" applyAlignment="1" applyProtection="1">
      <alignment horizontal="center" vertical="center" shrinkToFit="1"/>
      <protection locked="0"/>
    </xf>
    <xf numFmtId="174" fontId="8" fillId="0" borderId="17" xfId="2" applyNumberFormat="1" applyFont="1" applyFill="1" applyBorder="1" applyAlignment="1" applyProtection="1">
      <alignment horizontal="center" vertical="center" shrinkToFit="1"/>
    </xf>
    <xf numFmtId="164" fontId="8" fillId="0" borderId="86" xfId="2" applyFont="1" applyFill="1" applyBorder="1" applyAlignment="1" applyProtection="1">
      <alignment horizontal="center" vertical="center" shrinkToFit="1"/>
    </xf>
    <xf numFmtId="0" fontId="8" fillId="0" borderId="17" xfId="0" applyFont="1" applyBorder="1" applyAlignment="1">
      <alignment horizontal="center" vertical="center" shrinkToFit="1"/>
    </xf>
    <xf numFmtId="0" fontId="8" fillId="0" borderId="112" xfId="0" applyFont="1" applyBorder="1" applyAlignment="1">
      <alignment horizontal="center" vertical="center" shrinkToFit="1"/>
    </xf>
    <xf numFmtId="164" fontId="8" fillId="0" borderId="81" xfId="0" applyNumberFormat="1" applyFont="1" applyBorder="1" applyAlignment="1">
      <alignment horizontal="center" vertical="center" shrinkToFit="1"/>
    </xf>
    <xf numFmtId="0" fontId="8" fillId="0" borderId="45" xfId="1" applyNumberFormat="1" applyFont="1" applyFill="1" applyBorder="1" applyAlignment="1" applyProtection="1">
      <alignment horizontal="center" vertical="center" shrinkToFit="1"/>
    </xf>
    <xf numFmtId="12" fontId="8" fillId="0" borderId="45" xfId="1" applyNumberFormat="1" applyFont="1" applyFill="1" applyBorder="1" applyAlignment="1" applyProtection="1">
      <alignment horizontal="center" vertical="center" shrinkToFit="1"/>
    </xf>
    <xf numFmtId="0" fontId="8" fillId="0" borderId="17" xfId="1" applyNumberFormat="1" applyFont="1" applyFill="1" applyBorder="1" applyAlignment="1" applyProtection="1">
      <alignment horizontal="center" vertical="center" shrinkToFit="1"/>
    </xf>
    <xf numFmtId="2" fontId="8" fillId="0" borderId="45" xfId="1" applyNumberFormat="1" applyFont="1" applyFill="1" applyBorder="1" applyAlignment="1" applyProtection="1">
      <alignment horizontal="center" vertical="center" shrinkToFit="1"/>
    </xf>
    <xf numFmtId="2" fontId="8" fillId="0" borderId="134" xfId="1" applyNumberFormat="1" applyFont="1" applyFill="1" applyBorder="1" applyAlignment="1" applyProtection="1">
      <alignment horizontal="center" vertical="center" shrinkToFit="1"/>
    </xf>
    <xf numFmtId="12" fontId="0" fillId="15" borderId="132" xfId="0" applyNumberFormat="1" applyFill="1" applyBorder="1" applyAlignment="1" applyProtection="1">
      <alignment horizontal="center" vertical="center" shrinkToFit="1"/>
      <protection locked="0"/>
    </xf>
    <xf numFmtId="174" fontId="0" fillId="0" borderId="13" xfId="0" applyNumberFormat="1" applyBorder="1" applyAlignment="1">
      <alignment horizontal="center" vertical="center" wrapText="1"/>
    </xf>
    <xf numFmtId="12" fontId="32" fillId="0" borderId="0" xfId="0" applyNumberFormat="1" applyFont="1" applyAlignment="1">
      <alignment horizontal="center" vertical="center" wrapText="1"/>
    </xf>
    <xf numFmtId="0" fontId="0" fillId="20" borderId="73" xfId="0" applyFill="1" applyBorder="1" applyAlignment="1">
      <alignment horizontal="center" vertical="center"/>
    </xf>
    <xf numFmtId="0" fontId="0" fillId="20" borderId="14" xfId="0" applyFill="1" applyBorder="1" applyAlignment="1">
      <alignment horizontal="center" vertical="center"/>
    </xf>
    <xf numFmtId="0" fontId="0" fillId="20" borderId="16" xfId="0" applyFill="1" applyBorder="1" applyAlignment="1">
      <alignment horizontal="center" vertical="center"/>
    </xf>
    <xf numFmtId="9" fontId="10" fillId="21" borderId="71" xfId="1" applyFont="1" applyFill="1" applyBorder="1" applyAlignment="1" applyProtection="1">
      <alignment horizontal="center" vertical="center"/>
      <protection locked="0"/>
    </xf>
    <xf numFmtId="9" fontId="10" fillId="21" borderId="107" xfId="1" applyFont="1" applyFill="1" applyBorder="1" applyAlignment="1" applyProtection="1">
      <alignment horizontal="center" vertical="center"/>
      <protection locked="0"/>
    </xf>
    <xf numFmtId="9" fontId="10" fillId="21" borderId="72" xfId="1" applyFont="1" applyFill="1" applyBorder="1" applyAlignment="1" applyProtection="1">
      <alignment horizontal="center" vertical="center"/>
      <protection locked="0"/>
    </xf>
    <xf numFmtId="9" fontId="10" fillId="21" borderId="26" xfId="1" applyFont="1" applyFill="1" applyBorder="1" applyAlignment="1" applyProtection="1">
      <alignment horizontal="center" vertical="center"/>
      <protection locked="0"/>
    </xf>
    <xf numFmtId="12" fontId="0" fillId="0" borderId="122" xfId="0" applyNumberFormat="1" applyBorder="1" applyAlignment="1">
      <alignment horizontal="center" vertical="center" wrapText="1"/>
    </xf>
    <xf numFmtId="0" fontId="0" fillId="0" borderId="126" xfId="0" applyBorder="1" applyAlignment="1">
      <alignment horizontal="center" vertical="center"/>
    </xf>
    <xf numFmtId="0" fontId="0" fillId="0" borderId="127" xfId="0" applyBorder="1" applyAlignment="1">
      <alignment horizontal="center" vertical="center"/>
    </xf>
    <xf numFmtId="0" fontId="0" fillId="0" borderId="165" xfId="0" applyBorder="1" applyAlignment="1">
      <alignment horizontal="center" vertical="center"/>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3" xfId="0" applyBorder="1" applyAlignment="1">
      <alignment horizontal="center" vertical="center"/>
    </xf>
    <xf numFmtId="2" fontId="0" fillId="0" borderId="42" xfId="0" applyNumberFormat="1" applyBorder="1" applyAlignment="1">
      <alignment horizontal="center" vertical="center"/>
    </xf>
    <xf numFmtId="3" fontId="0" fillId="0" borderId="14" xfId="0" applyNumberFormat="1" applyBorder="1" applyAlignment="1">
      <alignment horizontal="center" vertical="center"/>
    </xf>
    <xf numFmtId="0" fontId="8" fillId="20" borderId="36" xfId="2" applyNumberFormat="1" applyFont="1" applyFill="1" applyBorder="1" applyAlignment="1" applyProtection="1">
      <alignment horizontal="center" vertical="center" wrapText="1"/>
    </xf>
    <xf numFmtId="0" fontId="78" fillId="2" borderId="21" xfId="0" applyFont="1" applyFill="1" applyBorder="1" applyAlignment="1">
      <alignment horizontal="right" vertical="center" indent="1"/>
    </xf>
    <xf numFmtId="0" fontId="79" fillId="2" borderId="52" xfId="0" applyFont="1" applyFill="1" applyBorder="1" applyAlignment="1">
      <alignment horizontal="left" vertical="center" wrapText="1"/>
    </xf>
    <xf numFmtId="164" fontId="8" fillId="2" borderId="133" xfId="115" applyFont="1" applyFill="1" applyBorder="1" applyAlignment="1" applyProtection="1">
      <alignment vertical="center" wrapText="1"/>
    </xf>
    <xf numFmtId="164" fontId="8" fillId="2" borderId="20" xfId="115" applyFont="1" applyFill="1" applyBorder="1" applyAlignment="1" applyProtection="1">
      <alignment vertical="center" wrapText="1"/>
    </xf>
    <xf numFmtId="0" fontId="15" fillId="7" borderId="26" xfId="0" applyFont="1" applyFill="1" applyBorder="1" applyAlignment="1">
      <alignment horizontal="left" vertical="center"/>
    </xf>
    <xf numFmtId="0" fontId="0" fillId="0" borderId="26" xfId="0" applyBorder="1" applyAlignment="1">
      <alignment horizontal="center" vertical="center"/>
    </xf>
    <xf numFmtId="174" fontId="8" fillId="15" borderId="74" xfId="2" applyNumberFormat="1" applyFont="1" applyFill="1" applyBorder="1" applyAlignment="1" applyProtection="1">
      <alignment horizontal="center" vertical="center" shrinkToFit="1"/>
      <protection locked="0"/>
    </xf>
    <xf numFmtId="0" fontId="7" fillId="2" borderId="121" xfId="0" applyFont="1" applyFill="1" applyBorder="1" applyAlignment="1">
      <alignment horizontal="right" vertical="center" indent="1"/>
    </xf>
    <xf numFmtId="0" fontId="7" fillId="2" borderId="130" xfId="0" applyFont="1" applyFill="1" applyBorder="1" applyAlignment="1">
      <alignment vertical="center" wrapText="1"/>
    </xf>
    <xf numFmtId="0" fontId="8" fillId="2" borderId="13" xfId="0" applyFont="1" applyFill="1" applyBorder="1" applyAlignment="1">
      <alignment horizontal="center" vertical="center" wrapText="1"/>
    </xf>
    <xf numFmtId="0" fontId="8" fillId="2" borderId="118" xfId="0" applyFont="1" applyFill="1" applyBorder="1" applyAlignment="1">
      <alignment vertical="center" wrapText="1"/>
    </xf>
    <xf numFmtId="0" fontId="8" fillId="2" borderId="130" xfId="0" applyFont="1" applyFill="1" applyBorder="1" applyAlignment="1">
      <alignment vertical="center" wrapText="1"/>
    </xf>
    <xf numFmtId="164" fontId="8" fillId="2" borderId="132" xfId="2" applyFont="1" applyFill="1" applyBorder="1" applyAlignment="1" applyProtection="1">
      <alignment vertical="center" wrapText="1"/>
      <protection locked="0"/>
    </xf>
    <xf numFmtId="172" fontId="8" fillId="3" borderId="13" xfId="0" applyNumberFormat="1" applyFont="1" applyFill="1" applyBorder="1" applyAlignment="1" applyProtection="1">
      <alignment vertical="center" wrapText="1"/>
      <protection locked="0"/>
    </xf>
    <xf numFmtId="164" fontId="8" fillId="2" borderId="76" xfId="115" applyFont="1" applyFill="1" applyBorder="1" applyAlignment="1" applyProtection="1">
      <alignment vertical="center" wrapText="1"/>
    </xf>
    <xf numFmtId="0" fontId="8" fillId="2" borderId="112" xfId="0" applyFont="1" applyFill="1" applyBorder="1" applyAlignment="1">
      <alignment horizontal="left" vertical="center"/>
    </xf>
    <xf numFmtId="2" fontId="12" fillId="0" borderId="0" xfId="7" applyNumberFormat="1" applyFont="1" applyAlignment="1">
      <alignment horizontal="left"/>
    </xf>
    <xf numFmtId="0" fontId="0" fillId="0" borderId="0" xfId="0" applyAlignment="1">
      <alignment horizontal="left"/>
    </xf>
    <xf numFmtId="0" fontId="0" fillId="0" borderId="0" xfId="0" applyAlignment="1">
      <alignment horizontal="left" vertical="center"/>
    </xf>
    <xf numFmtId="0" fontId="0" fillId="7" borderId="47" xfId="0" applyFill="1" applyBorder="1" applyAlignment="1">
      <alignment horizontal="right" vertical="center"/>
    </xf>
    <xf numFmtId="0" fontId="37" fillId="2" borderId="53" xfId="7" applyFont="1" applyFill="1" applyBorder="1" applyAlignment="1">
      <alignment horizontal="right" indent="1"/>
    </xf>
    <xf numFmtId="0" fontId="37" fillId="2" borderId="56" xfId="7" applyFont="1" applyFill="1" applyBorder="1"/>
    <xf numFmtId="0" fontId="12" fillId="2" borderId="53" xfId="7" applyFont="1" applyFill="1" applyBorder="1" applyAlignment="1">
      <alignment horizontal="right" indent="1"/>
    </xf>
    <xf numFmtId="0" fontId="12" fillId="2" borderId="56" xfId="7" applyFont="1" applyFill="1" applyBorder="1"/>
    <xf numFmtId="0" fontId="38" fillId="2" borderId="53" xfId="7" applyFont="1" applyFill="1" applyBorder="1" applyAlignment="1">
      <alignment horizontal="right" indent="1"/>
    </xf>
    <xf numFmtId="0" fontId="12" fillId="2" borderId="56" xfId="7" applyFont="1" applyFill="1" applyBorder="1" applyAlignment="1">
      <alignment horizontal="center" vertical="center"/>
    </xf>
    <xf numFmtId="0" fontId="31" fillId="2" borderId="53" xfId="0" applyFont="1" applyFill="1" applyBorder="1" applyAlignment="1">
      <alignment horizontal="right" indent="1"/>
    </xf>
    <xf numFmtId="0" fontId="0" fillId="2" borderId="53" xfId="0" applyFill="1" applyBorder="1" applyAlignment="1">
      <alignment horizontal="right" indent="1"/>
    </xf>
    <xf numFmtId="0" fontId="12" fillId="2" borderId="53" xfId="7" applyFont="1" applyFill="1" applyBorder="1"/>
    <xf numFmtId="0" fontId="12" fillId="19" borderId="87" xfId="7" applyFont="1" applyFill="1" applyBorder="1" applyAlignment="1">
      <alignment horizontal="right" vertical="center" indent="2"/>
    </xf>
    <xf numFmtId="0" fontId="12" fillId="16" borderId="11" xfId="7" applyFont="1" applyFill="1" applyBorder="1" applyAlignment="1" applyProtection="1">
      <alignment horizontal="center" vertical="center"/>
      <protection locked="0"/>
    </xf>
    <xf numFmtId="0" fontId="12" fillId="16" borderId="3" xfId="7" applyFont="1" applyFill="1" applyBorder="1" applyAlignment="1" applyProtection="1">
      <alignment horizontal="center" vertical="center"/>
      <protection locked="0"/>
    </xf>
    <xf numFmtId="1" fontId="12" fillId="19" borderId="87" xfId="7" applyNumberFormat="1" applyFont="1" applyFill="1" applyBorder="1" applyAlignment="1">
      <alignment horizontal="center" vertical="center"/>
    </xf>
    <xf numFmtId="2" fontId="12" fillId="19" borderId="97" xfId="7" applyNumberFormat="1" applyFont="1" applyFill="1" applyBorder="1" applyAlignment="1">
      <alignment horizontal="center" vertical="center"/>
    </xf>
    <xf numFmtId="2" fontId="0" fillId="0" borderId="18" xfId="0" applyNumberFormat="1" applyBorder="1" applyAlignment="1">
      <alignment horizontal="center" vertical="center" wrapText="1"/>
    </xf>
    <xf numFmtId="2" fontId="0" fillId="0" borderId="0" xfId="0" applyNumberFormat="1" applyAlignment="1">
      <alignment horizontal="center" vertical="center" wrapText="1"/>
    </xf>
    <xf numFmtId="0" fontId="34" fillId="0" borderId="0" xfId="0" applyFont="1"/>
    <xf numFmtId="164" fontId="8" fillId="2" borderId="45" xfId="2" applyFont="1" applyFill="1" applyBorder="1" applyAlignment="1" applyProtection="1">
      <alignment horizontal="left" vertical="center" wrapText="1" indent="4"/>
    </xf>
    <xf numFmtId="0" fontId="0" fillId="15" borderId="164" xfId="0" applyFill="1" applyBorder="1" applyAlignment="1" applyProtection="1">
      <alignment horizontal="center" vertical="center"/>
      <protection locked="0"/>
    </xf>
    <xf numFmtId="0" fontId="0" fillId="2" borderId="26" xfId="0" applyFill="1" applyBorder="1" applyAlignment="1" applyProtection="1">
      <alignment horizontal="center" vertical="center"/>
      <protection locked="0"/>
    </xf>
    <xf numFmtId="2" fontId="12" fillId="2" borderId="15" xfId="8" applyNumberFormat="1" applyFont="1" applyFill="1" applyBorder="1" applyAlignment="1" applyProtection="1">
      <alignment horizontal="center" vertical="center" wrapText="1"/>
      <protection locked="0"/>
    </xf>
    <xf numFmtId="2" fontId="12" fillId="2" borderId="13" xfId="8" applyNumberFormat="1" applyFont="1" applyFill="1" applyBorder="1" applyAlignment="1" applyProtection="1">
      <alignment horizontal="center" vertical="center" wrapText="1"/>
      <protection locked="0"/>
    </xf>
    <xf numFmtId="172" fontId="39" fillId="2" borderId="76" xfId="0" applyNumberFormat="1" applyFont="1" applyFill="1" applyBorder="1" applyAlignment="1">
      <alignment horizontal="center" vertical="center" wrapText="1"/>
    </xf>
    <xf numFmtId="0" fontId="80" fillId="0" borderId="12" xfId="0" applyFont="1" applyBorder="1" applyAlignment="1">
      <alignment horizontal="right" vertical="center" wrapText="1" indent="1"/>
    </xf>
    <xf numFmtId="0" fontId="80" fillId="0" borderId="14" xfId="0" applyFont="1" applyBorder="1" applyAlignment="1">
      <alignment horizontal="right" vertical="center" wrapText="1" indent="1"/>
    </xf>
    <xf numFmtId="2" fontId="12" fillId="2" borderId="15" xfId="8" applyNumberFormat="1" applyFont="1" applyFill="1" applyBorder="1" applyAlignment="1" applyProtection="1">
      <alignment horizontal="center" vertical="center" wrapText="1"/>
    </xf>
    <xf numFmtId="0" fontId="12" fillId="2" borderId="18" xfId="0" applyFont="1" applyFill="1" applyBorder="1" applyAlignment="1" applyProtection="1">
      <alignment horizontal="center" vertical="center" wrapText="1"/>
      <protection locked="0"/>
    </xf>
    <xf numFmtId="1" fontId="12" fillId="2" borderId="18" xfId="0" applyNumberFormat="1" applyFont="1" applyFill="1" applyBorder="1" applyAlignment="1" applyProtection="1">
      <alignment horizontal="center" vertical="center" wrapText="1"/>
      <protection locked="0"/>
    </xf>
    <xf numFmtId="4" fontId="12" fillId="2" borderId="18" xfId="0" applyNumberFormat="1" applyFont="1" applyFill="1" applyBorder="1" applyAlignment="1">
      <alignment horizontal="center" vertical="center" wrapText="1"/>
    </xf>
    <xf numFmtId="0" fontId="16" fillId="15" borderId="73" xfId="0" applyFont="1" applyFill="1" applyBorder="1" applyAlignment="1" applyProtection="1">
      <alignment horizontal="center" vertical="center" wrapText="1"/>
      <protection locked="0"/>
    </xf>
    <xf numFmtId="0" fontId="16" fillId="15" borderId="151" xfId="0" applyFont="1" applyFill="1" applyBorder="1" applyAlignment="1" applyProtection="1">
      <alignment horizontal="center" vertical="center" wrapText="1"/>
      <protection locked="0"/>
    </xf>
    <xf numFmtId="0" fontId="16" fillId="15" borderId="14" xfId="0" applyFont="1" applyFill="1" applyBorder="1" applyAlignment="1" applyProtection="1">
      <alignment horizontal="center" vertical="center" wrapText="1"/>
      <protection locked="0"/>
    </xf>
    <xf numFmtId="0" fontId="16" fillId="15" borderId="16" xfId="0" applyFont="1" applyFill="1" applyBorder="1" applyAlignment="1" applyProtection="1">
      <alignment horizontal="center" vertical="center" wrapText="1"/>
      <protection locked="0"/>
    </xf>
    <xf numFmtId="12" fontId="0" fillId="15" borderId="74" xfId="0" applyNumberFormat="1" applyFill="1" applyBorder="1" applyAlignment="1" applyProtection="1">
      <alignment horizontal="center" vertical="center" wrapText="1" shrinkToFit="1"/>
      <protection locked="0"/>
    </xf>
    <xf numFmtId="0" fontId="82" fillId="0" borderId="0" xfId="0" applyFont="1"/>
    <xf numFmtId="0" fontId="82" fillId="0" borderId="0" xfId="0" applyFont="1" applyAlignment="1">
      <alignment horizontal="left"/>
    </xf>
    <xf numFmtId="0" fontId="84" fillId="0" borderId="89" xfId="0" applyFont="1" applyBorder="1" applyAlignment="1">
      <alignment horizontal="center" vertical="center"/>
    </xf>
    <xf numFmtId="0" fontId="84" fillId="0" borderId="90" xfId="0" applyFont="1" applyBorder="1" applyAlignment="1">
      <alignment horizontal="center" vertical="center"/>
    </xf>
    <xf numFmtId="0" fontId="84" fillId="0" borderId="91" xfId="0" applyFont="1" applyBorder="1" applyAlignment="1">
      <alignment horizontal="center" vertical="center"/>
    </xf>
    <xf numFmtId="177" fontId="3" fillId="54" borderId="128" xfId="0" applyNumberFormat="1" applyFont="1" applyFill="1" applyBorder="1" applyAlignment="1">
      <alignment horizontal="right"/>
    </xf>
    <xf numFmtId="177" fontId="3" fillId="54" borderId="108" xfId="0" applyNumberFormat="1" applyFont="1" applyFill="1" applyBorder="1" applyAlignment="1">
      <alignment horizontal="right"/>
    </xf>
    <xf numFmtId="0" fontId="3" fillId="54" borderId="164" xfId="0" applyFont="1" applyFill="1" applyBorder="1" applyAlignment="1">
      <alignment horizontal="center" vertical="center"/>
    </xf>
    <xf numFmtId="177" fontId="3" fillId="55" borderId="128" xfId="0" applyNumberFormat="1" applyFont="1" applyFill="1" applyBorder="1" applyAlignment="1">
      <alignment horizontal="right"/>
    </xf>
    <xf numFmtId="179" fontId="82" fillId="0" borderId="87" xfId="0" applyNumberFormat="1" applyFont="1" applyBorder="1" applyProtection="1">
      <protection locked="0"/>
    </xf>
    <xf numFmtId="177" fontId="3" fillId="54" borderId="77" xfId="0" applyNumberFormat="1" applyFont="1" applyFill="1" applyBorder="1" applyAlignment="1">
      <alignment horizontal="right"/>
    </xf>
    <xf numFmtId="0" fontId="85" fillId="55" borderId="25" xfId="0" applyFont="1" applyFill="1" applyBorder="1" applyAlignment="1">
      <alignment horizontal="center"/>
    </xf>
    <xf numFmtId="178" fontId="85" fillId="55" borderId="47" xfId="0" applyNumberFormat="1" applyFont="1" applyFill="1" applyBorder="1"/>
    <xf numFmtId="0" fontId="86" fillId="0" borderId="0" xfId="0" applyFont="1" applyAlignment="1">
      <alignment horizontal="right"/>
    </xf>
    <xf numFmtId="0" fontId="86" fillId="0" borderId="26" xfId="0" applyFont="1" applyBorder="1" applyAlignment="1">
      <alignment horizontal="center" vertical="center"/>
    </xf>
    <xf numFmtId="179" fontId="82" fillId="0" borderId="52" xfId="1" applyNumberFormat="1" applyFont="1" applyBorder="1" applyProtection="1">
      <protection locked="0"/>
    </xf>
    <xf numFmtId="177" fontId="81" fillId="54" borderId="25" xfId="0" applyNumberFormat="1" applyFont="1" applyFill="1" applyBorder="1" applyAlignment="1">
      <alignment horizontal="center" vertical="center"/>
    </xf>
    <xf numFmtId="177" fontId="81" fillId="54" borderId="47" xfId="0" applyNumberFormat="1" applyFont="1" applyFill="1" applyBorder="1" applyAlignment="1">
      <alignment horizontal="right"/>
    </xf>
    <xf numFmtId="0" fontId="12" fillId="14" borderId="46" xfId="0" applyFont="1" applyFill="1" applyBorder="1" applyAlignment="1">
      <alignment vertical="center"/>
    </xf>
    <xf numFmtId="172" fontId="12" fillId="14" borderId="46" xfId="0" applyNumberFormat="1" applyFont="1" applyFill="1" applyBorder="1" applyAlignment="1">
      <alignment vertical="center"/>
    </xf>
    <xf numFmtId="0" fontId="0" fillId="14" borderId="47" xfId="0" applyFill="1" applyBorder="1" applyAlignment="1">
      <alignment vertical="center"/>
    </xf>
    <xf numFmtId="0" fontId="12" fillId="14" borderId="25" xfId="0" applyFont="1" applyFill="1" applyBorder="1" applyAlignment="1">
      <alignment vertical="center"/>
    </xf>
    <xf numFmtId="0" fontId="12" fillId="14" borderId="47" xfId="0" applyFont="1" applyFill="1" applyBorder="1" applyAlignment="1">
      <alignment vertical="center"/>
    </xf>
    <xf numFmtId="0" fontId="32" fillId="0" borderId="0" xfId="0" applyFont="1" applyAlignment="1">
      <alignment vertical="center"/>
    </xf>
    <xf numFmtId="0" fontId="32" fillId="0" borderId="0" xfId="0" applyFont="1" applyAlignment="1">
      <alignment horizontal="center" vertical="center"/>
    </xf>
    <xf numFmtId="172" fontId="0" fillId="15" borderId="15" xfId="0" applyNumberFormat="1" applyFill="1" applyBorder="1" applyAlignment="1" applyProtection="1">
      <alignment horizontal="center" vertical="center"/>
      <protection locked="0"/>
    </xf>
    <xf numFmtId="165" fontId="0" fillId="0" borderId="74" xfId="8" applyFont="1" applyBorder="1" applyAlignment="1">
      <alignment horizontal="center" vertical="center"/>
    </xf>
    <xf numFmtId="165" fontId="0" fillId="0" borderId="15" xfId="8" applyFont="1" applyBorder="1" applyAlignment="1">
      <alignment horizontal="center" vertical="center"/>
    </xf>
    <xf numFmtId="172" fontId="0" fillId="15" borderId="17" xfId="0" applyNumberFormat="1" applyFill="1" applyBorder="1" applyAlignment="1" applyProtection="1">
      <alignment horizontal="center" vertical="center"/>
      <protection locked="0"/>
    </xf>
    <xf numFmtId="165" fontId="0" fillId="0" borderId="17" xfId="8" applyFont="1" applyBorder="1" applyAlignment="1">
      <alignment horizontal="center" vertical="center"/>
    </xf>
    <xf numFmtId="172" fontId="0" fillId="15" borderId="74" xfId="0" applyNumberFormat="1" applyFill="1" applyBorder="1" applyAlignment="1" applyProtection="1">
      <alignment horizontal="center" vertical="center"/>
      <protection locked="0"/>
    </xf>
    <xf numFmtId="0" fontId="0" fillId="15" borderId="18" xfId="0" applyFill="1" applyBorder="1" applyAlignment="1" applyProtection="1">
      <alignment horizontal="center" vertical="center"/>
      <protection locked="0"/>
    </xf>
    <xf numFmtId="0" fontId="0" fillId="0" borderId="128" xfId="0" applyBorder="1" applyAlignment="1">
      <alignment horizontal="center" vertical="center"/>
    </xf>
    <xf numFmtId="172" fontId="0" fillId="15" borderId="13" xfId="0" applyNumberFormat="1" applyFill="1" applyBorder="1" applyAlignment="1" applyProtection="1">
      <alignment horizontal="center" vertical="center"/>
      <protection locked="0"/>
    </xf>
    <xf numFmtId="9" fontId="0" fillId="15" borderId="80" xfId="1" applyFont="1" applyFill="1" applyBorder="1" applyAlignment="1" applyProtection="1">
      <alignment horizontal="center" vertical="center"/>
      <protection locked="0"/>
    </xf>
    <xf numFmtId="172" fontId="0" fillId="0" borderId="15" xfId="0" applyNumberFormat="1" applyBorder="1" applyAlignment="1" applyProtection="1">
      <alignment horizontal="center" vertical="center"/>
      <protection locked="0"/>
    </xf>
    <xf numFmtId="0" fontId="0" fillId="0" borderId="85" xfId="0" applyBorder="1" applyAlignment="1">
      <alignment horizontal="center" vertical="center"/>
    </xf>
    <xf numFmtId="12" fontId="0" fillId="0" borderId="0" xfId="0" applyNumberFormat="1" applyAlignment="1">
      <alignment vertical="center" wrapText="1"/>
    </xf>
    <xf numFmtId="172" fontId="0" fillId="0" borderId="0" xfId="0" applyNumberFormat="1" applyAlignment="1">
      <alignment horizontal="center" vertical="center"/>
    </xf>
    <xf numFmtId="12" fontId="8" fillId="15" borderId="18" xfId="0" applyNumberFormat="1" applyFont="1" applyFill="1" applyBorder="1" applyAlignment="1" applyProtection="1">
      <alignment horizontal="center" vertical="center" shrinkToFit="1"/>
      <protection locked="0"/>
    </xf>
    <xf numFmtId="11" fontId="0" fillId="15" borderId="15" xfId="0" quotePrefix="1" applyNumberFormat="1" applyFill="1" applyBorder="1" applyAlignment="1" applyProtection="1">
      <alignment horizontal="center" vertical="center" shrinkToFit="1"/>
      <protection locked="0"/>
    </xf>
    <xf numFmtId="12" fontId="0" fillId="15" borderId="15" xfId="0" quotePrefix="1" applyNumberFormat="1" applyFill="1" applyBorder="1" applyAlignment="1" applyProtection="1">
      <alignment horizontal="center" vertical="center" shrinkToFit="1"/>
      <protection locked="0"/>
    </xf>
    <xf numFmtId="0" fontId="12" fillId="2" borderId="57" xfId="7" applyFont="1" applyFill="1" applyBorder="1"/>
    <xf numFmtId="0" fontId="12" fillId="0" borderId="59" xfId="0" applyFont="1" applyBorder="1" applyAlignment="1">
      <alignment horizontal="center" vertical="center" wrapText="1"/>
    </xf>
    <xf numFmtId="0" fontId="12" fillId="2" borderId="57" xfId="0" applyFont="1" applyFill="1" applyBorder="1" applyAlignment="1">
      <alignment horizontal="center" vertical="center" wrapText="1"/>
    </xf>
    <xf numFmtId="1" fontId="12" fillId="2" borderId="58" xfId="0" applyNumberFormat="1" applyFont="1" applyFill="1" applyBorder="1" applyAlignment="1">
      <alignment horizontal="center" vertical="center" wrapText="1"/>
    </xf>
    <xf numFmtId="4" fontId="12" fillId="2" borderId="58" xfId="2" applyNumberFormat="1" applyFont="1" applyFill="1" applyBorder="1" applyAlignment="1" applyProtection="1">
      <alignment horizontal="center" vertical="center" wrapText="1"/>
    </xf>
    <xf numFmtId="165" fontId="12" fillId="2" borderId="61" xfId="8" applyFont="1" applyFill="1" applyBorder="1" applyAlignment="1" applyProtection="1">
      <alignment horizontal="center" vertical="center" wrapText="1"/>
    </xf>
    <xf numFmtId="0" fontId="12" fillId="17" borderId="58" xfId="0" applyFont="1" applyFill="1" applyBorder="1" applyAlignment="1">
      <alignment horizontal="right" vertical="center" wrapText="1"/>
    </xf>
    <xf numFmtId="0" fontId="12" fillId="0" borderId="57" xfId="0" applyFont="1" applyBorder="1" applyAlignment="1">
      <alignment vertical="center"/>
    </xf>
    <xf numFmtId="0" fontId="12" fillId="0" borderId="57" xfId="0" applyFont="1" applyBorder="1" applyAlignment="1">
      <alignment vertical="center" wrapText="1"/>
    </xf>
    <xf numFmtId="0" fontId="12" fillId="0" borderId="72" xfId="0" applyFont="1" applyBorder="1" applyAlignment="1">
      <alignment vertical="center" wrapText="1"/>
    </xf>
    <xf numFmtId="164" fontId="8" fillId="2" borderId="61" xfId="115" applyFont="1" applyFill="1" applyBorder="1" applyAlignment="1" applyProtection="1">
      <alignment vertical="center" wrapText="1"/>
    </xf>
    <xf numFmtId="0" fontId="70" fillId="2" borderId="166" xfId="0" applyFont="1" applyFill="1" applyBorder="1"/>
    <xf numFmtId="0" fontId="5" fillId="2" borderId="166" xfId="0" applyFont="1" applyFill="1" applyBorder="1" applyAlignment="1">
      <alignment horizontal="right" vertical="center" indent="1"/>
    </xf>
    <xf numFmtId="0" fontId="12" fillId="0" borderId="167" xfId="7" applyFont="1" applyBorder="1" applyAlignment="1">
      <alignment horizontal="center" vertical="center"/>
    </xf>
    <xf numFmtId="0" fontId="12" fillId="0" borderId="168" xfId="7" applyFont="1" applyBorder="1" applyAlignment="1">
      <alignment horizontal="center" vertical="center"/>
    </xf>
    <xf numFmtId="0" fontId="0" fillId="0" borderId="167" xfId="0" applyBorder="1" applyAlignment="1">
      <alignment horizontal="center" vertical="center" wrapText="1"/>
    </xf>
    <xf numFmtId="0" fontId="82" fillId="0" borderId="167" xfId="0" applyFont="1" applyBorder="1" applyAlignment="1" applyProtection="1">
      <alignment horizontal="center"/>
      <protection locked="0"/>
    </xf>
    <xf numFmtId="0" fontId="29" fillId="0" borderId="167" xfId="5" applyFont="1" applyBorder="1" applyAlignment="1">
      <alignment horizontal="center" vertical="center"/>
    </xf>
    <xf numFmtId="0" fontId="20" fillId="0" borderId="167" xfId="5" applyFont="1" applyBorder="1" applyAlignment="1">
      <alignment horizontal="center" vertical="center" wrapText="1"/>
    </xf>
    <xf numFmtId="0" fontId="20" fillId="0" borderId="166" xfId="5" applyFont="1" applyBorder="1" applyAlignment="1">
      <alignment horizontal="center" vertical="center" wrapText="1"/>
    </xf>
    <xf numFmtId="166" fontId="30" fillId="0" borderId="167" xfId="7" applyNumberFormat="1" applyFont="1" applyBorder="1" applyAlignment="1">
      <alignment horizontal="center" vertical="center"/>
    </xf>
    <xf numFmtId="0" fontId="20" fillId="0" borderId="167" xfId="5" applyFont="1" applyBorder="1" applyAlignment="1">
      <alignment horizontal="center" vertical="center"/>
    </xf>
    <xf numFmtId="0" fontId="20" fillId="0" borderId="166" xfId="5" applyFont="1" applyBorder="1" applyAlignment="1">
      <alignment horizontal="center" vertical="center"/>
    </xf>
    <xf numFmtId="0" fontId="29" fillId="0" borderId="166" xfId="5" applyFont="1" applyBorder="1" applyAlignment="1">
      <alignment horizontal="center" vertical="center"/>
    </xf>
    <xf numFmtId="0" fontId="0" fillId="2" borderId="167" xfId="0" applyFill="1" applyBorder="1"/>
    <xf numFmtId="0" fontId="0" fillId="0" borderId="169" xfId="0" applyBorder="1" applyAlignment="1">
      <alignment horizontal="center" vertical="center" wrapText="1"/>
    </xf>
    <xf numFmtId="2" fontId="20" fillId="0" borderId="169" xfId="5" applyNumberFormat="1" applyFont="1" applyBorder="1" applyAlignment="1">
      <alignment horizontal="center" vertical="center" wrapText="1"/>
    </xf>
    <xf numFmtId="2" fontId="0" fillId="0" borderId="169" xfId="0" applyNumberFormat="1" applyBorder="1" applyAlignment="1">
      <alignment horizontal="center" vertical="center" wrapText="1"/>
    </xf>
    <xf numFmtId="12" fontId="21" fillId="0" borderId="169" xfId="7" applyNumberFormat="1" applyBorder="1" applyAlignment="1">
      <alignment horizontal="center" vertical="center" wrapText="1"/>
    </xf>
    <xf numFmtId="0" fontId="21" fillId="0" borderId="169" xfId="7" applyBorder="1" applyAlignment="1">
      <alignment horizontal="center" vertical="center" wrapText="1"/>
    </xf>
    <xf numFmtId="0" fontId="20" fillId="0" borderId="169" xfId="5" applyFont="1" applyBorder="1" applyAlignment="1">
      <alignment horizontal="center" vertical="center" wrapText="1"/>
    </xf>
    <xf numFmtId="164" fontId="20" fillId="0" borderId="169" xfId="2" applyFont="1" applyFill="1" applyBorder="1" applyAlignment="1">
      <alignment horizontal="center" vertical="center" wrapText="1"/>
    </xf>
    <xf numFmtId="0" fontId="0" fillId="0" borderId="170" xfId="0" applyBorder="1" applyAlignment="1">
      <alignment horizontal="center" vertical="center"/>
    </xf>
    <xf numFmtId="0" fontId="0" fillId="0" borderId="171" xfId="0" applyBorder="1" applyAlignment="1">
      <alignment horizontal="center" vertical="center"/>
    </xf>
    <xf numFmtId="0" fontId="0" fillId="0" borderId="172" xfId="0" applyBorder="1" applyAlignment="1">
      <alignment horizontal="center" vertical="center"/>
    </xf>
    <xf numFmtId="0" fontId="93" fillId="56" borderId="74" xfId="0" applyFont="1" applyFill="1" applyBorder="1" applyAlignment="1" applyProtection="1">
      <alignment horizontal="center" vertical="center"/>
      <protection locked="0"/>
    </xf>
    <xf numFmtId="0" fontId="93" fillId="56" borderId="15" xfId="0" applyFont="1" applyFill="1" applyBorder="1" applyAlignment="1" applyProtection="1">
      <alignment horizontal="center" vertical="center"/>
      <protection locked="0"/>
    </xf>
    <xf numFmtId="0" fontId="94" fillId="56" borderId="15" xfId="0" applyFont="1" applyFill="1" applyBorder="1" applyAlignment="1" applyProtection="1">
      <alignment horizontal="center" vertical="center"/>
      <protection locked="0"/>
    </xf>
    <xf numFmtId="12" fontId="93" fillId="56" borderId="15" xfId="0" applyNumberFormat="1" applyFont="1" applyFill="1" applyBorder="1" applyAlignment="1" applyProtection="1">
      <alignment horizontal="center" vertical="center" wrapText="1"/>
      <protection locked="0"/>
    </xf>
    <xf numFmtId="172" fontId="93" fillId="56" borderId="15" xfId="0" applyNumberFormat="1" applyFont="1" applyFill="1" applyBorder="1" applyAlignment="1" applyProtection="1">
      <alignment horizontal="center" vertical="center"/>
      <protection locked="0"/>
    </xf>
    <xf numFmtId="172" fontId="94" fillId="56" borderId="15" xfId="0" applyNumberFormat="1" applyFont="1" applyFill="1" applyBorder="1" applyAlignment="1" applyProtection="1">
      <alignment horizontal="center" vertical="center"/>
      <protection locked="0"/>
    </xf>
    <xf numFmtId="0" fontId="93" fillId="56" borderId="76" xfId="0" applyFont="1" applyFill="1" applyBorder="1" applyAlignment="1" applyProtection="1">
      <alignment horizontal="center" vertical="center"/>
      <protection locked="0"/>
    </xf>
    <xf numFmtId="0" fontId="94" fillId="56" borderId="76" xfId="0" applyFont="1" applyFill="1" applyBorder="1" applyAlignment="1" applyProtection="1">
      <alignment horizontal="center" vertical="center"/>
      <protection locked="0"/>
    </xf>
    <xf numFmtId="0" fontId="93" fillId="56" borderId="76" xfId="0" applyFont="1" applyFill="1" applyBorder="1" applyAlignment="1" applyProtection="1">
      <alignment horizontal="center" vertical="center" wrapText="1"/>
      <protection locked="0"/>
    </xf>
    <xf numFmtId="0" fontId="0" fillId="2" borderId="182" xfId="0" applyFill="1" applyBorder="1"/>
    <xf numFmtId="0" fontId="0" fillId="2" borderId="183" xfId="0" applyFill="1" applyBorder="1"/>
    <xf numFmtId="0" fontId="70" fillId="2" borderId="182" xfId="0" applyFont="1" applyFill="1" applyBorder="1"/>
    <xf numFmtId="16" fontId="70" fillId="2" borderId="182" xfId="0" quotePrefix="1" applyNumberFormat="1" applyFont="1" applyFill="1" applyBorder="1"/>
    <xf numFmtId="0" fontId="70" fillId="2" borderId="183" xfId="0" applyFont="1" applyFill="1" applyBorder="1"/>
    <xf numFmtId="0" fontId="12" fillId="0" borderId="177" xfId="7" applyFont="1" applyBorder="1" applyAlignment="1">
      <alignment horizontal="center" vertical="center"/>
    </xf>
    <xf numFmtId="0" fontId="12" fillId="19" borderId="177" xfId="7" applyFont="1" applyFill="1" applyBorder="1" applyAlignment="1">
      <alignment horizontal="right" vertical="center" indent="2"/>
    </xf>
    <xf numFmtId="0" fontId="12" fillId="0" borderId="173" xfId="0" applyFont="1" applyBorder="1" applyAlignment="1">
      <alignment horizontal="center" vertical="center" wrapText="1"/>
    </xf>
    <xf numFmtId="0" fontId="12" fillId="0" borderId="175" xfId="0" applyFont="1" applyBorder="1" applyAlignment="1">
      <alignment horizontal="center" vertical="center" wrapText="1"/>
    </xf>
    <xf numFmtId="0" fontId="12" fillId="0" borderId="184" xfId="0" applyFont="1" applyBorder="1" applyAlignment="1">
      <alignment vertical="center"/>
    </xf>
    <xf numFmtId="0" fontId="12" fillId="0" borderId="184" xfId="0" applyFont="1" applyBorder="1" applyAlignment="1">
      <alignment vertical="center" wrapText="1"/>
    </xf>
    <xf numFmtId="0" fontId="12" fillId="0" borderId="185" xfId="0" applyFont="1" applyBorder="1" applyAlignment="1">
      <alignment vertical="center" wrapText="1"/>
    </xf>
    <xf numFmtId="0" fontId="12" fillId="0" borderId="186" xfId="0" applyFont="1" applyBorder="1" applyAlignment="1">
      <alignment vertical="center"/>
    </xf>
    <xf numFmtId="0" fontId="12" fillId="0" borderId="186" xfId="0" applyFont="1" applyBorder="1" applyAlignment="1">
      <alignment vertical="center" wrapText="1"/>
    </xf>
    <xf numFmtId="0" fontId="12" fillId="0" borderId="187" xfId="0" applyFont="1" applyBorder="1" applyAlignment="1">
      <alignment vertical="center" wrapText="1"/>
    </xf>
    <xf numFmtId="0" fontId="12" fillId="0" borderId="188" xfId="0" applyFont="1" applyBorder="1" applyAlignment="1">
      <alignment vertical="center"/>
    </xf>
    <xf numFmtId="0" fontId="12" fillId="0" borderId="188" xfId="0" applyFont="1" applyBorder="1" applyAlignment="1">
      <alignment vertical="center" wrapText="1"/>
    </xf>
    <xf numFmtId="0" fontId="12" fillId="0" borderId="189" xfId="0" applyFont="1" applyBorder="1" applyAlignment="1">
      <alignment vertical="center" wrapText="1"/>
    </xf>
    <xf numFmtId="0" fontId="39" fillId="0" borderId="184" xfId="0" applyFont="1" applyBorder="1" applyAlignment="1">
      <alignment vertical="center"/>
    </xf>
    <xf numFmtId="0" fontId="39" fillId="0" borderId="184" xfId="0" applyFont="1" applyBorder="1" applyAlignment="1">
      <alignment vertical="center" wrapText="1"/>
    </xf>
    <xf numFmtId="0" fontId="39" fillId="0" borderId="185" xfId="0" applyFont="1" applyBorder="1" applyAlignment="1">
      <alignment vertical="center" wrapText="1"/>
    </xf>
    <xf numFmtId="0" fontId="39" fillId="0" borderId="186" xfId="0" applyFont="1" applyBorder="1" applyAlignment="1">
      <alignment vertical="center"/>
    </xf>
    <xf numFmtId="0" fontId="39" fillId="0" borderId="186" xfId="0" applyFont="1" applyBorder="1" applyAlignment="1">
      <alignment vertical="center" wrapText="1"/>
    </xf>
    <xf numFmtId="0" fontId="39" fillId="0" borderId="187" xfId="0" applyFont="1" applyBorder="1" applyAlignment="1">
      <alignment vertical="center" wrapText="1"/>
    </xf>
    <xf numFmtId="2" fontId="12" fillId="0" borderId="173" xfId="0" applyNumberFormat="1" applyFont="1" applyBorder="1" applyAlignment="1">
      <alignment horizontal="center" vertical="center" wrapText="1"/>
    </xf>
    <xf numFmtId="0" fontId="5" fillId="2" borderId="176" xfId="0" applyFont="1" applyFill="1" applyBorder="1" applyAlignment="1">
      <alignment horizontal="left" vertical="center"/>
    </xf>
    <xf numFmtId="0" fontId="6" fillId="2" borderId="176" xfId="0" applyFont="1" applyFill="1" applyBorder="1" applyAlignment="1">
      <alignment horizontal="left" vertical="center" wrapText="1"/>
    </xf>
    <xf numFmtId="172" fontId="6" fillId="2" borderId="176" xfId="0" applyNumberFormat="1" applyFont="1" applyFill="1" applyBorder="1" applyAlignment="1">
      <alignment horizontal="left" vertical="center" wrapText="1"/>
    </xf>
    <xf numFmtId="0" fontId="5" fillId="2" borderId="176" xfId="0" applyFont="1" applyFill="1" applyBorder="1" applyAlignment="1">
      <alignment horizontal="left" vertical="center" wrapText="1"/>
    </xf>
    <xf numFmtId="0" fontId="5" fillId="2" borderId="190" xfId="0" applyFont="1" applyFill="1" applyBorder="1" applyAlignment="1">
      <alignment vertical="center" wrapText="1"/>
    </xf>
    <xf numFmtId="172" fontId="6" fillId="2" borderId="190" xfId="0" applyNumberFormat="1" applyFont="1" applyFill="1" applyBorder="1" applyAlignment="1">
      <alignment vertical="center" wrapText="1"/>
    </xf>
    <xf numFmtId="0" fontId="6" fillId="2" borderId="191" xfId="0" applyFont="1" applyFill="1" applyBorder="1" applyAlignment="1">
      <alignment vertical="center" wrapText="1"/>
    </xf>
    <xf numFmtId="0" fontId="78" fillId="2" borderId="176" xfId="0" applyFont="1" applyFill="1" applyBorder="1" applyAlignment="1">
      <alignment horizontal="left" vertical="center" wrapText="1"/>
    </xf>
    <xf numFmtId="0" fontId="79" fillId="2" borderId="176" xfId="0" applyFont="1" applyFill="1" applyBorder="1" applyAlignment="1">
      <alignment horizontal="left" vertical="center" wrapText="1"/>
    </xf>
    <xf numFmtId="172" fontId="79" fillId="2" borderId="176" xfId="0" applyNumberFormat="1" applyFont="1" applyFill="1" applyBorder="1" applyAlignment="1">
      <alignment horizontal="left" vertical="center" wrapText="1"/>
    </xf>
    <xf numFmtId="0" fontId="8" fillId="0" borderId="192" xfId="0" applyFont="1" applyBorder="1" applyAlignment="1">
      <alignment vertical="center" wrapText="1"/>
    </xf>
    <xf numFmtId="0" fontId="8" fillId="0" borderId="184" xfId="0" applyFont="1" applyBorder="1" applyAlignment="1">
      <alignment vertical="center"/>
    </xf>
    <xf numFmtId="0" fontId="8" fillId="0" borderId="185" xfId="0" applyFont="1" applyBorder="1" applyAlignment="1">
      <alignment vertical="center" wrapText="1"/>
    </xf>
    <xf numFmtId="0" fontId="8" fillId="0" borderId="186" xfId="0" applyFont="1" applyBorder="1" applyAlignment="1">
      <alignment vertical="center"/>
    </xf>
    <xf numFmtId="0" fontId="8" fillId="0" borderId="187" xfId="0" applyFont="1" applyBorder="1" applyAlignment="1">
      <alignment vertical="center" wrapText="1"/>
    </xf>
    <xf numFmtId="0" fontId="8" fillId="0" borderId="188" xfId="0" applyFont="1" applyBorder="1" applyAlignment="1">
      <alignment vertical="center"/>
    </xf>
    <xf numFmtId="0" fontId="8" fillId="0" borderId="189" xfId="0" applyFont="1" applyBorder="1" applyAlignment="1">
      <alignment vertical="center" wrapText="1"/>
    </xf>
    <xf numFmtId="0" fontId="0" fillId="0" borderId="193" xfId="0" applyBorder="1" applyAlignment="1">
      <alignment horizontal="center" vertical="center"/>
    </xf>
    <xf numFmtId="0" fontId="0" fillId="0" borderId="195" xfId="0" applyBorder="1" applyAlignment="1">
      <alignment horizontal="center" vertical="center"/>
    </xf>
    <xf numFmtId="0" fontId="70" fillId="7" borderId="193" xfId="6" applyFont="1" applyFill="1" applyBorder="1" applyAlignment="1">
      <alignment horizontal="center" vertical="center" wrapText="1"/>
    </xf>
    <xf numFmtId="174" fontId="70" fillId="7" borderId="193" xfId="6" applyNumberFormat="1" applyFont="1" applyFill="1" applyBorder="1" applyAlignment="1">
      <alignment horizontal="center" vertical="center" wrapText="1"/>
    </xf>
    <xf numFmtId="0" fontId="70" fillId="7" borderId="193" xfId="5" applyFont="1" applyFill="1" applyBorder="1" applyAlignment="1">
      <alignment horizontal="center" vertical="center" wrapText="1"/>
    </xf>
    <xf numFmtId="0" fontId="12" fillId="7" borderId="195" xfId="5" applyFont="1" applyFill="1" applyBorder="1" applyAlignment="1">
      <alignment horizontal="center" vertical="center" wrapText="1"/>
    </xf>
    <xf numFmtId="12" fontId="12" fillId="7" borderId="195" xfId="5" applyNumberFormat="1" applyFont="1" applyFill="1" applyBorder="1" applyAlignment="1">
      <alignment horizontal="center" vertical="center" wrapText="1"/>
    </xf>
    <xf numFmtId="0" fontId="12" fillId="7" borderId="193" xfId="5" applyFont="1" applyFill="1" applyBorder="1" applyAlignment="1">
      <alignment horizontal="center" vertical="center" wrapText="1"/>
    </xf>
    <xf numFmtId="172" fontId="12" fillId="7" borderId="193" xfId="5" applyNumberFormat="1" applyFont="1" applyFill="1" applyBorder="1" applyAlignment="1">
      <alignment horizontal="center" vertical="center" wrapText="1"/>
    </xf>
    <xf numFmtId="0" fontId="0" fillId="7" borderId="201" xfId="0" applyFill="1" applyBorder="1" applyAlignment="1">
      <alignment horizontal="center" vertical="center" wrapText="1"/>
    </xf>
    <xf numFmtId="0" fontId="0" fillId="7" borderId="193" xfId="0" applyFill="1" applyBorder="1" applyAlignment="1">
      <alignment horizontal="center" vertical="center" wrapText="1"/>
    </xf>
    <xf numFmtId="0" fontId="0" fillId="7" borderId="194" xfId="0" applyFill="1" applyBorder="1" applyAlignment="1">
      <alignment horizontal="center" vertical="center" wrapText="1"/>
    </xf>
    <xf numFmtId="0" fontId="0" fillId="7" borderId="195" xfId="0" applyFill="1" applyBorder="1" applyAlignment="1">
      <alignment horizontal="center" vertical="center" wrapText="1"/>
    </xf>
    <xf numFmtId="172" fontId="0" fillId="7" borderId="193" xfId="0" applyNumberFormat="1" applyFill="1" applyBorder="1" applyAlignment="1">
      <alignment horizontal="center" vertical="center" wrapText="1"/>
    </xf>
    <xf numFmtId="0" fontId="0" fillId="0" borderId="201" xfId="0" applyBorder="1" applyAlignment="1">
      <alignment horizontal="center" vertical="center"/>
    </xf>
    <xf numFmtId="0" fontId="0" fillId="0" borderId="199" xfId="0" applyBorder="1" applyAlignment="1">
      <alignment horizontal="center" vertical="center"/>
    </xf>
    <xf numFmtId="0" fontId="0" fillId="0" borderId="200" xfId="0" applyBorder="1" applyAlignment="1">
      <alignment horizontal="center" vertical="center"/>
    </xf>
    <xf numFmtId="12" fontId="21" fillId="0" borderId="201" xfId="7" applyNumberFormat="1" applyBorder="1" applyAlignment="1">
      <alignment horizontal="center" vertical="center" wrapText="1"/>
    </xf>
    <xf numFmtId="12" fontId="21" fillId="0" borderId="193" xfId="7" applyNumberFormat="1" applyBorder="1" applyAlignment="1">
      <alignment horizontal="center" vertical="center" wrapText="1"/>
    </xf>
    <xf numFmtId="12" fontId="21" fillId="0" borderId="200" xfId="7" applyNumberFormat="1" applyBorder="1" applyAlignment="1">
      <alignment horizontal="center" vertical="center" wrapText="1"/>
    </xf>
    <xf numFmtId="0" fontId="21" fillId="0" borderId="201" xfId="7" applyBorder="1" applyAlignment="1">
      <alignment horizontal="center" vertical="center" wrapText="1"/>
    </xf>
    <xf numFmtId="0" fontId="21" fillId="15" borderId="195" xfId="7" applyFill="1" applyBorder="1" applyAlignment="1" applyProtection="1">
      <alignment horizontal="center" vertical="center" wrapText="1"/>
      <protection locked="0"/>
    </xf>
    <xf numFmtId="0" fontId="21" fillId="15" borderId="193" xfId="7" applyFill="1" applyBorder="1" applyAlignment="1" applyProtection="1">
      <alignment horizontal="center" vertical="center" wrapText="1"/>
      <protection locked="0"/>
    </xf>
    <xf numFmtId="0" fontId="0" fillId="0" borderId="201" xfId="0" applyBorder="1" applyAlignment="1">
      <alignment horizontal="center" vertical="center" wrapText="1"/>
    </xf>
    <xf numFmtId="0" fontId="12" fillId="0" borderId="196" xfId="7" applyFont="1" applyBorder="1" applyAlignment="1">
      <alignment horizontal="center" vertical="center"/>
    </xf>
    <xf numFmtId="0" fontId="12" fillId="0" borderId="197" xfId="7" applyFont="1" applyBorder="1" applyAlignment="1">
      <alignment horizontal="center" vertical="center"/>
    </xf>
    <xf numFmtId="0" fontId="29" fillId="0" borderId="201" xfId="5" applyFont="1" applyBorder="1" applyAlignment="1">
      <alignment horizontal="center" vertical="center"/>
    </xf>
    <xf numFmtId="0" fontId="20" fillId="0" borderId="193" xfId="5" applyFont="1" applyBorder="1" applyAlignment="1">
      <alignment horizontal="center" vertical="center" wrapText="1"/>
    </xf>
    <xf numFmtId="12" fontId="20" fillId="0" borderId="195" xfId="5" applyNumberFormat="1" applyFont="1" applyBorder="1" applyAlignment="1">
      <alignment horizontal="center" vertical="center" wrapText="1"/>
    </xf>
    <xf numFmtId="0" fontId="20" fillId="0" borderId="195" xfId="5" applyFont="1" applyBorder="1" applyAlignment="1">
      <alignment horizontal="center" vertical="center" wrapText="1"/>
    </xf>
    <xf numFmtId="0" fontId="20" fillId="0" borderId="194" xfId="5" applyFont="1" applyBorder="1" applyAlignment="1">
      <alignment horizontal="center" vertical="center" wrapText="1"/>
    </xf>
    <xf numFmtId="0" fontId="20" fillId="0" borderId="201" xfId="5" applyFont="1" applyBorder="1" applyAlignment="1">
      <alignment horizontal="center" vertical="center" wrapText="1"/>
    </xf>
    <xf numFmtId="166" fontId="30" fillId="0" borderId="201" xfId="7" applyNumberFormat="1" applyFont="1" applyBorder="1" applyAlignment="1">
      <alignment horizontal="center" vertical="center"/>
    </xf>
    <xf numFmtId="166" fontId="30" fillId="0" borderId="193" xfId="7" applyNumberFormat="1" applyFont="1" applyBorder="1" applyAlignment="1">
      <alignment horizontal="center" vertical="center"/>
    </xf>
    <xf numFmtId="166" fontId="30" fillId="0" borderId="195" xfId="7" applyNumberFormat="1" applyFont="1" applyBorder="1" applyAlignment="1">
      <alignment horizontal="center" vertical="center"/>
    </xf>
    <xf numFmtId="0" fontId="20" fillId="0" borderId="193" xfId="5" applyFont="1" applyBorder="1" applyAlignment="1">
      <alignment horizontal="center" vertical="center"/>
    </xf>
    <xf numFmtId="0" fontId="21" fillId="0" borderId="193" xfId="7" applyBorder="1"/>
    <xf numFmtId="0" fontId="21" fillId="0" borderId="194" xfId="7" applyBorder="1"/>
    <xf numFmtId="0" fontId="20" fillId="0" borderId="201" xfId="5" applyFont="1" applyBorder="1" applyAlignment="1">
      <alignment horizontal="center" vertical="center"/>
    </xf>
    <xf numFmtId="0" fontId="21" fillId="0" borderId="195" xfId="7" applyBorder="1"/>
    <xf numFmtId="12" fontId="20" fillId="0" borderId="195" xfId="5" applyNumberFormat="1" applyFont="1" applyBorder="1" applyAlignment="1">
      <alignment horizontal="center" vertical="center"/>
    </xf>
    <xf numFmtId="0" fontId="20" fillId="0" borderId="195" xfId="5" applyFont="1" applyBorder="1" applyAlignment="1">
      <alignment horizontal="center" vertical="center"/>
    </xf>
    <xf numFmtId="12" fontId="20" fillId="0" borderId="193" xfId="5" applyNumberFormat="1" applyFont="1" applyBorder="1" applyAlignment="1">
      <alignment horizontal="center" vertical="center"/>
    </xf>
    <xf numFmtId="12" fontId="20" fillId="0" borderId="193" xfId="5" applyNumberFormat="1" applyFont="1" applyBorder="1" applyAlignment="1">
      <alignment horizontal="center" vertical="center" wrapText="1"/>
    </xf>
    <xf numFmtId="0" fontId="20" fillId="0" borderId="193" xfId="5" applyFont="1" applyBorder="1" applyAlignment="1">
      <alignment vertical="center" wrapText="1"/>
    </xf>
    <xf numFmtId="12" fontId="0" fillId="0" borderId="201" xfId="0" applyNumberFormat="1" applyBorder="1" applyAlignment="1">
      <alignment horizontal="center" vertical="center" wrapText="1"/>
    </xf>
    <xf numFmtId="0" fontId="0" fillId="0" borderId="206" xfId="0" applyBorder="1" applyAlignment="1">
      <alignment horizontal="center" vertical="center"/>
    </xf>
    <xf numFmtId="1" fontId="12" fillId="19" borderId="196" xfId="7" applyNumberFormat="1" applyFont="1" applyFill="1" applyBorder="1" applyAlignment="1">
      <alignment horizontal="center" vertical="center"/>
    </xf>
    <xf numFmtId="2" fontId="12" fillId="19" borderId="197" xfId="7" applyNumberFormat="1" applyFont="1" applyFill="1" applyBorder="1" applyAlignment="1">
      <alignment horizontal="center" vertical="center"/>
    </xf>
    <xf numFmtId="0" fontId="12" fillId="19" borderId="196" xfId="7" applyFont="1" applyFill="1" applyBorder="1" applyAlignment="1">
      <alignment horizontal="right" vertical="center" indent="2"/>
    </xf>
    <xf numFmtId="0" fontId="12" fillId="19" borderId="207" xfId="7" applyFont="1" applyFill="1" applyBorder="1" applyAlignment="1">
      <alignment horizontal="right" vertical="center" indent="2"/>
    </xf>
    <xf numFmtId="1" fontId="12" fillId="19" borderId="207" xfId="7" applyNumberFormat="1" applyFont="1" applyFill="1" applyBorder="1" applyAlignment="1">
      <alignment horizontal="center" vertical="center"/>
    </xf>
    <xf numFmtId="2" fontId="12" fillId="19" borderId="198" xfId="7" applyNumberFormat="1" applyFont="1" applyFill="1" applyBorder="1" applyAlignment="1">
      <alignment horizontal="center" vertical="center"/>
    </xf>
    <xf numFmtId="0" fontId="12" fillId="0" borderId="208" xfId="0" applyFont="1" applyBorder="1" applyAlignment="1">
      <alignment vertical="center"/>
    </xf>
    <xf numFmtId="0" fontId="12" fillId="0" borderId="208" xfId="0" applyFont="1" applyBorder="1" applyAlignment="1">
      <alignment vertical="center" wrapText="1"/>
    </xf>
    <xf numFmtId="0" fontId="12" fillId="0" borderId="209" xfId="0" applyFont="1" applyBorder="1" applyAlignment="1">
      <alignment vertical="center" wrapText="1"/>
    </xf>
    <xf numFmtId="0" fontId="5" fillId="2" borderId="203" xfId="0" applyFont="1" applyFill="1" applyBorder="1" applyAlignment="1">
      <alignment horizontal="right" vertical="center" indent="1"/>
    </xf>
    <xf numFmtId="0" fontId="5" fillId="2" borderId="202" xfId="0" applyFont="1" applyFill="1" applyBorder="1" applyAlignment="1">
      <alignment horizontal="left" vertical="center" wrapText="1"/>
    </xf>
    <xf numFmtId="0" fontId="6" fillId="2" borderId="202" xfId="0" applyFont="1" applyFill="1" applyBorder="1" applyAlignment="1">
      <alignment horizontal="left" vertical="center" wrapText="1"/>
    </xf>
    <xf numFmtId="172" fontId="6" fillId="2" borderId="202" xfId="0" applyNumberFormat="1" applyFont="1" applyFill="1" applyBorder="1" applyAlignment="1">
      <alignment horizontal="left" vertical="center" wrapText="1"/>
    </xf>
    <xf numFmtId="4" fontId="6" fillId="2" borderId="202" xfId="0" applyNumberFormat="1" applyFont="1" applyFill="1" applyBorder="1" applyAlignment="1">
      <alignment horizontal="left" vertical="center" wrapText="1"/>
    </xf>
    <xf numFmtId="0" fontId="5" fillId="2" borderId="202" xfId="0" applyFont="1" applyFill="1" applyBorder="1" applyAlignment="1">
      <alignment vertical="center" wrapText="1"/>
    </xf>
    <xf numFmtId="0" fontId="6" fillId="2" borderId="202" xfId="0" applyFont="1" applyFill="1" applyBorder="1" applyAlignment="1">
      <alignment vertical="center" wrapText="1"/>
    </xf>
    <xf numFmtId="0" fontId="4" fillId="2" borderId="202" xfId="0" applyFont="1" applyFill="1" applyBorder="1" applyAlignment="1">
      <alignment horizontal="center" vertical="center" wrapText="1"/>
    </xf>
    <xf numFmtId="172" fontId="6" fillId="2" borderId="202" xfId="0" applyNumberFormat="1" applyFont="1" applyFill="1" applyBorder="1" applyAlignment="1">
      <alignment vertical="center" wrapText="1"/>
    </xf>
    <xf numFmtId="0" fontId="6" fillId="2" borderId="210" xfId="0" applyFont="1" applyFill="1" applyBorder="1" applyAlignment="1">
      <alignment vertical="center" wrapText="1"/>
    </xf>
    <xf numFmtId="172" fontId="8" fillId="2" borderId="204" xfId="2" applyNumberFormat="1" applyFont="1" applyFill="1" applyBorder="1" applyAlignment="1" applyProtection="1">
      <alignment vertical="center" wrapText="1"/>
    </xf>
    <xf numFmtId="0" fontId="5" fillId="2" borderId="205" xfId="0" applyFont="1" applyFill="1" applyBorder="1" applyAlignment="1">
      <alignment horizontal="right" vertical="center" indent="1"/>
    </xf>
    <xf numFmtId="0" fontId="6" fillId="2" borderId="196" xfId="0" applyFont="1" applyFill="1" applyBorder="1" applyAlignment="1">
      <alignment horizontal="center" vertical="center" wrapText="1"/>
    </xf>
    <xf numFmtId="49" fontId="32" fillId="0" borderId="196" xfId="0" quotePrefix="1" applyNumberFormat="1" applyFont="1" applyBorder="1" applyAlignment="1">
      <alignment horizontal="center" vertical="center"/>
    </xf>
    <xf numFmtId="0" fontId="6" fillId="2" borderId="204" xfId="0" applyFont="1" applyFill="1" applyBorder="1" applyAlignment="1">
      <alignment vertical="center" wrapText="1"/>
    </xf>
    <xf numFmtId="0" fontId="5" fillId="2" borderId="211" xfId="0" applyFont="1" applyFill="1" applyBorder="1" applyAlignment="1">
      <alignment vertical="center" wrapText="1"/>
    </xf>
    <xf numFmtId="0" fontId="4" fillId="50" borderId="196" xfId="0" applyFont="1" applyFill="1" applyBorder="1" applyAlignment="1" applyProtection="1">
      <alignment horizontal="center" vertical="center" wrapText="1"/>
      <protection locked="0"/>
    </xf>
    <xf numFmtId="172" fontId="6" fillId="2" borderId="211" xfId="0" applyNumberFormat="1" applyFont="1" applyFill="1" applyBorder="1" applyAlignment="1">
      <alignment vertical="center" wrapText="1"/>
    </xf>
    <xf numFmtId="0" fontId="5" fillId="2" borderId="202" xfId="0" applyFont="1" applyFill="1" applyBorder="1" applyAlignment="1">
      <alignment vertical="center"/>
    </xf>
    <xf numFmtId="172" fontId="6" fillId="2" borderId="202" xfId="0" applyNumberFormat="1" applyFont="1" applyFill="1" applyBorder="1" applyAlignment="1" applyProtection="1">
      <alignment vertical="center" wrapText="1"/>
      <protection locked="0"/>
    </xf>
    <xf numFmtId="164" fontId="8" fillId="2" borderId="210" xfId="2" applyFont="1" applyFill="1" applyBorder="1" applyAlignment="1" applyProtection="1">
      <alignment vertical="center" wrapText="1"/>
    </xf>
    <xf numFmtId="0" fontId="8" fillId="0" borderId="208" xfId="0" applyFont="1" applyBorder="1" applyAlignment="1">
      <alignment vertical="center"/>
    </xf>
    <xf numFmtId="0" fontId="0" fillId="0" borderId="213" xfId="0" applyBorder="1" applyAlignment="1">
      <alignment horizontal="center" vertical="center" wrapText="1"/>
    </xf>
    <xf numFmtId="0" fontId="0" fillId="0" borderId="214" xfId="0" applyBorder="1" applyAlignment="1">
      <alignment horizontal="center" vertical="center" wrapText="1"/>
    </xf>
    <xf numFmtId="12" fontId="0" fillId="0" borderId="214" xfId="0" applyNumberFormat="1" applyBorder="1" applyAlignment="1">
      <alignment horizontal="center" vertical="center" wrapText="1"/>
    </xf>
    <xf numFmtId="0" fontId="0" fillId="0" borderId="215" xfId="0" applyBorder="1" applyAlignment="1">
      <alignment horizontal="center" vertical="center" wrapText="1"/>
    </xf>
    <xf numFmtId="0" fontId="0" fillId="0" borderId="216" xfId="0" applyBorder="1" applyAlignment="1">
      <alignment horizontal="center" vertical="center" wrapText="1"/>
    </xf>
    <xf numFmtId="0" fontId="0" fillId="0" borderId="217" xfId="0" applyBorder="1" applyAlignment="1">
      <alignment horizontal="center" vertical="center" wrapText="1"/>
    </xf>
    <xf numFmtId="12" fontId="0" fillId="0" borderId="218" xfId="0" applyNumberFormat="1" applyBorder="1" applyAlignment="1">
      <alignment horizontal="center" vertical="center" wrapText="1"/>
    </xf>
    <xf numFmtId="0" fontId="0" fillId="0" borderId="219" xfId="0" applyBorder="1" applyAlignment="1">
      <alignment horizontal="center" vertical="center" wrapText="1"/>
    </xf>
    <xf numFmtId="0" fontId="20" fillId="0" borderId="214" xfId="5" applyFont="1" applyBorder="1" applyAlignment="1">
      <alignment horizontal="center" vertical="center" wrapText="1"/>
    </xf>
    <xf numFmtId="12" fontId="20" fillId="0" borderId="216" xfId="5" applyNumberFormat="1" applyFont="1" applyBorder="1" applyAlignment="1">
      <alignment horizontal="center" vertical="center" wrapText="1"/>
    </xf>
    <xf numFmtId="0" fontId="20" fillId="0" borderId="216" xfId="5" applyFont="1" applyBorder="1" applyAlignment="1">
      <alignment horizontal="center" vertical="center" wrapText="1"/>
    </xf>
    <xf numFmtId="12" fontId="20" fillId="0" borderId="214" xfId="5" applyNumberFormat="1" applyFont="1" applyBorder="1" applyAlignment="1">
      <alignment horizontal="center" vertical="center" wrapText="1"/>
    </xf>
    <xf numFmtId="0" fontId="20" fillId="0" borderId="215" xfId="5" applyFont="1" applyBorder="1" applyAlignment="1">
      <alignment horizontal="center" vertical="center" wrapText="1"/>
    </xf>
    <xf numFmtId="169" fontId="45" fillId="0" borderId="220" xfId="0" applyNumberFormat="1" applyFont="1" applyBorder="1" applyAlignment="1">
      <alignment horizontal="right" vertical="center"/>
    </xf>
    <xf numFmtId="169" fontId="45" fillId="0" borderId="218" xfId="0" applyNumberFormat="1" applyFont="1" applyBorder="1" applyAlignment="1">
      <alignment horizontal="right" vertical="center"/>
    </xf>
    <xf numFmtId="173" fontId="45" fillId="0" borderId="218" xfId="0" applyNumberFormat="1" applyFont="1" applyBorder="1" applyAlignment="1">
      <alignment horizontal="center" vertical="center"/>
    </xf>
    <xf numFmtId="169" fontId="45" fillId="0" borderId="218" xfId="0" applyNumberFormat="1" applyFont="1" applyBorder="1" applyAlignment="1">
      <alignment horizontal="center" vertical="center"/>
    </xf>
    <xf numFmtId="169" fontId="45" fillId="0" borderId="216" xfId="0" applyNumberFormat="1" applyFont="1" applyBorder="1" applyAlignment="1">
      <alignment horizontal="right" vertical="center"/>
    </xf>
    <xf numFmtId="169" fontId="45" fillId="0" borderId="214" xfId="0" applyNumberFormat="1" applyFont="1" applyBorder="1" applyAlignment="1">
      <alignment horizontal="right" vertical="center"/>
    </xf>
    <xf numFmtId="173" fontId="45" fillId="0" borderId="214" xfId="0" applyNumberFormat="1" applyFont="1" applyBorder="1" applyAlignment="1">
      <alignment horizontal="center" vertical="center"/>
    </xf>
    <xf numFmtId="169" fontId="45" fillId="0" borderId="214" xfId="0" applyNumberFormat="1" applyFont="1" applyBorder="1" applyAlignment="1">
      <alignment horizontal="center" vertical="center"/>
    </xf>
    <xf numFmtId="169" fontId="45" fillId="26" borderId="214" xfId="0" applyNumberFormat="1" applyFont="1" applyFill="1" applyBorder="1" applyAlignment="1">
      <alignment horizontal="center" vertical="center"/>
    </xf>
    <xf numFmtId="169" fontId="46" fillId="0" borderId="220" xfId="0" applyNumberFormat="1" applyFont="1" applyBorder="1" applyAlignment="1">
      <alignment horizontal="right" vertical="center"/>
    </xf>
    <xf numFmtId="169" fontId="46" fillId="0" borderId="218" xfId="0" applyNumberFormat="1" applyFont="1" applyBorder="1" applyAlignment="1">
      <alignment horizontal="right" vertical="center"/>
    </xf>
    <xf numFmtId="173" fontId="46" fillId="0" borderId="218" xfId="0" applyNumberFormat="1" applyFont="1" applyBorder="1" applyAlignment="1">
      <alignment horizontal="center" vertical="center"/>
    </xf>
    <xf numFmtId="169" fontId="46" fillId="0" borderId="218" xfId="0" applyNumberFormat="1" applyFont="1" applyBorder="1" applyAlignment="1">
      <alignment horizontal="center" vertical="center"/>
    </xf>
    <xf numFmtId="164" fontId="46" fillId="0" borderId="218" xfId="2" applyFont="1" applyFill="1" applyBorder="1" applyAlignment="1">
      <alignment horizontal="center" vertical="center"/>
    </xf>
    <xf numFmtId="169" fontId="46" fillId="0" borderId="216" xfId="0" applyNumberFormat="1" applyFont="1" applyBorder="1" applyAlignment="1">
      <alignment horizontal="right" vertical="center"/>
    </xf>
    <xf numFmtId="169" fontId="46" fillId="0" borderId="214" xfId="0" applyNumberFormat="1" applyFont="1" applyBorder="1" applyAlignment="1">
      <alignment horizontal="right" vertical="center"/>
    </xf>
    <xf numFmtId="173" fontId="46" fillId="0" borderId="214" xfId="0" applyNumberFormat="1" applyFont="1" applyBorder="1" applyAlignment="1">
      <alignment horizontal="center" vertical="center"/>
    </xf>
    <xf numFmtId="169" fontId="46" fillId="0" borderId="214" xfId="0" applyNumberFormat="1" applyFont="1" applyBorder="1" applyAlignment="1">
      <alignment horizontal="center" vertical="center"/>
    </xf>
    <xf numFmtId="169" fontId="46" fillId="0" borderId="221" xfId="0" applyNumberFormat="1" applyFont="1" applyBorder="1" applyAlignment="1">
      <alignment horizontal="right" vertical="center"/>
    </xf>
    <xf numFmtId="169" fontId="46" fillId="0" borderId="207" xfId="0" applyNumberFormat="1" applyFont="1" applyBorder="1" applyAlignment="1">
      <alignment horizontal="right" vertical="center"/>
    </xf>
    <xf numFmtId="173" fontId="46" fillId="0" borderId="207" xfId="0" applyNumberFormat="1" applyFont="1" applyBorder="1" applyAlignment="1">
      <alignment horizontal="center" vertical="center"/>
    </xf>
    <xf numFmtId="169" fontId="46" fillId="0" borderId="207" xfId="0" applyNumberFormat="1" applyFont="1" applyBorder="1" applyAlignment="1">
      <alignment horizontal="center" vertical="center"/>
    </xf>
    <xf numFmtId="164" fontId="70" fillId="7" borderId="207" xfId="0" applyNumberFormat="1" applyFont="1" applyFill="1" applyBorder="1" applyAlignment="1">
      <alignment horizontal="center" vertical="center" wrapText="1"/>
    </xf>
    <xf numFmtId="0" fontId="70" fillId="7" borderId="207" xfId="6" applyFont="1" applyFill="1" applyBorder="1" applyAlignment="1">
      <alignment horizontal="center" vertical="center" wrapText="1" shrinkToFit="1"/>
    </xf>
    <xf numFmtId="0" fontId="70" fillId="7" borderId="207" xfId="6" applyFont="1" applyFill="1" applyBorder="1" applyAlignment="1">
      <alignment horizontal="center" vertical="center" wrapText="1"/>
    </xf>
    <xf numFmtId="164" fontId="70" fillId="7" borderId="207" xfId="2" applyFont="1" applyFill="1" applyBorder="1" applyAlignment="1" applyProtection="1">
      <alignment horizontal="center" vertical="center" wrapText="1" shrinkToFit="1"/>
    </xf>
    <xf numFmtId="164" fontId="70" fillId="7" borderId="222" xfId="2" applyFont="1" applyFill="1" applyBorder="1" applyAlignment="1" applyProtection="1">
      <alignment horizontal="center" vertical="center" wrapText="1" shrinkToFit="1"/>
    </xf>
    <xf numFmtId="174" fontId="70" fillId="7" borderId="207" xfId="2" applyNumberFormat="1" applyFont="1" applyFill="1" applyBorder="1" applyAlignment="1" applyProtection="1">
      <alignment horizontal="center" vertical="center" wrapText="1" shrinkToFit="1"/>
    </xf>
    <xf numFmtId="164" fontId="70" fillId="7" borderId="223" xfId="0" applyNumberFormat="1" applyFont="1" applyFill="1" applyBorder="1" applyAlignment="1">
      <alignment horizontal="center" vertical="center" wrapText="1"/>
    </xf>
    <xf numFmtId="164" fontId="70" fillId="7" borderId="224" xfId="0" applyNumberFormat="1" applyFont="1" applyFill="1" applyBorder="1" applyAlignment="1">
      <alignment horizontal="center" vertical="center" wrapText="1"/>
    </xf>
    <xf numFmtId="164" fontId="70" fillId="7" borderId="225" xfId="0" applyNumberFormat="1" applyFont="1" applyFill="1" applyBorder="1" applyAlignment="1">
      <alignment horizontal="center" vertical="center" wrapText="1"/>
    </xf>
    <xf numFmtId="164" fontId="70" fillId="7" borderId="221" xfId="0" applyNumberFormat="1" applyFont="1" applyFill="1" applyBorder="1" applyAlignment="1">
      <alignment horizontal="center" vertical="center" wrapText="1"/>
    </xf>
    <xf numFmtId="0" fontId="70" fillId="7" borderId="207" xfId="5" applyFont="1" applyFill="1" applyBorder="1" applyAlignment="1">
      <alignment horizontal="center" vertical="center" wrapText="1"/>
    </xf>
    <xf numFmtId="12" fontId="32" fillId="0" borderId="214" xfId="0" applyNumberFormat="1" applyFont="1" applyBorder="1" applyAlignment="1">
      <alignment horizontal="center" vertical="center" wrapText="1"/>
    </xf>
    <xf numFmtId="0" fontId="10" fillId="0" borderId="214" xfId="0" applyFont="1" applyBorder="1" applyAlignment="1">
      <alignment horizontal="center" vertical="center" shrinkToFit="1"/>
    </xf>
    <xf numFmtId="12" fontId="42" fillId="0" borderId="214" xfId="0" applyNumberFormat="1" applyFont="1" applyBorder="1" applyAlignment="1">
      <alignment horizontal="center" vertical="center" wrapText="1"/>
    </xf>
    <xf numFmtId="0" fontId="32" fillId="0" borderId="214" xfId="0" applyFont="1" applyBorder="1" applyAlignment="1">
      <alignment horizontal="center" vertical="center"/>
    </xf>
    <xf numFmtId="0" fontId="0" fillId="0" borderId="214" xfId="0" applyBorder="1" applyAlignment="1">
      <alignment horizontal="center" vertical="center"/>
    </xf>
    <xf numFmtId="0" fontId="0" fillId="7" borderId="212" xfId="0" applyFill="1" applyBorder="1" applyAlignment="1">
      <alignment horizontal="center" vertical="center" wrapText="1"/>
    </xf>
    <xf numFmtId="2" fontId="32" fillId="0" borderId="214" xfId="0" applyNumberFormat="1" applyFont="1" applyBorder="1" applyAlignment="1">
      <alignment horizontal="center" vertical="center" wrapText="1"/>
    </xf>
    <xf numFmtId="0" fontId="0" fillId="0" borderId="207" xfId="0" applyBorder="1" applyAlignment="1">
      <alignment horizontal="center" vertical="center"/>
    </xf>
    <xf numFmtId="0" fontId="0" fillId="0" borderId="226" xfId="0" applyBorder="1" applyAlignment="1">
      <alignment horizontal="center" vertical="center"/>
    </xf>
    <xf numFmtId="0" fontId="0" fillId="0" borderId="228" xfId="0" applyBorder="1" applyAlignment="1">
      <alignment horizontal="center" vertical="center" wrapText="1"/>
    </xf>
    <xf numFmtId="12" fontId="21" fillId="0" borderId="212" xfId="7" applyNumberFormat="1" applyBorder="1" applyAlignment="1">
      <alignment horizontal="center" vertical="center" wrapText="1"/>
    </xf>
    <xf numFmtId="0" fontId="0" fillId="0" borderId="226" xfId="0" applyBorder="1" applyAlignment="1">
      <alignment horizontal="center" vertical="center" wrapText="1"/>
    </xf>
    <xf numFmtId="12" fontId="21" fillId="0" borderId="213" xfId="7" applyNumberFormat="1" applyBorder="1" applyAlignment="1">
      <alignment horizontal="center" vertical="center" wrapText="1"/>
    </xf>
    <xf numFmtId="12" fontId="21" fillId="0" borderId="214" xfId="7" applyNumberFormat="1" applyBorder="1" applyAlignment="1">
      <alignment horizontal="center" vertical="center" wrapText="1"/>
    </xf>
    <xf numFmtId="12" fontId="21" fillId="0" borderId="217" xfId="7" applyNumberFormat="1" applyBorder="1" applyAlignment="1">
      <alignment horizontal="center" vertical="center" wrapText="1"/>
    </xf>
    <xf numFmtId="0" fontId="21" fillId="0" borderId="212" xfId="7" applyBorder="1" applyAlignment="1">
      <alignment horizontal="center" vertical="center" wrapText="1"/>
    </xf>
    <xf numFmtId="0" fontId="21" fillId="2" borderId="212" xfId="7" applyFill="1" applyBorder="1" applyAlignment="1">
      <alignment horizontal="center" vertical="center" wrapText="1"/>
    </xf>
    <xf numFmtId="0" fontId="0" fillId="2" borderId="226" xfId="0" applyFill="1" applyBorder="1" applyAlignment="1">
      <alignment horizontal="center" vertical="center" wrapText="1"/>
    </xf>
    <xf numFmtId="0" fontId="0" fillId="0" borderId="212" xfId="0" applyBorder="1" applyAlignment="1">
      <alignment horizontal="center" vertical="center" wrapText="1"/>
    </xf>
    <xf numFmtId="0" fontId="12" fillId="0" borderId="218" xfId="7" applyFont="1" applyBorder="1" applyAlignment="1">
      <alignment horizontal="center" vertical="center"/>
    </xf>
    <xf numFmtId="0" fontId="12" fillId="0" borderId="230" xfId="7" applyFont="1" applyBorder="1" applyAlignment="1">
      <alignment horizontal="center" vertical="center"/>
    </xf>
    <xf numFmtId="0" fontId="12" fillId="0" borderId="220" xfId="7" applyFont="1" applyBorder="1" applyAlignment="1">
      <alignment horizontal="center" vertical="center"/>
    </xf>
    <xf numFmtId="0" fontId="21" fillId="0" borderId="213" xfId="7" applyBorder="1" applyAlignment="1">
      <alignment horizontal="center" vertical="center" wrapText="1"/>
    </xf>
    <xf numFmtId="0" fontId="21" fillId="0" borderId="217" xfId="7" applyBorder="1" applyAlignment="1">
      <alignment horizontal="center" vertical="center" wrapText="1"/>
    </xf>
    <xf numFmtId="0" fontId="21" fillId="15" borderId="216" xfId="7" applyFill="1" applyBorder="1" applyAlignment="1" applyProtection="1">
      <alignment horizontal="center" vertical="center" wrapText="1"/>
      <protection locked="0"/>
    </xf>
    <xf numFmtId="0" fontId="21" fillId="15" borderId="214" xfId="7" applyFill="1" applyBorder="1" applyAlignment="1" applyProtection="1">
      <alignment horizontal="center" vertical="center" wrapText="1"/>
      <protection locked="0"/>
    </xf>
    <xf numFmtId="0" fontId="21" fillId="2" borderId="217" xfId="7" applyFill="1" applyBorder="1" applyAlignment="1">
      <alignment horizontal="center" vertical="center" wrapText="1"/>
    </xf>
    <xf numFmtId="0" fontId="0" fillId="0" borderId="230" xfId="0" applyBorder="1" applyAlignment="1">
      <alignment horizontal="center" vertical="center" wrapText="1"/>
    </xf>
    <xf numFmtId="0" fontId="12" fillId="0" borderId="213" xfId="7" applyFont="1" applyBorder="1" applyAlignment="1">
      <alignment horizontal="center" vertical="center"/>
    </xf>
    <xf numFmtId="171" fontId="12" fillId="0" borderId="214" xfId="7" applyNumberFormat="1" applyFont="1" applyBorder="1" applyAlignment="1">
      <alignment horizontal="center" vertical="center"/>
    </xf>
    <xf numFmtId="171" fontId="12" fillId="0" borderId="217" xfId="7" applyNumberFormat="1" applyFont="1" applyBorder="1" applyAlignment="1">
      <alignment horizontal="center" vertical="center"/>
    </xf>
    <xf numFmtId="0" fontId="12" fillId="0" borderId="216" xfId="7" applyFont="1" applyBorder="1" applyAlignment="1">
      <alignment horizontal="center" vertical="center"/>
    </xf>
    <xf numFmtId="0" fontId="12" fillId="0" borderId="214" xfId="7" applyFont="1" applyBorder="1" applyAlignment="1">
      <alignment horizontal="center" vertical="center"/>
    </xf>
    <xf numFmtId="0" fontId="12" fillId="0" borderId="217" xfId="7" applyFont="1" applyBorder="1" applyAlignment="1">
      <alignment horizontal="center" vertical="center"/>
    </xf>
    <xf numFmtId="0" fontId="81" fillId="0" borderId="214" xfId="0" applyFont="1" applyBorder="1" applyAlignment="1">
      <alignment horizontal="center" vertical="center"/>
    </xf>
    <xf numFmtId="3" fontId="81" fillId="0" borderId="214" xfId="0" applyNumberFormat="1" applyFont="1" applyBorder="1" applyAlignment="1" applyProtection="1">
      <alignment horizontal="center"/>
      <protection locked="0"/>
    </xf>
    <xf numFmtId="0" fontId="82" fillId="0" borderId="218" xfId="0" applyFont="1" applyBorder="1"/>
    <xf numFmtId="0" fontId="82" fillId="0" borderId="213" xfId="0" applyFont="1" applyBorder="1" applyAlignment="1" applyProtection="1">
      <alignment horizontal="center"/>
      <protection locked="0"/>
    </xf>
    <xf numFmtId="0" fontId="82" fillId="0" borderId="214" xfId="0" applyFont="1" applyBorder="1"/>
    <xf numFmtId="178" fontId="82" fillId="0" borderId="214" xfId="0" applyNumberFormat="1" applyFont="1" applyBorder="1" applyAlignment="1" applyProtection="1">
      <alignment horizontal="center"/>
      <protection locked="0"/>
    </xf>
    <xf numFmtId="178" fontId="82" fillId="0" borderId="214" xfId="0" applyNumberFormat="1" applyFont="1" applyBorder="1" applyAlignment="1">
      <alignment horizontal="right"/>
    </xf>
    <xf numFmtId="0" fontId="32" fillId="2" borderId="211" xfId="2" applyNumberFormat="1" applyFont="1" applyFill="1" applyBorder="1" applyAlignment="1">
      <alignment horizontal="center" vertical="center" wrapText="1"/>
    </xf>
    <xf numFmtId="0" fontId="0" fillId="2" borderId="211" xfId="2" applyNumberFormat="1" applyFont="1" applyFill="1" applyBorder="1" applyAlignment="1">
      <alignment horizontal="center" vertical="center" wrapText="1"/>
    </xf>
    <xf numFmtId="0" fontId="0" fillId="2" borderId="214" xfId="2" applyNumberFormat="1" applyFont="1" applyFill="1" applyBorder="1" applyAlignment="1">
      <alignment horizontal="center" vertical="center" wrapText="1"/>
    </xf>
    <xf numFmtId="0" fontId="0" fillId="2" borderId="219" xfId="2" applyNumberFormat="1" applyFont="1" applyFill="1" applyBorder="1" applyAlignment="1">
      <alignment horizontal="left" vertical="top" wrapText="1"/>
    </xf>
    <xf numFmtId="164" fontId="0" fillId="2" borderId="215" xfId="2" applyFont="1" applyFill="1" applyBorder="1" applyAlignment="1">
      <alignment horizontal="left" vertical="center"/>
    </xf>
    <xf numFmtId="164" fontId="0" fillId="2" borderId="227" xfId="2" applyFont="1" applyFill="1" applyBorder="1" applyAlignment="1">
      <alignment horizontal="center" vertical="center" wrapText="1"/>
    </xf>
    <xf numFmtId="164" fontId="0" fillId="2" borderId="216" xfId="2" applyFont="1" applyFill="1" applyBorder="1" applyAlignment="1">
      <alignment horizontal="center" vertical="center" wrapText="1"/>
    </xf>
    <xf numFmtId="164" fontId="0" fillId="2" borderId="215" xfId="2" applyFont="1" applyFill="1" applyBorder="1" applyAlignment="1">
      <alignment horizontal="left"/>
    </xf>
    <xf numFmtId="164" fontId="0" fillId="2" borderId="227" xfId="2" applyFont="1" applyFill="1" applyBorder="1" applyAlignment="1">
      <alignment horizontal="center"/>
    </xf>
    <xf numFmtId="164" fontId="0" fillId="2" borderId="216" xfId="2" applyFont="1" applyFill="1" applyBorder="1" applyAlignment="1">
      <alignment horizontal="center"/>
    </xf>
    <xf numFmtId="0" fontId="20" fillId="0" borderId="218" xfId="5" applyFont="1" applyBorder="1" applyAlignment="1">
      <alignment horizontal="center" vertical="center" wrapText="1"/>
    </xf>
    <xf numFmtId="12" fontId="20" fillId="0" borderId="220" xfId="5" applyNumberFormat="1" applyFont="1" applyBorder="1" applyAlignment="1">
      <alignment horizontal="center" vertical="center" wrapText="1"/>
    </xf>
    <xf numFmtId="0" fontId="20" fillId="0" borderId="220" xfId="5" applyFont="1" applyBorder="1" applyAlignment="1">
      <alignment horizontal="center" vertical="center" wrapText="1"/>
    </xf>
    <xf numFmtId="0" fontId="20" fillId="0" borderId="219" xfId="5" applyFont="1" applyBorder="1" applyAlignment="1">
      <alignment horizontal="center" vertical="center" wrapText="1"/>
    </xf>
    <xf numFmtId="0" fontId="20" fillId="0" borderId="211" xfId="5" applyFont="1" applyBorder="1" applyAlignment="1">
      <alignment horizontal="center" vertical="center" wrapText="1"/>
    </xf>
    <xf numFmtId="0" fontId="20" fillId="0" borderId="230" xfId="5" applyFont="1" applyBorder="1" applyAlignment="1">
      <alignment horizontal="center" vertical="center" wrapText="1"/>
    </xf>
    <xf numFmtId="164" fontId="20" fillId="0" borderId="230" xfId="2" applyFont="1" applyFill="1" applyBorder="1" applyAlignment="1">
      <alignment horizontal="center" vertical="center" wrapText="1"/>
    </xf>
    <xf numFmtId="0" fontId="29" fillId="0" borderId="224" xfId="5" applyFont="1" applyBorder="1" applyAlignment="1">
      <alignment horizontal="center" vertical="center"/>
    </xf>
    <xf numFmtId="0" fontId="20" fillId="0" borderId="207" xfId="5" applyFont="1" applyBorder="1" applyAlignment="1">
      <alignment horizontal="center" vertical="center" wrapText="1"/>
    </xf>
    <xf numFmtId="12" fontId="20" fillId="0" borderId="221" xfId="5" applyNumberFormat="1" applyFont="1" applyBorder="1" applyAlignment="1">
      <alignment horizontal="center" vertical="center" wrapText="1"/>
    </xf>
    <xf numFmtId="0" fontId="20" fillId="0" borderId="221" xfId="5" applyFont="1" applyBorder="1" applyAlignment="1">
      <alignment horizontal="center" vertical="center" wrapText="1"/>
    </xf>
    <xf numFmtId="0" fontId="20" fillId="0" borderId="222" xfId="5" applyFont="1" applyBorder="1" applyAlignment="1">
      <alignment horizontal="center" vertical="center" wrapText="1"/>
    </xf>
    <xf numFmtId="0" fontId="20" fillId="0" borderId="212" xfId="5" applyFont="1" applyBorder="1" applyAlignment="1">
      <alignment horizontal="center" vertical="center" wrapText="1"/>
    </xf>
    <xf numFmtId="0" fontId="20" fillId="0" borderId="226" xfId="5" applyFont="1" applyBorder="1" applyAlignment="1">
      <alignment horizontal="center" vertical="center" wrapText="1"/>
    </xf>
    <xf numFmtId="166" fontId="30" fillId="0" borderId="212" xfId="7" applyNumberFormat="1" applyFont="1" applyBorder="1" applyAlignment="1">
      <alignment horizontal="center" vertical="center"/>
    </xf>
    <xf numFmtId="164" fontId="20" fillId="0" borderId="212" xfId="2" applyFont="1" applyFill="1" applyBorder="1" applyAlignment="1">
      <alignment horizontal="center" vertical="center" wrapText="1"/>
    </xf>
    <xf numFmtId="0" fontId="20" fillId="0" borderId="213" xfId="5" applyFont="1" applyBorder="1" applyAlignment="1">
      <alignment horizontal="center" vertical="center" wrapText="1"/>
    </xf>
    <xf numFmtId="0" fontId="20" fillId="0" borderId="217" xfId="5" applyFont="1" applyBorder="1" applyAlignment="1">
      <alignment horizontal="center" vertical="center" wrapText="1"/>
    </xf>
    <xf numFmtId="0" fontId="20" fillId="0" borderId="228" xfId="5" applyFont="1" applyBorder="1" applyAlignment="1">
      <alignment horizontal="center" vertical="center" wrapText="1"/>
    </xf>
    <xf numFmtId="166" fontId="30" fillId="0" borderId="213" xfId="7" applyNumberFormat="1" applyFont="1" applyBorder="1" applyAlignment="1">
      <alignment horizontal="center" vertical="center"/>
    </xf>
    <xf numFmtId="166" fontId="30" fillId="0" borderId="214" xfId="7" applyNumberFormat="1" applyFont="1" applyBorder="1" applyAlignment="1">
      <alignment horizontal="center" vertical="center"/>
    </xf>
    <xf numFmtId="166" fontId="30" fillId="0" borderId="217" xfId="7" applyNumberFormat="1" applyFont="1" applyBorder="1" applyAlignment="1">
      <alignment horizontal="center" vertical="center"/>
    </xf>
    <xf numFmtId="166" fontId="30" fillId="0" borderId="216" xfId="7" applyNumberFormat="1" applyFont="1" applyBorder="1" applyAlignment="1">
      <alignment horizontal="center" vertical="center"/>
    </xf>
    <xf numFmtId="164" fontId="20" fillId="0" borderId="217" xfId="2" applyFont="1" applyFill="1" applyBorder="1" applyAlignment="1">
      <alignment horizontal="center" vertical="center" wrapText="1"/>
    </xf>
    <xf numFmtId="166" fontId="30" fillId="0" borderId="218" xfId="7" applyNumberFormat="1" applyFont="1" applyBorder="1" applyAlignment="1">
      <alignment horizontal="center" vertical="center"/>
    </xf>
    <xf numFmtId="166" fontId="30" fillId="0" borderId="230" xfId="7" applyNumberFormat="1" applyFont="1" applyBorder="1" applyAlignment="1">
      <alignment horizontal="center" vertical="center"/>
    </xf>
    <xf numFmtId="166" fontId="30" fillId="0" borderId="220" xfId="7" applyNumberFormat="1" applyFont="1" applyBorder="1" applyAlignment="1">
      <alignment horizontal="center" vertical="center"/>
    </xf>
    <xf numFmtId="0" fontId="29" fillId="0" borderId="213" xfId="5" applyFont="1" applyBorder="1" applyAlignment="1">
      <alignment horizontal="center" vertical="center"/>
    </xf>
    <xf numFmtId="0" fontId="20" fillId="0" borderId="231" xfId="5" applyFont="1" applyBorder="1" applyAlignment="1">
      <alignment horizontal="center" vertical="center" wrapText="1"/>
    </xf>
    <xf numFmtId="166" fontId="30" fillId="0" borderId="221" xfId="7" applyNumberFormat="1" applyFont="1" applyBorder="1" applyAlignment="1">
      <alignment horizontal="center" vertical="center"/>
    </xf>
    <xf numFmtId="166" fontId="30" fillId="0" borderId="207" xfId="7" applyNumberFormat="1" applyFont="1" applyBorder="1" applyAlignment="1">
      <alignment horizontal="center" vertical="center"/>
    </xf>
    <xf numFmtId="166" fontId="30" fillId="0" borderId="225" xfId="7" applyNumberFormat="1" applyFont="1" applyBorder="1" applyAlignment="1">
      <alignment horizontal="center" vertical="center"/>
    </xf>
    <xf numFmtId="0" fontId="20" fillId="0" borderId="227" xfId="5" applyFont="1" applyBorder="1" applyAlignment="1">
      <alignment horizontal="center" vertical="center" wrapText="1"/>
    </xf>
    <xf numFmtId="0" fontId="20" fillId="0" borderId="223" xfId="5" applyFont="1" applyBorder="1" applyAlignment="1">
      <alignment horizontal="center" vertical="center" wrapText="1"/>
    </xf>
    <xf numFmtId="0" fontId="20" fillId="0" borderId="224" xfId="5" applyFont="1" applyBorder="1" applyAlignment="1">
      <alignment horizontal="center" vertical="center" wrapText="1"/>
    </xf>
    <xf numFmtId="0" fontId="20" fillId="0" borderId="225" xfId="5" applyFont="1" applyBorder="1" applyAlignment="1">
      <alignment horizontal="center" vertical="center" wrapText="1"/>
    </xf>
    <xf numFmtId="0" fontId="20" fillId="10" borderId="227" xfId="5" applyFont="1" applyFill="1" applyBorder="1" applyAlignment="1">
      <alignment horizontal="center" vertical="center" wrapText="1"/>
    </xf>
    <xf numFmtId="0" fontId="20" fillId="10" borderId="223" xfId="5" applyFont="1" applyFill="1" applyBorder="1" applyAlignment="1">
      <alignment horizontal="center" vertical="center" wrapText="1"/>
    </xf>
    <xf numFmtId="166" fontId="30" fillId="0" borderId="224" xfId="7" applyNumberFormat="1" applyFont="1" applyBorder="1" applyAlignment="1">
      <alignment horizontal="center" vertical="center"/>
    </xf>
    <xf numFmtId="164" fontId="20" fillId="0" borderId="225" xfId="2" applyFont="1" applyFill="1" applyBorder="1" applyAlignment="1">
      <alignment horizontal="center" vertical="center" wrapText="1"/>
    </xf>
    <xf numFmtId="0" fontId="20" fillId="0" borderId="218" xfId="5" applyFont="1" applyBorder="1" applyAlignment="1">
      <alignment horizontal="center" vertical="center"/>
    </xf>
    <xf numFmtId="12" fontId="20" fillId="0" borderId="220" xfId="5" applyNumberFormat="1" applyFont="1" applyBorder="1" applyAlignment="1">
      <alignment horizontal="center" vertical="center"/>
    </xf>
    <xf numFmtId="0" fontId="20" fillId="0" borderId="220" xfId="5" applyFont="1" applyBorder="1" applyAlignment="1">
      <alignment horizontal="center" vertical="center"/>
    </xf>
    <xf numFmtId="0" fontId="20" fillId="0" borderId="212" xfId="5" applyFont="1" applyBorder="1" applyAlignment="1">
      <alignment horizontal="center" vertical="center"/>
    </xf>
    <xf numFmtId="0" fontId="20" fillId="0" borderId="230" xfId="5" applyFont="1" applyBorder="1" applyAlignment="1">
      <alignment horizontal="center" vertical="center"/>
    </xf>
    <xf numFmtId="0" fontId="20" fillId="0" borderId="219" xfId="5" applyFont="1" applyBorder="1" applyAlignment="1">
      <alignment horizontal="center" vertical="center"/>
    </xf>
    <xf numFmtId="164" fontId="20" fillId="0" borderId="212" xfId="2" applyFont="1" applyFill="1" applyBorder="1" applyAlignment="1">
      <alignment horizontal="center" vertical="center"/>
    </xf>
    <xf numFmtId="0" fontId="20" fillId="0" borderId="207" xfId="5" applyFont="1" applyBorder="1" applyAlignment="1">
      <alignment horizontal="center" vertical="center"/>
    </xf>
    <xf numFmtId="12" fontId="20" fillId="0" borderId="221" xfId="5" applyNumberFormat="1" applyFont="1" applyBorder="1" applyAlignment="1">
      <alignment horizontal="center" vertical="center"/>
    </xf>
    <xf numFmtId="0" fontId="20" fillId="0" borderId="221" xfId="5" applyFont="1" applyBorder="1" applyAlignment="1">
      <alignment horizontal="center" vertical="center"/>
    </xf>
    <xf numFmtId="0" fontId="21" fillId="0" borderId="207" xfId="7" applyBorder="1"/>
    <xf numFmtId="0" fontId="21" fillId="0" borderId="222" xfId="7" applyBorder="1"/>
    <xf numFmtId="0" fontId="20" fillId="0" borderId="224" xfId="5" applyFont="1" applyBorder="1" applyAlignment="1">
      <alignment horizontal="center" vertical="center"/>
    </xf>
    <xf numFmtId="0" fontId="20" fillId="0" borderId="225" xfId="5" applyFont="1" applyBorder="1" applyAlignment="1">
      <alignment horizontal="center" vertical="center"/>
    </xf>
    <xf numFmtId="0" fontId="21" fillId="0" borderId="221" xfId="7" applyBorder="1"/>
    <xf numFmtId="0" fontId="20" fillId="0" borderId="231" xfId="5" applyFont="1" applyBorder="1" applyAlignment="1">
      <alignment horizontal="center" vertical="center"/>
    </xf>
    <xf numFmtId="0" fontId="20" fillId="0" borderId="232" xfId="5" applyFont="1" applyBorder="1" applyAlignment="1">
      <alignment horizontal="center" vertical="center"/>
    </xf>
    <xf numFmtId="164" fontId="20" fillId="0" borderId="225" xfId="2" applyFont="1" applyFill="1" applyBorder="1" applyAlignment="1">
      <alignment horizontal="center" vertical="center"/>
    </xf>
    <xf numFmtId="12" fontId="20" fillId="0" borderId="218" xfId="5" applyNumberFormat="1" applyFont="1" applyBorder="1" applyAlignment="1">
      <alignment horizontal="center" vertical="center" wrapText="1"/>
    </xf>
    <xf numFmtId="0" fontId="21" fillId="0" borderId="218" xfId="7" applyBorder="1"/>
    <xf numFmtId="0" fontId="21" fillId="0" borderId="219" xfId="7" applyBorder="1"/>
    <xf numFmtId="0" fontId="21" fillId="0" borderId="220" xfId="7" applyBorder="1"/>
    <xf numFmtId="0" fontId="21" fillId="0" borderId="230" xfId="7" applyBorder="1"/>
    <xf numFmtId="0" fontId="20" fillId="0" borderId="210" xfId="5" applyFont="1" applyBorder="1" applyAlignment="1">
      <alignment horizontal="center" vertical="center" wrapText="1"/>
    </xf>
    <xf numFmtId="0" fontId="21" fillId="0" borderId="214" xfId="7" applyBorder="1"/>
    <xf numFmtId="0" fontId="21" fillId="0" borderId="215" xfId="7" applyBorder="1"/>
    <xf numFmtId="0" fontId="21" fillId="0" borderId="216" xfId="7" applyBorder="1"/>
    <xf numFmtId="0" fontId="21" fillId="0" borderId="217" xfId="7" applyBorder="1"/>
    <xf numFmtId="0" fontId="20" fillId="0" borderId="229" xfId="5" applyFont="1" applyBorder="1" applyAlignment="1">
      <alignment horizontal="center" vertical="center" wrapText="1"/>
    </xf>
    <xf numFmtId="0" fontId="21" fillId="0" borderId="213" xfId="7" applyBorder="1"/>
    <xf numFmtId="0" fontId="29" fillId="0" borderId="226" xfId="5" applyFont="1" applyBorder="1" applyAlignment="1">
      <alignment horizontal="center" vertical="center"/>
    </xf>
    <xf numFmtId="12" fontId="20" fillId="0" borderId="207" xfId="5" applyNumberFormat="1" applyFont="1" applyBorder="1" applyAlignment="1">
      <alignment horizontal="center" vertical="center"/>
    </xf>
    <xf numFmtId="0" fontId="29" fillId="0" borderId="228" xfId="5" applyFont="1" applyBorder="1" applyAlignment="1">
      <alignment horizontal="center" vertical="center"/>
    </xf>
    <xf numFmtId="0" fontId="29" fillId="0" borderId="232" xfId="5" applyFont="1" applyBorder="1" applyAlignment="1">
      <alignment horizontal="center" vertical="center"/>
    </xf>
    <xf numFmtId="12" fontId="0" fillId="0" borderId="213" xfId="0" applyNumberFormat="1" applyBorder="1" applyAlignment="1">
      <alignment horizontal="center" vertical="center" wrapText="1"/>
    </xf>
    <xf numFmtId="0" fontId="0" fillId="0" borderId="233" xfId="0" applyBorder="1" applyAlignment="1">
      <alignment horizontal="center" vertical="center"/>
    </xf>
    <xf numFmtId="0" fontId="0" fillId="0" borderId="216" xfId="0" applyBorder="1" applyAlignment="1">
      <alignment horizontal="center" vertical="center"/>
    </xf>
    <xf numFmtId="0" fontId="70" fillId="0" borderId="0" xfId="0" applyFont="1" applyProtection="1">
      <protection locked="0"/>
    </xf>
    <xf numFmtId="0" fontId="6" fillId="2" borderId="0" xfId="0" applyFont="1" applyFill="1" applyAlignment="1">
      <alignment horizontal="right" vertical="center"/>
    </xf>
    <xf numFmtId="0" fontId="8" fillId="2" borderId="0" xfId="0" applyFont="1" applyFill="1" applyAlignment="1" applyProtection="1">
      <alignment horizontal="left" vertical="center" indent="1"/>
      <protection locked="0"/>
    </xf>
    <xf numFmtId="0" fontId="6" fillId="2" borderId="51" xfId="0" applyFont="1" applyFill="1" applyBorder="1" applyAlignment="1">
      <alignment horizontal="center" vertical="center"/>
    </xf>
    <xf numFmtId="0" fontId="6" fillId="2" borderId="49" xfId="0" applyFont="1" applyFill="1" applyBorder="1" applyAlignment="1">
      <alignment horizontal="center" vertical="center"/>
    </xf>
    <xf numFmtId="0" fontId="6" fillId="2" borderId="50" xfId="0" applyFont="1" applyFill="1" applyBorder="1" applyAlignment="1">
      <alignment horizontal="center" vertical="center"/>
    </xf>
    <xf numFmtId="0" fontId="6" fillId="2" borderId="178" xfId="0" applyFont="1" applyFill="1" applyBorder="1" applyAlignment="1">
      <alignment horizontal="center" vertical="center"/>
    </xf>
    <xf numFmtId="0" fontId="6" fillId="2" borderId="182" xfId="0" applyFont="1" applyFill="1" applyBorder="1" applyAlignment="1">
      <alignment horizontal="center" vertical="center"/>
    </xf>
    <xf numFmtId="0" fontId="6" fillId="2" borderId="179" xfId="0" applyFont="1" applyFill="1" applyBorder="1" applyAlignment="1">
      <alignment horizontal="center" vertical="center"/>
    </xf>
    <xf numFmtId="0" fontId="71" fillId="2" borderId="51" xfId="0" applyFont="1" applyFill="1" applyBorder="1" applyAlignment="1">
      <alignment horizontal="center" vertical="center"/>
    </xf>
    <xf numFmtId="0" fontId="71" fillId="2" borderId="49" xfId="0" applyFont="1" applyFill="1" applyBorder="1" applyAlignment="1">
      <alignment horizontal="center" vertical="center"/>
    </xf>
    <xf numFmtId="0" fontId="71" fillId="2" borderId="52" xfId="0" applyFont="1" applyFill="1" applyBorder="1" applyAlignment="1">
      <alignment horizontal="center" vertical="center"/>
    </xf>
    <xf numFmtId="0" fontId="71" fillId="2" borderId="55" xfId="0" applyFont="1" applyFill="1" applyBorder="1" applyAlignment="1">
      <alignment horizontal="center" vertical="center"/>
    </xf>
    <xf numFmtId="0" fontId="71" fillId="2" borderId="0" xfId="0" applyFont="1" applyFill="1" applyAlignment="1">
      <alignment horizontal="center" vertical="center"/>
    </xf>
    <xf numFmtId="0" fontId="71" fillId="2" borderId="56" xfId="0" applyFont="1" applyFill="1" applyBorder="1" applyAlignment="1">
      <alignment horizontal="center" vertical="center"/>
    </xf>
    <xf numFmtId="0" fontId="71" fillId="2" borderId="60" xfId="0" applyFont="1" applyFill="1" applyBorder="1" applyAlignment="1">
      <alignment horizontal="center" vertical="center"/>
    </xf>
    <xf numFmtId="0" fontId="71" fillId="2" borderId="58" xfId="0" applyFont="1" applyFill="1" applyBorder="1" applyAlignment="1">
      <alignment horizontal="center" vertical="center"/>
    </xf>
    <xf numFmtId="0" fontId="71" fillId="2" borderId="61" xfId="0" applyFont="1" applyFill="1" applyBorder="1" applyAlignment="1">
      <alignment horizontal="center" vertical="center"/>
    </xf>
    <xf numFmtId="0" fontId="6" fillId="2" borderId="181" xfId="0" applyFont="1" applyFill="1" applyBorder="1" applyAlignment="1">
      <alignment horizontal="center" vertical="center"/>
    </xf>
    <xf numFmtId="0" fontId="6" fillId="2" borderId="190" xfId="0" applyFont="1" applyFill="1" applyBorder="1" applyAlignment="1">
      <alignment horizontal="center" vertical="center"/>
    </xf>
    <xf numFmtId="0" fontId="6" fillId="2" borderId="180" xfId="0" applyFont="1" applyFill="1" applyBorder="1" applyAlignment="1">
      <alignment horizontal="center" vertical="center"/>
    </xf>
    <xf numFmtId="0" fontId="6" fillId="2" borderId="60" xfId="0" applyFont="1" applyFill="1" applyBorder="1" applyAlignment="1">
      <alignment horizontal="center" vertical="center"/>
    </xf>
    <xf numFmtId="0" fontId="6" fillId="2" borderId="58" xfId="0" applyFont="1" applyFill="1" applyBorder="1" applyAlignment="1">
      <alignment horizontal="center" vertical="center"/>
    </xf>
    <xf numFmtId="0" fontId="6" fillId="2" borderId="59" xfId="0" applyFont="1" applyFill="1" applyBorder="1" applyAlignment="1">
      <alignment horizontal="center" vertical="center"/>
    </xf>
    <xf numFmtId="0" fontId="8" fillId="2" borderId="29" xfId="0" applyFont="1" applyFill="1" applyBorder="1" applyAlignment="1" applyProtection="1">
      <alignment horizontal="center"/>
      <protection locked="0"/>
    </xf>
    <xf numFmtId="0" fontId="8" fillId="2" borderId="36" xfId="0" applyFont="1" applyFill="1" applyBorder="1" applyAlignment="1" applyProtection="1">
      <alignment horizontal="center"/>
      <protection locked="0"/>
    </xf>
    <xf numFmtId="0" fontId="8" fillId="2" borderId="0" xfId="0" applyFont="1" applyFill="1" applyAlignment="1">
      <alignment horizontal="left" vertical="center" indent="1"/>
    </xf>
    <xf numFmtId="0" fontId="8" fillId="2" borderId="27" xfId="0" applyFont="1" applyFill="1" applyBorder="1" applyAlignment="1" applyProtection="1">
      <alignment horizontal="center"/>
      <protection locked="0"/>
    </xf>
    <xf numFmtId="0" fontId="8" fillId="2" borderId="34" xfId="0" applyFont="1" applyFill="1" applyBorder="1" applyAlignment="1" applyProtection="1">
      <alignment horizontal="center"/>
      <protection locked="0"/>
    </xf>
    <xf numFmtId="0" fontId="37" fillId="2" borderId="64" xfId="0" applyFont="1" applyFill="1" applyBorder="1" applyAlignment="1" applyProtection="1">
      <alignment horizontal="center"/>
      <protection locked="0"/>
    </xf>
    <xf numFmtId="0" fontId="37" fillId="2" borderId="65" xfId="0" applyFont="1" applyFill="1" applyBorder="1" applyAlignment="1" applyProtection="1">
      <alignment horizontal="center"/>
      <protection locked="0"/>
    </xf>
    <xf numFmtId="0" fontId="37" fillId="2" borderId="67" xfId="0" applyFont="1" applyFill="1" applyBorder="1" applyAlignment="1" applyProtection="1">
      <alignment horizontal="center"/>
      <protection locked="0"/>
    </xf>
    <xf numFmtId="0" fontId="37" fillId="2" borderId="63" xfId="0" applyFont="1" applyFill="1" applyBorder="1" applyAlignment="1" applyProtection="1">
      <alignment horizontal="center"/>
      <protection locked="0"/>
    </xf>
    <xf numFmtId="0" fontId="37" fillId="2" borderId="29" xfId="0" applyFont="1" applyFill="1" applyBorder="1" applyAlignment="1" applyProtection="1">
      <alignment horizontal="center"/>
      <protection locked="0"/>
    </xf>
    <xf numFmtId="0" fontId="37" fillId="2" borderId="36" xfId="0" applyFont="1" applyFill="1" applyBorder="1" applyAlignment="1" applyProtection="1">
      <alignment horizontal="center"/>
      <protection locked="0"/>
    </xf>
    <xf numFmtId="0" fontId="37" fillId="2" borderId="62" xfId="0" applyFont="1" applyFill="1" applyBorder="1" applyAlignment="1" applyProtection="1">
      <alignment horizontal="center"/>
      <protection locked="0"/>
    </xf>
    <xf numFmtId="14" fontId="37" fillId="2" borderId="64" xfId="0" applyNumberFormat="1" applyFont="1" applyFill="1" applyBorder="1" applyAlignment="1" applyProtection="1">
      <alignment horizontal="center"/>
      <protection locked="0"/>
    </xf>
    <xf numFmtId="14" fontId="37" fillId="2" borderId="65" xfId="0" applyNumberFormat="1" applyFont="1" applyFill="1" applyBorder="1" applyAlignment="1" applyProtection="1">
      <alignment horizontal="center"/>
      <protection locked="0"/>
    </xf>
    <xf numFmtId="14" fontId="37" fillId="2" borderId="63" xfId="0" applyNumberFormat="1" applyFont="1" applyFill="1" applyBorder="1" applyAlignment="1" applyProtection="1">
      <alignment horizontal="center"/>
      <protection locked="0"/>
    </xf>
    <xf numFmtId="14" fontId="37" fillId="2" borderId="35" xfId="0" applyNumberFormat="1" applyFont="1" applyFill="1" applyBorder="1" applyAlignment="1" applyProtection="1">
      <alignment horizontal="center"/>
      <protection locked="0"/>
    </xf>
    <xf numFmtId="14" fontId="37" fillId="2" borderId="30" xfId="0" applyNumberFormat="1" applyFont="1" applyFill="1" applyBorder="1" applyAlignment="1" applyProtection="1">
      <alignment horizontal="center"/>
      <protection locked="0"/>
    </xf>
    <xf numFmtId="14" fontId="37" fillId="2" borderId="36" xfId="0" applyNumberFormat="1" applyFont="1" applyFill="1" applyBorder="1" applyAlignment="1" applyProtection="1">
      <alignment horizontal="center"/>
      <protection locked="0"/>
    </xf>
    <xf numFmtId="0" fontId="37" fillId="2" borderId="35" xfId="0" applyFont="1" applyFill="1" applyBorder="1" applyAlignment="1" applyProtection="1">
      <alignment horizontal="center"/>
      <protection locked="0"/>
    </xf>
    <xf numFmtId="0" fontId="37" fillId="2" borderId="30" xfId="0" applyFont="1" applyFill="1" applyBorder="1" applyAlignment="1" applyProtection="1">
      <alignment horizontal="center"/>
      <protection locked="0"/>
    </xf>
    <xf numFmtId="0" fontId="37" fillId="2" borderId="20" xfId="0" applyFont="1" applyFill="1" applyBorder="1" applyAlignment="1" applyProtection="1">
      <alignment horizontal="center"/>
      <protection locked="0"/>
    </xf>
    <xf numFmtId="0" fontId="41" fillId="0" borderId="0" xfId="0" applyFont="1" applyAlignment="1">
      <alignment horizontal="center" vertical="center" wrapText="1"/>
    </xf>
    <xf numFmtId="0" fontId="12" fillId="15" borderId="116" xfId="7" applyFont="1" applyFill="1" applyBorder="1" applyAlignment="1" applyProtection="1">
      <alignment horizontal="center"/>
      <protection locked="0"/>
    </xf>
    <xf numFmtId="0" fontId="12" fillId="15" borderId="10" xfId="7" applyFont="1" applyFill="1" applyBorder="1" applyAlignment="1" applyProtection="1">
      <alignment horizontal="center"/>
      <protection locked="0"/>
    </xf>
    <xf numFmtId="0" fontId="38" fillId="2" borderId="46" xfId="7" applyFont="1" applyFill="1" applyBorder="1" applyAlignment="1">
      <alignment horizontal="center"/>
    </xf>
    <xf numFmtId="0" fontId="12" fillId="0" borderId="106" xfId="7" applyFont="1" applyBorder="1" applyAlignment="1">
      <alignment horizontal="center" vertical="center"/>
    </xf>
    <xf numFmtId="0" fontId="12" fillId="0" borderId="177" xfId="7" applyFont="1" applyBorder="1" applyAlignment="1">
      <alignment horizontal="center" vertical="center"/>
    </xf>
    <xf numFmtId="0" fontId="12" fillId="2" borderId="49" xfId="0" applyFont="1" applyFill="1" applyBorder="1" applyAlignment="1">
      <alignment horizontal="center" vertical="center" wrapText="1"/>
    </xf>
    <xf numFmtId="0" fontId="12" fillId="2" borderId="0" xfId="0" applyFont="1" applyFill="1" applyAlignment="1">
      <alignment horizontal="center" vertical="center" wrapText="1"/>
    </xf>
    <xf numFmtId="0" fontId="12" fillId="0" borderId="109" xfId="0" applyFont="1" applyBorder="1" applyAlignment="1">
      <alignment horizontal="center" vertical="center" wrapText="1"/>
    </xf>
    <xf numFmtId="0" fontId="12" fillId="0" borderId="92" xfId="0" applyFont="1" applyBorder="1" applyAlignment="1">
      <alignment horizontal="center" vertical="center" wrapText="1"/>
    </xf>
    <xf numFmtId="0" fontId="12" fillId="0" borderId="83" xfId="0" applyFont="1" applyBorder="1" applyAlignment="1">
      <alignment horizontal="center" vertical="center" wrapText="1"/>
    </xf>
    <xf numFmtId="0" fontId="12" fillId="0" borderId="85" xfId="0" applyFont="1" applyBorder="1" applyAlignment="1">
      <alignment horizontal="center" vertical="center" wrapText="1"/>
    </xf>
    <xf numFmtId="0" fontId="12" fillId="0" borderId="84" xfId="0" applyFont="1" applyBorder="1" applyAlignment="1">
      <alignment horizontal="center" vertical="center" wrapText="1"/>
    </xf>
    <xf numFmtId="0" fontId="12" fillId="0" borderId="86" xfId="0" applyFont="1" applyBorder="1" applyAlignment="1">
      <alignment horizontal="center" vertical="center" wrapText="1"/>
    </xf>
    <xf numFmtId="0" fontId="12" fillId="0" borderId="51" xfId="0" applyFont="1" applyBorder="1" applyAlignment="1">
      <alignment horizontal="center" vertical="center" wrapText="1"/>
    </xf>
    <xf numFmtId="0" fontId="12" fillId="0" borderId="60" xfId="0" applyFont="1" applyBorder="1" applyAlignment="1">
      <alignment horizontal="center" vertical="center" wrapText="1"/>
    </xf>
    <xf numFmtId="0" fontId="12" fillId="2" borderId="48" xfId="0" applyFont="1" applyFill="1" applyBorder="1" applyAlignment="1">
      <alignment horizontal="center" vertical="center" wrapText="1"/>
    </xf>
    <xf numFmtId="0" fontId="12" fillId="2" borderId="53" xfId="0" applyFont="1" applyFill="1" applyBorder="1" applyAlignment="1">
      <alignment horizontal="center" vertical="center" wrapText="1"/>
    </xf>
    <xf numFmtId="0" fontId="69" fillId="51" borderId="25" xfId="0" applyFont="1" applyFill="1" applyBorder="1" applyAlignment="1">
      <alignment horizontal="left" vertical="center"/>
    </xf>
    <xf numFmtId="0" fontId="69" fillId="51" borderId="46" xfId="0" applyFont="1" applyFill="1" applyBorder="1" applyAlignment="1">
      <alignment horizontal="left" vertical="center"/>
    </xf>
    <xf numFmtId="0" fontId="69" fillId="51" borderId="47" xfId="0" applyFont="1" applyFill="1" applyBorder="1" applyAlignment="1">
      <alignment horizontal="left" vertical="center"/>
    </xf>
    <xf numFmtId="0" fontId="12" fillId="0" borderId="71" xfId="0" applyFont="1" applyBorder="1" applyAlignment="1">
      <alignment horizontal="right" vertical="center" wrapText="1" indent="2"/>
    </xf>
    <xf numFmtId="0" fontId="12" fillId="0" borderId="72" xfId="0" applyFont="1" applyBorder="1" applyAlignment="1">
      <alignment horizontal="right" vertical="center" wrapText="1" indent="2"/>
    </xf>
    <xf numFmtId="0" fontId="12" fillId="0" borderId="174" xfId="0" applyFont="1" applyBorder="1" applyAlignment="1">
      <alignment horizontal="center" vertical="center" wrapText="1"/>
    </xf>
    <xf numFmtId="0" fontId="12" fillId="0" borderId="176" xfId="0" applyFont="1" applyBorder="1" applyAlignment="1">
      <alignment horizontal="center" vertical="center" wrapText="1"/>
    </xf>
    <xf numFmtId="0" fontId="12" fillId="0" borderId="83" xfId="0" applyFont="1" applyBorder="1" applyAlignment="1">
      <alignment horizontal="right" vertical="center" wrapText="1" indent="2"/>
    </xf>
    <xf numFmtId="0" fontId="12" fillId="0" borderId="85" xfId="0" applyFont="1" applyBorder="1" applyAlignment="1">
      <alignment horizontal="right" vertical="center" wrapText="1" indent="2"/>
    </xf>
    <xf numFmtId="0" fontId="5" fillId="2" borderId="202" xfId="0" applyFont="1" applyFill="1" applyBorder="1" applyAlignment="1">
      <alignment vertical="center" wrapText="1"/>
    </xf>
    <xf numFmtId="0" fontId="5" fillId="2" borderId="204" xfId="0" applyFont="1" applyFill="1" applyBorder="1" applyAlignment="1">
      <alignment vertical="center" wrapText="1"/>
    </xf>
    <xf numFmtId="0" fontId="74" fillId="51" borderId="71" xfId="0" applyFont="1" applyFill="1" applyBorder="1" applyAlignment="1">
      <alignment horizontal="center" vertical="center" wrapText="1"/>
    </xf>
    <xf numFmtId="0" fontId="74" fillId="51" borderId="72" xfId="0" applyFont="1" applyFill="1" applyBorder="1" applyAlignment="1">
      <alignment horizontal="center" vertical="center" wrapText="1"/>
    </xf>
    <xf numFmtId="0" fontId="15" fillId="51" borderId="71" xfId="0" applyFont="1" applyFill="1" applyBorder="1" applyAlignment="1">
      <alignment horizontal="center" vertical="center"/>
    </xf>
    <xf numFmtId="0" fontId="15" fillId="51" borderId="72" xfId="0" applyFont="1" applyFill="1" applyBorder="1" applyAlignment="1">
      <alignment horizontal="center" vertical="center"/>
    </xf>
    <xf numFmtId="0" fontId="12" fillId="0" borderId="71" xfId="0" applyFont="1" applyBorder="1" applyAlignment="1">
      <alignment horizontal="center" vertical="center" wrapText="1"/>
    </xf>
    <xf numFmtId="0" fontId="12" fillId="0" borderId="72" xfId="0" applyFont="1" applyBorder="1" applyAlignment="1">
      <alignment horizontal="center" vertical="center" wrapText="1"/>
    </xf>
    <xf numFmtId="0" fontId="0" fillId="0" borderId="0" xfId="0" applyAlignment="1">
      <alignment horizontal="center"/>
    </xf>
    <xf numFmtId="0" fontId="0" fillId="0" borderId="58" xfId="0" applyBorder="1" applyAlignment="1">
      <alignment horizontal="center" vertical="center"/>
    </xf>
    <xf numFmtId="0" fontId="0" fillId="0" borderId="48" xfId="0" applyBorder="1" applyAlignment="1">
      <alignment horizontal="center" vertical="center" wrapText="1"/>
    </xf>
    <xf numFmtId="0" fontId="0" fillId="0" borderId="49" xfId="0" applyBorder="1" applyAlignment="1">
      <alignment horizontal="center" vertical="center" wrapText="1"/>
    </xf>
    <xf numFmtId="0" fontId="0" fillId="0" borderId="57" xfId="0" applyBorder="1" applyAlignment="1">
      <alignment horizontal="center" vertical="center" wrapText="1"/>
    </xf>
    <xf numFmtId="0" fontId="0" fillId="0" borderId="58" xfId="0" applyBorder="1" applyAlignment="1">
      <alignment horizontal="center" vertical="center" wrapText="1"/>
    </xf>
    <xf numFmtId="0" fontId="0" fillId="0" borderId="193" xfId="0" applyBorder="1" applyAlignment="1">
      <alignment horizontal="center" vertical="center" wrapText="1"/>
    </xf>
    <xf numFmtId="0" fontId="0" fillId="0" borderId="214" xfId="0" applyBorder="1" applyAlignment="1">
      <alignment horizontal="center" vertical="center" wrapText="1"/>
    </xf>
    <xf numFmtId="0" fontId="0" fillId="0" borderId="87" xfId="0" applyBorder="1" applyAlignment="1">
      <alignment horizontal="center" vertical="center" wrapText="1"/>
    </xf>
    <xf numFmtId="12" fontId="0" fillId="0" borderId="193" xfId="0" applyNumberFormat="1" applyBorder="1" applyAlignment="1">
      <alignment horizontal="center" vertical="center" wrapText="1"/>
    </xf>
    <xf numFmtId="12" fontId="0" fillId="0" borderId="214" xfId="0" applyNumberFormat="1" applyBorder="1" applyAlignment="1">
      <alignment horizontal="center" vertical="center" wrapText="1"/>
    </xf>
    <xf numFmtId="12" fontId="0" fillId="0" borderId="87" xfId="0" applyNumberFormat="1" applyBorder="1" applyAlignment="1">
      <alignment horizontal="center" vertical="center" wrapText="1"/>
    </xf>
    <xf numFmtId="0" fontId="0" fillId="0" borderId="193" xfId="0" applyBorder="1" applyAlignment="1">
      <alignment horizontal="center" vertical="center"/>
    </xf>
    <xf numFmtId="0" fontId="0" fillId="0" borderId="212" xfId="0" applyBorder="1" applyAlignment="1">
      <alignment horizontal="center" vertical="center"/>
    </xf>
    <xf numFmtId="0" fontId="0" fillId="0" borderId="52" xfId="0" applyBorder="1" applyAlignment="1">
      <alignment horizontal="center" vertical="center" wrapText="1"/>
    </xf>
    <xf numFmtId="0" fontId="0" fillId="0" borderId="194" xfId="0" applyBorder="1" applyAlignment="1">
      <alignment horizontal="center" vertical="center"/>
    </xf>
    <xf numFmtId="0" fontId="0" fillId="0" borderId="195" xfId="0" applyBorder="1" applyAlignment="1">
      <alignment horizontal="center" vertical="center"/>
    </xf>
    <xf numFmtId="0" fontId="70" fillId="7" borderId="83" xfId="5" applyFont="1" applyFill="1" applyBorder="1" applyAlignment="1">
      <alignment horizontal="center" vertical="center" wrapText="1"/>
    </xf>
    <xf numFmtId="0" fontId="70" fillId="7" borderId="105" xfId="5" applyFont="1" applyFill="1" applyBorder="1" applyAlignment="1">
      <alignment horizontal="center" vertical="center" wrapText="1"/>
    </xf>
    <xf numFmtId="0" fontId="70" fillId="7" borderId="84" xfId="5" applyFont="1" applyFill="1" applyBorder="1" applyAlignment="1">
      <alignment horizontal="center" vertical="center" wrapText="1"/>
    </xf>
    <xf numFmtId="0" fontId="70" fillId="7" borderId="106" xfId="5" applyFont="1" applyFill="1" applyBorder="1" applyAlignment="1">
      <alignment horizontal="center" vertical="center" wrapText="1"/>
    </xf>
    <xf numFmtId="0" fontId="70" fillId="7" borderId="194" xfId="6" applyFont="1" applyFill="1" applyBorder="1" applyAlignment="1">
      <alignment horizontal="center" vertical="center" wrapText="1" shrinkToFit="1"/>
    </xf>
    <xf numFmtId="0" fontId="70" fillId="7" borderId="195" xfId="6" applyFont="1" applyFill="1" applyBorder="1" applyAlignment="1">
      <alignment horizontal="center" vertical="center" wrapText="1" shrinkToFit="1"/>
    </xf>
    <xf numFmtId="1" fontId="70" fillId="7" borderId="84" xfId="5" applyNumberFormat="1" applyFont="1" applyFill="1" applyBorder="1" applyAlignment="1">
      <alignment horizontal="center" vertical="center" wrapText="1"/>
    </xf>
    <xf numFmtId="1" fontId="70" fillId="7" borderId="106" xfId="5" applyNumberFormat="1" applyFont="1" applyFill="1" applyBorder="1" applyAlignment="1">
      <alignment horizontal="center" vertical="center" wrapText="1"/>
    </xf>
    <xf numFmtId="0" fontId="70" fillId="7" borderId="84" xfId="6" applyFont="1" applyFill="1" applyBorder="1" applyAlignment="1">
      <alignment horizontal="center" vertical="center" wrapText="1" shrinkToFit="1"/>
    </xf>
    <xf numFmtId="0" fontId="70" fillId="7" borderId="106" xfId="6" applyFont="1" applyFill="1" applyBorder="1" applyAlignment="1">
      <alignment horizontal="center" vertical="center" wrapText="1" shrinkToFit="1"/>
    </xf>
    <xf numFmtId="0" fontId="12" fillId="7" borderId="226" xfId="5" applyFont="1" applyFill="1" applyBorder="1" applyAlignment="1">
      <alignment horizontal="center" vertical="center" wrapText="1"/>
    </xf>
    <xf numFmtId="0" fontId="12" fillId="7" borderId="199" xfId="5" applyFont="1" applyFill="1" applyBorder="1" applyAlignment="1">
      <alignment horizontal="center" vertical="center" wrapText="1"/>
    </xf>
    <xf numFmtId="0" fontId="12" fillId="7" borderId="200" xfId="5" applyFont="1" applyFill="1" applyBorder="1" applyAlignment="1">
      <alignment horizontal="center" vertical="center" wrapText="1"/>
    </xf>
    <xf numFmtId="0" fontId="12" fillId="7" borderId="84" xfId="5" applyFont="1" applyFill="1" applyBorder="1" applyAlignment="1">
      <alignment horizontal="center" vertical="center" wrapText="1"/>
    </xf>
    <xf numFmtId="0" fontId="12" fillId="7" borderId="86" xfId="5" applyFont="1" applyFill="1" applyBorder="1" applyAlignment="1">
      <alignment horizontal="center" vertical="center" wrapText="1"/>
    </xf>
    <xf numFmtId="0" fontId="12" fillId="7" borderId="195" xfId="5" applyFont="1" applyFill="1" applyBorder="1" applyAlignment="1">
      <alignment horizontal="center" vertical="center" wrapText="1"/>
    </xf>
    <xf numFmtId="0" fontId="12" fillId="7" borderId="99" xfId="5" applyFont="1" applyFill="1" applyBorder="1" applyAlignment="1">
      <alignment horizontal="center" vertical="center" wrapText="1"/>
    </xf>
    <xf numFmtId="0" fontId="12" fillId="7" borderId="109" xfId="5" applyFont="1" applyFill="1" applyBorder="1" applyAlignment="1">
      <alignment horizontal="center" vertical="center" wrapText="1"/>
    </xf>
    <xf numFmtId="0" fontId="12" fillId="7" borderId="92" xfId="5" applyFont="1" applyFill="1" applyBorder="1" applyAlignment="1">
      <alignment horizontal="center" vertical="center" wrapText="1"/>
    </xf>
    <xf numFmtId="0" fontId="12" fillId="7" borderId="51" xfId="5" applyFont="1" applyFill="1" applyBorder="1" applyAlignment="1">
      <alignment horizontal="center" vertical="center" wrapText="1"/>
    </xf>
    <xf numFmtId="0" fontId="12" fillId="7" borderId="60" xfId="5" applyFont="1" applyFill="1" applyBorder="1" applyAlignment="1">
      <alignment horizontal="center" vertical="center" wrapText="1"/>
    </xf>
    <xf numFmtId="0" fontId="12" fillId="7" borderId="83" xfId="5" applyFont="1" applyFill="1" applyBorder="1" applyAlignment="1">
      <alignment horizontal="center" vertical="center" wrapText="1"/>
    </xf>
    <xf numFmtId="0" fontId="12" fillId="7" borderId="85" xfId="5" applyFont="1" applyFill="1" applyBorder="1" applyAlignment="1">
      <alignment horizontal="center" vertical="center" wrapText="1"/>
    </xf>
    <xf numFmtId="0" fontId="0" fillId="7" borderId="226" xfId="0" applyFill="1" applyBorder="1" applyAlignment="1">
      <alignment horizontal="center" vertical="center"/>
    </xf>
    <xf numFmtId="0" fontId="0" fillId="7" borderId="199" xfId="0" applyFill="1" applyBorder="1" applyAlignment="1">
      <alignment horizontal="center" vertical="center"/>
    </xf>
    <xf numFmtId="0" fontId="0" fillId="7" borderId="193" xfId="0" applyFill="1" applyBorder="1" applyAlignment="1">
      <alignment horizontal="center" vertical="center" wrapText="1"/>
    </xf>
    <xf numFmtId="0" fontId="0" fillId="7" borderId="87" xfId="0" applyFill="1" applyBorder="1" applyAlignment="1">
      <alignment horizontal="center" vertical="center" wrapText="1"/>
    </xf>
    <xf numFmtId="0" fontId="0" fillId="7" borderId="201" xfId="0" applyFill="1" applyBorder="1" applyAlignment="1">
      <alignment horizontal="center" vertical="center" wrapText="1"/>
    </xf>
    <xf numFmtId="0" fontId="0" fillId="7" borderId="96" xfId="0" applyFill="1" applyBorder="1" applyAlignment="1">
      <alignment horizontal="center" vertical="center" wrapText="1"/>
    </xf>
    <xf numFmtId="0" fontId="0" fillId="7" borderId="51" xfId="0" applyFill="1" applyBorder="1" applyAlignment="1">
      <alignment horizontal="center" vertical="center" wrapText="1"/>
    </xf>
    <xf numFmtId="0" fontId="0" fillId="7" borderId="60" xfId="0" applyFill="1" applyBorder="1" applyAlignment="1">
      <alignment horizontal="center" vertical="center" wrapText="1"/>
    </xf>
    <xf numFmtId="0" fontId="0" fillId="7" borderId="194" xfId="0" applyFill="1" applyBorder="1" applyAlignment="1">
      <alignment horizontal="center" vertical="center" wrapText="1"/>
    </xf>
    <xf numFmtId="0" fontId="0" fillId="7" borderId="102" xfId="0" applyFill="1" applyBorder="1" applyAlignment="1">
      <alignment horizontal="center" vertical="center" wrapText="1"/>
    </xf>
    <xf numFmtId="0" fontId="0" fillId="7" borderId="84" xfId="0" applyFill="1" applyBorder="1" applyAlignment="1">
      <alignment horizontal="center" vertical="center" wrapText="1"/>
    </xf>
    <xf numFmtId="0" fontId="0" fillId="7" borderId="86" xfId="0" applyFill="1" applyBorder="1" applyAlignment="1">
      <alignment horizontal="center" vertical="center" wrapText="1"/>
    </xf>
    <xf numFmtId="0" fontId="0" fillId="7" borderId="212" xfId="0" applyFill="1" applyBorder="1" applyAlignment="1">
      <alignment horizontal="center" vertical="center" wrapText="1"/>
    </xf>
    <xf numFmtId="0" fontId="0" fillId="7" borderId="97" xfId="0" applyFill="1" applyBorder="1" applyAlignment="1">
      <alignment horizontal="center" vertical="center" wrapText="1"/>
    </xf>
    <xf numFmtId="0" fontId="0" fillId="7" borderId="100" xfId="0" applyFill="1" applyBorder="1" applyAlignment="1">
      <alignment horizontal="center" vertical="center" wrapText="1"/>
    </xf>
    <xf numFmtId="0" fontId="0" fillId="7" borderId="95" xfId="0" applyFill="1" applyBorder="1" applyAlignment="1">
      <alignment horizontal="center" vertical="center" wrapText="1"/>
    </xf>
    <xf numFmtId="0" fontId="0" fillId="7" borderId="195" xfId="0" applyFill="1" applyBorder="1" applyAlignment="1">
      <alignment horizontal="center" vertical="center" wrapText="1"/>
    </xf>
    <xf numFmtId="12" fontId="0" fillId="15" borderId="30" xfId="0" applyNumberFormat="1" applyFill="1" applyBorder="1" applyAlignment="1" applyProtection="1">
      <alignment horizontal="center" vertical="center" shrinkToFit="1"/>
      <protection locked="0"/>
    </xf>
    <xf numFmtId="12" fontId="0" fillId="15" borderId="36" xfId="0" applyNumberFormat="1" applyFill="1" applyBorder="1" applyAlignment="1" applyProtection="1">
      <alignment horizontal="center" vertical="center" shrinkToFit="1"/>
      <protection locked="0"/>
    </xf>
    <xf numFmtId="12" fontId="0" fillId="15" borderId="130" xfId="0" applyNumberFormat="1" applyFill="1" applyBorder="1" applyAlignment="1" applyProtection="1">
      <alignment horizontal="center" vertical="center" shrinkToFit="1"/>
      <protection locked="0"/>
    </xf>
    <xf numFmtId="12" fontId="0" fillId="15" borderId="132" xfId="0" applyNumberFormat="1" applyFill="1" applyBorder="1" applyAlignment="1" applyProtection="1">
      <alignment horizontal="center" vertical="center" shrinkToFit="1"/>
      <protection locked="0"/>
    </xf>
    <xf numFmtId="12" fontId="0" fillId="15" borderId="35" xfId="0" applyNumberFormat="1" applyFill="1" applyBorder="1" applyAlignment="1" applyProtection="1">
      <alignment horizontal="center" vertical="center" shrinkToFit="1"/>
      <protection locked="0"/>
    </xf>
    <xf numFmtId="0" fontId="0" fillId="2" borderId="0" xfId="0" applyFill="1" applyAlignment="1">
      <alignment horizontal="center" vertical="center" wrapText="1"/>
    </xf>
    <xf numFmtId="0" fontId="0" fillId="7" borderId="83" xfId="0" applyFill="1" applyBorder="1" applyAlignment="1">
      <alignment horizontal="center" vertical="center" wrapText="1"/>
    </xf>
    <xf numFmtId="0" fontId="0" fillId="7" borderId="85" xfId="0" applyFill="1" applyBorder="1" applyAlignment="1">
      <alignment horizontal="center" vertical="center" wrapText="1"/>
    </xf>
    <xf numFmtId="0" fontId="0" fillId="7" borderId="49" xfId="0" applyFill="1" applyBorder="1" applyAlignment="1">
      <alignment horizontal="center" vertical="center" wrapText="1"/>
    </xf>
    <xf numFmtId="0" fontId="0" fillId="7" borderId="50" xfId="0" applyFill="1" applyBorder="1" applyAlignment="1">
      <alignment horizontal="center" vertical="center" wrapText="1"/>
    </xf>
    <xf numFmtId="0" fontId="0" fillId="7" borderId="58" xfId="0" applyFill="1" applyBorder="1" applyAlignment="1">
      <alignment horizontal="center" vertical="center" wrapText="1"/>
    </xf>
    <xf numFmtId="0" fontId="0" fillId="7" borderId="59" xfId="0" applyFill="1" applyBorder="1" applyAlignment="1">
      <alignment horizontal="center" vertical="center" wrapText="1"/>
    </xf>
    <xf numFmtId="0" fontId="0" fillId="0" borderId="213" xfId="0" applyBorder="1" applyAlignment="1">
      <alignment horizontal="center" vertical="center" wrapText="1"/>
    </xf>
    <xf numFmtId="0" fontId="0" fillId="0" borderId="96" xfId="0" applyBorder="1" applyAlignment="1">
      <alignment horizontal="center" vertical="center" wrapText="1"/>
    </xf>
    <xf numFmtId="0" fontId="0" fillId="0" borderId="201" xfId="0" applyBorder="1" applyAlignment="1">
      <alignment horizontal="center" vertical="center"/>
    </xf>
    <xf numFmtId="0" fontId="0" fillId="0" borderId="199" xfId="0" applyBorder="1" applyAlignment="1">
      <alignment horizontal="center" vertical="center"/>
    </xf>
    <xf numFmtId="0" fontId="0" fillId="0" borderId="215" xfId="0" applyBorder="1" applyAlignment="1">
      <alignment horizontal="center" vertical="center" wrapText="1"/>
    </xf>
    <xf numFmtId="0" fontId="0" fillId="0" borderId="216" xfId="0" applyBorder="1" applyAlignment="1">
      <alignment horizontal="center" vertical="center" wrapText="1"/>
    </xf>
    <xf numFmtId="0" fontId="0" fillId="0" borderId="227" xfId="0" applyBorder="1" applyAlignment="1">
      <alignment horizontal="center" vertical="center" wrapText="1"/>
    </xf>
    <xf numFmtId="0" fontId="0" fillId="0" borderId="228" xfId="0" applyBorder="1" applyAlignment="1">
      <alignment horizontal="center" vertical="center" wrapText="1"/>
    </xf>
    <xf numFmtId="0" fontId="0" fillId="0" borderId="229" xfId="0" applyBorder="1" applyAlignment="1">
      <alignment horizontal="center" vertical="center" wrapText="1"/>
    </xf>
    <xf numFmtId="0" fontId="0" fillId="0" borderId="226" xfId="0" applyBorder="1" applyAlignment="1">
      <alignment horizontal="center" vertical="center"/>
    </xf>
    <xf numFmtId="0" fontId="0" fillId="0" borderId="200" xfId="0" applyBorder="1" applyAlignment="1">
      <alignment horizontal="center" vertical="center"/>
    </xf>
    <xf numFmtId="0" fontId="0" fillId="0" borderId="169" xfId="0" applyBorder="1" applyAlignment="1">
      <alignment horizontal="center" vertical="center" wrapText="1"/>
    </xf>
    <xf numFmtId="0" fontId="0" fillId="0" borderId="95" xfId="0" applyBorder="1" applyAlignment="1">
      <alignment horizontal="center" vertical="center" wrapText="1"/>
    </xf>
    <xf numFmtId="0" fontId="12" fillId="0" borderId="201" xfId="7" applyFont="1" applyBorder="1" applyAlignment="1">
      <alignment horizontal="center" vertical="center"/>
    </xf>
    <xf numFmtId="0" fontId="12" fillId="0" borderId="193" xfId="7" applyFont="1" applyBorder="1" applyAlignment="1">
      <alignment horizontal="center" vertical="center"/>
    </xf>
    <xf numFmtId="0" fontId="12" fillId="0" borderId="212" xfId="7" applyFont="1" applyBorder="1" applyAlignment="1">
      <alignment horizontal="center" vertical="center"/>
    </xf>
    <xf numFmtId="0" fontId="12" fillId="0" borderId="195" xfId="7" applyFont="1" applyBorder="1" applyAlignment="1">
      <alignment horizontal="center" vertical="center"/>
    </xf>
    <xf numFmtId="0" fontId="21" fillId="0" borderId="25" xfId="7" applyBorder="1" applyAlignment="1">
      <alignment horizontal="center" vertical="center" wrapText="1"/>
    </xf>
    <xf numFmtId="0" fontId="21" fillId="0" borderId="47" xfId="7" applyBorder="1" applyAlignment="1">
      <alignment horizontal="center" vertical="center" wrapText="1"/>
    </xf>
    <xf numFmtId="0" fontId="21" fillId="0" borderId="46" xfId="7" applyBorder="1" applyAlignment="1">
      <alignment horizontal="center" vertical="center" wrapText="1"/>
    </xf>
    <xf numFmtId="0" fontId="0" fillId="0" borderId="71" xfId="0" applyBorder="1" applyAlignment="1">
      <alignment horizontal="center" vertical="center" wrapText="1"/>
    </xf>
    <xf numFmtId="0" fontId="0" fillId="0" borderId="72" xfId="0" applyBorder="1" applyAlignment="1">
      <alignment horizontal="center" vertical="center" wrapText="1"/>
    </xf>
    <xf numFmtId="0" fontId="0" fillId="0" borderId="61" xfId="0" applyBorder="1" applyAlignment="1">
      <alignment horizontal="center" vertical="center" wrapText="1"/>
    </xf>
    <xf numFmtId="0" fontId="0" fillId="0" borderId="100" xfId="0" applyBorder="1" applyAlignment="1">
      <alignment horizontal="center" vertical="center" wrapText="1"/>
    </xf>
    <xf numFmtId="0" fontId="0" fillId="0" borderId="25" xfId="0" applyBorder="1" applyAlignment="1">
      <alignment horizontal="center" vertical="center" wrapText="1"/>
    </xf>
    <xf numFmtId="0" fontId="0" fillId="0" borderId="47" xfId="0" applyBorder="1" applyAlignment="1">
      <alignment horizontal="center" vertical="center" wrapText="1"/>
    </xf>
    <xf numFmtId="0" fontId="82" fillId="0" borderId="98" xfId="0" applyFont="1" applyBorder="1" applyAlignment="1">
      <alignment horizontal="center"/>
    </xf>
    <xf numFmtId="0" fontId="82" fillId="0" borderId="103" xfId="0" applyFont="1" applyBorder="1" applyAlignment="1">
      <alignment horizontal="center"/>
    </xf>
    <xf numFmtId="0" fontId="82" fillId="0" borderId="99" xfId="0" applyFont="1" applyBorder="1" applyAlignment="1">
      <alignment horizontal="center"/>
    </xf>
    <xf numFmtId="0" fontId="81" fillId="53" borderId="25" xfId="0" applyFont="1" applyFill="1" applyBorder="1" applyAlignment="1">
      <alignment horizontal="center"/>
    </xf>
    <xf numFmtId="0" fontId="81" fillId="53" borderId="46" xfId="0" applyFont="1" applyFill="1" applyBorder="1" applyAlignment="1">
      <alignment horizontal="center"/>
    </xf>
    <xf numFmtId="0" fontId="81" fillId="53" borderId="47" xfId="0" applyFont="1" applyFill="1" applyBorder="1" applyAlignment="1">
      <alignment horizontal="center"/>
    </xf>
    <xf numFmtId="0" fontId="82" fillId="0" borderId="228" xfId="0" applyFont="1" applyBorder="1" applyAlignment="1">
      <alignment horizontal="center"/>
    </xf>
    <xf numFmtId="0" fontId="82" fillId="0" borderId="227" xfId="0" applyFont="1" applyBorder="1" applyAlignment="1">
      <alignment horizontal="center"/>
    </xf>
    <xf numFmtId="0" fontId="82" fillId="0" borderId="216" xfId="0" applyFont="1" applyBorder="1" applyAlignment="1">
      <alignment horizontal="center"/>
    </xf>
    <xf numFmtId="0" fontId="0" fillId="2" borderId="214" xfId="2" applyNumberFormat="1" applyFont="1" applyFill="1" applyBorder="1" applyAlignment="1">
      <alignment horizontal="center" vertical="center" wrapText="1"/>
    </xf>
    <xf numFmtId="0" fontId="0" fillId="2" borderId="215" xfId="2" applyNumberFormat="1" applyFont="1" applyFill="1" applyBorder="1" applyAlignment="1">
      <alignment horizontal="center" vertical="center" wrapText="1"/>
    </xf>
    <xf numFmtId="0" fontId="0" fillId="0" borderId="74" xfId="0" applyBorder="1" applyAlignment="1">
      <alignment horizontal="center" vertical="center" wrapText="1"/>
    </xf>
    <xf numFmtId="0" fontId="0" fillId="0" borderId="75" xfId="0" applyBorder="1" applyAlignment="1">
      <alignment horizontal="center" vertical="center" wrapText="1"/>
    </xf>
    <xf numFmtId="12" fontId="0" fillId="0" borderId="74" xfId="0" applyNumberFormat="1" applyBorder="1" applyAlignment="1">
      <alignment horizontal="center" vertical="center" wrapText="1"/>
    </xf>
    <xf numFmtId="12" fontId="0" fillId="0" borderId="75" xfId="0" applyNumberFormat="1" applyBorder="1" applyAlignment="1">
      <alignment horizontal="center" vertical="center" wrapText="1"/>
    </xf>
    <xf numFmtId="12" fontId="0" fillId="0" borderId="17" xfId="0" applyNumberFormat="1" applyBorder="1" applyAlignment="1">
      <alignment horizontal="center" vertical="center" wrapText="1"/>
    </xf>
    <xf numFmtId="12" fontId="0" fillId="0" borderId="77" xfId="0" applyNumberFormat="1" applyBorder="1" applyAlignment="1">
      <alignment horizontal="center" vertical="center" wrapText="1"/>
    </xf>
    <xf numFmtId="0" fontId="0" fillId="0" borderId="17" xfId="0" applyBorder="1" applyAlignment="1">
      <alignment horizontal="center" vertical="center" wrapText="1"/>
    </xf>
    <xf numFmtId="0" fontId="0" fillId="0" borderId="73" xfId="0" applyBorder="1" applyAlignment="1">
      <alignment horizontal="center" vertical="center" wrapText="1"/>
    </xf>
    <xf numFmtId="0" fontId="0" fillId="0" borderId="16" xfId="0" applyBorder="1" applyAlignment="1">
      <alignment horizontal="center" vertical="center" wrapText="1"/>
    </xf>
    <xf numFmtId="12" fontId="0" fillId="0" borderId="73" xfId="0" applyNumberFormat="1" applyBorder="1" applyAlignment="1">
      <alignment horizontal="center" vertical="center" wrapText="1"/>
    </xf>
    <xf numFmtId="12" fontId="0" fillId="0" borderId="16" xfId="0" applyNumberFormat="1" applyBorder="1" applyAlignment="1">
      <alignment horizontal="center" vertical="center" wrapText="1"/>
    </xf>
    <xf numFmtId="0" fontId="20" fillId="2" borderId="25" xfId="5" applyFont="1" applyFill="1" applyBorder="1" applyAlignment="1">
      <alignment horizontal="center" vertical="center" wrapText="1"/>
    </xf>
    <xf numFmtId="0" fontId="20" fillId="2" borderId="46" xfId="5" applyFont="1" applyFill="1" applyBorder="1" applyAlignment="1">
      <alignment horizontal="center" vertical="center" wrapText="1"/>
    </xf>
    <xf numFmtId="0" fontId="20" fillId="2" borderId="49" xfId="5" applyFont="1" applyFill="1" applyBorder="1" applyAlignment="1">
      <alignment horizontal="center" vertical="center" wrapText="1"/>
    </xf>
    <xf numFmtId="0" fontId="20" fillId="2" borderId="47" xfId="5" applyFont="1" applyFill="1" applyBorder="1" applyAlignment="1">
      <alignment horizontal="center" vertical="center" wrapText="1"/>
    </xf>
    <xf numFmtId="0" fontId="20" fillId="0" borderId="25" xfId="5" applyFont="1" applyBorder="1" applyAlignment="1">
      <alignment horizontal="center" vertical="center" wrapText="1"/>
    </xf>
    <xf numFmtId="0" fontId="20" fillId="0" borderId="46" xfId="5" applyFont="1" applyBorder="1" applyAlignment="1">
      <alignment horizontal="center" vertical="center" wrapText="1"/>
    </xf>
    <xf numFmtId="0" fontId="20" fillId="0" borderId="47" xfId="5" applyFont="1" applyBorder="1" applyAlignment="1">
      <alignment horizontal="center" vertical="center" wrapText="1"/>
    </xf>
    <xf numFmtId="0" fontId="20" fillId="0" borderId="219" xfId="5" applyFont="1" applyBorder="1" applyAlignment="1">
      <alignment horizontal="center" vertical="center" wrapText="1"/>
    </xf>
    <xf numFmtId="0" fontId="20" fillId="0" borderId="211" xfId="5" applyFont="1" applyBorder="1" applyAlignment="1">
      <alignment horizontal="center" vertical="center" wrapText="1"/>
    </xf>
    <xf numFmtId="0" fontId="20" fillId="0" borderId="220" xfId="5" applyFont="1" applyBorder="1" applyAlignment="1">
      <alignment horizontal="center" vertical="center" wrapText="1"/>
    </xf>
    <xf numFmtId="0" fontId="20" fillId="0" borderId="55" xfId="5" applyFont="1" applyBorder="1" applyAlignment="1">
      <alignment horizontal="center" vertical="center" wrapText="1"/>
    </xf>
    <xf numFmtId="0" fontId="20" fillId="0" borderId="0" xfId="5" applyFont="1" applyAlignment="1">
      <alignment horizontal="center" vertical="center" wrapText="1"/>
    </xf>
    <xf numFmtId="0" fontId="20" fillId="0" borderId="54" xfId="5" applyFont="1" applyBorder="1" applyAlignment="1">
      <alignment horizontal="center" vertical="center" wrapText="1"/>
    </xf>
    <xf numFmtId="0" fontId="20" fillId="0" borderId="193" xfId="5" applyFont="1" applyBorder="1" applyAlignment="1">
      <alignment horizontal="center" vertical="center" wrapText="1"/>
    </xf>
    <xf numFmtId="0" fontId="20" fillId="0" borderId="194" xfId="5" applyFont="1" applyBorder="1" applyAlignment="1">
      <alignment horizontal="center" vertical="center" wrapText="1"/>
    </xf>
    <xf numFmtId="0" fontId="20" fillId="0" borderId="199" xfId="5" applyFont="1" applyBorder="1" applyAlignment="1">
      <alignment horizontal="center" vertical="center" wrapText="1"/>
    </xf>
    <xf numFmtId="0" fontId="20" fillId="0" borderId="195" xfId="5" applyFont="1" applyBorder="1" applyAlignment="1">
      <alignment horizontal="center" vertical="center" wrapText="1"/>
    </xf>
    <xf numFmtId="0" fontId="20" fillId="0" borderId="57" xfId="5" applyFont="1" applyBorder="1" applyAlignment="1">
      <alignment horizontal="center" vertical="center" wrapText="1"/>
    </xf>
    <xf numFmtId="0" fontId="20" fillId="0" borderId="58" xfId="5" applyFont="1" applyBorder="1" applyAlignment="1">
      <alignment horizontal="center" vertical="center" wrapText="1"/>
    </xf>
    <xf numFmtId="0" fontId="20" fillId="0" borderId="61" xfId="5" applyFont="1" applyBorder="1" applyAlignment="1">
      <alignment horizontal="center" vertical="center" wrapText="1"/>
    </xf>
    <xf numFmtId="164" fontId="12" fillId="15" borderId="18" xfId="2" applyFont="1" applyFill="1" applyBorder="1" applyAlignment="1" applyProtection="1">
      <alignment horizontal="center" vertical="center" wrapText="1"/>
      <protection locked="0"/>
    </xf>
  </cellXfs>
  <cellStyles count="128">
    <cellStyle name="20% - Accent1" xfId="13" xr:uid="{00000000-0005-0000-0000-000000000000}"/>
    <cellStyle name="20% - Accent2" xfId="14" xr:uid="{00000000-0005-0000-0000-000001000000}"/>
    <cellStyle name="20% - Accent3" xfId="15" xr:uid="{00000000-0005-0000-0000-000002000000}"/>
    <cellStyle name="20% - Accent4" xfId="16" xr:uid="{00000000-0005-0000-0000-000003000000}"/>
    <cellStyle name="20% - Accent5" xfId="17" xr:uid="{00000000-0005-0000-0000-000004000000}"/>
    <cellStyle name="20% - Accent6" xfId="18" xr:uid="{00000000-0005-0000-0000-000005000000}"/>
    <cellStyle name="20% - Colore 1 2" xfId="20" xr:uid="{00000000-0005-0000-0000-000006000000}"/>
    <cellStyle name="20% - Colore 1 3" xfId="19" xr:uid="{00000000-0005-0000-0000-000007000000}"/>
    <cellStyle name="20% - Colore 2 2" xfId="22" xr:uid="{00000000-0005-0000-0000-000008000000}"/>
    <cellStyle name="20% - Colore 2 3" xfId="21" xr:uid="{00000000-0005-0000-0000-000009000000}"/>
    <cellStyle name="20% - Colore 3 2" xfId="24" xr:uid="{00000000-0005-0000-0000-00000A000000}"/>
    <cellStyle name="20% - Colore 3 3" xfId="23" xr:uid="{00000000-0005-0000-0000-00000B000000}"/>
    <cellStyle name="20% - Colore 4 2" xfId="26" xr:uid="{00000000-0005-0000-0000-00000C000000}"/>
    <cellStyle name="20% - Colore 4 3" xfId="25" xr:uid="{00000000-0005-0000-0000-00000D000000}"/>
    <cellStyle name="20% - Colore 5 2" xfId="27" xr:uid="{00000000-0005-0000-0000-00000E000000}"/>
    <cellStyle name="20% - Colore 6 2" xfId="28" xr:uid="{00000000-0005-0000-0000-00000F000000}"/>
    <cellStyle name="40% - Accent1" xfId="29" xr:uid="{00000000-0005-0000-0000-000010000000}"/>
    <cellStyle name="40% - Accent2" xfId="30" xr:uid="{00000000-0005-0000-0000-000011000000}"/>
    <cellStyle name="40% - Accent3" xfId="31" xr:uid="{00000000-0005-0000-0000-000012000000}"/>
    <cellStyle name="40% - Accent4" xfId="32" xr:uid="{00000000-0005-0000-0000-000013000000}"/>
    <cellStyle name="40% - Accent5" xfId="33" xr:uid="{00000000-0005-0000-0000-000014000000}"/>
    <cellStyle name="40% - Accent6" xfId="34" xr:uid="{00000000-0005-0000-0000-000015000000}"/>
    <cellStyle name="40% - Colore 1 2" xfId="36" xr:uid="{00000000-0005-0000-0000-000016000000}"/>
    <cellStyle name="40% - Colore 1 3" xfId="35" xr:uid="{00000000-0005-0000-0000-000017000000}"/>
    <cellStyle name="40% - Colore 2 2" xfId="37" xr:uid="{00000000-0005-0000-0000-000018000000}"/>
    <cellStyle name="40% - Colore 3 2" xfId="39" xr:uid="{00000000-0005-0000-0000-000019000000}"/>
    <cellStyle name="40% - Colore 3 3" xfId="38" xr:uid="{00000000-0005-0000-0000-00001A000000}"/>
    <cellStyle name="40% - Colore 4 2" xfId="41" xr:uid="{00000000-0005-0000-0000-00001B000000}"/>
    <cellStyle name="40% - Colore 4 3" xfId="40" xr:uid="{00000000-0005-0000-0000-00001C000000}"/>
    <cellStyle name="40% - Colore 5 2" xfId="42" xr:uid="{00000000-0005-0000-0000-00001D000000}"/>
    <cellStyle name="40% - Colore 6 2" xfId="44" xr:uid="{00000000-0005-0000-0000-00001E000000}"/>
    <cellStyle name="40% - Colore 6 3" xfId="43" xr:uid="{00000000-0005-0000-0000-00001F000000}"/>
    <cellStyle name="60% - Accent1" xfId="45" xr:uid="{00000000-0005-0000-0000-000020000000}"/>
    <cellStyle name="60% - Accent2" xfId="46" xr:uid="{00000000-0005-0000-0000-000021000000}"/>
    <cellStyle name="60% - Accent3" xfId="47" xr:uid="{00000000-0005-0000-0000-000022000000}"/>
    <cellStyle name="60% - Accent4" xfId="48" xr:uid="{00000000-0005-0000-0000-000023000000}"/>
    <cellStyle name="60% - Accent5" xfId="49" xr:uid="{00000000-0005-0000-0000-000024000000}"/>
    <cellStyle name="60% - Accent6" xfId="50" xr:uid="{00000000-0005-0000-0000-000025000000}"/>
    <cellStyle name="60% - Colore 1 2" xfId="52" xr:uid="{00000000-0005-0000-0000-000026000000}"/>
    <cellStyle name="60% - Colore 1 3" xfId="51" xr:uid="{00000000-0005-0000-0000-000027000000}"/>
    <cellStyle name="60% - Colore 2 2" xfId="53" xr:uid="{00000000-0005-0000-0000-000028000000}"/>
    <cellStyle name="60% - Colore 3 2" xfId="55" xr:uid="{00000000-0005-0000-0000-000029000000}"/>
    <cellStyle name="60% - Colore 3 3" xfId="54" xr:uid="{00000000-0005-0000-0000-00002A000000}"/>
    <cellStyle name="60% - Colore 4 2" xfId="57" xr:uid="{00000000-0005-0000-0000-00002B000000}"/>
    <cellStyle name="60% - Colore 4 3" xfId="56" xr:uid="{00000000-0005-0000-0000-00002C000000}"/>
    <cellStyle name="60% - Colore 5 2" xfId="58" xr:uid="{00000000-0005-0000-0000-00002D000000}"/>
    <cellStyle name="60% - Colore 6 2" xfId="60" xr:uid="{00000000-0005-0000-0000-00002E000000}"/>
    <cellStyle name="60% - Colore 6 3" xfId="59" xr:uid="{00000000-0005-0000-0000-00002F000000}"/>
    <cellStyle name="Accent1" xfId="61" xr:uid="{00000000-0005-0000-0000-000030000000}"/>
    <cellStyle name="Accent2" xfId="62" xr:uid="{00000000-0005-0000-0000-000031000000}"/>
    <cellStyle name="Accent3" xfId="63" xr:uid="{00000000-0005-0000-0000-000032000000}"/>
    <cellStyle name="Accent4" xfId="64" xr:uid="{00000000-0005-0000-0000-000033000000}"/>
    <cellStyle name="Accent5" xfId="65" xr:uid="{00000000-0005-0000-0000-000034000000}"/>
    <cellStyle name="Accent6" xfId="66" xr:uid="{00000000-0005-0000-0000-000035000000}"/>
    <cellStyle name="Bad" xfId="67" xr:uid="{00000000-0005-0000-0000-000036000000}"/>
    <cellStyle name="Calcolo 2" xfId="68" xr:uid="{00000000-0005-0000-0000-000037000000}"/>
    <cellStyle name="Calcolo 2 2" xfId="107" xr:uid="{00000000-0005-0000-0000-000038000000}"/>
    <cellStyle name="Colore 1 2" xfId="70" xr:uid="{00000000-0005-0000-0000-000039000000}"/>
    <cellStyle name="Colore 1 3" xfId="69" xr:uid="{00000000-0005-0000-0000-00003A000000}"/>
    <cellStyle name="Colore 2 2" xfId="71" xr:uid="{00000000-0005-0000-0000-00003B000000}"/>
    <cellStyle name="Colore 3 2" xfId="72" xr:uid="{00000000-0005-0000-0000-00003C000000}"/>
    <cellStyle name="Colore 4 2" xfId="74" xr:uid="{00000000-0005-0000-0000-00003D000000}"/>
    <cellStyle name="Colore 4 3" xfId="73" xr:uid="{00000000-0005-0000-0000-00003E000000}"/>
    <cellStyle name="Colore 5 2" xfId="75" xr:uid="{00000000-0005-0000-0000-00003F000000}"/>
    <cellStyle name="Colore 6 2" xfId="76" xr:uid="{00000000-0005-0000-0000-000040000000}"/>
    <cellStyle name="Comma" xfId="2" builtinId="3"/>
    <cellStyle name="Currency" xfId="8" builtinId="4"/>
    <cellStyle name="Euro" xfId="3" xr:uid="{00000000-0005-0000-0000-000043000000}"/>
    <cellStyle name="Explanatory Text" xfId="77" xr:uid="{00000000-0005-0000-0000-000044000000}"/>
    <cellStyle name="Good" xfId="78" xr:uid="{00000000-0005-0000-0000-000045000000}"/>
    <cellStyle name="Heading 1" xfId="79" xr:uid="{00000000-0005-0000-0000-000046000000}"/>
    <cellStyle name="Heading 2" xfId="80" xr:uid="{00000000-0005-0000-0000-000047000000}"/>
    <cellStyle name="Heading 3" xfId="81" xr:uid="{00000000-0005-0000-0000-000048000000}"/>
    <cellStyle name="Heading 4" xfId="82" xr:uid="{00000000-0005-0000-0000-000049000000}"/>
    <cellStyle name="Input 2" xfId="83" xr:uid="{00000000-0005-0000-0000-00004A000000}"/>
    <cellStyle name="Input 3" xfId="108" xr:uid="{00000000-0005-0000-0000-00004B000000}"/>
    <cellStyle name="Migliaia (0)_0100_SA_12100_000_000" xfId="10" xr:uid="{00000000-0005-0000-0000-00004D000000}"/>
    <cellStyle name="Migliaia 2" xfId="115" xr:uid="{00000000-0005-0000-0000-00004E000000}"/>
    <cellStyle name="Neutral" xfId="84" xr:uid="{00000000-0005-0000-0000-00004F000000}"/>
    <cellStyle name="Neutrale 2" xfId="85" xr:uid="{00000000-0005-0000-0000-000050000000}"/>
    <cellStyle name="Normal" xfId="0" builtinId="0"/>
    <cellStyle name="Normal 2" xfId="121" xr:uid="{77D18A06-F4C9-4BB5-8CAD-6F7327980384}"/>
    <cellStyle name="Normal 3" xfId="122" xr:uid="{C4BD58A3-343F-46BE-B300-B8D3C0A45B61}"/>
    <cellStyle name="Normal 3 2" xfId="126" xr:uid="{D6631A8F-30F5-40E9-B22E-61F3B7D66CA4}"/>
    <cellStyle name="Normal 4" xfId="123" xr:uid="{2F918E9A-65B5-460F-9676-9053AC0FC40A}"/>
    <cellStyle name="Normal 4 2" xfId="127" xr:uid="{52D48196-ADE7-4503-A58C-672CEEF29C9D}"/>
    <cellStyle name="Normale 2" xfId="5" xr:uid="{00000000-0005-0000-0000-000053000000}"/>
    <cellStyle name="Normale 2 2" xfId="6" xr:uid="{00000000-0005-0000-0000-000054000000}"/>
    <cellStyle name="Normale 3" xfId="7" xr:uid="{00000000-0005-0000-0000-000055000000}"/>
    <cellStyle name="Normale 3 2" xfId="86" xr:uid="{00000000-0005-0000-0000-000056000000}"/>
    <cellStyle name="Normale 4" xfId="9" xr:uid="{00000000-0005-0000-0000-000057000000}"/>
    <cellStyle name="Normale 5" xfId="116" xr:uid="{E33CE077-0769-4A51-B596-3AF3E2E424DB}"/>
    <cellStyle name="Normálna 2" xfId="124" xr:uid="{21401A29-9B3A-43B4-8A69-67D71C536020}"/>
    <cellStyle name="Normálne 2" xfId="120" xr:uid="{FA042971-63DE-47DE-8466-E91E3E0513F4}"/>
    <cellStyle name="normálne 2 2" xfId="117" xr:uid="{2FF234D3-21C2-4AC6-8067-DA907E92B6D1}"/>
    <cellStyle name="Normálne 2 3" xfId="125" xr:uid="{B197C592-5FE7-497C-B45B-63317F56C2CC}"/>
    <cellStyle name="normálne 5" xfId="118" xr:uid="{224F97FB-C2AC-4E66-9110-D6C94A696029}"/>
    <cellStyle name="normálne 9" xfId="119" xr:uid="{D29EA25F-87F2-4727-9CC2-1FA733056A72}"/>
    <cellStyle name="Nota 2" xfId="87" xr:uid="{00000000-0005-0000-0000-000058000000}"/>
    <cellStyle name="Nota 2 2" xfId="12" xr:uid="{00000000-0005-0000-0000-000059000000}"/>
    <cellStyle name="Output 2" xfId="89" xr:uid="{00000000-0005-0000-0000-00005A000000}"/>
    <cellStyle name="Output 2 2" xfId="110" xr:uid="{00000000-0005-0000-0000-00005B000000}"/>
    <cellStyle name="Output 3" xfId="88" xr:uid="{00000000-0005-0000-0000-00005C000000}"/>
    <cellStyle name="Output 4" xfId="109" xr:uid="{00000000-0005-0000-0000-00005D000000}"/>
    <cellStyle name="Percent" xfId="1" builtinId="5"/>
    <cellStyle name="Testo descrittivo 2" xfId="90" xr:uid="{00000000-0005-0000-0000-00005F000000}"/>
    <cellStyle name="Title" xfId="91" xr:uid="{00000000-0005-0000-0000-000060000000}"/>
    <cellStyle name="Titolo 1 2" xfId="94" xr:uid="{00000000-0005-0000-0000-000061000000}"/>
    <cellStyle name="Titolo 1 3" xfId="93" xr:uid="{00000000-0005-0000-0000-000062000000}"/>
    <cellStyle name="Titolo 2 2" xfId="96" xr:uid="{00000000-0005-0000-0000-000063000000}"/>
    <cellStyle name="Titolo 2 3" xfId="95" xr:uid="{00000000-0005-0000-0000-000064000000}"/>
    <cellStyle name="Titolo 3 2" xfId="98" xr:uid="{00000000-0005-0000-0000-000065000000}"/>
    <cellStyle name="Titolo 3 3" xfId="97" xr:uid="{00000000-0005-0000-0000-000066000000}"/>
    <cellStyle name="Titolo 4 2" xfId="100" xr:uid="{00000000-0005-0000-0000-000067000000}"/>
    <cellStyle name="Titolo 4 3" xfId="99" xr:uid="{00000000-0005-0000-0000-000068000000}"/>
    <cellStyle name="Titolo 5" xfId="101" xr:uid="{00000000-0005-0000-0000-000069000000}"/>
    <cellStyle name="Titolo 6" xfId="92" xr:uid="{00000000-0005-0000-0000-00006A000000}"/>
    <cellStyle name="Total" xfId="102" xr:uid="{00000000-0005-0000-0000-00006B000000}"/>
    <cellStyle name="Total 2" xfId="111" xr:uid="{00000000-0005-0000-0000-00006C000000}"/>
    <cellStyle name="Totale 2" xfId="104" xr:uid="{00000000-0005-0000-0000-00006D000000}"/>
    <cellStyle name="Totale 2 2" xfId="113" xr:uid="{00000000-0005-0000-0000-00006E000000}"/>
    <cellStyle name="Totale 3" xfId="103" xr:uid="{00000000-0005-0000-0000-00006F000000}"/>
    <cellStyle name="Totale 4" xfId="112" xr:uid="{00000000-0005-0000-0000-000070000000}"/>
    <cellStyle name="Valore non valido 2" xfId="105" xr:uid="{00000000-0005-0000-0000-000071000000}"/>
    <cellStyle name="Valore valido 2" xfId="106" xr:uid="{00000000-0005-0000-0000-000072000000}"/>
    <cellStyle name="Valuta (0)_0100_SA_12100_000_000" xfId="11" xr:uid="{00000000-0005-0000-0000-000074000000}"/>
    <cellStyle name="Valuta 2" xfId="114" xr:uid="{00000000-0005-0000-0000-000075000000}"/>
    <cellStyle name="표준 2" xfId="4" xr:uid="{00000000-0005-0000-0000-000076000000}"/>
  </cellStyles>
  <dxfs count="350">
    <dxf>
      <font>
        <color theme="0" tint="-0.24994659260841701"/>
      </font>
    </dxf>
    <dxf>
      <font>
        <color theme="0" tint="-0.14996795556505021"/>
      </font>
    </dxf>
    <dxf>
      <font>
        <color theme="0" tint="-0.34998626667073579"/>
      </font>
    </dxf>
    <dxf>
      <font>
        <color theme="0" tint="-0.14996795556505021"/>
      </font>
    </dxf>
    <dxf>
      <font>
        <color theme="0" tint="-0.14996795556505021"/>
      </font>
    </dxf>
    <dxf>
      <font>
        <color theme="0" tint="-0.34998626667073579"/>
      </font>
    </dxf>
    <dxf>
      <font>
        <color theme="0" tint="-0.14996795556505021"/>
      </font>
    </dxf>
    <dxf>
      <font>
        <color theme="0" tint="-0.24994659260841701"/>
      </font>
    </dxf>
    <dxf>
      <font>
        <color theme="0" tint="-0.14996795556505021"/>
      </font>
    </dxf>
    <dxf>
      <font>
        <color theme="0" tint="-0.14996795556505021"/>
      </font>
    </dxf>
    <dxf>
      <font>
        <color theme="0" tint="-0.14996795556505021"/>
      </font>
    </dxf>
    <dxf>
      <font>
        <color theme="0" tint="-0.14996795556505021"/>
      </font>
    </dxf>
    <dxf>
      <font>
        <color theme="0" tint="-0.34998626667073579"/>
      </font>
    </dxf>
    <dxf>
      <font>
        <color theme="0" tint="-0.14996795556505021"/>
      </font>
    </dxf>
    <dxf>
      <font>
        <color theme="0" tint="-0.14996795556505021"/>
      </font>
    </dxf>
    <dxf>
      <font>
        <color theme="0" tint="-0.14996795556505021"/>
      </font>
    </dxf>
    <dxf>
      <font>
        <color theme="0" tint="-0.24994659260841701"/>
      </font>
    </dxf>
    <dxf>
      <font>
        <color theme="0" tint="-0.14996795556505021"/>
      </font>
    </dxf>
    <dxf>
      <font>
        <color theme="0" tint="-0.24994659260841701"/>
      </font>
    </dxf>
    <dxf>
      <font>
        <color theme="0" tint="-0.24994659260841701"/>
      </font>
    </dxf>
    <dxf>
      <font>
        <color theme="0" tint="-0.34998626667073579"/>
      </font>
    </dxf>
    <dxf>
      <font>
        <color theme="0" tint="-0.24994659260841701"/>
      </font>
    </dxf>
    <dxf>
      <font>
        <color theme="0" tint="-0.24994659260841701"/>
      </font>
    </dxf>
    <dxf>
      <font>
        <color theme="0" tint="-0.34998626667073579"/>
      </font>
    </dxf>
    <dxf>
      <font>
        <color theme="0" tint="-0.34998626667073579"/>
      </font>
    </dxf>
    <dxf>
      <font>
        <color theme="0" tint="-0.24994659260841701"/>
      </font>
    </dxf>
    <dxf>
      <font>
        <color theme="0" tint="-0.24994659260841701"/>
      </font>
    </dxf>
    <dxf>
      <font>
        <color theme="0" tint="-0.34998626667073579"/>
      </font>
    </dxf>
    <dxf>
      <font>
        <color theme="0" tint="-0.24994659260841701"/>
      </font>
    </dxf>
    <dxf>
      <font>
        <color theme="0" tint="-0.24994659260841701"/>
      </font>
    </dxf>
    <dxf>
      <font>
        <color theme="0" tint="-0.34998626667073579"/>
      </font>
    </dxf>
    <dxf>
      <font>
        <color theme="0" tint="-0.24994659260841701"/>
      </font>
    </dxf>
    <dxf>
      <font>
        <color theme="0" tint="-0.24994659260841701"/>
      </font>
    </dxf>
    <dxf>
      <font>
        <color theme="0" tint="-0.34998626667073579"/>
      </font>
    </dxf>
    <dxf>
      <font>
        <color theme="0" tint="-0.34998626667073579"/>
      </font>
    </dxf>
    <dxf>
      <font>
        <color theme="0" tint="-0.24994659260841701"/>
      </font>
    </dxf>
    <dxf>
      <font>
        <color theme="0" tint="-0.24994659260841701"/>
      </font>
    </dxf>
    <dxf>
      <font>
        <color theme="0" tint="-0.34998626667073579"/>
      </font>
    </dxf>
    <dxf>
      <font>
        <color theme="0" tint="-0.24994659260841701"/>
      </font>
    </dxf>
    <dxf>
      <font>
        <color theme="0" tint="-0.24994659260841701"/>
      </font>
    </dxf>
    <dxf>
      <font>
        <color theme="0" tint="-0.34998626667073579"/>
      </font>
    </dxf>
    <dxf>
      <font>
        <color theme="0" tint="-0.24994659260841701"/>
      </font>
    </dxf>
    <dxf>
      <font>
        <color theme="0" tint="-0.24994659260841701"/>
      </font>
    </dxf>
    <dxf>
      <font>
        <color theme="0" tint="-0.34998626667073579"/>
      </font>
    </dxf>
    <dxf>
      <font>
        <color theme="0" tint="-0.24994659260841701"/>
      </font>
    </dxf>
    <dxf>
      <font>
        <color theme="0" tint="-0.34998626667073579"/>
      </font>
    </dxf>
    <dxf>
      <font>
        <color theme="0" tint="-0.24994659260841701"/>
      </font>
    </dxf>
    <dxf>
      <font>
        <color theme="0" tint="-0.34998626667073579"/>
      </font>
    </dxf>
    <dxf>
      <font>
        <color theme="0" tint="-0.24994659260841701"/>
      </font>
    </dxf>
    <dxf>
      <font>
        <color theme="0" tint="-0.34998626667073579"/>
      </font>
    </dxf>
    <dxf>
      <font>
        <color theme="0" tint="-0.34998626667073579"/>
      </font>
    </dxf>
    <dxf>
      <font>
        <color theme="0" tint="-0.24994659260841701"/>
      </font>
    </dxf>
    <dxf>
      <font>
        <color theme="0" tint="-0.34998626667073579"/>
      </font>
    </dxf>
    <dxf>
      <font>
        <color theme="0" tint="-0.24994659260841701"/>
      </font>
    </dxf>
    <dxf>
      <font>
        <color theme="0" tint="-0.34998626667073579"/>
      </font>
    </dxf>
    <dxf>
      <font>
        <color theme="0" tint="-0.24994659260841701"/>
      </font>
    </dxf>
    <dxf>
      <font>
        <color theme="0" tint="-0.34998626667073579"/>
      </font>
    </dxf>
    <dxf>
      <font>
        <color theme="0" tint="-0.24994659260841701"/>
      </font>
    </dxf>
    <dxf>
      <font>
        <color theme="0" tint="-0.34998626667073579"/>
      </font>
    </dxf>
    <dxf>
      <font>
        <color theme="0" tint="-0.24994659260841701"/>
      </font>
    </dxf>
    <dxf>
      <font>
        <color theme="0" tint="-0.34998626667073579"/>
      </font>
    </dxf>
    <dxf>
      <font>
        <color theme="0" tint="-0.24994659260841701"/>
      </font>
    </dxf>
    <dxf>
      <font>
        <color theme="0" tint="-0.34998626667073579"/>
      </font>
    </dxf>
    <dxf>
      <font>
        <color theme="0" tint="-0.24994659260841701"/>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24994659260841701"/>
      </font>
    </dxf>
    <dxf>
      <font>
        <color theme="0" tint="-0.24994659260841701"/>
      </font>
    </dxf>
    <dxf>
      <font>
        <color theme="0" tint="-0.24994659260841701"/>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24994659260841701"/>
      </font>
    </dxf>
    <dxf>
      <font>
        <color theme="0" tint="-0.24994659260841701"/>
      </font>
    </dxf>
    <dxf>
      <font>
        <color theme="0" tint="-0.24994659260841701"/>
      </font>
    </dxf>
    <dxf>
      <font>
        <color theme="0" tint="-0.34998626667073579"/>
      </font>
    </dxf>
    <dxf>
      <font>
        <color theme="0" tint="-0.34998626667073579"/>
      </font>
    </dxf>
    <dxf>
      <font>
        <color theme="0" tint="-0.14996795556505021"/>
      </font>
    </dxf>
    <dxf>
      <font>
        <color theme="0" tint="-0.24994659260841701"/>
      </font>
    </dxf>
    <dxf>
      <font>
        <color theme="0" tint="-0.14996795556505021"/>
      </font>
    </dxf>
    <dxf>
      <font>
        <color theme="0" tint="-0.14996795556505021"/>
      </font>
    </dxf>
    <dxf>
      <font>
        <color theme="0" tint="-0.24994659260841701"/>
      </font>
    </dxf>
    <dxf>
      <font>
        <color theme="0" tint="-0.24994659260841701"/>
      </font>
    </dxf>
    <dxf>
      <font>
        <color theme="0" tint="-0.14996795556505021"/>
      </font>
    </dxf>
    <dxf>
      <font>
        <color theme="0" tint="-0.14996795556505021"/>
      </font>
    </dxf>
    <dxf>
      <font>
        <color theme="0" tint="-0.14996795556505021"/>
      </font>
    </dxf>
    <dxf>
      <font>
        <color theme="0" tint="-0.24994659260841701"/>
      </font>
    </dxf>
    <dxf>
      <font>
        <color theme="0" tint="-0.24994659260841701"/>
      </font>
    </dxf>
    <dxf>
      <font>
        <color theme="0" tint="-0.1499679555650502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14996795556505021"/>
      </font>
    </dxf>
    <dxf>
      <font>
        <color theme="0" tint="-0.14996795556505021"/>
      </font>
    </dxf>
    <dxf>
      <font>
        <color theme="0" tint="-0.14996795556505021"/>
      </font>
    </dxf>
    <dxf>
      <font>
        <color theme="0" tint="-0.14996795556505021"/>
      </font>
    </dxf>
    <dxf>
      <font>
        <color rgb="FFFF0000"/>
      </font>
    </dxf>
    <dxf>
      <font>
        <color theme="0" tint="-0.14996795556505021"/>
      </font>
    </dxf>
    <dxf>
      <font>
        <color rgb="FFFF0000"/>
      </font>
    </dxf>
    <dxf>
      <font>
        <color theme="0" tint="-0.14996795556505021"/>
      </font>
    </dxf>
    <dxf>
      <font>
        <color theme="0" tint="-0.14996795556505021"/>
      </font>
    </dxf>
    <dxf>
      <font>
        <color rgb="FFFF0000"/>
      </font>
    </dxf>
    <dxf>
      <font>
        <color theme="0" tint="-0.14996795556505021"/>
      </font>
    </dxf>
    <dxf>
      <font>
        <color rgb="FFFF0000"/>
      </font>
    </dxf>
    <dxf>
      <font>
        <color theme="0" tint="-0.14996795556505021"/>
      </font>
    </dxf>
    <dxf>
      <font>
        <color rgb="FFFF0000"/>
      </font>
    </dxf>
    <dxf>
      <font>
        <color theme="0" tint="-0.14996795556505021"/>
      </font>
    </dxf>
    <dxf>
      <font>
        <color rgb="FFFF0000"/>
      </font>
    </dxf>
    <dxf>
      <font>
        <color theme="0" tint="-0.14996795556505021"/>
      </font>
    </dxf>
    <dxf>
      <font>
        <color rgb="FFFF0000"/>
      </font>
    </dxf>
    <dxf>
      <font>
        <color theme="0" tint="-0.14996795556505021"/>
      </font>
    </dxf>
    <dxf>
      <font>
        <color rgb="FFFF0000"/>
      </font>
    </dxf>
    <dxf>
      <font>
        <color theme="0" tint="-0.14996795556505021"/>
      </font>
    </dxf>
    <dxf>
      <font>
        <color rgb="FFFF0000"/>
      </font>
    </dxf>
    <dxf>
      <font>
        <color theme="0" tint="-0.14996795556505021"/>
      </font>
    </dxf>
    <dxf>
      <font>
        <color rgb="FFFF0000"/>
      </font>
    </dxf>
    <dxf>
      <font>
        <color theme="0" tint="-0.14996795556505021"/>
      </font>
    </dxf>
    <dxf>
      <font>
        <color rgb="FFFF0000"/>
      </font>
    </dxf>
    <dxf>
      <font>
        <color theme="0" tint="-0.14996795556505021"/>
      </font>
    </dxf>
    <dxf>
      <font>
        <color rgb="FFFF0000"/>
      </font>
    </dxf>
    <dxf>
      <font>
        <color theme="0" tint="-0.14996795556505021"/>
      </font>
    </dxf>
    <dxf>
      <font>
        <color rgb="FFFF0000"/>
      </font>
    </dxf>
    <dxf>
      <font>
        <color theme="0" tint="-0.14996795556505021"/>
      </font>
    </dxf>
    <dxf>
      <font>
        <color theme="0" tint="-0.14996795556505021"/>
      </font>
    </dxf>
    <dxf>
      <font>
        <color rgb="FFFF0000"/>
      </font>
    </dxf>
    <dxf>
      <font>
        <color theme="0" tint="-0.14996795556505021"/>
      </font>
    </dxf>
    <dxf>
      <font>
        <color rgb="FFFF0000"/>
      </font>
    </dxf>
    <dxf>
      <font>
        <color theme="0" tint="-0.14996795556505021"/>
      </font>
    </dxf>
    <dxf>
      <font>
        <color theme="0" tint="-0.14996795556505021"/>
      </font>
    </dxf>
    <dxf>
      <font>
        <color rgb="FFFF0000"/>
      </font>
    </dxf>
    <dxf>
      <font>
        <color theme="0" tint="-0.14996795556505021"/>
      </font>
    </dxf>
    <dxf>
      <font>
        <color rgb="FFFF0000"/>
      </font>
    </dxf>
    <dxf>
      <font>
        <color theme="0" tint="-0.14996795556505021"/>
      </font>
    </dxf>
    <dxf>
      <font>
        <color rgb="FFFF0000"/>
      </font>
    </dxf>
    <dxf>
      <font>
        <color theme="0" tint="-0.14996795556505021"/>
      </font>
    </dxf>
    <dxf>
      <font>
        <color rgb="FFFF0000"/>
      </font>
    </dxf>
    <dxf>
      <font>
        <color rgb="FFFF0000"/>
      </font>
    </dxf>
    <dxf>
      <font>
        <color theme="0" tint="-0.14996795556505021"/>
      </font>
    </dxf>
    <dxf>
      <font>
        <color rgb="FFFF0000"/>
      </font>
    </dxf>
    <dxf>
      <font>
        <color theme="0" tint="-0.14996795556505021"/>
      </font>
    </dxf>
    <dxf>
      <font>
        <color rgb="FFFF0000"/>
      </font>
    </dxf>
    <dxf>
      <font>
        <color theme="0" tint="-0.14996795556505021"/>
      </font>
    </dxf>
    <dxf>
      <font>
        <color rgb="FFFF0000"/>
      </font>
    </dxf>
    <dxf>
      <font>
        <color rgb="FFFF0000"/>
      </font>
    </dxf>
    <dxf>
      <font>
        <color theme="0" tint="-0.14996795556505021"/>
      </font>
    </dxf>
    <dxf>
      <font>
        <color rgb="FFFF0000"/>
      </font>
    </dxf>
    <dxf>
      <font>
        <color theme="0" tint="-0.14996795556505021"/>
      </font>
    </dxf>
    <dxf>
      <font>
        <color theme="0" tint="-0.14996795556505021"/>
      </font>
    </dxf>
    <dxf>
      <font>
        <color rgb="FFFF0000"/>
      </font>
    </dxf>
    <dxf>
      <font>
        <color theme="0" tint="-0.14996795556505021"/>
      </font>
    </dxf>
    <dxf>
      <font>
        <color rgb="FFFF0000"/>
      </font>
    </dxf>
    <dxf>
      <font>
        <color theme="0" tint="-0.14996795556505021"/>
      </font>
    </dxf>
    <dxf>
      <font>
        <color rgb="FFFF0000"/>
      </font>
    </dxf>
    <dxf>
      <font>
        <color theme="0" tint="-0.14996795556505021"/>
      </font>
    </dxf>
    <dxf>
      <font>
        <color rgb="FFFF0000"/>
      </font>
    </dxf>
    <dxf>
      <font>
        <color theme="0" tint="-0.14996795556505021"/>
      </font>
    </dxf>
    <dxf>
      <font>
        <color rgb="FFFF0000"/>
      </font>
    </dxf>
    <dxf>
      <font>
        <color theme="0" tint="-0.14996795556505021"/>
      </font>
    </dxf>
    <dxf>
      <font>
        <color rgb="FFFF0000"/>
      </font>
    </dxf>
    <dxf>
      <font>
        <color theme="0" tint="-0.14996795556505021"/>
      </font>
    </dxf>
    <dxf>
      <font>
        <color theme="0" tint="-0.14996795556505021"/>
      </font>
    </dxf>
    <dxf>
      <font>
        <color theme="0" tint="-0.14996795556505021"/>
      </font>
    </dxf>
    <dxf>
      <font>
        <color theme="0" tint="-0.14996795556505021"/>
      </font>
    </dxf>
    <dxf>
      <font>
        <color theme="0" tint="-0.2499465926084170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1499679555650502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24994659260841701"/>
      </font>
    </dxf>
    <dxf>
      <font>
        <color theme="0" tint="-0.14996795556505021"/>
      </font>
    </dxf>
    <dxf>
      <font>
        <color theme="0" tint="-0.24994659260841701"/>
      </font>
    </dxf>
    <dxf>
      <font>
        <color theme="0" tint="-0.14996795556505021"/>
      </font>
    </dxf>
    <dxf>
      <font>
        <color theme="0" tint="-0.24994659260841701"/>
      </font>
    </dxf>
    <dxf>
      <font>
        <color theme="0" tint="-0.14996795556505021"/>
      </font>
    </dxf>
    <dxf>
      <font>
        <color theme="0" tint="-0.24994659260841701"/>
      </font>
    </dxf>
    <dxf>
      <font>
        <color theme="0" tint="-0.14996795556505021"/>
      </font>
    </dxf>
    <dxf>
      <font>
        <color theme="0" tint="-0.1499679555650502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ill>
        <patternFill>
          <bgColor theme="9" tint="0.39994506668294322"/>
        </patternFill>
      </fill>
    </dxf>
    <dxf>
      <fill>
        <patternFill>
          <bgColor theme="9" tint="0.39994506668294322"/>
        </patternFill>
      </fill>
    </dxf>
    <dxf>
      <fill>
        <patternFill>
          <bgColor theme="9" tint="0.39994506668294322"/>
        </patternFill>
      </fill>
    </dxf>
  </dxfs>
  <tableStyles count="0" defaultTableStyle="TableStyleMedium2" defaultPivotStyle="PivotStyleLight16"/>
  <colors>
    <mruColors>
      <color rgb="FF37FF8D"/>
      <color rgb="FF3BFF3B"/>
      <color rgb="FFE2EFDA"/>
      <color rgb="FF99FF99"/>
      <color rgb="FFD1FFD1"/>
      <color rgb="FFCCFF99"/>
      <color rgb="FF00CC00"/>
      <color rgb="FFCCFF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966069147504179"/>
          <c:y val="5.0866966494440127E-2"/>
          <c:w val="0.78353541445289432"/>
          <c:h val="0.91488883020487033"/>
        </c:manualLayout>
      </c:layout>
      <c:barChart>
        <c:barDir val="bar"/>
        <c:grouping val="clustered"/>
        <c:varyColors val="0"/>
        <c:ser>
          <c:idx val="0"/>
          <c:order val="0"/>
          <c:spPr>
            <a:solidFill>
              <a:srgbClr val="FFC000"/>
            </a:solidFill>
            <a:ln>
              <a:solidFill>
                <a:schemeClr val="tx1"/>
              </a:solidFill>
            </a:ln>
            <a:effectLst/>
          </c:spPr>
          <c:invertIfNegative val="0"/>
          <c:cat>
            <c:strRef>
              <c:f>'Proposal Cost Report'!$C$4:$C$41</c:f>
              <c:strCache>
                <c:ptCount val="38"/>
                <c:pt idx="0">
                  <c:v>Skid Structures Supply</c:v>
                </c:pt>
                <c:pt idx="1">
                  <c:v>Aux. Structure Supply</c:v>
                </c:pt>
                <c:pt idx="2">
                  <c:v>Skid Structures Fabrication</c:v>
                </c:pt>
                <c:pt idx="3">
                  <c:v>Aux. Structure Fabrication</c:v>
                </c:pt>
                <c:pt idx="4">
                  <c:v>Carbon Steel Piping Supply</c:v>
                </c:pt>
                <c:pt idx="5">
                  <c:v>Stainless Steel Piping Supply</c:v>
                </c:pt>
                <c:pt idx="6">
                  <c:v>Duplex Stainless Steel Piping Supply</c:v>
                </c:pt>
                <c:pt idx="7">
                  <c:v>Incoloy 625/685 Piping Supply</c:v>
                </c:pt>
                <c:pt idx="8">
                  <c:v>Carbon Steel Piping Fabrication</c:v>
                </c:pt>
                <c:pt idx="9">
                  <c:v>Stainless Steel Piping Fabrication</c:v>
                </c:pt>
                <c:pt idx="10">
                  <c:v>Duplex Stainless Steel Piping Fabrication</c:v>
                </c:pt>
                <c:pt idx="11">
                  <c:v>Incoloy 625/685 Piping Fabrication</c:v>
                </c:pt>
                <c:pt idx="12">
                  <c:v>NDE &amp; Hydrotest &amp; PWHT</c:v>
                </c:pt>
                <c:pt idx="13">
                  <c:v>Manual Valve Supply</c:v>
                </c:pt>
                <c:pt idx="14">
                  <c:v>Instrumentation Supply</c:v>
                </c:pt>
                <c:pt idx="15">
                  <c:v>Equipment Supply</c:v>
                </c:pt>
                <c:pt idx="16">
                  <c:v>Machinery Supply</c:v>
                </c:pt>
                <c:pt idx="17">
                  <c:v>Accessiories</c:v>
                </c:pt>
                <c:pt idx="18">
                  <c:v>Skid Structures Installation</c:v>
                </c:pt>
                <c:pt idx="19">
                  <c:v>Piping Installation</c:v>
                </c:pt>
                <c:pt idx="20">
                  <c:v>Valve Installation</c:v>
                </c:pt>
                <c:pt idx="21">
                  <c:v>Equipment Installation</c:v>
                </c:pt>
                <c:pt idx="22">
                  <c:v>Machinery Installation</c:v>
                </c:pt>
                <c:pt idx="23">
                  <c:v>Assembling&amp;Dismalting</c:v>
                </c:pt>
                <c:pt idx="24">
                  <c:v>Packing</c:v>
                </c:pt>
                <c:pt idx="25">
                  <c:v>Collaudo</c:v>
                </c:pt>
                <c:pt idx="26">
                  <c:v>Instrument assembly</c:v>
                </c:pt>
                <c:pt idx="27">
                  <c:v>Painting</c:v>
                </c:pt>
                <c:pt idx="28">
                  <c:v>Insultation</c:v>
                </c:pt>
                <c:pt idx="29">
                  <c:v>Trasporti Interni</c:v>
                </c:pt>
                <c:pt idx="30">
                  <c:v>ENGINEERING ESTERNA</c:v>
                </c:pt>
                <c:pt idx="31">
                  <c:v>Catalizzatore DEOXO</c:v>
                </c:pt>
                <c:pt idx="32">
                  <c:v>Setacci Molecolari Dryer</c:v>
                </c:pt>
                <c:pt idx="34">
                  <c:v>ENGINEERING INTERNA</c:v>
                </c:pt>
                <c:pt idx="35">
                  <c:v>QUALITA</c:v>
                </c:pt>
                <c:pt idx="36">
                  <c:v>ACQUISTI</c:v>
                </c:pt>
                <c:pt idx="37">
                  <c:v>CERTIFICAZIONI</c:v>
                </c:pt>
              </c:strCache>
            </c:strRef>
          </c:cat>
          <c:val>
            <c:numRef>
              <c:f>'Proposal Cost Report'!$H$4:$H$41</c:f>
              <c:numCache>
                <c:formatCode>_-"€"\ * #,##0.00_-;\-"€"\ * #,##0.00_-;_-"€"\ * "-"??_-;_-@_-</c:formatCode>
                <c:ptCount val="38"/>
                <c:pt idx="0">
                  <c:v>58466.24141215963</c:v>
                </c:pt>
                <c:pt idx="1">
                  <c:v>0</c:v>
                </c:pt>
                <c:pt idx="2">
                  <c:v>54732.868482264828</c:v>
                </c:pt>
                <c:pt idx="3">
                  <c:v>0</c:v>
                </c:pt>
                <c:pt idx="4">
                  <c:v>1487.0033640675463</c:v>
                </c:pt>
                <c:pt idx="5">
                  <c:v>42640.580765263971</c:v>
                </c:pt>
                <c:pt idx="6">
                  <c:v>0</c:v>
                </c:pt>
                <c:pt idx="7">
                  <c:v>0</c:v>
                </c:pt>
                <c:pt idx="8">
                  <c:v>4272</c:v>
                </c:pt>
                <c:pt idx="9">
                  <c:v>27456</c:v>
                </c:pt>
                <c:pt idx="10">
                  <c:v>0</c:v>
                </c:pt>
                <c:pt idx="11">
                  <c:v>0</c:v>
                </c:pt>
                <c:pt idx="12">
                  <c:v>10379.55975856017</c:v>
                </c:pt>
                <c:pt idx="13">
                  <c:v>63120</c:v>
                </c:pt>
                <c:pt idx="14">
                  <c:v>296402.8</c:v>
                </c:pt>
                <c:pt idx="15">
                  <c:v>325800</c:v>
                </c:pt>
                <c:pt idx="16">
                  <c:v>163000</c:v>
                </c:pt>
                <c:pt idx="17">
                  <c:v>3000</c:v>
                </c:pt>
                <c:pt idx="18">
                  <c:v>6466.3035855136095</c:v>
                </c:pt>
                <c:pt idx="19">
                  <c:v>1669.1865861867234</c:v>
                </c:pt>
                <c:pt idx="20">
                  <c:v>1115.25</c:v>
                </c:pt>
                <c:pt idx="21">
                  <c:v>14112.5</c:v>
                </c:pt>
                <c:pt idx="22">
                  <c:v>3025</c:v>
                </c:pt>
                <c:pt idx="23">
                  <c:v>0</c:v>
                </c:pt>
                <c:pt idx="24">
                  <c:v>12239.999999999998</c:v>
                </c:pt>
                <c:pt idx="25">
                  <c:v>1500</c:v>
                </c:pt>
                <c:pt idx="26">
                  <c:v>8175</c:v>
                </c:pt>
                <c:pt idx="27">
                  <c:v>24825.106943376275</c:v>
                </c:pt>
                <c:pt idx="28">
                  <c:v>16267</c:v>
                </c:pt>
                <c:pt idx="29">
                  <c:v>3000</c:v>
                </c:pt>
                <c:pt idx="30">
                  <c:v>25000</c:v>
                </c:pt>
                <c:pt idx="31">
                  <c:v>0</c:v>
                </c:pt>
                <c:pt idx="32">
                  <c:v>0</c:v>
                </c:pt>
                <c:pt idx="33">
                  <c:v>0</c:v>
                </c:pt>
                <c:pt idx="34">
                  <c:v>24000</c:v>
                </c:pt>
                <c:pt idx="35">
                  <c:v>2250</c:v>
                </c:pt>
                <c:pt idx="36">
                  <c:v>2250</c:v>
                </c:pt>
                <c:pt idx="37">
                  <c:v>3000</c:v>
                </c:pt>
              </c:numCache>
            </c:numRef>
          </c:val>
          <c:extLst>
            <c:ext xmlns:c16="http://schemas.microsoft.com/office/drawing/2014/chart" uri="{C3380CC4-5D6E-409C-BE32-E72D297353CC}">
              <c16:uniqueId val="{00000000-7261-4ADA-8F0F-F9A9CA9AB359}"/>
            </c:ext>
          </c:extLst>
        </c:ser>
        <c:dLbls>
          <c:showLegendKey val="0"/>
          <c:showVal val="0"/>
          <c:showCatName val="0"/>
          <c:showSerName val="0"/>
          <c:showPercent val="0"/>
          <c:showBubbleSize val="0"/>
        </c:dLbls>
        <c:gapWidth val="182"/>
        <c:axId val="389759104"/>
        <c:axId val="476772536"/>
      </c:barChart>
      <c:catAx>
        <c:axId val="389759104"/>
        <c:scaling>
          <c:orientation val="maxMin"/>
        </c:scaling>
        <c:delete val="0"/>
        <c:axPos val="l"/>
        <c:majorGridlines>
          <c:spPr>
            <a:ln w="9525" cap="flat" cmpd="sng" algn="ctr">
              <a:solidFill>
                <a:schemeClr val="bg1">
                  <a:lumMod val="85000"/>
                </a:schemeClr>
              </a:solidFill>
              <a:prstDash val="sysDot"/>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it-IT"/>
          </a:p>
        </c:txPr>
        <c:crossAx val="476772536"/>
        <c:crosses val="autoZero"/>
        <c:auto val="1"/>
        <c:lblAlgn val="ctr"/>
        <c:lblOffset val="100"/>
        <c:noMultiLvlLbl val="0"/>
      </c:catAx>
      <c:valAx>
        <c:axId val="476772536"/>
        <c:scaling>
          <c:orientation val="minMax"/>
        </c:scaling>
        <c:delete val="0"/>
        <c:axPos val="t"/>
        <c:majorGridlines>
          <c:spPr>
            <a:ln w="9525" cap="flat" cmpd="sng" algn="ctr">
              <a:solidFill>
                <a:schemeClr val="tx1"/>
              </a:solidFill>
              <a:round/>
            </a:ln>
            <a:effectLst/>
          </c:spPr>
        </c:majorGridlines>
        <c:minorGridlines>
          <c:spPr>
            <a:ln w="9525" cap="flat" cmpd="sng" algn="ctr">
              <a:solidFill>
                <a:schemeClr val="bg1">
                  <a:lumMod val="50000"/>
                </a:schemeClr>
              </a:solidFill>
              <a:prstDash val="sysDot"/>
              <a:round/>
            </a:ln>
            <a:effectLst/>
          </c:spPr>
        </c:minorGridlines>
        <c:numFmt formatCode="_-&quot;€&quot;\ * #,##0.00_-;\-&quot;€&quot;\ * #,##0.00_-;_-&quot;€&quot;\ *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it-IT"/>
          </a:p>
        </c:txPr>
        <c:crossAx val="38975910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it-I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2">
                <a:lumMod val="75000"/>
              </a:schemeClr>
            </a:solidFill>
            <a:ln>
              <a:solidFill>
                <a:schemeClr val="tx1"/>
              </a:solidFill>
            </a:ln>
            <a:effectLst/>
          </c:spPr>
          <c:invertIfNegative val="0"/>
          <c:cat>
            <c:strRef>
              <c:f>'Proposal Cost Report'!$B$80:$B$94</c:f>
              <c:strCache>
                <c:ptCount val="15"/>
                <c:pt idx="0">
                  <c:v>ENGINEERING</c:v>
                </c:pt>
                <c:pt idx="1">
                  <c:v>EQUIPMENT</c:v>
                </c:pt>
                <c:pt idx="2">
                  <c:v>PACKAGES</c:v>
                </c:pt>
                <c:pt idx="3">
                  <c:v>MACHINERY</c:v>
                </c:pt>
                <c:pt idx="4">
                  <c:v>MANUAL VALVES</c:v>
                </c:pt>
                <c:pt idx="5">
                  <c:v>INSTRUMENTATION</c:v>
                </c:pt>
                <c:pt idx="6">
                  <c:v>ELECTRICA EQUIPMENT</c:v>
                </c:pt>
                <c:pt idx="7">
                  <c:v>PIPE &amp; FITTINGS</c:v>
                </c:pt>
                <c:pt idx="8">
                  <c:v>STRUCTURES</c:v>
                </c:pt>
                <c:pt idx="9">
                  <c:v>FABRICATION / ASSEMBLING /TESTS</c:v>
                </c:pt>
                <c:pt idx="10">
                  <c:v>PACKING &amp; SHIPMENT</c:v>
                </c:pt>
                <c:pt idx="11">
                  <c:v>SITE ACTIVITIES</c:v>
                </c:pt>
                <c:pt idx="12">
                  <c:v>SPARE PARTS</c:v>
                </c:pt>
                <c:pt idx="13">
                  <c:v>OTHER COSTS</c:v>
                </c:pt>
                <c:pt idx="14">
                  <c:v>CONTINGENCY</c:v>
                </c:pt>
              </c:strCache>
            </c:strRef>
          </c:cat>
          <c:val>
            <c:numRef>
              <c:f>'Proposal Cost Report'!$H$80:$H$94</c:f>
              <c:numCache>
                <c:formatCode>_-"€"\ * #,##0.00_-;\-"€"\ * #,##0.00_-;_-"€"\ * "-"??_-;_-@_-</c:formatCode>
                <c:ptCount val="15"/>
                <c:pt idx="0">
                  <c:v>56500</c:v>
                </c:pt>
                <c:pt idx="1">
                  <c:v>325800</c:v>
                </c:pt>
                <c:pt idx="2">
                  <c:v>0</c:v>
                </c:pt>
                <c:pt idx="3">
                  <c:v>163000</c:v>
                </c:pt>
                <c:pt idx="4">
                  <c:v>63120</c:v>
                </c:pt>
                <c:pt idx="5">
                  <c:v>296402.8</c:v>
                </c:pt>
                <c:pt idx="6">
                  <c:v>0</c:v>
                </c:pt>
                <c:pt idx="7">
                  <c:v>44127.584129331517</c:v>
                </c:pt>
                <c:pt idx="8">
                  <c:v>58466.24141215963</c:v>
                </c:pt>
                <c:pt idx="9">
                  <c:v>173995.7753559016</c:v>
                </c:pt>
                <c:pt idx="10">
                  <c:v>12239.999999999998</c:v>
                </c:pt>
                <c:pt idx="11">
                  <c:v>0</c:v>
                </c:pt>
                <c:pt idx="12">
                  <c:v>0</c:v>
                </c:pt>
                <c:pt idx="13">
                  <c:v>3000</c:v>
                </c:pt>
                <c:pt idx="14">
                  <c:v>0</c:v>
                </c:pt>
              </c:numCache>
            </c:numRef>
          </c:val>
          <c:extLst>
            <c:ext xmlns:c16="http://schemas.microsoft.com/office/drawing/2014/chart" uri="{C3380CC4-5D6E-409C-BE32-E72D297353CC}">
              <c16:uniqueId val="{00000000-FE0A-4D69-A34C-7DC3C3AA1C40}"/>
            </c:ext>
          </c:extLst>
        </c:ser>
        <c:dLbls>
          <c:showLegendKey val="0"/>
          <c:showVal val="0"/>
          <c:showCatName val="0"/>
          <c:showSerName val="0"/>
          <c:showPercent val="0"/>
          <c:showBubbleSize val="0"/>
        </c:dLbls>
        <c:gapWidth val="182"/>
        <c:axId val="389759104"/>
        <c:axId val="476772536"/>
      </c:barChart>
      <c:catAx>
        <c:axId val="389759104"/>
        <c:scaling>
          <c:orientation val="maxMin"/>
        </c:scaling>
        <c:delete val="0"/>
        <c:axPos val="l"/>
        <c:majorGridlines>
          <c:spPr>
            <a:ln w="9525" cap="flat" cmpd="sng" algn="ctr">
              <a:solidFill>
                <a:schemeClr val="bg1">
                  <a:lumMod val="85000"/>
                </a:schemeClr>
              </a:solidFill>
              <a:prstDash val="sysDot"/>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it-IT"/>
          </a:p>
        </c:txPr>
        <c:crossAx val="476772536"/>
        <c:crosses val="autoZero"/>
        <c:auto val="1"/>
        <c:lblAlgn val="ctr"/>
        <c:lblOffset val="100"/>
        <c:noMultiLvlLbl val="0"/>
      </c:catAx>
      <c:valAx>
        <c:axId val="476772536"/>
        <c:scaling>
          <c:orientation val="minMax"/>
        </c:scaling>
        <c:delete val="0"/>
        <c:axPos val="t"/>
        <c:majorGridlines>
          <c:spPr>
            <a:ln w="9525" cap="flat" cmpd="sng" algn="ctr">
              <a:solidFill>
                <a:schemeClr val="tx1"/>
              </a:solidFill>
              <a:round/>
            </a:ln>
            <a:effectLst/>
          </c:spPr>
        </c:majorGridlines>
        <c:minorGridlines>
          <c:spPr>
            <a:ln w="9525" cap="flat" cmpd="sng" algn="ctr">
              <a:solidFill>
                <a:schemeClr val="bg1">
                  <a:lumMod val="50000"/>
                </a:schemeClr>
              </a:solidFill>
              <a:prstDash val="sysDot"/>
              <a:round/>
            </a:ln>
            <a:effectLst/>
          </c:spPr>
        </c:minorGridlines>
        <c:numFmt formatCode="#,##0.00000\ &quot;€&quot;"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it-IT"/>
          </a:p>
        </c:txPr>
        <c:crossAx val="38975910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it-I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4E-43B5-835E-FAE15F69C9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04E-43B5-835E-FAE15F69C9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04E-43B5-835E-FAE15F69C97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04E-43B5-835E-FAE15F69C97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04E-43B5-835E-FAE15F69C97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04E-43B5-835E-FAE15F69C97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04E-43B5-835E-FAE15F69C97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04E-43B5-835E-FAE15F69C97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04E-43B5-835E-FAE15F69C97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'Proposal Quantity Report'!$A$4:$A$12</c:f>
              <c:strCache>
                <c:ptCount val="9"/>
                <c:pt idx="0">
                  <c:v>Skid Structures</c:v>
                </c:pt>
                <c:pt idx="1">
                  <c:v>Aux. Structure</c:v>
                </c:pt>
                <c:pt idx="2">
                  <c:v>Piping</c:v>
                </c:pt>
                <c:pt idx="3">
                  <c:v>Valves</c:v>
                </c:pt>
                <c:pt idx="4">
                  <c:v>Equipment</c:v>
                </c:pt>
                <c:pt idx="5">
                  <c:v>Machinery</c:v>
                </c:pt>
                <c:pt idx="6">
                  <c:v>Instrumentation</c:v>
                </c:pt>
                <c:pt idx="7">
                  <c:v>Accessories</c:v>
                </c:pt>
                <c:pt idx="8">
                  <c:v>Insternals</c:v>
                </c:pt>
              </c:strCache>
            </c:strRef>
          </c:cat>
          <c:val>
            <c:numRef>
              <c:f>'Proposal Quantity Report'!$B$4:$B$12</c:f>
              <c:numCache>
                <c:formatCode>_-* #,##0_-;\-* #,##0_-;_-* "-"??_-;_-@_-</c:formatCode>
                <c:ptCount val="9"/>
                <c:pt idx="0">
                  <c:v>14343.80717102722</c:v>
                </c:pt>
                <c:pt idx="1">
                  <c:v>0</c:v>
                </c:pt>
                <c:pt idx="2">
                  <c:v>3338.3731723734468</c:v>
                </c:pt>
                <c:pt idx="3">
                  <c:v>2089.5</c:v>
                </c:pt>
                <c:pt idx="4">
                  <c:v>14450</c:v>
                </c:pt>
                <c:pt idx="5">
                  <c:v>3650</c:v>
                </c:pt>
                <c:pt idx="6">
                  <c:v>776</c:v>
                </c:pt>
                <c:pt idx="7">
                  <c:v>0</c:v>
                </c:pt>
                <c:pt idx="8">
                  <c:v>120</c:v>
                </c:pt>
              </c:numCache>
            </c:numRef>
          </c:val>
          <c:extLst>
            <c:ext xmlns:c16="http://schemas.microsoft.com/office/drawing/2014/chart" uri="{C3380CC4-5D6E-409C-BE32-E72D297353CC}">
              <c16:uniqueId val="{00000012-204E-43B5-835E-FAE15F69C979}"/>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it-I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strRef>
              <c:f>'Proposal Quantity Report'!$A$17</c:f>
              <c:strCache>
                <c:ptCount val="1"/>
                <c:pt idx="0">
                  <c:v>Carbon Steel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C247-4F28-A404-0FF02C29FC4F}"/>
              </c:ext>
            </c:extLst>
          </c:dPt>
          <c:dPt>
            <c:idx val="1"/>
            <c:invertIfNegative val="0"/>
            <c:bubble3D val="0"/>
            <c:extLst>
              <c:ext xmlns:c16="http://schemas.microsoft.com/office/drawing/2014/chart" uri="{C3380CC4-5D6E-409C-BE32-E72D297353CC}">
                <c16:uniqueId val="{00000003-C247-4F28-A404-0FF02C29FC4F}"/>
              </c:ext>
            </c:extLst>
          </c:dPt>
          <c:dPt>
            <c:idx val="2"/>
            <c:invertIfNegative val="0"/>
            <c:bubble3D val="0"/>
            <c:extLst>
              <c:ext xmlns:c16="http://schemas.microsoft.com/office/drawing/2014/chart" uri="{C3380CC4-5D6E-409C-BE32-E72D297353CC}">
                <c16:uniqueId val="{00000005-C247-4F28-A404-0FF02C29FC4F}"/>
              </c:ext>
            </c:extLst>
          </c:dPt>
          <c:dPt>
            <c:idx val="3"/>
            <c:invertIfNegative val="0"/>
            <c:bubble3D val="0"/>
            <c:extLst>
              <c:ext xmlns:c16="http://schemas.microsoft.com/office/drawing/2014/chart" uri="{C3380CC4-5D6E-409C-BE32-E72D297353CC}">
                <c16:uniqueId val="{00000007-C247-4F28-A404-0FF02C29FC4F}"/>
              </c:ext>
            </c:extLst>
          </c:dPt>
          <c:val>
            <c:numRef>
              <c:f>'Proposal Quantity Report'!$C$17</c:f>
              <c:numCache>
                <c:formatCode>General</c:formatCode>
                <c:ptCount val="1"/>
                <c:pt idx="0">
                  <c:v>284.8</c:v>
                </c:pt>
              </c:numCache>
            </c:numRef>
          </c:val>
          <c:extLst>
            <c:ext xmlns:c16="http://schemas.microsoft.com/office/drawing/2014/chart" uri="{C3380CC4-5D6E-409C-BE32-E72D297353CC}">
              <c16:uniqueId val="{00000008-C247-4F28-A404-0FF02C29FC4F}"/>
            </c:ext>
          </c:extLst>
        </c:ser>
        <c:ser>
          <c:idx val="1"/>
          <c:order val="1"/>
          <c:tx>
            <c:strRef>
              <c:f>'Proposal Quantity Report'!$A$18</c:f>
              <c:strCache>
                <c:ptCount val="1"/>
                <c:pt idx="0">
                  <c:v>Stainless Steel</c:v>
                </c:pt>
              </c:strCache>
            </c:strRef>
          </c:tx>
          <c:spPr>
            <a:solidFill>
              <a:schemeClr val="accent2"/>
            </a:solidFill>
            <a:ln>
              <a:noFill/>
            </a:ln>
            <a:effectLst/>
          </c:spPr>
          <c:invertIfNegative val="0"/>
          <c:val>
            <c:numRef>
              <c:f>'Proposal Quantity Report'!$C$18</c:f>
              <c:numCache>
                <c:formatCode>General</c:formatCode>
                <c:ptCount val="1"/>
                <c:pt idx="0">
                  <c:v>1372.8000000000002</c:v>
                </c:pt>
              </c:numCache>
            </c:numRef>
          </c:val>
          <c:extLst>
            <c:ext xmlns:c16="http://schemas.microsoft.com/office/drawing/2014/chart" uri="{C3380CC4-5D6E-409C-BE32-E72D297353CC}">
              <c16:uniqueId val="{0000000E-80DF-4ED5-B6BC-C13DB8B27210}"/>
            </c:ext>
          </c:extLst>
        </c:ser>
        <c:ser>
          <c:idx val="2"/>
          <c:order val="2"/>
          <c:tx>
            <c:strRef>
              <c:f>'Proposal Quantity Report'!$A$19</c:f>
              <c:strCache>
                <c:ptCount val="1"/>
                <c:pt idx="0">
                  <c:v>Duplex Stainless Steel</c:v>
                </c:pt>
              </c:strCache>
            </c:strRef>
          </c:tx>
          <c:spPr>
            <a:solidFill>
              <a:schemeClr val="accent3"/>
            </a:solidFill>
            <a:ln>
              <a:noFill/>
            </a:ln>
            <a:effectLst/>
          </c:spPr>
          <c:invertIfNegative val="0"/>
          <c:val>
            <c:numRef>
              <c:f>'Proposal Quantity Report'!$C$19</c:f>
              <c:numCache>
                <c:formatCode>General</c:formatCode>
                <c:ptCount val="1"/>
                <c:pt idx="0">
                  <c:v>0</c:v>
                </c:pt>
              </c:numCache>
            </c:numRef>
          </c:val>
          <c:extLst>
            <c:ext xmlns:c16="http://schemas.microsoft.com/office/drawing/2014/chart" uri="{C3380CC4-5D6E-409C-BE32-E72D297353CC}">
              <c16:uniqueId val="{0000000F-80DF-4ED5-B6BC-C13DB8B27210}"/>
            </c:ext>
          </c:extLst>
        </c:ser>
        <c:ser>
          <c:idx val="3"/>
          <c:order val="3"/>
          <c:tx>
            <c:strRef>
              <c:f>'Proposal Quantity Report'!$A$20</c:f>
              <c:strCache>
                <c:ptCount val="1"/>
                <c:pt idx="0">
                  <c:v>Incoloy 625/685</c:v>
                </c:pt>
              </c:strCache>
            </c:strRef>
          </c:tx>
          <c:spPr>
            <a:solidFill>
              <a:schemeClr val="accent4"/>
            </a:solidFill>
            <a:ln>
              <a:noFill/>
            </a:ln>
            <a:effectLst/>
          </c:spPr>
          <c:invertIfNegative val="0"/>
          <c:val>
            <c:numRef>
              <c:f>'Proposal Quantity Report'!$C$20</c:f>
              <c:numCache>
                <c:formatCode>General</c:formatCode>
                <c:ptCount val="1"/>
                <c:pt idx="0">
                  <c:v>0</c:v>
                </c:pt>
              </c:numCache>
            </c:numRef>
          </c:val>
          <c:extLst>
            <c:ext xmlns:c16="http://schemas.microsoft.com/office/drawing/2014/chart" uri="{C3380CC4-5D6E-409C-BE32-E72D297353CC}">
              <c16:uniqueId val="{00000010-80DF-4ED5-B6BC-C13DB8B27210}"/>
            </c:ext>
          </c:extLst>
        </c:ser>
        <c:dLbls>
          <c:showLegendKey val="0"/>
          <c:showVal val="0"/>
          <c:showCatName val="0"/>
          <c:showSerName val="0"/>
          <c:showPercent val="0"/>
          <c:showBubbleSize val="0"/>
        </c:dLbls>
        <c:gapWidth val="55"/>
        <c:overlap val="100"/>
        <c:axId val="605179560"/>
        <c:axId val="605182512"/>
      </c:barChart>
      <c:valAx>
        <c:axId val="60518251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05179560"/>
        <c:crosses val="autoZero"/>
        <c:crossBetween val="between"/>
      </c:valAx>
      <c:catAx>
        <c:axId val="605179560"/>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0518251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chart>
  <c:spPr>
    <a:solidFill>
      <a:schemeClr val="bg1"/>
    </a:solidFill>
    <a:ln w="9525" cap="flat" cmpd="sng" algn="ctr">
      <a:noFill/>
      <a:round/>
    </a:ln>
    <a:effectLst/>
  </c:spPr>
  <c:txPr>
    <a:bodyPr/>
    <a:lstStyle/>
    <a:p>
      <a:pPr>
        <a:defRPr/>
      </a:pPr>
      <a:endParaRPr lang="it-I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150#</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16"/>
              <c:pt idx="0">
                <c:v>0.5</c:v>
              </c:pt>
              <c:pt idx="1">
                <c:v>0.75</c:v>
              </c:pt>
              <c:pt idx="2">
                <c:v>1</c:v>
              </c:pt>
              <c:pt idx="3">
                <c:v>1.5</c:v>
              </c:pt>
              <c:pt idx="4">
                <c:v>2</c:v>
              </c:pt>
              <c:pt idx="5">
                <c:v>3</c:v>
              </c:pt>
              <c:pt idx="6">
                <c:v>4</c:v>
              </c:pt>
              <c:pt idx="7">
                <c:v>6</c:v>
              </c:pt>
              <c:pt idx="8">
                <c:v>8</c:v>
              </c:pt>
              <c:pt idx="9">
                <c:v>10</c:v>
              </c:pt>
              <c:pt idx="10">
                <c:v>12</c:v>
              </c:pt>
              <c:pt idx="11">
                <c:v>14</c:v>
              </c:pt>
              <c:pt idx="12">
                <c:v>16</c:v>
              </c:pt>
              <c:pt idx="13">
                <c:v>18</c:v>
              </c:pt>
              <c:pt idx="14">
                <c:v>20</c:v>
              </c:pt>
              <c:pt idx="15">
                <c:v>24</c:v>
              </c:pt>
            </c:numLit>
          </c:xVal>
          <c:yVal>
            <c:numLit>
              <c:formatCode>General</c:formatCode>
              <c:ptCount val="16"/>
              <c:pt idx="0">
                <c:v>5</c:v>
              </c:pt>
              <c:pt idx="1">
                <c:v>5</c:v>
              </c:pt>
              <c:pt idx="2">
                <c:v>8</c:v>
              </c:pt>
              <c:pt idx="3">
                <c:v>9.1999999999999993</c:v>
              </c:pt>
              <c:pt idx="4">
                <c:v>13</c:v>
              </c:pt>
              <c:pt idx="5">
                <c:v>28.6</c:v>
              </c:pt>
              <c:pt idx="6">
                <c:v>82</c:v>
              </c:pt>
              <c:pt idx="7">
                <c:v>136</c:v>
              </c:pt>
              <c:pt idx="8">
                <c:v>335</c:v>
              </c:pt>
              <c:pt idx="9">
                <c:v>490</c:v>
              </c:pt>
              <c:pt idx="10">
                <c:v>720</c:v>
              </c:pt>
              <c:pt idx="11">
                <c:v>905</c:v>
              </c:pt>
              <c:pt idx="12">
                <c:v>1050</c:v>
              </c:pt>
              <c:pt idx="13">
                <c:v>1620</c:v>
              </c:pt>
              <c:pt idx="14">
                <c:v>2110</c:v>
              </c:pt>
              <c:pt idx="15">
                <c:v>3072</c:v>
              </c:pt>
            </c:numLit>
          </c:yVal>
          <c:smooth val="0"/>
          <c:extLst>
            <c:ext xmlns:c16="http://schemas.microsoft.com/office/drawing/2014/chart" uri="{C3380CC4-5D6E-409C-BE32-E72D297353CC}">
              <c16:uniqueId val="{00000000-4D4A-4861-AC92-22A15B2BB76A}"/>
            </c:ext>
          </c:extLst>
        </c:ser>
        <c:ser>
          <c:idx val="1"/>
          <c:order val="1"/>
          <c:tx>
            <c:v>300#</c:v>
          </c:tx>
          <c:spPr>
            <a:ln w="25400" cap="rnd">
              <a:noFill/>
              <a:round/>
            </a:ln>
            <a:effectLst/>
          </c:spPr>
          <c:marker>
            <c:symbol val="circle"/>
            <c:size val="5"/>
            <c:spPr>
              <a:solidFill>
                <a:schemeClr val="accent2"/>
              </a:solidFill>
              <a:ln w="9525">
                <a:solidFill>
                  <a:schemeClr val="accent2"/>
                </a:solidFill>
              </a:ln>
              <a:effectLst/>
            </c:spPr>
          </c:marker>
          <c:xVal>
            <c:numLit>
              <c:formatCode>General</c:formatCode>
              <c:ptCount val="16"/>
              <c:pt idx="0">
                <c:v>0.5</c:v>
              </c:pt>
              <c:pt idx="1">
                <c:v>0.75</c:v>
              </c:pt>
              <c:pt idx="2">
                <c:v>1</c:v>
              </c:pt>
              <c:pt idx="3">
                <c:v>1.5</c:v>
              </c:pt>
              <c:pt idx="4">
                <c:v>2</c:v>
              </c:pt>
              <c:pt idx="5">
                <c:v>3</c:v>
              </c:pt>
              <c:pt idx="6">
                <c:v>4</c:v>
              </c:pt>
              <c:pt idx="7">
                <c:v>6</c:v>
              </c:pt>
              <c:pt idx="8">
                <c:v>8</c:v>
              </c:pt>
              <c:pt idx="9">
                <c:v>10</c:v>
              </c:pt>
              <c:pt idx="10">
                <c:v>12</c:v>
              </c:pt>
              <c:pt idx="11">
                <c:v>14</c:v>
              </c:pt>
              <c:pt idx="12">
                <c:v>16</c:v>
              </c:pt>
              <c:pt idx="13">
                <c:v>18</c:v>
              </c:pt>
              <c:pt idx="14">
                <c:v>20</c:v>
              </c:pt>
              <c:pt idx="15">
                <c:v>24</c:v>
              </c:pt>
            </c:numLit>
          </c:xVal>
          <c:yVal>
            <c:numLit>
              <c:formatCode>General</c:formatCode>
              <c:ptCount val="16"/>
              <c:pt idx="0">
                <c:v>5</c:v>
              </c:pt>
              <c:pt idx="1">
                <c:v>5</c:v>
              </c:pt>
              <c:pt idx="2">
                <c:v>8</c:v>
              </c:pt>
              <c:pt idx="3">
                <c:v>12.2</c:v>
              </c:pt>
              <c:pt idx="4">
                <c:v>16</c:v>
              </c:pt>
              <c:pt idx="5">
                <c:v>33</c:v>
              </c:pt>
              <c:pt idx="6">
                <c:v>110</c:v>
              </c:pt>
              <c:pt idx="7">
                <c:v>150</c:v>
              </c:pt>
              <c:pt idx="8">
                <c:v>370</c:v>
              </c:pt>
              <c:pt idx="9">
                <c:v>530</c:v>
              </c:pt>
              <c:pt idx="10">
                <c:v>768</c:v>
              </c:pt>
              <c:pt idx="11">
                <c:v>940</c:v>
              </c:pt>
              <c:pt idx="12">
                <c:v>1430</c:v>
              </c:pt>
              <c:pt idx="13">
                <c:v>1895</c:v>
              </c:pt>
              <c:pt idx="14">
                <c:v>2270</c:v>
              </c:pt>
              <c:pt idx="15">
                <c:v>3780</c:v>
              </c:pt>
            </c:numLit>
          </c:yVal>
          <c:smooth val="0"/>
          <c:extLst>
            <c:ext xmlns:c16="http://schemas.microsoft.com/office/drawing/2014/chart" uri="{C3380CC4-5D6E-409C-BE32-E72D297353CC}">
              <c16:uniqueId val="{00000001-4D4A-4861-AC92-22A15B2BB76A}"/>
            </c:ext>
          </c:extLst>
        </c:ser>
        <c:ser>
          <c:idx val="2"/>
          <c:order val="2"/>
          <c:tx>
            <c:v>600#</c:v>
          </c:tx>
          <c:spPr>
            <a:ln w="25400" cap="rnd">
              <a:noFill/>
              <a:round/>
            </a:ln>
            <a:effectLst/>
          </c:spPr>
          <c:marker>
            <c:symbol val="circle"/>
            <c:size val="5"/>
            <c:spPr>
              <a:solidFill>
                <a:schemeClr val="accent3"/>
              </a:solidFill>
              <a:ln w="9525">
                <a:solidFill>
                  <a:schemeClr val="accent3"/>
                </a:solidFill>
              </a:ln>
              <a:effectLst/>
            </c:spPr>
          </c:marker>
          <c:xVal>
            <c:numLit>
              <c:formatCode>General</c:formatCode>
              <c:ptCount val="16"/>
              <c:pt idx="0">
                <c:v>0.5</c:v>
              </c:pt>
              <c:pt idx="1">
                <c:v>0.75</c:v>
              </c:pt>
              <c:pt idx="2">
                <c:v>1</c:v>
              </c:pt>
              <c:pt idx="3">
                <c:v>1.5</c:v>
              </c:pt>
              <c:pt idx="4">
                <c:v>2</c:v>
              </c:pt>
              <c:pt idx="5">
                <c:v>3</c:v>
              </c:pt>
              <c:pt idx="6">
                <c:v>4</c:v>
              </c:pt>
              <c:pt idx="7">
                <c:v>6</c:v>
              </c:pt>
              <c:pt idx="8">
                <c:v>8</c:v>
              </c:pt>
              <c:pt idx="9">
                <c:v>10</c:v>
              </c:pt>
              <c:pt idx="10">
                <c:v>12</c:v>
              </c:pt>
              <c:pt idx="11">
                <c:v>14</c:v>
              </c:pt>
              <c:pt idx="12">
                <c:v>16</c:v>
              </c:pt>
              <c:pt idx="13">
                <c:v>18</c:v>
              </c:pt>
              <c:pt idx="14">
                <c:v>20</c:v>
              </c:pt>
              <c:pt idx="15">
                <c:v>24</c:v>
              </c:pt>
            </c:numLit>
          </c:xVal>
          <c:yVal>
            <c:numLit>
              <c:formatCode>General</c:formatCode>
              <c:ptCount val="16"/>
              <c:pt idx="0">
                <c:v>8</c:v>
              </c:pt>
              <c:pt idx="1">
                <c:v>8</c:v>
              </c:pt>
              <c:pt idx="2">
                <c:v>10</c:v>
              </c:pt>
              <c:pt idx="3">
                <c:v>18.600000000000001</c:v>
              </c:pt>
              <c:pt idx="4">
                <c:v>30</c:v>
              </c:pt>
              <c:pt idx="5">
                <c:v>65</c:v>
              </c:pt>
              <c:pt idx="6">
                <c:v>134</c:v>
              </c:pt>
              <c:pt idx="7">
                <c:v>285</c:v>
              </c:pt>
              <c:pt idx="8">
                <c:v>480</c:v>
              </c:pt>
              <c:pt idx="9">
                <c:v>690</c:v>
              </c:pt>
              <c:pt idx="10">
                <c:v>925</c:v>
              </c:pt>
              <c:pt idx="11">
                <c:v>1240</c:v>
              </c:pt>
              <c:pt idx="12">
                <c:v>1595</c:v>
              </c:pt>
              <c:pt idx="13">
                <c:v>2327</c:v>
              </c:pt>
              <c:pt idx="14">
                <c:v>2827</c:v>
              </c:pt>
              <c:pt idx="15">
                <c:v>4498</c:v>
              </c:pt>
            </c:numLit>
          </c:yVal>
          <c:smooth val="0"/>
          <c:extLst>
            <c:ext xmlns:c16="http://schemas.microsoft.com/office/drawing/2014/chart" uri="{C3380CC4-5D6E-409C-BE32-E72D297353CC}">
              <c16:uniqueId val="{00000002-4D4A-4861-AC92-22A15B2BB76A}"/>
            </c:ext>
          </c:extLst>
        </c:ser>
        <c:ser>
          <c:idx val="3"/>
          <c:order val="3"/>
          <c:tx>
            <c:v>900#</c:v>
          </c:tx>
          <c:spPr>
            <a:ln w="25400" cap="rnd">
              <a:noFill/>
              <a:round/>
            </a:ln>
            <a:effectLst/>
          </c:spPr>
          <c:marker>
            <c:symbol val="circle"/>
            <c:size val="5"/>
            <c:spPr>
              <a:solidFill>
                <a:schemeClr val="accent4"/>
              </a:solidFill>
              <a:ln w="9525">
                <a:solidFill>
                  <a:schemeClr val="accent4"/>
                </a:solidFill>
              </a:ln>
              <a:effectLst/>
            </c:spPr>
          </c:marker>
          <c:xVal>
            <c:numLit>
              <c:formatCode>General</c:formatCode>
              <c:ptCount val="16"/>
              <c:pt idx="0">
                <c:v>0.5</c:v>
              </c:pt>
              <c:pt idx="1">
                <c:v>0.75</c:v>
              </c:pt>
              <c:pt idx="2">
                <c:v>1</c:v>
              </c:pt>
              <c:pt idx="3">
                <c:v>1.5</c:v>
              </c:pt>
              <c:pt idx="4">
                <c:v>2</c:v>
              </c:pt>
              <c:pt idx="5">
                <c:v>3</c:v>
              </c:pt>
              <c:pt idx="6">
                <c:v>4</c:v>
              </c:pt>
              <c:pt idx="7">
                <c:v>6</c:v>
              </c:pt>
              <c:pt idx="8">
                <c:v>8</c:v>
              </c:pt>
              <c:pt idx="9">
                <c:v>10</c:v>
              </c:pt>
              <c:pt idx="10">
                <c:v>12</c:v>
              </c:pt>
              <c:pt idx="11">
                <c:v>14</c:v>
              </c:pt>
              <c:pt idx="12">
                <c:v>16</c:v>
              </c:pt>
              <c:pt idx="13">
                <c:v>18</c:v>
              </c:pt>
              <c:pt idx="14">
                <c:v>20</c:v>
              </c:pt>
              <c:pt idx="15">
                <c:v>24</c:v>
              </c:pt>
            </c:numLit>
          </c:xVal>
          <c:yVal>
            <c:numLit>
              <c:formatCode>General</c:formatCode>
              <c:ptCount val="16"/>
              <c:pt idx="0">
                <c:v>10</c:v>
              </c:pt>
              <c:pt idx="1">
                <c:v>10</c:v>
              </c:pt>
              <c:pt idx="2">
                <c:v>15</c:v>
              </c:pt>
              <c:pt idx="3">
                <c:v>31</c:v>
              </c:pt>
              <c:pt idx="4">
                <c:v>45</c:v>
              </c:pt>
              <c:pt idx="5">
                <c:v>93</c:v>
              </c:pt>
              <c:pt idx="6">
                <c:v>175</c:v>
              </c:pt>
              <c:pt idx="7">
                <c:v>395</c:v>
              </c:pt>
              <c:pt idx="8">
                <c:v>580</c:v>
              </c:pt>
              <c:pt idx="9">
                <c:v>850</c:v>
              </c:pt>
              <c:pt idx="10">
                <c:v>1250</c:v>
              </c:pt>
              <c:pt idx="11">
                <c:v>1640</c:v>
              </c:pt>
              <c:pt idx="12">
                <c:v>2050</c:v>
              </c:pt>
              <c:pt idx="13">
                <c:v>3000</c:v>
              </c:pt>
              <c:pt idx="14">
                <c:v>3850</c:v>
              </c:pt>
              <c:pt idx="15">
                <c:v>5700</c:v>
              </c:pt>
            </c:numLit>
          </c:yVal>
          <c:smooth val="0"/>
          <c:extLst>
            <c:ext xmlns:c16="http://schemas.microsoft.com/office/drawing/2014/chart" uri="{C3380CC4-5D6E-409C-BE32-E72D297353CC}">
              <c16:uniqueId val="{00000003-4D4A-4861-AC92-22A15B2BB76A}"/>
            </c:ext>
          </c:extLst>
        </c:ser>
        <c:ser>
          <c:idx val="4"/>
          <c:order val="4"/>
          <c:tx>
            <c:v>1500#</c:v>
          </c:tx>
          <c:spPr>
            <a:ln w="25400" cap="rnd">
              <a:noFill/>
              <a:round/>
            </a:ln>
            <a:effectLst/>
          </c:spPr>
          <c:marker>
            <c:symbol val="circle"/>
            <c:size val="5"/>
            <c:spPr>
              <a:solidFill>
                <a:schemeClr val="accent5"/>
              </a:solidFill>
              <a:ln w="9525">
                <a:solidFill>
                  <a:schemeClr val="accent5"/>
                </a:solidFill>
              </a:ln>
              <a:effectLst/>
            </c:spPr>
          </c:marker>
          <c:xVal>
            <c:numLit>
              <c:formatCode>General</c:formatCode>
              <c:ptCount val="16"/>
              <c:pt idx="0">
                <c:v>0.5</c:v>
              </c:pt>
              <c:pt idx="1">
                <c:v>0.75</c:v>
              </c:pt>
              <c:pt idx="2">
                <c:v>1</c:v>
              </c:pt>
              <c:pt idx="3">
                <c:v>1.5</c:v>
              </c:pt>
              <c:pt idx="4">
                <c:v>2</c:v>
              </c:pt>
              <c:pt idx="5">
                <c:v>3</c:v>
              </c:pt>
              <c:pt idx="6">
                <c:v>4</c:v>
              </c:pt>
              <c:pt idx="7">
                <c:v>6</c:v>
              </c:pt>
              <c:pt idx="8">
                <c:v>8</c:v>
              </c:pt>
              <c:pt idx="9">
                <c:v>10</c:v>
              </c:pt>
              <c:pt idx="10">
                <c:v>12</c:v>
              </c:pt>
              <c:pt idx="11">
                <c:v>14</c:v>
              </c:pt>
              <c:pt idx="12">
                <c:v>16</c:v>
              </c:pt>
              <c:pt idx="13">
                <c:v>18</c:v>
              </c:pt>
              <c:pt idx="14">
                <c:v>20</c:v>
              </c:pt>
              <c:pt idx="15">
                <c:v>24</c:v>
              </c:pt>
            </c:numLit>
          </c:xVal>
          <c:yVal>
            <c:numLit>
              <c:formatCode>General</c:formatCode>
              <c:ptCount val="16"/>
              <c:pt idx="0">
                <c:v>15</c:v>
              </c:pt>
              <c:pt idx="1">
                <c:v>15</c:v>
              </c:pt>
              <c:pt idx="2">
                <c:v>19</c:v>
              </c:pt>
              <c:pt idx="3">
                <c:v>33</c:v>
              </c:pt>
              <c:pt idx="4">
                <c:v>51</c:v>
              </c:pt>
              <c:pt idx="5">
                <c:v>122</c:v>
              </c:pt>
              <c:pt idx="6">
                <c:v>209</c:v>
              </c:pt>
              <c:pt idx="7">
                <c:v>590</c:v>
              </c:pt>
              <c:pt idx="8">
                <c:v>780</c:v>
              </c:pt>
              <c:pt idx="9">
                <c:v>1220</c:v>
              </c:pt>
              <c:pt idx="10">
                <c:v>1690</c:v>
              </c:pt>
              <c:pt idx="11">
                <c:v>2850</c:v>
              </c:pt>
              <c:pt idx="12">
                <c:v>4100</c:v>
              </c:pt>
              <c:pt idx="13">
                <c:v>7000</c:v>
              </c:pt>
              <c:pt idx="14">
                <c:v>9600</c:v>
              </c:pt>
              <c:pt idx="15">
                <c:v>15300</c:v>
              </c:pt>
            </c:numLit>
          </c:yVal>
          <c:smooth val="0"/>
          <c:extLst>
            <c:ext xmlns:c16="http://schemas.microsoft.com/office/drawing/2014/chart" uri="{C3380CC4-5D6E-409C-BE32-E72D297353CC}">
              <c16:uniqueId val="{00000004-4D4A-4861-AC92-22A15B2BB76A}"/>
            </c:ext>
          </c:extLst>
        </c:ser>
        <c:dLbls>
          <c:showLegendKey val="0"/>
          <c:showVal val="0"/>
          <c:showCatName val="0"/>
          <c:showSerName val="0"/>
          <c:showPercent val="0"/>
          <c:showBubbleSize val="0"/>
        </c:dLbls>
        <c:axId val="566948320"/>
        <c:axId val="566948712"/>
      </c:scatterChart>
      <c:valAx>
        <c:axId val="5669483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566948712"/>
        <c:crosses val="autoZero"/>
        <c:crossBetween val="midCat"/>
      </c:valAx>
      <c:valAx>
        <c:axId val="566948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56694832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chart>
  <c:spPr>
    <a:solidFill>
      <a:schemeClr val="bg1"/>
    </a:solidFill>
    <a:ln w="9525" cap="flat" cmpd="sng" algn="ctr">
      <a:noFill/>
      <a:round/>
    </a:ln>
    <a:effectLst/>
  </c:spPr>
  <c:txPr>
    <a:bodyPr/>
    <a:lstStyle/>
    <a:p>
      <a:pPr>
        <a:defRPr/>
      </a:pPr>
      <a:endParaRPr lang="it-I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150#</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16"/>
              <c:pt idx="0">
                <c:v>0.5</c:v>
              </c:pt>
              <c:pt idx="1">
                <c:v>0.75</c:v>
              </c:pt>
              <c:pt idx="2">
                <c:v>1</c:v>
              </c:pt>
              <c:pt idx="3">
                <c:v>1.5</c:v>
              </c:pt>
              <c:pt idx="4">
                <c:v>2</c:v>
              </c:pt>
              <c:pt idx="5">
                <c:v>3</c:v>
              </c:pt>
              <c:pt idx="6">
                <c:v>4</c:v>
              </c:pt>
              <c:pt idx="7">
                <c:v>6</c:v>
              </c:pt>
              <c:pt idx="8">
                <c:v>8</c:v>
              </c:pt>
              <c:pt idx="9">
                <c:v>10</c:v>
              </c:pt>
              <c:pt idx="10">
                <c:v>12</c:v>
              </c:pt>
              <c:pt idx="11">
                <c:v>14</c:v>
              </c:pt>
              <c:pt idx="12">
                <c:v>16</c:v>
              </c:pt>
              <c:pt idx="13">
                <c:v>18</c:v>
              </c:pt>
              <c:pt idx="14">
                <c:v>20</c:v>
              </c:pt>
              <c:pt idx="15">
                <c:v>24</c:v>
              </c:pt>
            </c:numLit>
          </c:xVal>
          <c:yVal>
            <c:numLit>
              <c:formatCode>General</c:formatCode>
              <c:ptCount val="16"/>
              <c:pt idx="0">
                <c:v>5</c:v>
              </c:pt>
              <c:pt idx="1">
                <c:v>5</c:v>
              </c:pt>
              <c:pt idx="2">
                <c:v>8</c:v>
              </c:pt>
              <c:pt idx="3">
                <c:v>9.1999999999999993</c:v>
              </c:pt>
              <c:pt idx="4">
                <c:v>10.1</c:v>
              </c:pt>
              <c:pt idx="5">
                <c:v>17.899999999999999</c:v>
              </c:pt>
              <c:pt idx="6">
                <c:v>65</c:v>
              </c:pt>
              <c:pt idx="7">
                <c:v>91</c:v>
              </c:pt>
              <c:pt idx="8">
                <c:v>165</c:v>
              </c:pt>
              <c:pt idx="9">
                <c:v>350</c:v>
              </c:pt>
              <c:pt idx="10">
                <c:v>540</c:v>
              </c:pt>
              <c:pt idx="11">
                <c:v>730</c:v>
              </c:pt>
              <c:pt idx="12">
                <c:v>980</c:v>
              </c:pt>
              <c:pt idx="13">
                <c:v>1180</c:v>
              </c:pt>
              <c:pt idx="14">
                <c:v>1710</c:v>
              </c:pt>
              <c:pt idx="15">
                <c:v>2250</c:v>
              </c:pt>
            </c:numLit>
          </c:yVal>
          <c:smooth val="0"/>
          <c:extLst>
            <c:ext xmlns:c16="http://schemas.microsoft.com/office/drawing/2014/chart" uri="{C3380CC4-5D6E-409C-BE32-E72D297353CC}">
              <c16:uniqueId val="{00000000-D51E-4F10-848B-DBF383BB93EA}"/>
            </c:ext>
          </c:extLst>
        </c:ser>
        <c:ser>
          <c:idx val="1"/>
          <c:order val="1"/>
          <c:tx>
            <c:v>300#</c:v>
          </c:tx>
          <c:spPr>
            <a:ln w="25400" cap="rnd">
              <a:noFill/>
              <a:round/>
            </a:ln>
            <a:effectLst/>
          </c:spPr>
          <c:marker>
            <c:symbol val="circle"/>
            <c:size val="5"/>
            <c:spPr>
              <a:solidFill>
                <a:schemeClr val="accent2"/>
              </a:solidFill>
              <a:ln w="9525">
                <a:solidFill>
                  <a:schemeClr val="accent2"/>
                </a:solidFill>
              </a:ln>
              <a:effectLst/>
            </c:spPr>
          </c:marker>
          <c:xVal>
            <c:numLit>
              <c:formatCode>General</c:formatCode>
              <c:ptCount val="16"/>
              <c:pt idx="0">
                <c:v>0.5</c:v>
              </c:pt>
              <c:pt idx="1">
                <c:v>0.75</c:v>
              </c:pt>
              <c:pt idx="2">
                <c:v>1</c:v>
              </c:pt>
              <c:pt idx="3">
                <c:v>1.5</c:v>
              </c:pt>
              <c:pt idx="4">
                <c:v>2</c:v>
              </c:pt>
              <c:pt idx="5">
                <c:v>3</c:v>
              </c:pt>
              <c:pt idx="6">
                <c:v>4</c:v>
              </c:pt>
              <c:pt idx="7">
                <c:v>6</c:v>
              </c:pt>
              <c:pt idx="8">
                <c:v>8</c:v>
              </c:pt>
              <c:pt idx="9">
                <c:v>10</c:v>
              </c:pt>
              <c:pt idx="10">
                <c:v>12</c:v>
              </c:pt>
              <c:pt idx="11">
                <c:v>14</c:v>
              </c:pt>
              <c:pt idx="12">
                <c:v>16</c:v>
              </c:pt>
              <c:pt idx="13">
                <c:v>18</c:v>
              </c:pt>
              <c:pt idx="14">
                <c:v>20</c:v>
              </c:pt>
              <c:pt idx="15">
                <c:v>24</c:v>
              </c:pt>
            </c:numLit>
          </c:xVal>
          <c:yVal>
            <c:numLit>
              <c:formatCode>General</c:formatCode>
              <c:ptCount val="16"/>
              <c:pt idx="0">
                <c:v>5</c:v>
              </c:pt>
              <c:pt idx="1">
                <c:v>5</c:v>
              </c:pt>
              <c:pt idx="2">
                <c:v>8</c:v>
              </c:pt>
              <c:pt idx="3">
                <c:v>12.2</c:v>
              </c:pt>
              <c:pt idx="4">
                <c:v>12.7</c:v>
              </c:pt>
              <c:pt idx="5">
                <c:v>25.2</c:v>
              </c:pt>
              <c:pt idx="6">
                <c:v>70</c:v>
              </c:pt>
              <c:pt idx="7">
                <c:v>119</c:v>
              </c:pt>
              <c:pt idx="8">
                <c:v>162</c:v>
              </c:pt>
              <c:pt idx="9">
                <c:v>400</c:v>
              </c:pt>
              <c:pt idx="10">
                <c:v>572</c:v>
              </c:pt>
              <c:pt idx="11">
                <c:v>829</c:v>
              </c:pt>
              <c:pt idx="12">
                <c:v>1015</c:v>
              </c:pt>
              <c:pt idx="13">
                <c:v>1544</c:v>
              </c:pt>
              <c:pt idx="14">
                <c:v>2047</c:v>
              </c:pt>
              <c:pt idx="15">
                <c:v>2610</c:v>
              </c:pt>
            </c:numLit>
          </c:yVal>
          <c:smooth val="0"/>
          <c:extLst>
            <c:ext xmlns:c16="http://schemas.microsoft.com/office/drawing/2014/chart" uri="{C3380CC4-5D6E-409C-BE32-E72D297353CC}">
              <c16:uniqueId val="{00000001-D51E-4F10-848B-DBF383BB93EA}"/>
            </c:ext>
          </c:extLst>
        </c:ser>
        <c:ser>
          <c:idx val="2"/>
          <c:order val="2"/>
          <c:tx>
            <c:v>600#</c:v>
          </c:tx>
          <c:spPr>
            <a:ln w="25400" cap="rnd">
              <a:noFill/>
              <a:round/>
            </a:ln>
            <a:effectLst/>
          </c:spPr>
          <c:marker>
            <c:symbol val="circle"/>
            <c:size val="5"/>
            <c:spPr>
              <a:solidFill>
                <a:schemeClr val="accent3"/>
              </a:solidFill>
              <a:ln w="9525">
                <a:solidFill>
                  <a:schemeClr val="accent3"/>
                </a:solidFill>
              </a:ln>
              <a:effectLst/>
            </c:spPr>
          </c:marker>
          <c:xVal>
            <c:numLit>
              <c:formatCode>General</c:formatCode>
              <c:ptCount val="16"/>
              <c:pt idx="0">
                <c:v>0.5</c:v>
              </c:pt>
              <c:pt idx="1">
                <c:v>0.75</c:v>
              </c:pt>
              <c:pt idx="2">
                <c:v>1</c:v>
              </c:pt>
              <c:pt idx="3">
                <c:v>1.5</c:v>
              </c:pt>
              <c:pt idx="4">
                <c:v>2</c:v>
              </c:pt>
              <c:pt idx="5">
                <c:v>3</c:v>
              </c:pt>
              <c:pt idx="6">
                <c:v>4</c:v>
              </c:pt>
              <c:pt idx="7">
                <c:v>6</c:v>
              </c:pt>
              <c:pt idx="8">
                <c:v>8</c:v>
              </c:pt>
              <c:pt idx="9">
                <c:v>10</c:v>
              </c:pt>
              <c:pt idx="10">
                <c:v>12</c:v>
              </c:pt>
              <c:pt idx="11">
                <c:v>14</c:v>
              </c:pt>
              <c:pt idx="12">
                <c:v>16</c:v>
              </c:pt>
              <c:pt idx="13">
                <c:v>18</c:v>
              </c:pt>
              <c:pt idx="14">
                <c:v>20</c:v>
              </c:pt>
              <c:pt idx="15">
                <c:v>24</c:v>
              </c:pt>
            </c:numLit>
          </c:xVal>
          <c:yVal>
            <c:numLit>
              <c:formatCode>General</c:formatCode>
              <c:ptCount val="16"/>
              <c:pt idx="0">
                <c:v>8</c:v>
              </c:pt>
              <c:pt idx="1">
                <c:v>8</c:v>
              </c:pt>
              <c:pt idx="2">
                <c:v>10</c:v>
              </c:pt>
              <c:pt idx="3">
                <c:v>18.600000000000001</c:v>
              </c:pt>
              <c:pt idx="4">
                <c:v>19.100000000000001</c:v>
              </c:pt>
              <c:pt idx="5">
                <c:v>39</c:v>
              </c:pt>
              <c:pt idx="6">
                <c:v>76</c:v>
              </c:pt>
              <c:pt idx="7">
                <c:v>145</c:v>
              </c:pt>
              <c:pt idx="8">
                <c:v>308</c:v>
              </c:pt>
              <c:pt idx="9">
                <c:v>518</c:v>
              </c:pt>
              <c:pt idx="10">
                <c:v>754</c:v>
              </c:pt>
              <c:pt idx="11">
                <c:v>999</c:v>
              </c:pt>
              <c:pt idx="12">
                <c:v>1339</c:v>
              </c:pt>
              <c:pt idx="13">
                <c:v>1723</c:v>
              </c:pt>
              <c:pt idx="14">
                <c:v>2513</c:v>
              </c:pt>
              <c:pt idx="15">
                <c:v>3251</c:v>
              </c:pt>
            </c:numLit>
          </c:yVal>
          <c:smooth val="0"/>
          <c:extLst>
            <c:ext xmlns:c16="http://schemas.microsoft.com/office/drawing/2014/chart" uri="{C3380CC4-5D6E-409C-BE32-E72D297353CC}">
              <c16:uniqueId val="{00000002-D51E-4F10-848B-DBF383BB93EA}"/>
            </c:ext>
          </c:extLst>
        </c:ser>
        <c:ser>
          <c:idx val="3"/>
          <c:order val="3"/>
          <c:tx>
            <c:v>900#</c:v>
          </c:tx>
          <c:spPr>
            <a:ln w="25400" cap="rnd">
              <a:noFill/>
              <a:round/>
            </a:ln>
            <a:effectLst/>
          </c:spPr>
          <c:marker>
            <c:symbol val="circle"/>
            <c:size val="5"/>
            <c:spPr>
              <a:solidFill>
                <a:schemeClr val="accent4"/>
              </a:solidFill>
              <a:ln w="9525">
                <a:solidFill>
                  <a:schemeClr val="accent4"/>
                </a:solidFill>
              </a:ln>
              <a:effectLst/>
            </c:spPr>
          </c:marker>
          <c:xVal>
            <c:numLit>
              <c:formatCode>General</c:formatCode>
              <c:ptCount val="16"/>
              <c:pt idx="0">
                <c:v>0.5</c:v>
              </c:pt>
              <c:pt idx="1">
                <c:v>0.75</c:v>
              </c:pt>
              <c:pt idx="2">
                <c:v>1</c:v>
              </c:pt>
              <c:pt idx="3">
                <c:v>1.5</c:v>
              </c:pt>
              <c:pt idx="4">
                <c:v>2</c:v>
              </c:pt>
              <c:pt idx="5">
                <c:v>3</c:v>
              </c:pt>
              <c:pt idx="6">
                <c:v>4</c:v>
              </c:pt>
              <c:pt idx="7">
                <c:v>6</c:v>
              </c:pt>
              <c:pt idx="8">
                <c:v>8</c:v>
              </c:pt>
              <c:pt idx="9">
                <c:v>10</c:v>
              </c:pt>
              <c:pt idx="10">
                <c:v>12</c:v>
              </c:pt>
              <c:pt idx="11">
                <c:v>14</c:v>
              </c:pt>
              <c:pt idx="12">
                <c:v>16</c:v>
              </c:pt>
              <c:pt idx="13">
                <c:v>18</c:v>
              </c:pt>
              <c:pt idx="14">
                <c:v>20</c:v>
              </c:pt>
              <c:pt idx="15">
                <c:v>24</c:v>
              </c:pt>
            </c:numLit>
          </c:xVal>
          <c:yVal>
            <c:numLit>
              <c:formatCode>General</c:formatCode>
              <c:ptCount val="16"/>
              <c:pt idx="0">
                <c:v>10</c:v>
              </c:pt>
              <c:pt idx="1">
                <c:v>10</c:v>
              </c:pt>
              <c:pt idx="2">
                <c:v>15</c:v>
              </c:pt>
              <c:pt idx="3">
                <c:v>31</c:v>
              </c:pt>
              <c:pt idx="4">
                <c:v>28.650000000000002</c:v>
              </c:pt>
              <c:pt idx="5">
                <c:v>55.800000000000004</c:v>
              </c:pt>
              <c:pt idx="6">
                <c:v>105</c:v>
              </c:pt>
              <c:pt idx="7">
                <c:v>240</c:v>
              </c:pt>
              <c:pt idx="8">
                <c:v>485</c:v>
              </c:pt>
              <c:pt idx="9">
                <c:v>685</c:v>
              </c:pt>
              <c:pt idx="10">
                <c:v>970</c:v>
              </c:pt>
              <c:pt idx="11">
                <c:v>1170</c:v>
              </c:pt>
              <c:pt idx="12">
                <c:v>1980</c:v>
              </c:pt>
              <c:pt idx="13">
                <c:v>1050</c:v>
              </c:pt>
              <c:pt idx="14">
                <c:v>2630</c:v>
              </c:pt>
              <c:pt idx="15">
                <c:v>4119.7643397065367</c:v>
              </c:pt>
            </c:numLit>
          </c:yVal>
          <c:smooth val="0"/>
          <c:extLst>
            <c:ext xmlns:c16="http://schemas.microsoft.com/office/drawing/2014/chart" uri="{C3380CC4-5D6E-409C-BE32-E72D297353CC}">
              <c16:uniqueId val="{00000003-D51E-4F10-848B-DBF383BB93EA}"/>
            </c:ext>
          </c:extLst>
        </c:ser>
        <c:ser>
          <c:idx val="4"/>
          <c:order val="4"/>
          <c:tx>
            <c:v>1500#</c:v>
          </c:tx>
          <c:spPr>
            <a:ln w="25400" cap="rnd">
              <a:noFill/>
              <a:round/>
            </a:ln>
            <a:effectLst/>
          </c:spPr>
          <c:marker>
            <c:symbol val="circle"/>
            <c:size val="5"/>
            <c:spPr>
              <a:solidFill>
                <a:schemeClr val="accent5"/>
              </a:solidFill>
              <a:ln w="9525">
                <a:solidFill>
                  <a:schemeClr val="accent5"/>
                </a:solidFill>
              </a:ln>
              <a:effectLst/>
            </c:spPr>
          </c:marker>
          <c:xVal>
            <c:numLit>
              <c:formatCode>General</c:formatCode>
              <c:ptCount val="16"/>
              <c:pt idx="0">
                <c:v>0.5</c:v>
              </c:pt>
              <c:pt idx="1">
                <c:v>0.75</c:v>
              </c:pt>
              <c:pt idx="2">
                <c:v>1</c:v>
              </c:pt>
              <c:pt idx="3">
                <c:v>1.5</c:v>
              </c:pt>
              <c:pt idx="4">
                <c:v>2</c:v>
              </c:pt>
              <c:pt idx="5">
                <c:v>3</c:v>
              </c:pt>
              <c:pt idx="6">
                <c:v>4</c:v>
              </c:pt>
              <c:pt idx="7">
                <c:v>6</c:v>
              </c:pt>
              <c:pt idx="8">
                <c:v>8</c:v>
              </c:pt>
              <c:pt idx="9">
                <c:v>10</c:v>
              </c:pt>
              <c:pt idx="10">
                <c:v>12</c:v>
              </c:pt>
              <c:pt idx="11">
                <c:v>14</c:v>
              </c:pt>
              <c:pt idx="12">
                <c:v>16</c:v>
              </c:pt>
              <c:pt idx="13">
                <c:v>18</c:v>
              </c:pt>
              <c:pt idx="14">
                <c:v>20</c:v>
              </c:pt>
              <c:pt idx="15">
                <c:v>24</c:v>
              </c:pt>
            </c:numLit>
          </c:xVal>
          <c:yVal>
            <c:numLit>
              <c:formatCode>General</c:formatCode>
              <c:ptCount val="16"/>
              <c:pt idx="0">
                <c:v>15</c:v>
              </c:pt>
              <c:pt idx="1">
                <c:v>15</c:v>
              </c:pt>
              <c:pt idx="2">
                <c:v>19</c:v>
              </c:pt>
              <c:pt idx="3">
                <c:v>33</c:v>
              </c:pt>
              <c:pt idx="4">
                <c:v>32.47</c:v>
              </c:pt>
              <c:pt idx="5">
                <c:v>73.2</c:v>
              </c:pt>
              <c:pt idx="6">
                <c:v>165</c:v>
              </c:pt>
              <c:pt idx="7">
                <c:v>315</c:v>
              </c:pt>
              <c:pt idx="8">
                <c:v>720</c:v>
              </c:pt>
              <c:pt idx="9">
                <c:v>950</c:v>
              </c:pt>
              <c:pt idx="10">
                <c:v>1350</c:v>
              </c:pt>
              <c:pt idx="11">
                <c:v>1585</c:v>
              </c:pt>
              <c:pt idx="12">
                <c:v>2250</c:v>
              </c:pt>
              <c:pt idx="13">
                <c:v>3320</c:v>
              </c:pt>
              <c:pt idx="14">
                <c:v>6500</c:v>
              </c:pt>
              <c:pt idx="15">
                <c:v>12000</c:v>
              </c:pt>
            </c:numLit>
          </c:yVal>
          <c:smooth val="0"/>
          <c:extLst>
            <c:ext xmlns:c16="http://schemas.microsoft.com/office/drawing/2014/chart" uri="{C3380CC4-5D6E-409C-BE32-E72D297353CC}">
              <c16:uniqueId val="{00000004-D51E-4F10-848B-DBF383BB93EA}"/>
            </c:ext>
          </c:extLst>
        </c:ser>
        <c:dLbls>
          <c:showLegendKey val="0"/>
          <c:showVal val="0"/>
          <c:showCatName val="0"/>
          <c:showSerName val="0"/>
          <c:showPercent val="0"/>
          <c:showBubbleSize val="0"/>
        </c:dLbls>
        <c:axId val="566949496"/>
        <c:axId val="566949888"/>
      </c:scatterChart>
      <c:valAx>
        <c:axId val="5669494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566949888"/>
        <c:crosses val="autoZero"/>
        <c:crossBetween val="midCat"/>
      </c:valAx>
      <c:valAx>
        <c:axId val="566949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56694949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chart>
  <c:spPr>
    <a:solidFill>
      <a:schemeClr val="bg1"/>
    </a:solidFill>
    <a:ln w="9525" cap="flat" cmpd="sng" algn="ctr">
      <a:noFill/>
      <a:round/>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304800</xdr:colOff>
      <xdr:row>0</xdr:row>
      <xdr:rowOff>0</xdr:rowOff>
    </xdr:from>
    <xdr:to>
      <xdr:col>0</xdr:col>
      <xdr:colOff>1356360</xdr:colOff>
      <xdr:row>5</xdr:row>
      <xdr:rowOff>91440</xdr:rowOff>
    </xdr:to>
    <xdr:pic>
      <xdr:nvPicPr>
        <xdr:cNvPr id="2" name="Immagine 1" descr="Risultati immagini per dado">
          <a:extLst>
            <a:ext uri="{FF2B5EF4-FFF2-40B4-BE49-F238E27FC236}">
              <a16:creationId xmlns:a16="http://schemas.microsoft.com/office/drawing/2014/main" id="{68C4C13D-974D-4C7A-B88B-6B2C41C91B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0"/>
          <a:ext cx="1051560" cy="1051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209549</xdr:colOff>
      <xdr:row>42</xdr:row>
      <xdr:rowOff>28574</xdr:rowOff>
    </xdr:from>
    <xdr:to>
      <xdr:col>8</xdr:col>
      <xdr:colOff>2019299</xdr:colOff>
      <xdr:row>75</xdr:row>
      <xdr:rowOff>45719</xdr:rowOff>
    </xdr:to>
    <xdr:graphicFrame macro="">
      <xdr:nvGraphicFramePr>
        <xdr:cNvPr id="2" name="Grafico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213360</xdr:colOff>
      <xdr:row>95</xdr:row>
      <xdr:rowOff>27941</xdr:rowOff>
    </xdr:from>
    <xdr:to>
      <xdr:col>8</xdr:col>
      <xdr:colOff>2023110</xdr:colOff>
      <xdr:row>114</xdr:row>
      <xdr:rowOff>121920</xdr:rowOff>
    </xdr:to>
    <xdr:graphicFrame macro="">
      <xdr:nvGraphicFramePr>
        <xdr:cNvPr id="3" name="Grafico 2">
          <a:extLst>
            <a:ext uri="{FF2B5EF4-FFF2-40B4-BE49-F238E27FC236}">
              <a16:creationId xmlns:a16="http://schemas.microsoft.com/office/drawing/2014/main" id="{1F1C72D8-BE0E-4817-B57C-B1EF3DB9FE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49696</xdr:colOff>
      <xdr:row>0</xdr:row>
      <xdr:rowOff>60315</xdr:rowOff>
    </xdr:from>
    <xdr:to>
      <xdr:col>15</xdr:col>
      <xdr:colOff>381000</xdr:colOff>
      <xdr:row>12</xdr:row>
      <xdr:rowOff>140805</xdr:rowOff>
    </xdr:to>
    <xdr:graphicFrame macro="">
      <xdr:nvGraphicFramePr>
        <xdr:cNvPr id="2" name="Grafico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158115</xdr:colOff>
      <xdr:row>22</xdr:row>
      <xdr:rowOff>91442</xdr:rowOff>
    </xdr:from>
    <xdr:to>
      <xdr:col>8</xdr:col>
      <xdr:colOff>876300</xdr:colOff>
      <xdr:row>27</xdr:row>
      <xdr:rowOff>104776</xdr:rowOff>
    </xdr:to>
    <xdr:graphicFrame macro="">
      <xdr:nvGraphicFramePr>
        <xdr:cNvPr id="3" name="Grafico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12</xdr:col>
      <xdr:colOff>95250</xdr:colOff>
      <xdr:row>2</xdr:row>
      <xdr:rowOff>142875</xdr:rowOff>
    </xdr:from>
    <xdr:to>
      <xdr:col>19</xdr:col>
      <xdr:colOff>495300</xdr:colOff>
      <xdr:row>27</xdr:row>
      <xdr:rowOff>104775</xdr:rowOff>
    </xdr:to>
    <xdr:graphicFrame macro="">
      <xdr:nvGraphicFramePr>
        <xdr:cNvPr id="2" name="Grafico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123824</xdr:colOff>
      <xdr:row>29</xdr:row>
      <xdr:rowOff>123826</xdr:rowOff>
    </xdr:from>
    <xdr:to>
      <xdr:col>19</xdr:col>
      <xdr:colOff>552449</xdr:colOff>
      <xdr:row>54</xdr:row>
      <xdr:rowOff>38100</xdr:rowOff>
    </xdr:to>
    <xdr:graphicFrame macro="">
      <xdr:nvGraphicFramePr>
        <xdr:cNvPr id="3" name="Grafico 2">
          <a:extLst>
            <a:ext uri="{FF2B5EF4-FFF2-40B4-BE49-F238E27FC236}">
              <a16:creationId xmlns:a16="http://schemas.microsoft.com/office/drawing/2014/main" id="{00000000-0008-0000-1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66676</xdr:colOff>
      <xdr:row>78</xdr:row>
      <xdr:rowOff>17254</xdr:rowOff>
    </xdr:from>
    <xdr:to>
      <xdr:col>15</xdr:col>
      <xdr:colOff>361950</xdr:colOff>
      <xdr:row>94</xdr:row>
      <xdr:rowOff>163904</xdr:rowOff>
    </xdr:to>
    <xdr:pic>
      <xdr:nvPicPr>
        <xdr:cNvPr id="3" name="Immagine 2">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96151" y="15609679"/>
          <a:ext cx="2733674" cy="3404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38100</xdr:colOff>
      <xdr:row>1</xdr:row>
      <xdr:rowOff>76200</xdr:rowOff>
    </xdr:from>
    <xdr:to>
      <xdr:col>19</xdr:col>
      <xdr:colOff>401547</xdr:colOff>
      <xdr:row>16</xdr:row>
      <xdr:rowOff>114644</xdr:rowOff>
    </xdr:to>
    <xdr:pic>
      <xdr:nvPicPr>
        <xdr:cNvPr id="2" name="Immagine 3" descr="16.5.png">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1257300" y="419100"/>
          <a:ext cx="10726647" cy="0"/>
        </a:xfrm>
        <a:prstGeom prst="rect">
          <a:avLst/>
        </a:prstGeom>
        <a:noFill/>
        <a:ln w="9525">
          <a:noFill/>
          <a:miter lim="800000"/>
          <a:headEnd/>
          <a:tailEnd/>
        </a:ln>
      </xdr:spPr>
    </xdr:pic>
    <xdr:clientData/>
  </xdr:twoCellAnchor>
  <xdr:twoCellAnchor>
    <xdr:from>
      <xdr:col>2</xdr:col>
      <xdr:colOff>9525</xdr:colOff>
      <xdr:row>44</xdr:row>
      <xdr:rowOff>85725</xdr:rowOff>
    </xdr:from>
    <xdr:to>
      <xdr:col>19</xdr:col>
      <xdr:colOff>352425</xdr:colOff>
      <xdr:row>60</xdr:row>
      <xdr:rowOff>57150</xdr:rowOff>
    </xdr:to>
    <xdr:pic>
      <xdr:nvPicPr>
        <xdr:cNvPr id="3" name="Immagine 4" descr="16.5 300.png">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2" cstate="print"/>
        <a:srcRect/>
        <a:stretch>
          <a:fillRect/>
        </a:stretch>
      </xdr:blipFill>
      <xdr:spPr bwMode="auto">
        <a:xfrm>
          <a:off x="1228725" y="5029200"/>
          <a:ext cx="10706100" cy="0"/>
        </a:xfrm>
        <a:prstGeom prst="rect">
          <a:avLst/>
        </a:prstGeom>
        <a:noFill/>
        <a:ln w="9525">
          <a:noFill/>
          <a:miter lim="800000"/>
          <a:headEnd/>
          <a:tailEnd/>
        </a:ln>
      </xdr:spPr>
    </xdr:pic>
    <xdr:clientData/>
  </xdr:twoCellAnchor>
  <xdr:twoCellAnchor>
    <xdr:from>
      <xdr:col>2</xdr:col>
      <xdr:colOff>9525</xdr:colOff>
      <xdr:row>179</xdr:row>
      <xdr:rowOff>95250</xdr:rowOff>
    </xdr:from>
    <xdr:to>
      <xdr:col>19</xdr:col>
      <xdr:colOff>361950</xdr:colOff>
      <xdr:row>195</xdr:row>
      <xdr:rowOff>47625</xdr:rowOff>
    </xdr:to>
    <xdr:pic>
      <xdr:nvPicPr>
        <xdr:cNvPr id="4" name="Immagine 5" descr="16.5 2500.png">
          <a:extLst>
            <a:ext uri="{FF2B5EF4-FFF2-40B4-BE49-F238E27FC236}">
              <a16:creationId xmlns:a16="http://schemas.microsoft.com/office/drawing/2014/main" id="{00000000-0008-0000-1600-000004000000}"/>
            </a:ext>
          </a:extLst>
        </xdr:cNvPr>
        <xdr:cNvPicPr>
          <a:picLocks noChangeAspect="1"/>
        </xdr:cNvPicPr>
      </xdr:nvPicPr>
      <xdr:blipFill>
        <a:blip xmlns:r="http://schemas.openxmlformats.org/officeDocument/2006/relationships" r:embed="rId3" cstate="print"/>
        <a:srcRect/>
        <a:stretch>
          <a:fillRect/>
        </a:stretch>
      </xdr:blipFill>
      <xdr:spPr bwMode="auto">
        <a:xfrm>
          <a:off x="1228725" y="24898350"/>
          <a:ext cx="10715625" cy="0"/>
        </a:xfrm>
        <a:prstGeom prst="rect">
          <a:avLst/>
        </a:prstGeom>
        <a:noFill/>
        <a:ln w="9525">
          <a:noFill/>
          <a:miter lim="800000"/>
          <a:headEnd/>
          <a:tailEnd/>
        </a:ln>
      </xdr:spPr>
    </xdr:pic>
    <xdr:clientData/>
  </xdr:twoCellAnchor>
  <xdr:twoCellAnchor>
    <xdr:from>
      <xdr:col>2</xdr:col>
      <xdr:colOff>28575</xdr:colOff>
      <xdr:row>214</xdr:row>
      <xdr:rowOff>57150</xdr:rowOff>
    </xdr:from>
    <xdr:to>
      <xdr:col>20</xdr:col>
      <xdr:colOff>190500</xdr:colOff>
      <xdr:row>228</xdr:row>
      <xdr:rowOff>95250</xdr:rowOff>
    </xdr:to>
    <xdr:pic>
      <xdr:nvPicPr>
        <xdr:cNvPr id="5" name="Immagine 6" descr="16.47A 300.png">
          <a:extLst>
            <a:ext uri="{FF2B5EF4-FFF2-40B4-BE49-F238E27FC236}">
              <a16:creationId xmlns:a16="http://schemas.microsoft.com/office/drawing/2014/main" id="{00000000-0008-0000-1600-000005000000}"/>
            </a:ext>
          </a:extLst>
        </xdr:cNvPr>
        <xdr:cNvPicPr>
          <a:picLocks noChangeAspect="1"/>
        </xdr:cNvPicPr>
      </xdr:nvPicPr>
      <xdr:blipFill>
        <a:blip xmlns:r="http://schemas.openxmlformats.org/officeDocument/2006/relationships" r:embed="rId4" cstate="print"/>
        <a:srcRect/>
        <a:stretch>
          <a:fillRect/>
        </a:stretch>
      </xdr:blipFill>
      <xdr:spPr bwMode="auto">
        <a:xfrm>
          <a:off x="1247775" y="27965400"/>
          <a:ext cx="11134725" cy="0"/>
        </a:xfrm>
        <a:prstGeom prst="rect">
          <a:avLst/>
        </a:prstGeom>
        <a:noFill/>
        <a:ln w="9525">
          <a:noFill/>
          <a:miter lim="800000"/>
          <a:headEnd/>
          <a:tailEnd/>
        </a:ln>
      </xdr:spPr>
    </xdr:pic>
    <xdr:clientData/>
  </xdr:twoCellAnchor>
  <xdr:twoCellAnchor>
    <xdr:from>
      <xdr:col>2</xdr:col>
      <xdr:colOff>9525</xdr:colOff>
      <xdr:row>322</xdr:row>
      <xdr:rowOff>104775</xdr:rowOff>
    </xdr:from>
    <xdr:to>
      <xdr:col>20</xdr:col>
      <xdr:colOff>38100</xdr:colOff>
      <xdr:row>335</xdr:row>
      <xdr:rowOff>76200</xdr:rowOff>
    </xdr:to>
    <xdr:pic>
      <xdr:nvPicPr>
        <xdr:cNvPr id="6" name="Immagine 7" descr="B16.47A 900.png">
          <a:extLst>
            <a:ext uri="{FF2B5EF4-FFF2-40B4-BE49-F238E27FC236}">
              <a16:creationId xmlns:a16="http://schemas.microsoft.com/office/drawing/2014/main" id="{00000000-0008-0000-1600-000006000000}"/>
            </a:ext>
          </a:extLst>
        </xdr:cNvPr>
        <xdr:cNvPicPr>
          <a:picLocks noChangeAspect="1"/>
        </xdr:cNvPicPr>
      </xdr:nvPicPr>
      <xdr:blipFill>
        <a:blip xmlns:r="http://schemas.openxmlformats.org/officeDocument/2006/relationships" r:embed="rId5" cstate="print"/>
        <a:srcRect/>
        <a:stretch>
          <a:fillRect/>
        </a:stretch>
      </xdr:blipFill>
      <xdr:spPr bwMode="auto">
        <a:xfrm>
          <a:off x="1228725" y="43262550"/>
          <a:ext cx="11001375" cy="0"/>
        </a:xfrm>
        <a:prstGeom prst="rect">
          <a:avLst/>
        </a:prstGeom>
        <a:noFill/>
        <a:ln w="9525">
          <a:noFill/>
          <a:miter lim="800000"/>
          <a:headEnd/>
          <a:tailEnd/>
        </a:ln>
      </xdr:spPr>
    </xdr:pic>
    <xdr:clientData/>
  </xdr:twoCellAnchor>
  <xdr:twoCellAnchor>
    <xdr:from>
      <xdr:col>2</xdr:col>
      <xdr:colOff>0</xdr:colOff>
      <xdr:row>353</xdr:row>
      <xdr:rowOff>76200</xdr:rowOff>
    </xdr:from>
    <xdr:to>
      <xdr:col>20</xdr:col>
      <xdr:colOff>85725</xdr:colOff>
      <xdr:row>369</xdr:row>
      <xdr:rowOff>85725</xdr:rowOff>
    </xdr:to>
    <xdr:pic>
      <xdr:nvPicPr>
        <xdr:cNvPr id="7" name="Immagine 8" descr="16.47B.png">
          <a:extLst>
            <a:ext uri="{FF2B5EF4-FFF2-40B4-BE49-F238E27FC236}">
              <a16:creationId xmlns:a16="http://schemas.microsoft.com/office/drawing/2014/main" id="{00000000-0008-0000-1600-000007000000}"/>
            </a:ext>
          </a:extLst>
        </xdr:cNvPr>
        <xdr:cNvPicPr>
          <a:picLocks noChangeAspect="1"/>
        </xdr:cNvPicPr>
      </xdr:nvPicPr>
      <xdr:blipFill>
        <a:blip xmlns:r="http://schemas.openxmlformats.org/officeDocument/2006/relationships" r:embed="rId6" cstate="print"/>
        <a:srcRect/>
        <a:stretch>
          <a:fillRect/>
        </a:stretch>
      </xdr:blipFill>
      <xdr:spPr bwMode="auto">
        <a:xfrm>
          <a:off x="1219200" y="46062900"/>
          <a:ext cx="11058525" cy="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person displayName="Asco Proposal CE" id="{68D429C7-7B9C-4358-B99F-58F68AEDE62B}" userId="S::asco.proposal.ce@mottcorp.com::bd072a70-dd4b-4043-80de-9c11ba4486d6" providerId="AD"/>
</personList>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35" dT="2024-01-17T15:08:07.93" personId="{68D429C7-7B9C-4358-B99F-58F68AEDE62B}" id="{18E5DBFF-6FD7-4B5F-BF29-CA0C1820CEE4}">
    <text>Offerta Heareus 17-01-24</text>
  </threadedComment>
</ThreadedComments>
</file>

<file path=xl/threadedComments/threadedComment2.xml><?xml version="1.0" encoding="utf-8"?>
<ThreadedComments xmlns="http://schemas.microsoft.com/office/spreadsheetml/2018/threadedcomments" xmlns:x="http://schemas.openxmlformats.org/spreadsheetml/2006/main">
  <threadedComment ref="U33" dT="2023-08-30T09:52:44.02" personId="{68D429C7-7B9C-4358-B99F-58F68AEDE62B}" id="{ECF36AC9-83BE-4945-909A-96B440CA8DA5}" done="1">
    <text xml:space="preserve">Offerta FATI </text>
  </threadedComment>
  <threadedComment ref="U34" dT="2023-09-17T17:01:15.67" personId="{68D429C7-7B9C-4358-B99F-58F68AEDE62B}" id="{8C6445DA-F3C0-4BA1-BEF3-DF57988FAC49}">
    <text>Stima DATCOR</text>
  </threadedComment>
  <threadedComment ref="U35" dT="2023-08-30T09:53:19.87" personId="{68D429C7-7B9C-4358-B99F-58F68AEDE62B}" id="{6DA67AA8-DC26-4C6A-BB86-F0D211E78936}">
    <text>Offerta FATI</text>
  </threadedComment>
  <threadedComment ref="U36" dT="2024-01-16T14:34:22.64" personId="{68D429C7-7B9C-4358-B99F-58F68AEDE62B}" id="{A6C9361D-304D-4A18-8ACE-67BBA107BBF0}">
    <text>Offerta FINK 6440324 dtd 16/01/24</text>
  </threadedComment>
  <threadedComment ref="U38" dT="2023-09-17T17:01:15.67" personId="{68D429C7-7B9C-4358-B99F-58F68AEDE62B}" id="{DAD95333-B999-4BE0-9124-3E5581D35650}">
    <text>Stima DATCOR</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7.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8.bin"/><Relationship Id="rId4" Type="http://schemas.microsoft.com/office/2017/10/relationships/threadedComment" Target="../threadedComments/threadedComment2.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pageSetUpPr fitToPage="1"/>
  </sheetPr>
  <dimension ref="A1:C28"/>
  <sheetViews>
    <sheetView view="pageBreakPreview" topLeftCell="A18" zoomScaleNormal="100" zoomScaleSheetLayoutView="100" workbookViewId="0">
      <selection activeCell="B2" sqref="B2:B4"/>
    </sheetView>
  </sheetViews>
  <sheetFormatPr defaultRowHeight="14.4" x14ac:dyDescent="0.3"/>
  <cols>
    <col min="1" max="1" width="23.21875" customWidth="1"/>
    <col min="2" max="2" width="5.21875" customWidth="1"/>
    <col min="3" max="3" width="76.21875" customWidth="1"/>
  </cols>
  <sheetData>
    <row r="1" spans="1:3" ht="18" x14ac:dyDescent="0.35">
      <c r="A1" s="113"/>
      <c r="B1" s="1138" t="s">
        <v>0</v>
      </c>
      <c r="C1" s="115"/>
    </row>
    <row r="2" spans="1:3" x14ac:dyDescent="0.3">
      <c r="A2" s="116"/>
      <c r="B2" s="59"/>
      <c r="C2" s="117"/>
    </row>
    <row r="3" spans="1:3" x14ac:dyDescent="0.3">
      <c r="A3" s="116"/>
      <c r="B3" s="59"/>
      <c r="C3" s="117"/>
    </row>
    <row r="4" spans="1:3" x14ac:dyDescent="0.3">
      <c r="A4" s="116"/>
      <c r="B4" s="59"/>
      <c r="C4" s="117"/>
    </row>
    <row r="5" spans="1:3" x14ac:dyDescent="0.3">
      <c r="A5" s="116"/>
      <c r="B5" s="59"/>
      <c r="C5" s="117"/>
    </row>
    <row r="6" spans="1:3" x14ac:dyDescent="0.3">
      <c r="A6" s="116"/>
      <c r="B6" s="59"/>
      <c r="C6" s="1139"/>
    </row>
    <row r="7" spans="1:3" x14ac:dyDescent="0.3">
      <c r="A7" s="116" t="s">
        <v>1</v>
      </c>
      <c r="B7" s="59"/>
      <c r="C7" s="117"/>
    </row>
    <row r="8" spans="1:3" x14ac:dyDescent="0.3">
      <c r="A8" s="1356" t="s">
        <v>2</v>
      </c>
      <c r="B8" s="1376" t="s">
        <v>3</v>
      </c>
      <c r="C8" s="1377"/>
    </row>
    <row r="9" spans="1:3" ht="33" customHeight="1" x14ac:dyDescent="0.3">
      <c r="A9" s="1132"/>
      <c r="B9" s="1133">
        <v>1</v>
      </c>
      <c r="C9" s="1134"/>
    </row>
    <row r="10" spans="1:3" ht="33" customHeight="1" x14ac:dyDescent="0.3">
      <c r="A10" s="1132"/>
      <c r="B10" s="1133">
        <v>2</v>
      </c>
      <c r="C10" s="1134"/>
    </row>
    <row r="11" spans="1:3" ht="33" customHeight="1" x14ac:dyDescent="0.3">
      <c r="A11" s="1132"/>
      <c r="B11" s="1133">
        <v>3</v>
      </c>
      <c r="C11" s="1134"/>
    </row>
    <row r="12" spans="1:3" ht="33" customHeight="1" x14ac:dyDescent="0.3">
      <c r="A12" s="1132"/>
      <c r="B12" s="1133">
        <v>4</v>
      </c>
      <c r="C12" s="1134"/>
    </row>
    <row r="13" spans="1:3" ht="33" customHeight="1" x14ac:dyDescent="0.3">
      <c r="A13" s="1132"/>
      <c r="B13" s="1133">
        <v>5</v>
      </c>
      <c r="C13" s="1134"/>
    </row>
    <row r="14" spans="1:3" ht="33" customHeight="1" x14ac:dyDescent="0.3">
      <c r="A14" s="1132"/>
      <c r="B14" s="1133">
        <v>6</v>
      </c>
      <c r="C14" s="1134"/>
    </row>
    <row r="15" spans="1:3" ht="33" customHeight="1" x14ac:dyDescent="0.3">
      <c r="A15" s="1132"/>
      <c r="B15" s="1133">
        <v>7</v>
      </c>
      <c r="C15" s="1134"/>
    </row>
    <row r="16" spans="1:3" ht="33" customHeight="1" x14ac:dyDescent="0.3">
      <c r="A16" s="1132"/>
      <c r="B16" s="1133">
        <v>8</v>
      </c>
      <c r="C16" s="1134"/>
    </row>
    <row r="17" spans="1:3" ht="33" customHeight="1" x14ac:dyDescent="0.3">
      <c r="A17" s="1132"/>
      <c r="B17" s="1133">
        <v>9</v>
      </c>
      <c r="C17" s="1134"/>
    </row>
    <row r="18" spans="1:3" ht="33" customHeight="1" x14ac:dyDescent="0.3">
      <c r="A18" s="1132"/>
      <c r="B18" s="1133">
        <v>10</v>
      </c>
      <c r="C18" s="1134"/>
    </row>
    <row r="19" spans="1:3" ht="33" customHeight="1" x14ac:dyDescent="0.3">
      <c r="A19" s="1132"/>
      <c r="B19" s="1133">
        <v>11</v>
      </c>
      <c r="C19" s="1134"/>
    </row>
    <row r="20" spans="1:3" ht="33" customHeight="1" x14ac:dyDescent="0.3">
      <c r="A20" s="1132"/>
      <c r="B20" s="1133">
        <v>12</v>
      </c>
      <c r="C20" s="1134"/>
    </row>
    <row r="21" spans="1:3" ht="33" customHeight="1" x14ac:dyDescent="0.3">
      <c r="A21" s="1132"/>
      <c r="B21" s="1133">
        <v>13</v>
      </c>
      <c r="C21" s="1134"/>
    </row>
    <row r="22" spans="1:3" ht="33" customHeight="1" x14ac:dyDescent="0.3">
      <c r="A22" s="1132"/>
      <c r="B22" s="1133">
        <v>14</v>
      </c>
      <c r="C22" s="1134"/>
    </row>
    <row r="23" spans="1:3" ht="33" customHeight="1" x14ac:dyDescent="0.3">
      <c r="A23" s="1132"/>
      <c r="B23" s="1133">
        <v>15</v>
      </c>
      <c r="C23" s="1134"/>
    </row>
    <row r="24" spans="1:3" ht="33" customHeight="1" x14ac:dyDescent="0.3">
      <c r="A24" s="1132"/>
      <c r="B24" s="1133">
        <v>16</v>
      </c>
      <c r="C24" s="1134"/>
    </row>
    <row r="25" spans="1:3" ht="33" customHeight="1" x14ac:dyDescent="0.3">
      <c r="A25" s="1132"/>
      <c r="B25" s="1133">
        <v>17</v>
      </c>
      <c r="C25" s="1134"/>
    </row>
    <row r="26" spans="1:3" ht="33" customHeight="1" x14ac:dyDescent="0.3">
      <c r="A26" s="1132"/>
      <c r="B26" s="1133">
        <v>18</v>
      </c>
      <c r="C26" s="1134"/>
    </row>
    <row r="27" spans="1:3" ht="33" customHeight="1" x14ac:dyDescent="0.3">
      <c r="A27" s="1132"/>
      <c r="B27" s="1133">
        <v>19</v>
      </c>
      <c r="C27" s="1134"/>
    </row>
    <row r="28" spans="1:3" ht="33" customHeight="1" thickBot="1" x14ac:dyDescent="0.35">
      <c r="A28" s="1135"/>
      <c r="B28" s="1136">
        <v>20</v>
      </c>
      <c r="C28" s="1137"/>
    </row>
  </sheetData>
  <pageMargins left="0.70866141732283472" right="0.70866141732283472" top="0.74803149606299213" bottom="0.74803149606299213" header="0.31496062992125984" footer="0.31496062992125984"/>
  <pageSetup scale="86" fitToHeight="0" orientation="portrait" r:id="rId1"/>
  <headerFooter>
    <oddHeader>&amp;LMCE Vers. 1.0&amp;C&amp;F&amp;R&amp;"Calibri"&amp;8&amp;K000000Document classified as: 2 - Company Confidential&amp;1#</oddHeader>
    <oddFooter>&amp;C&amp;A - &amp;P&amp;R&amp;D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pageSetUpPr fitToPage="1"/>
  </sheetPr>
  <dimension ref="A1:AN58"/>
  <sheetViews>
    <sheetView topLeftCell="A34" workbookViewId="0">
      <selection activeCell="P39" sqref="P39"/>
    </sheetView>
  </sheetViews>
  <sheetFormatPr defaultRowHeight="14.4" x14ac:dyDescent="0.3"/>
  <cols>
    <col min="1" max="35" width="2.77734375" style="926" customWidth="1"/>
  </cols>
  <sheetData>
    <row r="1" spans="1:40" ht="12" customHeight="1" thickBot="1" x14ac:dyDescent="0.35">
      <c r="A1" s="925"/>
      <c r="B1" s="925"/>
      <c r="C1" s="925"/>
      <c r="D1" s="925"/>
      <c r="E1" s="925"/>
      <c r="F1" s="925"/>
      <c r="G1" s="925"/>
      <c r="H1" s="925"/>
      <c r="I1" s="925"/>
      <c r="J1" s="925"/>
      <c r="K1" s="925"/>
      <c r="L1" s="925"/>
      <c r="M1" s="925"/>
      <c r="N1" s="925"/>
      <c r="O1" s="925"/>
      <c r="P1" s="925"/>
      <c r="Q1" s="925"/>
      <c r="R1" s="925"/>
      <c r="S1" s="925"/>
      <c r="T1" s="925"/>
      <c r="U1" s="925"/>
      <c r="V1" s="925"/>
      <c r="W1" s="925"/>
      <c r="X1" s="925"/>
      <c r="Y1" s="925"/>
      <c r="Z1" s="925"/>
      <c r="AA1" s="925"/>
      <c r="AB1" s="925"/>
      <c r="AC1" s="925"/>
      <c r="AD1" s="925"/>
      <c r="AE1" s="925"/>
      <c r="AF1" s="925"/>
      <c r="AG1" s="925"/>
      <c r="AH1" s="925"/>
      <c r="AI1" s="925"/>
      <c r="AJ1" s="926"/>
      <c r="AK1" s="926"/>
      <c r="AL1" s="926"/>
      <c r="AM1" s="926"/>
      <c r="AN1" s="926"/>
    </row>
    <row r="2" spans="1:40" ht="12" customHeight="1" x14ac:dyDescent="0.3">
      <c r="A2" s="925"/>
      <c r="B2" s="927"/>
      <c r="C2" s="928"/>
      <c r="D2" s="928"/>
      <c r="E2" s="928"/>
      <c r="F2" s="928"/>
      <c r="G2" s="928"/>
      <c r="H2" s="928"/>
      <c r="I2" s="929"/>
      <c r="J2" s="1673" t="s">
        <v>4</v>
      </c>
      <c r="K2" s="1674"/>
      <c r="L2" s="1674"/>
      <c r="M2" s="1674"/>
      <c r="N2" s="1674"/>
      <c r="O2" s="1674"/>
      <c r="P2" s="1674"/>
      <c r="Q2" s="1674"/>
      <c r="R2" s="1674"/>
      <c r="S2" s="1674"/>
      <c r="T2" s="1674"/>
      <c r="U2" s="1674"/>
      <c r="V2" s="1674"/>
      <c r="W2" s="1674"/>
      <c r="X2" s="1674"/>
      <c r="Y2" s="1674"/>
      <c r="Z2" s="1674"/>
      <c r="AA2" s="1675"/>
      <c r="AB2" s="1679"/>
      <c r="AC2" s="1680"/>
      <c r="AD2" s="1680"/>
      <c r="AE2" s="1680"/>
      <c r="AF2" s="1680"/>
      <c r="AG2" s="1680"/>
      <c r="AH2" s="1680"/>
      <c r="AI2" s="1681"/>
      <c r="AJ2" s="926"/>
      <c r="AK2" s="926"/>
      <c r="AL2" s="926"/>
      <c r="AM2" s="926"/>
      <c r="AN2" s="926"/>
    </row>
    <row r="3" spans="1:40" ht="12" customHeight="1" x14ac:dyDescent="0.3">
      <c r="A3" s="925"/>
      <c r="B3" s="930"/>
      <c r="C3" s="925"/>
      <c r="D3" s="925"/>
      <c r="E3" s="925"/>
      <c r="F3" s="925"/>
      <c r="G3" s="925"/>
      <c r="H3" s="925"/>
      <c r="I3" s="931"/>
      <c r="J3" s="1676"/>
      <c r="K3" s="1677"/>
      <c r="L3" s="1677"/>
      <c r="M3" s="1677"/>
      <c r="N3" s="1677"/>
      <c r="O3" s="1677"/>
      <c r="P3" s="1677"/>
      <c r="Q3" s="1677"/>
      <c r="R3" s="1677"/>
      <c r="S3" s="1677"/>
      <c r="T3" s="1677"/>
      <c r="U3" s="1677"/>
      <c r="V3" s="1677"/>
      <c r="W3" s="1677"/>
      <c r="X3" s="1677"/>
      <c r="Y3" s="1677"/>
      <c r="Z3" s="1677"/>
      <c r="AA3" s="1678"/>
      <c r="AB3" s="1682"/>
      <c r="AC3" s="1683"/>
      <c r="AD3" s="1683"/>
      <c r="AE3" s="1683"/>
      <c r="AF3" s="1683"/>
      <c r="AG3" s="1683"/>
      <c r="AH3" s="1683"/>
      <c r="AI3" s="1684"/>
      <c r="AJ3" s="926"/>
      <c r="AK3" s="926"/>
      <c r="AL3" s="926"/>
      <c r="AM3" s="926"/>
      <c r="AN3" s="926"/>
    </row>
    <row r="4" spans="1:40" ht="12" customHeight="1" x14ac:dyDescent="0.3">
      <c r="A4" s="925"/>
      <c r="B4" s="930"/>
      <c r="C4" s="925"/>
      <c r="D4" s="925"/>
      <c r="E4" s="925"/>
      <c r="F4" s="925"/>
      <c r="G4" s="925"/>
      <c r="H4" s="925"/>
      <c r="I4" s="931"/>
      <c r="J4" s="1688" t="s">
        <v>5</v>
      </c>
      <c r="K4" s="1689"/>
      <c r="L4" s="1689"/>
      <c r="M4" s="1689"/>
      <c r="N4" s="1689"/>
      <c r="O4" s="1689"/>
      <c r="P4" s="1689"/>
      <c r="Q4" s="1689"/>
      <c r="R4" s="1689"/>
      <c r="S4" s="1689"/>
      <c r="T4" s="1689"/>
      <c r="U4" s="1689"/>
      <c r="V4" s="1689"/>
      <c r="W4" s="1689"/>
      <c r="X4" s="1689"/>
      <c r="Y4" s="1689"/>
      <c r="Z4" s="1689"/>
      <c r="AA4" s="1690"/>
      <c r="AB4" s="1682"/>
      <c r="AC4" s="1683"/>
      <c r="AD4" s="1683"/>
      <c r="AE4" s="1683"/>
      <c r="AF4" s="1683"/>
      <c r="AG4" s="1683"/>
      <c r="AH4" s="1683"/>
      <c r="AI4" s="1684"/>
      <c r="AJ4" s="926"/>
      <c r="AK4" s="926"/>
      <c r="AL4" s="926"/>
      <c r="AM4" s="926"/>
      <c r="AN4" s="926"/>
    </row>
    <row r="5" spans="1:40" ht="12" customHeight="1" thickBot="1" x14ac:dyDescent="0.35">
      <c r="A5" s="925"/>
      <c r="B5" s="932"/>
      <c r="C5" s="933"/>
      <c r="D5" s="933"/>
      <c r="E5" s="933"/>
      <c r="F5" s="933"/>
      <c r="G5" s="933"/>
      <c r="H5" s="933"/>
      <c r="I5" s="934"/>
      <c r="J5" s="1691"/>
      <c r="K5" s="1692"/>
      <c r="L5" s="1692"/>
      <c r="M5" s="1692"/>
      <c r="N5" s="1692"/>
      <c r="O5" s="1692"/>
      <c r="P5" s="1692"/>
      <c r="Q5" s="1692"/>
      <c r="R5" s="1692"/>
      <c r="S5" s="1692"/>
      <c r="T5" s="1692"/>
      <c r="U5" s="1692"/>
      <c r="V5" s="1692"/>
      <c r="W5" s="1692"/>
      <c r="X5" s="1692"/>
      <c r="Y5" s="1692"/>
      <c r="Z5" s="1692"/>
      <c r="AA5" s="1693"/>
      <c r="AB5" s="1685"/>
      <c r="AC5" s="1686"/>
      <c r="AD5" s="1686"/>
      <c r="AE5" s="1686"/>
      <c r="AF5" s="1686"/>
      <c r="AG5" s="1686"/>
      <c r="AH5" s="1686"/>
      <c r="AI5" s="1687"/>
      <c r="AJ5" s="926"/>
      <c r="AK5" s="926"/>
      <c r="AL5" s="926"/>
      <c r="AM5" s="926"/>
      <c r="AN5" s="926"/>
    </row>
    <row r="6" spans="1:40" ht="12" customHeight="1" x14ac:dyDescent="0.3">
      <c r="A6" s="925">
        <v>1</v>
      </c>
      <c r="B6" s="927"/>
      <c r="C6" s="928"/>
      <c r="D6" s="928"/>
      <c r="E6" s="928"/>
      <c r="F6" s="928"/>
      <c r="G6" s="928"/>
      <c r="H6" s="928"/>
      <c r="I6" s="928"/>
      <c r="J6" s="928"/>
      <c r="K6" s="928"/>
      <c r="L6" s="928"/>
      <c r="M6" s="928"/>
      <c r="N6" s="928"/>
      <c r="O6" s="928"/>
      <c r="P6" s="928"/>
      <c r="Q6" s="928"/>
      <c r="R6" s="928"/>
      <c r="S6" s="928"/>
      <c r="T6" s="928"/>
      <c r="U6" s="928"/>
      <c r="V6" s="928"/>
      <c r="W6" s="928"/>
      <c r="X6" s="928"/>
      <c r="Y6" s="928"/>
      <c r="Z6" s="928"/>
      <c r="AA6" s="928"/>
      <c r="AB6" s="928"/>
      <c r="AC6" s="928"/>
      <c r="AD6" s="928"/>
      <c r="AE6" s="928"/>
      <c r="AF6" s="928"/>
      <c r="AG6" s="928"/>
      <c r="AH6" s="928"/>
      <c r="AI6" s="935"/>
      <c r="AJ6" s="926"/>
      <c r="AK6" s="926"/>
      <c r="AL6" s="926"/>
      <c r="AM6" s="926"/>
      <c r="AN6" s="926"/>
    </row>
    <row r="7" spans="1:40" ht="12" customHeight="1" x14ac:dyDescent="0.3">
      <c r="A7" s="925">
        <v>2</v>
      </c>
      <c r="B7" s="930"/>
      <c r="C7" s="925"/>
      <c r="D7" s="925"/>
      <c r="E7" s="925"/>
      <c r="F7" s="925"/>
      <c r="G7" s="925"/>
      <c r="H7" s="925"/>
      <c r="I7" s="925"/>
      <c r="J7" s="925"/>
      <c r="K7" s="925"/>
      <c r="L7" s="925"/>
      <c r="M7" s="925"/>
      <c r="N7" s="925"/>
      <c r="O7" s="925"/>
      <c r="P7" s="925"/>
      <c r="Q7" s="925"/>
      <c r="R7" s="925"/>
      <c r="S7" s="925"/>
      <c r="T7" s="925"/>
      <c r="U7" s="925"/>
      <c r="V7" s="925"/>
      <c r="W7" s="925"/>
      <c r="X7" s="925"/>
      <c r="Y7" s="925"/>
      <c r="Z7" s="925"/>
      <c r="AA7" s="925"/>
      <c r="AB7" s="925"/>
      <c r="AC7" s="925"/>
      <c r="AD7" s="925"/>
      <c r="AE7" s="925"/>
      <c r="AF7" s="925"/>
      <c r="AG7" s="925"/>
      <c r="AH7" s="925"/>
      <c r="AI7" s="936"/>
      <c r="AJ7" s="926"/>
      <c r="AK7" s="926"/>
      <c r="AL7" s="926"/>
      <c r="AM7" s="926"/>
      <c r="AN7" s="926"/>
    </row>
    <row r="8" spans="1:40" ht="12" customHeight="1" x14ac:dyDescent="0.3">
      <c r="A8" s="925">
        <v>3</v>
      </c>
      <c r="B8" s="937"/>
      <c r="C8" s="925"/>
      <c r="D8" s="925"/>
      <c r="E8" s="925"/>
      <c r="F8" s="925"/>
      <c r="G8" s="925"/>
      <c r="H8" s="925"/>
      <c r="I8" s="925"/>
      <c r="J8" s="925"/>
      <c r="K8" s="925"/>
      <c r="L8" s="925"/>
      <c r="M8" s="925"/>
      <c r="N8" s="925"/>
      <c r="O8" s="925"/>
      <c r="P8" s="925"/>
      <c r="Q8" s="925"/>
      <c r="R8" s="925"/>
      <c r="S8" s="925"/>
      <c r="T8" s="925"/>
      <c r="U8" s="925"/>
      <c r="V8" s="925"/>
      <c r="W8" s="925"/>
      <c r="X8" s="925"/>
      <c r="Y8" s="925"/>
      <c r="Z8" s="925"/>
      <c r="AA8" s="925"/>
      <c r="AB8" s="925"/>
      <c r="AC8" s="925"/>
      <c r="AD8" s="925"/>
      <c r="AE8" s="925"/>
      <c r="AF8" s="925"/>
      <c r="AG8" s="938"/>
      <c r="AH8" s="925"/>
      <c r="AI8" s="936"/>
      <c r="AJ8" s="926"/>
      <c r="AK8" s="926"/>
      <c r="AL8" s="926"/>
      <c r="AM8" s="926"/>
      <c r="AN8" s="926"/>
    </row>
    <row r="9" spans="1:40" ht="12" customHeight="1" x14ac:dyDescent="0.3">
      <c r="A9" s="925">
        <v>4</v>
      </c>
      <c r="B9" s="930"/>
      <c r="C9" s="925"/>
      <c r="D9" s="925"/>
      <c r="E9" s="925"/>
      <c r="F9" s="925"/>
      <c r="G9" s="925"/>
      <c r="H9" s="925"/>
      <c r="I9" s="925"/>
      <c r="J9" s="925"/>
      <c r="K9" s="925"/>
      <c r="L9" s="925"/>
      <c r="M9" s="925"/>
      <c r="N9" s="925"/>
      <c r="O9" s="925"/>
      <c r="P9" s="925"/>
      <c r="Q9" s="925"/>
      <c r="R9" s="925"/>
      <c r="S9" s="925"/>
      <c r="T9" s="925"/>
      <c r="U9" s="925"/>
      <c r="V9" s="925"/>
      <c r="W9" s="925"/>
      <c r="X9" s="925"/>
      <c r="Y9" s="925"/>
      <c r="Z9" s="925"/>
      <c r="AA9" s="925"/>
      <c r="AB9" s="925"/>
      <c r="AC9" s="925"/>
      <c r="AD9" s="925"/>
      <c r="AE9" s="925"/>
      <c r="AF9" s="925"/>
      <c r="AG9" s="925"/>
      <c r="AH9" s="925"/>
      <c r="AI9" s="936"/>
      <c r="AJ9" s="926"/>
      <c r="AK9" s="926"/>
      <c r="AL9" s="926"/>
      <c r="AM9" s="926"/>
      <c r="AN9" s="926"/>
    </row>
    <row r="10" spans="1:40" ht="12" customHeight="1" x14ac:dyDescent="0.3">
      <c r="A10" s="925">
        <v>5</v>
      </c>
      <c r="B10" s="930"/>
      <c r="C10" s="925"/>
      <c r="D10" s="925"/>
      <c r="E10" s="925"/>
      <c r="F10" s="939"/>
      <c r="G10" s="939"/>
      <c r="H10" s="939"/>
      <c r="I10" s="939"/>
      <c r="J10" s="939"/>
      <c r="K10" s="939"/>
      <c r="L10" s="939"/>
      <c r="M10" s="939"/>
      <c r="N10" s="939"/>
      <c r="O10" s="925"/>
      <c r="P10" s="925"/>
      <c r="Q10" s="925"/>
      <c r="R10" s="925"/>
      <c r="S10" s="925"/>
      <c r="T10" s="925"/>
      <c r="U10" s="925"/>
      <c r="V10" s="925"/>
      <c r="W10" s="925"/>
      <c r="X10" s="925"/>
      <c r="Y10" s="925"/>
      <c r="Z10" s="925"/>
      <c r="AA10" s="925"/>
      <c r="AB10" s="925"/>
      <c r="AC10" s="925"/>
      <c r="AD10" s="925"/>
      <c r="AE10" s="925"/>
      <c r="AF10" s="925"/>
      <c r="AG10" s="925"/>
      <c r="AH10" s="925"/>
      <c r="AI10" s="936"/>
      <c r="AJ10" s="926"/>
      <c r="AK10" s="926"/>
      <c r="AL10" s="926"/>
      <c r="AM10" s="926"/>
      <c r="AN10" s="926"/>
    </row>
    <row r="11" spans="1:40" ht="12" customHeight="1" x14ac:dyDescent="0.3">
      <c r="A11" s="925">
        <v>6</v>
      </c>
      <c r="B11" s="930"/>
      <c r="C11" s="925"/>
      <c r="D11" s="925"/>
      <c r="E11" s="939"/>
      <c r="F11" s="939"/>
      <c r="G11" s="939"/>
      <c r="H11" s="939"/>
      <c r="I11" s="939"/>
      <c r="J11" s="939"/>
      <c r="K11" s="939"/>
      <c r="L11" s="939"/>
      <c r="M11" s="939"/>
      <c r="N11" s="939"/>
      <c r="O11" s="940"/>
      <c r="P11" s="940"/>
      <c r="Q11" s="940"/>
      <c r="R11" s="940"/>
      <c r="S11" s="940"/>
      <c r="T11" s="940"/>
      <c r="U11" s="940"/>
      <c r="V11" s="940"/>
      <c r="W11" s="940"/>
      <c r="X11" s="940"/>
      <c r="Y11" s="940"/>
      <c r="Z11" s="940"/>
      <c r="AA11" s="940"/>
      <c r="AB11" s="925"/>
      <c r="AC11" s="925"/>
      <c r="AD11" s="925"/>
      <c r="AE11" s="925"/>
      <c r="AF11" s="925"/>
      <c r="AG11" s="925"/>
      <c r="AH11" s="925"/>
      <c r="AI11" s="936"/>
      <c r="AJ11" s="926"/>
      <c r="AK11" s="926"/>
      <c r="AL11" s="926"/>
      <c r="AM11" s="926"/>
      <c r="AN11" s="926"/>
    </row>
    <row r="12" spans="1:40" ht="12" customHeight="1" x14ac:dyDescent="0.3">
      <c r="A12" s="925">
        <v>7</v>
      </c>
      <c r="B12" s="930"/>
      <c r="C12" s="925"/>
      <c r="D12" s="925"/>
      <c r="E12" s="939"/>
      <c r="F12" s="939"/>
      <c r="G12" s="939"/>
      <c r="H12" s="939"/>
      <c r="I12" s="939"/>
      <c r="J12" s="940"/>
      <c r="K12" s="940"/>
      <c r="L12" s="940"/>
      <c r="M12" s="940"/>
      <c r="N12" s="925"/>
      <c r="O12" s="940"/>
      <c r="P12" s="940"/>
      <c r="Q12" s="940"/>
      <c r="R12" s="940"/>
      <c r="S12" s="940"/>
      <c r="T12" s="940"/>
      <c r="U12" s="940"/>
      <c r="V12" s="940"/>
      <c r="W12" s="940"/>
      <c r="X12" s="940"/>
      <c r="Y12" s="940"/>
      <c r="Z12" s="940"/>
      <c r="AA12" s="940"/>
      <c r="AB12" s="925"/>
      <c r="AC12" s="925"/>
      <c r="AD12" s="925"/>
      <c r="AE12" s="925"/>
      <c r="AF12" s="925"/>
      <c r="AG12" s="925"/>
      <c r="AH12" s="925"/>
      <c r="AI12" s="936"/>
      <c r="AJ12" s="926"/>
      <c r="AK12" s="926"/>
      <c r="AL12" s="926"/>
      <c r="AM12" s="926"/>
      <c r="AN12" s="926"/>
    </row>
    <row r="13" spans="1:40" ht="12" customHeight="1" x14ac:dyDescent="0.3">
      <c r="A13" s="925">
        <v>8</v>
      </c>
      <c r="B13" s="930"/>
      <c r="C13" s="925"/>
      <c r="D13" s="925"/>
      <c r="E13" s="939"/>
      <c r="F13" s="940"/>
      <c r="G13" s="940"/>
      <c r="H13" s="940"/>
      <c r="I13" s="939"/>
      <c r="J13" s="940"/>
      <c r="K13" s="940"/>
      <c r="L13" s="940"/>
      <c r="M13" s="940"/>
      <c r="N13" s="925"/>
      <c r="O13" s="941"/>
      <c r="P13" s="941"/>
      <c r="Q13" s="941"/>
      <c r="R13" s="941"/>
      <c r="S13" s="941"/>
      <c r="T13" s="941"/>
      <c r="U13" s="941"/>
      <c r="V13" s="941"/>
      <c r="W13" s="941"/>
      <c r="X13" s="942"/>
      <c r="Y13" s="942"/>
      <c r="Z13" s="942"/>
      <c r="AA13" s="942"/>
      <c r="AB13" s="925"/>
      <c r="AC13" s="925"/>
      <c r="AD13" s="925"/>
      <c r="AE13" s="925"/>
      <c r="AF13" s="925"/>
      <c r="AG13" s="925"/>
      <c r="AH13" s="925"/>
      <c r="AI13" s="936"/>
      <c r="AJ13" s="926"/>
      <c r="AK13" s="926"/>
      <c r="AL13" s="926"/>
      <c r="AM13" s="926"/>
      <c r="AN13" s="926"/>
    </row>
    <row r="14" spans="1:40" ht="12" customHeight="1" x14ac:dyDescent="0.3">
      <c r="A14" s="925">
        <v>9</v>
      </c>
      <c r="B14" s="930"/>
      <c r="C14" s="925"/>
      <c r="D14" s="925"/>
      <c r="E14" s="939"/>
      <c r="F14" s="940"/>
      <c r="G14" s="940"/>
      <c r="H14" s="940"/>
      <c r="I14" s="943"/>
      <c r="J14" s="940"/>
      <c r="K14" s="940"/>
      <c r="L14" s="940"/>
      <c r="M14" s="940"/>
      <c r="N14" s="925"/>
      <c r="O14" s="941"/>
      <c r="P14" s="941"/>
      <c r="Q14" s="941"/>
      <c r="R14" s="941"/>
      <c r="S14" s="941"/>
      <c r="T14" s="941"/>
      <c r="U14" s="941"/>
      <c r="V14" s="941"/>
      <c r="W14" s="941"/>
      <c r="X14" s="942"/>
      <c r="Y14" s="942"/>
      <c r="Z14" s="942"/>
      <c r="AA14" s="942"/>
      <c r="AB14" s="925"/>
      <c r="AC14" s="925"/>
      <c r="AD14" s="925"/>
      <c r="AE14" s="925"/>
      <c r="AF14" s="925"/>
      <c r="AG14" s="925"/>
      <c r="AH14" s="925"/>
      <c r="AI14" s="936"/>
      <c r="AJ14" s="926"/>
      <c r="AK14" s="926"/>
      <c r="AL14" s="926"/>
      <c r="AM14" s="926"/>
      <c r="AN14" s="926"/>
    </row>
    <row r="15" spans="1:40" ht="12" customHeight="1" x14ac:dyDescent="0.3">
      <c r="A15" s="925">
        <v>10</v>
      </c>
      <c r="B15" s="930"/>
      <c r="C15" s="925"/>
      <c r="D15" s="925"/>
      <c r="E15" s="943"/>
      <c r="F15" s="940"/>
      <c r="G15" s="940"/>
      <c r="H15" s="940"/>
      <c r="I15" s="943"/>
      <c r="J15" s="940"/>
      <c r="K15" s="940"/>
      <c r="L15" s="940"/>
      <c r="M15" s="940"/>
      <c r="N15" s="925"/>
      <c r="O15" s="941"/>
      <c r="P15" s="941"/>
      <c r="Q15" s="941"/>
      <c r="R15" s="941"/>
      <c r="S15" s="941"/>
      <c r="T15" s="941"/>
      <c r="U15" s="941"/>
      <c r="V15" s="941"/>
      <c r="W15" s="941"/>
      <c r="X15" s="942"/>
      <c r="Y15" s="942"/>
      <c r="Z15" s="942"/>
      <c r="AA15" s="942"/>
      <c r="AB15" s="925"/>
      <c r="AC15" s="925"/>
      <c r="AD15" s="925"/>
      <c r="AE15" s="925"/>
      <c r="AF15" s="925"/>
      <c r="AG15" s="925"/>
      <c r="AH15" s="925"/>
      <c r="AI15" s="936"/>
      <c r="AJ15" s="926"/>
      <c r="AK15" s="926"/>
      <c r="AL15" s="926"/>
      <c r="AM15" s="926"/>
      <c r="AN15" s="926"/>
    </row>
    <row r="16" spans="1:40" ht="12" customHeight="1" x14ac:dyDescent="0.3">
      <c r="A16" s="925">
        <v>11</v>
      </c>
      <c r="B16" s="930"/>
      <c r="C16" s="925"/>
      <c r="D16" s="944"/>
      <c r="E16" s="943"/>
      <c r="F16" s="940"/>
      <c r="G16" s="940"/>
      <c r="H16" s="940"/>
      <c r="I16" s="939"/>
      <c r="J16" s="939"/>
      <c r="K16" s="939"/>
      <c r="L16" s="939"/>
      <c r="M16" s="939"/>
      <c r="N16" s="925"/>
      <c r="O16" s="941"/>
      <c r="P16" s="941"/>
      <c r="Q16" s="941"/>
      <c r="R16" s="941"/>
      <c r="S16" s="941"/>
      <c r="T16" s="941"/>
      <c r="U16" s="941"/>
      <c r="V16" s="941"/>
      <c r="W16" s="941"/>
      <c r="X16" s="942"/>
      <c r="Y16" s="942"/>
      <c r="Z16" s="942"/>
      <c r="AA16" s="942"/>
      <c r="AB16" s="925"/>
      <c r="AC16" s="925"/>
      <c r="AD16" s="925"/>
      <c r="AE16" s="925"/>
      <c r="AF16" s="925"/>
      <c r="AG16" s="925"/>
      <c r="AH16" s="925"/>
      <c r="AI16" s="936"/>
      <c r="AJ16" s="926"/>
      <c r="AK16" s="926"/>
      <c r="AL16" s="926"/>
      <c r="AM16" s="926"/>
      <c r="AN16" s="926"/>
    </row>
    <row r="17" spans="1:40" ht="12" customHeight="1" x14ac:dyDescent="0.3">
      <c r="A17" s="925">
        <v>12</v>
      </c>
      <c r="B17" s="930"/>
      <c r="C17" s="925"/>
      <c r="D17" s="944"/>
      <c r="E17" s="939"/>
      <c r="F17" s="939"/>
      <c r="G17" s="939"/>
      <c r="H17" s="939"/>
      <c r="I17" s="939"/>
      <c r="J17" s="939"/>
      <c r="K17" s="939"/>
      <c r="L17" s="939"/>
      <c r="M17" s="939"/>
      <c r="N17" s="925"/>
      <c r="O17" s="940"/>
      <c r="P17" s="940"/>
      <c r="Q17" s="940"/>
      <c r="R17" s="940"/>
      <c r="S17" s="940"/>
      <c r="T17" s="940"/>
      <c r="U17" s="940"/>
      <c r="V17" s="940"/>
      <c r="W17" s="940"/>
      <c r="X17" s="940"/>
      <c r="Y17" s="940"/>
      <c r="Z17" s="940"/>
      <c r="AA17" s="940"/>
      <c r="AB17" s="925"/>
      <c r="AC17" s="925"/>
      <c r="AD17" s="925"/>
      <c r="AE17" s="925"/>
      <c r="AF17" s="925"/>
      <c r="AG17" s="925"/>
      <c r="AH17" s="925"/>
      <c r="AI17" s="936"/>
      <c r="AJ17" s="926"/>
      <c r="AK17" s="926"/>
      <c r="AL17" s="926"/>
      <c r="AM17" s="926"/>
      <c r="AN17" s="926"/>
    </row>
    <row r="18" spans="1:40" ht="12" customHeight="1" x14ac:dyDescent="0.3">
      <c r="A18" s="925">
        <v>13</v>
      </c>
      <c r="B18" s="930"/>
      <c r="C18" s="925"/>
      <c r="D18" s="944"/>
      <c r="E18" s="939"/>
      <c r="F18" s="939"/>
      <c r="G18" s="939"/>
      <c r="H18" s="939"/>
      <c r="I18" s="939"/>
      <c r="J18" s="940"/>
      <c r="K18" s="940"/>
      <c r="L18" s="940"/>
      <c r="M18" s="940"/>
      <c r="N18" s="925"/>
      <c r="O18" s="940"/>
      <c r="P18" s="940"/>
      <c r="Q18" s="940"/>
      <c r="R18" s="940"/>
      <c r="S18" s="940"/>
      <c r="T18" s="940"/>
      <c r="U18" s="940"/>
      <c r="V18" s="940"/>
      <c r="W18" s="940"/>
      <c r="X18" s="940"/>
      <c r="Y18" s="940"/>
      <c r="Z18" s="940"/>
      <c r="AA18" s="940"/>
      <c r="AB18" s="925"/>
      <c r="AC18" s="925"/>
      <c r="AD18" s="925"/>
      <c r="AE18" s="925"/>
      <c r="AF18" s="925"/>
      <c r="AG18" s="925"/>
      <c r="AH18" s="925"/>
      <c r="AI18" s="936"/>
      <c r="AJ18" s="926"/>
      <c r="AK18" s="926"/>
      <c r="AL18" s="926"/>
      <c r="AM18" s="926"/>
      <c r="AN18" s="926"/>
    </row>
    <row r="19" spans="1:40" ht="12" customHeight="1" x14ac:dyDescent="0.3">
      <c r="A19" s="925">
        <v>14</v>
      </c>
      <c r="B19" s="930"/>
      <c r="C19" s="925"/>
      <c r="D19" s="944"/>
      <c r="E19" s="939"/>
      <c r="F19" s="940"/>
      <c r="G19" s="940"/>
      <c r="H19" s="940"/>
      <c r="I19" s="943"/>
      <c r="J19" s="940"/>
      <c r="K19" s="940"/>
      <c r="L19" s="940"/>
      <c r="M19" s="940"/>
      <c r="N19" s="925"/>
      <c r="O19" s="941"/>
      <c r="P19" s="941"/>
      <c r="Q19" s="941"/>
      <c r="R19" s="941"/>
      <c r="S19" s="941"/>
      <c r="T19" s="941"/>
      <c r="U19" s="941"/>
      <c r="V19" s="941"/>
      <c r="W19" s="941"/>
      <c r="X19" s="942"/>
      <c r="Y19" s="942"/>
      <c r="Z19" s="942"/>
      <c r="AA19" s="942"/>
      <c r="AB19" s="925"/>
      <c r="AC19" s="925"/>
      <c r="AD19" s="925"/>
      <c r="AE19" s="925"/>
      <c r="AF19" s="925"/>
      <c r="AG19" s="925"/>
      <c r="AH19" s="925"/>
      <c r="AI19" s="936"/>
      <c r="AJ19" s="926"/>
      <c r="AK19" s="926"/>
      <c r="AL19" s="926"/>
      <c r="AM19" s="926"/>
      <c r="AN19" s="926"/>
    </row>
    <row r="20" spans="1:40" ht="12" customHeight="1" x14ac:dyDescent="0.3">
      <c r="A20" s="925">
        <v>15</v>
      </c>
      <c r="B20" s="930"/>
      <c r="C20" s="925"/>
      <c r="D20" s="925"/>
      <c r="E20" s="943"/>
      <c r="F20" s="940"/>
      <c r="G20" s="940"/>
      <c r="H20" s="940"/>
      <c r="I20" s="943"/>
      <c r="J20" s="940"/>
      <c r="K20" s="940"/>
      <c r="L20" s="940"/>
      <c r="M20" s="940"/>
      <c r="N20" s="925"/>
      <c r="O20" s="941"/>
      <c r="P20" s="941"/>
      <c r="Q20" s="941"/>
      <c r="R20" s="941"/>
      <c r="S20" s="941"/>
      <c r="T20" s="941"/>
      <c r="U20" s="941"/>
      <c r="V20" s="941"/>
      <c r="W20" s="941"/>
      <c r="X20" s="942"/>
      <c r="Y20" s="942"/>
      <c r="Z20" s="942"/>
      <c r="AA20" s="942"/>
      <c r="AB20" s="925"/>
      <c r="AC20" s="925"/>
      <c r="AD20" s="925"/>
      <c r="AE20" s="925"/>
      <c r="AF20" s="925"/>
      <c r="AG20" s="925"/>
      <c r="AH20" s="925"/>
      <c r="AI20" s="936"/>
      <c r="AJ20" s="926"/>
      <c r="AK20" s="926"/>
      <c r="AL20" s="926"/>
      <c r="AM20" s="926"/>
      <c r="AN20" s="926"/>
    </row>
    <row r="21" spans="1:40" ht="12" customHeight="1" x14ac:dyDescent="0.3">
      <c r="A21" s="925">
        <v>16</v>
      </c>
      <c r="B21" s="930"/>
      <c r="C21" s="925"/>
      <c r="D21" s="925"/>
      <c r="E21" s="943"/>
      <c r="F21" s="940"/>
      <c r="G21" s="940"/>
      <c r="H21" s="940"/>
      <c r="I21" s="939"/>
      <c r="J21" s="940"/>
      <c r="K21" s="940"/>
      <c r="L21" s="940"/>
      <c r="M21" s="940"/>
      <c r="N21" s="925"/>
      <c r="O21" s="941"/>
      <c r="P21" s="941"/>
      <c r="Q21" s="941"/>
      <c r="R21" s="941"/>
      <c r="S21" s="941"/>
      <c r="T21" s="941"/>
      <c r="U21" s="941"/>
      <c r="V21" s="941"/>
      <c r="W21" s="941"/>
      <c r="X21" s="942"/>
      <c r="Y21" s="942"/>
      <c r="Z21" s="942"/>
      <c r="AA21" s="942"/>
      <c r="AB21" s="925"/>
      <c r="AC21" s="925"/>
      <c r="AD21" s="925"/>
      <c r="AE21" s="925"/>
      <c r="AF21" s="925"/>
      <c r="AG21" s="925"/>
      <c r="AH21" s="925"/>
      <c r="AI21" s="936"/>
      <c r="AJ21" s="926"/>
      <c r="AK21" s="926"/>
      <c r="AL21" s="926"/>
      <c r="AM21" s="926"/>
      <c r="AN21" s="926"/>
    </row>
    <row r="22" spans="1:40" ht="12" customHeight="1" x14ac:dyDescent="0.3">
      <c r="A22" s="925">
        <v>17</v>
      </c>
      <c r="B22" s="930"/>
      <c r="C22" s="925"/>
      <c r="D22" s="925"/>
      <c r="E22" s="939"/>
      <c r="F22" s="1671" t="s">
        <v>6</v>
      </c>
      <c r="G22" s="1671"/>
      <c r="H22" s="1671"/>
      <c r="I22" s="1671"/>
      <c r="J22" s="1671"/>
      <c r="K22" s="1671"/>
      <c r="L22" s="1671"/>
      <c r="M22" s="1671"/>
      <c r="N22" s="1671"/>
      <c r="O22" s="1671"/>
      <c r="P22" s="1672" t="s">
        <v>4555</v>
      </c>
      <c r="Q22" s="1672"/>
      <c r="R22" s="1672"/>
      <c r="S22" s="1672"/>
      <c r="T22" s="1672"/>
      <c r="U22" s="1672"/>
      <c r="V22" s="1672"/>
      <c r="W22" s="1672"/>
      <c r="X22" s="1672"/>
      <c r="Y22" s="1672"/>
      <c r="Z22" s="1672"/>
      <c r="AA22" s="1672"/>
      <c r="AB22" s="1672"/>
      <c r="AC22" s="1672"/>
      <c r="AD22" s="1672"/>
      <c r="AE22" s="1672"/>
      <c r="AF22" s="1672"/>
      <c r="AG22" s="925"/>
      <c r="AH22" s="925"/>
      <c r="AI22" s="936"/>
      <c r="AJ22" s="926"/>
      <c r="AK22" s="926"/>
      <c r="AL22" s="926"/>
      <c r="AM22" s="926"/>
      <c r="AN22" s="926"/>
    </row>
    <row r="23" spans="1:40" ht="12" customHeight="1" x14ac:dyDescent="0.3">
      <c r="A23" s="925">
        <v>18</v>
      </c>
      <c r="B23" s="930"/>
      <c r="C23" s="925"/>
      <c r="D23" s="925"/>
      <c r="E23" s="939"/>
      <c r="F23" s="1671"/>
      <c r="G23" s="1671"/>
      <c r="H23" s="1671"/>
      <c r="I23" s="1671"/>
      <c r="J23" s="1671"/>
      <c r="K23" s="1671"/>
      <c r="L23" s="1671"/>
      <c r="M23" s="1671"/>
      <c r="N23" s="1671"/>
      <c r="O23" s="1671"/>
      <c r="P23" s="1672"/>
      <c r="Q23" s="1672"/>
      <c r="R23" s="1672"/>
      <c r="S23" s="1672"/>
      <c r="T23" s="1672"/>
      <c r="U23" s="1672"/>
      <c r="V23" s="1672"/>
      <c r="W23" s="1672"/>
      <c r="X23" s="1672"/>
      <c r="Y23" s="1672"/>
      <c r="Z23" s="1672"/>
      <c r="AA23" s="1672"/>
      <c r="AB23" s="1672"/>
      <c r="AC23" s="1672"/>
      <c r="AD23" s="1672"/>
      <c r="AE23" s="1672"/>
      <c r="AF23" s="1672"/>
      <c r="AG23" s="925"/>
      <c r="AH23" s="925"/>
      <c r="AI23" s="936"/>
      <c r="AJ23" s="926"/>
      <c r="AK23" s="926"/>
      <c r="AL23" s="926"/>
      <c r="AM23" s="926"/>
      <c r="AN23" s="926"/>
    </row>
    <row r="24" spans="1:40" ht="12" customHeight="1" x14ac:dyDescent="0.3">
      <c r="A24" s="925">
        <v>19</v>
      </c>
      <c r="B24" s="930"/>
      <c r="C24" s="925"/>
      <c r="D24" s="925"/>
      <c r="E24" s="939"/>
      <c r="F24" s="1671" t="s">
        <v>7</v>
      </c>
      <c r="G24" s="1671"/>
      <c r="H24" s="1671"/>
      <c r="I24" s="1671"/>
      <c r="J24" s="1671"/>
      <c r="K24" s="1671"/>
      <c r="L24" s="1671"/>
      <c r="M24" s="1671"/>
      <c r="N24" s="1671"/>
      <c r="O24" s="1671"/>
      <c r="P24" s="1672" t="s">
        <v>4571</v>
      </c>
      <c r="Q24" s="1672"/>
      <c r="R24" s="1672"/>
      <c r="S24" s="1672"/>
      <c r="T24" s="1672"/>
      <c r="U24" s="1672"/>
      <c r="V24" s="1672"/>
      <c r="W24" s="1672"/>
      <c r="X24" s="1672"/>
      <c r="Y24" s="1672"/>
      <c r="Z24" s="1672"/>
      <c r="AA24" s="1672"/>
      <c r="AB24" s="1672"/>
      <c r="AC24" s="1672"/>
      <c r="AD24" s="1672"/>
      <c r="AE24" s="1672"/>
      <c r="AF24" s="1672"/>
      <c r="AG24" s="925"/>
      <c r="AH24" s="925"/>
      <c r="AI24" s="936"/>
      <c r="AJ24" s="926"/>
      <c r="AK24" s="926"/>
      <c r="AL24" s="926"/>
      <c r="AM24" s="926"/>
      <c r="AN24" s="926"/>
    </row>
    <row r="25" spans="1:40" ht="12" customHeight="1" x14ac:dyDescent="0.3">
      <c r="A25" s="925">
        <v>20</v>
      </c>
      <c r="B25" s="930"/>
      <c r="C25" s="925"/>
      <c r="D25" s="925"/>
      <c r="E25" s="943"/>
      <c r="F25" s="1671"/>
      <c r="G25" s="1671"/>
      <c r="H25" s="1671"/>
      <c r="I25" s="1671"/>
      <c r="J25" s="1671"/>
      <c r="K25" s="1671"/>
      <c r="L25" s="1671"/>
      <c r="M25" s="1671"/>
      <c r="N25" s="1671"/>
      <c r="O25" s="1671"/>
      <c r="P25" s="1672"/>
      <c r="Q25" s="1672"/>
      <c r="R25" s="1672"/>
      <c r="S25" s="1672"/>
      <c r="T25" s="1672"/>
      <c r="U25" s="1672"/>
      <c r="V25" s="1672"/>
      <c r="W25" s="1672"/>
      <c r="X25" s="1672"/>
      <c r="Y25" s="1672"/>
      <c r="Z25" s="1672"/>
      <c r="AA25" s="1672"/>
      <c r="AB25" s="1672"/>
      <c r="AC25" s="1672"/>
      <c r="AD25" s="1672"/>
      <c r="AE25" s="1672"/>
      <c r="AF25" s="1672"/>
      <c r="AG25" s="925"/>
      <c r="AH25" s="925"/>
      <c r="AI25" s="936"/>
      <c r="AJ25" s="926"/>
      <c r="AK25" s="926"/>
      <c r="AL25" s="926"/>
      <c r="AM25" s="926"/>
      <c r="AN25" s="926"/>
    </row>
    <row r="26" spans="1:40" ht="12" customHeight="1" x14ac:dyDescent="0.3">
      <c r="A26" s="925">
        <v>21</v>
      </c>
      <c r="B26" s="930"/>
      <c r="C26" s="925"/>
      <c r="D26" s="925"/>
      <c r="E26" s="939"/>
      <c r="F26" s="1671" t="s">
        <v>8</v>
      </c>
      <c r="G26" s="1671"/>
      <c r="H26" s="1671"/>
      <c r="I26" s="1671"/>
      <c r="J26" s="1671"/>
      <c r="K26" s="1671"/>
      <c r="L26" s="1671"/>
      <c r="M26" s="1671"/>
      <c r="N26" s="1671"/>
      <c r="O26" s="1671"/>
      <c r="P26" s="1672" t="s">
        <v>4557</v>
      </c>
      <c r="Q26" s="1672"/>
      <c r="R26" s="1672"/>
      <c r="S26" s="1672"/>
      <c r="T26" s="1672"/>
      <c r="U26" s="1672"/>
      <c r="V26" s="1672"/>
      <c r="W26" s="1672"/>
      <c r="X26" s="1672"/>
      <c r="Y26" s="1672"/>
      <c r="Z26" s="1672"/>
      <c r="AA26" s="1672"/>
      <c r="AB26" s="1672"/>
      <c r="AC26" s="1672"/>
      <c r="AD26" s="1672"/>
      <c r="AE26" s="1672"/>
      <c r="AF26" s="1672"/>
      <c r="AG26" s="925"/>
      <c r="AH26" s="925"/>
      <c r="AI26" s="936"/>
      <c r="AJ26" s="926"/>
      <c r="AK26" s="926"/>
      <c r="AL26" s="926"/>
      <c r="AM26" s="926"/>
      <c r="AN26" s="926"/>
    </row>
    <row r="27" spans="1:40" ht="12" customHeight="1" x14ac:dyDescent="0.3">
      <c r="A27" s="925">
        <v>22</v>
      </c>
      <c r="B27" s="930"/>
      <c r="C27" s="925"/>
      <c r="D27" s="925"/>
      <c r="E27" s="939"/>
      <c r="F27" s="1671"/>
      <c r="G27" s="1671"/>
      <c r="H27" s="1671"/>
      <c r="I27" s="1671"/>
      <c r="J27" s="1671"/>
      <c r="K27" s="1671"/>
      <c r="L27" s="1671"/>
      <c r="M27" s="1671"/>
      <c r="N27" s="1671"/>
      <c r="O27" s="1671"/>
      <c r="P27" s="1672"/>
      <c r="Q27" s="1672"/>
      <c r="R27" s="1672"/>
      <c r="S27" s="1672"/>
      <c r="T27" s="1672"/>
      <c r="U27" s="1672"/>
      <c r="V27" s="1672"/>
      <c r="W27" s="1672"/>
      <c r="X27" s="1672"/>
      <c r="Y27" s="1672"/>
      <c r="Z27" s="1672"/>
      <c r="AA27" s="1672"/>
      <c r="AB27" s="1672"/>
      <c r="AC27" s="1672"/>
      <c r="AD27" s="1672"/>
      <c r="AE27" s="1672"/>
      <c r="AF27" s="1672"/>
      <c r="AG27" s="925"/>
      <c r="AH27" s="925"/>
      <c r="AI27" s="936"/>
      <c r="AJ27" s="926"/>
      <c r="AK27" s="926"/>
      <c r="AL27" s="926"/>
      <c r="AM27" s="926"/>
      <c r="AN27" s="926"/>
    </row>
    <row r="28" spans="1:40" ht="12" customHeight="1" x14ac:dyDescent="0.3">
      <c r="A28" s="925">
        <v>23</v>
      </c>
      <c r="B28" s="930"/>
      <c r="C28" s="925"/>
      <c r="D28" s="925"/>
      <c r="E28" s="939"/>
      <c r="F28" s="1671" t="s">
        <v>9</v>
      </c>
      <c r="G28" s="1671"/>
      <c r="H28" s="1671"/>
      <c r="I28" s="1671"/>
      <c r="J28" s="1671"/>
      <c r="K28" s="1671"/>
      <c r="L28" s="1671"/>
      <c r="M28" s="1671"/>
      <c r="N28" s="1671"/>
      <c r="O28" s="1671"/>
      <c r="P28" s="1672" t="s">
        <v>4556</v>
      </c>
      <c r="Q28" s="1672"/>
      <c r="R28" s="1672"/>
      <c r="S28" s="1672"/>
      <c r="T28" s="1672"/>
      <c r="U28" s="1672"/>
      <c r="V28" s="1672"/>
      <c r="W28" s="1672"/>
      <c r="X28" s="1672"/>
      <c r="Y28" s="1672"/>
      <c r="Z28" s="1672"/>
      <c r="AA28" s="1672"/>
      <c r="AB28" s="1672"/>
      <c r="AC28" s="1672"/>
      <c r="AD28" s="1672"/>
      <c r="AE28" s="1672"/>
      <c r="AF28" s="1672"/>
      <c r="AG28" s="925"/>
      <c r="AH28" s="925"/>
      <c r="AI28" s="936"/>
      <c r="AJ28" s="926"/>
      <c r="AK28" s="926"/>
      <c r="AL28" s="926"/>
      <c r="AM28" s="926"/>
      <c r="AN28" s="926"/>
    </row>
    <row r="29" spans="1:40" ht="12" customHeight="1" x14ac:dyDescent="0.3">
      <c r="A29" s="925">
        <v>24</v>
      </c>
      <c r="B29" s="930"/>
      <c r="C29" s="925"/>
      <c r="D29" s="925"/>
      <c r="E29" s="939"/>
      <c r="F29" s="1671"/>
      <c r="G29" s="1671"/>
      <c r="H29" s="1671"/>
      <c r="I29" s="1671"/>
      <c r="J29" s="1671"/>
      <c r="K29" s="1671"/>
      <c r="L29" s="1671"/>
      <c r="M29" s="1671"/>
      <c r="N29" s="1671"/>
      <c r="O29" s="1671"/>
      <c r="P29" s="1672"/>
      <c r="Q29" s="1672"/>
      <c r="R29" s="1672"/>
      <c r="S29" s="1672"/>
      <c r="T29" s="1672"/>
      <c r="U29" s="1672"/>
      <c r="V29" s="1672"/>
      <c r="W29" s="1672"/>
      <c r="X29" s="1672"/>
      <c r="Y29" s="1672"/>
      <c r="Z29" s="1672"/>
      <c r="AA29" s="1672"/>
      <c r="AB29" s="1672"/>
      <c r="AC29" s="1672"/>
      <c r="AD29" s="1672"/>
      <c r="AE29" s="1672"/>
      <c r="AF29" s="1672"/>
      <c r="AG29" s="925"/>
      <c r="AH29" s="925"/>
      <c r="AI29" s="936"/>
      <c r="AJ29" s="926"/>
      <c r="AK29" s="926"/>
      <c r="AL29" s="926"/>
      <c r="AM29" s="926"/>
      <c r="AN29" s="926"/>
    </row>
    <row r="30" spans="1:40" ht="12" customHeight="1" x14ac:dyDescent="0.3">
      <c r="A30" s="925">
        <v>25</v>
      </c>
      <c r="B30" s="930"/>
      <c r="C30" s="925"/>
      <c r="D30" s="925"/>
      <c r="E30" s="939"/>
      <c r="F30" s="1671" t="s">
        <v>10</v>
      </c>
      <c r="G30" s="1671"/>
      <c r="H30" s="1671"/>
      <c r="I30" s="1671"/>
      <c r="J30" s="1671"/>
      <c r="K30" s="1671"/>
      <c r="L30" s="1671"/>
      <c r="M30" s="1671"/>
      <c r="N30" s="1671"/>
      <c r="O30" s="1671"/>
      <c r="P30" s="1696" t="s">
        <v>4</v>
      </c>
      <c r="Q30" s="1696"/>
      <c r="R30" s="1696"/>
      <c r="S30" s="1696"/>
      <c r="T30" s="1696"/>
      <c r="U30" s="1696"/>
      <c r="V30" s="1696"/>
      <c r="W30" s="1696"/>
      <c r="X30" s="1696"/>
      <c r="Y30" s="1696"/>
      <c r="Z30" s="1696"/>
      <c r="AA30" s="1696"/>
      <c r="AB30" s="1696"/>
      <c r="AC30" s="1696"/>
      <c r="AD30" s="1696"/>
      <c r="AE30" s="1696"/>
      <c r="AF30" s="1696"/>
      <c r="AG30" s="925"/>
      <c r="AH30" s="925"/>
      <c r="AI30" s="936"/>
      <c r="AJ30" s="926"/>
      <c r="AK30" s="926"/>
      <c r="AL30" s="926"/>
      <c r="AM30" s="926"/>
      <c r="AN30" s="926"/>
    </row>
    <row r="31" spans="1:40" ht="12" customHeight="1" x14ac:dyDescent="0.3">
      <c r="A31" s="925">
        <v>26</v>
      </c>
      <c r="B31" s="930"/>
      <c r="C31" s="925"/>
      <c r="D31" s="925"/>
      <c r="E31" s="939"/>
      <c r="F31" s="1671"/>
      <c r="G31" s="1671"/>
      <c r="H31" s="1671"/>
      <c r="I31" s="1671"/>
      <c r="J31" s="1671"/>
      <c r="K31" s="1671"/>
      <c r="L31" s="1671"/>
      <c r="M31" s="1671"/>
      <c r="N31" s="1671"/>
      <c r="O31" s="1671"/>
      <c r="P31" s="1696"/>
      <c r="Q31" s="1696"/>
      <c r="R31" s="1696"/>
      <c r="S31" s="1696"/>
      <c r="T31" s="1696"/>
      <c r="U31" s="1696"/>
      <c r="V31" s="1696"/>
      <c r="W31" s="1696"/>
      <c r="X31" s="1696"/>
      <c r="Y31" s="1696"/>
      <c r="Z31" s="1696"/>
      <c r="AA31" s="1696"/>
      <c r="AB31" s="1696"/>
      <c r="AC31" s="1696"/>
      <c r="AD31" s="1696"/>
      <c r="AE31" s="1696"/>
      <c r="AF31" s="1696"/>
      <c r="AG31" s="940"/>
      <c r="AH31" s="925"/>
      <c r="AI31" s="936"/>
      <c r="AJ31" s="926"/>
      <c r="AK31" s="926"/>
      <c r="AL31" s="926"/>
      <c r="AM31" s="926"/>
      <c r="AN31" s="926"/>
    </row>
    <row r="32" spans="1:40" ht="12" customHeight="1" x14ac:dyDescent="0.3">
      <c r="A32" s="925">
        <v>27</v>
      </c>
      <c r="B32" s="930"/>
      <c r="C32" s="925"/>
      <c r="D32" s="925"/>
      <c r="E32" s="939"/>
      <c r="F32" s="1671" t="s">
        <v>11</v>
      </c>
      <c r="G32" s="1671"/>
      <c r="H32" s="1671"/>
      <c r="I32" s="1671"/>
      <c r="J32" s="1671"/>
      <c r="K32" s="1671"/>
      <c r="L32" s="1671"/>
      <c r="M32" s="1671"/>
      <c r="N32" s="1671"/>
      <c r="O32" s="1671"/>
      <c r="P32" s="1672"/>
      <c r="Q32" s="1672"/>
      <c r="R32" s="1672"/>
      <c r="S32" s="1672"/>
      <c r="T32" s="1672"/>
      <c r="U32" s="1672"/>
      <c r="V32" s="1672"/>
      <c r="W32" s="1672"/>
      <c r="X32" s="1672"/>
      <c r="Y32" s="1672"/>
      <c r="Z32" s="1672"/>
      <c r="AA32" s="1672"/>
      <c r="AB32" s="1672"/>
      <c r="AC32" s="1672"/>
      <c r="AD32" s="1672"/>
      <c r="AE32" s="1672"/>
      <c r="AF32" s="1672"/>
      <c r="AG32" s="59"/>
      <c r="AH32" s="925"/>
      <c r="AI32" s="936"/>
      <c r="AJ32" s="926"/>
      <c r="AK32" s="926"/>
      <c r="AL32" s="926"/>
      <c r="AM32" s="926"/>
      <c r="AN32" s="926"/>
    </row>
    <row r="33" spans="1:40" ht="12" customHeight="1" x14ac:dyDescent="0.3">
      <c r="A33" s="925">
        <v>28</v>
      </c>
      <c r="B33" s="930"/>
      <c r="C33" s="925"/>
      <c r="D33" s="925"/>
      <c r="E33" s="939"/>
      <c r="F33" s="1671"/>
      <c r="G33" s="1671"/>
      <c r="H33" s="1671"/>
      <c r="I33" s="1671"/>
      <c r="J33" s="1671"/>
      <c r="K33" s="1671"/>
      <c r="L33" s="1671"/>
      <c r="M33" s="1671"/>
      <c r="N33" s="1671"/>
      <c r="O33" s="1671"/>
      <c r="P33" s="1672"/>
      <c r="Q33" s="1672"/>
      <c r="R33" s="1672"/>
      <c r="S33" s="1672"/>
      <c r="T33" s="1672"/>
      <c r="U33" s="1672"/>
      <c r="V33" s="1672"/>
      <c r="W33" s="1672"/>
      <c r="X33" s="1672"/>
      <c r="Y33" s="1672"/>
      <c r="Z33" s="1672"/>
      <c r="AA33" s="1672"/>
      <c r="AB33" s="1672"/>
      <c r="AC33" s="1672"/>
      <c r="AD33" s="1672"/>
      <c r="AE33" s="1672"/>
      <c r="AF33" s="1672"/>
      <c r="AG33" s="925"/>
      <c r="AH33" s="925"/>
      <c r="AI33" s="936"/>
      <c r="AJ33" s="926"/>
      <c r="AK33" s="926"/>
      <c r="AL33" s="926"/>
      <c r="AM33" s="926"/>
      <c r="AN33" s="926"/>
    </row>
    <row r="34" spans="1:40" ht="12" customHeight="1" x14ac:dyDescent="0.3">
      <c r="A34" s="925">
        <v>29</v>
      </c>
      <c r="B34" s="930"/>
      <c r="C34" s="925"/>
      <c r="D34" s="925"/>
      <c r="E34" s="939"/>
      <c r="F34" s="939"/>
      <c r="G34" s="939"/>
      <c r="H34" s="939"/>
      <c r="I34" s="939"/>
      <c r="J34" s="939"/>
      <c r="K34" s="939"/>
      <c r="L34" s="939"/>
      <c r="M34" s="939"/>
      <c r="N34" s="939"/>
      <c r="O34" s="939"/>
      <c r="P34" s="940"/>
      <c r="Q34" s="940"/>
      <c r="R34" s="940"/>
      <c r="S34" s="940"/>
      <c r="T34" s="940"/>
      <c r="U34" s="940"/>
      <c r="V34" s="940"/>
      <c r="W34" s="940"/>
      <c r="X34" s="940"/>
      <c r="Y34" s="940"/>
      <c r="Z34" s="940"/>
      <c r="AA34" s="940"/>
      <c r="AB34" s="925"/>
      <c r="AC34" s="925"/>
      <c r="AD34" s="925"/>
      <c r="AE34" s="925"/>
      <c r="AF34" s="925"/>
      <c r="AG34" s="925"/>
      <c r="AH34" s="925"/>
      <c r="AI34" s="936"/>
      <c r="AJ34" s="926"/>
      <c r="AK34" s="926"/>
      <c r="AL34" s="926"/>
      <c r="AM34" s="926"/>
      <c r="AN34" s="926"/>
    </row>
    <row r="35" spans="1:40" ht="12" customHeight="1" x14ac:dyDescent="0.3">
      <c r="A35" s="925">
        <v>30</v>
      </c>
      <c r="B35" s="930"/>
      <c r="C35" s="925"/>
      <c r="D35" s="925"/>
      <c r="E35" s="939"/>
      <c r="F35" s="925"/>
      <c r="G35" s="925"/>
      <c r="H35" s="925"/>
      <c r="I35" s="939"/>
      <c r="J35" s="939"/>
      <c r="K35" s="939"/>
      <c r="L35" s="939"/>
      <c r="M35" s="939"/>
      <c r="N35" s="939"/>
      <c r="O35" s="939"/>
      <c r="P35" s="940"/>
      <c r="Q35" s="940"/>
      <c r="R35" s="940"/>
      <c r="S35" s="940"/>
      <c r="T35" s="940"/>
      <c r="U35" s="940"/>
      <c r="V35" s="940"/>
      <c r="W35" s="940"/>
      <c r="X35" s="925"/>
      <c r="Y35" s="925"/>
      <c r="Z35" s="925"/>
      <c r="AA35" s="925"/>
      <c r="AB35" s="925"/>
      <c r="AC35" s="925"/>
      <c r="AD35" s="925"/>
      <c r="AE35" s="925"/>
      <c r="AF35" s="925"/>
      <c r="AG35" s="925"/>
      <c r="AH35" s="925"/>
      <c r="AI35" s="936"/>
      <c r="AJ35" s="926"/>
      <c r="AK35" s="926"/>
      <c r="AL35" s="926"/>
      <c r="AM35" s="926"/>
      <c r="AN35" s="926"/>
    </row>
    <row r="36" spans="1:40" ht="12" customHeight="1" x14ac:dyDescent="0.3">
      <c r="A36" s="925">
        <v>33</v>
      </c>
      <c r="B36" s="930"/>
      <c r="C36" s="925"/>
      <c r="D36" s="925"/>
      <c r="E36" s="939"/>
      <c r="F36" s="925"/>
      <c r="G36" s="925"/>
      <c r="H36" s="925"/>
      <c r="I36" s="939"/>
      <c r="J36" s="939"/>
      <c r="K36" s="939"/>
      <c r="L36" s="939"/>
      <c r="M36" s="939"/>
      <c r="N36" s="939"/>
      <c r="O36" s="939"/>
      <c r="P36" s="925"/>
      <c r="Q36" s="925"/>
      <c r="R36" s="925"/>
      <c r="S36" s="925"/>
      <c r="T36" s="925"/>
      <c r="U36" s="925"/>
      <c r="V36" s="925"/>
      <c r="W36" s="925"/>
      <c r="X36" s="925"/>
      <c r="Y36" s="925"/>
      <c r="Z36" s="925"/>
      <c r="AA36" s="925"/>
      <c r="AB36" s="925"/>
      <c r="AC36" s="925"/>
      <c r="AD36" s="925"/>
      <c r="AE36" s="925"/>
      <c r="AF36" s="925"/>
      <c r="AG36" s="925"/>
      <c r="AH36" s="925"/>
      <c r="AI36" s="936"/>
      <c r="AJ36" s="926"/>
      <c r="AK36" s="926"/>
      <c r="AL36" s="926"/>
      <c r="AM36" s="926"/>
      <c r="AN36" s="926"/>
    </row>
    <row r="37" spans="1:40" ht="12" customHeight="1" x14ac:dyDescent="0.3">
      <c r="A37" s="925">
        <v>34</v>
      </c>
      <c r="B37" s="930"/>
      <c r="C37" s="925"/>
      <c r="D37" s="925"/>
      <c r="E37" s="939"/>
      <c r="F37" s="939"/>
      <c r="G37" s="939"/>
      <c r="H37" s="939"/>
      <c r="I37" s="939"/>
      <c r="J37" s="939"/>
      <c r="K37" s="939"/>
      <c r="L37" s="939"/>
      <c r="M37" s="939"/>
      <c r="N37" s="939"/>
      <c r="O37" s="939"/>
      <c r="P37" s="940"/>
      <c r="Q37" s="940"/>
      <c r="R37" s="940"/>
      <c r="S37" s="940"/>
      <c r="T37" s="940"/>
      <c r="U37" s="940"/>
      <c r="V37" s="940"/>
      <c r="W37" s="940"/>
      <c r="X37" s="940"/>
      <c r="Y37" s="940"/>
      <c r="Z37" s="940"/>
      <c r="AA37" s="940"/>
      <c r="AB37" s="925"/>
      <c r="AC37" s="925"/>
      <c r="AD37" s="925"/>
      <c r="AE37" s="925"/>
      <c r="AF37" s="925"/>
      <c r="AG37" s="925"/>
      <c r="AH37" s="925"/>
      <c r="AI37" s="936"/>
      <c r="AJ37" s="926"/>
      <c r="AK37" s="926"/>
      <c r="AL37" s="926"/>
      <c r="AM37" s="926"/>
      <c r="AN37" s="926"/>
    </row>
    <row r="38" spans="1:40" ht="12" customHeight="1" x14ac:dyDescent="0.3">
      <c r="A38" s="925">
        <v>41</v>
      </c>
      <c r="B38" s="930"/>
      <c r="C38" s="925"/>
      <c r="D38" s="925"/>
      <c r="E38" s="940"/>
      <c r="F38" s="940"/>
      <c r="G38" s="940"/>
      <c r="H38" s="940"/>
      <c r="I38" s="939"/>
      <c r="J38" s="939"/>
      <c r="K38" s="939"/>
      <c r="L38" s="939"/>
      <c r="M38" s="939"/>
      <c r="N38" s="939"/>
      <c r="O38" s="939"/>
      <c r="P38" s="940"/>
      <c r="Q38" s="940"/>
      <c r="R38" s="940"/>
      <c r="S38" s="940"/>
      <c r="T38" s="940"/>
      <c r="U38" s="940"/>
      <c r="V38" s="940"/>
      <c r="W38" s="940"/>
      <c r="X38" s="925"/>
      <c r="Y38" s="925"/>
      <c r="Z38" s="925"/>
      <c r="AA38" s="925"/>
      <c r="AB38" s="925"/>
      <c r="AC38" s="925"/>
      <c r="AD38" s="925"/>
      <c r="AE38" s="925"/>
      <c r="AF38" s="925"/>
      <c r="AG38" s="925"/>
      <c r="AH38" s="925"/>
      <c r="AI38" s="936"/>
      <c r="AJ38" s="926"/>
      <c r="AK38" s="926"/>
      <c r="AL38" s="926"/>
      <c r="AM38" s="926"/>
      <c r="AN38" s="926"/>
    </row>
    <row r="39" spans="1:40" ht="12" customHeight="1" x14ac:dyDescent="0.3">
      <c r="A39" s="925">
        <v>42</v>
      </c>
      <c r="B39" s="930"/>
      <c r="C39" s="925"/>
      <c r="D39" s="925"/>
      <c r="E39" s="925"/>
      <c r="F39" s="925"/>
      <c r="G39" s="925"/>
      <c r="H39" s="925"/>
      <c r="I39" s="939"/>
      <c r="J39" s="939"/>
      <c r="K39" s="939"/>
      <c r="L39" s="939"/>
      <c r="M39" s="939"/>
      <c r="N39" s="939"/>
      <c r="O39" s="939"/>
      <c r="P39" s="925"/>
      <c r="Q39" s="925"/>
      <c r="R39" s="925"/>
      <c r="S39" s="925"/>
      <c r="T39" s="925"/>
      <c r="U39" s="925"/>
      <c r="V39" s="925"/>
      <c r="W39" s="925"/>
      <c r="X39" s="925"/>
      <c r="Y39" s="925"/>
      <c r="Z39" s="925"/>
      <c r="AA39" s="925"/>
      <c r="AB39" s="925"/>
      <c r="AC39" s="925"/>
      <c r="AD39" s="925"/>
      <c r="AE39" s="925"/>
      <c r="AF39" s="925"/>
      <c r="AG39" s="925"/>
      <c r="AH39" s="925"/>
      <c r="AI39" s="936"/>
      <c r="AJ39" s="926"/>
      <c r="AK39" s="926"/>
      <c r="AL39" s="926"/>
      <c r="AM39" s="926"/>
      <c r="AN39" s="926"/>
    </row>
    <row r="40" spans="1:40" ht="12" customHeight="1" x14ac:dyDescent="0.3">
      <c r="A40" s="925">
        <v>43</v>
      </c>
      <c r="B40" s="930"/>
      <c r="C40" s="925"/>
      <c r="D40" s="925"/>
      <c r="E40" s="925"/>
      <c r="F40" s="925"/>
      <c r="G40" s="925"/>
      <c r="H40" s="925"/>
      <c r="I40" s="939"/>
      <c r="J40" s="939"/>
      <c r="K40" s="939"/>
      <c r="L40" s="939"/>
      <c r="M40" s="939"/>
      <c r="N40" s="939"/>
      <c r="O40" s="939"/>
      <c r="P40" s="925"/>
      <c r="Q40" s="925"/>
      <c r="R40" s="925"/>
      <c r="S40" s="925"/>
      <c r="T40" s="925"/>
      <c r="U40" s="925"/>
      <c r="V40" s="925"/>
      <c r="W40" s="925"/>
      <c r="X40" s="925"/>
      <c r="Y40" s="925"/>
      <c r="Z40" s="925"/>
      <c r="AA40" s="925"/>
      <c r="AB40" s="925"/>
      <c r="AC40" s="925"/>
      <c r="AD40" s="925"/>
      <c r="AE40" s="925"/>
      <c r="AF40" s="925"/>
      <c r="AG40" s="925"/>
      <c r="AH40" s="925"/>
      <c r="AI40" s="936"/>
      <c r="AJ40" s="926"/>
      <c r="AK40" s="926"/>
      <c r="AL40" s="926"/>
      <c r="AM40" s="926"/>
      <c r="AN40" s="926"/>
    </row>
    <row r="41" spans="1:40" ht="12" customHeight="1" x14ac:dyDescent="0.3">
      <c r="A41" s="925">
        <v>44</v>
      </c>
      <c r="B41" s="930"/>
      <c r="C41" s="925"/>
      <c r="D41" s="925"/>
      <c r="E41" s="925"/>
      <c r="F41" s="925"/>
      <c r="G41" s="925"/>
      <c r="H41" s="925"/>
      <c r="I41" s="925"/>
      <c r="J41" s="925"/>
      <c r="K41" s="925"/>
      <c r="L41" s="925"/>
      <c r="M41" s="925"/>
      <c r="N41" s="925"/>
      <c r="O41" s="925"/>
      <c r="P41" s="925"/>
      <c r="Q41" s="925"/>
      <c r="R41" s="925"/>
      <c r="S41" s="925"/>
      <c r="T41" s="925"/>
      <c r="U41" s="925"/>
      <c r="V41" s="925"/>
      <c r="W41" s="925"/>
      <c r="X41" s="925"/>
      <c r="Y41" s="925"/>
      <c r="Z41" s="925"/>
      <c r="AA41" s="925"/>
      <c r="AB41" s="925"/>
      <c r="AC41" s="925"/>
      <c r="AD41" s="925"/>
      <c r="AE41" s="925"/>
      <c r="AF41" s="925"/>
      <c r="AG41" s="925"/>
      <c r="AH41" s="925"/>
      <c r="AI41" s="936"/>
      <c r="AJ41" s="926"/>
      <c r="AK41" s="926"/>
      <c r="AL41" s="926"/>
      <c r="AM41" s="926"/>
      <c r="AN41" s="926"/>
    </row>
    <row r="42" spans="1:40" ht="12" customHeight="1" x14ac:dyDescent="0.3">
      <c r="A42" s="925">
        <v>45</v>
      </c>
      <c r="B42" s="930"/>
      <c r="C42" s="925"/>
      <c r="D42" s="925"/>
      <c r="E42" s="925"/>
      <c r="F42" s="925"/>
      <c r="G42" s="925"/>
      <c r="H42" s="925"/>
      <c r="I42" s="925"/>
      <c r="J42" s="925"/>
      <c r="K42" s="925"/>
      <c r="L42" s="925"/>
      <c r="M42" s="925"/>
      <c r="N42" s="925"/>
      <c r="O42" s="925"/>
      <c r="P42" s="925"/>
      <c r="Q42" s="925"/>
      <c r="R42" s="925"/>
      <c r="S42" s="925"/>
      <c r="T42" s="925"/>
      <c r="U42" s="925"/>
      <c r="V42" s="925"/>
      <c r="W42" s="925"/>
      <c r="X42" s="925"/>
      <c r="Y42" s="925"/>
      <c r="Z42" s="925"/>
      <c r="AA42" s="925"/>
      <c r="AB42" s="925"/>
      <c r="AC42" s="925"/>
      <c r="AD42" s="925"/>
      <c r="AE42" s="925"/>
      <c r="AF42" s="925"/>
      <c r="AG42" s="925"/>
      <c r="AH42" s="925"/>
      <c r="AI42" s="936"/>
      <c r="AJ42" s="926"/>
      <c r="AK42" s="926"/>
      <c r="AL42" s="926"/>
      <c r="AM42" s="926"/>
      <c r="AN42" s="926"/>
    </row>
    <row r="43" spans="1:40" ht="12" customHeight="1" x14ac:dyDescent="0.3">
      <c r="A43" s="925">
        <v>46</v>
      </c>
      <c r="B43" s="930"/>
      <c r="C43" s="925"/>
      <c r="D43" s="925"/>
      <c r="E43" s="925"/>
      <c r="F43" s="925"/>
      <c r="G43" s="925"/>
      <c r="H43" s="925"/>
      <c r="I43" s="925"/>
      <c r="J43" s="925"/>
      <c r="K43" s="925"/>
      <c r="L43" s="925"/>
      <c r="M43" s="925"/>
      <c r="N43" s="925"/>
      <c r="O43" s="925"/>
      <c r="P43" s="925"/>
      <c r="Q43" s="925"/>
      <c r="R43" s="925"/>
      <c r="S43" s="925"/>
      <c r="T43" s="925"/>
      <c r="U43" s="925"/>
      <c r="V43" s="925"/>
      <c r="W43" s="925"/>
      <c r="X43" s="925"/>
      <c r="Y43" s="925"/>
      <c r="Z43" s="925"/>
      <c r="AA43" s="925"/>
      <c r="AB43" s="925"/>
      <c r="AC43" s="925"/>
      <c r="AD43" s="925"/>
      <c r="AE43" s="925"/>
      <c r="AF43" s="925"/>
      <c r="AG43" s="925"/>
      <c r="AH43" s="925"/>
      <c r="AI43" s="936"/>
      <c r="AJ43" s="926"/>
      <c r="AK43" s="926"/>
      <c r="AL43" s="926"/>
      <c r="AM43" s="926"/>
      <c r="AN43" s="926"/>
    </row>
    <row r="44" spans="1:40" ht="12" customHeight="1" x14ac:dyDescent="0.3">
      <c r="A44" s="925">
        <v>47</v>
      </c>
      <c r="B44" s="930"/>
      <c r="C44" s="925"/>
      <c r="D44" s="925"/>
      <c r="E44" s="925"/>
      <c r="F44" s="925"/>
      <c r="G44" s="925"/>
      <c r="H44" s="925"/>
      <c r="I44" s="925"/>
      <c r="J44" s="925"/>
      <c r="K44" s="925"/>
      <c r="L44" s="925"/>
      <c r="M44" s="925"/>
      <c r="N44" s="925"/>
      <c r="O44" s="925"/>
      <c r="P44" s="925"/>
      <c r="Q44" s="925"/>
      <c r="R44" s="925"/>
      <c r="S44" s="925"/>
      <c r="T44" s="925"/>
      <c r="U44" s="925"/>
      <c r="V44" s="925"/>
      <c r="W44" s="925"/>
      <c r="X44" s="925"/>
      <c r="Y44" s="925"/>
      <c r="Z44" s="925"/>
      <c r="AA44" s="925"/>
      <c r="AB44" s="925"/>
      <c r="AC44" s="925"/>
      <c r="AD44" s="925"/>
      <c r="AE44" s="925"/>
      <c r="AF44" s="925"/>
      <c r="AG44" s="925"/>
      <c r="AH44" s="925"/>
      <c r="AI44" s="936"/>
      <c r="AJ44" s="926"/>
      <c r="AK44" s="926"/>
      <c r="AL44" s="926"/>
      <c r="AM44" s="926"/>
      <c r="AN44" s="926"/>
    </row>
    <row r="45" spans="1:40" ht="12" customHeight="1" x14ac:dyDescent="0.3">
      <c r="A45" s="925">
        <v>48</v>
      </c>
      <c r="B45" s="930"/>
      <c r="C45" s="925"/>
      <c r="D45" s="925"/>
      <c r="E45" s="925"/>
      <c r="F45" s="925"/>
      <c r="G45" s="925"/>
      <c r="H45" s="925"/>
      <c r="I45" s="925"/>
      <c r="J45" s="925"/>
      <c r="K45" s="925"/>
      <c r="L45" s="925"/>
      <c r="M45" s="925"/>
      <c r="N45" s="925"/>
      <c r="O45" s="925"/>
      <c r="P45" s="925"/>
      <c r="Q45" s="925"/>
      <c r="R45" s="925"/>
      <c r="S45" s="925"/>
      <c r="T45" s="925"/>
      <c r="U45" s="925"/>
      <c r="V45" s="925"/>
      <c r="W45" s="925"/>
      <c r="X45" s="925"/>
      <c r="Y45" s="925"/>
      <c r="Z45" s="925"/>
      <c r="AA45" s="925"/>
      <c r="AB45" s="925"/>
      <c r="AC45" s="925"/>
      <c r="AD45" s="925"/>
      <c r="AE45" s="925"/>
      <c r="AF45" s="925"/>
      <c r="AG45" s="925"/>
      <c r="AH45" s="925"/>
      <c r="AI45" s="936"/>
      <c r="AJ45" s="926"/>
      <c r="AK45" s="926"/>
      <c r="AL45" s="926"/>
      <c r="AM45" s="926"/>
      <c r="AN45" s="926"/>
    </row>
    <row r="46" spans="1:40" ht="12" customHeight="1" x14ac:dyDescent="0.3">
      <c r="A46" s="925">
        <v>49</v>
      </c>
      <c r="B46" s="930"/>
      <c r="C46" s="925"/>
      <c r="D46" s="925"/>
      <c r="E46" s="925"/>
      <c r="F46" s="925"/>
      <c r="G46" s="925"/>
      <c r="H46" s="925"/>
      <c r="I46" s="925"/>
      <c r="J46" s="925"/>
      <c r="K46" s="925"/>
      <c r="L46" s="925"/>
      <c r="M46" s="925"/>
      <c r="N46" s="925"/>
      <c r="O46" s="925"/>
      <c r="P46" s="925"/>
      <c r="Q46" s="925"/>
      <c r="R46" s="925"/>
      <c r="S46" s="925"/>
      <c r="T46" s="925"/>
      <c r="U46" s="925"/>
      <c r="V46" s="925"/>
      <c r="W46" s="925"/>
      <c r="X46" s="925"/>
      <c r="Y46" s="925"/>
      <c r="Z46" s="925"/>
      <c r="AA46" s="925"/>
      <c r="AB46" s="925"/>
      <c r="AC46" s="925"/>
      <c r="AD46" s="925"/>
      <c r="AE46" s="925"/>
      <c r="AF46" s="925"/>
      <c r="AG46" s="925"/>
      <c r="AH46" s="925"/>
      <c r="AI46" s="936"/>
      <c r="AJ46" s="926"/>
      <c r="AK46" s="926"/>
      <c r="AL46" s="926"/>
      <c r="AM46" s="926"/>
      <c r="AN46" s="926"/>
    </row>
    <row r="47" spans="1:40" ht="12" customHeight="1" x14ac:dyDescent="0.3">
      <c r="A47" s="925">
        <v>50</v>
      </c>
      <c r="B47" s="930"/>
      <c r="C47" s="925"/>
      <c r="D47" s="925"/>
      <c r="E47" s="925"/>
      <c r="F47" s="925"/>
      <c r="G47" s="925"/>
      <c r="H47" s="925"/>
      <c r="I47" s="925"/>
      <c r="J47" s="925"/>
      <c r="K47" s="925"/>
      <c r="L47" s="925"/>
      <c r="M47" s="925"/>
      <c r="N47" s="925"/>
      <c r="O47" s="925"/>
      <c r="P47" s="925"/>
      <c r="Q47" s="925"/>
      <c r="R47" s="925"/>
      <c r="S47" s="925"/>
      <c r="T47" s="925"/>
      <c r="U47" s="925"/>
      <c r="V47" s="925"/>
      <c r="W47" s="925"/>
      <c r="X47" s="925"/>
      <c r="Y47" s="925"/>
      <c r="Z47" s="925"/>
      <c r="AA47" s="925"/>
      <c r="AB47" s="925"/>
      <c r="AC47" s="925"/>
      <c r="AD47" s="925"/>
      <c r="AE47" s="925"/>
      <c r="AF47" s="925"/>
      <c r="AG47" s="925"/>
      <c r="AH47" s="925"/>
      <c r="AI47" s="936"/>
      <c r="AJ47" s="926"/>
      <c r="AK47" s="926"/>
      <c r="AL47" s="926"/>
      <c r="AM47" s="926"/>
      <c r="AN47" s="926"/>
    </row>
    <row r="48" spans="1:40" ht="12" customHeight="1" x14ac:dyDescent="0.3">
      <c r="A48" s="925">
        <v>51</v>
      </c>
      <c r="B48" s="930"/>
      <c r="C48" s="925"/>
      <c r="D48" s="925"/>
      <c r="E48" s="925"/>
      <c r="F48" s="925"/>
      <c r="G48" s="925"/>
      <c r="H48" s="925"/>
      <c r="I48" s="925"/>
      <c r="J48" s="925"/>
      <c r="K48" s="925"/>
      <c r="L48" s="925"/>
      <c r="M48" s="925"/>
      <c r="N48" s="925"/>
      <c r="O48" s="925"/>
      <c r="P48" s="925"/>
      <c r="Q48" s="925"/>
      <c r="R48" s="925"/>
      <c r="S48" s="925"/>
      <c r="T48" s="925"/>
      <c r="U48" s="925"/>
      <c r="V48" s="925"/>
      <c r="W48" s="925"/>
      <c r="X48" s="925"/>
      <c r="Y48" s="925"/>
      <c r="Z48" s="925"/>
      <c r="AA48" s="925"/>
      <c r="AB48" s="925"/>
      <c r="AC48" s="925"/>
      <c r="AD48" s="925"/>
      <c r="AE48" s="925"/>
      <c r="AF48" s="925"/>
      <c r="AG48" s="925"/>
      <c r="AH48" s="925"/>
      <c r="AI48" s="936"/>
      <c r="AJ48" s="926"/>
      <c r="AK48" s="926"/>
      <c r="AL48" s="926"/>
      <c r="AM48" s="926"/>
      <c r="AN48" s="926"/>
    </row>
    <row r="49" spans="1:40" ht="12" customHeight="1" x14ac:dyDescent="0.3">
      <c r="A49" s="925">
        <v>52</v>
      </c>
      <c r="B49" s="930"/>
      <c r="C49" s="925"/>
      <c r="D49" s="925"/>
      <c r="E49" s="925"/>
      <c r="F49" s="925"/>
      <c r="G49" s="925"/>
      <c r="H49" s="925"/>
      <c r="I49" s="925"/>
      <c r="J49" s="925"/>
      <c r="K49" s="925"/>
      <c r="L49" s="925"/>
      <c r="M49" s="925"/>
      <c r="N49" s="925"/>
      <c r="O49" s="925"/>
      <c r="P49" s="925"/>
      <c r="Q49" s="925"/>
      <c r="R49" s="925"/>
      <c r="S49" s="925"/>
      <c r="T49" s="925"/>
      <c r="U49" s="925"/>
      <c r="V49" s="925"/>
      <c r="W49" s="925"/>
      <c r="X49" s="925"/>
      <c r="Y49" s="925"/>
      <c r="Z49" s="925"/>
      <c r="AA49" s="925"/>
      <c r="AB49" s="925"/>
      <c r="AC49" s="925"/>
      <c r="AD49" s="925"/>
      <c r="AE49" s="925"/>
      <c r="AF49" s="925"/>
      <c r="AG49" s="925"/>
      <c r="AH49" s="925"/>
      <c r="AI49" s="936"/>
      <c r="AJ49" s="926"/>
      <c r="AK49" s="926"/>
      <c r="AL49" s="926"/>
      <c r="AM49" s="926"/>
      <c r="AN49" s="926"/>
    </row>
    <row r="50" spans="1:40" ht="12" customHeight="1" x14ac:dyDescent="0.3">
      <c r="A50" s="925">
        <v>53</v>
      </c>
      <c r="B50" s="1343"/>
      <c r="C50" s="1378"/>
      <c r="D50" s="1378"/>
      <c r="E50" s="1378"/>
      <c r="F50" s="1378"/>
      <c r="G50" s="1378"/>
      <c r="H50" s="1378"/>
      <c r="I50" s="1378"/>
      <c r="J50" s="1378"/>
      <c r="K50" s="1378"/>
      <c r="L50" s="1378"/>
      <c r="M50" s="1378"/>
      <c r="N50" s="1378"/>
      <c r="O50" s="1378"/>
      <c r="P50" s="1378"/>
      <c r="Q50" s="1378"/>
      <c r="R50" s="1378"/>
      <c r="S50" s="1378"/>
      <c r="T50" s="1378"/>
      <c r="U50" s="1378"/>
      <c r="V50" s="1378"/>
      <c r="W50" s="1378"/>
      <c r="X50" s="1378"/>
      <c r="Y50" s="1378"/>
      <c r="Z50" s="1378"/>
      <c r="AA50" s="1378"/>
      <c r="AB50" s="1378"/>
      <c r="AC50" s="1378"/>
      <c r="AD50" s="1378"/>
      <c r="AE50" s="1378"/>
      <c r="AF50" s="1378"/>
      <c r="AG50" s="1379"/>
      <c r="AH50" s="1378"/>
      <c r="AI50" s="1380"/>
      <c r="AJ50" s="926"/>
      <c r="AK50" s="926"/>
      <c r="AL50" s="926"/>
      <c r="AM50" s="926"/>
      <c r="AN50" s="926"/>
    </row>
    <row r="51" spans="1:40" ht="12" customHeight="1" x14ac:dyDescent="0.3">
      <c r="A51" s="925">
        <v>54</v>
      </c>
      <c r="B51" s="1697"/>
      <c r="C51" s="1698"/>
      <c r="D51" s="1111"/>
      <c r="E51" s="1111"/>
      <c r="F51" s="1111"/>
      <c r="G51" s="1112"/>
      <c r="H51" s="1111"/>
      <c r="I51" s="1111"/>
      <c r="J51" s="1111"/>
      <c r="K51" s="1111"/>
      <c r="L51" s="1111"/>
      <c r="M51" s="1111"/>
      <c r="N51" s="1111"/>
      <c r="O51" s="1111"/>
      <c r="P51" s="1111"/>
      <c r="Q51" s="1111"/>
      <c r="R51" s="1111"/>
      <c r="S51" s="1111"/>
      <c r="T51" s="1112"/>
      <c r="U51" s="1111"/>
      <c r="V51" s="1111"/>
      <c r="W51" s="1111"/>
      <c r="X51" s="1111"/>
      <c r="Y51" s="1112"/>
      <c r="Z51" s="1111"/>
      <c r="AA51" s="1111"/>
      <c r="AB51" s="1111"/>
      <c r="AC51" s="1111"/>
      <c r="AD51" s="1112"/>
      <c r="AE51" s="1111"/>
      <c r="AF51" s="1111"/>
      <c r="AG51" s="1111"/>
      <c r="AH51" s="1111"/>
      <c r="AI51" s="1113"/>
      <c r="AJ51" s="926"/>
      <c r="AK51" s="926"/>
      <c r="AL51" s="926"/>
      <c r="AM51" s="926"/>
      <c r="AN51" s="926"/>
    </row>
    <row r="52" spans="1:40" ht="12" customHeight="1" x14ac:dyDescent="0.3">
      <c r="A52" s="925">
        <v>55</v>
      </c>
      <c r="B52" s="1694"/>
      <c r="C52" s="1695"/>
      <c r="D52" s="1114"/>
      <c r="E52" s="1114"/>
      <c r="F52" s="1114"/>
      <c r="G52" s="1115"/>
      <c r="H52" s="1114"/>
      <c r="I52" s="1114"/>
      <c r="J52" s="1114"/>
      <c r="K52" s="1114"/>
      <c r="L52" s="1114"/>
      <c r="M52" s="1114"/>
      <c r="N52" s="1114"/>
      <c r="O52" s="1114"/>
      <c r="P52" s="1114"/>
      <c r="Q52" s="1114"/>
      <c r="R52" s="1114"/>
      <c r="S52" s="1114"/>
      <c r="T52" s="1115"/>
      <c r="U52" s="1114"/>
      <c r="V52" s="1114"/>
      <c r="W52" s="1114"/>
      <c r="X52" s="1114"/>
      <c r="Y52" s="1116"/>
      <c r="Z52" s="1114"/>
      <c r="AA52" s="1114"/>
      <c r="AB52" s="1114"/>
      <c r="AC52" s="1114"/>
      <c r="AD52" s="1115"/>
      <c r="AE52" s="1114"/>
      <c r="AF52" s="1114"/>
      <c r="AG52" s="1114"/>
      <c r="AH52" s="1114"/>
      <c r="AI52" s="1117"/>
      <c r="AJ52" s="926"/>
      <c r="AK52" s="926"/>
      <c r="AL52" s="926"/>
      <c r="AM52" s="926"/>
      <c r="AN52" s="926"/>
    </row>
    <row r="53" spans="1:40" ht="12" customHeight="1" x14ac:dyDescent="0.3">
      <c r="A53" s="925">
        <v>56</v>
      </c>
      <c r="B53" s="1694"/>
      <c r="C53" s="1695"/>
      <c r="D53" s="1114"/>
      <c r="E53" s="1114"/>
      <c r="F53" s="1114"/>
      <c r="G53" s="1115"/>
      <c r="H53" s="1114"/>
      <c r="I53" s="1114"/>
      <c r="J53" s="1114"/>
      <c r="K53" s="1114"/>
      <c r="L53" s="1114"/>
      <c r="M53" s="1114"/>
      <c r="N53" s="1114"/>
      <c r="O53" s="1114"/>
      <c r="P53" s="1114"/>
      <c r="Q53" s="1114"/>
      <c r="R53" s="1114"/>
      <c r="S53" s="1114"/>
      <c r="T53" s="1115"/>
      <c r="U53" s="1114"/>
      <c r="V53" s="1114"/>
      <c r="W53" s="1114"/>
      <c r="X53" s="1114"/>
      <c r="Y53" s="1116"/>
      <c r="Z53" s="1114"/>
      <c r="AA53" s="1114"/>
      <c r="AB53" s="1114"/>
      <c r="AC53" s="1114"/>
      <c r="AD53" s="1115"/>
      <c r="AE53" s="1114"/>
      <c r="AF53" s="1114"/>
      <c r="AG53" s="1114"/>
      <c r="AH53" s="1114"/>
      <c r="AI53" s="1117"/>
      <c r="AJ53" s="926"/>
      <c r="AK53" s="926"/>
      <c r="AL53" s="926"/>
      <c r="AM53" s="926"/>
      <c r="AN53" s="926"/>
    </row>
    <row r="54" spans="1:40" ht="12" customHeight="1" x14ac:dyDescent="0.3">
      <c r="A54" s="925">
        <v>57</v>
      </c>
      <c r="B54" s="1694"/>
      <c r="C54" s="1695"/>
      <c r="D54" s="1114"/>
      <c r="E54" s="1114"/>
      <c r="F54" s="1114"/>
      <c r="G54" s="1115"/>
      <c r="H54" s="1114"/>
      <c r="I54" s="1114"/>
      <c r="J54" s="1114"/>
      <c r="K54" s="1114"/>
      <c r="L54" s="1114"/>
      <c r="M54" s="1114"/>
      <c r="N54" s="1114"/>
      <c r="O54" s="1114"/>
      <c r="P54" s="1114"/>
      <c r="Q54" s="1114"/>
      <c r="R54" s="1114"/>
      <c r="S54" s="1114"/>
      <c r="T54" s="1115"/>
      <c r="U54" s="1114"/>
      <c r="V54" s="1114"/>
      <c r="W54" s="1114"/>
      <c r="X54" s="1114"/>
      <c r="Y54" s="1116"/>
      <c r="Z54" s="1114"/>
      <c r="AA54" s="1114"/>
      <c r="AB54" s="1114"/>
      <c r="AC54" s="1114"/>
      <c r="AD54" s="1115"/>
      <c r="AE54" s="1114"/>
      <c r="AF54" s="1114"/>
      <c r="AG54" s="1114"/>
      <c r="AH54" s="1114"/>
      <c r="AI54" s="1117"/>
      <c r="AJ54" s="926"/>
      <c r="AK54" s="926"/>
      <c r="AL54" s="926"/>
      <c r="AM54" s="926"/>
      <c r="AN54" s="926"/>
    </row>
    <row r="55" spans="1:40" ht="12" customHeight="1" x14ac:dyDescent="0.3">
      <c r="A55" s="925">
        <v>58</v>
      </c>
      <c r="B55" s="1703"/>
      <c r="C55" s="1704"/>
      <c r="D55" s="1709"/>
      <c r="E55" s="1710"/>
      <c r="F55" s="1710"/>
      <c r="G55" s="1711"/>
      <c r="H55" s="1712"/>
      <c r="I55" s="1713"/>
      <c r="J55" s="1713"/>
      <c r="K55" s="1713"/>
      <c r="L55" s="1713"/>
      <c r="M55" s="1713"/>
      <c r="N55" s="1713"/>
      <c r="O55" s="1713"/>
      <c r="P55" s="1713"/>
      <c r="Q55" s="1713"/>
      <c r="R55" s="1713"/>
      <c r="S55" s="1713"/>
      <c r="T55" s="1704"/>
      <c r="U55" s="1712"/>
      <c r="V55" s="1713"/>
      <c r="W55" s="1713"/>
      <c r="X55" s="1713"/>
      <c r="Y55" s="1704"/>
      <c r="Z55" s="1712"/>
      <c r="AA55" s="1713"/>
      <c r="AB55" s="1713"/>
      <c r="AC55" s="1713"/>
      <c r="AD55" s="1704"/>
      <c r="AE55" s="1712"/>
      <c r="AF55" s="1713"/>
      <c r="AG55" s="1713"/>
      <c r="AH55" s="1713"/>
      <c r="AI55" s="1714"/>
      <c r="AJ55" s="926"/>
      <c r="AK55" s="926"/>
      <c r="AL55" s="926"/>
      <c r="AM55" s="926"/>
      <c r="AN55" s="926"/>
    </row>
    <row r="56" spans="1:40" ht="12" customHeight="1" thickBot="1" x14ac:dyDescent="0.35">
      <c r="A56" s="925">
        <v>59</v>
      </c>
      <c r="B56" s="1705">
        <v>0</v>
      </c>
      <c r="C56" s="1702"/>
      <c r="D56" s="1706">
        <v>45606</v>
      </c>
      <c r="E56" s="1707"/>
      <c r="F56" s="1707"/>
      <c r="G56" s="1708"/>
      <c r="H56" s="1699" t="s">
        <v>4561</v>
      </c>
      <c r="I56" s="1700"/>
      <c r="J56" s="1700"/>
      <c r="K56" s="1700"/>
      <c r="L56" s="1700"/>
      <c r="M56" s="1700"/>
      <c r="N56" s="1700"/>
      <c r="O56" s="1700"/>
      <c r="P56" s="1700"/>
      <c r="Q56" s="1700"/>
      <c r="R56" s="1700"/>
      <c r="S56" s="1700"/>
      <c r="T56" s="1702"/>
      <c r="U56" s="1699" t="s">
        <v>13</v>
      </c>
      <c r="V56" s="1700"/>
      <c r="W56" s="1700"/>
      <c r="X56" s="1700"/>
      <c r="Y56" s="1702"/>
      <c r="Z56" s="1699" t="s">
        <v>13</v>
      </c>
      <c r="AA56" s="1700"/>
      <c r="AB56" s="1700"/>
      <c r="AC56" s="1700"/>
      <c r="AD56" s="1702"/>
      <c r="AE56" s="1699" t="s">
        <v>14</v>
      </c>
      <c r="AF56" s="1700"/>
      <c r="AG56" s="1700"/>
      <c r="AH56" s="1700"/>
      <c r="AI56" s="1701"/>
      <c r="AJ56" s="926"/>
      <c r="AK56" s="926"/>
      <c r="AL56" s="926"/>
      <c r="AM56" s="926"/>
      <c r="AN56" s="926"/>
    </row>
    <row r="57" spans="1:40" ht="12" customHeight="1" thickTop="1" x14ac:dyDescent="0.3">
      <c r="A57" s="925">
        <v>60</v>
      </c>
      <c r="B57" s="1670"/>
      <c r="C57" s="1670"/>
      <c r="D57" s="1670"/>
      <c r="E57" s="1670"/>
      <c r="F57" s="1670"/>
      <c r="G57" s="1670"/>
      <c r="H57" s="1670"/>
      <c r="I57" s="1670"/>
      <c r="J57" s="1670"/>
      <c r="K57" s="1670"/>
      <c r="L57" s="1670"/>
      <c r="M57" s="1670"/>
      <c r="N57" s="1670"/>
      <c r="O57" s="1670"/>
      <c r="P57" s="1670"/>
      <c r="Q57" s="1670"/>
      <c r="R57" s="1670"/>
      <c r="S57" s="1670"/>
      <c r="T57" s="1670"/>
      <c r="U57" s="1670"/>
      <c r="V57" s="1670"/>
      <c r="W57" s="1670"/>
      <c r="X57" s="1670"/>
      <c r="Y57" s="1670"/>
      <c r="Z57" s="1670"/>
      <c r="AA57" s="1670"/>
      <c r="AB57" s="1670"/>
      <c r="AC57" s="1670"/>
      <c r="AD57" s="1670"/>
      <c r="AE57" s="1670"/>
      <c r="AF57" s="1670"/>
      <c r="AG57" s="1670"/>
      <c r="AH57" s="1670"/>
      <c r="AI57" s="1670"/>
      <c r="AJ57" s="926"/>
      <c r="AK57" s="926"/>
      <c r="AL57" s="926"/>
      <c r="AM57" s="926"/>
      <c r="AN57" s="926"/>
    </row>
    <row r="58" spans="1:40" ht="12" customHeight="1" thickBot="1" x14ac:dyDescent="0.35">
      <c r="A58" s="925">
        <v>61</v>
      </c>
      <c r="B58" s="945" t="s">
        <v>15</v>
      </c>
      <c r="C58" s="946"/>
      <c r="D58" s="947" t="s">
        <v>16</v>
      </c>
      <c r="E58" s="947"/>
      <c r="F58" s="947"/>
      <c r="G58" s="946"/>
      <c r="H58" s="947" t="s">
        <v>17</v>
      </c>
      <c r="I58" s="947"/>
      <c r="J58" s="947"/>
      <c r="K58" s="947"/>
      <c r="L58" s="947"/>
      <c r="M58" s="947"/>
      <c r="N58" s="947"/>
      <c r="O58" s="947"/>
      <c r="P58" s="947"/>
      <c r="Q58" s="947"/>
      <c r="R58" s="947"/>
      <c r="S58" s="947"/>
      <c r="T58" s="946"/>
      <c r="U58" s="947" t="s">
        <v>18</v>
      </c>
      <c r="V58" s="947"/>
      <c r="W58" s="947"/>
      <c r="X58" s="947"/>
      <c r="Y58" s="946"/>
      <c r="Z58" s="947" t="s">
        <v>19</v>
      </c>
      <c r="AA58" s="947"/>
      <c r="AB58" s="933"/>
      <c r="AC58" s="933"/>
      <c r="AD58" s="934"/>
      <c r="AE58" s="947" t="s">
        <v>20</v>
      </c>
      <c r="AF58" s="933"/>
      <c r="AG58" s="933"/>
      <c r="AH58" s="933"/>
      <c r="AI58" s="948"/>
      <c r="AJ58" s="926"/>
      <c r="AK58" s="926"/>
      <c r="AL58" s="926"/>
      <c r="AM58" s="926"/>
      <c r="AN58" s="926"/>
    </row>
  </sheetData>
  <sheetProtection algorithmName="SHA-512" hashValue="B+dJ9umQ7Ct4bMs+srnoAE+NkQkdSIEOCwzOQLzLIqpFIAzMGyhhySYx3pyDP1j3CFXNdKOJScDC/ChO3UrfAg==" saltValue="XxI8TTH66rB0DK8O6uF32Q==" spinCount="100000" sheet="1" objects="1" scenarios="1"/>
  <mergeCells count="31">
    <mergeCell ref="AE56:AI56"/>
    <mergeCell ref="H56:T56"/>
    <mergeCell ref="B55:C55"/>
    <mergeCell ref="B56:C56"/>
    <mergeCell ref="D56:G56"/>
    <mergeCell ref="U56:Y56"/>
    <mergeCell ref="Z56:AD56"/>
    <mergeCell ref="D55:G55"/>
    <mergeCell ref="H55:T55"/>
    <mergeCell ref="U55:Y55"/>
    <mergeCell ref="Z55:AD55"/>
    <mergeCell ref="AE55:AI55"/>
    <mergeCell ref="B54:C54"/>
    <mergeCell ref="F26:O27"/>
    <mergeCell ref="P26:AF27"/>
    <mergeCell ref="F28:O29"/>
    <mergeCell ref="P28:AF29"/>
    <mergeCell ref="F30:O31"/>
    <mergeCell ref="P30:AF31"/>
    <mergeCell ref="F32:O33"/>
    <mergeCell ref="P32:AF33"/>
    <mergeCell ref="B51:C51"/>
    <mergeCell ref="B52:C52"/>
    <mergeCell ref="B53:C53"/>
    <mergeCell ref="F24:O25"/>
    <mergeCell ref="P24:AF25"/>
    <mergeCell ref="J2:AA3"/>
    <mergeCell ref="AB2:AI5"/>
    <mergeCell ref="J4:AA5"/>
    <mergeCell ref="F22:O23"/>
    <mergeCell ref="P22:AF23"/>
  </mergeCells>
  <conditionalFormatting sqref="B55:H56 U55:AI56">
    <cfRule type="containsBlanks" dxfId="349" priority="1">
      <formula>LEN(TRIM(B55))=0</formula>
    </cfRule>
  </conditionalFormatting>
  <conditionalFormatting sqref="P22:AF29">
    <cfRule type="containsBlanks" dxfId="348" priority="4">
      <formula>LEN(TRIM(P22))=0</formula>
    </cfRule>
  </conditionalFormatting>
  <conditionalFormatting sqref="P32:AF33">
    <cfRule type="containsBlanks" dxfId="347" priority="6">
      <formula>LEN(TRIM(P32))=0</formula>
    </cfRule>
  </conditionalFormatting>
  <pageMargins left="0.70866141732283472" right="0.70866141732283472" top="0.74803149606299213" bottom="0.74803149606299213" header="0.31496062992125984" footer="0.31496062992125984"/>
  <pageSetup scale="92" fitToHeight="0" orientation="portrait" r:id="rId1"/>
  <headerFooter>
    <oddHeader>&amp;LMCE Vers. 1.0&amp;C&amp;F&amp;R&amp;"Calibri"&amp;8&amp;K000000Document classified as: 2 - Company Confidential&amp;1#</oddHeader>
    <oddFooter>&amp;C&amp;A - &amp;P&amp;R&amp;D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oglio2"/>
  <dimension ref="A1:I35"/>
  <sheetViews>
    <sheetView workbookViewId="0"/>
  </sheetViews>
  <sheetFormatPr defaultRowHeight="14.4" x14ac:dyDescent="0.3"/>
  <cols>
    <col min="1" max="1" width="4.5546875" style="3" customWidth="1"/>
    <col min="2" max="2" width="100.5546875" bestFit="1" customWidth="1"/>
  </cols>
  <sheetData>
    <row r="1" spans="1:9" s="507" customFormat="1" x14ac:dyDescent="0.3">
      <c r="A1" s="506">
        <v>1</v>
      </c>
      <c r="B1" s="507" t="s">
        <v>21</v>
      </c>
    </row>
    <row r="2" spans="1:9" x14ac:dyDescent="0.3">
      <c r="A2" s="506">
        <v>2</v>
      </c>
      <c r="B2" s="507" t="s">
        <v>22</v>
      </c>
    </row>
    <row r="3" spans="1:9" x14ac:dyDescent="0.3">
      <c r="A3" s="269"/>
      <c r="B3" s="507" t="s">
        <v>23</v>
      </c>
    </row>
    <row r="4" spans="1:9" x14ac:dyDescent="0.3">
      <c r="A4" s="269"/>
    </row>
    <row r="5" spans="1:9" ht="15" customHeight="1" x14ac:dyDescent="0.3">
      <c r="A5" s="506">
        <v>3</v>
      </c>
      <c r="B5" s="505" t="s">
        <v>24</v>
      </c>
      <c r="C5" s="507" t="s">
        <v>25</v>
      </c>
      <c r="D5" s="507"/>
      <c r="E5" s="507"/>
      <c r="F5" s="1715" t="s">
        <v>26</v>
      </c>
      <c r="G5" s="1715"/>
    </row>
    <row r="6" spans="1:9" x14ac:dyDescent="0.3">
      <c r="A6" s="506"/>
      <c r="B6" s="505" t="s">
        <v>27</v>
      </c>
      <c r="C6" s="507" t="s">
        <v>28</v>
      </c>
      <c r="D6" s="507"/>
      <c r="E6" s="507"/>
      <c r="F6" s="1715"/>
      <c r="G6" s="1715"/>
    </row>
    <row r="7" spans="1:9" x14ac:dyDescent="0.3">
      <c r="A7" s="506"/>
      <c r="B7" s="505" t="s">
        <v>29</v>
      </c>
      <c r="C7" s="507" t="s">
        <v>30</v>
      </c>
      <c r="D7" s="507"/>
      <c r="E7" s="507"/>
      <c r="F7" s="1715"/>
      <c r="G7" s="1715"/>
    </row>
    <row r="8" spans="1:9" x14ac:dyDescent="0.3">
      <c r="A8" s="506"/>
      <c r="B8" s="505" t="s">
        <v>31</v>
      </c>
      <c r="C8" s="507" t="s">
        <v>25</v>
      </c>
      <c r="D8" s="507"/>
      <c r="E8" s="507"/>
      <c r="F8" s="1715"/>
      <c r="G8" s="1715"/>
    </row>
    <row r="9" spans="1:9" x14ac:dyDescent="0.3">
      <c r="A9" s="506"/>
      <c r="B9" s="505" t="s">
        <v>32</v>
      </c>
      <c r="C9" s="507" t="s">
        <v>28</v>
      </c>
      <c r="D9" s="507"/>
      <c r="E9" s="507"/>
      <c r="F9" s="1715"/>
      <c r="G9" s="1715"/>
    </row>
    <row r="10" spans="1:9" x14ac:dyDescent="0.3">
      <c r="A10" s="506"/>
      <c r="B10" s="505" t="s">
        <v>33</v>
      </c>
      <c r="C10" s="507" t="s">
        <v>30</v>
      </c>
      <c r="D10" s="507"/>
      <c r="E10" s="507"/>
      <c r="F10" s="1715"/>
      <c r="G10" s="1715"/>
    </row>
    <row r="11" spans="1:9" x14ac:dyDescent="0.3">
      <c r="A11" s="269"/>
    </row>
    <row r="12" spans="1:9" x14ac:dyDescent="0.3">
      <c r="A12" s="506">
        <v>4</v>
      </c>
      <c r="B12" s="505" t="s">
        <v>34</v>
      </c>
      <c r="C12" s="507"/>
      <c r="D12" s="507"/>
      <c r="E12" s="507"/>
    </row>
    <row r="13" spans="1:9" x14ac:dyDescent="0.3">
      <c r="A13" s="506">
        <v>5</v>
      </c>
      <c r="B13" s="505" t="s">
        <v>35</v>
      </c>
      <c r="C13" s="507"/>
      <c r="D13" s="507"/>
      <c r="E13" s="507"/>
      <c r="F13" s="507"/>
    </row>
    <row r="14" spans="1:9" x14ac:dyDescent="0.3">
      <c r="A14" s="506">
        <v>6</v>
      </c>
      <c r="B14" s="505" t="s">
        <v>36</v>
      </c>
      <c r="C14" s="507"/>
      <c r="D14" s="507"/>
      <c r="E14" s="507"/>
      <c r="F14" s="507"/>
      <c r="G14" s="507"/>
      <c r="H14" s="507"/>
      <c r="I14" s="507"/>
    </row>
    <row r="15" spans="1:9" ht="15.75" customHeight="1" x14ac:dyDescent="0.3">
      <c r="A15" s="504">
        <v>7</v>
      </c>
      <c r="B15" s="505" t="s">
        <v>37</v>
      </c>
      <c r="C15" s="507"/>
      <c r="D15" s="507"/>
    </row>
    <row r="16" spans="1:9" x14ac:dyDescent="0.3">
      <c r="A16" s="504">
        <v>8</v>
      </c>
      <c r="B16" s="505" t="s">
        <v>38</v>
      </c>
    </row>
    <row r="17" spans="1:2" x14ac:dyDescent="0.3">
      <c r="A17" s="504">
        <v>9</v>
      </c>
      <c r="B17" s="505" t="s">
        <v>39</v>
      </c>
    </row>
    <row r="18" spans="1:2" x14ac:dyDescent="0.3">
      <c r="A18" s="504">
        <v>10</v>
      </c>
      <c r="B18" s="505" t="s">
        <v>40</v>
      </c>
    </row>
    <row r="19" spans="1:2" x14ac:dyDescent="0.3">
      <c r="A19" s="504">
        <v>11</v>
      </c>
      <c r="B19" s="505" t="s">
        <v>41</v>
      </c>
    </row>
    <row r="20" spans="1:2" x14ac:dyDescent="0.3">
      <c r="A20" s="504">
        <v>12</v>
      </c>
      <c r="B20" s="505" t="s">
        <v>42</v>
      </c>
    </row>
    <row r="21" spans="1:2" x14ac:dyDescent="0.3">
      <c r="A21" s="504">
        <v>13</v>
      </c>
      <c r="B21" s="505" t="s">
        <v>43</v>
      </c>
    </row>
    <row r="22" spans="1:2" x14ac:dyDescent="0.3">
      <c r="A22" s="504">
        <v>14</v>
      </c>
      <c r="B22" s="505" t="s">
        <v>44</v>
      </c>
    </row>
    <row r="23" spans="1:2" x14ac:dyDescent="0.3">
      <c r="A23" s="504">
        <v>15</v>
      </c>
      <c r="B23" s="505" t="s">
        <v>45</v>
      </c>
    </row>
    <row r="24" spans="1:2" x14ac:dyDescent="0.3">
      <c r="A24" s="504">
        <v>16</v>
      </c>
      <c r="B24" s="505" t="s">
        <v>46</v>
      </c>
    </row>
    <row r="25" spans="1:2" x14ac:dyDescent="0.3">
      <c r="A25" s="3">
        <v>17</v>
      </c>
      <c r="B25" t="s">
        <v>47</v>
      </c>
    </row>
    <row r="26" spans="1:2" x14ac:dyDescent="0.3">
      <c r="A26" s="3">
        <v>18</v>
      </c>
      <c r="B26" t="s">
        <v>48</v>
      </c>
    </row>
    <row r="27" spans="1:2" x14ac:dyDescent="0.3">
      <c r="A27" s="504">
        <v>19</v>
      </c>
      <c r="B27" s="507" t="s">
        <v>49</v>
      </c>
    </row>
    <row r="28" spans="1:2" x14ac:dyDescent="0.3">
      <c r="A28" s="3">
        <v>20</v>
      </c>
      <c r="B28" t="s">
        <v>50</v>
      </c>
    </row>
    <row r="29" spans="1:2" x14ac:dyDescent="0.3">
      <c r="A29" s="504">
        <v>21</v>
      </c>
      <c r="B29" s="507" t="s">
        <v>51</v>
      </c>
    </row>
    <row r="30" spans="1:2" x14ac:dyDescent="0.3">
      <c r="A30" s="3">
        <v>22</v>
      </c>
      <c r="B30" t="s">
        <v>52</v>
      </c>
    </row>
    <row r="31" spans="1:2" x14ac:dyDescent="0.3">
      <c r="A31" s="504">
        <v>23</v>
      </c>
      <c r="B31" s="507" t="s">
        <v>53</v>
      </c>
    </row>
    <row r="32" spans="1:2" x14ac:dyDescent="0.3">
      <c r="A32" s="504">
        <v>24</v>
      </c>
      <c r="B32" s="507" t="s">
        <v>54</v>
      </c>
    </row>
    <row r="33" spans="1:2" x14ac:dyDescent="0.3">
      <c r="A33" s="3">
        <v>25</v>
      </c>
      <c r="B33" t="s">
        <v>55</v>
      </c>
    </row>
    <row r="34" spans="1:2" x14ac:dyDescent="0.3">
      <c r="A34" s="3">
        <v>26</v>
      </c>
      <c r="B34" s="507" t="s">
        <v>56</v>
      </c>
    </row>
    <row r="35" spans="1:2" x14ac:dyDescent="0.3">
      <c r="A35" s="3">
        <v>27</v>
      </c>
      <c r="B35" s="507" t="s">
        <v>57</v>
      </c>
    </row>
  </sheetData>
  <mergeCells count="1">
    <mergeCell ref="F5:G10"/>
  </mergeCells>
  <pageMargins left="0.7" right="0.7" top="0.75" bottom="0.75" header="0.3" footer="0.3"/>
  <pageSetup paperSize="9" orientation="portrait" r:id="rId1"/>
  <headerFooter>
    <oddHeader>&amp;R&amp;"Calibri"&amp;8&amp;K000000Document classified as: 2 - Company 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oglio13">
    <tabColor rgb="FF92D050"/>
    <pageSetUpPr fitToPage="1"/>
  </sheetPr>
  <dimension ref="A1:Z119"/>
  <sheetViews>
    <sheetView topLeftCell="A4" zoomScale="85" zoomScaleNormal="85" workbookViewId="0">
      <selection activeCell="F94" sqref="F94"/>
    </sheetView>
  </sheetViews>
  <sheetFormatPr defaultRowHeight="14.4" x14ac:dyDescent="0.3"/>
  <cols>
    <col min="1" max="1" width="22" customWidth="1"/>
    <col min="2" max="7" width="13.21875" style="2" customWidth="1"/>
    <col min="8" max="8" width="18" style="2" customWidth="1"/>
    <col min="9" max="26" width="13.21875" style="2" customWidth="1"/>
  </cols>
  <sheetData>
    <row r="1" spans="1:26" ht="24" thickBot="1" x14ac:dyDescent="0.35">
      <c r="A1" s="342" t="s">
        <v>58</v>
      </c>
      <c r="B1" s="343"/>
      <c r="C1" s="343"/>
      <c r="D1" s="343"/>
      <c r="E1" s="343"/>
      <c r="F1" s="343"/>
      <c r="G1" s="343"/>
      <c r="H1" s="343"/>
      <c r="I1" s="343"/>
      <c r="J1" s="343"/>
      <c r="K1" s="343"/>
      <c r="L1" s="343"/>
      <c r="M1" s="343"/>
      <c r="N1" s="343"/>
      <c r="O1" s="343"/>
      <c r="P1" s="343"/>
      <c r="Q1" s="343"/>
      <c r="R1" s="343"/>
      <c r="S1" s="343"/>
      <c r="T1" s="343"/>
      <c r="U1" s="343"/>
      <c r="V1" s="343"/>
      <c r="W1" s="343"/>
      <c r="X1" s="343"/>
      <c r="Y1" s="343"/>
      <c r="Z1" s="344"/>
    </row>
    <row r="2" spans="1:26" ht="15" thickBot="1" x14ac:dyDescent="0.35">
      <c r="A2" s="128" t="s">
        <v>59</v>
      </c>
      <c r="B2" s="129">
        <v>0.5</v>
      </c>
      <c r="C2" s="129">
        <v>0.75</v>
      </c>
      <c r="D2" s="129">
        <v>1</v>
      </c>
      <c r="E2" s="129">
        <v>1.5</v>
      </c>
      <c r="F2" s="129">
        <v>2</v>
      </c>
      <c r="G2" s="129">
        <v>3</v>
      </c>
      <c r="H2" s="129">
        <v>4</v>
      </c>
      <c r="I2" s="129">
        <v>6</v>
      </c>
      <c r="J2" s="129">
        <v>8</v>
      </c>
      <c r="K2" s="129">
        <v>10</v>
      </c>
      <c r="L2" s="129">
        <v>12</v>
      </c>
      <c r="M2" s="129">
        <v>14</v>
      </c>
      <c r="N2" s="129">
        <v>16</v>
      </c>
      <c r="O2" s="129">
        <v>18</v>
      </c>
      <c r="P2" s="129">
        <v>20</v>
      </c>
      <c r="Q2" s="129">
        <v>24</v>
      </c>
      <c r="R2" s="129">
        <v>28</v>
      </c>
      <c r="S2" s="833">
        <v>30</v>
      </c>
      <c r="T2" s="833">
        <v>32</v>
      </c>
      <c r="U2" s="833">
        <v>34</v>
      </c>
      <c r="V2" s="833">
        <v>36</v>
      </c>
      <c r="W2" s="833">
        <v>38</v>
      </c>
      <c r="X2" s="833">
        <v>40</v>
      </c>
      <c r="Y2" s="833">
        <v>42</v>
      </c>
      <c r="Z2" s="130">
        <v>44</v>
      </c>
    </row>
    <row r="3" spans="1:26" s="49" customFormat="1" ht="16.2" thickBot="1" x14ac:dyDescent="0.35">
      <c r="A3" s="345" t="s">
        <v>60</v>
      </c>
      <c r="B3" s="346"/>
      <c r="C3" s="346"/>
      <c r="D3" s="346"/>
      <c r="E3" s="346"/>
      <c r="F3" s="346"/>
      <c r="G3" s="346"/>
      <c r="H3" s="346"/>
      <c r="I3" s="346"/>
      <c r="J3" s="346"/>
      <c r="K3" s="346"/>
      <c r="L3" s="346"/>
      <c r="M3" s="346"/>
      <c r="N3" s="346"/>
      <c r="O3" s="346"/>
      <c r="P3" s="346"/>
      <c r="Q3" s="346"/>
      <c r="R3" s="346"/>
      <c r="S3" s="346"/>
      <c r="T3" s="346"/>
      <c r="U3" s="346"/>
      <c r="V3" s="346"/>
      <c r="W3" s="346"/>
      <c r="X3" s="346"/>
      <c r="Y3" s="346"/>
      <c r="Z3" s="347"/>
    </row>
    <row r="4" spans="1:26" x14ac:dyDescent="0.3">
      <c r="A4" s="699" t="s">
        <v>61</v>
      </c>
      <c r="B4" s="700">
        <v>80</v>
      </c>
      <c r="C4" s="701">
        <v>80</v>
      </c>
      <c r="D4" s="701">
        <v>80</v>
      </c>
      <c r="E4" s="701">
        <v>80</v>
      </c>
      <c r="F4" s="701">
        <v>80</v>
      </c>
      <c r="G4" s="701">
        <v>40</v>
      </c>
      <c r="H4" s="701">
        <v>40</v>
      </c>
      <c r="I4" s="701">
        <v>40</v>
      </c>
      <c r="J4" s="701">
        <v>20</v>
      </c>
      <c r="K4" s="701">
        <v>20</v>
      </c>
      <c r="L4" s="701">
        <v>20</v>
      </c>
      <c r="M4" s="701">
        <v>20</v>
      </c>
      <c r="N4" s="701">
        <v>20</v>
      </c>
      <c r="O4" s="701">
        <v>20</v>
      </c>
      <c r="P4" s="701">
        <v>20</v>
      </c>
      <c r="Q4" s="701">
        <v>20</v>
      </c>
      <c r="R4" s="701">
        <v>10</v>
      </c>
      <c r="S4" s="834">
        <v>10</v>
      </c>
      <c r="T4" s="834"/>
      <c r="U4" s="834"/>
      <c r="V4" s="834"/>
      <c r="W4" s="834"/>
      <c r="X4" s="834"/>
      <c r="Y4" s="834"/>
      <c r="Z4" s="702"/>
    </row>
    <row r="5" spans="1:26" x14ac:dyDescent="0.3">
      <c r="A5" s="703" t="s">
        <v>67</v>
      </c>
      <c r="B5" s="700" t="s">
        <v>63</v>
      </c>
      <c r="C5" s="701" t="s">
        <v>63</v>
      </c>
      <c r="D5" s="701" t="s">
        <v>63</v>
      </c>
      <c r="E5" s="701" t="s">
        <v>63</v>
      </c>
      <c r="F5" s="701" t="s">
        <v>64</v>
      </c>
      <c r="G5" s="701" t="s">
        <v>64</v>
      </c>
      <c r="H5" s="701" t="s">
        <v>64</v>
      </c>
      <c r="I5" s="701">
        <v>40</v>
      </c>
      <c r="J5" s="701">
        <v>40</v>
      </c>
      <c r="K5" s="701">
        <v>40</v>
      </c>
      <c r="L5" s="701" t="s">
        <v>65</v>
      </c>
      <c r="M5" s="701">
        <v>30</v>
      </c>
      <c r="N5" s="701">
        <v>40</v>
      </c>
      <c r="O5" s="701" t="s">
        <v>66</v>
      </c>
      <c r="P5" s="701">
        <v>30</v>
      </c>
      <c r="Q5" s="701">
        <v>40</v>
      </c>
      <c r="R5" s="701">
        <v>30</v>
      </c>
      <c r="S5" s="834"/>
      <c r="T5" s="834"/>
      <c r="U5" s="834"/>
      <c r="V5" s="834"/>
      <c r="W5" s="834"/>
      <c r="X5" s="834"/>
      <c r="Y5" s="834"/>
      <c r="Z5" s="702"/>
    </row>
    <row r="6" spans="1:26" x14ac:dyDescent="0.3">
      <c r="A6" s="703"/>
      <c r="B6" s="700"/>
      <c r="C6" s="701"/>
      <c r="D6" s="701"/>
      <c r="E6" s="701"/>
      <c r="F6" s="701"/>
      <c r="G6" s="701"/>
      <c r="H6" s="701"/>
      <c r="I6" s="701"/>
      <c r="J6" s="701"/>
      <c r="K6" s="701"/>
      <c r="L6" s="701"/>
      <c r="M6" s="701"/>
      <c r="N6" s="701"/>
      <c r="O6" s="701"/>
      <c r="P6" s="701"/>
      <c r="Q6" s="701"/>
      <c r="R6" s="701"/>
      <c r="S6" s="834"/>
      <c r="T6" s="834"/>
      <c r="U6" s="834"/>
      <c r="V6" s="834"/>
      <c r="W6" s="834"/>
      <c r="X6" s="834"/>
      <c r="Y6" s="834"/>
      <c r="Z6" s="702"/>
    </row>
    <row r="7" spans="1:26" x14ac:dyDescent="0.3">
      <c r="A7" s="703"/>
      <c r="B7" s="700"/>
      <c r="C7" s="700"/>
      <c r="D7" s="700"/>
      <c r="E7" s="700"/>
      <c r="F7" s="700"/>
      <c r="G7" s="700"/>
      <c r="H7" s="700"/>
      <c r="I7" s="700"/>
      <c r="J7" s="700"/>
      <c r="K7" s="700"/>
      <c r="L7" s="701"/>
      <c r="M7" s="701"/>
      <c r="N7" s="701"/>
      <c r="O7" s="701"/>
      <c r="P7" s="701"/>
      <c r="Q7" s="701"/>
      <c r="R7" s="701"/>
      <c r="S7" s="701"/>
      <c r="T7" s="834"/>
      <c r="U7" s="834"/>
      <c r="V7" s="834"/>
      <c r="W7" s="834"/>
      <c r="X7" s="834"/>
      <c r="Y7" s="834"/>
      <c r="Z7" s="702"/>
    </row>
    <row r="8" spans="1:26" x14ac:dyDescent="0.3">
      <c r="A8" s="703"/>
      <c r="B8" s="700"/>
      <c r="C8" s="701"/>
      <c r="D8" s="701"/>
      <c r="E8" s="701"/>
      <c r="F8" s="701"/>
      <c r="G8" s="701"/>
      <c r="H8" s="701"/>
      <c r="I8" s="701"/>
      <c r="J8" s="701"/>
      <c r="K8" s="701"/>
      <c r="L8" s="701"/>
      <c r="M8" s="701"/>
      <c r="N8" s="701"/>
      <c r="O8" s="701"/>
      <c r="P8" s="701"/>
      <c r="Q8" s="701"/>
      <c r="R8" s="701"/>
      <c r="S8" s="701"/>
      <c r="T8" s="701"/>
      <c r="U8" s="701"/>
      <c r="V8" s="701"/>
      <c r="W8" s="701"/>
      <c r="X8" s="701"/>
      <c r="Y8" s="701"/>
      <c r="Z8" s="702"/>
    </row>
    <row r="9" spans="1:26" x14ac:dyDescent="0.3">
      <c r="A9" s="703"/>
      <c r="B9" s="700"/>
      <c r="C9" s="701"/>
      <c r="D9" s="701"/>
      <c r="E9" s="701"/>
      <c r="F9" s="701"/>
      <c r="G9" s="701"/>
      <c r="H9" s="701"/>
      <c r="I9" s="701"/>
      <c r="J9" s="701"/>
      <c r="K9" s="701"/>
      <c r="L9" s="701"/>
      <c r="M9" s="701"/>
      <c r="N9" s="701"/>
      <c r="O9" s="701"/>
      <c r="P9" s="701"/>
      <c r="Q9" s="701"/>
      <c r="R9" s="701"/>
      <c r="S9" s="701"/>
      <c r="T9" s="701"/>
      <c r="U9" s="701"/>
      <c r="V9" s="701"/>
      <c r="W9" s="701"/>
      <c r="X9" s="701"/>
      <c r="Y9" s="701"/>
      <c r="Z9" s="702"/>
    </row>
    <row r="10" spans="1:26" x14ac:dyDescent="0.3">
      <c r="A10" s="703"/>
      <c r="B10" s="700"/>
      <c r="C10" s="701"/>
      <c r="D10" s="701"/>
      <c r="E10" s="701"/>
      <c r="F10" s="701"/>
      <c r="G10" s="701"/>
      <c r="H10" s="701"/>
      <c r="I10" s="701"/>
      <c r="J10" s="701"/>
      <c r="K10" s="701"/>
      <c r="L10" s="701"/>
      <c r="M10" s="701"/>
      <c r="N10" s="701"/>
      <c r="O10" s="701"/>
      <c r="P10" s="701"/>
      <c r="Q10" s="701"/>
      <c r="R10" s="701"/>
      <c r="S10" s="701"/>
      <c r="T10" s="834"/>
      <c r="U10" s="834"/>
      <c r="V10" s="834"/>
      <c r="W10" s="834"/>
      <c r="X10" s="834"/>
      <c r="Y10" s="834"/>
      <c r="Z10" s="702"/>
    </row>
    <row r="11" spans="1:26" x14ac:dyDescent="0.3">
      <c r="A11" s="703"/>
      <c r="B11" s="700"/>
      <c r="C11" s="701"/>
      <c r="D11" s="701"/>
      <c r="E11" s="701"/>
      <c r="F11" s="701"/>
      <c r="G11" s="701"/>
      <c r="H11" s="701"/>
      <c r="I11" s="701"/>
      <c r="J11" s="701"/>
      <c r="K11" s="701"/>
      <c r="L11" s="701"/>
      <c r="M11" s="701"/>
      <c r="N11" s="701"/>
      <c r="O11" s="701"/>
      <c r="P11" s="701"/>
      <c r="Q11" s="701"/>
      <c r="R11" s="701"/>
      <c r="S11" s="701"/>
      <c r="T11" s="834"/>
      <c r="U11" s="834"/>
      <c r="V11" s="834"/>
      <c r="W11" s="834"/>
      <c r="X11" s="834"/>
      <c r="Y11" s="834"/>
      <c r="Z11" s="702"/>
    </row>
    <row r="12" spans="1:26" x14ac:dyDescent="0.3">
      <c r="A12" s="703"/>
      <c r="B12" s="700"/>
      <c r="C12" s="701"/>
      <c r="D12" s="701"/>
      <c r="E12" s="701"/>
      <c r="F12" s="701"/>
      <c r="G12" s="701"/>
      <c r="H12" s="701"/>
      <c r="I12" s="701"/>
      <c r="J12" s="701"/>
      <c r="K12" s="701"/>
      <c r="L12" s="701"/>
      <c r="M12" s="701"/>
      <c r="N12" s="701"/>
      <c r="O12" s="701"/>
      <c r="P12" s="701"/>
      <c r="Q12" s="701"/>
      <c r="R12" s="701"/>
      <c r="S12" s="834"/>
      <c r="T12" s="834"/>
      <c r="U12" s="834"/>
      <c r="V12" s="834"/>
      <c r="W12" s="834"/>
      <c r="X12" s="834"/>
      <c r="Y12" s="834"/>
      <c r="Z12" s="702"/>
    </row>
    <row r="13" spans="1:26" x14ac:dyDescent="0.3">
      <c r="A13" s="703"/>
      <c r="B13" s="700"/>
      <c r="C13" s="701"/>
      <c r="D13" s="701"/>
      <c r="E13" s="701"/>
      <c r="F13" s="701"/>
      <c r="G13" s="701"/>
      <c r="H13" s="701"/>
      <c r="I13" s="701"/>
      <c r="J13" s="701"/>
      <c r="K13" s="701"/>
      <c r="L13" s="701"/>
      <c r="M13" s="701"/>
      <c r="N13" s="701"/>
      <c r="O13" s="701"/>
      <c r="P13" s="701"/>
      <c r="Q13" s="701"/>
      <c r="R13" s="701"/>
      <c r="S13" s="834"/>
      <c r="T13" s="834"/>
      <c r="U13" s="834"/>
      <c r="V13" s="834"/>
      <c r="W13" s="834"/>
      <c r="X13" s="834"/>
      <c r="Y13" s="834"/>
      <c r="Z13" s="702"/>
    </row>
    <row r="14" spans="1:26" x14ac:dyDescent="0.3">
      <c r="A14" s="703"/>
      <c r="B14" s="700"/>
      <c r="C14" s="701"/>
      <c r="D14" s="701"/>
      <c r="E14" s="701"/>
      <c r="F14" s="701"/>
      <c r="G14" s="701"/>
      <c r="H14" s="701"/>
      <c r="I14" s="701"/>
      <c r="J14" s="701"/>
      <c r="K14" s="701"/>
      <c r="L14" s="701"/>
      <c r="M14" s="701"/>
      <c r="N14" s="701"/>
      <c r="O14" s="701"/>
      <c r="P14" s="701"/>
      <c r="Q14" s="701"/>
      <c r="R14" s="701"/>
      <c r="S14" s="834"/>
      <c r="T14" s="834"/>
      <c r="U14" s="834"/>
      <c r="V14" s="834"/>
      <c r="W14" s="834"/>
      <c r="X14" s="834"/>
      <c r="Y14" s="834"/>
      <c r="Z14" s="702"/>
    </row>
    <row r="15" spans="1:26" x14ac:dyDescent="0.3">
      <c r="A15" s="703"/>
      <c r="B15" s="700"/>
      <c r="C15" s="701"/>
      <c r="D15" s="701"/>
      <c r="E15" s="701"/>
      <c r="F15" s="701"/>
      <c r="G15" s="701"/>
      <c r="H15" s="701"/>
      <c r="I15" s="701"/>
      <c r="J15" s="701"/>
      <c r="K15" s="701"/>
      <c r="L15" s="701"/>
      <c r="M15" s="701"/>
      <c r="N15" s="701"/>
      <c r="O15" s="701"/>
      <c r="P15" s="701"/>
      <c r="Q15" s="701"/>
      <c r="R15" s="701"/>
      <c r="S15" s="834"/>
      <c r="T15" s="834"/>
      <c r="U15" s="834"/>
      <c r="V15" s="834"/>
      <c r="W15" s="834"/>
      <c r="X15" s="834"/>
      <c r="Y15" s="834"/>
      <c r="Z15" s="702"/>
    </row>
    <row r="16" spans="1:26" ht="15" thickBot="1" x14ac:dyDescent="0.35">
      <c r="A16" s="704"/>
      <c r="B16" s="700"/>
      <c r="C16" s="701"/>
      <c r="D16" s="701"/>
      <c r="E16" s="701"/>
      <c r="F16" s="701"/>
      <c r="G16" s="701"/>
      <c r="H16" s="701"/>
      <c r="I16" s="701"/>
      <c r="J16" s="701"/>
      <c r="K16" s="701"/>
      <c r="L16" s="701"/>
      <c r="M16" s="701"/>
      <c r="N16" s="701"/>
      <c r="O16" s="701"/>
      <c r="P16" s="701"/>
      <c r="Q16" s="701"/>
      <c r="R16" s="701"/>
      <c r="S16" s="834"/>
      <c r="T16" s="834"/>
      <c r="U16" s="834"/>
      <c r="V16" s="834"/>
      <c r="W16" s="834"/>
      <c r="X16" s="834"/>
      <c r="Y16" s="834"/>
      <c r="Z16" s="702"/>
    </row>
    <row r="17" spans="1:26" s="49" customFormat="1" ht="16.2" thickBot="1" x14ac:dyDescent="0.35">
      <c r="A17" s="345" t="s">
        <v>68</v>
      </c>
      <c r="B17" s="346"/>
      <c r="C17" s="346"/>
      <c r="D17" s="346"/>
      <c r="E17" s="346"/>
      <c r="F17" s="346"/>
      <c r="G17" s="346"/>
      <c r="H17" s="346"/>
      <c r="I17" s="346"/>
      <c r="J17" s="346"/>
      <c r="K17" s="346"/>
      <c r="L17" s="346"/>
      <c r="M17" s="346"/>
      <c r="N17" s="346"/>
      <c r="O17" s="346"/>
      <c r="P17" s="346"/>
      <c r="Q17" s="346"/>
      <c r="R17" s="346"/>
      <c r="S17" s="346"/>
      <c r="T17" s="346"/>
      <c r="U17" s="346"/>
      <c r="V17" s="346"/>
      <c r="W17" s="346"/>
      <c r="X17" s="346"/>
      <c r="Y17" s="346"/>
      <c r="Z17" s="347"/>
    </row>
    <row r="18" spans="1:26" ht="15.6" x14ac:dyDescent="0.3">
      <c r="A18" s="270" t="str">
        <f>A4&amp;".piping"</f>
        <v>CS-150#.piping</v>
      </c>
      <c r="B18" s="705" t="s">
        <v>69</v>
      </c>
      <c r="C18" s="705" t="s">
        <v>69</v>
      </c>
      <c r="D18" s="705" t="s">
        <v>69</v>
      </c>
      <c r="E18" s="705" t="s">
        <v>69</v>
      </c>
      <c r="F18" s="705" t="s">
        <v>69</v>
      </c>
      <c r="G18" s="705" t="s">
        <v>69</v>
      </c>
      <c r="H18" s="705" t="s">
        <v>69</v>
      </c>
      <c r="I18" s="705" t="s">
        <v>69</v>
      </c>
      <c r="J18" s="705" t="s">
        <v>69</v>
      </c>
      <c r="K18" s="705" t="s">
        <v>69</v>
      </c>
      <c r="L18" s="705" t="s">
        <v>69</v>
      </c>
      <c r="M18" s="705" t="s">
        <v>69</v>
      </c>
      <c r="N18" s="705" t="s">
        <v>69</v>
      </c>
      <c r="O18" s="705" t="s">
        <v>69</v>
      </c>
      <c r="P18" s="705" t="s">
        <v>69</v>
      </c>
      <c r="Q18" s="705" t="s">
        <v>69</v>
      </c>
      <c r="R18" s="705" t="s">
        <v>70</v>
      </c>
      <c r="S18" s="705" t="s">
        <v>70</v>
      </c>
      <c r="T18" s="705"/>
      <c r="U18" s="705"/>
      <c r="V18" s="705"/>
      <c r="W18" s="705"/>
      <c r="X18" s="705"/>
      <c r="Y18" s="705"/>
      <c r="Z18" s="872"/>
    </row>
    <row r="19" spans="1:26" ht="15.6" x14ac:dyDescent="0.3">
      <c r="A19" s="271" t="str">
        <f t="shared" ref="A19:A30" si="0">A5&amp;".piping"</f>
        <v>SS-300#.piping</v>
      </c>
      <c r="B19" s="705" t="s">
        <v>71</v>
      </c>
      <c r="C19" s="705" t="s">
        <v>71</v>
      </c>
      <c r="D19" s="705" t="s">
        <v>71</v>
      </c>
      <c r="E19" s="705" t="s">
        <v>71</v>
      </c>
      <c r="F19" s="705" t="s">
        <v>71</v>
      </c>
      <c r="G19" s="705" t="s">
        <v>71</v>
      </c>
      <c r="H19" s="705" t="s">
        <v>71</v>
      </c>
      <c r="I19" s="705" t="s">
        <v>71</v>
      </c>
      <c r="J19" s="705" t="s">
        <v>71</v>
      </c>
      <c r="K19" s="705" t="s">
        <v>71</v>
      </c>
      <c r="L19" s="705" t="s">
        <v>71</v>
      </c>
      <c r="M19" s="705" t="s">
        <v>71</v>
      </c>
      <c r="N19" s="705" t="s">
        <v>71</v>
      </c>
      <c r="O19" s="705" t="s">
        <v>71</v>
      </c>
      <c r="P19" s="705" t="s">
        <v>71</v>
      </c>
      <c r="Q19" s="705" t="s">
        <v>71</v>
      </c>
      <c r="R19" s="705" t="s">
        <v>70</v>
      </c>
      <c r="S19" s="705" t="s">
        <v>70</v>
      </c>
      <c r="T19" s="705"/>
      <c r="U19" s="705"/>
      <c r="V19" s="705"/>
      <c r="W19" s="705"/>
      <c r="X19" s="705"/>
      <c r="Y19" s="705"/>
      <c r="Z19" s="872"/>
    </row>
    <row r="20" spans="1:26" x14ac:dyDescent="0.3">
      <c r="A20" s="271" t="str">
        <f t="shared" si="0"/>
        <v>.piping</v>
      </c>
      <c r="B20" s="705"/>
      <c r="C20" s="705"/>
      <c r="D20" s="705"/>
      <c r="E20" s="705"/>
      <c r="F20" s="705"/>
      <c r="G20" s="705"/>
      <c r="H20" s="705"/>
      <c r="I20" s="705"/>
      <c r="J20" s="705"/>
      <c r="K20" s="705"/>
      <c r="L20" s="705"/>
      <c r="M20" s="705"/>
      <c r="N20" s="705"/>
      <c r="O20" s="705"/>
      <c r="P20" s="705"/>
      <c r="Q20" s="705"/>
      <c r="R20" s="705"/>
      <c r="S20" s="705"/>
      <c r="T20" s="706"/>
      <c r="U20" s="706"/>
      <c r="V20" s="706"/>
      <c r="W20" s="706"/>
      <c r="X20" s="706"/>
      <c r="Y20" s="706"/>
      <c r="Z20" s="707"/>
    </row>
    <row r="21" spans="1:26" x14ac:dyDescent="0.3">
      <c r="A21" s="271" t="str">
        <f t="shared" si="0"/>
        <v>.piping</v>
      </c>
      <c r="B21" s="705"/>
      <c r="C21" s="705"/>
      <c r="D21" s="705"/>
      <c r="E21" s="705"/>
      <c r="F21" s="705"/>
      <c r="G21" s="705"/>
      <c r="H21" s="705"/>
      <c r="I21" s="705"/>
      <c r="J21" s="705"/>
      <c r="K21" s="705"/>
      <c r="L21" s="705"/>
      <c r="M21" s="705"/>
      <c r="N21" s="705"/>
      <c r="O21" s="705"/>
      <c r="P21" s="705"/>
      <c r="Q21" s="705"/>
      <c r="R21" s="705"/>
      <c r="S21" s="705"/>
      <c r="T21" s="706"/>
      <c r="U21" s="706"/>
      <c r="V21" s="706"/>
      <c r="W21" s="706"/>
      <c r="X21" s="706"/>
      <c r="Y21" s="706"/>
      <c r="Z21" s="707"/>
    </row>
    <row r="22" spans="1:26" x14ac:dyDescent="0.3">
      <c r="A22" s="271" t="str">
        <f t="shared" si="0"/>
        <v>.piping</v>
      </c>
      <c r="B22" s="705"/>
      <c r="C22" s="705"/>
      <c r="D22" s="705"/>
      <c r="E22" s="705"/>
      <c r="F22" s="705"/>
      <c r="G22" s="705"/>
      <c r="H22" s="705"/>
      <c r="I22" s="705"/>
      <c r="J22" s="705"/>
      <c r="K22" s="705"/>
      <c r="L22" s="705"/>
      <c r="M22" s="705"/>
      <c r="N22" s="705"/>
      <c r="O22" s="705"/>
      <c r="P22" s="705"/>
      <c r="Q22" s="705"/>
      <c r="R22" s="705"/>
      <c r="S22" s="705"/>
      <c r="T22" s="705"/>
      <c r="U22" s="705"/>
      <c r="V22" s="705"/>
      <c r="W22" s="705"/>
      <c r="X22" s="705"/>
      <c r="Y22" s="705"/>
      <c r="Z22" s="707"/>
    </row>
    <row r="23" spans="1:26" x14ac:dyDescent="0.3">
      <c r="A23" s="271" t="str">
        <f t="shared" si="0"/>
        <v>.piping</v>
      </c>
      <c r="B23" s="705"/>
      <c r="C23" s="705"/>
      <c r="D23" s="705"/>
      <c r="E23" s="705"/>
      <c r="F23" s="705"/>
      <c r="G23" s="705"/>
      <c r="H23" s="705"/>
      <c r="I23" s="705"/>
      <c r="J23" s="705"/>
      <c r="K23" s="705"/>
      <c r="L23" s="705"/>
      <c r="M23" s="705"/>
      <c r="N23" s="705"/>
      <c r="O23" s="705"/>
      <c r="P23" s="705"/>
      <c r="Q23" s="705"/>
      <c r="R23" s="705"/>
      <c r="S23" s="705"/>
      <c r="T23" s="705"/>
      <c r="U23" s="705"/>
      <c r="V23" s="705"/>
      <c r="W23" s="705"/>
      <c r="X23" s="705"/>
      <c r="Y23" s="705"/>
      <c r="Z23" s="707"/>
    </row>
    <row r="24" spans="1:26" x14ac:dyDescent="0.3">
      <c r="A24" s="271" t="str">
        <f t="shared" si="0"/>
        <v>.piping</v>
      </c>
      <c r="B24" s="705"/>
      <c r="C24" s="705"/>
      <c r="D24" s="705"/>
      <c r="E24" s="705"/>
      <c r="F24" s="705"/>
      <c r="G24" s="705"/>
      <c r="H24" s="705"/>
      <c r="I24" s="705"/>
      <c r="J24" s="705"/>
      <c r="K24" s="705"/>
      <c r="L24" s="705"/>
      <c r="M24" s="705"/>
      <c r="N24" s="705"/>
      <c r="O24" s="705"/>
      <c r="P24" s="705"/>
      <c r="Q24" s="705"/>
      <c r="R24" s="705"/>
      <c r="S24" s="705"/>
      <c r="T24" s="835"/>
      <c r="U24" s="835"/>
      <c r="V24" s="835"/>
      <c r="W24" s="835"/>
      <c r="X24" s="835"/>
      <c r="Y24" s="835"/>
      <c r="Z24" s="707"/>
    </row>
    <row r="25" spans="1:26" x14ac:dyDescent="0.3">
      <c r="A25" s="271" t="str">
        <f t="shared" si="0"/>
        <v>.piping</v>
      </c>
      <c r="B25" s="705"/>
      <c r="C25" s="706"/>
      <c r="D25" s="706"/>
      <c r="E25" s="706"/>
      <c r="F25" s="706"/>
      <c r="G25" s="706"/>
      <c r="H25" s="706"/>
      <c r="I25" s="706"/>
      <c r="J25" s="706"/>
      <c r="K25" s="706"/>
      <c r="L25" s="706"/>
      <c r="M25" s="706"/>
      <c r="N25" s="706"/>
      <c r="O25" s="706"/>
      <c r="P25" s="706"/>
      <c r="Q25" s="706"/>
      <c r="R25" s="706"/>
      <c r="S25" s="835"/>
      <c r="T25" s="835"/>
      <c r="U25" s="835"/>
      <c r="V25" s="835"/>
      <c r="W25" s="835"/>
      <c r="X25" s="835"/>
      <c r="Y25" s="835"/>
      <c r="Z25" s="707"/>
    </row>
    <row r="26" spans="1:26" x14ac:dyDescent="0.3">
      <c r="A26" s="271" t="str">
        <f t="shared" si="0"/>
        <v>.piping</v>
      </c>
      <c r="B26" s="705"/>
      <c r="C26" s="706"/>
      <c r="D26" s="706"/>
      <c r="E26" s="706"/>
      <c r="F26" s="706"/>
      <c r="G26" s="706"/>
      <c r="H26" s="706"/>
      <c r="I26" s="706"/>
      <c r="J26" s="706"/>
      <c r="K26" s="706"/>
      <c r="L26" s="706"/>
      <c r="M26" s="706"/>
      <c r="N26" s="706"/>
      <c r="O26" s="706"/>
      <c r="P26" s="706"/>
      <c r="Q26" s="706"/>
      <c r="R26" s="706"/>
      <c r="S26" s="835"/>
      <c r="T26" s="835"/>
      <c r="U26" s="835"/>
      <c r="V26" s="835"/>
      <c r="W26" s="835"/>
      <c r="X26" s="835"/>
      <c r="Y26" s="835"/>
      <c r="Z26" s="707"/>
    </row>
    <row r="27" spans="1:26" x14ac:dyDescent="0.3">
      <c r="A27" s="271" t="str">
        <f t="shared" si="0"/>
        <v>.piping</v>
      </c>
      <c r="B27" s="705"/>
      <c r="C27" s="706"/>
      <c r="D27" s="706"/>
      <c r="E27" s="706"/>
      <c r="F27" s="706"/>
      <c r="G27" s="706"/>
      <c r="H27" s="706"/>
      <c r="I27" s="706"/>
      <c r="J27" s="706"/>
      <c r="K27" s="706"/>
      <c r="L27" s="706"/>
      <c r="M27" s="706"/>
      <c r="N27" s="706"/>
      <c r="O27" s="706"/>
      <c r="P27" s="706"/>
      <c r="Q27" s="706"/>
      <c r="R27" s="706"/>
      <c r="S27" s="835"/>
      <c r="T27" s="835"/>
      <c r="U27" s="835"/>
      <c r="V27" s="835"/>
      <c r="W27" s="835"/>
      <c r="X27" s="835"/>
      <c r="Y27" s="835"/>
      <c r="Z27" s="707"/>
    </row>
    <row r="28" spans="1:26" x14ac:dyDescent="0.3">
      <c r="A28" s="271" t="str">
        <f t="shared" si="0"/>
        <v>.piping</v>
      </c>
      <c r="B28" s="705"/>
      <c r="C28" s="706"/>
      <c r="D28" s="706"/>
      <c r="E28" s="706"/>
      <c r="F28" s="706"/>
      <c r="G28" s="706"/>
      <c r="H28" s="706"/>
      <c r="I28" s="706"/>
      <c r="J28" s="706"/>
      <c r="K28" s="706"/>
      <c r="L28" s="706"/>
      <c r="M28" s="706"/>
      <c r="N28" s="706"/>
      <c r="O28" s="706"/>
      <c r="P28" s="706"/>
      <c r="Q28" s="706"/>
      <c r="R28" s="706"/>
      <c r="S28" s="835"/>
      <c r="T28" s="835"/>
      <c r="U28" s="835"/>
      <c r="V28" s="835"/>
      <c r="W28" s="835"/>
      <c r="X28" s="835"/>
      <c r="Y28" s="835"/>
      <c r="Z28" s="707"/>
    </row>
    <row r="29" spans="1:26" x14ac:dyDescent="0.3">
      <c r="A29" s="271" t="str">
        <f t="shared" si="0"/>
        <v>.piping</v>
      </c>
      <c r="B29" s="705"/>
      <c r="C29" s="706"/>
      <c r="D29" s="706"/>
      <c r="E29" s="706"/>
      <c r="F29" s="706"/>
      <c r="G29" s="706"/>
      <c r="H29" s="706"/>
      <c r="I29" s="706"/>
      <c r="J29" s="706"/>
      <c r="K29" s="706"/>
      <c r="L29" s="706"/>
      <c r="M29" s="706"/>
      <c r="N29" s="706"/>
      <c r="O29" s="706"/>
      <c r="P29" s="706"/>
      <c r="Q29" s="706"/>
      <c r="R29" s="706"/>
      <c r="S29" s="835"/>
      <c r="T29" s="835"/>
      <c r="U29" s="835"/>
      <c r="V29" s="835"/>
      <c r="W29" s="835"/>
      <c r="X29" s="835"/>
      <c r="Y29" s="835"/>
      <c r="Z29" s="707"/>
    </row>
    <row r="30" spans="1:26" ht="15" thickBot="1" x14ac:dyDescent="0.35">
      <c r="A30" s="272" t="str">
        <f t="shared" si="0"/>
        <v>.piping</v>
      </c>
      <c r="B30" s="708"/>
      <c r="C30" s="709"/>
      <c r="D30" s="709"/>
      <c r="E30" s="709"/>
      <c r="F30" s="709"/>
      <c r="G30" s="709"/>
      <c r="H30" s="709"/>
      <c r="I30" s="709"/>
      <c r="J30" s="709"/>
      <c r="K30" s="709"/>
      <c r="L30" s="709"/>
      <c r="M30" s="709"/>
      <c r="N30" s="709"/>
      <c r="O30" s="709"/>
      <c r="P30" s="709"/>
      <c r="Q30" s="709"/>
      <c r="R30" s="709"/>
      <c r="S30" s="836"/>
      <c r="T30" s="836"/>
      <c r="U30" s="836"/>
      <c r="V30" s="836"/>
      <c r="W30" s="836"/>
      <c r="X30" s="836"/>
      <c r="Y30" s="836"/>
      <c r="Z30" s="710"/>
    </row>
    <row r="31" spans="1:26" s="49" customFormat="1" ht="16.2" thickBot="1" x14ac:dyDescent="0.35">
      <c r="A31" s="345" t="s">
        <v>72</v>
      </c>
      <c r="B31" s="346"/>
      <c r="C31" s="346"/>
      <c r="D31" s="346"/>
      <c r="E31" s="346"/>
      <c r="F31" s="346"/>
      <c r="G31" s="346"/>
      <c r="H31" s="346"/>
      <c r="I31" s="346"/>
      <c r="J31" s="346"/>
      <c r="K31" s="346"/>
      <c r="L31" s="346"/>
      <c r="M31" s="346"/>
      <c r="N31" s="346"/>
      <c r="O31" s="346"/>
      <c r="P31" s="346"/>
      <c r="Q31" s="346"/>
      <c r="R31" s="346"/>
      <c r="S31" s="346"/>
      <c r="T31" s="346"/>
      <c r="U31" s="346"/>
      <c r="V31" s="346"/>
      <c r="W31" s="346"/>
      <c r="X31" s="346"/>
      <c r="Y31" s="346"/>
      <c r="Z31" s="347"/>
    </row>
    <row r="32" spans="1:26" ht="18.75" customHeight="1" x14ac:dyDescent="0.3">
      <c r="A32" s="270" t="str">
        <f>A4&amp;".fitting"</f>
        <v>CS-150#.fitting</v>
      </c>
      <c r="B32" s="705" t="s">
        <v>69</v>
      </c>
      <c r="C32" s="705" t="s">
        <v>69</v>
      </c>
      <c r="D32" s="705" t="s">
        <v>69</v>
      </c>
      <c r="E32" s="705" t="s">
        <v>69</v>
      </c>
      <c r="F32" s="705" t="s">
        <v>69</v>
      </c>
      <c r="G32" s="705" t="s">
        <v>69</v>
      </c>
      <c r="H32" s="705" t="s">
        <v>69</v>
      </c>
      <c r="I32" s="705" t="s">
        <v>69</v>
      </c>
      <c r="J32" s="705" t="s">
        <v>69</v>
      </c>
      <c r="K32" s="705" t="s">
        <v>69</v>
      </c>
      <c r="L32" s="705" t="s">
        <v>69</v>
      </c>
      <c r="M32" s="705" t="s">
        <v>69</v>
      </c>
      <c r="N32" s="705" t="s">
        <v>69</v>
      </c>
      <c r="O32" s="705" t="s">
        <v>69</v>
      </c>
      <c r="P32" s="705" t="s">
        <v>69</v>
      </c>
      <c r="Q32" s="705" t="s">
        <v>69</v>
      </c>
      <c r="R32" s="705" t="s">
        <v>70</v>
      </c>
      <c r="S32" s="705" t="s">
        <v>70</v>
      </c>
      <c r="T32" s="705"/>
      <c r="U32" s="705"/>
      <c r="V32" s="705"/>
      <c r="W32" s="705"/>
      <c r="X32" s="705"/>
      <c r="Y32" s="705"/>
      <c r="Z32" s="872"/>
    </row>
    <row r="33" spans="1:26" ht="18.75" customHeight="1" x14ac:dyDescent="0.3">
      <c r="A33" s="271" t="str">
        <f t="shared" ref="A33:A44" si="1">A5&amp;".fitting"</f>
        <v>SS-300#.fitting</v>
      </c>
      <c r="B33" s="705" t="s">
        <v>71</v>
      </c>
      <c r="C33" s="705" t="s">
        <v>71</v>
      </c>
      <c r="D33" s="705" t="s">
        <v>71</v>
      </c>
      <c r="E33" s="705" t="s">
        <v>71</v>
      </c>
      <c r="F33" s="705" t="s">
        <v>71</v>
      </c>
      <c r="G33" s="705" t="s">
        <v>71</v>
      </c>
      <c r="H33" s="705" t="s">
        <v>71</v>
      </c>
      <c r="I33" s="705" t="s">
        <v>71</v>
      </c>
      <c r="J33" s="705" t="s">
        <v>71</v>
      </c>
      <c r="K33" s="705" t="s">
        <v>71</v>
      </c>
      <c r="L33" s="705" t="s">
        <v>71</v>
      </c>
      <c r="M33" s="705" t="s">
        <v>71</v>
      </c>
      <c r="N33" s="705" t="s">
        <v>71</v>
      </c>
      <c r="O33" s="705" t="s">
        <v>71</v>
      </c>
      <c r="P33" s="705" t="s">
        <v>71</v>
      </c>
      <c r="Q33" s="705" t="s">
        <v>71</v>
      </c>
      <c r="R33" s="705" t="s">
        <v>70</v>
      </c>
      <c r="S33" s="705" t="s">
        <v>70</v>
      </c>
      <c r="T33" s="705"/>
      <c r="U33" s="705"/>
      <c r="V33" s="705"/>
      <c r="W33" s="705"/>
      <c r="X33" s="705"/>
      <c r="Y33" s="705"/>
      <c r="Z33" s="872"/>
    </row>
    <row r="34" spans="1:26" ht="18.75" customHeight="1" x14ac:dyDescent="0.3">
      <c r="A34" s="271" t="str">
        <f t="shared" si="1"/>
        <v>.fitting</v>
      </c>
      <c r="B34" s="705"/>
      <c r="C34" s="705"/>
      <c r="D34" s="705"/>
      <c r="E34" s="705"/>
      <c r="F34" s="705"/>
      <c r="G34" s="705"/>
      <c r="H34" s="705"/>
      <c r="I34" s="705"/>
      <c r="J34" s="705"/>
      <c r="K34" s="705"/>
      <c r="L34" s="705"/>
      <c r="M34" s="705"/>
      <c r="N34" s="705"/>
      <c r="O34" s="705"/>
      <c r="P34" s="705"/>
      <c r="Q34" s="705"/>
      <c r="R34" s="705"/>
      <c r="S34" s="705"/>
      <c r="T34" s="705"/>
      <c r="U34" s="705"/>
      <c r="V34" s="705"/>
      <c r="W34" s="705"/>
      <c r="X34" s="705"/>
      <c r="Y34" s="705"/>
      <c r="Z34" s="872"/>
    </row>
    <row r="35" spans="1:26" ht="18.75" customHeight="1" x14ac:dyDescent="0.3">
      <c r="A35" s="271" t="str">
        <f t="shared" si="1"/>
        <v>.fitting</v>
      </c>
      <c r="B35" s="705"/>
      <c r="C35" s="705"/>
      <c r="D35" s="705"/>
      <c r="E35" s="705"/>
      <c r="F35" s="705"/>
      <c r="G35" s="705"/>
      <c r="H35" s="705"/>
      <c r="I35" s="705"/>
      <c r="J35" s="705"/>
      <c r="K35" s="705"/>
      <c r="L35" s="705"/>
      <c r="M35" s="705"/>
      <c r="N35" s="705"/>
      <c r="O35" s="705"/>
      <c r="P35" s="705"/>
      <c r="Q35" s="705"/>
      <c r="R35" s="705"/>
      <c r="S35" s="705"/>
      <c r="T35" s="705"/>
      <c r="U35" s="705"/>
      <c r="V35" s="705"/>
      <c r="W35" s="705"/>
      <c r="X35" s="705"/>
      <c r="Y35" s="705"/>
      <c r="Z35" s="872"/>
    </row>
    <row r="36" spans="1:26" ht="18.75" customHeight="1" x14ac:dyDescent="0.3">
      <c r="A36" s="271" t="str">
        <f t="shared" si="1"/>
        <v>.fitting</v>
      </c>
      <c r="B36" s="705"/>
      <c r="C36" s="705"/>
      <c r="D36" s="705"/>
      <c r="E36" s="705"/>
      <c r="F36" s="705"/>
      <c r="G36" s="705"/>
      <c r="H36" s="705"/>
      <c r="I36" s="705"/>
      <c r="J36" s="705"/>
      <c r="K36" s="705"/>
      <c r="L36" s="705"/>
      <c r="M36" s="705"/>
      <c r="N36" s="705"/>
      <c r="O36" s="705"/>
      <c r="P36" s="705"/>
      <c r="Q36" s="705"/>
      <c r="R36" s="705"/>
      <c r="S36" s="705"/>
      <c r="T36" s="705"/>
      <c r="U36" s="705"/>
      <c r="V36" s="705"/>
      <c r="W36" s="705"/>
      <c r="X36" s="705"/>
      <c r="Y36" s="705"/>
      <c r="Z36" s="707"/>
    </row>
    <row r="37" spans="1:26" ht="18.75" customHeight="1" x14ac:dyDescent="0.3">
      <c r="A37" s="271" t="str">
        <f t="shared" si="1"/>
        <v>.fitting</v>
      </c>
      <c r="B37" s="705"/>
      <c r="C37" s="705"/>
      <c r="D37" s="705"/>
      <c r="E37" s="705"/>
      <c r="F37" s="705"/>
      <c r="G37" s="705"/>
      <c r="H37" s="705"/>
      <c r="I37" s="705"/>
      <c r="J37" s="705"/>
      <c r="K37" s="705"/>
      <c r="L37" s="705"/>
      <c r="M37" s="705"/>
      <c r="N37" s="705"/>
      <c r="O37" s="705"/>
      <c r="P37" s="705"/>
      <c r="Q37" s="705"/>
      <c r="R37" s="705"/>
      <c r="S37" s="705"/>
      <c r="T37" s="705"/>
      <c r="U37" s="705"/>
      <c r="V37" s="705"/>
      <c r="W37" s="705"/>
      <c r="X37" s="705"/>
      <c r="Y37" s="705"/>
      <c r="Z37" s="707"/>
    </row>
    <row r="38" spans="1:26" ht="18.75" customHeight="1" x14ac:dyDescent="0.3">
      <c r="A38" s="271" t="str">
        <f t="shared" si="1"/>
        <v>.fitting</v>
      </c>
      <c r="B38" s="705"/>
      <c r="C38" s="705"/>
      <c r="D38" s="705"/>
      <c r="E38" s="705"/>
      <c r="F38" s="705"/>
      <c r="G38" s="705"/>
      <c r="H38" s="705"/>
      <c r="I38" s="705"/>
      <c r="J38" s="705"/>
      <c r="K38" s="705"/>
      <c r="L38" s="705"/>
      <c r="M38" s="705"/>
      <c r="N38" s="705"/>
      <c r="O38" s="705"/>
      <c r="P38" s="705"/>
      <c r="Q38" s="705"/>
      <c r="R38" s="705"/>
      <c r="S38" s="705"/>
      <c r="T38" s="705"/>
      <c r="U38" s="705"/>
      <c r="V38" s="705"/>
      <c r="W38" s="705"/>
      <c r="X38" s="705"/>
      <c r="Y38" s="705"/>
      <c r="Z38" s="707"/>
    </row>
    <row r="39" spans="1:26" ht="18.75" customHeight="1" x14ac:dyDescent="0.3">
      <c r="A39" s="271" t="str">
        <f t="shared" si="1"/>
        <v>.fitting</v>
      </c>
      <c r="B39" s="705"/>
      <c r="C39" s="706"/>
      <c r="D39" s="706"/>
      <c r="E39" s="706"/>
      <c r="F39" s="706"/>
      <c r="G39" s="706"/>
      <c r="H39" s="706"/>
      <c r="I39" s="706"/>
      <c r="J39" s="706"/>
      <c r="K39" s="706"/>
      <c r="L39" s="706"/>
      <c r="M39" s="706"/>
      <c r="N39" s="706"/>
      <c r="O39" s="706"/>
      <c r="P39" s="706"/>
      <c r="Q39" s="706"/>
      <c r="R39" s="706"/>
      <c r="S39" s="835"/>
      <c r="T39" s="835"/>
      <c r="U39" s="835"/>
      <c r="V39" s="835"/>
      <c r="W39" s="835"/>
      <c r="X39" s="835"/>
      <c r="Y39" s="835"/>
      <c r="Z39" s="707"/>
    </row>
    <row r="40" spans="1:26" ht="18.75" customHeight="1" x14ac:dyDescent="0.3">
      <c r="A40" s="271" t="str">
        <f t="shared" si="1"/>
        <v>.fitting</v>
      </c>
      <c r="B40" s="705"/>
      <c r="C40" s="706"/>
      <c r="D40" s="706"/>
      <c r="E40" s="706"/>
      <c r="F40" s="706"/>
      <c r="G40" s="706"/>
      <c r="H40" s="706"/>
      <c r="I40" s="706"/>
      <c r="J40" s="706"/>
      <c r="K40" s="706"/>
      <c r="L40" s="706"/>
      <c r="M40" s="706"/>
      <c r="N40" s="706"/>
      <c r="O40" s="706"/>
      <c r="P40" s="706"/>
      <c r="Q40" s="706"/>
      <c r="R40" s="706"/>
      <c r="S40" s="835"/>
      <c r="T40" s="835"/>
      <c r="U40" s="835"/>
      <c r="V40" s="835"/>
      <c r="W40" s="835"/>
      <c r="X40" s="835"/>
      <c r="Y40" s="835"/>
      <c r="Z40" s="707"/>
    </row>
    <row r="41" spans="1:26" ht="18.75" customHeight="1" x14ac:dyDescent="0.3">
      <c r="A41" s="271" t="str">
        <f t="shared" si="1"/>
        <v>.fitting</v>
      </c>
      <c r="B41" s="705"/>
      <c r="C41" s="706"/>
      <c r="D41" s="706"/>
      <c r="E41" s="706"/>
      <c r="F41" s="706"/>
      <c r="G41" s="706"/>
      <c r="H41" s="706"/>
      <c r="I41" s="706"/>
      <c r="J41" s="706"/>
      <c r="K41" s="706"/>
      <c r="L41" s="706"/>
      <c r="M41" s="706"/>
      <c r="N41" s="706"/>
      <c r="O41" s="706"/>
      <c r="P41" s="706"/>
      <c r="Q41" s="706"/>
      <c r="R41" s="706"/>
      <c r="S41" s="835"/>
      <c r="T41" s="835"/>
      <c r="U41" s="835"/>
      <c r="V41" s="835"/>
      <c r="W41" s="835"/>
      <c r="X41" s="835"/>
      <c r="Y41" s="835"/>
      <c r="Z41" s="707"/>
    </row>
    <row r="42" spans="1:26" ht="18.75" customHeight="1" x14ac:dyDescent="0.3">
      <c r="A42" s="271" t="str">
        <f t="shared" si="1"/>
        <v>.fitting</v>
      </c>
      <c r="B42" s="705"/>
      <c r="C42" s="706"/>
      <c r="D42" s="706"/>
      <c r="E42" s="706"/>
      <c r="F42" s="706"/>
      <c r="G42" s="706"/>
      <c r="H42" s="706"/>
      <c r="I42" s="706"/>
      <c r="J42" s="706"/>
      <c r="K42" s="706"/>
      <c r="L42" s="706"/>
      <c r="M42" s="706"/>
      <c r="N42" s="706"/>
      <c r="O42" s="706"/>
      <c r="P42" s="706"/>
      <c r="Q42" s="706"/>
      <c r="R42" s="706"/>
      <c r="S42" s="835"/>
      <c r="T42" s="835"/>
      <c r="U42" s="835"/>
      <c r="V42" s="835"/>
      <c r="W42" s="835"/>
      <c r="X42" s="835"/>
      <c r="Y42" s="835"/>
      <c r="Z42" s="707"/>
    </row>
    <row r="43" spans="1:26" ht="18.75" customHeight="1" x14ac:dyDescent="0.3">
      <c r="A43" s="271" t="str">
        <f t="shared" si="1"/>
        <v>.fitting</v>
      </c>
      <c r="B43" s="705"/>
      <c r="C43" s="706"/>
      <c r="D43" s="706"/>
      <c r="E43" s="706"/>
      <c r="F43" s="706"/>
      <c r="G43" s="706"/>
      <c r="H43" s="706"/>
      <c r="I43" s="706"/>
      <c r="J43" s="706"/>
      <c r="K43" s="706"/>
      <c r="L43" s="706"/>
      <c r="M43" s="706"/>
      <c r="N43" s="706"/>
      <c r="O43" s="706"/>
      <c r="P43" s="706"/>
      <c r="Q43" s="706"/>
      <c r="R43" s="706"/>
      <c r="S43" s="835"/>
      <c r="T43" s="835"/>
      <c r="U43" s="835"/>
      <c r="V43" s="835"/>
      <c r="W43" s="835"/>
      <c r="X43" s="835"/>
      <c r="Y43" s="835"/>
      <c r="Z43" s="707"/>
    </row>
    <row r="44" spans="1:26" ht="18.75" customHeight="1" thickBot="1" x14ac:dyDescent="0.35">
      <c r="A44" s="272" t="str">
        <f t="shared" si="1"/>
        <v>.fitting</v>
      </c>
      <c r="B44" s="708"/>
      <c r="C44" s="709"/>
      <c r="D44" s="709"/>
      <c r="E44" s="709"/>
      <c r="F44" s="709"/>
      <c r="G44" s="709"/>
      <c r="H44" s="709"/>
      <c r="I44" s="709"/>
      <c r="J44" s="709"/>
      <c r="K44" s="709"/>
      <c r="L44" s="709"/>
      <c r="M44" s="709"/>
      <c r="N44" s="709"/>
      <c r="O44" s="709"/>
      <c r="P44" s="709"/>
      <c r="Q44" s="709"/>
      <c r="R44" s="709"/>
      <c r="S44" s="836"/>
      <c r="T44" s="836"/>
      <c r="U44" s="836"/>
      <c r="V44" s="836"/>
      <c r="W44" s="836"/>
      <c r="X44" s="836"/>
      <c r="Y44" s="836"/>
      <c r="Z44" s="710"/>
    </row>
    <row r="45" spans="1:26" s="49" customFormat="1" ht="16.2" thickBot="1" x14ac:dyDescent="0.35">
      <c r="A45" s="345" t="s">
        <v>73</v>
      </c>
      <c r="B45" s="346"/>
      <c r="C45" s="346"/>
      <c r="D45" s="346"/>
      <c r="E45" s="346"/>
      <c r="F45" s="346"/>
      <c r="G45" s="346"/>
      <c r="H45" s="346"/>
      <c r="I45" s="346"/>
      <c r="J45" s="346"/>
      <c r="K45" s="346"/>
      <c r="L45" s="346"/>
      <c r="M45" s="346"/>
      <c r="N45" s="346"/>
      <c r="O45" s="346"/>
      <c r="P45" s="346"/>
      <c r="Q45" s="346"/>
      <c r="R45" s="346"/>
      <c r="S45" s="346"/>
      <c r="T45" s="346"/>
      <c r="U45" s="346"/>
      <c r="V45" s="346"/>
      <c r="W45" s="346"/>
      <c r="X45" s="346"/>
      <c r="Y45" s="346"/>
      <c r="Z45" s="347"/>
    </row>
    <row r="46" spans="1:26" ht="18.75" customHeight="1" x14ac:dyDescent="0.3">
      <c r="A46" s="270" t="str">
        <f>A4&amp;".flange"</f>
        <v>CS-150#.flange</v>
      </c>
      <c r="B46" s="705" t="s">
        <v>69</v>
      </c>
      <c r="C46" s="705" t="s">
        <v>69</v>
      </c>
      <c r="D46" s="705" t="s">
        <v>69</v>
      </c>
      <c r="E46" s="705" t="s">
        <v>69</v>
      </c>
      <c r="F46" s="705" t="s">
        <v>69</v>
      </c>
      <c r="G46" s="705" t="s">
        <v>69</v>
      </c>
      <c r="H46" s="705" t="s">
        <v>69</v>
      </c>
      <c r="I46" s="705" t="s">
        <v>69</v>
      </c>
      <c r="J46" s="705" t="s">
        <v>69</v>
      </c>
      <c r="K46" s="705" t="s">
        <v>69</v>
      </c>
      <c r="L46" s="705" t="s">
        <v>69</v>
      </c>
      <c r="M46" s="705" t="s">
        <v>69</v>
      </c>
      <c r="N46" s="705" t="s">
        <v>69</v>
      </c>
      <c r="O46" s="705" t="s">
        <v>69</v>
      </c>
      <c r="P46" s="705" t="s">
        <v>69</v>
      </c>
      <c r="Q46" s="705" t="s">
        <v>69</v>
      </c>
      <c r="R46" s="705" t="s">
        <v>70</v>
      </c>
      <c r="S46" s="705" t="s">
        <v>70</v>
      </c>
      <c r="T46" s="711"/>
      <c r="U46" s="711"/>
      <c r="V46" s="711"/>
      <c r="W46" s="711"/>
      <c r="X46" s="711"/>
      <c r="Y46" s="711"/>
      <c r="Z46" s="1286"/>
    </row>
    <row r="47" spans="1:26" ht="18.75" customHeight="1" x14ac:dyDescent="0.3">
      <c r="A47" s="271" t="str">
        <f t="shared" ref="A47:A58" si="2">A5&amp;".flange"</f>
        <v>SS-300#.flange</v>
      </c>
      <c r="B47" s="705" t="s">
        <v>71</v>
      </c>
      <c r="C47" s="705" t="s">
        <v>71</v>
      </c>
      <c r="D47" s="705" t="s">
        <v>71</v>
      </c>
      <c r="E47" s="705" t="s">
        <v>71</v>
      </c>
      <c r="F47" s="705" t="s">
        <v>71</v>
      </c>
      <c r="G47" s="705" t="s">
        <v>71</v>
      </c>
      <c r="H47" s="705" t="s">
        <v>71</v>
      </c>
      <c r="I47" s="705" t="s">
        <v>71</v>
      </c>
      <c r="J47" s="705" t="s">
        <v>71</v>
      </c>
      <c r="K47" s="705" t="s">
        <v>71</v>
      </c>
      <c r="L47" s="705" t="s">
        <v>71</v>
      </c>
      <c r="M47" s="705" t="s">
        <v>71</v>
      </c>
      <c r="N47" s="705" t="s">
        <v>71</v>
      </c>
      <c r="O47" s="705" t="s">
        <v>71</v>
      </c>
      <c r="P47" s="705" t="s">
        <v>71</v>
      </c>
      <c r="Q47" s="705" t="s">
        <v>71</v>
      </c>
      <c r="R47" s="705" t="s">
        <v>70</v>
      </c>
      <c r="S47" s="705" t="s">
        <v>70</v>
      </c>
      <c r="T47" s="705"/>
      <c r="U47" s="705"/>
      <c r="V47" s="705"/>
      <c r="W47" s="705"/>
      <c r="X47" s="705"/>
      <c r="Y47" s="705"/>
      <c r="Z47" s="872"/>
    </row>
    <row r="48" spans="1:26" ht="18.75" customHeight="1" x14ac:dyDescent="0.3">
      <c r="A48" s="271" t="str">
        <f t="shared" si="2"/>
        <v>.flange</v>
      </c>
      <c r="B48" s="705"/>
      <c r="C48" s="705"/>
      <c r="D48" s="705"/>
      <c r="E48" s="705"/>
      <c r="F48" s="705"/>
      <c r="G48" s="705"/>
      <c r="H48" s="705"/>
      <c r="I48" s="705"/>
      <c r="J48" s="705"/>
      <c r="K48" s="705"/>
      <c r="L48" s="705"/>
      <c r="M48" s="705"/>
      <c r="N48" s="705"/>
      <c r="O48" s="705"/>
      <c r="P48" s="705"/>
      <c r="Q48" s="705"/>
      <c r="R48" s="705"/>
      <c r="S48" s="705"/>
      <c r="T48" s="705"/>
      <c r="U48" s="705"/>
      <c r="V48" s="705"/>
      <c r="W48" s="705"/>
      <c r="X48" s="705"/>
      <c r="Y48" s="705"/>
      <c r="Z48" s="872"/>
    </row>
    <row r="49" spans="1:26" ht="18.75" customHeight="1" x14ac:dyDescent="0.3">
      <c r="A49" s="271" t="str">
        <f t="shared" si="2"/>
        <v>.flange</v>
      </c>
      <c r="B49" s="1287"/>
      <c r="C49" s="705"/>
      <c r="D49" s="705"/>
      <c r="E49" s="705"/>
      <c r="F49" s="705"/>
      <c r="G49" s="705"/>
      <c r="H49" s="705"/>
      <c r="I49" s="705"/>
      <c r="J49" s="705"/>
      <c r="K49" s="705"/>
      <c r="L49" s="705"/>
      <c r="M49" s="705"/>
      <c r="N49" s="705"/>
      <c r="O49" s="705"/>
      <c r="P49" s="705"/>
      <c r="Q49" s="705"/>
      <c r="R49" s="705"/>
      <c r="S49" s="705"/>
      <c r="T49" s="705"/>
      <c r="U49" s="705"/>
      <c r="V49" s="705"/>
      <c r="W49" s="705"/>
      <c r="X49" s="705"/>
      <c r="Y49" s="705"/>
      <c r="Z49" s="872"/>
    </row>
    <row r="50" spans="1:26" ht="18.75" customHeight="1" x14ac:dyDescent="0.3">
      <c r="A50" s="271" t="str">
        <f t="shared" si="2"/>
        <v>.flange</v>
      </c>
      <c r="B50" s="1287"/>
      <c r="C50" s="705"/>
      <c r="D50" s="705"/>
      <c r="E50" s="705"/>
      <c r="F50" s="705"/>
      <c r="G50" s="705"/>
      <c r="H50" s="705"/>
      <c r="I50" s="705"/>
      <c r="J50" s="705"/>
      <c r="K50" s="705"/>
      <c r="L50" s="705"/>
      <c r="M50" s="705"/>
      <c r="N50" s="705"/>
      <c r="O50" s="705"/>
      <c r="P50" s="705"/>
      <c r="Q50" s="705"/>
      <c r="R50" s="705"/>
      <c r="S50" s="705"/>
      <c r="T50" s="705"/>
      <c r="U50" s="705"/>
      <c r="V50" s="705"/>
      <c r="W50" s="705"/>
      <c r="X50" s="705"/>
      <c r="Y50" s="705"/>
      <c r="Z50" s="872"/>
    </row>
    <row r="51" spans="1:26" ht="18.75" customHeight="1" x14ac:dyDescent="0.3">
      <c r="A51" s="271" t="str">
        <f t="shared" si="2"/>
        <v>.flange</v>
      </c>
      <c r="B51" s="1287"/>
      <c r="C51" s="705"/>
      <c r="D51" s="705"/>
      <c r="E51" s="705"/>
      <c r="F51" s="705"/>
      <c r="G51" s="705"/>
      <c r="H51" s="705"/>
      <c r="I51" s="705"/>
      <c r="J51" s="705"/>
      <c r="K51" s="705"/>
      <c r="L51" s="705"/>
      <c r="M51" s="705"/>
      <c r="N51" s="705"/>
      <c r="O51" s="705"/>
      <c r="P51" s="705"/>
      <c r="Q51" s="705"/>
      <c r="R51" s="705"/>
      <c r="S51" s="705"/>
      <c r="T51" s="705"/>
      <c r="U51" s="705"/>
      <c r="V51" s="705"/>
      <c r="W51" s="705"/>
      <c r="X51" s="705"/>
      <c r="Y51" s="705"/>
      <c r="Z51" s="872"/>
    </row>
    <row r="52" spans="1:26" ht="18.75" customHeight="1" x14ac:dyDescent="0.3">
      <c r="A52" s="271" t="str">
        <f t="shared" si="2"/>
        <v>.flange</v>
      </c>
      <c r="B52" s="1287"/>
      <c r="C52" s="705"/>
      <c r="D52" s="705"/>
      <c r="E52" s="705"/>
      <c r="F52" s="705"/>
      <c r="G52" s="705"/>
      <c r="H52" s="705"/>
      <c r="I52" s="705"/>
      <c r="J52" s="705"/>
      <c r="K52" s="705"/>
      <c r="L52" s="705"/>
      <c r="M52" s="705"/>
      <c r="N52" s="705"/>
      <c r="O52" s="705"/>
      <c r="P52" s="705"/>
      <c r="Q52" s="705"/>
      <c r="R52" s="705"/>
      <c r="S52" s="705"/>
      <c r="T52" s="705"/>
      <c r="U52" s="705"/>
      <c r="V52" s="705"/>
      <c r="W52" s="705"/>
      <c r="X52" s="705"/>
      <c r="Y52" s="705"/>
      <c r="Z52" s="872"/>
    </row>
    <row r="53" spans="1:26" ht="18.75" customHeight="1" x14ac:dyDescent="0.3">
      <c r="A53" s="271" t="str">
        <f t="shared" si="2"/>
        <v>.flange</v>
      </c>
      <c r="B53" s="1287"/>
      <c r="C53" s="705"/>
      <c r="D53" s="705"/>
      <c r="E53" s="705"/>
      <c r="F53" s="705"/>
      <c r="G53" s="705"/>
      <c r="H53" s="705"/>
      <c r="I53" s="705"/>
      <c r="J53" s="705"/>
      <c r="K53" s="705"/>
      <c r="L53" s="705"/>
      <c r="M53" s="705"/>
      <c r="N53" s="705"/>
      <c r="O53" s="705"/>
      <c r="P53" s="705"/>
      <c r="Q53" s="705"/>
      <c r="R53" s="706"/>
      <c r="S53" s="835"/>
      <c r="T53" s="835"/>
      <c r="U53" s="835"/>
      <c r="V53" s="835"/>
      <c r="W53" s="835"/>
      <c r="X53" s="835"/>
      <c r="Y53" s="835"/>
      <c r="Z53" s="707"/>
    </row>
    <row r="54" spans="1:26" ht="18.75" customHeight="1" x14ac:dyDescent="0.3">
      <c r="A54" s="271" t="str">
        <f t="shared" si="2"/>
        <v>.flange</v>
      </c>
      <c r="B54" s="1287"/>
      <c r="C54" s="706"/>
      <c r="D54" s="706"/>
      <c r="E54" s="706"/>
      <c r="F54" s="706"/>
      <c r="G54" s="706"/>
      <c r="H54" s="706"/>
      <c r="I54" s="706"/>
      <c r="J54" s="706"/>
      <c r="K54" s="706"/>
      <c r="L54" s="706"/>
      <c r="M54" s="706"/>
      <c r="N54" s="706"/>
      <c r="O54" s="706"/>
      <c r="P54" s="706"/>
      <c r="Q54" s="706"/>
      <c r="R54" s="706"/>
      <c r="S54" s="835"/>
      <c r="T54" s="835"/>
      <c r="U54" s="835"/>
      <c r="V54" s="835"/>
      <c r="W54" s="835"/>
      <c r="X54" s="835"/>
      <c r="Y54" s="835"/>
      <c r="Z54" s="707"/>
    </row>
    <row r="55" spans="1:26" ht="18.75" customHeight="1" x14ac:dyDescent="0.3">
      <c r="A55" s="271" t="str">
        <f t="shared" si="2"/>
        <v>.flange</v>
      </c>
      <c r="B55" s="1287"/>
      <c r="C55" s="706"/>
      <c r="D55" s="706"/>
      <c r="E55" s="706"/>
      <c r="F55" s="706"/>
      <c r="G55" s="706"/>
      <c r="H55" s="706"/>
      <c r="I55" s="706"/>
      <c r="J55" s="706"/>
      <c r="K55" s="706"/>
      <c r="L55" s="706"/>
      <c r="M55" s="706"/>
      <c r="N55" s="706"/>
      <c r="O55" s="706"/>
      <c r="P55" s="706"/>
      <c r="Q55" s="706"/>
      <c r="R55" s="706"/>
      <c r="S55" s="835"/>
      <c r="T55" s="835"/>
      <c r="U55" s="835"/>
      <c r="V55" s="835"/>
      <c r="W55" s="835"/>
      <c r="X55" s="835"/>
      <c r="Y55" s="835"/>
      <c r="Z55" s="707"/>
    </row>
    <row r="56" spans="1:26" ht="18.75" customHeight="1" x14ac:dyDescent="0.3">
      <c r="A56" s="271" t="str">
        <f t="shared" si="2"/>
        <v>.flange</v>
      </c>
      <c r="B56" s="1287"/>
      <c r="C56" s="706"/>
      <c r="D56" s="706"/>
      <c r="E56" s="706"/>
      <c r="F56" s="706"/>
      <c r="G56" s="706"/>
      <c r="H56" s="706"/>
      <c r="I56" s="706"/>
      <c r="J56" s="706"/>
      <c r="K56" s="706"/>
      <c r="L56" s="706"/>
      <c r="M56" s="706"/>
      <c r="N56" s="706"/>
      <c r="O56" s="706"/>
      <c r="P56" s="706"/>
      <c r="Q56" s="706"/>
      <c r="R56" s="706"/>
      <c r="S56" s="835"/>
      <c r="T56" s="835"/>
      <c r="U56" s="835"/>
      <c r="V56" s="835"/>
      <c r="W56" s="835"/>
      <c r="X56" s="835"/>
      <c r="Y56" s="835"/>
      <c r="Z56" s="707"/>
    </row>
    <row r="57" spans="1:26" ht="18.75" customHeight="1" x14ac:dyDescent="0.3">
      <c r="A57" s="271" t="str">
        <f t="shared" si="2"/>
        <v>.flange</v>
      </c>
      <c r="B57" s="1287"/>
      <c r="C57" s="706"/>
      <c r="D57" s="706"/>
      <c r="E57" s="706"/>
      <c r="F57" s="706"/>
      <c r="G57" s="706"/>
      <c r="H57" s="706"/>
      <c r="I57" s="706"/>
      <c r="J57" s="706"/>
      <c r="K57" s="706"/>
      <c r="L57" s="706"/>
      <c r="M57" s="706"/>
      <c r="N57" s="706"/>
      <c r="O57" s="706"/>
      <c r="P57" s="706"/>
      <c r="Q57" s="706"/>
      <c r="R57" s="706"/>
      <c r="S57" s="835"/>
      <c r="T57" s="835"/>
      <c r="U57" s="835"/>
      <c r="V57" s="835"/>
      <c r="W57" s="835"/>
      <c r="X57" s="835"/>
      <c r="Y57" s="835"/>
      <c r="Z57" s="707"/>
    </row>
    <row r="58" spans="1:26" ht="18.75" customHeight="1" thickBot="1" x14ac:dyDescent="0.35">
      <c r="A58" s="272" t="str">
        <f t="shared" si="2"/>
        <v>.flange</v>
      </c>
      <c r="B58" s="1288"/>
      <c r="C58" s="709"/>
      <c r="D58" s="709"/>
      <c r="E58" s="709"/>
      <c r="F58" s="709"/>
      <c r="G58" s="709"/>
      <c r="H58" s="709"/>
      <c r="I58" s="709"/>
      <c r="J58" s="709"/>
      <c r="K58" s="709"/>
      <c r="L58" s="709"/>
      <c r="M58" s="709"/>
      <c r="N58" s="709"/>
      <c r="O58" s="709"/>
      <c r="P58" s="709"/>
      <c r="Q58" s="709"/>
      <c r="R58" s="709"/>
      <c r="S58" s="836"/>
      <c r="T58" s="836"/>
      <c r="U58" s="836"/>
      <c r="V58" s="836"/>
      <c r="W58" s="836"/>
      <c r="X58" s="836"/>
      <c r="Y58" s="836"/>
      <c r="Z58" s="710"/>
    </row>
    <row r="59" spans="1:26" ht="16.2" thickBot="1" x14ac:dyDescent="0.35">
      <c r="A59" s="345" t="s">
        <v>74</v>
      </c>
      <c r="B59" s="346"/>
      <c r="C59" s="346"/>
      <c r="D59" s="346"/>
      <c r="E59" s="346"/>
      <c r="F59" s="346"/>
      <c r="G59" s="346"/>
      <c r="H59" s="346"/>
      <c r="I59" s="346"/>
      <c r="J59" s="346"/>
      <c r="K59" s="346"/>
      <c r="L59" s="346"/>
      <c r="M59" s="346"/>
      <c r="N59" s="346"/>
      <c r="O59" s="346"/>
      <c r="P59" s="346"/>
      <c r="Q59" s="346"/>
      <c r="R59" s="346"/>
      <c r="S59" s="346"/>
      <c r="T59" s="346"/>
      <c r="U59" s="346"/>
      <c r="V59" s="346"/>
      <c r="W59" s="346"/>
      <c r="X59" s="346"/>
      <c r="Y59" s="346"/>
      <c r="Z59" s="347"/>
    </row>
    <row r="60" spans="1:26" ht="15.6" x14ac:dyDescent="0.3">
      <c r="A60" s="270" t="str">
        <f>A4&amp;".bolting"</f>
        <v>CS-150#.bolting</v>
      </c>
      <c r="B60" s="1285" t="s">
        <v>75</v>
      </c>
      <c r="C60" s="711" t="s">
        <v>76</v>
      </c>
      <c r="D60" s="711" t="s">
        <v>76</v>
      </c>
      <c r="E60" s="711" t="s">
        <v>76</v>
      </c>
      <c r="F60" s="711" t="s">
        <v>76</v>
      </c>
      <c r="G60" s="711" t="s">
        <v>76</v>
      </c>
      <c r="H60" s="711" t="s">
        <v>76</v>
      </c>
      <c r="I60" s="711" t="s">
        <v>76</v>
      </c>
      <c r="J60" s="711" t="s">
        <v>76</v>
      </c>
      <c r="K60" s="711" t="s">
        <v>76</v>
      </c>
      <c r="L60" s="711" t="s">
        <v>76</v>
      </c>
      <c r="M60" s="711" t="s">
        <v>76</v>
      </c>
      <c r="N60" s="711" t="s">
        <v>76</v>
      </c>
      <c r="O60" s="711" t="s">
        <v>76</v>
      </c>
      <c r="P60" s="711" t="s">
        <v>76</v>
      </c>
      <c r="Q60" s="711" t="s">
        <v>76</v>
      </c>
      <c r="R60" s="711" t="s">
        <v>76</v>
      </c>
      <c r="S60" s="711" t="s">
        <v>76</v>
      </c>
      <c r="T60" s="711"/>
      <c r="U60" s="711"/>
      <c r="V60" s="711"/>
      <c r="W60" s="711"/>
      <c r="X60" s="711"/>
      <c r="Y60" s="711"/>
      <c r="Z60" s="1286"/>
    </row>
    <row r="61" spans="1:26" ht="15.6" x14ac:dyDescent="0.3">
      <c r="A61" s="271" t="str">
        <f t="shared" ref="A61:A72" si="3">A5&amp;".bolting"</f>
        <v>SS-300#.bolting</v>
      </c>
      <c r="B61" s="1287" t="s">
        <v>77</v>
      </c>
      <c r="C61" s="706" t="s">
        <v>77</v>
      </c>
      <c r="D61" s="706" t="s">
        <v>77</v>
      </c>
      <c r="E61" s="706" t="s">
        <v>77</v>
      </c>
      <c r="F61" s="706" t="s">
        <v>77</v>
      </c>
      <c r="G61" s="706" t="s">
        <v>77</v>
      </c>
      <c r="H61" s="706" t="s">
        <v>77</v>
      </c>
      <c r="I61" s="706" t="s">
        <v>77</v>
      </c>
      <c r="J61" s="706" t="s">
        <v>77</v>
      </c>
      <c r="K61" s="706" t="s">
        <v>77</v>
      </c>
      <c r="L61" s="706" t="s">
        <v>77</v>
      </c>
      <c r="M61" s="706" t="s">
        <v>77</v>
      </c>
      <c r="N61" s="706" t="s">
        <v>77</v>
      </c>
      <c r="O61" s="706" t="s">
        <v>77</v>
      </c>
      <c r="P61" s="706" t="s">
        <v>77</v>
      </c>
      <c r="Q61" s="706" t="s">
        <v>77</v>
      </c>
      <c r="R61" s="706" t="s">
        <v>77</v>
      </c>
      <c r="S61" s="706" t="s">
        <v>77</v>
      </c>
      <c r="T61" s="706"/>
      <c r="U61" s="706"/>
      <c r="V61" s="706"/>
      <c r="W61" s="706"/>
      <c r="X61" s="706"/>
      <c r="Y61" s="706"/>
      <c r="Z61" s="707"/>
    </row>
    <row r="62" spans="1:26" x14ac:dyDescent="0.3">
      <c r="A62" s="271" t="str">
        <f t="shared" si="3"/>
        <v>.bolting</v>
      </c>
      <c r="B62" s="1287"/>
      <c r="C62" s="706"/>
      <c r="D62" s="706"/>
      <c r="E62" s="706"/>
      <c r="F62" s="706"/>
      <c r="G62" s="706"/>
      <c r="H62" s="706"/>
      <c r="I62" s="706"/>
      <c r="J62" s="706"/>
      <c r="K62" s="706"/>
      <c r="L62" s="706"/>
      <c r="M62" s="706"/>
      <c r="N62" s="706"/>
      <c r="O62" s="706"/>
      <c r="P62" s="706"/>
      <c r="Q62" s="706"/>
      <c r="R62" s="706"/>
      <c r="S62" s="706"/>
      <c r="T62" s="705"/>
      <c r="U62" s="705"/>
      <c r="V62" s="705"/>
      <c r="W62" s="705"/>
      <c r="X62" s="705"/>
      <c r="Y62" s="705"/>
      <c r="Z62" s="872"/>
    </row>
    <row r="63" spans="1:26" x14ac:dyDescent="0.3">
      <c r="A63" s="271" t="str">
        <f t="shared" si="3"/>
        <v>.bolting</v>
      </c>
      <c r="B63" s="1287"/>
      <c r="C63" s="705"/>
      <c r="D63" s="705"/>
      <c r="E63" s="705"/>
      <c r="F63" s="705"/>
      <c r="G63" s="705"/>
      <c r="H63" s="705"/>
      <c r="I63" s="705"/>
      <c r="J63" s="705"/>
      <c r="K63" s="705"/>
      <c r="L63" s="705"/>
      <c r="M63" s="705"/>
      <c r="N63" s="705"/>
      <c r="O63" s="705"/>
      <c r="P63" s="705"/>
      <c r="Q63" s="705"/>
      <c r="R63" s="705"/>
      <c r="S63" s="705"/>
      <c r="T63" s="705"/>
      <c r="U63" s="705"/>
      <c r="V63" s="705"/>
      <c r="W63" s="705"/>
      <c r="X63" s="705"/>
      <c r="Y63" s="705"/>
      <c r="Z63" s="872"/>
    </row>
    <row r="64" spans="1:26" x14ac:dyDescent="0.3">
      <c r="A64" s="271" t="str">
        <f t="shared" si="3"/>
        <v>.bolting</v>
      </c>
      <c r="B64" s="1287"/>
      <c r="C64" s="706"/>
      <c r="D64" s="706"/>
      <c r="E64" s="706"/>
      <c r="F64" s="706"/>
      <c r="G64" s="706"/>
      <c r="H64" s="706"/>
      <c r="I64" s="706"/>
      <c r="J64" s="706"/>
      <c r="K64" s="706"/>
      <c r="L64" s="706"/>
      <c r="M64" s="706"/>
      <c r="N64" s="706"/>
      <c r="O64" s="706"/>
      <c r="P64" s="706"/>
      <c r="Q64" s="706"/>
      <c r="R64" s="706"/>
      <c r="S64" s="706"/>
      <c r="T64" s="706"/>
      <c r="U64" s="706"/>
      <c r="V64" s="706"/>
      <c r="W64" s="706"/>
      <c r="X64" s="706"/>
      <c r="Y64" s="706"/>
      <c r="Z64" s="707"/>
    </row>
    <row r="65" spans="1:26" x14ac:dyDescent="0.3">
      <c r="A65" s="271" t="str">
        <f t="shared" si="3"/>
        <v>.bolting</v>
      </c>
      <c r="B65" s="1287"/>
      <c r="C65" s="706"/>
      <c r="D65" s="706"/>
      <c r="E65" s="706"/>
      <c r="F65" s="706"/>
      <c r="G65" s="706"/>
      <c r="H65" s="706"/>
      <c r="I65" s="706"/>
      <c r="J65" s="706"/>
      <c r="K65" s="706"/>
      <c r="L65" s="706"/>
      <c r="M65" s="706"/>
      <c r="N65" s="706"/>
      <c r="O65" s="706"/>
      <c r="P65" s="706"/>
      <c r="Q65" s="706"/>
      <c r="R65" s="706"/>
      <c r="S65" s="706"/>
      <c r="T65" s="706"/>
      <c r="U65" s="706"/>
      <c r="V65" s="706"/>
      <c r="W65" s="706"/>
      <c r="X65" s="706"/>
      <c r="Y65" s="706"/>
      <c r="Z65" s="707"/>
    </row>
    <row r="66" spans="1:26" x14ac:dyDescent="0.3">
      <c r="A66" s="271" t="str">
        <f t="shared" si="3"/>
        <v>.bolting</v>
      </c>
      <c r="B66" s="1287"/>
      <c r="C66" s="706"/>
      <c r="D66" s="706"/>
      <c r="E66" s="706"/>
      <c r="F66" s="706"/>
      <c r="G66" s="706"/>
      <c r="H66" s="706"/>
      <c r="I66" s="706"/>
      <c r="J66" s="706"/>
      <c r="K66" s="706"/>
      <c r="L66" s="706"/>
      <c r="M66" s="706"/>
      <c r="N66" s="706"/>
      <c r="O66" s="706"/>
      <c r="P66" s="706"/>
      <c r="Q66" s="706"/>
      <c r="R66" s="706"/>
      <c r="S66" s="706"/>
      <c r="T66" s="706"/>
      <c r="U66" s="706"/>
      <c r="V66" s="706"/>
      <c r="W66" s="706"/>
      <c r="X66" s="706"/>
      <c r="Y66" s="706"/>
      <c r="Z66" s="707"/>
    </row>
    <row r="67" spans="1:26" x14ac:dyDescent="0.3">
      <c r="A67" s="271" t="str">
        <f t="shared" si="3"/>
        <v>.bolting</v>
      </c>
      <c r="B67" s="1287"/>
      <c r="C67" s="706"/>
      <c r="D67" s="706"/>
      <c r="E67" s="706"/>
      <c r="F67" s="706"/>
      <c r="G67" s="706"/>
      <c r="H67" s="706"/>
      <c r="I67" s="706"/>
      <c r="J67" s="706"/>
      <c r="K67" s="706"/>
      <c r="L67" s="706"/>
      <c r="M67" s="706"/>
      <c r="N67" s="706"/>
      <c r="O67" s="706"/>
      <c r="P67" s="706"/>
      <c r="Q67" s="706"/>
      <c r="R67" s="706"/>
      <c r="S67" s="835"/>
      <c r="T67" s="835"/>
      <c r="U67" s="835"/>
      <c r="V67" s="835"/>
      <c r="W67" s="835"/>
      <c r="X67" s="835"/>
      <c r="Y67" s="835"/>
      <c r="Z67" s="707"/>
    </row>
    <row r="68" spans="1:26" x14ac:dyDescent="0.3">
      <c r="A68" s="271" t="str">
        <f t="shared" si="3"/>
        <v>.bolting</v>
      </c>
      <c r="B68" s="1287"/>
      <c r="C68" s="706"/>
      <c r="D68" s="706"/>
      <c r="E68" s="706"/>
      <c r="F68" s="706"/>
      <c r="G68" s="706"/>
      <c r="H68" s="706"/>
      <c r="I68" s="706"/>
      <c r="J68" s="706"/>
      <c r="K68" s="706"/>
      <c r="L68" s="706"/>
      <c r="M68" s="706"/>
      <c r="N68" s="706"/>
      <c r="O68" s="706"/>
      <c r="P68" s="706"/>
      <c r="Q68" s="706"/>
      <c r="R68" s="706"/>
      <c r="S68" s="835"/>
      <c r="T68" s="835"/>
      <c r="U68" s="835"/>
      <c r="V68" s="835"/>
      <c r="W68" s="835"/>
      <c r="X68" s="835"/>
      <c r="Y68" s="835"/>
      <c r="Z68" s="707"/>
    </row>
    <row r="69" spans="1:26" x14ac:dyDescent="0.3">
      <c r="A69" s="271" t="str">
        <f t="shared" si="3"/>
        <v>.bolting</v>
      </c>
      <c r="B69" s="1287"/>
      <c r="C69" s="706"/>
      <c r="D69" s="706"/>
      <c r="E69" s="706"/>
      <c r="F69" s="706"/>
      <c r="G69" s="706"/>
      <c r="H69" s="706"/>
      <c r="I69" s="706"/>
      <c r="J69" s="706"/>
      <c r="K69" s="706"/>
      <c r="L69" s="706"/>
      <c r="M69" s="706"/>
      <c r="N69" s="706"/>
      <c r="O69" s="706"/>
      <c r="P69" s="706"/>
      <c r="Q69" s="706"/>
      <c r="R69" s="706"/>
      <c r="S69" s="835"/>
      <c r="T69" s="835"/>
      <c r="U69" s="835"/>
      <c r="V69" s="835"/>
      <c r="W69" s="835"/>
      <c r="X69" s="835"/>
      <c r="Y69" s="835"/>
      <c r="Z69" s="707"/>
    </row>
    <row r="70" spans="1:26" x14ac:dyDescent="0.3">
      <c r="A70" s="271" t="str">
        <f t="shared" si="3"/>
        <v>.bolting</v>
      </c>
      <c r="B70" s="1287"/>
      <c r="C70" s="706"/>
      <c r="D70" s="706"/>
      <c r="E70" s="706"/>
      <c r="F70" s="706"/>
      <c r="G70" s="706"/>
      <c r="H70" s="706"/>
      <c r="I70" s="706"/>
      <c r="J70" s="706"/>
      <c r="K70" s="706"/>
      <c r="L70" s="706"/>
      <c r="M70" s="706"/>
      <c r="N70" s="706"/>
      <c r="O70" s="706"/>
      <c r="P70" s="706"/>
      <c r="Q70" s="706"/>
      <c r="R70" s="706"/>
      <c r="S70" s="835"/>
      <c r="T70" s="835"/>
      <c r="U70" s="835"/>
      <c r="V70" s="835"/>
      <c r="W70" s="835"/>
      <c r="X70" s="835"/>
      <c r="Y70" s="835"/>
      <c r="Z70" s="707"/>
    </row>
    <row r="71" spans="1:26" x14ac:dyDescent="0.3">
      <c r="A71" s="271" t="str">
        <f t="shared" si="3"/>
        <v>.bolting</v>
      </c>
      <c r="B71" s="1287"/>
      <c r="C71" s="706"/>
      <c r="D71" s="706"/>
      <c r="E71" s="706"/>
      <c r="F71" s="706"/>
      <c r="G71" s="706"/>
      <c r="H71" s="706"/>
      <c r="I71" s="706"/>
      <c r="J71" s="706"/>
      <c r="K71" s="706"/>
      <c r="L71" s="706"/>
      <c r="M71" s="706"/>
      <c r="N71" s="706"/>
      <c r="O71" s="706"/>
      <c r="P71" s="706"/>
      <c r="Q71" s="706"/>
      <c r="R71" s="706"/>
      <c r="S71" s="835"/>
      <c r="T71" s="835"/>
      <c r="U71" s="835"/>
      <c r="V71" s="835"/>
      <c r="W71" s="835"/>
      <c r="X71" s="835"/>
      <c r="Y71" s="835"/>
      <c r="Z71" s="707"/>
    </row>
    <row r="72" spans="1:26" ht="15" thickBot="1" x14ac:dyDescent="0.35">
      <c r="A72" s="272" t="str">
        <f t="shared" si="3"/>
        <v>.bolting</v>
      </c>
      <c r="B72" s="1288"/>
      <c r="C72" s="709"/>
      <c r="D72" s="709"/>
      <c r="E72" s="709"/>
      <c r="F72" s="709"/>
      <c r="G72" s="709"/>
      <c r="H72" s="709"/>
      <c r="I72" s="709"/>
      <c r="J72" s="709"/>
      <c r="K72" s="709"/>
      <c r="L72" s="709"/>
      <c r="M72" s="709"/>
      <c r="N72" s="709"/>
      <c r="O72" s="709"/>
      <c r="P72" s="709"/>
      <c r="Q72" s="709"/>
      <c r="R72" s="709"/>
      <c r="S72" s="836"/>
      <c r="T72" s="836"/>
      <c r="U72" s="836"/>
      <c r="V72" s="836"/>
      <c r="W72" s="836"/>
      <c r="X72" s="836"/>
      <c r="Y72" s="836"/>
      <c r="Z72" s="710"/>
    </row>
    <row r="73" spans="1:26" ht="16.2" thickBot="1" x14ac:dyDescent="0.35">
      <c r="A73" s="345" t="s">
        <v>78</v>
      </c>
      <c r="B73" s="346"/>
      <c r="C73" s="346"/>
      <c r="D73" s="346"/>
      <c r="E73" s="346"/>
      <c r="F73" s="346"/>
      <c r="G73" s="346"/>
      <c r="H73" s="346"/>
      <c r="I73" s="346"/>
      <c r="J73" s="346"/>
      <c r="K73" s="346"/>
      <c r="L73" s="346"/>
      <c r="M73" s="346"/>
      <c r="N73" s="346"/>
      <c r="O73" s="346"/>
      <c r="P73" s="346"/>
      <c r="Q73" s="346"/>
      <c r="R73" s="346"/>
      <c r="S73" s="346"/>
      <c r="T73" s="346"/>
      <c r="U73" s="346"/>
      <c r="V73" s="346"/>
      <c r="W73" s="346"/>
      <c r="X73" s="346"/>
      <c r="Y73" s="346"/>
      <c r="Z73" s="347"/>
    </row>
    <row r="74" spans="1:26" x14ac:dyDescent="0.3">
      <c r="A74" s="270" t="str">
        <f>A4&amp;".gasket"</f>
        <v>CS-150#.gasket</v>
      </c>
      <c r="B74" s="1285" t="s">
        <v>79</v>
      </c>
      <c r="C74" s="711" t="s">
        <v>79</v>
      </c>
      <c r="D74" s="711" t="s">
        <v>79</v>
      </c>
      <c r="E74" s="711" t="s">
        <v>79</v>
      </c>
      <c r="F74" s="711" t="s">
        <v>79</v>
      </c>
      <c r="G74" s="711" t="s">
        <v>79</v>
      </c>
      <c r="H74" s="711" t="s">
        <v>79</v>
      </c>
      <c r="I74" s="711" t="s">
        <v>79</v>
      </c>
      <c r="J74" s="711" t="s">
        <v>79</v>
      </c>
      <c r="K74" s="711" t="s">
        <v>79</v>
      </c>
      <c r="L74" s="711" t="s">
        <v>79</v>
      </c>
      <c r="M74" s="711" t="s">
        <v>79</v>
      </c>
      <c r="N74" s="711" t="s">
        <v>79</v>
      </c>
      <c r="O74" s="711" t="s">
        <v>79</v>
      </c>
      <c r="P74" s="711" t="s">
        <v>79</v>
      </c>
      <c r="Q74" s="711" t="s">
        <v>79</v>
      </c>
      <c r="R74" s="711" t="s">
        <v>79</v>
      </c>
      <c r="S74" s="711" t="s">
        <v>79</v>
      </c>
      <c r="T74" s="711"/>
      <c r="U74" s="711"/>
      <c r="V74" s="711"/>
      <c r="W74" s="711"/>
      <c r="X74" s="711"/>
      <c r="Y74" s="711"/>
      <c r="Z74" s="1286"/>
    </row>
    <row r="75" spans="1:26" x14ac:dyDescent="0.3">
      <c r="A75" s="271" t="str">
        <f t="shared" ref="A75:A86" si="4">A5&amp;".gasket"</f>
        <v>SS-300#.gasket</v>
      </c>
      <c r="B75" s="1287" t="s">
        <v>79</v>
      </c>
      <c r="C75" s="706" t="s">
        <v>79</v>
      </c>
      <c r="D75" s="706" t="s">
        <v>79</v>
      </c>
      <c r="E75" s="706" t="s">
        <v>79</v>
      </c>
      <c r="F75" s="706" t="s">
        <v>79</v>
      </c>
      <c r="G75" s="706" t="s">
        <v>79</v>
      </c>
      <c r="H75" s="706" t="s">
        <v>79</v>
      </c>
      <c r="I75" s="706" t="s">
        <v>79</v>
      </c>
      <c r="J75" s="706" t="s">
        <v>79</v>
      </c>
      <c r="K75" s="706" t="s">
        <v>79</v>
      </c>
      <c r="L75" s="706" t="s">
        <v>79</v>
      </c>
      <c r="M75" s="706" t="s">
        <v>79</v>
      </c>
      <c r="N75" s="706" t="s">
        <v>79</v>
      </c>
      <c r="O75" s="706" t="s">
        <v>79</v>
      </c>
      <c r="P75" s="706" t="s">
        <v>79</v>
      </c>
      <c r="Q75" s="706" t="s">
        <v>79</v>
      </c>
      <c r="R75" s="706" t="s">
        <v>79</v>
      </c>
      <c r="S75" s="706" t="s">
        <v>79</v>
      </c>
      <c r="T75" s="706"/>
      <c r="U75" s="706"/>
      <c r="V75" s="706"/>
      <c r="W75" s="706"/>
      <c r="X75" s="706"/>
      <c r="Y75" s="706"/>
      <c r="Z75" s="707"/>
    </row>
    <row r="76" spans="1:26" x14ac:dyDescent="0.3">
      <c r="A76" s="271" t="str">
        <f t="shared" si="4"/>
        <v>.gasket</v>
      </c>
      <c r="B76" s="1287"/>
      <c r="C76" s="706"/>
      <c r="D76" s="706"/>
      <c r="E76" s="706"/>
      <c r="F76" s="706"/>
      <c r="G76" s="706"/>
      <c r="H76" s="706"/>
      <c r="I76" s="706"/>
      <c r="J76" s="706"/>
      <c r="K76" s="706"/>
      <c r="L76" s="706"/>
      <c r="M76" s="706"/>
      <c r="N76" s="706"/>
      <c r="O76" s="706"/>
      <c r="P76" s="706"/>
      <c r="Q76" s="706"/>
      <c r="R76" s="706"/>
      <c r="S76" s="706"/>
      <c r="T76" s="706"/>
      <c r="U76" s="706"/>
      <c r="V76" s="706"/>
      <c r="W76" s="706"/>
      <c r="X76" s="706"/>
      <c r="Y76" s="706"/>
      <c r="Z76" s="707"/>
    </row>
    <row r="77" spans="1:26" x14ac:dyDescent="0.3">
      <c r="A77" s="271" t="str">
        <f t="shared" si="4"/>
        <v>.gasket</v>
      </c>
      <c r="B77" s="1287"/>
      <c r="C77" s="706"/>
      <c r="D77" s="706"/>
      <c r="E77" s="706"/>
      <c r="F77" s="706"/>
      <c r="G77" s="706"/>
      <c r="H77" s="706"/>
      <c r="I77" s="706"/>
      <c r="J77" s="706"/>
      <c r="K77" s="706"/>
      <c r="L77" s="706"/>
      <c r="M77" s="706"/>
      <c r="N77" s="706"/>
      <c r="O77" s="706"/>
      <c r="P77" s="706"/>
      <c r="Q77" s="706"/>
      <c r="R77" s="706"/>
      <c r="S77" s="706"/>
      <c r="T77" s="706"/>
      <c r="U77" s="706"/>
      <c r="V77" s="706"/>
      <c r="W77" s="706"/>
      <c r="X77" s="706"/>
      <c r="Y77" s="706"/>
      <c r="Z77" s="707"/>
    </row>
    <row r="78" spans="1:26" x14ac:dyDescent="0.3">
      <c r="A78" s="271" t="str">
        <f t="shared" si="4"/>
        <v>.gasket</v>
      </c>
      <c r="B78" s="1287"/>
      <c r="C78" s="706"/>
      <c r="D78" s="706"/>
      <c r="E78" s="706"/>
      <c r="F78" s="706"/>
      <c r="G78" s="706"/>
      <c r="H78" s="706"/>
      <c r="I78" s="706"/>
      <c r="J78" s="706"/>
      <c r="K78" s="706"/>
      <c r="L78" s="706"/>
      <c r="M78" s="706"/>
      <c r="N78" s="706"/>
      <c r="O78" s="706"/>
      <c r="P78" s="706"/>
      <c r="Q78" s="706"/>
      <c r="R78" s="706"/>
      <c r="S78" s="706"/>
      <c r="T78" s="706"/>
      <c r="U78" s="706"/>
      <c r="V78" s="706"/>
      <c r="W78" s="706"/>
      <c r="X78" s="706"/>
      <c r="Y78" s="706"/>
      <c r="Z78" s="707"/>
    </row>
    <row r="79" spans="1:26" x14ac:dyDescent="0.3">
      <c r="A79" s="271" t="str">
        <f t="shared" si="4"/>
        <v>.gasket</v>
      </c>
      <c r="B79" s="1287"/>
      <c r="C79" s="705"/>
      <c r="D79" s="705"/>
      <c r="E79" s="705"/>
      <c r="F79" s="705"/>
      <c r="G79" s="705"/>
      <c r="H79" s="705"/>
      <c r="I79" s="705"/>
      <c r="J79" s="705"/>
      <c r="K79" s="705"/>
      <c r="L79" s="705"/>
      <c r="M79" s="705"/>
      <c r="N79" s="705"/>
      <c r="O79" s="705"/>
      <c r="P79" s="705"/>
      <c r="Q79" s="705"/>
      <c r="R79" s="705"/>
      <c r="S79" s="705"/>
      <c r="T79" s="705"/>
      <c r="U79" s="705"/>
      <c r="V79" s="705"/>
      <c r="W79" s="705"/>
      <c r="X79" s="705"/>
      <c r="Y79" s="705"/>
      <c r="Z79" s="872"/>
    </row>
    <row r="80" spans="1:26" x14ac:dyDescent="0.3">
      <c r="A80" s="271" t="str">
        <f t="shared" si="4"/>
        <v>.gasket</v>
      </c>
      <c r="B80" s="1287"/>
      <c r="C80" s="705"/>
      <c r="D80" s="705"/>
      <c r="E80" s="705"/>
      <c r="F80" s="705"/>
      <c r="G80" s="705"/>
      <c r="H80" s="705"/>
      <c r="I80" s="705"/>
      <c r="J80" s="705"/>
      <c r="K80" s="705"/>
      <c r="L80" s="705"/>
      <c r="M80" s="705"/>
      <c r="N80" s="705"/>
      <c r="O80" s="705"/>
      <c r="P80" s="705"/>
      <c r="Q80" s="705"/>
      <c r="R80" s="705"/>
      <c r="S80" s="705"/>
      <c r="T80" s="705"/>
      <c r="U80" s="705"/>
      <c r="V80" s="705"/>
      <c r="W80" s="705"/>
      <c r="X80" s="705"/>
      <c r="Y80" s="705"/>
      <c r="Z80" s="872"/>
    </row>
    <row r="81" spans="1:26" x14ac:dyDescent="0.3">
      <c r="A81" s="271" t="str">
        <f t="shared" si="4"/>
        <v>.gasket</v>
      </c>
      <c r="B81" s="1287"/>
      <c r="C81" s="706"/>
      <c r="D81" s="706"/>
      <c r="E81" s="706"/>
      <c r="F81" s="706"/>
      <c r="G81" s="706"/>
      <c r="H81" s="706"/>
      <c r="I81" s="706"/>
      <c r="J81" s="706"/>
      <c r="K81" s="706"/>
      <c r="L81" s="706"/>
      <c r="M81" s="706"/>
      <c r="N81" s="706"/>
      <c r="O81" s="706"/>
      <c r="P81" s="706"/>
      <c r="Q81" s="706"/>
      <c r="R81" s="706"/>
      <c r="S81" s="835"/>
      <c r="T81" s="835"/>
      <c r="U81" s="835"/>
      <c r="V81" s="835"/>
      <c r="W81" s="835"/>
      <c r="X81" s="835"/>
      <c r="Y81" s="835"/>
      <c r="Z81" s="707"/>
    </row>
    <row r="82" spans="1:26" x14ac:dyDescent="0.3">
      <c r="A82" s="271" t="str">
        <f t="shared" si="4"/>
        <v>.gasket</v>
      </c>
      <c r="B82" s="1287"/>
      <c r="C82" s="706"/>
      <c r="D82" s="706"/>
      <c r="E82" s="706"/>
      <c r="F82" s="706"/>
      <c r="G82" s="706"/>
      <c r="H82" s="706"/>
      <c r="I82" s="706"/>
      <c r="J82" s="706"/>
      <c r="K82" s="706"/>
      <c r="L82" s="706"/>
      <c r="M82" s="706"/>
      <c r="N82" s="706"/>
      <c r="O82" s="706"/>
      <c r="P82" s="706"/>
      <c r="Q82" s="706"/>
      <c r="R82" s="706"/>
      <c r="S82" s="835"/>
      <c r="T82" s="835"/>
      <c r="U82" s="835"/>
      <c r="V82" s="835"/>
      <c r="W82" s="835"/>
      <c r="X82" s="835"/>
      <c r="Y82" s="835"/>
      <c r="Z82" s="707"/>
    </row>
    <row r="83" spans="1:26" x14ac:dyDescent="0.3">
      <c r="A83" s="271" t="str">
        <f t="shared" si="4"/>
        <v>.gasket</v>
      </c>
      <c r="B83" s="1287"/>
      <c r="C83" s="706"/>
      <c r="D83" s="706"/>
      <c r="E83" s="706"/>
      <c r="F83" s="706"/>
      <c r="G83" s="706"/>
      <c r="H83" s="706"/>
      <c r="I83" s="706"/>
      <c r="J83" s="706"/>
      <c r="K83" s="706"/>
      <c r="L83" s="706"/>
      <c r="M83" s="706"/>
      <c r="N83" s="706"/>
      <c r="O83" s="706"/>
      <c r="P83" s="706"/>
      <c r="Q83" s="706"/>
      <c r="R83" s="706"/>
      <c r="S83" s="835"/>
      <c r="T83" s="835"/>
      <c r="U83" s="835"/>
      <c r="V83" s="835"/>
      <c r="W83" s="835"/>
      <c r="X83" s="835"/>
      <c r="Y83" s="835"/>
      <c r="Z83" s="707"/>
    </row>
    <row r="84" spans="1:26" x14ac:dyDescent="0.3">
      <c r="A84" s="271" t="str">
        <f t="shared" si="4"/>
        <v>.gasket</v>
      </c>
      <c r="B84" s="1287"/>
      <c r="C84" s="706"/>
      <c r="D84" s="706"/>
      <c r="E84" s="706"/>
      <c r="F84" s="706"/>
      <c r="G84" s="706"/>
      <c r="H84" s="706"/>
      <c r="I84" s="706"/>
      <c r="J84" s="706"/>
      <c r="K84" s="706"/>
      <c r="L84" s="706"/>
      <c r="M84" s="706"/>
      <c r="N84" s="706"/>
      <c r="O84" s="706"/>
      <c r="P84" s="706"/>
      <c r="Q84" s="706"/>
      <c r="R84" s="706"/>
      <c r="S84" s="835"/>
      <c r="T84" s="835"/>
      <c r="U84" s="835"/>
      <c r="V84" s="835"/>
      <c r="W84" s="835"/>
      <c r="X84" s="835"/>
      <c r="Y84" s="835"/>
      <c r="Z84" s="707"/>
    </row>
    <row r="85" spans="1:26" x14ac:dyDescent="0.3">
      <c r="A85" s="271" t="str">
        <f t="shared" si="4"/>
        <v>.gasket</v>
      </c>
      <c r="B85" s="1287"/>
      <c r="C85" s="706"/>
      <c r="D85" s="706"/>
      <c r="E85" s="706"/>
      <c r="F85" s="706"/>
      <c r="G85" s="706"/>
      <c r="H85" s="706"/>
      <c r="I85" s="706"/>
      <c r="J85" s="706"/>
      <c r="K85" s="706"/>
      <c r="L85" s="706"/>
      <c r="M85" s="706"/>
      <c r="N85" s="706"/>
      <c r="O85" s="706"/>
      <c r="P85" s="706"/>
      <c r="Q85" s="706"/>
      <c r="R85" s="706"/>
      <c r="S85" s="835"/>
      <c r="T85" s="835"/>
      <c r="U85" s="835"/>
      <c r="V85" s="835"/>
      <c r="W85" s="835"/>
      <c r="X85" s="835"/>
      <c r="Y85" s="835"/>
      <c r="Z85" s="707"/>
    </row>
    <row r="86" spans="1:26" ht="15" thickBot="1" x14ac:dyDescent="0.35">
      <c r="A86" s="272" t="str">
        <f t="shared" si="4"/>
        <v>.gasket</v>
      </c>
      <c r="B86" s="1288"/>
      <c r="C86" s="709"/>
      <c r="D86" s="709"/>
      <c r="E86" s="709"/>
      <c r="F86" s="709"/>
      <c r="G86" s="709"/>
      <c r="H86" s="709"/>
      <c r="I86" s="709"/>
      <c r="J86" s="709"/>
      <c r="K86" s="709"/>
      <c r="L86" s="709"/>
      <c r="M86" s="709"/>
      <c r="N86" s="709"/>
      <c r="O86" s="709"/>
      <c r="P86" s="709"/>
      <c r="Q86" s="709"/>
      <c r="R86" s="709"/>
      <c r="S86" s="836"/>
      <c r="T86" s="836"/>
      <c r="U86" s="836"/>
      <c r="V86" s="836"/>
      <c r="W86" s="836"/>
      <c r="X86" s="836"/>
      <c r="Y86" s="836"/>
      <c r="Z86" s="710"/>
    </row>
    <row r="87" spans="1:26" s="49" customFormat="1" ht="16.2" thickBot="1" x14ac:dyDescent="0.35">
      <c r="A87" s="345" t="s">
        <v>80</v>
      </c>
      <c r="B87" s="346"/>
      <c r="C87" s="346"/>
      <c r="D87" s="346"/>
      <c r="E87" s="346"/>
      <c r="F87" s="346"/>
      <c r="G87" s="346"/>
      <c r="H87" s="346"/>
      <c r="I87" s="346"/>
      <c r="J87" s="346"/>
      <c r="K87" s="346"/>
      <c r="L87" s="346"/>
      <c r="M87" s="346"/>
      <c r="N87" s="346"/>
      <c r="O87" s="346"/>
      <c r="P87" s="346"/>
      <c r="Q87" s="346"/>
      <c r="R87" s="346"/>
      <c r="S87" s="346"/>
      <c r="T87" s="346"/>
      <c r="U87" s="346"/>
      <c r="V87" s="346"/>
      <c r="W87" s="346"/>
      <c r="X87" s="346"/>
      <c r="Y87" s="346"/>
      <c r="Z87" s="347"/>
    </row>
    <row r="88" spans="1:26" ht="29.4" thickBot="1" x14ac:dyDescent="0.35">
      <c r="A88" s="123"/>
      <c r="B88" s="127" t="s">
        <v>81</v>
      </c>
      <c r="C88" s="102" t="s">
        <v>82</v>
      </c>
      <c r="D88" s="102" t="s">
        <v>83</v>
      </c>
      <c r="E88" s="102" t="s">
        <v>84</v>
      </c>
      <c r="F88" s="102" t="s">
        <v>85</v>
      </c>
      <c r="G88" s="131" t="s">
        <v>86</v>
      </c>
      <c r="H88" s="131" t="s">
        <v>87</v>
      </c>
      <c r="I88" s="131" t="s">
        <v>88</v>
      </c>
      <c r="J88" s="131" t="s">
        <v>89</v>
      </c>
      <c r="K88" s="131" t="s">
        <v>90</v>
      </c>
      <c r="L88" s="131" t="s">
        <v>91</v>
      </c>
      <c r="M88" s="131" t="s">
        <v>92</v>
      </c>
      <c r="N88" s="131"/>
      <c r="O88" s="131"/>
      <c r="P88" s="131"/>
      <c r="Q88" s="131"/>
      <c r="R88" s="131"/>
      <c r="S88" s="316"/>
      <c r="T88" s="316"/>
      <c r="U88" s="316"/>
      <c r="V88" s="316"/>
      <c r="W88" s="316"/>
      <c r="X88" s="316"/>
      <c r="Y88" s="316"/>
      <c r="Z88" s="132"/>
    </row>
    <row r="89" spans="1:26" ht="15" thickBot="1" x14ac:dyDescent="0.35">
      <c r="A89" s="127"/>
      <c r="B89" s="127"/>
      <c r="C89" s="102"/>
      <c r="D89" s="102" t="s">
        <v>93</v>
      </c>
      <c r="E89" s="102" t="s">
        <v>94</v>
      </c>
      <c r="F89" s="102" t="s">
        <v>94</v>
      </c>
      <c r="G89" s="131"/>
      <c r="H89" s="131"/>
      <c r="I89" s="131"/>
      <c r="J89" s="131" t="s">
        <v>95</v>
      </c>
      <c r="K89" s="131" t="s">
        <v>95</v>
      </c>
      <c r="L89" s="131" t="s">
        <v>95</v>
      </c>
      <c r="M89" s="131" t="s">
        <v>95</v>
      </c>
      <c r="N89" s="131"/>
      <c r="O89" s="131"/>
      <c r="P89" s="131"/>
      <c r="Q89" s="131"/>
      <c r="R89" s="131"/>
      <c r="S89" s="316"/>
      <c r="T89" s="316"/>
      <c r="U89" s="316"/>
      <c r="V89" s="316"/>
      <c r="W89" s="316"/>
      <c r="X89" s="316"/>
      <c r="Y89" s="316"/>
      <c r="Z89" s="132"/>
    </row>
    <row r="90" spans="1:26" x14ac:dyDescent="0.3">
      <c r="A90" s="97" t="str">
        <f>List!BH2</f>
        <v>CS-150#</v>
      </c>
      <c r="B90" s="712">
        <v>150</v>
      </c>
      <c r="C90" s="693" t="s">
        <v>96</v>
      </c>
      <c r="D90" s="693">
        <v>3</v>
      </c>
      <c r="E90" s="693" t="s">
        <v>97</v>
      </c>
      <c r="F90" s="693" t="s">
        <v>98</v>
      </c>
      <c r="G90" s="693" t="s">
        <v>99</v>
      </c>
      <c r="H90" s="693" t="s">
        <v>100</v>
      </c>
      <c r="I90" s="693" t="s">
        <v>101</v>
      </c>
      <c r="J90" s="1004">
        <v>0.1</v>
      </c>
      <c r="K90" s="1004"/>
      <c r="L90" s="1004">
        <v>1</v>
      </c>
      <c r="M90" s="1004"/>
      <c r="N90" s="693"/>
      <c r="O90" s="693"/>
      <c r="P90" s="693"/>
      <c r="Q90" s="693"/>
      <c r="R90" s="693"/>
      <c r="S90" s="695"/>
      <c r="T90" s="695"/>
      <c r="U90" s="695"/>
      <c r="V90" s="695"/>
      <c r="W90" s="695"/>
      <c r="X90" s="695"/>
      <c r="Y90" s="695"/>
      <c r="Z90" s="697"/>
    </row>
    <row r="91" spans="1:26" x14ac:dyDescent="0.3">
      <c r="A91" s="91" t="str">
        <f>List!BH3</f>
        <v>SS-300#</v>
      </c>
      <c r="B91" s="682">
        <v>300</v>
      </c>
      <c r="C91" s="680" t="s">
        <v>96</v>
      </c>
      <c r="D91" s="680">
        <v>0</v>
      </c>
      <c r="E91" s="693" t="s">
        <v>97</v>
      </c>
      <c r="F91" s="693" t="s">
        <v>98</v>
      </c>
      <c r="G91" s="693" t="s">
        <v>102</v>
      </c>
      <c r="H91" s="693" t="s">
        <v>100</v>
      </c>
      <c r="I91" s="693" t="s">
        <v>101</v>
      </c>
      <c r="J91" s="1004">
        <v>0.1</v>
      </c>
      <c r="K91" s="1004">
        <v>1</v>
      </c>
      <c r="L91" s="1004">
        <v>1</v>
      </c>
      <c r="M91" s="1004"/>
      <c r="N91" s="693"/>
      <c r="O91" s="693"/>
      <c r="P91" s="693"/>
      <c r="Q91" s="693"/>
      <c r="R91" s="693"/>
      <c r="S91" s="695"/>
      <c r="T91" s="695"/>
      <c r="U91" s="695"/>
      <c r="V91" s="695"/>
      <c r="W91" s="695"/>
      <c r="X91" s="695"/>
      <c r="Y91" s="695"/>
      <c r="Z91" s="697"/>
    </row>
    <row r="92" spans="1:26" x14ac:dyDescent="0.3">
      <c r="A92" s="91" t="str">
        <f>List!BH4</f>
        <v>X</v>
      </c>
      <c r="B92" s="682"/>
      <c r="C92" s="680"/>
      <c r="D92" s="680"/>
      <c r="E92" s="693"/>
      <c r="F92" s="693"/>
      <c r="G92" s="693"/>
      <c r="H92" s="693"/>
      <c r="I92" s="693"/>
      <c r="J92" s="1004"/>
      <c r="K92" s="1004"/>
      <c r="L92" s="1004"/>
      <c r="M92" s="1004"/>
      <c r="N92" s="693"/>
      <c r="O92" s="693"/>
      <c r="P92" s="693"/>
      <c r="Q92" s="693"/>
      <c r="R92" s="693"/>
      <c r="S92" s="695"/>
      <c r="T92" s="695"/>
      <c r="U92" s="695"/>
      <c r="V92" s="695"/>
      <c r="W92" s="695"/>
      <c r="X92" s="695"/>
      <c r="Y92" s="695"/>
      <c r="Z92" s="697"/>
    </row>
    <row r="93" spans="1:26" x14ac:dyDescent="0.3">
      <c r="A93" s="91" t="str">
        <f>List!BH5</f>
        <v>X</v>
      </c>
      <c r="B93" s="682"/>
      <c r="C93" s="680"/>
      <c r="D93" s="680"/>
      <c r="E93" s="693"/>
      <c r="F93" s="693"/>
      <c r="G93" s="693"/>
      <c r="H93" s="693"/>
      <c r="I93" s="693"/>
      <c r="J93" s="1004"/>
      <c r="K93" s="1004"/>
      <c r="L93" s="1004"/>
      <c r="M93" s="1004"/>
      <c r="N93" s="693"/>
      <c r="O93" s="693"/>
      <c r="P93" s="693"/>
      <c r="Q93" s="693"/>
      <c r="R93" s="693"/>
      <c r="S93" s="695"/>
      <c r="T93" s="695"/>
      <c r="U93" s="695"/>
      <c r="V93" s="695"/>
      <c r="W93" s="695"/>
      <c r="X93" s="695"/>
      <c r="Y93" s="695"/>
      <c r="Z93" s="697"/>
    </row>
    <row r="94" spans="1:26" x14ac:dyDescent="0.3">
      <c r="A94" s="91" t="str">
        <f>List!BH6</f>
        <v>X</v>
      </c>
      <c r="B94" s="682"/>
      <c r="C94" s="680"/>
      <c r="D94" s="680"/>
      <c r="E94" s="693"/>
      <c r="F94" s="693"/>
      <c r="G94" s="693"/>
      <c r="H94" s="693"/>
      <c r="I94" s="693"/>
      <c r="J94" s="1004"/>
      <c r="K94" s="1004"/>
      <c r="L94" s="1004"/>
      <c r="M94" s="1004"/>
      <c r="N94" s="693"/>
      <c r="O94" s="693"/>
      <c r="P94" s="693"/>
      <c r="Q94" s="693"/>
      <c r="R94" s="693"/>
      <c r="S94" s="695"/>
      <c r="T94" s="695"/>
      <c r="U94" s="695"/>
      <c r="V94" s="695"/>
      <c r="W94" s="695"/>
      <c r="X94" s="695"/>
      <c r="Y94" s="695"/>
      <c r="Z94" s="697"/>
    </row>
    <row r="95" spans="1:26" x14ac:dyDescent="0.3">
      <c r="A95" s="91" t="str">
        <f>List!BH7</f>
        <v>X</v>
      </c>
      <c r="B95" s="682"/>
      <c r="C95" s="680"/>
      <c r="D95" s="680"/>
      <c r="E95" s="693"/>
      <c r="F95" s="693"/>
      <c r="G95" s="693"/>
      <c r="H95" s="693"/>
      <c r="I95" s="693"/>
      <c r="J95" s="1004"/>
      <c r="K95" s="1004"/>
      <c r="L95" s="1004"/>
      <c r="M95" s="1004"/>
      <c r="N95" s="693"/>
      <c r="O95" s="693"/>
      <c r="P95" s="693"/>
      <c r="Q95" s="693"/>
      <c r="R95" s="693"/>
      <c r="S95" s="695"/>
      <c r="T95" s="695"/>
      <c r="U95" s="695"/>
      <c r="V95" s="695"/>
      <c r="W95" s="695"/>
      <c r="X95" s="695"/>
      <c r="Y95" s="695"/>
      <c r="Z95" s="697"/>
    </row>
    <row r="96" spans="1:26" x14ac:dyDescent="0.3">
      <c r="A96" s="91" t="str">
        <f>List!BH8</f>
        <v>X</v>
      </c>
      <c r="B96" s="682"/>
      <c r="C96" s="680"/>
      <c r="D96" s="680"/>
      <c r="E96" s="693"/>
      <c r="F96" s="693"/>
      <c r="G96" s="693"/>
      <c r="H96" s="693"/>
      <c r="I96" s="693"/>
      <c r="J96" s="1004"/>
      <c r="K96" s="1004"/>
      <c r="L96" s="1004"/>
      <c r="M96" s="1004"/>
      <c r="N96" s="693"/>
      <c r="O96" s="693"/>
      <c r="P96" s="693"/>
      <c r="Q96" s="693"/>
      <c r="R96" s="693"/>
      <c r="S96" s="695"/>
      <c r="T96" s="695"/>
      <c r="U96" s="695"/>
      <c r="V96" s="695"/>
      <c r="W96" s="695"/>
      <c r="X96" s="695"/>
      <c r="Y96" s="695"/>
      <c r="Z96" s="697"/>
    </row>
    <row r="97" spans="1:26" x14ac:dyDescent="0.3">
      <c r="A97" s="91" t="str">
        <f>List!BH9</f>
        <v>X</v>
      </c>
      <c r="B97" s="682"/>
      <c r="C97" s="680"/>
      <c r="D97" s="680"/>
      <c r="E97" s="693"/>
      <c r="F97" s="693"/>
      <c r="G97" s="693"/>
      <c r="H97" s="693"/>
      <c r="I97" s="693"/>
      <c r="J97" s="1004"/>
      <c r="K97" s="1004"/>
      <c r="L97" s="1004"/>
      <c r="M97" s="1004"/>
      <c r="N97" s="693"/>
      <c r="O97" s="693"/>
      <c r="P97" s="693"/>
      <c r="Q97" s="693"/>
      <c r="R97" s="693"/>
      <c r="S97" s="695"/>
      <c r="T97" s="695"/>
      <c r="U97" s="695"/>
      <c r="V97" s="695"/>
      <c r="W97" s="695"/>
      <c r="X97" s="695"/>
      <c r="Y97" s="695"/>
      <c r="Z97" s="697"/>
    </row>
    <row r="98" spans="1:26" x14ac:dyDescent="0.3">
      <c r="A98" s="91" t="str">
        <f>List!BH10</f>
        <v>X</v>
      </c>
      <c r="B98" s="682"/>
      <c r="C98" s="680"/>
      <c r="D98" s="680"/>
      <c r="E98" s="693"/>
      <c r="F98" s="693"/>
      <c r="G98" s="693"/>
      <c r="H98" s="680"/>
      <c r="I98" s="680"/>
      <c r="J98" s="1005"/>
      <c r="K98" s="1005"/>
      <c r="L98" s="1005"/>
      <c r="M98" s="1005"/>
      <c r="N98" s="680"/>
      <c r="O98" s="680"/>
      <c r="P98" s="680"/>
      <c r="Q98" s="680"/>
      <c r="R98" s="680"/>
      <c r="S98" s="684"/>
      <c r="T98" s="684"/>
      <c r="U98" s="684"/>
      <c r="V98" s="684"/>
      <c r="W98" s="684"/>
      <c r="X98" s="684"/>
      <c r="Y98" s="684"/>
      <c r="Z98" s="713"/>
    </row>
    <row r="99" spans="1:26" x14ac:dyDescent="0.3">
      <c r="A99" s="91" t="str">
        <f>List!BH11</f>
        <v>X</v>
      </c>
      <c r="B99" s="682"/>
      <c r="C99" s="680"/>
      <c r="D99" s="680"/>
      <c r="E99" s="680"/>
      <c r="F99" s="680"/>
      <c r="G99" s="680"/>
      <c r="H99" s="680"/>
      <c r="I99" s="680"/>
      <c r="J99" s="1005"/>
      <c r="K99" s="1005"/>
      <c r="L99" s="1005"/>
      <c r="M99" s="1005"/>
      <c r="N99" s="680"/>
      <c r="O99" s="680"/>
      <c r="P99" s="680"/>
      <c r="Q99" s="680"/>
      <c r="R99" s="680"/>
      <c r="S99" s="684"/>
      <c r="T99" s="684"/>
      <c r="U99" s="684"/>
      <c r="V99" s="684"/>
      <c r="W99" s="684"/>
      <c r="X99" s="684"/>
      <c r="Y99" s="684"/>
      <c r="Z99" s="713"/>
    </row>
    <row r="100" spans="1:26" x14ac:dyDescent="0.3">
      <c r="A100" s="91" t="str">
        <f>List!BH12</f>
        <v>X</v>
      </c>
      <c r="B100" s="682"/>
      <c r="C100" s="680"/>
      <c r="D100" s="680"/>
      <c r="E100" s="680"/>
      <c r="F100" s="680"/>
      <c r="G100" s="680"/>
      <c r="H100" s="680"/>
      <c r="I100" s="680"/>
      <c r="J100" s="1005"/>
      <c r="K100" s="1005"/>
      <c r="L100" s="1005"/>
      <c r="M100" s="1005"/>
      <c r="N100" s="680"/>
      <c r="O100" s="680"/>
      <c r="P100" s="680"/>
      <c r="Q100" s="680"/>
      <c r="R100" s="680"/>
      <c r="S100" s="684"/>
      <c r="T100" s="684"/>
      <c r="U100" s="684"/>
      <c r="V100" s="684"/>
      <c r="W100" s="684"/>
      <c r="X100" s="684"/>
      <c r="Y100" s="684"/>
      <c r="Z100" s="713"/>
    </row>
    <row r="101" spans="1:26" x14ac:dyDescent="0.3">
      <c r="A101" s="91" t="str">
        <f>List!BH13</f>
        <v>X</v>
      </c>
      <c r="B101" s="682"/>
      <c r="C101" s="680"/>
      <c r="D101" s="680"/>
      <c r="E101" s="680"/>
      <c r="F101" s="680"/>
      <c r="G101" s="680"/>
      <c r="H101" s="680"/>
      <c r="I101" s="680"/>
      <c r="J101" s="1005"/>
      <c r="K101" s="1005"/>
      <c r="L101" s="1005"/>
      <c r="M101" s="1005"/>
      <c r="N101" s="680"/>
      <c r="O101" s="680"/>
      <c r="P101" s="680"/>
      <c r="Q101" s="680"/>
      <c r="R101" s="680"/>
      <c r="S101" s="684"/>
      <c r="T101" s="684"/>
      <c r="U101" s="684"/>
      <c r="V101" s="684"/>
      <c r="W101" s="684"/>
      <c r="X101" s="684"/>
      <c r="Y101" s="684"/>
      <c r="Z101" s="713"/>
    </row>
    <row r="102" spans="1:26" ht="15" thickBot="1" x14ac:dyDescent="0.35">
      <c r="A102" s="94" t="str">
        <f>List!BH14</f>
        <v>X</v>
      </c>
      <c r="B102" s="685"/>
      <c r="C102" s="681"/>
      <c r="D102" s="681"/>
      <c r="E102" s="681"/>
      <c r="F102" s="681"/>
      <c r="G102" s="681"/>
      <c r="H102" s="681"/>
      <c r="I102" s="681"/>
      <c r="J102" s="1006"/>
      <c r="K102" s="1006"/>
      <c r="L102" s="1006"/>
      <c r="M102" s="1006"/>
      <c r="N102" s="681"/>
      <c r="O102" s="681"/>
      <c r="P102" s="681"/>
      <c r="Q102" s="681"/>
      <c r="R102" s="681"/>
      <c r="S102" s="687"/>
      <c r="T102" s="687"/>
      <c r="U102" s="687"/>
      <c r="V102" s="687"/>
      <c r="W102" s="687"/>
      <c r="X102" s="687"/>
      <c r="Y102" s="687"/>
      <c r="Z102" s="714"/>
    </row>
    <row r="103" spans="1:26" ht="16.2" thickBot="1" x14ac:dyDescent="0.35">
      <c r="A103" s="1240" t="s">
        <v>103</v>
      </c>
    </row>
    <row r="104" spans="1:26" ht="35.25" customHeight="1" thickBot="1" x14ac:dyDescent="0.35">
      <c r="A104" s="270" t="s">
        <v>104</v>
      </c>
    </row>
    <row r="105" spans="1:26" ht="15" thickBot="1" x14ac:dyDescent="0.35">
      <c r="A105" s="1241"/>
    </row>
    <row r="106" spans="1:26" x14ac:dyDescent="0.3">
      <c r="A106" s="699" t="s">
        <v>105</v>
      </c>
    </row>
    <row r="107" spans="1:26" x14ac:dyDescent="0.3">
      <c r="A107" s="703" t="s">
        <v>106</v>
      </c>
    </row>
    <row r="108" spans="1:26" x14ac:dyDescent="0.3">
      <c r="A108" s="703" t="s">
        <v>107</v>
      </c>
    </row>
    <row r="109" spans="1:26" x14ac:dyDescent="0.3">
      <c r="A109" s="703"/>
    </row>
    <row r="110" spans="1:26" x14ac:dyDescent="0.3">
      <c r="A110" s="703"/>
    </row>
    <row r="111" spans="1:26" x14ac:dyDescent="0.3">
      <c r="A111" s="703"/>
    </row>
    <row r="112" spans="1:26" x14ac:dyDescent="0.3">
      <c r="A112" s="703"/>
    </row>
    <row r="113" spans="1:1" x14ac:dyDescent="0.3">
      <c r="A113" s="703"/>
    </row>
    <row r="114" spans="1:1" x14ac:dyDescent="0.3">
      <c r="A114" s="703"/>
    </row>
    <row r="115" spans="1:1" x14ac:dyDescent="0.3">
      <c r="A115" s="703"/>
    </row>
    <row r="116" spans="1:1" x14ac:dyDescent="0.3">
      <c r="A116" s="703"/>
    </row>
    <row r="117" spans="1:1" ht="15" thickBot="1" x14ac:dyDescent="0.35">
      <c r="A117" s="1274"/>
    </row>
    <row r="118" spans="1:1" ht="15" thickBot="1" x14ac:dyDescent="0.35">
      <c r="A118" s="1275" t="s">
        <v>108</v>
      </c>
    </row>
    <row r="119" spans="1:1" x14ac:dyDescent="0.3">
      <c r="A119">
        <v>1</v>
      </c>
    </row>
  </sheetData>
  <dataValidations count="4">
    <dataValidation type="list" allowBlank="1" showInputMessage="1" showErrorMessage="1" sqref="G90:G102" xr:uid="{00000000-0002-0000-1000-000000000000}">
      <formula1>Material_Group</formula1>
    </dataValidation>
    <dataValidation type="list" allowBlank="1" showInputMessage="1" showErrorMessage="1" sqref="B4:T16" xr:uid="{00000000-0002-0000-1000-000001000000}">
      <formula1>SCH</formula1>
    </dataValidation>
    <dataValidation type="list" allowBlank="1" showInputMessage="1" showErrorMessage="1" sqref="B90:B102" xr:uid="{00000000-0002-0000-1000-000002000000}">
      <formula1>Nozzle_Rating</formula1>
    </dataValidation>
    <dataValidation type="list" allowBlank="1" showInputMessage="1" showErrorMessage="1" sqref="C90:C102" xr:uid="{00000000-0002-0000-1000-000003000000}">
      <formula1>Flange_Face</formula1>
    </dataValidation>
  </dataValidations>
  <pageMargins left="0.70866141732283472" right="0.70866141732283472" top="0.74803149606299213" bottom="0.74803149606299213" header="0.31496062992125984" footer="0.31496062992125984"/>
  <pageSetup scale="25" fitToHeight="0" orientation="portrait" r:id="rId1"/>
  <headerFooter>
    <oddHeader>&amp;LMCE Vers. 1.0&amp;C&amp;F&amp;R&amp;"Calibri,Normale"&amp;8 Document classified as: 2 - Company Confidential&amp;1#</oddHeader>
    <oddFooter>&amp;C&amp;A - &amp;P&amp;R&amp;D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oglio14">
    <tabColor rgb="FF92D050"/>
    <pageSetUpPr fitToPage="1"/>
  </sheetPr>
  <dimension ref="A1:AD101"/>
  <sheetViews>
    <sheetView zoomScale="70" zoomScaleNormal="70" workbookViewId="0">
      <selection activeCell="H31" sqref="H31"/>
    </sheetView>
  </sheetViews>
  <sheetFormatPr defaultRowHeight="14.4" x14ac:dyDescent="0.3"/>
  <cols>
    <col min="2" max="2" width="22.21875" customWidth="1"/>
    <col min="3" max="3" width="18" customWidth="1"/>
    <col min="4" max="4" width="13.21875" customWidth="1"/>
    <col min="5" max="5" width="8.44140625" bestFit="1" customWidth="1"/>
    <col min="6" max="6" width="9" style="1" bestFit="1" customWidth="1"/>
    <col min="7" max="7" width="8" style="3" bestFit="1" customWidth="1"/>
    <col min="8" max="8" width="33.21875" style="3" customWidth="1"/>
    <col min="9" max="9" width="24" style="3" customWidth="1"/>
    <col min="10" max="10" width="28.77734375" style="3" customWidth="1"/>
    <col min="11" max="11" width="27.77734375" style="3" bestFit="1" customWidth="1"/>
    <col min="12" max="12" width="11.77734375" style="3" bestFit="1" customWidth="1"/>
    <col min="13" max="13" width="9.77734375" style="3" bestFit="1" customWidth="1"/>
    <col min="14" max="14" width="5.21875" style="3" bestFit="1" customWidth="1"/>
    <col min="15" max="15" width="20.77734375" style="3" customWidth="1"/>
    <col min="16" max="16" width="22.77734375" style="3" bestFit="1" customWidth="1"/>
    <col min="17" max="18" width="25.77734375" style="3" customWidth="1"/>
    <col min="19" max="19" width="15.77734375" style="3" customWidth="1"/>
    <col min="20" max="21" width="11" style="3" customWidth="1"/>
    <col min="22" max="22" width="13.77734375" style="3" customWidth="1"/>
    <col min="23" max="23" width="18.77734375" style="3" customWidth="1"/>
    <col min="24" max="25" width="12.77734375" style="3" customWidth="1"/>
    <col min="26" max="26" width="24.21875" style="3" customWidth="1"/>
    <col min="27" max="28" width="12.77734375" style="3" customWidth="1"/>
    <col min="29" max="30" width="22.21875" style="3" customWidth="1"/>
  </cols>
  <sheetData>
    <row r="1" spans="1:30" s="3" customFormat="1" ht="43.8" thickBot="1" x14ac:dyDescent="0.35">
      <c r="A1" s="388" t="s">
        <v>109</v>
      </c>
      <c r="B1" s="389" t="s">
        <v>110</v>
      </c>
      <c r="C1" s="131" t="s">
        <v>58</v>
      </c>
      <c r="D1" s="316" t="s">
        <v>111</v>
      </c>
      <c r="E1" s="389" t="s">
        <v>112</v>
      </c>
      <c r="F1" s="132" t="s">
        <v>113</v>
      </c>
      <c r="G1" s="317" t="s">
        <v>114</v>
      </c>
      <c r="H1" s="131" t="s">
        <v>115</v>
      </c>
      <c r="I1" s="131" t="s">
        <v>116</v>
      </c>
      <c r="J1" s="131" t="s">
        <v>117</v>
      </c>
      <c r="K1" s="131" t="s">
        <v>118</v>
      </c>
      <c r="L1" s="131" t="s">
        <v>119</v>
      </c>
      <c r="M1" s="131" t="s">
        <v>120</v>
      </c>
      <c r="N1" s="131" t="s">
        <v>121</v>
      </c>
      <c r="O1" s="131" t="s">
        <v>122</v>
      </c>
      <c r="P1" s="131" t="s">
        <v>123</v>
      </c>
      <c r="Q1" s="131" t="s">
        <v>124</v>
      </c>
      <c r="R1" s="131" t="s">
        <v>125</v>
      </c>
      <c r="S1" s="131" t="s">
        <v>126</v>
      </c>
      <c r="T1" s="131" t="s">
        <v>85</v>
      </c>
      <c r="U1" s="131" t="s">
        <v>127</v>
      </c>
      <c r="V1" s="132" t="s">
        <v>128</v>
      </c>
      <c r="W1" s="131" t="s">
        <v>129</v>
      </c>
      <c r="X1" s="131" t="s">
        <v>130</v>
      </c>
      <c r="Y1" s="316" t="s">
        <v>131</v>
      </c>
      <c r="Z1" s="316" t="s">
        <v>132</v>
      </c>
      <c r="AA1" s="316" t="s">
        <v>125</v>
      </c>
      <c r="AB1" s="316" t="s">
        <v>86</v>
      </c>
      <c r="AC1" s="316" t="s">
        <v>133</v>
      </c>
      <c r="AD1" s="132" t="s">
        <v>134</v>
      </c>
    </row>
    <row r="2" spans="1:30" x14ac:dyDescent="0.3">
      <c r="A2" s="318">
        <v>1</v>
      </c>
      <c r="B2" s="886" t="s">
        <v>135</v>
      </c>
      <c r="C2" s="873" t="s">
        <v>61</v>
      </c>
      <c r="D2" s="888" t="s">
        <v>136</v>
      </c>
      <c r="E2" s="884">
        <v>0.5</v>
      </c>
      <c r="F2" s="885">
        <v>1.5</v>
      </c>
      <c r="G2" s="123">
        <f>IFERROR(VLOOKUP(C2,'Piping Class'!$90:$102,2,0),"")</f>
        <v>150</v>
      </c>
      <c r="H2" s="873" t="s">
        <v>137</v>
      </c>
      <c r="I2" s="873" t="s">
        <v>138</v>
      </c>
      <c r="J2" s="873"/>
      <c r="K2" s="873" t="s">
        <v>139</v>
      </c>
      <c r="L2" s="873" t="s">
        <v>140</v>
      </c>
      <c r="M2" s="874" t="s">
        <v>141</v>
      </c>
      <c r="N2" s="873" t="s">
        <v>96</v>
      </c>
      <c r="O2" s="873" t="s">
        <v>142</v>
      </c>
      <c r="P2" s="873" t="s">
        <v>143</v>
      </c>
      <c r="Q2" s="873" t="s">
        <v>144</v>
      </c>
      <c r="R2" s="873" t="s">
        <v>145</v>
      </c>
      <c r="S2" s="873" t="s">
        <v>97</v>
      </c>
      <c r="T2" s="873" t="s">
        <v>98</v>
      </c>
      <c r="U2" s="873" t="s">
        <v>98</v>
      </c>
      <c r="V2" s="878" t="s">
        <v>101</v>
      </c>
      <c r="W2" s="879"/>
      <c r="X2" s="874"/>
      <c r="Y2" s="873">
        <v>3</v>
      </c>
      <c r="Z2" s="873" t="s">
        <v>146</v>
      </c>
      <c r="AA2" s="874"/>
      <c r="AB2" s="326" t="str">
        <f>IFERROR(VLOOKUP(C2,'Piping Class'!$90:$102,7,0),"")</f>
        <v>CS</v>
      </c>
      <c r="AC2" s="876"/>
      <c r="AD2" s="877"/>
    </row>
    <row r="3" spans="1:30" x14ac:dyDescent="0.3">
      <c r="A3" s="318">
        <v>28</v>
      </c>
      <c r="B3" s="886" t="s">
        <v>135</v>
      </c>
      <c r="C3" s="873" t="s">
        <v>61</v>
      </c>
      <c r="D3" s="888" t="s">
        <v>136</v>
      </c>
      <c r="E3" s="889">
        <v>1</v>
      </c>
      <c r="F3" s="890">
        <v>6</v>
      </c>
      <c r="G3" s="97">
        <f>IFERROR(VLOOKUP(C3,'Piping Class'!$90:$102,2,0),"")</f>
        <v>150</v>
      </c>
      <c r="H3" s="873" t="s">
        <v>137</v>
      </c>
      <c r="I3" s="873" t="s">
        <v>138</v>
      </c>
      <c r="J3" s="873"/>
      <c r="K3" s="873" t="s">
        <v>139</v>
      </c>
      <c r="L3" s="873" t="s">
        <v>140</v>
      </c>
      <c r="M3" s="874" t="s">
        <v>141</v>
      </c>
      <c r="N3" s="873" t="s">
        <v>96</v>
      </c>
      <c r="O3" s="873" t="s">
        <v>142</v>
      </c>
      <c r="P3" s="873" t="s">
        <v>143</v>
      </c>
      <c r="Q3" s="873" t="s">
        <v>144</v>
      </c>
      <c r="R3" s="873" t="s">
        <v>145</v>
      </c>
      <c r="S3" s="873" t="s">
        <v>97</v>
      </c>
      <c r="T3" s="873" t="s">
        <v>98</v>
      </c>
      <c r="U3" s="873" t="s">
        <v>98</v>
      </c>
      <c r="V3" s="878" t="s">
        <v>101</v>
      </c>
      <c r="W3" s="879"/>
      <c r="X3" s="874"/>
      <c r="Y3" s="873">
        <v>3</v>
      </c>
      <c r="Z3" s="873" t="s">
        <v>146</v>
      </c>
      <c r="AA3" s="874"/>
      <c r="AB3" s="21" t="str">
        <f>IFERROR(VLOOKUP(C3,'Piping Class'!$90:$102,7,0),"")</f>
        <v>CS</v>
      </c>
      <c r="AC3" s="874"/>
      <c r="AD3" s="878"/>
    </row>
    <row r="4" spans="1:30" x14ac:dyDescent="0.3">
      <c r="A4" s="319">
        <v>6</v>
      </c>
      <c r="B4" s="886" t="s">
        <v>135</v>
      </c>
      <c r="C4" s="873" t="s">
        <v>61</v>
      </c>
      <c r="D4" s="888" t="s">
        <v>136</v>
      </c>
      <c r="E4" s="889">
        <v>8</v>
      </c>
      <c r="F4" s="890">
        <v>24</v>
      </c>
      <c r="G4" s="97">
        <f>IFERROR(VLOOKUP(C4,'Piping Class'!$90:$102,2,0),"")</f>
        <v>150</v>
      </c>
      <c r="H4" s="873" t="s">
        <v>137</v>
      </c>
      <c r="I4" s="873" t="s">
        <v>138</v>
      </c>
      <c r="J4" s="873"/>
      <c r="K4" s="873" t="s">
        <v>139</v>
      </c>
      <c r="L4" s="873" t="s">
        <v>140</v>
      </c>
      <c r="M4" s="874" t="s">
        <v>141</v>
      </c>
      <c r="N4" s="873" t="s">
        <v>96</v>
      </c>
      <c r="O4" s="873" t="s">
        <v>142</v>
      </c>
      <c r="P4" s="873" t="s">
        <v>143</v>
      </c>
      <c r="Q4" s="873" t="s">
        <v>144</v>
      </c>
      <c r="R4" s="873" t="s">
        <v>145</v>
      </c>
      <c r="S4" s="873" t="s">
        <v>97</v>
      </c>
      <c r="T4" s="873" t="s">
        <v>98</v>
      </c>
      <c r="U4" s="873" t="s">
        <v>98</v>
      </c>
      <c r="V4" s="878" t="s">
        <v>101</v>
      </c>
      <c r="W4" s="879"/>
      <c r="X4" s="874"/>
      <c r="Y4" s="873">
        <v>3</v>
      </c>
      <c r="Z4" s="873" t="s">
        <v>146</v>
      </c>
      <c r="AA4" s="874"/>
      <c r="AB4" s="21" t="str">
        <f>IFERROR(VLOOKUP(C4,'Piping Class'!$90:$102,7,0),"")</f>
        <v>CS</v>
      </c>
      <c r="AC4" s="874"/>
      <c r="AD4" s="878"/>
    </row>
    <row r="5" spans="1:30" x14ac:dyDescent="0.3">
      <c r="A5" s="319">
        <v>15</v>
      </c>
      <c r="B5" s="886" t="s">
        <v>147</v>
      </c>
      <c r="C5" s="873" t="s">
        <v>61</v>
      </c>
      <c r="D5" s="888"/>
      <c r="E5" s="889">
        <v>0.5</v>
      </c>
      <c r="F5" s="890">
        <v>24</v>
      </c>
      <c r="G5" s="91">
        <f>IFERROR(VLOOKUP(C5,'Piping Class'!$90:$102,2,0),"")</f>
        <v>150</v>
      </c>
      <c r="H5" s="873" t="s">
        <v>148</v>
      </c>
      <c r="I5" s="873"/>
      <c r="J5" s="873"/>
      <c r="K5" s="873" t="s">
        <v>149</v>
      </c>
      <c r="L5" s="873"/>
      <c r="M5" s="874" t="s">
        <v>141</v>
      </c>
      <c r="N5" s="873" t="s">
        <v>96</v>
      </c>
      <c r="O5" s="873"/>
      <c r="P5" s="873"/>
      <c r="Q5" s="873"/>
      <c r="R5" s="873"/>
      <c r="S5" s="873" t="s">
        <v>97</v>
      </c>
      <c r="T5" s="873" t="s">
        <v>98</v>
      </c>
      <c r="U5" s="873" t="s">
        <v>98</v>
      </c>
      <c r="V5" s="878" t="s">
        <v>101</v>
      </c>
      <c r="W5" s="879"/>
      <c r="X5" s="874" t="s">
        <v>150</v>
      </c>
      <c r="Y5" s="873">
        <v>0</v>
      </c>
      <c r="Z5" s="873" t="s">
        <v>146</v>
      </c>
      <c r="AA5" s="874"/>
      <c r="AB5" s="21" t="str">
        <f>IFERROR(VLOOKUP(C5,'Piping Class'!$90:$102,7,0),"")</f>
        <v>CS</v>
      </c>
      <c r="AC5" s="874"/>
      <c r="AD5" s="878"/>
    </row>
    <row r="6" spans="1:30" x14ac:dyDescent="0.3">
      <c r="A6" s="319">
        <v>2</v>
      </c>
      <c r="B6" s="886" t="s">
        <v>151</v>
      </c>
      <c r="C6" s="873" t="s">
        <v>61</v>
      </c>
      <c r="D6" s="888"/>
      <c r="E6" s="889">
        <v>0.5</v>
      </c>
      <c r="F6" s="890">
        <v>24</v>
      </c>
      <c r="G6" s="97">
        <f>IFERROR(VLOOKUP(C6,'Piping Class'!$90:$102,2,0),"")</f>
        <v>150</v>
      </c>
      <c r="H6" s="873" t="s">
        <v>152</v>
      </c>
      <c r="I6" s="873"/>
      <c r="J6" s="873"/>
      <c r="K6" s="873" t="s">
        <v>149</v>
      </c>
      <c r="L6" s="873" t="s">
        <v>140</v>
      </c>
      <c r="M6" s="874" t="s">
        <v>141</v>
      </c>
      <c r="N6" s="873" t="s">
        <v>96</v>
      </c>
      <c r="O6" s="873"/>
      <c r="P6" s="873" t="s">
        <v>153</v>
      </c>
      <c r="Q6" s="873" t="s">
        <v>144</v>
      </c>
      <c r="R6" s="873" t="s">
        <v>145</v>
      </c>
      <c r="S6" s="873" t="s">
        <v>97</v>
      </c>
      <c r="T6" s="873" t="s">
        <v>98</v>
      </c>
      <c r="U6" s="873" t="s">
        <v>98</v>
      </c>
      <c r="V6" s="878" t="s">
        <v>101</v>
      </c>
      <c r="W6" s="879"/>
      <c r="X6" s="874"/>
      <c r="Y6" s="873">
        <v>3</v>
      </c>
      <c r="Z6" s="873" t="s">
        <v>146</v>
      </c>
      <c r="AA6" s="874"/>
      <c r="AB6" s="21" t="str">
        <f>IFERROR(VLOOKUP(C6,'Piping Class'!$90:$102,7,0),"")</f>
        <v>CS</v>
      </c>
      <c r="AC6" s="874"/>
      <c r="AD6" s="878"/>
    </row>
    <row r="7" spans="1:30" x14ac:dyDescent="0.3">
      <c r="A7" s="319">
        <v>5</v>
      </c>
      <c r="B7" s="886" t="s">
        <v>154</v>
      </c>
      <c r="C7" s="873" t="s">
        <v>61</v>
      </c>
      <c r="D7" s="888"/>
      <c r="E7" s="889">
        <v>0.5</v>
      </c>
      <c r="F7" s="890">
        <v>24</v>
      </c>
      <c r="G7" s="97">
        <f>IFERROR(VLOOKUP(C7,'Piping Class'!$90:$102,2,0),"")</f>
        <v>150</v>
      </c>
      <c r="H7" s="873" t="s">
        <v>152</v>
      </c>
      <c r="I7" s="873"/>
      <c r="J7" s="873"/>
      <c r="K7" s="873" t="s">
        <v>149</v>
      </c>
      <c r="L7" s="873" t="s">
        <v>140</v>
      </c>
      <c r="M7" s="874" t="s">
        <v>141</v>
      </c>
      <c r="N7" s="873" t="s">
        <v>96</v>
      </c>
      <c r="O7" s="873"/>
      <c r="P7" s="873" t="s">
        <v>153</v>
      </c>
      <c r="Q7" s="873" t="s">
        <v>144</v>
      </c>
      <c r="R7" s="873" t="s">
        <v>145</v>
      </c>
      <c r="S7" s="873" t="s">
        <v>97</v>
      </c>
      <c r="T7" s="873" t="s">
        <v>98</v>
      </c>
      <c r="U7" s="873" t="s">
        <v>98</v>
      </c>
      <c r="V7" s="878" t="s">
        <v>101</v>
      </c>
      <c r="W7" s="879"/>
      <c r="X7" s="874"/>
      <c r="Y7" s="873">
        <v>3</v>
      </c>
      <c r="Z7" s="873" t="s">
        <v>146</v>
      </c>
      <c r="AA7" s="874"/>
      <c r="AB7" s="21" t="str">
        <f>IFERROR(VLOOKUP(C7,'Piping Class'!$90:$102,7,0),"")</f>
        <v>CS</v>
      </c>
      <c r="AC7" s="874"/>
      <c r="AD7" s="878"/>
    </row>
    <row r="8" spans="1:30" x14ac:dyDescent="0.3">
      <c r="A8" s="318">
        <v>10</v>
      </c>
      <c r="B8" s="886"/>
      <c r="C8" s="873"/>
      <c r="D8" s="888"/>
      <c r="E8" s="889"/>
      <c r="F8" s="890"/>
      <c r="G8" s="97" t="str">
        <f>IFERROR(VLOOKUP(C8,'Piping Class'!$90:$102,2,0),"")</f>
        <v/>
      </c>
      <c r="H8" s="873"/>
      <c r="I8" s="873"/>
      <c r="J8" s="873"/>
      <c r="K8" s="873"/>
      <c r="L8" s="873"/>
      <c r="M8" s="874"/>
      <c r="N8" s="873"/>
      <c r="O8" s="873"/>
      <c r="P8" s="873"/>
      <c r="Q8" s="873"/>
      <c r="R8" s="873"/>
      <c r="S8" s="873"/>
      <c r="T8" s="873"/>
      <c r="U8" s="873"/>
      <c r="V8" s="878"/>
      <c r="W8" s="879"/>
      <c r="X8" s="874"/>
      <c r="Y8" s="873"/>
      <c r="Z8" s="873"/>
      <c r="AA8" s="874"/>
      <c r="AB8" s="21" t="str">
        <f>IFERROR(VLOOKUP(C8,'Piping Class'!$90:$102,7,0),"")</f>
        <v/>
      </c>
      <c r="AC8" s="874"/>
      <c r="AD8" s="878"/>
    </row>
    <row r="9" spans="1:30" x14ac:dyDescent="0.3">
      <c r="A9" s="318">
        <v>19</v>
      </c>
      <c r="B9" s="886" t="s">
        <v>155</v>
      </c>
      <c r="C9" s="873" t="s">
        <v>62</v>
      </c>
      <c r="D9" s="888"/>
      <c r="E9" s="889">
        <v>0.5</v>
      </c>
      <c r="F9" s="890">
        <v>3</v>
      </c>
      <c r="G9" s="91" t="str">
        <f>IFERROR(VLOOKUP(C9,'Piping Class'!$90:$102,2,0),"")</f>
        <v/>
      </c>
      <c r="H9" s="873" t="s">
        <v>137</v>
      </c>
      <c r="I9" s="873" t="s">
        <v>138</v>
      </c>
      <c r="J9" s="873"/>
      <c r="K9" s="873" t="s">
        <v>156</v>
      </c>
      <c r="L9" s="873" t="s">
        <v>140</v>
      </c>
      <c r="M9" s="874" t="s">
        <v>141</v>
      </c>
      <c r="N9" s="873" t="s">
        <v>96</v>
      </c>
      <c r="O9" s="873" t="s">
        <v>142</v>
      </c>
      <c r="P9" s="873" t="s">
        <v>143</v>
      </c>
      <c r="Q9" s="873" t="s">
        <v>144</v>
      </c>
      <c r="R9" s="873" t="s">
        <v>145</v>
      </c>
      <c r="S9" s="873" t="s">
        <v>97</v>
      </c>
      <c r="T9" s="873" t="s">
        <v>98</v>
      </c>
      <c r="U9" s="873" t="s">
        <v>98</v>
      </c>
      <c r="V9" s="878" t="s">
        <v>101</v>
      </c>
      <c r="W9" s="879"/>
      <c r="X9" s="874"/>
      <c r="Y9" s="873">
        <v>3</v>
      </c>
      <c r="Z9" s="873" t="s">
        <v>146</v>
      </c>
      <c r="AA9" s="874"/>
      <c r="AB9" s="21" t="str">
        <f>IFERROR(VLOOKUP(C9,'Piping Class'!$90:$102,7,0),"")</f>
        <v/>
      </c>
      <c r="AC9" s="874"/>
      <c r="AD9" s="878"/>
    </row>
    <row r="10" spans="1:30" x14ac:dyDescent="0.3">
      <c r="A10" s="318">
        <v>16</v>
      </c>
      <c r="B10" s="886"/>
      <c r="C10" s="873"/>
      <c r="D10" s="888"/>
      <c r="E10" s="889"/>
      <c r="F10" s="890"/>
      <c r="G10" s="91" t="str">
        <f>IFERROR(VLOOKUP(C10,'Piping Class'!$90:$102,2,0),"")</f>
        <v/>
      </c>
      <c r="H10" s="873"/>
      <c r="I10" s="873"/>
      <c r="J10" s="873"/>
      <c r="K10" s="873"/>
      <c r="L10" s="873"/>
      <c r="M10" s="874"/>
      <c r="N10" s="873"/>
      <c r="O10" s="873"/>
      <c r="P10" s="873"/>
      <c r="Q10" s="873"/>
      <c r="R10" s="873"/>
      <c r="S10" s="873"/>
      <c r="T10" s="873"/>
      <c r="U10" s="873"/>
      <c r="V10" s="878"/>
      <c r="W10" s="879"/>
      <c r="X10" s="874"/>
      <c r="Y10" s="873"/>
      <c r="Z10" s="873"/>
      <c r="AA10" s="874"/>
      <c r="AB10" s="21" t="str">
        <f>IFERROR(VLOOKUP(C10,'Piping Class'!$90:$102,7,0),"")</f>
        <v/>
      </c>
      <c r="AC10" s="874"/>
      <c r="AD10" s="878"/>
    </row>
    <row r="11" spans="1:30" x14ac:dyDescent="0.3">
      <c r="A11" s="318">
        <v>7</v>
      </c>
      <c r="B11" s="886" t="s">
        <v>135</v>
      </c>
      <c r="C11" s="873" t="s">
        <v>62</v>
      </c>
      <c r="D11" s="888" t="s">
        <v>136</v>
      </c>
      <c r="E11" s="889">
        <v>0.5</v>
      </c>
      <c r="F11" s="890">
        <v>1.5</v>
      </c>
      <c r="G11" s="97" t="str">
        <f>IFERROR(VLOOKUP(C11,'Piping Class'!$90:$102,2,0),"")</f>
        <v/>
      </c>
      <c r="H11" s="873" t="s">
        <v>137</v>
      </c>
      <c r="I11" s="873" t="s">
        <v>138</v>
      </c>
      <c r="J11" s="873"/>
      <c r="K11" s="873" t="s">
        <v>156</v>
      </c>
      <c r="L11" s="873" t="s">
        <v>140</v>
      </c>
      <c r="M11" s="874" t="s">
        <v>141</v>
      </c>
      <c r="N11" s="873" t="s">
        <v>96</v>
      </c>
      <c r="O11" s="873" t="s">
        <v>142</v>
      </c>
      <c r="P11" s="873" t="s">
        <v>143</v>
      </c>
      <c r="Q11" s="873" t="s">
        <v>144</v>
      </c>
      <c r="R11" s="873" t="s">
        <v>145</v>
      </c>
      <c r="S11" s="873" t="s">
        <v>97</v>
      </c>
      <c r="T11" s="873" t="s">
        <v>98</v>
      </c>
      <c r="U11" s="873" t="s">
        <v>98</v>
      </c>
      <c r="V11" s="878" t="s">
        <v>101</v>
      </c>
      <c r="W11" s="879"/>
      <c r="X11" s="874" t="s">
        <v>150</v>
      </c>
      <c r="Y11" s="873">
        <v>0</v>
      </c>
      <c r="Z11" s="873" t="s">
        <v>146</v>
      </c>
      <c r="AA11" s="874"/>
      <c r="AB11" s="21" t="str">
        <f>IFERROR(VLOOKUP(C11,'Piping Class'!$90:$102,7,0),"")</f>
        <v/>
      </c>
      <c r="AC11" s="874"/>
      <c r="AD11" s="878"/>
    </row>
    <row r="12" spans="1:30" x14ac:dyDescent="0.3">
      <c r="A12" s="319">
        <v>11</v>
      </c>
      <c r="B12" s="886" t="s">
        <v>135</v>
      </c>
      <c r="C12" s="873" t="s">
        <v>62</v>
      </c>
      <c r="D12" s="888" t="s">
        <v>136</v>
      </c>
      <c r="E12" s="889">
        <v>1</v>
      </c>
      <c r="F12" s="890">
        <v>6</v>
      </c>
      <c r="G12" s="97" t="str">
        <f>IFERROR(VLOOKUP(C12,'Piping Class'!$90:$102,2,0),"")</f>
        <v/>
      </c>
      <c r="H12" s="873" t="s">
        <v>137</v>
      </c>
      <c r="I12" s="873" t="s">
        <v>138</v>
      </c>
      <c r="J12" s="873"/>
      <c r="K12" s="873" t="s">
        <v>156</v>
      </c>
      <c r="L12" s="873" t="s">
        <v>140</v>
      </c>
      <c r="M12" s="874" t="s">
        <v>141</v>
      </c>
      <c r="N12" s="873" t="s">
        <v>96</v>
      </c>
      <c r="O12" s="873" t="s">
        <v>142</v>
      </c>
      <c r="P12" s="873" t="s">
        <v>143</v>
      </c>
      <c r="Q12" s="873" t="s">
        <v>144</v>
      </c>
      <c r="R12" s="873" t="s">
        <v>145</v>
      </c>
      <c r="S12" s="873" t="s">
        <v>97</v>
      </c>
      <c r="T12" s="873" t="s">
        <v>98</v>
      </c>
      <c r="U12" s="873" t="s">
        <v>98</v>
      </c>
      <c r="V12" s="878" t="s">
        <v>101</v>
      </c>
      <c r="W12" s="879"/>
      <c r="X12" s="874" t="s">
        <v>150</v>
      </c>
      <c r="Y12" s="873">
        <v>0</v>
      </c>
      <c r="Z12" s="873" t="s">
        <v>146</v>
      </c>
      <c r="AA12" s="874"/>
      <c r="AB12" s="21" t="str">
        <f>IFERROR(VLOOKUP(C12,'Piping Class'!$90:$102,7,0),"")</f>
        <v/>
      </c>
      <c r="AC12" s="874"/>
      <c r="AD12" s="878"/>
    </row>
    <row r="13" spans="1:30" x14ac:dyDescent="0.3">
      <c r="A13" s="319">
        <v>14</v>
      </c>
      <c r="B13" s="886" t="s">
        <v>135</v>
      </c>
      <c r="C13" s="873" t="s">
        <v>62</v>
      </c>
      <c r="D13" s="888" t="s">
        <v>136</v>
      </c>
      <c r="E13" s="889">
        <v>8</v>
      </c>
      <c r="F13" s="890">
        <v>24</v>
      </c>
      <c r="G13" s="91" t="str">
        <f>IFERROR(VLOOKUP(C13,'Piping Class'!$90:$102,2,0),"")</f>
        <v/>
      </c>
      <c r="H13" s="873" t="s">
        <v>137</v>
      </c>
      <c r="I13" s="873" t="s">
        <v>138</v>
      </c>
      <c r="J13" s="873"/>
      <c r="K13" s="873" t="s">
        <v>156</v>
      </c>
      <c r="L13" s="873" t="s">
        <v>140</v>
      </c>
      <c r="M13" s="874" t="s">
        <v>141</v>
      </c>
      <c r="N13" s="873" t="s">
        <v>96</v>
      </c>
      <c r="O13" s="873" t="s">
        <v>142</v>
      </c>
      <c r="P13" s="873" t="s">
        <v>143</v>
      </c>
      <c r="Q13" s="873" t="s">
        <v>144</v>
      </c>
      <c r="R13" s="873" t="s">
        <v>145</v>
      </c>
      <c r="S13" s="873" t="s">
        <v>97</v>
      </c>
      <c r="T13" s="873" t="s">
        <v>98</v>
      </c>
      <c r="U13" s="873" t="s">
        <v>98</v>
      </c>
      <c r="V13" s="878" t="s">
        <v>101</v>
      </c>
      <c r="W13" s="879"/>
      <c r="X13" s="874"/>
      <c r="Y13" s="873">
        <v>3</v>
      </c>
      <c r="Z13" s="873" t="s">
        <v>146</v>
      </c>
      <c r="AA13" s="874"/>
      <c r="AB13" s="21" t="str">
        <f>IFERROR(VLOOKUP(C13,'Piping Class'!$90:$102,7,0),"")</f>
        <v/>
      </c>
      <c r="AC13" s="874"/>
      <c r="AD13" s="878"/>
    </row>
    <row r="14" spans="1:30" x14ac:dyDescent="0.3">
      <c r="A14" s="319">
        <v>26</v>
      </c>
      <c r="B14" s="886" t="s">
        <v>147</v>
      </c>
      <c r="C14" s="873" t="s">
        <v>62</v>
      </c>
      <c r="D14" s="888"/>
      <c r="E14" s="889">
        <v>0.5</v>
      </c>
      <c r="F14" s="890">
        <v>24</v>
      </c>
      <c r="G14" s="91" t="str">
        <f>IFERROR(VLOOKUP(C14,'Piping Class'!$90:$102,2,0),"")</f>
        <v/>
      </c>
      <c r="H14" s="873" t="s">
        <v>148</v>
      </c>
      <c r="I14" s="873"/>
      <c r="J14" s="873"/>
      <c r="K14" s="873" t="s">
        <v>156</v>
      </c>
      <c r="L14" s="873"/>
      <c r="M14" s="874" t="s">
        <v>141</v>
      </c>
      <c r="N14" s="873" t="s">
        <v>96</v>
      </c>
      <c r="O14" s="873"/>
      <c r="P14" s="873"/>
      <c r="Q14" s="873"/>
      <c r="R14" s="873"/>
      <c r="S14" s="873" t="s">
        <v>97</v>
      </c>
      <c r="T14" s="873" t="s">
        <v>98</v>
      </c>
      <c r="U14" s="873" t="s">
        <v>98</v>
      </c>
      <c r="V14" s="878" t="s">
        <v>101</v>
      </c>
      <c r="W14" s="879"/>
      <c r="X14" s="874" t="s">
        <v>150</v>
      </c>
      <c r="Y14" s="873">
        <v>0</v>
      </c>
      <c r="Z14" s="873" t="s">
        <v>146</v>
      </c>
      <c r="AA14" s="874"/>
      <c r="AB14" s="21" t="str">
        <f>IFERROR(VLOOKUP(C14,'Piping Class'!$90:$102,7,0),"")</f>
        <v/>
      </c>
      <c r="AC14" s="874"/>
      <c r="AD14" s="878"/>
    </row>
    <row r="15" spans="1:30" x14ac:dyDescent="0.3">
      <c r="A15" s="319">
        <v>20</v>
      </c>
      <c r="B15" s="886" t="s">
        <v>151</v>
      </c>
      <c r="C15" s="873" t="s">
        <v>62</v>
      </c>
      <c r="D15" s="888"/>
      <c r="E15" s="889">
        <v>0.5</v>
      </c>
      <c r="F15" s="890">
        <v>24</v>
      </c>
      <c r="G15" s="91" t="str">
        <f>IFERROR(VLOOKUP(C15,'Piping Class'!$90:$102,2,0),"")</f>
        <v/>
      </c>
      <c r="H15" s="873" t="s">
        <v>152</v>
      </c>
      <c r="I15" s="873"/>
      <c r="J15" s="873"/>
      <c r="K15" s="873" t="s">
        <v>156</v>
      </c>
      <c r="L15" s="873" t="s">
        <v>140</v>
      </c>
      <c r="M15" s="874" t="s">
        <v>141</v>
      </c>
      <c r="N15" s="873" t="s">
        <v>96</v>
      </c>
      <c r="O15" s="873"/>
      <c r="P15" s="873" t="s">
        <v>153</v>
      </c>
      <c r="Q15" s="873" t="s">
        <v>144</v>
      </c>
      <c r="R15" s="873" t="s">
        <v>145</v>
      </c>
      <c r="S15" s="873" t="s">
        <v>97</v>
      </c>
      <c r="T15" s="873" t="s">
        <v>98</v>
      </c>
      <c r="U15" s="873" t="s">
        <v>98</v>
      </c>
      <c r="V15" s="878" t="s">
        <v>101</v>
      </c>
      <c r="W15" s="879"/>
      <c r="X15" s="874"/>
      <c r="Y15" s="873">
        <v>3</v>
      </c>
      <c r="Z15" s="873" t="s">
        <v>146</v>
      </c>
      <c r="AA15" s="874"/>
      <c r="AB15" s="21" t="str">
        <f>IFERROR(VLOOKUP(C15,'Piping Class'!$90:$102,7,0),"")</f>
        <v/>
      </c>
      <c r="AC15" s="874"/>
      <c r="AD15" s="878"/>
    </row>
    <row r="16" spans="1:30" x14ac:dyDescent="0.3">
      <c r="A16" s="318">
        <v>22</v>
      </c>
      <c r="B16" s="886" t="s">
        <v>154</v>
      </c>
      <c r="C16" s="873" t="s">
        <v>62</v>
      </c>
      <c r="D16" s="888"/>
      <c r="E16" s="889">
        <v>0.5</v>
      </c>
      <c r="F16" s="890">
        <v>24</v>
      </c>
      <c r="G16" s="91" t="str">
        <f>IFERROR(VLOOKUP(C16,'Piping Class'!$90:$102,2,0),"")</f>
        <v/>
      </c>
      <c r="H16" s="873" t="s">
        <v>152</v>
      </c>
      <c r="I16" s="873"/>
      <c r="J16" s="873"/>
      <c r="K16" s="873" t="s">
        <v>156</v>
      </c>
      <c r="L16" s="873" t="s">
        <v>140</v>
      </c>
      <c r="M16" s="874" t="s">
        <v>141</v>
      </c>
      <c r="N16" s="873" t="s">
        <v>96</v>
      </c>
      <c r="O16" s="873"/>
      <c r="P16" s="873" t="s">
        <v>153</v>
      </c>
      <c r="Q16" s="873" t="s">
        <v>144</v>
      </c>
      <c r="R16" s="873" t="s">
        <v>145</v>
      </c>
      <c r="S16" s="873" t="s">
        <v>97</v>
      </c>
      <c r="T16" s="873" t="s">
        <v>98</v>
      </c>
      <c r="U16" s="873" t="s">
        <v>98</v>
      </c>
      <c r="V16" s="878" t="s">
        <v>101</v>
      </c>
      <c r="W16" s="879"/>
      <c r="X16" s="874"/>
      <c r="Y16" s="873">
        <v>3</v>
      </c>
      <c r="Z16" s="873" t="s">
        <v>146</v>
      </c>
      <c r="AA16" s="874"/>
      <c r="AB16" s="21" t="str">
        <f>IFERROR(VLOOKUP(C16,'Piping Class'!$90:$102,7,0),"")</f>
        <v/>
      </c>
      <c r="AC16" s="874"/>
      <c r="AD16" s="878"/>
    </row>
    <row r="17" spans="1:30" x14ac:dyDescent="0.3">
      <c r="A17" s="319">
        <v>24</v>
      </c>
      <c r="B17" s="886"/>
      <c r="C17" s="873"/>
      <c r="D17" s="888"/>
      <c r="E17" s="889"/>
      <c r="F17" s="890"/>
      <c r="G17" s="91" t="str">
        <f>IFERROR(VLOOKUP(C17,'Piping Class'!$90:$102,2,0),"")</f>
        <v/>
      </c>
      <c r="H17" s="873"/>
      <c r="I17" s="873"/>
      <c r="J17" s="873"/>
      <c r="K17" s="873"/>
      <c r="L17" s="873"/>
      <c r="M17" s="874"/>
      <c r="N17" s="873"/>
      <c r="O17" s="873"/>
      <c r="P17" s="873"/>
      <c r="Q17" s="873"/>
      <c r="R17" s="873"/>
      <c r="S17" s="873"/>
      <c r="T17" s="873"/>
      <c r="U17" s="873"/>
      <c r="V17" s="878"/>
      <c r="W17" s="879"/>
      <c r="X17" s="874"/>
      <c r="Y17" s="873"/>
      <c r="Z17" s="873"/>
      <c r="AA17" s="874"/>
      <c r="AB17" s="21" t="str">
        <f>IFERROR(VLOOKUP(C17,'Piping Class'!$90:$102,7,0),"")</f>
        <v/>
      </c>
      <c r="AC17" s="874"/>
      <c r="AD17" s="878"/>
    </row>
    <row r="18" spans="1:30" x14ac:dyDescent="0.3">
      <c r="A18" s="319">
        <v>3</v>
      </c>
      <c r="B18" s="886" t="s">
        <v>155</v>
      </c>
      <c r="C18" s="873" t="s">
        <v>157</v>
      </c>
      <c r="D18" s="888"/>
      <c r="E18" s="889">
        <v>0.5</v>
      </c>
      <c r="F18" s="890">
        <v>3</v>
      </c>
      <c r="G18" s="97" t="str">
        <f>IFERROR(VLOOKUP(C18,'Piping Class'!$90:$102,2,0),"")</f>
        <v/>
      </c>
      <c r="H18" s="873" t="s">
        <v>137</v>
      </c>
      <c r="I18" s="873" t="s">
        <v>138</v>
      </c>
      <c r="J18" s="873"/>
      <c r="K18" s="873" t="s">
        <v>139</v>
      </c>
      <c r="L18" s="873" t="s">
        <v>140</v>
      </c>
      <c r="M18" s="874" t="s">
        <v>141</v>
      </c>
      <c r="N18" s="873" t="s">
        <v>96</v>
      </c>
      <c r="O18" s="873" t="s">
        <v>142</v>
      </c>
      <c r="P18" s="873" t="s">
        <v>143</v>
      </c>
      <c r="Q18" s="873" t="s">
        <v>144</v>
      </c>
      <c r="R18" s="873" t="s">
        <v>145</v>
      </c>
      <c r="S18" s="873" t="s">
        <v>97</v>
      </c>
      <c r="T18" s="873" t="s">
        <v>98</v>
      </c>
      <c r="U18" s="873" t="s">
        <v>98</v>
      </c>
      <c r="V18" s="878" t="s">
        <v>101</v>
      </c>
      <c r="W18" s="879"/>
      <c r="X18" s="874"/>
      <c r="Y18" s="873">
        <v>3</v>
      </c>
      <c r="Z18" s="873" t="s">
        <v>146</v>
      </c>
      <c r="AA18" s="874"/>
      <c r="AB18" s="21" t="str">
        <f>IFERROR(VLOOKUP(C18,'Piping Class'!$90:$102,7,0),"")</f>
        <v/>
      </c>
      <c r="AC18" s="874"/>
      <c r="AD18" s="878"/>
    </row>
    <row r="19" spans="1:30" x14ac:dyDescent="0.3">
      <c r="A19" s="319">
        <v>4</v>
      </c>
      <c r="B19" s="886"/>
      <c r="C19" s="873"/>
      <c r="D19" s="888"/>
      <c r="E19" s="889"/>
      <c r="F19" s="890"/>
      <c r="G19" s="97" t="str">
        <f>IFERROR(VLOOKUP(C19,'Piping Class'!$90:$102,2,0),"")</f>
        <v/>
      </c>
      <c r="H19" s="873"/>
      <c r="I19" s="873"/>
      <c r="J19" s="873"/>
      <c r="K19" s="873"/>
      <c r="L19" s="873"/>
      <c r="M19" s="874"/>
      <c r="N19" s="873"/>
      <c r="O19" s="873"/>
      <c r="P19" s="873"/>
      <c r="Q19" s="873"/>
      <c r="R19" s="873"/>
      <c r="S19" s="873"/>
      <c r="T19" s="873"/>
      <c r="U19" s="873"/>
      <c r="V19" s="878"/>
      <c r="W19" s="879"/>
      <c r="X19" s="874"/>
      <c r="Y19" s="873"/>
      <c r="Z19" s="873"/>
      <c r="AA19" s="874"/>
      <c r="AB19" s="21" t="str">
        <f>IFERROR(VLOOKUP(C19,'Piping Class'!$90:$102,7,0),"")</f>
        <v/>
      </c>
      <c r="AC19" s="874"/>
      <c r="AD19" s="878"/>
    </row>
    <row r="20" spans="1:30" x14ac:dyDescent="0.3">
      <c r="A20" s="319">
        <v>8</v>
      </c>
      <c r="B20" s="886" t="s">
        <v>135</v>
      </c>
      <c r="C20" s="873" t="s">
        <v>67</v>
      </c>
      <c r="D20" s="888" t="s">
        <v>136</v>
      </c>
      <c r="E20" s="889">
        <v>0.5</v>
      </c>
      <c r="F20" s="890">
        <v>1.5</v>
      </c>
      <c r="G20" s="97">
        <f>IFERROR(VLOOKUP(C20,'Piping Class'!$90:$102,2,0),"")</f>
        <v>300</v>
      </c>
      <c r="H20" s="873" t="s">
        <v>137</v>
      </c>
      <c r="I20" s="873" t="s">
        <v>138</v>
      </c>
      <c r="J20" s="873"/>
      <c r="K20" s="873" t="s">
        <v>156</v>
      </c>
      <c r="L20" s="873" t="s">
        <v>140</v>
      </c>
      <c r="M20" s="874" t="s">
        <v>141</v>
      </c>
      <c r="N20" s="873" t="s">
        <v>96</v>
      </c>
      <c r="O20" s="873" t="s">
        <v>142</v>
      </c>
      <c r="P20" s="873" t="s">
        <v>143</v>
      </c>
      <c r="Q20" s="873" t="s">
        <v>144</v>
      </c>
      <c r="R20" s="873" t="s">
        <v>145</v>
      </c>
      <c r="S20" s="873" t="s">
        <v>97</v>
      </c>
      <c r="T20" s="873" t="s">
        <v>98</v>
      </c>
      <c r="U20" s="873" t="s">
        <v>98</v>
      </c>
      <c r="V20" s="878" t="s">
        <v>101</v>
      </c>
      <c r="W20" s="879"/>
      <c r="X20" s="874"/>
      <c r="Y20" s="873">
        <v>3</v>
      </c>
      <c r="Z20" s="873" t="s">
        <v>146</v>
      </c>
      <c r="AA20" s="874"/>
      <c r="AB20" s="21" t="str">
        <f>IFERROR(VLOOKUP(C20,'Piping Class'!$90:$102,7,0),"")</f>
        <v>SS</v>
      </c>
      <c r="AC20" s="874"/>
      <c r="AD20" s="878"/>
    </row>
    <row r="21" spans="1:30" x14ac:dyDescent="0.3">
      <c r="A21" s="319">
        <v>9</v>
      </c>
      <c r="B21" s="886" t="s">
        <v>135</v>
      </c>
      <c r="C21" s="873" t="s">
        <v>67</v>
      </c>
      <c r="D21" s="888" t="s">
        <v>136</v>
      </c>
      <c r="E21" s="889">
        <v>2</v>
      </c>
      <c r="F21" s="890">
        <v>6</v>
      </c>
      <c r="G21" s="97">
        <f>IFERROR(VLOOKUP(C21,'Piping Class'!$90:$102,2,0),"")</f>
        <v>300</v>
      </c>
      <c r="H21" s="873" t="s">
        <v>137</v>
      </c>
      <c r="I21" s="873" t="s">
        <v>138</v>
      </c>
      <c r="J21" s="873"/>
      <c r="K21" s="873" t="s">
        <v>156</v>
      </c>
      <c r="L21" s="873" t="s">
        <v>140</v>
      </c>
      <c r="M21" s="874" t="s">
        <v>141</v>
      </c>
      <c r="N21" s="873" t="s">
        <v>96</v>
      </c>
      <c r="O21" s="873" t="s">
        <v>158</v>
      </c>
      <c r="P21" s="873" t="s">
        <v>143</v>
      </c>
      <c r="Q21" s="873" t="s">
        <v>144</v>
      </c>
      <c r="R21" s="873" t="s">
        <v>145</v>
      </c>
      <c r="S21" s="873" t="s">
        <v>97</v>
      </c>
      <c r="T21" s="873" t="s">
        <v>98</v>
      </c>
      <c r="U21" s="873" t="s">
        <v>98</v>
      </c>
      <c r="V21" s="878" t="s">
        <v>101</v>
      </c>
      <c r="W21" s="879"/>
      <c r="X21" s="874"/>
      <c r="Y21" s="873">
        <v>3</v>
      </c>
      <c r="Z21" s="873" t="s">
        <v>146</v>
      </c>
      <c r="AA21" s="874"/>
      <c r="AB21" s="21" t="str">
        <f>IFERROR(VLOOKUP(C21,'Piping Class'!$90:$102,7,0),"")</f>
        <v>SS</v>
      </c>
      <c r="AC21" s="874"/>
      <c r="AD21" s="878"/>
    </row>
    <row r="22" spans="1:30" x14ac:dyDescent="0.3">
      <c r="A22" s="319">
        <v>12</v>
      </c>
      <c r="B22" s="886" t="s">
        <v>135</v>
      </c>
      <c r="C22" s="873" t="s">
        <v>67</v>
      </c>
      <c r="D22" s="888" t="s">
        <v>136</v>
      </c>
      <c r="E22" s="889">
        <v>8</v>
      </c>
      <c r="F22" s="890">
        <v>24</v>
      </c>
      <c r="G22" s="91">
        <f>IFERROR(VLOOKUP(C22,'Piping Class'!$90:$102,2,0),"")</f>
        <v>300</v>
      </c>
      <c r="H22" s="873" t="s">
        <v>137</v>
      </c>
      <c r="I22" s="873" t="s">
        <v>138</v>
      </c>
      <c r="J22" s="873"/>
      <c r="K22" s="873" t="s">
        <v>156</v>
      </c>
      <c r="L22" s="873" t="s">
        <v>140</v>
      </c>
      <c r="M22" s="874" t="s">
        <v>141</v>
      </c>
      <c r="N22" s="873" t="s">
        <v>96</v>
      </c>
      <c r="O22" s="873" t="s">
        <v>158</v>
      </c>
      <c r="P22" s="873" t="s">
        <v>159</v>
      </c>
      <c r="Q22" s="873" t="s">
        <v>144</v>
      </c>
      <c r="R22" s="873" t="s">
        <v>145</v>
      </c>
      <c r="S22" s="873" t="s">
        <v>97</v>
      </c>
      <c r="T22" s="873" t="s">
        <v>98</v>
      </c>
      <c r="U22" s="873" t="s">
        <v>98</v>
      </c>
      <c r="V22" s="878" t="s">
        <v>101</v>
      </c>
      <c r="W22" s="879"/>
      <c r="X22" s="874"/>
      <c r="Y22" s="873">
        <v>3</v>
      </c>
      <c r="Z22" s="873" t="s">
        <v>146</v>
      </c>
      <c r="AA22" s="874"/>
      <c r="AB22" s="21" t="str">
        <f>IFERROR(VLOOKUP(C22,'Piping Class'!$90:$102,7,0),"")</f>
        <v>SS</v>
      </c>
      <c r="AC22" s="874"/>
      <c r="AD22" s="878"/>
    </row>
    <row r="23" spans="1:30" x14ac:dyDescent="0.3">
      <c r="A23" s="318">
        <v>13</v>
      </c>
      <c r="B23" s="886" t="s">
        <v>147</v>
      </c>
      <c r="C23" s="873" t="s">
        <v>67</v>
      </c>
      <c r="D23" s="888"/>
      <c r="E23" s="889">
        <v>0.5</v>
      </c>
      <c r="F23" s="890">
        <v>24</v>
      </c>
      <c r="G23" s="91">
        <f>IFERROR(VLOOKUP(C23,'Piping Class'!$90:$102,2,0),"")</f>
        <v>300</v>
      </c>
      <c r="H23" s="873" t="s">
        <v>148</v>
      </c>
      <c r="I23" s="873"/>
      <c r="J23" s="873"/>
      <c r="K23" s="873" t="s">
        <v>156</v>
      </c>
      <c r="L23" s="873"/>
      <c r="M23" s="874" t="s">
        <v>141</v>
      </c>
      <c r="N23" s="873" t="s">
        <v>96</v>
      </c>
      <c r="O23" s="873"/>
      <c r="P23" s="873"/>
      <c r="Q23" s="873"/>
      <c r="R23" s="873"/>
      <c r="S23" s="873" t="s">
        <v>97</v>
      </c>
      <c r="T23" s="873" t="s">
        <v>98</v>
      </c>
      <c r="U23" s="873" t="s">
        <v>98</v>
      </c>
      <c r="V23" s="878" t="s">
        <v>101</v>
      </c>
      <c r="W23" s="879"/>
      <c r="X23" s="874" t="s">
        <v>150</v>
      </c>
      <c r="Y23" s="873">
        <v>3</v>
      </c>
      <c r="Z23" s="873" t="s">
        <v>146</v>
      </c>
      <c r="AA23" s="874"/>
      <c r="AB23" s="21" t="str">
        <f>IFERROR(VLOOKUP(C23,'Piping Class'!$90:$102,7,0),"")</f>
        <v>SS</v>
      </c>
      <c r="AC23" s="874"/>
      <c r="AD23" s="878"/>
    </row>
    <row r="24" spans="1:30" x14ac:dyDescent="0.3">
      <c r="A24" s="319">
        <v>27</v>
      </c>
      <c r="B24" s="886" t="s">
        <v>151</v>
      </c>
      <c r="C24" s="873" t="s">
        <v>160</v>
      </c>
      <c r="D24" s="888"/>
      <c r="E24" s="889">
        <v>0.5</v>
      </c>
      <c r="F24" s="890">
        <v>24</v>
      </c>
      <c r="G24" s="91" t="str">
        <f>IFERROR(VLOOKUP(C24,'Piping Class'!$90:$102,2,0),"")</f>
        <v/>
      </c>
      <c r="H24" s="873" t="s">
        <v>152</v>
      </c>
      <c r="I24" s="873"/>
      <c r="J24" s="873"/>
      <c r="K24" s="873" t="s">
        <v>156</v>
      </c>
      <c r="L24" s="873" t="s">
        <v>140</v>
      </c>
      <c r="M24" s="874" t="s">
        <v>141</v>
      </c>
      <c r="N24" s="873" t="s">
        <v>96</v>
      </c>
      <c r="O24" s="873"/>
      <c r="P24" s="873" t="s">
        <v>153</v>
      </c>
      <c r="Q24" s="873" t="s">
        <v>144</v>
      </c>
      <c r="R24" s="873" t="s">
        <v>145</v>
      </c>
      <c r="S24" s="873" t="s">
        <v>97</v>
      </c>
      <c r="T24" s="873" t="s">
        <v>98</v>
      </c>
      <c r="U24" s="873" t="s">
        <v>98</v>
      </c>
      <c r="V24" s="878" t="s">
        <v>101</v>
      </c>
      <c r="W24" s="879"/>
      <c r="X24" s="874"/>
      <c r="Y24" s="873">
        <v>3</v>
      </c>
      <c r="Z24" s="873" t="s">
        <v>146</v>
      </c>
      <c r="AA24" s="874"/>
      <c r="AB24" s="21" t="str">
        <f>IFERROR(VLOOKUP(C24,'Piping Class'!$90:$102,7,0),"")</f>
        <v/>
      </c>
      <c r="AC24" s="874"/>
      <c r="AD24" s="878"/>
    </row>
    <row r="25" spans="1:30" x14ac:dyDescent="0.3">
      <c r="A25" s="319">
        <v>17</v>
      </c>
      <c r="B25" s="886" t="s">
        <v>154</v>
      </c>
      <c r="C25" s="873" t="s">
        <v>160</v>
      </c>
      <c r="D25" s="888"/>
      <c r="E25" s="889">
        <v>0.5</v>
      </c>
      <c r="F25" s="890">
        <v>24</v>
      </c>
      <c r="G25" s="91" t="str">
        <f>IFERROR(VLOOKUP(C25,'Piping Class'!$90:$102,2,0),"")</f>
        <v/>
      </c>
      <c r="H25" s="873" t="s">
        <v>152</v>
      </c>
      <c r="I25" s="873"/>
      <c r="J25" s="873"/>
      <c r="K25" s="873" t="s">
        <v>156</v>
      </c>
      <c r="L25" s="873" t="s">
        <v>140</v>
      </c>
      <c r="M25" s="874" t="s">
        <v>141</v>
      </c>
      <c r="N25" s="873" t="s">
        <v>96</v>
      </c>
      <c r="O25" s="873"/>
      <c r="P25" s="873" t="s">
        <v>153</v>
      </c>
      <c r="Q25" s="873" t="s">
        <v>144</v>
      </c>
      <c r="R25" s="873" t="s">
        <v>145</v>
      </c>
      <c r="S25" s="873" t="s">
        <v>97</v>
      </c>
      <c r="T25" s="873" t="s">
        <v>98</v>
      </c>
      <c r="U25" s="873" t="s">
        <v>98</v>
      </c>
      <c r="V25" s="878" t="s">
        <v>101</v>
      </c>
      <c r="W25" s="879"/>
      <c r="X25" s="874"/>
      <c r="Y25" s="873">
        <v>3</v>
      </c>
      <c r="Z25" s="873" t="s">
        <v>146</v>
      </c>
      <c r="AA25" s="874"/>
      <c r="AB25" s="21" t="str">
        <f>IFERROR(VLOOKUP(C25,'Piping Class'!$90:$102,7,0),"")</f>
        <v/>
      </c>
      <c r="AC25" s="874"/>
      <c r="AD25" s="878"/>
    </row>
    <row r="26" spans="1:30" x14ac:dyDescent="0.3">
      <c r="A26" s="319">
        <v>18</v>
      </c>
      <c r="B26" s="886"/>
      <c r="C26" s="873"/>
      <c r="D26" s="888"/>
      <c r="E26" s="889"/>
      <c r="F26" s="890"/>
      <c r="G26" s="97" t="str">
        <f>IFERROR(VLOOKUP(C26,'Piping Class'!$90:$102,2,0),"")</f>
        <v/>
      </c>
      <c r="H26" s="873"/>
      <c r="I26" s="873"/>
      <c r="J26" s="873"/>
      <c r="K26" s="873"/>
      <c r="L26" s="873"/>
      <c r="M26" s="874"/>
      <c r="N26" s="873"/>
      <c r="O26" s="873"/>
      <c r="P26" s="873"/>
      <c r="Q26" s="873"/>
      <c r="R26" s="873"/>
      <c r="S26" s="873"/>
      <c r="T26" s="873"/>
      <c r="U26" s="873"/>
      <c r="V26" s="878"/>
      <c r="W26" s="879"/>
      <c r="X26" s="874"/>
      <c r="Y26" s="873"/>
      <c r="Z26" s="873"/>
      <c r="AA26" s="874"/>
      <c r="AB26" s="19" t="str">
        <f>IFERROR(VLOOKUP(C26,'Piping Class'!$90:$102,7,0),"")</f>
        <v/>
      </c>
      <c r="AC26" s="873"/>
      <c r="AD26" s="880"/>
    </row>
    <row r="27" spans="1:30" x14ac:dyDescent="0.3">
      <c r="A27" s="319">
        <v>21</v>
      </c>
      <c r="B27" s="886" t="s">
        <v>155</v>
      </c>
      <c r="C27" s="873" t="s">
        <v>160</v>
      </c>
      <c r="D27" s="888"/>
      <c r="E27" s="889">
        <v>0.5</v>
      </c>
      <c r="F27" s="890">
        <v>3</v>
      </c>
      <c r="G27" s="91" t="str">
        <f>IFERROR(VLOOKUP(C27,'Piping Class'!$90:$102,2,0),"")</f>
        <v/>
      </c>
      <c r="H27" s="873" t="s">
        <v>137</v>
      </c>
      <c r="I27" s="873" t="s">
        <v>138</v>
      </c>
      <c r="J27" s="873"/>
      <c r="K27" s="873" t="s">
        <v>156</v>
      </c>
      <c r="L27" s="873" t="s">
        <v>140</v>
      </c>
      <c r="M27" s="874" t="s">
        <v>141</v>
      </c>
      <c r="N27" s="873" t="s">
        <v>96</v>
      </c>
      <c r="O27" s="873" t="s">
        <v>142</v>
      </c>
      <c r="P27" s="873" t="s">
        <v>143</v>
      </c>
      <c r="Q27" s="873" t="s">
        <v>144</v>
      </c>
      <c r="R27" s="873" t="s">
        <v>145</v>
      </c>
      <c r="S27" s="873" t="s">
        <v>97</v>
      </c>
      <c r="T27" s="873" t="s">
        <v>98</v>
      </c>
      <c r="U27" s="873" t="s">
        <v>98</v>
      </c>
      <c r="V27" s="878" t="s">
        <v>101</v>
      </c>
      <c r="W27" s="879"/>
      <c r="X27" s="874"/>
      <c r="Y27" s="873">
        <v>3</v>
      </c>
      <c r="Z27" s="873" t="s">
        <v>146</v>
      </c>
      <c r="AA27" s="874"/>
      <c r="AB27" s="21" t="str">
        <f>IFERROR(VLOOKUP(C27,'Piping Class'!$90:$102,7,0),"")</f>
        <v/>
      </c>
      <c r="AC27" s="874"/>
      <c r="AD27" s="878"/>
    </row>
    <row r="28" spans="1:30" x14ac:dyDescent="0.3">
      <c r="A28" s="319">
        <v>23</v>
      </c>
      <c r="B28" s="886"/>
      <c r="C28" s="873"/>
      <c r="D28" s="888"/>
      <c r="E28" s="889"/>
      <c r="F28" s="890"/>
      <c r="G28" s="91" t="str">
        <f>IFERROR(VLOOKUP(C28,'Piping Class'!$90:$102,2,0),"")</f>
        <v/>
      </c>
      <c r="H28" s="873"/>
      <c r="I28" s="873"/>
      <c r="J28" s="873"/>
      <c r="K28" s="873"/>
      <c r="L28" s="873"/>
      <c r="M28" s="874"/>
      <c r="N28" s="873"/>
      <c r="O28" s="873"/>
      <c r="P28" s="873"/>
      <c r="Q28" s="873"/>
      <c r="R28" s="873"/>
      <c r="S28" s="873"/>
      <c r="T28" s="873"/>
      <c r="U28" s="873"/>
      <c r="V28" s="878"/>
      <c r="W28" s="879"/>
      <c r="X28" s="874"/>
      <c r="Y28" s="873"/>
      <c r="Z28" s="873"/>
      <c r="AA28" s="874"/>
      <c r="AB28" s="21" t="str">
        <f>IFERROR(VLOOKUP(C28,'Piping Class'!$90:$102,7,0),"")</f>
        <v/>
      </c>
      <c r="AC28" s="874"/>
      <c r="AD28" s="878"/>
    </row>
    <row r="29" spans="1:30" x14ac:dyDescent="0.3">
      <c r="A29" s="318">
        <v>25</v>
      </c>
      <c r="B29" s="886" t="s">
        <v>135</v>
      </c>
      <c r="C29" s="873" t="s">
        <v>161</v>
      </c>
      <c r="D29" s="888" t="s">
        <v>136</v>
      </c>
      <c r="E29" s="889">
        <v>0.5</v>
      </c>
      <c r="F29" s="890">
        <v>1.5</v>
      </c>
      <c r="G29" s="97" t="str">
        <f>IFERROR(VLOOKUP(C29,'Piping Class'!$90:$102,2,0),"")</f>
        <v/>
      </c>
      <c r="H29" s="873" t="s">
        <v>137</v>
      </c>
      <c r="I29" s="873" t="s">
        <v>138</v>
      </c>
      <c r="J29" s="873"/>
      <c r="K29" s="873" t="s">
        <v>156</v>
      </c>
      <c r="L29" s="873" t="s">
        <v>140</v>
      </c>
      <c r="M29" s="874" t="s">
        <v>141</v>
      </c>
      <c r="N29" s="873" t="s">
        <v>96</v>
      </c>
      <c r="O29" s="873" t="s">
        <v>142</v>
      </c>
      <c r="P29" s="873" t="s">
        <v>143</v>
      </c>
      <c r="Q29" s="873" t="s">
        <v>144</v>
      </c>
      <c r="R29" s="873" t="s">
        <v>145</v>
      </c>
      <c r="S29" s="873" t="s">
        <v>97</v>
      </c>
      <c r="T29" s="873" t="s">
        <v>98</v>
      </c>
      <c r="U29" s="873" t="s">
        <v>98</v>
      </c>
      <c r="V29" s="878" t="s">
        <v>101</v>
      </c>
      <c r="W29" s="879"/>
      <c r="X29" s="874"/>
      <c r="Y29" s="873">
        <v>3</v>
      </c>
      <c r="Z29" s="873" t="s">
        <v>146</v>
      </c>
      <c r="AA29" s="874"/>
      <c r="AB29" s="21" t="str">
        <f>IFERROR(VLOOKUP(C29,'Piping Class'!$90:$102,7,0),"")</f>
        <v/>
      </c>
      <c r="AC29" s="874"/>
      <c r="AD29" s="878"/>
    </row>
    <row r="30" spans="1:30" x14ac:dyDescent="0.3">
      <c r="A30" s="319">
        <v>29</v>
      </c>
      <c r="B30" s="886" t="s">
        <v>135</v>
      </c>
      <c r="C30" s="873" t="s">
        <v>161</v>
      </c>
      <c r="D30" s="888" t="s">
        <v>136</v>
      </c>
      <c r="E30" s="889">
        <v>2</v>
      </c>
      <c r="F30" s="890">
        <v>6</v>
      </c>
      <c r="G30" s="91" t="str">
        <f>IFERROR(VLOOKUP(C30,'Piping Class'!$90:$102,2,0),"")</f>
        <v/>
      </c>
      <c r="H30" s="873" t="s">
        <v>137</v>
      </c>
      <c r="I30" s="873" t="s">
        <v>138</v>
      </c>
      <c r="J30" s="873"/>
      <c r="K30" s="873" t="s">
        <v>156</v>
      </c>
      <c r="L30" s="873" t="s">
        <v>140</v>
      </c>
      <c r="M30" s="874" t="s">
        <v>141</v>
      </c>
      <c r="N30" s="873" t="s">
        <v>96</v>
      </c>
      <c r="O30" s="873" t="s">
        <v>158</v>
      </c>
      <c r="P30" s="873" t="s">
        <v>143</v>
      </c>
      <c r="Q30" s="873" t="s">
        <v>144</v>
      </c>
      <c r="R30" s="873" t="s">
        <v>145</v>
      </c>
      <c r="S30" s="873" t="s">
        <v>97</v>
      </c>
      <c r="T30" s="873" t="s">
        <v>98</v>
      </c>
      <c r="U30" s="873" t="s">
        <v>98</v>
      </c>
      <c r="V30" s="878" t="s">
        <v>101</v>
      </c>
      <c r="W30" s="879"/>
      <c r="X30" s="874"/>
      <c r="Y30" s="873">
        <v>3</v>
      </c>
      <c r="Z30" s="873" t="s">
        <v>146</v>
      </c>
      <c r="AA30" s="874"/>
      <c r="AB30" s="21" t="str">
        <f>IFERROR(VLOOKUP(C30,'Piping Class'!$90:$102,7,0),"")</f>
        <v/>
      </c>
      <c r="AC30" s="874"/>
      <c r="AD30" s="878"/>
    </row>
    <row r="31" spans="1:30" x14ac:dyDescent="0.3">
      <c r="A31" s="319">
        <v>30</v>
      </c>
      <c r="B31" s="886" t="s">
        <v>135</v>
      </c>
      <c r="C31" s="873" t="s">
        <v>161</v>
      </c>
      <c r="D31" s="888" t="s">
        <v>136</v>
      </c>
      <c r="E31" s="889">
        <v>8</v>
      </c>
      <c r="F31" s="890">
        <v>24</v>
      </c>
      <c r="G31" s="91" t="str">
        <f>IFERROR(VLOOKUP(C31,'Piping Class'!$90:$102,2,0),"")</f>
        <v/>
      </c>
      <c r="H31" s="873" t="s">
        <v>137</v>
      </c>
      <c r="I31" s="873" t="s">
        <v>138</v>
      </c>
      <c r="J31" s="873"/>
      <c r="K31" s="873" t="s">
        <v>156</v>
      </c>
      <c r="L31" s="873" t="s">
        <v>140</v>
      </c>
      <c r="M31" s="874" t="s">
        <v>141</v>
      </c>
      <c r="N31" s="873" t="s">
        <v>96</v>
      </c>
      <c r="O31" s="873" t="s">
        <v>158</v>
      </c>
      <c r="P31" s="873" t="s">
        <v>159</v>
      </c>
      <c r="Q31" s="873" t="s">
        <v>144</v>
      </c>
      <c r="R31" s="873" t="s">
        <v>145</v>
      </c>
      <c r="S31" s="873" t="s">
        <v>97</v>
      </c>
      <c r="T31" s="873" t="s">
        <v>98</v>
      </c>
      <c r="U31" s="873" t="s">
        <v>98</v>
      </c>
      <c r="V31" s="878" t="s">
        <v>101</v>
      </c>
      <c r="W31" s="879"/>
      <c r="X31" s="874"/>
      <c r="Y31" s="873">
        <v>3</v>
      </c>
      <c r="Z31" s="873" t="s">
        <v>146</v>
      </c>
      <c r="AA31" s="874"/>
      <c r="AB31" s="21" t="str">
        <f>IFERROR(VLOOKUP(C31,'Piping Class'!$90:$102,7,0),"")</f>
        <v/>
      </c>
      <c r="AC31" s="874"/>
      <c r="AD31" s="878"/>
    </row>
    <row r="32" spans="1:30" x14ac:dyDescent="0.3">
      <c r="A32" s="318">
        <v>31</v>
      </c>
      <c r="B32" s="886" t="s">
        <v>147</v>
      </c>
      <c r="C32" s="873" t="s">
        <v>161</v>
      </c>
      <c r="D32" s="888"/>
      <c r="E32" s="889">
        <v>0.5</v>
      </c>
      <c r="F32" s="890">
        <v>24</v>
      </c>
      <c r="G32" s="91" t="str">
        <f>IFERROR(VLOOKUP(C32,'Piping Class'!$90:$102,2,0),"")</f>
        <v/>
      </c>
      <c r="H32" s="873" t="s">
        <v>148</v>
      </c>
      <c r="I32" s="873"/>
      <c r="J32" s="873"/>
      <c r="K32" s="873" t="s">
        <v>156</v>
      </c>
      <c r="L32" s="873"/>
      <c r="M32" s="874" t="s">
        <v>141</v>
      </c>
      <c r="N32" s="873" t="s">
        <v>96</v>
      </c>
      <c r="O32" s="873"/>
      <c r="P32" s="873"/>
      <c r="Q32" s="873"/>
      <c r="R32" s="873"/>
      <c r="S32" s="873" t="s">
        <v>97</v>
      </c>
      <c r="T32" s="873" t="s">
        <v>98</v>
      </c>
      <c r="U32" s="873" t="s">
        <v>98</v>
      </c>
      <c r="V32" s="878" t="s">
        <v>101</v>
      </c>
      <c r="W32" s="879"/>
      <c r="X32" s="874" t="s">
        <v>150</v>
      </c>
      <c r="Y32" s="873">
        <v>3</v>
      </c>
      <c r="Z32" s="873" t="s">
        <v>146</v>
      </c>
      <c r="AA32" s="874"/>
      <c r="AB32" s="21" t="str">
        <f>IFERROR(VLOOKUP(C32,'Piping Class'!$90:$102,7,0),"")</f>
        <v/>
      </c>
      <c r="AC32" s="874"/>
      <c r="AD32" s="878"/>
    </row>
    <row r="33" spans="1:30" x14ac:dyDescent="0.3">
      <c r="A33" s="319">
        <v>32</v>
      </c>
      <c r="B33" s="886" t="s">
        <v>151</v>
      </c>
      <c r="C33" s="873" t="s">
        <v>161</v>
      </c>
      <c r="D33" s="888"/>
      <c r="E33" s="889">
        <v>0.5</v>
      </c>
      <c r="F33" s="890">
        <v>24</v>
      </c>
      <c r="G33" s="91" t="str">
        <f>IFERROR(VLOOKUP(C33,'Piping Class'!$90:$102,2,0),"")</f>
        <v/>
      </c>
      <c r="H33" s="873" t="s">
        <v>152</v>
      </c>
      <c r="I33" s="873"/>
      <c r="J33" s="873"/>
      <c r="K33" s="873" t="s">
        <v>156</v>
      </c>
      <c r="L33" s="873" t="s">
        <v>140</v>
      </c>
      <c r="M33" s="874" t="s">
        <v>141</v>
      </c>
      <c r="N33" s="873" t="s">
        <v>96</v>
      </c>
      <c r="O33" s="873"/>
      <c r="P33" s="873" t="s">
        <v>153</v>
      </c>
      <c r="Q33" s="873" t="s">
        <v>144</v>
      </c>
      <c r="R33" s="873" t="s">
        <v>145</v>
      </c>
      <c r="S33" s="873" t="s">
        <v>97</v>
      </c>
      <c r="T33" s="873" t="s">
        <v>98</v>
      </c>
      <c r="U33" s="873" t="s">
        <v>98</v>
      </c>
      <c r="V33" s="878" t="s">
        <v>101</v>
      </c>
      <c r="W33" s="879"/>
      <c r="X33" s="874"/>
      <c r="Y33" s="873">
        <v>3</v>
      </c>
      <c r="Z33" s="873" t="s">
        <v>146</v>
      </c>
      <c r="AA33" s="874"/>
      <c r="AB33" s="21" t="str">
        <f>IFERROR(VLOOKUP(C33,'Piping Class'!$90:$102,7,0),"")</f>
        <v/>
      </c>
      <c r="AC33" s="874"/>
      <c r="AD33" s="878"/>
    </row>
    <row r="34" spans="1:30" x14ac:dyDescent="0.3">
      <c r="A34" s="319">
        <v>33</v>
      </c>
      <c r="B34" s="886" t="s">
        <v>154</v>
      </c>
      <c r="C34" s="873" t="s">
        <v>157</v>
      </c>
      <c r="D34" s="888"/>
      <c r="E34" s="889">
        <v>0.5</v>
      </c>
      <c r="F34" s="890">
        <v>24</v>
      </c>
      <c r="G34" s="97" t="str">
        <f>IFERROR(VLOOKUP(C34,'Piping Class'!$90:$102,2,0),"")</f>
        <v/>
      </c>
      <c r="H34" s="873" t="s">
        <v>152</v>
      </c>
      <c r="I34" s="873"/>
      <c r="J34" s="873"/>
      <c r="K34" s="873" t="s">
        <v>149</v>
      </c>
      <c r="L34" s="873" t="s">
        <v>140</v>
      </c>
      <c r="M34" s="874" t="s">
        <v>141</v>
      </c>
      <c r="N34" s="873" t="s">
        <v>96</v>
      </c>
      <c r="O34" s="873"/>
      <c r="P34" s="873" t="s">
        <v>153</v>
      </c>
      <c r="Q34" s="873" t="s">
        <v>144</v>
      </c>
      <c r="R34" s="873" t="s">
        <v>145</v>
      </c>
      <c r="S34" s="873" t="s">
        <v>97</v>
      </c>
      <c r="T34" s="873" t="s">
        <v>98</v>
      </c>
      <c r="U34" s="873" t="s">
        <v>98</v>
      </c>
      <c r="V34" s="878" t="s">
        <v>101</v>
      </c>
      <c r="W34" s="879"/>
      <c r="X34" s="874"/>
      <c r="Y34" s="873">
        <v>3</v>
      </c>
      <c r="Z34" s="873" t="s">
        <v>146</v>
      </c>
      <c r="AA34" s="874"/>
      <c r="AB34" s="21" t="str">
        <f>IFERROR(VLOOKUP(C34,'Piping Class'!$90:$102,7,0),"")</f>
        <v/>
      </c>
      <c r="AC34" s="874"/>
      <c r="AD34" s="878"/>
    </row>
    <row r="35" spans="1:30" x14ac:dyDescent="0.3">
      <c r="A35" s="318">
        <v>34</v>
      </c>
      <c r="B35" s="886"/>
      <c r="C35" s="873"/>
      <c r="D35" s="888"/>
      <c r="E35" s="889"/>
      <c r="F35" s="890"/>
      <c r="G35" s="91" t="str">
        <f>IFERROR(VLOOKUP(C35,'Piping Class'!$90:$102,2,0),"")</f>
        <v/>
      </c>
      <c r="H35" s="873"/>
      <c r="I35" s="873"/>
      <c r="J35" s="873"/>
      <c r="K35" s="873"/>
      <c r="L35" s="873"/>
      <c r="M35" s="874"/>
      <c r="N35" s="873"/>
      <c r="O35" s="873"/>
      <c r="P35" s="873"/>
      <c r="Q35" s="873"/>
      <c r="R35" s="873"/>
      <c r="S35" s="873"/>
      <c r="T35" s="873"/>
      <c r="U35" s="873"/>
      <c r="V35" s="878"/>
      <c r="W35" s="879"/>
      <c r="X35" s="874"/>
      <c r="Y35" s="873"/>
      <c r="Z35" s="873"/>
      <c r="AA35" s="874"/>
      <c r="AB35" s="21" t="str">
        <f>IFERROR(VLOOKUP(C35,'Piping Class'!$90:$102,7,0),"")</f>
        <v/>
      </c>
      <c r="AC35" s="874"/>
      <c r="AD35" s="878"/>
    </row>
    <row r="36" spans="1:30" x14ac:dyDescent="0.3">
      <c r="A36" s="319">
        <v>35</v>
      </c>
      <c r="B36" s="886" t="s">
        <v>155</v>
      </c>
      <c r="C36" s="873" t="s">
        <v>61</v>
      </c>
      <c r="D36" s="888"/>
      <c r="E36" s="889">
        <v>0.5</v>
      </c>
      <c r="F36" s="890">
        <v>3</v>
      </c>
      <c r="G36" s="91">
        <f>IFERROR(VLOOKUP(C36,'Piping Class'!$90:$102,2,0),"")</f>
        <v>150</v>
      </c>
      <c r="H36" s="873" t="s">
        <v>137</v>
      </c>
      <c r="I36" s="873" t="s">
        <v>138</v>
      </c>
      <c r="J36" s="873"/>
      <c r="K36" s="873" t="s">
        <v>139</v>
      </c>
      <c r="L36" s="873" t="s">
        <v>140</v>
      </c>
      <c r="M36" s="874" t="s">
        <v>141</v>
      </c>
      <c r="N36" s="873" t="s">
        <v>96</v>
      </c>
      <c r="O36" s="873" t="s">
        <v>142</v>
      </c>
      <c r="P36" s="873" t="s">
        <v>143</v>
      </c>
      <c r="Q36" s="873" t="s">
        <v>144</v>
      </c>
      <c r="R36" s="873" t="s">
        <v>145</v>
      </c>
      <c r="S36" s="873" t="s">
        <v>97</v>
      </c>
      <c r="T36" s="873" t="s">
        <v>98</v>
      </c>
      <c r="U36" s="873" t="s">
        <v>98</v>
      </c>
      <c r="V36" s="878" t="s">
        <v>101</v>
      </c>
      <c r="W36" s="879"/>
      <c r="X36" s="874"/>
      <c r="Y36" s="873">
        <v>3</v>
      </c>
      <c r="Z36" s="873" t="s">
        <v>146</v>
      </c>
      <c r="AA36" s="874"/>
      <c r="AB36" s="21" t="str">
        <f>IFERROR(VLOOKUP(C36,'Piping Class'!$90:$102,7,0),"")</f>
        <v>CS</v>
      </c>
      <c r="AC36" s="874"/>
      <c r="AD36" s="878"/>
    </row>
    <row r="37" spans="1:30" x14ac:dyDescent="0.3">
      <c r="A37" s="319">
        <v>36</v>
      </c>
      <c r="B37" s="886" t="s">
        <v>162</v>
      </c>
      <c r="C37" s="873" t="s">
        <v>161</v>
      </c>
      <c r="D37" s="888"/>
      <c r="E37" s="889">
        <v>0.5</v>
      </c>
      <c r="F37" s="890">
        <v>3</v>
      </c>
      <c r="G37" s="91" t="str">
        <f>IFERROR(VLOOKUP(C37,'Piping Class'!$90:$102,2,0),"")</f>
        <v/>
      </c>
      <c r="H37" s="873" t="s">
        <v>137</v>
      </c>
      <c r="I37" s="873" t="s">
        <v>138</v>
      </c>
      <c r="J37" s="873"/>
      <c r="K37" s="873" t="s">
        <v>156</v>
      </c>
      <c r="L37" s="873" t="s">
        <v>140</v>
      </c>
      <c r="M37" s="874" t="s">
        <v>141</v>
      </c>
      <c r="N37" s="873" t="s">
        <v>96</v>
      </c>
      <c r="O37" s="873" t="s">
        <v>142</v>
      </c>
      <c r="P37" s="873" t="s">
        <v>143</v>
      </c>
      <c r="Q37" s="873" t="s">
        <v>144</v>
      </c>
      <c r="R37" s="873" t="s">
        <v>145</v>
      </c>
      <c r="S37" s="873" t="s">
        <v>97</v>
      </c>
      <c r="T37" s="873" t="s">
        <v>98</v>
      </c>
      <c r="U37" s="873" t="s">
        <v>98</v>
      </c>
      <c r="V37" s="878" t="s">
        <v>101</v>
      </c>
      <c r="W37" s="879"/>
      <c r="X37" s="874"/>
      <c r="Y37" s="873">
        <v>3</v>
      </c>
      <c r="Z37" s="873" t="s">
        <v>146</v>
      </c>
      <c r="AA37" s="874"/>
      <c r="AB37" s="21" t="str">
        <f>IFERROR(VLOOKUP(C37,'Piping Class'!$90:$102,7,0),"")</f>
        <v/>
      </c>
      <c r="AC37" s="874"/>
      <c r="AD37" s="878"/>
    </row>
    <row r="38" spans="1:30" x14ac:dyDescent="0.3">
      <c r="A38" s="318">
        <v>37</v>
      </c>
      <c r="B38" s="891"/>
      <c r="C38" s="873"/>
      <c r="D38" s="888"/>
      <c r="E38" s="893"/>
      <c r="F38" s="894"/>
      <c r="G38" s="91" t="str">
        <f>IFERROR(VLOOKUP(C38,'Piping Class'!$90:$102,2,0),"")</f>
        <v/>
      </c>
      <c r="H38" s="874"/>
      <c r="I38" s="874"/>
      <c r="J38" s="874"/>
      <c r="K38" s="874"/>
      <c r="L38" s="874"/>
      <c r="M38" s="874"/>
      <c r="N38" s="874"/>
      <c r="O38" s="874"/>
      <c r="P38" s="874"/>
      <c r="Q38" s="874"/>
      <c r="R38" s="874"/>
      <c r="S38" s="874"/>
      <c r="T38" s="874"/>
      <c r="U38" s="874"/>
      <c r="V38" s="878"/>
      <c r="W38" s="879"/>
      <c r="X38" s="874"/>
      <c r="Y38" s="874"/>
      <c r="Z38" s="874"/>
      <c r="AA38" s="874"/>
      <c r="AB38" s="21" t="str">
        <f>IFERROR(VLOOKUP(C38,'Piping Class'!$90:$102,7,0),"")</f>
        <v/>
      </c>
      <c r="AC38" s="874"/>
      <c r="AD38" s="878"/>
    </row>
    <row r="39" spans="1:30" x14ac:dyDescent="0.3">
      <c r="A39" s="319">
        <v>38</v>
      </c>
      <c r="B39" s="886" t="s">
        <v>151</v>
      </c>
      <c r="C39" s="873" t="s">
        <v>160</v>
      </c>
      <c r="D39" s="888"/>
      <c r="E39" s="889">
        <v>0.5</v>
      </c>
      <c r="F39" s="890">
        <v>24</v>
      </c>
      <c r="G39" s="91" t="str">
        <f>IFERROR(VLOOKUP(C39,'Piping Class'!$90:$102,2,0),"")</f>
        <v/>
      </c>
      <c r="H39" s="873" t="s">
        <v>152</v>
      </c>
      <c r="I39" s="873"/>
      <c r="J39" s="873"/>
      <c r="K39" s="873" t="s">
        <v>156</v>
      </c>
      <c r="L39" s="873" t="s">
        <v>140</v>
      </c>
      <c r="M39" s="874" t="s">
        <v>141</v>
      </c>
      <c r="N39" s="873" t="s">
        <v>96</v>
      </c>
      <c r="O39" s="873"/>
      <c r="P39" s="873" t="s">
        <v>153</v>
      </c>
      <c r="Q39" s="873" t="s">
        <v>144</v>
      </c>
      <c r="R39" s="873" t="s">
        <v>145</v>
      </c>
      <c r="S39" s="873" t="s">
        <v>97</v>
      </c>
      <c r="T39" s="873" t="s">
        <v>98</v>
      </c>
      <c r="U39" s="873" t="s">
        <v>98</v>
      </c>
      <c r="V39" s="878" t="s">
        <v>101</v>
      </c>
      <c r="W39" s="879"/>
      <c r="X39" s="874"/>
      <c r="Y39" s="873">
        <v>3</v>
      </c>
      <c r="Z39" s="873" t="s">
        <v>146</v>
      </c>
      <c r="AA39" s="874"/>
      <c r="AB39" s="21" t="str">
        <f>IFERROR(VLOOKUP(C39,'Piping Class'!$90:$102,7,0),"")</f>
        <v/>
      </c>
      <c r="AC39" s="874"/>
      <c r="AD39" s="878"/>
    </row>
    <row r="40" spans="1:30" x14ac:dyDescent="0.3">
      <c r="A40" s="319">
        <v>39</v>
      </c>
      <c r="B40" s="886" t="s">
        <v>151</v>
      </c>
      <c r="C40" s="873" t="s">
        <v>61</v>
      </c>
      <c r="D40" s="888"/>
      <c r="E40" s="889">
        <v>0.5</v>
      </c>
      <c r="F40" s="890">
        <v>24</v>
      </c>
      <c r="G40" s="91">
        <f>IFERROR(VLOOKUP(C40,'Piping Class'!$90:$102,2,0),"")</f>
        <v>150</v>
      </c>
      <c r="H40" s="873" t="s">
        <v>152</v>
      </c>
      <c r="I40" s="873"/>
      <c r="J40" s="873"/>
      <c r="K40" s="873" t="s">
        <v>149</v>
      </c>
      <c r="L40" s="873" t="s">
        <v>140</v>
      </c>
      <c r="M40" s="874" t="s">
        <v>141</v>
      </c>
      <c r="N40" s="873" t="s">
        <v>96</v>
      </c>
      <c r="O40" s="873"/>
      <c r="P40" s="873" t="s">
        <v>153</v>
      </c>
      <c r="Q40" s="873" t="s">
        <v>144</v>
      </c>
      <c r="R40" s="873" t="s">
        <v>145</v>
      </c>
      <c r="S40" s="873" t="s">
        <v>97</v>
      </c>
      <c r="T40" s="873" t="s">
        <v>98</v>
      </c>
      <c r="U40" s="873" t="s">
        <v>98</v>
      </c>
      <c r="V40" s="878" t="s">
        <v>101</v>
      </c>
      <c r="W40" s="879"/>
      <c r="X40" s="874"/>
      <c r="Y40" s="873">
        <v>3</v>
      </c>
      <c r="Z40" s="873" t="s">
        <v>146</v>
      </c>
      <c r="AA40" s="874"/>
      <c r="AB40" s="21" t="str">
        <f>IFERROR(VLOOKUP(C40,'Piping Class'!$90:$102,7,0),"")</f>
        <v>CS</v>
      </c>
      <c r="AC40" s="874"/>
      <c r="AD40" s="878"/>
    </row>
    <row r="41" spans="1:30" x14ac:dyDescent="0.3">
      <c r="A41" s="318">
        <v>40</v>
      </c>
      <c r="B41" s="886" t="s">
        <v>151</v>
      </c>
      <c r="C41" s="892" t="s">
        <v>61</v>
      </c>
      <c r="D41" s="888"/>
      <c r="E41" s="889">
        <v>0.5</v>
      </c>
      <c r="F41" s="890">
        <v>24</v>
      </c>
      <c r="G41" s="91">
        <f>IFERROR(VLOOKUP(C41,'Piping Class'!$90:$102,2,0),"")</f>
        <v>150</v>
      </c>
      <c r="H41" s="873" t="s">
        <v>152</v>
      </c>
      <c r="I41" s="873"/>
      <c r="J41" s="873"/>
      <c r="K41" s="873" t="s">
        <v>149</v>
      </c>
      <c r="L41" s="873" t="s">
        <v>140</v>
      </c>
      <c r="M41" s="874" t="s">
        <v>141</v>
      </c>
      <c r="N41" s="873" t="s">
        <v>96</v>
      </c>
      <c r="O41" s="873"/>
      <c r="P41" s="873" t="s">
        <v>153</v>
      </c>
      <c r="Q41" s="873" t="s">
        <v>144</v>
      </c>
      <c r="R41" s="873" t="s">
        <v>145</v>
      </c>
      <c r="S41" s="873" t="s">
        <v>97</v>
      </c>
      <c r="T41" s="873" t="s">
        <v>98</v>
      </c>
      <c r="U41" s="873" t="s">
        <v>98</v>
      </c>
      <c r="V41" s="878" t="s">
        <v>101</v>
      </c>
      <c r="W41" s="879"/>
      <c r="X41" s="874"/>
      <c r="Y41" s="873">
        <v>3</v>
      </c>
      <c r="Z41" s="873" t="s">
        <v>146</v>
      </c>
      <c r="AA41" s="874"/>
      <c r="AB41" s="21" t="str">
        <f>IFERROR(VLOOKUP(C41,'Piping Class'!$90:$102,7,0),"")</f>
        <v>CS</v>
      </c>
      <c r="AC41" s="874"/>
      <c r="AD41" s="878"/>
    </row>
    <row r="42" spans="1:30" x14ac:dyDescent="0.3">
      <c r="A42" s="319">
        <v>41</v>
      </c>
      <c r="B42" s="891"/>
      <c r="C42" s="892"/>
      <c r="D42" s="888"/>
      <c r="E42" s="893"/>
      <c r="F42" s="894"/>
      <c r="G42" s="91" t="str">
        <f>IFERROR(VLOOKUP(C42,'Piping Class'!$90:$102,2,0),"")</f>
        <v/>
      </c>
      <c r="H42" s="874"/>
      <c r="I42" s="874"/>
      <c r="J42" s="874"/>
      <c r="K42" s="874"/>
      <c r="L42" s="874"/>
      <c r="M42" s="874"/>
      <c r="N42" s="874"/>
      <c r="O42" s="874"/>
      <c r="P42" s="874"/>
      <c r="Q42" s="874"/>
      <c r="R42" s="874"/>
      <c r="S42" s="874"/>
      <c r="T42" s="874"/>
      <c r="U42" s="874"/>
      <c r="V42" s="878"/>
      <c r="W42" s="879"/>
      <c r="X42" s="874"/>
      <c r="Y42" s="874"/>
      <c r="Z42" s="874"/>
      <c r="AA42" s="874"/>
      <c r="AB42" s="21" t="str">
        <f>IFERROR(VLOOKUP(C42,'Piping Class'!$90:$102,7,0),"")</f>
        <v/>
      </c>
      <c r="AC42" s="874"/>
      <c r="AD42" s="878"/>
    </row>
    <row r="43" spans="1:30" x14ac:dyDescent="0.3">
      <c r="A43" s="319">
        <v>42</v>
      </c>
      <c r="B43" s="886" t="s">
        <v>154</v>
      </c>
      <c r="C43" s="873" t="s">
        <v>157</v>
      </c>
      <c r="D43" s="888"/>
      <c r="E43" s="889">
        <v>0.5</v>
      </c>
      <c r="F43" s="890">
        <v>24</v>
      </c>
      <c r="G43" s="91" t="str">
        <f>IFERROR(VLOOKUP(C43,'Piping Class'!$90:$102,2,0),"")</f>
        <v/>
      </c>
      <c r="H43" s="873" t="s">
        <v>152</v>
      </c>
      <c r="I43" s="873"/>
      <c r="J43" s="873"/>
      <c r="K43" s="873" t="s">
        <v>149</v>
      </c>
      <c r="L43" s="873" t="s">
        <v>140</v>
      </c>
      <c r="M43" s="874" t="s">
        <v>141</v>
      </c>
      <c r="N43" s="873" t="s">
        <v>96</v>
      </c>
      <c r="O43" s="873"/>
      <c r="P43" s="873" t="s">
        <v>153</v>
      </c>
      <c r="Q43" s="873" t="s">
        <v>144</v>
      </c>
      <c r="R43" s="873" t="s">
        <v>145</v>
      </c>
      <c r="S43" s="873" t="s">
        <v>97</v>
      </c>
      <c r="T43" s="873" t="s">
        <v>98</v>
      </c>
      <c r="U43" s="873" t="s">
        <v>98</v>
      </c>
      <c r="V43" s="878" t="s">
        <v>101</v>
      </c>
      <c r="W43" s="879"/>
      <c r="X43" s="874"/>
      <c r="Y43" s="873">
        <v>3</v>
      </c>
      <c r="Z43" s="873" t="s">
        <v>146</v>
      </c>
      <c r="AA43" s="874"/>
      <c r="AB43" s="21" t="str">
        <f>IFERROR(VLOOKUP(C43,'Piping Class'!$90:$102,7,0),"")</f>
        <v/>
      </c>
      <c r="AC43" s="874"/>
      <c r="AD43" s="878"/>
    </row>
    <row r="44" spans="1:30" x14ac:dyDescent="0.3">
      <c r="A44" s="318">
        <v>43</v>
      </c>
      <c r="B44" s="886" t="s">
        <v>154</v>
      </c>
      <c r="C44" s="873" t="s">
        <v>160</v>
      </c>
      <c r="D44" s="888"/>
      <c r="E44" s="889">
        <v>0.5</v>
      </c>
      <c r="F44" s="890">
        <v>24</v>
      </c>
      <c r="G44" s="91" t="str">
        <f>IFERROR(VLOOKUP(C44,'Piping Class'!$90:$102,2,0),"")</f>
        <v/>
      </c>
      <c r="H44" s="873" t="s">
        <v>152</v>
      </c>
      <c r="I44" s="873"/>
      <c r="J44" s="873"/>
      <c r="K44" s="873" t="s">
        <v>156</v>
      </c>
      <c r="L44" s="873" t="s">
        <v>140</v>
      </c>
      <c r="M44" s="874" t="s">
        <v>141</v>
      </c>
      <c r="N44" s="873" t="s">
        <v>96</v>
      </c>
      <c r="O44" s="873"/>
      <c r="P44" s="873" t="s">
        <v>153</v>
      </c>
      <c r="Q44" s="873" t="s">
        <v>144</v>
      </c>
      <c r="R44" s="873" t="s">
        <v>145</v>
      </c>
      <c r="S44" s="873" t="s">
        <v>97</v>
      </c>
      <c r="T44" s="873" t="s">
        <v>98</v>
      </c>
      <c r="U44" s="873" t="s">
        <v>98</v>
      </c>
      <c r="V44" s="878" t="s">
        <v>101</v>
      </c>
      <c r="W44" s="879"/>
      <c r="X44" s="874"/>
      <c r="Y44" s="873">
        <v>3</v>
      </c>
      <c r="Z44" s="873" t="s">
        <v>146</v>
      </c>
      <c r="AA44" s="874"/>
      <c r="AB44" s="21" t="str">
        <f>IFERROR(VLOOKUP(C44,'Piping Class'!$90:$102,7,0),"")</f>
        <v/>
      </c>
      <c r="AC44" s="874"/>
      <c r="AD44" s="878"/>
    </row>
    <row r="45" spans="1:30" x14ac:dyDescent="0.3">
      <c r="A45" s="319">
        <v>44</v>
      </c>
      <c r="B45" s="886" t="s">
        <v>154</v>
      </c>
      <c r="C45" s="892" t="s">
        <v>61</v>
      </c>
      <c r="D45" s="888"/>
      <c r="E45" s="889">
        <v>0.5</v>
      </c>
      <c r="F45" s="890">
        <v>24</v>
      </c>
      <c r="G45" s="91">
        <f>IFERROR(VLOOKUP(C45,'Piping Class'!$90:$102,2,0),"")</f>
        <v>150</v>
      </c>
      <c r="H45" s="873" t="s">
        <v>152</v>
      </c>
      <c r="I45" s="873"/>
      <c r="J45" s="873"/>
      <c r="K45" s="873" t="s">
        <v>149</v>
      </c>
      <c r="L45" s="873" t="s">
        <v>140</v>
      </c>
      <c r="M45" s="874" t="s">
        <v>141</v>
      </c>
      <c r="N45" s="873" t="s">
        <v>96</v>
      </c>
      <c r="O45" s="873"/>
      <c r="P45" s="873" t="s">
        <v>153</v>
      </c>
      <c r="Q45" s="873" t="s">
        <v>144</v>
      </c>
      <c r="R45" s="873" t="s">
        <v>145</v>
      </c>
      <c r="S45" s="873" t="s">
        <v>97</v>
      </c>
      <c r="T45" s="873" t="s">
        <v>98</v>
      </c>
      <c r="U45" s="873" t="s">
        <v>98</v>
      </c>
      <c r="V45" s="878" t="s">
        <v>101</v>
      </c>
      <c r="W45" s="879"/>
      <c r="X45" s="874"/>
      <c r="Y45" s="873">
        <v>3</v>
      </c>
      <c r="Z45" s="873" t="s">
        <v>146</v>
      </c>
      <c r="AA45" s="874"/>
      <c r="AB45" s="21" t="str">
        <f>IFERROR(VLOOKUP(C45,'Piping Class'!$90:$102,7,0),"")</f>
        <v>CS</v>
      </c>
      <c r="AC45" s="874"/>
      <c r="AD45" s="878"/>
    </row>
    <row r="46" spans="1:30" x14ac:dyDescent="0.3">
      <c r="A46" s="319">
        <v>45</v>
      </c>
      <c r="B46" s="891"/>
      <c r="C46" s="892"/>
      <c r="D46" s="888"/>
      <c r="E46" s="893"/>
      <c r="F46" s="894"/>
      <c r="G46" s="91" t="str">
        <f>IFERROR(VLOOKUP(C46,'Piping Class'!$90:$102,2,0),"")</f>
        <v/>
      </c>
      <c r="H46" s="874"/>
      <c r="I46" s="874"/>
      <c r="J46" s="874"/>
      <c r="K46" s="874"/>
      <c r="L46" s="874"/>
      <c r="M46" s="874"/>
      <c r="N46" s="874"/>
      <c r="O46" s="874"/>
      <c r="P46" s="874"/>
      <c r="Q46" s="874"/>
      <c r="R46" s="874"/>
      <c r="S46" s="873"/>
      <c r="T46" s="873"/>
      <c r="U46" s="874"/>
      <c r="V46" s="878"/>
      <c r="W46" s="879"/>
      <c r="X46" s="874"/>
      <c r="Y46" s="874"/>
      <c r="Z46" s="874"/>
      <c r="AA46" s="874"/>
      <c r="AB46" s="21" t="str">
        <f>IFERROR(VLOOKUP(C46,'Piping Class'!$90:$102,7,0),"")</f>
        <v/>
      </c>
      <c r="AC46" s="874"/>
      <c r="AD46" s="878"/>
    </row>
    <row r="47" spans="1:30" x14ac:dyDescent="0.3">
      <c r="A47" s="318">
        <v>46</v>
      </c>
      <c r="B47" s="886" t="s">
        <v>162</v>
      </c>
      <c r="C47" s="873" t="s">
        <v>157</v>
      </c>
      <c r="D47" s="888"/>
      <c r="E47" s="889">
        <v>0.5</v>
      </c>
      <c r="F47" s="890">
        <v>3</v>
      </c>
      <c r="G47" s="91" t="str">
        <f>IFERROR(VLOOKUP(C47,'Piping Class'!$90:$102,2,0),"")</f>
        <v/>
      </c>
      <c r="H47" s="873" t="s">
        <v>137</v>
      </c>
      <c r="I47" s="873" t="s">
        <v>138</v>
      </c>
      <c r="J47" s="873"/>
      <c r="K47" s="873" t="s">
        <v>163</v>
      </c>
      <c r="L47" s="873" t="s">
        <v>140</v>
      </c>
      <c r="M47" s="874" t="s">
        <v>141</v>
      </c>
      <c r="N47" s="873" t="s">
        <v>96</v>
      </c>
      <c r="O47" s="873" t="s">
        <v>142</v>
      </c>
      <c r="P47" s="873" t="s">
        <v>143</v>
      </c>
      <c r="Q47" s="873" t="s">
        <v>144</v>
      </c>
      <c r="R47" s="873" t="s">
        <v>145</v>
      </c>
      <c r="S47" s="873" t="s">
        <v>97</v>
      </c>
      <c r="T47" s="873" t="s">
        <v>98</v>
      </c>
      <c r="U47" s="873" t="s">
        <v>98</v>
      </c>
      <c r="V47" s="878" t="s">
        <v>101</v>
      </c>
      <c r="W47" s="879"/>
      <c r="X47" s="874"/>
      <c r="Y47" s="873">
        <v>3</v>
      </c>
      <c r="Z47" s="873" t="s">
        <v>146</v>
      </c>
      <c r="AA47" s="874"/>
      <c r="AB47" s="21" t="str">
        <f>IFERROR(VLOOKUP(C47,'Piping Class'!$90:$102,7,0),"")</f>
        <v/>
      </c>
      <c r="AC47" s="874"/>
      <c r="AD47" s="878"/>
    </row>
    <row r="48" spans="1:30" x14ac:dyDescent="0.3">
      <c r="A48" s="319">
        <v>47</v>
      </c>
      <c r="B48" s="886" t="s">
        <v>162</v>
      </c>
      <c r="C48" s="873" t="s">
        <v>61</v>
      </c>
      <c r="D48" s="888"/>
      <c r="E48" s="889">
        <v>0.5</v>
      </c>
      <c r="F48" s="890">
        <v>3</v>
      </c>
      <c r="G48" s="91">
        <f>IFERROR(VLOOKUP(C48,'Piping Class'!$90:$102,2,0),"")</f>
        <v>150</v>
      </c>
      <c r="H48" s="873" t="s">
        <v>137</v>
      </c>
      <c r="I48" s="873" t="s">
        <v>138</v>
      </c>
      <c r="J48" s="873"/>
      <c r="K48" s="873" t="s">
        <v>163</v>
      </c>
      <c r="L48" s="873" t="s">
        <v>140</v>
      </c>
      <c r="M48" s="874" t="s">
        <v>141</v>
      </c>
      <c r="N48" s="873" t="s">
        <v>96</v>
      </c>
      <c r="O48" s="873" t="s">
        <v>142</v>
      </c>
      <c r="P48" s="873" t="s">
        <v>143</v>
      </c>
      <c r="Q48" s="873" t="s">
        <v>144</v>
      </c>
      <c r="R48" s="873" t="s">
        <v>145</v>
      </c>
      <c r="S48" s="873" t="s">
        <v>97</v>
      </c>
      <c r="T48" s="873" t="s">
        <v>98</v>
      </c>
      <c r="U48" s="873" t="s">
        <v>98</v>
      </c>
      <c r="V48" s="878" t="s">
        <v>101</v>
      </c>
      <c r="W48" s="879"/>
      <c r="X48" s="874"/>
      <c r="Y48" s="873">
        <v>3</v>
      </c>
      <c r="Z48" s="873" t="s">
        <v>146</v>
      </c>
      <c r="AA48" s="874"/>
      <c r="AB48" s="21" t="str">
        <f>IFERROR(VLOOKUP(C48,'Piping Class'!$90:$102,7,0),"")</f>
        <v>CS</v>
      </c>
      <c r="AC48" s="874"/>
      <c r="AD48" s="878"/>
    </row>
    <row r="49" spans="1:30" x14ac:dyDescent="0.3">
      <c r="A49" s="319">
        <v>48</v>
      </c>
      <c r="B49" s="886" t="s">
        <v>162</v>
      </c>
      <c r="C49" s="873" t="s">
        <v>160</v>
      </c>
      <c r="D49" s="888"/>
      <c r="E49" s="889">
        <v>0.5</v>
      </c>
      <c r="F49" s="890">
        <v>3</v>
      </c>
      <c r="G49" s="91" t="str">
        <f>IFERROR(VLOOKUP(C49,'Piping Class'!$90:$102,2,0),"")</f>
        <v/>
      </c>
      <c r="H49" s="873" t="s">
        <v>137</v>
      </c>
      <c r="I49" s="873" t="s">
        <v>138</v>
      </c>
      <c r="J49" s="873"/>
      <c r="K49" s="873" t="s">
        <v>156</v>
      </c>
      <c r="L49" s="873" t="s">
        <v>140</v>
      </c>
      <c r="M49" s="874" t="s">
        <v>141</v>
      </c>
      <c r="N49" s="873" t="s">
        <v>96</v>
      </c>
      <c r="O49" s="873" t="s">
        <v>142</v>
      </c>
      <c r="P49" s="873" t="s">
        <v>143</v>
      </c>
      <c r="Q49" s="873" t="s">
        <v>144</v>
      </c>
      <c r="R49" s="873" t="s">
        <v>145</v>
      </c>
      <c r="S49" s="873" t="s">
        <v>97</v>
      </c>
      <c r="T49" s="873" t="s">
        <v>98</v>
      </c>
      <c r="U49" s="873" t="s">
        <v>98</v>
      </c>
      <c r="V49" s="878" t="s">
        <v>101</v>
      </c>
      <c r="W49" s="879"/>
      <c r="X49" s="874"/>
      <c r="Y49" s="873">
        <v>3</v>
      </c>
      <c r="Z49" s="873" t="s">
        <v>146</v>
      </c>
      <c r="AA49" s="874"/>
      <c r="AB49" s="21" t="str">
        <f>IFERROR(VLOOKUP(C49,'Piping Class'!$90:$102,7,0),"")</f>
        <v/>
      </c>
      <c r="AC49" s="874"/>
      <c r="AD49" s="878"/>
    </row>
    <row r="50" spans="1:30" x14ac:dyDescent="0.3">
      <c r="A50" s="318">
        <v>49</v>
      </c>
      <c r="B50" s="891"/>
      <c r="C50" s="892"/>
      <c r="D50" s="888"/>
      <c r="E50" s="893"/>
      <c r="F50" s="894"/>
      <c r="G50" s="91" t="str">
        <f>IFERROR(VLOOKUP(C50,'Piping Class'!$90:$102,2,0),"")</f>
        <v/>
      </c>
      <c r="H50" s="874"/>
      <c r="I50" s="874"/>
      <c r="J50" s="874"/>
      <c r="K50" s="874"/>
      <c r="L50" s="874"/>
      <c r="M50" s="874"/>
      <c r="N50" s="874"/>
      <c r="O50" s="874"/>
      <c r="P50" s="874"/>
      <c r="Q50" s="874"/>
      <c r="R50" s="874"/>
      <c r="S50" s="873"/>
      <c r="T50" s="873"/>
      <c r="U50" s="874"/>
      <c r="V50" s="878"/>
      <c r="W50" s="879"/>
      <c r="X50" s="874"/>
      <c r="Y50" s="874"/>
      <c r="Z50" s="874"/>
      <c r="AA50" s="874"/>
      <c r="AB50" s="21" t="str">
        <f>IFERROR(VLOOKUP(C50,'Piping Class'!$90:$102,7,0),"")</f>
        <v/>
      </c>
      <c r="AC50" s="874"/>
      <c r="AD50" s="878"/>
    </row>
    <row r="51" spans="1:30" x14ac:dyDescent="0.3">
      <c r="A51" s="319">
        <v>50</v>
      </c>
      <c r="B51" s="886" t="s">
        <v>135</v>
      </c>
      <c r="C51" s="873" t="s">
        <v>157</v>
      </c>
      <c r="D51" s="888" t="s">
        <v>136</v>
      </c>
      <c r="E51" s="889">
        <v>0.5</v>
      </c>
      <c r="F51" s="890">
        <v>1.5</v>
      </c>
      <c r="G51" s="91" t="str">
        <f>IFERROR(VLOOKUP(C51,'Piping Class'!$90:$102,2,0),"")</f>
        <v/>
      </c>
      <c r="H51" s="873" t="s">
        <v>137</v>
      </c>
      <c r="I51" s="873" t="s">
        <v>138</v>
      </c>
      <c r="J51" s="873"/>
      <c r="K51" s="873" t="s">
        <v>139</v>
      </c>
      <c r="L51" s="873" t="s">
        <v>140</v>
      </c>
      <c r="M51" s="874" t="s">
        <v>141</v>
      </c>
      <c r="N51" s="873" t="s">
        <v>96</v>
      </c>
      <c r="O51" s="873" t="s">
        <v>142</v>
      </c>
      <c r="P51" s="873" t="s">
        <v>143</v>
      </c>
      <c r="Q51" s="873" t="s">
        <v>144</v>
      </c>
      <c r="R51" s="873" t="s">
        <v>145</v>
      </c>
      <c r="S51" s="873" t="s">
        <v>97</v>
      </c>
      <c r="T51" s="873" t="s">
        <v>98</v>
      </c>
      <c r="U51" s="873" t="s">
        <v>98</v>
      </c>
      <c r="V51" s="878" t="s">
        <v>101</v>
      </c>
      <c r="W51" s="879"/>
      <c r="X51" s="874"/>
      <c r="Y51" s="873">
        <v>3</v>
      </c>
      <c r="Z51" s="873" t="s">
        <v>146</v>
      </c>
      <c r="AA51" s="874"/>
      <c r="AB51" s="21" t="str">
        <f>IFERROR(VLOOKUP(C51,'Piping Class'!$90:$102,7,0),"")</f>
        <v/>
      </c>
      <c r="AC51" s="874"/>
      <c r="AD51" s="878"/>
    </row>
    <row r="52" spans="1:30" x14ac:dyDescent="0.3">
      <c r="A52" s="319">
        <v>51</v>
      </c>
      <c r="B52" s="886" t="s">
        <v>135</v>
      </c>
      <c r="C52" s="873" t="s">
        <v>157</v>
      </c>
      <c r="D52" s="888" t="s">
        <v>136</v>
      </c>
      <c r="E52" s="889">
        <v>2</v>
      </c>
      <c r="F52" s="890">
        <v>6</v>
      </c>
      <c r="G52" s="91" t="str">
        <f>IFERROR(VLOOKUP(C52,'Piping Class'!$90:$102,2,0),"")</f>
        <v/>
      </c>
      <c r="H52" s="873" t="s">
        <v>137</v>
      </c>
      <c r="I52" s="873" t="s">
        <v>138</v>
      </c>
      <c r="J52" s="873"/>
      <c r="K52" s="873" t="s">
        <v>139</v>
      </c>
      <c r="L52" s="873" t="s">
        <v>140</v>
      </c>
      <c r="M52" s="874" t="s">
        <v>141</v>
      </c>
      <c r="N52" s="873" t="s">
        <v>96</v>
      </c>
      <c r="O52" s="873" t="s">
        <v>142</v>
      </c>
      <c r="P52" s="873" t="s">
        <v>143</v>
      </c>
      <c r="Q52" s="873" t="s">
        <v>144</v>
      </c>
      <c r="R52" s="873" t="s">
        <v>145</v>
      </c>
      <c r="S52" s="873" t="s">
        <v>97</v>
      </c>
      <c r="T52" s="873" t="s">
        <v>98</v>
      </c>
      <c r="U52" s="873" t="s">
        <v>98</v>
      </c>
      <c r="V52" s="878" t="s">
        <v>101</v>
      </c>
      <c r="W52" s="879"/>
      <c r="X52" s="874"/>
      <c r="Y52" s="873">
        <v>3</v>
      </c>
      <c r="Z52" s="873" t="s">
        <v>146</v>
      </c>
      <c r="AA52" s="874"/>
      <c r="AB52" s="21" t="str">
        <f>IFERROR(VLOOKUP(C52,'Piping Class'!$90:$102,7,0),"")</f>
        <v/>
      </c>
      <c r="AC52" s="874"/>
      <c r="AD52" s="878"/>
    </row>
    <row r="53" spans="1:30" x14ac:dyDescent="0.3">
      <c r="A53" s="318">
        <v>52</v>
      </c>
      <c r="B53" s="886" t="s">
        <v>135</v>
      </c>
      <c r="C53" s="873" t="s">
        <v>157</v>
      </c>
      <c r="D53" s="888" t="s">
        <v>136</v>
      </c>
      <c r="E53" s="889">
        <v>8</v>
      </c>
      <c r="F53" s="890">
        <v>24</v>
      </c>
      <c r="G53" s="91" t="str">
        <f>IFERROR(VLOOKUP(C53,'Piping Class'!$90:$102,2,0),"")</f>
        <v/>
      </c>
      <c r="H53" s="873" t="s">
        <v>137</v>
      </c>
      <c r="I53" s="873" t="s">
        <v>138</v>
      </c>
      <c r="J53" s="873"/>
      <c r="K53" s="873" t="s">
        <v>139</v>
      </c>
      <c r="L53" s="873" t="s">
        <v>140</v>
      </c>
      <c r="M53" s="874" t="s">
        <v>141</v>
      </c>
      <c r="N53" s="873" t="s">
        <v>96</v>
      </c>
      <c r="O53" s="873" t="s">
        <v>142</v>
      </c>
      <c r="P53" s="873" t="s">
        <v>143</v>
      </c>
      <c r="Q53" s="873" t="s">
        <v>144</v>
      </c>
      <c r="R53" s="873" t="s">
        <v>145</v>
      </c>
      <c r="S53" s="873" t="s">
        <v>97</v>
      </c>
      <c r="T53" s="873" t="s">
        <v>98</v>
      </c>
      <c r="U53" s="873" t="s">
        <v>98</v>
      </c>
      <c r="V53" s="878" t="s">
        <v>101</v>
      </c>
      <c r="W53" s="879"/>
      <c r="X53" s="874"/>
      <c r="Y53" s="873">
        <v>3</v>
      </c>
      <c r="Z53" s="873" t="s">
        <v>146</v>
      </c>
      <c r="AA53" s="874"/>
      <c r="AB53" s="21" t="str">
        <f>IFERROR(VLOOKUP(C53,'Piping Class'!$90:$102,7,0),"")</f>
        <v/>
      </c>
      <c r="AC53" s="874"/>
      <c r="AD53" s="878"/>
    </row>
    <row r="54" spans="1:30" x14ac:dyDescent="0.3">
      <c r="A54" s="319">
        <v>53</v>
      </c>
      <c r="B54" s="891"/>
      <c r="C54" s="892"/>
      <c r="D54" s="888"/>
      <c r="E54" s="893"/>
      <c r="F54" s="894"/>
      <c r="G54" s="91" t="str">
        <f>IFERROR(VLOOKUP(C54,'Piping Class'!$90:$102,2,0),"")</f>
        <v/>
      </c>
      <c r="H54" s="874"/>
      <c r="I54" s="874"/>
      <c r="J54" s="874"/>
      <c r="K54" s="874"/>
      <c r="L54" s="874"/>
      <c r="M54" s="874"/>
      <c r="N54" s="874"/>
      <c r="O54" s="874"/>
      <c r="P54" s="874"/>
      <c r="Q54" s="874"/>
      <c r="R54" s="874"/>
      <c r="S54" s="873"/>
      <c r="T54" s="873"/>
      <c r="U54" s="874"/>
      <c r="V54" s="878"/>
      <c r="W54" s="879"/>
      <c r="X54" s="874"/>
      <c r="Y54" s="874"/>
      <c r="Z54" s="874"/>
      <c r="AA54" s="874"/>
      <c r="AB54" s="21" t="str">
        <f>IFERROR(VLOOKUP(C54,'Piping Class'!$90:$102,7,0),"")</f>
        <v/>
      </c>
      <c r="AC54" s="874"/>
      <c r="AD54" s="878"/>
    </row>
    <row r="55" spans="1:30" x14ac:dyDescent="0.3">
      <c r="A55" s="319">
        <v>54</v>
      </c>
      <c r="B55" s="886" t="s">
        <v>135</v>
      </c>
      <c r="C55" s="873" t="s">
        <v>161</v>
      </c>
      <c r="D55" s="888" t="s">
        <v>136</v>
      </c>
      <c r="E55" s="889">
        <v>0.5</v>
      </c>
      <c r="F55" s="890">
        <v>1.5</v>
      </c>
      <c r="G55" s="91" t="str">
        <f>IFERROR(VLOOKUP(C55,'Piping Class'!$90:$102,2,0),"")</f>
        <v/>
      </c>
      <c r="H55" s="873" t="s">
        <v>137</v>
      </c>
      <c r="I55" s="873" t="s">
        <v>138</v>
      </c>
      <c r="J55" s="873"/>
      <c r="K55" s="873" t="s">
        <v>156</v>
      </c>
      <c r="L55" s="873" t="s">
        <v>140</v>
      </c>
      <c r="M55" s="874" t="s">
        <v>141</v>
      </c>
      <c r="N55" s="873" t="s">
        <v>96</v>
      </c>
      <c r="O55" s="873" t="s">
        <v>142</v>
      </c>
      <c r="P55" s="873" t="s">
        <v>143</v>
      </c>
      <c r="Q55" s="873" t="s">
        <v>144</v>
      </c>
      <c r="R55" s="873" t="s">
        <v>145</v>
      </c>
      <c r="S55" s="873" t="s">
        <v>97</v>
      </c>
      <c r="T55" s="873" t="s">
        <v>98</v>
      </c>
      <c r="U55" s="873" t="s">
        <v>98</v>
      </c>
      <c r="V55" s="878" t="s">
        <v>101</v>
      </c>
      <c r="W55" s="879"/>
      <c r="X55" s="874"/>
      <c r="Y55" s="873">
        <v>3</v>
      </c>
      <c r="Z55" s="873" t="s">
        <v>146</v>
      </c>
      <c r="AA55" s="874"/>
      <c r="AB55" s="21" t="str">
        <f>IFERROR(VLOOKUP(C55,'Piping Class'!$90:$102,7,0),"")</f>
        <v/>
      </c>
      <c r="AC55" s="874"/>
      <c r="AD55" s="878"/>
    </row>
    <row r="56" spans="1:30" x14ac:dyDescent="0.3">
      <c r="A56" s="318">
        <v>55</v>
      </c>
      <c r="B56" s="886" t="s">
        <v>135</v>
      </c>
      <c r="C56" s="873" t="s">
        <v>161</v>
      </c>
      <c r="D56" s="888" t="s">
        <v>136</v>
      </c>
      <c r="E56" s="889">
        <v>2</v>
      </c>
      <c r="F56" s="890">
        <v>6</v>
      </c>
      <c r="G56" s="91" t="str">
        <f>IFERROR(VLOOKUP(C56,'Piping Class'!$90:$102,2,0),"")</f>
        <v/>
      </c>
      <c r="H56" s="873" t="s">
        <v>137</v>
      </c>
      <c r="I56" s="873" t="s">
        <v>138</v>
      </c>
      <c r="J56" s="873"/>
      <c r="K56" s="873" t="s">
        <v>156</v>
      </c>
      <c r="L56" s="873" t="s">
        <v>140</v>
      </c>
      <c r="M56" s="874" t="s">
        <v>141</v>
      </c>
      <c r="N56" s="873" t="s">
        <v>96</v>
      </c>
      <c r="O56" s="873" t="s">
        <v>158</v>
      </c>
      <c r="P56" s="873" t="s">
        <v>143</v>
      </c>
      <c r="Q56" s="873" t="s">
        <v>144</v>
      </c>
      <c r="R56" s="873" t="s">
        <v>145</v>
      </c>
      <c r="S56" s="873" t="s">
        <v>97</v>
      </c>
      <c r="T56" s="873" t="s">
        <v>98</v>
      </c>
      <c r="U56" s="873" t="s">
        <v>98</v>
      </c>
      <c r="V56" s="878" t="s">
        <v>101</v>
      </c>
      <c r="W56" s="879"/>
      <c r="X56" s="874"/>
      <c r="Y56" s="873">
        <v>3</v>
      </c>
      <c r="Z56" s="873" t="s">
        <v>146</v>
      </c>
      <c r="AA56" s="874"/>
      <c r="AB56" s="21" t="str">
        <f>IFERROR(VLOOKUP(C56,'Piping Class'!$90:$102,7,0),"")</f>
        <v/>
      </c>
      <c r="AC56" s="874"/>
      <c r="AD56" s="878"/>
    </row>
    <row r="57" spans="1:30" x14ac:dyDescent="0.3">
      <c r="A57" s="319">
        <v>56</v>
      </c>
      <c r="B57" s="886" t="s">
        <v>135</v>
      </c>
      <c r="C57" s="873" t="s">
        <v>161</v>
      </c>
      <c r="D57" s="888" t="s">
        <v>136</v>
      </c>
      <c r="E57" s="889">
        <v>8</v>
      </c>
      <c r="F57" s="890">
        <v>24</v>
      </c>
      <c r="G57" s="91" t="str">
        <f>IFERROR(VLOOKUP(C57,'Piping Class'!$90:$102,2,0),"")</f>
        <v/>
      </c>
      <c r="H57" s="873" t="s">
        <v>137</v>
      </c>
      <c r="I57" s="873" t="s">
        <v>138</v>
      </c>
      <c r="J57" s="873"/>
      <c r="K57" s="873" t="s">
        <v>156</v>
      </c>
      <c r="L57" s="873" t="s">
        <v>140</v>
      </c>
      <c r="M57" s="874" t="s">
        <v>141</v>
      </c>
      <c r="N57" s="873" t="s">
        <v>96</v>
      </c>
      <c r="O57" s="873" t="s">
        <v>158</v>
      </c>
      <c r="P57" s="873" t="s">
        <v>159</v>
      </c>
      <c r="Q57" s="873" t="s">
        <v>144</v>
      </c>
      <c r="R57" s="873" t="s">
        <v>145</v>
      </c>
      <c r="S57" s="873" t="s">
        <v>97</v>
      </c>
      <c r="T57" s="873" t="s">
        <v>98</v>
      </c>
      <c r="U57" s="873" t="s">
        <v>98</v>
      </c>
      <c r="V57" s="878" t="s">
        <v>101</v>
      </c>
      <c r="W57" s="879"/>
      <c r="X57" s="874"/>
      <c r="Y57" s="873">
        <v>3</v>
      </c>
      <c r="Z57" s="873" t="s">
        <v>146</v>
      </c>
      <c r="AA57" s="874"/>
      <c r="AB57" s="21" t="str">
        <f>IFERROR(VLOOKUP(C57,'Piping Class'!$90:$102,7,0),"")</f>
        <v/>
      </c>
      <c r="AC57" s="874"/>
      <c r="AD57" s="878"/>
    </row>
    <row r="58" spans="1:30" x14ac:dyDescent="0.3">
      <c r="A58" s="319">
        <v>57</v>
      </c>
      <c r="B58" s="886"/>
      <c r="C58" s="887"/>
      <c r="D58" s="888"/>
      <c r="E58" s="889"/>
      <c r="F58" s="895"/>
      <c r="G58" s="97" t="str">
        <f>IFERROR(VLOOKUP(C58,'Piping Class'!$90:$102,2,0),"")</f>
        <v/>
      </c>
      <c r="H58" s="873" t="s">
        <v>137</v>
      </c>
      <c r="I58" s="873" t="s">
        <v>138</v>
      </c>
      <c r="J58" s="873"/>
      <c r="K58" s="873" t="s">
        <v>156</v>
      </c>
      <c r="L58" s="873" t="s">
        <v>140</v>
      </c>
      <c r="M58" s="874" t="s">
        <v>141</v>
      </c>
      <c r="N58" s="873" t="s">
        <v>96</v>
      </c>
      <c r="O58" s="873" t="s">
        <v>142</v>
      </c>
      <c r="P58" s="873" t="s">
        <v>143</v>
      </c>
      <c r="Q58" s="873" t="s">
        <v>144</v>
      </c>
      <c r="R58" s="873" t="s">
        <v>145</v>
      </c>
      <c r="S58" s="873" t="s">
        <v>97</v>
      </c>
      <c r="T58" s="873" t="s">
        <v>98</v>
      </c>
      <c r="U58" s="873" t="s">
        <v>98</v>
      </c>
      <c r="V58" s="878" t="s">
        <v>101</v>
      </c>
      <c r="W58" s="879"/>
      <c r="X58" s="874"/>
      <c r="Y58" s="873">
        <v>3</v>
      </c>
      <c r="Z58" s="873" t="s">
        <v>146</v>
      </c>
      <c r="AA58" s="874"/>
      <c r="AB58" s="19" t="str">
        <f>IFERROR(VLOOKUP(C58,'Piping Class'!$90:$102,7,0),"")</f>
        <v/>
      </c>
      <c r="AC58" s="873"/>
      <c r="AD58" s="880"/>
    </row>
    <row r="59" spans="1:30" x14ac:dyDescent="0.3">
      <c r="A59" s="318">
        <v>58</v>
      </c>
      <c r="B59" s="886" t="s">
        <v>135</v>
      </c>
      <c r="C59" s="873" t="s">
        <v>160</v>
      </c>
      <c r="D59" s="888" t="s">
        <v>136</v>
      </c>
      <c r="E59" s="889">
        <v>0.5</v>
      </c>
      <c r="F59" s="890">
        <v>1.5</v>
      </c>
      <c r="G59" s="91" t="str">
        <f>IFERROR(VLOOKUP(C59,'Piping Class'!$90:$102,2,0),"")</f>
        <v/>
      </c>
      <c r="H59" s="873" t="s">
        <v>137</v>
      </c>
      <c r="I59" s="873" t="s">
        <v>138</v>
      </c>
      <c r="J59" s="873"/>
      <c r="K59" s="873" t="s">
        <v>156</v>
      </c>
      <c r="L59" s="873" t="s">
        <v>140</v>
      </c>
      <c r="M59" s="874" t="s">
        <v>141</v>
      </c>
      <c r="N59" s="873" t="s">
        <v>96</v>
      </c>
      <c r="O59" s="873" t="s">
        <v>158</v>
      </c>
      <c r="P59" s="873" t="s">
        <v>143</v>
      </c>
      <c r="Q59" s="873" t="s">
        <v>144</v>
      </c>
      <c r="R59" s="873" t="s">
        <v>145</v>
      </c>
      <c r="S59" s="873" t="s">
        <v>97</v>
      </c>
      <c r="T59" s="873" t="s">
        <v>98</v>
      </c>
      <c r="U59" s="873" t="s">
        <v>98</v>
      </c>
      <c r="V59" s="878" t="s">
        <v>101</v>
      </c>
      <c r="W59" s="879"/>
      <c r="X59" s="874"/>
      <c r="Y59" s="873">
        <v>3</v>
      </c>
      <c r="Z59" s="873" t="s">
        <v>146</v>
      </c>
      <c r="AA59" s="874"/>
      <c r="AB59" s="21" t="str">
        <f>IFERROR(VLOOKUP(C59,'Piping Class'!$90:$102,7,0),"")</f>
        <v/>
      </c>
      <c r="AC59" s="874"/>
      <c r="AD59" s="878"/>
    </row>
    <row r="60" spans="1:30" x14ac:dyDescent="0.3">
      <c r="A60" s="319">
        <v>59</v>
      </c>
      <c r="B60" s="886" t="s">
        <v>135</v>
      </c>
      <c r="C60" s="873" t="s">
        <v>160</v>
      </c>
      <c r="D60" s="888" t="s">
        <v>136</v>
      </c>
      <c r="E60" s="889">
        <v>2</v>
      </c>
      <c r="F60" s="890">
        <v>6</v>
      </c>
      <c r="G60" s="91" t="str">
        <f>IFERROR(VLOOKUP(C60,'Piping Class'!$90:$102,2,0),"")</f>
        <v/>
      </c>
      <c r="H60" s="873" t="s">
        <v>137</v>
      </c>
      <c r="I60" s="873" t="s">
        <v>138</v>
      </c>
      <c r="J60" s="873"/>
      <c r="K60" s="873" t="s">
        <v>156</v>
      </c>
      <c r="L60" s="873" t="s">
        <v>140</v>
      </c>
      <c r="M60" s="874" t="s">
        <v>141</v>
      </c>
      <c r="N60" s="873" t="s">
        <v>96</v>
      </c>
      <c r="O60" s="873" t="s">
        <v>158</v>
      </c>
      <c r="P60" s="873" t="s">
        <v>159</v>
      </c>
      <c r="Q60" s="873" t="s">
        <v>144</v>
      </c>
      <c r="R60" s="873" t="s">
        <v>145</v>
      </c>
      <c r="S60" s="873" t="s">
        <v>97</v>
      </c>
      <c r="T60" s="873" t="s">
        <v>98</v>
      </c>
      <c r="U60" s="873" t="s">
        <v>98</v>
      </c>
      <c r="V60" s="878" t="s">
        <v>101</v>
      </c>
      <c r="W60" s="879"/>
      <c r="X60" s="874"/>
      <c r="Y60" s="873">
        <v>3</v>
      </c>
      <c r="Z60" s="873" t="s">
        <v>146</v>
      </c>
      <c r="AA60" s="874"/>
      <c r="AB60" s="21" t="str">
        <f>IFERROR(VLOOKUP(C60,'Piping Class'!$90:$102,7,0),"")</f>
        <v/>
      </c>
      <c r="AC60" s="874"/>
      <c r="AD60" s="878"/>
    </row>
    <row r="61" spans="1:30" x14ac:dyDescent="0.3">
      <c r="A61" s="319">
        <v>60</v>
      </c>
      <c r="B61" s="886" t="s">
        <v>135</v>
      </c>
      <c r="C61" s="873" t="s">
        <v>160</v>
      </c>
      <c r="D61" s="888" t="s">
        <v>136</v>
      </c>
      <c r="E61" s="889">
        <v>8</v>
      </c>
      <c r="F61" s="890">
        <v>24</v>
      </c>
      <c r="G61" s="91" t="str">
        <f>IFERROR(VLOOKUP(C61,'Piping Class'!$90:$102,2,0),"")</f>
        <v/>
      </c>
      <c r="H61" s="873" t="s">
        <v>137</v>
      </c>
      <c r="I61" s="873" t="s">
        <v>138</v>
      </c>
      <c r="J61" s="873"/>
      <c r="K61" s="873" t="s">
        <v>156</v>
      </c>
      <c r="L61" s="873" t="s">
        <v>140</v>
      </c>
      <c r="M61" s="874" t="s">
        <v>141</v>
      </c>
      <c r="N61" s="873" t="s">
        <v>96</v>
      </c>
      <c r="O61" s="873" t="s">
        <v>158</v>
      </c>
      <c r="P61" s="873" t="s">
        <v>159</v>
      </c>
      <c r="Q61" s="873" t="s">
        <v>144</v>
      </c>
      <c r="R61" s="873" t="s">
        <v>145</v>
      </c>
      <c r="S61" s="873" t="s">
        <v>97</v>
      </c>
      <c r="T61" s="873" t="s">
        <v>98</v>
      </c>
      <c r="U61" s="873" t="s">
        <v>98</v>
      </c>
      <c r="V61" s="878" t="s">
        <v>101</v>
      </c>
      <c r="W61" s="879"/>
      <c r="X61" s="874"/>
      <c r="Y61" s="873">
        <v>3</v>
      </c>
      <c r="Z61" s="873" t="s">
        <v>146</v>
      </c>
      <c r="AA61" s="874"/>
      <c r="AB61" s="21" t="str">
        <f>IFERROR(VLOOKUP(C61,'Piping Class'!$90:$102,7,0),"")</f>
        <v/>
      </c>
      <c r="AC61" s="874"/>
      <c r="AD61" s="878"/>
    </row>
    <row r="62" spans="1:30" x14ac:dyDescent="0.3">
      <c r="A62" s="318">
        <v>61</v>
      </c>
      <c r="B62" s="891"/>
      <c r="C62" s="892"/>
      <c r="D62" s="888"/>
      <c r="E62" s="893"/>
      <c r="F62" s="894"/>
      <c r="G62" s="91" t="str">
        <f>IFERROR(VLOOKUP(C62,'Piping Class'!$90:$102,2,0),"")</f>
        <v/>
      </c>
      <c r="H62" s="874"/>
      <c r="I62" s="874"/>
      <c r="J62" s="874"/>
      <c r="K62" s="874"/>
      <c r="L62" s="874"/>
      <c r="M62" s="874"/>
      <c r="N62" s="874"/>
      <c r="O62" s="874"/>
      <c r="P62" s="874"/>
      <c r="Q62" s="874"/>
      <c r="R62" s="874"/>
      <c r="S62" s="874"/>
      <c r="T62" s="874"/>
      <c r="U62" s="874"/>
      <c r="V62" s="878"/>
      <c r="W62" s="879"/>
      <c r="X62" s="874"/>
      <c r="Y62" s="874"/>
      <c r="Z62" s="874"/>
      <c r="AA62" s="874"/>
      <c r="AB62" s="21" t="str">
        <f>IFERROR(VLOOKUP(C62,'Piping Class'!$90:$102,7,0),"")</f>
        <v/>
      </c>
      <c r="AC62" s="874"/>
      <c r="AD62" s="878"/>
    </row>
    <row r="63" spans="1:30" x14ac:dyDescent="0.3">
      <c r="A63" s="319">
        <v>62</v>
      </c>
      <c r="B63" s="886" t="s">
        <v>135</v>
      </c>
      <c r="C63" s="873" t="s">
        <v>61</v>
      </c>
      <c r="D63" s="888" t="s">
        <v>136</v>
      </c>
      <c r="E63" s="889">
        <v>0.5</v>
      </c>
      <c r="F63" s="890">
        <v>1.5</v>
      </c>
      <c r="G63" s="91">
        <f>IFERROR(VLOOKUP(C63,'Piping Class'!$90:$102,2,0),"")</f>
        <v>150</v>
      </c>
      <c r="H63" s="873" t="s">
        <v>137</v>
      </c>
      <c r="I63" s="873" t="s">
        <v>138</v>
      </c>
      <c r="J63" s="873"/>
      <c r="K63" s="873" t="s">
        <v>139</v>
      </c>
      <c r="L63" s="873" t="s">
        <v>140</v>
      </c>
      <c r="M63" s="874" t="s">
        <v>141</v>
      </c>
      <c r="N63" s="873" t="s">
        <v>96</v>
      </c>
      <c r="O63" s="873" t="s">
        <v>142</v>
      </c>
      <c r="P63" s="873" t="s">
        <v>143</v>
      </c>
      <c r="Q63" s="873" t="s">
        <v>144</v>
      </c>
      <c r="R63" s="873" t="s">
        <v>145</v>
      </c>
      <c r="S63" s="873" t="s">
        <v>97</v>
      </c>
      <c r="T63" s="873" t="s">
        <v>98</v>
      </c>
      <c r="U63" s="873" t="s">
        <v>98</v>
      </c>
      <c r="V63" s="878" t="s">
        <v>101</v>
      </c>
      <c r="W63" s="879"/>
      <c r="X63" s="874"/>
      <c r="Y63" s="873">
        <v>3</v>
      </c>
      <c r="Z63" s="873" t="s">
        <v>146</v>
      </c>
      <c r="AA63" s="874"/>
      <c r="AB63" s="21" t="str">
        <f>IFERROR(VLOOKUP(C63,'Piping Class'!$90:$102,7,0),"")</f>
        <v>CS</v>
      </c>
      <c r="AC63" s="874"/>
      <c r="AD63" s="878"/>
    </row>
    <row r="64" spans="1:30" x14ac:dyDescent="0.3">
      <c r="A64" s="319">
        <v>63</v>
      </c>
      <c r="B64" s="886" t="s">
        <v>135</v>
      </c>
      <c r="C64" s="873" t="s">
        <v>61</v>
      </c>
      <c r="D64" s="888" t="s">
        <v>136</v>
      </c>
      <c r="E64" s="889">
        <v>2</v>
      </c>
      <c r="F64" s="890">
        <v>6</v>
      </c>
      <c r="G64" s="91">
        <f>IFERROR(VLOOKUP(C64,'Piping Class'!$90:$102,2,0),"")</f>
        <v>150</v>
      </c>
      <c r="H64" s="873" t="s">
        <v>137</v>
      </c>
      <c r="I64" s="873" t="s">
        <v>138</v>
      </c>
      <c r="J64" s="873"/>
      <c r="K64" s="873" t="s">
        <v>139</v>
      </c>
      <c r="L64" s="873" t="s">
        <v>140</v>
      </c>
      <c r="M64" s="874" t="s">
        <v>141</v>
      </c>
      <c r="N64" s="873" t="s">
        <v>96</v>
      </c>
      <c r="O64" s="873" t="s">
        <v>142</v>
      </c>
      <c r="P64" s="873" t="s">
        <v>143</v>
      </c>
      <c r="Q64" s="873" t="s">
        <v>144</v>
      </c>
      <c r="R64" s="873" t="s">
        <v>145</v>
      </c>
      <c r="S64" s="873" t="s">
        <v>97</v>
      </c>
      <c r="T64" s="873" t="s">
        <v>98</v>
      </c>
      <c r="U64" s="873" t="s">
        <v>98</v>
      </c>
      <c r="V64" s="878" t="s">
        <v>101</v>
      </c>
      <c r="W64" s="879"/>
      <c r="X64" s="874"/>
      <c r="Y64" s="873">
        <v>3</v>
      </c>
      <c r="Z64" s="873" t="s">
        <v>146</v>
      </c>
      <c r="AA64" s="874"/>
      <c r="AB64" s="21" t="str">
        <f>IFERROR(VLOOKUP(C64,'Piping Class'!$90:$102,7,0),"")</f>
        <v>CS</v>
      </c>
      <c r="AC64" s="874"/>
      <c r="AD64" s="878"/>
    </row>
    <row r="65" spans="1:30" x14ac:dyDescent="0.3">
      <c r="A65" s="318">
        <v>64</v>
      </c>
      <c r="B65" s="886" t="s">
        <v>135</v>
      </c>
      <c r="C65" s="873" t="s">
        <v>61</v>
      </c>
      <c r="D65" s="888" t="s">
        <v>136</v>
      </c>
      <c r="E65" s="889">
        <v>8</v>
      </c>
      <c r="F65" s="890">
        <v>24</v>
      </c>
      <c r="G65" s="91">
        <f>IFERROR(VLOOKUP(C65,'Piping Class'!$90:$102,2,0),"")</f>
        <v>150</v>
      </c>
      <c r="H65" s="873" t="s">
        <v>137</v>
      </c>
      <c r="I65" s="873" t="s">
        <v>138</v>
      </c>
      <c r="J65" s="873"/>
      <c r="K65" s="873" t="s">
        <v>139</v>
      </c>
      <c r="L65" s="873" t="s">
        <v>140</v>
      </c>
      <c r="M65" s="874" t="s">
        <v>141</v>
      </c>
      <c r="N65" s="873" t="s">
        <v>96</v>
      </c>
      <c r="O65" s="873" t="s">
        <v>142</v>
      </c>
      <c r="P65" s="873" t="s">
        <v>143</v>
      </c>
      <c r="Q65" s="873" t="s">
        <v>144</v>
      </c>
      <c r="R65" s="873" t="s">
        <v>145</v>
      </c>
      <c r="S65" s="873" t="s">
        <v>97</v>
      </c>
      <c r="T65" s="873" t="s">
        <v>98</v>
      </c>
      <c r="U65" s="873" t="s">
        <v>98</v>
      </c>
      <c r="V65" s="878" t="s">
        <v>101</v>
      </c>
      <c r="W65" s="879"/>
      <c r="X65" s="874"/>
      <c r="Y65" s="873">
        <v>3</v>
      </c>
      <c r="Z65" s="873" t="s">
        <v>146</v>
      </c>
      <c r="AA65" s="874"/>
      <c r="AB65" s="21" t="str">
        <f>IFERROR(VLOOKUP(C65,'Piping Class'!$90:$102,7,0),"")</f>
        <v>CS</v>
      </c>
      <c r="AC65" s="874"/>
      <c r="AD65" s="878"/>
    </row>
    <row r="66" spans="1:30" x14ac:dyDescent="0.3">
      <c r="A66" s="319">
        <v>65</v>
      </c>
      <c r="B66" s="891"/>
      <c r="C66" s="892"/>
      <c r="D66" s="888"/>
      <c r="E66" s="893"/>
      <c r="F66" s="896"/>
      <c r="G66" s="91" t="str">
        <f>IFERROR(VLOOKUP(C66,'Piping Class'!$90:$102,2,0),"")</f>
        <v/>
      </c>
      <c r="H66" s="874"/>
      <c r="I66" s="874"/>
      <c r="J66" s="874"/>
      <c r="K66" s="874"/>
      <c r="L66" s="874"/>
      <c r="M66" s="874"/>
      <c r="N66" s="874"/>
      <c r="O66" s="874"/>
      <c r="P66" s="874"/>
      <c r="Q66" s="874"/>
      <c r="R66" s="874"/>
      <c r="S66" s="874"/>
      <c r="T66" s="874"/>
      <c r="U66" s="874"/>
      <c r="V66" s="878"/>
      <c r="W66" s="879"/>
      <c r="X66" s="874"/>
      <c r="Y66" s="874"/>
      <c r="Z66" s="874"/>
      <c r="AA66" s="874"/>
      <c r="AB66" s="21" t="str">
        <f>IFERROR(VLOOKUP(C66,'Piping Class'!$90:$102,7,0),"")</f>
        <v/>
      </c>
      <c r="AC66" s="874"/>
      <c r="AD66" s="878"/>
    </row>
    <row r="67" spans="1:30" x14ac:dyDescent="0.3">
      <c r="A67" s="319">
        <v>66</v>
      </c>
      <c r="B67" s="886" t="s">
        <v>154</v>
      </c>
      <c r="C67" s="873" t="s">
        <v>161</v>
      </c>
      <c r="D67" s="888"/>
      <c r="E67" s="889">
        <v>0.5</v>
      </c>
      <c r="F67" s="890">
        <v>24</v>
      </c>
      <c r="G67" s="91" t="str">
        <f>IFERROR(VLOOKUP(C67,'Piping Class'!$90:$102,2,0),"")</f>
        <v/>
      </c>
      <c r="H67" s="873" t="s">
        <v>152</v>
      </c>
      <c r="I67" s="873"/>
      <c r="J67" s="873"/>
      <c r="K67" s="873" t="s">
        <v>156</v>
      </c>
      <c r="L67" s="873" t="s">
        <v>140</v>
      </c>
      <c r="M67" s="874" t="s">
        <v>141</v>
      </c>
      <c r="N67" s="873" t="s">
        <v>96</v>
      </c>
      <c r="O67" s="873"/>
      <c r="P67" s="873" t="s">
        <v>153</v>
      </c>
      <c r="Q67" s="873" t="s">
        <v>144</v>
      </c>
      <c r="R67" s="873" t="s">
        <v>145</v>
      </c>
      <c r="S67" s="873" t="s">
        <v>97</v>
      </c>
      <c r="T67" s="873" t="s">
        <v>98</v>
      </c>
      <c r="U67" s="873" t="s">
        <v>98</v>
      </c>
      <c r="V67" s="878" t="s">
        <v>101</v>
      </c>
      <c r="W67" s="879"/>
      <c r="X67" s="874"/>
      <c r="Y67" s="873">
        <v>3</v>
      </c>
      <c r="Z67" s="873" t="s">
        <v>146</v>
      </c>
      <c r="AA67" s="874"/>
      <c r="AB67" s="21" t="str">
        <f>IFERROR(VLOOKUP(C67,'Piping Class'!$90:$102,7,0),"")</f>
        <v/>
      </c>
      <c r="AC67" s="874"/>
      <c r="AD67" s="878"/>
    </row>
    <row r="68" spans="1:30" x14ac:dyDescent="0.3">
      <c r="A68" s="318">
        <v>67</v>
      </c>
      <c r="B68" s="886"/>
      <c r="C68" s="873"/>
      <c r="D68" s="888"/>
      <c r="E68" s="889"/>
      <c r="F68" s="890"/>
      <c r="G68" s="91" t="str">
        <f>IFERROR(VLOOKUP(C68,'Piping Class'!$90:$102,2,0),"")</f>
        <v/>
      </c>
      <c r="H68" s="874"/>
      <c r="I68" s="874"/>
      <c r="J68" s="874"/>
      <c r="K68" s="874"/>
      <c r="L68" s="874"/>
      <c r="M68" s="874"/>
      <c r="N68" s="874"/>
      <c r="O68" s="874"/>
      <c r="P68" s="874"/>
      <c r="Q68" s="874"/>
      <c r="R68" s="874"/>
      <c r="S68" s="874"/>
      <c r="T68" s="874"/>
      <c r="U68" s="874"/>
      <c r="V68" s="878"/>
      <c r="W68" s="879"/>
      <c r="X68" s="874"/>
      <c r="Y68" s="874"/>
      <c r="Z68" s="874"/>
      <c r="AA68" s="874"/>
      <c r="AB68" s="21" t="str">
        <f>IFERROR(VLOOKUP(C68,'Piping Class'!$90:$102,7,0),"")</f>
        <v/>
      </c>
      <c r="AC68" s="874"/>
      <c r="AD68" s="878"/>
    </row>
    <row r="69" spans="1:30" x14ac:dyDescent="0.3">
      <c r="A69" s="319">
        <v>68</v>
      </c>
      <c r="B69" s="886"/>
      <c r="C69" s="873"/>
      <c r="D69" s="888"/>
      <c r="E69" s="889"/>
      <c r="F69" s="890"/>
      <c r="G69" s="91" t="str">
        <f>IFERROR(VLOOKUP(C69,'Piping Class'!$90:$102,2,0),"")</f>
        <v/>
      </c>
      <c r="H69" s="874"/>
      <c r="I69" s="874"/>
      <c r="J69" s="874"/>
      <c r="K69" s="874"/>
      <c r="L69" s="874"/>
      <c r="M69" s="874"/>
      <c r="N69" s="874"/>
      <c r="O69" s="874"/>
      <c r="P69" s="874"/>
      <c r="Q69" s="874"/>
      <c r="R69" s="874"/>
      <c r="S69" s="874"/>
      <c r="T69" s="874"/>
      <c r="U69" s="874"/>
      <c r="V69" s="878"/>
      <c r="W69" s="879"/>
      <c r="X69" s="874"/>
      <c r="Y69" s="874"/>
      <c r="Z69" s="874"/>
      <c r="AA69" s="874"/>
      <c r="AB69" s="21" t="str">
        <f>IFERROR(VLOOKUP(C69,'Piping Class'!$90:$102,7,0),"")</f>
        <v/>
      </c>
      <c r="AC69" s="874"/>
      <c r="AD69" s="878"/>
    </row>
    <row r="70" spans="1:30" x14ac:dyDescent="0.3">
      <c r="A70" s="319">
        <v>69</v>
      </c>
      <c r="B70" s="886"/>
      <c r="C70" s="873"/>
      <c r="D70" s="888"/>
      <c r="E70" s="889"/>
      <c r="F70" s="890"/>
      <c r="G70" s="91" t="str">
        <f>IFERROR(VLOOKUP(C70,'Piping Class'!$90:$102,2,0),"")</f>
        <v/>
      </c>
      <c r="H70" s="874"/>
      <c r="I70" s="874"/>
      <c r="J70" s="874"/>
      <c r="K70" s="874"/>
      <c r="L70" s="874"/>
      <c r="M70" s="874"/>
      <c r="N70" s="874"/>
      <c r="O70" s="874"/>
      <c r="P70" s="874"/>
      <c r="Q70" s="874"/>
      <c r="R70" s="874"/>
      <c r="S70" s="874"/>
      <c r="T70" s="874"/>
      <c r="U70" s="874"/>
      <c r="V70" s="878"/>
      <c r="W70" s="879"/>
      <c r="X70" s="874"/>
      <c r="Y70" s="874"/>
      <c r="Z70" s="874"/>
      <c r="AA70" s="874"/>
      <c r="AB70" s="21" t="str">
        <f>IFERROR(VLOOKUP(C70,'Piping Class'!$90:$102,7,0),"")</f>
        <v/>
      </c>
      <c r="AC70" s="874"/>
      <c r="AD70" s="878"/>
    </row>
    <row r="71" spans="1:30" x14ac:dyDescent="0.3">
      <c r="A71" s="318">
        <v>70</v>
      </c>
      <c r="B71" s="891"/>
      <c r="C71" s="892"/>
      <c r="D71" s="888"/>
      <c r="E71" s="893"/>
      <c r="F71" s="896"/>
      <c r="G71" s="91" t="str">
        <f>IFERROR(VLOOKUP(C71,'Piping Class'!$90:$102,2,0),"")</f>
        <v/>
      </c>
      <c r="H71" s="874"/>
      <c r="I71" s="874"/>
      <c r="J71" s="874"/>
      <c r="K71" s="874"/>
      <c r="L71" s="874"/>
      <c r="M71" s="874"/>
      <c r="N71" s="874"/>
      <c r="O71" s="874"/>
      <c r="P71" s="874"/>
      <c r="Q71" s="874"/>
      <c r="R71" s="874"/>
      <c r="S71" s="874"/>
      <c r="T71" s="874"/>
      <c r="U71" s="874"/>
      <c r="V71" s="878"/>
      <c r="W71" s="879"/>
      <c r="X71" s="874"/>
      <c r="Y71" s="874"/>
      <c r="Z71" s="874"/>
      <c r="AA71" s="874"/>
      <c r="AB71" s="21" t="str">
        <f>IFERROR(VLOOKUP(C71,'Piping Class'!$90:$102,7,0),"")</f>
        <v/>
      </c>
      <c r="AC71" s="874"/>
      <c r="AD71" s="878"/>
    </row>
    <row r="72" spans="1:30" x14ac:dyDescent="0.3">
      <c r="A72" s="319">
        <v>71</v>
      </c>
      <c r="B72" s="891"/>
      <c r="C72" s="892"/>
      <c r="D72" s="888"/>
      <c r="E72" s="893"/>
      <c r="F72" s="896"/>
      <c r="G72" s="91" t="str">
        <f>IFERROR(VLOOKUP(C72,'Piping Class'!$90:$102,2,0),"")</f>
        <v/>
      </c>
      <c r="H72" s="874"/>
      <c r="I72" s="874"/>
      <c r="J72" s="874"/>
      <c r="K72" s="874"/>
      <c r="L72" s="874"/>
      <c r="M72" s="874"/>
      <c r="N72" s="874"/>
      <c r="O72" s="874"/>
      <c r="P72" s="874"/>
      <c r="Q72" s="874"/>
      <c r="R72" s="874"/>
      <c r="S72" s="874"/>
      <c r="T72" s="874"/>
      <c r="U72" s="874"/>
      <c r="V72" s="878"/>
      <c r="W72" s="879"/>
      <c r="X72" s="874"/>
      <c r="Y72" s="874"/>
      <c r="Z72" s="874"/>
      <c r="AA72" s="874"/>
      <c r="AB72" s="21" t="str">
        <f>IFERROR(VLOOKUP(C72,'Piping Class'!$90:$102,7,0),"")</f>
        <v/>
      </c>
      <c r="AC72" s="874"/>
      <c r="AD72" s="878"/>
    </row>
    <row r="73" spans="1:30" x14ac:dyDescent="0.3">
      <c r="A73" s="319">
        <v>72</v>
      </c>
      <c r="B73" s="891"/>
      <c r="C73" s="892"/>
      <c r="D73" s="888"/>
      <c r="E73" s="893"/>
      <c r="F73" s="896"/>
      <c r="G73" s="91" t="str">
        <f>IFERROR(VLOOKUP(C73,'Piping Class'!$90:$102,2,0),"")</f>
        <v/>
      </c>
      <c r="H73" s="874"/>
      <c r="I73" s="874"/>
      <c r="J73" s="874"/>
      <c r="K73" s="874"/>
      <c r="L73" s="874"/>
      <c r="M73" s="874"/>
      <c r="N73" s="874"/>
      <c r="O73" s="874"/>
      <c r="P73" s="874"/>
      <c r="Q73" s="874"/>
      <c r="R73" s="874"/>
      <c r="S73" s="874"/>
      <c r="T73" s="874"/>
      <c r="U73" s="874"/>
      <c r="V73" s="878"/>
      <c r="W73" s="879"/>
      <c r="X73" s="874"/>
      <c r="Y73" s="874"/>
      <c r="Z73" s="874"/>
      <c r="AA73" s="874"/>
      <c r="AB73" s="21" t="str">
        <f>IFERROR(VLOOKUP(C73,'Piping Class'!$90:$102,7,0),"")</f>
        <v/>
      </c>
      <c r="AC73" s="874"/>
      <c r="AD73" s="878"/>
    </row>
    <row r="74" spans="1:30" x14ac:dyDescent="0.3">
      <c r="A74" s="318">
        <v>73</v>
      </c>
      <c r="B74" s="891"/>
      <c r="C74" s="892"/>
      <c r="D74" s="888"/>
      <c r="E74" s="893"/>
      <c r="F74" s="896"/>
      <c r="G74" s="91" t="str">
        <f>IFERROR(VLOOKUP(C74,'Piping Class'!$90:$102,2,0),"")</f>
        <v/>
      </c>
      <c r="H74" s="874"/>
      <c r="I74" s="874"/>
      <c r="J74" s="874"/>
      <c r="K74" s="874"/>
      <c r="L74" s="874"/>
      <c r="M74" s="874"/>
      <c r="N74" s="874"/>
      <c r="O74" s="874"/>
      <c r="P74" s="874"/>
      <c r="Q74" s="874"/>
      <c r="R74" s="874"/>
      <c r="S74" s="874"/>
      <c r="T74" s="874"/>
      <c r="U74" s="874"/>
      <c r="V74" s="878"/>
      <c r="W74" s="879"/>
      <c r="X74" s="874"/>
      <c r="Y74" s="874"/>
      <c r="Z74" s="874"/>
      <c r="AA74" s="874"/>
      <c r="AB74" s="21" t="str">
        <f>IFERROR(VLOOKUP(C74,'Piping Class'!$90:$102,7,0),"")</f>
        <v/>
      </c>
      <c r="AC74" s="874"/>
      <c r="AD74" s="878"/>
    </row>
    <row r="75" spans="1:30" x14ac:dyDescent="0.3">
      <c r="A75" s="319">
        <v>74</v>
      </c>
      <c r="B75" s="891"/>
      <c r="C75" s="892"/>
      <c r="D75" s="888"/>
      <c r="E75" s="893"/>
      <c r="F75" s="896"/>
      <c r="G75" s="91" t="str">
        <f>IFERROR(VLOOKUP(C75,'Piping Class'!$90:$102,2,0),"")</f>
        <v/>
      </c>
      <c r="H75" s="874"/>
      <c r="I75" s="874"/>
      <c r="J75" s="874"/>
      <c r="K75" s="874"/>
      <c r="L75" s="874"/>
      <c r="M75" s="874"/>
      <c r="N75" s="874"/>
      <c r="O75" s="874"/>
      <c r="P75" s="874"/>
      <c r="Q75" s="874"/>
      <c r="R75" s="874"/>
      <c r="S75" s="874"/>
      <c r="T75" s="874"/>
      <c r="U75" s="874"/>
      <c r="V75" s="878"/>
      <c r="W75" s="879"/>
      <c r="X75" s="874"/>
      <c r="Y75" s="874"/>
      <c r="Z75" s="874"/>
      <c r="AA75" s="874"/>
      <c r="AB75" s="21" t="str">
        <f>IFERROR(VLOOKUP(C75,'Piping Class'!$90:$102,7,0),"")</f>
        <v/>
      </c>
      <c r="AC75" s="874"/>
      <c r="AD75" s="878"/>
    </row>
    <row r="76" spans="1:30" x14ac:dyDescent="0.3">
      <c r="A76" s="319">
        <v>75</v>
      </c>
      <c r="B76" s="891"/>
      <c r="C76" s="892"/>
      <c r="D76" s="888"/>
      <c r="E76" s="893"/>
      <c r="F76" s="896"/>
      <c r="G76" s="91" t="str">
        <f>IFERROR(VLOOKUP(C76,'Piping Class'!$90:$102,2,0),"")</f>
        <v/>
      </c>
      <c r="H76" s="874"/>
      <c r="I76" s="874"/>
      <c r="J76" s="874"/>
      <c r="K76" s="874"/>
      <c r="L76" s="874"/>
      <c r="M76" s="874"/>
      <c r="N76" s="874"/>
      <c r="O76" s="874"/>
      <c r="P76" s="874"/>
      <c r="Q76" s="874"/>
      <c r="R76" s="874"/>
      <c r="S76" s="874"/>
      <c r="T76" s="874"/>
      <c r="U76" s="874"/>
      <c r="V76" s="878"/>
      <c r="W76" s="879"/>
      <c r="X76" s="874"/>
      <c r="Y76" s="874"/>
      <c r="Z76" s="874"/>
      <c r="AA76" s="874"/>
      <c r="AB76" s="21" t="str">
        <f>IFERROR(VLOOKUP(C76,'Piping Class'!$90:$102,7,0),"")</f>
        <v/>
      </c>
      <c r="AC76" s="874"/>
      <c r="AD76" s="878"/>
    </row>
    <row r="77" spans="1:30" x14ac:dyDescent="0.3">
      <c r="A77" s="318">
        <v>76</v>
      </c>
      <c r="B77" s="891"/>
      <c r="C77" s="892"/>
      <c r="D77" s="888"/>
      <c r="E77" s="893"/>
      <c r="F77" s="896"/>
      <c r="G77" s="91" t="str">
        <f>IFERROR(VLOOKUP(C77,'Piping Class'!$90:$102,2,0),"")</f>
        <v/>
      </c>
      <c r="H77" s="874"/>
      <c r="I77" s="874"/>
      <c r="J77" s="874"/>
      <c r="K77" s="874"/>
      <c r="L77" s="874"/>
      <c r="M77" s="874"/>
      <c r="N77" s="874"/>
      <c r="O77" s="874"/>
      <c r="P77" s="874"/>
      <c r="Q77" s="874"/>
      <c r="R77" s="874"/>
      <c r="S77" s="874"/>
      <c r="T77" s="874"/>
      <c r="U77" s="874"/>
      <c r="V77" s="878"/>
      <c r="W77" s="879"/>
      <c r="X77" s="874"/>
      <c r="Y77" s="874"/>
      <c r="Z77" s="874"/>
      <c r="AA77" s="874"/>
      <c r="AB77" s="21" t="str">
        <f>IFERROR(VLOOKUP(C77,'Piping Class'!$90:$102,7,0),"")</f>
        <v/>
      </c>
      <c r="AC77" s="874"/>
      <c r="AD77" s="878"/>
    </row>
    <row r="78" spans="1:30" x14ac:dyDescent="0.3">
      <c r="A78" s="319">
        <v>77</v>
      </c>
      <c r="B78" s="891"/>
      <c r="C78" s="892"/>
      <c r="D78" s="888"/>
      <c r="E78" s="893"/>
      <c r="F78" s="896"/>
      <c r="G78" s="91" t="str">
        <f>IFERROR(VLOOKUP(C78,'Piping Class'!$90:$102,2,0),"")</f>
        <v/>
      </c>
      <c r="H78" s="874"/>
      <c r="I78" s="874"/>
      <c r="J78" s="874"/>
      <c r="K78" s="874"/>
      <c r="L78" s="874"/>
      <c r="M78" s="874"/>
      <c r="N78" s="874"/>
      <c r="O78" s="874"/>
      <c r="P78" s="874"/>
      <c r="Q78" s="874"/>
      <c r="R78" s="874"/>
      <c r="S78" s="874"/>
      <c r="T78" s="874"/>
      <c r="U78" s="874"/>
      <c r="V78" s="878"/>
      <c r="W78" s="879"/>
      <c r="X78" s="874"/>
      <c r="Y78" s="874"/>
      <c r="Z78" s="874"/>
      <c r="AA78" s="874"/>
      <c r="AB78" s="21" t="str">
        <f>IFERROR(VLOOKUP(C78,'Piping Class'!$90:$102,7,0),"")</f>
        <v/>
      </c>
      <c r="AC78" s="874"/>
      <c r="AD78" s="878"/>
    </row>
    <row r="79" spans="1:30" x14ac:dyDescent="0.3">
      <c r="A79" s="319">
        <v>78</v>
      </c>
      <c r="B79" s="891"/>
      <c r="C79" s="892"/>
      <c r="D79" s="888"/>
      <c r="E79" s="893"/>
      <c r="F79" s="896"/>
      <c r="G79" s="91" t="str">
        <f>IFERROR(VLOOKUP(C79,'Piping Class'!$90:$102,2,0),"")</f>
        <v/>
      </c>
      <c r="H79" s="874"/>
      <c r="I79" s="874"/>
      <c r="J79" s="874"/>
      <c r="K79" s="874"/>
      <c r="L79" s="874"/>
      <c r="M79" s="874"/>
      <c r="N79" s="874"/>
      <c r="O79" s="874"/>
      <c r="P79" s="874"/>
      <c r="Q79" s="874"/>
      <c r="R79" s="874"/>
      <c r="S79" s="874"/>
      <c r="T79" s="874"/>
      <c r="U79" s="874"/>
      <c r="V79" s="878"/>
      <c r="W79" s="879"/>
      <c r="X79" s="874"/>
      <c r="Y79" s="874"/>
      <c r="Z79" s="874"/>
      <c r="AA79" s="874"/>
      <c r="AB79" s="21" t="str">
        <f>IFERROR(VLOOKUP(C79,'Piping Class'!$90:$102,7,0),"")</f>
        <v/>
      </c>
      <c r="AC79" s="874"/>
      <c r="AD79" s="878"/>
    </row>
    <row r="80" spans="1:30" x14ac:dyDescent="0.3">
      <c r="A80" s="318">
        <v>79</v>
      </c>
      <c r="B80" s="891"/>
      <c r="C80" s="892"/>
      <c r="D80" s="888"/>
      <c r="E80" s="893"/>
      <c r="F80" s="896"/>
      <c r="G80" s="91" t="str">
        <f>IFERROR(VLOOKUP(C80,'Piping Class'!$90:$102,2,0),"")</f>
        <v/>
      </c>
      <c r="H80" s="874"/>
      <c r="I80" s="874"/>
      <c r="J80" s="874"/>
      <c r="K80" s="874"/>
      <c r="L80" s="874"/>
      <c r="M80" s="874"/>
      <c r="N80" s="874"/>
      <c r="O80" s="874"/>
      <c r="P80" s="874"/>
      <c r="Q80" s="874"/>
      <c r="R80" s="874"/>
      <c r="S80" s="874"/>
      <c r="T80" s="874"/>
      <c r="U80" s="874"/>
      <c r="V80" s="878"/>
      <c r="W80" s="879"/>
      <c r="X80" s="874"/>
      <c r="Y80" s="874"/>
      <c r="Z80" s="874"/>
      <c r="AA80" s="874"/>
      <c r="AB80" s="21" t="str">
        <f>IFERROR(VLOOKUP(C80,'Piping Class'!$90:$102,7,0),"")</f>
        <v/>
      </c>
      <c r="AC80" s="874"/>
      <c r="AD80" s="878"/>
    </row>
    <row r="81" spans="1:30" x14ac:dyDescent="0.3">
      <c r="A81" s="319">
        <v>80</v>
      </c>
      <c r="B81" s="891"/>
      <c r="C81" s="892"/>
      <c r="D81" s="888"/>
      <c r="E81" s="893"/>
      <c r="F81" s="896"/>
      <c r="G81" s="91" t="str">
        <f>IFERROR(VLOOKUP(C81,'Piping Class'!$90:$102,2,0),"")</f>
        <v/>
      </c>
      <c r="H81" s="874"/>
      <c r="I81" s="874"/>
      <c r="J81" s="874"/>
      <c r="K81" s="874"/>
      <c r="L81" s="874"/>
      <c r="M81" s="874"/>
      <c r="N81" s="874"/>
      <c r="O81" s="874"/>
      <c r="P81" s="874"/>
      <c r="Q81" s="874"/>
      <c r="R81" s="874"/>
      <c r="S81" s="874"/>
      <c r="T81" s="874"/>
      <c r="U81" s="874"/>
      <c r="V81" s="878"/>
      <c r="W81" s="879"/>
      <c r="X81" s="874"/>
      <c r="Y81" s="874"/>
      <c r="Z81" s="874"/>
      <c r="AA81" s="874"/>
      <c r="AB81" s="21" t="str">
        <f>IFERROR(VLOOKUP(C81,'Piping Class'!$90:$102,7,0),"")</f>
        <v/>
      </c>
      <c r="AC81" s="874"/>
      <c r="AD81" s="878"/>
    </row>
    <row r="82" spans="1:30" x14ac:dyDescent="0.3">
      <c r="A82" s="319">
        <v>81</v>
      </c>
      <c r="B82" s="891"/>
      <c r="C82" s="892"/>
      <c r="D82" s="888"/>
      <c r="E82" s="893"/>
      <c r="F82" s="896"/>
      <c r="G82" s="91" t="str">
        <f>IFERROR(VLOOKUP(C82,'Piping Class'!$90:$102,2,0),"")</f>
        <v/>
      </c>
      <c r="H82" s="874"/>
      <c r="I82" s="874"/>
      <c r="J82" s="874"/>
      <c r="K82" s="874"/>
      <c r="L82" s="874"/>
      <c r="M82" s="874"/>
      <c r="N82" s="874"/>
      <c r="O82" s="874"/>
      <c r="P82" s="874"/>
      <c r="Q82" s="874"/>
      <c r="R82" s="874"/>
      <c r="S82" s="874"/>
      <c r="T82" s="874"/>
      <c r="U82" s="874"/>
      <c r="V82" s="878"/>
      <c r="W82" s="879"/>
      <c r="X82" s="874"/>
      <c r="Y82" s="874"/>
      <c r="Z82" s="874"/>
      <c r="AA82" s="874"/>
      <c r="AB82" s="21" t="str">
        <f>IFERROR(VLOOKUP(C82,'Piping Class'!$90:$102,7,0),"")</f>
        <v/>
      </c>
      <c r="AC82" s="874"/>
      <c r="AD82" s="878"/>
    </row>
    <row r="83" spans="1:30" x14ac:dyDescent="0.3">
      <c r="A83" s="318">
        <v>82</v>
      </c>
      <c r="B83" s="891"/>
      <c r="C83" s="892"/>
      <c r="D83" s="888"/>
      <c r="E83" s="893"/>
      <c r="F83" s="896"/>
      <c r="G83" s="91" t="str">
        <f>IFERROR(VLOOKUP(C83,'Piping Class'!$90:$102,2,0),"")</f>
        <v/>
      </c>
      <c r="H83" s="874"/>
      <c r="I83" s="874"/>
      <c r="J83" s="874"/>
      <c r="K83" s="874"/>
      <c r="L83" s="874"/>
      <c r="M83" s="874"/>
      <c r="N83" s="874"/>
      <c r="O83" s="874"/>
      <c r="P83" s="874"/>
      <c r="Q83" s="874"/>
      <c r="R83" s="874"/>
      <c r="S83" s="874"/>
      <c r="T83" s="874"/>
      <c r="U83" s="874"/>
      <c r="V83" s="878"/>
      <c r="W83" s="879"/>
      <c r="X83" s="874"/>
      <c r="Y83" s="874"/>
      <c r="Z83" s="874"/>
      <c r="AA83" s="874"/>
      <c r="AB83" s="21" t="str">
        <f>IFERROR(VLOOKUP(C83,'Piping Class'!$90:$102,7,0),"")</f>
        <v/>
      </c>
      <c r="AC83" s="874"/>
      <c r="AD83" s="878"/>
    </row>
    <row r="84" spans="1:30" x14ac:dyDescent="0.3">
      <c r="A84" s="319">
        <v>83</v>
      </c>
      <c r="B84" s="891"/>
      <c r="C84" s="892"/>
      <c r="D84" s="888"/>
      <c r="E84" s="893"/>
      <c r="F84" s="896"/>
      <c r="G84" s="91" t="str">
        <f>IFERROR(VLOOKUP(C84,'Piping Class'!$90:$102,2,0),"")</f>
        <v/>
      </c>
      <c r="H84" s="874"/>
      <c r="I84" s="874"/>
      <c r="J84" s="874"/>
      <c r="K84" s="874"/>
      <c r="L84" s="874"/>
      <c r="M84" s="874"/>
      <c r="N84" s="874"/>
      <c r="O84" s="874"/>
      <c r="P84" s="874"/>
      <c r="Q84" s="874"/>
      <c r="R84" s="874"/>
      <c r="S84" s="874"/>
      <c r="T84" s="874"/>
      <c r="U84" s="874"/>
      <c r="V84" s="878"/>
      <c r="W84" s="879"/>
      <c r="X84" s="874"/>
      <c r="Y84" s="874"/>
      <c r="Z84" s="874"/>
      <c r="AA84" s="874"/>
      <c r="AB84" s="21" t="str">
        <f>IFERROR(VLOOKUP(C84,'Piping Class'!$90:$102,7,0),"")</f>
        <v/>
      </c>
      <c r="AC84" s="874"/>
      <c r="AD84" s="878"/>
    </row>
    <row r="85" spans="1:30" x14ac:dyDescent="0.3">
      <c r="A85" s="319">
        <v>84</v>
      </c>
      <c r="B85" s="879"/>
      <c r="C85" s="892"/>
      <c r="D85" s="888"/>
      <c r="E85" s="893"/>
      <c r="F85" s="894"/>
      <c r="G85" s="91" t="str">
        <f>IFERROR(VLOOKUP(C85,'Piping Class'!$90:$102,2,0),"")</f>
        <v/>
      </c>
      <c r="H85" s="874"/>
      <c r="I85" s="874"/>
      <c r="J85" s="874"/>
      <c r="K85" s="874"/>
      <c r="L85" s="874"/>
      <c r="M85" s="874"/>
      <c r="N85" s="874"/>
      <c r="O85" s="874"/>
      <c r="P85" s="874"/>
      <c r="Q85" s="874"/>
      <c r="R85" s="874"/>
      <c r="S85" s="874"/>
      <c r="T85" s="874"/>
      <c r="U85" s="874"/>
      <c r="V85" s="878"/>
      <c r="W85" s="879"/>
      <c r="X85" s="874"/>
      <c r="Y85" s="874"/>
      <c r="Z85" s="874"/>
      <c r="AA85" s="874"/>
      <c r="AB85" s="21" t="str">
        <f>IFERROR(VLOOKUP(C85,'Piping Class'!$90:$102,7,0),"")</f>
        <v/>
      </c>
      <c r="AC85" s="874"/>
      <c r="AD85" s="878"/>
    </row>
    <row r="86" spans="1:30" x14ac:dyDescent="0.3">
      <c r="A86" s="318">
        <v>85</v>
      </c>
      <c r="B86" s="879"/>
      <c r="C86" s="892"/>
      <c r="D86" s="888"/>
      <c r="E86" s="893"/>
      <c r="F86" s="894"/>
      <c r="G86" s="91" t="str">
        <f>IFERROR(VLOOKUP(C86,'Piping Class'!$90:$102,2,0),"")</f>
        <v/>
      </c>
      <c r="H86" s="874"/>
      <c r="I86" s="874"/>
      <c r="J86" s="874"/>
      <c r="K86" s="873"/>
      <c r="L86" s="874"/>
      <c r="M86" s="874"/>
      <c r="N86" s="874"/>
      <c r="O86" s="874"/>
      <c r="P86" s="874"/>
      <c r="Q86" s="874"/>
      <c r="R86" s="874"/>
      <c r="S86" s="874"/>
      <c r="T86" s="874"/>
      <c r="U86" s="874"/>
      <c r="V86" s="878"/>
      <c r="W86" s="879"/>
      <c r="X86" s="874"/>
      <c r="Y86" s="874"/>
      <c r="Z86" s="874"/>
      <c r="AA86" s="874"/>
      <c r="AB86" s="21" t="str">
        <f>IFERROR(VLOOKUP(C86,'Piping Class'!$90:$102,7,0),"")</f>
        <v/>
      </c>
      <c r="AC86" s="874"/>
      <c r="AD86" s="878"/>
    </row>
    <row r="87" spans="1:30" x14ac:dyDescent="0.3">
      <c r="A87" s="319">
        <v>86</v>
      </c>
      <c r="B87" s="879"/>
      <c r="C87" s="892"/>
      <c r="D87" s="888"/>
      <c r="E87" s="893"/>
      <c r="F87" s="894"/>
      <c r="G87" s="91" t="str">
        <f>IFERROR(VLOOKUP(C87,'Piping Class'!$90:$102,2,0),"")</f>
        <v/>
      </c>
      <c r="H87" s="874"/>
      <c r="I87" s="874"/>
      <c r="J87" s="874"/>
      <c r="K87" s="874"/>
      <c r="L87" s="874"/>
      <c r="M87" s="874"/>
      <c r="N87" s="874"/>
      <c r="O87" s="874"/>
      <c r="P87" s="874"/>
      <c r="Q87" s="874"/>
      <c r="R87" s="874"/>
      <c r="S87" s="874"/>
      <c r="T87" s="874"/>
      <c r="U87" s="874"/>
      <c r="V87" s="878"/>
      <c r="W87" s="879"/>
      <c r="X87" s="874"/>
      <c r="Y87" s="874"/>
      <c r="Z87" s="874"/>
      <c r="AA87" s="874"/>
      <c r="AB87" s="21" t="str">
        <f>IFERROR(VLOOKUP(C87,'Piping Class'!$90:$102,7,0),"")</f>
        <v/>
      </c>
      <c r="AC87" s="874"/>
      <c r="AD87" s="878"/>
    </row>
    <row r="88" spans="1:30" x14ac:dyDescent="0.3">
      <c r="A88" s="319">
        <v>87</v>
      </c>
      <c r="B88" s="879"/>
      <c r="C88" s="892"/>
      <c r="D88" s="888"/>
      <c r="E88" s="893"/>
      <c r="F88" s="894"/>
      <c r="G88" s="91" t="str">
        <f>IFERROR(VLOOKUP(C88,'Piping Class'!$90:$102,2,0),"")</f>
        <v/>
      </c>
      <c r="H88" s="874"/>
      <c r="I88" s="874"/>
      <c r="J88" s="874"/>
      <c r="K88" s="873"/>
      <c r="L88" s="874"/>
      <c r="M88" s="874"/>
      <c r="N88" s="874"/>
      <c r="O88" s="874"/>
      <c r="P88" s="874"/>
      <c r="Q88" s="874"/>
      <c r="R88" s="874"/>
      <c r="S88" s="874"/>
      <c r="T88" s="874"/>
      <c r="U88" s="874"/>
      <c r="V88" s="878"/>
      <c r="W88" s="879"/>
      <c r="X88" s="874"/>
      <c r="Y88" s="874"/>
      <c r="Z88" s="874"/>
      <c r="AA88" s="874"/>
      <c r="AB88" s="21" t="str">
        <f>IFERROR(VLOOKUP(C88,'Piping Class'!$90:$102,7,0),"")</f>
        <v/>
      </c>
      <c r="AC88" s="874"/>
      <c r="AD88" s="878"/>
    </row>
    <row r="89" spans="1:30" x14ac:dyDescent="0.3">
      <c r="A89" s="318">
        <v>88</v>
      </c>
      <c r="B89" s="879"/>
      <c r="C89" s="892"/>
      <c r="D89" s="888"/>
      <c r="E89" s="893"/>
      <c r="F89" s="894"/>
      <c r="G89" s="91" t="str">
        <f>IFERROR(VLOOKUP(C89,'Piping Class'!$90:$102,2,0),"")</f>
        <v/>
      </c>
      <c r="H89" s="874"/>
      <c r="I89" s="874"/>
      <c r="J89" s="874"/>
      <c r="K89" s="874"/>
      <c r="L89" s="874"/>
      <c r="M89" s="874"/>
      <c r="N89" s="874"/>
      <c r="O89" s="874"/>
      <c r="P89" s="874"/>
      <c r="Q89" s="874"/>
      <c r="R89" s="874"/>
      <c r="S89" s="874"/>
      <c r="T89" s="874"/>
      <c r="U89" s="874"/>
      <c r="V89" s="878"/>
      <c r="W89" s="879"/>
      <c r="X89" s="874"/>
      <c r="Y89" s="874"/>
      <c r="Z89" s="874"/>
      <c r="AA89" s="874"/>
      <c r="AB89" s="21" t="str">
        <f>IFERROR(VLOOKUP(C89,'Piping Class'!$90:$102,7,0),"")</f>
        <v/>
      </c>
      <c r="AC89" s="874"/>
      <c r="AD89" s="878"/>
    </row>
    <row r="90" spans="1:30" x14ac:dyDescent="0.3">
      <c r="A90" s="319">
        <v>89</v>
      </c>
      <c r="B90" s="879"/>
      <c r="C90" s="892"/>
      <c r="D90" s="888"/>
      <c r="E90" s="893"/>
      <c r="F90" s="894"/>
      <c r="G90" s="91" t="str">
        <f>IFERROR(VLOOKUP(C90,'Piping Class'!$90:$102,2,0),"")</f>
        <v/>
      </c>
      <c r="H90" s="874"/>
      <c r="I90" s="874"/>
      <c r="J90" s="874"/>
      <c r="K90" s="873"/>
      <c r="L90" s="874"/>
      <c r="M90" s="874"/>
      <c r="N90" s="874"/>
      <c r="O90" s="874"/>
      <c r="P90" s="874"/>
      <c r="Q90" s="874"/>
      <c r="R90" s="874"/>
      <c r="S90" s="874"/>
      <c r="T90" s="874"/>
      <c r="U90" s="874"/>
      <c r="V90" s="878"/>
      <c r="W90" s="879"/>
      <c r="X90" s="874"/>
      <c r="Y90" s="874"/>
      <c r="Z90" s="874"/>
      <c r="AA90" s="874"/>
      <c r="AB90" s="21" t="str">
        <f>IFERROR(VLOOKUP(C90,'Piping Class'!$90:$102,7,0),"")</f>
        <v/>
      </c>
      <c r="AC90" s="874"/>
      <c r="AD90" s="878"/>
    </row>
    <row r="91" spans="1:30" x14ac:dyDescent="0.3">
      <c r="A91" s="319">
        <v>90</v>
      </c>
      <c r="B91" s="879"/>
      <c r="C91" s="892"/>
      <c r="D91" s="888"/>
      <c r="E91" s="893"/>
      <c r="F91" s="894"/>
      <c r="G91" s="91" t="str">
        <f>IFERROR(VLOOKUP(C91,'Piping Class'!$90:$102,2,0),"")</f>
        <v/>
      </c>
      <c r="H91" s="874"/>
      <c r="I91" s="874"/>
      <c r="J91" s="874"/>
      <c r="K91" s="874"/>
      <c r="L91" s="874"/>
      <c r="M91" s="874"/>
      <c r="N91" s="874"/>
      <c r="O91" s="874"/>
      <c r="P91" s="874"/>
      <c r="Q91" s="874"/>
      <c r="R91" s="874"/>
      <c r="S91" s="874"/>
      <c r="T91" s="874"/>
      <c r="U91" s="874"/>
      <c r="V91" s="878"/>
      <c r="W91" s="879"/>
      <c r="X91" s="874"/>
      <c r="Y91" s="874"/>
      <c r="Z91" s="874"/>
      <c r="AA91" s="874"/>
      <c r="AB91" s="21" t="str">
        <f>IFERROR(VLOOKUP(C91,'Piping Class'!$90:$102,7,0),"")</f>
        <v/>
      </c>
      <c r="AC91" s="874"/>
      <c r="AD91" s="878"/>
    </row>
    <row r="92" spans="1:30" x14ac:dyDescent="0.3">
      <c r="A92" s="318">
        <v>91</v>
      </c>
      <c r="B92" s="879"/>
      <c r="C92" s="892"/>
      <c r="D92" s="888"/>
      <c r="E92" s="893"/>
      <c r="F92" s="894"/>
      <c r="G92" s="91" t="str">
        <f>IFERROR(VLOOKUP(C92,'Piping Class'!$90:$102,2,0),"")</f>
        <v/>
      </c>
      <c r="H92" s="874"/>
      <c r="I92" s="874"/>
      <c r="J92" s="874"/>
      <c r="K92" s="873"/>
      <c r="L92" s="874"/>
      <c r="M92" s="874"/>
      <c r="N92" s="874"/>
      <c r="O92" s="874"/>
      <c r="P92" s="874"/>
      <c r="Q92" s="874"/>
      <c r="R92" s="874"/>
      <c r="S92" s="874"/>
      <c r="T92" s="874"/>
      <c r="U92" s="874"/>
      <c r="V92" s="878"/>
      <c r="W92" s="879"/>
      <c r="X92" s="874"/>
      <c r="Y92" s="874"/>
      <c r="Z92" s="874"/>
      <c r="AA92" s="874"/>
      <c r="AB92" s="21" t="str">
        <f>IFERROR(VLOOKUP(C92,'Piping Class'!$90:$102,7,0),"")</f>
        <v/>
      </c>
      <c r="AC92" s="874"/>
      <c r="AD92" s="878"/>
    </row>
    <row r="93" spans="1:30" x14ac:dyDescent="0.3">
      <c r="A93" s="319">
        <v>92</v>
      </c>
      <c r="B93" s="879"/>
      <c r="C93" s="892"/>
      <c r="D93" s="888"/>
      <c r="E93" s="893"/>
      <c r="F93" s="894"/>
      <c r="G93" s="91" t="str">
        <f>IFERROR(VLOOKUP(C93,'Piping Class'!$90:$102,2,0),"")</f>
        <v/>
      </c>
      <c r="H93" s="874"/>
      <c r="I93" s="874"/>
      <c r="J93" s="874"/>
      <c r="K93" s="874"/>
      <c r="L93" s="874"/>
      <c r="M93" s="874"/>
      <c r="N93" s="874"/>
      <c r="O93" s="874"/>
      <c r="P93" s="874"/>
      <c r="Q93" s="874"/>
      <c r="R93" s="874"/>
      <c r="S93" s="874"/>
      <c r="T93" s="874"/>
      <c r="U93" s="874"/>
      <c r="V93" s="878"/>
      <c r="W93" s="879"/>
      <c r="X93" s="874"/>
      <c r="Y93" s="874"/>
      <c r="Z93" s="874"/>
      <c r="AA93" s="874"/>
      <c r="AB93" s="21" t="str">
        <f>IFERROR(VLOOKUP(C93,'Piping Class'!$90:$102,7,0),"")</f>
        <v/>
      </c>
      <c r="AC93" s="874"/>
      <c r="AD93" s="878"/>
    </row>
    <row r="94" spans="1:30" x14ac:dyDescent="0.3">
      <c r="A94" s="319">
        <v>93</v>
      </c>
      <c r="B94" s="879"/>
      <c r="C94" s="892"/>
      <c r="D94" s="888"/>
      <c r="E94" s="893"/>
      <c r="F94" s="894"/>
      <c r="G94" s="91" t="str">
        <f>IFERROR(VLOOKUP(C94,'Piping Class'!$90:$102,2,0),"")</f>
        <v/>
      </c>
      <c r="H94" s="874"/>
      <c r="I94" s="874"/>
      <c r="J94" s="874"/>
      <c r="K94" s="873"/>
      <c r="L94" s="874"/>
      <c r="M94" s="874"/>
      <c r="N94" s="874"/>
      <c r="O94" s="874"/>
      <c r="P94" s="874"/>
      <c r="Q94" s="874"/>
      <c r="R94" s="874"/>
      <c r="S94" s="874"/>
      <c r="T94" s="874"/>
      <c r="U94" s="874"/>
      <c r="V94" s="878"/>
      <c r="W94" s="879"/>
      <c r="X94" s="874"/>
      <c r="Y94" s="874"/>
      <c r="Z94" s="874"/>
      <c r="AA94" s="874"/>
      <c r="AB94" s="21" t="str">
        <f>IFERROR(VLOOKUP(C94,'Piping Class'!$90:$102,7,0),"")</f>
        <v/>
      </c>
      <c r="AC94" s="874"/>
      <c r="AD94" s="878"/>
    </row>
    <row r="95" spans="1:30" x14ac:dyDescent="0.3">
      <c r="A95" s="318">
        <v>94</v>
      </c>
      <c r="B95" s="879"/>
      <c r="C95" s="892"/>
      <c r="D95" s="888"/>
      <c r="E95" s="893"/>
      <c r="F95" s="894"/>
      <c r="G95" s="91" t="str">
        <f>IFERROR(VLOOKUP(C95,'Piping Class'!$90:$102,2,0),"")</f>
        <v/>
      </c>
      <c r="H95" s="874"/>
      <c r="I95" s="874"/>
      <c r="J95" s="874"/>
      <c r="K95" s="874"/>
      <c r="L95" s="874"/>
      <c r="M95" s="874"/>
      <c r="N95" s="874"/>
      <c r="O95" s="874"/>
      <c r="P95" s="874"/>
      <c r="Q95" s="874"/>
      <c r="R95" s="874"/>
      <c r="S95" s="874"/>
      <c r="T95" s="874"/>
      <c r="U95" s="874"/>
      <c r="V95" s="878"/>
      <c r="W95" s="879"/>
      <c r="X95" s="874"/>
      <c r="Y95" s="874"/>
      <c r="Z95" s="874"/>
      <c r="AA95" s="874"/>
      <c r="AB95" s="21" t="str">
        <f>IFERROR(VLOOKUP(C95,'Piping Class'!$90:$102,7,0),"")</f>
        <v/>
      </c>
      <c r="AC95" s="874"/>
      <c r="AD95" s="878"/>
    </row>
    <row r="96" spans="1:30" x14ac:dyDescent="0.3">
      <c r="A96" s="319">
        <v>95</v>
      </c>
      <c r="B96" s="891"/>
      <c r="C96" s="892"/>
      <c r="D96" s="888"/>
      <c r="E96" s="893"/>
      <c r="F96" s="894"/>
      <c r="G96" s="91" t="str">
        <f>IFERROR(VLOOKUP(C96,'Piping Class'!$90:$102,2,0),"")</f>
        <v/>
      </c>
      <c r="H96" s="874"/>
      <c r="I96" s="874"/>
      <c r="J96" s="874"/>
      <c r="K96" s="874"/>
      <c r="L96" s="874"/>
      <c r="M96" s="874"/>
      <c r="N96" s="874"/>
      <c r="O96" s="874"/>
      <c r="P96" s="874"/>
      <c r="Q96" s="874"/>
      <c r="R96" s="874"/>
      <c r="S96" s="874"/>
      <c r="T96" s="874"/>
      <c r="U96" s="874"/>
      <c r="V96" s="878"/>
      <c r="W96" s="879"/>
      <c r="X96" s="874"/>
      <c r="Y96" s="874"/>
      <c r="Z96" s="874"/>
      <c r="AA96" s="874"/>
      <c r="AB96" s="21" t="str">
        <f>IFERROR(VLOOKUP(C96,'Piping Class'!$90:$102,7,0),"")</f>
        <v/>
      </c>
      <c r="AC96" s="874"/>
      <c r="AD96" s="878"/>
    </row>
    <row r="97" spans="1:30" x14ac:dyDescent="0.3">
      <c r="A97" s="319">
        <v>96</v>
      </c>
      <c r="B97" s="891"/>
      <c r="C97" s="892"/>
      <c r="D97" s="888"/>
      <c r="E97" s="893"/>
      <c r="F97" s="894"/>
      <c r="G97" s="91" t="str">
        <f>IFERROR(VLOOKUP(C97,'Piping Class'!$90:$102,2,0),"")</f>
        <v/>
      </c>
      <c r="H97" s="874"/>
      <c r="I97" s="874"/>
      <c r="J97" s="874"/>
      <c r="K97" s="874"/>
      <c r="L97" s="874"/>
      <c r="M97" s="874"/>
      <c r="N97" s="874"/>
      <c r="O97" s="874"/>
      <c r="P97" s="874"/>
      <c r="Q97" s="874"/>
      <c r="R97" s="874"/>
      <c r="S97" s="874"/>
      <c r="T97" s="874"/>
      <c r="U97" s="874"/>
      <c r="V97" s="878"/>
      <c r="W97" s="879"/>
      <c r="X97" s="874"/>
      <c r="Y97" s="874"/>
      <c r="Z97" s="874"/>
      <c r="AA97" s="874"/>
      <c r="AB97" s="21" t="str">
        <f>IFERROR(VLOOKUP(C97,'Piping Class'!$90:$102,7,0),"")</f>
        <v/>
      </c>
      <c r="AC97" s="874"/>
      <c r="AD97" s="878"/>
    </row>
    <row r="98" spans="1:30" x14ac:dyDescent="0.3">
      <c r="A98" s="318">
        <v>97</v>
      </c>
      <c r="B98" s="891"/>
      <c r="C98" s="892"/>
      <c r="D98" s="888"/>
      <c r="E98" s="893"/>
      <c r="F98" s="894"/>
      <c r="G98" s="91" t="str">
        <f>IFERROR(VLOOKUP(C98,'Piping Class'!$90:$102,2,0),"")</f>
        <v/>
      </c>
      <c r="H98" s="874"/>
      <c r="I98" s="874"/>
      <c r="J98" s="874"/>
      <c r="K98" s="874"/>
      <c r="L98" s="874"/>
      <c r="M98" s="874"/>
      <c r="N98" s="874"/>
      <c r="O98" s="874"/>
      <c r="P98" s="874"/>
      <c r="Q98" s="874"/>
      <c r="R98" s="874"/>
      <c r="S98" s="874"/>
      <c r="T98" s="874"/>
      <c r="U98" s="874"/>
      <c r="V98" s="878"/>
      <c r="W98" s="879"/>
      <c r="X98" s="874"/>
      <c r="Y98" s="874"/>
      <c r="Z98" s="874"/>
      <c r="AA98" s="874"/>
      <c r="AB98" s="21" t="str">
        <f>IFERROR(VLOOKUP(C98,'Piping Class'!$90:$102,7,0),"")</f>
        <v/>
      </c>
      <c r="AC98" s="874"/>
      <c r="AD98" s="878"/>
    </row>
    <row r="99" spans="1:30" x14ac:dyDescent="0.3">
      <c r="A99" s="319">
        <v>98</v>
      </c>
      <c r="B99" s="891"/>
      <c r="C99" s="892"/>
      <c r="D99" s="888"/>
      <c r="E99" s="893"/>
      <c r="F99" s="894"/>
      <c r="G99" s="91" t="str">
        <f>IFERROR(VLOOKUP(C99,'Piping Class'!$90:$102,2,0),"")</f>
        <v/>
      </c>
      <c r="H99" s="874"/>
      <c r="I99" s="874"/>
      <c r="J99" s="874"/>
      <c r="K99" s="874"/>
      <c r="L99" s="874"/>
      <c r="M99" s="874"/>
      <c r="N99" s="874"/>
      <c r="O99" s="874"/>
      <c r="P99" s="874"/>
      <c r="Q99" s="874"/>
      <c r="R99" s="874"/>
      <c r="S99" s="874"/>
      <c r="T99" s="874"/>
      <c r="U99" s="874"/>
      <c r="V99" s="878"/>
      <c r="W99" s="879"/>
      <c r="X99" s="874"/>
      <c r="Y99" s="874"/>
      <c r="Z99" s="874"/>
      <c r="AA99" s="874"/>
      <c r="AB99" s="21" t="str">
        <f>IFERROR(VLOOKUP(C99,'Piping Class'!$90:$102,7,0),"")</f>
        <v/>
      </c>
      <c r="AC99" s="874"/>
      <c r="AD99" s="878"/>
    </row>
    <row r="100" spans="1:30" x14ac:dyDescent="0.3">
      <c r="A100" s="319">
        <v>99</v>
      </c>
      <c r="B100" s="879"/>
      <c r="C100" s="892"/>
      <c r="D100" s="888"/>
      <c r="E100" s="893"/>
      <c r="F100" s="894"/>
      <c r="G100" s="91" t="str">
        <f>IFERROR(VLOOKUP(C100,'Piping Class'!$90:$102,2,0),"")</f>
        <v/>
      </c>
      <c r="H100" s="874"/>
      <c r="I100" s="874"/>
      <c r="J100" s="874"/>
      <c r="K100" s="873"/>
      <c r="L100" s="874"/>
      <c r="M100" s="874"/>
      <c r="N100" s="874"/>
      <c r="O100" s="874"/>
      <c r="P100" s="874"/>
      <c r="Q100" s="874"/>
      <c r="R100" s="874"/>
      <c r="S100" s="874"/>
      <c r="T100" s="874"/>
      <c r="U100" s="874"/>
      <c r="V100" s="878"/>
      <c r="W100" s="879"/>
      <c r="X100" s="874"/>
      <c r="Y100" s="874"/>
      <c r="Z100" s="874"/>
      <c r="AA100" s="874"/>
      <c r="AB100" s="21" t="str">
        <f>IFERROR(VLOOKUP(C100,'Piping Class'!$90:$102,7,0),"")</f>
        <v/>
      </c>
      <c r="AC100" s="874"/>
      <c r="AD100" s="878"/>
    </row>
    <row r="101" spans="1:30" ht="15" thickBot="1" x14ac:dyDescent="0.35">
      <c r="A101" s="318">
        <v>100</v>
      </c>
      <c r="B101" s="883"/>
      <c r="C101" s="897"/>
      <c r="D101" s="898"/>
      <c r="E101" s="899"/>
      <c r="F101" s="900"/>
      <c r="G101" s="94" t="str">
        <f>IFERROR(VLOOKUP(C101,'Piping Class'!$90:$102,2,0),"")</f>
        <v/>
      </c>
      <c r="H101" s="881"/>
      <c r="I101" s="881"/>
      <c r="J101" s="881"/>
      <c r="K101" s="881"/>
      <c r="L101" s="881"/>
      <c r="M101" s="881"/>
      <c r="N101" s="881"/>
      <c r="O101" s="881"/>
      <c r="P101" s="881"/>
      <c r="Q101" s="881"/>
      <c r="R101" s="881"/>
      <c r="S101" s="881"/>
      <c r="T101" s="881"/>
      <c r="U101" s="881"/>
      <c r="V101" s="882"/>
      <c r="W101" s="883"/>
      <c r="X101" s="881"/>
      <c r="Y101" s="881"/>
      <c r="Z101" s="881"/>
      <c r="AA101" s="881"/>
      <c r="AB101" s="23" t="str">
        <f>IFERROR(VLOOKUP(C101,'Piping Class'!$90:$102,7,0),"")</f>
        <v/>
      </c>
      <c r="AC101" s="881"/>
      <c r="AD101" s="882"/>
    </row>
  </sheetData>
  <sheetProtection algorithmName="SHA-512" hashValue="/XQwzZ2df6Xv5/JEmPluKAhI0btVfnNm7xDHYV7oDb5wVL/i+RjEceDofKu9PcWuM2q+RwNnVlUeiRWOPoVcBg==" saltValue="i95DlVTnFluTrxV05Vm9xA==" spinCount="100000" sheet="1" autoFilter="0"/>
  <autoFilter ref="A1:AD101" xr:uid="{00000000-0009-0000-0000-000011000000}"/>
  <dataConsolidate/>
  <dataValidations count="4">
    <dataValidation type="list" allowBlank="1" showInputMessage="1" showErrorMessage="1" sqref="B2:B101" xr:uid="{00000000-0002-0000-1100-000000000000}">
      <formula1>Valve_Type</formula1>
    </dataValidation>
    <dataValidation type="list" allowBlank="1" showInputMessage="1" showErrorMessage="1" sqref="E2:F101" xr:uid="{00000000-0002-0000-1100-000001000000}">
      <formula1>DN</formula1>
    </dataValidation>
    <dataValidation type="list" allowBlank="1" showInputMessage="1" showErrorMessage="1" sqref="C2:C101" xr:uid="{00000000-0002-0000-1100-000002000000}">
      <formula1>Piping_Class</formula1>
    </dataValidation>
    <dataValidation type="list" allowBlank="1" showInputMessage="1" showErrorMessage="1" sqref="D2:D101" xr:uid="{00000000-0002-0000-1100-000003000000}">
      <formula1>INDIRECT($B2)</formula1>
    </dataValidation>
  </dataValidations>
  <pageMargins left="0.70866141732283472" right="0.70866141732283472" top="0.74803149606299213" bottom="0.74803149606299213" header="0.31496062992125984" footer="0.31496062992125984"/>
  <pageSetup scale="17" fitToHeight="0" orientation="portrait" r:id="rId1"/>
  <headerFooter>
    <oddHeader>&amp;LMCE Vers. 1.0&amp;C&amp;F&amp;R&amp;"Calibri,Normale"&amp;8 Document classified as: 2 - Company Confidential&amp;1#</oddHeader>
    <oddFooter>&amp;C&amp;A - &amp;P&amp;R&amp;D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oglio15">
    <tabColor rgb="FF92D050"/>
    <pageSetUpPr fitToPage="1"/>
  </sheetPr>
  <dimension ref="A1:N3511"/>
  <sheetViews>
    <sheetView topLeftCell="A392" zoomScale="85" zoomScaleNormal="85" workbookViewId="0">
      <selection activeCell="C383" sqref="C383"/>
    </sheetView>
  </sheetViews>
  <sheetFormatPr defaultColWidth="9.21875" defaultRowHeight="14.4" x14ac:dyDescent="0.3"/>
  <cols>
    <col min="1" max="1" width="47" style="450" customWidth="1"/>
    <col min="2" max="3" width="13.21875" style="450" customWidth="1"/>
    <col min="4" max="4" width="14.44140625" style="450" customWidth="1"/>
    <col min="5" max="9" width="13.21875" style="450" customWidth="1"/>
    <col min="10" max="10" width="12.5546875" style="450" customWidth="1"/>
    <col min="11" max="11" width="35.77734375" style="478" hidden="1" customWidth="1"/>
    <col min="12" max="12" width="40.77734375" style="478" hidden="1" customWidth="1"/>
    <col min="13" max="13" width="14.21875" style="605" hidden="1" customWidth="1"/>
    <col min="14" max="14" width="9.21875" style="478"/>
    <col min="15" max="16384" width="9.21875" style="450"/>
  </cols>
  <sheetData>
    <row r="1" spans="1:13" customFormat="1" ht="21.6" thickBot="1" x14ac:dyDescent="0.35">
      <c r="A1" s="380" t="s">
        <v>164</v>
      </c>
      <c r="B1" s="381"/>
      <c r="C1" s="381"/>
      <c r="D1" s="381"/>
      <c r="E1" s="382"/>
      <c r="F1" s="382"/>
      <c r="G1" s="382"/>
      <c r="H1" s="382"/>
      <c r="I1" s="383"/>
      <c r="K1" s="479" t="s">
        <v>165</v>
      </c>
      <c r="M1" s="1253"/>
    </row>
    <row r="2" spans="1:13" s="496" customFormat="1" ht="18.600000000000001" thickBot="1" x14ac:dyDescent="0.35">
      <c r="A2" s="493" t="str">
        <f>"POS."&amp;K2&amp;" "&amp;VLOOKUP(K2,'Equip&amp;Mach List'!$1:$1048576,2,0)&amp;" "&amp;VLOOKUP(K2,'Equip&amp;Mach List'!$1:$1048576,3,0)</f>
        <v>POS.1 R-201 Deoxo reactor</v>
      </c>
      <c r="B2" s="511"/>
      <c r="C2" s="494"/>
      <c r="D2" s="495"/>
      <c r="E2" s="495"/>
      <c r="F2" s="497"/>
      <c r="G2" s="495"/>
      <c r="H2" s="495"/>
      <c r="I2" s="1255" t="str">
        <f>IFERROR("Weight Calc./Selected = "&amp;ROUND(B119,1)&amp;"/"&amp;B120&amp;" kg - Øi ="&amp;IF(B26=0,F26,B26)&amp;" mm"&amp;"T/T ="&amp;IF(B28=0,F28,B28)&amp;" mm - Material "&amp;B13&amp;"        ","")</f>
        <v xml:space="preserve">Weight Calc./Selected = 2290,5/2300 kg - Øi =800 mmT/T =2100 mm - Material SA-240 Gr.316L        </v>
      </c>
      <c r="K2" s="496">
        <v>1</v>
      </c>
      <c r="M2" s="1254"/>
    </row>
    <row r="3" spans="1:13" ht="14.55" customHeight="1" x14ac:dyDescent="0.3">
      <c r="A3" s="1256"/>
      <c r="B3" s="451"/>
      <c r="C3" s="451"/>
      <c r="D3" s="451"/>
      <c r="E3" s="451"/>
      <c r="F3" s="451"/>
      <c r="G3" s="451"/>
      <c r="H3" s="451"/>
      <c r="I3" s="1257"/>
      <c r="K3" s="477" t="s">
        <v>166</v>
      </c>
      <c r="L3" s="477" t="str">
        <f>K2&amp;"."&amp;K3</f>
        <v>1.Design Code</v>
      </c>
      <c r="M3" s="1252" t="str">
        <f>A4&amp;" "&amp;B4</f>
        <v>ASME VIII div.1</v>
      </c>
    </row>
    <row r="4" spans="1:13" ht="14.55" customHeight="1" x14ac:dyDescent="0.3">
      <c r="A4" s="1258" t="s">
        <v>167</v>
      </c>
      <c r="B4" s="718" t="s">
        <v>168</v>
      </c>
      <c r="C4" s="459"/>
      <c r="D4" s="460"/>
      <c r="E4" s="460"/>
      <c r="F4" s="460"/>
      <c r="G4" s="460"/>
      <c r="H4" s="460"/>
      <c r="I4" s="1259"/>
      <c r="K4" s="477" t="s">
        <v>169</v>
      </c>
      <c r="L4" s="477" t="str">
        <f>K2&amp;"."&amp;K4</f>
        <v>1.Orientation</v>
      </c>
      <c r="M4" s="1252" t="str">
        <f>B5</f>
        <v>Vertical</v>
      </c>
    </row>
    <row r="5" spans="1:13" ht="14.55" customHeight="1" x14ac:dyDescent="0.3">
      <c r="A5" s="1258" t="s">
        <v>170</v>
      </c>
      <c r="B5" s="718" t="s">
        <v>171</v>
      </c>
      <c r="C5" s="459"/>
      <c r="D5" s="460"/>
      <c r="E5" s="460"/>
      <c r="F5" s="461"/>
      <c r="G5" s="460"/>
      <c r="H5" s="460"/>
      <c r="I5" s="1259"/>
      <c r="K5" s="477" t="s">
        <v>172</v>
      </c>
      <c r="L5" s="477" t="str">
        <f>K2&amp;"."&amp;K5</f>
        <v>1.Design Temperature</v>
      </c>
      <c r="M5" s="1252">
        <f>D8</f>
        <v>350</v>
      </c>
    </row>
    <row r="6" spans="1:13" ht="14.55" customHeight="1" x14ac:dyDescent="0.3">
      <c r="A6" s="1258"/>
      <c r="B6" s="459"/>
      <c r="C6" s="459"/>
      <c r="D6" s="460"/>
      <c r="E6" s="460"/>
      <c r="F6" s="462"/>
      <c r="G6" s="460"/>
      <c r="H6" s="460"/>
      <c r="I6" s="1259"/>
      <c r="K6" s="477" t="s">
        <v>173</v>
      </c>
      <c r="L6" s="477" t="str">
        <f>K2&amp;"."&amp;K6</f>
        <v>1.Design Pressure</v>
      </c>
      <c r="M6" s="1252">
        <f>D9</f>
        <v>18</v>
      </c>
    </row>
    <row r="7" spans="1:13" ht="14.55" customHeight="1" x14ac:dyDescent="0.3">
      <c r="A7" s="1260" t="s">
        <v>174</v>
      </c>
      <c r="B7" s="459"/>
      <c r="C7" s="459"/>
      <c r="D7" s="460"/>
      <c r="E7" s="460"/>
      <c r="F7" s="462"/>
      <c r="G7" s="460"/>
      <c r="H7" s="460"/>
      <c r="I7" s="1259"/>
      <c r="K7" s="477" t="s">
        <v>175</v>
      </c>
      <c r="L7" s="477" t="str">
        <f>K2&amp;"."&amp;K7</f>
        <v>1.Material</v>
      </c>
      <c r="M7" s="1252" t="str">
        <f>B13</f>
        <v>SA-240 Gr.316L</v>
      </c>
    </row>
    <row r="8" spans="1:13" ht="14.55" customHeight="1" x14ac:dyDescent="0.3">
      <c r="A8" s="1258" t="s">
        <v>176</v>
      </c>
      <c r="B8" s="719">
        <v>350</v>
      </c>
      <c r="C8" s="720" t="s">
        <v>177</v>
      </c>
      <c r="D8" s="464">
        <f>IF(C8="°C",B8,0)+IF(C8="°F",(B8-32)*5/9,0)</f>
        <v>350</v>
      </c>
      <c r="E8" s="460" t="s">
        <v>177</v>
      </c>
      <c r="F8" s="462"/>
      <c r="G8" s="460"/>
      <c r="H8" s="460"/>
      <c r="I8" s="1259"/>
      <c r="K8" s="477" t="s">
        <v>178</v>
      </c>
      <c r="L8" s="477" t="str">
        <f>K2&amp;"."&amp;K8</f>
        <v>1.Inside Diameter</v>
      </c>
      <c r="M8" s="1252">
        <f>IF(B26=0,F26,B26)</f>
        <v>800</v>
      </c>
    </row>
    <row r="9" spans="1:13" ht="14.55" customHeight="1" x14ac:dyDescent="0.3">
      <c r="A9" s="1258" t="s">
        <v>179</v>
      </c>
      <c r="B9" s="721">
        <v>18</v>
      </c>
      <c r="C9" s="720" t="s">
        <v>180</v>
      </c>
      <c r="D9" s="452">
        <f>IF(C9="barg",B9,0)+IF(C9="psig",B9*List!$AV$4,0)+IF(C9="MPa",B9*List!$AV$5,0)+IF(C9="N/mm2",B9*List!$AV$6,0)</f>
        <v>18</v>
      </c>
      <c r="E9" s="460" t="s">
        <v>180</v>
      </c>
      <c r="F9" s="460"/>
      <c r="G9" s="460"/>
      <c r="H9" s="460"/>
      <c r="I9" s="1259"/>
      <c r="K9" s="477" t="s">
        <v>181</v>
      </c>
      <c r="L9" s="477" t="str">
        <f>K2&amp;"."&amp;K9</f>
        <v>1.Tan / Tan</v>
      </c>
      <c r="M9" s="1252">
        <f>IF(B28=0,F28,B28)</f>
        <v>2100</v>
      </c>
    </row>
    <row r="10" spans="1:13" ht="14.55" customHeight="1" x14ac:dyDescent="0.3">
      <c r="A10" s="1258" t="s">
        <v>182</v>
      </c>
      <c r="B10" s="721">
        <v>0</v>
      </c>
      <c r="C10" s="720" t="s">
        <v>180</v>
      </c>
      <c r="D10" s="452">
        <f>IF(C10="barg",B10,0)+IF(C10="psig",B10*List!$AV$4,0)+IF(C10="MPa",B10*List!$AV$5,0)+IF(C10="N/mm2",B10*List!$AV$6,0)</f>
        <v>0</v>
      </c>
      <c r="E10" s="460" t="s">
        <v>180</v>
      </c>
      <c r="F10" s="460"/>
      <c r="G10" s="465"/>
      <c r="H10" s="460"/>
      <c r="I10" s="1259"/>
      <c r="K10" s="477" t="s">
        <v>183</v>
      </c>
      <c r="L10" s="477" t="str">
        <f>K2&amp;"."&amp;K10</f>
        <v>1.Thickness</v>
      </c>
      <c r="M10" s="1252">
        <f>IF(B67=0,F71,B67)</f>
        <v>12</v>
      </c>
    </row>
    <row r="11" spans="1:13" ht="14.55" customHeight="1" x14ac:dyDescent="0.3">
      <c r="A11" s="1258"/>
      <c r="B11" s="459"/>
      <c r="C11" s="459"/>
      <c r="D11" s="460"/>
      <c r="E11" s="460"/>
      <c r="F11" s="460"/>
      <c r="G11" s="465"/>
      <c r="H11" s="460"/>
      <c r="I11" s="1259"/>
      <c r="K11" s="477" t="s">
        <v>184</v>
      </c>
      <c r="L11" s="477" t="str">
        <f>K2&amp;"."&amp;K11</f>
        <v>1.Unit Weight</v>
      </c>
      <c r="M11" s="1252">
        <f>B120</f>
        <v>2300</v>
      </c>
    </row>
    <row r="12" spans="1:13" ht="14.55" customHeight="1" x14ac:dyDescent="0.3">
      <c r="A12" s="1260" t="s">
        <v>185</v>
      </c>
      <c r="B12" s="459" t="s">
        <v>186</v>
      </c>
      <c r="C12" s="459"/>
      <c r="D12" s="460"/>
      <c r="E12" s="460"/>
      <c r="F12" s="460" t="s">
        <v>187</v>
      </c>
      <c r="G12" s="465"/>
      <c r="H12" s="460"/>
      <c r="I12" s="1259"/>
      <c r="K12" s="478" t="s">
        <v>188</v>
      </c>
      <c r="L12" s="477" t="str">
        <f>K2&amp;"."&amp;K12</f>
        <v>1.Unit External Surface</v>
      </c>
      <c r="M12" s="1252">
        <f>B116</f>
        <v>17.282931949905294</v>
      </c>
    </row>
    <row r="13" spans="1:13" ht="14.55" customHeight="1" x14ac:dyDescent="0.3">
      <c r="A13" s="1258" t="s">
        <v>189</v>
      </c>
      <c r="B13" s="1716" t="s">
        <v>190</v>
      </c>
      <c r="C13" s="1717"/>
      <c r="D13" s="460"/>
      <c r="E13" s="461"/>
      <c r="F13" s="1716"/>
      <c r="G13" s="1717"/>
      <c r="H13" s="460"/>
      <c r="I13" s="1259"/>
      <c r="K13" s="477" t="s">
        <v>191</v>
      </c>
      <c r="L13" s="477" t="str">
        <f>K2&amp;"."&amp;K13</f>
        <v>1.M1 DN</v>
      </c>
      <c r="M13" s="1252">
        <f>C134</f>
        <v>0</v>
      </c>
    </row>
    <row r="14" spans="1:13" ht="14.55" customHeight="1" x14ac:dyDescent="0.3">
      <c r="A14" s="1258" t="s">
        <v>192</v>
      </c>
      <c r="B14" s="1716" t="s">
        <v>190</v>
      </c>
      <c r="C14" s="1717"/>
      <c r="D14" s="460"/>
      <c r="E14" s="461"/>
      <c r="F14" s="1716"/>
      <c r="G14" s="1717"/>
      <c r="H14" s="460"/>
      <c r="I14" s="1259"/>
      <c r="K14" s="477" t="s">
        <v>193</v>
      </c>
      <c r="L14" s="477" t="str">
        <f>K2&amp;"."&amp;K14</f>
        <v>1.M1 Rating</v>
      </c>
      <c r="M14" s="1252">
        <f>D134</f>
        <v>0</v>
      </c>
    </row>
    <row r="15" spans="1:13" ht="14.55" customHeight="1" x14ac:dyDescent="0.3">
      <c r="A15" s="1258"/>
      <c r="B15" s="466"/>
      <c r="C15" s="466"/>
      <c r="D15" s="460"/>
      <c r="E15" s="460"/>
      <c r="F15" s="460"/>
      <c r="G15" s="460"/>
      <c r="H15" s="460"/>
      <c r="I15" s="1259"/>
      <c r="K15" s="477" t="s">
        <v>194</v>
      </c>
      <c r="L15" s="477" t="str">
        <f>K2&amp;"."&amp;K15</f>
        <v>1.M1 Type</v>
      </c>
      <c r="M15" s="1252">
        <f>E134</f>
        <v>0</v>
      </c>
    </row>
    <row r="16" spans="1:13" ht="14.55" customHeight="1" x14ac:dyDescent="0.3">
      <c r="A16" s="1258" t="s">
        <v>195</v>
      </c>
      <c r="B16" s="460"/>
      <c r="C16" s="460"/>
      <c r="D16" s="460"/>
      <c r="E16" s="460"/>
      <c r="F16" s="460"/>
      <c r="G16" s="460"/>
      <c r="H16" s="460"/>
      <c r="I16" s="1259"/>
      <c r="K16" s="477" t="s">
        <v>196</v>
      </c>
      <c r="L16" s="477" t="str">
        <f>K2&amp;"."&amp;K16</f>
        <v>1.M1 Quantity</v>
      </c>
      <c r="M16" s="1252">
        <f>F134</f>
        <v>0</v>
      </c>
    </row>
    <row r="17" spans="1:13" ht="14.55" customHeight="1" x14ac:dyDescent="0.3">
      <c r="A17" s="1258" t="s">
        <v>197</v>
      </c>
      <c r="B17" s="464">
        <f>$D8*(VLOOKUP($B13,'ASME II Tab 1A'!$1:$1048576,MATCH($D8,'ASME II Tab 1A'!$6:$6,1)+1,0)-VLOOKUP($B13,'ASME II Tab 1A'!$1:$1048576,MATCH($D8,'ASME II Tab 1A'!$6:$6,1),0))/(INDEX('ASME II Tab 1A'!$6:$6,MATCH($D8,'ASME II Tab 1A'!$6:$6,1)+1)-INDEX('ASME II Tab 1A'!$6:$6,MATCH($D8,'ASME II Tab 1A'!$6:$6,1)))+VLOOKUP($B13,'ASME II Tab 1A'!$1:$1048576,MATCH($D8,'ASME II Tab 1A'!$6:$6,1)+1,0)-INDEX('ASME II Tab 1A'!$6:$6,MATCH($D8,'ASME II Tab 1A'!$6:$6,1)+1)*(VLOOKUP($B13,'ASME II Tab 1A'!$1:$1048576,MATCH($D8,'ASME II Tab 1A'!$6:$6,1)+1,0)-VLOOKUP($B13,'ASME II Tab 1A'!$1:$1048576,MATCH($D8,'ASME II Tab 1A'!$6:$6,1),0))/(INDEX('ASME II Tab 1A'!$6:$6,MATCH($D8,'ASME II Tab 1A'!$6:$6,1)+1)-INDEX('ASME II Tab 1A'!$6:$6,MATCH($D8,'ASME II Tab 1A'!$6:$6,1)))</f>
        <v>94.1</v>
      </c>
      <c r="C17" s="460" t="s">
        <v>198</v>
      </c>
      <c r="D17" s="460"/>
      <c r="E17" s="467"/>
      <c r="F17" s="460" t="e">
        <f>$D8*(VLOOKUP($F13,'ASME II Tab 1A'!$1:$1048576,MATCH($D8,'ASME II Tab 1A'!$6:$6,1)+1,0)-VLOOKUP($F13,'ASME II Tab 1A'!$1:$1048576,MATCH($D8,'ASME II Tab 1A'!$6:$6,1),0))/(INDEX('ASME II Tab 1A'!$6:$6,MATCH($D8,'ASME II Tab 1A'!$6:$6,1)+1)-INDEX('ASME II Tab 1A'!$6:$6,MATCH($D8,'ASME II Tab 1A'!$6:$6,1)))+VLOOKUP($F13,'ASME II Tab 1A'!$1:$1048576,MATCH($D8,'ASME II Tab 1A'!$6:$6,1)+1,0)-INDEX('ASME II Tab 1A'!$6:$6,MATCH($D8,'ASME II Tab 1A'!$6:$6,1)+1)*(VLOOKUP($F13,'ASME II Tab 1A'!$1:$1048576,MATCH($D8,'ASME II Tab 1A'!$6:$6,1)+1,0)-VLOOKUP($F13,'ASME II Tab 1A'!$1:$1048576,MATCH($D8,'ASME II Tab 1A'!$6:$6,1),0))/(INDEX('ASME II Tab 1A'!$6:$6,MATCH($D8,'ASME II Tab 1A'!$6:$6,1)+1)-INDEX('ASME II Tab 1A'!$6:$6,MATCH($D8,'ASME II Tab 1A'!$6:$6,1)))</f>
        <v>#N/A</v>
      </c>
      <c r="G17" s="460" t="s">
        <v>198</v>
      </c>
      <c r="H17" s="460"/>
      <c r="I17" s="1259"/>
      <c r="K17" s="477" t="s">
        <v>199</v>
      </c>
      <c r="L17" s="477" t="str">
        <f>K2&amp;"."&amp;K17</f>
        <v>1.M2 DN</v>
      </c>
      <c r="M17" s="1252">
        <f>C135</f>
        <v>0</v>
      </c>
    </row>
    <row r="18" spans="1:13" ht="14.55" customHeight="1" x14ac:dyDescent="0.3">
      <c r="A18" s="1258" t="s">
        <v>200</v>
      </c>
      <c r="B18" s="464">
        <f>$D8*(VLOOKUP($B14,'ASME II Tab 1A'!$1:$1048576,MATCH($D8,'ASME II Tab 1A'!$6:$6,1)+1,0)-VLOOKUP($B14,'ASME II Tab 1A'!$1:$1048576,MATCH($D8,'ASME II Tab 1A'!$6:$6,1),0))/(INDEX('ASME II Tab 1A'!$6:$6,MATCH($D8,'ASME II Tab 1A'!$6:$6,1)+1)-INDEX('ASME II Tab 1A'!$6:$6,MATCH($D8,'ASME II Tab 1A'!$6:$6,1)))+VLOOKUP($B14,'ASME II Tab 1A'!$1:$1048576,MATCH($D8,'ASME II Tab 1A'!$6:$6,1)+1,0)-INDEX('ASME II Tab 1A'!$6:$6,MATCH($D8,'ASME II Tab 1A'!$6:$6,1)+1)*(VLOOKUP($B14,'ASME II Tab 1A'!$1:$1048576,MATCH($D8,'ASME II Tab 1A'!$6:$6,1)+1,0)-VLOOKUP($B14,'ASME II Tab 1A'!$1:$1048576,MATCH($D8,'ASME II Tab 1A'!$6:$6,1),0))/(INDEX('ASME II Tab 1A'!$6:$6,MATCH($D8,'ASME II Tab 1A'!$6:$6,1)+1)-INDEX('ASME II Tab 1A'!$6:$6,MATCH($D8,'ASME II Tab 1A'!$6:$6,1)))</f>
        <v>94.1</v>
      </c>
      <c r="C18" s="460" t="s">
        <v>198</v>
      </c>
      <c r="D18" s="460"/>
      <c r="E18" s="460"/>
      <c r="F18" s="460" t="e">
        <f>$D8*(VLOOKUP($F14,'ASME II Tab 1A'!$1:$1048576,MATCH($D8,'ASME II Tab 1A'!$6:$6,1)+1,0)-VLOOKUP($F14,'ASME II Tab 1A'!$1:$1048576,MATCH($D8,'ASME II Tab 1A'!$6:$6,1),0))/(INDEX('ASME II Tab 1A'!$6:$6,MATCH($D8,'ASME II Tab 1A'!$6:$6,1)+1)-INDEX('ASME II Tab 1A'!$6:$6,MATCH($D8,'ASME II Tab 1A'!$6:$6,1)))+VLOOKUP($F14,'ASME II Tab 1A'!$1:$1048576,MATCH($D8,'ASME II Tab 1A'!$6:$6,1)+1,0)-INDEX('ASME II Tab 1A'!$6:$6,MATCH($D8,'ASME II Tab 1A'!$6:$6,1)+1)*(VLOOKUP($F14,'ASME II Tab 1A'!$1:$1048576,MATCH($D8,'ASME II Tab 1A'!$6:$6,1)+1,0)-VLOOKUP($F14,'ASME II Tab 1A'!$1:$1048576,MATCH($D8,'ASME II Tab 1A'!$6:$6,1),0))/(INDEX('ASME II Tab 1A'!$6:$6,MATCH($D8,'ASME II Tab 1A'!$6:$6,1)+1)-INDEX('ASME II Tab 1A'!$6:$6,MATCH($D8,'ASME II Tab 1A'!$6:$6,1)))</f>
        <v>#N/A</v>
      </c>
      <c r="G18" s="460" t="s">
        <v>198</v>
      </c>
      <c r="H18" s="460"/>
      <c r="I18" s="1259"/>
      <c r="K18" s="477" t="s">
        <v>201</v>
      </c>
      <c r="L18" s="477" t="str">
        <f>K2&amp;"."&amp;K18</f>
        <v>1.M2 Rating</v>
      </c>
      <c r="M18" s="1252">
        <f>D135</f>
        <v>0</v>
      </c>
    </row>
    <row r="19" spans="1:13" ht="14.55" customHeight="1" x14ac:dyDescent="0.3">
      <c r="A19" s="1258" t="s">
        <v>202</v>
      </c>
      <c r="B19" s="460"/>
      <c r="C19" s="460"/>
      <c r="D19" s="460"/>
      <c r="E19" s="460"/>
      <c r="F19" s="460"/>
      <c r="G19" s="460"/>
      <c r="H19" s="460"/>
      <c r="I19" s="1259"/>
      <c r="K19" s="477" t="s">
        <v>203</v>
      </c>
      <c r="L19" s="477" t="str">
        <f>K2&amp;"."&amp;K19</f>
        <v>1.M2 Type</v>
      </c>
      <c r="M19" s="1252">
        <f>E135</f>
        <v>0</v>
      </c>
    </row>
    <row r="20" spans="1:13" ht="14.55" customHeight="1" x14ac:dyDescent="0.3">
      <c r="A20" s="1258" t="s">
        <v>197</v>
      </c>
      <c r="B20" s="464">
        <f>$D8*(VLOOKUP($B13,'ASME II Tab 5A'!$1:$1048576,MATCH($D8,'ASME II Tab 5A'!$5:$5,1)+1,0)-VLOOKUP($B13,'ASME II Tab 5A'!$1:$1048576,MATCH($D8,'ASME II Tab 5A'!$5:$5,1),0))/(INDEX('ASME II Tab 5A'!$5:$5,MATCH($D8,'ASME II Tab 5A'!$5:$5,1)+1)-INDEX('ASME II Tab 5A'!$5:$5,MATCH($D8,'ASME II Tab 5A'!$5:$5,1)))+VLOOKUP($B13,'ASME II Tab 5A'!$1:$1048576,MATCH($D8,'ASME II Tab 5A'!$5:$5,1)+1,0)-INDEX('ASME II Tab 5A'!$5:$5,MATCH($D8,'ASME II Tab 5A'!$5:$5,1)+1)*(VLOOKUP($B13,'ASME II Tab 5A'!$1:$1048576,MATCH($D8,'ASME II Tab 5A'!$5:$5,1)+1,0)-VLOOKUP($B13,'ASME II Tab 5A'!$1:$1048576,MATCH($D8,'ASME II Tab 5A'!$5:$5,1),0))/(INDEX('ASME II Tab 5A'!$5:$5,MATCH($D8,'ASME II Tab 5A'!$5:$5,1)+1)-INDEX('ASME II Tab 5A'!$5:$5,MATCH($D8,'ASME II Tab 5A'!$5:$5,1)))</f>
        <v>94.3</v>
      </c>
      <c r="C20" s="460" t="s">
        <v>198</v>
      </c>
      <c r="D20" s="460"/>
      <c r="E20" s="460"/>
      <c r="F20" s="460" t="e">
        <f>$D8*(VLOOKUP($F13,'ASME II Tab 5A'!$1:$1048576,MATCH($D8,'ASME II Tab 5A'!$5:$5,1)+1,0)-VLOOKUP($F13,'ASME II Tab 5A'!$1:$1048576,MATCH($D8,'ASME II Tab 5A'!$5:$5,1),0))/(INDEX('ASME II Tab 5A'!$5:$5,MATCH($D8,'ASME II Tab 5A'!$5:$5,1)+1)-INDEX('ASME II Tab 5A'!$5:$5,MATCH($D8,'ASME II Tab 5A'!$5:$5,1)))+VLOOKUP($F13,'ASME II Tab 5A'!$1:$1048576,MATCH($D8,'ASME II Tab 5A'!$5:$5,1)+1,0)-INDEX('ASME II Tab 5A'!$5:$5,MATCH($D8,'ASME II Tab 5A'!$5:$5,1)+1)*(VLOOKUP($F13,'ASME II Tab 5A'!$1:$1048576,MATCH($D8,'ASME II Tab 5A'!$5:$5,1)+1,0)-VLOOKUP($F13,'ASME II Tab 5A'!$1:$1048576,MATCH($D8,'ASME II Tab 5A'!$5:$5,1),0))/(INDEX('ASME II Tab 5A'!$5:$5,MATCH($D8,'ASME II Tab 5A'!$5:$5,1)+1)-INDEX('ASME II Tab 5A'!$5:$5,MATCH($D8,'ASME II Tab 5A'!$5:$5,1)))</f>
        <v>#N/A</v>
      </c>
      <c r="G20" s="460" t="s">
        <v>198</v>
      </c>
      <c r="H20" s="460"/>
      <c r="I20" s="1259"/>
      <c r="K20" s="477" t="s">
        <v>204</v>
      </c>
      <c r="L20" s="477" t="str">
        <f>K2&amp;"."&amp;K20</f>
        <v>1.M2 Quantity</v>
      </c>
      <c r="M20" s="1252">
        <f>F135</f>
        <v>0</v>
      </c>
    </row>
    <row r="21" spans="1:13" ht="14.55" customHeight="1" x14ac:dyDescent="0.3">
      <c r="A21" s="1258" t="s">
        <v>200</v>
      </c>
      <c r="B21" s="464">
        <f>$D8*(VLOOKUP($B14,'ASME II Tab 5A'!$1:$1048576,MATCH($D8,'ASME II Tab 5A'!$5:$5,1)+1,0)-VLOOKUP($B14,'ASME II Tab 5A'!$1:$1048576,MATCH($D8,'ASME II Tab 5A'!$5:$5,1),0))/(INDEX('ASME II Tab 5A'!$5:$5,MATCH($D8,'ASME II Tab 5A'!$5:$5,1)+1)-INDEX('ASME II Tab 5A'!$5:$5,MATCH($D8,'ASME II Tab 5A'!$5:$5,1)))+VLOOKUP($B14,'ASME II Tab 5A'!$1:$1048576,MATCH($D8,'ASME II Tab 5A'!$5:$5,1)+1,0)-INDEX('ASME II Tab 5A'!$5:$5,MATCH($D8,'ASME II Tab 5A'!$5:$5,1)+1)*(VLOOKUP($B14,'ASME II Tab 5A'!$1:$1048576,MATCH($D8,'ASME II Tab 5A'!$5:$5,1)+1,0)-VLOOKUP($B14,'ASME II Tab 5A'!$1:$1048576,MATCH($D8,'ASME II Tab 5A'!$5:$5,1),0))/(INDEX('ASME II Tab 5A'!$5:$5,MATCH($D8,'ASME II Tab 5A'!$5:$5,1)+1)-INDEX('ASME II Tab 5A'!$5:$5,MATCH($D8,'ASME II Tab 5A'!$5:$5,1)))</f>
        <v>94.3</v>
      </c>
      <c r="C21" s="460" t="s">
        <v>198</v>
      </c>
      <c r="D21" s="460"/>
      <c r="E21" s="460"/>
      <c r="F21" s="460" t="e">
        <f>$D8*(VLOOKUP($F14,'ASME II Tab 5A'!$1:$1048576,MATCH($D8,'ASME II Tab 5A'!$5:$5,1)+1,0)-VLOOKUP($F14,'ASME II Tab 5A'!$1:$1048576,MATCH($D8,'ASME II Tab 5A'!$5:$5,1),0))/(INDEX('ASME II Tab 5A'!$5:$5,MATCH($D8,'ASME II Tab 5A'!$5:$5,1)+1)-INDEX('ASME II Tab 5A'!$5:$5,MATCH($D8,'ASME II Tab 5A'!$5:$5,1)))+VLOOKUP($F14,'ASME II Tab 5A'!$1:$1048576,MATCH($D8,'ASME II Tab 5A'!$5:$5,1)+1,0)-INDEX('ASME II Tab 5A'!$5:$5,MATCH($D8,'ASME II Tab 5A'!$5:$5,1)+1)*(VLOOKUP($F14,'ASME II Tab 5A'!$1:$1048576,MATCH($D8,'ASME II Tab 5A'!$5:$5,1)+1,0)-VLOOKUP($F14,'ASME II Tab 5A'!$1:$1048576,MATCH($D8,'ASME II Tab 5A'!$5:$5,1),0))/(INDEX('ASME II Tab 5A'!$5:$5,MATCH($D8,'ASME II Tab 5A'!$5:$5,1)+1)-INDEX('ASME II Tab 5A'!$5:$5,MATCH($D8,'ASME II Tab 5A'!$5:$5,1)))</f>
        <v>#N/A</v>
      </c>
      <c r="G21" s="460" t="s">
        <v>198</v>
      </c>
      <c r="H21" s="460"/>
      <c r="I21" s="1259"/>
      <c r="K21" s="477" t="s">
        <v>205</v>
      </c>
      <c r="L21" s="477" t="str">
        <f>K2&amp;"."&amp;K21</f>
        <v>1.M3 DN</v>
      </c>
      <c r="M21" s="1252">
        <f>C136</f>
        <v>0</v>
      </c>
    </row>
    <row r="22" spans="1:13" ht="14.55" customHeight="1" x14ac:dyDescent="0.3">
      <c r="A22" s="1258"/>
      <c r="B22" s="460"/>
      <c r="C22" s="460"/>
      <c r="D22" s="460"/>
      <c r="E22" s="460"/>
      <c r="F22" s="460"/>
      <c r="G22" s="460"/>
      <c r="H22" s="460"/>
      <c r="I22" s="1259"/>
      <c r="K22" s="477" t="s">
        <v>206</v>
      </c>
      <c r="L22" s="477" t="str">
        <f>K2&amp;"."&amp;K22</f>
        <v>1.M3 Rating</v>
      </c>
      <c r="M22" s="1252">
        <f>D136</f>
        <v>0</v>
      </c>
    </row>
    <row r="23" spans="1:13" ht="14.55" customHeight="1" x14ac:dyDescent="0.3">
      <c r="A23" s="1260" t="s">
        <v>207</v>
      </c>
      <c r="B23" s="453"/>
      <c r="C23" s="460"/>
      <c r="D23" s="453"/>
      <c r="E23" s="460"/>
      <c r="F23" s="453"/>
      <c r="G23" s="460"/>
      <c r="H23" s="460"/>
      <c r="I23" s="1259"/>
      <c r="K23" s="477" t="s">
        <v>208</v>
      </c>
      <c r="L23" s="477" t="str">
        <f>K2&amp;"."&amp;K23</f>
        <v>1.M3 Type</v>
      </c>
      <c r="M23" s="1252">
        <f>E136</f>
        <v>0</v>
      </c>
    </row>
    <row r="24" spans="1:13" ht="14.55" customHeight="1" x14ac:dyDescent="0.3">
      <c r="A24" s="1260"/>
      <c r="B24" s="305" t="s">
        <v>209</v>
      </c>
      <c r="C24" s="460"/>
      <c r="D24" s="305" t="s">
        <v>210</v>
      </c>
      <c r="E24" s="460"/>
      <c r="F24" s="305" t="s">
        <v>211</v>
      </c>
      <c r="G24" s="460"/>
      <c r="H24" s="460"/>
      <c r="I24" s="1259"/>
      <c r="K24" s="477" t="s">
        <v>212</v>
      </c>
      <c r="L24" s="477" t="str">
        <f>K2&amp;"."&amp;K24</f>
        <v>1.M3 Quantity</v>
      </c>
      <c r="M24" s="1252">
        <f>F136</f>
        <v>0</v>
      </c>
    </row>
    <row r="25" spans="1:13" ht="14.55" customHeight="1" x14ac:dyDescent="0.3">
      <c r="A25" s="1258" t="s">
        <v>213</v>
      </c>
      <c r="B25" s="305"/>
      <c r="C25" s="460"/>
      <c r="D25" s="305"/>
      <c r="E25" s="460"/>
      <c r="F25" s="723">
        <v>8</v>
      </c>
      <c r="G25" s="460" t="s">
        <v>214</v>
      </c>
      <c r="H25" s="460"/>
      <c r="I25" s="1259"/>
      <c r="K25" s="477" t="s">
        <v>215</v>
      </c>
      <c r="L25" s="477" t="str">
        <f>K2&amp;"."&amp;K25</f>
        <v>1.Shell insulation thk 1</v>
      </c>
      <c r="M25" s="1252">
        <f>B73</f>
        <v>100</v>
      </c>
    </row>
    <row r="26" spans="1:13" ht="14.55" customHeight="1" x14ac:dyDescent="0.3">
      <c r="A26" s="1258" t="s">
        <v>216</v>
      </c>
      <c r="B26" s="722">
        <v>800</v>
      </c>
      <c r="C26" s="460" t="s">
        <v>93</v>
      </c>
      <c r="D26" s="722"/>
      <c r="E26" s="460" t="s">
        <v>93</v>
      </c>
      <c r="F26" s="468">
        <f>F27-2*F71</f>
        <v>202.74</v>
      </c>
      <c r="G26" s="460" t="s">
        <v>93</v>
      </c>
      <c r="H26" s="460"/>
      <c r="I26" s="1259"/>
      <c r="K26" s="477" t="s">
        <v>217</v>
      </c>
      <c r="L26" s="477" t="str">
        <f>K2&amp;"."&amp;K26</f>
        <v>1.Head insulation thk 1</v>
      </c>
      <c r="M26" s="1252">
        <f>B74</f>
        <v>100</v>
      </c>
    </row>
    <row r="27" spans="1:13" ht="14.55" customHeight="1" x14ac:dyDescent="0.3">
      <c r="A27" s="1258" t="s">
        <v>218</v>
      </c>
      <c r="B27" s="468">
        <f>B26+B67*2</f>
        <v>824</v>
      </c>
      <c r="C27" s="460" t="s">
        <v>93</v>
      </c>
      <c r="D27" s="468">
        <f>D26+D67*2</f>
        <v>0</v>
      </c>
      <c r="E27" s="460" t="s">
        <v>93</v>
      </c>
      <c r="F27" s="468">
        <f>IFERROR(VLOOKUP(F25,'Thickness Tab'!$1:$1048576,3,0),0)</f>
        <v>219.1</v>
      </c>
      <c r="G27" s="460" t="s">
        <v>93</v>
      </c>
      <c r="H27" s="469"/>
      <c r="I27" s="1261"/>
      <c r="K27" s="477" t="s">
        <v>219</v>
      </c>
      <c r="L27" s="477" t="str">
        <f>K2&amp;"."&amp;K27</f>
        <v>1.Reducer insulation thk 1</v>
      </c>
      <c r="M27" s="1252">
        <f>B75</f>
        <v>100</v>
      </c>
    </row>
    <row r="28" spans="1:13" ht="14.55" customHeight="1" x14ac:dyDescent="0.3">
      <c r="A28" s="1258" t="s">
        <v>181</v>
      </c>
      <c r="B28" s="722">
        <v>2100</v>
      </c>
      <c r="C28" s="460" t="s">
        <v>93</v>
      </c>
      <c r="D28" s="722"/>
      <c r="E28" s="460" t="s">
        <v>93</v>
      </c>
      <c r="F28" s="722"/>
      <c r="G28" s="460" t="s">
        <v>93</v>
      </c>
      <c r="H28" s="460"/>
      <c r="I28" s="1259"/>
      <c r="K28" s="477" t="s">
        <v>220</v>
      </c>
      <c r="L28" s="477" t="str">
        <f>K2&amp;"."&amp;K28</f>
        <v>1.Shell insulation area 1</v>
      </c>
      <c r="M28" s="1252">
        <f>B33</f>
        <v>6.752256</v>
      </c>
    </row>
    <row r="29" spans="1:13" ht="14.55" customHeight="1" x14ac:dyDescent="0.3">
      <c r="A29" s="1258" t="s">
        <v>221</v>
      </c>
      <c r="B29" s="468">
        <f>(PI()*B28*(((B27/2)^2)-((B26/2)^2))*7860)/1000000000*1.05</f>
        <v>530.54018907377474</v>
      </c>
      <c r="C29" s="460" t="s">
        <v>222</v>
      </c>
      <c r="D29" s="468">
        <f>(PI()*D28*(((D27/2)^2)-((D26/2)^2))*7860)/1000000000*1.05</f>
        <v>0</v>
      </c>
      <c r="E29" s="460" t="s">
        <v>222</v>
      </c>
      <c r="F29" s="468">
        <f>(PI()*F28*(((F27/2)^2)-((F26/2)^2))*7860)/1000000000*1.05</f>
        <v>0</v>
      </c>
      <c r="G29" s="460" t="s">
        <v>222</v>
      </c>
      <c r="H29" s="469"/>
      <c r="I29" s="1261"/>
      <c r="K29" s="477" t="s">
        <v>223</v>
      </c>
      <c r="L29" s="477" t="str">
        <f>K2&amp;"."&amp;K29</f>
        <v>1.Head insulation area 1</v>
      </c>
      <c r="M29" s="1252">
        <f>B45</f>
        <v>1.7877401600000002</v>
      </c>
    </row>
    <row r="30" spans="1:13" ht="14.55" customHeight="1" x14ac:dyDescent="0.3">
      <c r="A30" s="1258" t="s">
        <v>224</v>
      </c>
      <c r="B30" s="468">
        <f>(PI()*((B26/2)^2)*B28)/1000000000</f>
        <v>1.0555751316061706</v>
      </c>
      <c r="C30" s="460" t="s">
        <v>225</v>
      </c>
      <c r="D30" s="468">
        <f>(PI()*((D26/2)^2)*D28)/1000000000</f>
        <v>0</v>
      </c>
      <c r="E30" s="460" t="s">
        <v>225</v>
      </c>
      <c r="F30" s="468">
        <f>(PI()*((F26/2)^2)*F28)/1000000000</f>
        <v>0</v>
      </c>
      <c r="G30" s="460" t="s">
        <v>225</v>
      </c>
      <c r="H30" s="469"/>
      <c r="I30" s="1261"/>
      <c r="K30" s="477" t="s">
        <v>226</v>
      </c>
      <c r="L30" s="477" t="str">
        <f>K2&amp;"."&amp;K30</f>
        <v>1.Reducer insulation area 1</v>
      </c>
      <c r="M30" s="1252">
        <f>B58</f>
        <v>0</v>
      </c>
    </row>
    <row r="31" spans="1:13" ht="14.55" customHeight="1" x14ac:dyDescent="0.3">
      <c r="A31" s="1258" t="s">
        <v>227</v>
      </c>
      <c r="B31" s="468">
        <f>(B27*3.14*B28)/1000000</f>
        <v>5.4334559999999996</v>
      </c>
      <c r="C31" s="460" t="s">
        <v>228</v>
      </c>
      <c r="D31" s="468">
        <f>(D27*3.14*D28)/1000000</f>
        <v>0</v>
      </c>
      <c r="E31" s="460" t="s">
        <v>228</v>
      </c>
      <c r="F31" s="468">
        <f>(F27*3.14*F28)/1000000</f>
        <v>0</v>
      </c>
      <c r="G31" s="460" t="s">
        <v>228</v>
      </c>
      <c r="H31" s="469"/>
      <c r="I31" s="1261"/>
      <c r="K31" s="477" t="s">
        <v>229</v>
      </c>
      <c r="L31" s="477" t="str">
        <f>K2&amp;"."&amp;K31</f>
        <v>1.Shell insulation thk 2</v>
      </c>
      <c r="M31" s="1252">
        <f>D73</f>
        <v>0</v>
      </c>
    </row>
    <row r="32" spans="1:13" ht="14.55" customHeight="1" x14ac:dyDescent="0.3">
      <c r="A32" s="1258" t="s">
        <v>230</v>
      </c>
      <c r="B32" s="468">
        <f>B27+2*B73</f>
        <v>1024</v>
      </c>
      <c r="C32" s="460" t="s">
        <v>93</v>
      </c>
      <c r="D32" s="468">
        <f>D27+2*D73</f>
        <v>0</v>
      </c>
      <c r="E32" s="460" t="s">
        <v>93</v>
      </c>
      <c r="F32" s="468">
        <f>F27+2*F73</f>
        <v>219.1</v>
      </c>
      <c r="G32" s="460" t="s">
        <v>93</v>
      </c>
      <c r="H32" s="469"/>
      <c r="I32" s="1261"/>
      <c r="K32" s="477" t="s">
        <v>231</v>
      </c>
      <c r="L32" s="477" t="str">
        <f>K2&amp;"."&amp;K32</f>
        <v>1.Head insulation thk 2</v>
      </c>
      <c r="M32" s="1252">
        <f>D74</f>
        <v>0</v>
      </c>
    </row>
    <row r="33" spans="1:13" ht="14.55" customHeight="1" x14ac:dyDescent="0.3">
      <c r="A33" s="1258" t="s">
        <v>232</v>
      </c>
      <c r="B33" s="468">
        <f>(B32*3.14*B28)/1000000</f>
        <v>6.752256</v>
      </c>
      <c r="C33" s="460" t="s">
        <v>228</v>
      </c>
      <c r="D33" s="468">
        <f>(D32*3.14*D28)/1000000</f>
        <v>0</v>
      </c>
      <c r="E33" s="460" t="s">
        <v>228</v>
      </c>
      <c r="F33" s="468">
        <f>(F32*3.14*F28)/1000000</f>
        <v>0</v>
      </c>
      <c r="G33" s="460" t="s">
        <v>228</v>
      </c>
      <c r="H33" s="469"/>
      <c r="I33" s="1261"/>
      <c r="K33" s="477" t="s">
        <v>233</v>
      </c>
      <c r="L33" s="477" t="str">
        <f>K2&amp;"."&amp;K33</f>
        <v>1.Reducer insulation thk 2</v>
      </c>
      <c r="M33" s="1252">
        <f>D75</f>
        <v>0</v>
      </c>
    </row>
    <row r="34" spans="1:13" ht="14.55" customHeight="1" x14ac:dyDescent="0.3">
      <c r="A34" s="1258"/>
      <c r="B34" s="468"/>
      <c r="C34" s="460"/>
      <c r="D34" s="468"/>
      <c r="E34" s="460"/>
      <c r="F34" s="468"/>
      <c r="G34" s="460"/>
      <c r="H34" s="469"/>
      <c r="I34" s="1261"/>
      <c r="K34" s="477" t="s">
        <v>234</v>
      </c>
      <c r="L34" s="477" t="str">
        <f>K2&amp;"."&amp;K34</f>
        <v>1.Shell insulation area 2</v>
      </c>
      <c r="M34" s="1252">
        <f>D33</f>
        <v>0</v>
      </c>
    </row>
    <row r="35" spans="1:13" ht="14.55" customHeight="1" x14ac:dyDescent="0.3">
      <c r="A35" s="1258"/>
      <c r="B35" s="468" t="s">
        <v>235</v>
      </c>
      <c r="C35" s="460"/>
      <c r="D35" s="468" t="s">
        <v>236</v>
      </c>
      <c r="E35" s="460"/>
      <c r="F35" s="468" t="s">
        <v>237</v>
      </c>
      <c r="G35" s="460"/>
      <c r="H35" s="469"/>
      <c r="I35" s="1261"/>
      <c r="K35" s="477" t="s">
        <v>238</v>
      </c>
      <c r="L35" s="477" t="str">
        <f>K2&amp;"."&amp;K35</f>
        <v>1.Head insulation area 2</v>
      </c>
      <c r="M35" s="1252">
        <f>D45</f>
        <v>0</v>
      </c>
    </row>
    <row r="36" spans="1:13" ht="14.55" customHeight="1" x14ac:dyDescent="0.3">
      <c r="A36" s="1258" t="s">
        <v>239</v>
      </c>
      <c r="B36" s="468">
        <f>B26</f>
        <v>800</v>
      </c>
      <c r="C36" s="460" t="s">
        <v>93</v>
      </c>
      <c r="D36" s="468">
        <f>D26</f>
        <v>0</v>
      </c>
      <c r="E36" s="460" t="s">
        <v>93</v>
      </c>
      <c r="F36" s="468">
        <f>F26</f>
        <v>202.74</v>
      </c>
      <c r="G36" s="460" t="s">
        <v>93</v>
      </c>
      <c r="H36" s="469"/>
      <c r="I36" s="1261"/>
      <c r="K36" s="477" t="s">
        <v>240</v>
      </c>
      <c r="L36" s="477" t="str">
        <f>K2&amp;"."&amp;K36</f>
        <v>1.Reducer insulation area 2</v>
      </c>
      <c r="M36" s="1252">
        <f>D58</f>
        <v>0</v>
      </c>
    </row>
    <row r="37" spans="1:13" ht="14.55" customHeight="1" x14ac:dyDescent="0.3">
      <c r="A37" s="1258" t="s">
        <v>241</v>
      </c>
      <c r="B37" s="468">
        <f>B36+2*B68</f>
        <v>824</v>
      </c>
      <c r="C37" s="460" t="s">
        <v>93</v>
      </c>
      <c r="D37" s="468">
        <f>D36+2*D68</f>
        <v>0</v>
      </c>
      <c r="E37" s="460" t="s">
        <v>93</v>
      </c>
      <c r="F37" s="468">
        <f>F36+2*F71</f>
        <v>219.10000000000002</v>
      </c>
      <c r="G37" s="460" t="s">
        <v>93</v>
      </c>
      <c r="H37" s="469"/>
      <c r="I37" s="1261"/>
      <c r="K37" s="477" t="s">
        <v>242</v>
      </c>
      <c r="L37" s="477" t="str">
        <f>K2&amp;"."&amp;K37</f>
        <v>1.Shell insulation thk 3</v>
      </c>
      <c r="M37" s="1252">
        <f>F73</f>
        <v>0</v>
      </c>
    </row>
    <row r="38" spans="1:13" ht="14.55" customHeight="1" x14ac:dyDescent="0.3">
      <c r="A38" s="1258" t="s">
        <v>243</v>
      </c>
      <c r="B38" s="722">
        <v>300</v>
      </c>
      <c r="C38" s="460" t="s">
        <v>93</v>
      </c>
      <c r="D38" s="722"/>
      <c r="E38" s="460" t="s">
        <v>93</v>
      </c>
      <c r="F38" s="452"/>
      <c r="G38" s="460"/>
      <c r="H38" s="469"/>
      <c r="I38" s="1261"/>
      <c r="K38" s="477" t="s">
        <v>244</v>
      </c>
      <c r="L38" s="477" t="str">
        <f>K2&amp;"."&amp;K38</f>
        <v>1.Head insulation thk 3</v>
      </c>
      <c r="M38" s="1252">
        <f>F74</f>
        <v>0</v>
      </c>
    </row>
    <row r="39" spans="1:13" ht="14.55" customHeight="1" x14ac:dyDescent="0.3">
      <c r="A39" s="1258" t="s">
        <v>245</v>
      </c>
      <c r="B39" s="724">
        <v>1</v>
      </c>
      <c r="C39" s="460"/>
      <c r="D39" s="724"/>
      <c r="E39" s="460"/>
      <c r="F39" s="724"/>
      <c r="G39" s="460"/>
      <c r="H39" s="469"/>
      <c r="I39" s="1261"/>
      <c r="K39" s="477" t="s">
        <v>246</v>
      </c>
      <c r="L39" s="477" t="str">
        <f>K2&amp;"."&amp;K39</f>
        <v>1.Reducer insulation thk 3</v>
      </c>
      <c r="M39" s="1252">
        <f>F75</f>
        <v>0</v>
      </c>
    </row>
    <row r="40" spans="1:13" ht="14.55" customHeight="1" x14ac:dyDescent="0.3">
      <c r="A40" s="1258" t="s">
        <v>247</v>
      </c>
      <c r="B40" s="468">
        <v>0</v>
      </c>
      <c r="C40" s="460" t="s">
        <v>93</v>
      </c>
      <c r="D40" s="468">
        <v>0</v>
      </c>
      <c r="E40" s="460" t="s">
        <v>93</v>
      </c>
      <c r="F40" s="468">
        <v>0</v>
      </c>
      <c r="G40" s="460" t="s">
        <v>93</v>
      </c>
      <c r="H40" s="469"/>
      <c r="I40" s="1261"/>
      <c r="K40" s="477" t="s">
        <v>248</v>
      </c>
      <c r="L40" s="477" t="str">
        <f>K2&amp;"."&amp;K40</f>
        <v>1.Shell insulation area 3</v>
      </c>
      <c r="M40" s="1252">
        <f>F33</f>
        <v>0</v>
      </c>
    </row>
    <row r="41" spans="1:13" ht="14.55" customHeight="1" x14ac:dyDescent="0.3">
      <c r="A41" s="1258" t="s">
        <v>249</v>
      </c>
      <c r="B41" s="468">
        <f>((((POWER(((((B36+B69)*1.22)+(B40*2))/100),2)*PI())/4)*(B69/100))*7.86)</f>
        <v>72.698490492396118</v>
      </c>
      <c r="C41" s="460" t="s">
        <v>222</v>
      </c>
      <c r="D41" s="468">
        <f>((((POWER(((((D36+D69)*1.22)+(D40*2))/100),2)*PI())/4)*(D69/100))*7.86)</f>
        <v>0</v>
      </c>
      <c r="E41" s="460" t="s">
        <v>222</v>
      </c>
      <c r="F41" s="468">
        <f>IFERROR(VLOOKUP(F25&amp;"."&amp;F70,'Fitting Chart'!$1:$1048576,5,0),0)</f>
        <v>4.9895160700000005</v>
      </c>
      <c r="G41" s="460" t="s">
        <v>222</v>
      </c>
      <c r="H41" s="469"/>
      <c r="I41" s="1261"/>
      <c r="K41" s="477" t="s">
        <v>250</v>
      </c>
      <c r="L41" s="477" t="str">
        <f>K2&amp;"."&amp;K41</f>
        <v>1.Head insulation area 3</v>
      </c>
      <c r="M41" s="1252">
        <f>F44</f>
        <v>219.10000000000002</v>
      </c>
    </row>
    <row r="42" spans="1:13" ht="14.55" customHeight="1" x14ac:dyDescent="0.3">
      <c r="A42" s="1258" t="s">
        <v>251</v>
      </c>
      <c r="B42" s="468">
        <f>(((0.131*(B36^3)*10^-6)+((((B36/2)^2)*PI()*(((B36/4)+B68)-B68-(B36/4)))))+((PI()*((B36/2)^2)*B40))/1000000)/1000</f>
        <v>6.7072000000000007E-2</v>
      </c>
      <c r="C42" s="460" t="s">
        <v>225</v>
      </c>
      <c r="D42" s="468">
        <f>(((0.131*(D36^3)*10^-6)+((((D36/2)^2)*PI()*(((D36/4)+D68)-D68-(D36/4)))))+((PI()*((D36/2)^2)*D40))/1000000)/1000</f>
        <v>0</v>
      </c>
      <c r="E42" s="460" t="s">
        <v>225</v>
      </c>
      <c r="F42" s="468">
        <f>(((0.131*(F36^3)*10^-6)+((((F36/2)^2)*PI()*(((F36/4)+F71)-F71-(F36/4)))))+((PI()*((F36/2)^2)*F40))/1000000)/1000</f>
        <v>1.0916655921379441E-3</v>
      </c>
      <c r="G42" s="460" t="s">
        <v>225</v>
      </c>
      <c r="H42" s="469"/>
      <c r="I42" s="1261"/>
      <c r="K42" s="477" t="s">
        <v>252</v>
      </c>
      <c r="L42" s="477" t="str">
        <f>K2&amp;"."&amp;K42</f>
        <v>1.Reducer insulation area 3</v>
      </c>
      <c r="M42" s="1252">
        <f>F58</f>
        <v>0</v>
      </c>
    </row>
    <row r="43" spans="1:13" ht="14.55" customHeight="1" x14ac:dyDescent="0.3">
      <c r="A43" s="1258" t="s">
        <v>253</v>
      </c>
      <c r="B43" s="468">
        <f>(((B37*B38*3.14)+(((B37/2)^2)*3.14))/1000000)</f>
        <v>1.3092041600000002</v>
      </c>
      <c r="C43" s="460" t="s">
        <v>228</v>
      </c>
      <c r="D43" s="468">
        <f>(((D37*D38*3.14)+(((D37/2)^2)*3.14))/1000000)</f>
        <v>0</v>
      </c>
      <c r="E43" s="460" t="s">
        <v>228</v>
      </c>
      <c r="F43" s="468">
        <f>(((F37*F38*3.14)+(((F37/2)^2)*3.14))/1000000)</f>
        <v>3.7683775850000011E-2</v>
      </c>
      <c r="G43" s="460" t="s">
        <v>228</v>
      </c>
      <c r="H43" s="469"/>
      <c r="I43" s="1261"/>
    </row>
    <row r="44" spans="1:13" ht="14.55" customHeight="1" x14ac:dyDescent="0.3">
      <c r="A44" s="1258" t="s">
        <v>254</v>
      </c>
      <c r="B44" s="468">
        <f>B37+2*B74</f>
        <v>1024</v>
      </c>
      <c r="C44" s="460" t="s">
        <v>93</v>
      </c>
      <c r="D44" s="468">
        <f>D37+2*D74</f>
        <v>0</v>
      </c>
      <c r="E44" s="460" t="s">
        <v>93</v>
      </c>
      <c r="F44" s="468">
        <f>F37+2*F74</f>
        <v>219.10000000000002</v>
      </c>
      <c r="G44" s="460" t="s">
        <v>93</v>
      </c>
      <c r="H44" s="469"/>
      <c r="I44" s="1261"/>
    </row>
    <row r="45" spans="1:13" ht="14.55" customHeight="1" x14ac:dyDescent="0.3">
      <c r="A45" s="1258" t="s">
        <v>255</v>
      </c>
      <c r="B45" s="468">
        <f>(((B44*B38*3.14)+(((B44/2)^2)*3.14))/1000000)</f>
        <v>1.7877401600000002</v>
      </c>
      <c r="C45" s="460" t="s">
        <v>228</v>
      </c>
      <c r="D45" s="468">
        <f>(((D44*D38*3.14)+(((D44/2)^2)*3.14))/1000000)</f>
        <v>0</v>
      </c>
      <c r="E45" s="460" t="s">
        <v>228</v>
      </c>
      <c r="F45" s="468">
        <f>(((F44*F38*3.14)+(((F44/2)^2)*3.14))/1000000)</f>
        <v>3.7683775850000011E-2</v>
      </c>
      <c r="G45" s="460" t="s">
        <v>228</v>
      </c>
      <c r="H45" s="469"/>
      <c r="I45" s="1261"/>
    </row>
    <row r="46" spans="1:13" ht="14.55" customHeight="1" x14ac:dyDescent="0.3">
      <c r="A46" s="1258"/>
      <c r="B46" s="454"/>
      <c r="C46" s="460"/>
      <c r="D46" s="454"/>
      <c r="E46" s="460"/>
      <c r="F46" s="454"/>
      <c r="G46" s="460"/>
      <c r="H46" s="469"/>
      <c r="I46" s="1261"/>
    </row>
    <row r="47" spans="1:13" ht="14.55" customHeight="1" x14ac:dyDescent="0.3">
      <c r="A47" s="1258"/>
      <c r="B47" s="468" t="s">
        <v>256</v>
      </c>
      <c r="C47" s="460"/>
      <c r="D47" s="468" t="s">
        <v>257</v>
      </c>
      <c r="E47" s="460"/>
      <c r="F47" s="468" t="s">
        <v>258</v>
      </c>
      <c r="G47" s="460"/>
      <c r="H47" s="469"/>
      <c r="I47" s="1261"/>
    </row>
    <row r="48" spans="1:13" ht="14.55" customHeight="1" x14ac:dyDescent="0.3">
      <c r="A48" s="1258" t="s">
        <v>259</v>
      </c>
      <c r="B48" s="725"/>
      <c r="C48" s="460" t="s">
        <v>93</v>
      </c>
      <c r="D48" s="725"/>
      <c r="E48" s="460" t="s">
        <v>93</v>
      </c>
      <c r="F48" s="725"/>
      <c r="G48" s="460" t="s">
        <v>93</v>
      </c>
      <c r="H48" s="469"/>
      <c r="I48" s="1261"/>
    </row>
    <row r="49" spans="1:9" ht="14.55" customHeight="1" x14ac:dyDescent="0.3">
      <c r="A49" s="1258" t="s">
        <v>260</v>
      </c>
      <c r="B49" s="725"/>
      <c r="C49" s="460" t="s">
        <v>93</v>
      </c>
      <c r="D49" s="725"/>
      <c r="E49" s="460" t="s">
        <v>93</v>
      </c>
      <c r="F49" s="725"/>
      <c r="G49" s="460" t="s">
        <v>93</v>
      </c>
      <c r="H49" s="469"/>
      <c r="I49" s="1261"/>
    </row>
    <row r="50" spans="1:9" ht="14.55" customHeight="1" x14ac:dyDescent="0.3">
      <c r="A50" s="1258" t="s">
        <v>261</v>
      </c>
      <c r="B50" s="725"/>
      <c r="C50" s="460" t="s">
        <v>93</v>
      </c>
      <c r="D50" s="725"/>
      <c r="E50" s="460" t="s">
        <v>93</v>
      </c>
      <c r="F50" s="725"/>
      <c r="G50" s="460" t="s">
        <v>93</v>
      </c>
      <c r="H50" s="469"/>
      <c r="I50" s="1261"/>
    </row>
    <row r="51" spans="1:9" ht="14.55" customHeight="1" x14ac:dyDescent="0.3">
      <c r="A51" s="1258" t="s">
        <v>262</v>
      </c>
      <c r="B51" s="455">
        <f>B48+2*B69</f>
        <v>24</v>
      </c>
      <c r="C51" s="460" t="s">
        <v>93</v>
      </c>
      <c r="D51" s="455">
        <f>D48+2*D69</f>
        <v>0</v>
      </c>
      <c r="E51" s="460" t="s">
        <v>93</v>
      </c>
      <c r="F51" s="455">
        <f>F48+2*F71</f>
        <v>16.36</v>
      </c>
      <c r="G51" s="460" t="s">
        <v>93</v>
      </c>
      <c r="H51" s="469"/>
      <c r="I51" s="1261"/>
    </row>
    <row r="52" spans="1:9" ht="14.55" customHeight="1" x14ac:dyDescent="0.3">
      <c r="A52" s="1258" t="s">
        <v>263</v>
      </c>
      <c r="B52" s="455">
        <f>B49+2*B69</f>
        <v>24</v>
      </c>
      <c r="C52" s="460" t="s">
        <v>93</v>
      </c>
      <c r="D52" s="455">
        <f>D49+2*D69</f>
        <v>0</v>
      </c>
      <c r="E52" s="460" t="s">
        <v>93</v>
      </c>
      <c r="F52" s="455">
        <f>F49+2*F71</f>
        <v>16.36</v>
      </c>
      <c r="G52" s="460" t="s">
        <v>93</v>
      </c>
      <c r="H52" s="469"/>
      <c r="I52" s="1261"/>
    </row>
    <row r="53" spans="1:9" ht="14.55" customHeight="1" x14ac:dyDescent="0.3">
      <c r="A53" s="1258" t="s">
        <v>264</v>
      </c>
      <c r="B53" s="453">
        <f>(((((1/3*PI()*B50))*((((B51/2)^2)+(((B51/2)*(B52/2)))+((B52/2)^2))))-(((1/3*PI()*B50))*((((B48/2)^2)+(((B48/2)*(B49/2)))+((B49/2)^2)))))*7.86)/1000000</f>
        <v>0</v>
      </c>
      <c r="C53" s="460" t="s">
        <v>222</v>
      </c>
      <c r="D53" s="453">
        <f>(((((1/3*PI()*D50))*((((D51/2)^2)+(((D51/2)*(D52/2)))+((D52/2)^2))))-(((1/3*PI()*D50))*((((D48/2)^2)+(((D48/2)*(D49/2)))+((D49/2)^2)))))*7.86)/1000000</f>
        <v>0</v>
      </c>
      <c r="E53" s="460" t="s">
        <v>222</v>
      </c>
      <c r="F53" s="453">
        <f>(((((1/3*PI()*F50))*((((F51/2)^2)+(((F51/2)*(F52/2)))+((F52/2)^2))))-(((1/3*PI()*F50))*((((F48/2)^2)+(((F48/2)*(F49/2)))+((F49/2)^2)))))*7.86)/1000000</f>
        <v>0</v>
      </c>
      <c r="G53" s="460" t="s">
        <v>222</v>
      </c>
      <c r="H53" s="469"/>
      <c r="I53" s="1261"/>
    </row>
    <row r="54" spans="1:9" ht="14.55" customHeight="1" x14ac:dyDescent="0.3">
      <c r="A54" s="1258" t="s">
        <v>265</v>
      </c>
      <c r="B54" s="453">
        <f>((1/3*PI()*B50))*((((B48/2)^2)+(((B48/2)*(B49/2)))+((B49/2)^2)))/1000000000</f>
        <v>0</v>
      </c>
      <c r="C54" s="460" t="s">
        <v>225</v>
      </c>
      <c r="D54" s="453">
        <f>((1/3*PI()*D50))*((((D48/2)^2)+(((D48/2)*(D49/2)))+((D49/2)^2)))/1000000000</f>
        <v>0</v>
      </c>
      <c r="E54" s="460" t="s">
        <v>225</v>
      </c>
      <c r="F54" s="453">
        <f>((1/3*PI()*F50))*((((F48/2)^2)+(((F48/2)*(F49/2)))+((F49/2)^2)))/1000000000</f>
        <v>0</v>
      </c>
      <c r="G54" s="460" t="s">
        <v>225</v>
      </c>
      <c r="H54" s="469"/>
      <c r="I54" s="1261"/>
    </row>
    <row r="55" spans="1:9" ht="14.55" customHeight="1" x14ac:dyDescent="0.3">
      <c r="A55" s="1258" t="s">
        <v>266</v>
      </c>
      <c r="B55" s="453">
        <f>PI()*(B51+B52)/2*SQRT(B50^2+((B51-B52)/2)^2)/1000000</f>
        <v>0</v>
      </c>
      <c r="C55" s="460" t="s">
        <v>228</v>
      </c>
      <c r="D55" s="453">
        <f>PI()*(D51+D52)/2*SQRT(D50^2+((D51-D52)/2)^2)/1000000</f>
        <v>0</v>
      </c>
      <c r="E55" s="460" t="s">
        <v>228</v>
      </c>
      <c r="F55" s="453">
        <f>PI()*(F51+F52)/2*SQRT(F50^2+((F51-F52)/2)^2)/1000000</f>
        <v>0</v>
      </c>
      <c r="G55" s="460" t="s">
        <v>228</v>
      </c>
      <c r="H55" s="469"/>
      <c r="I55" s="1261"/>
    </row>
    <row r="56" spans="1:9" ht="14.55" customHeight="1" x14ac:dyDescent="0.3">
      <c r="A56" s="1258" t="s">
        <v>267</v>
      </c>
      <c r="B56" s="453">
        <f>B51+2*B75</f>
        <v>224</v>
      </c>
      <c r="C56" s="460" t="s">
        <v>93</v>
      </c>
      <c r="D56" s="453">
        <f>D48+2*D75</f>
        <v>0</v>
      </c>
      <c r="E56" s="460" t="s">
        <v>93</v>
      </c>
      <c r="F56" s="453">
        <f>F48+2*F75</f>
        <v>0</v>
      </c>
      <c r="G56" s="460" t="s">
        <v>93</v>
      </c>
      <c r="H56" s="469"/>
      <c r="I56" s="1261"/>
    </row>
    <row r="57" spans="1:9" ht="14.55" customHeight="1" x14ac:dyDescent="0.3">
      <c r="A57" s="1258" t="s">
        <v>268</v>
      </c>
      <c r="B57" s="453">
        <f>B52+2*B75</f>
        <v>224</v>
      </c>
      <c r="C57" s="460" t="s">
        <v>93</v>
      </c>
      <c r="D57" s="453">
        <f>D49+2*D75</f>
        <v>0</v>
      </c>
      <c r="E57" s="460" t="s">
        <v>93</v>
      </c>
      <c r="F57" s="453">
        <f>F49+2*F75</f>
        <v>0</v>
      </c>
      <c r="G57" s="460" t="s">
        <v>93</v>
      </c>
      <c r="H57" s="469"/>
      <c r="I57" s="1261"/>
    </row>
    <row r="58" spans="1:9" ht="14.55" customHeight="1" x14ac:dyDescent="0.3">
      <c r="A58" s="1258" t="s">
        <v>269</v>
      </c>
      <c r="B58" s="453">
        <f>PI()*(B56+B57)/2*SQRT(B50^2+((B56-B57)/2)^2)/1000000</f>
        <v>0</v>
      </c>
      <c r="C58" s="460" t="s">
        <v>228</v>
      </c>
      <c r="D58" s="453">
        <f>PI()*(D56+D57)/2*SQRT(D50^2+((D56-D57)/2)^2)/1000000</f>
        <v>0</v>
      </c>
      <c r="E58" s="460" t="s">
        <v>228</v>
      </c>
      <c r="F58" s="453">
        <f>PI()*(F56+F57)/2*SQRT(F50^2+((F56-F57)/2)^2)/1000000</f>
        <v>0</v>
      </c>
      <c r="G58" s="460" t="s">
        <v>228</v>
      </c>
      <c r="H58" s="469"/>
      <c r="I58" s="1261"/>
    </row>
    <row r="59" spans="1:9" ht="14.55" customHeight="1" x14ac:dyDescent="0.3">
      <c r="A59" s="1258"/>
      <c r="B59" s="453"/>
      <c r="C59" s="460"/>
      <c r="D59" s="453"/>
      <c r="E59" s="460"/>
      <c r="F59" s="453"/>
      <c r="G59" s="460"/>
      <c r="H59" s="460"/>
      <c r="I59" s="1259"/>
    </row>
    <row r="60" spans="1:9" ht="14.55" customHeight="1" x14ac:dyDescent="0.3">
      <c r="A60" s="1258" t="s">
        <v>270</v>
      </c>
      <c r="B60" s="725">
        <v>12</v>
      </c>
      <c r="C60" s="460" t="s">
        <v>93</v>
      </c>
      <c r="D60" s="725"/>
      <c r="E60" s="460" t="s">
        <v>93</v>
      </c>
      <c r="F60" s="725"/>
      <c r="G60" s="460" t="s">
        <v>93</v>
      </c>
      <c r="H60" s="460"/>
      <c r="I60" s="1259"/>
    </row>
    <row r="61" spans="1:9" ht="14.55" customHeight="1" x14ac:dyDescent="0.3">
      <c r="A61" s="1258" t="s">
        <v>271</v>
      </c>
      <c r="B61" s="453">
        <f>((D9/10)*B26/2)/(IF(B4="div.1",B17,B20)-0.5*D9/10)</f>
        <v>7.7253218884120178</v>
      </c>
      <c r="C61" s="460" t="s">
        <v>93</v>
      </c>
      <c r="D61" s="453">
        <f>((D9/10)*D26/2)/(IF(B4="div.1",B17,B20)-0.5*D9/10)</f>
        <v>0</v>
      </c>
      <c r="E61" s="460" t="s">
        <v>93</v>
      </c>
      <c r="F61" s="453" t="e">
        <f>((D9/10)*F26/2)/(IF(B4="div.1",F17,F20)-0.5*D9/10)</f>
        <v>#N/A</v>
      </c>
      <c r="G61" s="460" t="s">
        <v>93</v>
      </c>
      <c r="H61" s="460"/>
      <c r="I61" s="1259"/>
    </row>
    <row r="62" spans="1:9" ht="14.55" customHeight="1" x14ac:dyDescent="0.3">
      <c r="A62" s="1258" t="s">
        <v>272</v>
      </c>
      <c r="B62" s="453">
        <f>B36/2*(EXP(D9/(10*IF(B4="div.1",B18,B21)))-1)</f>
        <v>7.7250840627064221</v>
      </c>
      <c r="C62" s="460" t="s">
        <v>93</v>
      </c>
      <c r="D62" s="453">
        <f>D36/2*(EXP(D9/(10*IF(B4="div.1",B18,B21)))-1)</f>
        <v>0</v>
      </c>
      <c r="E62" s="460" t="s">
        <v>93</v>
      </c>
      <c r="F62" s="453" t="e">
        <f>F36/2*(EXP(D9/(10*IF(B4="div.1",F18,F21)))-1)</f>
        <v>#N/A</v>
      </c>
      <c r="G62" s="460" t="s">
        <v>93</v>
      </c>
      <c r="H62" s="460"/>
      <c r="I62" s="1259"/>
    </row>
    <row r="63" spans="1:9" ht="14.55" customHeight="1" x14ac:dyDescent="0.3">
      <c r="A63" s="1258" t="s">
        <v>273</v>
      </c>
      <c r="B63" s="453">
        <f>B48/2*(EXP(D9/(10*IF(B4="div.1",B18,B21)))-1)</f>
        <v>0</v>
      </c>
      <c r="C63" s="460" t="s">
        <v>93</v>
      </c>
      <c r="D63" s="453">
        <f>D48/2*(EXP(D9/(10*IF(B4="div.1",B18,B21)))-1)</f>
        <v>0</v>
      </c>
      <c r="E63" s="460" t="s">
        <v>93</v>
      </c>
      <c r="F63" s="453" t="e">
        <f>F48/2*(EXP(D9/(10*IF(B4="div.1",F18,F21)))-1)</f>
        <v>#N/A</v>
      </c>
      <c r="G63" s="460" t="s">
        <v>93</v>
      </c>
      <c r="H63" s="460"/>
      <c r="I63" s="1259"/>
    </row>
    <row r="64" spans="1:9" ht="14.55" customHeight="1" x14ac:dyDescent="0.3">
      <c r="A64" s="1258" t="s">
        <v>274</v>
      </c>
      <c r="B64" s="725">
        <v>0</v>
      </c>
      <c r="C64" s="460" t="s">
        <v>93</v>
      </c>
      <c r="D64" s="725"/>
      <c r="E64" s="460" t="s">
        <v>93</v>
      </c>
      <c r="F64" s="725"/>
      <c r="G64" s="460" t="s">
        <v>93</v>
      </c>
      <c r="H64" s="460"/>
      <c r="I64" s="1259"/>
    </row>
    <row r="65" spans="1:9" ht="14.55" customHeight="1" x14ac:dyDescent="0.3">
      <c r="A65" s="1258" t="s">
        <v>275</v>
      </c>
      <c r="B65" s="725">
        <v>0</v>
      </c>
      <c r="C65" s="460" t="s">
        <v>93</v>
      </c>
      <c r="D65" s="725"/>
      <c r="E65" s="460" t="s">
        <v>93</v>
      </c>
      <c r="F65" s="725"/>
      <c r="G65" s="460" t="s">
        <v>93</v>
      </c>
      <c r="H65" s="460"/>
      <c r="I65" s="1259"/>
    </row>
    <row r="66" spans="1:9" ht="14.55" customHeight="1" x14ac:dyDescent="0.3">
      <c r="A66" s="1258" t="s">
        <v>276</v>
      </c>
      <c r="B66" s="725">
        <v>0</v>
      </c>
      <c r="C66" s="460" t="s">
        <v>93</v>
      </c>
      <c r="D66" s="725"/>
      <c r="E66" s="460" t="s">
        <v>93</v>
      </c>
      <c r="F66" s="725"/>
      <c r="G66" s="460" t="s">
        <v>93</v>
      </c>
      <c r="H66" s="460"/>
      <c r="I66" s="1259"/>
    </row>
    <row r="67" spans="1:9" ht="14.55" customHeight="1" x14ac:dyDescent="0.3">
      <c r="A67" s="1258" t="s">
        <v>277</v>
      </c>
      <c r="B67" s="453">
        <f>IF((CEILING(B61,1)+B64)&lt;B60,B60,CEILING(B61,1)+B64)</f>
        <v>12</v>
      </c>
      <c r="C67" s="460" t="s">
        <v>93</v>
      </c>
      <c r="D67" s="453">
        <f>IF((CEILING(D61,1)+D64)&lt;D60,D60,CEILING(D61,1)+D64)</f>
        <v>0</v>
      </c>
      <c r="E67" s="460" t="s">
        <v>93</v>
      </c>
      <c r="F67" s="453" t="e">
        <f>IF((CEILING(F61,1)+F64)&lt;F60,F60,CEILING(F61,1)+F64)</f>
        <v>#N/A</v>
      </c>
      <c r="G67" s="460" t="s">
        <v>93</v>
      </c>
      <c r="H67" s="460"/>
      <c r="I67" s="1259"/>
    </row>
    <row r="68" spans="1:9" ht="14.55" customHeight="1" x14ac:dyDescent="0.3">
      <c r="A68" s="1258" t="s">
        <v>278</v>
      </c>
      <c r="B68" s="453">
        <f>IF((CEILING(B62,1)+B65)&lt;=B60,B60,CEILING(B62,1)+B65)</f>
        <v>12</v>
      </c>
      <c r="C68" s="460" t="s">
        <v>93</v>
      </c>
      <c r="D68" s="453">
        <f>IF((CEILING(D62,1)+D65)&lt;=D60,D60,CEILING(D62,1)+D65)</f>
        <v>0</v>
      </c>
      <c r="E68" s="460" t="s">
        <v>93</v>
      </c>
      <c r="F68" s="453" t="e">
        <f>IF((CEILING(F62,1)+F65)&lt;=F60,F60,CEILING(F62,1)+F65)</f>
        <v>#N/A</v>
      </c>
      <c r="G68" s="460" t="s">
        <v>93</v>
      </c>
      <c r="H68" s="460"/>
      <c r="I68" s="1259"/>
    </row>
    <row r="69" spans="1:9" ht="14.55" customHeight="1" x14ac:dyDescent="0.3">
      <c r="A69" s="1258" t="s">
        <v>279</v>
      </c>
      <c r="B69" s="453">
        <f>IF((CEILING(B63,1)+B66)&lt;=B60,B60,CEILING(B63,1)+B66)</f>
        <v>12</v>
      </c>
      <c r="C69" s="460" t="s">
        <v>93</v>
      </c>
      <c r="D69" s="453">
        <f>IF((CEILING(D63,1)+D66)&lt;=D60,D60,CEILING(D63,1)+D66)</f>
        <v>0</v>
      </c>
      <c r="E69" s="460" t="s">
        <v>93</v>
      </c>
      <c r="F69" s="453" t="e">
        <f>IF((CEILING(F63,1)+F66)&lt;=F60,F60,CEILING(F63,1)+F66)</f>
        <v>#N/A</v>
      </c>
      <c r="G69" s="460" t="s">
        <v>93</v>
      </c>
      <c r="H69" s="460"/>
      <c r="I69" s="1259"/>
    </row>
    <row r="70" spans="1:9" ht="14.55" customHeight="1" x14ac:dyDescent="0.3">
      <c r="A70" s="1258" t="s">
        <v>280</v>
      </c>
      <c r="B70" s="453"/>
      <c r="C70" s="460"/>
      <c r="D70" s="453"/>
      <c r="E70" s="460"/>
      <c r="F70" s="726" t="s">
        <v>65</v>
      </c>
      <c r="G70" s="460"/>
      <c r="H70" s="460"/>
      <c r="I70" s="1259"/>
    </row>
    <row r="71" spans="1:9" ht="14.55" customHeight="1" x14ac:dyDescent="0.3">
      <c r="A71" s="1258" t="s">
        <v>281</v>
      </c>
      <c r="B71" s="453"/>
      <c r="C71" s="460"/>
      <c r="D71" s="453"/>
      <c r="E71" s="460"/>
      <c r="F71" s="460">
        <f>IFERROR(VLOOKUP(F25,'Thickness Tab'!$1:$1048576,MATCH(F70,'Thickness Tab'!$1:$1,0),0),0)</f>
        <v>8.18</v>
      </c>
      <c r="G71" s="460" t="s">
        <v>93</v>
      </c>
      <c r="H71" s="460"/>
      <c r="I71" s="1259"/>
    </row>
    <row r="72" spans="1:9" ht="14.55" customHeight="1" x14ac:dyDescent="0.3">
      <c r="A72" s="1258"/>
      <c r="B72" s="464"/>
      <c r="C72" s="460"/>
      <c r="D72" s="460"/>
      <c r="E72" s="460"/>
      <c r="F72" s="460"/>
      <c r="G72" s="460"/>
      <c r="H72" s="460"/>
      <c r="I72" s="1259"/>
    </row>
    <row r="73" spans="1:9" ht="14.55" customHeight="1" x14ac:dyDescent="0.3">
      <c r="A73" s="1258" t="s">
        <v>282</v>
      </c>
      <c r="B73" s="725">
        <v>100</v>
      </c>
      <c r="C73" s="460" t="s">
        <v>93</v>
      </c>
      <c r="D73" s="725">
        <v>0</v>
      </c>
      <c r="E73" s="460" t="s">
        <v>93</v>
      </c>
      <c r="F73" s="725">
        <v>0</v>
      </c>
      <c r="G73" s="460" t="s">
        <v>93</v>
      </c>
      <c r="H73" s="460"/>
      <c r="I73" s="1259"/>
    </row>
    <row r="74" spans="1:9" ht="14.55" customHeight="1" x14ac:dyDescent="0.3">
      <c r="A74" s="1258" t="s">
        <v>283</v>
      </c>
      <c r="B74" s="725">
        <v>100</v>
      </c>
      <c r="C74" s="460" t="s">
        <v>93</v>
      </c>
      <c r="D74" s="725">
        <v>0</v>
      </c>
      <c r="E74" s="460" t="s">
        <v>93</v>
      </c>
      <c r="F74" s="725">
        <v>0</v>
      </c>
      <c r="G74" s="460" t="s">
        <v>93</v>
      </c>
      <c r="H74" s="460"/>
      <c r="I74" s="1259"/>
    </row>
    <row r="75" spans="1:9" ht="14.55" customHeight="1" x14ac:dyDescent="0.3">
      <c r="A75" s="1258" t="s">
        <v>284</v>
      </c>
      <c r="B75" s="725">
        <v>100</v>
      </c>
      <c r="C75" s="460" t="s">
        <v>93</v>
      </c>
      <c r="D75" s="725">
        <v>0</v>
      </c>
      <c r="E75" s="460" t="s">
        <v>93</v>
      </c>
      <c r="F75" s="725">
        <v>0</v>
      </c>
      <c r="G75" s="460" t="s">
        <v>93</v>
      </c>
      <c r="H75" s="460"/>
      <c r="I75" s="1259"/>
    </row>
    <row r="76" spans="1:9" ht="14.55" customHeight="1" x14ac:dyDescent="0.3">
      <c r="A76" s="1258"/>
      <c r="B76" s="464"/>
      <c r="C76" s="460"/>
      <c r="D76" s="460"/>
      <c r="E76" s="460"/>
      <c r="F76" s="460"/>
      <c r="G76" s="460"/>
      <c r="H76" s="460"/>
      <c r="I76" s="1259"/>
    </row>
    <row r="77" spans="1:9" ht="14.55" customHeight="1" x14ac:dyDescent="0.3">
      <c r="A77" s="1260" t="s">
        <v>285</v>
      </c>
      <c r="B77" s="470" t="str">
        <f>IF(B5="Horizontal","No Skirt","")</f>
        <v/>
      </c>
      <c r="C77" s="460"/>
      <c r="D77" s="471"/>
      <c r="E77" s="471" t="s">
        <v>286</v>
      </c>
      <c r="F77" s="460"/>
      <c r="G77" s="469"/>
      <c r="H77" s="469"/>
      <c r="I77" s="1261"/>
    </row>
    <row r="78" spans="1:9" ht="14.55" customHeight="1" x14ac:dyDescent="0.3">
      <c r="A78" s="1258" t="s">
        <v>287</v>
      </c>
      <c r="B78" s="722">
        <v>8</v>
      </c>
      <c r="C78" s="456" t="s">
        <v>93</v>
      </c>
      <c r="D78" s="472"/>
      <c r="E78" s="472" t="s">
        <v>288</v>
      </c>
      <c r="F78" s="725"/>
      <c r="G78" s="460" t="s">
        <v>93</v>
      </c>
      <c r="H78" s="469"/>
      <c r="I78" s="1261"/>
    </row>
    <row r="79" spans="1:9" ht="14.55" customHeight="1" x14ac:dyDescent="0.3">
      <c r="A79" s="1258" t="s">
        <v>289</v>
      </c>
      <c r="B79" s="722">
        <v>1250</v>
      </c>
      <c r="C79" s="456" t="s">
        <v>93</v>
      </c>
      <c r="D79" s="472"/>
      <c r="E79" s="472" t="s">
        <v>290</v>
      </c>
      <c r="F79" s="725"/>
      <c r="G79" s="460" t="s">
        <v>93</v>
      </c>
      <c r="H79" s="469"/>
      <c r="I79" s="1261"/>
    </row>
    <row r="80" spans="1:9" ht="14.55" customHeight="1" x14ac:dyDescent="0.3">
      <c r="A80" s="1258" t="s">
        <v>291</v>
      </c>
      <c r="B80" s="722">
        <v>800</v>
      </c>
      <c r="C80" s="456" t="s">
        <v>93</v>
      </c>
      <c r="D80" s="472"/>
      <c r="E80" s="472" t="s">
        <v>292</v>
      </c>
      <c r="F80" s="725"/>
      <c r="G80" s="460"/>
      <c r="H80" s="469"/>
      <c r="I80" s="1261"/>
    </row>
    <row r="81" spans="1:9" ht="14.55" customHeight="1" x14ac:dyDescent="0.3">
      <c r="A81" s="1258" t="s">
        <v>293</v>
      </c>
      <c r="B81" s="722">
        <v>950</v>
      </c>
      <c r="C81" s="456" t="s">
        <v>93</v>
      </c>
      <c r="D81" s="472"/>
      <c r="E81" s="472" t="s">
        <v>184</v>
      </c>
      <c r="F81" s="457">
        <f>(PI()*F78^2)/4*F79*(7800/1000000000)</f>
        <v>0</v>
      </c>
      <c r="G81" s="460" t="s">
        <v>222</v>
      </c>
      <c r="H81" s="460"/>
      <c r="I81" s="1259"/>
    </row>
    <row r="82" spans="1:9" ht="14.55" customHeight="1" x14ac:dyDescent="0.3">
      <c r="A82" s="1258" t="s">
        <v>294</v>
      </c>
      <c r="B82" s="722">
        <v>6</v>
      </c>
      <c r="C82" s="456" t="s">
        <v>93</v>
      </c>
      <c r="D82" s="460"/>
      <c r="E82" s="460"/>
      <c r="F82" s="460"/>
      <c r="G82" s="460"/>
      <c r="H82" s="460"/>
      <c r="I82" s="1259"/>
    </row>
    <row r="83" spans="1:9" ht="14.55" customHeight="1" x14ac:dyDescent="0.3">
      <c r="A83" s="1258"/>
      <c r="B83" s="407"/>
      <c r="C83" s="460"/>
      <c r="D83" s="460"/>
      <c r="E83" s="460"/>
      <c r="F83" s="460"/>
      <c r="G83" s="460"/>
      <c r="H83" s="460"/>
      <c r="I83" s="1259"/>
    </row>
    <row r="84" spans="1:9" ht="14.55" customHeight="1" x14ac:dyDescent="0.3">
      <c r="A84" s="1262" t="s">
        <v>295</v>
      </c>
      <c r="B84" s="480"/>
      <c r="C84" s="59"/>
      <c r="D84" s="59"/>
      <c r="E84" s="59"/>
      <c r="F84" s="460"/>
      <c r="G84" s="460"/>
      <c r="H84" s="460"/>
      <c r="I84" s="1259"/>
    </row>
    <row r="85" spans="1:9" ht="14.55" customHeight="1" x14ac:dyDescent="0.3">
      <c r="A85" s="1263" t="s">
        <v>296</v>
      </c>
      <c r="B85" s="722"/>
      <c r="C85" s="59" t="s">
        <v>93</v>
      </c>
      <c r="D85" s="59"/>
      <c r="E85" s="59"/>
      <c r="F85" s="460"/>
      <c r="G85" s="460"/>
      <c r="H85" s="460"/>
      <c r="I85" s="1259"/>
    </row>
    <row r="86" spans="1:9" ht="14.55" customHeight="1" x14ac:dyDescent="0.3">
      <c r="A86" s="1263" t="s">
        <v>297</v>
      </c>
      <c r="B86" s="722"/>
      <c r="C86" s="59" t="s">
        <v>93</v>
      </c>
      <c r="D86" s="59"/>
      <c r="E86" s="59"/>
      <c r="F86" s="460"/>
      <c r="G86" s="460"/>
      <c r="H86" s="460"/>
      <c r="I86" s="1259"/>
    </row>
    <row r="87" spans="1:9" ht="14.55" customHeight="1" x14ac:dyDescent="0.3">
      <c r="A87" s="1263" t="s">
        <v>298</v>
      </c>
      <c r="B87" s="480">
        <f>B28</f>
        <v>2100</v>
      </c>
      <c r="C87" s="59" t="s">
        <v>93</v>
      </c>
      <c r="D87" s="59"/>
      <c r="E87" s="59"/>
      <c r="F87" s="460"/>
      <c r="G87" s="460"/>
      <c r="H87" s="460"/>
      <c r="I87" s="1259"/>
    </row>
    <row r="88" spans="1:9" ht="14.55" customHeight="1" x14ac:dyDescent="0.3">
      <c r="A88" s="1263" t="s">
        <v>299</v>
      </c>
      <c r="B88" s="727"/>
      <c r="C88" s="59"/>
      <c r="D88" s="59"/>
      <c r="E88" s="59"/>
      <c r="F88" s="460"/>
      <c r="G88" s="460"/>
      <c r="H88" s="460"/>
      <c r="I88" s="1259"/>
    </row>
    <row r="89" spans="1:9" ht="14.55" customHeight="1" x14ac:dyDescent="0.3">
      <c r="A89" s="1263" t="s">
        <v>300</v>
      </c>
      <c r="B89" s="722"/>
      <c r="C89" s="59" t="s">
        <v>301</v>
      </c>
      <c r="D89" s="59"/>
      <c r="E89" s="59"/>
      <c r="F89" s="460"/>
      <c r="G89" s="460"/>
      <c r="H89" s="460"/>
      <c r="I89" s="1259"/>
    </row>
    <row r="90" spans="1:9" ht="14.55" customHeight="1" x14ac:dyDescent="0.3">
      <c r="A90" s="1263" t="s">
        <v>302</v>
      </c>
      <c r="B90" s="480">
        <f>IF(B88="Straight",B87,B87*2)</f>
        <v>4200</v>
      </c>
      <c r="C90" s="59" t="s">
        <v>93</v>
      </c>
      <c r="D90" s="480"/>
      <c r="E90" s="59"/>
      <c r="F90" s="460"/>
      <c r="G90" s="460"/>
      <c r="H90" s="460"/>
      <c r="I90" s="1259"/>
    </row>
    <row r="91" spans="1:9" ht="14.55" customHeight="1" x14ac:dyDescent="0.3">
      <c r="A91" s="1263" t="s">
        <v>303</v>
      </c>
      <c r="B91" s="480">
        <f>B85*PI()*B90/1000000*B89</f>
        <v>0</v>
      </c>
      <c r="C91" s="59" t="s">
        <v>228</v>
      </c>
      <c r="D91" s="59"/>
      <c r="E91" s="59"/>
      <c r="F91" s="460"/>
      <c r="G91" s="460"/>
      <c r="H91" s="460"/>
      <c r="I91" s="1259"/>
    </row>
    <row r="92" spans="1:9" ht="14.55" customHeight="1" x14ac:dyDescent="0.3">
      <c r="A92" s="1263" t="s">
        <v>304</v>
      </c>
      <c r="B92" s="480">
        <v>7.86</v>
      </c>
      <c r="C92" s="59" t="s">
        <v>305</v>
      </c>
      <c r="D92" s="59"/>
      <c r="E92" s="59"/>
      <c r="F92" s="460"/>
      <c r="G92" s="460"/>
      <c r="H92" s="460"/>
      <c r="I92" s="1259"/>
    </row>
    <row r="93" spans="1:9" ht="14.55" customHeight="1" x14ac:dyDescent="0.3">
      <c r="A93" s="1263" t="s">
        <v>306</v>
      </c>
      <c r="B93" s="480">
        <f>PI()*B86*(B85-B86)*B92/1000</f>
        <v>0</v>
      </c>
      <c r="C93" s="59" t="s">
        <v>307</v>
      </c>
      <c r="D93" s="59"/>
      <c r="E93" s="59"/>
      <c r="F93" s="460"/>
      <c r="G93" s="460"/>
      <c r="H93" s="460"/>
      <c r="I93" s="1259"/>
    </row>
    <row r="94" spans="1:9" ht="14.55" customHeight="1" x14ac:dyDescent="0.3">
      <c r="A94" s="1263" t="s">
        <v>308</v>
      </c>
      <c r="B94" s="480">
        <f>B93*B90*B89/1000</f>
        <v>0</v>
      </c>
      <c r="C94" s="59" t="s">
        <v>222</v>
      </c>
      <c r="D94" s="59"/>
      <c r="E94" s="59"/>
      <c r="F94" s="460"/>
      <c r="G94" s="460"/>
      <c r="H94" s="460"/>
      <c r="I94" s="1259"/>
    </row>
    <row r="95" spans="1:9" ht="14.55" customHeight="1" x14ac:dyDescent="0.3">
      <c r="A95" s="1263"/>
      <c r="B95" s="480"/>
      <c r="C95" s="59"/>
      <c r="D95" s="59"/>
      <c r="E95" s="59"/>
      <c r="F95" s="460"/>
      <c r="G95" s="460"/>
      <c r="H95" s="460"/>
      <c r="I95" s="1259"/>
    </row>
    <row r="96" spans="1:9" ht="14.55" customHeight="1" x14ac:dyDescent="0.3">
      <c r="A96" s="1262" t="s">
        <v>309</v>
      </c>
      <c r="B96" s="480"/>
      <c r="C96" s="59"/>
      <c r="D96" s="59"/>
      <c r="E96" s="59"/>
      <c r="F96" s="460"/>
      <c r="G96" s="460"/>
      <c r="H96" s="460"/>
      <c r="I96" s="1259"/>
    </row>
    <row r="97" spans="1:9" ht="14.55" customHeight="1" x14ac:dyDescent="0.3">
      <c r="A97" s="1263" t="s">
        <v>310</v>
      </c>
      <c r="B97" s="480">
        <f>B26</f>
        <v>800</v>
      </c>
      <c r="C97" s="59" t="s">
        <v>93</v>
      </c>
      <c r="D97" s="59"/>
      <c r="E97" s="59"/>
      <c r="F97" s="460"/>
      <c r="G97" s="460"/>
      <c r="H97" s="460"/>
      <c r="I97" s="1259"/>
    </row>
    <row r="98" spans="1:9" ht="14.55" customHeight="1" x14ac:dyDescent="0.3">
      <c r="A98" s="1263" t="s">
        <v>297</v>
      </c>
      <c r="B98" s="480">
        <v>15</v>
      </c>
      <c r="C98" s="59" t="s">
        <v>93</v>
      </c>
      <c r="D98" s="59"/>
      <c r="E98" s="59"/>
      <c r="F98" s="460"/>
      <c r="G98" s="460"/>
      <c r="H98" s="460"/>
      <c r="I98" s="1259"/>
    </row>
    <row r="99" spans="1:9" ht="14.55" customHeight="1" x14ac:dyDescent="0.3">
      <c r="A99" s="1263" t="s">
        <v>311</v>
      </c>
      <c r="B99" s="480">
        <f>B97^2*PI()/4/1000000</f>
        <v>0.50265482457436694</v>
      </c>
      <c r="C99" s="59" t="s">
        <v>228</v>
      </c>
      <c r="D99" s="59"/>
      <c r="E99" s="59"/>
      <c r="F99" s="460"/>
      <c r="G99" s="460"/>
      <c r="H99" s="460"/>
      <c r="I99" s="1259"/>
    </row>
    <row r="100" spans="1:9" ht="14.55" customHeight="1" x14ac:dyDescent="0.3">
      <c r="A100" s="1263" t="s">
        <v>312</v>
      </c>
      <c r="B100" s="480">
        <f>B99*B98/1000*B92*2/1000</f>
        <v>1.1852600763463573E-4</v>
      </c>
      <c r="C100" s="59" t="s">
        <v>222</v>
      </c>
      <c r="D100" s="59"/>
      <c r="E100" s="59"/>
      <c r="F100" s="460"/>
      <c r="G100" s="460"/>
      <c r="H100" s="460"/>
      <c r="I100" s="1259"/>
    </row>
    <row r="101" spans="1:9" ht="14.55" customHeight="1" x14ac:dyDescent="0.3">
      <c r="A101" s="1263"/>
      <c r="B101" s="480"/>
      <c r="C101" s="59"/>
      <c r="D101" s="59"/>
      <c r="E101" s="59"/>
      <c r="F101" s="460"/>
      <c r="G101" s="460"/>
      <c r="H101" s="460"/>
      <c r="I101" s="1259"/>
    </row>
    <row r="102" spans="1:9" ht="14.55" customHeight="1" x14ac:dyDescent="0.3">
      <c r="A102" s="1263" t="s">
        <v>313</v>
      </c>
      <c r="B102" s="480">
        <f>B94+B100*2</f>
        <v>2.3705201526927146E-4</v>
      </c>
      <c r="C102" s="59" t="s">
        <v>222</v>
      </c>
      <c r="D102" s="59"/>
      <c r="E102" s="59"/>
      <c r="F102" s="460"/>
      <c r="G102" s="460"/>
      <c r="H102" s="460"/>
      <c r="I102" s="1259"/>
    </row>
    <row r="103" spans="1:9" ht="14.55" customHeight="1" x14ac:dyDescent="0.3">
      <c r="A103" s="1263"/>
      <c r="B103" s="480"/>
      <c r="C103" s="59"/>
      <c r="D103" s="59"/>
      <c r="E103" s="59"/>
      <c r="F103" s="460"/>
      <c r="G103" s="460"/>
      <c r="H103" s="460"/>
      <c r="I103" s="1259"/>
    </row>
    <row r="104" spans="1:9" ht="14.55" customHeight="1" x14ac:dyDescent="0.3">
      <c r="A104" s="1260" t="s">
        <v>314</v>
      </c>
      <c r="B104" s="460"/>
      <c r="C104" s="460"/>
      <c r="D104" s="463" t="s">
        <v>315</v>
      </c>
      <c r="E104" s="460"/>
      <c r="F104" s="460"/>
      <c r="G104" s="471" t="s">
        <v>316</v>
      </c>
      <c r="H104" s="453"/>
      <c r="I104" s="1259"/>
    </row>
    <row r="105" spans="1:9" ht="14.55" customHeight="1" x14ac:dyDescent="0.3">
      <c r="A105" s="1258" t="s">
        <v>189</v>
      </c>
      <c r="B105" s="468">
        <f>SUM(B29,D29,F29)</f>
        <v>530.54018907377474</v>
      </c>
      <c r="C105" s="460" t="s">
        <v>222</v>
      </c>
      <c r="D105" s="472" t="s">
        <v>189</v>
      </c>
      <c r="E105" s="468">
        <f>SUM(B31,D31,F31)</f>
        <v>5.4334559999999996</v>
      </c>
      <c r="F105" s="460" t="s">
        <v>228</v>
      </c>
      <c r="G105" s="472" t="s">
        <v>189</v>
      </c>
      <c r="H105" s="453">
        <f>SUM(B33,D33,F33)</f>
        <v>6.752256</v>
      </c>
      <c r="I105" s="1259" t="s">
        <v>228</v>
      </c>
    </row>
    <row r="106" spans="1:9" ht="14.55" customHeight="1" x14ac:dyDescent="0.3">
      <c r="A106" s="1258" t="s">
        <v>317</v>
      </c>
      <c r="B106" s="468">
        <f>SUM(B39*B41,D39*D41,F39*F41)</f>
        <v>72.698490492396118</v>
      </c>
      <c r="C106" s="460" t="s">
        <v>222</v>
      </c>
      <c r="D106" s="472" t="s">
        <v>317</v>
      </c>
      <c r="E106" s="468">
        <f>SUM(B39*B43,D39*D43,F39*F43)</f>
        <v>1.3092041600000002</v>
      </c>
      <c r="F106" s="460" t="s">
        <v>228</v>
      </c>
      <c r="G106" s="472" t="s">
        <v>317</v>
      </c>
      <c r="H106" s="453">
        <f>SUM(B39*B45,D39*D45,F39*F45)</f>
        <v>1.7877401600000002</v>
      </c>
      <c r="I106" s="1259" t="s">
        <v>228</v>
      </c>
    </row>
    <row r="107" spans="1:9" ht="14.55" customHeight="1" x14ac:dyDescent="0.3">
      <c r="A107" s="1258" t="s">
        <v>318</v>
      </c>
      <c r="B107" s="468">
        <f>SUM(B53,D53,F53)</f>
        <v>0</v>
      </c>
      <c r="C107" s="460" t="s">
        <v>222</v>
      </c>
      <c r="D107" s="472" t="s">
        <v>318</v>
      </c>
      <c r="E107" s="468">
        <f>SUM(B55,D55,F55)</f>
        <v>0</v>
      </c>
      <c r="F107" s="460" t="s">
        <v>228</v>
      </c>
      <c r="G107" s="472" t="s">
        <v>318</v>
      </c>
      <c r="H107" s="453">
        <f>SUM(B58,D58,F58)</f>
        <v>0</v>
      </c>
      <c r="I107" s="1259" t="s">
        <v>228</v>
      </c>
    </row>
    <row r="108" spans="1:9" ht="14.55" customHeight="1" x14ac:dyDescent="0.3">
      <c r="A108" s="1258" t="s">
        <v>319</v>
      </c>
      <c r="B108" s="468">
        <f>SUMPRODUCT(F125:F136,H125:H136)</f>
        <v>1376</v>
      </c>
      <c r="C108" s="460" t="s">
        <v>222</v>
      </c>
      <c r="D108" s="472" t="s">
        <v>319</v>
      </c>
      <c r="E108" s="468">
        <f>SUMPRODUCT(F125:F136,I125:I136)</f>
        <v>3.6863277765821176</v>
      </c>
      <c r="F108" s="460" t="s">
        <v>228</v>
      </c>
      <c r="G108" s="460"/>
      <c r="H108" s="453"/>
      <c r="I108" s="1259"/>
    </row>
    <row r="109" spans="1:9" ht="14.55" customHeight="1" x14ac:dyDescent="0.3">
      <c r="A109" s="1258" t="s">
        <v>320</v>
      </c>
      <c r="B109" s="468">
        <f>IF(B5="Horizontal",0,(PI()*B79*(((B27/2)^2)-(((B27-2*B78)/2)^2))*7860)/1000000000)</f>
        <v>201.49421297888074</v>
      </c>
      <c r="C109" s="460" t="s">
        <v>222</v>
      </c>
      <c r="D109" s="472" t="s">
        <v>320</v>
      </c>
      <c r="E109" s="468">
        <f>IF(B5="Horizontal",0,((B27*B79*PI())+((B27-2*B78)*B79*PI()))/1000000)</f>
        <v>6.4088490133231772</v>
      </c>
      <c r="F109" s="460" t="s">
        <v>228</v>
      </c>
      <c r="G109" s="471" t="s">
        <v>321</v>
      </c>
      <c r="H109" s="453"/>
      <c r="I109" s="1259"/>
    </row>
    <row r="110" spans="1:9" ht="14.55" customHeight="1" x14ac:dyDescent="0.3">
      <c r="A110" s="1258" t="s">
        <v>322</v>
      </c>
      <c r="B110" s="468">
        <f>IF(B5="Horizontal",0,(PI()*B82*(((B81/2)^2)-((B80/2)^2))*7860)/1000000000)</f>
        <v>9.7228365637787117</v>
      </c>
      <c r="C110" s="460" t="s">
        <v>222</v>
      </c>
      <c r="D110" s="472" t="s">
        <v>322</v>
      </c>
      <c r="E110" s="468">
        <f>IF(B5="Horizontal",0,((B81*3.14*B82)+(B80*3.14*B82)+(((((B81/2)^2)*3.14)-(((B80/2)^2)*3.14))*2))/1000000)</f>
        <v>0.44509500000000002</v>
      </c>
      <c r="F110" s="460" t="s">
        <v>228</v>
      </c>
      <c r="G110" s="472" t="s">
        <v>189</v>
      </c>
      <c r="H110" s="453">
        <f>SUM(B30,D30,F30)</f>
        <v>1.0555751316061706</v>
      </c>
      <c r="I110" s="1259" t="s">
        <v>225</v>
      </c>
    </row>
    <row r="111" spans="1:9" ht="14.55" customHeight="1" x14ac:dyDescent="0.3">
      <c r="A111" s="1258" t="s">
        <v>323</v>
      </c>
      <c r="B111" s="468">
        <f>IF(B5="Horizontal",VLOOKUP(B27,List!$AR:$AS,2,1)*2,0)</f>
        <v>0</v>
      </c>
      <c r="C111" s="460" t="s">
        <v>222</v>
      </c>
      <c r="D111" s="472" t="s">
        <v>323</v>
      </c>
      <c r="E111" s="725"/>
      <c r="F111" s="460" t="s">
        <v>228</v>
      </c>
      <c r="G111" s="472" t="s">
        <v>317</v>
      </c>
      <c r="H111" s="453">
        <f>SUM(B39*B42+D39*D42+F39*F42)</f>
        <v>6.7072000000000007E-2</v>
      </c>
      <c r="I111" s="1259" t="s">
        <v>225</v>
      </c>
    </row>
    <row r="112" spans="1:9" ht="14.55" customHeight="1" x14ac:dyDescent="0.3">
      <c r="A112" s="1258" t="s">
        <v>324</v>
      </c>
      <c r="B112" s="468">
        <f>F81*F80</f>
        <v>0</v>
      </c>
      <c r="C112" s="460" t="s">
        <v>222</v>
      </c>
      <c r="D112" s="460"/>
      <c r="E112" s="460"/>
      <c r="F112" s="460"/>
      <c r="G112" s="472" t="s">
        <v>318</v>
      </c>
      <c r="H112" s="453">
        <f>SUM(B54,D54,F54)</f>
        <v>0</v>
      </c>
      <c r="I112" s="1259" t="s">
        <v>225</v>
      </c>
    </row>
    <row r="113" spans="1:9" ht="14.55" customHeight="1" x14ac:dyDescent="0.3">
      <c r="A113" s="1258" t="s">
        <v>325</v>
      </c>
      <c r="B113" s="468">
        <f>B102</f>
        <v>2.3705201526927146E-4</v>
      </c>
      <c r="C113" s="460" t="s">
        <v>222</v>
      </c>
      <c r="D113" s="460"/>
      <c r="E113" s="460"/>
      <c r="F113" s="460"/>
      <c r="G113" s="472"/>
      <c r="H113" s="453"/>
      <c r="I113" s="1259"/>
    </row>
    <row r="114" spans="1:9" ht="14.55" customHeight="1" x14ac:dyDescent="0.3">
      <c r="A114" s="1258" t="s">
        <v>326</v>
      </c>
      <c r="B114" s="725">
        <v>100</v>
      </c>
      <c r="C114" s="460" t="s">
        <v>222</v>
      </c>
      <c r="D114" s="460"/>
      <c r="E114" s="460"/>
      <c r="F114" s="460"/>
      <c r="G114" s="460"/>
      <c r="H114" s="460"/>
      <c r="I114" s="1259"/>
    </row>
    <row r="115" spans="1:9" ht="14.55" customHeight="1" x14ac:dyDescent="0.3">
      <c r="A115" s="1264"/>
      <c r="B115" s="460"/>
      <c r="C115" s="460"/>
      <c r="D115" s="460"/>
      <c r="E115" s="460"/>
      <c r="F115" s="460"/>
      <c r="G115" s="460"/>
      <c r="H115" s="460"/>
      <c r="I115" s="1259"/>
    </row>
    <row r="116" spans="1:9" ht="14.55" customHeight="1" x14ac:dyDescent="0.3">
      <c r="A116" s="1258" t="s">
        <v>327</v>
      </c>
      <c r="B116" s="453">
        <f>SUM(E105:E111)</f>
        <v>17.282931949905294</v>
      </c>
      <c r="C116" s="460" t="s">
        <v>228</v>
      </c>
      <c r="D116" s="460"/>
      <c r="E116" s="460"/>
      <c r="F116" s="460"/>
      <c r="G116" s="460"/>
      <c r="H116" s="460"/>
      <c r="I116" s="1259"/>
    </row>
    <row r="117" spans="1:9" ht="14.55" customHeight="1" x14ac:dyDescent="0.3">
      <c r="A117" s="1258" t="s">
        <v>328</v>
      </c>
      <c r="B117" s="453">
        <f>IF(SUM(E105:E107)=SUM(H105:H107),"Not Insulated",SUM(H105:H107))</f>
        <v>8.5399961600000012</v>
      </c>
      <c r="C117" s="460" t="str">
        <f>IF(B116=SUM(H105:H107),"","m2")</f>
        <v>m2</v>
      </c>
      <c r="D117" s="460"/>
      <c r="E117" s="460"/>
      <c r="F117" s="460"/>
      <c r="G117" s="460"/>
      <c r="H117" s="460"/>
      <c r="I117" s="1259"/>
    </row>
    <row r="118" spans="1:9" ht="14.55" customHeight="1" x14ac:dyDescent="0.3">
      <c r="A118" s="1258" t="s">
        <v>329</v>
      </c>
      <c r="B118" s="453">
        <f>SUM(H110:H112)</f>
        <v>1.1226471316061706</v>
      </c>
      <c r="C118" s="460" t="s">
        <v>225</v>
      </c>
      <c r="D118" s="460"/>
      <c r="E118" s="460"/>
      <c r="F118" s="460"/>
      <c r="G118" s="460"/>
      <c r="H118" s="460"/>
      <c r="I118" s="1259"/>
    </row>
    <row r="119" spans="1:9" ht="14.55" customHeight="1" x14ac:dyDescent="0.3">
      <c r="A119" s="1258" t="s">
        <v>330</v>
      </c>
      <c r="B119" s="453">
        <f>SUM(B105:B114)</f>
        <v>2290.4559661608455</v>
      </c>
      <c r="C119" s="460" t="s">
        <v>222</v>
      </c>
      <c r="D119" s="460"/>
      <c r="E119" s="460"/>
      <c r="F119" s="460"/>
      <c r="G119" s="460"/>
      <c r="H119" s="460"/>
      <c r="I119" s="1259"/>
    </row>
    <row r="120" spans="1:9" ht="14.55" customHeight="1" x14ac:dyDescent="0.3">
      <c r="A120" s="1258" t="s">
        <v>331</v>
      </c>
      <c r="B120" s="725">
        <v>2300</v>
      </c>
      <c r="C120" s="460" t="s">
        <v>222</v>
      </c>
      <c r="D120" s="460"/>
      <c r="E120" s="460"/>
      <c r="F120" s="460"/>
      <c r="G120" s="460"/>
      <c r="H120" s="460"/>
      <c r="I120" s="1259"/>
    </row>
    <row r="121" spans="1:9" ht="15" customHeight="1" thickBot="1" x14ac:dyDescent="0.35">
      <c r="A121" s="1258"/>
      <c r="B121" s="473"/>
      <c r="C121" s="459"/>
      <c r="D121" s="460"/>
      <c r="E121" s="460"/>
      <c r="F121" s="460"/>
      <c r="G121" s="460"/>
      <c r="H121" s="460"/>
      <c r="I121" s="1259"/>
    </row>
    <row r="122" spans="1:9" ht="15" customHeight="1" thickBot="1" x14ac:dyDescent="0.35">
      <c r="A122" s="474"/>
      <c r="B122" s="1718" t="s">
        <v>332</v>
      </c>
      <c r="C122" s="1718"/>
      <c r="D122" s="1718"/>
      <c r="E122" s="1718"/>
      <c r="F122" s="1718"/>
      <c r="G122" s="475"/>
      <c r="H122" s="475"/>
      <c r="I122" s="476"/>
    </row>
    <row r="123" spans="1:9" ht="14.55" customHeight="1" x14ac:dyDescent="0.3">
      <c r="A123" s="1264"/>
      <c r="B123" s="1719" t="s">
        <v>333</v>
      </c>
      <c r="C123" s="1381" t="s">
        <v>59</v>
      </c>
      <c r="D123" s="1719" t="s">
        <v>114</v>
      </c>
      <c r="E123" s="1719" t="s">
        <v>334</v>
      </c>
      <c r="F123" s="1719" t="s">
        <v>292</v>
      </c>
      <c r="G123" s="1719" t="s">
        <v>335</v>
      </c>
      <c r="H123" s="1381" t="s">
        <v>184</v>
      </c>
      <c r="I123" s="1346" t="s">
        <v>336</v>
      </c>
    </row>
    <row r="124" spans="1:9" ht="14.55" customHeight="1" x14ac:dyDescent="0.3">
      <c r="A124" s="1264"/>
      <c r="B124" s="1720"/>
      <c r="C124" s="1442" t="s">
        <v>214</v>
      </c>
      <c r="D124" s="1720"/>
      <c r="E124" s="1720"/>
      <c r="F124" s="1720"/>
      <c r="G124" s="1720"/>
      <c r="H124" s="1442" t="s">
        <v>222</v>
      </c>
      <c r="I124" s="1443" t="s">
        <v>228</v>
      </c>
    </row>
    <row r="125" spans="1:9" ht="14.55" customHeight="1" x14ac:dyDescent="0.3">
      <c r="A125" s="1264"/>
      <c r="B125" s="1382" t="s">
        <v>337</v>
      </c>
      <c r="C125" s="728">
        <v>3</v>
      </c>
      <c r="D125" s="729">
        <v>300</v>
      </c>
      <c r="E125" s="730" t="s">
        <v>338</v>
      </c>
      <c r="F125" s="730">
        <v>1</v>
      </c>
      <c r="G125" s="730" t="s">
        <v>339</v>
      </c>
      <c r="H125" s="1465">
        <f>IFERROR(VLOOKUP($C125&amp;"F"&amp;$D125,'Flanges Chart'!$1:$1048576,MATCH($E125&amp;"."&amp;H$123,'Flanges Chart'!$1:$1,0),0),"")</f>
        <v>7</v>
      </c>
      <c r="I125" s="1466">
        <f>IFERROR(VLOOKUP($C125&amp;"F"&amp;$D125,'Flanges Chart'!$1:$1048576,MATCH($E125&amp;"."&amp;I$123,'Flanges Chart'!$1:$1,0),0),"")</f>
        <v>6.7504469489186106E-2</v>
      </c>
    </row>
    <row r="126" spans="1:9" ht="14.55" customHeight="1" x14ac:dyDescent="0.3">
      <c r="A126" s="1264"/>
      <c r="B126" s="1467" t="s">
        <v>340</v>
      </c>
      <c r="C126" s="731">
        <v>3</v>
      </c>
      <c r="D126" s="729">
        <v>300</v>
      </c>
      <c r="E126" s="729" t="s">
        <v>338</v>
      </c>
      <c r="F126" s="729">
        <v>1</v>
      </c>
      <c r="G126" s="730" t="s">
        <v>341</v>
      </c>
      <c r="H126" s="1465">
        <f>IFERROR(VLOOKUP($C126&amp;"F"&amp;$D126,'Flanges Chart'!$1:$1048576,MATCH($E126&amp;"."&amp;H$123,'Flanges Chart'!$1:$1,0),0),"")</f>
        <v>7</v>
      </c>
      <c r="I126" s="1466">
        <f>IFERROR(VLOOKUP($C126&amp;"F"&amp;$D126,'Flanges Chart'!$1:$1048576,MATCH($E126&amp;"."&amp;I$123,'Flanges Chart'!$1:$1,0),0),"")</f>
        <v>6.7504469489186106E-2</v>
      </c>
    </row>
    <row r="127" spans="1:9" ht="14.55" customHeight="1" x14ac:dyDescent="0.3">
      <c r="A127" s="1264"/>
      <c r="B127" s="1467" t="s">
        <v>342</v>
      </c>
      <c r="C127" s="731">
        <v>1.5</v>
      </c>
      <c r="D127" s="729">
        <v>300</v>
      </c>
      <c r="E127" s="729" t="s">
        <v>338</v>
      </c>
      <c r="F127" s="729">
        <v>2</v>
      </c>
      <c r="G127" s="729" t="s">
        <v>343</v>
      </c>
      <c r="H127" s="1465">
        <f>IFERROR(VLOOKUP($C127&amp;"F"&amp;$D127,'Flanges Chart'!$1:$1048576,MATCH($E127&amp;"."&amp;H$123,'Flanges Chart'!$1:$1,0),0),"")</f>
        <v>3.5</v>
      </c>
      <c r="I127" s="1466">
        <f>IFERROR(VLOOKUP($C127&amp;"F"&amp;$D127,'Flanges Chart'!$1:$1048576,MATCH($E127&amp;"."&amp;I$123,'Flanges Chart'!$1:$1,0),0),"")</f>
        <v>3.6401696908997999E-2</v>
      </c>
    </row>
    <row r="128" spans="1:9" ht="14.55" customHeight="1" x14ac:dyDescent="0.3">
      <c r="A128" s="1264"/>
      <c r="B128" s="1467" t="s">
        <v>344</v>
      </c>
      <c r="C128" s="731">
        <v>32</v>
      </c>
      <c r="D128" s="729">
        <v>300</v>
      </c>
      <c r="E128" s="729" t="s">
        <v>345</v>
      </c>
      <c r="F128" s="729">
        <v>1</v>
      </c>
      <c r="G128" s="729" t="s">
        <v>346</v>
      </c>
      <c r="H128" s="1465">
        <f>IFERROR(VLOOKUP($C128&amp;"F"&amp;$D128,'Flanges Chart'!$1:$1048576,MATCH($E128&amp;"."&amp;H$123,'Flanges Chart'!$1:$1,0),0),"")</f>
        <v>820</v>
      </c>
      <c r="I128" s="1466">
        <f>IFERROR(VLOOKUP($C128&amp;"F"&amp;$D128,'Flanges Chart'!$1:$1048576,MATCH($E128&amp;"."&amp;I$123,'Flanges Chart'!$1:$1,0),0),"")</f>
        <v>1.3927111966733972</v>
      </c>
    </row>
    <row r="129" spans="1:13" ht="14.55" customHeight="1" x14ac:dyDescent="0.3">
      <c r="A129" s="1264"/>
      <c r="B129" s="1467" t="s">
        <v>347</v>
      </c>
      <c r="C129" s="731">
        <v>8</v>
      </c>
      <c r="D129" s="729">
        <v>300</v>
      </c>
      <c r="E129" s="729" t="s">
        <v>338</v>
      </c>
      <c r="F129" s="729">
        <v>1</v>
      </c>
      <c r="G129" s="729" t="s">
        <v>348</v>
      </c>
      <c r="H129" s="1465">
        <f>IFERROR(VLOOKUP($C129&amp;"F"&amp;$D129,'Flanges Chart'!$1:$1048576,MATCH($E129&amp;"."&amp;H$123,'Flanges Chart'!$1:$1,0),0),"")</f>
        <v>30</v>
      </c>
      <c r="I129" s="1466">
        <f>IFERROR(VLOOKUP($C129&amp;"F"&amp;$D129,'Flanges Chart'!$1:$1048576,MATCH($E129&amp;"."&amp;I$123,'Flanges Chart'!$1:$1,0),0),"")</f>
        <v>0.21131747055183142</v>
      </c>
    </row>
    <row r="130" spans="1:13" ht="14.55" customHeight="1" x14ac:dyDescent="0.3">
      <c r="A130" s="1264"/>
      <c r="B130" s="1467" t="s">
        <v>349</v>
      </c>
      <c r="C130" s="731">
        <v>32</v>
      </c>
      <c r="D130" s="729">
        <v>300</v>
      </c>
      <c r="E130" s="729" t="s">
        <v>338</v>
      </c>
      <c r="F130" s="729">
        <v>1</v>
      </c>
      <c r="G130" s="729" t="s">
        <v>346</v>
      </c>
      <c r="H130" s="1465">
        <f>IFERROR(VLOOKUP($C130&amp;"F"&amp;$D130,'Flanges Chart'!$1:$1048576,MATCH($E130&amp;"."&amp;H$123,'Flanges Chart'!$1:$1,0),0),"")</f>
        <v>468</v>
      </c>
      <c r="I130" s="1466">
        <f>IFERROR(VLOOKUP($C130&amp;"F"&amp;$D130,'Flanges Chart'!$1:$1048576,MATCH($E130&amp;"."&amp;I$123,'Flanges Chart'!$1:$1,0),0),"")</f>
        <v>1.7112830802417556</v>
      </c>
    </row>
    <row r="131" spans="1:13" ht="14.55" customHeight="1" x14ac:dyDescent="0.3">
      <c r="A131" s="1264"/>
      <c r="B131" s="1467" t="s">
        <v>350</v>
      </c>
      <c r="C131" s="731">
        <v>8</v>
      </c>
      <c r="D131" s="729">
        <v>300</v>
      </c>
      <c r="E131" s="729" t="s">
        <v>345</v>
      </c>
      <c r="F131" s="729">
        <v>1</v>
      </c>
      <c r="G131" s="729" t="s">
        <v>348</v>
      </c>
      <c r="H131" s="1465">
        <f>IFERROR(VLOOKUP($C131&amp;"F"&amp;$D131,'Flanges Chart'!$1:$1048576,MATCH($E131&amp;"."&amp;H$123,'Flanges Chart'!$1:$1,0),0),"")</f>
        <v>37</v>
      </c>
      <c r="I131" s="1466">
        <f>IFERROR(VLOOKUP($C131&amp;"F"&amp;$D131,'Flanges Chart'!$1:$1048576,MATCH($E131&amp;"."&amp;I$123,'Flanges Chart'!$1:$1,0),0),"")</f>
        <v>0.16320369631876491</v>
      </c>
    </row>
    <row r="132" spans="1:13" ht="14.55" customHeight="1" x14ac:dyDescent="0.3">
      <c r="A132" s="1264"/>
      <c r="B132" s="1467" t="s">
        <v>351</v>
      </c>
      <c r="C132" s="731"/>
      <c r="D132" s="729"/>
      <c r="E132" s="729"/>
      <c r="F132" s="729"/>
      <c r="G132" s="729"/>
      <c r="H132" s="1465" t="str">
        <f>IFERROR(VLOOKUP($C132&amp;"F"&amp;$D132,'Flanges Chart'!$1:$1048576,MATCH($E132&amp;"."&amp;H$123,'Flanges Chart'!$1:$1,0),0),"")</f>
        <v/>
      </c>
      <c r="I132" s="1466" t="str">
        <f>IFERROR(VLOOKUP($C132&amp;"F"&amp;$D132,'Flanges Chart'!$1:$1048576,MATCH($E132&amp;"."&amp;I$123,'Flanges Chart'!$1:$1,0),0),"")</f>
        <v/>
      </c>
    </row>
    <row r="133" spans="1:13" ht="14.55" customHeight="1" x14ac:dyDescent="0.3">
      <c r="A133" s="1264"/>
      <c r="B133" s="1467" t="s">
        <v>352</v>
      </c>
      <c r="C133" s="731"/>
      <c r="D133" s="729"/>
      <c r="E133" s="729"/>
      <c r="F133" s="729"/>
      <c r="G133" s="729"/>
      <c r="H133" s="1465" t="str">
        <f>IFERROR(VLOOKUP($C133&amp;"F"&amp;$D133,'Flanges Chart'!$1:$1048576,MATCH($E133&amp;"."&amp;H$123,'Flanges Chart'!$1:$1,0),0),"")</f>
        <v/>
      </c>
      <c r="I133" s="1466" t="str">
        <f>IFERROR(VLOOKUP($C133&amp;"F"&amp;$D133,'Flanges Chart'!$1:$1048576,MATCH($E133&amp;"."&amp;I$123,'Flanges Chart'!$1:$1,0),0),"")</f>
        <v/>
      </c>
    </row>
    <row r="134" spans="1:13" ht="14.55" customHeight="1" x14ac:dyDescent="0.3">
      <c r="A134" s="1264"/>
      <c r="B134" s="1467" t="s">
        <v>353</v>
      </c>
      <c r="C134" s="731"/>
      <c r="D134" s="729"/>
      <c r="E134" s="729"/>
      <c r="F134" s="729"/>
      <c r="G134" s="729"/>
      <c r="H134" s="1465" t="str">
        <f>IFERROR(VLOOKUP($C134&amp;"F"&amp;$D134,'Flanges Chart'!$1:$1048576,MATCH($E134&amp;"."&amp;H$123,'Flanges Chart'!$1:$1,0),0),"")</f>
        <v/>
      </c>
      <c r="I134" s="1466" t="str">
        <f>IFERROR(VLOOKUP($C134&amp;"F"&amp;$D134,'Flanges Chart'!$1:$1048576,MATCH($E134&amp;"."&amp;I$123,'Flanges Chart'!$1:$1,0),0),"")</f>
        <v/>
      </c>
    </row>
    <row r="135" spans="1:13" ht="14.55" customHeight="1" x14ac:dyDescent="0.3">
      <c r="A135" s="1264"/>
      <c r="B135" s="1467" t="s">
        <v>354</v>
      </c>
      <c r="C135" s="731"/>
      <c r="D135" s="729"/>
      <c r="E135" s="729"/>
      <c r="F135" s="729"/>
      <c r="G135" s="729"/>
      <c r="H135" s="1465" t="str">
        <f>IFERROR(VLOOKUP($C135&amp;"F"&amp;$D135,'Flanges Chart'!$1:$1048576,MATCH($E135&amp;"."&amp;H$123,'Flanges Chart'!$1:$1,0),0),"")</f>
        <v/>
      </c>
      <c r="I135" s="1466" t="str">
        <f>IFERROR(VLOOKUP($C135&amp;"F"&amp;$D135,'Flanges Chart'!$1:$1048576,MATCH($E135&amp;"."&amp;I$123,'Flanges Chart'!$1:$1,0),0),"")</f>
        <v/>
      </c>
    </row>
    <row r="136" spans="1:13" ht="15" customHeight="1" thickBot="1" x14ac:dyDescent="0.35">
      <c r="A136" s="1264"/>
      <c r="B136" s="1468" t="s">
        <v>355</v>
      </c>
      <c r="C136" s="731"/>
      <c r="D136" s="729"/>
      <c r="E136" s="729"/>
      <c r="F136" s="729"/>
      <c r="G136" s="733"/>
      <c r="H136" s="1469" t="s">
        <v>356</v>
      </c>
      <c r="I136" s="1470" t="str">
        <f>IFERROR(VLOOKUP($C136&amp;"F"&amp;$D136,'Flanges Chart'!$1:$1048576,MATCH($E136&amp;"."&amp;I$123,'Flanges Chart'!$1:$1,0),0),"")</f>
        <v/>
      </c>
    </row>
    <row r="137" spans="1:13" s="496" customFormat="1" ht="18.600000000000001" thickBot="1" x14ac:dyDescent="0.35">
      <c r="A137" s="493" t="str">
        <f>"POS."&amp;K137&amp;" "&amp;VLOOKUP(K137,'Equip&amp;Mach List'!$1:$1048576,2,0)&amp;" "&amp;VLOOKUP(K137,'Equip&amp;Mach List'!$1:$1048576,3,0)</f>
        <v>POS.2 D-101 Hydrogen gas/water separator</v>
      </c>
      <c r="B137" s="511"/>
      <c r="C137" s="494"/>
      <c r="D137" s="495"/>
      <c r="E137" s="495"/>
      <c r="F137" s="497"/>
      <c r="G137" s="495"/>
      <c r="H137" s="495"/>
      <c r="I137" s="1255" t="str">
        <f>IFERROR("Weight Calc./Selected = "&amp;ROUND(B254,1)&amp;"/"&amp;B255&amp;" kg - Øi ="&amp;IF(B161=0,F161,B161)&amp;" mm"&amp;"T/T ="&amp;IF(B163=0,F163,B163)&amp;" mm - Material "&amp;B148&amp;"        ","")</f>
        <v xml:space="preserve">Weight Calc./Selected = 953,1/975 kg - Øi =550 mmT/T =1900 mm - Material SA-240 Gr.316L        </v>
      </c>
      <c r="K137" s="496">
        <v>2</v>
      </c>
      <c r="M137" s="1254"/>
    </row>
    <row r="138" spans="1:13" ht="14.55" customHeight="1" x14ac:dyDescent="0.3">
      <c r="A138" s="1256"/>
      <c r="B138" s="451"/>
      <c r="C138" s="451"/>
      <c r="D138" s="451"/>
      <c r="E138" s="451"/>
      <c r="F138" s="451"/>
      <c r="G138" s="451"/>
      <c r="H138" s="451"/>
      <c r="I138" s="1257"/>
      <c r="K138" s="477" t="s">
        <v>166</v>
      </c>
      <c r="L138" s="477" t="str">
        <f>K137&amp;"."&amp;K138</f>
        <v>2.Design Code</v>
      </c>
      <c r="M138" s="1252" t="str">
        <f>A139&amp;" "&amp;B139</f>
        <v>ASME VIII div.1</v>
      </c>
    </row>
    <row r="139" spans="1:13" ht="14.55" customHeight="1" x14ac:dyDescent="0.3">
      <c r="A139" s="1258" t="s">
        <v>167</v>
      </c>
      <c r="B139" s="718" t="s">
        <v>168</v>
      </c>
      <c r="C139" s="459"/>
      <c r="D139" s="460"/>
      <c r="E139" s="460"/>
      <c r="F139" s="460"/>
      <c r="G139" s="460"/>
      <c r="H139" s="460"/>
      <c r="I139" s="1259"/>
      <c r="K139" s="477" t="s">
        <v>169</v>
      </c>
      <c r="L139" s="477" t="str">
        <f>K137&amp;"."&amp;K139</f>
        <v>2.Orientation</v>
      </c>
      <c r="M139" s="1252" t="str">
        <f>B140</f>
        <v>Vertical</v>
      </c>
    </row>
    <row r="140" spans="1:13" ht="14.55" customHeight="1" x14ac:dyDescent="0.3">
      <c r="A140" s="1258" t="s">
        <v>170</v>
      </c>
      <c r="B140" s="718" t="s">
        <v>171</v>
      </c>
      <c r="C140" s="459"/>
      <c r="D140" s="460"/>
      <c r="E140" s="460"/>
      <c r="F140" s="461"/>
      <c r="G140" s="460"/>
      <c r="H140" s="460"/>
      <c r="I140" s="1259"/>
      <c r="K140" s="477" t="s">
        <v>172</v>
      </c>
      <c r="L140" s="477" t="str">
        <f>K137&amp;"."&amp;K140</f>
        <v>2.Design Temperature</v>
      </c>
      <c r="M140" s="1252">
        <f>D143</f>
        <v>100</v>
      </c>
    </row>
    <row r="141" spans="1:13" ht="14.55" customHeight="1" x14ac:dyDescent="0.3">
      <c r="A141" s="1258"/>
      <c r="B141" s="459"/>
      <c r="C141" s="459"/>
      <c r="D141" s="460"/>
      <c r="E141" s="460"/>
      <c r="F141" s="462"/>
      <c r="G141" s="460"/>
      <c r="H141" s="460"/>
      <c r="I141" s="1259"/>
      <c r="K141" s="477" t="s">
        <v>173</v>
      </c>
      <c r="L141" s="477" t="str">
        <f>K137&amp;"."&amp;K141</f>
        <v>2.Design Pressure</v>
      </c>
      <c r="M141" s="1252">
        <f>D144</f>
        <v>18</v>
      </c>
    </row>
    <row r="142" spans="1:13" ht="14.55" customHeight="1" x14ac:dyDescent="0.3">
      <c r="A142" s="1260" t="s">
        <v>174</v>
      </c>
      <c r="B142" s="459"/>
      <c r="C142" s="459"/>
      <c r="D142" s="460"/>
      <c r="E142" s="460"/>
      <c r="F142" s="462"/>
      <c r="G142" s="460"/>
      <c r="H142" s="460"/>
      <c r="I142" s="1259"/>
      <c r="K142" s="477" t="s">
        <v>175</v>
      </c>
      <c r="L142" s="477" t="str">
        <f>K137&amp;"."&amp;K142</f>
        <v>2.Material</v>
      </c>
      <c r="M142" s="1252" t="str">
        <f>B148</f>
        <v>SA-240 Gr.316L</v>
      </c>
    </row>
    <row r="143" spans="1:13" ht="14.55" customHeight="1" x14ac:dyDescent="0.3">
      <c r="A143" s="1258" t="s">
        <v>176</v>
      </c>
      <c r="B143" s="719">
        <v>100</v>
      </c>
      <c r="C143" s="720" t="s">
        <v>177</v>
      </c>
      <c r="D143" s="464">
        <f>IF(C143="°C",B143,0)+IF(C143="°F",(B143-32)*5/9,0)</f>
        <v>100</v>
      </c>
      <c r="E143" s="460" t="s">
        <v>177</v>
      </c>
      <c r="F143" s="462"/>
      <c r="G143" s="460"/>
      <c r="H143" s="460"/>
      <c r="I143" s="1259"/>
      <c r="K143" s="477" t="s">
        <v>178</v>
      </c>
      <c r="L143" s="477" t="str">
        <f>K137&amp;"."&amp;K143</f>
        <v>2.Inside Diameter</v>
      </c>
      <c r="M143" s="1252">
        <f>IF(B161=0,F161,B161)</f>
        <v>550</v>
      </c>
    </row>
    <row r="144" spans="1:13" ht="14.55" customHeight="1" x14ac:dyDescent="0.3">
      <c r="A144" s="1258" t="s">
        <v>179</v>
      </c>
      <c r="B144" s="721">
        <v>18</v>
      </c>
      <c r="C144" s="720" t="s">
        <v>180</v>
      </c>
      <c r="D144" s="452">
        <f>IF(C144="barg",B144,0)+IF(C144="psig",B144*List!$AV$4,0)+IF(C144="MPa",B144*List!$AV$5,0)+IF(C144="N/mm2",B144*List!$AV$6,0)</f>
        <v>18</v>
      </c>
      <c r="E144" s="460" t="s">
        <v>180</v>
      </c>
      <c r="F144" s="460"/>
      <c r="G144" s="460"/>
      <c r="H144" s="460"/>
      <c r="I144" s="1259"/>
      <c r="K144" s="477" t="s">
        <v>181</v>
      </c>
      <c r="L144" s="477" t="str">
        <f>K137&amp;"."&amp;K144</f>
        <v>2.Tan / Tan</v>
      </c>
      <c r="M144" s="1252">
        <f>IF(B163=0,F163,B163)</f>
        <v>1900</v>
      </c>
    </row>
    <row r="145" spans="1:13" ht="14.55" customHeight="1" x14ac:dyDescent="0.3">
      <c r="A145" s="1258" t="s">
        <v>182</v>
      </c>
      <c r="B145" s="721">
        <v>0</v>
      </c>
      <c r="C145" s="720" t="s">
        <v>180</v>
      </c>
      <c r="D145" s="452">
        <f>IF(C145="barg",B145,0)+IF(C145="psig",B145*List!$AV$4,0)+IF(C145="MPa",B145*List!$AV$5,0)+IF(C145="N/mm2",B145*List!$AV$6,0)</f>
        <v>0</v>
      </c>
      <c r="E145" s="460" t="s">
        <v>180</v>
      </c>
      <c r="F145" s="460"/>
      <c r="G145" s="465"/>
      <c r="H145" s="460"/>
      <c r="I145" s="1259"/>
      <c r="K145" s="477" t="s">
        <v>183</v>
      </c>
      <c r="L145" s="477" t="str">
        <f>K137&amp;"."&amp;K145</f>
        <v>2.Thickness</v>
      </c>
      <c r="M145" s="1252">
        <f>IF(B202=0,F206,B202)</f>
        <v>9.52</v>
      </c>
    </row>
    <row r="146" spans="1:13" ht="14.55" customHeight="1" x14ac:dyDescent="0.3">
      <c r="A146" s="1258"/>
      <c r="B146" s="459"/>
      <c r="C146" s="459"/>
      <c r="D146" s="460"/>
      <c r="E146" s="460"/>
      <c r="F146" s="460"/>
      <c r="G146" s="465"/>
      <c r="H146" s="460"/>
      <c r="I146" s="1259"/>
      <c r="K146" s="477" t="s">
        <v>184</v>
      </c>
      <c r="L146" s="477" t="str">
        <f>K137&amp;"."&amp;K146</f>
        <v>2.Unit Weight</v>
      </c>
      <c r="M146" s="1252">
        <f>B255</f>
        <v>975</v>
      </c>
    </row>
    <row r="147" spans="1:13" ht="14.55" customHeight="1" x14ac:dyDescent="0.3">
      <c r="A147" s="1260" t="s">
        <v>185</v>
      </c>
      <c r="B147" s="459" t="s">
        <v>186</v>
      </c>
      <c r="C147" s="459"/>
      <c r="D147" s="460"/>
      <c r="E147" s="460"/>
      <c r="F147" s="460" t="s">
        <v>187</v>
      </c>
      <c r="G147" s="465"/>
      <c r="H147" s="460"/>
      <c r="I147" s="1259"/>
      <c r="K147" s="478" t="s">
        <v>188</v>
      </c>
      <c r="L147" s="477" t="str">
        <f>K137&amp;"."&amp;K147</f>
        <v>2.Unit External Surface</v>
      </c>
      <c r="M147" s="1252">
        <f>B251</f>
        <v>11.399495649942526</v>
      </c>
    </row>
    <row r="148" spans="1:13" ht="14.55" customHeight="1" x14ac:dyDescent="0.3">
      <c r="A148" s="1258" t="s">
        <v>189</v>
      </c>
      <c r="B148" s="1716" t="s">
        <v>190</v>
      </c>
      <c r="C148" s="1717"/>
      <c r="D148" s="460"/>
      <c r="E148" s="461"/>
      <c r="F148" s="1716"/>
      <c r="G148" s="1717"/>
      <c r="H148" s="460"/>
      <c r="I148" s="1259"/>
      <c r="K148" s="477" t="s">
        <v>191</v>
      </c>
      <c r="L148" s="477" t="str">
        <f>K137&amp;"."&amp;K148</f>
        <v>2.M1 DN</v>
      </c>
      <c r="M148" s="1252">
        <f>C269</f>
        <v>0</v>
      </c>
    </row>
    <row r="149" spans="1:13" ht="14.55" customHeight="1" x14ac:dyDescent="0.3">
      <c r="A149" s="1258" t="s">
        <v>192</v>
      </c>
      <c r="B149" s="1716" t="s">
        <v>190</v>
      </c>
      <c r="C149" s="1717"/>
      <c r="D149" s="460"/>
      <c r="E149" s="461"/>
      <c r="F149" s="1716"/>
      <c r="G149" s="1717"/>
      <c r="H149" s="460"/>
      <c r="I149" s="1259"/>
      <c r="K149" s="477" t="s">
        <v>193</v>
      </c>
      <c r="L149" s="477" t="str">
        <f>K137&amp;"."&amp;K149</f>
        <v>2.M1 Rating</v>
      </c>
      <c r="M149" s="1252">
        <f>D269</f>
        <v>0</v>
      </c>
    </row>
    <row r="150" spans="1:13" ht="14.55" customHeight="1" x14ac:dyDescent="0.3">
      <c r="A150" s="1258"/>
      <c r="B150" s="466"/>
      <c r="C150" s="466"/>
      <c r="D150" s="460"/>
      <c r="E150" s="460"/>
      <c r="F150" s="460"/>
      <c r="G150" s="460"/>
      <c r="H150" s="460"/>
      <c r="I150" s="1259"/>
      <c r="K150" s="477" t="s">
        <v>194</v>
      </c>
      <c r="L150" s="477" t="str">
        <f>K137&amp;"."&amp;K150</f>
        <v>2.M1 Type</v>
      </c>
      <c r="M150" s="1252">
        <f>E269</f>
        <v>0</v>
      </c>
    </row>
    <row r="151" spans="1:13" ht="14.55" customHeight="1" x14ac:dyDescent="0.3">
      <c r="A151" s="1258" t="s">
        <v>195</v>
      </c>
      <c r="B151" s="460"/>
      <c r="C151" s="460"/>
      <c r="D151" s="460"/>
      <c r="E151" s="460"/>
      <c r="F151" s="460"/>
      <c r="G151" s="460"/>
      <c r="H151" s="460"/>
      <c r="I151" s="1259"/>
      <c r="K151" s="477" t="s">
        <v>196</v>
      </c>
      <c r="L151" s="477" t="str">
        <f>K137&amp;"."&amp;K151</f>
        <v>2.M1 Quantity</v>
      </c>
      <c r="M151" s="1252">
        <f>F269</f>
        <v>0</v>
      </c>
    </row>
    <row r="152" spans="1:13" ht="14.55" customHeight="1" x14ac:dyDescent="0.3">
      <c r="A152" s="1258" t="s">
        <v>197</v>
      </c>
      <c r="B152" s="464">
        <f>$D143*(VLOOKUP($B148,'ASME II Tab 1A'!$1:$1048576,MATCH($D143,'ASME II Tab 1A'!$6:$6,1)+1,0)-VLOOKUP($B148,'ASME II Tab 1A'!$1:$1048576,MATCH($D143,'ASME II Tab 1A'!$6:$6,1),0))/(INDEX('ASME II Tab 1A'!$6:$6,MATCH($D143,'ASME II Tab 1A'!$6:$6,1)+1)-INDEX('ASME II Tab 1A'!$6:$6,MATCH($D143,'ASME II Tab 1A'!$6:$6,1)))+VLOOKUP($B148,'ASME II Tab 1A'!$1:$1048576,MATCH($D143,'ASME II Tab 1A'!$6:$6,1)+1,0)-INDEX('ASME II Tab 1A'!$6:$6,MATCH($D143,'ASME II Tab 1A'!$6:$6,1)+1)*(VLOOKUP($B148,'ASME II Tab 1A'!$1:$1048576,MATCH($D143,'ASME II Tab 1A'!$6:$6,1)+1,0)-VLOOKUP($B148,'ASME II Tab 1A'!$1:$1048576,MATCH($D143,'ASME II Tab 1A'!$6:$6,1),0))/(INDEX('ASME II Tab 1A'!$6:$6,MATCH($D143,'ASME II Tab 1A'!$6:$6,1)+1)-INDEX('ASME II Tab 1A'!$6:$6,MATCH($D143,'ASME II Tab 1A'!$6:$6,1)))</f>
        <v>115</v>
      </c>
      <c r="C152" s="460" t="s">
        <v>198</v>
      </c>
      <c r="D152" s="460"/>
      <c r="E152" s="467"/>
      <c r="F152" s="460" t="e">
        <f>$D143*(VLOOKUP($F148,'ASME II Tab 1A'!$1:$1048576,MATCH($D143,'ASME II Tab 1A'!$6:$6,1)+1,0)-VLOOKUP($F148,'ASME II Tab 1A'!$1:$1048576,MATCH($D143,'ASME II Tab 1A'!$6:$6,1),0))/(INDEX('ASME II Tab 1A'!$6:$6,MATCH($D143,'ASME II Tab 1A'!$6:$6,1)+1)-INDEX('ASME II Tab 1A'!$6:$6,MATCH($D143,'ASME II Tab 1A'!$6:$6,1)))+VLOOKUP($F148,'ASME II Tab 1A'!$1:$1048576,MATCH($D143,'ASME II Tab 1A'!$6:$6,1)+1,0)-INDEX('ASME II Tab 1A'!$6:$6,MATCH($D143,'ASME II Tab 1A'!$6:$6,1)+1)*(VLOOKUP($F148,'ASME II Tab 1A'!$1:$1048576,MATCH($D143,'ASME II Tab 1A'!$6:$6,1)+1,0)-VLOOKUP($F148,'ASME II Tab 1A'!$1:$1048576,MATCH($D143,'ASME II Tab 1A'!$6:$6,1),0))/(INDEX('ASME II Tab 1A'!$6:$6,MATCH($D143,'ASME II Tab 1A'!$6:$6,1)+1)-INDEX('ASME II Tab 1A'!$6:$6,MATCH($D143,'ASME II Tab 1A'!$6:$6,1)))</f>
        <v>#N/A</v>
      </c>
      <c r="G152" s="460" t="s">
        <v>198</v>
      </c>
      <c r="H152" s="460"/>
      <c r="I152" s="1259"/>
      <c r="K152" s="477" t="s">
        <v>199</v>
      </c>
      <c r="L152" s="477" t="str">
        <f>K137&amp;"."&amp;K152</f>
        <v>2.M2 DN</v>
      </c>
      <c r="M152" s="1252">
        <f>C270</f>
        <v>0</v>
      </c>
    </row>
    <row r="153" spans="1:13" ht="14.55" customHeight="1" x14ac:dyDescent="0.3">
      <c r="A153" s="1258" t="s">
        <v>200</v>
      </c>
      <c r="B153" s="464">
        <f>$D143*(VLOOKUP($B149,'ASME II Tab 1A'!$1:$1048576,MATCH($D143,'ASME II Tab 1A'!$6:$6,1)+1,0)-VLOOKUP($B149,'ASME II Tab 1A'!$1:$1048576,MATCH($D143,'ASME II Tab 1A'!$6:$6,1),0))/(INDEX('ASME II Tab 1A'!$6:$6,MATCH($D143,'ASME II Tab 1A'!$6:$6,1)+1)-INDEX('ASME II Tab 1A'!$6:$6,MATCH($D143,'ASME II Tab 1A'!$6:$6,1)))+VLOOKUP($B149,'ASME II Tab 1A'!$1:$1048576,MATCH($D143,'ASME II Tab 1A'!$6:$6,1)+1,0)-INDEX('ASME II Tab 1A'!$6:$6,MATCH($D143,'ASME II Tab 1A'!$6:$6,1)+1)*(VLOOKUP($B149,'ASME II Tab 1A'!$1:$1048576,MATCH($D143,'ASME II Tab 1A'!$6:$6,1)+1,0)-VLOOKUP($B149,'ASME II Tab 1A'!$1:$1048576,MATCH($D143,'ASME II Tab 1A'!$6:$6,1),0))/(INDEX('ASME II Tab 1A'!$6:$6,MATCH($D143,'ASME II Tab 1A'!$6:$6,1)+1)-INDEX('ASME II Tab 1A'!$6:$6,MATCH($D143,'ASME II Tab 1A'!$6:$6,1)))</f>
        <v>115</v>
      </c>
      <c r="C153" s="460" t="s">
        <v>198</v>
      </c>
      <c r="D153" s="460"/>
      <c r="E153" s="460"/>
      <c r="F153" s="460" t="e">
        <f>$D143*(VLOOKUP($F149,'ASME II Tab 1A'!$1:$1048576,MATCH($D143,'ASME II Tab 1A'!$6:$6,1)+1,0)-VLOOKUP($F149,'ASME II Tab 1A'!$1:$1048576,MATCH($D143,'ASME II Tab 1A'!$6:$6,1),0))/(INDEX('ASME II Tab 1A'!$6:$6,MATCH($D143,'ASME II Tab 1A'!$6:$6,1)+1)-INDEX('ASME II Tab 1A'!$6:$6,MATCH($D143,'ASME II Tab 1A'!$6:$6,1)))+VLOOKUP($F149,'ASME II Tab 1A'!$1:$1048576,MATCH($D143,'ASME II Tab 1A'!$6:$6,1)+1,0)-INDEX('ASME II Tab 1A'!$6:$6,MATCH($D143,'ASME II Tab 1A'!$6:$6,1)+1)*(VLOOKUP($F149,'ASME II Tab 1A'!$1:$1048576,MATCH($D143,'ASME II Tab 1A'!$6:$6,1)+1,0)-VLOOKUP($F149,'ASME II Tab 1A'!$1:$1048576,MATCH($D143,'ASME II Tab 1A'!$6:$6,1),0))/(INDEX('ASME II Tab 1A'!$6:$6,MATCH($D143,'ASME II Tab 1A'!$6:$6,1)+1)-INDEX('ASME II Tab 1A'!$6:$6,MATCH($D143,'ASME II Tab 1A'!$6:$6,1)))</f>
        <v>#N/A</v>
      </c>
      <c r="G153" s="460" t="s">
        <v>198</v>
      </c>
      <c r="H153" s="460"/>
      <c r="I153" s="1259"/>
      <c r="K153" s="477" t="s">
        <v>201</v>
      </c>
      <c r="L153" s="477" t="str">
        <f>K137&amp;"."&amp;K153</f>
        <v>2.M2 Rating</v>
      </c>
      <c r="M153" s="1252">
        <f>D270</f>
        <v>0</v>
      </c>
    </row>
    <row r="154" spans="1:13" ht="14.55" customHeight="1" x14ac:dyDescent="0.3">
      <c r="A154" s="1258" t="s">
        <v>202</v>
      </c>
      <c r="B154" s="460"/>
      <c r="C154" s="460"/>
      <c r="D154" s="460"/>
      <c r="E154" s="460"/>
      <c r="F154" s="460"/>
      <c r="G154" s="460"/>
      <c r="H154" s="460"/>
      <c r="I154" s="1259"/>
      <c r="K154" s="477" t="s">
        <v>203</v>
      </c>
      <c r="L154" s="477" t="str">
        <f>K137&amp;"."&amp;K154</f>
        <v>2.M2 Type</v>
      </c>
      <c r="M154" s="1252">
        <f>E270</f>
        <v>0</v>
      </c>
    </row>
    <row r="155" spans="1:13" ht="14.55" customHeight="1" x14ac:dyDescent="0.3">
      <c r="A155" s="1258" t="s">
        <v>197</v>
      </c>
      <c r="B155" s="464">
        <f>$D143*(VLOOKUP($B148,'ASME II Tab 5A'!$1:$1048576,MATCH($D143,'ASME II Tab 5A'!$5:$5,1)+1,0)-VLOOKUP($B148,'ASME II Tab 5A'!$1:$1048576,MATCH($D143,'ASME II Tab 5A'!$5:$5,1),0))/(INDEX('ASME II Tab 5A'!$5:$5,MATCH($D143,'ASME II Tab 5A'!$5:$5,1)+1)-INDEX('ASME II Tab 5A'!$5:$5,MATCH($D143,'ASME II Tab 5A'!$5:$5,1)))+VLOOKUP($B148,'ASME II Tab 5A'!$1:$1048576,MATCH($D143,'ASME II Tab 5A'!$5:$5,1)+1,0)-INDEX('ASME II Tab 5A'!$5:$5,MATCH($D143,'ASME II Tab 5A'!$5:$5,1)+1)*(VLOOKUP($B148,'ASME II Tab 5A'!$1:$1048576,MATCH($D143,'ASME II Tab 5A'!$5:$5,1)+1,0)-VLOOKUP($B148,'ASME II Tab 5A'!$1:$1048576,MATCH($D143,'ASME II Tab 5A'!$5:$5,1),0))/(INDEX('ASME II Tab 5A'!$5:$5,MATCH($D143,'ASME II Tab 5A'!$5:$5,1)+1)-INDEX('ASME II Tab 5A'!$5:$5,MATCH($D143,'ASME II Tab 5A'!$5:$5,1)))</f>
        <v>115</v>
      </c>
      <c r="C155" s="460" t="s">
        <v>198</v>
      </c>
      <c r="D155" s="460"/>
      <c r="E155" s="460"/>
      <c r="F155" s="460" t="e">
        <f>$D143*(VLOOKUP($F148,'ASME II Tab 5A'!$1:$1048576,MATCH($D143,'ASME II Tab 5A'!$5:$5,1)+1,0)-VLOOKUP($F148,'ASME II Tab 5A'!$1:$1048576,MATCH($D143,'ASME II Tab 5A'!$5:$5,1),0))/(INDEX('ASME II Tab 5A'!$5:$5,MATCH($D143,'ASME II Tab 5A'!$5:$5,1)+1)-INDEX('ASME II Tab 5A'!$5:$5,MATCH($D143,'ASME II Tab 5A'!$5:$5,1)))+VLOOKUP($F148,'ASME II Tab 5A'!$1:$1048576,MATCH($D143,'ASME II Tab 5A'!$5:$5,1)+1,0)-INDEX('ASME II Tab 5A'!$5:$5,MATCH($D143,'ASME II Tab 5A'!$5:$5,1)+1)*(VLOOKUP($F148,'ASME II Tab 5A'!$1:$1048576,MATCH($D143,'ASME II Tab 5A'!$5:$5,1)+1,0)-VLOOKUP($F148,'ASME II Tab 5A'!$1:$1048576,MATCH($D143,'ASME II Tab 5A'!$5:$5,1),0))/(INDEX('ASME II Tab 5A'!$5:$5,MATCH($D143,'ASME II Tab 5A'!$5:$5,1)+1)-INDEX('ASME II Tab 5A'!$5:$5,MATCH($D143,'ASME II Tab 5A'!$5:$5,1)))</f>
        <v>#N/A</v>
      </c>
      <c r="G155" s="460" t="s">
        <v>198</v>
      </c>
      <c r="H155" s="460"/>
      <c r="I155" s="1259"/>
      <c r="K155" s="477" t="s">
        <v>204</v>
      </c>
      <c r="L155" s="477" t="str">
        <f>K137&amp;"."&amp;K155</f>
        <v>2.M2 Quantity</v>
      </c>
      <c r="M155" s="1252">
        <f>F270</f>
        <v>0</v>
      </c>
    </row>
    <row r="156" spans="1:13" ht="14.55" customHeight="1" x14ac:dyDescent="0.3">
      <c r="A156" s="1258" t="s">
        <v>200</v>
      </c>
      <c r="B156" s="464">
        <f>$D143*(VLOOKUP($B149,'ASME II Tab 5A'!$1:$1048576,MATCH($D143,'ASME II Tab 5A'!$5:$5,1)+1,0)-VLOOKUP($B149,'ASME II Tab 5A'!$1:$1048576,MATCH($D143,'ASME II Tab 5A'!$5:$5,1),0))/(INDEX('ASME II Tab 5A'!$5:$5,MATCH($D143,'ASME II Tab 5A'!$5:$5,1)+1)-INDEX('ASME II Tab 5A'!$5:$5,MATCH($D143,'ASME II Tab 5A'!$5:$5,1)))+VLOOKUP($B149,'ASME II Tab 5A'!$1:$1048576,MATCH($D143,'ASME II Tab 5A'!$5:$5,1)+1,0)-INDEX('ASME II Tab 5A'!$5:$5,MATCH($D143,'ASME II Tab 5A'!$5:$5,1)+1)*(VLOOKUP($B149,'ASME II Tab 5A'!$1:$1048576,MATCH($D143,'ASME II Tab 5A'!$5:$5,1)+1,0)-VLOOKUP($B149,'ASME II Tab 5A'!$1:$1048576,MATCH($D143,'ASME II Tab 5A'!$5:$5,1),0))/(INDEX('ASME II Tab 5A'!$5:$5,MATCH($D143,'ASME II Tab 5A'!$5:$5,1)+1)-INDEX('ASME II Tab 5A'!$5:$5,MATCH($D143,'ASME II Tab 5A'!$5:$5,1)))</f>
        <v>115</v>
      </c>
      <c r="C156" s="460" t="s">
        <v>198</v>
      </c>
      <c r="D156" s="460"/>
      <c r="E156" s="460"/>
      <c r="F156" s="460" t="e">
        <f>$D143*(VLOOKUP($F149,'ASME II Tab 5A'!$1:$1048576,MATCH($D143,'ASME II Tab 5A'!$5:$5,1)+1,0)-VLOOKUP($F149,'ASME II Tab 5A'!$1:$1048576,MATCH($D143,'ASME II Tab 5A'!$5:$5,1),0))/(INDEX('ASME II Tab 5A'!$5:$5,MATCH($D143,'ASME II Tab 5A'!$5:$5,1)+1)-INDEX('ASME II Tab 5A'!$5:$5,MATCH($D143,'ASME II Tab 5A'!$5:$5,1)))+VLOOKUP($F149,'ASME II Tab 5A'!$1:$1048576,MATCH($D143,'ASME II Tab 5A'!$5:$5,1)+1,0)-INDEX('ASME II Tab 5A'!$5:$5,MATCH($D143,'ASME II Tab 5A'!$5:$5,1)+1)*(VLOOKUP($F149,'ASME II Tab 5A'!$1:$1048576,MATCH($D143,'ASME II Tab 5A'!$5:$5,1)+1,0)-VLOOKUP($F149,'ASME II Tab 5A'!$1:$1048576,MATCH($D143,'ASME II Tab 5A'!$5:$5,1),0))/(INDEX('ASME II Tab 5A'!$5:$5,MATCH($D143,'ASME II Tab 5A'!$5:$5,1)+1)-INDEX('ASME II Tab 5A'!$5:$5,MATCH($D143,'ASME II Tab 5A'!$5:$5,1)))</f>
        <v>#N/A</v>
      </c>
      <c r="G156" s="460" t="s">
        <v>198</v>
      </c>
      <c r="H156" s="460"/>
      <c r="I156" s="1259"/>
      <c r="K156" s="477" t="s">
        <v>205</v>
      </c>
      <c r="L156" s="477" t="str">
        <f>K137&amp;"."&amp;K156</f>
        <v>2.M3 DN</v>
      </c>
      <c r="M156" s="1252">
        <f>C271</f>
        <v>0</v>
      </c>
    </row>
    <row r="157" spans="1:13" ht="14.55" customHeight="1" x14ac:dyDescent="0.3">
      <c r="A157" s="1258"/>
      <c r="B157" s="460"/>
      <c r="C157" s="460"/>
      <c r="D157" s="460"/>
      <c r="E157" s="460"/>
      <c r="F157" s="460"/>
      <c r="G157" s="460"/>
      <c r="H157" s="460"/>
      <c r="I157" s="1259"/>
      <c r="K157" s="477" t="s">
        <v>206</v>
      </c>
      <c r="L157" s="477" t="str">
        <f>K137&amp;"."&amp;K157</f>
        <v>2.M3 Rating</v>
      </c>
      <c r="M157" s="1252">
        <f>D271</f>
        <v>0</v>
      </c>
    </row>
    <row r="158" spans="1:13" ht="14.55" customHeight="1" x14ac:dyDescent="0.3">
      <c r="A158" s="1260" t="s">
        <v>207</v>
      </c>
      <c r="B158" s="453"/>
      <c r="C158" s="460"/>
      <c r="D158" s="453"/>
      <c r="E158" s="460"/>
      <c r="F158" s="453"/>
      <c r="G158" s="460"/>
      <c r="H158" s="460"/>
      <c r="I158" s="1259"/>
      <c r="K158" s="477" t="s">
        <v>208</v>
      </c>
      <c r="L158" s="477" t="str">
        <f>K137&amp;"."&amp;K158</f>
        <v>2.M3 Type</v>
      </c>
      <c r="M158" s="1252">
        <f>E271</f>
        <v>0</v>
      </c>
    </row>
    <row r="159" spans="1:13" ht="14.55" customHeight="1" x14ac:dyDescent="0.3">
      <c r="A159" s="1260"/>
      <c r="B159" s="305" t="s">
        <v>209</v>
      </c>
      <c r="C159" s="460"/>
      <c r="D159" s="305" t="s">
        <v>210</v>
      </c>
      <c r="E159" s="460"/>
      <c r="F159" s="305" t="s">
        <v>211</v>
      </c>
      <c r="G159" s="460"/>
      <c r="H159" s="460"/>
      <c r="I159" s="1259"/>
      <c r="K159" s="477" t="s">
        <v>212</v>
      </c>
      <c r="L159" s="477" t="str">
        <f>K137&amp;"."&amp;K159</f>
        <v>2.M3 Quantity</v>
      </c>
      <c r="M159" s="1252">
        <f>F271</f>
        <v>0</v>
      </c>
    </row>
    <row r="160" spans="1:13" ht="14.55" customHeight="1" x14ac:dyDescent="0.3">
      <c r="A160" s="1258" t="s">
        <v>213</v>
      </c>
      <c r="B160" s="305"/>
      <c r="C160" s="460"/>
      <c r="D160" s="305"/>
      <c r="E160" s="460"/>
      <c r="F160" s="723"/>
      <c r="G160" s="460" t="s">
        <v>214</v>
      </c>
      <c r="H160" s="460"/>
      <c r="I160" s="1259"/>
      <c r="K160" s="477" t="s">
        <v>215</v>
      </c>
      <c r="L160" s="477" t="str">
        <f>K137&amp;"."&amp;K160</f>
        <v>2.Shell insulation thk 1</v>
      </c>
      <c r="M160" s="1252">
        <f>B208</f>
        <v>100</v>
      </c>
    </row>
    <row r="161" spans="1:13" ht="14.55" customHeight="1" x14ac:dyDescent="0.3">
      <c r="A161" s="1258" t="s">
        <v>216</v>
      </c>
      <c r="B161" s="722">
        <v>550</v>
      </c>
      <c r="C161" s="460" t="s">
        <v>93</v>
      </c>
      <c r="D161" s="722"/>
      <c r="E161" s="460" t="s">
        <v>93</v>
      </c>
      <c r="F161" s="468">
        <f>F162-2*F206</f>
        <v>0</v>
      </c>
      <c r="G161" s="460" t="s">
        <v>93</v>
      </c>
      <c r="H161" s="460"/>
      <c r="I161" s="1259"/>
      <c r="K161" s="477" t="s">
        <v>217</v>
      </c>
      <c r="L161" s="477" t="str">
        <f>K137&amp;"."&amp;K161</f>
        <v>2.Head insulation thk 1</v>
      </c>
      <c r="M161" s="1252">
        <f>B209</f>
        <v>100</v>
      </c>
    </row>
    <row r="162" spans="1:13" ht="14.55" customHeight="1" x14ac:dyDescent="0.3">
      <c r="A162" s="1258" t="s">
        <v>218</v>
      </c>
      <c r="B162" s="468">
        <f>B161+B202*2</f>
        <v>569.04</v>
      </c>
      <c r="C162" s="460" t="s">
        <v>93</v>
      </c>
      <c r="D162" s="468">
        <f>D161+D202*2</f>
        <v>0</v>
      </c>
      <c r="E162" s="460" t="s">
        <v>93</v>
      </c>
      <c r="F162" s="468">
        <f>IFERROR(VLOOKUP(F160,'Thickness Tab'!$1:$1048576,3,0),0)</f>
        <v>0</v>
      </c>
      <c r="G162" s="460" t="s">
        <v>93</v>
      </c>
      <c r="H162" s="469"/>
      <c r="I162" s="1261"/>
      <c r="K162" s="477" t="s">
        <v>219</v>
      </c>
      <c r="L162" s="477" t="str">
        <f>K137&amp;"."&amp;K162</f>
        <v>2.Reducer insulation thk 1</v>
      </c>
      <c r="M162" s="1252">
        <f>B210</f>
        <v>100</v>
      </c>
    </row>
    <row r="163" spans="1:13" ht="14.55" customHeight="1" x14ac:dyDescent="0.3">
      <c r="A163" s="1258" t="s">
        <v>181</v>
      </c>
      <c r="B163" s="722">
        <v>1900</v>
      </c>
      <c r="C163" s="460" t="s">
        <v>93</v>
      </c>
      <c r="D163" s="722"/>
      <c r="E163" s="460" t="s">
        <v>93</v>
      </c>
      <c r="F163" s="722"/>
      <c r="G163" s="460" t="s">
        <v>93</v>
      </c>
      <c r="H163" s="460"/>
      <c r="I163" s="1259"/>
      <c r="K163" s="477" t="s">
        <v>220</v>
      </c>
      <c r="L163" s="477" t="str">
        <f>K137&amp;"."&amp;K163</f>
        <v>2.Shell insulation area 1</v>
      </c>
      <c r="M163" s="1252">
        <f>B168</f>
        <v>4.5880926400000002</v>
      </c>
    </row>
    <row r="164" spans="1:13" ht="14.55" customHeight="1" x14ac:dyDescent="0.3">
      <c r="A164" s="1258" t="s">
        <v>221</v>
      </c>
      <c r="B164" s="468">
        <f>(PI()*B163*(((B162/2)^2)-((B161/2)^2))*7860)/1000000000*1.05</f>
        <v>262.40244786193284</v>
      </c>
      <c r="C164" s="460" t="s">
        <v>222</v>
      </c>
      <c r="D164" s="468">
        <f>(PI()*D163*(((D162/2)^2)-((D161/2)^2))*7860)/1000000000*1.05</f>
        <v>0</v>
      </c>
      <c r="E164" s="460" t="s">
        <v>222</v>
      </c>
      <c r="F164" s="468">
        <f>(PI()*F163*(((F162/2)^2)-((F161/2)^2))*7860)/1000000000*1.05</f>
        <v>0</v>
      </c>
      <c r="G164" s="460" t="s">
        <v>222</v>
      </c>
      <c r="H164" s="469"/>
      <c r="I164" s="1261"/>
      <c r="K164" s="477" t="s">
        <v>223</v>
      </c>
      <c r="L164" s="477" t="str">
        <f>K137&amp;"."&amp;K164</f>
        <v>2.Head insulation area 1</v>
      </c>
      <c r="M164" s="1252">
        <f>B180</f>
        <v>1.0679630794560002</v>
      </c>
    </row>
    <row r="165" spans="1:13" ht="14.55" customHeight="1" x14ac:dyDescent="0.3">
      <c r="A165" s="1258" t="s">
        <v>224</v>
      </c>
      <c r="B165" s="468">
        <f>(PI()*((B161/2)^2)*B163)/1000000000</f>
        <v>0.45140759441268336</v>
      </c>
      <c r="C165" s="460" t="s">
        <v>225</v>
      </c>
      <c r="D165" s="468">
        <f>(PI()*((D161/2)^2)*D163)/1000000000</f>
        <v>0</v>
      </c>
      <c r="E165" s="460" t="s">
        <v>225</v>
      </c>
      <c r="F165" s="468">
        <f>(PI()*((F161/2)^2)*F163)/1000000000</f>
        <v>0</v>
      </c>
      <c r="G165" s="460" t="s">
        <v>225</v>
      </c>
      <c r="H165" s="469"/>
      <c r="I165" s="1261"/>
      <c r="K165" s="477" t="s">
        <v>226</v>
      </c>
      <c r="L165" s="477" t="str">
        <f>K137&amp;"."&amp;K165</f>
        <v>2.Reducer insulation area 1</v>
      </c>
      <c r="M165" s="1252">
        <f>B193</f>
        <v>0</v>
      </c>
    </row>
    <row r="166" spans="1:13" ht="14.55" customHeight="1" x14ac:dyDescent="0.3">
      <c r="A166" s="1258" t="s">
        <v>227</v>
      </c>
      <c r="B166" s="468">
        <f>(B162*3.14*B163)/1000000</f>
        <v>3.3948926399999997</v>
      </c>
      <c r="C166" s="460" t="s">
        <v>228</v>
      </c>
      <c r="D166" s="468">
        <f>(D162*3.14*D163)/1000000</f>
        <v>0</v>
      </c>
      <c r="E166" s="460" t="s">
        <v>228</v>
      </c>
      <c r="F166" s="468">
        <f>(F162*3.14*F163)/1000000</f>
        <v>0</v>
      </c>
      <c r="G166" s="460" t="s">
        <v>228</v>
      </c>
      <c r="H166" s="469"/>
      <c r="I166" s="1261"/>
      <c r="K166" s="477" t="s">
        <v>229</v>
      </c>
      <c r="L166" s="477" t="str">
        <f>K137&amp;"."&amp;K166</f>
        <v>2.Shell insulation thk 2</v>
      </c>
      <c r="M166" s="1252">
        <f>D208</f>
        <v>0</v>
      </c>
    </row>
    <row r="167" spans="1:13" ht="14.55" customHeight="1" x14ac:dyDescent="0.3">
      <c r="A167" s="1258" t="s">
        <v>230</v>
      </c>
      <c r="B167" s="468">
        <f>B162+2*B208</f>
        <v>769.04</v>
      </c>
      <c r="C167" s="460" t="s">
        <v>93</v>
      </c>
      <c r="D167" s="468">
        <f>D162+2*D208</f>
        <v>0</v>
      </c>
      <c r="E167" s="460" t="s">
        <v>93</v>
      </c>
      <c r="F167" s="468">
        <f>F162+2*F208</f>
        <v>0</v>
      </c>
      <c r="G167" s="460" t="s">
        <v>93</v>
      </c>
      <c r="H167" s="469"/>
      <c r="I167" s="1261"/>
      <c r="K167" s="477" t="s">
        <v>231</v>
      </c>
      <c r="L167" s="477" t="str">
        <f>K137&amp;"."&amp;K167</f>
        <v>2.Head insulation thk 2</v>
      </c>
      <c r="M167" s="1252">
        <f>D209</f>
        <v>0</v>
      </c>
    </row>
    <row r="168" spans="1:13" ht="14.55" customHeight="1" x14ac:dyDescent="0.3">
      <c r="A168" s="1258" t="s">
        <v>232</v>
      </c>
      <c r="B168" s="468">
        <f>(B167*3.14*B163)/1000000</f>
        <v>4.5880926400000002</v>
      </c>
      <c r="C168" s="460" t="s">
        <v>228</v>
      </c>
      <c r="D168" s="468">
        <f>(D167*3.14*D163)/1000000</f>
        <v>0</v>
      </c>
      <c r="E168" s="460" t="s">
        <v>228</v>
      </c>
      <c r="F168" s="468">
        <f>(F167*3.14*F163)/1000000</f>
        <v>0</v>
      </c>
      <c r="G168" s="460" t="s">
        <v>228</v>
      </c>
      <c r="H168" s="469"/>
      <c r="I168" s="1261"/>
      <c r="K168" s="477" t="s">
        <v>233</v>
      </c>
      <c r="L168" s="477" t="str">
        <f>K137&amp;"."&amp;K168</f>
        <v>2.Reducer insulation thk 2</v>
      </c>
      <c r="M168" s="1252">
        <f>D210</f>
        <v>0</v>
      </c>
    </row>
    <row r="169" spans="1:13" ht="14.55" customHeight="1" x14ac:dyDescent="0.3">
      <c r="A169" s="1258"/>
      <c r="B169" s="468"/>
      <c r="C169" s="460"/>
      <c r="D169" s="468"/>
      <c r="E169" s="460"/>
      <c r="F169" s="468"/>
      <c r="G169" s="460"/>
      <c r="H169" s="469"/>
      <c r="I169" s="1261"/>
      <c r="K169" s="477" t="s">
        <v>234</v>
      </c>
      <c r="L169" s="477" t="str">
        <f>K137&amp;"."&amp;K169</f>
        <v>2.Shell insulation area 2</v>
      </c>
      <c r="M169" s="1252">
        <f>D168</f>
        <v>0</v>
      </c>
    </row>
    <row r="170" spans="1:13" ht="14.55" customHeight="1" x14ac:dyDescent="0.3">
      <c r="A170" s="1258"/>
      <c r="B170" s="468" t="s">
        <v>235</v>
      </c>
      <c r="C170" s="460"/>
      <c r="D170" s="468" t="s">
        <v>236</v>
      </c>
      <c r="E170" s="460"/>
      <c r="F170" s="468" t="s">
        <v>237</v>
      </c>
      <c r="G170" s="460"/>
      <c r="H170" s="469"/>
      <c r="I170" s="1261"/>
      <c r="K170" s="477" t="s">
        <v>238</v>
      </c>
      <c r="L170" s="477" t="str">
        <f>K137&amp;"."&amp;K170</f>
        <v>2.Head insulation area 2</v>
      </c>
      <c r="M170" s="1252">
        <f>D180</f>
        <v>0</v>
      </c>
    </row>
    <row r="171" spans="1:13" ht="14.55" customHeight="1" x14ac:dyDescent="0.3">
      <c r="A171" s="1258" t="s">
        <v>239</v>
      </c>
      <c r="B171" s="468">
        <f>B161</f>
        <v>550</v>
      </c>
      <c r="C171" s="460" t="s">
        <v>93</v>
      </c>
      <c r="D171" s="468">
        <f>D161</f>
        <v>0</v>
      </c>
      <c r="E171" s="460" t="s">
        <v>93</v>
      </c>
      <c r="F171" s="468">
        <f>F161</f>
        <v>0</v>
      </c>
      <c r="G171" s="460" t="s">
        <v>93</v>
      </c>
      <c r="H171" s="469"/>
      <c r="I171" s="1261"/>
      <c r="K171" s="477" t="s">
        <v>240</v>
      </c>
      <c r="L171" s="477" t="str">
        <f>K137&amp;"."&amp;K171</f>
        <v>2.Reducer insulation area 2</v>
      </c>
      <c r="M171" s="1252">
        <f>D193</f>
        <v>0</v>
      </c>
    </row>
    <row r="172" spans="1:13" ht="14.55" customHeight="1" x14ac:dyDescent="0.3">
      <c r="A172" s="1258" t="s">
        <v>241</v>
      </c>
      <c r="B172" s="468">
        <f>B171+2*B203</f>
        <v>569.04</v>
      </c>
      <c r="C172" s="460" t="s">
        <v>93</v>
      </c>
      <c r="D172" s="468">
        <f>D171+2*D203</f>
        <v>0</v>
      </c>
      <c r="E172" s="460" t="s">
        <v>93</v>
      </c>
      <c r="F172" s="468">
        <f>F171+2*F206</f>
        <v>0</v>
      </c>
      <c r="G172" s="460" t="s">
        <v>93</v>
      </c>
      <c r="H172" s="469"/>
      <c r="I172" s="1261"/>
      <c r="K172" s="477" t="s">
        <v>242</v>
      </c>
      <c r="L172" s="477" t="str">
        <f>K137&amp;"."&amp;K172</f>
        <v>2.Shell insulation thk 3</v>
      </c>
      <c r="M172" s="1252">
        <f>F208</f>
        <v>0</v>
      </c>
    </row>
    <row r="173" spans="1:13" ht="14.55" customHeight="1" x14ac:dyDescent="0.3">
      <c r="A173" s="1258" t="s">
        <v>243</v>
      </c>
      <c r="B173" s="722">
        <v>250</v>
      </c>
      <c r="C173" s="460" t="s">
        <v>93</v>
      </c>
      <c r="D173" s="722"/>
      <c r="E173" s="460" t="s">
        <v>93</v>
      </c>
      <c r="F173" s="452"/>
      <c r="G173" s="460"/>
      <c r="H173" s="469"/>
      <c r="I173" s="1261"/>
      <c r="K173" s="477" t="s">
        <v>244</v>
      </c>
      <c r="L173" s="477" t="str">
        <f>K137&amp;"."&amp;K173</f>
        <v>2.Head insulation thk 3</v>
      </c>
      <c r="M173" s="1252">
        <f>F209</f>
        <v>0</v>
      </c>
    </row>
    <row r="174" spans="1:13" ht="14.55" customHeight="1" x14ac:dyDescent="0.3">
      <c r="A174" s="1258" t="s">
        <v>245</v>
      </c>
      <c r="B174" s="724">
        <v>1</v>
      </c>
      <c r="C174" s="460"/>
      <c r="D174" s="724"/>
      <c r="E174" s="460"/>
      <c r="F174" s="724"/>
      <c r="G174" s="460"/>
      <c r="H174" s="469"/>
      <c r="I174" s="1261"/>
      <c r="K174" s="477" t="s">
        <v>246</v>
      </c>
      <c r="L174" s="477" t="str">
        <f>K137&amp;"."&amp;K174</f>
        <v>2.Reducer insulation thk 3</v>
      </c>
      <c r="M174" s="1252">
        <f>F210</f>
        <v>0</v>
      </c>
    </row>
    <row r="175" spans="1:13" ht="14.55" customHeight="1" x14ac:dyDescent="0.3">
      <c r="A175" s="1258" t="s">
        <v>247</v>
      </c>
      <c r="B175" s="468">
        <v>0</v>
      </c>
      <c r="C175" s="460" t="s">
        <v>93</v>
      </c>
      <c r="D175" s="468">
        <v>0</v>
      </c>
      <c r="E175" s="460" t="s">
        <v>93</v>
      </c>
      <c r="F175" s="468">
        <v>0</v>
      </c>
      <c r="G175" s="460" t="s">
        <v>93</v>
      </c>
      <c r="H175" s="469"/>
      <c r="I175" s="1261"/>
      <c r="K175" s="477" t="s">
        <v>248</v>
      </c>
      <c r="L175" s="477" t="str">
        <f>K137&amp;"."&amp;K175</f>
        <v>2.Shell insulation area 3</v>
      </c>
      <c r="M175" s="1252">
        <f>F168</f>
        <v>0</v>
      </c>
    </row>
    <row r="176" spans="1:13" ht="14.55" customHeight="1" x14ac:dyDescent="0.3">
      <c r="A176" s="1258" t="s">
        <v>249</v>
      </c>
      <c r="B176" s="468">
        <f>((((POWER(((((B171+B204)*1.22)+(B175*2))/100),2)*PI())/4)*(B204/100))*7.86)</f>
        <v>27.384213182591701</v>
      </c>
      <c r="C176" s="460" t="s">
        <v>222</v>
      </c>
      <c r="D176" s="468">
        <f>((((POWER(((((D171+D204)*1.22)+(D175*2))/100),2)*PI())/4)*(D204/100))*7.86)</f>
        <v>0</v>
      </c>
      <c r="E176" s="460" t="s">
        <v>222</v>
      </c>
      <c r="F176" s="468">
        <f>IFERROR(VLOOKUP(F160&amp;"."&amp;F205,'Fitting Chart'!$1:$1048576,5,0),0)</f>
        <v>0</v>
      </c>
      <c r="G176" s="460" t="s">
        <v>222</v>
      </c>
      <c r="H176" s="469"/>
      <c r="I176" s="1261"/>
      <c r="K176" s="477" t="s">
        <v>250</v>
      </c>
      <c r="L176" s="477" t="str">
        <f>K137&amp;"."&amp;K176</f>
        <v>2.Head insulation area 3</v>
      </c>
      <c r="M176" s="1252">
        <f>F179</f>
        <v>0</v>
      </c>
    </row>
    <row r="177" spans="1:13" ht="14.55" customHeight="1" x14ac:dyDescent="0.3">
      <c r="A177" s="1258" t="s">
        <v>251</v>
      </c>
      <c r="B177" s="468">
        <f>(((0.131*(B171^3)*10^-6)+((((B171/2)^2)*PI()*(((B171/4)+B203)-B203-(B171/4)))))+((PI()*((B171/2)^2)*B175))/1000000)/1000</f>
        <v>2.1795124999999999E-2</v>
      </c>
      <c r="C177" s="460" t="s">
        <v>225</v>
      </c>
      <c r="D177" s="468">
        <f>(((0.131*(D171^3)*10^-6)+((((D171/2)^2)*PI()*(((D171/4)+D203)-D203-(D171/4)))))+((PI()*((D171/2)^2)*D175))/1000000)/1000</f>
        <v>0</v>
      </c>
      <c r="E177" s="460" t="s">
        <v>225</v>
      </c>
      <c r="F177" s="468">
        <f>(((0.131*(F171^3)*10^-6)+((((F171/2)^2)*PI()*(((F171/4)+F206)-F206-(F171/4)))))+((PI()*((F171/2)^2)*F175))/1000000)/1000</f>
        <v>0</v>
      </c>
      <c r="G177" s="460" t="s">
        <v>225</v>
      </c>
      <c r="H177" s="469"/>
      <c r="I177" s="1261"/>
      <c r="K177" s="477" t="s">
        <v>252</v>
      </c>
      <c r="L177" s="477" t="str">
        <f>K137&amp;"."&amp;K177</f>
        <v>2.Reducer insulation area 3</v>
      </c>
      <c r="M177" s="1252">
        <f>F193</f>
        <v>0</v>
      </c>
    </row>
    <row r="178" spans="1:13" ht="14.55" customHeight="1" x14ac:dyDescent="0.3">
      <c r="A178" s="1258" t="s">
        <v>253</v>
      </c>
      <c r="B178" s="468">
        <f>(((B172*B173*3.14)+(((B172/2)^2)*3.14))/1000000)</f>
        <v>0.70088451945600005</v>
      </c>
      <c r="C178" s="460" t="s">
        <v>228</v>
      </c>
      <c r="D178" s="468">
        <f>(((D172*D173*3.14)+(((D172/2)^2)*3.14))/1000000)</f>
        <v>0</v>
      </c>
      <c r="E178" s="460" t="s">
        <v>228</v>
      </c>
      <c r="F178" s="468">
        <f>(((F172*F173*3.14)+(((F172/2)^2)*3.14))/1000000)</f>
        <v>0</v>
      </c>
      <c r="G178" s="460" t="s">
        <v>228</v>
      </c>
      <c r="H178" s="469"/>
      <c r="I178" s="1261"/>
    </row>
    <row r="179" spans="1:13" ht="14.55" customHeight="1" x14ac:dyDescent="0.3">
      <c r="A179" s="1258" t="s">
        <v>254</v>
      </c>
      <c r="B179" s="468">
        <f>B172+2*B209</f>
        <v>769.04</v>
      </c>
      <c r="C179" s="460" t="s">
        <v>93</v>
      </c>
      <c r="D179" s="468">
        <f>D172+2*D209</f>
        <v>0</v>
      </c>
      <c r="E179" s="460" t="s">
        <v>93</v>
      </c>
      <c r="F179" s="468">
        <f>F172+2*F209</f>
        <v>0</v>
      </c>
      <c r="G179" s="460" t="s">
        <v>93</v>
      </c>
      <c r="H179" s="469"/>
      <c r="I179" s="1261"/>
    </row>
    <row r="180" spans="1:13" ht="14.55" customHeight="1" x14ac:dyDescent="0.3">
      <c r="A180" s="1258" t="s">
        <v>255</v>
      </c>
      <c r="B180" s="468">
        <f>(((B179*B173*3.14)+(((B179/2)^2)*3.14))/1000000)</f>
        <v>1.0679630794560002</v>
      </c>
      <c r="C180" s="460" t="s">
        <v>228</v>
      </c>
      <c r="D180" s="468">
        <f>(((D179*D173*3.14)+(((D179/2)^2)*3.14))/1000000)</f>
        <v>0</v>
      </c>
      <c r="E180" s="460" t="s">
        <v>228</v>
      </c>
      <c r="F180" s="468">
        <f>(((F179*F173*3.14)+(((F179/2)^2)*3.14))/1000000)</f>
        <v>0</v>
      </c>
      <c r="G180" s="460" t="s">
        <v>228</v>
      </c>
      <c r="H180" s="469"/>
      <c r="I180" s="1261"/>
    </row>
    <row r="181" spans="1:13" ht="14.55" customHeight="1" x14ac:dyDescent="0.3">
      <c r="A181" s="1258"/>
      <c r="B181" s="454"/>
      <c r="C181" s="460"/>
      <c r="D181" s="454"/>
      <c r="E181" s="460"/>
      <c r="F181" s="454"/>
      <c r="G181" s="460"/>
      <c r="H181" s="469"/>
      <c r="I181" s="1261"/>
    </row>
    <row r="182" spans="1:13" ht="14.55" customHeight="1" x14ac:dyDescent="0.3">
      <c r="A182" s="1258"/>
      <c r="B182" s="468" t="s">
        <v>256</v>
      </c>
      <c r="C182" s="460"/>
      <c r="D182" s="468" t="s">
        <v>257</v>
      </c>
      <c r="E182" s="460"/>
      <c r="F182" s="468" t="s">
        <v>258</v>
      </c>
      <c r="G182" s="460"/>
      <c r="H182" s="469"/>
      <c r="I182" s="1261"/>
    </row>
    <row r="183" spans="1:13" ht="14.55" customHeight="1" x14ac:dyDescent="0.3">
      <c r="A183" s="1258" t="s">
        <v>259</v>
      </c>
      <c r="B183" s="725"/>
      <c r="C183" s="460" t="s">
        <v>93</v>
      </c>
      <c r="D183" s="725"/>
      <c r="E183" s="460" t="s">
        <v>93</v>
      </c>
      <c r="F183" s="725"/>
      <c r="G183" s="460" t="s">
        <v>93</v>
      </c>
      <c r="H183" s="469"/>
      <c r="I183" s="1261"/>
    </row>
    <row r="184" spans="1:13" ht="14.55" customHeight="1" x14ac:dyDescent="0.3">
      <c r="A184" s="1258" t="s">
        <v>260</v>
      </c>
      <c r="B184" s="725"/>
      <c r="C184" s="460" t="s">
        <v>93</v>
      </c>
      <c r="D184" s="725"/>
      <c r="E184" s="460" t="s">
        <v>93</v>
      </c>
      <c r="F184" s="725"/>
      <c r="G184" s="460" t="s">
        <v>93</v>
      </c>
      <c r="H184" s="469"/>
      <c r="I184" s="1261"/>
    </row>
    <row r="185" spans="1:13" ht="14.55" customHeight="1" x14ac:dyDescent="0.3">
      <c r="A185" s="1258" t="s">
        <v>261</v>
      </c>
      <c r="B185" s="725"/>
      <c r="C185" s="460" t="s">
        <v>93</v>
      </c>
      <c r="D185" s="725"/>
      <c r="E185" s="460" t="s">
        <v>93</v>
      </c>
      <c r="F185" s="725"/>
      <c r="G185" s="460" t="s">
        <v>93</v>
      </c>
      <c r="H185" s="469"/>
      <c r="I185" s="1261"/>
    </row>
    <row r="186" spans="1:13" ht="14.55" customHeight="1" x14ac:dyDescent="0.3">
      <c r="A186" s="1258" t="s">
        <v>262</v>
      </c>
      <c r="B186" s="455">
        <f>B183+2*B204</f>
        <v>19.04</v>
      </c>
      <c r="C186" s="460" t="s">
        <v>93</v>
      </c>
      <c r="D186" s="455">
        <f>D183+2*D204</f>
        <v>0</v>
      </c>
      <c r="E186" s="460" t="s">
        <v>93</v>
      </c>
      <c r="F186" s="455">
        <f>F183+2*F206</f>
        <v>0</v>
      </c>
      <c r="G186" s="460" t="s">
        <v>93</v>
      </c>
      <c r="H186" s="469"/>
      <c r="I186" s="1261"/>
    </row>
    <row r="187" spans="1:13" ht="14.55" customHeight="1" x14ac:dyDescent="0.3">
      <c r="A187" s="1258" t="s">
        <v>263</v>
      </c>
      <c r="B187" s="455">
        <f>B184+2*B204</f>
        <v>19.04</v>
      </c>
      <c r="C187" s="460" t="s">
        <v>93</v>
      </c>
      <c r="D187" s="455">
        <f>D184+2*D204</f>
        <v>0</v>
      </c>
      <c r="E187" s="460" t="s">
        <v>93</v>
      </c>
      <c r="F187" s="455">
        <f>F184+2*F206</f>
        <v>0</v>
      </c>
      <c r="G187" s="460" t="s">
        <v>93</v>
      </c>
      <c r="H187" s="469"/>
      <c r="I187" s="1261"/>
    </row>
    <row r="188" spans="1:13" ht="14.55" customHeight="1" x14ac:dyDescent="0.3">
      <c r="A188" s="1258" t="s">
        <v>264</v>
      </c>
      <c r="B188" s="453">
        <f>(((((1/3*PI()*B185))*((((B186/2)^2)+(((B186/2)*(B187/2)))+((B187/2)^2))))-(((1/3*PI()*B185))*((((B183/2)^2)+(((B183/2)*(B184/2)))+((B184/2)^2)))))*7.86)/1000000</f>
        <v>0</v>
      </c>
      <c r="C188" s="460" t="s">
        <v>222</v>
      </c>
      <c r="D188" s="453">
        <f>(((((1/3*PI()*D185))*((((D186/2)^2)+(((D186/2)*(D187/2)))+((D187/2)^2))))-(((1/3*PI()*D185))*((((D183/2)^2)+(((D183/2)*(D184/2)))+((D184/2)^2)))))*7.86)/1000000</f>
        <v>0</v>
      </c>
      <c r="E188" s="460" t="s">
        <v>222</v>
      </c>
      <c r="F188" s="453">
        <f>(((((1/3*PI()*F185))*((((F186/2)^2)+(((F186/2)*(F187/2)))+((F187/2)^2))))-(((1/3*PI()*F185))*((((F183/2)^2)+(((F183/2)*(F184/2)))+((F184/2)^2)))))*7.86)/1000000</f>
        <v>0</v>
      </c>
      <c r="G188" s="460" t="s">
        <v>222</v>
      </c>
      <c r="H188" s="469"/>
      <c r="I188" s="1261"/>
    </row>
    <row r="189" spans="1:13" ht="14.55" customHeight="1" x14ac:dyDescent="0.3">
      <c r="A189" s="1258" t="s">
        <v>265</v>
      </c>
      <c r="B189" s="453">
        <f>((1/3*PI()*B185))*((((B183/2)^2)+(((B183/2)*(B184/2)))+((B184/2)^2)))/1000000000</f>
        <v>0</v>
      </c>
      <c r="C189" s="460" t="s">
        <v>225</v>
      </c>
      <c r="D189" s="453">
        <f>((1/3*PI()*D185))*((((D183/2)^2)+(((D183/2)*(D184/2)))+((D184/2)^2)))/1000000000</f>
        <v>0</v>
      </c>
      <c r="E189" s="460" t="s">
        <v>225</v>
      </c>
      <c r="F189" s="453">
        <f>((1/3*PI()*F185))*((((F183/2)^2)+(((F183/2)*(F184/2)))+((F184/2)^2)))/1000000000</f>
        <v>0</v>
      </c>
      <c r="G189" s="460" t="s">
        <v>225</v>
      </c>
      <c r="H189" s="469"/>
      <c r="I189" s="1261"/>
    </row>
    <row r="190" spans="1:13" ht="14.55" customHeight="1" x14ac:dyDescent="0.3">
      <c r="A190" s="1258" t="s">
        <v>266</v>
      </c>
      <c r="B190" s="453">
        <f>PI()*(B186+B187)/2*SQRT(B185^2+((B186-B187)/2)^2)/1000000</f>
        <v>0</v>
      </c>
      <c r="C190" s="460" t="s">
        <v>228</v>
      </c>
      <c r="D190" s="453">
        <f>PI()*(D186+D187)/2*SQRT(D185^2+((D186-D187)/2)^2)/1000000</f>
        <v>0</v>
      </c>
      <c r="E190" s="460" t="s">
        <v>228</v>
      </c>
      <c r="F190" s="453">
        <f>PI()*(F186+F187)/2*SQRT(F185^2+((F186-F187)/2)^2)/1000000</f>
        <v>0</v>
      </c>
      <c r="G190" s="460" t="s">
        <v>228</v>
      </c>
      <c r="H190" s="469"/>
      <c r="I190" s="1261"/>
    </row>
    <row r="191" spans="1:13" ht="14.55" customHeight="1" x14ac:dyDescent="0.3">
      <c r="A191" s="1258" t="s">
        <v>267</v>
      </c>
      <c r="B191" s="453">
        <f>B186+2*B210</f>
        <v>219.04</v>
      </c>
      <c r="C191" s="460" t="s">
        <v>93</v>
      </c>
      <c r="D191" s="453">
        <f>D183+2*D210</f>
        <v>0</v>
      </c>
      <c r="E191" s="460" t="s">
        <v>93</v>
      </c>
      <c r="F191" s="453">
        <f>F183+2*F210</f>
        <v>0</v>
      </c>
      <c r="G191" s="460" t="s">
        <v>93</v>
      </c>
      <c r="H191" s="469"/>
      <c r="I191" s="1261"/>
    </row>
    <row r="192" spans="1:13" ht="14.55" customHeight="1" x14ac:dyDescent="0.3">
      <c r="A192" s="1258" t="s">
        <v>268</v>
      </c>
      <c r="B192" s="453">
        <f>B187+2*B210</f>
        <v>219.04</v>
      </c>
      <c r="C192" s="460" t="s">
        <v>93</v>
      </c>
      <c r="D192" s="453">
        <f>D184+2*D210</f>
        <v>0</v>
      </c>
      <c r="E192" s="460" t="s">
        <v>93</v>
      </c>
      <c r="F192" s="453">
        <f>F184+2*F210</f>
        <v>0</v>
      </c>
      <c r="G192" s="460" t="s">
        <v>93</v>
      </c>
      <c r="H192" s="469"/>
      <c r="I192" s="1261"/>
    </row>
    <row r="193" spans="1:9" ht="14.55" customHeight="1" x14ac:dyDescent="0.3">
      <c r="A193" s="1258" t="s">
        <v>269</v>
      </c>
      <c r="B193" s="453">
        <f>PI()*(B191+B192)/2*SQRT(B185^2+((B191-B192)/2)^2)/1000000</f>
        <v>0</v>
      </c>
      <c r="C193" s="460" t="s">
        <v>228</v>
      </c>
      <c r="D193" s="453">
        <f>PI()*(D191+D192)/2*SQRT(D185^2+((D191-D192)/2)^2)/1000000</f>
        <v>0</v>
      </c>
      <c r="E193" s="460" t="s">
        <v>228</v>
      </c>
      <c r="F193" s="453">
        <f>PI()*(F191+F192)/2*SQRT(F185^2+((F191-F192)/2)^2)/1000000</f>
        <v>0</v>
      </c>
      <c r="G193" s="460" t="s">
        <v>228</v>
      </c>
      <c r="H193" s="469"/>
      <c r="I193" s="1261"/>
    </row>
    <row r="194" spans="1:9" ht="14.55" customHeight="1" x14ac:dyDescent="0.3">
      <c r="A194" s="1258"/>
      <c r="B194" s="453"/>
      <c r="C194" s="460"/>
      <c r="D194" s="453"/>
      <c r="E194" s="460"/>
      <c r="F194" s="453"/>
      <c r="G194" s="460"/>
      <c r="H194" s="460"/>
      <c r="I194" s="1259"/>
    </row>
    <row r="195" spans="1:9" ht="14.55" customHeight="1" x14ac:dyDescent="0.3">
      <c r="A195" s="1258" t="s">
        <v>270</v>
      </c>
      <c r="B195" s="725">
        <v>9.52</v>
      </c>
      <c r="C195" s="460" t="s">
        <v>93</v>
      </c>
      <c r="D195" s="725"/>
      <c r="E195" s="460" t="s">
        <v>93</v>
      </c>
      <c r="F195" s="725"/>
      <c r="G195" s="460" t="s">
        <v>93</v>
      </c>
      <c r="H195" s="460"/>
      <c r="I195" s="1259"/>
    </row>
    <row r="196" spans="1:9" ht="14.55" customHeight="1" x14ac:dyDescent="0.3">
      <c r="A196" s="1258" t="s">
        <v>271</v>
      </c>
      <c r="B196" s="453">
        <f>((D144/10)*B161/2)/(IF(B139="div.1",B152,B155)-0.5*D144/10)</f>
        <v>4.3382997370727434</v>
      </c>
      <c r="C196" s="460" t="s">
        <v>93</v>
      </c>
      <c r="D196" s="453">
        <f>((D144/10)*D161/2)/(IF(B139="div.1",B152,B155)-0.5*D144/10)</f>
        <v>0</v>
      </c>
      <c r="E196" s="460" t="s">
        <v>93</v>
      </c>
      <c r="F196" s="453" t="e">
        <f>((D144/10)*F161/2)/(IF(B139="div.1",F152,F155)-0.5*D144/10)</f>
        <v>#N/A</v>
      </c>
      <c r="G196" s="460" t="s">
        <v>93</v>
      </c>
      <c r="H196" s="460"/>
      <c r="I196" s="1259"/>
    </row>
    <row r="197" spans="1:9" ht="14.55" customHeight="1" x14ac:dyDescent="0.3">
      <c r="A197" s="1258" t="s">
        <v>272</v>
      </c>
      <c r="B197" s="453">
        <f>B171/2*(EXP(D144/(10*IF(B139="div.1",B153,B156)))-1)</f>
        <v>4.3382104704458913</v>
      </c>
      <c r="C197" s="460" t="s">
        <v>93</v>
      </c>
      <c r="D197" s="453">
        <f>D171/2*(EXP(D144/(10*IF(B139="div.1",B153,B156)))-1)</f>
        <v>0</v>
      </c>
      <c r="E197" s="460" t="s">
        <v>93</v>
      </c>
      <c r="F197" s="453" t="e">
        <f>F171/2*(EXP(D144/(10*IF(B139="div.1",F153,F156)))-1)</f>
        <v>#N/A</v>
      </c>
      <c r="G197" s="460" t="s">
        <v>93</v>
      </c>
      <c r="H197" s="460"/>
      <c r="I197" s="1259"/>
    </row>
    <row r="198" spans="1:9" ht="14.55" customHeight="1" x14ac:dyDescent="0.3">
      <c r="A198" s="1258" t="s">
        <v>273</v>
      </c>
      <c r="B198" s="453">
        <f>B183/2*(EXP(D144/(10*IF(B139="div.1",B153,B156)))-1)</f>
        <v>0</v>
      </c>
      <c r="C198" s="460" t="s">
        <v>93</v>
      </c>
      <c r="D198" s="453">
        <f>D183/2*(EXP(D144/(10*IF(B139="div.1",B153,B156)))-1)</f>
        <v>0</v>
      </c>
      <c r="E198" s="460" t="s">
        <v>93</v>
      </c>
      <c r="F198" s="453" t="e">
        <f>F183/2*(EXP(D144/(10*IF(B139="div.1",F153,F156)))-1)</f>
        <v>#N/A</v>
      </c>
      <c r="G198" s="460" t="s">
        <v>93</v>
      </c>
      <c r="H198" s="460"/>
      <c r="I198" s="1259"/>
    </row>
    <row r="199" spans="1:9" ht="14.55" customHeight="1" x14ac:dyDescent="0.3">
      <c r="A199" s="1258" t="s">
        <v>274</v>
      </c>
      <c r="B199" s="725">
        <v>0</v>
      </c>
      <c r="C199" s="460" t="s">
        <v>93</v>
      </c>
      <c r="D199" s="725"/>
      <c r="E199" s="460" t="s">
        <v>93</v>
      </c>
      <c r="F199" s="725"/>
      <c r="G199" s="460" t="s">
        <v>93</v>
      </c>
      <c r="H199" s="460"/>
      <c r="I199" s="1259"/>
    </row>
    <row r="200" spans="1:9" ht="14.55" customHeight="1" x14ac:dyDescent="0.3">
      <c r="A200" s="1258" t="s">
        <v>275</v>
      </c>
      <c r="B200" s="725">
        <v>0</v>
      </c>
      <c r="C200" s="460" t="s">
        <v>93</v>
      </c>
      <c r="D200" s="725"/>
      <c r="E200" s="460" t="s">
        <v>93</v>
      </c>
      <c r="F200" s="725"/>
      <c r="G200" s="460" t="s">
        <v>93</v>
      </c>
      <c r="H200" s="460"/>
      <c r="I200" s="1259"/>
    </row>
    <row r="201" spans="1:9" ht="14.55" customHeight="1" x14ac:dyDescent="0.3">
      <c r="A201" s="1258" t="s">
        <v>276</v>
      </c>
      <c r="B201" s="725">
        <v>0</v>
      </c>
      <c r="C201" s="460" t="s">
        <v>93</v>
      </c>
      <c r="D201" s="725"/>
      <c r="E201" s="460" t="s">
        <v>93</v>
      </c>
      <c r="F201" s="725"/>
      <c r="G201" s="460" t="s">
        <v>93</v>
      </c>
      <c r="H201" s="460"/>
      <c r="I201" s="1259"/>
    </row>
    <row r="202" spans="1:9" ht="14.55" customHeight="1" x14ac:dyDescent="0.3">
      <c r="A202" s="1258" t="s">
        <v>277</v>
      </c>
      <c r="B202" s="453">
        <f>IF((CEILING(B196,1)+B199)&lt;B195,B195,CEILING(B196,1)+B199)</f>
        <v>9.52</v>
      </c>
      <c r="C202" s="460" t="s">
        <v>93</v>
      </c>
      <c r="D202" s="453">
        <f>IF((CEILING(D196,1)+D199)&lt;D195,D195,CEILING(D196,1)+D199)</f>
        <v>0</v>
      </c>
      <c r="E202" s="460" t="s">
        <v>93</v>
      </c>
      <c r="F202" s="453" t="e">
        <f>IF((CEILING(F196,1)+F199)&lt;F195,F195,CEILING(F196,1)+F199)</f>
        <v>#N/A</v>
      </c>
      <c r="G202" s="460" t="s">
        <v>93</v>
      </c>
      <c r="H202" s="460"/>
      <c r="I202" s="1259"/>
    </row>
    <row r="203" spans="1:9" ht="14.55" customHeight="1" x14ac:dyDescent="0.3">
      <c r="A203" s="1258" t="s">
        <v>278</v>
      </c>
      <c r="B203" s="453">
        <f>IF((CEILING(B197,1)+B200)&lt;=B195,B195,CEILING(B197,1)+B200)</f>
        <v>9.52</v>
      </c>
      <c r="C203" s="460" t="s">
        <v>93</v>
      </c>
      <c r="D203" s="453">
        <f>IF((CEILING(D197,1)+D200)&lt;=D195,D195,CEILING(D197,1)+D200)</f>
        <v>0</v>
      </c>
      <c r="E203" s="460" t="s">
        <v>93</v>
      </c>
      <c r="F203" s="453" t="e">
        <f>IF((CEILING(F197,1)+F200)&lt;=F195,F195,CEILING(F197,1)+F200)</f>
        <v>#N/A</v>
      </c>
      <c r="G203" s="460" t="s">
        <v>93</v>
      </c>
      <c r="H203" s="460"/>
      <c r="I203" s="1259"/>
    </row>
    <row r="204" spans="1:9" ht="14.55" customHeight="1" x14ac:dyDescent="0.3">
      <c r="A204" s="1258" t="s">
        <v>279</v>
      </c>
      <c r="B204" s="453">
        <f>IF((CEILING(B198,1)+B201)&lt;=B195,B195,CEILING(B198,1)+B201)</f>
        <v>9.52</v>
      </c>
      <c r="C204" s="460" t="s">
        <v>93</v>
      </c>
      <c r="D204" s="453">
        <f>IF((CEILING(D198,1)+D201)&lt;=D195,D195,CEILING(D198,1)+D201)</f>
        <v>0</v>
      </c>
      <c r="E204" s="460" t="s">
        <v>93</v>
      </c>
      <c r="F204" s="453" t="e">
        <f>IF((CEILING(F198,1)+F201)&lt;=F195,F195,CEILING(F198,1)+F201)</f>
        <v>#N/A</v>
      </c>
      <c r="G204" s="460" t="s">
        <v>93</v>
      </c>
      <c r="H204" s="460"/>
      <c r="I204" s="1259"/>
    </row>
    <row r="205" spans="1:9" ht="14.55" customHeight="1" x14ac:dyDescent="0.3">
      <c r="A205" s="1258" t="s">
        <v>280</v>
      </c>
      <c r="B205" s="453"/>
      <c r="C205" s="460"/>
      <c r="D205" s="453"/>
      <c r="E205" s="460"/>
      <c r="F205" s="726">
        <v>80</v>
      </c>
      <c r="G205" s="460"/>
      <c r="H205" s="460"/>
      <c r="I205" s="1259"/>
    </row>
    <row r="206" spans="1:9" ht="14.55" customHeight="1" x14ac:dyDescent="0.3">
      <c r="A206" s="1258" t="s">
        <v>281</v>
      </c>
      <c r="B206" s="453"/>
      <c r="C206" s="460"/>
      <c r="D206" s="453"/>
      <c r="E206" s="460"/>
      <c r="F206" s="460">
        <f>IFERROR(VLOOKUP(F160,'Thickness Tab'!$1:$1048576,MATCH(F205,'Thickness Tab'!$1:$1,0),0),0)</f>
        <v>0</v>
      </c>
      <c r="G206" s="460" t="s">
        <v>93</v>
      </c>
      <c r="H206" s="460"/>
      <c r="I206" s="1259"/>
    </row>
    <row r="207" spans="1:9" ht="14.55" customHeight="1" x14ac:dyDescent="0.3">
      <c r="A207" s="1258"/>
      <c r="B207" s="464"/>
      <c r="C207" s="460"/>
      <c r="D207" s="460"/>
      <c r="E207" s="460"/>
      <c r="F207" s="460"/>
      <c r="G207" s="460"/>
      <c r="H207" s="460"/>
      <c r="I207" s="1259"/>
    </row>
    <row r="208" spans="1:9" ht="14.55" customHeight="1" x14ac:dyDescent="0.3">
      <c r="A208" s="1258" t="s">
        <v>282</v>
      </c>
      <c r="B208" s="725">
        <v>100</v>
      </c>
      <c r="C208" s="460" t="s">
        <v>93</v>
      </c>
      <c r="D208" s="725">
        <v>0</v>
      </c>
      <c r="E208" s="460" t="s">
        <v>93</v>
      </c>
      <c r="F208" s="725">
        <v>0</v>
      </c>
      <c r="G208" s="460" t="s">
        <v>93</v>
      </c>
      <c r="H208" s="460"/>
      <c r="I208" s="1259"/>
    </row>
    <row r="209" spans="1:9" ht="14.55" customHeight="1" x14ac:dyDescent="0.3">
      <c r="A209" s="1258" t="s">
        <v>283</v>
      </c>
      <c r="B209" s="725">
        <v>100</v>
      </c>
      <c r="C209" s="460" t="s">
        <v>93</v>
      </c>
      <c r="D209" s="725">
        <v>0</v>
      </c>
      <c r="E209" s="460" t="s">
        <v>93</v>
      </c>
      <c r="F209" s="725">
        <v>0</v>
      </c>
      <c r="G209" s="460" t="s">
        <v>93</v>
      </c>
      <c r="H209" s="460"/>
      <c r="I209" s="1259"/>
    </row>
    <row r="210" spans="1:9" ht="14.55" customHeight="1" x14ac:dyDescent="0.3">
      <c r="A210" s="1258" t="s">
        <v>284</v>
      </c>
      <c r="B210" s="725">
        <v>100</v>
      </c>
      <c r="C210" s="460" t="s">
        <v>93</v>
      </c>
      <c r="D210" s="725">
        <v>0</v>
      </c>
      <c r="E210" s="460" t="s">
        <v>93</v>
      </c>
      <c r="F210" s="725">
        <v>0</v>
      </c>
      <c r="G210" s="460" t="s">
        <v>93</v>
      </c>
      <c r="H210" s="460"/>
      <c r="I210" s="1259"/>
    </row>
    <row r="211" spans="1:9" ht="14.55" customHeight="1" x14ac:dyDescent="0.3">
      <c r="A211" s="1258"/>
      <c r="B211" s="464"/>
      <c r="C211" s="460"/>
      <c r="D211" s="460"/>
      <c r="E211" s="460"/>
      <c r="F211" s="460"/>
      <c r="G211" s="460"/>
      <c r="H211" s="460"/>
      <c r="I211" s="1259"/>
    </row>
    <row r="212" spans="1:9" ht="14.55" customHeight="1" x14ac:dyDescent="0.3">
      <c r="A212" s="1260" t="s">
        <v>285</v>
      </c>
      <c r="B212" s="470" t="str">
        <f>IF(B140="Horizontal","No Skirt","")</f>
        <v/>
      </c>
      <c r="C212" s="460"/>
      <c r="D212" s="471"/>
      <c r="E212" s="471" t="s">
        <v>286</v>
      </c>
      <c r="F212" s="460"/>
      <c r="G212" s="469"/>
      <c r="H212" s="469"/>
      <c r="I212" s="1261"/>
    </row>
    <row r="213" spans="1:9" ht="14.55" customHeight="1" x14ac:dyDescent="0.3">
      <c r="A213" s="1258" t="s">
        <v>287</v>
      </c>
      <c r="B213" s="722">
        <v>8</v>
      </c>
      <c r="C213" s="456" t="s">
        <v>93</v>
      </c>
      <c r="D213" s="472"/>
      <c r="E213" s="472" t="s">
        <v>288</v>
      </c>
      <c r="F213" s="725"/>
      <c r="G213" s="460" t="s">
        <v>93</v>
      </c>
      <c r="H213" s="469"/>
      <c r="I213" s="1261"/>
    </row>
    <row r="214" spans="1:9" ht="14.55" customHeight="1" x14ac:dyDescent="0.3">
      <c r="A214" s="1258" t="s">
        <v>289</v>
      </c>
      <c r="B214" s="722">
        <v>1500</v>
      </c>
      <c r="C214" s="456" t="s">
        <v>93</v>
      </c>
      <c r="D214" s="472"/>
      <c r="E214" s="472" t="s">
        <v>290</v>
      </c>
      <c r="F214" s="725"/>
      <c r="G214" s="460" t="s">
        <v>93</v>
      </c>
      <c r="H214" s="469"/>
      <c r="I214" s="1261"/>
    </row>
    <row r="215" spans="1:9" ht="14.55" customHeight="1" x14ac:dyDescent="0.3">
      <c r="A215" s="1258" t="s">
        <v>291</v>
      </c>
      <c r="B215" s="722">
        <v>500</v>
      </c>
      <c r="C215" s="456" t="s">
        <v>93</v>
      </c>
      <c r="D215" s="472"/>
      <c r="E215" s="472" t="s">
        <v>292</v>
      </c>
      <c r="F215" s="725"/>
      <c r="G215" s="460"/>
      <c r="H215" s="469"/>
      <c r="I215" s="1261"/>
    </row>
    <row r="216" spans="1:9" ht="14.55" customHeight="1" x14ac:dyDescent="0.3">
      <c r="A216" s="1258" t="s">
        <v>293</v>
      </c>
      <c r="B216" s="722">
        <v>600</v>
      </c>
      <c r="C216" s="456" t="s">
        <v>93</v>
      </c>
      <c r="D216" s="472"/>
      <c r="E216" s="472" t="s">
        <v>184</v>
      </c>
      <c r="F216" s="457">
        <f>(PI()*F213^2)/4*F214*(7800/1000000000)</f>
        <v>0</v>
      </c>
      <c r="G216" s="460" t="s">
        <v>222</v>
      </c>
      <c r="H216" s="460"/>
      <c r="I216" s="1259"/>
    </row>
    <row r="217" spans="1:9" ht="14.55" customHeight="1" x14ac:dyDescent="0.3">
      <c r="A217" s="1258" t="s">
        <v>294</v>
      </c>
      <c r="B217" s="722">
        <v>6</v>
      </c>
      <c r="C217" s="456" t="s">
        <v>93</v>
      </c>
      <c r="D217" s="460"/>
      <c r="E217" s="460"/>
      <c r="F217" s="460"/>
      <c r="G217" s="460"/>
      <c r="H217" s="460"/>
      <c r="I217" s="1259"/>
    </row>
    <row r="218" spans="1:9" ht="14.55" customHeight="1" x14ac:dyDescent="0.3">
      <c r="A218" s="1258"/>
      <c r="B218" s="407"/>
      <c r="C218" s="460"/>
      <c r="D218" s="460"/>
      <c r="E218" s="460"/>
      <c r="F218" s="460"/>
      <c r="G218" s="460"/>
      <c r="H218" s="460"/>
      <c r="I218" s="1259"/>
    </row>
    <row r="219" spans="1:9" ht="14.55" customHeight="1" x14ac:dyDescent="0.3">
      <c r="A219" s="1262" t="s">
        <v>295</v>
      </c>
      <c r="B219" s="480"/>
      <c r="C219" s="59"/>
      <c r="D219" s="59"/>
      <c r="E219" s="59"/>
      <c r="F219" s="460"/>
      <c r="G219" s="460"/>
      <c r="H219" s="460"/>
      <c r="I219" s="1259"/>
    </row>
    <row r="220" spans="1:9" ht="14.55" customHeight="1" x14ac:dyDescent="0.3">
      <c r="A220" s="1263" t="s">
        <v>296</v>
      </c>
      <c r="B220" s="722"/>
      <c r="C220" s="59" t="s">
        <v>93</v>
      </c>
      <c r="D220" s="59"/>
      <c r="E220" s="59"/>
      <c r="F220" s="460"/>
      <c r="G220" s="460"/>
      <c r="H220" s="460"/>
      <c r="I220" s="1259"/>
    </row>
    <row r="221" spans="1:9" ht="14.55" customHeight="1" x14ac:dyDescent="0.3">
      <c r="A221" s="1263" t="s">
        <v>297</v>
      </c>
      <c r="B221" s="722"/>
      <c r="C221" s="59" t="s">
        <v>93</v>
      </c>
      <c r="D221" s="59"/>
      <c r="E221" s="59"/>
      <c r="F221" s="460"/>
      <c r="G221" s="460"/>
      <c r="H221" s="460"/>
      <c r="I221" s="1259"/>
    </row>
    <row r="222" spans="1:9" ht="14.55" customHeight="1" x14ac:dyDescent="0.3">
      <c r="A222" s="1263" t="s">
        <v>298</v>
      </c>
      <c r="B222" s="480">
        <f>B163</f>
        <v>1900</v>
      </c>
      <c r="C222" s="59" t="s">
        <v>93</v>
      </c>
      <c r="D222" s="59"/>
      <c r="E222" s="59"/>
      <c r="F222" s="460"/>
      <c r="G222" s="460"/>
      <c r="H222" s="460"/>
      <c r="I222" s="1259"/>
    </row>
    <row r="223" spans="1:9" ht="14.55" customHeight="1" x14ac:dyDescent="0.3">
      <c r="A223" s="1263" t="s">
        <v>299</v>
      </c>
      <c r="B223" s="727"/>
      <c r="C223" s="59"/>
      <c r="D223" s="59"/>
      <c r="E223" s="59"/>
      <c r="F223" s="460"/>
      <c r="G223" s="460"/>
      <c r="H223" s="460"/>
      <c r="I223" s="1259"/>
    </row>
    <row r="224" spans="1:9" ht="14.55" customHeight="1" x14ac:dyDescent="0.3">
      <c r="A224" s="1263" t="s">
        <v>300</v>
      </c>
      <c r="B224" s="722"/>
      <c r="C224" s="59" t="s">
        <v>301</v>
      </c>
      <c r="D224" s="59"/>
      <c r="E224" s="59"/>
      <c r="F224" s="460"/>
      <c r="G224" s="460"/>
      <c r="H224" s="460"/>
      <c r="I224" s="1259"/>
    </row>
    <row r="225" spans="1:9" ht="14.55" customHeight="1" x14ac:dyDescent="0.3">
      <c r="A225" s="1263" t="s">
        <v>302</v>
      </c>
      <c r="B225" s="480">
        <f>IF(B223="Straight",B222,B222*2)</f>
        <v>3800</v>
      </c>
      <c r="C225" s="59" t="s">
        <v>93</v>
      </c>
      <c r="D225" s="480"/>
      <c r="E225" s="59"/>
      <c r="F225" s="460"/>
      <c r="G225" s="460"/>
      <c r="H225" s="460"/>
      <c r="I225" s="1259"/>
    </row>
    <row r="226" spans="1:9" ht="14.55" customHeight="1" x14ac:dyDescent="0.3">
      <c r="A226" s="1263" t="s">
        <v>303</v>
      </c>
      <c r="B226" s="480">
        <f>B220*PI()*B225/1000000*B224</f>
        <v>0</v>
      </c>
      <c r="C226" s="59" t="s">
        <v>228</v>
      </c>
      <c r="D226" s="59"/>
      <c r="E226" s="59"/>
      <c r="F226" s="460"/>
      <c r="G226" s="460"/>
      <c r="H226" s="460"/>
      <c r="I226" s="1259"/>
    </row>
    <row r="227" spans="1:9" ht="14.55" customHeight="1" x14ac:dyDescent="0.3">
      <c r="A227" s="1263" t="s">
        <v>304</v>
      </c>
      <c r="B227" s="480">
        <v>7.86</v>
      </c>
      <c r="C227" s="59" t="s">
        <v>305</v>
      </c>
      <c r="D227" s="59"/>
      <c r="E227" s="59"/>
      <c r="F227" s="460"/>
      <c r="G227" s="460"/>
      <c r="H227" s="460"/>
      <c r="I227" s="1259"/>
    </row>
    <row r="228" spans="1:9" ht="14.55" customHeight="1" x14ac:dyDescent="0.3">
      <c r="A228" s="1263" t="s">
        <v>306</v>
      </c>
      <c r="B228" s="480">
        <f>PI()*B221*(B220-B221)*B227/1000</f>
        <v>0</v>
      </c>
      <c r="C228" s="59" t="s">
        <v>307</v>
      </c>
      <c r="D228" s="59"/>
      <c r="E228" s="59"/>
      <c r="F228" s="460"/>
      <c r="G228" s="460"/>
      <c r="H228" s="460"/>
      <c r="I228" s="1259"/>
    </row>
    <row r="229" spans="1:9" ht="14.55" customHeight="1" x14ac:dyDescent="0.3">
      <c r="A229" s="1263" t="s">
        <v>308</v>
      </c>
      <c r="B229" s="480">
        <f>B228*B225*B224/1000</f>
        <v>0</v>
      </c>
      <c r="C229" s="59" t="s">
        <v>222</v>
      </c>
      <c r="D229" s="59"/>
      <c r="E229" s="59"/>
      <c r="F229" s="460"/>
      <c r="G229" s="460"/>
      <c r="H229" s="460"/>
      <c r="I229" s="1259"/>
    </row>
    <row r="230" spans="1:9" ht="14.55" customHeight="1" x14ac:dyDescent="0.3">
      <c r="A230" s="1263"/>
      <c r="B230" s="480"/>
      <c r="C230" s="59"/>
      <c r="D230" s="59"/>
      <c r="E230" s="59"/>
      <c r="F230" s="460"/>
      <c r="G230" s="460"/>
      <c r="H230" s="460"/>
      <c r="I230" s="1259"/>
    </row>
    <row r="231" spans="1:9" ht="14.55" customHeight="1" x14ac:dyDescent="0.3">
      <c r="A231" s="1262" t="s">
        <v>309</v>
      </c>
      <c r="B231" s="480"/>
      <c r="C231" s="59"/>
      <c r="D231" s="59"/>
      <c r="E231" s="59"/>
      <c r="F231" s="460"/>
      <c r="G231" s="460"/>
      <c r="H231" s="460"/>
      <c r="I231" s="1259"/>
    </row>
    <row r="232" spans="1:9" ht="14.55" customHeight="1" x14ac:dyDescent="0.3">
      <c r="A232" s="1263" t="s">
        <v>310</v>
      </c>
      <c r="B232" s="480">
        <f>B161</f>
        <v>550</v>
      </c>
      <c r="C232" s="59" t="s">
        <v>93</v>
      </c>
      <c r="D232" s="59"/>
      <c r="E232" s="59"/>
      <c r="F232" s="460"/>
      <c r="G232" s="460"/>
      <c r="H232" s="460"/>
      <c r="I232" s="1259"/>
    </row>
    <row r="233" spans="1:9" ht="14.55" customHeight="1" x14ac:dyDescent="0.3">
      <c r="A233" s="1263" t="s">
        <v>297</v>
      </c>
      <c r="B233" s="480">
        <v>15</v>
      </c>
      <c r="C233" s="59" t="s">
        <v>93</v>
      </c>
      <c r="D233" s="59"/>
      <c r="E233" s="59"/>
      <c r="F233" s="460"/>
      <c r="G233" s="460"/>
      <c r="H233" s="460"/>
      <c r="I233" s="1259"/>
    </row>
    <row r="234" spans="1:9" ht="14.55" customHeight="1" x14ac:dyDescent="0.3">
      <c r="A234" s="1263" t="s">
        <v>311</v>
      </c>
      <c r="B234" s="480">
        <f>B232^2*PI()/4/1000000</f>
        <v>0.23758294442772809</v>
      </c>
      <c r="C234" s="59" t="s">
        <v>228</v>
      </c>
      <c r="D234" s="59"/>
      <c r="E234" s="59"/>
      <c r="F234" s="460"/>
      <c r="G234" s="460"/>
      <c r="H234" s="460"/>
      <c r="I234" s="1259"/>
    </row>
    <row r="235" spans="1:9" ht="14.55" customHeight="1" x14ac:dyDescent="0.3">
      <c r="A235" s="1263" t="s">
        <v>312</v>
      </c>
      <c r="B235" s="480">
        <f>B234*B233/1000*B227*2/1000</f>
        <v>5.6022058296058281E-5</v>
      </c>
      <c r="C235" s="59" t="s">
        <v>222</v>
      </c>
      <c r="D235" s="59"/>
      <c r="E235" s="59"/>
      <c r="F235" s="460"/>
      <c r="G235" s="460"/>
      <c r="H235" s="460"/>
      <c r="I235" s="1259"/>
    </row>
    <row r="236" spans="1:9" ht="14.55" customHeight="1" x14ac:dyDescent="0.3">
      <c r="A236" s="1263"/>
      <c r="B236" s="480"/>
      <c r="C236" s="59"/>
      <c r="D236" s="59"/>
      <c r="E236" s="59"/>
      <c r="F236" s="460"/>
      <c r="G236" s="460"/>
      <c r="H236" s="460"/>
      <c r="I236" s="1259"/>
    </row>
    <row r="237" spans="1:9" ht="14.55" customHeight="1" x14ac:dyDescent="0.3">
      <c r="A237" s="1263" t="s">
        <v>313</v>
      </c>
      <c r="B237" s="480">
        <f>B229+B235*2</f>
        <v>1.1204411659211656E-4</v>
      </c>
      <c r="C237" s="59" t="s">
        <v>222</v>
      </c>
      <c r="D237" s="59"/>
      <c r="E237" s="59"/>
      <c r="F237" s="460"/>
      <c r="G237" s="460"/>
      <c r="H237" s="460"/>
      <c r="I237" s="1259"/>
    </row>
    <row r="238" spans="1:9" ht="14.55" customHeight="1" x14ac:dyDescent="0.3">
      <c r="A238" s="1263"/>
      <c r="B238" s="480"/>
      <c r="C238" s="59"/>
      <c r="D238" s="59"/>
      <c r="E238" s="59"/>
      <c r="F238" s="460"/>
      <c r="G238" s="460"/>
      <c r="H238" s="460"/>
      <c r="I238" s="1259"/>
    </row>
    <row r="239" spans="1:9" ht="14.55" customHeight="1" x14ac:dyDescent="0.3">
      <c r="A239" s="1260" t="s">
        <v>314</v>
      </c>
      <c r="B239" s="460"/>
      <c r="C239" s="460"/>
      <c r="D239" s="463" t="s">
        <v>315</v>
      </c>
      <c r="E239" s="460"/>
      <c r="F239" s="460"/>
      <c r="G239" s="471" t="s">
        <v>316</v>
      </c>
      <c r="H239" s="453"/>
      <c r="I239" s="1259"/>
    </row>
    <row r="240" spans="1:9" ht="14.55" customHeight="1" x14ac:dyDescent="0.3">
      <c r="A240" s="1258" t="s">
        <v>189</v>
      </c>
      <c r="B240" s="468">
        <f>SUM(B164,D164,F164)</f>
        <v>262.40244786193284</v>
      </c>
      <c r="C240" s="460" t="s">
        <v>222</v>
      </c>
      <c r="D240" s="472" t="s">
        <v>189</v>
      </c>
      <c r="E240" s="468">
        <f>SUM(B166,D166,F166)</f>
        <v>3.3948926399999997</v>
      </c>
      <c r="F240" s="460" t="s">
        <v>228</v>
      </c>
      <c r="G240" s="472" t="s">
        <v>189</v>
      </c>
      <c r="H240" s="453">
        <f>SUM(B168,D168,F168)</f>
        <v>4.5880926400000002</v>
      </c>
      <c r="I240" s="1259" t="s">
        <v>228</v>
      </c>
    </row>
    <row r="241" spans="1:9" ht="14.55" customHeight="1" x14ac:dyDescent="0.3">
      <c r="A241" s="1258" t="s">
        <v>317</v>
      </c>
      <c r="B241" s="468">
        <f>SUM(B174*B176,D174*D176,F174*F176)</f>
        <v>27.384213182591701</v>
      </c>
      <c r="C241" s="460" t="s">
        <v>222</v>
      </c>
      <c r="D241" s="472" t="s">
        <v>317</v>
      </c>
      <c r="E241" s="468">
        <f>SUM(B174*B178,D174*D178,F174*F178)</f>
        <v>0.70088451945600005</v>
      </c>
      <c r="F241" s="460" t="s">
        <v>228</v>
      </c>
      <c r="G241" s="472" t="s">
        <v>317</v>
      </c>
      <c r="H241" s="453">
        <f>SUM(B174*B180,D174*D180,F174*F180)</f>
        <v>1.0679630794560002</v>
      </c>
      <c r="I241" s="1259" t="s">
        <v>228</v>
      </c>
    </row>
    <row r="242" spans="1:9" ht="14.55" customHeight="1" x14ac:dyDescent="0.3">
      <c r="A242" s="1258" t="s">
        <v>318</v>
      </c>
      <c r="B242" s="468">
        <f>SUM(B188,D188,F188)</f>
        <v>0</v>
      </c>
      <c r="C242" s="460" t="s">
        <v>222</v>
      </c>
      <c r="D242" s="472" t="s">
        <v>318</v>
      </c>
      <c r="E242" s="468">
        <f>SUM(B190,D190,F190)</f>
        <v>0</v>
      </c>
      <c r="F242" s="460" t="s">
        <v>228</v>
      </c>
      <c r="G242" s="472" t="s">
        <v>318</v>
      </c>
      <c r="H242" s="453">
        <f>SUM(B193,D193,F193)</f>
        <v>0</v>
      </c>
      <c r="I242" s="1259" t="s">
        <v>228</v>
      </c>
    </row>
    <row r="243" spans="1:9" ht="14.55" customHeight="1" x14ac:dyDescent="0.3">
      <c r="A243" s="1258" t="s">
        <v>319</v>
      </c>
      <c r="B243" s="468">
        <f>SUMPRODUCT(F260:F271,H260:H271)</f>
        <v>443</v>
      </c>
      <c r="C243" s="460" t="s">
        <v>222</v>
      </c>
      <c r="D243" s="472" t="s">
        <v>319</v>
      </c>
      <c r="E243" s="468">
        <f>SUMPRODUCT(F260:F271,I260:I271)</f>
        <v>1.8226170633764731</v>
      </c>
      <c r="F243" s="460" t="s">
        <v>228</v>
      </c>
      <c r="G243" s="460"/>
      <c r="H243" s="453"/>
      <c r="I243" s="1259"/>
    </row>
    <row r="244" spans="1:9" ht="14.55" customHeight="1" x14ac:dyDescent="0.3">
      <c r="A244" s="1258" t="s">
        <v>320</v>
      </c>
      <c r="B244" s="468">
        <f>IF(B140="Horizontal",0,(PI()*B214*(((B162/2)^2)-(((B162-2*B213)/2)^2))*7860)/1000000000)</f>
        <v>166.24457830834032</v>
      </c>
      <c r="C244" s="460" t="s">
        <v>222</v>
      </c>
      <c r="D244" s="472" t="s">
        <v>320</v>
      </c>
      <c r="E244" s="468">
        <f>IF(B140="Horizontal",0,((B162*B214*PI())+((B162-2*B213)*B214*PI()))/1000000)</f>
        <v>5.2876774271100526</v>
      </c>
      <c r="F244" s="460" t="s">
        <v>228</v>
      </c>
      <c r="G244" s="471" t="s">
        <v>321</v>
      </c>
      <c r="H244" s="453"/>
      <c r="I244" s="1259"/>
    </row>
    <row r="245" spans="1:9" ht="14.55" customHeight="1" x14ac:dyDescent="0.3">
      <c r="A245" s="1258" t="s">
        <v>322</v>
      </c>
      <c r="B245" s="468">
        <f>IF(B140="Horizontal",0,(PI()*B217*(((B216/2)^2)-((B215/2)^2))*7860)/1000000000)</f>
        <v>4.0743315124406028</v>
      </c>
      <c r="C245" s="460" t="s">
        <v>222</v>
      </c>
      <c r="D245" s="472" t="s">
        <v>322</v>
      </c>
      <c r="E245" s="468">
        <f>IF(B140="Horizontal",0,((B216*3.14*B217)+(B215*3.14*B217)+(((((B216/2)^2)*3.14)-(((B215/2)^2)*3.14))*2))/1000000)</f>
        <v>0.19342400000000001</v>
      </c>
      <c r="F245" s="460" t="s">
        <v>228</v>
      </c>
      <c r="G245" s="472" t="s">
        <v>189</v>
      </c>
      <c r="H245" s="453">
        <f>SUM(B165,D165,F165)</f>
        <v>0.45140759441268336</v>
      </c>
      <c r="I245" s="1259" t="s">
        <v>225</v>
      </c>
    </row>
    <row r="246" spans="1:9" ht="14.55" customHeight="1" x14ac:dyDescent="0.3">
      <c r="A246" s="1258" t="s">
        <v>323</v>
      </c>
      <c r="B246" s="468">
        <f>IF(B140="Horizontal",VLOOKUP(B162,List!$AR:$AS,2,1)*2,0)</f>
        <v>0</v>
      </c>
      <c r="C246" s="460" t="s">
        <v>222</v>
      </c>
      <c r="D246" s="472" t="s">
        <v>323</v>
      </c>
      <c r="E246" s="725"/>
      <c r="F246" s="460" t="s">
        <v>228</v>
      </c>
      <c r="G246" s="472" t="s">
        <v>317</v>
      </c>
      <c r="H246" s="453">
        <f>SUM(B174*B177+D174*D177+F174*F177)</f>
        <v>2.1795124999999999E-2</v>
      </c>
      <c r="I246" s="1259" t="s">
        <v>225</v>
      </c>
    </row>
    <row r="247" spans="1:9" ht="14.55" customHeight="1" x14ac:dyDescent="0.3">
      <c r="A247" s="1258" t="s">
        <v>324</v>
      </c>
      <c r="B247" s="468">
        <f>F216*F215</f>
        <v>0</v>
      </c>
      <c r="C247" s="460" t="s">
        <v>222</v>
      </c>
      <c r="D247" s="460"/>
      <c r="E247" s="460"/>
      <c r="F247" s="460"/>
      <c r="G247" s="472" t="s">
        <v>318</v>
      </c>
      <c r="H247" s="453">
        <f>SUM(B189,D189,F189)</f>
        <v>0</v>
      </c>
      <c r="I247" s="1259" t="s">
        <v>225</v>
      </c>
    </row>
    <row r="248" spans="1:9" ht="14.55" customHeight="1" x14ac:dyDescent="0.3">
      <c r="A248" s="1258" t="s">
        <v>325</v>
      </c>
      <c r="B248" s="468">
        <f>B237</f>
        <v>1.1204411659211656E-4</v>
      </c>
      <c r="C248" s="460" t="s">
        <v>222</v>
      </c>
      <c r="D248" s="460"/>
      <c r="E248" s="460"/>
      <c r="F248" s="460"/>
      <c r="G248" s="472"/>
      <c r="H248" s="453"/>
      <c r="I248" s="1259"/>
    </row>
    <row r="249" spans="1:9" ht="14.55" customHeight="1" x14ac:dyDescent="0.3">
      <c r="A249" s="1258" t="s">
        <v>326</v>
      </c>
      <c r="B249" s="725">
        <v>50</v>
      </c>
      <c r="C249" s="460" t="s">
        <v>222</v>
      </c>
      <c r="D249" s="460"/>
      <c r="E249" s="460"/>
      <c r="F249" s="460"/>
      <c r="G249" s="460"/>
      <c r="H249" s="460"/>
      <c r="I249" s="1259"/>
    </row>
    <row r="250" spans="1:9" ht="14.55" customHeight="1" x14ac:dyDescent="0.3">
      <c r="A250" s="1264"/>
      <c r="B250" s="460"/>
      <c r="C250" s="460"/>
      <c r="D250" s="460"/>
      <c r="E250" s="460"/>
      <c r="F250" s="460"/>
      <c r="G250" s="460"/>
      <c r="H250" s="460"/>
      <c r="I250" s="1259"/>
    </row>
    <row r="251" spans="1:9" ht="14.55" customHeight="1" x14ac:dyDescent="0.3">
      <c r="A251" s="1258" t="s">
        <v>327</v>
      </c>
      <c r="B251" s="453">
        <f>SUM(E240:E246)</f>
        <v>11.399495649942526</v>
      </c>
      <c r="C251" s="460" t="s">
        <v>228</v>
      </c>
      <c r="D251" s="460"/>
      <c r="E251" s="460"/>
      <c r="F251" s="460"/>
      <c r="G251" s="460"/>
      <c r="H251" s="460"/>
      <c r="I251" s="1259"/>
    </row>
    <row r="252" spans="1:9" ht="14.55" customHeight="1" x14ac:dyDescent="0.3">
      <c r="A252" s="1258" t="s">
        <v>328</v>
      </c>
      <c r="B252" s="453">
        <f>IF(SUM(E240:E242)=SUM(H240:H242),"Not Insulated",SUM(H240:H242))</f>
        <v>5.6560557194560008</v>
      </c>
      <c r="C252" s="460" t="str">
        <f>IF(B251=SUM(H240:H242),"","m2")</f>
        <v>m2</v>
      </c>
      <c r="D252" s="460"/>
      <c r="E252" s="460"/>
      <c r="F252" s="460"/>
      <c r="G252" s="460"/>
      <c r="H252" s="460"/>
      <c r="I252" s="1259"/>
    </row>
    <row r="253" spans="1:9" ht="14.55" customHeight="1" x14ac:dyDescent="0.3">
      <c r="A253" s="1258" t="s">
        <v>329</v>
      </c>
      <c r="B253" s="453">
        <f>SUM(H245:H247)</f>
        <v>0.47320271941268333</v>
      </c>
      <c r="C253" s="460" t="s">
        <v>225</v>
      </c>
      <c r="D253" s="460"/>
      <c r="E253" s="460"/>
      <c r="F253" s="460"/>
      <c r="G253" s="460"/>
      <c r="H253" s="460"/>
      <c r="I253" s="1259"/>
    </row>
    <row r="254" spans="1:9" ht="14.55" customHeight="1" x14ac:dyDescent="0.3">
      <c r="A254" s="1258" t="s">
        <v>330</v>
      </c>
      <c r="B254" s="453">
        <f>SUM(B240:B249)</f>
        <v>953.10568290942206</v>
      </c>
      <c r="C254" s="460" t="s">
        <v>222</v>
      </c>
      <c r="D254" s="460"/>
      <c r="E254" s="460"/>
      <c r="F254" s="460"/>
      <c r="G254" s="460"/>
      <c r="H254" s="460"/>
      <c r="I254" s="1259"/>
    </row>
    <row r="255" spans="1:9" ht="14.55" customHeight="1" x14ac:dyDescent="0.3">
      <c r="A255" s="1258" t="s">
        <v>331</v>
      </c>
      <c r="B255" s="725">
        <v>975</v>
      </c>
      <c r="C255" s="460" t="s">
        <v>222</v>
      </c>
      <c r="D255" s="460"/>
      <c r="E255" s="460"/>
      <c r="F255" s="460"/>
      <c r="G255" s="460"/>
      <c r="H255" s="460"/>
      <c r="I255" s="1259"/>
    </row>
    <row r="256" spans="1:9" ht="15" customHeight="1" thickBot="1" x14ac:dyDescent="0.35">
      <c r="A256" s="1258"/>
      <c r="B256" s="473"/>
      <c r="C256" s="459"/>
      <c r="D256" s="460"/>
      <c r="E256" s="460"/>
      <c r="F256" s="460"/>
      <c r="G256" s="460"/>
      <c r="H256" s="460"/>
      <c r="I256" s="1259"/>
    </row>
    <row r="257" spans="1:13" ht="15" customHeight="1" thickBot="1" x14ac:dyDescent="0.35">
      <c r="A257" s="474"/>
      <c r="B257" s="1718" t="s">
        <v>332</v>
      </c>
      <c r="C257" s="1718"/>
      <c r="D257" s="1718"/>
      <c r="E257" s="1718"/>
      <c r="F257" s="1718"/>
      <c r="G257" s="475"/>
      <c r="H257" s="475"/>
      <c r="I257" s="476"/>
    </row>
    <row r="258" spans="1:13" ht="14.55" customHeight="1" x14ac:dyDescent="0.3">
      <c r="A258" s="1264"/>
      <c r="B258" s="1719" t="s">
        <v>333</v>
      </c>
      <c r="C258" s="1381" t="s">
        <v>59</v>
      </c>
      <c r="D258" s="1719" t="s">
        <v>114</v>
      </c>
      <c r="E258" s="1719" t="s">
        <v>334</v>
      </c>
      <c r="F258" s="1719" t="s">
        <v>292</v>
      </c>
      <c r="G258" s="1719" t="s">
        <v>335</v>
      </c>
      <c r="H258" s="1381" t="s">
        <v>184</v>
      </c>
      <c r="I258" s="1346" t="s">
        <v>336</v>
      </c>
    </row>
    <row r="259" spans="1:13" ht="14.55" customHeight="1" x14ac:dyDescent="0.3">
      <c r="A259" s="1264"/>
      <c r="B259" s="1720"/>
      <c r="C259" s="1442" t="s">
        <v>214</v>
      </c>
      <c r="D259" s="1720"/>
      <c r="E259" s="1720"/>
      <c r="F259" s="1720"/>
      <c r="G259" s="1720"/>
      <c r="H259" s="1442" t="s">
        <v>222</v>
      </c>
      <c r="I259" s="1443" t="s">
        <v>228</v>
      </c>
    </row>
    <row r="260" spans="1:13" ht="14.55" customHeight="1" x14ac:dyDescent="0.3">
      <c r="A260" s="1264"/>
      <c r="B260" s="1382" t="s">
        <v>337</v>
      </c>
      <c r="C260" s="728">
        <v>6</v>
      </c>
      <c r="D260" s="729">
        <v>300</v>
      </c>
      <c r="E260" s="730" t="s">
        <v>338</v>
      </c>
      <c r="F260" s="730">
        <v>1</v>
      </c>
      <c r="G260" s="730" t="s">
        <v>339</v>
      </c>
      <c r="H260" s="1465">
        <f>IFERROR(VLOOKUP($C260&amp;"F"&amp;$D260,'Flanges Chart'!$1:$1048576,MATCH($E260&amp;"."&amp;H$123,'Flanges Chart'!$1:$1,0),0),"")</f>
        <v>19</v>
      </c>
      <c r="I260" s="1466">
        <f>IFERROR(VLOOKUP($C260&amp;"F"&amp;$D260,'Flanges Chart'!$1:$1048576,MATCH($E260&amp;"."&amp;I$123,'Flanges Chart'!$1:$1,0),0),"")</f>
        <v>0.14845099712899298</v>
      </c>
    </row>
    <row r="261" spans="1:13" ht="14.55" customHeight="1" x14ac:dyDescent="0.3">
      <c r="A261" s="1264"/>
      <c r="B261" s="1467" t="s">
        <v>340</v>
      </c>
      <c r="C261" s="731">
        <v>0.5</v>
      </c>
      <c r="D261" s="729">
        <v>300</v>
      </c>
      <c r="E261" s="729" t="s">
        <v>338</v>
      </c>
      <c r="F261" s="729">
        <v>1</v>
      </c>
      <c r="G261" s="729" t="s">
        <v>358</v>
      </c>
      <c r="H261" s="1465">
        <f>IFERROR(VLOOKUP($C261&amp;"F"&amp;$D261,'Flanges Chart'!$1:$1048576,MATCH($E261&amp;"."&amp;H$123,'Flanges Chart'!$1:$1,0),0),"")</f>
        <v>1.5</v>
      </c>
      <c r="I261" s="1466">
        <f>IFERROR(VLOOKUP($C261&amp;"F"&amp;$D261,'Flanges Chart'!$1:$1048576,MATCH($E261&amp;"."&amp;I$123,'Flanges Chart'!$1:$1,0),0),"")</f>
        <v>1.3855648823465887E-2</v>
      </c>
    </row>
    <row r="262" spans="1:13" ht="14.55" customHeight="1" x14ac:dyDescent="0.3">
      <c r="A262" s="1264"/>
      <c r="B262" s="1467" t="s">
        <v>342</v>
      </c>
      <c r="C262" s="731">
        <v>6</v>
      </c>
      <c r="D262" s="729">
        <v>300</v>
      </c>
      <c r="E262" s="729" t="s">
        <v>338</v>
      </c>
      <c r="F262" s="729">
        <v>1</v>
      </c>
      <c r="G262" s="729" t="s">
        <v>341</v>
      </c>
      <c r="H262" s="1465">
        <f>IFERROR(VLOOKUP($C262&amp;"F"&amp;$D262,'Flanges Chart'!$1:$1048576,MATCH($E262&amp;"."&amp;H$123,'Flanges Chart'!$1:$1,0),0),"")</f>
        <v>19</v>
      </c>
      <c r="I262" s="1466">
        <f>IFERROR(VLOOKUP($C262&amp;"F"&amp;$D262,'Flanges Chart'!$1:$1048576,MATCH($E262&amp;"."&amp;I$123,'Flanges Chart'!$1:$1,0),0),"")</f>
        <v>0.14845099712899298</v>
      </c>
    </row>
    <row r="263" spans="1:13" ht="14.55" customHeight="1" x14ac:dyDescent="0.3">
      <c r="A263" s="1264"/>
      <c r="B263" s="1467" t="s">
        <v>344</v>
      </c>
      <c r="C263" s="731">
        <v>20</v>
      </c>
      <c r="D263" s="729">
        <v>300</v>
      </c>
      <c r="E263" s="729" t="s">
        <v>345</v>
      </c>
      <c r="F263" s="729">
        <v>1</v>
      </c>
      <c r="G263" s="729" t="s">
        <v>346</v>
      </c>
      <c r="H263" s="1465">
        <f>IFERROR(VLOOKUP($C263&amp;"F"&amp;$D263,'Flanges Chart'!$1:$1048576,MATCH($E263&amp;"."&amp;H$123,'Flanges Chart'!$1:$1,0),0),"")</f>
        <v>223</v>
      </c>
      <c r="I263" s="1466">
        <f>IFERROR(VLOOKUP($C263&amp;"F"&amp;$D263,'Flanges Chart'!$1:$1048576,MATCH($E263&amp;"."&amp;I$123,'Flanges Chart'!$1:$1,0),0),"")</f>
        <v>0.62633540035538005</v>
      </c>
    </row>
    <row r="264" spans="1:13" ht="14.55" customHeight="1" x14ac:dyDescent="0.3">
      <c r="A264" s="1264"/>
      <c r="B264" s="1467" t="s">
        <v>347</v>
      </c>
      <c r="C264" s="731">
        <v>1</v>
      </c>
      <c r="D264" s="729">
        <v>300</v>
      </c>
      <c r="E264" s="729" t="s">
        <v>338</v>
      </c>
      <c r="F264" s="729">
        <v>1</v>
      </c>
      <c r="G264" s="729" t="s">
        <v>357</v>
      </c>
      <c r="H264" s="1465">
        <f>IFERROR(VLOOKUP($C264&amp;"F"&amp;$D264,'Flanges Chart'!$1:$1048576,MATCH($E264&amp;"."&amp;H$123,'Flanges Chart'!$1:$1,0),0),"")</f>
        <v>2</v>
      </c>
      <c r="I264" s="1466">
        <f>IFERROR(VLOOKUP($C264&amp;"F"&amp;$D264,'Flanges Chart'!$1:$1048576,MATCH($E264&amp;"."&amp;I$123,'Flanges Chart'!$1:$1,0),0),"")</f>
        <v>2.3576867467027997E-2</v>
      </c>
    </row>
    <row r="265" spans="1:13" ht="14.55" customHeight="1" x14ac:dyDescent="0.3">
      <c r="A265" s="1264"/>
      <c r="B265" s="1467" t="s">
        <v>349</v>
      </c>
      <c r="C265" s="731">
        <v>20</v>
      </c>
      <c r="D265" s="729">
        <v>300</v>
      </c>
      <c r="E265" s="729" t="s">
        <v>338</v>
      </c>
      <c r="F265" s="729">
        <v>1</v>
      </c>
      <c r="G265" s="729" t="s">
        <v>346</v>
      </c>
      <c r="H265" s="1465">
        <f>IFERROR(VLOOKUP($C265&amp;"F"&amp;$D265,'Flanges Chart'!$1:$1048576,MATCH($E265&amp;"."&amp;H$123,'Flanges Chart'!$1:$1,0),0),"")</f>
        <v>171</v>
      </c>
      <c r="I265" s="1466">
        <f>IFERROR(VLOOKUP($C265&amp;"F"&amp;$D265,'Flanges Chart'!$1:$1048576,MATCH($E265&amp;"."&amp;I$123,'Flanges Chart'!$1:$1,0),0),"")</f>
        <v>0.78353441355570608</v>
      </c>
    </row>
    <row r="266" spans="1:13" ht="14.55" customHeight="1" x14ac:dyDescent="0.3">
      <c r="A266" s="1264"/>
      <c r="B266" s="1467" t="s">
        <v>350</v>
      </c>
      <c r="C266" s="731">
        <v>2</v>
      </c>
      <c r="D266" s="729">
        <v>300</v>
      </c>
      <c r="E266" s="729" t="s">
        <v>338</v>
      </c>
      <c r="F266" s="729">
        <v>1</v>
      </c>
      <c r="G266" s="729" t="s">
        <v>1952</v>
      </c>
      <c r="H266" s="1465">
        <f>IFERROR(VLOOKUP($C266&amp;"F"&amp;$D266,'Flanges Chart'!$1:$1048576,MATCH($E266&amp;"."&amp;H$123,'Flanges Chart'!$1:$1,0),0),"")</f>
        <v>4</v>
      </c>
      <c r="I266" s="1466">
        <f>IFERROR(VLOOKUP($C266&amp;"F"&amp;$D266,'Flanges Chart'!$1:$1048576,MATCH($E266&amp;"."&amp;I$123,'Flanges Chart'!$1:$1,0),0),"")</f>
        <v>4.2011042007909116E-2</v>
      </c>
    </row>
    <row r="267" spans="1:13" ht="14.55" customHeight="1" x14ac:dyDescent="0.3">
      <c r="A267" s="1264"/>
      <c r="B267" s="1467" t="s">
        <v>351</v>
      </c>
      <c r="C267" s="731">
        <v>1.5</v>
      </c>
      <c r="D267" s="729">
        <v>300</v>
      </c>
      <c r="E267" s="729" t="s">
        <v>338</v>
      </c>
      <c r="F267" s="729">
        <v>1</v>
      </c>
      <c r="G267" s="729" t="s">
        <v>1958</v>
      </c>
      <c r="H267" s="1465">
        <f>IFERROR(VLOOKUP($C267&amp;"F"&amp;$D267,'Flanges Chart'!$1:$1048576,MATCH($E267&amp;"."&amp;H$123,'Flanges Chart'!$1:$1,0),0),"")</f>
        <v>3.5</v>
      </c>
      <c r="I267" s="1466">
        <f>IFERROR(VLOOKUP($C267&amp;"F"&amp;$D267,'Flanges Chart'!$1:$1048576,MATCH($E267&amp;"."&amp;I$123,'Flanges Chart'!$1:$1,0),0),"")</f>
        <v>3.6401696908997999E-2</v>
      </c>
    </row>
    <row r="268" spans="1:13" ht="14.55" customHeight="1" x14ac:dyDescent="0.3">
      <c r="A268" s="1264"/>
      <c r="B268" s="1467" t="s">
        <v>352</v>
      </c>
      <c r="C268" s="731"/>
      <c r="D268" s="729"/>
      <c r="E268" s="729"/>
      <c r="F268" s="729"/>
      <c r="G268" s="729"/>
      <c r="H268" s="1465" t="str">
        <f>IFERROR(VLOOKUP($C268&amp;"F"&amp;$D268,'Flanges Chart'!$1:$1048576,MATCH($E268&amp;"."&amp;H$123,'Flanges Chart'!$1:$1,0),0),"")</f>
        <v/>
      </c>
      <c r="I268" s="1466" t="str">
        <f>IFERROR(VLOOKUP($C268&amp;"F"&amp;$D268,'Flanges Chart'!$1:$1048576,MATCH($E268&amp;"."&amp;I$123,'Flanges Chart'!$1:$1,0),0),"")</f>
        <v/>
      </c>
    </row>
    <row r="269" spans="1:13" ht="14.55" customHeight="1" x14ac:dyDescent="0.3">
      <c r="A269" s="1264"/>
      <c r="B269" s="1467" t="s">
        <v>353</v>
      </c>
      <c r="C269" s="731"/>
      <c r="D269" s="729"/>
      <c r="E269" s="729"/>
      <c r="F269" s="729"/>
      <c r="G269" s="729"/>
      <c r="H269" s="1465" t="str">
        <f>IFERROR(VLOOKUP($C269&amp;"F"&amp;$D269,'Flanges Chart'!$1:$1048576,MATCH($E269&amp;"."&amp;H$123,'Flanges Chart'!$1:$1,0),0),"")</f>
        <v/>
      </c>
      <c r="I269" s="1466" t="str">
        <f>IFERROR(VLOOKUP($C269&amp;"F"&amp;$D269,'Flanges Chart'!$1:$1048576,MATCH($E269&amp;"."&amp;I$123,'Flanges Chart'!$1:$1,0),0),"")</f>
        <v/>
      </c>
    </row>
    <row r="270" spans="1:13" ht="14.55" customHeight="1" x14ac:dyDescent="0.3">
      <c r="A270" s="1264"/>
      <c r="B270" s="1467" t="s">
        <v>354</v>
      </c>
      <c r="C270" s="731"/>
      <c r="D270" s="729"/>
      <c r="E270" s="729"/>
      <c r="F270" s="729"/>
      <c r="G270" s="729"/>
      <c r="H270" s="1465" t="str">
        <f>IFERROR(VLOOKUP($C270&amp;"F"&amp;$D270,'Flanges Chart'!$1:$1048576,MATCH($E270&amp;"."&amp;H$123,'Flanges Chart'!$1:$1,0),0),"")</f>
        <v/>
      </c>
      <c r="I270" s="1466" t="str">
        <f>IFERROR(VLOOKUP($C270&amp;"F"&amp;$D270,'Flanges Chart'!$1:$1048576,MATCH($E270&amp;"."&amp;I$123,'Flanges Chart'!$1:$1,0),0),"")</f>
        <v/>
      </c>
    </row>
    <row r="271" spans="1:13" ht="15" customHeight="1" thickBot="1" x14ac:dyDescent="0.35">
      <c r="A271" s="1264"/>
      <c r="B271" s="1468" t="s">
        <v>355</v>
      </c>
      <c r="C271" s="732"/>
      <c r="D271" s="733"/>
      <c r="E271" s="733"/>
      <c r="F271" s="733"/>
      <c r="G271" s="733"/>
      <c r="H271" s="1469" t="s">
        <v>356</v>
      </c>
      <c r="I271" s="1470" t="str">
        <f>IFERROR(VLOOKUP($C271&amp;"F"&amp;$D271,'Flanges Chart'!$1:$1048576,MATCH($E271&amp;"."&amp;I$123,'Flanges Chart'!$1:$1,0),0),"")</f>
        <v/>
      </c>
    </row>
    <row r="272" spans="1:13" s="496" customFormat="1" ht="18.600000000000001" thickBot="1" x14ac:dyDescent="0.35">
      <c r="A272" s="493" t="str">
        <f>"POS."&amp;K272&amp;" "&amp;VLOOKUP(K272,'Equip&amp;Mach List'!$1:$1048576,2,0)&amp;" "&amp;VLOOKUP(K272,'Equip&amp;Mach List'!$1:$1048576,3,0)</f>
        <v>POS.3 T-101 A/B Hydrogen dryers</v>
      </c>
      <c r="B272" s="511"/>
      <c r="C272" s="494"/>
      <c r="D272" s="495"/>
      <c r="E272" s="495"/>
      <c r="F272" s="497"/>
      <c r="G272" s="495"/>
      <c r="H272" s="495"/>
      <c r="I272" s="1255" t="str">
        <f>IFERROR("Weight Calc./Selected = "&amp;ROUND(B389,1)&amp;"/"&amp;B390&amp;" kg - Øi ="&amp;IF(B296=0,F296,B296)&amp;" mm"&amp;"T/T ="&amp;IF(B298=0,F298,B298)&amp;" mm - Material "&amp;B283&amp;"        ","")</f>
        <v xml:space="preserve">Weight Calc./Selected = 3417,2/3500 kg - Øi =1150 mmT/T =4650 mm - Material SA-240 Gr.316L        </v>
      </c>
      <c r="K272" s="496">
        <v>3</v>
      </c>
      <c r="M272" s="1254"/>
    </row>
    <row r="273" spans="1:13" ht="14.55" customHeight="1" x14ac:dyDescent="0.3">
      <c r="A273" s="1256"/>
      <c r="B273" s="451"/>
      <c r="C273" s="451"/>
      <c r="D273" s="451"/>
      <c r="E273" s="451"/>
      <c r="F273" s="451"/>
      <c r="G273" s="451"/>
      <c r="H273" s="451"/>
      <c r="I273" s="1257"/>
      <c r="K273" s="477" t="s">
        <v>166</v>
      </c>
      <c r="L273" s="477" t="str">
        <f>K272&amp;"."&amp;K273</f>
        <v>3.Design Code</v>
      </c>
      <c r="M273" s="1252" t="str">
        <f>A274&amp;" "&amp;B274</f>
        <v>ASME VIII div.1</v>
      </c>
    </row>
    <row r="274" spans="1:13" ht="14.55" customHeight="1" x14ac:dyDescent="0.3">
      <c r="A274" s="1258" t="s">
        <v>167</v>
      </c>
      <c r="B274" s="718" t="s">
        <v>168</v>
      </c>
      <c r="C274" s="459"/>
      <c r="D274" s="460"/>
      <c r="E274" s="460"/>
      <c r="F274" s="460"/>
      <c r="G274" s="460"/>
      <c r="H274" s="460"/>
      <c r="I274" s="1259"/>
      <c r="K274" s="477" t="s">
        <v>169</v>
      </c>
      <c r="L274" s="477" t="str">
        <f>K272&amp;"."&amp;K274</f>
        <v>3.Orientation</v>
      </c>
      <c r="M274" s="1252" t="str">
        <f>B275</f>
        <v>Vertical</v>
      </c>
    </row>
    <row r="275" spans="1:13" ht="14.55" customHeight="1" x14ac:dyDescent="0.3">
      <c r="A275" s="1258" t="s">
        <v>170</v>
      </c>
      <c r="B275" s="718" t="s">
        <v>171</v>
      </c>
      <c r="C275" s="459"/>
      <c r="D275" s="460"/>
      <c r="E275" s="460"/>
      <c r="F275" s="461"/>
      <c r="G275" s="460"/>
      <c r="H275" s="460"/>
      <c r="I275" s="1259"/>
      <c r="K275" s="477" t="s">
        <v>172</v>
      </c>
      <c r="L275" s="477" t="str">
        <f>K272&amp;"."&amp;K275</f>
        <v>3.Design Temperature</v>
      </c>
      <c r="M275" s="1252">
        <f>D278</f>
        <v>300</v>
      </c>
    </row>
    <row r="276" spans="1:13" ht="14.55" customHeight="1" x14ac:dyDescent="0.3">
      <c r="A276" s="1258"/>
      <c r="B276" s="459"/>
      <c r="C276" s="459"/>
      <c r="D276" s="460"/>
      <c r="E276" s="460"/>
      <c r="F276" s="462"/>
      <c r="G276" s="460"/>
      <c r="H276" s="460"/>
      <c r="I276" s="1259"/>
      <c r="K276" s="477" t="s">
        <v>173</v>
      </c>
      <c r="L276" s="477" t="str">
        <f>K272&amp;"."&amp;K276</f>
        <v>3.Design Pressure</v>
      </c>
      <c r="M276" s="1252">
        <f>D279</f>
        <v>18</v>
      </c>
    </row>
    <row r="277" spans="1:13" ht="14.55" customHeight="1" x14ac:dyDescent="0.3">
      <c r="A277" s="1260" t="s">
        <v>174</v>
      </c>
      <c r="B277" s="459"/>
      <c r="C277" s="459"/>
      <c r="D277" s="460"/>
      <c r="E277" s="460"/>
      <c r="F277" s="462"/>
      <c r="G277" s="460"/>
      <c r="H277" s="460"/>
      <c r="I277" s="1259"/>
      <c r="K277" s="477" t="s">
        <v>175</v>
      </c>
      <c r="L277" s="477" t="str">
        <f>K272&amp;"."&amp;K277</f>
        <v>3.Material</v>
      </c>
      <c r="M277" s="1252" t="str">
        <f>B283</f>
        <v>SA-240 Gr.316L</v>
      </c>
    </row>
    <row r="278" spans="1:13" ht="14.55" customHeight="1" x14ac:dyDescent="0.3">
      <c r="A278" s="1258" t="s">
        <v>176</v>
      </c>
      <c r="B278" s="719">
        <v>300</v>
      </c>
      <c r="C278" s="720" t="s">
        <v>177</v>
      </c>
      <c r="D278" s="464">
        <f>IF(C278="°C",B278,0)+IF(C278="°F",(B278-32)*5/9,0)</f>
        <v>300</v>
      </c>
      <c r="E278" s="460" t="s">
        <v>177</v>
      </c>
      <c r="F278" s="462"/>
      <c r="G278" s="460"/>
      <c r="H278" s="460"/>
      <c r="I278" s="1259"/>
      <c r="K278" s="477" t="s">
        <v>178</v>
      </c>
      <c r="L278" s="477" t="str">
        <f>K272&amp;"."&amp;K278</f>
        <v>3.Inside Diameter</v>
      </c>
      <c r="M278" s="1252">
        <f>IF(B296=0,F296,B296)</f>
        <v>1150</v>
      </c>
    </row>
    <row r="279" spans="1:13" ht="14.55" customHeight="1" x14ac:dyDescent="0.3">
      <c r="A279" s="1258" t="s">
        <v>179</v>
      </c>
      <c r="B279" s="721">
        <v>18</v>
      </c>
      <c r="C279" s="720" t="s">
        <v>180</v>
      </c>
      <c r="D279" s="452">
        <f>IF(C279="barg",B279,0)+IF(C279="psig",B279*List!$AV$4,0)+IF(C279="MPa",B279*List!$AV$5,0)+IF(C279="N/mm2",B279*List!$AV$6,0)</f>
        <v>18</v>
      </c>
      <c r="E279" s="460" t="s">
        <v>180</v>
      </c>
      <c r="F279" s="460"/>
      <c r="G279" s="460"/>
      <c r="H279" s="460"/>
      <c r="I279" s="1259"/>
      <c r="K279" s="477" t="s">
        <v>181</v>
      </c>
      <c r="L279" s="477" t="str">
        <f>K272&amp;"."&amp;K279</f>
        <v>3.Tan / Tan</v>
      </c>
      <c r="M279" s="1252">
        <f>IF(B298=0,F298,B298)</f>
        <v>4650</v>
      </c>
    </row>
    <row r="280" spans="1:13" ht="14.55" customHeight="1" x14ac:dyDescent="0.3">
      <c r="A280" s="1258" t="s">
        <v>182</v>
      </c>
      <c r="B280" s="721">
        <v>1</v>
      </c>
      <c r="C280" s="720" t="s">
        <v>180</v>
      </c>
      <c r="D280" s="452">
        <f>IF(C280="barg",B280,0)+IF(C280="psig",B280*List!$AV$4,0)+IF(C280="MPa",B280*List!$AV$5,0)+IF(C280="N/mm2",B280*List!$AV$6,0)</f>
        <v>1</v>
      </c>
      <c r="E280" s="460" t="s">
        <v>180</v>
      </c>
      <c r="F280" s="460"/>
      <c r="G280" s="465"/>
      <c r="H280" s="460"/>
      <c r="I280" s="1259"/>
      <c r="K280" s="477" t="s">
        <v>183</v>
      </c>
      <c r="L280" s="477" t="str">
        <f>K272&amp;"."&amp;K280</f>
        <v>3.Thickness</v>
      </c>
      <c r="M280" s="1252">
        <f>IF(B337=0,F341,B337)</f>
        <v>12</v>
      </c>
    </row>
    <row r="281" spans="1:13" ht="14.55" customHeight="1" x14ac:dyDescent="0.3">
      <c r="A281" s="1258"/>
      <c r="B281" s="459"/>
      <c r="C281" s="459"/>
      <c r="D281" s="460"/>
      <c r="E281" s="460"/>
      <c r="F281" s="460"/>
      <c r="G281" s="465"/>
      <c r="H281" s="460"/>
      <c r="I281" s="1259"/>
      <c r="K281" s="477" t="s">
        <v>184</v>
      </c>
      <c r="L281" s="477" t="str">
        <f>K272&amp;"."&amp;K281</f>
        <v>3.Unit Weight</v>
      </c>
      <c r="M281" s="1252">
        <f>B390</f>
        <v>3500</v>
      </c>
    </row>
    <row r="282" spans="1:13" ht="14.55" customHeight="1" x14ac:dyDescent="0.3">
      <c r="A282" s="1260" t="s">
        <v>185</v>
      </c>
      <c r="B282" s="459" t="s">
        <v>186</v>
      </c>
      <c r="C282" s="459"/>
      <c r="D282" s="460"/>
      <c r="E282" s="460"/>
      <c r="F282" s="460" t="s">
        <v>187</v>
      </c>
      <c r="G282" s="465"/>
      <c r="H282" s="460"/>
      <c r="I282" s="1259"/>
      <c r="K282" s="478" t="s">
        <v>188</v>
      </c>
      <c r="L282" s="477" t="str">
        <f>K272&amp;"."&amp;K282</f>
        <v>3.Unit External Surface</v>
      </c>
      <c r="M282" s="1252">
        <f>B386</f>
        <v>40.642243492246003</v>
      </c>
    </row>
    <row r="283" spans="1:13" ht="14.55" customHeight="1" x14ac:dyDescent="0.3">
      <c r="A283" s="1258" t="s">
        <v>189</v>
      </c>
      <c r="B283" s="1716" t="s">
        <v>190</v>
      </c>
      <c r="C283" s="1717"/>
      <c r="D283" s="460"/>
      <c r="E283" s="461"/>
      <c r="F283" s="1716"/>
      <c r="G283" s="1717"/>
      <c r="H283" s="460"/>
      <c r="I283" s="1259"/>
      <c r="K283" s="477" t="s">
        <v>191</v>
      </c>
      <c r="L283" s="477" t="str">
        <f>K272&amp;"."&amp;K283</f>
        <v>3.M1 DN</v>
      </c>
      <c r="M283" s="1252">
        <f>C404</f>
        <v>0</v>
      </c>
    </row>
    <row r="284" spans="1:13" ht="14.55" customHeight="1" x14ac:dyDescent="0.3">
      <c r="A284" s="1258" t="s">
        <v>192</v>
      </c>
      <c r="B284" s="1716" t="s">
        <v>190</v>
      </c>
      <c r="C284" s="1717"/>
      <c r="D284" s="460"/>
      <c r="E284" s="461"/>
      <c r="F284" s="1716"/>
      <c r="G284" s="1717"/>
      <c r="H284" s="460"/>
      <c r="I284" s="1259"/>
      <c r="K284" s="477" t="s">
        <v>193</v>
      </c>
      <c r="L284" s="477" t="str">
        <f>K272&amp;"."&amp;K284</f>
        <v>3.M1 Rating</v>
      </c>
      <c r="M284" s="1252">
        <f>D404</f>
        <v>0</v>
      </c>
    </row>
    <row r="285" spans="1:13" ht="14.55" customHeight="1" x14ac:dyDescent="0.3">
      <c r="A285" s="1258"/>
      <c r="B285" s="466"/>
      <c r="C285" s="466"/>
      <c r="D285" s="460"/>
      <c r="E285" s="460"/>
      <c r="F285" s="460"/>
      <c r="G285" s="460"/>
      <c r="H285" s="460"/>
      <c r="I285" s="1259"/>
      <c r="K285" s="477" t="s">
        <v>194</v>
      </c>
      <c r="L285" s="477" t="str">
        <f>K272&amp;"."&amp;K285</f>
        <v>3.M1 Type</v>
      </c>
      <c r="M285" s="1252">
        <f>E404</f>
        <v>0</v>
      </c>
    </row>
    <row r="286" spans="1:13" ht="14.55" customHeight="1" x14ac:dyDescent="0.3">
      <c r="A286" s="1258" t="s">
        <v>195</v>
      </c>
      <c r="B286" s="460"/>
      <c r="C286" s="460"/>
      <c r="D286" s="460"/>
      <c r="E286" s="460"/>
      <c r="F286" s="460"/>
      <c r="G286" s="460"/>
      <c r="H286" s="460"/>
      <c r="I286" s="1259"/>
      <c r="K286" s="477" t="s">
        <v>196</v>
      </c>
      <c r="L286" s="477" t="str">
        <f>K272&amp;"."&amp;K286</f>
        <v>3.M1 Quantity</v>
      </c>
      <c r="M286" s="1252">
        <f>F404</f>
        <v>0</v>
      </c>
    </row>
    <row r="287" spans="1:13" ht="14.55" customHeight="1" x14ac:dyDescent="0.3">
      <c r="A287" s="1258" t="s">
        <v>197</v>
      </c>
      <c r="B287" s="464">
        <f>$D278*(VLOOKUP($B283,'ASME II Tab 1A'!$1:$1048576,MATCH($D278,'ASME II Tab 1A'!$6:$6,1)+1,0)-VLOOKUP($B283,'ASME II Tab 1A'!$1:$1048576,MATCH($D278,'ASME II Tab 1A'!$6:$6,1),0))/(INDEX('ASME II Tab 1A'!$6:$6,MATCH($D278,'ASME II Tab 1A'!$6:$6,1)+1)-INDEX('ASME II Tab 1A'!$6:$6,MATCH($D278,'ASME II Tab 1A'!$6:$6,1)))+VLOOKUP($B283,'ASME II Tab 1A'!$1:$1048576,MATCH($D278,'ASME II Tab 1A'!$6:$6,1)+1,0)-INDEX('ASME II Tab 1A'!$6:$6,MATCH($D278,'ASME II Tab 1A'!$6:$6,1)+1)*(VLOOKUP($B283,'ASME II Tab 1A'!$1:$1048576,MATCH($D278,'ASME II Tab 1A'!$6:$6,1)+1,0)-VLOOKUP($B283,'ASME II Tab 1A'!$1:$1048576,MATCH($D278,'ASME II Tab 1A'!$6:$6,1),0))/(INDEX('ASME II Tab 1A'!$6:$6,MATCH($D278,'ASME II Tab 1A'!$6:$6,1)+1)-INDEX('ASME II Tab 1A'!$6:$6,MATCH($D278,'ASME II Tab 1A'!$6:$6,1)))</f>
        <v>98</v>
      </c>
      <c r="C287" s="460" t="s">
        <v>198</v>
      </c>
      <c r="D287" s="460"/>
      <c r="E287" s="467"/>
      <c r="F287" s="460" t="e">
        <f>$D278*(VLOOKUP($F283,'ASME II Tab 1A'!$1:$1048576,MATCH($D278,'ASME II Tab 1A'!$6:$6,1)+1,0)-VLOOKUP($F283,'ASME II Tab 1A'!$1:$1048576,MATCH($D278,'ASME II Tab 1A'!$6:$6,1),0))/(INDEX('ASME II Tab 1A'!$6:$6,MATCH($D278,'ASME II Tab 1A'!$6:$6,1)+1)-INDEX('ASME II Tab 1A'!$6:$6,MATCH($D278,'ASME II Tab 1A'!$6:$6,1)))+VLOOKUP($F283,'ASME II Tab 1A'!$1:$1048576,MATCH($D278,'ASME II Tab 1A'!$6:$6,1)+1,0)-INDEX('ASME II Tab 1A'!$6:$6,MATCH($D278,'ASME II Tab 1A'!$6:$6,1)+1)*(VLOOKUP($F283,'ASME II Tab 1A'!$1:$1048576,MATCH($D278,'ASME II Tab 1A'!$6:$6,1)+1,0)-VLOOKUP($F283,'ASME II Tab 1A'!$1:$1048576,MATCH($D278,'ASME II Tab 1A'!$6:$6,1),0))/(INDEX('ASME II Tab 1A'!$6:$6,MATCH($D278,'ASME II Tab 1A'!$6:$6,1)+1)-INDEX('ASME II Tab 1A'!$6:$6,MATCH($D278,'ASME II Tab 1A'!$6:$6,1)))</f>
        <v>#N/A</v>
      </c>
      <c r="G287" s="460" t="s">
        <v>198</v>
      </c>
      <c r="H287" s="460"/>
      <c r="I287" s="1259"/>
      <c r="K287" s="477" t="s">
        <v>199</v>
      </c>
      <c r="L287" s="477" t="str">
        <f>K272&amp;"."&amp;K287</f>
        <v>3.M2 DN</v>
      </c>
      <c r="M287" s="1252">
        <f>C405</f>
        <v>0</v>
      </c>
    </row>
    <row r="288" spans="1:13" ht="14.55" customHeight="1" x14ac:dyDescent="0.3">
      <c r="A288" s="1258" t="s">
        <v>200</v>
      </c>
      <c r="B288" s="464">
        <f>$D278*(VLOOKUP($B284,'ASME II Tab 1A'!$1:$1048576,MATCH($D278,'ASME II Tab 1A'!$6:$6,1)+1,0)-VLOOKUP($B284,'ASME II Tab 1A'!$1:$1048576,MATCH($D278,'ASME II Tab 1A'!$6:$6,1),0))/(INDEX('ASME II Tab 1A'!$6:$6,MATCH($D278,'ASME II Tab 1A'!$6:$6,1)+1)-INDEX('ASME II Tab 1A'!$6:$6,MATCH($D278,'ASME II Tab 1A'!$6:$6,1)))+VLOOKUP($B284,'ASME II Tab 1A'!$1:$1048576,MATCH($D278,'ASME II Tab 1A'!$6:$6,1)+1,0)-INDEX('ASME II Tab 1A'!$6:$6,MATCH($D278,'ASME II Tab 1A'!$6:$6,1)+1)*(VLOOKUP($B284,'ASME II Tab 1A'!$1:$1048576,MATCH($D278,'ASME II Tab 1A'!$6:$6,1)+1,0)-VLOOKUP($B284,'ASME II Tab 1A'!$1:$1048576,MATCH($D278,'ASME II Tab 1A'!$6:$6,1),0))/(INDEX('ASME II Tab 1A'!$6:$6,MATCH($D278,'ASME II Tab 1A'!$6:$6,1)+1)-INDEX('ASME II Tab 1A'!$6:$6,MATCH($D278,'ASME II Tab 1A'!$6:$6,1)))</f>
        <v>98</v>
      </c>
      <c r="C288" s="460" t="s">
        <v>198</v>
      </c>
      <c r="D288" s="460"/>
      <c r="E288" s="460"/>
      <c r="F288" s="460" t="e">
        <f>$D278*(VLOOKUP($F284,'ASME II Tab 1A'!$1:$1048576,MATCH($D278,'ASME II Tab 1A'!$6:$6,1)+1,0)-VLOOKUP($F284,'ASME II Tab 1A'!$1:$1048576,MATCH($D278,'ASME II Tab 1A'!$6:$6,1),0))/(INDEX('ASME II Tab 1A'!$6:$6,MATCH($D278,'ASME II Tab 1A'!$6:$6,1)+1)-INDEX('ASME II Tab 1A'!$6:$6,MATCH($D278,'ASME II Tab 1A'!$6:$6,1)))+VLOOKUP($F284,'ASME II Tab 1A'!$1:$1048576,MATCH($D278,'ASME II Tab 1A'!$6:$6,1)+1,0)-INDEX('ASME II Tab 1A'!$6:$6,MATCH($D278,'ASME II Tab 1A'!$6:$6,1)+1)*(VLOOKUP($F284,'ASME II Tab 1A'!$1:$1048576,MATCH($D278,'ASME II Tab 1A'!$6:$6,1)+1,0)-VLOOKUP($F284,'ASME II Tab 1A'!$1:$1048576,MATCH($D278,'ASME II Tab 1A'!$6:$6,1),0))/(INDEX('ASME II Tab 1A'!$6:$6,MATCH($D278,'ASME II Tab 1A'!$6:$6,1)+1)-INDEX('ASME II Tab 1A'!$6:$6,MATCH($D278,'ASME II Tab 1A'!$6:$6,1)))</f>
        <v>#N/A</v>
      </c>
      <c r="G288" s="460" t="s">
        <v>198</v>
      </c>
      <c r="H288" s="460"/>
      <c r="I288" s="1259"/>
      <c r="K288" s="477" t="s">
        <v>201</v>
      </c>
      <c r="L288" s="477" t="str">
        <f>K272&amp;"."&amp;K288</f>
        <v>3.M2 Rating</v>
      </c>
      <c r="M288" s="1252">
        <f>D405</f>
        <v>0</v>
      </c>
    </row>
    <row r="289" spans="1:13" ht="14.55" customHeight="1" x14ac:dyDescent="0.3">
      <c r="A289" s="1258" t="s">
        <v>202</v>
      </c>
      <c r="B289" s="460"/>
      <c r="C289" s="460"/>
      <c r="D289" s="460"/>
      <c r="E289" s="460"/>
      <c r="F289" s="460"/>
      <c r="G289" s="460"/>
      <c r="H289" s="460"/>
      <c r="I289" s="1259"/>
      <c r="K289" s="477" t="s">
        <v>203</v>
      </c>
      <c r="L289" s="477" t="str">
        <f>K272&amp;"."&amp;K289</f>
        <v>3.M2 Type</v>
      </c>
      <c r="M289" s="1252">
        <f>E405</f>
        <v>0</v>
      </c>
    </row>
    <row r="290" spans="1:13" ht="14.55" customHeight="1" x14ac:dyDescent="0.3">
      <c r="A290" s="1258" t="s">
        <v>197</v>
      </c>
      <c r="B290" s="464">
        <f>$D278*(VLOOKUP($B283,'ASME II Tab 5A'!$1:$1048576,MATCH($D278,'ASME II Tab 5A'!$5:$5,1)+1,0)-VLOOKUP($B283,'ASME II Tab 5A'!$1:$1048576,MATCH($D278,'ASME II Tab 5A'!$5:$5,1),0))/(INDEX('ASME II Tab 5A'!$5:$5,MATCH($D278,'ASME II Tab 5A'!$5:$5,1)+1)-INDEX('ASME II Tab 5A'!$5:$5,MATCH($D278,'ASME II Tab 5A'!$5:$5,1)))+VLOOKUP($B283,'ASME II Tab 5A'!$1:$1048576,MATCH($D278,'ASME II Tab 5A'!$5:$5,1)+1,0)-INDEX('ASME II Tab 5A'!$5:$5,MATCH($D278,'ASME II Tab 5A'!$5:$5,1)+1)*(VLOOKUP($B283,'ASME II Tab 5A'!$1:$1048576,MATCH($D278,'ASME II Tab 5A'!$5:$5,1)+1,0)-VLOOKUP($B283,'ASME II Tab 5A'!$1:$1048576,MATCH($D278,'ASME II Tab 5A'!$5:$5,1),0))/(INDEX('ASME II Tab 5A'!$5:$5,MATCH($D278,'ASME II Tab 5A'!$5:$5,1)+1)-INDEX('ASME II Tab 5A'!$5:$5,MATCH($D278,'ASME II Tab 5A'!$5:$5,1)))</f>
        <v>98.1</v>
      </c>
      <c r="C290" s="460" t="s">
        <v>198</v>
      </c>
      <c r="D290" s="460"/>
      <c r="E290" s="460"/>
      <c r="F290" s="460" t="e">
        <f>$D278*(VLOOKUP($F283,'ASME II Tab 5A'!$1:$1048576,MATCH($D278,'ASME II Tab 5A'!$5:$5,1)+1,0)-VLOOKUP($F283,'ASME II Tab 5A'!$1:$1048576,MATCH($D278,'ASME II Tab 5A'!$5:$5,1),0))/(INDEX('ASME II Tab 5A'!$5:$5,MATCH($D278,'ASME II Tab 5A'!$5:$5,1)+1)-INDEX('ASME II Tab 5A'!$5:$5,MATCH($D278,'ASME II Tab 5A'!$5:$5,1)))+VLOOKUP($F283,'ASME II Tab 5A'!$1:$1048576,MATCH($D278,'ASME II Tab 5A'!$5:$5,1)+1,0)-INDEX('ASME II Tab 5A'!$5:$5,MATCH($D278,'ASME II Tab 5A'!$5:$5,1)+1)*(VLOOKUP($F283,'ASME II Tab 5A'!$1:$1048576,MATCH($D278,'ASME II Tab 5A'!$5:$5,1)+1,0)-VLOOKUP($F283,'ASME II Tab 5A'!$1:$1048576,MATCH($D278,'ASME II Tab 5A'!$5:$5,1),0))/(INDEX('ASME II Tab 5A'!$5:$5,MATCH($D278,'ASME II Tab 5A'!$5:$5,1)+1)-INDEX('ASME II Tab 5A'!$5:$5,MATCH($D278,'ASME II Tab 5A'!$5:$5,1)))</f>
        <v>#N/A</v>
      </c>
      <c r="G290" s="460" t="s">
        <v>198</v>
      </c>
      <c r="H290" s="460"/>
      <c r="I290" s="1259"/>
      <c r="K290" s="477" t="s">
        <v>204</v>
      </c>
      <c r="L290" s="477" t="str">
        <f>K272&amp;"."&amp;K290</f>
        <v>3.M2 Quantity</v>
      </c>
      <c r="M290" s="1252">
        <f>F405</f>
        <v>0</v>
      </c>
    </row>
    <row r="291" spans="1:13" ht="14.55" customHeight="1" x14ac:dyDescent="0.3">
      <c r="A291" s="1258" t="s">
        <v>200</v>
      </c>
      <c r="B291" s="464">
        <f>$D278*(VLOOKUP($B284,'ASME II Tab 5A'!$1:$1048576,MATCH($D278,'ASME II Tab 5A'!$5:$5,1)+1,0)-VLOOKUP($B284,'ASME II Tab 5A'!$1:$1048576,MATCH($D278,'ASME II Tab 5A'!$5:$5,1),0))/(INDEX('ASME II Tab 5A'!$5:$5,MATCH($D278,'ASME II Tab 5A'!$5:$5,1)+1)-INDEX('ASME II Tab 5A'!$5:$5,MATCH($D278,'ASME II Tab 5A'!$5:$5,1)))+VLOOKUP($B284,'ASME II Tab 5A'!$1:$1048576,MATCH($D278,'ASME II Tab 5A'!$5:$5,1)+1,0)-INDEX('ASME II Tab 5A'!$5:$5,MATCH($D278,'ASME II Tab 5A'!$5:$5,1)+1)*(VLOOKUP($B284,'ASME II Tab 5A'!$1:$1048576,MATCH($D278,'ASME II Tab 5A'!$5:$5,1)+1,0)-VLOOKUP($B284,'ASME II Tab 5A'!$1:$1048576,MATCH($D278,'ASME II Tab 5A'!$5:$5,1),0))/(INDEX('ASME II Tab 5A'!$5:$5,MATCH($D278,'ASME II Tab 5A'!$5:$5,1)+1)-INDEX('ASME II Tab 5A'!$5:$5,MATCH($D278,'ASME II Tab 5A'!$5:$5,1)))</f>
        <v>98.1</v>
      </c>
      <c r="C291" s="460" t="s">
        <v>198</v>
      </c>
      <c r="D291" s="460"/>
      <c r="E291" s="460"/>
      <c r="F291" s="460" t="e">
        <f>$D278*(VLOOKUP($F284,'ASME II Tab 5A'!$1:$1048576,MATCH($D278,'ASME II Tab 5A'!$5:$5,1)+1,0)-VLOOKUP($F284,'ASME II Tab 5A'!$1:$1048576,MATCH($D278,'ASME II Tab 5A'!$5:$5,1),0))/(INDEX('ASME II Tab 5A'!$5:$5,MATCH($D278,'ASME II Tab 5A'!$5:$5,1)+1)-INDEX('ASME II Tab 5A'!$5:$5,MATCH($D278,'ASME II Tab 5A'!$5:$5,1)))+VLOOKUP($F284,'ASME II Tab 5A'!$1:$1048576,MATCH($D278,'ASME II Tab 5A'!$5:$5,1)+1,0)-INDEX('ASME II Tab 5A'!$5:$5,MATCH($D278,'ASME II Tab 5A'!$5:$5,1)+1)*(VLOOKUP($F284,'ASME II Tab 5A'!$1:$1048576,MATCH($D278,'ASME II Tab 5A'!$5:$5,1)+1,0)-VLOOKUP($F284,'ASME II Tab 5A'!$1:$1048576,MATCH($D278,'ASME II Tab 5A'!$5:$5,1),0))/(INDEX('ASME II Tab 5A'!$5:$5,MATCH($D278,'ASME II Tab 5A'!$5:$5,1)+1)-INDEX('ASME II Tab 5A'!$5:$5,MATCH($D278,'ASME II Tab 5A'!$5:$5,1)))</f>
        <v>#N/A</v>
      </c>
      <c r="G291" s="460" t="s">
        <v>198</v>
      </c>
      <c r="H291" s="460"/>
      <c r="I291" s="1259"/>
      <c r="K291" s="477" t="s">
        <v>205</v>
      </c>
      <c r="L291" s="477" t="str">
        <f>K272&amp;"."&amp;K291</f>
        <v>3.M3 DN</v>
      </c>
      <c r="M291" s="1252">
        <f>C406</f>
        <v>0</v>
      </c>
    </row>
    <row r="292" spans="1:13" ht="14.55" customHeight="1" x14ac:dyDescent="0.3">
      <c r="A292" s="1258"/>
      <c r="B292" s="460"/>
      <c r="C292" s="460"/>
      <c r="D292" s="460"/>
      <c r="E292" s="460"/>
      <c r="F292" s="460"/>
      <c r="G292" s="460"/>
      <c r="H292" s="460"/>
      <c r="I292" s="1259"/>
      <c r="K292" s="477" t="s">
        <v>206</v>
      </c>
      <c r="L292" s="477" t="str">
        <f>K272&amp;"."&amp;K292</f>
        <v>3.M3 Rating</v>
      </c>
      <c r="M292" s="1252">
        <f>D406</f>
        <v>0</v>
      </c>
    </row>
    <row r="293" spans="1:13" ht="14.55" customHeight="1" x14ac:dyDescent="0.3">
      <c r="A293" s="1260" t="s">
        <v>207</v>
      </c>
      <c r="B293" s="453"/>
      <c r="C293" s="460"/>
      <c r="D293" s="453"/>
      <c r="E293" s="460"/>
      <c r="F293" s="453"/>
      <c r="G293" s="460"/>
      <c r="H293" s="460"/>
      <c r="I293" s="1259"/>
      <c r="K293" s="477" t="s">
        <v>208</v>
      </c>
      <c r="L293" s="477" t="str">
        <f>K272&amp;"."&amp;K293</f>
        <v>3.M3 Type</v>
      </c>
      <c r="M293" s="1252">
        <f>E406</f>
        <v>0</v>
      </c>
    </row>
    <row r="294" spans="1:13" ht="14.55" customHeight="1" x14ac:dyDescent="0.3">
      <c r="A294" s="1260"/>
      <c r="B294" s="305" t="s">
        <v>209</v>
      </c>
      <c r="C294" s="460"/>
      <c r="D294" s="305" t="s">
        <v>210</v>
      </c>
      <c r="E294" s="460"/>
      <c r="F294" s="305" t="s">
        <v>211</v>
      </c>
      <c r="G294" s="460"/>
      <c r="H294" s="460"/>
      <c r="I294" s="1259"/>
      <c r="K294" s="477" t="s">
        <v>212</v>
      </c>
      <c r="L294" s="477" t="str">
        <f>K272&amp;"."&amp;K294</f>
        <v>3.M3 Quantity</v>
      </c>
      <c r="M294" s="1252">
        <f>F406</f>
        <v>0</v>
      </c>
    </row>
    <row r="295" spans="1:13" ht="14.55" customHeight="1" x14ac:dyDescent="0.3">
      <c r="A295" s="1258" t="s">
        <v>213</v>
      </c>
      <c r="B295" s="305"/>
      <c r="C295" s="460"/>
      <c r="D295" s="305"/>
      <c r="E295" s="460"/>
      <c r="F295" s="723"/>
      <c r="G295" s="460" t="s">
        <v>214</v>
      </c>
      <c r="H295" s="460"/>
      <c r="I295" s="1259"/>
      <c r="K295" s="477" t="s">
        <v>215</v>
      </c>
      <c r="L295" s="477" t="str">
        <f>K272&amp;"."&amp;K295</f>
        <v>3.Shell insulation thk 1</v>
      </c>
      <c r="M295" s="1252">
        <f>B343</f>
        <v>100</v>
      </c>
    </row>
    <row r="296" spans="1:13" ht="14.55" customHeight="1" x14ac:dyDescent="0.3">
      <c r="A296" s="1258" t="s">
        <v>216</v>
      </c>
      <c r="B296" s="722">
        <v>1150</v>
      </c>
      <c r="C296" s="460" t="s">
        <v>93</v>
      </c>
      <c r="D296" s="722"/>
      <c r="E296" s="460" t="s">
        <v>93</v>
      </c>
      <c r="F296" s="468">
        <f>F297-2*F341</f>
        <v>0</v>
      </c>
      <c r="G296" s="460" t="s">
        <v>93</v>
      </c>
      <c r="H296" s="460"/>
      <c r="I296" s="1259"/>
      <c r="K296" s="477" t="s">
        <v>217</v>
      </c>
      <c r="L296" s="477" t="str">
        <f>K272&amp;"."&amp;K296</f>
        <v>3.Head insulation thk 1</v>
      </c>
      <c r="M296" s="1252">
        <f>B344</f>
        <v>100</v>
      </c>
    </row>
    <row r="297" spans="1:13" ht="14.55" customHeight="1" x14ac:dyDescent="0.3">
      <c r="A297" s="1258" t="s">
        <v>218</v>
      </c>
      <c r="B297" s="468">
        <f>B296+B337*2</f>
        <v>1174</v>
      </c>
      <c r="C297" s="460" t="s">
        <v>93</v>
      </c>
      <c r="D297" s="468">
        <f>D296+D337*2</f>
        <v>0</v>
      </c>
      <c r="E297" s="460" t="s">
        <v>93</v>
      </c>
      <c r="F297" s="468">
        <f>IFERROR(VLOOKUP(F295,'Thickness Tab'!$1:$1048576,3,0),0)</f>
        <v>0</v>
      </c>
      <c r="G297" s="460" t="s">
        <v>93</v>
      </c>
      <c r="H297" s="469"/>
      <c r="I297" s="1261"/>
      <c r="K297" s="477" t="s">
        <v>219</v>
      </c>
      <c r="L297" s="477" t="str">
        <f>K272&amp;"."&amp;K297</f>
        <v>3.Reducer insulation thk 1</v>
      </c>
      <c r="M297" s="1252">
        <f>B345</f>
        <v>100</v>
      </c>
    </row>
    <row r="298" spans="1:13" ht="14.55" customHeight="1" x14ac:dyDescent="0.3">
      <c r="A298" s="1258" t="s">
        <v>181</v>
      </c>
      <c r="B298" s="722">
        <v>4650</v>
      </c>
      <c r="C298" s="460" t="s">
        <v>93</v>
      </c>
      <c r="D298" s="722"/>
      <c r="E298" s="460" t="s">
        <v>93</v>
      </c>
      <c r="F298" s="722"/>
      <c r="G298" s="460" t="s">
        <v>93</v>
      </c>
      <c r="H298" s="460"/>
      <c r="I298" s="1259"/>
      <c r="K298" s="477" t="s">
        <v>220</v>
      </c>
      <c r="L298" s="477" t="str">
        <f>K272&amp;"."&amp;K298</f>
        <v>3.Shell insulation area 1</v>
      </c>
      <c r="M298" s="1252">
        <f>B303</f>
        <v>20.061774000000003</v>
      </c>
    </row>
    <row r="299" spans="1:13" ht="14.55" customHeight="1" x14ac:dyDescent="0.3">
      <c r="A299" s="1258" t="s">
        <v>221</v>
      </c>
      <c r="B299" s="468">
        <f>(PI()*B298*(((B297/2)^2)-((B296/2)^2))*7860)/1000000000*1.05</f>
        <v>1681.1328897620963</v>
      </c>
      <c r="C299" s="460" t="s">
        <v>222</v>
      </c>
      <c r="D299" s="468">
        <f>(PI()*D298*(((D297/2)^2)-((D296/2)^2))*7860)/1000000000*1.05</f>
        <v>0</v>
      </c>
      <c r="E299" s="460" t="s">
        <v>222</v>
      </c>
      <c r="F299" s="468">
        <f>(PI()*F298*(((F297/2)^2)-((F296/2)^2))*7860)/1000000000*1.05</f>
        <v>0</v>
      </c>
      <c r="G299" s="460" t="s">
        <v>222</v>
      </c>
      <c r="H299" s="469"/>
      <c r="I299" s="1261"/>
      <c r="K299" s="477" t="s">
        <v>223</v>
      </c>
      <c r="L299" s="477" t="str">
        <f>K272&amp;"."&amp;K299</f>
        <v>3.Head insulation area 1</v>
      </c>
      <c r="M299" s="1252">
        <f>B315</f>
        <v>3.4234446600000004</v>
      </c>
    </row>
    <row r="300" spans="1:13" ht="14.55" customHeight="1" x14ac:dyDescent="0.3">
      <c r="A300" s="1258" t="s">
        <v>224</v>
      </c>
      <c r="B300" s="468">
        <f>(PI()*((B296/2)^2)*B298)/1000000000</f>
        <v>4.8299041805830329</v>
      </c>
      <c r="C300" s="460" t="s">
        <v>225</v>
      </c>
      <c r="D300" s="468">
        <f>(PI()*((D296/2)^2)*D298)/1000000000</f>
        <v>0</v>
      </c>
      <c r="E300" s="460" t="s">
        <v>225</v>
      </c>
      <c r="F300" s="468">
        <f>(PI()*((F296/2)^2)*F298)/1000000000</f>
        <v>0</v>
      </c>
      <c r="G300" s="460" t="s">
        <v>225</v>
      </c>
      <c r="H300" s="469"/>
      <c r="I300" s="1261"/>
      <c r="K300" s="477" t="s">
        <v>226</v>
      </c>
      <c r="L300" s="477" t="str">
        <f>K272&amp;"."&amp;K300</f>
        <v>3.Reducer insulation area 1</v>
      </c>
      <c r="M300" s="1252">
        <f>B328</f>
        <v>0</v>
      </c>
    </row>
    <row r="301" spans="1:13" ht="14.55" customHeight="1" x14ac:dyDescent="0.3">
      <c r="A301" s="1258" t="s">
        <v>227</v>
      </c>
      <c r="B301" s="468">
        <f>(B297*3.14*B298)/1000000</f>
        <v>17.141573999999999</v>
      </c>
      <c r="C301" s="460" t="s">
        <v>228</v>
      </c>
      <c r="D301" s="468">
        <f>(D297*3.14*D298)/1000000</f>
        <v>0</v>
      </c>
      <c r="E301" s="460" t="s">
        <v>228</v>
      </c>
      <c r="F301" s="468">
        <f>(F297*3.14*F298)/1000000</f>
        <v>0</v>
      </c>
      <c r="G301" s="460" t="s">
        <v>228</v>
      </c>
      <c r="H301" s="469"/>
      <c r="I301" s="1261"/>
      <c r="K301" s="477" t="s">
        <v>229</v>
      </c>
      <c r="L301" s="477" t="str">
        <f>K272&amp;"."&amp;K301</f>
        <v>3.Shell insulation thk 2</v>
      </c>
      <c r="M301" s="1252">
        <f>D343</f>
        <v>0</v>
      </c>
    </row>
    <row r="302" spans="1:13" ht="14.55" customHeight="1" x14ac:dyDescent="0.3">
      <c r="A302" s="1258" t="s">
        <v>230</v>
      </c>
      <c r="B302" s="468">
        <f>B297+2*B343</f>
        <v>1374</v>
      </c>
      <c r="C302" s="460" t="s">
        <v>93</v>
      </c>
      <c r="D302" s="468">
        <f>D297+2*D343</f>
        <v>0</v>
      </c>
      <c r="E302" s="460" t="s">
        <v>93</v>
      </c>
      <c r="F302" s="468">
        <f>F297+2*F343</f>
        <v>0</v>
      </c>
      <c r="G302" s="460" t="s">
        <v>93</v>
      </c>
      <c r="H302" s="469"/>
      <c r="I302" s="1261"/>
      <c r="K302" s="477" t="s">
        <v>231</v>
      </c>
      <c r="L302" s="477" t="str">
        <f>K272&amp;"."&amp;K302</f>
        <v>3.Head insulation thk 2</v>
      </c>
      <c r="M302" s="1252">
        <f>D344</f>
        <v>0</v>
      </c>
    </row>
    <row r="303" spans="1:13" ht="14.55" customHeight="1" x14ac:dyDescent="0.3">
      <c r="A303" s="1258" t="s">
        <v>232</v>
      </c>
      <c r="B303" s="468">
        <f>(B302*3.14*B298)/1000000</f>
        <v>20.061774000000003</v>
      </c>
      <c r="C303" s="460" t="s">
        <v>228</v>
      </c>
      <c r="D303" s="468">
        <f>(D302*3.14*D298)/1000000</f>
        <v>0</v>
      </c>
      <c r="E303" s="460" t="s">
        <v>228</v>
      </c>
      <c r="F303" s="468">
        <f>(F302*3.14*F298)/1000000</f>
        <v>0</v>
      </c>
      <c r="G303" s="460" t="s">
        <v>228</v>
      </c>
      <c r="H303" s="469"/>
      <c r="I303" s="1261"/>
      <c r="K303" s="477" t="s">
        <v>233</v>
      </c>
      <c r="L303" s="477" t="str">
        <f>K272&amp;"."&amp;K303</f>
        <v>3.Reducer insulation thk 2</v>
      </c>
      <c r="M303" s="1252">
        <f>D345</f>
        <v>0</v>
      </c>
    </row>
    <row r="304" spans="1:13" ht="14.55" customHeight="1" x14ac:dyDescent="0.3">
      <c r="A304" s="1258"/>
      <c r="B304" s="468"/>
      <c r="C304" s="460"/>
      <c r="D304" s="468"/>
      <c r="E304" s="460"/>
      <c r="F304" s="468"/>
      <c r="G304" s="460"/>
      <c r="H304" s="469"/>
      <c r="I304" s="1261"/>
      <c r="K304" s="477" t="s">
        <v>234</v>
      </c>
      <c r="L304" s="477" t="str">
        <f>K272&amp;"."&amp;K304</f>
        <v>3.Shell insulation area 2</v>
      </c>
      <c r="M304" s="1252">
        <f>D303</f>
        <v>0</v>
      </c>
    </row>
    <row r="305" spans="1:13" ht="14.55" customHeight="1" x14ac:dyDescent="0.3">
      <c r="A305" s="1258"/>
      <c r="B305" s="468" t="s">
        <v>235</v>
      </c>
      <c r="C305" s="460"/>
      <c r="D305" s="468" t="s">
        <v>236</v>
      </c>
      <c r="E305" s="460"/>
      <c r="F305" s="468" t="s">
        <v>237</v>
      </c>
      <c r="G305" s="460"/>
      <c r="H305" s="469"/>
      <c r="I305" s="1261"/>
      <c r="K305" s="477" t="s">
        <v>238</v>
      </c>
      <c r="L305" s="477" t="str">
        <f>K272&amp;"."&amp;K305</f>
        <v>3.Head insulation area 2</v>
      </c>
      <c r="M305" s="1252">
        <f>D315</f>
        <v>0</v>
      </c>
    </row>
    <row r="306" spans="1:13" ht="14.55" customHeight="1" x14ac:dyDescent="0.3">
      <c r="A306" s="1258" t="s">
        <v>239</v>
      </c>
      <c r="B306" s="468">
        <f>B296</f>
        <v>1150</v>
      </c>
      <c r="C306" s="460" t="s">
        <v>93</v>
      </c>
      <c r="D306" s="468">
        <f>D296</f>
        <v>0</v>
      </c>
      <c r="E306" s="460" t="s">
        <v>93</v>
      </c>
      <c r="F306" s="468">
        <f>F296</f>
        <v>0</v>
      </c>
      <c r="G306" s="460" t="s">
        <v>93</v>
      </c>
      <c r="H306" s="469"/>
      <c r="I306" s="1261"/>
      <c r="K306" s="477" t="s">
        <v>240</v>
      </c>
      <c r="L306" s="477" t="str">
        <f>K272&amp;"."&amp;K306</f>
        <v>3.Reducer insulation area 2</v>
      </c>
      <c r="M306" s="1252">
        <f>D328</f>
        <v>0</v>
      </c>
    </row>
    <row r="307" spans="1:13" ht="14.55" customHeight="1" x14ac:dyDescent="0.3">
      <c r="A307" s="1258" t="s">
        <v>241</v>
      </c>
      <c r="B307" s="468">
        <f>B306+2*B338</f>
        <v>1174</v>
      </c>
      <c r="C307" s="460" t="s">
        <v>93</v>
      </c>
      <c r="D307" s="468">
        <f>D306+2*D338</f>
        <v>0</v>
      </c>
      <c r="E307" s="460" t="s">
        <v>93</v>
      </c>
      <c r="F307" s="468">
        <f>F306+2*F341</f>
        <v>0</v>
      </c>
      <c r="G307" s="460" t="s">
        <v>93</v>
      </c>
      <c r="H307" s="469"/>
      <c r="I307" s="1261"/>
      <c r="K307" s="477" t="s">
        <v>242</v>
      </c>
      <c r="L307" s="477" t="str">
        <f>K272&amp;"."&amp;K307</f>
        <v>3.Shell insulation thk 3</v>
      </c>
      <c r="M307" s="1252">
        <f>F343</f>
        <v>0</v>
      </c>
    </row>
    <row r="308" spans="1:13" ht="14.55" customHeight="1" x14ac:dyDescent="0.3">
      <c r="A308" s="1258" t="s">
        <v>243</v>
      </c>
      <c r="B308" s="722">
        <v>450</v>
      </c>
      <c r="C308" s="460" t="s">
        <v>93</v>
      </c>
      <c r="D308" s="722"/>
      <c r="E308" s="460" t="s">
        <v>93</v>
      </c>
      <c r="F308" s="452"/>
      <c r="G308" s="460"/>
      <c r="H308" s="469"/>
      <c r="I308" s="1261"/>
      <c r="K308" s="477" t="s">
        <v>244</v>
      </c>
      <c r="L308" s="477" t="str">
        <f>K272&amp;"."&amp;K308</f>
        <v>3.Head insulation thk 3</v>
      </c>
      <c r="M308" s="1252">
        <f>F344</f>
        <v>0</v>
      </c>
    </row>
    <row r="309" spans="1:13" ht="14.55" customHeight="1" x14ac:dyDescent="0.3">
      <c r="A309" s="1258" t="s">
        <v>245</v>
      </c>
      <c r="B309" s="724">
        <v>2</v>
      </c>
      <c r="C309" s="460"/>
      <c r="D309" s="724"/>
      <c r="E309" s="460"/>
      <c r="F309" s="724"/>
      <c r="G309" s="460"/>
      <c r="H309" s="469"/>
      <c r="I309" s="1261"/>
      <c r="K309" s="477" t="s">
        <v>246</v>
      </c>
      <c r="L309" s="477" t="str">
        <f>K272&amp;"."&amp;K309</f>
        <v>3.Reducer insulation thk 3</v>
      </c>
      <c r="M309" s="1252">
        <f>F345</f>
        <v>0</v>
      </c>
    </row>
    <row r="310" spans="1:13" ht="14.55" customHeight="1" x14ac:dyDescent="0.3">
      <c r="A310" s="1258" t="s">
        <v>247</v>
      </c>
      <c r="B310" s="468">
        <v>0</v>
      </c>
      <c r="C310" s="460" t="s">
        <v>93</v>
      </c>
      <c r="D310" s="468">
        <v>0</v>
      </c>
      <c r="E310" s="460" t="s">
        <v>93</v>
      </c>
      <c r="F310" s="468">
        <v>0</v>
      </c>
      <c r="G310" s="460" t="s">
        <v>93</v>
      </c>
      <c r="H310" s="469"/>
      <c r="I310" s="1261"/>
      <c r="K310" s="477" t="s">
        <v>248</v>
      </c>
      <c r="L310" s="477" t="str">
        <f>K272&amp;"."&amp;K310</f>
        <v>3.Shell insulation area 3</v>
      </c>
      <c r="M310" s="1252">
        <f>F303</f>
        <v>0</v>
      </c>
    </row>
    <row r="311" spans="1:13" ht="14.55" customHeight="1" x14ac:dyDescent="0.3">
      <c r="A311" s="1258" t="s">
        <v>249</v>
      </c>
      <c r="B311" s="468">
        <f>((((POWER(((((B306+B339)*1.22)+(B310*2))/100),2)*PI())/4)*(B339/100))*7.86)</f>
        <v>148.87630826460074</v>
      </c>
      <c r="C311" s="460" t="s">
        <v>222</v>
      </c>
      <c r="D311" s="468">
        <f>((((POWER(((((D306+D339)*1.22)+(D310*2))/100),2)*PI())/4)*(D339/100))*7.86)</f>
        <v>0</v>
      </c>
      <c r="E311" s="460" t="s">
        <v>222</v>
      </c>
      <c r="F311" s="468">
        <f>IFERROR(VLOOKUP(F295&amp;"."&amp;F340,'Fitting Chart'!$1:$1048576,5,0),0)</f>
        <v>0</v>
      </c>
      <c r="G311" s="460" t="s">
        <v>222</v>
      </c>
      <c r="H311" s="469"/>
      <c r="I311" s="1261"/>
      <c r="K311" s="477" t="s">
        <v>250</v>
      </c>
      <c r="L311" s="477" t="str">
        <f>K272&amp;"."&amp;K311</f>
        <v>3.Head insulation area 3</v>
      </c>
      <c r="M311" s="1252">
        <f>F314</f>
        <v>0</v>
      </c>
    </row>
    <row r="312" spans="1:13" ht="14.55" customHeight="1" x14ac:dyDescent="0.3">
      <c r="A312" s="1258" t="s">
        <v>251</v>
      </c>
      <c r="B312" s="468">
        <f>(((0.131*(B306^3)*10^-6)+((((B306/2)^2)*PI()*(((B306/4)+B338)-B338-(B306/4)))))+((PI()*((B306/2)^2)*B310))/1000000)/1000</f>
        <v>0.199234625</v>
      </c>
      <c r="C312" s="460" t="s">
        <v>225</v>
      </c>
      <c r="D312" s="468">
        <f>(((0.131*(D306^3)*10^-6)+((((D306/2)^2)*PI()*(((D306/4)+D338)-D338-(D306/4)))))+((PI()*((D306/2)^2)*D310))/1000000)/1000</f>
        <v>0</v>
      </c>
      <c r="E312" s="460" t="s">
        <v>225</v>
      </c>
      <c r="F312" s="468">
        <f>(((0.131*(F306^3)*10^-6)+((((F306/2)^2)*PI()*(((F306/4)+F341)-F341-(F306/4)))))+((PI()*((F306/2)^2)*F310))/1000000)/1000</f>
        <v>0</v>
      </c>
      <c r="G312" s="460" t="s">
        <v>225</v>
      </c>
      <c r="H312" s="469"/>
      <c r="I312" s="1261"/>
      <c r="K312" s="477" t="s">
        <v>252</v>
      </c>
      <c r="L312" s="477" t="str">
        <f>K272&amp;"."&amp;K312</f>
        <v>3.Reducer insulation area 3</v>
      </c>
      <c r="M312" s="1252">
        <f>F328</f>
        <v>0</v>
      </c>
    </row>
    <row r="313" spans="1:13" ht="14.55" customHeight="1" x14ac:dyDescent="0.3">
      <c r="A313" s="1258" t="s">
        <v>253</v>
      </c>
      <c r="B313" s="468">
        <f>(((B307*B308*3.14)+(((B307/2)^2)*3.14))/1000000)</f>
        <v>2.7408086600000003</v>
      </c>
      <c r="C313" s="460" t="s">
        <v>228</v>
      </c>
      <c r="D313" s="468">
        <f>(((D307*D308*3.14)+(((D307/2)^2)*3.14))/1000000)</f>
        <v>0</v>
      </c>
      <c r="E313" s="460" t="s">
        <v>228</v>
      </c>
      <c r="F313" s="468">
        <f>(((F307*F308*3.14)+(((F307/2)^2)*3.14))/1000000)</f>
        <v>0</v>
      </c>
      <c r="G313" s="460" t="s">
        <v>228</v>
      </c>
      <c r="H313" s="469"/>
      <c r="I313" s="1261"/>
    </row>
    <row r="314" spans="1:13" ht="14.55" customHeight="1" x14ac:dyDescent="0.3">
      <c r="A314" s="1258" t="s">
        <v>254</v>
      </c>
      <c r="B314" s="468">
        <f>B307+2*B344</f>
        <v>1374</v>
      </c>
      <c r="C314" s="460" t="s">
        <v>93</v>
      </c>
      <c r="D314" s="468">
        <f>D307+2*D344</f>
        <v>0</v>
      </c>
      <c r="E314" s="460" t="s">
        <v>93</v>
      </c>
      <c r="F314" s="468">
        <f>F307+2*F344</f>
        <v>0</v>
      </c>
      <c r="G314" s="460" t="s">
        <v>93</v>
      </c>
      <c r="H314" s="469"/>
      <c r="I314" s="1261"/>
    </row>
    <row r="315" spans="1:13" ht="14.55" customHeight="1" x14ac:dyDescent="0.3">
      <c r="A315" s="1258" t="s">
        <v>255</v>
      </c>
      <c r="B315" s="468">
        <f>(((B314*B308*3.14)+(((B314/2)^2)*3.14))/1000000)</f>
        <v>3.4234446600000004</v>
      </c>
      <c r="C315" s="460" t="s">
        <v>228</v>
      </c>
      <c r="D315" s="468">
        <f>(((D314*D308*3.14)+(((D314/2)^2)*3.14))/1000000)</f>
        <v>0</v>
      </c>
      <c r="E315" s="460" t="s">
        <v>228</v>
      </c>
      <c r="F315" s="468">
        <f>(((F314*F308*3.14)+(((F314/2)^2)*3.14))/1000000)</f>
        <v>0</v>
      </c>
      <c r="G315" s="460" t="s">
        <v>228</v>
      </c>
      <c r="H315" s="469"/>
      <c r="I315" s="1261"/>
    </row>
    <row r="316" spans="1:13" ht="14.55" customHeight="1" x14ac:dyDescent="0.3">
      <c r="A316" s="1258"/>
      <c r="B316" s="454"/>
      <c r="C316" s="460"/>
      <c r="D316" s="454"/>
      <c r="E316" s="460"/>
      <c r="F316" s="454"/>
      <c r="G316" s="460"/>
      <c r="H316" s="469"/>
      <c r="I316" s="1261"/>
    </row>
    <row r="317" spans="1:13" ht="14.55" customHeight="1" x14ac:dyDescent="0.3">
      <c r="A317" s="1258"/>
      <c r="B317" s="468" t="s">
        <v>256</v>
      </c>
      <c r="C317" s="460"/>
      <c r="D317" s="468" t="s">
        <v>257</v>
      </c>
      <c r="E317" s="460"/>
      <c r="F317" s="468" t="s">
        <v>258</v>
      </c>
      <c r="G317" s="460"/>
      <c r="H317" s="469"/>
      <c r="I317" s="1261"/>
    </row>
    <row r="318" spans="1:13" ht="14.55" customHeight="1" x14ac:dyDescent="0.3">
      <c r="A318" s="1258" t="s">
        <v>259</v>
      </c>
      <c r="B318" s="725"/>
      <c r="C318" s="460" t="s">
        <v>93</v>
      </c>
      <c r="D318" s="725"/>
      <c r="E318" s="460" t="s">
        <v>93</v>
      </c>
      <c r="F318" s="725"/>
      <c r="G318" s="460" t="s">
        <v>93</v>
      </c>
      <c r="H318" s="469"/>
      <c r="I318" s="1261"/>
    </row>
    <row r="319" spans="1:13" ht="14.55" customHeight="1" x14ac:dyDescent="0.3">
      <c r="A319" s="1258" t="s">
        <v>260</v>
      </c>
      <c r="B319" s="725"/>
      <c r="C319" s="460" t="s">
        <v>93</v>
      </c>
      <c r="D319" s="725"/>
      <c r="E319" s="460" t="s">
        <v>93</v>
      </c>
      <c r="F319" s="725"/>
      <c r="G319" s="460" t="s">
        <v>93</v>
      </c>
      <c r="H319" s="469"/>
      <c r="I319" s="1261"/>
    </row>
    <row r="320" spans="1:13" ht="14.55" customHeight="1" x14ac:dyDescent="0.3">
      <c r="A320" s="1258" t="s">
        <v>261</v>
      </c>
      <c r="B320" s="725"/>
      <c r="C320" s="460" t="s">
        <v>93</v>
      </c>
      <c r="D320" s="725"/>
      <c r="E320" s="460" t="s">
        <v>93</v>
      </c>
      <c r="F320" s="725"/>
      <c r="G320" s="460" t="s">
        <v>93</v>
      </c>
      <c r="H320" s="469"/>
      <c r="I320" s="1261"/>
    </row>
    <row r="321" spans="1:9" ht="14.55" customHeight="1" x14ac:dyDescent="0.3">
      <c r="A321" s="1258" t="s">
        <v>262</v>
      </c>
      <c r="B321" s="455">
        <f>B318+2*B339</f>
        <v>24</v>
      </c>
      <c r="C321" s="460" t="s">
        <v>93</v>
      </c>
      <c r="D321" s="455">
        <f>D318+2*D339</f>
        <v>0</v>
      </c>
      <c r="E321" s="460" t="s">
        <v>93</v>
      </c>
      <c r="F321" s="455">
        <f>F318+2*F341</f>
        <v>0</v>
      </c>
      <c r="G321" s="460" t="s">
        <v>93</v>
      </c>
      <c r="H321" s="469"/>
      <c r="I321" s="1261"/>
    </row>
    <row r="322" spans="1:9" ht="14.55" customHeight="1" x14ac:dyDescent="0.3">
      <c r="A322" s="1258" t="s">
        <v>263</v>
      </c>
      <c r="B322" s="455">
        <f>B319+2*B339</f>
        <v>24</v>
      </c>
      <c r="C322" s="460" t="s">
        <v>93</v>
      </c>
      <c r="D322" s="455">
        <f>D319+2*D339</f>
        <v>0</v>
      </c>
      <c r="E322" s="460" t="s">
        <v>93</v>
      </c>
      <c r="F322" s="455">
        <f>F319+2*F341</f>
        <v>0</v>
      </c>
      <c r="G322" s="460" t="s">
        <v>93</v>
      </c>
      <c r="H322" s="469"/>
      <c r="I322" s="1261"/>
    </row>
    <row r="323" spans="1:9" ht="14.55" customHeight="1" x14ac:dyDescent="0.3">
      <c r="A323" s="1258" t="s">
        <v>264</v>
      </c>
      <c r="B323" s="453">
        <f>(((((1/3*PI()*B320))*((((B321/2)^2)+(((B321/2)*(B322/2)))+((B322/2)^2))))-(((1/3*PI()*B320))*((((B318/2)^2)+(((B318/2)*(B319/2)))+((B319/2)^2)))))*7.86)/1000000</f>
        <v>0</v>
      </c>
      <c r="C323" s="460" t="s">
        <v>222</v>
      </c>
      <c r="D323" s="453">
        <f>(((((1/3*PI()*D320))*((((D321/2)^2)+(((D321/2)*(D322/2)))+((D322/2)^2))))-(((1/3*PI()*D320))*((((D318/2)^2)+(((D318/2)*(D319/2)))+((D319/2)^2)))))*7.86)/1000000</f>
        <v>0</v>
      </c>
      <c r="E323" s="460" t="s">
        <v>222</v>
      </c>
      <c r="F323" s="453">
        <f>(((((1/3*PI()*F320))*((((F321/2)^2)+(((F321/2)*(F322/2)))+((F322/2)^2))))-(((1/3*PI()*F320))*((((F318/2)^2)+(((F318/2)*(F319/2)))+((F319/2)^2)))))*7.86)/1000000</f>
        <v>0</v>
      </c>
      <c r="G323" s="460" t="s">
        <v>222</v>
      </c>
      <c r="H323" s="469"/>
      <c r="I323" s="1261"/>
    </row>
    <row r="324" spans="1:9" ht="14.55" customHeight="1" x14ac:dyDescent="0.3">
      <c r="A324" s="1258" t="s">
        <v>265</v>
      </c>
      <c r="B324" s="453">
        <f>((1/3*PI()*B320))*((((B318/2)^2)+(((B318/2)*(B319/2)))+((B319/2)^2)))/1000000000</f>
        <v>0</v>
      </c>
      <c r="C324" s="460" t="s">
        <v>225</v>
      </c>
      <c r="D324" s="453">
        <f>((1/3*PI()*D320))*((((D318/2)^2)+(((D318/2)*(D319/2)))+((D319/2)^2)))/1000000000</f>
        <v>0</v>
      </c>
      <c r="E324" s="460" t="s">
        <v>225</v>
      </c>
      <c r="F324" s="453">
        <f>((1/3*PI()*F320))*((((F318/2)^2)+(((F318/2)*(F319/2)))+((F319/2)^2)))/1000000000</f>
        <v>0</v>
      </c>
      <c r="G324" s="460" t="s">
        <v>225</v>
      </c>
      <c r="H324" s="469"/>
      <c r="I324" s="1261"/>
    </row>
    <row r="325" spans="1:9" ht="14.55" customHeight="1" x14ac:dyDescent="0.3">
      <c r="A325" s="1258" t="s">
        <v>266</v>
      </c>
      <c r="B325" s="453">
        <f>PI()*(B321+B322)/2*SQRT(B320^2+((B321-B322)/2)^2)/1000000</f>
        <v>0</v>
      </c>
      <c r="C325" s="460" t="s">
        <v>228</v>
      </c>
      <c r="D325" s="453">
        <f>PI()*(D321+D322)/2*SQRT(D320^2+((D321-D322)/2)^2)/1000000</f>
        <v>0</v>
      </c>
      <c r="E325" s="460" t="s">
        <v>228</v>
      </c>
      <c r="F325" s="453">
        <f>PI()*(F321+F322)/2*SQRT(F320^2+((F321-F322)/2)^2)/1000000</f>
        <v>0</v>
      </c>
      <c r="G325" s="460" t="s">
        <v>228</v>
      </c>
      <c r="H325" s="469"/>
      <c r="I325" s="1261"/>
    </row>
    <row r="326" spans="1:9" ht="14.55" customHeight="1" x14ac:dyDescent="0.3">
      <c r="A326" s="1258" t="s">
        <v>267</v>
      </c>
      <c r="B326" s="453">
        <f>B321+2*B345</f>
        <v>224</v>
      </c>
      <c r="C326" s="460" t="s">
        <v>93</v>
      </c>
      <c r="D326" s="453">
        <f>D318+2*D345</f>
        <v>0</v>
      </c>
      <c r="E326" s="460" t="s">
        <v>93</v>
      </c>
      <c r="F326" s="453">
        <f>F318+2*F345</f>
        <v>0</v>
      </c>
      <c r="G326" s="460" t="s">
        <v>93</v>
      </c>
      <c r="H326" s="469"/>
      <c r="I326" s="1261"/>
    </row>
    <row r="327" spans="1:9" ht="14.55" customHeight="1" x14ac:dyDescent="0.3">
      <c r="A327" s="1258" t="s">
        <v>268</v>
      </c>
      <c r="B327" s="453">
        <f>B322+2*B345</f>
        <v>224</v>
      </c>
      <c r="C327" s="460" t="s">
        <v>93</v>
      </c>
      <c r="D327" s="453">
        <f>D319+2*D345</f>
        <v>0</v>
      </c>
      <c r="E327" s="460" t="s">
        <v>93</v>
      </c>
      <c r="F327" s="453">
        <f>F319+2*F345</f>
        <v>0</v>
      </c>
      <c r="G327" s="460" t="s">
        <v>93</v>
      </c>
      <c r="H327" s="469"/>
      <c r="I327" s="1261"/>
    </row>
    <row r="328" spans="1:9" ht="14.55" customHeight="1" x14ac:dyDescent="0.3">
      <c r="A328" s="1258" t="s">
        <v>269</v>
      </c>
      <c r="B328" s="453">
        <f>PI()*(B326+B327)/2*SQRT(B320^2+((B326-B327)/2)^2)/1000000</f>
        <v>0</v>
      </c>
      <c r="C328" s="460" t="s">
        <v>228</v>
      </c>
      <c r="D328" s="453">
        <f>PI()*(D326+D327)/2*SQRT(D320^2+((D326-D327)/2)^2)/1000000</f>
        <v>0</v>
      </c>
      <c r="E328" s="460" t="s">
        <v>228</v>
      </c>
      <c r="F328" s="453">
        <f>PI()*(F326+F327)/2*SQRT(F320^2+((F326-F327)/2)^2)/1000000</f>
        <v>0</v>
      </c>
      <c r="G328" s="460" t="s">
        <v>228</v>
      </c>
      <c r="H328" s="469"/>
      <c r="I328" s="1261"/>
    </row>
    <row r="329" spans="1:9" ht="14.55" customHeight="1" x14ac:dyDescent="0.3">
      <c r="A329" s="1258"/>
      <c r="B329" s="453"/>
      <c r="C329" s="460"/>
      <c r="D329" s="453"/>
      <c r="E329" s="460"/>
      <c r="F329" s="453"/>
      <c r="G329" s="460"/>
      <c r="H329" s="460"/>
      <c r="I329" s="1259"/>
    </row>
    <row r="330" spans="1:9" ht="14.55" customHeight="1" x14ac:dyDescent="0.3">
      <c r="A330" s="1258" t="s">
        <v>270</v>
      </c>
      <c r="B330" s="725">
        <v>12</v>
      </c>
      <c r="C330" s="460" t="s">
        <v>93</v>
      </c>
      <c r="D330" s="725"/>
      <c r="E330" s="460" t="s">
        <v>93</v>
      </c>
      <c r="F330" s="725"/>
      <c r="G330" s="460" t="s">
        <v>93</v>
      </c>
      <c r="H330" s="460"/>
      <c r="I330" s="1259"/>
    </row>
    <row r="331" spans="1:9" ht="14.55" customHeight="1" x14ac:dyDescent="0.3">
      <c r="A331" s="1258" t="s">
        <v>271</v>
      </c>
      <c r="B331" s="453">
        <f>((D279/10)*B296/2)/(IF(B274="div.1",B287,B290)-0.5*D279/10)</f>
        <v>10.659114315139032</v>
      </c>
      <c r="C331" s="460" t="s">
        <v>93</v>
      </c>
      <c r="D331" s="453">
        <f>((D279/10)*D296/2)/(IF(B274="div.1",B287,B290)-0.5*D279/10)</f>
        <v>0</v>
      </c>
      <c r="E331" s="460" t="s">
        <v>93</v>
      </c>
      <c r="F331" s="453" t="e">
        <f>((D279/10)*F296/2)/(IF(B274="div.1",F287,F290)-0.5*D279/10)</f>
        <v>#N/A</v>
      </c>
      <c r="G331" s="460" t="s">
        <v>93</v>
      </c>
      <c r="H331" s="460"/>
      <c r="I331" s="1259"/>
    </row>
    <row r="332" spans="1:9" ht="14.55" customHeight="1" x14ac:dyDescent="0.3">
      <c r="A332" s="1258" t="s">
        <v>272</v>
      </c>
      <c r="B332" s="453">
        <f>B306/2*(EXP(D279/(10*IF(B274="div.1",B288,B291)))-1)</f>
        <v>10.658811885177528</v>
      </c>
      <c r="C332" s="460" t="s">
        <v>93</v>
      </c>
      <c r="D332" s="453">
        <f>D306/2*(EXP(D279/(10*IF(B274="div.1",B288,B291)))-1)</f>
        <v>0</v>
      </c>
      <c r="E332" s="460" t="s">
        <v>93</v>
      </c>
      <c r="F332" s="453" t="e">
        <f>F306/2*(EXP(D279/(10*IF(B274="div.1",F288,F291)))-1)</f>
        <v>#N/A</v>
      </c>
      <c r="G332" s="460" t="s">
        <v>93</v>
      </c>
      <c r="H332" s="460"/>
      <c r="I332" s="1259"/>
    </row>
    <row r="333" spans="1:9" ht="14.55" customHeight="1" x14ac:dyDescent="0.3">
      <c r="A333" s="1258" t="s">
        <v>273</v>
      </c>
      <c r="B333" s="453">
        <f>B318/2*(EXP(D279/(10*IF(B274="div.1",B288,B291)))-1)</f>
        <v>0</v>
      </c>
      <c r="C333" s="460" t="s">
        <v>93</v>
      </c>
      <c r="D333" s="453">
        <f>D318/2*(EXP(D279/(10*IF(B274="div.1",B288,B291)))-1)</f>
        <v>0</v>
      </c>
      <c r="E333" s="460" t="s">
        <v>93</v>
      </c>
      <c r="F333" s="453" t="e">
        <f>F318/2*(EXP(D279/(10*IF(B274="div.1",F288,F291)))-1)</f>
        <v>#N/A</v>
      </c>
      <c r="G333" s="460" t="s">
        <v>93</v>
      </c>
      <c r="H333" s="460"/>
      <c r="I333" s="1259"/>
    </row>
    <row r="334" spans="1:9" ht="14.55" customHeight="1" x14ac:dyDescent="0.3">
      <c r="A334" s="1258" t="s">
        <v>274</v>
      </c>
      <c r="B334" s="725">
        <v>0</v>
      </c>
      <c r="C334" s="460" t="s">
        <v>93</v>
      </c>
      <c r="D334" s="725"/>
      <c r="E334" s="460" t="s">
        <v>93</v>
      </c>
      <c r="F334" s="725"/>
      <c r="G334" s="460" t="s">
        <v>93</v>
      </c>
      <c r="H334" s="460"/>
      <c r="I334" s="1259"/>
    </row>
    <row r="335" spans="1:9" ht="14.55" customHeight="1" x14ac:dyDescent="0.3">
      <c r="A335" s="1258" t="s">
        <v>275</v>
      </c>
      <c r="B335" s="725">
        <v>0</v>
      </c>
      <c r="C335" s="460" t="s">
        <v>93</v>
      </c>
      <c r="D335" s="725"/>
      <c r="E335" s="460" t="s">
        <v>93</v>
      </c>
      <c r="F335" s="725"/>
      <c r="G335" s="460" t="s">
        <v>93</v>
      </c>
      <c r="H335" s="460"/>
      <c r="I335" s="1259"/>
    </row>
    <row r="336" spans="1:9" ht="14.55" customHeight="1" x14ac:dyDescent="0.3">
      <c r="A336" s="1258" t="s">
        <v>276</v>
      </c>
      <c r="B336" s="725">
        <v>0</v>
      </c>
      <c r="C336" s="460" t="s">
        <v>93</v>
      </c>
      <c r="D336" s="725"/>
      <c r="E336" s="460" t="s">
        <v>93</v>
      </c>
      <c r="F336" s="725"/>
      <c r="G336" s="460" t="s">
        <v>93</v>
      </c>
      <c r="H336" s="460"/>
      <c r="I336" s="1259"/>
    </row>
    <row r="337" spans="1:9" ht="14.55" customHeight="1" x14ac:dyDescent="0.3">
      <c r="A337" s="1258" t="s">
        <v>277</v>
      </c>
      <c r="B337" s="453">
        <f>IF((CEILING(B331,1)+B334)&lt;B330,B330,CEILING(B331,1)+B334)</f>
        <v>12</v>
      </c>
      <c r="C337" s="460" t="s">
        <v>93</v>
      </c>
      <c r="D337" s="453">
        <f>IF((CEILING(D331,1)+D334)&lt;D330,D330,CEILING(D331,1)+D334)</f>
        <v>0</v>
      </c>
      <c r="E337" s="460" t="s">
        <v>93</v>
      </c>
      <c r="F337" s="453" t="e">
        <f>IF((CEILING(F331,1)+F334)&lt;F330,F330,CEILING(F331,1)+F334)</f>
        <v>#N/A</v>
      </c>
      <c r="G337" s="460" t="s">
        <v>93</v>
      </c>
      <c r="H337" s="460"/>
      <c r="I337" s="1259"/>
    </row>
    <row r="338" spans="1:9" ht="14.55" customHeight="1" x14ac:dyDescent="0.3">
      <c r="A338" s="1258" t="s">
        <v>278</v>
      </c>
      <c r="B338" s="453">
        <f>IF((CEILING(B332,1)+B335)&lt;=B330,B330,CEILING(B332,1)+B335)</f>
        <v>12</v>
      </c>
      <c r="C338" s="460" t="s">
        <v>93</v>
      </c>
      <c r="D338" s="453">
        <f>IF((CEILING(D332,1)+D335)&lt;=D330,D330,CEILING(D332,1)+D335)</f>
        <v>0</v>
      </c>
      <c r="E338" s="460" t="s">
        <v>93</v>
      </c>
      <c r="F338" s="453" t="e">
        <f>IF((CEILING(F332,1)+F335)&lt;=F330,F330,CEILING(F332,1)+F335)</f>
        <v>#N/A</v>
      </c>
      <c r="G338" s="460" t="s">
        <v>93</v>
      </c>
      <c r="H338" s="460"/>
      <c r="I338" s="1259"/>
    </row>
    <row r="339" spans="1:9" ht="14.55" customHeight="1" x14ac:dyDescent="0.3">
      <c r="A339" s="1258" t="s">
        <v>279</v>
      </c>
      <c r="B339" s="453">
        <f>IF((CEILING(B333,1)+B336)&lt;=B330,B330,CEILING(B333,1)+B336)</f>
        <v>12</v>
      </c>
      <c r="C339" s="460" t="s">
        <v>93</v>
      </c>
      <c r="D339" s="453">
        <f>IF((CEILING(D333,1)+D336)&lt;=D330,D330,CEILING(D333,1)+D336)</f>
        <v>0</v>
      </c>
      <c r="E339" s="460" t="s">
        <v>93</v>
      </c>
      <c r="F339" s="453" t="e">
        <f>IF((CEILING(F333,1)+F336)&lt;=F330,F330,CEILING(F333,1)+F336)</f>
        <v>#N/A</v>
      </c>
      <c r="G339" s="460" t="s">
        <v>93</v>
      </c>
      <c r="H339" s="460"/>
      <c r="I339" s="1259"/>
    </row>
    <row r="340" spans="1:9" ht="14.55" customHeight="1" x14ac:dyDescent="0.3">
      <c r="A340" s="1258" t="s">
        <v>280</v>
      </c>
      <c r="B340" s="453"/>
      <c r="C340" s="460"/>
      <c r="D340" s="453"/>
      <c r="E340" s="460"/>
      <c r="F340" s="726"/>
      <c r="G340" s="460"/>
      <c r="H340" s="460"/>
      <c r="I340" s="1259"/>
    </row>
    <row r="341" spans="1:9" ht="14.55" customHeight="1" x14ac:dyDescent="0.3">
      <c r="A341" s="1258" t="s">
        <v>281</v>
      </c>
      <c r="B341" s="453"/>
      <c r="C341" s="460"/>
      <c r="D341" s="453"/>
      <c r="E341" s="460"/>
      <c r="F341" s="460">
        <f>IFERROR(VLOOKUP(F295,'Thickness Tab'!$1:$1048576,MATCH(F340,'Thickness Tab'!$1:$1,0),0),0)</f>
        <v>0</v>
      </c>
      <c r="G341" s="460" t="s">
        <v>93</v>
      </c>
      <c r="H341" s="460"/>
      <c r="I341" s="1259"/>
    </row>
    <row r="342" spans="1:9" ht="14.55" customHeight="1" x14ac:dyDescent="0.3">
      <c r="A342" s="1258"/>
      <c r="B342" s="464"/>
      <c r="C342" s="460"/>
      <c r="D342" s="460"/>
      <c r="E342" s="460"/>
      <c r="F342" s="460"/>
      <c r="G342" s="460"/>
      <c r="H342" s="460"/>
      <c r="I342" s="1259"/>
    </row>
    <row r="343" spans="1:9" ht="14.55" customHeight="1" x14ac:dyDescent="0.3">
      <c r="A343" s="1258" t="s">
        <v>282</v>
      </c>
      <c r="B343" s="725">
        <v>100</v>
      </c>
      <c r="C343" s="460" t="s">
        <v>93</v>
      </c>
      <c r="D343" s="725">
        <v>0</v>
      </c>
      <c r="E343" s="460" t="s">
        <v>93</v>
      </c>
      <c r="F343" s="725">
        <v>0</v>
      </c>
      <c r="G343" s="460" t="s">
        <v>93</v>
      </c>
      <c r="H343" s="460"/>
      <c r="I343" s="1259"/>
    </row>
    <row r="344" spans="1:9" ht="14.55" customHeight="1" x14ac:dyDescent="0.3">
      <c r="A344" s="1258" t="s">
        <v>283</v>
      </c>
      <c r="B344" s="725">
        <v>100</v>
      </c>
      <c r="C344" s="460" t="s">
        <v>93</v>
      </c>
      <c r="D344" s="725">
        <v>0</v>
      </c>
      <c r="E344" s="460" t="s">
        <v>93</v>
      </c>
      <c r="F344" s="725">
        <v>0</v>
      </c>
      <c r="G344" s="460" t="s">
        <v>93</v>
      </c>
      <c r="H344" s="460"/>
      <c r="I344" s="1259"/>
    </row>
    <row r="345" spans="1:9" ht="14.55" customHeight="1" x14ac:dyDescent="0.3">
      <c r="A345" s="1258" t="s">
        <v>284</v>
      </c>
      <c r="B345" s="725">
        <v>100</v>
      </c>
      <c r="C345" s="460" t="s">
        <v>93</v>
      </c>
      <c r="D345" s="725">
        <v>0</v>
      </c>
      <c r="E345" s="460" t="s">
        <v>93</v>
      </c>
      <c r="F345" s="725">
        <v>0</v>
      </c>
      <c r="G345" s="460" t="s">
        <v>93</v>
      </c>
      <c r="H345" s="460"/>
      <c r="I345" s="1259"/>
    </row>
    <row r="346" spans="1:9" ht="14.55" customHeight="1" x14ac:dyDescent="0.3">
      <c r="A346" s="1258"/>
      <c r="B346" s="464"/>
      <c r="C346" s="460"/>
      <c r="D346" s="460"/>
      <c r="E346" s="460"/>
      <c r="F346" s="460"/>
      <c r="G346" s="460"/>
      <c r="H346" s="460"/>
      <c r="I346" s="1259"/>
    </row>
    <row r="347" spans="1:9" ht="14.55" customHeight="1" x14ac:dyDescent="0.3">
      <c r="A347" s="1260" t="s">
        <v>285</v>
      </c>
      <c r="B347" s="470" t="str">
        <f>IF(B275="Horizontal","No Skirt","")</f>
        <v/>
      </c>
      <c r="C347" s="460"/>
      <c r="D347" s="471"/>
      <c r="E347" s="471" t="s">
        <v>286</v>
      </c>
      <c r="F347" s="460"/>
      <c r="G347" s="469"/>
      <c r="H347" s="469"/>
      <c r="I347" s="1261"/>
    </row>
    <row r="348" spans="1:9" ht="14.55" customHeight="1" x14ac:dyDescent="0.3">
      <c r="A348" s="1258" t="s">
        <v>287</v>
      </c>
      <c r="B348" s="722">
        <v>8</v>
      </c>
      <c r="C348" s="456" t="s">
        <v>93</v>
      </c>
      <c r="D348" s="472"/>
      <c r="E348" s="472" t="s">
        <v>288</v>
      </c>
      <c r="F348" s="725"/>
      <c r="G348" s="460" t="s">
        <v>93</v>
      </c>
      <c r="H348" s="469"/>
      <c r="I348" s="1261"/>
    </row>
    <row r="349" spans="1:9" ht="14.55" customHeight="1" x14ac:dyDescent="0.3">
      <c r="A349" s="1258" t="s">
        <v>289</v>
      </c>
      <c r="B349" s="722">
        <v>2000</v>
      </c>
      <c r="C349" s="456" t="s">
        <v>93</v>
      </c>
      <c r="D349" s="472"/>
      <c r="E349" s="472" t="s">
        <v>290</v>
      </c>
      <c r="F349" s="725"/>
      <c r="G349" s="460" t="s">
        <v>93</v>
      </c>
      <c r="H349" s="469"/>
      <c r="I349" s="1261"/>
    </row>
    <row r="350" spans="1:9" ht="14.55" customHeight="1" x14ac:dyDescent="0.3">
      <c r="A350" s="1258" t="s">
        <v>291</v>
      </c>
      <c r="B350" s="722">
        <v>1300</v>
      </c>
      <c r="C350" s="456" t="s">
        <v>93</v>
      </c>
      <c r="D350" s="472"/>
      <c r="E350" s="472" t="s">
        <v>292</v>
      </c>
      <c r="F350" s="725"/>
      <c r="G350" s="460"/>
      <c r="H350" s="469"/>
      <c r="I350" s="1261"/>
    </row>
    <row r="351" spans="1:9" ht="14.55" customHeight="1" x14ac:dyDescent="0.3">
      <c r="A351" s="1258" t="s">
        <v>293</v>
      </c>
      <c r="B351" s="722">
        <v>1500</v>
      </c>
      <c r="C351" s="456" t="s">
        <v>93</v>
      </c>
      <c r="D351" s="472"/>
      <c r="E351" s="472" t="s">
        <v>184</v>
      </c>
      <c r="F351" s="457">
        <f>(PI()*F348^2)/4*F349*(7800/1000000000)</f>
        <v>0</v>
      </c>
      <c r="G351" s="460" t="s">
        <v>222</v>
      </c>
      <c r="H351" s="460"/>
      <c r="I351" s="1259"/>
    </row>
    <row r="352" spans="1:9" ht="14.55" customHeight="1" x14ac:dyDescent="0.3">
      <c r="A352" s="1258" t="s">
        <v>294</v>
      </c>
      <c r="B352" s="722">
        <v>8</v>
      </c>
      <c r="C352" s="456" t="s">
        <v>93</v>
      </c>
      <c r="D352" s="460"/>
      <c r="E352" s="460"/>
      <c r="F352" s="460"/>
      <c r="G352" s="460"/>
      <c r="H352" s="460"/>
      <c r="I352" s="1259"/>
    </row>
    <row r="353" spans="1:9" ht="14.55" customHeight="1" x14ac:dyDescent="0.3">
      <c r="A353" s="1258"/>
      <c r="B353" s="407"/>
      <c r="C353" s="460"/>
      <c r="D353" s="460"/>
      <c r="E353" s="460"/>
      <c r="F353" s="460"/>
      <c r="G353" s="460"/>
      <c r="H353" s="460"/>
      <c r="I353" s="1259"/>
    </row>
    <row r="354" spans="1:9" ht="14.55" customHeight="1" x14ac:dyDescent="0.3">
      <c r="A354" s="1262" t="s">
        <v>295</v>
      </c>
      <c r="B354" s="480"/>
      <c r="C354" s="59"/>
      <c r="D354" s="59"/>
      <c r="E354" s="59"/>
      <c r="F354" s="460"/>
      <c r="G354" s="460"/>
      <c r="H354" s="460"/>
      <c r="I354" s="1259"/>
    </row>
    <row r="355" spans="1:9" ht="14.55" customHeight="1" x14ac:dyDescent="0.3">
      <c r="A355" s="1263" t="s">
        <v>296</v>
      </c>
      <c r="B355" s="722"/>
      <c r="C355" s="59" t="s">
        <v>93</v>
      </c>
      <c r="D355" s="59"/>
      <c r="E355" s="59"/>
      <c r="F355" s="460"/>
      <c r="G355" s="460"/>
      <c r="H355" s="460"/>
      <c r="I355" s="1259"/>
    </row>
    <row r="356" spans="1:9" ht="14.55" customHeight="1" x14ac:dyDescent="0.3">
      <c r="A356" s="1263" t="s">
        <v>297</v>
      </c>
      <c r="B356" s="722"/>
      <c r="C356" s="59" t="s">
        <v>93</v>
      </c>
      <c r="D356" s="59"/>
      <c r="E356" s="59"/>
      <c r="F356" s="460"/>
      <c r="G356" s="460"/>
      <c r="H356" s="460"/>
      <c r="I356" s="1259"/>
    </row>
    <row r="357" spans="1:9" ht="14.55" customHeight="1" x14ac:dyDescent="0.3">
      <c r="A357" s="1263" t="s">
        <v>298</v>
      </c>
      <c r="B357" s="480">
        <f>B298</f>
        <v>4650</v>
      </c>
      <c r="C357" s="59" t="s">
        <v>93</v>
      </c>
      <c r="D357" s="59"/>
      <c r="E357" s="59"/>
      <c r="F357" s="460"/>
      <c r="G357" s="460"/>
      <c r="H357" s="460"/>
      <c r="I357" s="1259"/>
    </row>
    <row r="358" spans="1:9" ht="14.55" customHeight="1" x14ac:dyDescent="0.3">
      <c r="A358" s="1263" t="s">
        <v>299</v>
      </c>
      <c r="B358" s="727"/>
      <c r="C358" s="59"/>
      <c r="D358" s="59"/>
      <c r="E358" s="59"/>
      <c r="F358" s="460"/>
      <c r="G358" s="460"/>
      <c r="H358" s="460"/>
      <c r="I358" s="1259"/>
    </row>
    <row r="359" spans="1:9" ht="14.55" customHeight="1" x14ac:dyDescent="0.3">
      <c r="A359" s="1263" t="s">
        <v>300</v>
      </c>
      <c r="B359" s="722"/>
      <c r="C359" s="59" t="s">
        <v>301</v>
      </c>
      <c r="D359" s="59"/>
      <c r="E359" s="59"/>
      <c r="F359" s="460"/>
      <c r="G359" s="460"/>
      <c r="H359" s="460"/>
      <c r="I359" s="1259"/>
    </row>
    <row r="360" spans="1:9" ht="14.55" customHeight="1" x14ac:dyDescent="0.3">
      <c r="A360" s="1263" t="s">
        <v>302</v>
      </c>
      <c r="B360" s="480">
        <f>IF(B358="Straight",B357,B357*2)</f>
        <v>9300</v>
      </c>
      <c r="C360" s="59" t="s">
        <v>93</v>
      </c>
      <c r="D360" s="480"/>
      <c r="E360" s="59"/>
      <c r="F360" s="460"/>
      <c r="G360" s="460"/>
      <c r="H360" s="460"/>
      <c r="I360" s="1259"/>
    </row>
    <row r="361" spans="1:9" ht="14.55" customHeight="1" x14ac:dyDescent="0.3">
      <c r="A361" s="1263" t="s">
        <v>303</v>
      </c>
      <c r="B361" s="480">
        <f>B355*PI()*B360/1000000*B359</f>
        <v>0</v>
      </c>
      <c r="C361" s="59" t="s">
        <v>228</v>
      </c>
      <c r="D361" s="59"/>
      <c r="E361" s="59"/>
      <c r="F361" s="460"/>
      <c r="G361" s="460"/>
      <c r="H361" s="460"/>
      <c r="I361" s="1259"/>
    </row>
    <row r="362" spans="1:9" ht="14.55" customHeight="1" x14ac:dyDescent="0.3">
      <c r="A362" s="1263" t="s">
        <v>304</v>
      </c>
      <c r="B362" s="480">
        <v>7.86</v>
      </c>
      <c r="C362" s="59" t="s">
        <v>305</v>
      </c>
      <c r="D362" s="59"/>
      <c r="E362" s="59"/>
      <c r="F362" s="460"/>
      <c r="G362" s="460"/>
      <c r="H362" s="460"/>
      <c r="I362" s="1259"/>
    </row>
    <row r="363" spans="1:9" ht="14.55" customHeight="1" x14ac:dyDescent="0.3">
      <c r="A363" s="1263" t="s">
        <v>306</v>
      </c>
      <c r="B363" s="480">
        <f>PI()*B356*(B355-B356)*B362/1000</f>
        <v>0</v>
      </c>
      <c r="C363" s="59" t="s">
        <v>307</v>
      </c>
      <c r="D363" s="59"/>
      <c r="E363" s="59"/>
      <c r="F363" s="460"/>
      <c r="G363" s="460"/>
      <c r="H363" s="460"/>
      <c r="I363" s="1259"/>
    </row>
    <row r="364" spans="1:9" ht="14.55" customHeight="1" x14ac:dyDescent="0.3">
      <c r="A364" s="1263" t="s">
        <v>308</v>
      </c>
      <c r="B364" s="480">
        <f>B363*B360*B359/1000</f>
        <v>0</v>
      </c>
      <c r="C364" s="59" t="s">
        <v>222</v>
      </c>
      <c r="D364" s="59"/>
      <c r="E364" s="59"/>
      <c r="F364" s="460"/>
      <c r="G364" s="460"/>
      <c r="H364" s="460"/>
      <c r="I364" s="1259"/>
    </row>
    <row r="365" spans="1:9" ht="14.55" customHeight="1" x14ac:dyDescent="0.3">
      <c r="A365" s="1263"/>
      <c r="B365" s="480"/>
      <c r="C365" s="59"/>
      <c r="D365" s="59"/>
      <c r="E365" s="59"/>
      <c r="F365" s="460"/>
      <c r="G365" s="460"/>
      <c r="H365" s="460"/>
      <c r="I365" s="1259"/>
    </row>
    <row r="366" spans="1:9" ht="14.55" customHeight="1" x14ac:dyDescent="0.3">
      <c r="A366" s="1262" t="s">
        <v>309</v>
      </c>
      <c r="B366" s="480"/>
      <c r="C366" s="59"/>
      <c r="D366" s="59"/>
      <c r="E366" s="59"/>
      <c r="F366" s="460"/>
      <c r="G366" s="460"/>
      <c r="H366" s="460"/>
      <c r="I366" s="1259"/>
    </row>
    <row r="367" spans="1:9" ht="14.55" customHeight="1" x14ac:dyDescent="0.3">
      <c r="A367" s="1263" t="s">
        <v>310</v>
      </c>
      <c r="B367" s="480">
        <f>B296</f>
        <v>1150</v>
      </c>
      <c r="C367" s="59" t="s">
        <v>93</v>
      </c>
      <c r="D367" s="59"/>
      <c r="E367" s="59"/>
      <c r="F367" s="460"/>
      <c r="G367" s="460"/>
      <c r="H367" s="460"/>
      <c r="I367" s="1259"/>
    </row>
    <row r="368" spans="1:9" ht="14.55" customHeight="1" x14ac:dyDescent="0.3">
      <c r="A368" s="1263" t="s">
        <v>297</v>
      </c>
      <c r="B368" s="480">
        <v>15</v>
      </c>
      <c r="C368" s="59" t="s">
        <v>93</v>
      </c>
      <c r="D368" s="59"/>
      <c r="E368" s="59"/>
      <c r="F368" s="460"/>
      <c r="G368" s="460"/>
      <c r="H368" s="460"/>
      <c r="I368" s="1259"/>
    </row>
    <row r="369" spans="1:9" ht="14.55" customHeight="1" x14ac:dyDescent="0.3">
      <c r="A369" s="1263" t="s">
        <v>311</v>
      </c>
      <c r="B369" s="480">
        <f>B367^2*PI()/4/1000000</f>
        <v>1.0386890710931254</v>
      </c>
      <c r="C369" s="59" t="s">
        <v>228</v>
      </c>
      <c r="D369" s="59"/>
      <c r="E369" s="59"/>
      <c r="F369" s="460"/>
      <c r="G369" s="460"/>
      <c r="H369" s="460"/>
      <c r="I369" s="1259"/>
    </row>
    <row r="370" spans="1:9" ht="14.55" customHeight="1" x14ac:dyDescent="0.3">
      <c r="A370" s="1263" t="s">
        <v>312</v>
      </c>
      <c r="B370" s="480">
        <f>B369*B368/1000*B362*2/1000</f>
        <v>2.4492288296375892E-4</v>
      </c>
      <c r="C370" s="59" t="s">
        <v>222</v>
      </c>
      <c r="D370" s="59"/>
      <c r="E370" s="59"/>
      <c r="F370" s="460"/>
      <c r="G370" s="460"/>
      <c r="H370" s="460"/>
      <c r="I370" s="1259"/>
    </row>
    <row r="371" spans="1:9" ht="14.55" customHeight="1" x14ac:dyDescent="0.3">
      <c r="A371" s="1263"/>
      <c r="B371" s="480"/>
      <c r="C371" s="59"/>
      <c r="D371" s="59"/>
      <c r="E371" s="59"/>
      <c r="F371" s="460"/>
      <c r="G371" s="460"/>
      <c r="H371" s="460"/>
      <c r="I371" s="1259"/>
    </row>
    <row r="372" spans="1:9" ht="14.55" customHeight="1" x14ac:dyDescent="0.3">
      <c r="A372" s="1263" t="s">
        <v>313</v>
      </c>
      <c r="B372" s="480">
        <f>B364+B370*2</f>
        <v>4.8984576592751784E-4</v>
      </c>
      <c r="C372" s="59" t="s">
        <v>222</v>
      </c>
      <c r="D372" s="59"/>
      <c r="E372" s="59"/>
      <c r="F372" s="460"/>
      <c r="G372" s="460"/>
      <c r="H372" s="460"/>
      <c r="I372" s="1259"/>
    </row>
    <row r="373" spans="1:9" ht="14.55" customHeight="1" x14ac:dyDescent="0.3">
      <c r="A373" s="1263"/>
      <c r="B373" s="480"/>
      <c r="C373" s="59"/>
      <c r="D373" s="59"/>
      <c r="E373" s="59"/>
      <c r="F373" s="460"/>
      <c r="G373" s="460"/>
      <c r="H373" s="460"/>
      <c r="I373" s="1259"/>
    </row>
    <row r="374" spans="1:9" ht="14.55" customHeight="1" x14ac:dyDescent="0.3">
      <c r="A374" s="1260" t="s">
        <v>314</v>
      </c>
      <c r="B374" s="460"/>
      <c r="C374" s="460"/>
      <c r="D374" s="463" t="s">
        <v>315</v>
      </c>
      <c r="E374" s="460"/>
      <c r="F374" s="460"/>
      <c r="G374" s="471" t="s">
        <v>316</v>
      </c>
      <c r="H374" s="453"/>
      <c r="I374" s="1259"/>
    </row>
    <row r="375" spans="1:9" ht="14.55" customHeight="1" x14ac:dyDescent="0.3">
      <c r="A375" s="1258" t="s">
        <v>189</v>
      </c>
      <c r="B375" s="468">
        <f>SUM(B299,D299,F299)</f>
        <v>1681.1328897620963</v>
      </c>
      <c r="C375" s="460" t="s">
        <v>222</v>
      </c>
      <c r="D375" s="472" t="s">
        <v>189</v>
      </c>
      <c r="E375" s="468">
        <f>SUM(B301,D301,F301)</f>
        <v>17.141573999999999</v>
      </c>
      <c r="F375" s="460" t="s">
        <v>228</v>
      </c>
      <c r="G375" s="472" t="s">
        <v>189</v>
      </c>
      <c r="H375" s="453">
        <f>SUM(B303,D303,F303)</f>
        <v>20.061774000000003</v>
      </c>
      <c r="I375" s="1259" t="s">
        <v>228</v>
      </c>
    </row>
    <row r="376" spans="1:9" ht="14.55" customHeight="1" x14ac:dyDescent="0.3">
      <c r="A376" s="1258" t="s">
        <v>317</v>
      </c>
      <c r="B376" s="468">
        <f>SUM(B309*B311,D309*D311,F309*F311)</f>
        <v>297.75261652920148</v>
      </c>
      <c r="C376" s="460" t="s">
        <v>222</v>
      </c>
      <c r="D376" s="472" t="s">
        <v>317</v>
      </c>
      <c r="E376" s="468">
        <f>SUM(B309*B313,D309*D313,F309*F313)</f>
        <v>5.4816173200000007</v>
      </c>
      <c r="F376" s="460" t="s">
        <v>228</v>
      </c>
      <c r="G376" s="472" t="s">
        <v>317</v>
      </c>
      <c r="H376" s="453">
        <f>SUM(B309*B315,D309*D315,F309*F315)</f>
        <v>6.8468893200000007</v>
      </c>
      <c r="I376" s="1259" t="s">
        <v>228</v>
      </c>
    </row>
    <row r="377" spans="1:9" ht="14.55" customHeight="1" x14ac:dyDescent="0.3">
      <c r="A377" s="1258" t="s">
        <v>318</v>
      </c>
      <c r="B377" s="468">
        <f>SUM(B323,D323,F323)</f>
        <v>0</v>
      </c>
      <c r="C377" s="460" t="s">
        <v>222</v>
      </c>
      <c r="D377" s="472" t="s">
        <v>318</v>
      </c>
      <c r="E377" s="468">
        <f>SUM(B325,D325,F325)</f>
        <v>0</v>
      </c>
      <c r="F377" s="460" t="s">
        <v>228</v>
      </c>
      <c r="G377" s="472" t="s">
        <v>318</v>
      </c>
      <c r="H377" s="453">
        <f>SUM(B328,D328,F328)</f>
        <v>0</v>
      </c>
      <c r="I377" s="1259" t="s">
        <v>228</v>
      </c>
    </row>
    <row r="378" spans="1:9" ht="14.55" customHeight="1" x14ac:dyDescent="0.3">
      <c r="A378" s="1258" t="s">
        <v>319</v>
      </c>
      <c r="B378" s="468">
        <f>SUMPRODUCT(F395:F406,H395:H406)</f>
        <v>650</v>
      </c>
      <c r="C378" s="460" t="s">
        <v>222</v>
      </c>
      <c r="D378" s="472" t="s">
        <v>319</v>
      </c>
      <c r="E378" s="468">
        <f>SUMPRODUCT(F395:F406,I395:I406)</f>
        <v>2.4171280359032092</v>
      </c>
      <c r="F378" s="460" t="s">
        <v>228</v>
      </c>
      <c r="G378" s="460"/>
      <c r="H378" s="453"/>
      <c r="I378" s="1259"/>
    </row>
    <row r="379" spans="1:9" ht="14.55" customHeight="1" x14ac:dyDescent="0.3">
      <c r="A379" s="1258" t="s">
        <v>320</v>
      </c>
      <c r="B379" s="468">
        <f>IF(B275="Horizontal",0,(PI()*B349*(((B297/2)^2)-(((B297-2*B348)/2)^2))*7860)/1000000000)</f>
        <v>460.67108300661744</v>
      </c>
      <c r="C379" s="460" t="s">
        <v>222</v>
      </c>
      <c r="D379" s="472" t="s">
        <v>320</v>
      </c>
      <c r="E379" s="468">
        <f>IF(B275="Horizontal",0,((B297*B349*PI())+((B297-2*B348)*B349*PI()))/1000000)</f>
        <v>14.652388136342795</v>
      </c>
      <c r="F379" s="460" t="s">
        <v>228</v>
      </c>
      <c r="G379" s="471" t="s">
        <v>321</v>
      </c>
      <c r="H379" s="453"/>
      <c r="I379" s="1259"/>
    </row>
    <row r="380" spans="1:9" ht="14.55" customHeight="1" x14ac:dyDescent="0.3">
      <c r="A380" s="1258" t="s">
        <v>322</v>
      </c>
      <c r="B380" s="468">
        <f>IF(B275="Horizontal",0,(PI()*B352*(((B351/2)^2)-((B350/2)^2))*7860)/1000000000)</f>
        <v>27.656068448081665</v>
      </c>
      <c r="C380" s="460" t="s">
        <v>222</v>
      </c>
      <c r="D380" s="472" t="s">
        <v>322</v>
      </c>
      <c r="E380" s="468">
        <f>IF(B275="Horizontal",0,((B351*3.14*B352)+(B350*3.14*B352)+(((((B351/2)^2)*3.14)-(((B350/2)^2)*3.14))*2))/1000000)</f>
        <v>0.94953600000000005</v>
      </c>
      <c r="F380" s="460" t="s">
        <v>228</v>
      </c>
      <c r="G380" s="472" t="s">
        <v>189</v>
      </c>
      <c r="H380" s="453">
        <f>SUM(B300,D300,F300)</f>
        <v>4.8299041805830329</v>
      </c>
      <c r="I380" s="1259" t="s">
        <v>225</v>
      </c>
    </row>
    <row r="381" spans="1:9" ht="14.55" customHeight="1" x14ac:dyDescent="0.3">
      <c r="A381" s="1258" t="s">
        <v>323</v>
      </c>
      <c r="B381" s="468">
        <f>IF(B275="Horizontal",VLOOKUP(B297,List!$AR:$AS,2,1)*2,0)</f>
        <v>0</v>
      </c>
      <c r="C381" s="460" t="s">
        <v>222</v>
      </c>
      <c r="D381" s="472" t="s">
        <v>323</v>
      </c>
      <c r="E381" s="725"/>
      <c r="F381" s="460" t="s">
        <v>228</v>
      </c>
      <c r="G381" s="472" t="s">
        <v>317</v>
      </c>
      <c r="H381" s="453">
        <f>SUM(B309*B312+D309*D312+F309*F312)</f>
        <v>0.39846925</v>
      </c>
      <c r="I381" s="1259" t="s">
        <v>225</v>
      </c>
    </row>
    <row r="382" spans="1:9" ht="14.55" customHeight="1" x14ac:dyDescent="0.3">
      <c r="A382" s="1258" t="s">
        <v>324</v>
      </c>
      <c r="B382" s="468">
        <f>F351*F350</f>
        <v>0</v>
      </c>
      <c r="C382" s="460" t="s">
        <v>222</v>
      </c>
      <c r="D382" s="460"/>
      <c r="E382" s="460"/>
      <c r="F382" s="460"/>
      <c r="G382" s="472" t="s">
        <v>318</v>
      </c>
      <c r="H382" s="453">
        <f>SUM(B324,D324,F324)</f>
        <v>0</v>
      </c>
      <c r="I382" s="1259" t="s">
        <v>225</v>
      </c>
    </row>
    <row r="383" spans="1:9" ht="14.55" customHeight="1" x14ac:dyDescent="0.3">
      <c r="A383" s="1258" t="s">
        <v>325</v>
      </c>
      <c r="B383" s="468">
        <f>B372</f>
        <v>4.8984576592751784E-4</v>
      </c>
      <c r="C383" s="460" t="s">
        <v>222</v>
      </c>
      <c r="D383" s="460"/>
      <c r="E383" s="460"/>
      <c r="F383" s="460"/>
      <c r="G383" s="472"/>
      <c r="H383" s="453"/>
      <c r="I383" s="1259"/>
    </row>
    <row r="384" spans="1:9" ht="14.55" customHeight="1" x14ac:dyDescent="0.3">
      <c r="A384" s="1258" t="s">
        <v>326</v>
      </c>
      <c r="B384" s="725">
        <v>300</v>
      </c>
      <c r="C384" s="460" t="s">
        <v>222</v>
      </c>
      <c r="D384" s="460"/>
      <c r="E384" s="460"/>
      <c r="F384" s="460"/>
      <c r="G384" s="460"/>
      <c r="H384" s="460"/>
      <c r="I384" s="1259"/>
    </row>
    <row r="385" spans="1:9" ht="14.55" customHeight="1" x14ac:dyDescent="0.3">
      <c r="A385" s="1264"/>
      <c r="B385" s="460"/>
      <c r="C385" s="460"/>
      <c r="D385" s="460"/>
      <c r="E385" s="460"/>
      <c r="F385" s="460"/>
      <c r="G385" s="460"/>
      <c r="H385" s="460"/>
      <c r="I385" s="1259"/>
    </row>
    <row r="386" spans="1:9" ht="14.55" customHeight="1" x14ac:dyDescent="0.3">
      <c r="A386" s="1258" t="s">
        <v>327</v>
      </c>
      <c r="B386" s="453">
        <f>SUM(E375:E381)</f>
        <v>40.642243492246003</v>
      </c>
      <c r="C386" s="460" t="s">
        <v>228</v>
      </c>
      <c r="D386" s="460"/>
      <c r="E386" s="460"/>
      <c r="F386" s="460"/>
      <c r="G386" s="460"/>
      <c r="H386" s="460"/>
      <c r="I386" s="1259"/>
    </row>
    <row r="387" spans="1:9" ht="14.55" customHeight="1" x14ac:dyDescent="0.3">
      <c r="A387" s="1258" t="s">
        <v>328</v>
      </c>
      <c r="B387" s="453">
        <f>IF(SUM(E375:E377)=SUM(H375:H377),"Not Insulated",SUM(H375:H377))</f>
        <v>26.908663320000002</v>
      </c>
      <c r="C387" s="460" t="str">
        <f>IF(B386=SUM(H375:H377),"","m2")</f>
        <v>m2</v>
      </c>
      <c r="D387" s="460"/>
      <c r="E387" s="460"/>
      <c r="F387" s="460"/>
      <c r="G387" s="460"/>
      <c r="H387" s="460"/>
      <c r="I387" s="1259"/>
    </row>
    <row r="388" spans="1:9" ht="14.55" customHeight="1" x14ac:dyDescent="0.3">
      <c r="A388" s="1258" t="s">
        <v>329</v>
      </c>
      <c r="B388" s="453">
        <f>SUM(H380:H382)</f>
        <v>5.2283734305830327</v>
      </c>
      <c r="C388" s="460" t="s">
        <v>225</v>
      </c>
      <c r="D388" s="460"/>
      <c r="E388" s="460"/>
      <c r="F388" s="460"/>
      <c r="G388" s="460"/>
      <c r="H388" s="460"/>
      <c r="I388" s="1259"/>
    </row>
    <row r="389" spans="1:9" ht="14.55" customHeight="1" x14ac:dyDescent="0.3">
      <c r="A389" s="1258" t="s">
        <v>330</v>
      </c>
      <c r="B389" s="453">
        <f>SUM(B375:B384)</f>
        <v>3417.2131475917631</v>
      </c>
      <c r="C389" s="460" t="s">
        <v>222</v>
      </c>
      <c r="D389" s="460"/>
      <c r="E389" s="460"/>
      <c r="F389" s="460"/>
      <c r="G389" s="460"/>
      <c r="H389" s="460"/>
      <c r="I389" s="1259"/>
    </row>
    <row r="390" spans="1:9" ht="14.55" customHeight="1" x14ac:dyDescent="0.3">
      <c r="A390" s="1258" t="s">
        <v>331</v>
      </c>
      <c r="B390" s="725">
        <v>3500</v>
      </c>
      <c r="C390" s="460" t="s">
        <v>222</v>
      </c>
      <c r="D390" s="460"/>
      <c r="E390" s="460"/>
      <c r="F390" s="460"/>
      <c r="G390" s="460"/>
      <c r="H390" s="460"/>
      <c r="I390" s="1259"/>
    </row>
    <row r="391" spans="1:9" ht="15" customHeight="1" thickBot="1" x14ac:dyDescent="0.35">
      <c r="A391" s="1258"/>
      <c r="B391" s="473"/>
      <c r="C391" s="459"/>
      <c r="D391" s="460"/>
      <c r="E391" s="460"/>
      <c r="F391" s="460"/>
      <c r="G391" s="460"/>
      <c r="H391" s="460"/>
      <c r="I391" s="1259"/>
    </row>
    <row r="392" spans="1:9" ht="15" customHeight="1" thickBot="1" x14ac:dyDescent="0.35">
      <c r="A392" s="474"/>
      <c r="B392" s="1718" t="s">
        <v>332</v>
      </c>
      <c r="C392" s="1718"/>
      <c r="D392" s="1718"/>
      <c r="E392" s="1718"/>
      <c r="F392" s="1718"/>
      <c r="G392" s="475"/>
      <c r="H392" s="475"/>
      <c r="I392" s="476"/>
    </row>
    <row r="393" spans="1:9" ht="14.55" customHeight="1" x14ac:dyDescent="0.3">
      <c r="A393" s="1264"/>
      <c r="B393" s="1719" t="s">
        <v>333</v>
      </c>
      <c r="C393" s="1381" t="s">
        <v>59</v>
      </c>
      <c r="D393" s="1719" t="s">
        <v>114</v>
      </c>
      <c r="E393" s="1719" t="s">
        <v>334</v>
      </c>
      <c r="F393" s="1719" t="s">
        <v>292</v>
      </c>
      <c r="G393" s="1719" t="s">
        <v>335</v>
      </c>
      <c r="H393" s="1381" t="s">
        <v>184</v>
      </c>
      <c r="I393" s="1346" t="s">
        <v>336</v>
      </c>
    </row>
    <row r="394" spans="1:9" ht="14.55" customHeight="1" x14ac:dyDescent="0.3">
      <c r="A394" s="1264"/>
      <c r="B394" s="1720"/>
      <c r="C394" s="1442" t="s">
        <v>214</v>
      </c>
      <c r="D394" s="1720"/>
      <c r="E394" s="1720"/>
      <c r="F394" s="1720"/>
      <c r="G394" s="1720"/>
      <c r="H394" s="1442" t="s">
        <v>222</v>
      </c>
      <c r="I394" s="1443" t="s">
        <v>228</v>
      </c>
    </row>
    <row r="395" spans="1:9" ht="14.55" customHeight="1" x14ac:dyDescent="0.3">
      <c r="A395" s="1264"/>
      <c r="B395" s="1382" t="s">
        <v>337</v>
      </c>
      <c r="C395" s="728">
        <v>6</v>
      </c>
      <c r="D395" s="729">
        <v>300</v>
      </c>
      <c r="E395" s="730" t="s">
        <v>338</v>
      </c>
      <c r="F395" s="730">
        <v>1</v>
      </c>
      <c r="G395" s="730" t="s">
        <v>339</v>
      </c>
      <c r="H395" s="1465">
        <f>IFERROR(VLOOKUP($C395&amp;"F"&amp;$D395,'Flanges Chart'!$1:$1048576,MATCH($E395&amp;"."&amp;H$123,'Flanges Chart'!$1:$1,0),0),"")</f>
        <v>19</v>
      </c>
      <c r="I395" s="1466">
        <f>IFERROR(VLOOKUP($C395&amp;"F"&amp;$D395,'Flanges Chart'!$1:$1048576,MATCH($E395&amp;"."&amp;I$123,'Flanges Chart'!$1:$1,0),0),"")</f>
        <v>0.14845099712899298</v>
      </c>
    </row>
    <row r="396" spans="1:9" ht="14.55" customHeight="1" x14ac:dyDescent="0.3">
      <c r="A396" s="1264"/>
      <c r="B396" s="1467" t="s">
        <v>340</v>
      </c>
      <c r="C396" s="731">
        <v>6</v>
      </c>
      <c r="D396" s="729">
        <v>300</v>
      </c>
      <c r="E396" s="729" t="s">
        <v>338</v>
      </c>
      <c r="F396" s="729">
        <v>1</v>
      </c>
      <c r="G396" s="729" t="s">
        <v>341</v>
      </c>
      <c r="H396" s="1465">
        <f>IFERROR(VLOOKUP($C396&amp;"F"&amp;$D396,'Flanges Chart'!$1:$1048576,MATCH($E396&amp;"."&amp;H$123,'Flanges Chart'!$1:$1,0),0),"")</f>
        <v>19</v>
      </c>
      <c r="I396" s="1466">
        <f>IFERROR(VLOOKUP($C396&amp;"F"&amp;$D396,'Flanges Chart'!$1:$1048576,MATCH($E396&amp;"."&amp;I$123,'Flanges Chart'!$1:$1,0),0),"")</f>
        <v>0.14845099712899298</v>
      </c>
    </row>
    <row r="397" spans="1:9" ht="14.55" customHeight="1" x14ac:dyDescent="0.3">
      <c r="A397" s="1264"/>
      <c r="B397" s="1467" t="s">
        <v>342</v>
      </c>
      <c r="C397" s="731">
        <v>1.5</v>
      </c>
      <c r="D397" s="729">
        <v>300</v>
      </c>
      <c r="E397" s="729" t="s">
        <v>338</v>
      </c>
      <c r="F397" s="729">
        <v>1</v>
      </c>
      <c r="G397" s="729" t="s">
        <v>339</v>
      </c>
      <c r="H397" s="1465">
        <f>IFERROR(VLOOKUP($C397&amp;"F"&amp;$D397,'Flanges Chart'!$1:$1048576,MATCH($E397&amp;"."&amp;H$123,'Flanges Chart'!$1:$1,0),0),"")</f>
        <v>3.5</v>
      </c>
      <c r="I397" s="1466">
        <f>IFERROR(VLOOKUP($C397&amp;"F"&amp;$D397,'Flanges Chart'!$1:$1048576,MATCH($E397&amp;"."&amp;I$123,'Flanges Chart'!$1:$1,0),0),"")</f>
        <v>3.6401696908997999E-2</v>
      </c>
    </row>
    <row r="398" spans="1:9" ht="14.55" customHeight="1" x14ac:dyDescent="0.3">
      <c r="A398" s="1264"/>
      <c r="B398" s="1467" t="s">
        <v>344</v>
      </c>
      <c r="C398" s="731">
        <v>0.5</v>
      </c>
      <c r="D398" s="729">
        <v>300</v>
      </c>
      <c r="E398" s="729" t="s">
        <v>338</v>
      </c>
      <c r="F398" s="729">
        <v>1</v>
      </c>
      <c r="G398" s="729" t="s">
        <v>358</v>
      </c>
      <c r="H398" s="1465">
        <f>IFERROR(VLOOKUP($C398&amp;"F"&amp;$D398,'Flanges Chart'!$1:$1048576,MATCH($E398&amp;"."&amp;H$123,'Flanges Chart'!$1:$1,0),0),"")</f>
        <v>1.5</v>
      </c>
      <c r="I398" s="1466">
        <f>IFERROR(VLOOKUP($C398&amp;"F"&amp;$D398,'Flanges Chart'!$1:$1048576,MATCH($E398&amp;"."&amp;I$123,'Flanges Chart'!$1:$1,0),0),"")</f>
        <v>1.3855648823465887E-2</v>
      </c>
    </row>
    <row r="399" spans="1:9" ht="14.55" customHeight="1" x14ac:dyDescent="0.3">
      <c r="A399" s="1264"/>
      <c r="B399" s="1467" t="s">
        <v>347</v>
      </c>
      <c r="C399" s="731">
        <v>1.5</v>
      </c>
      <c r="D399" s="729">
        <v>300</v>
      </c>
      <c r="E399" s="729" t="s">
        <v>338</v>
      </c>
      <c r="F399" s="729">
        <v>1</v>
      </c>
      <c r="G399" s="729" t="s">
        <v>341</v>
      </c>
      <c r="H399" s="1465">
        <f>IFERROR(VLOOKUP($C399&amp;"F"&amp;$D399,'Flanges Chart'!$1:$1048576,MATCH($E399&amp;"."&amp;H$123,'Flanges Chart'!$1:$1,0),0),"")</f>
        <v>3.5</v>
      </c>
      <c r="I399" s="1466">
        <f>IFERROR(VLOOKUP($C399&amp;"F"&amp;$D399,'Flanges Chart'!$1:$1048576,MATCH($E399&amp;"."&amp;I$123,'Flanges Chart'!$1:$1,0),0),"")</f>
        <v>3.6401696908997999E-2</v>
      </c>
    </row>
    <row r="400" spans="1:9" ht="14.55" customHeight="1" x14ac:dyDescent="0.3">
      <c r="A400" s="1264"/>
      <c r="B400" s="1467" t="s">
        <v>349</v>
      </c>
      <c r="C400" s="731">
        <v>24</v>
      </c>
      <c r="D400" s="729">
        <v>300</v>
      </c>
      <c r="E400" s="729" t="s">
        <v>338</v>
      </c>
      <c r="F400" s="729">
        <v>1</v>
      </c>
      <c r="G400" s="729" t="s">
        <v>364</v>
      </c>
      <c r="H400" s="1465">
        <f>IFERROR(VLOOKUP($C400&amp;"F"&amp;$D400,'Flanges Chart'!$1:$1048576,MATCH($E400&amp;"."&amp;H$123,'Flanges Chart'!$1:$1,0),0),"")</f>
        <v>247</v>
      </c>
      <c r="I400" s="1466">
        <f>IFERROR(VLOOKUP($C400&amp;"F"&amp;$D400,'Flanges Chart'!$1:$1048576,MATCH($E400&amp;"."&amp;I$123,'Flanges Chart'!$1:$1,0),0),"")</f>
        <v>1.0448264865011785</v>
      </c>
    </row>
    <row r="401" spans="1:13" ht="14.55" customHeight="1" x14ac:dyDescent="0.3">
      <c r="A401" s="1264"/>
      <c r="B401" s="1467" t="s">
        <v>350</v>
      </c>
      <c r="C401" s="731">
        <v>4</v>
      </c>
      <c r="D401" s="729">
        <v>300</v>
      </c>
      <c r="E401" s="729" t="s">
        <v>338</v>
      </c>
      <c r="F401" s="729">
        <v>1</v>
      </c>
      <c r="G401" s="729" t="s">
        <v>4536</v>
      </c>
      <c r="H401" s="1465">
        <f>IFERROR(VLOOKUP($C401&amp;"F"&amp;$D401,'Flanges Chart'!$1:$1048576,MATCH($E401&amp;"."&amp;H$123,'Flanges Chart'!$1:$1,0),0),"")</f>
        <v>11</v>
      </c>
      <c r="I401" s="1466">
        <f>IFERROR(VLOOKUP($C401&amp;"F"&amp;$D401,'Flanges Chart'!$1:$1048576,MATCH($E401&amp;"."&amp;I$123,'Flanges Chart'!$1:$1,0),0),"")</f>
        <v>9.5508375075873231E-2</v>
      </c>
    </row>
    <row r="402" spans="1:13" ht="14.55" customHeight="1" x14ac:dyDescent="0.3">
      <c r="A402" s="1264"/>
      <c r="B402" s="1467" t="s">
        <v>351</v>
      </c>
      <c r="C402" s="731">
        <v>1.5</v>
      </c>
      <c r="D402" s="729">
        <v>300</v>
      </c>
      <c r="E402" s="729" t="s">
        <v>338</v>
      </c>
      <c r="F402" s="729">
        <v>1</v>
      </c>
      <c r="G402" s="729" t="s">
        <v>1949</v>
      </c>
      <c r="H402" s="1465">
        <f>IFERROR(VLOOKUP($C402&amp;"F"&amp;$D402,'Flanges Chart'!$1:$1048576,MATCH($E402&amp;"."&amp;H$123,'Flanges Chart'!$1:$1,0),0),"")</f>
        <v>3.5</v>
      </c>
      <c r="I402" s="1466">
        <f>IFERROR(VLOOKUP($C402&amp;"F"&amp;$D402,'Flanges Chart'!$1:$1048576,MATCH($E402&amp;"."&amp;I$123,'Flanges Chart'!$1:$1,0),0),"")</f>
        <v>3.6401696908997999E-2</v>
      </c>
    </row>
    <row r="403" spans="1:13" ht="14.55" customHeight="1" x14ac:dyDescent="0.3">
      <c r="A403" s="1264"/>
      <c r="B403" s="1467" t="s">
        <v>352</v>
      </c>
      <c r="C403" s="731">
        <v>24</v>
      </c>
      <c r="D403" s="729">
        <v>300</v>
      </c>
      <c r="E403" s="729" t="s">
        <v>345</v>
      </c>
      <c r="F403" s="729">
        <v>1</v>
      </c>
      <c r="G403" s="729" t="s">
        <v>364</v>
      </c>
      <c r="H403" s="1465">
        <f>IFERROR(VLOOKUP($C403&amp;"F"&amp;$D403,'Flanges Chart'!$1:$1048576,MATCH($E403&amp;"."&amp;H$123,'Flanges Chart'!$1:$1,0),0),"")</f>
        <v>342</v>
      </c>
      <c r="I403" s="1466">
        <f>IFERROR(VLOOKUP($C403&amp;"F"&amp;$D403,'Flanges Chart'!$1:$1048576,MATCH($E403&amp;"."&amp;I$123,'Flanges Chart'!$1:$1,0),0),"")</f>
        <v>0.85683044051771162</v>
      </c>
    </row>
    <row r="404" spans="1:13" ht="14.55" customHeight="1" x14ac:dyDescent="0.3">
      <c r="A404" s="1264"/>
      <c r="B404" s="1467" t="s">
        <v>353</v>
      </c>
      <c r="C404" s="731"/>
      <c r="D404" s="729"/>
      <c r="E404" s="729"/>
      <c r="F404" s="729"/>
      <c r="G404" s="729"/>
      <c r="H404" s="1465" t="str">
        <f>IFERROR(VLOOKUP($C404&amp;"F"&amp;$D404,'Flanges Chart'!$1:$1048576,MATCH($E404&amp;"."&amp;H$123,'Flanges Chart'!$1:$1,0),0),"")</f>
        <v/>
      </c>
      <c r="I404" s="1466" t="str">
        <f>IFERROR(VLOOKUP($C404&amp;"F"&amp;$D404,'Flanges Chart'!$1:$1048576,MATCH($E404&amp;"."&amp;I$123,'Flanges Chart'!$1:$1,0),0),"")</f>
        <v/>
      </c>
    </row>
    <row r="405" spans="1:13" ht="14.55" customHeight="1" x14ac:dyDescent="0.3">
      <c r="A405" s="1264"/>
      <c r="B405" s="1467" t="s">
        <v>354</v>
      </c>
      <c r="C405" s="731"/>
      <c r="D405" s="729"/>
      <c r="E405" s="729"/>
      <c r="F405" s="729"/>
      <c r="G405" s="729"/>
      <c r="H405" s="1465" t="str">
        <f>IFERROR(VLOOKUP($C405&amp;"F"&amp;$D405,'Flanges Chart'!$1:$1048576,MATCH($E405&amp;"."&amp;H$123,'Flanges Chart'!$1:$1,0),0),"")</f>
        <v/>
      </c>
      <c r="I405" s="1466" t="str">
        <f>IFERROR(VLOOKUP($C405&amp;"F"&amp;$D405,'Flanges Chart'!$1:$1048576,MATCH($E405&amp;"."&amp;I$123,'Flanges Chart'!$1:$1,0),0),"")</f>
        <v/>
      </c>
    </row>
    <row r="406" spans="1:13" ht="15" customHeight="1" thickBot="1" x14ac:dyDescent="0.35">
      <c r="A406" s="1264"/>
      <c r="B406" s="1468" t="s">
        <v>355</v>
      </c>
      <c r="C406" s="732"/>
      <c r="D406" s="733"/>
      <c r="E406" s="733"/>
      <c r="F406" s="733"/>
      <c r="G406" s="733"/>
      <c r="H406" s="1469" t="s">
        <v>356</v>
      </c>
      <c r="I406" s="1470" t="str">
        <f>IFERROR(VLOOKUP($C406&amp;"F"&amp;$D406,'Flanges Chart'!$1:$1048576,MATCH($E406&amp;"."&amp;I$123,'Flanges Chart'!$1:$1,0),0),"")</f>
        <v/>
      </c>
    </row>
    <row r="407" spans="1:13" s="496" customFormat="1" ht="18.600000000000001" thickBot="1" x14ac:dyDescent="0.35">
      <c r="A407" s="493" t="str">
        <f>"POS."&amp;K407&amp;" "&amp;VLOOKUP(K407,'Equip&amp;Mach List'!$1:$1048576,2,0)&amp;" "&amp;VLOOKUP(K407,'Equip&amp;Mach List'!$1:$1048576,3,0)</f>
        <v>POS.4 D-102 Hydrogen gas/water separator</v>
      </c>
      <c r="B407" s="511"/>
      <c r="C407" s="494"/>
      <c r="D407" s="495"/>
      <c r="E407" s="495"/>
      <c r="F407" s="497"/>
      <c r="G407" s="495"/>
      <c r="H407" s="495"/>
      <c r="I407" s="1255" t="str">
        <f>IFERROR("Weight Calc./Selected = "&amp;ROUND(B524,1)&amp;"/"&amp;B525&amp;" kg - Øi ="&amp;IF(B431=0,F431,B431)&amp;" mm"&amp;"T/T ="&amp;IF(B433=0,F433,B433)&amp;" mm - Material "&amp;B418&amp;"        ","")</f>
        <v xml:space="preserve">Weight Calc./Selected = 670,2/675 kg - Øi =400 mmT/T =1900 mm - Material SA-240 Gr.316L        </v>
      </c>
      <c r="K407" s="496">
        <v>4</v>
      </c>
      <c r="M407" s="1254"/>
    </row>
    <row r="408" spans="1:13" ht="14.55" customHeight="1" x14ac:dyDescent="0.3">
      <c r="A408" s="1256"/>
      <c r="B408" s="451"/>
      <c r="C408" s="451"/>
      <c r="D408" s="451"/>
      <c r="E408" s="451"/>
      <c r="F408" s="451"/>
      <c r="G408" s="451"/>
      <c r="H408" s="451"/>
      <c r="I408" s="1257"/>
      <c r="K408" s="477" t="s">
        <v>166</v>
      </c>
      <c r="L408" s="477" t="str">
        <f>K407&amp;"."&amp;K408</f>
        <v>4.Design Code</v>
      </c>
      <c r="M408" s="1252" t="str">
        <f>A409&amp;" "&amp;B409</f>
        <v>ASME VIII div.1</v>
      </c>
    </row>
    <row r="409" spans="1:13" ht="14.55" customHeight="1" x14ac:dyDescent="0.3">
      <c r="A409" s="1258" t="s">
        <v>167</v>
      </c>
      <c r="B409" s="718" t="s">
        <v>168</v>
      </c>
      <c r="C409" s="459"/>
      <c r="D409" s="460"/>
      <c r="E409" s="460"/>
      <c r="F409" s="460"/>
      <c r="G409" s="460"/>
      <c r="H409" s="460"/>
      <c r="I409" s="1259"/>
      <c r="K409" s="477" t="s">
        <v>169</v>
      </c>
      <c r="L409" s="477" t="str">
        <f>K407&amp;"."&amp;K409</f>
        <v>4.Orientation</v>
      </c>
      <c r="M409" s="1252" t="str">
        <f>B410</f>
        <v>Vertical</v>
      </c>
    </row>
    <row r="410" spans="1:13" ht="14.55" customHeight="1" x14ac:dyDescent="0.3">
      <c r="A410" s="1258" t="s">
        <v>170</v>
      </c>
      <c r="B410" s="718" t="s">
        <v>171</v>
      </c>
      <c r="C410" s="459"/>
      <c r="D410" s="460"/>
      <c r="E410" s="460"/>
      <c r="F410" s="461"/>
      <c r="G410" s="460"/>
      <c r="H410" s="460"/>
      <c r="I410" s="1259"/>
      <c r="K410" s="477" t="s">
        <v>172</v>
      </c>
      <c r="L410" s="477" t="str">
        <f>K407&amp;"."&amp;K410</f>
        <v>4.Design Temperature</v>
      </c>
      <c r="M410" s="1252">
        <f>D413</f>
        <v>100</v>
      </c>
    </row>
    <row r="411" spans="1:13" ht="14.55" customHeight="1" x14ac:dyDescent="0.3">
      <c r="A411" s="1258"/>
      <c r="B411" s="459"/>
      <c r="C411" s="459"/>
      <c r="D411" s="460"/>
      <c r="E411" s="460"/>
      <c r="F411" s="462"/>
      <c r="G411" s="460"/>
      <c r="H411" s="460"/>
      <c r="I411" s="1259"/>
      <c r="K411" s="477" t="s">
        <v>173</v>
      </c>
      <c r="L411" s="477" t="str">
        <f>K407&amp;"."&amp;K411</f>
        <v>4.Design Pressure</v>
      </c>
      <c r="M411" s="1252">
        <f>D414</f>
        <v>18</v>
      </c>
    </row>
    <row r="412" spans="1:13" ht="14.55" customHeight="1" x14ac:dyDescent="0.3">
      <c r="A412" s="1260" t="s">
        <v>174</v>
      </c>
      <c r="B412" s="459"/>
      <c r="C412" s="459"/>
      <c r="D412" s="460"/>
      <c r="E412" s="460"/>
      <c r="F412" s="462"/>
      <c r="G412" s="460"/>
      <c r="H412" s="460"/>
      <c r="I412" s="1259"/>
      <c r="K412" s="477" t="s">
        <v>175</v>
      </c>
      <c r="L412" s="477" t="str">
        <f>K407&amp;"."&amp;K412</f>
        <v>4.Material</v>
      </c>
      <c r="M412" s="1252" t="str">
        <f>B418</f>
        <v>SA-240 Gr.316L</v>
      </c>
    </row>
    <row r="413" spans="1:13" ht="14.55" customHeight="1" x14ac:dyDescent="0.3">
      <c r="A413" s="1258" t="s">
        <v>176</v>
      </c>
      <c r="B413" s="719">
        <v>100</v>
      </c>
      <c r="C413" s="720" t="s">
        <v>177</v>
      </c>
      <c r="D413" s="464">
        <f>IF(C413="°C",B413,0)+IF(C413="°F",(B413-32)*5/9,0)</f>
        <v>100</v>
      </c>
      <c r="E413" s="460" t="s">
        <v>177</v>
      </c>
      <c r="F413" s="462"/>
      <c r="G413" s="460"/>
      <c r="H413" s="460"/>
      <c r="I413" s="1259"/>
      <c r="K413" s="477" t="s">
        <v>178</v>
      </c>
      <c r="L413" s="477" t="str">
        <f>K407&amp;"."&amp;K413</f>
        <v>4.Inside Diameter</v>
      </c>
      <c r="M413" s="1252">
        <f>IF(B431=0,F431,B431)</f>
        <v>400</v>
      </c>
    </row>
    <row r="414" spans="1:13" ht="14.55" customHeight="1" x14ac:dyDescent="0.3">
      <c r="A414" s="1258" t="s">
        <v>179</v>
      </c>
      <c r="B414" s="721">
        <v>18</v>
      </c>
      <c r="C414" s="720" t="s">
        <v>180</v>
      </c>
      <c r="D414" s="452">
        <f>IF(C414="barg",B414,0)+IF(C414="psig",B414*List!$AV$4,0)+IF(C414="MPa",B414*List!$AV$5,0)+IF(C414="N/mm2",B414*List!$AV$6,0)</f>
        <v>18</v>
      </c>
      <c r="E414" s="460" t="s">
        <v>180</v>
      </c>
      <c r="F414" s="460"/>
      <c r="G414" s="460"/>
      <c r="H414" s="460"/>
      <c r="I414" s="1259"/>
      <c r="K414" s="477" t="s">
        <v>181</v>
      </c>
      <c r="L414" s="477" t="str">
        <f>K407&amp;"."&amp;K414</f>
        <v>4.Tan / Tan</v>
      </c>
      <c r="M414" s="1252">
        <f>IF(B433=0,F433,B433)</f>
        <v>1900</v>
      </c>
    </row>
    <row r="415" spans="1:13" ht="14.55" customHeight="1" x14ac:dyDescent="0.3">
      <c r="A415" s="1258" t="s">
        <v>182</v>
      </c>
      <c r="B415" s="721">
        <v>1</v>
      </c>
      <c r="C415" s="720" t="s">
        <v>180</v>
      </c>
      <c r="D415" s="452">
        <f>IF(C415="barg",B415,0)+IF(C415="psig",B415*List!$AV$4,0)+IF(C415="MPa",B415*List!$AV$5,0)+IF(C415="N/mm2",B415*List!$AV$6,0)</f>
        <v>1</v>
      </c>
      <c r="E415" s="460" t="s">
        <v>180</v>
      </c>
      <c r="F415" s="460"/>
      <c r="G415" s="465"/>
      <c r="H415" s="460"/>
      <c r="I415" s="1259"/>
      <c r="K415" s="477" t="s">
        <v>183</v>
      </c>
      <c r="L415" s="477" t="str">
        <f>K407&amp;"."&amp;K415</f>
        <v>4.Thickness</v>
      </c>
      <c r="M415" s="1252">
        <f>IF(B472=0,F476,B472)</f>
        <v>9.52</v>
      </c>
    </row>
    <row r="416" spans="1:13" ht="14.55" customHeight="1" x14ac:dyDescent="0.3">
      <c r="A416" s="1258"/>
      <c r="B416" s="459"/>
      <c r="C416" s="459"/>
      <c r="D416" s="460"/>
      <c r="E416" s="460"/>
      <c r="F416" s="460"/>
      <c r="G416" s="465"/>
      <c r="H416" s="460"/>
      <c r="I416" s="1259"/>
      <c r="K416" s="477" t="s">
        <v>184</v>
      </c>
      <c r="L416" s="477" t="str">
        <f>K407&amp;"."&amp;K416</f>
        <v>4.Unit Weight</v>
      </c>
      <c r="M416" s="1252">
        <f>B525</f>
        <v>675</v>
      </c>
    </row>
    <row r="417" spans="1:13" ht="14.55" customHeight="1" x14ac:dyDescent="0.3">
      <c r="A417" s="1260" t="s">
        <v>185</v>
      </c>
      <c r="B417" s="459" t="s">
        <v>186</v>
      </c>
      <c r="C417" s="459"/>
      <c r="D417" s="460"/>
      <c r="E417" s="460"/>
      <c r="F417" s="460" t="s">
        <v>187</v>
      </c>
      <c r="G417" s="465"/>
      <c r="H417" s="460"/>
      <c r="I417" s="1259"/>
      <c r="K417" s="478" t="s">
        <v>188</v>
      </c>
      <c r="L417" s="477" t="str">
        <f>K407&amp;"."&amp;K417</f>
        <v>4.Unit External Surface</v>
      </c>
      <c r="M417" s="1252">
        <f>B521</f>
        <v>7.8603711576786361</v>
      </c>
    </row>
    <row r="418" spans="1:13" ht="14.55" customHeight="1" x14ac:dyDescent="0.3">
      <c r="A418" s="1258" t="s">
        <v>189</v>
      </c>
      <c r="B418" s="1716" t="s">
        <v>190</v>
      </c>
      <c r="C418" s="1717"/>
      <c r="D418" s="460"/>
      <c r="E418" s="461"/>
      <c r="F418" s="1716"/>
      <c r="G418" s="1717"/>
      <c r="H418" s="460"/>
      <c r="I418" s="1259"/>
      <c r="K418" s="477" t="s">
        <v>191</v>
      </c>
      <c r="L418" s="477" t="str">
        <f>K407&amp;"."&amp;K418</f>
        <v>4.M1 DN</v>
      </c>
      <c r="M418" s="1252">
        <f>C539</f>
        <v>0</v>
      </c>
    </row>
    <row r="419" spans="1:13" ht="14.55" customHeight="1" x14ac:dyDescent="0.3">
      <c r="A419" s="1258" t="s">
        <v>192</v>
      </c>
      <c r="B419" s="1716" t="s">
        <v>190</v>
      </c>
      <c r="C419" s="1717"/>
      <c r="D419" s="460"/>
      <c r="E419" s="461"/>
      <c r="F419" s="1716"/>
      <c r="G419" s="1717"/>
      <c r="H419" s="460"/>
      <c r="I419" s="1259"/>
      <c r="K419" s="477" t="s">
        <v>193</v>
      </c>
      <c r="L419" s="477" t="str">
        <f>K407&amp;"."&amp;K419</f>
        <v>4.M1 Rating</v>
      </c>
      <c r="M419" s="1252">
        <f>D539</f>
        <v>0</v>
      </c>
    </row>
    <row r="420" spans="1:13" ht="14.55" customHeight="1" x14ac:dyDescent="0.3">
      <c r="A420" s="1258"/>
      <c r="B420" s="466"/>
      <c r="C420" s="466"/>
      <c r="D420" s="460"/>
      <c r="E420" s="460"/>
      <c r="F420" s="460"/>
      <c r="G420" s="460"/>
      <c r="H420" s="460"/>
      <c r="I420" s="1259"/>
      <c r="K420" s="477" t="s">
        <v>194</v>
      </c>
      <c r="L420" s="477" t="str">
        <f>K407&amp;"."&amp;K420</f>
        <v>4.M1 Type</v>
      </c>
      <c r="M420" s="1252">
        <f>E539</f>
        <v>0</v>
      </c>
    </row>
    <row r="421" spans="1:13" ht="14.55" customHeight="1" x14ac:dyDescent="0.3">
      <c r="A421" s="1258" t="s">
        <v>195</v>
      </c>
      <c r="B421" s="460"/>
      <c r="C421" s="460"/>
      <c r="D421" s="460"/>
      <c r="E421" s="460"/>
      <c r="F421" s="460"/>
      <c r="G421" s="460"/>
      <c r="H421" s="460"/>
      <c r="I421" s="1259"/>
      <c r="K421" s="477" t="s">
        <v>196</v>
      </c>
      <c r="L421" s="477" t="str">
        <f>K407&amp;"."&amp;K421</f>
        <v>4.M1 Quantity</v>
      </c>
      <c r="M421" s="1252">
        <f>F539</f>
        <v>0</v>
      </c>
    </row>
    <row r="422" spans="1:13" ht="14.55" customHeight="1" x14ac:dyDescent="0.3">
      <c r="A422" s="1258" t="s">
        <v>197</v>
      </c>
      <c r="B422" s="464">
        <f>$D413*(VLOOKUP($B418,'ASME II Tab 1A'!$1:$1048576,MATCH($D413,'ASME II Tab 1A'!$6:$6,1)+1,0)-VLOOKUP($B418,'ASME II Tab 1A'!$1:$1048576,MATCH($D413,'ASME II Tab 1A'!$6:$6,1),0))/(INDEX('ASME II Tab 1A'!$6:$6,MATCH($D413,'ASME II Tab 1A'!$6:$6,1)+1)-INDEX('ASME II Tab 1A'!$6:$6,MATCH($D413,'ASME II Tab 1A'!$6:$6,1)))+VLOOKUP($B418,'ASME II Tab 1A'!$1:$1048576,MATCH($D413,'ASME II Tab 1A'!$6:$6,1)+1,0)-INDEX('ASME II Tab 1A'!$6:$6,MATCH($D413,'ASME II Tab 1A'!$6:$6,1)+1)*(VLOOKUP($B418,'ASME II Tab 1A'!$1:$1048576,MATCH($D413,'ASME II Tab 1A'!$6:$6,1)+1,0)-VLOOKUP($B418,'ASME II Tab 1A'!$1:$1048576,MATCH($D413,'ASME II Tab 1A'!$6:$6,1),0))/(INDEX('ASME II Tab 1A'!$6:$6,MATCH($D413,'ASME II Tab 1A'!$6:$6,1)+1)-INDEX('ASME II Tab 1A'!$6:$6,MATCH($D413,'ASME II Tab 1A'!$6:$6,1)))</f>
        <v>115</v>
      </c>
      <c r="C422" s="460" t="s">
        <v>198</v>
      </c>
      <c r="D422" s="460"/>
      <c r="E422" s="467"/>
      <c r="F422" s="460" t="e">
        <f>$D413*(VLOOKUP($F418,'ASME II Tab 1A'!$1:$1048576,MATCH($D413,'ASME II Tab 1A'!$6:$6,1)+1,0)-VLOOKUP($F418,'ASME II Tab 1A'!$1:$1048576,MATCH($D413,'ASME II Tab 1A'!$6:$6,1),0))/(INDEX('ASME II Tab 1A'!$6:$6,MATCH($D413,'ASME II Tab 1A'!$6:$6,1)+1)-INDEX('ASME II Tab 1A'!$6:$6,MATCH($D413,'ASME II Tab 1A'!$6:$6,1)))+VLOOKUP($F418,'ASME II Tab 1A'!$1:$1048576,MATCH($D413,'ASME II Tab 1A'!$6:$6,1)+1,0)-INDEX('ASME II Tab 1A'!$6:$6,MATCH($D413,'ASME II Tab 1A'!$6:$6,1)+1)*(VLOOKUP($F418,'ASME II Tab 1A'!$1:$1048576,MATCH($D413,'ASME II Tab 1A'!$6:$6,1)+1,0)-VLOOKUP($F418,'ASME II Tab 1A'!$1:$1048576,MATCH($D413,'ASME II Tab 1A'!$6:$6,1),0))/(INDEX('ASME II Tab 1A'!$6:$6,MATCH($D413,'ASME II Tab 1A'!$6:$6,1)+1)-INDEX('ASME II Tab 1A'!$6:$6,MATCH($D413,'ASME II Tab 1A'!$6:$6,1)))</f>
        <v>#N/A</v>
      </c>
      <c r="G422" s="460" t="s">
        <v>198</v>
      </c>
      <c r="H422" s="460"/>
      <c r="I422" s="1259"/>
      <c r="K422" s="477" t="s">
        <v>199</v>
      </c>
      <c r="L422" s="477" t="str">
        <f>K407&amp;"."&amp;K422</f>
        <v>4.M2 DN</v>
      </c>
      <c r="M422" s="1252">
        <f>C540</f>
        <v>0</v>
      </c>
    </row>
    <row r="423" spans="1:13" ht="14.55" customHeight="1" x14ac:dyDescent="0.3">
      <c r="A423" s="1258" t="s">
        <v>200</v>
      </c>
      <c r="B423" s="464">
        <f>$D413*(VLOOKUP($B419,'ASME II Tab 1A'!$1:$1048576,MATCH($D413,'ASME II Tab 1A'!$6:$6,1)+1,0)-VLOOKUP($B419,'ASME II Tab 1A'!$1:$1048576,MATCH($D413,'ASME II Tab 1A'!$6:$6,1),0))/(INDEX('ASME II Tab 1A'!$6:$6,MATCH($D413,'ASME II Tab 1A'!$6:$6,1)+1)-INDEX('ASME II Tab 1A'!$6:$6,MATCH($D413,'ASME II Tab 1A'!$6:$6,1)))+VLOOKUP($B419,'ASME II Tab 1A'!$1:$1048576,MATCH($D413,'ASME II Tab 1A'!$6:$6,1)+1,0)-INDEX('ASME II Tab 1A'!$6:$6,MATCH($D413,'ASME II Tab 1A'!$6:$6,1)+1)*(VLOOKUP($B419,'ASME II Tab 1A'!$1:$1048576,MATCH($D413,'ASME II Tab 1A'!$6:$6,1)+1,0)-VLOOKUP($B419,'ASME II Tab 1A'!$1:$1048576,MATCH($D413,'ASME II Tab 1A'!$6:$6,1),0))/(INDEX('ASME II Tab 1A'!$6:$6,MATCH($D413,'ASME II Tab 1A'!$6:$6,1)+1)-INDEX('ASME II Tab 1A'!$6:$6,MATCH($D413,'ASME II Tab 1A'!$6:$6,1)))</f>
        <v>115</v>
      </c>
      <c r="C423" s="460" t="s">
        <v>198</v>
      </c>
      <c r="D423" s="460"/>
      <c r="E423" s="460"/>
      <c r="F423" s="460" t="e">
        <f>$D413*(VLOOKUP($F419,'ASME II Tab 1A'!$1:$1048576,MATCH($D413,'ASME II Tab 1A'!$6:$6,1)+1,0)-VLOOKUP($F419,'ASME II Tab 1A'!$1:$1048576,MATCH($D413,'ASME II Tab 1A'!$6:$6,1),0))/(INDEX('ASME II Tab 1A'!$6:$6,MATCH($D413,'ASME II Tab 1A'!$6:$6,1)+1)-INDEX('ASME II Tab 1A'!$6:$6,MATCH($D413,'ASME II Tab 1A'!$6:$6,1)))+VLOOKUP($F419,'ASME II Tab 1A'!$1:$1048576,MATCH($D413,'ASME II Tab 1A'!$6:$6,1)+1,0)-INDEX('ASME II Tab 1A'!$6:$6,MATCH($D413,'ASME II Tab 1A'!$6:$6,1)+1)*(VLOOKUP($F419,'ASME II Tab 1A'!$1:$1048576,MATCH($D413,'ASME II Tab 1A'!$6:$6,1)+1,0)-VLOOKUP($F419,'ASME II Tab 1A'!$1:$1048576,MATCH($D413,'ASME II Tab 1A'!$6:$6,1),0))/(INDEX('ASME II Tab 1A'!$6:$6,MATCH($D413,'ASME II Tab 1A'!$6:$6,1)+1)-INDEX('ASME II Tab 1A'!$6:$6,MATCH($D413,'ASME II Tab 1A'!$6:$6,1)))</f>
        <v>#N/A</v>
      </c>
      <c r="G423" s="460" t="s">
        <v>198</v>
      </c>
      <c r="H423" s="460"/>
      <c r="I423" s="1259"/>
      <c r="K423" s="477" t="s">
        <v>201</v>
      </c>
      <c r="L423" s="477" t="str">
        <f>K407&amp;"."&amp;K423</f>
        <v>4.M2 Rating</v>
      </c>
      <c r="M423" s="1252">
        <f>D540</f>
        <v>0</v>
      </c>
    </row>
    <row r="424" spans="1:13" ht="14.55" customHeight="1" x14ac:dyDescent="0.3">
      <c r="A424" s="1258" t="s">
        <v>202</v>
      </c>
      <c r="B424" s="460"/>
      <c r="C424" s="460"/>
      <c r="D424" s="460"/>
      <c r="E424" s="460"/>
      <c r="F424" s="460"/>
      <c r="G424" s="460"/>
      <c r="H424" s="460"/>
      <c r="I424" s="1259"/>
      <c r="K424" s="477" t="s">
        <v>203</v>
      </c>
      <c r="L424" s="477" t="str">
        <f>K407&amp;"."&amp;K424</f>
        <v>4.M2 Type</v>
      </c>
      <c r="M424" s="1252">
        <f>E540</f>
        <v>0</v>
      </c>
    </row>
    <row r="425" spans="1:13" ht="14.55" customHeight="1" x14ac:dyDescent="0.3">
      <c r="A425" s="1258" t="s">
        <v>197</v>
      </c>
      <c r="B425" s="464">
        <f>$D413*(VLOOKUP($B418,'ASME II Tab 5A'!$1:$1048576,MATCH($D413,'ASME II Tab 5A'!$5:$5,1)+1,0)-VLOOKUP($B418,'ASME II Tab 5A'!$1:$1048576,MATCH($D413,'ASME II Tab 5A'!$5:$5,1),0))/(INDEX('ASME II Tab 5A'!$5:$5,MATCH($D413,'ASME II Tab 5A'!$5:$5,1)+1)-INDEX('ASME II Tab 5A'!$5:$5,MATCH($D413,'ASME II Tab 5A'!$5:$5,1)))+VLOOKUP($B418,'ASME II Tab 5A'!$1:$1048576,MATCH($D413,'ASME II Tab 5A'!$5:$5,1)+1,0)-INDEX('ASME II Tab 5A'!$5:$5,MATCH($D413,'ASME II Tab 5A'!$5:$5,1)+1)*(VLOOKUP($B418,'ASME II Tab 5A'!$1:$1048576,MATCH($D413,'ASME II Tab 5A'!$5:$5,1)+1,0)-VLOOKUP($B418,'ASME II Tab 5A'!$1:$1048576,MATCH($D413,'ASME II Tab 5A'!$5:$5,1),0))/(INDEX('ASME II Tab 5A'!$5:$5,MATCH($D413,'ASME II Tab 5A'!$5:$5,1)+1)-INDEX('ASME II Tab 5A'!$5:$5,MATCH($D413,'ASME II Tab 5A'!$5:$5,1)))</f>
        <v>115</v>
      </c>
      <c r="C425" s="460" t="s">
        <v>198</v>
      </c>
      <c r="D425" s="460"/>
      <c r="E425" s="460"/>
      <c r="F425" s="460" t="e">
        <f>$D413*(VLOOKUP($F418,'ASME II Tab 5A'!$1:$1048576,MATCH($D413,'ASME II Tab 5A'!$5:$5,1)+1,0)-VLOOKUP($F418,'ASME II Tab 5A'!$1:$1048576,MATCH($D413,'ASME II Tab 5A'!$5:$5,1),0))/(INDEX('ASME II Tab 5A'!$5:$5,MATCH($D413,'ASME II Tab 5A'!$5:$5,1)+1)-INDEX('ASME II Tab 5A'!$5:$5,MATCH($D413,'ASME II Tab 5A'!$5:$5,1)))+VLOOKUP($F418,'ASME II Tab 5A'!$1:$1048576,MATCH($D413,'ASME II Tab 5A'!$5:$5,1)+1,0)-INDEX('ASME II Tab 5A'!$5:$5,MATCH($D413,'ASME II Tab 5A'!$5:$5,1)+1)*(VLOOKUP($F418,'ASME II Tab 5A'!$1:$1048576,MATCH($D413,'ASME II Tab 5A'!$5:$5,1)+1,0)-VLOOKUP($F418,'ASME II Tab 5A'!$1:$1048576,MATCH($D413,'ASME II Tab 5A'!$5:$5,1),0))/(INDEX('ASME II Tab 5A'!$5:$5,MATCH($D413,'ASME II Tab 5A'!$5:$5,1)+1)-INDEX('ASME II Tab 5A'!$5:$5,MATCH($D413,'ASME II Tab 5A'!$5:$5,1)))</f>
        <v>#N/A</v>
      </c>
      <c r="G425" s="460" t="s">
        <v>198</v>
      </c>
      <c r="H425" s="460"/>
      <c r="I425" s="1259"/>
      <c r="K425" s="477" t="s">
        <v>204</v>
      </c>
      <c r="L425" s="477" t="str">
        <f>K407&amp;"."&amp;K425</f>
        <v>4.M2 Quantity</v>
      </c>
      <c r="M425" s="1252">
        <f>F540</f>
        <v>0</v>
      </c>
    </row>
    <row r="426" spans="1:13" ht="14.55" customHeight="1" x14ac:dyDescent="0.3">
      <c r="A426" s="1258" t="s">
        <v>200</v>
      </c>
      <c r="B426" s="464">
        <f>$D413*(VLOOKUP($B419,'ASME II Tab 5A'!$1:$1048576,MATCH($D413,'ASME II Tab 5A'!$5:$5,1)+1,0)-VLOOKUP($B419,'ASME II Tab 5A'!$1:$1048576,MATCH($D413,'ASME II Tab 5A'!$5:$5,1),0))/(INDEX('ASME II Tab 5A'!$5:$5,MATCH($D413,'ASME II Tab 5A'!$5:$5,1)+1)-INDEX('ASME II Tab 5A'!$5:$5,MATCH($D413,'ASME II Tab 5A'!$5:$5,1)))+VLOOKUP($B419,'ASME II Tab 5A'!$1:$1048576,MATCH($D413,'ASME II Tab 5A'!$5:$5,1)+1,0)-INDEX('ASME II Tab 5A'!$5:$5,MATCH($D413,'ASME II Tab 5A'!$5:$5,1)+1)*(VLOOKUP($B419,'ASME II Tab 5A'!$1:$1048576,MATCH($D413,'ASME II Tab 5A'!$5:$5,1)+1,0)-VLOOKUP($B419,'ASME II Tab 5A'!$1:$1048576,MATCH($D413,'ASME II Tab 5A'!$5:$5,1),0))/(INDEX('ASME II Tab 5A'!$5:$5,MATCH($D413,'ASME II Tab 5A'!$5:$5,1)+1)-INDEX('ASME II Tab 5A'!$5:$5,MATCH($D413,'ASME II Tab 5A'!$5:$5,1)))</f>
        <v>115</v>
      </c>
      <c r="C426" s="460" t="s">
        <v>198</v>
      </c>
      <c r="D426" s="460"/>
      <c r="E426" s="460"/>
      <c r="F426" s="460" t="e">
        <f>$D413*(VLOOKUP($F419,'ASME II Tab 5A'!$1:$1048576,MATCH($D413,'ASME II Tab 5A'!$5:$5,1)+1,0)-VLOOKUP($F419,'ASME II Tab 5A'!$1:$1048576,MATCH($D413,'ASME II Tab 5A'!$5:$5,1),0))/(INDEX('ASME II Tab 5A'!$5:$5,MATCH($D413,'ASME II Tab 5A'!$5:$5,1)+1)-INDEX('ASME II Tab 5A'!$5:$5,MATCH($D413,'ASME II Tab 5A'!$5:$5,1)))+VLOOKUP($F419,'ASME II Tab 5A'!$1:$1048576,MATCH($D413,'ASME II Tab 5A'!$5:$5,1)+1,0)-INDEX('ASME II Tab 5A'!$5:$5,MATCH($D413,'ASME II Tab 5A'!$5:$5,1)+1)*(VLOOKUP($F419,'ASME II Tab 5A'!$1:$1048576,MATCH($D413,'ASME II Tab 5A'!$5:$5,1)+1,0)-VLOOKUP($F419,'ASME II Tab 5A'!$1:$1048576,MATCH($D413,'ASME II Tab 5A'!$5:$5,1),0))/(INDEX('ASME II Tab 5A'!$5:$5,MATCH($D413,'ASME II Tab 5A'!$5:$5,1)+1)-INDEX('ASME II Tab 5A'!$5:$5,MATCH($D413,'ASME II Tab 5A'!$5:$5,1)))</f>
        <v>#N/A</v>
      </c>
      <c r="G426" s="460" t="s">
        <v>198</v>
      </c>
      <c r="H426" s="460"/>
      <c r="I426" s="1259"/>
      <c r="K426" s="477" t="s">
        <v>205</v>
      </c>
      <c r="L426" s="477" t="str">
        <f>K407&amp;"."&amp;K426</f>
        <v>4.M3 DN</v>
      </c>
      <c r="M426" s="1252">
        <f>C541</f>
        <v>0</v>
      </c>
    </row>
    <row r="427" spans="1:13" ht="14.55" customHeight="1" x14ac:dyDescent="0.3">
      <c r="A427" s="1258"/>
      <c r="B427" s="460"/>
      <c r="C427" s="460"/>
      <c r="D427" s="460"/>
      <c r="E427" s="460"/>
      <c r="F427" s="460"/>
      <c r="G427" s="460"/>
      <c r="H427" s="460"/>
      <c r="I427" s="1259"/>
      <c r="K427" s="477" t="s">
        <v>206</v>
      </c>
      <c r="L427" s="477" t="str">
        <f>K407&amp;"."&amp;K427</f>
        <v>4.M3 Rating</v>
      </c>
      <c r="M427" s="1252">
        <f>D541</f>
        <v>0</v>
      </c>
    </row>
    <row r="428" spans="1:13" ht="14.55" customHeight="1" x14ac:dyDescent="0.3">
      <c r="A428" s="1260" t="s">
        <v>207</v>
      </c>
      <c r="B428" s="453"/>
      <c r="C428" s="460"/>
      <c r="D428" s="453"/>
      <c r="E428" s="460"/>
      <c r="F428" s="453"/>
      <c r="G428" s="460"/>
      <c r="H428" s="460"/>
      <c r="I428" s="1259"/>
      <c r="K428" s="477" t="s">
        <v>208</v>
      </c>
      <c r="L428" s="477" t="str">
        <f>K407&amp;"."&amp;K428</f>
        <v>4.M3 Type</v>
      </c>
      <c r="M428" s="1252">
        <f>E541</f>
        <v>0</v>
      </c>
    </row>
    <row r="429" spans="1:13" ht="14.55" customHeight="1" x14ac:dyDescent="0.3">
      <c r="A429" s="1260"/>
      <c r="B429" s="305" t="s">
        <v>209</v>
      </c>
      <c r="C429" s="460"/>
      <c r="D429" s="305" t="s">
        <v>210</v>
      </c>
      <c r="E429" s="460"/>
      <c r="F429" s="305" t="s">
        <v>211</v>
      </c>
      <c r="G429" s="460"/>
      <c r="H429" s="460"/>
      <c r="I429" s="1259"/>
      <c r="K429" s="477" t="s">
        <v>212</v>
      </c>
      <c r="L429" s="477" t="str">
        <f>K407&amp;"."&amp;K429</f>
        <v>4.M3 Quantity</v>
      </c>
      <c r="M429" s="1252">
        <f>F541</f>
        <v>0</v>
      </c>
    </row>
    <row r="430" spans="1:13" ht="14.55" customHeight="1" x14ac:dyDescent="0.3">
      <c r="A430" s="1258" t="s">
        <v>213</v>
      </c>
      <c r="B430" s="305"/>
      <c r="C430" s="460"/>
      <c r="D430" s="305"/>
      <c r="E430" s="460"/>
      <c r="F430" s="723"/>
      <c r="G430" s="460" t="s">
        <v>214</v>
      </c>
      <c r="H430" s="460"/>
      <c r="I430" s="1259"/>
      <c r="K430" s="477" t="s">
        <v>215</v>
      </c>
      <c r="L430" s="477" t="str">
        <f>K407&amp;"."&amp;K430</f>
        <v>4.Shell insulation thk 1</v>
      </c>
      <c r="M430" s="1252">
        <f>B478</f>
        <v>0</v>
      </c>
    </row>
    <row r="431" spans="1:13" ht="14.55" customHeight="1" x14ac:dyDescent="0.3">
      <c r="A431" s="1258" t="s">
        <v>216</v>
      </c>
      <c r="B431" s="722">
        <v>400</v>
      </c>
      <c r="C431" s="460" t="s">
        <v>93</v>
      </c>
      <c r="D431" s="722"/>
      <c r="E431" s="460" t="s">
        <v>93</v>
      </c>
      <c r="F431" s="468">
        <f>F432-2*F476</f>
        <v>0</v>
      </c>
      <c r="G431" s="460" t="s">
        <v>93</v>
      </c>
      <c r="H431" s="460"/>
      <c r="I431" s="1259"/>
      <c r="K431" s="477" t="s">
        <v>217</v>
      </c>
      <c r="L431" s="477" t="str">
        <f>K407&amp;"."&amp;K431</f>
        <v>4.Head insulation thk 1</v>
      </c>
      <c r="M431" s="1252">
        <f>B479</f>
        <v>0</v>
      </c>
    </row>
    <row r="432" spans="1:13" ht="14.55" customHeight="1" x14ac:dyDescent="0.3">
      <c r="A432" s="1258" t="s">
        <v>218</v>
      </c>
      <c r="B432" s="468">
        <f>B431+B472*2</f>
        <v>419.04</v>
      </c>
      <c r="C432" s="460" t="s">
        <v>93</v>
      </c>
      <c r="D432" s="468">
        <f>D431+D472*2</f>
        <v>0</v>
      </c>
      <c r="E432" s="460" t="s">
        <v>93</v>
      </c>
      <c r="F432" s="468">
        <f>IFERROR(VLOOKUP(F430,'Thickness Tab'!$1:$1048576,3,0),0)</f>
        <v>0</v>
      </c>
      <c r="G432" s="460" t="s">
        <v>93</v>
      </c>
      <c r="H432" s="469"/>
      <c r="I432" s="1261"/>
      <c r="K432" s="477" t="s">
        <v>219</v>
      </c>
      <c r="L432" s="477" t="str">
        <f>K407&amp;"."&amp;K432</f>
        <v>4.Reducer insulation thk 1</v>
      </c>
      <c r="M432" s="1252">
        <f>B480</f>
        <v>0</v>
      </c>
    </row>
    <row r="433" spans="1:13" ht="14.55" customHeight="1" x14ac:dyDescent="0.3">
      <c r="A433" s="1258" t="s">
        <v>181</v>
      </c>
      <c r="B433" s="722">
        <v>1900</v>
      </c>
      <c r="C433" s="460" t="s">
        <v>93</v>
      </c>
      <c r="D433" s="722"/>
      <c r="E433" s="460" t="s">
        <v>93</v>
      </c>
      <c r="F433" s="722"/>
      <c r="G433" s="460" t="s">
        <v>93</v>
      </c>
      <c r="H433" s="460"/>
      <c r="I433" s="1259"/>
      <c r="K433" s="477" t="s">
        <v>220</v>
      </c>
      <c r="L433" s="477" t="str">
        <f>K407&amp;"."&amp;K433</f>
        <v>4.Shell insulation area 1</v>
      </c>
      <c r="M433" s="1252">
        <f>B438</f>
        <v>2.4999926400000003</v>
      </c>
    </row>
    <row r="434" spans="1:13" ht="14.55" customHeight="1" x14ac:dyDescent="0.3">
      <c r="A434" s="1258" t="s">
        <v>221</v>
      </c>
      <c r="B434" s="468">
        <f>(PI()*B433*(((B432/2)^2)-((B431/2)^2))*7860)/1000000000*1.05</f>
        <v>192.05578075568147</v>
      </c>
      <c r="C434" s="460" t="s">
        <v>222</v>
      </c>
      <c r="D434" s="468">
        <f>(PI()*D433*(((D432/2)^2)-((D431/2)^2))*7860)/1000000000*1.05</f>
        <v>0</v>
      </c>
      <c r="E434" s="460" t="s">
        <v>222</v>
      </c>
      <c r="F434" s="468">
        <f>(PI()*F433*(((F432/2)^2)-((F431/2)^2))*7860)/1000000000*1.05</f>
        <v>0</v>
      </c>
      <c r="G434" s="460" t="s">
        <v>222</v>
      </c>
      <c r="H434" s="469"/>
      <c r="I434" s="1261"/>
      <c r="K434" s="477" t="s">
        <v>223</v>
      </c>
      <c r="L434" s="477" t="str">
        <f>K407&amp;"."&amp;K434</f>
        <v>4.Head insulation area 1</v>
      </c>
      <c r="M434" s="1252">
        <f>B450</f>
        <v>0.33520953945599996</v>
      </c>
    </row>
    <row r="435" spans="1:13" ht="14.55" customHeight="1" x14ac:dyDescent="0.3">
      <c r="A435" s="1258" t="s">
        <v>224</v>
      </c>
      <c r="B435" s="468">
        <f>(PI()*((B431/2)^2)*B433)/1000000000</f>
        <v>0.2387610416728243</v>
      </c>
      <c r="C435" s="460" t="s">
        <v>225</v>
      </c>
      <c r="D435" s="468">
        <f>(PI()*((D431/2)^2)*D433)/1000000000</f>
        <v>0</v>
      </c>
      <c r="E435" s="460" t="s">
        <v>225</v>
      </c>
      <c r="F435" s="468">
        <f>(PI()*((F431/2)^2)*F433)/1000000000</f>
        <v>0</v>
      </c>
      <c r="G435" s="460" t="s">
        <v>225</v>
      </c>
      <c r="H435" s="469"/>
      <c r="I435" s="1261"/>
      <c r="K435" s="477" t="s">
        <v>226</v>
      </c>
      <c r="L435" s="477" t="str">
        <f>K407&amp;"."&amp;K435</f>
        <v>4.Reducer insulation area 1</v>
      </c>
      <c r="M435" s="1252">
        <f>B463</f>
        <v>0</v>
      </c>
    </row>
    <row r="436" spans="1:13" ht="14.55" customHeight="1" x14ac:dyDescent="0.3">
      <c r="A436" s="1258" t="s">
        <v>227</v>
      </c>
      <c r="B436" s="468">
        <f>(B432*3.14*B433)/1000000</f>
        <v>2.4999926400000003</v>
      </c>
      <c r="C436" s="460" t="s">
        <v>228</v>
      </c>
      <c r="D436" s="468">
        <f>(D432*3.14*D433)/1000000</f>
        <v>0</v>
      </c>
      <c r="E436" s="460" t="s">
        <v>228</v>
      </c>
      <c r="F436" s="468">
        <f>(F432*3.14*F433)/1000000</f>
        <v>0</v>
      </c>
      <c r="G436" s="460" t="s">
        <v>228</v>
      </c>
      <c r="H436" s="469"/>
      <c r="I436" s="1261"/>
      <c r="K436" s="477" t="s">
        <v>229</v>
      </c>
      <c r="L436" s="477" t="str">
        <f>K407&amp;"."&amp;K436</f>
        <v>4.Shell insulation thk 2</v>
      </c>
      <c r="M436" s="1252">
        <f>D478</f>
        <v>0</v>
      </c>
    </row>
    <row r="437" spans="1:13" ht="14.55" customHeight="1" x14ac:dyDescent="0.3">
      <c r="A437" s="1258" t="s">
        <v>230</v>
      </c>
      <c r="B437" s="468">
        <f>B432+2*B478</f>
        <v>419.04</v>
      </c>
      <c r="C437" s="460" t="s">
        <v>93</v>
      </c>
      <c r="D437" s="468">
        <f>D432+2*D478</f>
        <v>0</v>
      </c>
      <c r="E437" s="460" t="s">
        <v>93</v>
      </c>
      <c r="F437" s="468">
        <f>F432+2*F478</f>
        <v>0</v>
      </c>
      <c r="G437" s="460" t="s">
        <v>93</v>
      </c>
      <c r="H437" s="469"/>
      <c r="I437" s="1261"/>
      <c r="K437" s="477" t="s">
        <v>231</v>
      </c>
      <c r="L437" s="477" t="str">
        <f>K407&amp;"."&amp;K437</f>
        <v>4.Head insulation thk 2</v>
      </c>
      <c r="M437" s="1252">
        <f>D479</f>
        <v>0</v>
      </c>
    </row>
    <row r="438" spans="1:13" ht="14.55" customHeight="1" x14ac:dyDescent="0.3">
      <c r="A438" s="1258" t="s">
        <v>232</v>
      </c>
      <c r="B438" s="468">
        <f>(B437*3.14*B433)/1000000</f>
        <v>2.4999926400000003</v>
      </c>
      <c r="C438" s="460" t="s">
        <v>228</v>
      </c>
      <c r="D438" s="468">
        <f>(D437*3.14*D433)/1000000</f>
        <v>0</v>
      </c>
      <c r="E438" s="460" t="s">
        <v>228</v>
      </c>
      <c r="F438" s="468">
        <f>(F437*3.14*F433)/1000000</f>
        <v>0</v>
      </c>
      <c r="G438" s="460" t="s">
        <v>228</v>
      </c>
      <c r="H438" s="469"/>
      <c r="I438" s="1261"/>
      <c r="K438" s="477" t="s">
        <v>233</v>
      </c>
      <c r="L438" s="477" t="str">
        <f>K407&amp;"."&amp;K438</f>
        <v>4.Reducer insulation thk 2</v>
      </c>
      <c r="M438" s="1252">
        <f>D480</f>
        <v>0</v>
      </c>
    </row>
    <row r="439" spans="1:13" ht="14.55" customHeight="1" x14ac:dyDescent="0.3">
      <c r="A439" s="1258"/>
      <c r="B439" s="468"/>
      <c r="C439" s="460"/>
      <c r="D439" s="468"/>
      <c r="E439" s="460"/>
      <c r="F439" s="468"/>
      <c r="G439" s="460"/>
      <c r="H439" s="469"/>
      <c r="I439" s="1261"/>
      <c r="K439" s="477" t="s">
        <v>234</v>
      </c>
      <c r="L439" s="477" t="str">
        <f>K407&amp;"."&amp;K439</f>
        <v>4.Shell insulation area 2</v>
      </c>
      <c r="M439" s="1252">
        <f>D438</f>
        <v>0</v>
      </c>
    </row>
    <row r="440" spans="1:13" ht="14.55" customHeight="1" x14ac:dyDescent="0.3">
      <c r="A440" s="1258"/>
      <c r="B440" s="468" t="s">
        <v>235</v>
      </c>
      <c r="C440" s="460"/>
      <c r="D440" s="468" t="s">
        <v>236</v>
      </c>
      <c r="E440" s="460"/>
      <c r="F440" s="468" t="s">
        <v>237</v>
      </c>
      <c r="G440" s="460"/>
      <c r="H440" s="469"/>
      <c r="I440" s="1261"/>
      <c r="K440" s="477" t="s">
        <v>238</v>
      </c>
      <c r="L440" s="477" t="str">
        <f>K407&amp;"."&amp;K440</f>
        <v>4.Head insulation area 2</v>
      </c>
      <c r="M440" s="1252">
        <f>D450</f>
        <v>0</v>
      </c>
    </row>
    <row r="441" spans="1:13" ht="14.55" customHeight="1" x14ac:dyDescent="0.3">
      <c r="A441" s="1258" t="s">
        <v>239</v>
      </c>
      <c r="B441" s="468">
        <f>B431</f>
        <v>400</v>
      </c>
      <c r="C441" s="460" t="s">
        <v>93</v>
      </c>
      <c r="D441" s="468">
        <f>D431</f>
        <v>0</v>
      </c>
      <c r="E441" s="460" t="s">
        <v>93</v>
      </c>
      <c r="F441" s="468">
        <f>F431</f>
        <v>0</v>
      </c>
      <c r="G441" s="460" t="s">
        <v>93</v>
      </c>
      <c r="H441" s="469"/>
      <c r="I441" s="1261"/>
      <c r="K441" s="477" t="s">
        <v>240</v>
      </c>
      <c r="L441" s="477" t="str">
        <f>K407&amp;"."&amp;K441</f>
        <v>4.Reducer insulation area 2</v>
      </c>
      <c r="M441" s="1252">
        <f>D463</f>
        <v>0</v>
      </c>
    </row>
    <row r="442" spans="1:13" ht="14.55" customHeight="1" x14ac:dyDescent="0.3">
      <c r="A442" s="1258" t="s">
        <v>241</v>
      </c>
      <c r="B442" s="468">
        <f>B441+2*B473</f>
        <v>419.04</v>
      </c>
      <c r="C442" s="460" t="s">
        <v>93</v>
      </c>
      <c r="D442" s="468">
        <f>D441+2*D473</f>
        <v>0</v>
      </c>
      <c r="E442" s="460" t="s">
        <v>93</v>
      </c>
      <c r="F442" s="468">
        <f>F441+2*F476</f>
        <v>0</v>
      </c>
      <c r="G442" s="460" t="s">
        <v>93</v>
      </c>
      <c r="H442" s="469"/>
      <c r="I442" s="1261"/>
      <c r="K442" s="477" t="s">
        <v>242</v>
      </c>
      <c r="L442" s="477" t="str">
        <f>K407&amp;"."&amp;K442</f>
        <v>4.Shell insulation thk 3</v>
      </c>
      <c r="M442" s="1252">
        <f>F478</f>
        <v>0</v>
      </c>
    </row>
    <row r="443" spans="1:13" ht="14.55" customHeight="1" x14ac:dyDescent="0.3">
      <c r="A443" s="1258" t="s">
        <v>243</v>
      </c>
      <c r="B443" s="722">
        <v>150</v>
      </c>
      <c r="C443" s="460" t="s">
        <v>93</v>
      </c>
      <c r="D443" s="722"/>
      <c r="E443" s="460" t="s">
        <v>93</v>
      </c>
      <c r="F443" s="452"/>
      <c r="G443" s="460"/>
      <c r="H443" s="469"/>
      <c r="I443" s="1261"/>
      <c r="K443" s="477" t="s">
        <v>244</v>
      </c>
      <c r="L443" s="477" t="str">
        <f>K407&amp;"."&amp;K443</f>
        <v>4.Head insulation thk 3</v>
      </c>
      <c r="M443" s="1252">
        <f>F479</f>
        <v>0</v>
      </c>
    </row>
    <row r="444" spans="1:13" ht="14.55" customHeight="1" x14ac:dyDescent="0.3">
      <c r="A444" s="1258" t="s">
        <v>245</v>
      </c>
      <c r="B444" s="724">
        <v>1</v>
      </c>
      <c r="C444" s="460"/>
      <c r="D444" s="724"/>
      <c r="E444" s="460"/>
      <c r="F444" s="724"/>
      <c r="G444" s="460"/>
      <c r="H444" s="469"/>
      <c r="I444" s="1261"/>
      <c r="K444" s="477" t="s">
        <v>246</v>
      </c>
      <c r="L444" s="477" t="str">
        <f>K407&amp;"."&amp;K444</f>
        <v>4.Reducer insulation thk 3</v>
      </c>
      <c r="M444" s="1252">
        <f>F480</f>
        <v>0</v>
      </c>
    </row>
    <row r="445" spans="1:13" ht="14.55" customHeight="1" x14ac:dyDescent="0.3">
      <c r="A445" s="1258" t="s">
        <v>247</v>
      </c>
      <c r="B445" s="468">
        <v>0</v>
      </c>
      <c r="C445" s="460" t="s">
        <v>93</v>
      </c>
      <c r="D445" s="468">
        <v>0</v>
      </c>
      <c r="E445" s="460" t="s">
        <v>93</v>
      </c>
      <c r="F445" s="468">
        <v>0</v>
      </c>
      <c r="G445" s="460" t="s">
        <v>93</v>
      </c>
      <c r="H445" s="469"/>
      <c r="I445" s="1261"/>
      <c r="K445" s="477" t="s">
        <v>248</v>
      </c>
      <c r="L445" s="477" t="str">
        <f>K407&amp;"."&amp;K445</f>
        <v>4.Shell insulation area 3</v>
      </c>
      <c r="M445" s="1252">
        <f>F438</f>
        <v>0</v>
      </c>
    </row>
    <row r="446" spans="1:13" ht="14.55" customHeight="1" x14ac:dyDescent="0.3">
      <c r="A446" s="1258" t="s">
        <v>249</v>
      </c>
      <c r="B446" s="468">
        <f>((((POWER(((((B441+B474)*1.22)+(B445*2))/100),2)*PI())/4)*(B474/100))*7.86)</f>
        <v>14.669633718786114</v>
      </c>
      <c r="C446" s="460" t="s">
        <v>222</v>
      </c>
      <c r="D446" s="468">
        <f>((((POWER(((((D441+D474)*1.22)+(D445*2))/100),2)*PI())/4)*(D474/100))*7.86)</f>
        <v>0</v>
      </c>
      <c r="E446" s="460" t="s">
        <v>222</v>
      </c>
      <c r="F446" s="468">
        <f>IFERROR(VLOOKUP(F430&amp;"."&amp;F475,'Fitting Chart'!$1:$1048576,5,0),0)</f>
        <v>0</v>
      </c>
      <c r="G446" s="460" t="s">
        <v>222</v>
      </c>
      <c r="H446" s="469"/>
      <c r="I446" s="1261"/>
      <c r="K446" s="477" t="s">
        <v>250</v>
      </c>
      <c r="L446" s="477" t="str">
        <f>K407&amp;"."&amp;K446</f>
        <v>4.Head insulation area 3</v>
      </c>
      <c r="M446" s="1252">
        <f>F449</f>
        <v>0</v>
      </c>
    </row>
    <row r="447" spans="1:13" ht="14.55" customHeight="1" x14ac:dyDescent="0.3">
      <c r="A447" s="1258" t="s">
        <v>251</v>
      </c>
      <c r="B447" s="468">
        <f>(((0.131*(B441^3)*10^-6)+((((B441/2)^2)*PI()*(((B441/4)+B473)-B473-(B441/4)))))+((PI()*((B441/2)^2)*B445))/1000000)/1000</f>
        <v>8.3840000000000008E-3</v>
      </c>
      <c r="C447" s="460" t="s">
        <v>225</v>
      </c>
      <c r="D447" s="468">
        <f>(((0.131*(D441^3)*10^-6)+((((D441/2)^2)*PI()*(((D441/4)+D473)-D473-(D441/4)))))+((PI()*((D441/2)^2)*D445))/1000000)/1000</f>
        <v>0</v>
      </c>
      <c r="E447" s="460" t="s">
        <v>225</v>
      </c>
      <c r="F447" s="468">
        <f>(((0.131*(F441^3)*10^-6)+((((F441/2)^2)*PI()*(((F441/4)+F476)-F476-(F441/4)))))+((PI()*((F441/2)^2)*F445))/1000000)/1000</f>
        <v>0</v>
      </c>
      <c r="G447" s="460" t="s">
        <v>225</v>
      </c>
      <c r="H447" s="469"/>
      <c r="I447" s="1261"/>
      <c r="K447" s="477" t="s">
        <v>252</v>
      </c>
      <c r="L447" s="477" t="str">
        <f>K407&amp;"."&amp;K447</f>
        <v>4.Reducer insulation area 3</v>
      </c>
      <c r="M447" s="1252">
        <f>F463</f>
        <v>0</v>
      </c>
    </row>
    <row r="448" spans="1:13" ht="14.55" customHeight="1" x14ac:dyDescent="0.3">
      <c r="A448" s="1258" t="s">
        <v>253</v>
      </c>
      <c r="B448" s="468">
        <f>(((B442*B443*3.14)+(((B442/2)^2)*3.14))/1000000)</f>
        <v>0.33520953945599996</v>
      </c>
      <c r="C448" s="460" t="s">
        <v>228</v>
      </c>
      <c r="D448" s="468">
        <f>(((D442*D443*3.14)+(((D442/2)^2)*3.14))/1000000)</f>
        <v>0</v>
      </c>
      <c r="E448" s="460" t="s">
        <v>228</v>
      </c>
      <c r="F448" s="468">
        <f>(((F442*F443*3.14)+(((F442/2)^2)*3.14))/1000000)</f>
        <v>0</v>
      </c>
      <c r="G448" s="460" t="s">
        <v>228</v>
      </c>
      <c r="H448" s="469"/>
      <c r="I448" s="1261"/>
    </row>
    <row r="449" spans="1:9" ht="14.55" customHeight="1" x14ac:dyDescent="0.3">
      <c r="A449" s="1258" t="s">
        <v>254</v>
      </c>
      <c r="B449" s="468">
        <f>B442+2*B479</f>
        <v>419.04</v>
      </c>
      <c r="C449" s="460" t="s">
        <v>93</v>
      </c>
      <c r="D449" s="468">
        <f>D442+2*D479</f>
        <v>0</v>
      </c>
      <c r="E449" s="460" t="s">
        <v>93</v>
      </c>
      <c r="F449" s="468">
        <f>F442+2*F479</f>
        <v>0</v>
      </c>
      <c r="G449" s="460" t="s">
        <v>93</v>
      </c>
      <c r="H449" s="469"/>
      <c r="I449" s="1261"/>
    </row>
    <row r="450" spans="1:9" ht="14.55" customHeight="1" x14ac:dyDescent="0.3">
      <c r="A450" s="1258" t="s">
        <v>255</v>
      </c>
      <c r="B450" s="468">
        <f>(((B449*B443*3.14)+(((B449/2)^2)*3.14))/1000000)</f>
        <v>0.33520953945599996</v>
      </c>
      <c r="C450" s="460" t="s">
        <v>228</v>
      </c>
      <c r="D450" s="468">
        <f>(((D449*D443*3.14)+(((D449/2)^2)*3.14))/1000000)</f>
        <v>0</v>
      </c>
      <c r="E450" s="460" t="s">
        <v>228</v>
      </c>
      <c r="F450" s="468">
        <f>(((F449*F443*3.14)+(((F449/2)^2)*3.14))/1000000)</f>
        <v>0</v>
      </c>
      <c r="G450" s="460" t="s">
        <v>228</v>
      </c>
      <c r="H450" s="469"/>
      <c r="I450" s="1261"/>
    </row>
    <row r="451" spans="1:9" ht="14.55" customHeight="1" x14ac:dyDescent="0.3">
      <c r="A451" s="1258"/>
      <c r="B451" s="454"/>
      <c r="C451" s="460"/>
      <c r="D451" s="454"/>
      <c r="E451" s="460"/>
      <c r="F451" s="454"/>
      <c r="G451" s="460"/>
      <c r="H451" s="469"/>
      <c r="I451" s="1261"/>
    </row>
    <row r="452" spans="1:9" ht="14.55" customHeight="1" x14ac:dyDescent="0.3">
      <c r="A452" s="1258"/>
      <c r="B452" s="468" t="s">
        <v>256</v>
      </c>
      <c r="C452" s="460"/>
      <c r="D452" s="468" t="s">
        <v>257</v>
      </c>
      <c r="E452" s="460"/>
      <c r="F452" s="468" t="s">
        <v>258</v>
      </c>
      <c r="G452" s="460"/>
      <c r="H452" s="469"/>
      <c r="I452" s="1261"/>
    </row>
    <row r="453" spans="1:9" ht="14.55" customHeight="1" x14ac:dyDescent="0.3">
      <c r="A453" s="1258" t="s">
        <v>259</v>
      </c>
      <c r="B453" s="725"/>
      <c r="C453" s="460" t="s">
        <v>93</v>
      </c>
      <c r="D453" s="725"/>
      <c r="E453" s="460" t="s">
        <v>93</v>
      </c>
      <c r="F453" s="725"/>
      <c r="G453" s="460" t="s">
        <v>93</v>
      </c>
      <c r="H453" s="469"/>
      <c r="I453" s="1261"/>
    </row>
    <row r="454" spans="1:9" ht="14.55" customHeight="1" x14ac:dyDescent="0.3">
      <c r="A454" s="1258" t="s">
        <v>260</v>
      </c>
      <c r="B454" s="725"/>
      <c r="C454" s="460" t="s">
        <v>93</v>
      </c>
      <c r="D454" s="725"/>
      <c r="E454" s="460" t="s">
        <v>93</v>
      </c>
      <c r="F454" s="725"/>
      <c r="G454" s="460" t="s">
        <v>93</v>
      </c>
      <c r="H454" s="469"/>
      <c r="I454" s="1261"/>
    </row>
    <row r="455" spans="1:9" ht="14.55" customHeight="1" x14ac:dyDescent="0.3">
      <c r="A455" s="1258" t="s">
        <v>261</v>
      </c>
      <c r="B455" s="725"/>
      <c r="C455" s="460" t="s">
        <v>93</v>
      </c>
      <c r="D455" s="725"/>
      <c r="E455" s="460" t="s">
        <v>93</v>
      </c>
      <c r="F455" s="725"/>
      <c r="G455" s="460" t="s">
        <v>93</v>
      </c>
      <c r="H455" s="469"/>
      <c r="I455" s="1261"/>
    </row>
    <row r="456" spans="1:9" ht="14.55" customHeight="1" x14ac:dyDescent="0.3">
      <c r="A456" s="1258" t="s">
        <v>262</v>
      </c>
      <c r="B456" s="455">
        <f>B453+2*B474</f>
        <v>19.04</v>
      </c>
      <c r="C456" s="460" t="s">
        <v>93</v>
      </c>
      <c r="D456" s="455">
        <f>D453+2*D474</f>
        <v>0</v>
      </c>
      <c r="E456" s="460" t="s">
        <v>93</v>
      </c>
      <c r="F456" s="455">
        <f>F453+2*F476</f>
        <v>0</v>
      </c>
      <c r="G456" s="460" t="s">
        <v>93</v>
      </c>
      <c r="H456" s="469"/>
      <c r="I456" s="1261"/>
    </row>
    <row r="457" spans="1:9" ht="14.55" customHeight="1" x14ac:dyDescent="0.3">
      <c r="A457" s="1258" t="s">
        <v>263</v>
      </c>
      <c r="B457" s="455">
        <f>B454+2*B474</f>
        <v>19.04</v>
      </c>
      <c r="C457" s="460" t="s">
        <v>93</v>
      </c>
      <c r="D457" s="455">
        <f>D454+2*D474</f>
        <v>0</v>
      </c>
      <c r="E457" s="460" t="s">
        <v>93</v>
      </c>
      <c r="F457" s="455">
        <f>F454+2*F476</f>
        <v>0</v>
      </c>
      <c r="G457" s="460" t="s">
        <v>93</v>
      </c>
      <c r="H457" s="469"/>
      <c r="I457" s="1261"/>
    </row>
    <row r="458" spans="1:9" ht="14.55" customHeight="1" x14ac:dyDescent="0.3">
      <c r="A458" s="1258" t="s">
        <v>264</v>
      </c>
      <c r="B458" s="453">
        <f>(((((1/3*PI()*B455))*((((B456/2)^2)+(((B456/2)*(B457/2)))+((B457/2)^2))))-(((1/3*PI()*B455))*((((B453/2)^2)+(((B453/2)*(B454/2)))+((B454/2)^2)))))*7.86)/1000000</f>
        <v>0</v>
      </c>
      <c r="C458" s="460" t="s">
        <v>222</v>
      </c>
      <c r="D458" s="453">
        <f>(((((1/3*PI()*D455))*((((D456/2)^2)+(((D456/2)*(D457/2)))+((D457/2)^2))))-(((1/3*PI()*D455))*((((D453/2)^2)+(((D453/2)*(D454/2)))+((D454/2)^2)))))*7.86)/1000000</f>
        <v>0</v>
      </c>
      <c r="E458" s="460" t="s">
        <v>222</v>
      </c>
      <c r="F458" s="453">
        <f>(((((1/3*PI()*F455))*((((F456/2)^2)+(((F456/2)*(F457/2)))+((F457/2)^2))))-(((1/3*PI()*F455))*((((F453/2)^2)+(((F453/2)*(F454/2)))+((F454/2)^2)))))*7.86)/1000000</f>
        <v>0</v>
      </c>
      <c r="G458" s="460" t="s">
        <v>222</v>
      </c>
      <c r="H458" s="469"/>
      <c r="I458" s="1261"/>
    </row>
    <row r="459" spans="1:9" ht="14.55" customHeight="1" x14ac:dyDescent="0.3">
      <c r="A459" s="1258" t="s">
        <v>265</v>
      </c>
      <c r="B459" s="453">
        <f>((1/3*PI()*B455))*((((B453/2)^2)+(((B453/2)*(B454/2)))+((B454/2)^2)))/1000000000</f>
        <v>0</v>
      </c>
      <c r="C459" s="460" t="s">
        <v>225</v>
      </c>
      <c r="D459" s="453">
        <f>((1/3*PI()*D455))*((((D453/2)^2)+(((D453/2)*(D454/2)))+((D454/2)^2)))/1000000000</f>
        <v>0</v>
      </c>
      <c r="E459" s="460" t="s">
        <v>225</v>
      </c>
      <c r="F459" s="453">
        <f>((1/3*PI()*F455))*((((F453/2)^2)+(((F453/2)*(F454/2)))+((F454/2)^2)))/1000000000</f>
        <v>0</v>
      </c>
      <c r="G459" s="460" t="s">
        <v>225</v>
      </c>
      <c r="H459" s="469"/>
      <c r="I459" s="1261"/>
    </row>
    <row r="460" spans="1:9" ht="14.55" customHeight="1" x14ac:dyDescent="0.3">
      <c r="A460" s="1258" t="s">
        <v>266</v>
      </c>
      <c r="B460" s="453">
        <f>PI()*(B456+B457)/2*SQRT(B455^2+((B456-B457)/2)^2)/1000000</f>
        <v>0</v>
      </c>
      <c r="C460" s="460" t="s">
        <v>228</v>
      </c>
      <c r="D460" s="453">
        <f>PI()*(D456+D457)/2*SQRT(D455^2+((D456-D457)/2)^2)/1000000</f>
        <v>0</v>
      </c>
      <c r="E460" s="460" t="s">
        <v>228</v>
      </c>
      <c r="F460" s="453">
        <f>PI()*(F456+F457)/2*SQRT(F455^2+((F456-F457)/2)^2)/1000000</f>
        <v>0</v>
      </c>
      <c r="G460" s="460" t="s">
        <v>228</v>
      </c>
      <c r="H460" s="469"/>
      <c r="I460" s="1261"/>
    </row>
    <row r="461" spans="1:9" ht="14.55" customHeight="1" x14ac:dyDescent="0.3">
      <c r="A461" s="1258" t="s">
        <v>267</v>
      </c>
      <c r="B461" s="453">
        <f>B456+2*B480</f>
        <v>19.04</v>
      </c>
      <c r="C461" s="460" t="s">
        <v>93</v>
      </c>
      <c r="D461" s="453">
        <f>D453+2*D480</f>
        <v>0</v>
      </c>
      <c r="E461" s="460" t="s">
        <v>93</v>
      </c>
      <c r="F461" s="453">
        <f>F453+2*F480</f>
        <v>0</v>
      </c>
      <c r="G461" s="460" t="s">
        <v>93</v>
      </c>
      <c r="H461" s="469"/>
      <c r="I461" s="1261"/>
    </row>
    <row r="462" spans="1:9" ht="14.55" customHeight="1" x14ac:dyDescent="0.3">
      <c r="A462" s="1258" t="s">
        <v>268</v>
      </c>
      <c r="B462" s="453">
        <f>B457+2*B480</f>
        <v>19.04</v>
      </c>
      <c r="C462" s="460" t="s">
        <v>93</v>
      </c>
      <c r="D462" s="453">
        <f>D454+2*D480</f>
        <v>0</v>
      </c>
      <c r="E462" s="460" t="s">
        <v>93</v>
      </c>
      <c r="F462" s="453">
        <f>F454+2*F480</f>
        <v>0</v>
      </c>
      <c r="G462" s="460" t="s">
        <v>93</v>
      </c>
      <c r="H462" s="469"/>
      <c r="I462" s="1261"/>
    </row>
    <row r="463" spans="1:9" ht="14.55" customHeight="1" x14ac:dyDescent="0.3">
      <c r="A463" s="1258" t="s">
        <v>269</v>
      </c>
      <c r="B463" s="453">
        <f>PI()*(B461+B462)/2*SQRT(B455^2+((B461-B462)/2)^2)/1000000</f>
        <v>0</v>
      </c>
      <c r="C463" s="460" t="s">
        <v>228</v>
      </c>
      <c r="D463" s="453">
        <f>PI()*(D461+D462)/2*SQRT(D455^2+((D461-D462)/2)^2)/1000000</f>
        <v>0</v>
      </c>
      <c r="E463" s="460" t="s">
        <v>228</v>
      </c>
      <c r="F463" s="453">
        <f>PI()*(F461+F462)/2*SQRT(F455^2+((F461-F462)/2)^2)/1000000</f>
        <v>0</v>
      </c>
      <c r="G463" s="460" t="s">
        <v>228</v>
      </c>
      <c r="H463" s="469"/>
      <c r="I463" s="1261"/>
    </row>
    <row r="464" spans="1:9" ht="14.55" customHeight="1" x14ac:dyDescent="0.3">
      <c r="A464" s="1258"/>
      <c r="B464" s="453"/>
      <c r="C464" s="460"/>
      <c r="D464" s="453"/>
      <c r="E464" s="460"/>
      <c r="F464" s="453"/>
      <c r="G464" s="460"/>
      <c r="H464" s="460"/>
      <c r="I464" s="1259"/>
    </row>
    <row r="465" spans="1:9" ht="14.55" customHeight="1" x14ac:dyDescent="0.3">
      <c r="A465" s="1258" t="s">
        <v>270</v>
      </c>
      <c r="B465" s="725">
        <v>9.52</v>
      </c>
      <c r="C465" s="460" t="s">
        <v>93</v>
      </c>
      <c r="D465" s="725"/>
      <c r="E465" s="460" t="s">
        <v>93</v>
      </c>
      <c r="F465" s="725"/>
      <c r="G465" s="460" t="s">
        <v>93</v>
      </c>
      <c r="H465" s="460"/>
      <c r="I465" s="1259"/>
    </row>
    <row r="466" spans="1:9" ht="14.55" customHeight="1" x14ac:dyDescent="0.3">
      <c r="A466" s="1258" t="s">
        <v>271</v>
      </c>
      <c r="B466" s="453">
        <f>((D414/10)*B431/2)/(IF(B409="div.1",B422,B425)-0.5*D414/10)</f>
        <v>3.1551270815074499</v>
      </c>
      <c r="C466" s="460" t="s">
        <v>93</v>
      </c>
      <c r="D466" s="453">
        <f>((D414/10)*D431/2)/(IF(B409="div.1",B422,B425)-0.5*D414/10)</f>
        <v>0</v>
      </c>
      <c r="E466" s="460" t="s">
        <v>93</v>
      </c>
      <c r="F466" s="453" t="e">
        <f>((D414/10)*F431/2)/(IF(B409="div.1",F422,F425)-0.5*D414/10)</f>
        <v>#N/A</v>
      </c>
      <c r="G466" s="460" t="s">
        <v>93</v>
      </c>
      <c r="H466" s="460"/>
      <c r="I466" s="1259"/>
    </row>
    <row r="467" spans="1:9" ht="14.55" customHeight="1" x14ac:dyDescent="0.3">
      <c r="A467" s="1258" t="s">
        <v>272</v>
      </c>
      <c r="B467" s="453">
        <f>B441/2*(EXP(D414/(10*IF(B409="div.1",B423,B426)))-1)</f>
        <v>3.1550621603242845</v>
      </c>
      <c r="C467" s="460" t="s">
        <v>93</v>
      </c>
      <c r="D467" s="453">
        <f>D441/2*(EXP(D414/(10*IF(B409="div.1",B423,B426)))-1)</f>
        <v>0</v>
      </c>
      <c r="E467" s="460" t="s">
        <v>93</v>
      </c>
      <c r="F467" s="453" t="e">
        <f>F441/2*(EXP(D414/(10*IF(B409="div.1",F423,F426)))-1)</f>
        <v>#N/A</v>
      </c>
      <c r="G467" s="460" t="s">
        <v>93</v>
      </c>
      <c r="H467" s="460"/>
      <c r="I467" s="1259"/>
    </row>
    <row r="468" spans="1:9" ht="14.55" customHeight="1" x14ac:dyDescent="0.3">
      <c r="A468" s="1258" t="s">
        <v>273</v>
      </c>
      <c r="B468" s="453">
        <f>B453/2*(EXP(D414/(10*IF(B409="div.1",B423,B426)))-1)</f>
        <v>0</v>
      </c>
      <c r="C468" s="460" t="s">
        <v>93</v>
      </c>
      <c r="D468" s="453">
        <f>D453/2*(EXP(D414/(10*IF(B409="div.1",B423,B426)))-1)</f>
        <v>0</v>
      </c>
      <c r="E468" s="460" t="s">
        <v>93</v>
      </c>
      <c r="F468" s="453" t="e">
        <f>F453/2*(EXP(D414/(10*IF(B409="div.1",F423,F426)))-1)</f>
        <v>#N/A</v>
      </c>
      <c r="G468" s="460" t="s">
        <v>93</v>
      </c>
      <c r="H468" s="460"/>
      <c r="I468" s="1259"/>
    </row>
    <row r="469" spans="1:9" ht="14.55" customHeight="1" x14ac:dyDescent="0.3">
      <c r="A469" s="1258" t="s">
        <v>274</v>
      </c>
      <c r="B469" s="725">
        <v>0</v>
      </c>
      <c r="C469" s="460" t="s">
        <v>93</v>
      </c>
      <c r="D469" s="725"/>
      <c r="E469" s="460" t="s">
        <v>93</v>
      </c>
      <c r="F469" s="725"/>
      <c r="G469" s="460" t="s">
        <v>93</v>
      </c>
      <c r="H469" s="460"/>
      <c r="I469" s="1259"/>
    </row>
    <row r="470" spans="1:9" ht="14.55" customHeight="1" x14ac:dyDescent="0.3">
      <c r="A470" s="1258" t="s">
        <v>275</v>
      </c>
      <c r="B470" s="725">
        <v>0</v>
      </c>
      <c r="C470" s="460" t="s">
        <v>93</v>
      </c>
      <c r="D470" s="725"/>
      <c r="E470" s="460" t="s">
        <v>93</v>
      </c>
      <c r="F470" s="725"/>
      <c r="G470" s="460" t="s">
        <v>93</v>
      </c>
      <c r="H470" s="460"/>
      <c r="I470" s="1259"/>
    </row>
    <row r="471" spans="1:9" ht="14.55" customHeight="1" x14ac:dyDescent="0.3">
      <c r="A471" s="1258" t="s">
        <v>276</v>
      </c>
      <c r="B471" s="725">
        <v>0</v>
      </c>
      <c r="C471" s="460" t="s">
        <v>93</v>
      </c>
      <c r="D471" s="725"/>
      <c r="E471" s="460" t="s">
        <v>93</v>
      </c>
      <c r="F471" s="725"/>
      <c r="G471" s="460" t="s">
        <v>93</v>
      </c>
      <c r="H471" s="460"/>
      <c r="I471" s="1259"/>
    </row>
    <row r="472" spans="1:9" ht="14.55" customHeight="1" x14ac:dyDescent="0.3">
      <c r="A472" s="1258" t="s">
        <v>277</v>
      </c>
      <c r="B472" s="453">
        <f>IF((CEILING(B466,1)+B469)&lt;B465,B465,CEILING(B466,1)+B469)</f>
        <v>9.52</v>
      </c>
      <c r="C472" s="460" t="s">
        <v>93</v>
      </c>
      <c r="D472" s="453">
        <f>IF((CEILING(D466,1)+D469)&lt;D465,D465,CEILING(D466,1)+D469)</f>
        <v>0</v>
      </c>
      <c r="E472" s="460" t="s">
        <v>93</v>
      </c>
      <c r="F472" s="453" t="e">
        <f>IF((CEILING(F466,1)+F469)&lt;F465,F465,CEILING(F466,1)+F469)</f>
        <v>#N/A</v>
      </c>
      <c r="G472" s="460" t="s">
        <v>93</v>
      </c>
      <c r="H472" s="460"/>
      <c r="I472" s="1259"/>
    </row>
    <row r="473" spans="1:9" ht="14.55" customHeight="1" x14ac:dyDescent="0.3">
      <c r="A473" s="1258" t="s">
        <v>278</v>
      </c>
      <c r="B473" s="453">
        <f>IF((CEILING(B467,1)+B470)&lt;=B465,B465,CEILING(B467,1)+B470)</f>
        <v>9.52</v>
      </c>
      <c r="C473" s="460" t="s">
        <v>93</v>
      </c>
      <c r="D473" s="453">
        <f>IF((CEILING(D467,1)+D470)&lt;=D465,D465,CEILING(D467,1)+D470)</f>
        <v>0</v>
      </c>
      <c r="E473" s="460" t="s">
        <v>93</v>
      </c>
      <c r="F473" s="453" t="e">
        <f>IF((CEILING(F467,1)+F470)&lt;=F465,F465,CEILING(F467,1)+F470)</f>
        <v>#N/A</v>
      </c>
      <c r="G473" s="460" t="s">
        <v>93</v>
      </c>
      <c r="H473" s="460"/>
      <c r="I473" s="1259"/>
    </row>
    <row r="474" spans="1:9" ht="14.55" customHeight="1" x14ac:dyDescent="0.3">
      <c r="A474" s="1258" t="s">
        <v>279</v>
      </c>
      <c r="B474" s="453">
        <f>IF((CEILING(B468,1)+B471)&lt;=B465,B465,CEILING(B468,1)+B471)</f>
        <v>9.52</v>
      </c>
      <c r="C474" s="460" t="s">
        <v>93</v>
      </c>
      <c r="D474" s="453">
        <f>IF((CEILING(D468,1)+D471)&lt;=D465,D465,CEILING(D468,1)+D471)</f>
        <v>0</v>
      </c>
      <c r="E474" s="460" t="s">
        <v>93</v>
      </c>
      <c r="F474" s="453" t="e">
        <f>IF((CEILING(F468,1)+F471)&lt;=F465,F465,CEILING(F468,1)+F471)</f>
        <v>#N/A</v>
      </c>
      <c r="G474" s="460" t="s">
        <v>93</v>
      </c>
      <c r="H474" s="460"/>
      <c r="I474" s="1259"/>
    </row>
    <row r="475" spans="1:9" ht="14.55" customHeight="1" x14ac:dyDescent="0.3">
      <c r="A475" s="1258" t="s">
        <v>280</v>
      </c>
      <c r="B475" s="453"/>
      <c r="C475" s="460"/>
      <c r="D475" s="453"/>
      <c r="E475" s="460"/>
      <c r="F475" s="726"/>
      <c r="G475" s="460"/>
      <c r="H475" s="460"/>
      <c r="I475" s="1259"/>
    </row>
    <row r="476" spans="1:9" ht="14.55" customHeight="1" x14ac:dyDescent="0.3">
      <c r="A476" s="1258" t="s">
        <v>281</v>
      </c>
      <c r="B476" s="453"/>
      <c r="C476" s="460"/>
      <c r="D476" s="453"/>
      <c r="E476" s="460"/>
      <c r="F476" s="460">
        <f>IFERROR(VLOOKUP(F430,'Thickness Tab'!$1:$1048576,MATCH(F475,'Thickness Tab'!$1:$1,0),0),0)</f>
        <v>0</v>
      </c>
      <c r="G476" s="460" t="s">
        <v>93</v>
      </c>
      <c r="H476" s="460"/>
      <c r="I476" s="1259"/>
    </row>
    <row r="477" spans="1:9" ht="14.55" customHeight="1" x14ac:dyDescent="0.3">
      <c r="A477" s="1258"/>
      <c r="B477" s="464"/>
      <c r="C477" s="460"/>
      <c r="D477" s="460"/>
      <c r="E477" s="460"/>
      <c r="F477" s="460"/>
      <c r="G477" s="460"/>
      <c r="H477" s="460"/>
      <c r="I477" s="1259"/>
    </row>
    <row r="478" spans="1:9" ht="14.55" customHeight="1" x14ac:dyDescent="0.3">
      <c r="A478" s="1258" t="s">
        <v>282</v>
      </c>
      <c r="B478" s="725">
        <v>0</v>
      </c>
      <c r="C478" s="460" t="s">
        <v>93</v>
      </c>
      <c r="D478" s="725">
        <v>0</v>
      </c>
      <c r="E478" s="460" t="s">
        <v>93</v>
      </c>
      <c r="F478" s="725">
        <v>0</v>
      </c>
      <c r="G478" s="460" t="s">
        <v>93</v>
      </c>
      <c r="H478" s="460"/>
      <c r="I478" s="1259"/>
    </row>
    <row r="479" spans="1:9" ht="14.55" customHeight="1" x14ac:dyDescent="0.3">
      <c r="A479" s="1258" t="s">
        <v>283</v>
      </c>
      <c r="B479" s="725">
        <v>0</v>
      </c>
      <c r="C479" s="460" t="s">
        <v>93</v>
      </c>
      <c r="D479" s="725">
        <v>0</v>
      </c>
      <c r="E479" s="460" t="s">
        <v>93</v>
      </c>
      <c r="F479" s="725">
        <v>0</v>
      </c>
      <c r="G479" s="460" t="s">
        <v>93</v>
      </c>
      <c r="H479" s="460"/>
      <c r="I479" s="1259"/>
    </row>
    <row r="480" spans="1:9" ht="14.55" customHeight="1" x14ac:dyDescent="0.3">
      <c r="A480" s="1258" t="s">
        <v>284</v>
      </c>
      <c r="B480" s="725">
        <v>0</v>
      </c>
      <c r="C480" s="460" t="s">
        <v>93</v>
      </c>
      <c r="D480" s="725">
        <v>0</v>
      </c>
      <c r="E480" s="460" t="s">
        <v>93</v>
      </c>
      <c r="F480" s="725">
        <v>0</v>
      </c>
      <c r="G480" s="460" t="s">
        <v>93</v>
      </c>
      <c r="H480" s="460"/>
      <c r="I480" s="1259"/>
    </row>
    <row r="481" spans="1:9" ht="14.55" customHeight="1" x14ac:dyDescent="0.3">
      <c r="A481" s="1258"/>
      <c r="B481" s="464"/>
      <c r="C481" s="460"/>
      <c r="D481" s="460"/>
      <c r="E481" s="460"/>
      <c r="F481" s="460"/>
      <c r="G481" s="460"/>
      <c r="H481" s="460"/>
      <c r="I481" s="1259"/>
    </row>
    <row r="482" spans="1:9" ht="14.55" customHeight="1" x14ac:dyDescent="0.3">
      <c r="A482" s="1260" t="s">
        <v>285</v>
      </c>
      <c r="B482" s="470" t="str">
        <f>IF(B410="Horizontal","No Skirt","")</f>
        <v/>
      </c>
      <c r="C482" s="460"/>
      <c r="D482" s="471"/>
      <c r="E482" s="471" t="s">
        <v>286</v>
      </c>
      <c r="F482" s="460"/>
      <c r="G482" s="469"/>
      <c r="H482" s="469"/>
      <c r="I482" s="1261"/>
    </row>
    <row r="483" spans="1:9" ht="14.55" customHeight="1" x14ac:dyDescent="0.3">
      <c r="A483" s="1258" t="s">
        <v>287</v>
      </c>
      <c r="B483" s="722">
        <v>6</v>
      </c>
      <c r="C483" s="456" t="s">
        <v>93</v>
      </c>
      <c r="D483" s="472"/>
      <c r="E483" s="472" t="s">
        <v>288</v>
      </c>
      <c r="F483" s="725"/>
      <c r="G483" s="460" t="s">
        <v>93</v>
      </c>
      <c r="H483" s="469"/>
      <c r="I483" s="1261"/>
    </row>
    <row r="484" spans="1:9" ht="14.55" customHeight="1" x14ac:dyDescent="0.3">
      <c r="A484" s="1258" t="s">
        <v>289</v>
      </c>
      <c r="B484" s="722">
        <v>1500</v>
      </c>
      <c r="C484" s="456" t="s">
        <v>93</v>
      </c>
      <c r="D484" s="472"/>
      <c r="E484" s="472" t="s">
        <v>290</v>
      </c>
      <c r="F484" s="725"/>
      <c r="G484" s="460" t="s">
        <v>93</v>
      </c>
      <c r="H484" s="469"/>
      <c r="I484" s="1261"/>
    </row>
    <row r="485" spans="1:9" ht="14.55" customHeight="1" x14ac:dyDescent="0.3">
      <c r="A485" s="1258" t="s">
        <v>291</v>
      </c>
      <c r="B485" s="722">
        <v>500</v>
      </c>
      <c r="C485" s="456" t="s">
        <v>93</v>
      </c>
      <c r="D485" s="472"/>
      <c r="E485" s="472" t="s">
        <v>292</v>
      </c>
      <c r="F485" s="725"/>
      <c r="G485" s="460"/>
      <c r="H485" s="469"/>
      <c r="I485" s="1261"/>
    </row>
    <row r="486" spans="1:9" ht="14.55" customHeight="1" x14ac:dyDescent="0.3">
      <c r="A486" s="1258" t="s">
        <v>293</v>
      </c>
      <c r="B486" s="722">
        <v>400</v>
      </c>
      <c r="C486" s="456" t="s">
        <v>93</v>
      </c>
      <c r="D486" s="472"/>
      <c r="E486" s="472" t="s">
        <v>184</v>
      </c>
      <c r="F486" s="457">
        <f>(PI()*F483^2)/4*F484*(7800/1000000000)</f>
        <v>0</v>
      </c>
      <c r="G486" s="460" t="s">
        <v>222</v>
      </c>
      <c r="H486" s="460"/>
      <c r="I486" s="1259"/>
    </row>
    <row r="487" spans="1:9" ht="14.55" customHeight="1" x14ac:dyDescent="0.3">
      <c r="A487" s="1258" t="s">
        <v>294</v>
      </c>
      <c r="B487" s="722">
        <f>+B483</f>
        <v>6</v>
      </c>
      <c r="C487" s="456" t="s">
        <v>93</v>
      </c>
      <c r="D487" s="460"/>
      <c r="E487" s="460"/>
      <c r="F487" s="460"/>
      <c r="G487" s="460"/>
      <c r="H487" s="460"/>
      <c r="I487" s="1259"/>
    </row>
    <row r="488" spans="1:9" ht="14.55" customHeight="1" x14ac:dyDescent="0.3">
      <c r="A488" s="1258"/>
      <c r="B488" s="407"/>
      <c r="C488" s="460"/>
      <c r="D488" s="460"/>
      <c r="E488" s="460"/>
      <c r="F488" s="460"/>
      <c r="G488" s="460"/>
      <c r="H488" s="460"/>
      <c r="I488" s="1259"/>
    </row>
    <row r="489" spans="1:9" ht="14.55" customHeight="1" x14ac:dyDescent="0.3">
      <c r="A489" s="1262" t="s">
        <v>295</v>
      </c>
      <c r="B489" s="480"/>
      <c r="C489" s="59"/>
      <c r="D489" s="59"/>
      <c r="E489" s="59"/>
      <c r="F489" s="460"/>
      <c r="G489" s="460"/>
      <c r="H489" s="460"/>
      <c r="I489" s="1259"/>
    </row>
    <row r="490" spans="1:9" ht="14.55" customHeight="1" x14ac:dyDescent="0.3">
      <c r="A490" s="1263" t="s">
        <v>296</v>
      </c>
      <c r="B490" s="722"/>
      <c r="C490" s="59" t="s">
        <v>93</v>
      </c>
      <c r="D490" s="59"/>
      <c r="E490" s="59"/>
      <c r="F490" s="460"/>
      <c r="G490" s="460"/>
      <c r="H490" s="460"/>
      <c r="I490" s="1259"/>
    </row>
    <row r="491" spans="1:9" ht="14.55" customHeight="1" x14ac:dyDescent="0.3">
      <c r="A491" s="1263" t="s">
        <v>297</v>
      </c>
      <c r="B491" s="722"/>
      <c r="C491" s="59" t="s">
        <v>93</v>
      </c>
      <c r="D491" s="59"/>
      <c r="E491" s="59"/>
      <c r="F491" s="460"/>
      <c r="G491" s="460"/>
      <c r="H491" s="460"/>
      <c r="I491" s="1259"/>
    </row>
    <row r="492" spans="1:9" ht="14.55" customHeight="1" x14ac:dyDescent="0.3">
      <c r="A492" s="1263" t="s">
        <v>298</v>
      </c>
      <c r="B492" s="480">
        <f>B433</f>
        <v>1900</v>
      </c>
      <c r="C492" s="59" t="s">
        <v>93</v>
      </c>
      <c r="D492" s="59"/>
      <c r="E492" s="59"/>
      <c r="F492" s="460"/>
      <c r="G492" s="460"/>
      <c r="H492" s="460"/>
      <c r="I492" s="1259"/>
    </row>
    <row r="493" spans="1:9" ht="14.55" customHeight="1" x14ac:dyDescent="0.3">
      <c r="A493" s="1263" t="s">
        <v>299</v>
      </c>
      <c r="B493" s="727"/>
      <c r="C493" s="59"/>
      <c r="D493" s="59"/>
      <c r="E493" s="59"/>
      <c r="F493" s="460"/>
      <c r="G493" s="460"/>
      <c r="H493" s="460"/>
      <c r="I493" s="1259"/>
    </row>
    <row r="494" spans="1:9" ht="14.55" customHeight="1" x14ac:dyDescent="0.3">
      <c r="A494" s="1263" t="s">
        <v>300</v>
      </c>
      <c r="B494" s="722"/>
      <c r="C494" s="59" t="s">
        <v>301</v>
      </c>
      <c r="D494" s="59"/>
      <c r="E494" s="59"/>
      <c r="F494" s="460"/>
      <c r="G494" s="460"/>
      <c r="H494" s="460"/>
      <c r="I494" s="1259"/>
    </row>
    <row r="495" spans="1:9" ht="14.55" customHeight="1" x14ac:dyDescent="0.3">
      <c r="A495" s="1263" t="s">
        <v>302</v>
      </c>
      <c r="B495" s="480">
        <f>IF(B493="Straight",B492,B492*2)</f>
        <v>3800</v>
      </c>
      <c r="C495" s="59" t="s">
        <v>93</v>
      </c>
      <c r="D495" s="480"/>
      <c r="E495" s="59"/>
      <c r="F495" s="460"/>
      <c r="G495" s="460"/>
      <c r="H495" s="460"/>
      <c r="I495" s="1259"/>
    </row>
    <row r="496" spans="1:9" ht="14.55" customHeight="1" x14ac:dyDescent="0.3">
      <c r="A496" s="1263" t="s">
        <v>303</v>
      </c>
      <c r="B496" s="480">
        <f>B490*PI()*B495/1000000*B494</f>
        <v>0</v>
      </c>
      <c r="C496" s="59" t="s">
        <v>228</v>
      </c>
      <c r="D496" s="59"/>
      <c r="E496" s="59"/>
      <c r="F496" s="460"/>
      <c r="G496" s="460"/>
      <c r="H496" s="460"/>
      <c r="I496" s="1259"/>
    </row>
    <row r="497" spans="1:9" ht="14.55" customHeight="1" x14ac:dyDescent="0.3">
      <c r="A497" s="1263" t="s">
        <v>304</v>
      </c>
      <c r="B497" s="480">
        <v>7.86</v>
      </c>
      <c r="C497" s="59" t="s">
        <v>305</v>
      </c>
      <c r="D497" s="59"/>
      <c r="E497" s="59"/>
      <c r="F497" s="460"/>
      <c r="G497" s="460"/>
      <c r="H497" s="460"/>
      <c r="I497" s="1259"/>
    </row>
    <row r="498" spans="1:9" ht="14.55" customHeight="1" x14ac:dyDescent="0.3">
      <c r="A498" s="1263" t="s">
        <v>306</v>
      </c>
      <c r="B498" s="480">
        <f>PI()*B491*(B490-B491)*B497/1000</f>
        <v>0</v>
      </c>
      <c r="C498" s="59" t="s">
        <v>307</v>
      </c>
      <c r="D498" s="59"/>
      <c r="E498" s="59"/>
      <c r="F498" s="460"/>
      <c r="G498" s="460"/>
      <c r="H498" s="460"/>
      <c r="I498" s="1259"/>
    </row>
    <row r="499" spans="1:9" ht="14.55" customHeight="1" x14ac:dyDescent="0.3">
      <c r="A499" s="1263" t="s">
        <v>308</v>
      </c>
      <c r="B499" s="480">
        <f>B498*B495*B494/1000</f>
        <v>0</v>
      </c>
      <c r="C499" s="59" t="s">
        <v>222</v>
      </c>
      <c r="D499" s="59"/>
      <c r="E499" s="59"/>
      <c r="F499" s="460"/>
      <c r="G499" s="460"/>
      <c r="H499" s="460"/>
      <c r="I499" s="1259"/>
    </row>
    <row r="500" spans="1:9" ht="14.55" customHeight="1" x14ac:dyDescent="0.3">
      <c r="A500" s="1263"/>
      <c r="B500" s="480"/>
      <c r="C500" s="59"/>
      <c r="D500" s="59"/>
      <c r="E500" s="59"/>
      <c r="F500" s="460"/>
      <c r="G500" s="460"/>
      <c r="H500" s="460"/>
      <c r="I500" s="1259"/>
    </row>
    <row r="501" spans="1:9" ht="14.55" customHeight="1" x14ac:dyDescent="0.3">
      <c r="A501" s="1262" t="s">
        <v>309</v>
      </c>
      <c r="B501" s="480"/>
      <c r="C501" s="59"/>
      <c r="D501" s="59"/>
      <c r="E501" s="59"/>
      <c r="F501" s="460"/>
      <c r="G501" s="460"/>
      <c r="H501" s="460"/>
      <c r="I501" s="1259"/>
    </row>
    <row r="502" spans="1:9" ht="14.55" customHeight="1" x14ac:dyDescent="0.3">
      <c r="A502" s="1263" t="s">
        <v>310</v>
      </c>
      <c r="B502" s="480">
        <f>B431</f>
        <v>400</v>
      </c>
      <c r="C502" s="59" t="s">
        <v>93</v>
      </c>
      <c r="D502" s="59"/>
      <c r="E502" s="59"/>
      <c r="F502" s="460"/>
      <c r="G502" s="460"/>
      <c r="H502" s="460"/>
      <c r="I502" s="1259"/>
    </row>
    <row r="503" spans="1:9" ht="14.55" customHeight="1" x14ac:dyDescent="0.3">
      <c r="A503" s="1263" t="s">
        <v>297</v>
      </c>
      <c r="B503" s="480">
        <v>15</v>
      </c>
      <c r="C503" s="59" t="s">
        <v>93</v>
      </c>
      <c r="D503" s="59"/>
      <c r="E503" s="59"/>
      <c r="F503" s="460"/>
      <c r="G503" s="460"/>
      <c r="H503" s="460"/>
      <c r="I503" s="1259"/>
    </row>
    <row r="504" spans="1:9" ht="14.55" customHeight="1" x14ac:dyDescent="0.3">
      <c r="A504" s="1263" t="s">
        <v>311</v>
      </c>
      <c r="B504" s="480">
        <f>B502^2*PI()/4/1000000</f>
        <v>0.12566370614359174</v>
      </c>
      <c r="C504" s="59" t="s">
        <v>228</v>
      </c>
      <c r="D504" s="59"/>
      <c r="E504" s="59"/>
      <c r="F504" s="460"/>
      <c r="G504" s="460"/>
      <c r="H504" s="460"/>
      <c r="I504" s="1259"/>
    </row>
    <row r="505" spans="1:9" ht="14.55" customHeight="1" x14ac:dyDescent="0.3">
      <c r="A505" s="1263" t="s">
        <v>312</v>
      </c>
      <c r="B505" s="480">
        <f>B504*B503/1000*B497*2/1000</f>
        <v>2.9631501908658933E-5</v>
      </c>
      <c r="C505" s="59" t="s">
        <v>222</v>
      </c>
      <c r="D505" s="59"/>
      <c r="E505" s="59"/>
      <c r="F505" s="460"/>
      <c r="G505" s="460"/>
      <c r="H505" s="460"/>
      <c r="I505" s="1259"/>
    </row>
    <row r="506" spans="1:9" ht="14.55" customHeight="1" x14ac:dyDescent="0.3">
      <c r="A506" s="1263"/>
      <c r="B506" s="480"/>
      <c r="C506" s="59"/>
      <c r="D506" s="59"/>
      <c r="E506" s="59"/>
      <c r="F506" s="460"/>
      <c r="G506" s="460"/>
      <c r="H506" s="460"/>
      <c r="I506" s="1259"/>
    </row>
    <row r="507" spans="1:9" ht="14.55" customHeight="1" x14ac:dyDescent="0.3">
      <c r="A507" s="1263" t="s">
        <v>313</v>
      </c>
      <c r="B507" s="480">
        <f>B499+B505*2</f>
        <v>5.9263003817317866E-5</v>
      </c>
      <c r="C507" s="59" t="s">
        <v>222</v>
      </c>
      <c r="D507" s="59"/>
      <c r="E507" s="59"/>
      <c r="F507" s="460"/>
      <c r="G507" s="460"/>
      <c r="H507" s="460"/>
      <c r="I507" s="1259"/>
    </row>
    <row r="508" spans="1:9" ht="14.55" customHeight="1" x14ac:dyDescent="0.3">
      <c r="A508" s="1263"/>
      <c r="B508" s="480"/>
      <c r="C508" s="59"/>
      <c r="D508" s="59"/>
      <c r="E508" s="59"/>
      <c r="F508" s="460"/>
      <c r="G508" s="460"/>
      <c r="H508" s="460"/>
      <c r="I508" s="1259"/>
    </row>
    <row r="509" spans="1:9" ht="14.55" customHeight="1" x14ac:dyDescent="0.3">
      <c r="A509" s="1260" t="s">
        <v>314</v>
      </c>
      <c r="B509" s="460"/>
      <c r="C509" s="460"/>
      <c r="D509" s="463" t="s">
        <v>315</v>
      </c>
      <c r="E509" s="460"/>
      <c r="F509" s="460"/>
      <c r="G509" s="471" t="s">
        <v>316</v>
      </c>
      <c r="H509" s="453"/>
      <c r="I509" s="1259"/>
    </row>
    <row r="510" spans="1:9" ht="14.55" customHeight="1" x14ac:dyDescent="0.3">
      <c r="A510" s="1258" t="s">
        <v>189</v>
      </c>
      <c r="B510" s="468">
        <f>SUM(B434,D434,F434)</f>
        <v>192.05578075568147</v>
      </c>
      <c r="C510" s="460" t="s">
        <v>222</v>
      </c>
      <c r="D510" s="472" t="s">
        <v>189</v>
      </c>
      <c r="E510" s="468">
        <f>SUM(B436,D436,F436)</f>
        <v>2.4999926400000003</v>
      </c>
      <c r="F510" s="460" t="s">
        <v>228</v>
      </c>
      <c r="G510" s="472" t="s">
        <v>189</v>
      </c>
      <c r="H510" s="453">
        <f>SUM(B438,D438,F438)</f>
        <v>2.4999926400000003</v>
      </c>
      <c r="I510" s="1259" t="s">
        <v>228</v>
      </c>
    </row>
    <row r="511" spans="1:9" ht="14.55" customHeight="1" x14ac:dyDescent="0.3">
      <c r="A511" s="1258" t="s">
        <v>317</v>
      </c>
      <c r="B511" s="468">
        <f>SUM(B444*B446,D444*D446,F444*F446)</f>
        <v>14.669633718786114</v>
      </c>
      <c r="C511" s="460" t="s">
        <v>222</v>
      </c>
      <c r="D511" s="472" t="s">
        <v>317</v>
      </c>
      <c r="E511" s="468">
        <f>SUM(B444*B448,D444*D448,F444*F448)</f>
        <v>0.33520953945599996</v>
      </c>
      <c r="F511" s="460" t="s">
        <v>228</v>
      </c>
      <c r="G511" s="472" t="s">
        <v>317</v>
      </c>
      <c r="H511" s="453">
        <f>SUM(B444*B450,D444*D450,F444*F450)</f>
        <v>0.33520953945599996</v>
      </c>
      <c r="I511" s="1259" t="s">
        <v>228</v>
      </c>
    </row>
    <row r="512" spans="1:9" ht="14.55" customHeight="1" x14ac:dyDescent="0.3">
      <c r="A512" s="1258" t="s">
        <v>318</v>
      </c>
      <c r="B512" s="468">
        <f>SUM(B458,D458,F458)</f>
        <v>0</v>
      </c>
      <c r="C512" s="460" t="s">
        <v>222</v>
      </c>
      <c r="D512" s="472" t="s">
        <v>318</v>
      </c>
      <c r="E512" s="468">
        <f>SUM(B460,D460,F460)</f>
        <v>0</v>
      </c>
      <c r="F512" s="460" t="s">
        <v>228</v>
      </c>
      <c r="G512" s="472" t="s">
        <v>318</v>
      </c>
      <c r="H512" s="453">
        <f>SUM(B463,D463,F463)</f>
        <v>0</v>
      </c>
      <c r="I512" s="1259" t="s">
        <v>228</v>
      </c>
    </row>
    <row r="513" spans="1:9" ht="14.55" customHeight="1" x14ac:dyDescent="0.3">
      <c r="A513" s="1258" t="s">
        <v>319</v>
      </c>
      <c r="B513" s="468">
        <f>SUMPRODUCT(F530:F541,H530:H541)</f>
        <v>275</v>
      </c>
      <c r="C513" s="460" t="s">
        <v>222</v>
      </c>
      <c r="D513" s="472" t="s">
        <v>319</v>
      </c>
      <c r="E513" s="468">
        <f>SUMPRODUCT(F530:F541,I530:I541)</f>
        <v>1.256702689306451</v>
      </c>
      <c r="F513" s="460" t="s">
        <v>228</v>
      </c>
      <c r="G513" s="460"/>
      <c r="H513" s="453"/>
      <c r="I513" s="1259"/>
    </row>
    <row r="514" spans="1:9" ht="14.55" customHeight="1" x14ac:dyDescent="0.3">
      <c r="A514" s="1258" t="s">
        <v>320</v>
      </c>
      <c r="B514" s="468">
        <f>IF(B410="Horizontal",0,(PI()*B484*(((B432/2)^2)-(((B432-2*B483)/2)^2))*7860)/1000000000)</f>
        <v>91.792466612643551</v>
      </c>
      <c r="C514" s="460" t="s">
        <v>222</v>
      </c>
      <c r="D514" s="472" t="s">
        <v>320</v>
      </c>
      <c r="E514" s="468">
        <f>IF(B410="Horizontal",0,((B432*B484*PI())+((B432-2*B483)*B484*PI()))/1000000)</f>
        <v>3.8928102889161846</v>
      </c>
      <c r="F514" s="460" t="s">
        <v>228</v>
      </c>
      <c r="G514" s="471" t="s">
        <v>321</v>
      </c>
      <c r="H514" s="453"/>
      <c r="I514" s="1259"/>
    </row>
    <row r="515" spans="1:9" ht="14.55" customHeight="1" x14ac:dyDescent="0.3">
      <c r="A515" s="1258" t="s">
        <v>322</v>
      </c>
      <c r="B515" s="468">
        <f>IF(B410="Horizontal",0,(PI()*B487*(((B486/2)^2)-((B485/2)^2))*7860)/1000000000)</f>
        <v>-3.3335439647241296</v>
      </c>
      <c r="C515" s="460" t="s">
        <v>222</v>
      </c>
      <c r="D515" s="472" t="s">
        <v>322</v>
      </c>
      <c r="E515" s="468">
        <f>IF(B410="Horizontal",0,((B486*3.14*B487)+(B485*3.14*B487)+(((((B486/2)^2)*3.14)-(((B485/2)^2)*3.14))*2))/1000000)</f>
        <v>-0.124344</v>
      </c>
      <c r="F515" s="460" t="s">
        <v>228</v>
      </c>
      <c r="G515" s="472" t="s">
        <v>189</v>
      </c>
      <c r="H515" s="453">
        <f>SUM(B435,D435,F435)</f>
        <v>0.2387610416728243</v>
      </c>
      <c r="I515" s="1259" t="s">
        <v>225</v>
      </c>
    </row>
    <row r="516" spans="1:9" ht="14.55" customHeight="1" x14ac:dyDescent="0.3">
      <c r="A516" s="1258" t="s">
        <v>323</v>
      </c>
      <c r="B516" s="468">
        <f>IF(B410="Horizontal",VLOOKUP(B432,List!$AR:$AS,2,1)*2,0)</f>
        <v>0</v>
      </c>
      <c r="C516" s="460" t="s">
        <v>222</v>
      </c>
      <c r="D516" s="472" t="s">
        <v>323</v>
      </c>
      <c r="E516" s="725"/>
      <c r="F516" s="460" t="s">
        <v>228</v>
      </c>
      <c r="G516" s="472" t="s">
        <v>317</v>
      </c>
      <c r="H516" s="453">
        <f>SUM(B444*B447+D444*D447+F444*F447)</f>
        <v>8.3840000000000008E-3</v>
      </c>
      <c r="I516" s="1259" t="s">
        <v>225</v>
      </c>
    </row>
    <row r="517" spans="1:9" ht="14.55" customHeight="1" x14ac:dyDescent="0.3">
      <c r="A517" s="1258" t="s">
        <v>324</v>
      </c>
      <c r="B517" s="468">
        <f>F486*F485</f>
        <v>0</v>
      </c>
      <c r="C517" s="460" t="s">
        <v>222</v>
      </c>
      <c r="D517" s="460"/>
      <c r="E517" s="460"/>
      <c r="F517" s="460"/>
      <c r="G517" s="472" t="s">
        <v>318</v>
      </c>
      <c r="H517" s="453">
        <f>SUM(B459,D459,F459)</f>
        <v>0</v>
      </c>
      <c r="I517" s="1259" t="s">
        <v>225</v>
      </c>
    </row>
    <row r="518" spans="1:9" ht="14.55" customHeight="1" x14ac:dyDescent="0.3">
      <c r="A518" s="1258" t="s">
        <v>325</v>
      </c>
      <c r="B518" s="468">
        <f>B507</f>
        <v>5.9263003817317866E-5</v>
      </c>
      <c r="C518" s="460" t="s">
        <v>222</v>
      </c>
      <c r="D518" s="460"/>
      <c r="E518" s="460"/>
      <c r="F518" s="460"/>
      <c r="G518" s="472"/>
      <c r="H518" s="453"/>
      <c r="I518" s="1259"/>
    </row>
    <row r="519" spans="1:9" ht="14.55" customHeight="1" x14ac:dyDescent="0.3">
      <c r="A519" s="1258" t="s">
        <v>326</v>
      </c>
      <c r="B519" s="725">
        <v>100</v>
      </c>
      <c r="C519" s="460" t="s">
        <v>222</v>
      </c>
      <c r="D519" s="460"/>
      <c r="E519" s="460"/>
      <c r="F519" s="460"/>
      <c r="G519" s="460"/>
      <c r="H519" s="460"/>
      <c r="I519" s="1259"/>
    </row>
    <row r="520" spans="1:9" ht="14.55" customHeight="1" x14ac:dyDescent="0.3">
      <c r="A520" s="1264"/>
      <c r="B520" s="460"/>
      <c r="C520" s="460"/>
      <c r="D520" s="460"/>
      <c r="E520" s="460"/>
      <c r="F520" s="460"/>
      <c r="G520" s="460"/>
      <c r="H520" s="460"/>
      <c r="I520" s="1259"/>
    </row>
    <row r="521" spans="1:9" ht="14.55" customHeight="1" x14ac:dyDescent="0.3">
      <c r="A521" s="1258" t="s">
        <v>327</v>
      </c>
      <c r="B521" s="453">
        <f>SUM(E510:E516)</f>
        <v>7.8603711576786361</v>
      </c>
      <c r="C521" s="460" t="s">
        <v>228</v>
      </c>
      <c r="D521" s="460"/>
      <c r="E521" s="460"/>
      <c r="F521" s="460"/>
      <c r="G521" s="460"/>
      <c r="H521" s="460"/>
      <c r="I521" s="1259"/>
    </row>
    <row r="522" spans="1:9" ht="14.55" customHeight="1" x14ac:dyDescent="0.3">
      <c r="A522" s="1258" t="s">
        <v>328</v>
      </c>
      <c r="B522" s="453" t="str">
        <f>IF(SUM(E510:E512)=SUM(H510:H512),"Not Insulated",SUM(H510:H512))</f>
        <v>Not Insulated</v>
      </c>
      <c r="C522" s="460" t="str">
        <f>IF(B521=SUM(H510:H512),"","m2")</f>
        <v>m2</v>
      </c>
      <c r="D522" s="460"/>
      <c r="E522" s="460"/>
      <c r="F522" s="460"/>
      <c r="G522" s="460"/>
      <c r="H522" s="460"/>
      <c r="I522" s="1259"/>
    </row>
    <row r="523" spans="1:9" ht="14.55" customHeight="1" x14ac:dyDescent="0.3">
      <c r="A523" s="1258" t="s">
        <v>329</v>
      </c>
      <c r="B523" s="453">
        <f>SUM(H515:H517)</f>
        <v>0.24714504167282431</v>
      </c>
      <c r="C523" s="460" t="s">
        <v>225</v>
      </c>
      <c r="D523" s="460"/>
      <c r="E523" s="460"/>
      <c r="F523" s="460"/>
      <c r="G523" s="460"/>
      <c r="H523" s="460"/>
      <c r="I523" s="1259"/>
    </row>
    <row r="524" spans="1:9" ht="14.55" customHeight="1" x14ac:dyDescent="0.3">
      <c r="A524" s="1258" t="s">
        <v>330</v>
      </c>
      <c r="B524" s="453">
        <f>SUM(B510:B519)</f>
        <v>670.18439638539076</v>
      </c>
      <c r="C524" s="460" t="s">
        <v>222</v>
      </c>
      <c r="D524" s="460"/>
      <c r="E524" s="460"/>
      <c r="F524" s="460"/>
      <c r="G524" s="460"/>
      <c r="H524" s="460"/>
      <c r="I524" s="1259"/>
    </row>
    <row r="525" spans="1:9" ht="14.55" customHeight="1" x14ac:dyDescent="0.3">
      <c r="A525" s="1258" t="s">
        <v>331</v>
      </c>
      <c r="B525" s="725">
        <v>675</v>
      </c>
      <c r="C525" s="460" t="s">
        <v>222</v>
      </c>
      <c r="D525" s="460"/>
      <c r="E525" s="460"/>
      <c r="F525" s="460"/>
      <c r="G525" s="460"/>
      <c r="H525" s="460"/>
      <c r="I525" s="1259"/>
    </row>
    <row r="526" spans="1:9" ht="15" customHeight="1" thickBot="1" x14ac:dyDescent="0.35">
      <c r="A526" s="1258"/>
      <c r="B526" s="473"/>
      <c r="C526" s="459"/>
      <c r="D526" s="460"/>
      <c r="E526" s="460"/>
      <c r="F526" s="460"/>
      <c r="G526" s="460"/>
      <c r="H526" s="460"/>
      <c r="I526" s="1259"/>
    </row>
    <row r="527" spans="1:9" ht="15" customHeight="1" thickBot="1" x14ac:dyDescent="0.35">
      <c r="A527" s="474"/>
      <c r="B527" s="1718" t="s">
        <v>332</v>
      </c>
      <c r="C527" s="1718"/>
      <c r="D527" s="1718"/>
      <c r="E527" s="1718"/>
      <c r="F527" s="1718"/>
      <c r="G527" s="475"/>
      <c r="H527" s="475"/>
      <c r="I527" s="476"/>
    </row>
    <row r="528" spans="1:9" ht="14.55" customHeight="1" x14ac:dyDescent="0.3">
      <c r="A528" s="1264"/>
      <c r="B528" s="1719" t="s">
        <v>333</v>
      </c>
      <c r="C528" s="1381" t="s">
        <v>59</v>
      </c>
      <c r="D528" s="1719" t="s">
        <v>114</v>
      </c>
      <c r="E528" s="1719" t="s">
        <v>334</v>
      </c>
      <c r="F528" s="1719" t="s">
        <v>292</v>
      </c>
      <c r="G528" s="1719" t="s">
        <v>335</v>
      </c>
      <c r="H528" s="1381" t="s">
        <v>184</v>
      </c>
      <c r="I528" s="1346" t="s">
        <v>336</v>
      </c>
    </row>
    <row r="529" spans="1:13" ht="14.55" customHeight="1" x14ac:dyDescent="0.3">
      <c r="A529" s="1264"/>
      <c r="B529" s="1720"/>
      <c r="C529" s="1442" t="s">
        <v>214</v>
      </c>
      <c r="D529" s="1720"/>
      <c r="E529" s="1720"/>
      <c r="F529" s="1720"/>
      <c r="G529" s="1720"/>
      <c r="H529" s="1442" t="s">
        <v>222</v>
      </c>
      <c r="I529" s="1443" t="s">
        <v>228</v>
      </c>
    </row>
    <row r="530" spans="1:13" ht="14.55" customHeight="1" x14ac:dyDescent="0.3">
      <c r="A530" s="1264"/>
      <c r="B530" s="1382" t="s">
        <v>337</v>
      </c>
      <c r="C530" s="728">
        <v>3</v>
      </c>
      <c r="D530" s="729">
        <v>300</v>
      </c>
      <c r="E530" s="730" t="s">
        <v>338</v>
      </c>
      <c r="F530" s="730">
        <v>1</v>
      </c>
      <c r="G530" s="730" t="s">
        <v>339</v>
      </c>
      <c r="H530" s="1465">
        <f>IFERROR(VLOOKUP($C530&amp;"F"&amp;$D530,'Flanges Chart'!$1:$1048576,MATCH($E530&amp;"."&amp;H$123,'Flanges Chart'!$1:$1,0),0),"")</f>
        <v>7</v>
      </c>
      <c r="I530" s="1466">
        <f>IFERROR(VLOOKUP($C530&amp;"F"&amp;$D530,'Flanges Chart'!$1:$1048576,MATCH($E530&amp;"."&amp;I$123,'Flanges Chart'!$1:$1,0),0),"")</f>
        <v>6.7504469489186106E-2</v>
      </c>
    </row>
    <row r="531" spans="1:13" ht="14.55" customHeight="1" x14ac:dyDescent="0.3">
      <c r="A531" s="1264"/>
      <c r="B531" s="1467" t="s">
        <v>340</v>
      </c>
      <c r="C531" s="731">
        <v>0.5</v>
      </c>
      <c r="D531" s="729">
        <v>300</v>
      </c>
      <c r="E531" s="729" t="s">
        <v>338</v>
      </c>
      <c r="F531" s="729">
        <v>1</v>
      </c>
      <c r="G531" s="729" t="s">
        <v>358</v>
      </c>
      <c r="H531" s="1465">
        <f>IFERROR(VLOOKUP($C531&amp;"F"&amp;$D531,'Flanges Chart'!$1:$1048576,MATCH($E531&amp;"."&amp;H$123,'Flanges Chart'!$1:$1,0),0),"")</f>
        <v>1.5</v>
      </c>
      <c r="I531" s="1466">
        <f>IFERROR(VLOOKUP($C531&amp;"F"&amp;$D531,'Flanges Chart'!$1:$1048576,MATCH($E531&amp;"."&amp;I$123,'Flanges Chart'!$1:$1,0),0),"")</f>
        <v>1.3855648823465887E-2</v>
      </c>
    </row>
    <row r="532" spans="1:13" ht="14.55" customHeight="1" x14ac:dyDescent="0.3">
      <c r="A532" s="1264"/>
      <c r="B532" s="1467" t="s">
        <v>342</v>
      </c>
      <c r="C532" s="731">
        <v>3</v>
      </c>
      <c r="D532" s="729">
        <v>300</v>
      </c>
      <c r="E532" s="729" t="s">
        <v>338</v>
      </c>
      <c r="F532" s="729">
        <v>1</v>
      </c>
      <c r="G532" s="729" t="s">
        <v>341</v>
      </c>
      <c r="H532" s="1465">
        <f>IFERROR(VLOOKUP($C532&amp;"F"&amp;$D532,'Flanges Chart'!$1:$1048576,MATCH($E532&amp;"."&amp;H$123,'Flanges Chart'!$1:$1,0),0),"")</f>
        <v>7</v>
      </c>
      <c r="I532" s="1466">
        <f>IFERROR(VLOOKUP($C532&amp;"F"&amp;$D532,'Flanges Chart'!$1:$1048576,MATCH($E532&amp;"."&amp;I$123,'Flanges Chart'!$1:$1,0),0),"")</f>
        <v>6.7504469489186106E-2</v>
      </c>
    </row>
    <row r="533" spans="1:13" ht="14.55" customHeight="1" x14ac:dyDescent="0.3">
      <c r="A533" s="1264"/>
      <c r="B533" s="1467" t="s">
        <v>344</v>
      </c>
      <c r="C533" s="731">
        <v>16</v>
      </c>
      <c r="D533" s="729">
        <v>300</v>
      </c>
      <c r="E533" s="729" t="s">
        <v>345</v>
      </c>
      <c r="F533" s="729">
        <v>1</v>
      </c>
      <c r="G533" s="729" t="s">
        <v>346</v>
      </c>
      <c r="H533" s="1465">
        <f>IFERROR(VLOOKUP($C533&amp;"F"&amp;$D533,'Flanges Chart'!$1:$1048576,MATCH($E533&amp;"."&amp;H$123,'Flanges Chart'!$1:$1,0),0),"")</f>
        <v>139</v>
      </c>
      <c r="I533" s="1466">
        <f>IFERROR(VLOOKUP($C533&amp;"F"&amp;$D533,'Flanges Chart'!$1:$1048576,MATCH($E533&amp;"."&amp;I$123,'Flanges Chart'!$1:$1,0),0),"")</f>
        <v>0.44623684706414002</v>
      </c>
    </row>
    <row r="534" spans="1:13" ht="14.55" customHeight="1" x14ac:dyDescent="0.3">
      <c r="A534" s="1264"/>
      <c r="B534" s="1467" t="s">
        <v>347</v>
      </c>
      <c r="C534" s="731">
        <v>1</v>
      </c>
      <c r="D534" s="729">
        <v>300</v>
      </c>
      <c r="E534" s="729" t="s">
        <v>338</v>
      </c>
      <c r="F534" s="729">
        <v>1</v>
      </c>
      <c r="G534" s="729" t="s">
        <v>357</v>
      </c>
      <c r="H534" s="1465">
        <f>IFERROR(VLOOKUP($C534&amp;"F"&amp;$D534,'Flanges Chart'!$1:$1048576,MATCH($E534&amp;"."&amp;H$123,'Flanges Chart'!$1:$1,0),0),"")</f>
        <v>2</v>
      </c>
      <c r="I534" s="1466">
        <f>IFERROR(VLOOKUP($C534&amp;"F"&amp;$D534,'Flanges Chart'!$1:$1048576,MATCH($E534&amp;"."&amp;I$123,'Flanges Chart'!$1:$1,0),0),"")</f>
        <v>2.3576867467027997E-2</v>
      </c>
    </row>
    <row r="535" spans="1:13" ht="14.55" customHeight="1" x14ac:dyDescent="0.3">
      <c r="A535" s="1264"/>
      <c r="B535" s="1467" t="s">
        <v>349</v>
      </c>
      <c r="C535" s="731">
        <v>16</v>
      </c>
      <c r="D535" s="729">
        <v>300</v>
      </c>
      <c r="E535" s="729" t="s">
        <v>338</v>
      </c>
      <c r="F535" s="729">
        <v>1</v>
      </c>
      <c r="G535" s="729" t="s">
        <v>346</v>
      </c>
      <c r="H535" s="1465">
        <f>IFERROR(VLOOKUP($C535&amp;"F"&amp;$D535,'Flanges Chart'!$1:$1048576,MATCH($E535&amp;"."&amp;H$123,'Flanges Chart'!$1:$1,0),0),"")</f>
        <v>111</v>
      </c>
      <c r="I535" s="1466">
        <f>IFERROR(VLOOKUP($C535&amp;"F"&amp;$D535,'Flanges Chart'!$1:$1048576,MATCH($E535&amp;"."&amp;I$123,'Flanges Chart'!$1:$1,0),0),"")</f>
        <v>0.55961164805653762</v>
      </c>
    </row>
    <row r="536" spans="1:13" ht="14.55" customHeight="1" x14ac:dyDescent="0.3">
      <c r="A536" s="1264"/>
      <c r="B536" s="1467" t="s">
        <v>350</v>
      </c>
      <c r="C536" s="731">
        <v>2</v>
      </c>
      <c r="D536" s="729">
        <v>300</v>
      </c>
      <c r="E536" s="729" t="s">
        <v>338</v>
      </c>
      <c r="F536" s="729">
        <v>1</v>
      </c>
      <c r="G536" s="729" t="s">
        <v>1952</v>
      </c>
      <c r="H536" s="1465">
        <f>IFERROR(VLOOKUP($C536&amp;"F"&amp;$D536,'Flanges Chart'!$1:$1048576,MATCH($E536&amp;"."&amp;H$123,'Flanges Chart'!$1:$1,0),0),"")</f>
        <v>4</v>
      </c>
      <c r="I536" s="1466">
        <f>IFERROR(VLOOKUP($C536&amp;"F"&amp;$D536,'Flanges Chart'!$1:$1048576,MATCH($E536&amp;"."&amp;I$123,'Flanges Chart'!$1:$1,0),0),"")</f>
        <v>4.2011042007909116E-2</v>
      </c>
    </row>
    <row r="537" spans="1:13" ht="14.55" customHeight="1" x14ac:dyDescent="0.3">
      <c r="A537" s="1264"/>
      <c r="B537" s="1467" t="s">
        <v>351</v>
      </c>
      <c r="C537" s="731">
        <v>1.5</v>
      </c>
      <c r="D537" s="729">
        <v>300</v>
      </c>
      <c r="E537" s="729" t="s">
        <v>338</v>
      </c>
      <c r="F537" s="729">
        <v>1</v>
      </c>
      <c r="G537" s="729" t="s">
        <v>1958</v>
      </c>
      <c r="H537" s="1465">
        <f>IFERROR(VLOOKUP($C537&amp;"F"&amp;$D537,'Flanges Chart'!$1:$1048576,MATCH($E537&amp;"."&amp;H$123,'Flanges Chart'!$1:$1,0),0),"")</f>
        <v>3.5</v>
      </c>
      <c r="I537" s="1466">
        <f>IFERROR(VLOOKUP($C537&amp;"F"&amp;$D537,'Flanges Chart'!$1:$1048576,MATCH($E537&amp;"."&amp;I$123,'Flanges Chart'!$1:$1,0),0),"")</f>
        <v>3.6401696908997999E-2</v>
      </c>
    </row>
    <row r="538" spans="1:13" ht="14.55" customHeight="1" x14ac:dyDescent="0.3">
      <c r="A538" s="1264"/>
      <c r="B538" s="1467" t="s">
        <v>352</v>
      </c>
      <c r="C538" s="731"/>
      <c r="D538" s="729"/>
      <c r="E538" s="729"/>
      <c r="F538" s="729"/>
      <c r="G538" s="729"/>
      <c r="H538" s="1465" t="str">
        <f>IFERROR(VLOOKUP($C538&amp;"F"&amp;$D538,'Flanges Chart'!$1:$1048576,MATCH($E538&amp;"."&amp;H$123,'Flanges Chart'!$1:$1,0),0),"")</f>
        <v/>
      </c>
      <c r="I538" s="1466" t="str">
        <f>IFERROR(VLOOKUP($C538&amp;"F"&amp;$D538,'Flanges Chart'!$1:$1048576,MATCH($E538&amp;"."&amp;I$123,'Flanges Chart'!$1:$1,0),0),"")</f>
        <v/>
      </c>
    </row>
    <row r="539" spans="1:13" ht="14.55" customHeight="1" x14ac:dyDescent="0.3">
      <c r="A539" s="1264"/>
      <c r="B539" s="1467" t="s">
        <v>353</v>
      </c>
      <c r="C539" s="731"/>
      <c r="D539" s="729"/>
      <c r="E539" s="729"/>
      <c r="F539" s="729"/>
      <c r="G539" s="729"/>
      <c r="H539" s="1465" t="str">
        <f>IFERROR(VLOOKUP($C539&amp;"F"&amp;$D539,'Flanges Chart'!$1:$1048576,MATCH($E539&amp;"."&amp;H$123,'Flanges Chart'!$1:$1,0),0),"")</f>
        <v/>
      </c>
      <c r="I539" s="1466" t="str">
        <f>IFERROR(VLOOKUP($C539&amp;"F"&amp;$D539,'Flanges Chart'!$1:$1048576,MATCH($E539&amp;"."&amp;I$123,'Flanges Chart'!$1:$1,0),0),"")</f>
        <v/>
      </c>
    </row>
    <row r="540" spans="1:13" ht="14.55" customHeight="1" x14ac:dyDescent="0.3">
      <c r="A540" s="1264"/>
      <c r="B540" s="1467" t="s">
        <v>354</v>
      </c>
      <c r="C540" s="731"/>
      <c r="D540" s="729"/>
      <c r="E540" s="729"/>
      <c r="F540" s="729"/>
      <c r="G540" s="729"/>
      <c r="H540" s="1465" t="str">
        <f>IFERROR(VLOOKUP($C540&amp;"F"&amp;$D540,'Flanges Chart'!$1:$1048576,MATCH($E540&amp;"."&amp;H$123,'Flanges Chart'!$1:$1,0),0),"")</f>
        <v/>
      </c>
      <c r="I540" s="1466" t="str">
        <f>IFERROR(VLOOKUP($C540&amp;"F"&amp;$D540,'Flanges Chart'!$1:$1048576,MATCH($E540&amp;"."&amp;I$123,'Flanges Chart'!$1:$1,0),0),"")</f>
        <v/>
      </c>
    </row>
    <row r="541" spans="1:13" ht="15" customHeight="1" thickBot="1" x14ac:dyDescent="0.35">
      <c r="A541" s="1264"/>
      <c r="B541" s="1468" t="s">
        <v>355</v>
      </c>
      <c r="C541" s="732"/>
      <c r="D541" s="733"/>
      <c r="E541" s="733"/>
      <c r="F541" s="733"/>
      <c r="G541" s="733"/>
      <c r="H541" s="1469" t="s">
        <v>356</v>
      </c>
      <c r="I541" s="1470" t="str">
        <f>IFERROR(VLOOKUP($C541&amp;"F"&amp;$D541,'Flanges Chart'!$1:$1048576,MATCH($E541&amp;"."&amp;I$123,'Flanges Chart'!$1:$1,0),0),"")</f>
        <v/>
      </c>
    </row>
    <row r="542" spans="1:13" s="496" customFormat="1" ht="18.600000000000001" thickBot="1" x14ac:dyDescent="0.35">
      <c r="A542" s="493" t="str">
        <f>"POS."&amp;K542&amp;" "&amp;VLOOKUP(K542,'Equip&amp;Mach List'!$1:$1048576,2,0)&amp;" "&amp;VLOOKUP(K542,'Equip&amp;Mach List'!$1:$1048576,3,0)</f>
        <v xml:space="preserve">POS.5  </v>
      </c>
      <c r="B542" s="511"/>
      <c r="C542" s="494"/>
      <c r="D542" s="495"/>
      <c r="E542" s="495"/>
      <c r="F542" s="497"/>
      <c r="G542" s="495"/>
      <c r="H542" s="495"/>
      <c r="I542" s="1255" t="str">
        <f>IFERROR("Weight Calc./Selected = "&amp;ROUND(B659,1)&amp;"/"&amp;B660&amp;" kg - Øi ="&amp;IF(B566=0,F566,B566)&amp;" mm"&amp;"T/T ="&amp;IF(B568=0,F568,B568)&amp;" mm - Material "&amp;B553&amp;"        ","")</f>
        <v xml:space="preserve">Weight Calc./Selected = 5339,1/450 kg - Øi =1650 mmT/T =5000 mm - Material SA-516 Gr.70        </v>
      </c>
      <c r="K542" s="496">
        <v>5</v>
      </c>
      <c r="M542" s="1254"/>
    </row>
    <row r="543" spans="1:13" ht="14.55" customHeight="1" x14ac:dyDescent="0.3">
      <c r="A543" s="1256"/>
      <c r="B543" s="451"/>
      <c r="C543" s="451"/>
      <c r="D543" s="451"/>
      <c r="E543" s="451"/>
      <c r="F543" s="451"/>
      <c r="G543" s="451"/>
      <c r="H543" s="451"/>
      <c r="I543" s="1257"/>
      <c r="K543" s="477" t="s">
        <v>166</v>
      </c>
      <c r="L543" s="477" t="str">
        <f>K542&amp;"."&amp;K543</f>
        <v>5.Design Code</v>
      </c>
      <c r="M543" s="1252" t="str">
        <f>A544&amp;" "&amp;B544</f>
        <v>ASME VIII div.1</v>
      </c>
    </row>
    <row r="544" spans="1:13" ht="14.55" customHeight="1" x14ac:dyDescent="0.3">
      <c r="A544" s="1258" t="s">
        <v>167</v>
      </c>
      <c r="B544" s="718" t="s">
        <v>168</v>
      </c>
      <c r="C544" s="459"/>
      <c r="D544" s="460"/>
      <c r="E544" s="460"/>
      <c r="F544" s="460"/>
      <c r="G544" s="460"/>
      <c r="H544" s="460"/>
      <c r="I544" s="1259"/>
      <c r="K544" s="477" t="s">
        <v>169</v>
      </c>
      <c r="L544" s="477" t="str">
        <f>K542&amp;"."&amp;K544</f>
        <v>5.Orientation</v>
      </c>
      <c r="M544" s="1252" t="str">
        <f>B545</f>
        <v>Vertical</v>
      </c>
    </row>
    <row r="545" spans="1:13" ht="14.55" customHeight="1" x14ac:dyDescent="0.3">
      <c r="A545" s="1258" t="s">
        <v>170</v>
      </c>
      <c r="B545" s="718" t="s">
        <v>171</v>
      </c>
      <c r="C545" s="459"/>
      <c r="D545" s="460"/>
      <c r="E545" s="460"/>
      <c r="F545" s="461"/>
      <c r="G545" s="460"/>
      <c r="H545" s="460"/>
      <c r="I545" s="1259"/>
      <c r="K545" s="477" t="s">
        <v>172</v>
      </c>
      <c r="L545" s="477" t="str">
        <f>K542&amp;"."&amp;K545</f>
        <v>5.Design Temperature</v>
      </c>
      <c r="M545" s="1252">
        <f>D548</f>
        <v>230</v>
      </c>
    </row>
    <row r="546" spans="1:13" ht="14.55" customHeight="1" x14ac:dyDescent="0.3">
      <c r="A546" s="1258"/>
      <c r="B546" s="459"/>
      <c r="C546" s="459"/>
      <c r="D546" s="460"/>
      <c r="E546" s="460"/>
      <c r="F546" s="462"/>
      <c r="G546" s="460"/>
      <c r="H546" s="460"/>
      <c r="I546" s="1259"/>
      <c r="K546" s="477" t="s">
        <v>173</v>
      </c>
      <c r="L546" s="477" t="str">
        <f>K542&amp;"."&amp;K546</f>
        <v>5.Design Pressure</v>
      </c>
      <c r="M546" s="1252">
        <f>D549</f>
        <v>36</v>
      </c>
    </row>
    <row r="547" spans="1:13" ht="14.55" customHeight="1" x14ac:dyDescent="0.3">
      <c r="A547" s="1260" t="s">
        <v>174</v>
      </c>
      <c r="B547" s="459"/>
      <c r="C547" s="459"/>
      <c r="D547" s="460"/>
      <c r="E547" s="460"/>
      <c r="F547" s="462"/>
      <c r="G547" s="460"/>
      <c r="H547" s="460"/>
      <c r="I547" s="1259"/>
      <c r="K547" s="477" t="s">
        <v>175</v>
      </c>
      <c r="L547" s="477" t="str">
        <f>K542&amp;"."&amp;K547</f>
        <v>5.Material</v>
      </c>
      <c r="M547" s="1252" t="str">
        <f>B553</f>
        <v>SA-516 Gr.70</v>
      </c>
    </row>
    <row r="548" spans="1:13" ht="14.55" customHeight="1" x14ac:dyDescent="0.3">
      <c r="A548" s="1258" t="s">
        <v>176</v>
      </c>
      <c r="B548" s="719">
        <v>230</v>
      </c>
      <c r="C548" s="720" t="s">
        <v>177</v>
      </c>
      <c r="D548" s="464">
        <f>IF(C548="°C",B548,0)+IF(C548="°F",(B548-32)*5/9,0)</f>
        <v>230</v>
      </c>
      <c r="E548" s="460" t="s">
        <v>177</v>
      </c>
      <c r="F548" s="462"/>
      <c r="G548" s="460"/>
      <c r="H548" s="460"/>
      <c r="I548" s="1259"/>
      <c r="K548" s="477" t="s">
        <v>178</v>
      </c>
      <c r="L548" s="477" t="str">
        <f>K542&amp;"."&amp;K548</f>
        <v>5.Inside Diameter</v>
      </c>
      <c r="M548" s="1252">
        <f>IF(B566=0,F566,B566)</f>
        <v>1650</v>
      </c>
    </row>
    <row r="549" spans="1:13" ht="14.55" customHeight="1" x14ac:dyDescent="0.3">
      <c r="A549" s="1258" t="s">
        <v>179</v>
      </c>
      <c r="B549" s="721">
        <v>36</v>
      </c>
      <c r="C549" s="720" t="s">
        <v>180</v>
      </c>
      <c r="D549" s="452">
        <f>IF(C549="barg",B549,0)+IF(C549="psig",B549*List!$AV$4,0)+IF(C549="MPa",B549*List!$AV$5,0)+IF(C549="N/mm2",B549*List!$AV$6,0)</f>
        <v>36</v>
      </c>
      <c r="E549" s="460" t="s">
        <v>180</v>
      </c>
      <c r="F549" s="460"/>
      <c r="G549" s="460"/>
      <c r="H549" s="460"/>
      <c r="I549" s="1259"/>
      <c r="K549" s="477" t="s">
        <v>181</v>
      </c>
      <c r="L549" s="477" t="str">
        <f>K542&amp;"."&amp;K549</f>
        <v>5.Tan / Tan</v>
      </c>
      <c r="M549" s="1252">
        <f>IF(B568=0,F568,B568)</f>
        <v>5000</v>
      </c>
    </row>
    <row r="550" spans="1:13" ht="14.55" customHeight="1" x14ac:dyDescent="0.3">
      <c r="A550" s="1258" t="s">
        <v>182</v>
      </c>
      <c r="B550" s="721">
        <v>1</v>
      </c>
      <c r="C550" s="720" t="s">
        <v>180</v>
      </c>
      <c r="D550" s="452">
        <f>IF(C550="barg",B550,0)+IF(C550="psig",B550*List!$AV$4,0)+IF(C550="MPa",B550*List!$AV$5,0)+IF(C550="N/mm2",B550*List!$AV$6,0)</f>
        <v>1</v>
      </c>
      <c r="E550" s="460" t="s">
        <v>180</v>
      </c>
      <c r="F550" s="460"/>
      <c r="G550" s="465"/>
      <c r="H550" s="460"/>
      <c r="I550" s="1259"/>
      <c r="K550" s="477" t="s">
        <v>183</v>
      </c>
      <c r="L550" s="477" t="str">
        <f>K542&amp;"."&amp;K550</f>
        <v>5.Thickness</v>
      </c>
      <c r="M550" s="1252">
        <f>IF(B607=0,F611,B607)</f>
        <v>22</v>
      </c>
    </row>
    <row r="551" spans="1:13" ht="14.55" customHeight="1" x14ac:dyDescent="0.3">
      <c r="A551" s="1258"/>
      <c r="B551" s="459"/>
      <c r="C551" s="459"/>
      <c r="D551" s="460"/>
      <c r="E551" s="460"/>
      <c r="F551" s="460"/>
      <c r="G551" s="465"/>
      <c r="H551" s="460"/>
      <c r="I551" s="1259"/>
      <c r="K551" s="477" t="s">
        <v>184</v>
      </c>
      <c r="L551" s="477" t="str">
        <f>K542&amp;"."&amp;K551</f>
        <v>5.Unit Weight</v>
      </c>
      <c r="M551" s="1252">
        <f>B660</f>
        <v>450</v>
      </c>
    </row>
    <row r="552" spans="1:13" ht="14.55" customHeight="1" x14ac:dyDescent="0.3">
      <c r="A552" s="1260" t="s">
        <v>185</v>
      </c>
      <c r="B552" s="459" t="s">
        <v>186</v>
      </c>
      <c r="C552" s="459"/>
      <c r="D552" s="460"/>
      <c r="E552" s="460"/>
      <c r="F552" s="460" t="s">
        <v>187</v>
      </c>
      <c r="G552" s="465"/>
      <c r="H552" s="460"/>
      <c r="I552" s="1259"/>
      <c r="K552" s="478" t="s">
        <v>188</v>
      </c>
      <c r="L552" s="477" t="str">
        <f>K542&amp;"."&amp;K552</f>
        <v>5.Unit External Surface</v>
      </c>
      <c r="M552" s="1252">
        <f>B656</f>
        <v>37.400102916053058</v>
      </c>
    </row>
    <row r="553" spans="1:13" ht="14.55" customHeight="1" x14ac:dyDescent="0.3">
      <c r="A553" s="1258" t="s">
        <v>189</v>
      </c>
      <c r="B553" s="1716" t="s">
        <v>359</v>
      </c>
      <c r="C553" s="1717"/>
      <c r="D553" s="460"/>
      <c r="E553" s="461"/>
      <c r="F553" s="1716"/>
      <c r="G553" s="1717"/>
      <c r="H553" s="460"/>
      <c r="I553" s="1259"/>
      <c r="K553" s="477" t="s">
        <v>191</v>
      </c>
      <c r="L553" s="477" t="str">
        <f>K542&amp;"."&amp;K553</f>
        <v>5.M1 DN</v>
      </c>
      <c r="M553" s="1252">
        <f>C674</f>
        <v>0</v>
      </c>
    </row>
    <row r="554" spans="1:13" ht="14.55" customHeight="1" x14ac:dyDescent="0.3">
      <c r="A554" s="1258" t="s">
        <v>192</v>
      </c>
      <c r="B554" s="1716" t="s">
        <v>359</v>
      </c>
      <c r="C554" s="1717"/>
      <c r="D554" s="460"/>
      <c r="E554" s="461"/>
      <c r="F554" s="1716"/>
      <c r="G554" s="1717"/>
      <c r="H554" s="460"/>
      <c r="I554" s="1259"/>
      <c r="K554" s="477" t="s">
        <v>193</v>
      </c>
      <c r="L554" s="477" t="str">
        <f>K542&amp;"."&amp;K554</f>
        <v>5.M1 Rating</v>
      </c>
      <c r="M554" s="1252">
        <f>D674</f>
        <v>0</v>
      </c>
    </row>
    <row r="555" spans="1:13" ht="14.55" customHeight="1" x14ac:dyDescent="0.3">
      <c r="A555" s="1258"/>
      <c r="B555" s="466"/>
      <c r="C555" s="466"/>
      <c r="D555" s="460"/>
      <c r="E555" s="460"/>
      <c r="F555" s="460"/>
      <c r="G555" s="460"/>
      <c r="H555" s="460"/>
      <c r="I555" s="1259"/>
      <c r="K555" s="477" t="s">
        <v>194</v>
      </c>
      <c r="L555" s="477" t="str">
        <f>K542&amp;"."&amp;K555</f>
        <v>5.M1 Type</v>
      </c>
      <c r="M555" s="1252">
        <f>E674</f>
        <v>0</v>
      </c>
    </row>
    <row r="556" spans="1:13" ht="14.55" customHeight="1" x14ac:dyDescent="0.3">
      <c r="A556" s="1258" t="s">
        <v>195</v>
      </c>
      <c r="B556" s="460"/>
      <c r="C556" s="460"/>
      <c r="D556" s="460"/>
      <c r="E556" s="460"/>
      <c r="F556" s="460"/>
      <c r="G556" s="460"/>
      <c r="H556" s="460"/>
      <c r="I556" s="1259"/>
      <c r="K556" s="477" t="s">
        <v>196</v>
      </c>
      <c r="L556" s="477" t="str">
        <f>K542&amp;"."&amp;K556</f>
        <v>5.M1 Quantity</v>
      </c>
      <c r="M556" s="1252">
        <f>F674</f>
        <v>0</v>
      </c>
    </row>
    <row r="557" spans="1:13" ht="14.55" customHeight="1" x14ac:dyDescent="0.3">
      <c r="A557" s="1258" t="s">
        <v>197</v>
      </c>
      <c r="B557" s="464">
        <f>$D548*(VLOOKUP($B553,'ASME II Tab 1A'!$1:$1048576,MATCH($D548,'ASME II Tab 1A'!$6:$6,1)+1,0)-VLOOKUP($B553,'ASME II Tab 1A'!$1:$1048576,MATCH($D548,'ASME II Tab 1A'!$6:$6,1),0))/(INDEX('ASME II Tab 1A'!$6:$6,MATCH($D548,'ASME II Tab 1A'!$6:$6,1)+1)-INDEX('ASME II Tab 1A'!$6:$6,MATCH($D548,'ASME II Tab 1A'!$6:$6,1)))+VLOOKUP($B553,'ASME II Tab 1A'!$1:$1048576,MATCH($D548,'ASME II Tab 1A'!$6:$6,1)+1,0)-INDEX('ASME II Tab 1A'!$6:$6,MATCH($D548,'ASME II Tab 1A'!$6:$6,1)+1)*(VLOOKUP($B553,'ASME II Tab 1A'!$1:$1048576,MATCH($D548,'ASME II Tab 1A'!$6:$6,1)+1,0)-VLOOKUP($B553,'ASME II Tab 1A'!$1:$1048576,MATCH($D548,'ASME II Tab 1A'!$6:$6,1),0))/(INDEX('ASME II Tab 1A'!$6:$6,MATCH($D548,'ASME II Tab 1A'!$6:$6,1)+1)-INDEX('ASME II Tab 1A'!$6:$6,MATCH($D548,'ASME II Tab 1A'!$6:$6,1)))</f>
        <v>138</v>
      </c>
      <c r="C557" s="460" t="s">
        <v>198</v>
      </c>
      <c r="D557" s="460"/>
      <c r="E557" s="467"/>
      <c r="F557" s="460" t="e">
        <f>$D548*(VLOOKUP($F553,'ASME II Tab 1A'!$1:$1048576,MATCH($D548,'ASME II Tab 1A'!$6:$6,1)+1,0)-VLOOKUP($F553,'ASME II Tab 1A'!$1:$1048576,MATCH($D548,'ASME II Tab 1A'!$6:$6,1),0))/(INDEX('ASME II Tab 1A'!$6:$6,MATCH($D548,'ASME II Tab 1A'!$6:$6,1)+1)-INDEX('ASME II Tab 1A'!$6:$6,MATCH($D548,'ASME II Tab 1A'!$6:$6,1)))+VLOOKUP($F553,'ASME II Tab 1A'!$1:$1048576,MATCH($D548,'ASME II Tab 1A'!$6:$6,1)+1,0)-INDEX('ASME II Tab 1A'!$6:$6,MATCH($D548,'ASME II Tab 1A'!$6:$6,1)+1)*(VLOOKUP($F553,'ASME II Tab 1A'!$1:$1048576,MATCH($D548,'ASME II Tab 1A'!$6:$6,1)+1,0)-VLOOKUP($F553,'ASME II Tab 1A'!$1:$1048576,MATCH($D548,'ASME II Tab 1A'!$6:$6,1),0))/(INDEX('ASME II Tab 1A'!$6:$6,MATCH($D548,'ASME II Tab 1A'!$6:$6,1)+1)-INDEX('ASME II Tab 1A'!$6:$6,MATCH($D548,'ASME II Tab 1A'!$6:$6,1)))</f>
        <v>#N/A</v>
      </c>
      <c r="G557" s="460" t="s">
        <v>198</v>
      </c>
      <c r="H557" s="460"/>
      <c r="I557" s="1259"/>
      <c r="K557" s="477" t="s">
        <v>199</v>
      </c>
      <c r="L557" s="477" t="str">
        <f>K542&amp;"."&amp;K557</f>
        <v>5.M2 DN</v>
      </c>
      <c r="M557" s="1252">
        <f>C675</f>
        <v>0</v>
      </c>
    </row>
    <row r="558" spans="1:13" ht="14.55" customHeight="1" x14ac:dyDescent="0.3">
      <c r="A558" s="1258" t="s">
        <v>200</v>
      </c>
      <c r="B558" s="464">
        <f>$D548*(VLOOKUP($B554,'ASME II Tab 1A'!$1:$1048576,MATCH($D548,'ASME II Tab 1A'!$6:$6,1)+1,0)-VLOOKUP($B554,'ASME II Tab 1A'!$1:$1048576,MATCH($D548,'ASME II Tab 1A'!$6:$6,1),0))/(INDEX('ASME II Tab 1A'!$6:$6,MATCH($D548,'ASME II Tab 1A'!$6:$6,1)+1)-INDEX('ASME II Tab 1A'!$6:$6,MATCH($D548,'ASME II Tab 1A'!$6:$6,1)))+VLOOKUP($B554,'ASME II Tab 1A'!$1:$1048576,MATCH($D548,'ASME II Tab 1A'!$6:$6,1)+1,0)-INDEX('ASME II Tab 1A'!$6:$6,MATCH($D548,'ASME II Tab 1A'!$6:$6,1)+1)*(VLOOKUP($B554,'ASME II Tab 1A'!$1:$1048576,MATCH($D548,'ASME II Tab 1A'!$6:$6,1)+1,0)-VLOOKUP($B554,'ASME II Tab 1A'!$1:$1048576,MATCH($D548,'ASME II Tab 1A'!$6:$6,1),0))/(INDEX('ASME II Tab 1A'!$6:$6,MATCH($D548,'ASME II Tab 1A'!$6:$6,1)+1)-INDEX('ASME II Tab 1A'!$6:$6,MATCH($D548,'ASME II Tab 1A'!$6:$6,1)))</f>
        <v>138</v>
      </c>
      <c r="C558" s="460" t="s">
        <v>198</v>
      </c>
      <c r="D558" s="460"/>
      <c r="E558" s="460"/>
      <c r="F558" s="460" t="e">
        <f>$D548*(VLOOKUP($F554,'ASME II Tab 1A'!$1:$1048576,MATCH($D548,'ASME II Tab 1A'!$6:$6,1)+1,0)-VLOOKUP($F554,'ASME II Tab 1A'!$1:$1048576,MATCH($D548,'ASME II Tab 1A'!$6:$6,1),0))/(INDEX('ASME II Tab 1A'!$6:$6,MATCH($D548,'ASME II Tab 1A'!$6:$6,1)+1)-INDEX('ASME II Tab 1A'!$6:$6,MATCH($D548,'ASME II Tab 1A'!$6:$6,1)))+VLOOKUP($F554,'ASME II Tab 1A'!$1:$1048576,MATCH($D548,'ASME II Tab 1A'!$6:$6,1)+1,0)-INDEX('ASME II Tab 1A'!$6:$6,MATCH($D548,'ASME II Tab 1A'!$6:$6,1)+1)*(VLOOKUP($F554,'ASME II Tab 1A'!$1:$1048576,MATCH($D548,'ASME II Tab 1A'!$6:$6,1)+1,0)-VLOOKUP($F554,'ASME II Tab 1A'!$1:$1048576,MATCH($D548,'ASME II Tab 1A'!$6:$6,1),0))/(INDEX('ASME II Tab 1A'!$6:$6,MATCH($D548,'ASME II Tab 1A'!$6:$6,1)+1)-INDEX('ASME II Tab 1A'!$6:$6,MATCH($D548,'ASME II Tab 1A'!$6:$6,1)))</f>
        <v>#N/A</v>
      </c>
      <c r="G558" s="460" t="s">
        <v>198</v>
      </c>
      <c r="H558" s="460"/>
      <c r="I558" s="1259"/>
      <c r="K558" s="477" t="s">
        <v>201</v>
      </c>
      <c r="L558" s="477" t="str">
        <f>K542&amp;"."&amp;K558</f>
        <v>5.M2 Rating</v>
      </c>
      <c r="M558" s="1252">
        <f>D675</f>
        <v>0</v>
      </c>
    </row>
    <row r="559" spans="1:13" ht="14.55" customHeight="1" x14ac:dyDescent="0.3">
      <c r="A559" s="1258" t="s">
        <v>202</v>
      </c>
      <c r="B559" s="460"/>
      <c r="C559" s="460"/>
      <c r="D559" s="460"/>
      <c r="E559" s="460"/>
      <c r="F559" s="460"/>
      <c r="G559" s="460"/>
      <c r="H559" s="460"/>
      <c r="I559" s="1259"/>
      <c r="K559" s="477" t="s">
        <v>203</v>
      </c>
      <c r="L559" s="477" t="str">
        <f>K542&amp;"."&amp;K559</f>
        <v>5.M2 Type</v>
      </c>
      <c r="M559" s="1252">
        <f>E675</f>
        <v>0</v>
      </c>
    </row>
    <row r="560" spans="1:13" ht="14.55" customHeight="1" x14ac:dyDescent="0.3">
      <c r="A560" s="1258" t="s">
        <v>197</v>
      </c>
      <c r="B560" s="464">
        <f>$D548*(VLOOKUP($B553,'ASME II Tab 5A'!$1:$1048576,MATCH($D548,'ASME II Tab 5A'!$5:$5,1)+1,0)-VLOOKUP($B553,'ASME II Tab 5A'!$1:$1048576,MATCH($D548,'ASME II Tab 5A'!$5:$5,1),0))/(INDEX('ASME II Tab 5A'!$5:$5,MATCH($D548,'ASME II Tab 5A'!$5:$5,1)+1)-INDEX('ASME II Tab 5A'!$5:$5,MATCH($D548,'ASME II Tab 5A'!$5:$5,1)))+VLOOKUP($B553,'ASME II Tab 5A'!$1:$1048576,MATCH($D548,'ASME II Tab 5A'!$5:$5,1)+1,0)-INDEX('ASME II Tab 5A'!$5:$5,MATCH($D548,'ASME II Tab 5A'!$5:$5,1)+1)*(VLOOKUP($B553,'ASME II Tab 5A'!$1:$1048576,MATCH($D548,'ASME II Tab 5A'!$5:$5,1)+1,0)-VLOOKUP($B553,'ASME II Tab 5A'!$1:$1048576,MATCH($D548,'ASME II Tab 5A'!$5:$5,1),0))/(INDEX('ASME II Tab 5A'!$5:$5,MATCH($D548,'ASME II Tab 5A'!$5:$5,1)+1)-INDEX('ASME II Tab 5A'!$5:$5,MATCH($D548,'ASME II Tab 5A'!$5:$5,1)))</f>
        <v>146.4</v>
      </c>
      <c r="C560" s="460" t="s">
        <v>198</v>
      </c>
      <c r="D560" s="460"/>
      <c r="E560" s="460"/>
      <c r="F560" s="460" t="e">
        <f>$D548*(VLOOKUP($F553,'ASME II Tab 5A'!$1:$1048576,MATCH($D548,'ASME II Tab 5A'!$5:$5,1)+1,0)-VLOOKUP($F553,'ASME II Tab 5A'!$1:$1048576,MATCH($D548,'ASME II Tab 5A'!$5:$5,1),0))/(INDEX('ASME II Tab 5A'!$5:$5,MATCH($D548,'ASME II Tab 5A'!$5:$5,1)+1)-INDEX('ASME II Tab 5A'!$5:$5,MATCH($D548,'ASME II Tab 5A'!$5:$5,1)))+VLOOKUP($F553,'ASME II Tab 5A'!$1:$1048576,MATCH($D548,'ASME II Tab 5A'!$5:$5,1)+1,0)-INDEX('ASME II Tab 5A'!$5:$5,MATCH($D548,'ASME II Tab 5A'!$5:$5,1)+1)*(VLOOKUP($F553,'ASME II Tab 5A'!$1:$1048576,MATCH($D548,'ASME II Tab 5A'!$5:$5,1)+1,0)-VLOOKUP($F553,'ASME II Tab 5A'!$1:$1048576,MATCH($D548,'ASME II Tab 5A'!$5:$5,1),0))/(INDEX('ASME II Tab 5A'!$5:$5,MATCH($D548,'ASME II Tab 5A'!$5:$5,1)+1)-INDEX('ASME II Tab 5A'!$5:$5,MATCH($D548,'ASME II Tab 5A'!$5:$5,1)))</f>
        <v>#N/A</v>
      </c>
      <c r="G560" s="460" t="s">
        <v>198</v>
      </c>
      <c r="H560" s="460"/>
      <c r="I560" s="1259"/>
      <c r="K560" s="477" t="s">
        <v>204</v>
      </c>
      <c r="L560" s="477" t="str">
        <f>K542&amp;"."&amp;K560</f>
        <v>5.M2 Quantity</v>
      </c>
      <c r="M560" s="1252">
        <f>F675</f>
        <v>0</v>
      </c>
    </row>
    <row r="561" spans="1:13" ht="14.55" customHeight="1" x14ac:dyDescent="0.3">
      <c r="A561" s="1258" t="s">
        <v>200</v>
      </c>
      <c r="B561" s="464">
        <f>$D548*(VLOOKUP($B554,'ASME II Tab 5A'!$1:$1048576,MATCH($D548,'ASME II Tab 5A'!$5:$5,1)+1,0)-VLOOKUP($B554,'ASME II Tab 5A'!$1:$1048576,MATCH($D548,'ASME II Tab 5A'!$5:$5,1),0))/(INDEX('ASME II Tab 5A'!$5:$5,MATCH($D548,'ASME II Tab 5A'!$5:$5,1)+1)-INDEX('ASME II Tab 5A'!$5:$5,MATCH($D548,'ASME II Tab 5A'!$5:$5,1)))+VLOOKUP($B554,'ASME II Tab 5A'!$1:$1048576,MATCH($D548,'ASME II Tab 5A'!$5:$5,1)+1,0)-INDEX('ASME II Tab 5A'!$5:$5,MATCH($D548,'ASME II Tab 5A'!$5:$5,1)+1)*(VLOOKUP($B554,'ASME II Tab 5A'!$1:$1048576,MATCH($D548,'ASME II Tab 5A'!$5:$5,1)+1,0)-VLOOKUP($B554,'ASME II Tab 5A'!$1:$1048576,MATCH($D548,'ASME II Tab 5A'!$5:$5,1),0))/(INDEX('ASME II Tab 5A'!$5:$5,MATCH($D548,'ASME II Tab 5A'!$5:$5,1)+1)-INDEX('ASME II Tab 5A'!$5:$5,MATCH($D548,'ASME II Tab 5A'!$5:$5,1)))</f>
        <v>146.4</v>
      </c>
      <c r="C561" s="460" t="s">
        <v>198</v>
      </c>
      <c r="D561" s="460"/>
      <c r="E561" s="460"/>
      <c r="F561" s="460" t="e">
        <f>$D548*(VLOOKUP($F554,'ASME II Tab 5A'!$1:$1048576,MATCH($D548,'ASME II Tab 5A'!$5:$5,1)+1,0)-VLOOKUP($F554,'ASME II Tab 5A'!$1:$1048576,MATCH($D548,'ASME II Tab 5A'!$5:$5,1),0))/(INDEX('ASME II Tab 5A'!$5:$5,MATCH($D548,'ASME II Tab 5A'!$5:$5,1)+1)-INDEX('ASME II Tab 5A'!$5:$5,MATCH($D548,'ASME II Tab 5A'!$5:$5,1)))+VLOOKUP($F554,'ASME II Tab 5A'!$1:$1048576,MATCH($D548,'ASME II Tab 5A'!$5:$5,1)+1,0)-INDEX('ASME II Tab 5A'!$5:$5,MATCH($D548,'ASME II Tab 5A'!$5:$5,1)+1)*(VLOOKUP($F554,'ASME II Tab 5A'!$1:$1048576,MATCH($D548,'ASME II Tab 5A'!$5:$5,1)+1,0)-VLOOKUP($F554,'ASME II Tab 5A'!$1:$1048576,MATCH($D548,'ASME II Tab 5A'!$5:$5,1),0))/(INDEX('ASME II Tab 5A'!$5:$5,MATCH($D548,'ASME II Tab 5A'!$5:$5,1)+1)-INDEX('ASME II Tab 5A'!$5:$5,MATCH($D548,'ASME II Tab 5A'!$5:$5,1)))</f>
        <v>#N/A</v>
      </c>
      <c r="G561" s="460" t="s">
        <v>198</v>
      </c>
      <c r="H561" s="460"/>
      <c r="I561" s="1259"/>
      <c r="K561" s="477" t="s">
        <v>205</v>
      </c>
      <c r="L561" s="477" t="str">
        <f>K542&amp;"."&amp;K561</f>
        <v>5.M3 DN</v>
      </c>
      <c r="M561" s="1252">
        <f>C676</f>
        <v>0</v>
      </c>
    </row>
    <row r="562" spans="1:13" ht="14.55" customHeight="1" x14ac:dyDescent="0.3">
      <c r="A562" s="1258"/>
      <c r="B562" s="460"/>
      <c r="C562" s="460"/>
      <c r="D562" s="460"/>
      <c r="E562" s="460"/>
      <c r="F562" s="460"/>
      <c r="G562" s="460"/>
      <c r="H562" s="460"/>
      <c r="I562" s="1259"/>
      <c r="K562" s="477" t="s">
        <v>206</v>
      </c>
      <c r="L562" s="477" t="str">
        <f>K542&amp;"."&amp;K562</f>
        <v>5.M3 Rating</v>
      </c>
      <c r="M562" s="1252">
        <f>D676</f>
        <v>0</v>
      </c>
    </row>
    <row r="563" spans="1:13" ht="14.55" customHeight="1" x14ac:dyDescent="0.3">
      <c r="A563" s="1260" t="s">
        <v>207</v>
      </c>
      <c r="B563" s="453"/>
      <c r="C563" s="460"/>
      <c r="D563" s="453"/>
      <c r="E563" s="460"/>
      <c r="F563" s="453"/>
      <c r="G563" s="460"/>
      <c r="H563" s="460"/>
      <c r="I563" s="1259"/>
      <c r="K563" s="477" t="s">
        <v>208</v>
      </c>
      <c r="L563" s="477" t="str">
        <f>K542&amp;"."&amp;K563</f>
        <v>5.M3 Type</v>
      </c>
      <c r="M563" s="1252">
        <f>E676</f>
        <v>0</v>
      </c>
    </row>
    <row r="564" spans="1:13" ht="14.55" customHeight="1" x14ac:dyDescent="0.3">
      <c r="A564" s="1260"/>
      <c r="B564" s="305" t="s">
        <v>209</v>
      </c>
      <c r="C564" s="460"/>
      <c r="D564" s="305" t="s">
        <v>210</v>
      </c>
      <c r="E564" s="460"/>
      <c r="F564" s="305" t="s">
        <v>211</v>
      </c>
      <c r="G564" s="460"/>
      <c r="H564" s="460"/>
      <c r="I564" s="1259"/>
      <c r="K564" s="477" t="s">
        <v>212</v>
      </c>
      <c r="L564" s="477" t="str">
        <f>K542&amp;"."&amp;K564</f>
        <v>5.M3 Quantity</v>
      </c>
      <c r="M564" s="1252">
        <f>F676</f>
        <v>0</v>
      </c>
    </row>
    <row r="565" spans="1:13" ht="14.55" customHeight="1" x14ac:dyDescent="0.3">
      <c r="A565" s="1258" t="s">
        <v>213</v>
      </c>
      <c r="B565" s="305"/>
      <c r="C565" s="460"/>
      <c r="D565" s="305"/>
      <c r="E565" s="460"/>
      <c r="F565" s="723"/>
      <c r="G565" s="460" t="s">
        <v>214</v>
      </c>
      <c r="H565" s="460"/>
      <c r="I565" s="1259"/>
      <c r="K565" s="477" t="s">
        <v>215</v>
      </c>
      <c r="L565" s="477" t="str">
        <f>K542&amp;"."&amp;K565</f>
        <v>5.Shell insulation thk 1</v>
      </c>
      <c r="M565" s="1252">
        <f>B613</f>
        <v>0</v>
      </c>
    </row>
    <row r="566" spans="1:13" ht="14.55" customHeight="1" x14ac:dyDescent="0.3">
      <c r="A566" s="1258" t="s">
        <v>216</v>
      </c>
      <c r="B566" s="722">
        <v>1650</v>
      </c>
      <c r="C566" s="460" t="s">
        <v>93</v>
      </c>
      <c r="D566" s="722"/>
      <c r="E566" s="460" t="s">
        <v>93</v>
      </c>
      <c r="F566" s="468">
        <f>F567-2*F611</f>
        <v>0</v>
      </c>
      <c r="G566" s="460" t="s">
        <v>93</v>
      </c>
      <c r="H566" s="460"/>
      <c r="I566" s="1259"/>
      <c r="K566" s="477" t="s">
        <v>217</v>
      </c>
      <c r="L566" s="477" t="str">
        <f>K542&amp;"."&amp;K566</f>
        <v>5.Head insulation thk 1</v>
      </c>
      <c r="M566" s="1252">
        <f>B614</f>
        <v>0</v>
      </c>
    </row>
    <row r="567" spans="1:13" ht="14.55" customHeight="1" x14ac:dyDescent="0.3">
      <c r="A567" s="1258" t="s">
        <v>218</v>
      </c>
      <c r="B567" s="468">
        <f>B566+B607*2</f>
        <v>1694</v>
      </c>
      <c r="C567" s="460" t="s">
        <v>93</v>
      </c>
      <c r="D567" s="468">
        <f>D566+D607*2</f>
        <v>0</v>
      </c>
      <c r="E567" s="460" t="s">
        <v>93</v>
      </c>
      <c r="F567" s="468">
        <f>IFERROR(VLOOKUP(F565,'Thickness Tab'!$1:$1048576,3,0),0)</f>
        <v>0</v>
      </c>
      <c r="G567" s="460" t="s">
        <v>93</v>
      </c>
      <c r="H567" s="469"/>
      <c r="I567" s="1261"/>
      <c r="K567" s="477" t="s">
        <v>219</v>
      </c>
      <c r="L567" s="477" t="str">
        <f>K542&amp;"."&amp;K567</f>
        <v>5.Reducer insulation thk 1</v>
      </c>
      <c r="M567" s="1252">
        <f>B615</f>
        <v>0</v>
      </c>
    </row>
    <row r="568" spans="1:13" ht="14.55" customHeight="1" x14ac:dyDescent="0.3">
      <c r="A568" s="1258" t="s">
        <v>181</v>
      </c>
      <c r="B568" s="722">
        <v>5000</v>
      </c>
      <c r="C568" s="460" t="s">
        <v>93</v>
      </c>
      <c r="D568" s="722"/>
      <c r="E568" s="460" t="s">
        <v>93</v>
      </c>
      <c r="F568" s="722"/>
      <c r="G568" s="460" t="s">
        <v>93</v>
      </c>
      <c r="H568" s="460"/>
      <c r="I568" s="1259"/>
      <c r="K568" s="477" t="s">
        <v>220</v>
      </c>
      <c r="L568" s="477" t="str">
        <f>K542&amp;"."&amp;K568</f>
        <v>5.Shell insulation area 1</v>
      </c>
      <c r="M568" s="1252">
        <f>B573</f>
        <v>26.595800000000001</v>
      </c>
    </row>
    <row r="569" spans="1:13" ht="14.55" customHeight="1" x14ac:dyDescent="0.3">
      <c r="A569" s="1258" t="s">
        <v>221</v>
      </c>
      <c r="B569" s="468">
        <f>(PI()*B568*(((B567/2)^2)-((B566/2)^2))*7860)/1000000000*1.05</f>
        <v>4768.597602160482</v>
      </c>
      <c r="C569" s="460" t="s">
        <v>222</v>
      </c>
      <c r="D569" s="468">
        <f>(PI()*D568*(((D567/2)^2)-((D566/2)^2))*7860)/1000000000*1.05</f>
        <v>0</v>
      </c>
      <c r="E569" s="460" t="s">
        <v>222</v>
      </c>
      <c r="F569" s="468">
        <f>(PI()*F568*(((F567/2)^2)-((F566/2)^2))*7860)/1000000000*1.05</f>
        <v>0</v>
      </c>
      <c r="G569" s="460" t="s">
        <v>222</v>
      </c>
      <c r="H569" s="469"/>
      <c r="I569" s="1261"/>
      <c r="K569" s="477" t="s">
        <v>223</v>
      </c>
      <c r="L569" s="477" t="str">
        <f>K542&amp;"."&amp;K569</f>
        <v>5.Head insulation area 1</v>
      </c>
      <c r="M569" s="1252">
        <f>B585</f>
        <v>4.9122442599999996</v>
      </c>
    </row>
    <row r="570" spans="1:13" ht="14.55" customHeight="1" x14ac:dyDescent="0.3">
      <c r="A570" s="1258" t="s">
        <v>224</v>
      </c>
      <c r="B570" s="468">
        <f>(PI()*((B566/2)^2)*B568)/1000000000</f>
        <v>10.691232499247764</v>
      </c>
      <c r="C570" s="460" t="s">
        <v>225</v>
      </c>
      <c r="D570" s="468">
        <f>(PI()*((D566/2)^2)*D568)/1000000000</f>
        <v>0</v>
      </c>
      <c r="E570" s="460" t="s">
        <v>225</v>
      </c>
      <c r="F570" s="468">
        <f>(PI()*((F566/2)^2)*F568)/1000000000</f>
        <v>0</v>
      </c>
      <c r="G570" s="460" t="s">
        <v>225</v>
      </c>
      <c r="H570" s="469"/>
      <c r="I570" s="1261"/>
      <c r="K570" s="477" t="s">
        <v>226</v>
      </c>
      <c r="L570" s="477" t="str">
        <f>K542&amp;"."&amp;K570</f>
        <v>5.Reducer insulation area 1</v>
      </c>
      <c r="M570" s="1252">
        <f>B598</f>
        <v>0</v>
      </c>
    </row>
    <row r="571" spans="1:13" ht="14.55" customHeight="1" x14ac:dyDescent="0.3">
      <c r="A571" s="1258" t="s">
        <v>227</v>
      </c>
      <c r="B571" s="468">
        <f>(B567*3.14*B568)/1000000</f>
        <v>26.595800000000001</v>
      </c>
      <c r="C571" s="460" t="s">
        <v>228</v>
      </c>
      <c r="D571" s="468">
        <f>(D567*3.14*D568)/1000000</f>
        <v>0</v>
      </c>
      <c r="E571" s="460" t="s">
        <v>228</v>
      </c>
      <c r="F571" s="468">
        <f>(F567*3.14*F568)/1000000</f>
        <v>0</v>
      </c>
      <c r="G571" s="460" t="s">
        <v>228</v>
      </c>
      <c r="H571" s="469"/>
      <c r="I571" s="1261"/>
      <c r="K571" s="477" t="s">
        <v>229</v>
      </c>
      <c r="L571" s="477" t="str">
        <f>K542&amp;"."&amp;K571</f>
        <v>5.Shell insulation thk 2</v>
      </c>
      <c r="M571" s="1252">
        <f>D613</f>
        <v>0</v>
      </c>
    </row>
    <row r="572" spans="1:13" ht="14.55" customHeight="1" x14ac:dyDescent="0.3">
      <c r="A572" s="1258" t="s">
        <v>230</v>
      </c>
      <c r="B572" s="468">
        <f>B567+2*B613</f>
        <v>1694</v>
      </c>
      <c r="C572" s="460" t="s">
        <v>93</v>
      </c>
      <c r="D572" s="468">
        <f>D567+2*D613</f>
        <v>0</v>
      </c>
      <c r="E572" s="460" t="s">
        <v>93</v>
      </c>
      <c r="F572" s="468">
        <f>F567+2*F613</f>
        <v>0</v>
      </c>
      <c r="G572" s="460" t="s">
        <v>93</v>
      </c>
      <c r="H572" s="469"/>
      <c r="I572" s="1261"/>
      <c r="K572" s="477" t="s">
        <v>231</v>
      </c>
      <c r="L572" s="477" t="str">
        <f>K542&amp;"."&amp;K572</f>
        <v>5.Head insulation thk 2</v>
      </c>
      <c r="M572" s="1252">
        <f>D614</f>
        <v>0</v>
      </c>
    </row>
    <row r="573" spans="1:13" ht="14.55" customHeight="1" x14ac:dyDescent="0.3">
      <c r="A573" s="1258" t="s">
        <v>232</v>
      </c>
      <c r="B573" s="468">
        <f>(B572*3.14*B568)/1000000</f>
        <v>26.595800000000001</v>
      </c>
      <c r="C573" s="460" t="s">
        <v>228</v>
      </c>
      <c r="D573" s="468">
        <f>(D572*3.14*D568)/1000000</f>
        <v>0</v>
      </c>
      <c r="E573" s="460" t="s">
        <v>228</v>
      </c>
      <c r="F573" s="468">
        <f>(F572*3.14*F568)/1000000</f>
        <v>0</v>
      </c>
      <c r="G573" s="460" t="s">
        <v>228</v>
      </c>
      <c r="H573" s="469"/>
      <c r="I573" s="1261"/>
      <c r="K573" s="477" t="s">
        <v>233</v>
      </c>
      <c r="L573" s="477" t="str">
        <f>K542&amp;"."&amp;K573</f>
        <v>5.Reducer insulation thk 2</v>
      </c>
      <c r="M573" s="1252">
        <f>D615</f>
        <v>0</v>
      </c>
    </row>
    <row r="574" spans="1:13" ht="14.55" customHeight="1" x14ac:dyDescent="0.3">
      <c r="A574" s="1258"/>
      <c r="B574" s="468"/>
      <c r="C574" s="460"/>
      <c r="D574" s="468"/>
      <c r="E574" s="460"/>
      <c r="F574" s="468"/>
      <c r="G574" s="460"/>
      <c r="H574" s="469"/>
      <c r="I574" s="1261"/>
      <c r="K574" s="477" t="s">
        <v>234</v>
      </c>
      <c r="L574" s="477" t="str">
        <f>K542&amp;"."&amp;K574</f>
        <v>5.Shell insulation area 2</v>
      </c>
      <c r="M574" s="1252">
        <f>D573</f>
        <v>0</v>
      </c>
    </row>
    <row r="575" spans="1:13" ht="14.55" customHeight="1" x14ac:dyDescent="0.3">
      <c r="A575" s="1258"/>
      <c r="B575" s="468" t="s">
        <v>235</v>
      </c>
      <c r="C575" s="460"/>
      <c r="D575" s="468" t="s">
        <v>236</v>
      </c>
      <c r="E575" s="460"/>
      <c r="F575" s="468" t="s">
        <v>237</v>
      </c>
      <c r="G575" s="460"/>
      <c r="H575" s="469"/>
      <c r="I575" s="1261"/>
      <c r="K575" s="477" t="s">
        <v>238</v>
      </c>
      <c r="L575" s="477" t="str">
        <f>K542&amp;"."&amp;K575</f>
        <v>5.Head insulation area 2</v>
      </c>
      <c r="M575" s="1252">
        <f>D585</f>
        <v>0</v>
      </c>
    </row>
    <row r="576" spans="1:13" ht="14.55" customHeight="1" x14ac:dyDescent="0.3">
      <c r="A576" s="1258" t="s">
        <v>239</v>
      </c>
      <c r="B576" s="468">
        <f>B566</f>
        <v>1650</v>
      </c>
      <c r="C576" s="460" t="s">
        <v>93</v>
      </c>
      <c r="D576" s="468">
        <f>D566</f>
        <v>0</v>
      </c>
      <c r="E576" s="460" t="s">
        <v>93</v>
      </c>
      <c r="F576" s="468">
        <f>F566</f>
        <v>0</v>
      </c>
      <c r="G576" s="460" t="s">
        <v>93</v>
      </c>
      <c r="H576" s="469"/>
      <c r="I576" s="1261"/>
      <c r="K576" s="477" t="s">
        <v>240</v>
      </c>
      <c r="L576" s="477" t="str">
        <f>K542&amp;"."&amp;K576</f>
        <v>5.Reducer insulation area 2</v>
      </c>
      <c r="M576" s="1252">
        <f>D598</f>
        <v>0</v>
      </c>
    </row>
    <row r="577" spans="1:13" ht="14.55" customHeight="1" x14ac:dyDescent="0.3">
      <c r="A577" s="1258" t="s">
        <v>241</v>
      </c>
      <c r="B577" s="468">
        <f>B576+2*B608</f>
        <v>1694</v>
      </c>
      <c r="C577" s="460" t="s">
        <v>93</v>
      </c>
      <c r="D577" s="468">
        <f>D576+2*D608</f>
        <v>0</v>
      </c>
      <c r="E577" s="460" t="s">
        <v>93</v>
      </c>
      <c r="F577" s="468">
        <f>F576+2*F611</f>
        <v>0</v>
      </c>
      <c r="G577" s="460" t="s">
        <v>93</v>
      </c>
      <c r="H577" s="469"/>
      <c r="I577" s="1261"/>
      <c r="K577" s="477" t="s">
        <v>242</v>
      </c>
      <c r="L577" s="477" t="str">
        <f>K542&amp;"."&amp;K577</f>
        <v>5.Shell insulation thk 3</v>
      </c>
      <c r="M577" s="1252">
        <f>F613</f>
        <v>0</v>
      </c>
    </row>
    <row r="578" spans="1:13" ht="14.55" customHeight="1" x14ac:dyDescent="0.3">
      <c r="A578" s="1258" t="s">
        <v>243</v>
      </c>
      <c r="B578" s="722">
        <v>500</v>
      </c>
      <c r="C578" s="460" t="s">
        <v>93</v>
      </c>
      <c r="D578" s="722"/>
      <c r="E578" s="460" t="s">
        <v>93</v>
      </c>
      <c r="F578" s="452"/>
      <c r="G578" s="460"/>
      <c r="H578" s="469"/>
      <c r="I578" s="1261"/>
      <c r="K578" s="477" t="s">
        <v>244</v>
      </c>
      <c r="L578" s="477" t="str">
        <f>K542&amp;"."&amp;K578</f>
        <v>5.Head insulation thk 3</v>
      </c>
      <c r="M578" s="1252">
        <f>F614</f>
        <v>0</v>
      </c>
    </row>
    <row r="579" spans="1:13" ht="14.55" customHeight="1" x14ac:dyDescent="0.3">
      <c r="A579" s="1258" t="s">
        <v>245</v>
      </c>
      <c r="B579" s="724">
        <v>2</v>
      </c>
      <c r="C579" s="460"/>
      <c r="D579" s="724"/>
      <c r="E579" s="460"/>
      <c r="F579" s="724"/>
      <c r="G579" s="460"/>
      <c r="H579" s="469"/>
      <c r="I579" s="1261"/>
      <c r="K579" s="477" t="s">
        <v>246</v>
      </c>
      <c r="L579" s="477" t="str">
        <f>K542&amp;"."&amp;K579</f>
        <v>5.Reducer insulation thk 3</v>
      </c>
      <c r="M579" s="1252">
        <f>F615</f>
        <v>0</v>
      </c>
    </row>
    <row r="580" spans="1:13" ht="14.55" customHeight="1" x14ac:dyDescent="0.3">
      <c r="A580" s="1258" t="s">
        <v>247</v>
      </c>
      <c r="B580" s="468">
        <v>0</v>
      </c>
      <c r="C580" s="460" t="s">
        <v>93</v>
      </c>
      <c r="D580" s="468">
        <v>0</v>
      </c>
      <c r="E580" s="460" t="s">
        <v>93</v>
      </c>
      <c r="F580" s="468">
        <v>0</v>
      </c>
      <c r="G580" s="460" t="s">
        <v>93</v>
      </c>
      <c r="H580" s="469"/>
      <c r="I580" s="1261"/>
      <c r="K580" s="477" t="s">
        <v>248</v>
      </c>
      <c r="L580" s="477" t="str">
        <f>K542&amp;"."&amp;K580</f>
        <v>5.Shell insulation area 3</v>
      </c>
      <c r="M580" s="1252">
        <f>F573</f>
        <v>0</v>
      </c>
    </row>
    <row r="581" spans="1:13" ht="14.55" customHeight="1" x14ac:dyDescent="0.3">
      <c r="A581" s="1258" t="s">
        <v>249</v>
      </c>
      <c r="B581" s="468">
        <f>((((POWER(((((B576+B609)*1.22)+(B580*2))/100),2)*PI())/4)*(B609/100))*7.86)</f>
        <v>151.1833637850315</v>
      </c>
      <c r="C581" s="460" t="s">
        <v>222</v>
      </c>
      <c r="D581" s="468">
        <f>((((POWER(((((D576+D609)*1.22)+(D580*2))/100),2)*PI())/4)*(D609/100))*7.86)</f>
        <v>0</v>
      </c>
      <c r="E581" s="460" t="s">
        <v>222</v>
      </c>
      <c r="F581" s="468">
        <f>IFERROR(VLOOKUP(F565&amp;"."&amp;F610,'Fitting Chart'!$1:$1048576,5,0),0)</f>
        <v>0</v>
      </c>
      <c r="G581" s="460" t="s">
        <v>222</v>
      </c>
      <c r="H581" s="469"/>
      <c r="I581" s="1261"/>
      <c r="K581" s="477" t="s">
        <v>250</v>
      </c>
      <c r="L581" s="477" t="str">
        <f>K542&amp;"."&amp;K581</f>
        <v>5.Head insulation area 3</v>
      </c>
      <c r="M581" s="1252">
        <f>F584</f>
        <v>0</v>
      </c>
    </row>
    <row r="582" spans="1:13" ht="14.55" customHeight="1" x14ac:dyDescent="0.3">
      <c r="A582" s="1258" t="s">
        <v>251</v>
      </c>
      <c r="B582" s="468">
        <f>(((0.131*(B576^3)*10^-6)+((((B576/2)^2)*PI()*(((B576/4)+B608)-B608-(B576/4)))))+((PI()*((B576/2)^2)*B580))/1000000)/1000</f>
        <v>0.58846837499999993</v>
      </c>
      <c r="C582" s="460" t="s">
        <v>225</v>
      </c>
      <c r="D582" s="468">
        <f>(((0.131*(D576^3)*10^-6)+((((D576/2)^2)*PI()*(((D576/4)+D608)-D608-(D576/4)))))+((PI()*((D576/2)^2)*D580))/1000000)/1000</f>
        <v>0</v>
      </c>
      <c r="E582" s="460" t="s">
        <v>225</v>
      </c>
      <c r="F582" s="468">
        <f>(((0.131*(F576^3)*10^-6)+((((F576/2)^2)*PI()*(((F576/4)+F611)-F611-(F576/4)))))+((PI()*((F576/2)^2)*F580))/1000000)/1000</f>
        <v>0</v>
      </c>
      <c r="G582" s="460" t="s">
        <v>225</v>
      </c>
      <c r="H582" s="469"/>
      <c r="I582" s="1261"/>
      <c r="K582" s="477" t="s">
        <v>252</v>
      </c>
      <c r="L582" s="477" t="str">
        <f>K542&amp;"."&amp;K582</f>
        <v>5.Reducer insulation area 3</v>
      </c>
      <c r="M582" s="1252">
        <f>F598</f>
        <v>0</v>
      </c>
    </row>
    <row r="583" spans="1:13" ht="14.55" customHeight="1" x14ac:dyDescent="0.3">
      <c r="A583" s="1258" t="s">
        <v>253</v>
      </c>
      <c r="B583" s="468">
        <f>(((B577*B578*3.14)+(((B577/2)^2)*3.14))/1000000)</f>
        <v>4.9122442599999996</v>
      </c>
      <c r="C583" s="460" t="s">
        <v>228</v>
      </c>
      <c r="D583" s="468">
        <f>(((D577*D578*3.14)+(((D577/2)^2)*3.14))/1000000)</f>
        <v>0</v>
      </c>
      <c r="E583" s="460" t="s">
        <v>228</v>
      </c>
      <c r="F583" s="468">
        <f>(((F577*F578*3.14)+(((F577/2)^2)*3.14))/1000000)</f>
        <v>0</v>
      </c>
      <c r="G583" s="460" t="s">
        <v>228</v>
      </c>
      <c r="H583" s="469"/>
      <c r="I583" s="1261"/>
    </row>
    <row r="584" spans="1:13" ht="14.55" customHeight="1" x14ac:dyDescent="0.3">
      <c r="A584" s="1258" t="s">
        <v>254</v>
      </c>
      <c r="B584" s="468">
        <f>B577+2*B614</f>
        <v>1694</v>
      </c>
      <c r="C584" s="460" t="s">
        <v>93</v>
      </c>
      <c r="D584" s="468">
        <f>D577+2*D614</f>
        <v>0</v>
      </c>
      <c r="E584" s="460" t="s">
        <v>93</v>
      </c>
      <c r="F584" s="468">
        <f>F577+2*F614</f>
        <v>0</v>
      </c>
      <c r="G584" s="460" t="s">
        <v>93</v>
      </c>
      <c r="H584" s="469"/>
      <c r="I584" s="1261"/>
    </row>
    <row r="585" spans="1:13" ht="14.55" customHeight="1" x14ac:dyDescent="0.3">
      <c r="A585" s="1258" t="s">
        <v>255</v>
      </c>
      <c r="B585" s="468">
        <f>(((B584*B578*3.14)+(((B584/2)^2)*3.14))/1000000)</f>
        <v>4.9122442599999996</v>
      </c>
      <c r="C585" s="460" t="s">
        <v>228</v>
      </c>
      <c r="D585" s="468">
        <f>(((D584*D578*3.14)+(((D584/2)^2)*3.14))/1000000)</f>
        <v>0</v>
      </c>
      <c r="E585" s="460" t="s">
        <v>228</v>
      </c>
      <c r="F585" s="468">
        <f>(((F584*F578*3.14)+(((F584/2)^2)*3.14))/1000000)</f>
        <v>0</v>
      </c>
      <c r="G585" s="460" t="s">
        <v>228</v>
      </c>
      <c r="H585" s="469"/>
      <c r="I585" s="1261"/>
    </row>
    <row r="586" spans="1:13" ht="14.55" customHeight="1" x14ac:dyDescent="0.3">
      <c r="A586" s="1258"/>
      <c r="B586" s="454"/>
      <c r="C586" s="460"/>
      <c r="D586" s="454"/>
      <c r="E586" s="460"/>
      <c r="F586" s="454"/>
      <c r="G586" s="460"/>
      <c r="H586" s="469"/>
      <c r="I586" s="1261"/>
    </row>
    <row r="587" spans="1:13" ht="14.55" customHeight="1" x14ac:dyDescent="0.3">
      <c r="A587" s="1258"/>
      <c r="B587" s="468" t="s">
        <v>256</v>
      </c>
      <c r="C587" s="460"/>
      <c r="D587" s="468" t="s">
        <v>257</v>
      </c>
      <c r="E587" s="460"/>
      <c r="F587" s="468" t="s">
        <v>258</v>
      </c>
      <c r="G587" s="460"/>
      <c r="H587" s="469"/>
      <c r="I587" s="1261"/>
    </row>
    <row r="588" spans="1:13" ht="14.55" customHeight="1" x14ac:dyDescent="0.3">
      <c r="A588" s="1258" t="s">
        <v>259</v>
      </c>
      <c r="B588" s="725"/>
      <c r="C588" s="460" t="s">
        <v>93</v>
      </c>
      <c r="D588" s="725"/>
      <c r="E588" s="460" t="s">
        <v>93</v>
      </c>
      <c r="F588" s="725"/>
      <c r="G588" s="460" t="s">
        <v>93</v>
      </c>
      <c r="H588" s="469"/>
      <c r="I588" s="1261"/>
    </row>
    <row r="589" spans="1:13" ht="14.55" customHeight="1" x14ac:dyDescent="0.3">
      <c r="A589" s="1258" t="s">
        <v>260</v>
      </c>
      <c r="B589" s="725"/>
      <c r="C589" s="460" t="s">
        <v>93</v>
      </c>
      <c r="D589" s="725"/>
      <c r="E589" s="460" t="s">
        <v>93</v>
      </c>
      <c r="F589" s="725"/>
      <c r="G589" s="460" t="s">
        <v>93</v>
      </c>
      <c r="H589" s="469"/>
      <c r="I589" s="1261"/>
    </row>
    <row r="590" spans="1:13" ht="14.55" customHeight="1" x14ac:dyDescent="0.3">
      <c r="A590" s="1258" t="s">
        <v>261</v>
      </c>
      <c r="B590" s="725"/>
      <c r="C590" s="460" t="s">
        <v>93</v>
      </c>
      <c r="D590" s="725"/>
      <c r="E590" s="460" t="s">
        <v>93</v>
      </c>
      <c r="F590" s="725"/>
      <c r="G590" s="460" t="s">
        <v>93</v>
      </c>
      <c r="H590" s="469"/>
      <c r="I590" s="1261"/>
    </row>
    <row r="591" spans="1:13" ht="14.55" customHeight="1" x14ac:dyDescent="0.3">
      <c r="A591" s="1258" t="s">
        <v>262</v>
      </c>
      <c r="B591" s="455">
        <f>B588+2*B609</f>
        <v>12</v>
      </c>
      <c r="C591" s="460" t="s">
        <v>93</v>
      </c>
      <c r="D591" s="455">
        <f>D588+2*D609</f>
        <v>0</v>
      </c>
      <c r="E591" s="460" t="s">
        <v>93</v>
      </c>
      <c r="F591" s="455">
        <f>F588+2*F611</f>
        <v>0</v>
      </c>
      <c r="G591" s="460" t="s">
        <v>93</v>
      </c>
      <c r="H591" s="469"/>
      <c r="I591" s="1261"/>
    </row>
    <row r="592" spans="1:13" ht="14.55" customHeight="1" x14ac:dyDescent="0.3">
      <c r="A592" s="1258" t="s">
        <v>263</v>
      </c>
      <c r="B592" s="455">
        <f>B589+2*B609</f>
        <v>12</v>
      </c>
      <c r="C592" s="460" t="s">
        <v>93</v>
      </c>
      <c r="D592" s="455">
        <f>D589+2*D609</f>
        <v>0</v>
      </c>
      <c r="E592" s="460" t="s">
        <v>93</v>
      </c>
      <c r="F592" s="455">
        <f>F589+2*F611</f>
        <v>0</v>
      </c>
      <c r="G592" s="460" t="s">
        <v>93</v>
      </c>
      <c r="H592" s="469"/>
      <c r="I592" s="1261"/>
    </row>
    <row r="593" spans="1:9" ht="14.55" customHeight="1" x14ac:dyDescent="0.3">
      <c r="A593" s="1258" t="s">
        <v>264</v>
      </c>
      <c r="B593" s="453">
        <f>(((((1/3*PI()*B590))*((((B591/2)^2)+(((B591/2)*(B592/2)))+((B592/2)^2))))-(((1/3*PI()*B590))*((((B588/2)^2)+(((B588/2)*(B589/2)))+((B589/2)^2)))))*7.86)/1000000</f>
        <v>0</v>
      </c>
      <c r="C593" s="460" t="s">
        <v>222</v>
      </c>
      <c r="D593" s="453">
        <f>(((((1/3*PI()*D590))*((((D591/2)^2)+(((D591/2)*(D592/2)))+((D592/2)^2))))-(((1/3*PI()*D590))*((((D588/2)^2)+(((D588/2)*(D589/2)))+((D589/2)^2)))))*7.86)/1000000</f>
        <v>0</v>
      </c>
      <c r="E593" s="460" t="s">
        <v>222</v>
      </c>
      <c r="F593" s="453">
        <f>(((((1/3*PI()*F590))*((((F591/2)^2)+(((F591/2)*(F592/2)))+((F592/2)^2))))-(((1/3*PI()*F590))*((((F588/2)^2)+(((F588/2)*(F589/2)))+((F589/2)^2)))))*7.86)/1000000</f>
        <v>0</v>
      </c>
      <c r="G593" s="460" t="s">
        <v>222</v>
      </c>
      <c r="H593" s="469"/>
      <c r="I593" s="1261"/>
    </row>
    <row r="594" spans="1:9" ht="14.55" customHeight="1" x14ac:dyDescent="0.3">
      <c r="A594" s="1258" t="s">
        <v>265</v>
      </c>
      <c r="B594" s="453">
        <f>((1/3*PI()*B590))*((((B588/2)^2)+(((B588/2)*(B589/2)))+((B589/2)^2)))/1000000000</f>
        <v>0</v>
      </c>
      <c r="C594" s="460" t="s">
        <v>225</v>
      </c>
      <c r="D594" s="453">
        <f>((1/3*PI()*D590))*((((D588/2)^2)+(((D588/2)*(D589/2)))+((D589/2)^2)))/1000000000</f>
        <v>0</v>
      </c>
      <c r="E594" s="460" t="s">
        <v>225</v>
      </c>
      <c r="F594" s="453">
        <f>((1/3*PI()*F590))*((((F588/2)^2)+(((F588/2)*(F589/2)))+((F589/2)^2)))/1000000000</f>
        <v>0</v>
      </c>
      <c r="G594" s="460" t="s">
        <v>225</v>
      </c>
      <c r="H594" s="469"/>
      <c r="I594" s="1261"/>
    </row>
    <row r="595" spans="1:9" ht="14.55" customHeight="1" x14ac:dyDescent="0.3">
      <c r="A595" s="1258" t="s">
        <v>266</v>
      </c>
      <c r="B595" s="453">
        <f>PI()*(B591+B592)/2*SQRT(B590^2+((B591-B592)/2)^2)/1000000</f>
        <v>0</v>
      </c>
      <c r="C595" s="460" t="s">
        <v>228</v>
      </c>
      <c r="D595" s="453">
        <f>PI()*(D591+D592)/2*SQRT(D590^2+((D591-D592)/2)^2)/1000000</f>
        <v>0</v>
      </c>
      <c r="E595" s="460" t="s">
        <v>228</v>
      </c>
      <c r="F595" s="453">
        <f>PI()*(F591+F592)/2*SQRT(F590^2+((F591-F592)/2)^2)/1000000</f>
        <v>0</v>
      </c>
      <c r="G595" s="460" t="s">
        <v>228</v>
      </c>
      <c r="H595" s="469"/>
      <c r="I595" s="1261"/>
    </row>
    <row r="596" spans="1:9" ht="14.55" customHeight="1" x14ac:dyDescent="0.3">
      <c r="A596" s="1258" t="s">
        <v>267</v>
      </c>
      <c r="B596" s="453">
        <f>B591+2*B615</f>
        <v>12</v>
      </c>
      <c r="C596" s="460" t="s">
        <v>93</v>
      </c>
      <c r="D596" s="453">
        <f>D588+2*D615</f>
        <v>0</v>
      </c>
      <c r="E596" s="460" t="s">
        <v>93</v>
      </c>
      <c r="F596" s="453">
        <f>F588+2*F615</f>
        <v>0</v>
      </c>
      <c r="G596" s="460" t="s">
        <v>93</v>
      </c>
      <c r="H596" s="469"/>
      <c r="I596" s="1261"/>
    </row>
    <row r="597" spans="1:9" ht="14.55" customHeight="1" x14ac:dyDescent="0.3">
      <c r="A597" s="1258" t="s">
        <v>268</v>
      </c>
      <c r="B597" s="453">
        <f>B592+2*B615</f>
        <v>12</v>
      </c>
      <c r="C597" s="460" t="s">
        <v>93</v>
      </c>
      <c r="D597" s="453">
        <f>D589+2*D615</f>
        <v>0</v>
      </c>
      <c r="E597" s="460" t="s">
        <v>93</v>
      </c>
      <c r="F597" s="453">
        <f>F589+2*F615</f>
        <v>0</v>
      </c>
      <c r="G597" s="460" t="s">
        <v>93</v>
      </c>
      <c r="H597" s="469"/>
      <c r="I597" s="1261"/>
    </row>
    <row r="598" spans="1:9" ht="14.55" customHeight="1" x14ac:dyDescent="0.3">
      <c r="A598" s="1258" t="s">
        <v>269</v>
      </c>
      <c r="B598" s="453">
        <f>PI()*(B596+B597)/2*SQRT(B590^2+((B596-B597)/2)^2)/1000000</f>
        <v>0</v>
      </c>
      <c r="C598" s="460" t="s">
        <v>228</v>
      </c>
      <c r="D598" s="453">
        <f>PI()*(D596+D597)/2*SQRT(D590^2+((D596-D597)/2)^2)/1000000</f>
        <v>0</v>
      </c>
      <c r="E598" s="460" t="s">
        <v>228</v>
      </c>
      <c r="F598" s="453">
        <f>PI()*(F596+F597)/2*SQRT(F590^2+((F596-F597)/2)^2)/1000000</f>
        <v>0</v>
      </c>
      <c r="G598" s="460" t="s">
        <v>228</v>
      </c>
      <c r="H598" s="469"/>
      <c r="I598" s="1261"/>
    </row>
    <row r="599" spans="1:9" ht="14.55" customHeight="1" x14ac:dyDescent="0.3">
      <c r="A599" s="1258"/>
      <c r="B599" s="453"/>
      <c r="C599" s="460"/>
      <c r="D599" s="453"/>
      <c r="E599" s="460"/>
      <c r="F599" s="453"/>
      <c r="G599" s="460"/>
      <c r="H599" s="460"/>
      <c r="I599" s="1259"/>
    </row>
    <row r="600" spans="1:9" ht="14.55" customHeight="1" x14ac:dyDescent="0.3">
      <c r="A600" s="1258" t="s">
        <v>270</v>
      </c>
      <c r="B600" s="725">
        <v>6</v>
      </c>
      <c r="C600" s="460" t="s">
        <v>93</v>
      </c>
      <c r="D600" s="725"/>
      <c r="E600" s="460" t="s">
        <v>93</v>
      </c>
      <c r="F600" s="725"/>
      <c r="G600" s="460" t="s">
        <v>93</v>
      </c>
      <c r="H600" s="460"/>
      <c r="I600" s="1259"/>
    </row>
    <row r="601" spans="1:9" ht="14.55" customHeight="1" x14ac:dyDescent="0.3">
      <c r="A601" s="1258" t="s">
        <v>271</v>
      </c>
      <c r="B601" s="453">
        <f>((D549/10)*B566/2)/(IF(B544="div.1",B557,B560)-0.5*D549/10)</f>
        <v>21.806167400881058</v>
      </c>
      <c r="C601" s="460" t="s">
        <v>93</v>
      </c>
      <c r="D601" s="453">
        <f>((D549/10)*D566/2)/(IF(B544="div.1",B557,B560)-0.5*D549/10)</f>
        <v>0</v>
      </c>
      <c r="E601" s="460" t="s">
        <v>93</v>
      </c>
      <c r="F601" s="453" t="e">
        <f>((D549/10)*F566/2)/(IF(B544="div.1",F557,F560)-0.5*D549/10)</f>
        <v>#N/A</v>
      </c>
      <c r="G601" s="460" t="s">
        <v>93</v>
      </c>
      <c r="H601" s="460"/>
      <c r="I601" s="1259"/>
    </row>
    <row r="602" spans="1:9" ht="14.55" customHeight="1" x14ac:dyDescent="0.3">
      <c r="A602" s="1258" t="s">
        <v>272</v>
      </c>
      <c r="B602" s="453">
        <f>B576/2*(EXP(D549/(10*IF(B544="div.1",B558,B561)))-1)</f>
        <v>21.804914499108179</v>
      </c>
      <c r="C602" s="460" t="s">
        <v>93</v>
      </c>
      <c r="D602" s="453">
        <f>D576/2*(EXP(D549/(10*IF(B544="div.1",B558,B561)))-1)</f>
        <v>0</v>
      </c>
      <c r="E602" s="460" t="s">
        <v>93</v>
      </c>
      <c r="F602" s="453" t="e">
        <f>F576/2*(EXP(D549/(10*IF(B544="div.1",F558,F561)))-1)</f>
        <v>#N/A</v>
      </c>
      <c r="G602" s="460" t="s">
        <v>93</v>
      </c>
      <c r="H602" s="460"/>
      <c r="I602" s="1259"/>
    </row>
    <row r="603" spans="1:9" ht="14.55" customHeight="1" x14ac:dyDescent="0.3">
      <c r="A603" s="1258" t="s">
        <v>273</v>
      </c>
      <c r="B603" s="453">
        <f>B588/2*(EXP(D549/(10*IF(B544="div.1",B558,B561)))-1)</f>
        <v>0</v>
      </c>
      <c r="C603" s="460" t="s">
        <v>93</v>
      </c>
      <c r="D603" s="453">
        <f>D588/2*(EXP(D549/(10*IF(B544="div.1",B558,B561)))-1)</f>
        <v>0</v>
      </c>
      <c r="E603" s="460" t="s">
        <v>93</v>
      </c>
      <c r="F603" s="453" t="e">
        <f>F588/2*(EXP(D549/(10*IF(B544="div.1",F558,F561)))-1)</f>
        <v>#N/A</v>
      </c>
      <c r="G603" s="460" t="s">
        <v>93</v>
      </c>
      <c r="H603" s="460"/>
      <c r="I603" s="1259"/>
    </row>
    <row r="604" spans="1:9" ht="14.55" customHeight="1" x14ac:dyDescent="0.3">
      <c r="A604" s="1258" t="s">
        <v>274</v>
      </c>
      <c r="B604" s="725">
        <v>0</v>
      </c>
      <c r="C604" s="460" t="s">
        <v>93</v>
      </c>
      <c r="D604" s="725"/>
      <c r="E604" s="460" t="s">
        <v>93</v>
      </c>
      <c r="F604" s="725"/>
      <c r="G604" s="460" t="s">
        <v>93</v>
      </c>
      <c r="H604" s="460"/>
      <c r="I604" s="1259"/>
    </row>
    <row r="605" spans="1:9" ht="14.55" customHeight="1" x14ac:dyDescent="0.3">
      <c r="A605" s="1258" t="s">
        <v>275</v>
      </c>
      <c r="B605" s="725">
        <v>0</v>
      </c>
      <c r="C605" s="460" t="s">
        <v>93</v>
      </c>
      <c r="D605" s="725"/>
      <c r="E605" s="460" t="s">
        <v>93</v>
      </c>
      <c r="F605" s="725"/>
      <c r="G605" s="460" t="s">
        <v>93</v>
      </c>
      <c r="H605" s="460"/>
      <c r="I605" s="1259"/>
    </row>
    <row r="606" spans="1:9" ht="14.55" customHeight="1" x14ac:dyDescent="0.3">
      <c r="A606" s="1258" t="s">
        <v>276</v>
      </c>
      <c r="B606" s="725">
        <v>0</v>
      </c>
      <c r="C606" s="460" t="s">
        <v>93</v>
      </c>
      <c r="D606" s="725"/>
      <c r="E606" s="460" t="s">
        <v>93</v>
      </c>
      <c r="F606" s="725"/>
      <c r="G606" s="460" t="s">
        <v>93</v>
      </c>
      <c r="H606" s="460"/>
      <c r="I606" s="1259"/>
    </row>
    <row r="607" spans="1:9" ht="14.55" customHeight="1" x14ac:dyDescent="0.3">
      <c r="A607" s="1258" t="s">
        <v>277</v>
      </c>
      <c r="B607" s="453">
        <f>IF((CEILING(B601,1)+B604)&lt;B600,B600,CEILING(B601,1)+B604)</f>
        <v>22</v>
      </c>
      <c r="C607" s="460" t="s">
        <v>93</v>
      </c>
      <c r="D607" s="453">
        <f>IF((CEILING(D601,1)+D604)&lt;D600,D600,CEILING(D601,1)+D604)</f>
        <v>0</v>
      </c>
      <c r="E607" s="460" t="s">
        <v>93</v>
      </c>
      <c r="F607" s="453" t="e">
        <f>IF((CEILING(F601,1)+F604)&lt;F600,F600,CEILING(F601,1)+F604)</f>
        <v>#N/A</v>
      </c>
      <c r="G607" s="460" t="s">
        <v>93</v>
      </c>
      <c r="H607" s="460"/>
      <c r="I607" s="1259"/>
    </row>
    <row r="608" spans="1:9" ht="14.55" customHeight="1" x14ac:dyDescent="0.3">
      <c r="A608" s="1258" t="s">
        <v>278</v>
      </c>
      <c r="B608" s="453">
        <f>IF((CEILING(B602,1)+B605)&lt;=B600,B600,CEILING(B602,1)+B605)</f>
        <v>22</v>
      </c>
      <c r="C608" s="460" t="s">
        <v>93</v>
      </c>
      <c r="D608" s="453">
        <f>IF((CEILING(D602,1)+D605)&lt;=D600,D600,CEILING(D602,1)+D605)</f>
        <v>0</v>
      </c>
      <c r="E608" s="460" t="s">
        <v>93</v>
      </c>
      <c r="F608" s="453" t="e">
        <f>IF((CEILING(F602,1)+F605)&lt;=F600,F600,CEILING(F602,1)+F605)</f>
        <v>#N/A</v>
      </c>
      <c r="G608" s="460" t="s">
        <v>93</v>
      </c>
      <c r="H608" s="460"/>
      <c r="I608" s="1259"/>
    </row>
    <row r="609" spans="1:9" ht="14.55" customHeight="1" x14ac:dyDescent="0.3">
      <c r="A609" s="1258" t="s">
        <v>279</v>
      </c>
      <c r="B609" s="453">
        <f>IF((CEILING(B603,1)+B606)&lt;=B600,B600,CEILING(B603,1)+B606)</f>
        <v>6</v>
      </c>
      <c r="C609" s="460" t="s">
        <v>93</v>
      </c>
      <c r="D609" s="453">
        <f>IF((CEILING(D603,1)+D606)&lt;=D600,D600,CEILING(D603,1)+D606)</f>
        <v>0</v>
      </c>
      <c r="E609" s="460" t="s">
        <v>93</v>
      </c>
      <c r="F609" s="453" t="e">
        <f>IF((CEILING(F603,1)+F606)&lt;=F600,F600,CEILING(F603,1)+F606)</f>
        <v>#N/A</v>
      </c>
      <c r="G609" s="460" t="s">
        <v>93</v>
      </c>
      <c r="H609" s="460"/>
      <c r="I609" s="1259"/>
    </row>
    <row r="610" spans="1:9" ht="14.55" customHeight="1" x14ac:dyDescent="0.3">
      <c r="A610" s="1258" t="s">
        <v>280</v>
      </c>
      <c r="B610" s="453"/>
      <c r="C610" s="460"/>
      <c r="D610" s="453"/>
      <c r="E610" s="460"/>
      <c r="F610" s="726"/>
      <c r="G610" s="460"/>
      <c r="H610" s="460"/>
      <c r="I610" s="1259"/>
    </row>
    <row r="611" spans="1:9" ht="14.55" customHeight="1" x14ac:dyDescent="0.3">
      <c r="A611" s="1258" t="s">
        <v>281</v>
      </c>
      <c r="B611" s="453"/>
      <c r="C611" s="460"/>
      <c r="D611" s="453"/>
      <c r="E611" s="460"/>
      <c r="F611" s="460">
        <f>IFERROR(VLOOKUP(F565,'Thickness Tab'!$1:$1048576,MATCH(F610,'Thickness Tab'!$1:$1,0),0),0)</f>
        <v>0</v>
      </c>
      <c r="G611" s="460" t="s">
        <v>93</v>
      </c>
      <c r="H611" s="460"/>
      <c r="I611" s="1259"/>
    </row>
    <row r="612" spans="1:9" ht="14.55" customHeight="1" x14ac:dyDescent="0.3">
      <c r="A612" s="1258"/>
      <c r="B612" s="464"/>
      <c r="C612" s="460"/>
      <c r="D612" s="460"/>
      <c r="E612" s="460"/>
      <c r="F612" s="460"/>
      <c r="G612" s="460"/>
      <c r="H612" s="460"/>
      <c r="I612" s="1259"/>
    </row>
    <row r="613" spans="1:9" ht="14.55" customHeight="1" x14ac:dyDescent="0.3">
      <c r="A613" s="1258" t="s">
        <v>282</v>
      </c>
      <c r="B613" s="725">
        <v>0</v>
      </c>
      <c r="C613" s="460" t="s">
        <v>93</v>
      </c>
      <c r="D613" s="725">
        <v>0</v>
      </c>
      <c r="E613" s="460" t="s">
        <v>93</v>
      </c>
      <c r="F613" s="725">
        <v>0</v>
      </c>
      <c r="G613" s="460" t="s">
        <v>93</v>
      </c>
      <c r="H613" s="460"/>
      <c r="I613" s="1259"/>
    </row>
    <row r="614" spans="1:9" ht="14.55" customHeight="1" x14ac:dyDescent="0.3">
      <c r="A614" s="1258" t="s">
        <v>283</v>
      </c>
      <c r="B614" s="725">
        <v>0</v>
      </c>
      <c r="C614" s="460" t="s">
        <v>93</v>
      </c>
      <c r="D614" s="725">
        <v>0</v>
      </c>
      <c r="E614" s="460" t="s">
        <v>93</v>
      </c>
      <c r="F614" s="725">
        <v>0</v>
      </c>
      <c r="G614" s="460" t="s">
        <v>93</v>
      </c>
      <c r="H614" s="460"/>
      <c r="I614" s="1259"/>
    </row>
    <row r="615" spans="1:9" ht="14.55" customHeight="1" x14ac:dyDescent="0.3">
      <c r="A615" s="1258" t="s">
        <v>284</v>
      </c>
      <c r="B615" s="725">
        <v>0</v>
      </c>
      <c r="C615" s="460" t="s">
        <v>93</v>
      </c>
      <c r="D615" s="725">
        <v>0</v>
      </c>
      <c r="E615" s="460" t="s">
        <v>93</v>
      </c>
      <c r="F615" s="725">
        <v>0</v>
      </c>
      <c r="G615" s="460" t="s">
        <v>93</v>
      </c>
      <c r="H615" s="460"/>
      <c r="I615" s="1259"/>
    </row>
    <row r="616" spans="1:9" ht="14.55" customHeight="1" x14ac:dyDescent="0.3">
      <c r="A616" s="1258"/>
      <c r="B616" s="464"/>
      <c r="C616" s="460"/>
      <c r="D616" s="460"/>
      <c r="E616" s="460"/>
      <c r="F616" s="460"/>
      <c r="G616" s="460"/>
      <c r="H616" s="460"/>
      <c r="I616" s="1259"/>
    </row>
    <row r="617" spans="1:9" ht="14.55" customHeight="1" x14ac:dyDescent="0.3">
      <c r="A617" s="1260" t="s">
        <v>285</v>
      </c>
      <c r="B617" s="470" t="str">
        <f>IF(B545="Horizontal","No Skirt","")</f>
        <v/>
      </c>
      <c r="C617" s="460"/>
      <c r="D617" s="471"/>
      <c r="E617" s="471" t="s">
        <v>286</v>
      </c>
      <c r="F617" s="460"/>
      <c r="G617" s="469"/>
      <c r="H617" s="469"/>
      <c r="I617" s="1261"/>
    </row>
    <row r="618" spans="1:9" ht="14.55" customHeight="1" x14ac:dyDescent="0.3">
      <c r="A618" s="1258" t="s">
        <v>287</v>
      </c>
      <c r="B618" s="722"/>
      <c r="C618" s="456" t="s">
        <v>93</v>
      </c>
      <c r="D618" s="472"/>
      <c r="E618" s="472" t="s">
        <v>288</v>
      </c>
      <c r="F618" s="725"/>
      <c r="G618" s="460" t="s">
        <v>93</v>
      </c>
      <c r="H618" s="469"/>
      <c r="I618" s="1261"/>
    </row>
    <row r="619" spans="1:9" ht="14.55" customHeight="1" x14ac:dyDescent="0.3">
      <c r="A619" s="1258" t="s">
        <v>289</v>
      </c>
      <c r="B619" s="722"/>
      <c r="C619" s="456" t="s">
        <v>93</v>
      </c>
      <c r="D619" s="472"/>
      <c r="E619" s="472" t="s">
        <v>290</v>
      </c>
      <c r="F619" s="725"/>
      <c r="G619" s="460" t="s">
        <v>93</v>
      </c>
      <c r="H619" s="469"/>
      <c r="I619" s="1261"/>
    </row>
    <row r="620" spans="1:9" ht="14.55" customHeight="1" x14ac:dyDescent="0.3">
      <c r="A620" s="1258" t="s">
        <v>291</v>
      </c>
      <c r="B620" s="722"/>
      <c r="C620" s="456" t="s">
        <v>93</v>
      </c>
      <c r="D620" s="472"/>
      <c r="E620" s="472" t="s">
        <v>292</v>
      </c>
      <c r="F620" s="725"/>
      <c r="G620" s="460"/>
      <c r="H620" s="469"/>
      <c r="I620" s="1261"/>
    </row>
    <row r="621" spans="1:9" ht="14.55" customHeight="1" x14ac:dyDescent="0.3">
      <c r="A621" s="1258" t="s">
        <v>293</v>
      </c>
      <c r="B621" s="722"/>
      <c r="C621" s="456" t="s">
        <v>93</v>
      </c>
      <c r="D621" s="472"/>
      <c r="E621" s="472" t="s">
        <v>184</v>
      </c>
      <c r="F621" s="457">
        <f>(PI()*F618^2)/4*F619*(7800/1000000000)</f>
        <v>0</v>
      </c>
      <c r="G621" s="460" t="s">
        <v>222</v>
      </c>
      <c r="H621" s="460"/>
      <c r="I621" s="1259"/>
    </row>
    <row r="622" spans="1:9" ht="14.55" customHeight="1" x14ac:dyDescent="0.3">
      <c r="A622" s="1258" t="s">
        <v>294</v>
      </c>
      <c r="B622" s="722"/>
      <c r="C622" s="456" t="s">
        <v>93</v>
      </c>
      <c r="D622" s="460"/>
      <c r="E622" s="460"/>
      <c r="F622" s="460"/>
      <c r="G622" s="460"/>
      <c r="H622" s="460"/>
      <c r="I622" s="1259"/>
    </row>
    <row r="623" spans="1:9" ht="14.55" customHeight="1" x14ac:dyDescent="0.3">
      <c r="A623" s="1258"/>
      <c r="B623" s="407"/>
      <c r="C623" s="460"/>
      <c r="D623" s="460"/>
      <c r="E623" s="460"/>
      <c r="F623" s="460"/>
      <c r="G623" s="460"/>
      <c r="H623" s="460"/>
      <c r="I623" s="1259"/>
    </row>
    <row r="624" spans="1:9" ht="14.55" customHeight="1" x14ac:dyDescent="0.3">
      <c r="A624" s="1262" t="s">
        <v>295</v>
      </c>
      <c r="B624" s="480"/>
      <c r="C624" s="59"/>
      <c r="D624" s="59"/>
      <c r="E624" s="59"/>
      <c r="F624" s="460"/>
      <c r="G624" s="460"/>
      <c r="H624" s="460"/>
      <c r="I624" s="1259"/>
    </row>
    <row r="625" spans="1:9" ht="14.55" customHeight="1" x14ac:dyDescent="0.3">
      <c r="A625" s="1263" t="s">
        <v>296</v>
      </c>
      <c r="B625" s="722"/>
      <c r="C625" s="59" t="s">
        <v>93</v>
      </c>
      <c r="D625" s="59"/>
      <c r="E625" s="59"/>
      <c r="F625" s="460"/>
      <c r="G625" s="460"/>
      <c r="H625" s="460"/>
      <c r="I625" s="1259"/>
    </row>
    <row r="626" spans="1:9" ht="14.55" customHeight="1" x14ac:dyDescent="0.3">
      <c r="A626" s="1263" t="s">
        <v>297</v>
      </c>
      <c r="B626" s="722"/>
      <c r="C626" s="59" t="s">
        <v>93</v>
      </c>
      <c r="D626" s="59"/>
      <c r="E626" s="59"/>
      <c r="F626" s="460"/>
      <c r="G626" s="460"/>
      <c r="H626" s="460"/>
      <c r="I626" s="1259"/>
    </row>
    <row r="627" spans="1:9" ht="14.55" customHeight="1" x14ac:dyDescent="0.3">
      <c r="A627" s="1263" t="s">
        <v>298</v>
      </c>
      <c r="B627" s="480">
        <f>B568</f>
        <v>5000</v>
      </c>
      <c r="C627" s="59" t="s">
        <v>93</v>
      </c>
      <c r="D627" s="59"/>
      <c r="E627" s="59"/>
      <c r="F627" s="460"/>
      <c r="G627" s="460"/>
      <c r="H627" s="460"/>
      <c r="I627" s="1259"/>
    </row>
    <row r="628" spans="1:9" ht="14.55" customHeight="1" x14ac:dyDescent="0.3">
      <c r="A628" s="1263" t="s">
        <v>299</v>
      </c>
      <c r="B628" s="727"/>
      <c r="C628" s="59"/>
      <c r="D628" s="59"/>
      <c r="E628" s="59"/>
      <c r="F628" s="460"/>
      <c r="G628" s="460"/>
      <c r="H628" s="460"/>
      <c r="I628" s="1259"/>
    </row>
    <row r="629" spans="1:9" ht="14.55" customHeight="1" x14ac:dyDescent="0.3">
      <c r="A629" s="1263" t="s">
        <v>300</v>
      </c>
      <c r="B629" s="722"/>
      <c r="C629" s="59" t="s">
        <v>301</v>
      </c>
      <c r="D629" s="59"/>
      <c r="E629" s="59"/>
      <c r="F629" s="460"/>
      <c r="G629" s="460"/>
      <c r="H629" s="460"/>
      <c r="I629" s="1259"/>
    </row>
    <row r="630" spans="1:9" ht="14.55" customHeight="1" x14ac:dyDescent="0.3">
      <c r="A630" s="1263" t="s">
        <v>302</v>
      </c>
      <c r="B630" s="480">
        <f>IF(B628="Straight",B627,B627*2)</f>
        <v>10000</v>
      </c>
      <c r="C630" s="59" t="s">
        <v>93</v>
      </c>
      <c r="D630" s="480"/>
      <c r="E630" s="59"/>
      <c r="F630" s="460"/>
      <c r="G630" s="460"/>
      <c r="H630" s="460"/>
      <c r="I630" s="1259"/>
    </row>
    <row r="631" spans="1:9" ht="14.55" customHeight="1" x14ac:dyDescent="0.3">
      <c r="A631" s="1263" t="s">
        <v>303</v>
      </c>
      <c r="B631" s="480">
        <f>B625*PI()*B630/1000000*B629</f>
        <v>0</v>
      </c>
      <c r="C631" s="59" t="s">
        <v>228</v>
      </c>
      <c r="D631" s="59"/>
      <c r="E631" s="59"/>
      <c r="F631" s="460"/>
      <c r="G631" s="460"/>
      <c r="H631" s="460"/>
      <c r="I631" s="1259"/>
    </row>
    <row r="632" spans="1:9" ht="14.55" customHeight="1" x14ac:dyDescent="0.3">
      <c r="A632" s="1263" t="s">
        <v>304</v>
      </c>
      <c r="B632" s="480">
        <v>7.86</v>
      </c>
      <c r="C632" s="59" t="s">
        <v>305</v>
      </c>
      <c r="D632" s="59"/>
      <c r="E632" s="59"/>
      <c r="F632" s="460"/>
      <c r="G632" s="460"/>
      <c r="H632" s="460"/>
      <c r="I632" s="1259"/>
    </row>
    <row r="633" spans="1:9" ht="14.55" customHeight="1" x14ac:dyDescent="0.3">
      <c r="A633" s="1263" t="s">
        <v>306</v>
      </c>
      <c r="B633" s="480">
        <f>PI()*B626*(B625-B626)*B632/1000</f>
        <v>0</v>
      </c>
      <c r="C633" s="59" t="s">
        <v>307</v>
      </c>
      <c r="D633" s="59"/>
      <c r="E633" s="59"/>
      <c r="F633" s="460"/>
      <c r="G633" s="460"/>
      <c r="H633" s="460"/>
      <c r="I633" s="1259"/>
    </row>
    <row r="634" spans="1:9" ht="14.55" customHeight="1" x14ac:dyDescent="0.3">
      <c r="A634" s="1263" t="s">
        <v>308</v>
      </c>
      <c r="B634" s="480">
        <f>B633*B630*B629/1000</f>
        <v>0</v>
      </c>
      <c r="C634" s="59" t="s">
        <v>222</v>
      </c>
      <c r="D634" s="59"/>
      <c r="E634" s="59"/>
      <c r="F634" s="460"/>
      <c r="G634" s="460"/>
      <c r="H634" s="460"/>
      <c r="I634" s="1259"/>
    </row>
    <row r="635" spans="1:9" ht="14.55" customHeight="1" x14ac:dyDescent="0.3">
      <c r="A635" s="1263"/>
      <c r="B635" s="480"/>
      <c r="C635" s="59"/>
      <c r="D635" s="59"/>
      <c r="E635" s="59"/>
      <c r="F635" s="460"/>
      <c r="G635" s="460"/>
      <c r="H635" s="460"/>
      <c r="I635" s="1259"/>
    </row>
    <row r="636" spans="1:9" ht="14.55" customHeight="1" x14ac:dyDescent="0.3">
      <c r="A636" s="1262" t="s">
        <v>309</v>
      </c>
      <c r="B636" s="480"/>
      <c r="C636" s="59"/>
      <c r="D636" s="59"/>
      <c r="E636" s="59"/>
      <c r="F636" s="460"/>
      <c r="G636" s="460"/>
      <c r="H636" s="460"/>
      <c r="I636" s="1259"/>
    </row>
    <row r="637" spans="1:9" ht="14.55" customHeight="1" x14ac:dyDescent="0.3">
      <c r="A637" s="1263" t="s">
        <v>310</v>
      </c>
      <c r="B637" s="480">
        <f>B566</f>
        <v>1650</v>
      </c>
      <c r="C637" s="59" t="s">
        <v>93</v>
      </c>
      <c r="D637" s="59"/>
      <c r="E637" s="59"/>
      <c r="F637" s="460"/>
      <c r="G637" s="460"/>
      <c r="H637" s="460"/>
      <c r="I637" s="1259"/>
    </row>
    <row r="638" spans="1:9" ht="14.55" customHeight="1" x14ac:dyDescent="0.3">
      <c r="A638" s="1263" t="s">
        <v>297</v>
      </c>
      <c r="B638" s="480">
        <v>15</v>
      </c>
      <c r="C638" s="59" t="s">
        <v>93</v>
      </c>
      <c r="D638" s="59"/>
      <c r="E638" s="59"/>
      <c r="F638" s="460"/>
      <c r="G638" s="460"/>
      <c r="H638" s="460"/>
      <c r="I638" s="1259"/>
    </row>
    <row r="639" spans="1:9" ht="14.55" customHeight="1" x14ac:dyDescent="0.3">
      <c r="A639" s="1263" t="s">
        <v>311</v>
      </c>
      <c r="B639" s="480">
        <f>B637^2*PI()/4/1000000</f>
        <v>2.138246499849553</v>
      </c>
      <c r="C639" s="59" t="s">
        <v>228</v>
      </c>
      <c r="D639" s="59"/>
      <c r="E639" s="59"/>
      <c r="F639" s="460"/>
      <c r="G639" s="460"/>
      <c r="H639" s="460"/>
      <c r="I639" s="1259"/>
    </row>
    <row r="640" spans="1:9" ht="14.55" customHeight="1" x14ac:dyDescent="0.3">
      <c r="A640" s="1263" t="s">
        <v>312</v>
      </c>
      <c r="B640" s="480">
        <f>B639*B638/1000*B632*2/1000</f>
        <v>5.0419852466452469E-4</v>
      </c>
      <c r="C640" s="59" t="s">
        <v>222</v>
      </c>
      <c r="D640" s="59"/>
      <c r="E640" s="59"/>
      <c r="F640" s="460"/>
      <c r="G640" s="460"/>
      <c r="H640" s="460"/>
      <c r="I640" s="1259"/>
    </row>
    <row r="641" spans="1:9" ht="14.55" customHeight="1" x14ac:dyDescent="0.3">
      <c r="A641" s="1263"/>
      <c r="B641" s="480"/>
      <c r="C641" s="59"/>
      <c r="D641" s="59"/>
      <c r="E641" s="59"/>
      <c r="F641" s="460"/>
      <c r="G641" s="460"/>
      <c r="H641" s="460"/>
      <c r="I641" s="1259"/>
    </row>
    <row r="642" spans="1:9" ht="14.55" customHeight="1" x14ac:dyDescent="0.3">
      <c r="A642" s="1263" t="s">
        <v>313</v>
      </c>
      <c r="B642" s="480">
        <f>B634+B640*2</f>
        <v>1.0083970493290494E-3</v>
      </c>
      <c r="C642" s="59" t="s">
        <v>222</v>
      </c>
      <c r="D642" s="59"/>
      <c r="E642" s="59"/>
      <c r="F642" s="460"/>
      <c r="G642" s="460"/>
      <c r="H642" s="460"/>
      <c r="I642" s="1259"/>
    </row>
    <row r="643" spans="1:9" ht="14.55" customHeight="1" x14ac:dyDescent="0.3">
      <c r="A643" s="1263"/>
      <c r="B643" s="480"/>
      <c r="C643" s="59"/>
      <c r="D643" s="59"/>
      <c r="E643" s="59"/>
      <c r="F643" s="460"/>
      <c r="G643" s="460"/>
      <c r="H643" s="460"/>
      <c r="I643" s="1259"/>
    </row>
    <row r="644" spans="1:9" ht="14.55" customHeight="1" x14ac:dyDescent="0.3">
      <c r="A644" s="1260" t="s">
        <v>314</v>
      </c>
      <c r="B644" s="460"/>
      <c r="C644" s="460"/>
      <c r="D644" s="463" t="s">
        <v>315</v>
      </c>
      <c r="E644" s="460"/>
      <c r="F644" s="460"/>
      <c r="G644" s="471" t="s">
        <v>316</v>
      </c>
      <c r="H644" s="453"/>
      <c r="I644" s="1259"/>
    </row>
    <row r="645" spans="1:9" ht="14.55" customHeight="1" x14ac:dyDescent="0.3">
      <c r="A645" s="1258" t="s">
        <v>189</v>
      </c>
      <c r="B645" s="468">
        <f>SUM(B569,D569,F569)</f>
        <v>4768.597602160482</v>
      </c>
      <c r="C645" s="460" t="s">
        <v>222</v>
      </c>
      <c r="D645" s="472" t="s">
        <v>189</v>
      </c>
      <c r="E645" s="468">
        <f>SUM(B571,D571,F571)</f>
        <v>26.595800000000001</v>
      </c>
      <c r="F645" s="460" t="s">
        <v>228</v>
      </c>
      <c r="G645" s="472" t="s">
        <v>189</v>
      </c>
      <c r="H645" s="453">
        <f>SUM(B573,D573,F573)</f>
        <v>26.595800000000001</v>
      </c>
      <c r="I645" s="1259" t="s">
        <v>228</v>
      </c>
    </row>
    <row r="646" spans="1:9" ht="14.55" customHeight="1" x14ac:dyDescent="0.3">
      <c r="A646" s="1258" t="s">
        <v>317</v>
      </c>
      <c r="B646" s="468">
        <f>SUM(B579*B581,D579*D581,F579*F581)</f>
        <v>302.36672757006301</v>
      </c>
      <c r="C646" s="460" t="s">
        <v>222</v>
      </c>
      <c r="D646" s="472" t="s">
        <v>317</v>
      </c>
      <c r="E646" s="468">
        <f>SUM(B579*B583,D579*D583,F579*F583)</f>
        <v>9.8244885199999992</v>
      </c>
      <c r="F646" s="460" t="s">
        <v>228</v>
      </c>
      <c r="G646" s="472" t="s">
        <v>317</v>
      </c>
      <c r="H646" s="453">
        <f>SUM(B579*B585,D579*D585,F579*F585)</f>
        <v>9.8244885199999992</v>
      </c>
      <c r="I646" s="1259" t="s">
        <v>228</v>
      </c>
    </row>
    <row r="647" spans="1:9" ht="14.55" customHeight="1" x14ac:dyDescent="0.3">
      <c r="A647" s="1258" t="s">
        <v>318</v>
      </c>
      <c r="B647" s="468">
        <f>SUM(B593,D593,F593)</f>
        <v>0</v>
      </c>
      <c r="C647" s="460" t="s">
        <v>222</v>
      </c>
      <c r="D647" s="472" t="s">
        <v>318</v>
      </c>
      <c r="E647" s="468">
        <f>SUM(B595,D595,F595)</f>
        <v>0</v>
      </c>
      <c r="F647" s="460" t="s">
        <v>228</v>
      </c>
      <c r="G647" s="472" t="s">
        <v>318</v>
      </c>
      <c r="H647" s="453">
        <f>SUM(B598,D598,F598)</f>
        <v>0</v>
      </c>
      <c r="I647" s="1259" t="s">
        <v>228</v>
      </c>
    </row>
    <row r="648" spans="1:9" ht="14.55" customHeight="1" x14ac:dyDescent="0.3">
      <c r="A648" s="1258" t="s">
        <v>319</v>
      </c>
      <c r="B648" s="468">
        <f>SUMPRODUCT(F665:F676,H665:H676)</f>
        <v>168.16666666666666</v>
      </c>
      <c r="C648" s="460" t="s">
        <v>222</v>
      </c>
      <c r="D648" s="472" t="s">
        <v>319</v>
      </c>
      <c r="E648" s="468">
        <f>SUMPRODUCT(F665:F676,I665:I676)</f>
        <v>0.9798143960530592</v>
      </c>
      <c r="F648" s="460" t="s">
        <v>228</v>
      </c>
      <c r="G648" s="460"/>
      <c r="H648" s="453"/>
      <c r="I648" s="1259"/>
    </row>
    <row r="649" spans="1:9" ht="14.55" customHeight="1" x14ac:dyDescent="0.3">
      <c r="A649" s="1258" t="s">
        <v>320</v>
      </c>
      <c r="B649" s="468">
        <f>IF(B545="Horizontal",0,(PI()*B619*(((B567/2)^2)-(((B567-2*B618)/2)^2))*7860)/1000000000)</f>
        <v>0</v>
      </c>
      <c r="C649" s="460" t="s">
        <v>222</v>
      </c>
      <c r="D649" s="472" t="s">
        <v>320</v>
      </c>
      <c r="E649" s="468">
        <f>IF(B545="Horizontal",0,((B567*B619*PI())+((B567-2*B618)*B619*PI()))/1000000)</f>
        <v>0</v>
      </c>
      <c r="F649" s="460" t="s">
        <v>228</v>
      </c>
      <c r="G649" s="471" t="s">
        <v>321</v>
      </c>
      <c r="H649" s="453"/>
      <c r="I649" s="1259"/>
    </row>
    <row r="650" spans="1:9" ht="14.55" customHeight="1" x14ac:dyDescent="0.3">
      <c r="A650" s="1258" t="s">
        <v>322</v>
      </c>
      <c r="B650" s="468">
        <f>IF(B545="Horizontal",0,(PI()*B622*(((B621/2)^2)-((B620/2)^2))*7860)/1000000000)</f>
        <v>0</v>
      </c>
      <c r="C650" s="460" t="s">
        <v>222</v>
      </c>
      <c r="D650" s="472" t="s">
        <v>322</v>
      </c>
      <c r="E650" s="468">
        <f>IF(B545="Horizontal",0,((B621*3.14*B622)+(B620*3.14*B622)+(((((B621/2)^2)*3.14)-(((B620/2)^2)*3.14))*2))/1000000)</f>
        <v>0</v>
      </c>
      <c r="F650" s="460" t="s">
        <v>228</v>
      </c>
      <c r="G650" s="472" t="s">
        <v>189</v>
      </c>
      <c r="H650" s="453">
        <f>SUM(B570,D570,F570)</f>
        <v>10.691232499247764</v>
      </c>
      <c r="I650" s="1259" t="s">
        <v>225</v>
      </c>
    </row>
    <row r="651" spans="1:9" ht="14.55" customHeight="1" x14ac:dyDescent="0.3">
      <c r="A651" s="1258" t="s">
        <v>323</v>
      </c>
      <c r="B651" s="468">
        <f>IF(B545="Horizontal",VLOOKUP(B567,List!$AR:$AS,2,1)*2,0)</f>
        <v>0</v>
      </c>
      <c r="C651" s="460" t="s">
        <v>222</v>
      </c>
      <c r="D651" s="472" t="s">
        <v>323</v>
      </c>
      <c r="E651" s="725"/>
      <c r="F651" s="460" t="s">
        <v>228</v>
      </c>
      <c r="G651" s="472" t="s">
        <v>317</v>
      </c>
      <c r="H651" s="453">
        <f>SUM(B579*B582+D579*D582+F579*F582)</f>
        <v>1.1769367499999999</v>
      </c>
      <c r="I651" s="1259" t="s">
        <v>225</v>
      </c>
    </row>
    <row r="652" spans="1:9" ht="14.55" customHeight="1" x14ac:dyDescent="0.3">
      <c r="A652" s="1258" t="s">
        <v>324</v>
      </c>
      <c r="B652" s="468">
        <f>F621*F620</f>
        <v>0</v>
      </c>
      <c r="C652" s="460" t="s">
        <v>222</v>
      </c>
      <c r="D652" s="460"/>
      <c r="E652" s="460"/>
      <c r="F652" s="460"/>
      <c r="G652" s="472" t="s">
        <v>318</v>
      </c>
      <c r="H652" s="453">
        <f>SUM(B594,D594,F594)</f>
        <v>0</v>
      </c>
      <c r="I652" s="1259" t="s">
        <v>225</v>
      </c>
    </row>
    <row r="653" spans="1:9" ht="14.55" customHeight="1" x14ac:dyDescent="0.3">
      <c r="A653" s="1258" t="s">
        <v>325</v>
      </c>
      <c r="B653" s="468">
        <f>B642</f>
        <v>1.0083970493290494E-3</v>
      </c>
      <c r="C653" s="460" t="s">
        <v>222</v>
      </c>
      <c r="D653" s="460"/>
      <c r="E653" s="460"/>
      <c r="F653" s="460"/>
      <c r="G653" s="472"/>
      <c r="H653" s="453"/>
      <c r="I653" s="1259"/>
    </row>
    <row r="654" spans="1:9" ht="14.55" customHeight="1" x14ac:dyDescent="0.3">
      <c r="A654" s="1258" t="s">
        <v>326</v>
      </c>
      <c r="B654" s="725">
        <v>100</v>
      </c>
      <c r="C654" s="460" t="s">
        <v>222</v>
      </c>
      <c r="D654" s="460"/>
      <c r="E654" s="460"/>
      <c r="F654" s="460"/>
      <c r="G654" s="460"/>
      <c r="H654" s="460"/>
      <c r="I654" s="1259"/>
    </row>
    <row r="655" spans="1:9" ht="14.55" customHeight="1" x14ac:dyDescent="0.3">
      <c r="A655" s="1264"/>
      <c r="B655" s="460"/>
      <c r="C655" s="460"/>
      <c r="D655" s="460"/>
      <c r="E655" s="460"/>
      <c r="F655" s="460"/>
      <c r="G655" s="460"/>
      <c r="H655" s="460"/>
      <c r="I655" s="1259"/>
    </row>
    <row r="656" spans="1:9" ht="14.55" customHeight="1" x14ac:dyDescent="0.3">
      <c r="A656" s="1258" t="s">
        <v>327</v>
      </c>
      <c r="B656" s="453">
        <f>SUM(E645:E651)</f>
        <v>37.400102916053058</v>
      </c>
      <c r="C656" s="460" t="s">
        <v>228</v>
      </c>
      <c r="D656" s="460"/>
      <c r="E656" s="460"/>
      <c r="F656" s="460"/>
      <c r="G656" s="460"/>
      <c r="H656" s="460"/>
      <c r="I656" s="1259"/>
    </row>
    <row r="657" spans="1:9" ht="14.55" customHeight="1" x14ac:dyDescent="0.3">
      <c r="A657" s="1258" t="s">
        <v>328</v>
      </c>
      <c r="B657" s="453" t="str">
        <f>IF(SUM(E645:E647)=SUM(H645:H647),"Not Insulated",SUM(H645:H647))</f>
        <v>Not Insulated</v>
      </c>
      <c r="C657" s="460" t="str">
        <f>IF(B656=SUM(H645:H647),"","m2")</f>
        <v>m2</v>
      </c>
      <c r="D657" s="460"/>
      <c r="E657" s="460"/>
      <c r="F657" s="460"/>
      <c r="G657" s="460"/>
      <c r="H657" s="460"/>
      <c r="I657" s="1259"/>
    </row>
    <row r="658" spans="1:9" ht="14.55" customHeight="1" x14ac:dyDescent="0.3">
      <c r="A658" s="1258" t="s">
        <v>329</v>
      </c>
      <c r="B658" s="453">
        <f>SUM(H650:H652)</f>
        <v>11.868169249247764</v>
      </c>
      <c r="C658" s="460" t="s">
        <v>225</v>
      </c>
      <c r="D658" s="460"/>
      <c r="E658" s="460"/>
      <c r="F658" s="460"/>
      <c r="G658" s="460"/>
      <c r="H658" s="460"/>
      <c r="I658" s="1259"/>
    </row>
    <row r="659" spans="1:9" ht="14.55" customHeight="1" x14ac:dyDescent="0.3">
      <c r="A659" s="1258" t="s">
        <v>330</v>
      </c>
      <c r="B659" s="453">
        <f>SUM(B645:B654)</f>
        <v>5339.1320047942609</v>
      </c>
      <c r="C659" s="460" t="s">
        <v>222</v>
      </c>
      <c r="D659" s="460"/>
      <c r="E659" s="460"/>
      <c r="F659" s="460"/>
      <c r="G659" s="460"/>
      <c r="H659" s="460"/>
      <c r="I659" s="1259"/>
    </row>
    <row r="660" spans="1:9" ht="14.55" customHeight="1" x14ac:dyDescent="0.3">
      <c r="A660" s="1258" t="s">
        <v>331</v>
      </c>
      <c r="B660" s="725">
        <v>450</v>
      </c>
      <c r="C660" s="460" t="s">
        <v>222</v>
      </c>
      <c r="D660" s="460"/>
      <c r="E660" s="460"/>
      <c r="F660" s="460"/>
      <c r="G660" s="460"/>
      <c r="H660" s="460"/>
      <c r="I660" s="1259"/>
    </row>
    <row r="661" spans="1:9" ht="15" customHeight="1" thickBot="1" x14ac:dyDescent="0.35">
      <c r="A661" s="1258"/>
      <c r="B661" s="473"/>
      <c r="C661" s="459"/>
      <c r="D661" s="460"/>
      <c r="E661" s="460"/>
      <c r="F661" s="460"/>
      <c r="G661" s="460"/>
      <c r="H661" s="460"/>
      <c r="I661" s="1259"/>
    </row>
    <row r="662" spans="1:9" ht="15" customHeight="1" thickBot="1" x14ac:dyDescent="0.35">
      <c r="A662" s="474"/>
      <c r="B662" s="1718" t="s">
        <v>332</v>
      </c>
      <c r="C662" s="1718"/>
      <c r="D662" s="1718"/>
      <c r="E662" s="1718"/>
      <c r="F662" s="1718"/>
      <c r="G662" s="475"/>
      <c r="H662" s="475"/>
      <c r="I662" s="476"/>
    </row>
    <row r="663" spans="1:9" ht="14.55" customHeight="1" x14ac:dyDescent="0.3">
      <c r="A663" s="1264"/>
      <c r="B663" s="1719" t="s">
        <v>333</v>
      </c>
      <c r="C663" s="1381" t="s">
        <v>59</v>
      </c>
      <c r="D663" s="1719" t="s">
        <v>114</v>
      </c>
      <c r="E663" s="1719" t="s">
        <v>334</v>
      </c>
      <c r="F663" s="1719" t="s">
        <v>292</v>
      </c>
      <c r="G663" s="1719" t="s">
        <v>335</v>
      </c>
      <c r="H663" s="1381" t="s">
        <v>184</v>
      </c>
      <c r="I663" s="1346" t="s">
        <v>336</v>
      </c>
    </row>
    <row r="664" spans="1:9" ht="14.55" customHeight="1" x14ac:dyDescent="0.3">
      <c r="A664" s="1264"/>
      <c r="B664" s="1720"/>
      <c r="C664" s="1442" t="s">
        <v>214</v>
      </c>
      <c r="D664" s="1720"/>
      <c r="E664" s="1720"/>
      <c r="F664" s="1720"/>
      <c r="G664" s="1720"/>
      <c r="H664" s="1442" t="s">
        <v>222</v>
      </c>
      <c r="I664" s="1443" t="s">
        <v>228</v>
      </c>
    </row>
    <row r="665" spans="1:9" ht="14.55" customHeight="1" x14ac:dyDescent="0.3">
      <c r="A665" s="1264"/>
      <c r="B665" s="1382" t="s">
        <v>337</v>
      </c>
      <c r="C665" s="728">
        <v>3</v>
      </c>
      <c r="D665" s="729">
        <v>600</v>
      </c>
      <c r="E665" s="730" t="s">
        <v>360</v>
      </c>
      <c r="F665" s="730">
        <v>2</v>
      </c>
      <c r="G665" s="730"/>
      <c r="H665" s="1465">
        <f>IFERROR(VLOOKUP($C665&amp;"F"&amp;$D665,'Flanges Chart'!$1:$1048576,MATCH($E665&amp;"."&amp;H$123,'Flanges Chart'!$1:$1,0),0),"")</f>
        <v>20.183333333333334</v>
      </c>
      <c r="I665" s="1466">
        <f>IFERROR(VLOOKUP($C665&amp;"F"&amp;$D665,'Flanges Chart'!$1:$1048576,MATCH($E665&amp;"."&amp;I$123,'Flanges Chart'!$1:$1,0),0),"")</f>
        <v>0.13439243423229516</v>
      </c>
    </row>
    <row r="666" spans="1:9" ht="14.55" customHeight="1" x14ac:dyDescent="0.3">
      <c r="A666" s="1264"/>
      <c r="B666" s="1467" t="s">
        <v>340</v>
      </c>
      <c r="C666" s="728">
        <v>2</v>
      </c>
      <c r="D666" s="729">
        <v>600</v>
      </c>
      <c r="E666" s="730" t="s">
        <v>360</v>
      </c>
      <c r="F666" s="730">
        <v>4</v>
      </c>
      <c r="G666" s="729"/>
      <c r="H666" s="1465">
        <f>IFERROR(VLOOKUP($C666&amp;"F"&amp;$D666,'Flanges Chart'!$1:$1048576,MATCH($E666&amp;"."&amp;H$123,'Flanges Chart'!$1:$1,0),0),"")</f>
        <v>10.45</v>
      </c>
      <c r="I666" s="1466">
        <f>IFERROR(VLOOKUP($C666&amp;"F"&amp;$D666,'Flanges Chart'!$1:$1048576,MATCH($E666&amp;"."&amp;I$123,'Flanges Chart'!$1:$1,0),0),"")</f>
        <v>8.2775647705728511E-2</v>
      </c>
    </row>
    <row r="667" spans="1:9" ht="14.55" customHeight="1" x14ac:dyDescent="0.3">
      <c r="A667" s="1264"/>
      <c r="B667" s="1467" t="s">
        <v>342</v>
      </c>
      <c r="C667" s="731"/>
      <c r="D667" s="729"/>
      <c r="E667" s="729"/>
      <c r="F667" s="729"/>
      <c r="G667" s="729"/>
      <c r="H667" s="1465" t="str">
        <f>IFERROR(VLOOKUP($C667&amp;"F"&amp;$D667,'Flanges Chart'!$1:$1048576,MATCH($E667&amp;"."&amp;H$123,'Flanges Chart'!$1:$1,0),0),"")</f>
        <v/>
      </c>
      <c r="I667" s="1466" t="str">
        <f>IFERROR(VLOOKUP($C667&amp;"F"&amp;$D667,'Flanges Chart'!$1:$1048576,MATCH($E667&amp;"."&amp;I$123,'Flanges Chart'!$1:$1,0),0),"")</f>
        <v/>
      </c>
    </row>
    <row r="668" spans="1:9" ht="14.55" customHeight="1" x14ac:dyDescent="0.3">
      <c r="A668" s="1264"/>
      <c r="B668" s="1467" t="s">
        <v>344</v>
      </c>
      <c r="C668" s="731"/>
      <c r="D668" s="729"/>
      <c r="E668" s="729"/>
      <c r="F668" s="729"/>
      <c r="G668" s="729"/>
      <c r="H668" s="1465" t="str">
        <f>IFERROR(VLOOKUP($C668&amp;"F"&amp;$D668,'Flanges Chart'!$1:$1048576,MATCH($E668&amp;"."&amp;H$123,'Flanges Chart'!$1:$1,0),0),"")</f>
        <v/>
      </c>
      <c r="I668" s="1466" t="str">
        <f>IFERROR(VLOOKUP($C668&amp;"F"&amp;$D668,'Flanges Chart'!$1:$1048576,MATCH($E668&amp;"."&amp;I$123,'Flanges Chart'!$1:$1,0),0),"")</f>
        <v/>
      </c>
    </row>
    <row r="669" spans="1:9" ht="14.55" customHeight="1" x14ac:dyDescent="0.3">
      <c r="A669" s="1264"/>
      <c r="B669" s="1467" t="s">
        <v>347</v>
      </c>
      <c r="C669" s="731"/>
      <c r="D669" s="729"/>
      <c r="E669" s="729"/>
      <c r="F669" s="729"/>
      <c r="G669" s="729"/>
      <c r="H669" s="1465" t="str">
        <f>IFERROR(VLOOKUP($C669&amp;"F"&amp;$D669,'Flanges Chart'!$1:$1048576,MATCH($E669&amp;"."&amp;H$123,'Flanges Chart'!$1:$1,0),0),"")</f>
        <v/>
      </c>
      <c r="I669" s="1466" t="str">
        <f>IFERROR(VLOOKUP($C669&amp;"F"&amp;$D669,'Flanges Chart'!$1:$1048576,MATCH($E669&amp;"."&amp;I$123,'Flanges Chart'!$1:$1,0),0),"")</f>
        <v/>
      </c>
    </row>
    <row r="670" spans="1:9" ht="14.55" customHeight="1" x14ac:dyDescent="0.3">
      <c r="A670" s="1264"/>
      <c r="B670" s="1467" t="s">
        <v>349</v>
      </c>
      <c r="C670" s="731"/>
      <c r="D670" s="729"/>
      <c r="E670" s="729"/>
      <c r="F670" s="729"/>
      <c r="G670" s="729"/>
      <c r="H670" s="1465" t="str">
        <f>IFERROR(VLOOKUP($C670&amp;"F"&amp;$D670,'Flanges Chart'!$1:$1048576,MATCH($E670&amp;"."&amp;H$123,'Flanges Chart'!$1:$1,0),0),"")</f>
        <v/>
      </c>
      <c r="I670" s="1466" t="str">
        <f>IFERROR(VLOOKUP($C670&amp;"F"&amp;$D670,'Flanges Chart'!$1:$1048576,MATCH($E670&amp;"."&amp;I$123,'Flanges Chart'!$1:$1,0),0),"")</f>
        <v/>
      </c>
    </row>
    <row r="671" spans="1:9" ht="14.55" customHeight="1" x14ac:dyDescent="0.3">
      <c r="A671" s="1264"/>
      <c r="B671" s="1467" t="s">
        <v>350</v>
      </c>
      <c r="C671" s="731"/>
      <c r="D671" s="729"/>
      <c r="E671" s="729"/>
      <c r="F671" s="729"/>
      <c r="G671" s="729"/>
      <c r="H671" s="1465" t="str">
        <f>IFERROR(VLOOKUP($C671&amp;"F"&amp;$D671,'Flanges Chart'!$1:$1048576,MATCH($E671&amp;"."&amp;H$123,'Flanges Chart'!$1:$1,0),0),"")</f>
        <v/>
      </c>
      <c r="I671" s="1466" t="str">
        <f>IFERROR(VLOOKUP($C671&amp;"F"&amp;$D671,'Flanges Chart'!$1:$1048576,MATCH($E671&amp;"."&amp;I$123,'Flanges Chart'!$1:$1,0),0),"")</f>
        <v/>
      </c>
    </row>
    <row r="672" spans="1:9" ht="14.55" customHeight="1" x14ac:dyDescent="0.3">
      <c r="A672" s="1264"/>
      <c r="B672" s="1467" t="s">
        <v>351</v>
      </c>
      <c r="C672" s="731"/>
      <c r="D672" s="729"/>
      <c r="E672" s="729"/>
      <c r="F672" s="729"/>
      <c r="G672" s="729"/>
      <c r="H672" s="1465" t="str">
        <f>IFERROR(VLOOKUP($C672&amp;"F"&amp;$D672,'Flanges Chart'!$1:$1048576,MATCH($E672&amp;"."&amp;H$123,'Flanges Chart'!$1:$1,0),0),"")</f>
        <v/>
      </c>
      <c r="I672" s="1466" t="str">
        <f>IFERROR(VLOOKUP($C672&amp;"F"&amp;$D672,'Flanges Chart'!$1:$1048576,MATCH($E672&amp;"."&amp;I$123,'Flanges Chart'!$1:$1,0),0),"")</f>
        <v/>
      </c>
    </row>
    <row r="673" spans="1:13" ht="14.55" customHeight="1" x14ac:dyDescent="0.3">
      <c r="A673" s="1264"/>
      <c r="B673" s="1467" t="s">
        <v>352</v>
      </c>
      <c r="C673" s="731">
        <v>10</v>
      </c>
      <c r="D673" s="729">
        <v>600</v>
      </c>
      <c r="E673" s="729" t="s">
        <v>338</v>
      </c>
      <c r="F673" s="729">
        <v>1</v>
      </c>
      <c r="G673" s="729"/>
      <c r="H673" s="1465">
        <f>IFERROR(VLOOKUP($C673&amp;"F"&amp;$D673,'Flanges Chart'!$1:$1048576,MATCH($E673&amp;"."&amp;H$123,'Flanges Chart'!$1:$1,0),0),"")</f>
        <v>86</v>
      </c>
      <c r="I673" s="1466">
        <f>IFERROR(VLOOKUP($C673&amp;"F"&amp;$D673,'Flanges Chart'!$1:$1048576,MATCH($E673&amp;"."&amp;I$123,'Flanges Chart'!$1:$1,0),0),"")</f>
        <v>0.37992693676555489</v>
      </c>
    </row>
    <row r="674" spans="1:13" ht="14.55" customHeight="1" x14ac:dyDescent="0.3">
      <c r="A674" s="1264"/>
      <c r="B674" s="1467" t="s">
        <v>353</v>
      </c>
      <c r="C674" s="731"/>
      <c r="D674" s="729"/>
      <c r="E674" s="729"/>
      <c r="F674" s="729"/>
      <c r="G674" s="729"/>
      <c r="H674" s="1465" t="str">
        <f>IFERROR(VLOOKUP($C674&amp;"F"&amp;$D674,'Flanges Chart'!$1:$1048576,MATCH($E674&amp;"."&amp;H$123,'Flanges Chart'!$1:$1,0),0),"")</f>
        <v/>
      </c>
      <c r="I674" s="1466" t="str">
        <f>IFERROR(VLOOKUP($C674&amp;"F"&amp;$D674,'Flanges Chart'!$1:$1048576,MATCH($E674&amp;"."&amp;I$123,'Flanges Chart'!$1:$1,0),0),"")</f>
        <v/>
      </c>
    </row>
    <row r="675" spans="1:13" ht="14.55" customHeight="1" x14ac:dyDescent="0.3">
      <c r="A675" s="1264"/>
      <c r="B675" s="1467" t="s">
        <v>354</v>
      </c>
      <c r="C675" s="731"/>
      <c r="D675" s="729"/>
      <c r="E675" s="729"/>
      <c r="F675" s="729"/>
      <c r="G675" s="729"/>
      <c r="H675" s="1465" t="str">
        <f>IFERROR(VLOOKUP($C675&amp;"F"&amp;$D675,'Flanges Chart'!$1:$1048576,MATCH($E675&amp;"."&amp;H$123,'Flanges Chart'!$1:$1,0),0),"")</f>
        <v/>
      </c>
      <c r="I675" s="1466" t="str">
        <f>IFERROR(VLOOKUP($C675&amp;"F"&amp;$D675,'Flanges Chart'!$1:$1048576,MATCH($E675&amp;"."&amp;I$123,'Flanges Chart'!$1:$1,0),0),"")</f>
        <v/>
      </c>
    </row>
    <row r="676" spans="1:13" ht="15" customHeight="1" thickBot="1" x14ac:dyDescent="0.35">
      <c r="A676" s="1264"/>
      <c r="B676" s="1468" t="s">
        <v>355</v>
      </c>
      <c r="C676" s="732"/>
      <c r="D676" s="733"/>
      <c r="E676" s="733"/>
      <c r="F676" s="733"/>
      <c r="G676" s="733"/>
      <c r="H676" s="1469" t="s">
        <v>356</v>
      </c>
      <c r="I676" s="1470" t="str">
        <f>IFERROR(VLOOKUP($C676&amp;"F"&amp;$D676,'Flanges Chart'!$1:$1048576,MATCH($E676&amp;"."&amp;I$123,'Flanges Chart'!$1:$1,0),0),"")</f>
        <v/>
      </c>
    </row>
    <row r="677" spans="1:13" s="496" customFormat="1" ht="18.600000000000001" thickBot="1" x14ac:dyDescent="0.35">
      <c r="A677" s="493" t="str">
        <f>"POS."&amp;K677&amp;" "&amp;VLOOKUP(K677,'Equip&amp;Mach List'!$1:$1048576,2,0)&amp;" "&amp;VLOOKUP(K677,'Equip&amp;Mach List'!$1:$1048576,3,0)</f>
        <v xml:space="preserve">POS.6  </v>
      </c>
      <c r="B677" s="511"/>
      <c r="C677" s="494"/>
      <c r="D677" s="495"/>
      <c r="E677" s="495"/>
      <c r="F677" s="497"/>
      <c r="G677" s="495"/>
      <c r="H677" s="495"/>
      <c r="I677" s="1255" t="str">
        <f>IFERROR("Weight Calc./Selected = "&amp;ROUND(B794,1)&amp;"/"&amp;B795&amp;" kg - Øi ="&amp;IF(B701=0,F701,B701)&amp;" mm"&amp;"T/T ="&amp;IF(B703=0,F703,B703)&amp;" mm - Material "&amp;B688&amp;"        ","")</f>
        <v xml:space="preserve">Weight Calc./Selected = 741/750 kg - Øi =250 mmT/T =3000 mm - Material SA-240 Gr.316L        </v>
      </c>
      <c r="K677" s="496">
        <v>6</v>
      </c>
      <c r="M677" s="1254"/>
    </row>
    <row r="678" spans="1:13" ht="14.55" customHeight="1" x14ac:dyDescent="0.3">
      <c r="A678" s="1256"/>
      <c r="B678" s="451"/>
      <c r="C678" s="451"/>
      <c r="D678" s="451"/>
      <c r="E678" s="451"/>
      <c r="F678" s="451"/>
      <c r="G678" s="451"/>
      <c r="H678" s="451"/>
      <c r="I678" s="1257"/>
      <c r="K678" s="477" t="s">
        <v>166</v>
      </c>
      <c r="L678" s="477" t="str">
        <f>K677&amp;"."&amp;K678</f>
        <v>6.Design Code</v>
      </c>
      <c r="M678" s="1252" t="str">
        <f>A679&amp;" "&amp;B679</f>
        <v>ASME VIII div.1</v>
      </c>
    </row>
    <row r="679" spans="1:13" ht="14.55" customHeight="1" x14ac:dyDescent="0.3">
      <c r="A679" s="1258" t="s">
        <v>167</v>
      </c>
      <c r="B679" s="718" t="s">
        <v>168</v>
      </c>
      <c r="C679" s="459"/>
      <c r="D679" s="460"/>
      <c r="E679" s="460"/>
      <c r="F679" s="460"/>
      <c r="G679" s="460"/>
      <c r="H679" s="460"/>
      <c r="I679" s="1259"/>
      <c r="K679" s="477" t="s">
        <v>169</v>
      </c>
      <c r="L679" s="477" t="str">
        <f>K677&amp;"."&amp;K679</f>
        <v>6.Orientation</v>
      </c>
      <c r="M679" s="1252" t="str">
        <f>B680</f>
        <v>Horizontal</v>
      </c>
    </row>
    <row r="680" spans="1:13" ht="14.55" customHeight="1" x14ac:dyDescent="0.3">
      <c r="A680" s="1258" t="s">
        <v>170</v>
      </c>
      <c r="B680" s="718" t="s">
        <v>361</v>
      </c>
      <c r="C680" s="459"/>
      <c r="D680" s="460"/>
      <c r="E680" s="460"/>
      <c r="F680" s="461"/>
      <c r="G680" s="460"/>
      <c r="H680" s="460"/>
      <c r="I680" s="1259"/>
      <c r="K680" s="477" t="s">
        <v>172</v>
      </c>
      <c r="L680" s="477" t="str">
        <f>K677&amp;"."&amp;K680</f>
        <v>6.Design Temperature</v>
      </c>
      <c r="M680" s="1252">
        <f>D683</f>
        <v>320</v>
      </c>
    </row>
    <row r="681" spans="1:13" ht="14.55" customHeight="1" x14ac:dyDescent="0.3">
      <c r="A681" s="1258"/>
      <c r="B681" s="459"/>
      <c r="C681" s="459"/>
      <c r="D681" s="460"/>
      <c r="E681" s="460"/>
      <c r="F681" s="462"/>
      <c r="G681" s="460"/>
      <c r="H681" s="460"/>
      <c r="I681" s="1259"/>
      <c r="K681" s="477" t="s">
        <v>173</v>
      </c>
      <c r="L681" s="477" t="str">
        <f>K677&amp;"."&amp;K681</f>
        <v>6.Design Pressure</v>
      </c>
      <c r="M681" s="1252">
        <f>D684</f>
        <v>36</v>
      </c>
    </row>
    <row r="682" spans="1:13" ht="14.55" customHeight="1" x14ac:dyDescent="0.3">
      <c r="A682" s="1260" t="s">
        <v>174</v>
      </c>
      <c r="B682" s="459"/>
      <c r="C682" s="459"/>
      <c r="D682" s="460"/>
      <c r="E682" s="460"/>
      <c r="F682" s="462"/>
      <c r="G682" s="460"/>
      <c r="H682" s="460"/>
      <c r="I682" s="1259"/>
      <c r="K682" s="477" t="s">
        <v>175</v>
      </c>
      <c r="L682" s="477" t="str">
        <f>K677&amp;"."&amp;K682</f>
        <v>6.Material</v>
      </c>
      <c r="M682" s="1252" t="str">
        <f>B688</f>
        <v>SA-240 Gr.316L</v>
      </c>
    </row>
    <row r="683" spans="1:13" ht="14.55" customHeight="1" x14ac:dyDescent="0.3">
      <c r="A683" s="1258" t="s">
        <v>176</v>
      </c>
      <c r="B683" s="719">
        <v>320</v>
      </c>
      <c r="C683" s="720" t="s">
        <v>177</v>
      </c>
      <c r="D683" s="464">
        <f>IF(C683="°C",B683,0)+IF(C683="°F",(B683-32)*5/9,0)</f>
        <v>320</v>
      </c>
      <c r="E683" s="460" t="s">
        <v>177</v>
      </c>
      <c r="F683" s="462"/>
      <c r="G683" s="460"/>
      <c r="H683" s="460"/>
      <c r="I683" s="1259"/>
      <c r="K683" s="477" t="s">
        <v>178</v>
      </c>
      <c r="L683" s="477" t="str">
        <f>K677&amp;"."&amp;K683</f>
        <v>6.Inside Diameter</v>
      </c>
      <c r="M683" s="1252">
        <f>IF(B701=0,F701,B701)</f>
        <v>250</v>
      </c>
    </row>
    <row r="684" spans="1:13" ht="14.55" customHeight="1" x14ac:dyDescent="0.3">
      <c r="A684" s="1258" t="s">
        <v>179</v>
      </c>
      <c r="B684" s="721">
        <v>36</v>
      </c>
      <c r="C684" s="720" t="s">
        <v>180</v>
      </c>
      <c r="D684" s="452">
        <f>IF(C684="barg",B684,0)+IF(C684="psig",B684*List!$AV$4,0)+IF(C684="MPa",B684*List!$AV$5,0)+IF(C684="N/mm2",B684*List!$AV$6,0)</f>
        <v>36</v>
      </c>
      <c r="E684" s="460" t="s">
        <v>180</v>
      </c>
      <c r="F684" s="460"/>
      <c r="G684" s="460"/>
      <c r="H684" s="460"/>
      <c r="I684" s="1259"/>
      <c r="K684" s="477" t="s">
        <v>181</v>
      </c>
      <c r="L684" s="477" t="str">
        <f>K677&amp;"."&amp;K684</f>
        <v>6.Tan / Tan</v>
      </c>
      <c r="M684" s="1252">
        <f>IF(B703=0,F703,B703)</f>
        <v>3000</v>
      </c>
    </row>
    <row r="685" spans="1:13" ht="14.55" customHeight="1" x14ac:dyDescent="0.3">
      <c r="A685" s="1258" t="s">
        <v>182</v>
      </c>
      <c r="B685" s="721">
        <v>1</v>
      </c>
      <c r="C685" s="720" t="s">
        <v>180</v>
      </c>
      <c r="D685" s="452">
        <f>IF(C685="barg",B685,0)+IF(C685="psig",B685*List!$AV$4,0)+IF(C685="MPa",B685*List!$AV$5,0)+IF(C685="N/mm2",B685*List!$AV$6,0)</f>
        <v>1</v>
      </c>
      <c r="E685" s="460" t="s">
        <v>180</v>
      </c>
      <c r="F685" s="460"/>
      <c r="G685" s="465"/>
      <c r="H685" s="460"/>
      <c r="I685" s="1259"/>
      <c r="K685" s="477" t="s">
        <v>183</v>
      </c>
      <c r="L685" s="477" t="str">
        <f>K677&amp;"."&amp;K685</f>
        <v>6.Thickness</v>
      </c>
      <c r="M685" s="1252">
        <f>IF(B742=0,F746,B742)</f>
        <v>6</v>
      </c>
    </row>
    <row r="686" spans="1:13" ht="14.55" customHeight="1" x14ac:dyDescent="0.3">
      <c r="A686" s="1258"/>
      <c r="B686" s="459"/>
      <c r="C686" s="459"/>
      <c r="D686" s="460"/>
      <c r="E686" s="460"/>
      <c r="F686" s="460"/>
      <c r="G686" s="465"/>
      <c r="H686" s="460"/>
      <c r="I686" s="1259"/>
      <c r="K686" s="477" t="s">
        <v>184</v>
      </c>
      <c r="L686" s="477" t="str">
        <f>K677&amp;"."&amp;K686</f>
        <v>6.Unit Weight</v>
      </c>
      <c r="M686" s="1252">
        <f>B795</f>
        <v>750</v>
      </c>
    </row>
    <row r="687" spans="1:13" ht="14.55" customHeight="1" x14ac:dyDescent="0.3">
      <c r="A687" s="1260" t="s">
        <v>185</v>
      </c>
      <c r="B687" s="459"/>
      <c r="C687" s="459"/>
      <c r="D687" s="460"/>
      <c r="E687" s="460"/>
      <c r="F687" s="460" t="s">
        <v>187</v>
      </c>
      <c r="G687" s="465"/>
      <c r="H687" s="460"/>
      <c r="I687" s="1259"/>
      <c r="K687" s="478" t="s">
        <v>188</v>
      </c>
      <c r="L687" s="477" t="str">
        <f>K677&amp;"."&amp;K687</f>
        <v>6.Unit External Surface</v>
      </c>
      <c r="M687" s="1252">
        <f>B791</f>
        <v>4.3924898668419265</v>
      </c>
    </row>
    <row r="688" spans="1:13" ht="14.55" customHeight="1" x14ac:dyDescent="0.3">
      <c r="A688" s="1258" t="s">
        <v>189</v>
      </c>
      <c r="B688" s="1716" t="s">
        <v>190</v>
      </c>
      <c r="C688" s="1717"/>
      <c r="D688" s="460"/>
      <c r="E688" s="461"/>
      <c r="F688" s="1716"/>
      <c r="G688" s="1717"/>
      <c r="H688" s="460"/>
      <c r="I688" s="1259"/>
      <c r="K688" s="477" t="s">
        <v>191</v>
      </c>
      <c r="L688" s="477" t="str">
        <f>K677&amp;"."&amp;K688</f>
        <v>6.M1 DN</v>
      </c>
      <c r="M688" s="1252">
        <f>C809</f>
        <v>0</v>
      </c>
    </row>
    <row r="689" spans="1:13" ht="14.55" customHeight="1" x14ac:dyDescent="0.3">
      <c r="A689" s="1258" t="s">
        <v>192</v>
      </c>
      <c r="B689" s="1716" t="s">
        <v>190</v>
      </c>
      <c r="C689" s="1717"/>
      <c r="D689" s="460"/>
      <c r="E689" s="461"/>
      <c r="F689" s="1716"/>
      <c r="G689" s="1717"/>
      <c r="H689" s="460"/>
      <c r="I689" s="1259"/>
      <c r="K689" s="477" t="s">
        <v>193</v>
      </c>
      <c r="L689" s="477" t="str">
        <f>K677&amp;"."&amp;K689</f>
        <v>6.M1 Rating</v>
      </c>
      <c r="M689" s="1252">
        <f>D809</f>
        <v>0</v>
      </c>
    </row>
    <row r="690" spans="1:13" ht="14.55" customHeight="1" x14ac:dyDescent="0.3">
      <c r="A690" s="1258"/>
      <c r="B690" s="466"/>
      <c r="C690" s="466"/>
      <c r="D690" s="460"/>
      <c r="E690" s="460"/>
      <c r="F690" s="460"/>
      <c r="G690" s="460"/>
      <c r="H690" s="460"/>
      <c r="I690" s="1259"/>
      <c r="K690" s="477" t="s">
        <v>194</v>
      </c>
      <c r="L690" s="477" t="str">
        <f>K677&amp;"."&amp;K690</f>
        <v>6.M1 Type</v>
      </c>
      <c r="M690" s="1252">
        <f>E809</f>
        <v>0</v>
      </c>
    </row>
    <row r="691" spans="1:13" ht="14.55" customHeight="1" x14ac:dyDescent="0.3">
      <c r="A691" s="1258" t="s">
        <v>195</v>
      </c>
      <c r="B691" s="460"/>
      <c r="C691" s="460"/>
      <c r="D691" s="460"/>
      <c r="E691" s="460"/>
      <c r="F691" s="460"/>
      <c r="G691" s="460"/>
      <c r="H691" s="460"/>
      <c r="I691" s="1259"/>
      <c r="K691" s="477" t="s">
        <v>196</v>
      </c>
      <c r="L691" s="477" t="str">
        <f>K677&amp;"."&amp;K691</f>
        <v>6.M1 Quantity</v>
      </c>
      <c r="M691" s="1252">
        <f>F809</f>
        <v>0</v>
      </c>
    </row>
    <row r="692" spans="1:13" ht="14.55" customHeight="1" x14ac:dyDescent="0.3">
      <c r="A692" s="1258" t="s">
        <v>197</v>
      </c>
      <c r="B692" s="464">
        <f>$D683*(VLOOKUP($B688,'ASME II Tab 1A'!$1:$1048576,MATCH($D683,'ASME II Tab 1A'!$6:$6,1)+1,0)-VLOOKUP($B688,'ASME II Tab 1A'!$1:$1048576,MATCH($D683,'ASME II Tab 1A'!$6:$6,1),0))/(INDEX('ASME II Tab 1A'!$6:$6,MATCH($D683,'ASME II Tab 1A'!$6:$6,1)+1)-INDEX('ASME II Tab 1A'!$6:$6,MATCH($D683,'ASME II Tab 1A'!$6:$6,1)))+VLOOKUP($B688,'ASME II Tab 1A'!$1:$1048576,MATCH($D683,'ASME II Tab 1A'!$6:$6,1)+1,0)-INDEX('ASME II Tab 1A'!$6:$6,MATCH($D683,'ASME II Tab 1A'!$6:$6,1)+1)*(VLOOKUP($B688,'ASME II Tab 1A'!$1:$1048576,MATCH($D683,'ASME II Tab 1A'!$6:$6,1)+1,0)-VLOOKUP($B688,'ASME II Tab 1A'!$1:$1048576,MATCH($D683,'ASME II Tab 1A'!$6:$6,1),0))/(INDEX('ASME II Tab 1A'!$6:$6,MATCH($D683,'ASME II Tab 1A'!$6:$6,1)+1)-INDEX('ASME II Tab 1A'!$6:$6,MATCH($D683,'ASME II Tab 1A'!$6:$6,1)))</f>
        <v>96.160000000000011</v>
      </c>
      <c r="C692" s="460" t="s">
        <v>198</v>
      </c>
      <c r="D692" s="460"/>
      <c r="E692" s="467"/>
      <c r="F692" s="460" t="e">
        <f>$D683*(VLOOKUP($F688,'ASME II Tab 1A'!$1:$1048576,MATCH($D683,'ASME II Tab 1A'!$6:$6,1)+1,0)-VLOOKUP($F688,'ASME II Tab 1A'!$1:$1048576,MATCH($D683,'ASME II Tab 1A'!$6:$6,1),0))/(INDEX('ASME II Tab 1A'!$6:$6,MATCH($D683,'ASME II Tab 1A'!$6:$6,1)+1)-INDEX('ASME II Tab 1A'!$6:$6,MATCH($D683,'ASME II Tab 1A'!$6:$6,1)))+VLOOKUP($F688,'ASME II Tab 1A'!$1:$1048576,MATCH($D683,'ASME II Tab 1A'!$6:$6,1)+1,0)-INDEX('ASME II Tab 1A'!$6:$6,MATCH($D683,'ASME II Tab 1A'!$6:$6,1)+1)*(VLOOKUP($F688,'ASME II Tab 1A'!$1:$1048576,MATCH($D683,'ASME II Tab 1A'!$6:$6,1)+1,0)-VLOOKUP($F688,'ASME II Tab 1A'!$1:$1048576,MATCH($D683,'ASME II Tab 1A'!$6:$6,1),0))/(INDEX('ASME II Tab 1A'!$6:$6,MATCH($D683,'ASME II Tab 1A'!$6:$6,1)+1)-INDEX('ASME II Tab 1A'!$6:$6,MATCH($D683,'ASME II Tab 1A'!$6:$6,1)))</f>
        <v>#N/A</v>
      </c>
      <c r="G692" s="460" t="s">
        <v>198</v>
      </c>
      <c r="H692" s="460"/>
      <c r="I692" s="1259"/>
      <c r="K692" s="477" t="s">
        <v>199</v>
      </c>
      <c r="L692" s="477" t="str">
        <f>K677&amp;"."&amp;K692</f>
        <v>6.M2 DN</v>
      </c>
      <c r="M692" s="1252">
        <f>C810</f>
        <v>0</v>
      </c>
    </row>
    <row r="693" spans="1:13" ht="14.55" customHeight="1" x14ac:dyDescent="0.3">
      <c r="A693" s="1258" t="s">
        <v>200</v>
      </c>
      <c r="B693" s="464">
        <f>$D683*(VLOOKUP($B689,'ASME II Tab 1A'!$1:$1048576,MATCH($D683,'ASME II Tab 1A'!$6:$6,1)+1,0)-VLOOKUP($B689,'ASME II Tab 1A'!$1:$1048576,MATCH($D683,'ASME II Tab 1A'!$6:$6,1),0))/(INDEX('ASME II Tab 1A'!$6:$6,MATCH($D683,'ASME II Tab 1A'!$6:$6,1)+1)-INDEX('ASME II Tab 1A'!$6:$6,MATCH($D683,'ASME II Tab 1A'!$6:$6,1)))+VLOOKUP($B689,'ASME II Tab 1A'!$1:$1048576,MATCH($D683,'ASME II Tab 1A'!$6:$6,1)+1,0)-INDEX('ASME II Tab 1A'!$6:$6,MATCH($D683,'ASME II Tab 1A'!$6:$6,1)+1)*(VLOOKUP($B689,'ASME II Tab 1A'!$1:$1048576,MATCH($D683,'ASME II Tab 1A'!$6:$6,1)+1,0)-VLOOKUP($B689,'ASME II Tab 1A'!$1:$1048576,MATCH($D683,'ASME II Tab 1A'!$6:$6,1),0))/(INDEX('ASME II Tab 1A'!$6:$6,MATCH($D683,'ASME II Tab 1A'!$6:$6,1)+1)-INDEX('ASME II Tab 1A'!$6:$6,MATCH($D683,'ASME II Tab 1A'!$6:$6,1)))</f>
        <v>96.160000000000011</v>
      </c>
      <c r="C693" s="460" t="s">
        <v>198</v>
      </c>
      <c r="D693" s="460"/>
      <c r="E693" s="460"/>
      <c r="F693" s="460" t="e">
        <f>$D683*(VLOOKUP($F689,'ASME II Tab 1A'!$1:$1048576,MATCH($D683,'ASME II Tab 1A'!$6:$6,1)+1,0)-VLOOKUP($F689,'ASME II Tab 1A'!$1:$1048576,MATCH($D683,'ASME II Tab 1A'!$6:$6,1),0))/(INDEX('ASME II Tab 1A'!$6:$6,MATCH($D683,'ASME II Tab 1A'!$6:$6,1)+1)-INDEX('ASME II Tab 1A'!$6:$6,MATCH($D683,'ASME II Tab 1A'!$6:$6,1)))+VLOOKUP($F689,'ASME II Tab 1A'!$1:$1048576,MATCH($D683,'ASME II Tab 1A'!$6:$6,1)+1,0)-INDEX('ASME II Tab 1A'!$6:$6,MATCH($D683,'ASME II Tab 1A'!$6:$6,1)+1)*(VLOOKUP($F689,'ASME II Tab 1A'!$1:$1048576,MATCH($D683,'ASME II Tab 1A'!$6:$6,1)+1,0)-VLOOKUP($F689,'ASME II Tab 1A'!$1:$1048576,MATCH($D683,'ASME II Tab 1A'!$6:$6,1),0))/(INDEX('ASME II Tab 1A'!$6:$6,MATCH($D683,'ASME II Tab 1A'!$6:$6,1)+1)-INDEX('ASME II Tab 1A'!$6:$6,MATCH($D683,'ASME II Tab 1A'!$6:$6,1)))</f>
        <v>#N/A</v>
      </c>
      <c r="G693" s="460" t="s">
        <v>198</v>
      </c>
      <c r="H693" s="460"/>
      <c r="I693" s="1259"/>
      <c r="K693" s="477" t="s">
        <v>201</v>
      </c>
      <c r="L693" s="477" t="str">
        <f>K677&amp;"."&amp;K693</f>
        <v>6.M2 Rating</v>
      </c>
      <c r="M693" s="1252">
        <f>D810</f>
        <v>0</v>
      </c>
    </row>
    <row r="694" spans="1:13" ht="14.55" customHeight="1" x14ac:dyDescent="0.3">
      <c r="A694" s="1258" t="s">
        <v>202</v>
      </c>
      <c r="B694" s="460"/>
      <c r="C694" s="460"/>
      <c r="D694" s="460"/>
      <c r="E694" s="460"/>
      <c r="F694" s="460"/>
      <c r="G694" s="460"/>
      <c r="H694" s="460"/>
      <c r="I694" s="1259"/>
      <c r="K694" s="477" t="s">
        <v>203</v>
      </c>
      <c r="L694" s="477" t="str">
        <f>K677&amp;"."&amp;K694</f>
        <v>6.M2 Type</v>
      </c>
      <c r="M694" s="1252">
        <f>E810</f>
        <v>0</v>
      </c>
    </row>
    <row r="695" spans="1:13" ht="14.55" customHeight="1" x14ac:dyDescent="0.3">
      <c r="A695" s="1258" t="s">
        <v>197</v>
      </c>
      <c r="B695" s="464">
        <f>$D683*(VLOOKUP($B688,'ASME II Tab 5A'!$1:$1048576,MATCH($D683,'ASME II Tab 5A'!$5:$5,1)+1,0)-VLOOKUP($B688,'ASME II Tab 5A'!$1:$1048576,MATCH($D683,'ASME II Tab 5A'!$5:$5,1),0))/(INDEX('ASME II Tab 5A'!$5:$5,MATCH($D683,'ASME II Tab 5A'!$5:$5,1)+1)-INDEX('ASME II Tab 5A'!$5:$5,MATCH($D683,'ASME II Tab 5A'!$5:$5,1)))+VLOOKUP($B688,'ASME II Tab 5A'!$1:$1048576,MATCH($D683,'ASME II Tab 5A'!$5:$5,1)+1,0)-INDEX('ASME II Tab 5A'!$5:$5,MATCH($D683,'ASME II Tab 5A'!$5:$5,1)+1)*(VLOOKUP($B688,'ASME II Tab 5A'!$1:$1048576,MATCH($D683,'ASME II Tab 5A'!$5:$5,1)+1,0)-VLOOKUP($B688,'ASME II Tab 5A'!$1:$1048576,MATCH($D683,'ASME II Tab 5A'!$5:$5,1),0))/(INDEX('ASME II Tab 5A'!$5:$5,MATCH($D683,'ASME II Tab 5A'!$5:$5,1)+1)-INDEX('ASME II Tab 5A'!$5:$5,MATCH($D683,'ASME II Tab 5A'!$5:$5,1)))</f>
        <v>96.5</v>
      </c>
      <c r="C695" s="460" t="s">
        <v>198</v>
      </c>
      <c r="D695" s="460"/>
      <c r="E695" s="460"/>
      <c r="F695" s="460" t="e">
        <f>$D683*(VLOOKUP($F688,'ASME II Tab 5A'!$1:$1048576,MATCH($D683,'ASME II Tab 5A'!$5:$5,1)+1,0)-VLOOKUP($F688,'ASME II Tab 5A'!$1:$1048576,MATCH($D683,'ASME II Tab 5A'!$5:$5,1),0))/(INDEX('ASME II Tab 5A'!$5:$5,MATCH($D683,'ASME II Tab 5A'!$5:$5,1)+1)-INDEX('ASME II Tab 5A'!$5:$5,MATCH($D683,'ASME II Tab 5A'!$5:$5,1)))+VLOOKUP($F688,'ASME II Tab 5A'!$1:$1048576,MATCH($D683,'ASME II Tab 5A'!$5:$5,1)+1,0)-INDEX('ASME II Tab 5A'!$5:$5,MATCH($D683,'ASME II Tab 5A'!$5:$5,1)+1)*(VLOOKUP($F688,'ASME II Tab 5A'!$1:$1048576,MATCH($D683,'ASME II Tab 5A'!$5:$5,1)+1,0)-VLOOKUP($F688,'ASME II Tab 5A'!$1:$1048576,MATCH($D683,'ASME II Tab 5A'!$5:$5,1),0))/(INDEX('ASME II Tab 5A'!$5:$5,MATCH($D683,'ASME II Tab 5A'!$5:$5,1)+1)-INDEX('ASME II Tab 5A'!$5:$5,MATCH($D683,'ASME II Tab 5A'!$5:$5,1)))</f>
        <v>#N/A</v>
      </c>
      <c r="G695" s="460" t="s">
        <v>198</v>
      </c>
      <c r="H695" s="460"/>
      <c r="I695" s="1259"/>
      <c r="K695" s="477" t="s">
        <v>204</v>
      </c>
      <c r="L695" s="477" t="str">
        <f>K677&amp;"."&amp;K695</f>
        <v>6.M2 Quantity</v>
      </c>
      <c r="M695" s="1252">
        <f>F810</f>
        <v>0</v>
      </c>
    </row>
    <row r="696" spans="1:13" ht="14.55" customHeight="1" x14ac:dyDescent="0.3">
      <c r="A696" s="1258" t="s">
        <v>200</v>
      </c>
      <c r="B696" s="464">
        <f>$D683*(VLOOKUP($B689,'ASME II Tab 5A'!$1:$1048576,MATCH($D683,'ASME II Tab 5A'!$5:$5,1)+1,0)-VLOOKUP($B689,'ASME II Tab 5A'!$1:$1048576,MATCH($D683,'ASME II Tab 5A'!$5:$5,1),0))/(INDEX('ASME II Tab 5A'!$5:$5,MATCH($D683,'ASME II Tab 5A'!$5:$5,1)+1)-INDEX('ASME II Tab 5A'!$5:$5,MATCH($D683,'ASME II Tab 5A'!$5:$5,1)))+VLOOKUP($B689,'ASME II Tab 5A'!$1:$1048576,MATCH($D683,'ASME II Tab 5A'!$5:$5,1)+1,0)-INDEX('ASME II Tab 5A'!$5:$5,MATCH($D683,'ASME II Tab 5A'!$5:$5,1)+1)*(VLOOKUP($B689,'ASME II Tab 5A'!$1:$1048576,MATCH($D683,'ASME II Tab 5A'!$5:$5,1)+1,0)-VLOOKUP($B689,'ASME II Tab 5A'!$1:$1048576,MATCH($D683,'ASME II Tab 5A'!$5:$5,1),0))/(INDEX('ASME II Tab 5A'!$5:$5,MATCH($D683,'ASME II Tab 5A'!$5:$5,1)+1)-INDEX('ASME II Tab 5A'!$5:$5,MATCH($D683,'ASME II Tab 5A'!$5:$5,1)))</f>
        <v>96.5</v>
      </c>
      <c r="C696" s="460" t="s">
        <v>198</v>
      </c>
      <c r="D696" s="460"/>
      <c r="E696" s="460"/>
      <c r="F696" s="460" t="e">
        <f>$D683*(VLOOKUP($F689,'ASME II Tab 5A'!$1:$1048576,MATCH($D683,'ASME II Tab 5A'!$5:$5,1)+1,0)-VLOOKUP($F689,'ASME II Tab 5A'!$1:$1048576,MATCH($D683,'ASME II Tab 5A'!$5:$5,1),0))/(INDEX('ASME II Tab 5A'!$5:$5,MATCH($D683,'ASME II Tab 5A'!$5:$5,1)+1)-INDEX('ASME II Tab 5A'!$5:$5,MATCH($D683,'ASME II Tab 5A'!$5:$5,1)))+VLOOKUP($F689,'ASME II Tab 5A'!$1:$1048576,MATCH($D683,'ASME II Tab 5A'!$5:$5,1)+1,0)-INDEX('ASME II Tab 5A'!$5:$5,MATCH($D683,'ASME II Tab 5A'!$5:$5,1)+1)*(VLOOKUP($F689,'ASME II Tab 5A'!$1:$1048576,MATCH($D683,'ASME II Tab 5A'!$5:$5,1)+1,0)-VLOOKUP($F689,'ASME II Tab 5A'!$1:$1048576,MATCH($D683,'ASME II Tab 5A'!$5:$5,1),0))/(INDEX('ASME II Tab 5A'!$5:$5,MATCH($D683,'ASME II Tab 5A'!$5:$5,1)+1)-INDEX('ASME II Tab 5A'!$5:$5,MATCH($D683,'ASME II Tab 5A'!$5:$5,1)))</f>
        <v>#N/A</v>
      </c>
      <c r="G696" s="460" t="s">
        <v>198</v>
      </c>
      <c r="H696" s="460"/>
      <c r="I696" s="1259"/>
      <c r="K696" s="477" t="s">
        <v>205</v>
      </c>
      <c r="L696" s="477" t="str">
        <f>K677&amp;"."&amp;K696</f>
        <v>6.M3 DN</v>
      </c>
      <c r="M696" s="1252">
        <f>C811</f>
        <v>0</v>
      </c>
    </row>
    <row r="697" spans="1:13" ht="14.55" customHeight="1" x14ac:dyDescent="0.3">
      <c r="A697" s="1258"/>
      <c r="B697" s="460"/>
      <c r="C697" s="460"/>
      <c r="D697" s="460"/>
      <c r="E697" s="460"/>
      <c r="F697" s="460"/>
      <c r="G697" s="460"/>
      <c r="H697" s="460"/>
      <c r="I697" s="1259"/>
      <c r="K697" s="477" t="s">
        <v>206</v>
      </c>
      <c r="L697" s="477" t="str">
        <f>K677&amp;"."&amp;K697</f>
        <v>6.M3 Rating</v>
      </c>
      <c r="M697" s="1252">
        <f>D811</f>
        <v>0</v>
      </c>
    </row>
    <row r="698" spans="1:13" ht="14.55" customHeight="1" x14ac:dyDescent="0.3">
      <c r="A698" s="1260" t="s">
        <v>207</v>
      </c>
      <c r="B698" s="453"/>
      <c r="C698" s="460"/>
      <c r="D698" s="453"/>
      <c r="E698" s="460"/>
      <c r="F698" s="453"/>
      <c r="G698" s="460"/>
      <c r="H698" s="460"/>
      <c r="I698" s="1259"/>
      <c r="K698" s="477" t="s">
        <v>208</v>
      </c>
      <c r="L698" s="477" t="str">
        <f>K677&amp;"."&amp;K698</f>
        <v>6.M3 Type</v>
      </c>
      <c r="M698" s="1252">
        <f>E811</f>
        <v>0</v>
      </c>
    </row>
    <row r="699" spans="1:13" ht="14.55" customHeight="1" x14ac:dyDescent="0.3">
      <c r="A699" s="1260"/>
      <c r="B699" s="305" t="s">
        <v>209</v>
      </c>
      <c r="C699" s="460"/>
      <c r="D699" s="305" t="s">
        <v>210</v>
      </c>
      <c r="E699" s="460"/>
      <c r="F699" s="305" t="s">
        <v>211</v>
      </c>
      <c r="G699" s="460"/>
      <c r="H699" s="460"/>
      <c r="I699" s="1259"/>
      <c r="K699" s="477" t="s">
        <v>212</v>
      </c>
      <c r="L699" s="477" t="str">
        <f>K677&amp;"."&amp;K699</f>
        <v>6.M3 Quantity</v>
      </c>
      <c r="M699" s="1252">
        <f>F811</f>
        <v>0</v>
      </c>
    </row>
    <row r="700" spans="1:13" ht="14.55" customHeight="1" x14ac:dyDescent="0.3">
      <c r="A700" s="1258" t="s">
        <v>213</v>
      </c>
      <c r="B700" s="305"/>
      <c r="C700" s="460"/>
      <c r="D700" s="305"/>
      <c r="E700" s="460"/>
      <c r="F700" s="723"/>
      <c r="G700" s="460" t="s">
        <v>214</v>
      </c>
      <c r="H700" s="460"/>
      <c r="I700" s="1259"/>
      <c r="K700" s="477" t="s">
        <v>215</v>
      </c>
      <c r="L700" s="477" t="str">
        <f>K677&amp;"."&amp;K700</f>
        <v>6.Shell insulation thk 1</v>
      </c>
      <c r="M700" s="1252">
        <f>B748</f>
        <v>0</v>
      </c>
    </row>
    <row r="701" spans="1:13" ht="14.55" customHeight="1" x14ac:dyDescent="0.3">
      <c r="A701" s="1258" t="s">
        <v>216</v>
      </c>
      <c r="B701" s="722">
        <v>250</v>
      </c>
      <c r="C701" s="460" t="s">
        <v>93</v>
      </c>
      <c r="D701" s="722"/>
      <c r="E701" s="460" t="s">
        <v>93</v>
      </c>
      <c r="F701" s="468">
        <f>F702-2*F746</f>
        <v>0</v>
      </c>
      <c r="G701" s="460" t="s">
        <v>93</v>
      </c>
      <c r="H701" s="460"/>
      <c r="I701" s="1259"/>
      <c r="K701" s="477" t="s">
        <v>217</v>
      </c>
      <c r="L701" s="477" t="str">
        <f>K677&amp;"."&amp;K701</f>
        <v>6.Head insulation thk 1</v>
      </c>
      <c r="M701" s="1252">
        <f>B749</f>
        <v>0</v>
      </c>
    </row>
    <row r="702" spans="1:13" ht="14.55" customHeight="1" x14ac:dyDescent="0.3">
      <c r="A702" s="1258" t="s">
        <v>218</v>
      </c>
      <c r="B702" s="468">
        <f>B701+B742*2</f>
        <v>262</v>
      </c>
      <c r="C702" s="460" t="s">
        <v>93</v>
      </c>
      <c r="D702" s="468">
        <f>D701+D742*2</f>
        <v>0</v>
      </c>
      <c r="E702" s="460" t="s">
        <v>93</v>
      </c>
      <c r="F702" s="468">
        <f>IFERROR(VLOOKUP(F700,'Thickness Tab'!$1:$1048576,3,0),0)</f>
        <v>0</v>
      </c>
      <c r="G702" s="460" t="s">
        <v>93</v>
      </c>
      <c r="H702" s="469"/>
      <c r="I702" s="1261"/>
      <c r="K702" s="477" t="s">
        <v>219</v>
      </c>
      <c r="L702" s="477" t="str">
        <f>K677&amp;"."&amp;K702</f>
        <v>6.Reducer insulation thk 1</v>
      </c>
      <c r="M702" s="1252">
        <f>B750</f>
        <v>0</v>
      </c>
    </row>
    <row r="703" spans="1:13" ht="14.55" customHeight="1" x14ac:dyDescent="0.3">
      <c r="A703" s="1258" t="s">
        <v>181</v>
      </c>
      <c r="B703" s="722">
        <v>3000</v>
      </c>
      <c r="C703" s="460" t="s">
        <v>93</v>
      </c>
      <c r="D703" s="722"/>
      <c r="E703" s="460" t="s">
        <v>93</v>
      </c>
      <c r="F703" s="722"/>
      <c r="G703" s="460" t="s">
        <v>93</v>
      </c>
      <c r="H703" s="460"/>
      <c r="I703" s="1259"/>
      <c r="K703" s="477" t="s">
        <v>220</v>
      </c>
      <c r="L703" s="477" t="str">
        <f>K677&amp;"."&amp;K703</f>
        <v>6.Shell insulation area 1</v>
      </c>
      <c r="M703" s="1252">
        <f>B708</f>
        <v>2.4680399999999998</v>
      </c>
    </row>
    <row r="704" spans="1:13" ht="14.55" customHeight="1" x14ac:dyDescent="0.3">
      <c r="A704" s="1258" t="s">
        <v>221</v>
      </c>
      <c r="B704" s="468">
        <f>(PI()*B703*(((B702/2)^2)-((B701/2)^2))*7860)/1000000000*1.05</f>
        <v>119.4742156957128</v>
      </c>
      <c r="C704" s="460" t="s">
        <v>222</v>
      </c>
      <c r="D704" s="468">
        <f>(PI()*D703*(((D702/2)^2)-((D701/2)^2))*7860)/1000000000*1.05</f>
        <v>0</v>
      </c>
      <c r="E704" s="460" t="s">
        <v>222</v>
      </c>
      <c r="F704" s="468">
        <f>(PI()*F703*(((F702/2)^2)-((F701/2)^2))*7860)/1000000000*1.05</f>
        <v>0</v>
      </c>
      <c r="G704" s="460" t="s">
        <v>222</v>
      </c>
      <c r="H704" s="469"/>
      <c r="I704" s="1261"/>
      <c r="K704" s="477" t="s">
        <v>223</v>
      </c>
      <c r="L704" s="477" t="str">
        <f>K677&amp;"."&amp;K704</f>
        <v>6.Head insulation area 1</v>
      </c>
      <c r="M704" s="1252">
        <f>B720</f>
        <v>0.13615354000000002</v>
      </c>
    </row>
    <row r="705" spans="1:13" ht="14.55" customHeight="1" x14ac:dyDescent="0.3">
      <c r="A705" s="1258" t="s">
        <v>224</v>
      </c>
      <c r="B705" s="468">
        <f>(PI()*((B701/2)^2)*B703)/1000000000</f>
        <v>0.14726215563702155</v>
      </c>
      <c r="C705" s="460" t="s">
        <v>225</v>
      </c>
      <c r="D705" s="468">
        <f>(PI()*((D701/2)^2)*D703)/1000000000</f>
        <v>0</v>
      </c>
      <c r="E705" s="460" t="s">
        <v>225</v>
      </c>
      <c r="F705" s="468">
        <f>(PI()*((F701/2)^2)*F703)/1000000000</f>
        <v>0</v>
      </c>
      <c r="G705" s="460" t="s">
        <v>225</v>
      </c>
      <c r="H705" s="469"/>
      <c r="I705" s="1261"/>
      <c r="K705" s="477" t="s">
        <v>226</v>
      </c>
      <c r="L705" s="477" t="str">
        <f>K677&amp;"."&amp;K705</f>
        <v>6.Reducer insulation area 1</v>
      </c>
      <c r="M705" s="1252">
        <f>B733</f>
        <v>0</v>
      </c>
    </row>
    <row r="706" spans="1:13" ht="14.55" customHeight="1" x14ac:dyDescent="0.3">
      <c r="A706" s="1258" t="s">
        <v>227</v>
      </c>
      <c r="B706" s="468">
        <f>(B702*3.14*B703)/1000000</f>
        <v>2.4680399999999998</v>
      </c>
      <c r="C706" s="460" t="s">
        <v>228</v>
      </c>
      <c r="D706" s="468">
        <f>(D702*3.14*D703)/1000000</f>
        <v>0</v>
      </c>
      <c r="E706" s="460" t="s">
        <v>228</v>
      </c>
      <c r="F706" s="468">
        <f>(F702*3.14*F703)/1000000</f>
        <v>0</v>
      </c>
      <c r="G706" s="460" t="s">
        <v>228</v>
      </c>
      <c r="H706" s="469"/>
      <c r="I706" s="1261"/>
      <c r="K706" s="477" t="s">
        <v>229</v>
      </c>
      <c r="L706" s="477" t="str">
        <f>K677&amp;"."&amp;K706</f>
        <v>6.Shell insulation thk 2</v>
      </c>
      <c r="M706" s="1252">
        <f>D748</f>
        <v>0</v>
      </c>
    </row>
    <row r="707" spans="1:13" ht="14.55" customHeight="1" x14ac:dyDescent="0.3">
      <c r="A707" s="1258" t="s">
        <v>230</v>
      </c>
      <c r="B707" s="468">
        <f>B702+2*B748</f>
        <v>262</v>
      </c>
      <c r="C707" s="460" t="s">
        <v>93</v>
      </c>
      <c r="D707" s="468">
        <f>D702+2*D748</f>
        <v>0</v>
      </c>
      <c r="E707" s="460" t="s">
        <v>93</v>
      </c>
      <c r="F707" s="468">
        <f>F702+2*F748</f>
        <v>0</v>
      </c>
      <c r="G707" s="460" t="s">
        <v>93</v>
      </c>
      <c r="H707" s="469"/>
      <c r="I707" s="1261"/>
      <c r="K707" s="477" t="s">
        <v>231</v>
      </c>
      <c r="L707" s="477" t="str">
        <f>K677&amp;"."&amp;K707</f>
        <v>6.Head insulation thk 2</v>
      </c>
      <c r="M707" s="1252">
        <f>D749</f>
        <v>0</v>
      </c>
    </row>
    <row r="708" spans="1:13" ht="14.55" customHeight="1" x14ac:dyDescent="0.3">
      <c r="A708" s="1258" t="s">
        <v>232</v>
      </c>
      <c r="B708" s="468">
        <f>(B707*3.14*B703)/1000000</f>
        <v>2.4680399999999998</v>
      </c>
      <c r="C708" s="460" t="s">
        <v>228</v>
      </c>
      <c r="D708" s="468">
        <f>(D707*3.14*D703)/1000000</f>
        <v>0</v>
      </c>
      <c r="E708" s="460" t="s">
        <v>228</v>
      </c>
      <c r="F708" s="468">
        <f>(F707*3.14*F703)/1000000</f>
        <v>0</v>
      </c>
      <c r="G708" s="460" t="s">
        <v>228</v>
      </c>
      <c r="H708" s="469"/>
      <c r="I708" s="1261"/>
      <c r="K708" s="477" t="s">
        <v>233</v>
      </c>
      <c r="L708" s="477" t="str">
        <f>K677&amp;"."&amp;K708</f>
        <v>6.Reducer insulation thk 2</v>
      </c>
      <c r="M708" s="1252">
        <f>D750</f>
        <v>0</v>
      </c>
    </row>
    <row r="709" spans="1:13" ht="14.55" customHeight="1" x14ac:dyDescent="0.3">
      <c r="A709" s="1258"/>
      <c r="B709" s="468"/>
      <c r="C709" s="460"/>
      <c r="D709" s="468"/>
      <c r="E709" s="460"/>
      <c r="F709" s="468"/>
      <c r="G709" s="460"/>
      <c r="H709" s="469"/>
      <c r="I709" s="1261"/>
      <c r="K709" s="477" t="s">
        <v>234</v>
      </c>
      <c r="L709" s="477" t="str">
        <f>K677&amp;"."&amp;K709</f>
        <v>6.Shell insulation area 2</v>
      </c>
      <c r="M709" s="1252">
        <f>D708</f>
        <v>0</v>
      </c>
    </row>
    <row r="710" spans="1:13" ht="14.55" customHeight="1" x14ac:dyDescent="0.3">
      <c r="A710" s="1258"/>
      <c r="B710" s="468" t="s">
        <v>235</v>
      </c>
      <c r="C710" s="460"/>
      <c r="D710" s="468" t="s">
        <v>236</v>
      </c>
      <c r="E710" s="460"/>
      <c r="F710" s="468" t="s">
        <v>237</v>
      </c>
      <c r="G710" s="460"/>
      <c r="H710" s="469"/>
      <c r="I710" s="1261"/>
      <c r="K710" s="477" t="s">
        <v>238</v>
      </c>
      <c r="L710" s="477" t="str">
        <f>K677&amp;"."&amp;K710</f>
        <v>6.Head insulation area 2</v>
      </c>
      <c r="M710" s="1252">
        <f>D720</f>
        <v>0</v>
      </c>
    </row>
    <row r="711" spans="1:13" ht="14.55" customHeight="1" x14ac:dyDescent="0.3">
      <c r="A711" s="1258" t="s">
        <v>239</v>
      </c>
      <c r="B711" s="468">
        <f>B701</f>
        <v>250</v>
      </c>
      <c r="C711" s="460" t="s">
        <v>93</v>
      </c>
      <c r="D711" s="468">
        <f>D701</f>
        <v>0</v>
      </c>
      <c r="E711" s="460" t="s">
        <v>93</v>
      </c>
      <c r="F711" s="468">
        <f>F701</f>
        <v>0</v>
      </c>
      <c r="G711" s="460" t="s">
        <v>93</v>
      </c>
      <c r="H711" s="469"/>
      <c r="I711" s="1261"/>
      <c r="K711" s="477" t="s">
        <v>240</v>
      </c>
      <c r="L711" s="477" t="str">
        <f>K677&amp;"."&amp;K711</f>
        <v>6.Reducer insulation area 2</v>
      </c>
      <c r="M711" s="1252">
        <f>D733</f>
        <v>0</v>
      </c>
    </row>
    <row r="712" spans="1:13" ht="14.55" customHeight="1" x14ac:dyDescent="0.3">
      <c r="A712" s="1258" t="s">
        <v>241</v>
      </c>
      <c r="B712" s="468">
        <f>B711+2*B743</f>
        <v>262</v>
      </c>
      <c r="C712" s="460" t="s">
        <v>93</v>
      </c>
      <c r="D712" s="468">
        <f>D711+2*D743</f>
        <v>0</v>
      </c>
      <c r="E712" s="460" t="s">
        <v>93</v>
      </c>
      <c r="F712" s="468">
        <f>F711+2*F746</f>
        <v>0</v>
      </c>
      <c r="G712" s="460" t="s">
        <v>93</v>
      </c>
      <c r="H712" s="469"/>
      <c r="I712" s="1261"/>
      <c r="K712" s="477" t="s">
        <v>242</v>
      </c>
      <c r="L712" s="477" t="str">
        <f>K677&amp;"."&amp;K712</f>
        <v>6.Shell insulation thk 3</v>
      </c>
      <c r="M712" s="1252">
        <f>F748</f>
        <v>0</v>
      </c>
    </row>
    <row r="713" spans="1:13" ht="14.55" customHeight="1" x14ac:dyDescent="0.3">
      <c r="A713" s="1258" t="s">
        <v>243</v>
      </c>
      <c r="B713" s="722">
        <v>100</v>
      </c>
      <c r="C713" s="460" t="s">
        <v>93</v>
      </c>
      <c r="D713" s="722"/>
      <c r="E713" s="460" t="s">
        <v>93</v>
      </c>
      <c r="F713" s="452"/>
      <c r="G713" s="460"/>
      <c r="H713" s="469"/>
      <c r="I713" s="1261"/>
      <c r="K713" s="477" t="s">
        <v>244</v>
      </c>
      <c r="L713" s="477" t="str">
        <f>K677&amp;"."&amp;K713</f>
        <v>6.Head insulation thk 3</v>
      </c>
      <c r="M713" s="1252">
        <f>F749</f>
        <v>0</v>
      </c>
    </row>
    <row r="714" spans="1:13" ht="14.55" customHeight="1" x14ac:dyDescent="0.3">
      <c r="A714" s="1258" t="s">
        <v>245</v>
      </c>
      <c r="B714" s="724">
        <v>2</v>
      </c>
      <c r="C714" s="460"/>
      <c r="D714" s="724"/>
      <c r="E714" s="460"/>
      <c r="F714" s="724"/>
      <c r="G714" s="460"/>
      <c r="H714" s="469"/>
      <c r="I714" s="1261"/>
      <c r="K714" s="477" t="s">
        <v>246</v>
      </c>
      <c r="L714" s="477" t="str">
        <f>K677&amp;"."&amp;K714</f>
        <v>6.Reducer insulation thk 3</v>
      </c>
      <c r="M714" s="1252">
        <f>F750</f>
        <v>0</v>
      </c>
    </row>
    <row r="715" spans="1:13" ht="14.55" customHeight="1" x14ac:dyDescent="0.3">
      <c r="A715" s="1258" t="s">
        <v>247</v>
      </c>
      <c r="B715" s="468">
        <v>0</v>
      </c>
      <c r="C715" s="460" t="s">
        <v>93</v>
      </c>
      <c r="D715" s="468">
        <v>0</v>
      </c>
      <c r="E715" s="460" t="s">
        <v>93</v>
      </c>
      <c r="F715" s="468">
        <v>0</v>
      </c>
      <c r="G715" s="460" t="s">
        <v>93</v>
      </c>
      <c r="H715" s="469"/>
      <c r="I715" s="1261"/>
      <c r="K715" s="477" t="s">
        <v>248</v>
      </c>
      <c r="L715" s="477" t="str">
        <f>K677&amp;"."&amp;K715</f>
        <v>6.Shell insulation area 3</v>
      </c>
      <c r="M715" s="1252">
        <f>F708</f>
        <v>0</v>
      </c>
    </row>
    <row r="716" spans="1:13" ht="14.55" customHeight="1" x14ac:dyDescent="0.3">
      <c r="A716" s="1258" t="s">
        <v>249</v>
      </c>
      <c r="B716" s="468">
        <f>((((POWER(((((B711+B744)*1.22)+(B715*2))/100),2)*PI())/4)*(B744/100))*7.86)</f>
        <v>3.6129609679542631</v>
      </c>
      <c r="C716" s="460" t="s">
        <v>222</v>
      </c>
      <c r="D716" s="468">
        <f>((((POWER(((((D711+D744)*1.22)+(D715*2))/100),2)*PI())/4)*(D744/100))*7.86)</f>
        <v>0</v>
      </c>
      <c r="E716" s="460" t="s">
        <v>222</v>
      </c>
      <c r="F716" s="468">
        <f>IFERROR(VLOOKUP(F700&amp;"."&amp;F745,'Fitting Chart'!$1:$1048576,5,0),0)</f>
        <v>0</v>
      </c>
      <c r="G716" s="460" t="s">
        <v>222</v>
      </c>
      <c r="H716" s="469"/>
      <c r="I716" s="1261"/>
      <c r="K716" s="477" t="s">
        <v>250</v>
      </c>
      <c r="L716" s="477" t="str">
        <f>K677&amp;"."&amp;K716</f>
        <v>6.Head insulation area 3</v>
      </c>
      <c r="M716" s="1252">
        <f>F719</f>
        <v>0</v>
      </c>
    </row>
    <row r="717" spans="1:13" ht="14.55" customHeight="1" x14ac:dyDescent="0.3">
      <c r="A717" s="1258" t="s">
        <v>251</v>
      </c>
      <c r="B717" s="468">
        <f>(((0.131*(B711^3)*10^-6)+((((B711/2)^2)*PI()*(((B711/4)+B743)-B743-(B711/4)))))+((PI()*((B711/2)^2)*B715))/1000000)/1000</f>
        <v>2.0468750000000001E-3</v>
      </c>
      <c r="C717" s="460" t="s">
        <v>225</v>
      </c>
      <c r="D717" s="468">
        <f>(((0.131*(D711^3)*10^-6)+((((D711/2)^2)*PI()*(((D711/4)+D743)-D743-(D711/4)))))+((PI()*((D711/2)^2)*D715))/1000000)/1000</f>
        <v>0</v>
      </c>
      <c r="E717" s="460" t="s">
        <v>225</v>
      </c>
      <c r="F717" s="468">
        <f>(((0.131*(F711^3)*10^-6)+((((F711/2)^2)*PI()*(((F711/4)+F746)-F746-(F711/4)))))+((PI()*((F711/2)^2)*F715))/1000000)/1000</f>
        <v>0</v>
      </c>
      <c r="G717" s="460" t="s">
        <v>225</v>
      </c>
      <c r="H717" s="469"/>
      <c r="I717" s="1261"/>
      <c r="K717" s="477" t="s">
        <v>252</v>
      </c>
      <c r="L717" s="477" t="str">
        <f>K677&amp;"."&amp;K717</f>
        <v>6.Reducer insulation area 3</v>
      </c>
      <c r="M717" s="1252">
        <f>F733</f>
        <v>0</v>
      </c>
    </row>
    <row r="718" spans="1:13" ht="14.55" customHeight="1" x14ac:dyDescent="0.3">
      <c r="A718" s="1258" t="s">
        <v>253</v>
      </c>
      <c r="B718" s="468">
        <f>(((B712*B713*3.14)+(((B712/2)^2)*3.14))/1000000)</f>
        <v>0.13615354000000002</v>
      </c>
      <c r="C718" s="460" t="s">
        <v>228</v>
      </c>
      <c r="D718" s="468">
        <f>(((D712*D713*3.14)+(((D712/2)^2)*3.14))/1000000)</f>
        <v>0</v>
      </c>
      <c r="E718" s="460" t="s">
        <v>228</v>
      </c>
      <c r="F718" s="468">
        <f>(((F712*F713*3.14)+(((F712/2)^2)*3.14))/1000000)</f>
        <v>0</v>
      </c>
      <c r="G718" s="460" t="s">
        <v>228</v>
      </c>
      <c r="H718" s="469"/>
      <c r="I718" s="1261"/>
    </row>
    <row r="719" spans="1:13" ht="14.55" customHeight="1" x14ac:dyDescent="0.3">
      <c r="A719" s="1258" t="s">
        <v>254</v>
      </c>
      <c r="B719" s="468">
        <f>B712+2*B749</f>
        <v>262</v>
      </c>
      <c r="C719" s="460" t="s">
        <v>93</v>
      </c>
      <c r="D719" s="468">
        <f>D712+2*D749</f>
        <v>0</v>
      </c>
      <c r="E719" s="460" t="s">
        <v>93</v>
      </c>
      <c r="F719" s="468">
        <f>F712+2*F749</f>
        <v>0</v>
      </c>
      <c r="G719" s="460" t="s">
        <v>93</v>
      </c>
      <c r="H719" s="469"/>
      <c r="I719" s="1261"/>
    </row>
    <row r="720" spans="1:13" ht="14.55" customHeight="1" x14ac:dyDescent="0.3">
      <c r="A720" s="1258" t="s">
        <v>255</v>
      </c>
      <c r="B720" s="468">
        <f>(((B719*B713*3.14)+(((B719/2)^2)*3.14))/1000000)</f>
        <v>0.13615354000000002</v>
      </c>
      <c r="C720" s="460" t="s">
        <v>228</v>
      </c>
      <c r="D720" s="468">
        <f>(((D719*D713*3.14)+(((D719/2)^2)*3.14))/1000000)</f>
        <v>0</v>
      </c>
      <c r="E720" s="460" t="s">
        <v>228</v>
      </c>
      <c r="F720" s="468">
        <f>(((F719*F713*3.14)+(((F719/2)^2)*3.14))/1000000)</f>
        <v>0</v>
      </c>
      <c r="G720" s="460" t="s">
        <v>228</v>
      </c>
      <c r="H720" s="469"/>
      <c r="I720" s="1261"/>
    </row>
    <row r="721" spans="1:9" ht="14.55" customHeight="1" x14ac:dyDescent="0.3">
      <c r="A721" s="1258"/>
      <c r="B721" s="454"/>
      <c r="C721" s="460"/>
      <c r="D721" s="454"/>
      <c r="E721" s="460"/>
      <c r="F721" s="454"/>
      <c r="G721" s="460"/>
      <c r="H721" s="469"/>
      <c r="I721" s="1261"/>
    </row>
    <row r="722" spans="1:9" ht="14.55" customHeight="1" x14ac:dyDescent="0.3">
      <c r="A722" s="1258"/>
      <c r="B722" s="468" t="s">
        <v>256</v>
      </c>
      <c r="C722" s="460"/>
      <c r="D722" s="468" t="s">
        <v>257</v>
      </c>
      <c r="E722" s="460"/>
      <c r="F722" s="468" t="s">
        <v>258</v>
      </c>
      <c r="G722" s="460"/>
      <c r="H722" s="469"/>
      <c r="I722" s="1261"/>
    </row>
    <row r="723" spans="1:9" ht="14.55" customHeight="1" x14ac:dyDescent="0.3">
      <c r="A723" s="1258" t="s">
        <v>259</v>
      </c>
      <c r="B723" s="725"/>
      <c r="C723" s="460" t="s">
        <v>93</v>
      </c>
      <c r="D723" s="725"/>
      <c r="E723" s="460" t="s">
        <v>93</v>
      </c>
      <c r="F723" s="725"/>
      <c r="G723" s="460" t="s">
        <v>93</v>
      </c>
      <c r="H723" s="469"/>
      <c r="I723" s="1261"/>
    </row>
    <row r="724" spans="1:9" ht="14.55" customHeight="1" x14ac:dyDescent="0.3">
      <c r="A724" s="1258" t="s">
        <v>260</v>
      </c>
      <c r="B724" s="725"/>
      <c r="C724" s="460" t="s">
        <v>93</v>
      </c>
      <c r="D724" s="725"/>
      <c r="E724" s="460" t="s">
        <v>93</v>
      </c>
      <c r="F724" s="725"/>
      <c r="G724" s="460" t="s">
        <v>93</v>
      </c>
      <c r="H724" s="469"/>
      <c r="I724" s="1261"/>
    </row>
    <row r="725" spans="1:9" ht="14.55" customHeight="1" x14ac:dyDescent="0.3">
      <c r="A725" s="1258" t="s">
        <v>261</v>
      </c>
      <c r="B725" s="725"/>
      <c r="C725" s="460" t="s">
        <v>93</v>
      </c>
      <c r="D725" s="725"/>
      <c r="E725" s="460" t="s">
        <v>93</v>
      </c>
      <c r="F725" s="725"/>
      <c r="G725" s="460" t="s">
        <v>93</v>
      </c>
      <c r="H725" s="469"/>
      <c r="I725" s="1261"/>
    </row>
    <row r="726" spans="1:9" ht="14.55" customHeight="1" x14ac:dyDescent="0.3">
      <c r="A726" s="1258" t="s">
        <v>262</v>
      </c>
      <c r="B726" s="455">
        <f>B723+2*B744</f>
        <v>12</v>
      </c>
      <c r="C726" s="460" t="s">
        <v>93</v>
      </c>
      <c r="D726" s="455">
        <f>D723+2*D744</f>
        <v>0</v>
      </c>
      <c r="E726" s="460" t="s">
        <v>93</v>
      </c>
      <c r="F726" s="455">
        <f>F723+2*F746</f>
        <v>0</v>
      </c>
      <c r="G726" s="460" t="s">
        <v>93</v>
      </c>
      <c r="H726" s="469"/>
      <c r="I726" s="1261"/>
    </row>
    <row r="727" spans="1:9" ht="14.55" customHeight="1" x14ac:dyDescent="0.3">
      <c r="A727" s="1258" t="s">
        <v>263</v>
      </c>
      <c r="B727" s="455">
        <f>B724+2*B744</f>
        <v>12</v>
      </c>
      <c r="C727" s="460" t="s">
        <v>93</v>
      </c>
      <c r="D727" s="455">
        <f>D724+2*D744</f>
        <v>0</v>
      </c>
      <c r="E727" s="460" t="s">
        <v>93</v>
      </c>
      <c r="F727" s="455">
        <f>F724+2*F746</f>
        <v>0</v>
      </c>
      <c r="G727" s="460" t="s">
        <v>93</v>
      </c>
      <c r="H727" s="469"/>
      <c r="I727" s="1261"/>
    </row>
    <row r="728" spans="1:9" ht="14.55" customHeight="1" x14ac:dyDescent="0.3">
      <c r="A728" s="1258" t="s">
        <v>264</v>
      </c>
      <c r="B728" s="453">
        <f>(((((1/3*PI()*B725))*((((B726/2)^2)+(((B726/2)*(B727/2)))+((B727/2)^2))))-(((1/3*PI()*B725))*((((B723/2)^2)+(((B723/2)*(B724/2)))+((B724/2)^2)))))*7.86)/1000000</f>
        <v>0</v>
      </c>
      <c r="C728" s="460" t="s">
        <v>222</v>
      </c>
      <c r="D728" s="453">
        <f>(((((1/3*PI()*D725))*((((D726/2)^2)+(((D726/2)*(D727/2)))+((D727/2)^2))))-(((1/3*PI()*D725))*((((D723/2)^2)+(((D723/2)*(D724/2)))+((D724/2)^2)))))*7.86)/1000000</f>
        <v>0</v>
      </c>
      <c r="E728" s="460" t="s">
        <v>222</v>
      </c>
      <c r="F728" s="453">
        <f>(((((1/3*PI()*F725))*((((F726/2)^2)+(((F726/2)*(F727/2)))+((F727/2)^2))))-(((1/3*PI()*F725))*((((F723/2)^2)+(((F723/2)*(F724/2)))+((F724/2)^2)))))*7.86)/1000000</f>
        <v>0</v>
      </c>
      <c r="G728" s="460" t="s">
        <v>222</v>
      </c>
      <c r="H728" s="469"/>
      <c r="I728" s="1261"/>
    </row>
    <row r="729" spans="1:9" ht="14.55" customHeight="1" x14ac:dyDescent="0.3">
      <c r="A729" s="1258" t="s">
        <v>265</v>
      </c>
      <c r="B729" s="453">
        <f>((1/3*PI()*B725))*((((B723/2)^2)+(((B723/2)*(B724/2)))+((B724/2)^2)))/1000000000</f>
        <v>0</v>
      </c>
      <c r="C729" s="460" t="s">
        <v>225</v>
      </c>
      <c r="D729" s="453">
        <f>((1/3*PI()*D725))*((((D723/2)^2)+(((D723/2)*(D724/2)))+((D724/2)^2)))/1000000000</f>
        <v>0</v>
      </c>
      <c r="E729" s="460" t="s">
        <v>225</v>
      </c>
      <c r="F729" s="453">
        <f>((1/3*PI()*F725))*((((F723/2)^2)+(((F723/2)*(F724/2)))+((F724/2)^2)))/1000000000</f>
        <v>0</v>
      </c>
      <c r="G729" s="460" t="s">
        <v>225</v>
      </c>
      <c r="H729" s="469"/>
      <c r="I729" s="1261"/>
    </row>
    <row r="730" spans="1:9" ht="14.55" customHeight="1" x14ac:dyDescent="0.3">
      <c r="A730" s="1258" t="s">
        <v>266</v>
      </c>
      <c r="B730" s="453">
        <f>PI()*(B726+B727)/2*SQRT(B725^2+((B726-B727)/2)^2)/1000000</f>
        <v>0</v>
      </c>
      <c r="C730" s="460" t="s">
        <v>228</v>
      </c>
      <c r="D730" s="453">
        <f>PI()*(D726+D727)/2*SQRT(D725^2+((D726-D727)/2)^2)/1000000</f>
        <v>0</v>
      </c>
      <c r="E730" s="460" t="s">
        <v>228</v>
      </c>
      <c r="F730" s="453">
        <f>PI()*(F726+F727)/2*SQRT(F725^2+((F726-F727)/2)^2)/1000000</f>
        <v>0</v>
      </c>
      <c r="G730" s="460" t="s">
        <v>228</v>
      </c>
      <c r="H730" s="469"/>
      <c r="I730" s="1261"/>
    </row>
    <row r="731" spans="1:9" ht="14.55" customHeight="1" x14ac:dyDescent="0.3">
      <c r="A731" s="1258" t="s">
        <v>267</v>
      </c>
      <c r="B731" s="453">
        <f>B726+2*B750</f>
        <v>12</v>
      </c>
      <c r="C731" s="460" t="s">
        <v>93</v>
      </c>
      <c r="D731" s="453">
        <f>D723+2*D750</f>
        <v>0</v>
      </c>
      <c r="E731" s="460" t="s">
        <v>93</v>
      </c>
      <c r="F731" s="453">
        <f>F723+2*F750</f>
        <v>0</v>
      </c>
      <c r="G731" s="460" t="s">
        <v>93</v>
      </c>
      <c r="H731" s="469"/>
      <c r="I731" s="1261"/>
    </row>
    <row r="732" spans="1:9" ht="14.55" customHeight="1" x14ac:dyDescent="0.3">
      <c r="A732" s="1258" t="s">
        <v>268</v>
      </c>
      <c r="B732" s="453">
        <f>B727+2*B750</f>
        <v>12</v>
      </c>
      <c r="C732" s="460" t="s">
        <v>93</v>
      </c>
      <c r="D732" s="453">
        <f>D724+2*D750</f>
        <v>0</v>
      </c>
      <c r="E732" s="460" t="s">
        <v>93</v>
      </c>
      <c r="F732" s="453">
        <f>F724+2*F750</f>
        <v>0</v>
      </c>
      <c r="G732" s="460" t="s">
        <v>93</v>
      </c>
      <c r="H732" s="469"/>
      <c r="I732" s="1261"/>
    </row>
    <row r="733" spans="1:9" ht="14.55" customHeight="1" x14ac:dyDescent="0.3">
      <c r="A733" s="1258" t="s">
        <v>269</v>
      </c>
      <c r="B733" s="453">
        <f>PI()*(B731+B732)/2*SQRT(B725^2+((B731-B732)/2)^2)/1000000</f>
        <v>0</v>
      </c>
      <c r="C733" s="460" t="s">
        <v>228</v>
      </c>
      <c r="D733" s="453">
        <f>PI()*(D731+D732)/2*SQRT(D725^2+((D731-D732)/2)^2)/1000000</f>
        <v>0</v>
      </c>
      <c r="E733" s="460" t="s">
        <v>228</v>
      </c>
      <c r="F733" s="453">
        <f>PI()*(F731+F732)/2*SQRT(F725^2+((F731-F732)/2)^2)/1000000</f>
        <v>0</v>
      </c>
      <c r="G733" s="460" t="s">
        <v>228</v>
      </c>
      <c r="H733" s="469"/>
      <c r="I733" s="1261"/>
    </row>
    <row r="734" spans="1:9" ht="14.55" customHeight="1" x14ac:dyDescent="0.3">
      <c r="A734" s="1258"/>
      <c r="B734" s="453"/>
      <c r="C734" s="460"/>
      <c r="D734" s="453"/>
      <c r="E734" s="460"/>
      <c r="F734" s="453"/>
      <c r="G734" s="460"/>
      <c r="H734" s="460"/>
      <c r="I734" s="1259"/>
    </row>
    <row r="735" spans="1:9" ht="14.55" customHeight="1" x14ac:dyDescent="0.3">
      <c r="A735" s="1258" t="s">
        <v>270</v>
      </c>
      <c r="B735" s="725">
        <v>6</v>
      </c>
      <c r="C735" s="460" t="s">
        <v>93</v>
      </c>
      <c r="D735" s="725"/>
      <c r="E735" s="460" t="s">
        <v>93</v>
      </c>
      <c r="F735" s="725"/>
      <c r="G735" s="460" t="s">
        <v>93</v>
      </c>
      <c r="H735" s="460"/>
      <c r="I735" s="1259"/>
    </row>
    <row r="736" spans="1:9" ht="14.55" customHeight="1" x14ac:dyDescent="0.3">
      <c r="A736" s="1258" t="s">
        <v>271</v>
      </c>
      <c r="B736" s="453">
        <f>((D684/10)*B701/2)/(IF(B679="div.1",B692,B695)-0.5*D684/10)</f>
        <v>4.768969902501059</v>
      </c>
      <c r="C736" s="460" t="s">
        <v>93</v>
      </c>
      <c r="D736" s="453">
        <f>((D684/10)*D701/2)/(IF(B679="div.1",B692,B695)-0.5*D684/10)</f>
        <v>0</v>
      </c>
      <c r="E736" s="460" t="s">
        <v>93</v>
      </c>
      <c r="F736" s="453" t="e">
        <f>((D684/10)*F701/2)/(IF(B679="div.1",F692,F695)-0.5*D684/10)</f>
        <v>#N/A</v>
      </c>
      <c r="G736" s="460" t="s">
        <v>93</v>
      </c>
      <c r="H736" s="460"/>
      <c r="I736" s="1259"/>
    </row>
    <row r="737" spans="1:9" ht="14.55" customHeight="1" x14ac:dyDescent="0.3">
      <c r="A737" s="1258" t="s">
        <v>272</v>
      </c>
      <c r="B737" s="453">
        <f>B711/2*(EXP(D684/(10*IF(B679="div.1",B693,B696)))-1)</f>
        <v>4.768402352514828</v>
      </c>
      <c r="C737" s="460" t="s">
        <v>93</v>
      </c>
      <c r="D737" s="453">
        <f>D711/2*(EXP(D684/(10*IF(B679="div.1",B693,B696)))-1)</f>
        <v>0</v>
      </c>
      <c r="E737" s="460" t="s">
        <v>93</v>
      </c>
      <c r="F737" s="453" t="e">
        <f>F711/2*(EXP(D684/(10*IF(B679="div.1",F693,F696)))-1)</f>
        <v>#N/A</v>
      </c>
      <c r="G737" s="460" t="s">
        <v>93</v>
      </c>
      <c r="H737" s="460"/>
      <c r="I737" s="1259"/>
    </row>
    <row r="738" spans="1:9" ht="14.55" customHeight="1" x14ac:dyDescent="0.3">
      <c r="A738" s="1258" t="s">
        <v>273</v>
      </c>
      <c r="B738" s="453">
        <f>B723/2*(EXP(D684/(10*IF(B679="div.1",B693,B696)))-1)</f>
        <v>0</v>
      </c>
      <c r="C738" s="460" t="s">
        <v>93</v>
      </c>
      <c r="D738" s="453">
        <f>D723/2*(EXP(D684/(10*IF(B679="div.1",B693,B696)))-1)</f>
        <v>0</v>
      </c>
      <c r="E738" s="460" t="s">
        <v>93</v>
      </c>
      <c r="F738" s="453" t="e">
        <f>F723/2*(EXP(D684/(10*IF(B679="div.1",F693,F696)))-1)</f>
        <v>#N/A</v>
      </c>
      <c r="G738" s="460" t="s">
        <v>93</v>
      </c>
      <c r="H738" s="460"/>
      <c r="I738" s="1259"/>
    </row>
    <row r="739" spans="1:9" ht="14.55" customHeight="1" x14ac:dyDescent="0.3">
      <c r="A739" s="1258" t="s">
        <v>274</v>
      </c>
      <c r="B739" s="725">
        <v>0</v>
      </c>
      <c r="C739" s="460" t="s">
        <v>93</v>
      </c>
      <c r="D739" s="725"/>
      <c r="E739" s="460" t="s">
        <v>93</v>
      </c>
      <c r="F739" s="725"/>
      <c r="G739" s="460" t="s">
        <v>93</v>
      </c>
      <c r="H739" s="460"/>
      <c r="I739" s="1259"/>
    </row>
    <row r="740" spans="1:9" ht="14.55" customHeight="1" x14ac:dyDescent="0.3">
      <c r="A740" s="1258" t="s">
        <v>275</v>
      </c>
      <c r="B740" s="725">
        <v>0</v>
      </c>
      <c r="C740" s="460" t="s">
        <v>93</v>
      </c>
      <c r="D740" s="725"/>
      <c r="E740" s="460" t="s">
        <v>93</v>
      </c>
      <c r="F740" s="725"/>
      <c r="G740" s="460" t="s">
        <v>93</v>
      </c>
      <c r="H740" s="460"/>
      <c r="I740" s="1259"/>
    </row>
    <row r="741" spans="1:9" ht="14.55" customHeight="1" x14ac:dyDescent="0.3">
      <c r="A741" s="1258" t="s">
        <v>276</v>
      </c>
      <c r="B741" s="725">
        <v>0</v>
      </c>
      <c r="C741" s="460" t="s">
        <v>93</v>
      </c>
      <c r="D741" s="725"/>
      <c r="E741" s="460" t="s">
        <v>93</v>
      </c>
      <c r="F741" s="725"/>
      <c r="G741" s="460" t="s">
        <v>93</v>
      </c>
      <c r="H741" s="460"/>
      <c r="I741" s="1259"/>
    </row>
    <row r="742" spans="1:9" ht="14.55" customHeight="1" x14ac:dyDescent="0.3">
      <c r="A742" s="1258" t="s">
        <v>277</v>
      </c>
      <c r="B742" s="453">
        <f>IF((CEILING(B736,1)+B739)&lt;B735,B735,CEILING(B736,1)+B739)</f>
        <v>6</v>
      </c>
      <c r="C742" s="460" t="s">
        <v>93</v>
      </c>
      <c r="D742" s="453">
        <f>IF((CEILING(D736,1)+D739)&lt;D735,D735,CEILING(D736,1)+D739)</f>
        <v>0</v>
      </c>
      <c r="E742" s="460" t="s">
        <v>93</v>
      </c>
      <c r="F742" s="453" t="e">
        <f>IF((CEILING(F736,1)+F739)&lt;F735,F735,CEILING(F736,1)+F739)</f>
        <v>#N/A</v>
      </c>
      <c r="G742" s="460" t="s">
        <v>93</v>
      </c>
      <c r="H742" s="460"/>
      <c r="I742" s="1259"/>
    </row>
    <row r="743" spans="1:9" ht="14.55" customHeight="1" x14ac:dyDescent="0.3">
      <c r="A743" s="1258" t="s">
        <v>278</v>
      </c>
      <c r="B743" s="453">
        <f>IF((CEILING(B737,1)+B740)&lt;=B735,B735,CEILING(B737,1)+B740)</f>
        <v>6</v>
      </c>
      <c r="C743" s="460" t="s">
        <v>93</v>
      </c>
      <c r="D743" s="453">
        <f>IF((CEILING(D737,1)+D740)&lt;=D735,D735,CEILING(D737,1)+D740)</f>
        <v>0</v>
      </c>
      <c r="E743" s="460" t="s">
        <v>93</v>
      </c>
      <c r="F743" s="453" t="e">
        <f>IF((CEILING(F737,1)+F740)&lt;=F735,F735,CEILING(F737,1)+F740)</f>
        <v>#N/A</v>
      </c>
      <c r="G743" s="460" t="s">
        <v>93</v>
      </c>
      <c r="H743" s="460"/>
      <c r="I743" s="1259"/>
    </row>
    <row r="744" spans="1:9" ht="14.55" customHeight="1" x14ac:dyDescent="0.3">
      <c r="A744" s="1258" t="s">
        <v>279</v>
      </c>
      <c r="B744" s="453">
        <f>IF((CEILING(B738,1)+B741)&lt;=B735,B735,CEILING(B738,1)+B741)</f>
        <v>6</v>
      </c>
      <c r="C744" s="460" t="s">
        <v>93</v>
      </c>
      <c r="D744" s="453">
        <f>IF((CEILING(D738,1)+D741)&lt;=D735,D735,CEILING(D738,1)+D741)</f>
        <v>0</v>
      </c>
      <c r="E744" s="460" t="s">
        <v>93</v>
      </c>
      <c r="F744" s="453" t="e">
        <f>IF((CEILING(F738,1)+F741)&lt;=F735,F735,CEILING(F738,1)+F741)</f>
        <v>#N/A</v>
      </c>
      <c r="G744" s="460" t="s">
        <v>93</v>
      </c>
      <c r="H744" s="460"/>
      <c r="I744" s="1259"/>
    </row>
    <row r="745" spans="1:9" ht="14.55" customHeight="1" x14ac:dyDescent="0.3">
      <c r="A745" s="1258" t="s">
        <v>280</v>
      </c>
      <c r="B745" s="453"/>
      <c r="C745" s="460"/>
      <c r="D745" s="453"/>
      <c r="E745" s="460"/>
      <c r="F745" s="726"/>
      <c r="G745" s="460"/>
      <c r="H745" s="460"/>
      <c r="I745" s="1259"/>
    </row>
    <row r="746" spans="1:9" ht="14.55" customHeight="1" x14ac:dyDescent="0.3">
      <c r="A746" s="1258" t="s">
        <v>281</v>
      </c>
      <c r="B746" s="453"/>
      <c r="C746" s="460"/>
      <c r="D746" s="453"/>
      <c r="E746" s="460"/>
      <c r="F746" s="460">
        <f>IFERROR(VLOOKUP(F700,'Thickness Tab'!$1:$1048576,MATCH(F745,'Thickness Tab'!$1:$1,0),0),0)</f>
        <v>0</v>
      </c>
      <c r="G746" s="460" t="s">
        <v>93</v>
      </c>
      <c r="H746" s="460"/>
      <c r="I746" s="1259"/>
    </row>
    <row r="747" spans="1:9" ht="14.55" customHeight="1" x14ac:dyDescent="0.3">
      <c r="A747" s="1258"/>
      <c r="B747" s="464"/>
      <c r="C747" s="460"/>
      <c r="D747" s="460"/>
      <c r="E747" s="460"/>
      <c r="F747" s="460"/>
      <c r="G747" s="460"/>
      <c r="H747" s="460"/>
      <c r="I747" s="1259"/>
    </row>
    <row r="748" spans="1:9" ht="14.55" customHeight="1" x14ac:dyDescent="0.3">
      <c r="A748" s="1258" t="s">
        <v>282</v>
      </c>
      <c r="B748" s="725">
        <v>0</v>
      </c>
      <c r="C748" s="460" t="s">
        <v>93</v>
      </c>
      <c r="D748" s="725">
        <v>0</v>
      </c>
      <c r="E748" s="460" t="s">
        <v>93</v>
      </c>
      <c r="F748" s="725">
        <v>0</v>
      </c>
      <c r="G748" s="460" t="s">
        <v>93</v>
      </c>
      <c r="H748" s="460"/>
      <c r="I748" s="1259"/>
    </row>
    <row r="749" spans="1:9" ht="14.55" customHeight="1" x14ac:dyDescent="0.3">
      <c r="A749" s="1258" t="s">
        <v>283</v>
      </c>
      <c r="B749" s="725">
        <v>0</v>
      </c>
      <c r="C749" s="460" t="s">
        <v>93</v>
      </c>
      <c r="D749" s="725">
        <v>0</v>
      </c>
      <c r="E749" s="460" t="s">
        <v>93</v>
      </c>
      <c r="F749" s="725">
        <v>0</v>
      </c>
      <c r="G749" s="460" t="s">
        <v>93</v>
      </c>
      <c r="H749" s="460"/>
      <c r="I749" s="1259"/>
    </row>
    <row r="750" spans="1:9" ht="14.55" customHeight="1" x14ac:dyDescent="0.3">
      <c r="A750" s="1258" t="s">
        <v>284</v>
      </c>
      <c r="B750" s="725">
        <v>0</v>
      </c>
      <c r="C750" s="460" t="s">
        <v>93</v>
      </c>
      <c r="D750" s="725">
        <v>0</v>
      </c>
      <c r="E750" s="460" t="s">
        <v>93</v>
      </c>
      <c r="F750" s="725">
        <v>0</v>
      </c>
      <c r="G750" s="460" t="s">
        <v>93</v>
      </c>
      <c r="H750" s="460"/>
      <c r="I750" s="1259"/>
    </row>
    <row r="751" spans="1:9" ht="14.55" customHeight="1" x14ac:dyDescent="0.3">
      <c r="A751" s="1258"/>
      <c r="B751" s="464"/>
      <c r="C751" s="460"/>
      <c r="D751" s="460"/>
      <c r="E751" s="460"/>
      <c r="F751" s="460"/>
      <c r="G751" s="460"/>
      <c r="H751" s="460"/>
      <c r="I751" s="1259"/>
    </row>
    <row r="752" spans="1:9" ht="14.55" customHeight="1" x14ac:dyDescent="0.3">
      <c r="A752" s="1260" t="s">
        <v>285</v>
      </c>
      <c r="B752" s="470" t="str">
        <f>IF(B680="Horizontal","No Skirt","")</f>
        <v>No Skirt</v>
      </c>
      <c r="C752" s="460"/>
      <c r="D752" s="471"/>
      <c r="E752" s="471" t="s">
        <v>286</v>
      </c>
      <c r="F752" s="460"/>
      <c r="G752" s="469"/>
      <c r="H752" s="469"/>
      <c r="I752" s="1261"/>
    </row>
    <row r="753" spans="1:9" ht="14.55" customHeight="1" x14ac:dyDescent="0.3">
      <c r="A753" s="1258" t="s">
        <v>287</v>
      </c>
      <c r="B753" s="722"/>
      <c r="C753" s="456" t="s">
        <v>93</v>
      </c>
      <c r="D753" s="472"/>
      <c r="E753" s="472" t="s">
        <v>288</v>
      </c>
      <c r="F753" s="725"/>
      <c r="G753" s="460" t="s">
        <v>93</v>
      </c>
      <c r="H753" s="469"/>
      <c r="I753" s="1261"/>
    </row>
    <row r="754" spans="1:9" ht="14.55" customHeight="1" x14ac:dyDescent="0.3">
      <c r="A754" s="1258" t="s">
        <v>289</v>
      </c>
      <c r="B754" s="722"/>
      <c r="C754" s="456" t="s">
        <v>93</v>
      </c>
      <c r="D754" s="472"/>
      <c r="E754" s="472" t="s">
        <v>290</v>
      </c>
      <c r="F754" s="725"/>
      <c r="G754" s="460" t="s">
        <v>93</v>
      </c>
      <c r="H754" s="469"/>
      <c r="I754" s="1261"/>
    </row>
    <row r="755" spans="1:9" ht="14.55" customHeight="1" x14ac:dyDescent="0.3">
      <c r="A755" s="1258" t="s">
        <v>291</v>
      </c>
      <c r="B755" s="722"/>
      <c r="C755" s="456" t="s">
        <v>93</v>
      </c>
      <c r="D755" s="472"/>
      <c r="E755" s="472" t="s">
        <v>292</v>
      </c>
      <c r="F755" s="725"/>
      <c r="G755" s="460"/>
      <c r="H755" s="469"/>
      <c r="I755" s="1261"/>
    </row>
    <row r="756" spans="1:9" ht="14.55" customHeight="1" x14ac:dyDescent="0.3">
      <c r="A756" s="1258" t="s">
        <v>293</v>
      </c>
      <c r="B756" s="722"/>
      <c r="C756" s="456" t="s">
        <v>93</v>
      </c>
      <c r="D756" s="472"/>
      <c r="E756" s="472" t="s">
        <v>184</v>
      </c>
      <c r="F756" s="457">
        <f>(PI()*F753^2)/4*F754*(7800/1000000000)</f>
        <v>0</v>
      </c>
      <c r="G756" s="460" t="s">
        <v>222</v>
      </c>
      <c r="H756" s="460"/>
      <c r="I756" s="1259"/>
    </row>
    <row r="757" spans="1:9" ht="14.55" customHeight="1" x14ac:dyDescent="0.3">
      <c r="A757" s="1258" t="s">
        <v>294</v>
      </c>
      <c r="B757" s="722"/>
      <c r="C757" s="456" t="s">
        <v>93</v>
      </c>
      <c r="D757" s="460"/>
      <c r="E757" s="460"/>
      <c r="F757" s="460"/>
      <c r="G757" s="460"/>
      <c r="H757" s="460"/>
      <c r="I757" s="1259"/>
    </row>
    <row r="758" spans="1:9" ht="14.55" customHeight="1" x14ac:dyDescent="0.3">
      <c r="A758" s="1258"/>
      <c r="B758" s="407"/>
      <c r="C758" s="460"/>
      <c r="D758" s="460"/>
      <c r="E758" s="460"/>
      <c r="F758" s="460"/>
      <c r="G758" s="460"/>
      <c r="H758" s="460"/>
      <c r="I758" s="1259"/>
    </row>
    <row r="759" spans="1:9" ht="14.55" customHeight="1" x14ac:dyDescent="0.3">
      <c r="A759" s="1262" t="s">
        <v>295</v>
      </c>
      <c r="B759" s="480"/>
      <c r="C759" s="59"/>
      <c r="D759" s="59"/>
      <c r="E759" s="59"/>
      <c r="F759" s="460"/>
      <c r="G759" s="460"/>
      <c r="H759" s="460"/>
      <c r="I759" s="1259"/>
    </row>
    <row r="760" spans="1:9" ht="14.55" customHeight="1" x14ac:dyDescent="0.3">
      <c r="A760" s="1263" t="s">
        <v>296</v>
      </c>
      <c r="B760" s="722"/>
      <c r="C760" s="59" t="s">
        <v>93</v>
      </c>
      <c r="D760" s="59"/>
      <c r="E760" s="59"/>
      <c r="F760" s="460"/>
      <c r="G760" s="460"/>
      <c r="H760" s="460"/>
      <c r="I760" s="1259"/>
    </row>
    <row r="761" spans="1:9" ht="14.55" customHeight="1" x14ac:dyDescent="0.3">
      <c r="A761" s="1263" t="s">
        <v>297</v>
      </c>
      <c r="B761" s="722"/>
      <c r="C761" s="59" t="s">
        <v>93</v>
      </c>
      <c r="D761" s="59"/>
      <c r="E761" s="59"/>
      <c r="F761" s="460"/>
      <c r="G761" s="460"/>
      <c r="H761" s="460"/>
      <c r="I761" s="1259"/>
    </row>
    <row r="762" spans="1:9" ht="14.55" customHeight="1" x14ac:dyDescent="0.3">
      <c r="A762" s="1263" t="s">
        <v>298</v>
      </c>
      <c r="B762" s="480">
        <f>B703</f>
        <v>3000</v>
      </c>
      <c r="C762" s="59" t="s">
        <v>93</v>
      </c>
      <c r="D762" s="59"/>
      <c r="E762" s="59"/>
      <c r="F762" s="460"/>
      <c r="G762" s="460"/>
      <c r="H762" s="460"/>
      <c r="I762" s="1259"/>
    </row>
    <row r="763" spans="1:9" ht="14.55" customHeight="1" x14ac:dyDescent="0.3">
      <c r="A763" s="1263" t="s">
        <v>299</v>
      </c>
      <c r="B763" s="727"/>
      <c r="C763" s="59"/>
      <c r="D763" s="59"/>
      <c r="E763" s="59"/>
      <c r="F763" s="460"/>
      <c r="G763" s="460"/>
      <c r="H763" s="460"/>
      <c r="I763" s="1259"/>
    </row>
    <row r="764" spans="1:9" ht="14.55" customHeight="1" x14ac:dyDescent="0.3">
      <c r="A764" s="1263" t="s">
        <v>300</v>
      </c>
      <c r="B764" s="722"/>
      <c r="C764" s="59" t="s">
        <v>301</v>
      </c>
      <c r="D764" s="59"/>
      <c r="E764" s="59"/>
      <c r="F764" s="460"/>
      <c r="G764" s="460"/>
      <c r="H764" s="460"/>
      <c r="I764" s="1259"/>
    </row>
    <row r="765" spans="1:9" ht="14.55" customHeight="1" x14ac:dyDescent="0.3">
      <c r="A765" s="1263" t="s">
        <v>302</v>
      </c>
      <c r="B765" s="480">
        <f>IF(B763="Straight",B762,B762*2)</f>
        <v>6000</v>
      </c>
      <c r="C765" s="59" t="s">
        <v>93</v>
      </c>
      <c r="D765" s="480"/>
      <c r="E765" s="59"/>
      <c r="F765" s="460"/>
      <c r="G765" s="460"/>
      <c r="H765" s="460"/>
      <c r="I765" s="1259"/>
    </row>
    <row r="766" spans="1:9" ht="14.55" customHeight="1" x14ac:dyDescent="0.3">
      <c r="A766" s="1263" t="s">
        <v>303</v>
      </c>
      <c r="B766" s="480">
        <f>B760*PI()*B765/1000000*B764</f>
        <v>0</v>
      </c>
      <c r="C766" s="59" t="s">
        <v>228</v>
      </c>
      <c r="D766" s="59"/>
      <c r="E766" s="59"/>
      <c r="F766" s="460"/>
      <c r="G766" s="460"/>
      <c r="H766" s="460"/>
      <c r="I766" s="1259"/>
    </row>
    <row r="767" spans="1:9" ht="14.55" customHeight="1" x14ac:dyDescent="0.3">
      <c r="A767" s="1263" t="s">
        <v>304</v>
      </c>
      <c r="B767" s="480">
        <v>7.86</v>
      </c>
      <c r="C767" s="59" t="s">
        <v>305</v>
      </c>
      <c r="D767" s="59"/>
      <c r="E767" s="59"/>
      <c r="F767" s="460"/>
      <c r="G767" s="460"/>
      <c r="H767" s="460"/>
      <c r="I767" s="1259"/>
    </row>
    <row r="768" spans="1:9" ht="14.55" customHeight="1" x14ac:dyDescent="0.3">
      <c r="A768" s="1263" t="s">
        <v>306</v>
      </c>
      <c r="B768" s="480">
        <f>PI()*B761*(B760-B761)*B767/1000</f>
        <v>0</v>
      </c>
      <c r="C768" s="59" t="s">
        <v>307</v>
      </c>
      <c r="D768" s="59"/>
      <c r="E768" s="59"/>
      <c r="F768" s="460"/>
      <c r="G768" s="460"/>
      <c r="H768" s="460"/>
      <c r="I768" s="1259"/>
    </row>
    <row r="769" spans="1:9" ht="14.55" customHeight="1" x14ac:dyDescent="0.3">
      <c r="A769" s="1263" t="s">
        <v>308</v>
      </c>
      <c r="B769" s="480">
        <f>B768*B765*B764/1000</f>
        <v>0</v>
      </c>
      <c r="C769" s="59" t="s">
        <v>222</v>
      </c>
      <c r="D769" s="59"/>
      <c r="E769" s="59"/>
      <c r="F769" s="460"/>
      <c r="G769" s="460"/>
      <c r="H769" s="460"/>
      <c r="I769" s="1259"/>
    </row>
    <row r="770" spans="1:9" ht="14.55" customHeight="1" x14ac:dyDescent="0.3">
      <c r="A770" s="1263"/>
      <c r="B770" s="480"/>
      <c r="C770" s="59"/>
      <c r="D770" s="59"/>
      <c r="E770" s="59"/>
      <c r="F770" s="460"/>
      <c r="G770" s="460"/>
      <c r="H770" s="460"/>
      <c r="I770" s="1259"/>
    </row>
    <row r="771" spans="1:9" ht="14.55" customHeight="1" x14ac:dyDescent="0.3">
      <c r="A771" s="1262" t="s">
        <v>309</v>
      </c>
      <c r="B771" s="480"/>
      <c r="C771" s="59"/>
      <c r="D771" s="59"/>
      <c r="E771" s="59"/>
      <c r="F771" s="460"/>
      <c r="G771" s="460"/>
      <c r="H771" s="460"/>
      <c r="I771" s="1259"/>
    </row>
    <row r="772" spans="1:9" ht="14.55" customHeight="1" x14ac:dyDescent="0.3">
      <c r="A772" s="1263" t="s">
        <v>310</v>
      </c>
      <c r="B772" s="480">
        <f>B701</f>
        <v>250</v>
      </c>
      <c r="C772" s="59" t="s">
        <v>93</v>
      </c>
      <c r="D772" s="59"/>
      <c r="E772" s="59"/>
      <c r="F772" s="460"/>
      <c r="G772" s="460"/>
      <c r="H772" s="460"/>
      <c r="I772" s="1259"/>
    </row>
    <row r="773" spans="1:9" ht="14.55" customHeight="1" x14ac:dyDescent="0.3">
      <c r="A773" s="1263" t="s">
        <v>297</v>
      </c>
      <c r="B773" s="480">
        <v>15</v>
      </c>
      <c r="C773" s="59" t="s">
        <v>93</v>
      </c>
      <c r="D773" s="59"/>
      <c r="E773" s="59"/>
      <c r="F773" s="460"/>
      <c r="G773" s="460"/>
      <c r="H773" s="460"/>
      <c r="I773" s="1259"/>
    </row>
    <row r="774" spans="1:9" ht="14.55" customHeight="1" x14ac:dyDescent="0.3">
      <c r="A774" s="1263" t="s">
        <v>311</v>
      </c>
      <c r="B774" s="480">
        <f>B772^2*PI()/4/1000000</f>
        <v>4.9087385212340517E-2</v>
      </c>
      <c r="C774" s="59" t="s">
        <v>228</v>
      </c>
      <c r="D774" s="59"/>
      <c r="E774" s="59"/>
      <c r="F774" s="460"/>
      <c r="G774" s="460"/>
      <c r="H774" s="460"/>
      <c r="I774" s="1259"/>
    </row>
    <row r="775" spans="1:9" ht="14.55" customHeight="1" x14ac:dyDescent="0.3">
      <c r="A775" s="1263" t="s">
        <v>312</v>
      </c>
      <c r="B775" s="480">
        <f>B774*B773/1000*B767*2/1000</f>
        <v>1.1574805433069892E-5</v>
      </c>
      <c r="C775" s="59" t="s">
        <v>222</v>
      </c>
      <c r="D775" s="59"/>
      <c r="E775" s="59"/>
      <c r="F775" s="460"/>
      <c r="G775" s="460"/>
      <c r="H775" s="460"/>
      <c r="I775" s="1259"/>
    </row>
    <row r="776" spans="1:9" ht="14.55" customHeight="1" x14ac:dyDescent="0.3">
      <c r="A776" s="1263"/>
      <c r="B776" s="480"/>
      <c r="C776" s="59"/>
      <c r="D776" s="59"/>
      <c r="E776" s="59"/>
      <c r="F776" s="460"/>
      <c r="G776" s="460"/>
      <c r="H776" s="460"/>
      <c r="I776" s="1259"/>
    </row>
    <row r="777" spans="1:9" ht="14.55" customHeight="1" x14ac:dyDescent="0.3">
      <c r="A777" s="1263" t="s">
        <v>313</v>
      </c>
      <c r="B777" s="480">
        <f>B769+B775*2</f>
        <v>2.3149610866139785E-5</v>
      </c>
      <c r="C777" s="59" t="s">
        <v>222</v>
      </c>
      <c r="D777" s="59"/>
      <c r="E777" s="59"/>
      <c r="F777" s="460"/>
      <c r="G777" s="460"/>
      <c r="H777" s="460"/>
      <c r="I777" s="1259"/>
    </row>
    <row r="778" spans="1:9" ht="14.55" customHeight="1" x14ac:dyDescent="0.3">
      <c r="A778" s="1263"/>
      <c r="B778" s="480"/>
      <c r="C778" s="59"/>
      <c r="D778" s="59"/>
      <c r="E778" s="59"/>
      <c r="F778" s="460"/>
      <c r="G778" s="460"/>
      <c r="H778" s="460"/>
      <c r="I778" s="1259"/>
    </row>
    <row r="779" spans="1:9" ht="14.55" customHeight="1" x14ac:dyDescent="0.3">
      <c r="A779" s="1260" t="s">
        <v>314</v>
      </c>
      <c r="B779" s="460"/>
      <c r="C779" s="460"/>
      <c r="D779" s="463" t="s">
        <v>315</v>
      </c>
      <c r="E779" s="460"/>
      <c r="F779" s="460"/>
      <c r="G779" s="471" t="s">
        <v>316</v>
      </c>
      <c r="H779" s="453"/>
      <c r="I779" s="1259"/>
    </row>
    <row r="780" spans="1:9" ht="14.55" customHeight="1" x14ac:dyDescent="0.3">
      <c r="A780" s="1258" t="s">
        <v>189</v>
      </c>
      <c r="B780" s="468">
        <f>SUM(B704,D704,F704)</f>
        <v>119.4742156957128</v>
      </c>
      <c r="C780" s="460" t="s">
        <v>222</v>
      </c>
      <c r="D780" s="472" t="s">
        <v>189</v>
      </c>
      <c r="E780" s="468">
        <f>SUM(B706,D706,F706)</f>
        <v>2.4680399999999998</v>
      </c>
      <c r="F780" s="460" t="s">
        <v>228</v>
      </c>
      <c r="G780" s="472" t="s">
        <v>189</v>
      </c>
      <c r="H780" s="453">
        <f>SUM(B708,D708,F708)</f>
        <v>2.4680399999999998</v>
      </c>
      <c r="I780" s="1259" t="s">
        <v>228</v>
      </c>
    </row>
    <row r="781" spans="1:9" ht="14.55" customHeight="1" x14ac:dyDescent="0.3">
      <c r="A781" s="1258" t="s">
        <v>317</v>
      </c>
      <c r="B781" s="468">
        <f>SUM(B714*B716,D714*D716,F714*F716)</f>
        <v>7.2259219359085263</v>
      </c>
      <c r="C781" s="460" t="s">
        <v>222</v>
      </c>
      <c r="D781" s="472" t="s">
        <v>317</v>
      </c>
      <c r="E781" s="468">
        <f>SUM(B714*B718,D714*D718,F714*F718)</f>
        <v>0.27230708000000003</v>
      </c>
      <c r="F781" s="460" t="s">
        <v>228</v>
      </c>
      <c r="G781" s="472" t="s">
        <v>317</v>
      </c>
      <c r="H781" s="453">
        <f>SUM(B714*B720,D714*D720,F714*F720)</f>
        <v>0.27230708000000003</v>
      </c>
      <c r="I781" s="1259" t="s">
        <v>228</v>
      </c>
    </row>
    <row r="782" spans="1:9" ht="14.55" customHeight="1" x14ac:dyDescent="0.3">
      <c r="A782" s="1258" t="s">
        <v>318</v>
      </c>
      <c r="B782" s="468">
        <f>SUM(B728,D728,F728)</f>
        <v>0</v>
      </c>
      <c r="C782" s="460" t="s">
        <v>222</v>
      </c>
      <c r="D782" s="472" t="s">
        <v>318</v>
      </c>
      <c r="E782" s="468">
        <f>SUM(B730,D730,F730)</f>
        <v>0</v>
      </c>
      <c r="F782" s="460" t="s">
        <v>228</v>
      </c>
      <c r="G782" s="472" t="s">
        <v>318</v>
      </c>
      <c r="H782" s="453">
        <f>SUM(B733,D733,F733)</f>
        <v>0</v>
      </c>
      <c r="I782" s="1259" t="s">
        <v>228</v>
      </c>
    </row>
    <row r="783" spans="1:9" ht="14.55" customHeight="1" x14ac:dyDescent="0.3">
      <c r="A783" s="1258" t="s">
        <v>319</v>
      </c>
      <c r="B783" s="468">
        <f>SUMPRODUCT(F800:F811,H800:H811)</f>
        <v>214.34146341463415</v>
      </c>
      <c r="C783" s="460" t="s">
        <v>222</v>
      </c>
      <c r="D783" s="472" t="s">
        <v>319</v>
      </c>
      <c r="E783" s="468">
        <f>SUMPRODUCT(F800:F811,I800:I811)</f>
        <v>1.6521427868419267</v>
      </c>
      <c r="F783" s="460" t="s">
        <v>228</v>
      </c>
      <c r="G783" s="460"/>
      <c r="H783" s="453"/>
      <c r="I783" s="1259"/>
    </row>
    <row r="784" spans="1:9" ht="14.55" customHeight="1" x14ac:dyDescent="0.3">
      <c r="A784" s="1258" t="s">
        <v>320</v>
      </c>
      <c r="B784" s="468">
        <f>IF(B680="Horizontal",0,(PI()*B754*(((B702/2)^2)-(((B702-2*B753)/2)^2))*7860)/1000000000)</f>
        <v>0</v>
      </c>
      <c r="C784" s="460" t="s">
        <v>222</v>
      </c>
      <c r="D784" s="472" t="s">
        <v>320</v>
      </c>
      <c r="E784" s="468">
        <f>IF(B680="Horizontal",0,((B702*B754*PI())+((B702-2*B753)*B754*PI()))/1000000)</f>
        <v>0</v>
      </c>
      <c r="F784" s="460" t="s">
        <v>228</v>
      </c>
      <c r="G784" s="471" t="s">
        <v>321</v>
      </c>
      <c r="H784" s="453"/>
      <c r="I784" s="1259"/>
    </row>
    <row r="785" spans="1:9" ht="14.55" customHeight="1" x14ac:dyDescent="0.3">
      <c r="A785" s="1258" t="s">
        <v>322</v>
      </c>
      <c r="B785" s="468">
        <f>IF(B680="Horizontal",0,(PI()*B757*(((B756/2)^2)-((B755/2)^2))*7860)/1000000000)</f>
        <v>0</v>
      </c>
      <c r="C785" s="460" t="s">
        <v>222</v>
      </c>
      <c r="D785" s="472" t="s">
        <v>322</v>
      </c>
      <c r="E785" s="468">
        <f>IF(B680="Horizontal",0,((B756*3.14*B757)+(B755*3.14*B757)+(((((B756/2)^2)*3.14)-(((B755/2)^2)*3.14))*2))/1000000)</f>
        <v>0</v>
      </c>
      <c r="F785" s="460" t="s">
        <v>228</v>
      </c>
      <c r="G785" s="472" t="s">
        <v>189</v>
      </c>
      <c r="H785" s="453">
        <f>SUM(B705,D705,F705)</f>
        <v>0.14726215563702155</v>
      </c>
      <c r="I785" s="1259" t="s">
        <v>225</v>
      </c>
    </row>
    <row r="786" spans="1:9" ht="14.55" customHeight="1" x14ac:dyDescent="0.3">
      <c r="A786" s="1258" t="s">
        <v>323</v>
      </c>
      <c r="B786" s="468">
        <f>IF(B680="Horizontal",VLOOKUP(B702,List!$AR:$AS,2,1)*2,0)</f>
        <v>50</v>
      </c>
      <c r="C786" s="460" t="s">
        <v>222</v>
      </c>
      <c r="D786" s="472" t="s">
        <v>323</v>
      </c>
      <c r="E786" s="725"/>
      <c r="F786" s="460" t="s">
        <v>228</v>
      </c>
      <c r="G786" s="472" t="s">
        <v>317</v>
      </c>
      <c r="H786" s="453">
        <f>SUM(B714*B717+D714*D717+F714*F717)</f>
        <v>4.0937500000000002E-3</v>
      </c>
      <c r="I786" s="1259" t="s">
        <v>225</v>
      </c>
    </row>
    <row r="787" spans="1:9" ht="14.55" customHeight="1" x14ac:dyDescent="0.3">
      <c r="A787" s="1258" t="s">
        <v>324</v>
      </c>
      <c r="B787" s="468">
        <f>F756*F755</f>
        <v>0</v>
      </c>
      <c r="C787" s="460" t="s">
        <v>222</v>
      </c>
      <c r="D787" s="460"/>
      <c r="E787" s="460"/>
      <c r="F787" s="460"/>
      <c r="G787" s="472" t="s">
        <v>318</v>
      </c>
      <c r="H787" s="453">
        <f>SUM(B729,D729,F729)</f>
        <v>0</v>
      </c>
      <c r="I787" s="1259" t="s">
        <v>225</v>
      </c>
    </row>
    <row r="788" spans="1:9" ht="14.55" customHeight="1" x14ac:dyDescent="0.3">
      <c r="A788" s="1258" t="s">
        <v>325</v>
      </c>
      <c r="B788" s="468">
        <f>B777</f>
        <v>2.3149610866139785E-5</v>
      </c>
      <c r="C788" s="460" t="s">
        <v>222</v>
      </c>
      <c r="D788" s="460"/>
      <c r="E788" s="460"/>
      <c r="F788" s="460"/>
      <c r="G788" s="472"/>
      <c r="H788" s="453"/>
      <c r="I788" s="1259"/>
    </row>
    <row r="789" spans="1:9" ht="14.55" customHeight="1" x14ac:dyDescent="0.3">
      <c r="A789" s="1258" t="s">
        <v>326</v>
      </c>
      <c r="B789" s="725">
        <v>350</v>
      </c>
      <c r="C789" s="460" t="s">
        <v>222</v>
      </c>
      <c r="D789" s="460"/>
      <c r="E789" s="460"/>
      <c r="F789" s="460"/>
      <c r="G789" s="460"/>
      <c r="H789" s="460"/>
      <c r="I789" s="1259"/>
    </row>
    <row r="790" spans="1:9" ht="14.55" customHeight="1" x14ac:dyDescent="0.3">
      <c r="A790" s="1264"/>
      <c r="B790" s="460"/>
      <c r="C790" s="460"/>
      <c r="D790" s="460"/>
      <c r="E790" s="460"/>
      <c r="F790" s="460"/>
      <c r="G790" s="460"/>
      <c r="H790" s="460"/>
      <c r="I790" s="1259"/>
    </row>
    <row r="791" spans="1:9" ht="14.55" customHeight="1" x14ac:dyDescent="0.3">
      <c r="A791" s="1258" t="s">
        <v>327</v>
      </c>
      <c r="B791" s="453">
        <f>SUM(E780:E786)</f>
        <v>4.3924898668419265</v>
      </c>
      <c r="C791" s="460" t="s">
        <v>228</v>
      </c>
      <c r="D791" s="460"/>
      <c r="E791" s="460"/>
      <c r="F791" s="460"/>
      <c r="G791" s="460"/>
      <c r="H791" s="460"/>
      <c r="I791" s="1259"/>
    </row>
    <row r="792" spans="1:9" ht="14.55" customHeight="1" x14ac:dyDescent="0.3">
      <c r="A792" s="1258" t="s">
        <v>328</v>
      </c>
      <c r="B792" s="453" t="str">
        <f>IF(SUM(E780:E782)=SUM(H780:H782),"Not Insulated",SUM(H780:H782))</f>
        <v>Not Insulated</v>
      </c>
      <c r="C792" s="460" t="str">
        <f>IF(B791=SUM(H780:H782),"","m2")</f>
        <v>m2</v>
      </c>
      <c r="D792" s="460"/>
      <c r="E792" s="460"/>
      <c r="F792" s="460"/>
      <c r="G792" s="460"/>
      <c r="H792" s="460"/>
      <c r="I792" s="1259"/>
    </row>
    <row r="793" spans="1:9" ht="14.55" customHeight="1" x14ac:dyDescent="0.3">
      <c r="A793" s="1258" t="s">
        <v>329</v>
      </c>
      <c r="B793" s="453">
        <f>SUM(H785:H787)</f>
        <v>0.15135590563702156</v>
      </c>
      <c r="C793" s="460" t="s">
        <v>225</v>
      </c>
      <c r="D793" s="460"/>
      <c r="E793" s="460"/>
      <c r="F793" s="460"/>
      <c r="G793" s="460"/>
      <c r="H793" s="460"/>
      <c r="I793" s="1259"/>
    </row>
    <row r="794" spans="1:9" ht="14.55" customHeight="1" x14ac:dyDescent="0.3">
      <c r="A794" s="1258" t="s">
        <v>330</v>
      </c>
      <c r="B794" s="453">
        <f>SUM(B780:B789)</f>
        <v>741.04162419586635</v>
      </c>
      <c r="C794" s="460" t="s">
        <v>222</v>
      </c>
      <c r="D794" s="460"/>
      <c r="E794" s="460"/>
      <c r="F794" s="460"/>
      <c r="G794" s="460"/>
      <c r="H794" s="460"/>
      <c r="I794" s="1259"/>
    </row>
    <row r="795" spans="1:9" ht="14.55" customHeight="1" x14ac:dyDescent="0.3">
      <c r="A795" s="1258" t="s">
        <v>331</v>
      </c>
      <c r="B795" s="725">
        <v>750</v>
      </c>
      <c r="C795" s="460" t="s">
        <v>222</v>
      </c>
      <c r="D795" s="460"/>
      <c r="E795" s="460"/>
      <c r="F795" s="460"/>
      <c r="G795" s="460"/>
      <c r="H795" s="460"/>
      <c r="I795" s="1259"/>
    </row>
    <row r="796" spans="1:9" ht="15" customHeight="1" thickBot="1" x14ac:dyDescent="0.35">
      <c r="A796" s="1258"/>
      <c r="B796" s="473"/>
      <c r="C796" s="459"/>
      <c r="D796" s="460"/>
      <c r="E796" s="460"/>
      <c r="F796" s="460"/>
      <c r="G796" s="460"/>
      <c r="H796" s="460"/>
      <c r="I796" s="1259"/>
    </row>
    <row r="797" spans="1:9" ht="15" customHeight="1" thickBot="1" x14ac:dyDescent="0.35">
      <c r="A797" s="474"/>
      <c r="B797" s="1718" t="s">
        <v>332</v>
      </c>
      <c r="C797" s="1718"/>
      <c r="D797" s="1718"/>
      <c r="E797" s="1718"/>
      <c r="F797" s="1718"/>
      <c r="G797" s="475"/>
      <c r="H797" s="475"/>
      <c r="I797" s="476"/>
    </row>
    <row r="798" spans="1:9" ht="14.55" customHeight="1" x14ac:dyDescent="0.3">
      <c r="A798" s="1264"/>
      <c r="B798" s="1719" t="s">
        <v>333</v>
      </c>
      <c r="C798" s="1381" t="s">
        <v>59</v>
      </c>
      <c r="D798" s="1719" t="s">
        <v>114</v>
      </c>
      <c r="E798" s="1719" t="s">
        <v>334</v>
      </c>
      <c r="F798" s="1719" t="s">
        <v>292</v>
      </c>
      <c r="G798" s="1719" t="s">
        <v>335</v>
      </c>
      <c r="H798" s="1381" t="s">
        <v>184</v>
      </c>
      <c r="I798" s="1346" t="s">
        <v>336</v>
      </c>
    </row>
    <row r="799" spans="1:9" ht="14.55" customHeight="1" x14ac:dyDescent="0.3">
      <c r="A799" s="1264"/>
      <c r="B799" s="1720"/>
      <c r="C799" s="1442" t="s">
        <v>214</v>
      </c>
      <c r="D799" s="1720"/>
      <c r="E799" s="1720"/>
      <c r="F799" s="1720"/>
      <c r="G799" s="1720"/>
      <c r="H799" s="1442" t="s">
        <v>222</v>
      </c>
      <c r="I799" s="1443" t="s">
        <v>228</v>
      </c>
    </row>
    <row r="800" spans="1:9" ht="14.55" customHeight="1" x14ac:dyDescent="0.3">
      <c r="A800" s="1264"/>
      <c r="B800" s="1382" t="s">
        <v>337</v>
      </c>
      <c r="C800" s="728">
        <v>2</v>
      </c>
      <c r="D800" s="729">
        <v>300</v>
      </c>
      <c r="E800" s="729" t="s">
        <v>360</v>
      </c>
      <c r="F800" s="730">
        <v>2</v>
      </c>
      <c r="G800" s="730" t="s">
        <v>362</v>
      </c>
      <c r="H800" s="1465">
        <f>IFERROR(VLOOKUP($C800&amp;"F"&amp;$D800,'Flanges Chart'!$1:$1048576,MATCH($E800&amp;"."&amp;H$123,'Flanges Chart'!$1:$1,0),0),"")</f>
        <v>8.3902439024390247</v>
      </c>
      <c r="I800" s="1466">
        <f>IFERROR(VLOOKUP($C800&amp;"F"&amp;$D800,'Flanges Chart'!$1:$1048576,MATCH($E800&amp;"."&amp;I$123,'Flanges Chart'!$1:$1,0),0),"")</f>
        <v>8.8120722260492293E-2</v>
      </c>
    </row>
    <row r="801" spans="1:13" ht="14.55" customHeight="1" x14ac:dyDescent="0.3">
      <c r="A801" s="1264"/>
      <c r="B801" s="1467" t="s">
        <v>340</v>
      </c>
      <c r="C801" s="731">
        <v>2</v>
      </c>
      <c r="D801" s="729">
        <v>300</v>
      </c>
      <c r="E801" s="729" t="s">
        <v>360</v>
      </c>
      <c r="F801" s="729">
        <v>4</v>
      </c>
      <c r="G801" s="729" t="s">
        <v>363</v>
      </c>
      <c r="H801" s="1465">
        <f>IFERROR(VLOOKUP($C801&amp;"F"&amp;$D801,'Flanges Chart'!$1:$1048576,MATCH($E801&amp;"."&amp;H$123,'Flanges Chart'!$1:$1,0),0),"")</f>
        <v>8.3902439024390247</v>
      </c>
      <c r="I801" s="1466">
        <f>IFERROR(VLOOKUP($C801&amp;"F"&amp;$D801,'Flanges Chart'!$1:$1048576,MATCH($E801&amp;"."&amp;I$123,'Flanges Chart'!$1:$1,0),0),"")</f>
        <v>8.8120722260492293E-2</v>
      </c>
    </row>
    <row r="802" spans="1:13" ht="14.55" customHeight="1" x14ac:dyDescent="0.3">
      <c r="A802" s="1264"/>
      <c r="B802" s="1467" t="s">
        <v>342</v>
      </c>
      <c r="C802" s="731"/>
      <c r="D802" s="729"/>
      <c r="E802" s="729"/>
      <c r="F802" s="729"/>
      <c r="G802" s="729"/>
      <c r="H802" s="1465" t="str">
        <f>IFERROR(VLOOKUP($C802&amp;"F"&amp;$D802,'Flanges Chart'!$1:$1048576,MATCH($E802&amp;"."&amp;H$123,'Flanges Chart'!$1:$1,0),0),"")</f>
        <v/>
      </c>
      <c r="I802" s="1466" t="str">
        <f>IFERROR(VLOOKUP($C802&amp;"F"&amp;$D802,'Flanges Chart'!$1:$1048576,MATCH($E802&amp;"."&amp;I$123,'Flanges Chart'!$1:$1,0),0),"")</f>
        <v/>
      </c>
    </row>
    <row r="803" spans="1:13" ht="14.55" customHeight="1" x14ac:dyDescent="0.3">
      <c r="A803" s="1264"/>
      <c r="B803" s="1467" t="s">
        <v>344</v>
      </c>
      <c r="C803" s="731"/>
      <c r="D803" s="729"/>
      <c r="E803" s="729"/>
      <c r="F803" s="729"/>
      <c r="G803" s="729"/>
      <c r="H803" s="1465" t="str">
        <f>IFERROR(VLOOKUP($C803&amp;"F"&amp;$D803,'Flanges Chart'!$1:$1048576,MATCH($E803&amp;"."&amp;H$123,'Flanges Chart'!$1:$1,0),0),"")</f>
        <v/>
      </c>
      <c r="I803" s="1466" t="str">
        <f>IFERROR(VLOOKUP($C803&amp;"F"&amp;$D803,'Flanges Chart'!$1:$1048576,MATCH($E803&amp;"."&amp;I$123,'Flanges Chart'!$1:$1,0),0),"")</f>
        <v/>
      </c>
    </row>
    <row r="804" spans="1:13" ht="14.55" customHeight="1" x14ac:dyDescent="0.3">
      <c r="A804" s="1264"/>
      <c r="B804" s="1467" t="s">
        <v>347</v>
      </c>
      <c r="C804" s="731"/>
      <c r="D804" s="729"/>
      <c r="E804" s="729"/>
      <c r="F804" s="729"/>
      <c r="G804" s="729"/>
      <c r="H804" s="1465" t="str">
        <f>IFERROR(VLOOKUP($C804&amp;"F"&amp;$D804,'Flanges Chart'!$1:$1048576,MATCH($E804&amp;"."&amp;H$123,'Flanges Chart'!$1:$1,0),0),"")</f>
        <v/>
      </c>
      <c r="I804" s="1466" t="str">
        <f>IFERROR(VLOOKUP($C804&amp;"F"&amp;$D804,'Flanges Chart'!$1:$1048576,MATCH($E804&amp;"."&amp;I$123,'Flanges Chart'!$1:$1,0),0),"")</f>
        <v/>
      </c>
    </row>
    <row r="805" spans="1:13" ht="14.55" customHeight="1" x14ac:dyDescent="0.3">
      <c r="A805" s="1264"/>
      <c r="B805" s="1467" t="s">
        <v>349</v>
      </c>
      <c r="C805" s="731"/>
      <c r="D805" s="729"/>
      <c r="E805" s="729"/>
      <c r="F805" s="729"/>
      <c r="G805" s="729"/>
      <c r="H805" s="1465" t="str">
        <f>IFERROR(VLOOKUP($C805&amp;"F"&amp;$D805,'Flanges Chart'!$1:$1048576,MATCH($E805&amp;"."&amp;H$123,'Flanges Chart'!$1:$1,0),0),"")</f>
        <v/>
      </c>
      <c r="I805" s="1466" t="str">
        <f>IFERROR(VLOOKUP($C805&amp;"F"&amp;$D805,'Flanges Chart'!$1:$1048576,MATCH($E805&amp;"."&amp;I$123,'Flanges Chart'!$1:$1,0),0),"")</f>
        <v/>
      </c>
    </row>
    <row r="806" spans="1:13" ht="14.55" customHeight="1" x14ac:dyDescent="0.3">
      <c r="A806" s="1264"/>
      <c r="B806" s="1467" t="s">
        <v>350</v>
      </c>
      <c r="C806" s="731"/>
      <c r="D806" s="729"/>
      <c r="E806" s="729"/>
      <c r="F806" s="729"/>
      <c r="G806" s="729"/>
      <c r="H806" s="1465" t="str">
        <f>IFERROR(VLOOKUP($C806&amp;"F"&amp;$D806,'Flanges Chart'!$1:$1048576,MATCH($E806&amp;"."&amp;H$123,'Flanges Chart'!$1:$1,0),0),"")</f>
        <v/>
      </c>
      <c r="I806" s="1466" t="str">
        <f>IFERROR(VLOOKUP($C806&amp;"F"&amp;$D806,'Flanges Chart'!$1:$1048576,MATCH($E806&amp;"."&amp;I$123,'Flanges Chart'!$1:$1,0),0),"")</f>
        <v/>
      </c>
    </row>
    <row r="807" spans="1:13" ht="14.55" customHeight="1" x14ac:dyDescent="0.3">
      <c r="A807" s="1264"/>
      <c r="B807" s="1467" t="s">
        <v>351</v>
      </c>
      <c r="C807" s="731"/>
      <c r="D807" s="729"/>
      <c r="E807" s="729"/>
      <c r="F807" s="729"/>
      <c r="G807" s="729"/>
      <c r="H807" s="1465" t="str">
        <f>IFERROR(VLOOKUP($C807&amp;"F"&amp;$D807,'Flanges Chart'!$1:$1048576,MATCH($E807&amp;"."&amp;H$123,'Flanges Chart'!$1:$1,0),0),"")</f>
        <v/>
      </c>
      <c r="I807" s="1466" t="str">
        <f>IFERROR(VLOOKUP($C807&amp;"F"&amp;$D807,'Flanges Chart'!$1:$1048576,MATCH($E807&amp;"."&amp;I$123,'Flanges Chart'!$1:$1,0),0),"")</f>
        <v/>
      </c>
    </row>
    <row r="808" spans="1:13" ht="14.55" customHeight="1" x14ac:dyDescent="0.3">
      <c r="A808" s="1264"/>
      <c r="B808" s="1467" t="s">
        <v>352</v>
      </c>
      <c r="C808" s="731">
        <v>10</v>
      </c>
      <c r="D808" s="729">
        <v>300</v>
      </c>
      <c r="E808" s="729" t="s">
        <v>338</v>
      </c>
      <c r="F808" s="729">
        <v>4</v>
      </c>
      <c r="G808" s="729" t="s">
        <v>364</v>
      </c>
      <c r="H808" s="1465">
        <f>IFERROR(VLOOKUP($C808&amp;"F"&amp;$D808,'Flanges Chart'!$1:$1048576,MATCH($E808&amp;"."&amp;H$123,'Flanges Chart'!$1:$1,0),0),"")</f>
        <v>41</v>
      </c>
      <c r="I808" s="1466">
        <f>IFERROR(VLOOKUP($C808&amp;"F"&amp;$D808,'Flanges Chart'!$1:$1048576,MATCH($E808&amp;"."&amp;I$123,'Flanges Chart'!$1:$1,0),0),"")</f>
        <v>0.28085461331974321</v>
      </c>
    </row>
    <row r="809" spans="1:13" ht="14.55" customHeight="1" x14ac:dyDescent="0.3">
      <c r="A809" s="1264"/>
      <c r="B809" s="1467" t="s">
        <v>353</v>
      </c>
      <c r="C809" s="731"/>
      <c r="D809" s="729"/>
      <c r="E809" s="729"/>
      <c r="F809" s="729"/>
      <c r="G809" s="729"/>
      <c r="H809" s="1465" t="str">
        <f>IFERROR(VLOOKUP($C809&amp;"F"&amp;$D809,'Flanges Chart'!$1:$1048576,MATCH($E809&amp;"."&amp;H$123,'Flanges Chart'!$1:$1,0),0),"")</f>
        <v/>
      </c>
      <c r="I809" s="1466" t="str">
        <f>IFERROR(VLOOKUP($C809&amp;"F"&amp;$D809,'Flanges Chart'!$1:$1048576,MATCH($E809&amp;"."&amp;I$123,'Flanges Chart'!$1:$1,0),0),"")</f>
        <v/>
      </c>
    </row>
    <row r="810" spans="1:13" ht="14.55" customHeight="1" x14ac:dyDescent="0.3">
      <c r="A810" s="1264"/>
      <c r="B810" s="1467" t="s">
        <v>354</v>
      </c>
      <c r="C810" s="731"/>
      <c r="D810" s="729"/>
      <c r="E810" s="729"/>
      <c r="F810" s="729"/>
      <c r="G810" s="729"/>
      <c r="H810" s="1465" t="str">
        <f>IFERROR(VLOOKUP($C810&amp;"F"&amp;$D810,'Flanges Chart'!$1:$1048576,MATCH($E810&amp;"."&amp;H$123,'Flanges Chart'!$1:$1,0),0),"")</f>
        <v/>
      </c>
      <c r="I810" s="1466" t="str">
        <f>IFERROR(VLOOKUP($C810&amp;"F"&amp;$D810,'Flanges Chart'!$1:$1048576,MATCH($E810&amp;"."&amp;I$123,'Flanges Chart'!$1:$1,0),0),"")</f>
        <v/>
      </c>
    </row>
    <row r="811" spans="1:13" ht="15" customHeight="1" thickBot="1" x14ac:dyDescent="0.35">
      <c r="A811" s="1264"/>
      <c r="B811" s="1468" t="s">
        <v>355</v>
      </c>
      <c r="C811" s="732"/>
      <c r="D811" s="733"/>
      <c r="E811" s="733"/>
      <c r="F811" s="733"/>
      <c r="G811" s="733"/>
      <c r="H811" s="1469" t="s">
        <v>356</v>
      </c>
      <c r="I811" s="1470" t="str">
        <f>IFERROR(VLOOKUP($C811&amp;"F"&amp;$D811,'Flanges Chart'!$1:$1048576,MATCH($E811&amp;"."&amp;I$123,'Flanges Chart'!$1:$1,0),0),"")</f>
        <v/>
      </c>
    </row>
    <row r="812" spans="1:13" s="496" customFormat="1" ht="18.600000000000001" thickBot="1" x14ac:dyDescent="0.35">
      <c r="A812" s="493" t="str">
        <f>"POS."&amp;K812&amp;" "&amp;VLOOKUP(K812,'Equip&amp;Mach List'!$1:$1048576,2,0)&amp;" "&amp;VLOOKUP(K812,'Equip&amp;Mach List'!$1:$1048576,3,0)</f>
        <v xml:space="preserve">POS.7  </v>
      </c>
      <c r="B812" s="511"/>
      <c r="C812" s="494"/>
      <c r="D812" s="495"/>
      <c r="E812" s="495"/>
      <c r="F812" s="497"/>
      <c r="G812" s="495"/>
      <c r="H812" s="495"/>
      <c r="I812" s="1255" t="str">
        <f>IFERROR("Weight Calc./Selected = "&amp;ROUND(B929,1)&amp;"/"&amp;B930&amp;" kg - Øi ="&amp;IF(B836=0,F836,B836)&amp;" mm"&amp;"T/T ="&amp;IF(B837=0,F837,B837)&amp;" mm - Material "&amp;B823&amp;"        ","")</f>
        <v xml:space="preserve">Weight Calc./Selected = 323,6/350 kg - Øi =390 mmT/T =398 mm - Material SA-240 Gr.316L        </v>
      </c>
      <c r="K812" s="496">
        <v>7</v>
      </c>
      <c r="M812" s="1254"/>
    </row>
    <row r="813" spans="1:13" ht="14.55" customHeight="1" x14ac:dyDescent="0.3">
      <c r="A813" s="1256"/>
      <c r="B813" s="451"/>
      <c r="C813" s="451"/>
      <c r="D813" s="451"/>
      <c r="E813" s="451"/>
      <c r="F813" s="451"/>
      <c r="G813" s="451"/>
      <c r="H813" s="451"/>
      <c r="I813" s="1257"/>
      <c r="K813" s="477" t="s">
        <v>166</v>
      </c>
      <c r="L813" s="477" t="str">
        <f>K812&amp;"."&amp;K813</f>
        <v>7.Design Code</v>
      </c>
      <c r="M813" s="1252" t="str">
        <f>A814&amp;" "&amp;B814</f>
        <v>ASME VIII div.1</v>
      </c>
    </row>
    <row r="814" spans="1:13" ht="14.55" customHeight="1" x14ac:dyDescent="0.3">
      <c r="A814" s="1258" t="s">
        <v>167</v>
      </c>
      <c r="B814" s="718" t="s">
        <v>168</v>
      </c>
      <c r="C814" s="459"/>
      <c r="D814" s="460"/>
      <c r="E814" s="460"/>
      <c r="F814" s="460"/>
      <c r="G814" s="460"/>
      <c r="H814" s="460"/>
      <c r="I814" s="1259"/>
      <c r="K814" s="477" t="s">
        <v>169</v>
      </c>
      <c r="L814" s="477" t="str">
        <f>K812&amp;"."&amp;K814</f>
        <v>7.Orientation</v>
      </c>
      <c r="M814" s="1252" t="str">
        <f>B815</f>
        <v>Vertical</v>
      </c>
    </row>
    <row r="815" spans="1:13" ht="14.55" customHeight="1" x14ac:dyDescent="0.3">
      <c r="A815" s="1258" t="s">
        <v>170</v>
      </c>
      <c r="B815" s="718" t="s">
        <v>171</v>
      </c>
      <c r="C815" s="459"/>
      <c r="D815" s="460"/>
      <c r="E815" s="460"/>
      <c r="F815" s="461"/>
      <c r="G815" s="460"/>
      <c r="H815" s="460"/>
      <c r="I815" s="1259"/>
      <c r="K815" s="477" t="s">
        <v>172</v>
      </c>
      <c r="L815" s="477" t="str">
        <f>K812&amp;"."&amp;K815</f>
        <v>7.Design Temperature</v>
      </c>
      <c r="M815" s="1252">
        <f>D818</f>
        <v>430</v>
      </c>
    </row>
    <row r="816" spans="1:13" ht="14.55" customHeight="1" x14ac:dyDescent="0.3">
      <c r="A816" s="1258"/>
      <c r="B816" s="459"/>
      <c r="C816" s="459"/>
      <c r="D816" s="460"/>
      <c r="E816" s="460"/>
      <c r="F816" s="462"/>
      <c r="G816" s="460"/>
      <c r="H816" s="460"/>
      <c r="I816" s="1259"/>
      <c r="K816" s="477" t="s">
        <v>173</v>
      </c>
      <c r="L816" s="477" t="str">
        <f>K812&amp;"."&amp;K816</f>
        <v>7.Design Pressure</v>
      </c>
      <c r="M816" s="1252">
        <f>D819</f>
        <v>3.5</v>
      </c>
    </row>
    <row r="817" spans="1:13" ht="14.55" customHeight="1" x14ac:dyDescent="0.3">
      <c r="A817" s="1260" t="s">
        <v>174</v>
      </c>
      <c r="B817" s="459"/>
      <c r="C817" s="459"/>
      <c r="D817" s="460"/>
      <c r="E817" s="460"/>
      <c r="F817" s="462"/>
      <c r="G817" s="460"/>
      <c r="H817" s="460"/>
      <c r="I817" s="1259"/>
      <c r="K817" s="477" t="s">
        <v>175</v>
      </c>
      <c r="L817" s="477" t="str">
        <f>K812&amp;"."&amp;K817</f>
        <v>7.Material</v>
      </c>
      <c r="M817" s="1252" t="str">
        <f>B823</f>
        <v>SA-240 Gr.316L</v>
      </c>
    </row>
    <row r="818" spans="1:13" ht="14.55" customHeight="1" x14ac:dyDescent="0.3">
      <c r="A818" s="1258" t="s">
        <v>176</v>
      </c>
      <c r="B818" s="719">
        <v>430</v>
      </c>
      <c r="C818" s="720" t="s">
        <v>177</v>
      </c>
      <c r="D818" s="464">
        <f>IF(C818="°C",B818,0)+IF(C818="°F",(B818-32)*5/9,0)</f>
        <v>430</v>
      </c>
      <c r="E818" s="460" t="s">
        <v>177</v>
      </c>
      <c r="F818" s="462"/>
      <c r="G818" s="460"/>
      <c r="H818" s="460"/>
      <c r="I818" s="1259"/>
      <c r="K818" s="477" t="s">
        <v>178</v>
      </c>
      <c r="L818" s="477" t="str">
        <f>K812&amp;"."&amp;K818</f>
        <v>7.Inside Diameter</v>
      </c>
      <c r="M818" s="1252">
        <f>IF(B836=0,F836,B836)</f>
        <v>390</v>
      </c>
    </row>
    <row r="819" spans="1:13" ht="14.55" customHeight="1" x14ac:dyDescent="0.3">
      <c r="A819" s="1258" t="s">
        <v>179</v>
      </c>
      <c r="B819" s="721">
        <v>3.5</v>
      </c>
      <c r="C819" s="720" t="s">
        <v>180</v>
      </c>
      <c r="D819" s="452">
        <f>IF(C819="barg",B819,0)+IF(C819="psig",B819*List!$AV$4,0)+IF(C819="MPa",B819*List!$AV$5,0)+IF(C819="N/mm2",B819*List!$AV$6,0)</f>
        <v>3.5</v>
      </c>
      <c r="E819" s="460" t="s">
        <v>180</v>
      </c>
      <c r="F819" s="460"/>
      <c r="G819" s="460"/>
      <c r="H819" s="460"/>
      <c r="I819" s="1259"/>
      <c r="K819" s="477" t="s">
        <v>181</v>
      </c>
      <c r="L819" s="477" t="str">
        <f>K812&amp;"."&amp;K819</f>
        <v>7.Tan / Tan</v>
      </c>
      <c r="M819" s="1252">
        <f>IF(B838=0,F838,B838)</f>
        <v>2900</v>
      </c>
    </row>
    <row r="820" spans="1:13" ht="14.55" customHeight="1" x14ac:dyDescent="0.3">
      <c r="A820" s="1258" t="s">
        <v>182</v>
      </c>
      <c r="B820" s="721"/>
      <c r="C820" s="720"/>
      <c r="D820" s="452">
        <f>IF(C820="barg",B820,0)+IF(C820="psig",B820*List!$AV$4,0)+IF(C820="MPa",B820*List!$AV$5,0)+IF(C820="N/mm2",B820*List!$AV$6,0)</f>
        <v>0</v>
      </c>
      <c r="E820" s="460" t="s">
        <v>180</v>
      </c>
      <c r="F820" s="460"/>
      <c r="G820" s="465"/>
      <c r="H820" s="460"/>
      <c r="I820" s="1259"/>
      <c r="K820" s="477" t="s">
        <v>183</v>
      </c>
      <c r="L820" s="477" t="str">
        <f>K812&amp;"."&amp;K820</f>
        <v>7.Thickness</v>
      </c>
      <c r="M820" s="1252">
        <f>IF(B877=0,F881,B877)</f>
        <v>4</v>
      </c>
    </row>
    <row r="821" spans="1:13" ht="14.55" customHeight="1" x14ac:dyDescent="0.3">
      <c r="A821" s="1258"/>
      <c r="B821" s="459"/>
      <c r="C821" s="459"/>
      <c r="D821" s="460"/>
      <c r="E821" s="460"/>
      <c r="F821" s="460"/>
      <c r="G821" s="465"/>
      <c r="H821" s="460"/>
      <c r="I821" s="1259"/>
      <c r="K821" s="477" t="s">
        <v>184</v>
      </c>
      <c r="L821" s="477" t="str">
        <f>K812&amp;"."&amp;K821</f>
        <v>7.Unit Weight</v>
      </c>
      <c r="M821" s="1252">
        <f>B930</f>
        <v>350</v>
      </c>
    </row>
    <row r="822" spans="1:13" ht="14.55" customHeight="1" x14ac:dyDescent="0.3">
      <c r="A822" s="1260" t="s">
        <v>185</v>
      </c>
      <c r="B822" s="459" t="s">
        <v>186</v>
      </c>
      <c r="C822" s="459"/>
      <c r="D822" s="460"/>
      <c r="E822" s="460"/>
      <c r="F822" s="460" t="s">
        <v>187</v>
      </c>
      <c r="G822" s="465"/>
      <c r="H822" s="460"/>
      <c r="I822" s="1259"/>
      <c r="K822" s="478" t="s">
        <v>188</v>
      </c>
      <c r="L822" s="477" t="str">
        <f>K812&amp;"."&amp;K822</f>
        <v>7.Unit External Surface</v>
      </c>
      <c r="M822" s="1252">
        <f>B926</f>
        <v>4.3823130907408672</v>
      </c>
    </row>
    <row r="823" spans="1:13" ht="14.55" customHeight="1" x14ac:dyDescent="0.3">
      <c r="A823" s="1258" t="s">
        <v>189</v>
      </c>
      <c r="B823" s="1716" t="s">
        <v>190</v>
      </c>
      <c r="C823" s="1717"/>
      <c r="D823" s="460"/>
      <c r="E823" s="461"/>
      <c r="F823" s="1716"/>
      <c r="G823" s="1717"/>
      <c r="H823" s="460"/>
      <c r="I823" s="1259"/>
      <c r="K823" s="477" t="s">
        <v>191</v>
      </c>
      <c r="L823" s="477" t="str">
        <f>K812&amp;"."&amp;K823</f>
        <v>7.M1 DN</v>
      </c>
      <c r="M823" s="1252">
        <f>C944</f>
        <v>16</v>
      </c>
    </row>
    <row r="824" spans="1:13" ht="14.55" customHeight="1" x14ac:dyDescent="0.3">
      <c r="A824" s="1258" t="s">
        <v>192</v>
      </c>
      <c r="B824" s="1716" t="s">
        <v>190</v>
      </c>
      <c r="C824" s="1717"/>
      <c r="D824" s="460"/>
      <c r="E824" s="461"/>
      <c r="F824" s="1716"/>
      <c r="G824" s="1717"/>
      <c r="H824" s="460"/>
      <c r="I824" s="1259"/>
      <c r="K824" s="477" t="s">
        <v>193</v>
      </c>
      <c r="L824" s="477" t="str">
        <f>K812&amp;"."&amp;K824</f>
        <v>7.M1 Rating</v>
      </c>
      <c r="M824" s="1252">
        <f>D944</f>
        <v>150</v>
      </c>
    </row>
    <row r="825" spans="1:13" ht="14.55" customHeight="1" x14ac:dyDescent="0.3">
      <c r="A825" s="1258"/>
      <c r="B825" s="466"/>
      <c r="C825" s="466"/>
      <c r="D825" s="460"/>
      <c r="E825" s="460"/>
      <c r="F825" s="460"/>
      <c r="G825" s="460"/>
      <c r="H825" s="460"/>
      <c r="I825" s="1259"/>
      <c r="K825" s="477" t="s">
        <v>194</v>
      </c>
      <c r="L825" s="477" t="str">
        <f>K812&amp;"."&amp;K825</f>
        <v>7.M1 Type</v>
      </c>
      <c r="M825" s="1252" t="str">
        <f>E944</f>
        <v>Blind</v>
      </c>
    </row>
    <row r="826" spans="1:13" ht="14.55" customHeight="1" x14ac:dyDescent="0.3">
      <c r="A826" s="1258" t="s">
        <v>195</v>
      </c>
      <c r="B826" s="460"/>
      <c r="C826" s="460"/>
      <c r="D826" s="460"/>
      <c r="E826" s="460"/>
      <c r="F826" s="460"/>
      <c r="G826" s="460"/>
      <c r="H826" s="460"/>
      <c r="I826" s="1259"/>
      <c r="K826" s="477" t="s">
        <v>196</v>
      </c>
      <c r="L826" s="477" t="str">
        <f>K812&amp;"."&amp;K826</f>
        <v>7.M1 Quantity</v>
      </c>
      <c r="M826" s="1252">
        <f>F944</f>
        <v>0</v>
      </c>
    </row>
    <row r="827" spans="1:13" ht="14.55" customHeight="1" x14ac:dyDescent="0.3">
      <c r="A827" s="1258" t="s">
        <v>197</v>
      </c>
      <c r="B827" s="464">
        <f>$D818*(VLOOKUP($B823,'ASME II Tab 1A'!$1:$1048576,MATCH($D818,'ASME II Tab 1A'!$6:$6,1)+1,0)-VLOOKUP($B823,'ASME II Tab 1A'!$1:$1048576,MATCH($D818,'ASME II Tab 1A'!$6:$6,1),0))/(INDEX('ASME II Tab 1A'!$6:$6,MATCH($D818,'ASME II Tab 1A'!$6:$6,1)+1)-INDEX('ASME II Tab 1A'!$6:$6,MATCH($D818,'ASME II Tab 1A'!$6:$6,1)))+VLOOKUP($B823,'ASME II Tab 1A'!$1:$1048576,MATCH($D818,'ASME II Tab 1A'!$6:$6,1)+1,0)-INDEX('ASME II Tab 1A'!$6:$6,MATCH($D818,'ASME II Tab 1A'!$6:$6,1)+1)*(VLOOKUP($B823,'ASME II Tab 1A'!$1:$1048576,MATCH($D818,'ASME II Tab 1A'!$6:$6,1)+1,0)-VLOOKUP($B823,'ASME II Tab 1A'!$1:$1048576,MATCH($D818,'ASME II Tab 1A'!$6:$6,1),0))/(INDEX('ASME II Tab 1A'!$6:$6,MATCH($D818,'ASME II Tab 1A'!$6:$6,1)+1)-INDEX('ASME II Tab 1A'!$6:$6,MATCH($D818,'ASME II Tab 1A'!$6:$6,1)))</f>
        <v>88.759999999999991</v>
      </c>
      <c r="C827" s="460" t="s">
        <v>198</v>
      </c>
      <c r="D827" s="460"/>
      <c r="E827" s="467"/>
      <c r="F827" s="460" t="e">
        <f>$D818*(VLOOKUP($F823,'ASME II Tab 1A'!$1:$1048576,MATCH($D818,'ASME II Tab 1A'!$6:$6,1)+1,0)-VLOOKUP($F823,'ASME II Tab 1A'!$1:$1048576,MATCH($D818,'ASME II Tab 1A'!$6:$6,1),0))/(INDEX('ASME II Tab 1A'!$6:$6,MATCH($D818,'ASME II Tab 1A'!$6:$6,1)+1)-INDEX('ASME II Tab 1A'!$6:$6,MATCH($D818,'ASME II Tab 1A'!$6:$6,1)))+VLOOKUP($F823,'ASME II Tab 1A'!$1:$1048576,MATCH($D818,'ASME II Tab 1A'!$6:$6,1)+1,0)-INDEX('ASME II Tab 1A'!$6:$6,MATCH($D818,'ASME II Tab 1A'!$6:$6,1)+1)*(VLOOKUP($F823,'ASME II Tab 1A'!$1:$1048576,MATCH($D818,'ASME II Tab 1A'!$6:$6,1)+1,0)-VLOOKUP($F823,'ASME II Tab 1A'!$1:$1048576,MATCH($D818,'ASME II Tab 1A'!$6:$6,1),0))/(INDEX('ASME II Tab 1A'!$6:$6,MATCH($D818,'ASME II Tab 1A'!$6:$6,1)+1)-INDEX('ASME II Tab 1A'!$6:$6,MATCH($D818,'ASME II Tab 1A'!$6:$6,1)))</f>
        <v>#N/A</v>
      </c>
      <c r="G827" s="460" t="s">
        <v>198</v>
      </c>
      <c r="H827" s="460"/>
      <c r="I827" s="1259"/>
      <c r="K827" s="477" t="s">
        <v>199</v>
      </c>
      <c r="L827" s="477" t="str">
        <f>K812&amp;"."&amp;K827</f>
        <v>7.M2 DN</v>
      </c>
      <c r="M827" s="1252">
        <f>C945</f>
        <v>0</v>
      </c>
    </row>
    <row r="828" spans="1:13" ht="14.55" customHeight="1" x14ac:dyDescent="0.3">
      <c r="A828" s="1258" t="s">
        <v>200</v>
      </c>
      <c r="B828" s="464">
        <f>$D818*(VLOOKUP($B824,'ASME II Tab 1A'!$1:$1048576,MATCH($D818,'ASME II Tab 1A'!$6:$6,1)+1,0)-VLOOKUP($B824,'ASME II Tab 1A'!$1:$1048576,MATCH($D818,'ASME II Tab 1A'!$6:$6,1),0))/(INDEX('ASME II Tab 1A'!$6:$6,MATCH($D818,'ASME II Tab 1A'!$6:$6,1)+1)-INDEX('ASME II Tab 1A'!$6:$6,MATCH($D818,'ASME II Tab 1A'!$6:$6,1)))+VLOOKUP($B824,'ASME II Tab 1A'!$1:$1048576,MATCH($D818,'ASME II Tab 1A'!$6:$6,1)+1,0)-INDEX('ASME II Tab 1A'!$6:$6,MATCH($D818,'ASME II Tab 1A'!$6:$6,1)+1)*(VLOOKUP($B824,'ASME II Tab 1A'!$1:$1048576,MATCH($D818,'ASME II Tab 1A'!$6:$6,1)+1,0)-VLOOKUP($B824,'ASME II Tab 1A'!$1:$1048576,MATCH($D818,'ASME II Tab 1A'!$6:$6,1),0))/(INDEX('ASME II Tab 1A'!$6:$6,MATCH($D818,'ASME II Tab 1A'!$6:$6,1)+1)-INDEX('ASME II Tab 1A'!$6:$6,MATCH($D818,'ASME II Tab 1A'!$6:$6,1)))</f>
        <v>88.759999999999991</v>
      </c>
      <c r="C828" s="460" t="s">
        <v>198</v>
      </c>
      <c r="D828" s="460"/>
      <c r="E828" s="460"/>
      <c r="F828" s="460" t="e">
        <f>$D818*(VLOOKUP($F824,'ASME II Tab 1A'!$1:$1048576,MATCH($D818,'ASME II Tab 1A'!$6:$6,1)+1,0)-VLOOKUP($F824,'ASME II Tab 1A'!$1:$1048576,MATCH($D818,'ASME II Tab 1A'!$6:$6,1),0))/(INDEX('ASME II Tab 1A'!$6:$6,MATCH($D818,'ASME II Tab 1A'!$6:$6,1)+1)-INDEX('ASME II Tab 1A'!$6:$6,MATCH($D818,'ASME II Tab 1A'!$6:$6,1)))+VLOOKUP($F824,'ASME II Tab 1A'!$1:$1048576,MATCH($D818,'ASME II Tab 1A'!$6:$6,1)+1,0)-INDEX('ASME II Tab 1A'!$6:$6,MATCH($D818,'ASME II Tab 1A'!$6:$6,1)+1)*(VLOOKUP($F824,'ASME II Tab 1A'!$1:$1048576,MATCH($D818,'ASME II Tab 1A'!$6:$6,1)+1,0)-VLOOKUP($F824,'ASME II Tab 1A'!$1:$1048576,MATCH($D818,'ASME II Tab 1A'!$6:$6,1),0))/(INDEX('ASME II Tab 1A'!$6:$6,MATCH($D818,'ASME II Tab 1A'!$6:$6,1)+1)-INDEX('ASME II Tab 1A'!$6:$6,MATCH($D818,'ASME II Tab 1A'!$6:$6,1)))</f>
        <v>#N/A</v>
      </c>
      <c r="G828" s="460" t="s">
        <v>198</v>
      </c>
      <c r="H828" s="460"/>
      <c r="I828" s="1259"/>
      <c r="K828" s="477" t="s">
        <v>201</v>
      </c>
      <c r="L828" s="477" t="str">
        <f>K812&amp;"."&amp;K828</f>
        <v>7.M2 Rating</v>
      </c>
      <c r="M828" s="1252">
        <f>D945</f>
        <v>0</v>
      </c>
    </row>
    <row r="829" spans="1:13" ht="14.55" customHeight="1" x14ac:dyDescent="0.3">
      <c r="A829" s="1258" t="s">
        <v>202</v>
      </c>
      <c r="B829" s="460"/>
      <c r="C829" s="460"/>
      <c r="D829" s="460"/>
      <c r="E829" s="460"/>
      <c r="F829" s="460"/>
      <c r="G829" s="460"/>
      <c r="H829" s="460"/>
      <c r="I829" s="1259"/>
      <c r="K829" s="477" t="s">
        <v>203</v>
      </c>
      <c r="L829" s="477" t="str">
        <f>K812&amp;"."&amp;K829</f>
        <v>7.M2 Type</v>
      </c>
      <c r="M829" s="1252">
        <f>E945</f>
        <v>0</v>
      </c>
    </row>
    <row r="830" spans="1:13" ht="14.55" customHeight="1" x14ac:dyDescent="0.3">
      <c r="A830" s="1258" t="s">
        <v>197</v>
      </c>
      <c r="B830" s="464">
        <f>$D818*(VLOOKUP($B823,'ASME II Tab 5A'!$1:$1048576,MATCH($D818,'ASME II Tab 5A'!$5:$5,1)+1,0)-VLOOKUP($B823,'ASME II Tab 5A'!$1:$1048576,MATCH($D818,'ASME II Tab 5A'!$5:$5,1),0))/(INDEX('ASME II Tab 5A'!$5:$5,MATCH($D818,'ASME II Tab 5A'!$5:$5,1)+1)-INDEX('ASME II Tab 5A'!$5:$5,MATCH($D818,'ASME II Tab 5A'!$5:$5,1)))+VLOOKUP($B823,'ASME II Tab 5A'!$1:$1048576,MATCH($D818,'ASME II Tab 5A'!$5:$5,1)+1,0)-INDEX('ASME II Tab 5A'!$5:$5,MATCH($D818,'ASME II Tab 5A'!$5:$5,1)+1)*(VLOOKUP($B823,'ASME II Tab 5A'!$1:$1048576,MATCH($D818,'ASME II Tab 5A'!$5:$5,1)+1,0)-VLOOKUP($B823,'ASME II Tab 5A'!$1:$1048576,MATCH($D818,'ASME II Tab 5A'!$5:$5,1),0))/(INDEX('ASME II Tab 5A'!$5:$5,MATCH($D818,'ASME II Tab 5A'!$5:$5,1)+1)-INDEX('ASME II Tab 5A'!$5:$5,MATCH($D818,'ASME II Tab 5A'!$5:$5,1)))</f>
        <v>88.96</v>
      </c>
      <c r="C830" s="460" t="s">
        <v>198</v>
      </c>
      <c r="D830" s="460"/>
      <c r="E830" s="460"/>
      <c r="F830" s="460" t="e">
        <f>$D818*(VLOOKUP($F823,'ASME II Tab 5A'!$1:$1048576,MATCH($D818,'ASME II Tab 5A'!$5:$5,1)+1,0)-VLOOKUP($F823,'ASME II Tab 5A'!$1:$1048576,MATCH($D818,'ASME II Tab 5A'!$5:$5,1),0))/(INDEX('ASME II Tab 5A'!$5:$5,MATCH($D818,'ASME II Tab 5A'!$5:$5,1)+1)-INDEX('ASME II Tab 5A'!$5:$5,MATCH($D818,'ASME II Tab 5A'!$5:$5,1)))+VLOOKUP($F823,'ASME II Tab 5A'!$1:$1048576,MATCH($D818,'ASME II Tab 5A'!$5:$5,1)+1,0)-INDEX('ASME II Tab 5A'!$5:$5,MATCH($D818,'ASME II Tab 5A'!$5:$5,1)+1)*(VLOOKUP($F823,'ASME II Tab 5A'!$1:$1048576,MATCH($D818,'ASME II Tab 5A'!$5:$5,1)+1,0)-VLOOKUP($F823,'ASME II Tab 5A'!$1:$1048576,MATCH($D818,'ASME II Tab 5A'!$5:$5,1),0))/(INDEX('ASME II Tab 5A'!$5:$5,MATCH($D818,'ASME II Tab 5A'!$5:$5,1)+1)-INDEX('ASME II Tab 5A'!$5:$5,MATCH($D818,'ASME II Tab 5A'!$5:$5,1)))</f>
        <v>#N/A</v>
      </c>
      <c r="G830" s="460" t="s">
        <v>198</v>
      </c>
      <c r="H830" s="460"/>
      <c r="I830" s="1259"/>
      <c r="K830" s="477" t="s">
        <v>204</v>
      </c>
      <c r="L830" s="477" t="str">
        <f>K812&amp;"."&amp;K830</f>
        <v>7.M2 Quantity</v>
      </c>
      <c r="M830" s="1252">
        <f>F945</f>
        <v>0</v>
      </c>
    </row>
    <row r="831" spans="1:13" ht="14.55" customHeight="1" x14ac:dyDescent="0.3">
      <c r="A831" s="1258" t="s">
        <v>200</v>
      </c>
      <c r="B831" s="464">
        <f>$D818*(VLOOKUP($B824,'ASME II Tab 5A'!$1:$1048576,MATCH($D818,'ASME II Tab 5A'!$5:$5,1)+1,0)-VLOOKUP($B824,'ASME II Tab 5A'!$1:$1048576,MATCH($D818,'ASME II Tab 5A'!$5:$5,1),0))/(INDEX('ASME II Tab 5A'!$5:$5,MATCH($D818,'ASME II Tab 5A'!$5:$5,1)+1)-INDEX('ASME II Tab 5A'!$5:$5,MATCH($D818,'ASME II Tab 5A'!$5:$5,1)))+VLOOKUP($B824,'ASME II Tab 5A'!$1:$1048576,MATCH($D818,'ASME II Tab 5A'!$5:$5,1)+1,0)-INDEX('ASME II Tab 5A'!$5:$5,MATCH($D818,'ASME II Tab 5A'!$5:$5,1)+1)*(VLOOKUP($B824,'ASME II Tab 5A'!$1:$1048576,MATCH($D818,'ASME II Tab 5A'!$5:$5,1)+1,0)-VLOOKUP($B824,'ASME II Tab 5A'!$1:$1048576,MATCH($D818,'ASME II Tab 5A'!$5:$5,1),0))/(INDEX('ASME II Tab 5A'!$5:$5,MATCH($D818,'ASME II Tab 5A'!$5:$5,1)+1)-INDEX('ASME II Tab 5A'!$5:$5,MATCH($D818,'ASME II Tab 5A'!$5:$5,1)))</f>
        <v>88.96</v>
      </c>
      <c r="C831" s="460" t="s">
        <v>198</v>
      </c>
      <c r="D831" s="460"/>
      <c r="E831" s="460"/>
      <c r="F831" s="460" t="e">
        <f>$D818*(VLOOKUP($F824,'ASME II Tab 5A'!$1:$1048576,MATCH($D818,'ASME II Tab 5A'!$5:$5,1)+1,0)-VLOOKUP($F824,'ASME II Tab 5A'!$1:$1048576,MATCH($D818,'ASME II Tab 5A'!$5:$5,1),0))/(INDEX('ASME II Tab 5A'!$5:$5,MATCH($D818,'ASME II Tab 5A'!$5:$5,1)+1)-INDEX('ASME II Tab 5A'!$5:$5,MATCH($D818,'ASME II Tab 5A'!$5:$5,1)))+VLOOKUP($F824,'ASME II Tab 5A'!$1:$1048576,MATCH($D818,'ASME II Tab 5A'!$5:$5,1)+1,0)-INDEX('ASME II Tab 5A'!$5:$5,MATCH($D818,'ASME II Tab 5A'!$5:$5,1)+1)*(VLOOKUP($F824,'ASME II Tab 5A'!$1:$1048576,MATCH($D818,'ASME II Tab 5A'!$5:$5,1)+1,0)-VLOOKUP($F824,'ASME II Tab 5A'!$1:$1048576,MATCH($D818,'ASME II Tab 5A'!$5:$5,1),0))/(INDEX('ASME II Tab 5A'!$5:$5,MATCH($D818,'ASME II Tab 5A'!$5:$5,1)+1)-INDEX('ASME II Tab 5A'!$5:$5,MATCH($D818,'ASME II Tab 5A'!$5:$5,1)))</f>
        <v>#N/A</v>
      </c>
      <c r="G831" s="460" t="s">
        <v>198</v>
      </c>
      <c r="H831" s="460"/>
      <c r="I831" s="1259"/>
      <c r="K831" s="477" t="s">
        <v>205</v>
      </c>
      <c r="L831" s="477" t="str">
        <f>K812&amp;"."&amp;K831</f>
        <v>7.M3 DN</v>
      </c>
      <c r="M831" s="1252">
        <f>C946</f>
        <v>0</v>
      </c>
    </row>
    <row r="832" spans="1:13" ht="14.55" customHeight="1" x14ac:dyDescent="0.3">
      <c r="A832" s="1258"/>
      <c r="B832" s="460"/>
      <c r="C832" s="460"/>
      <c r="D832" s="460"/>
      <c r="E832" s="460"/>
      <c r="F832" s="460"/>
      <c r="G832" s="460"/>
      <c r="H832" s="460"/>
      <c r="I832" s="1259"/>
      <c r="K832" s="477" t="s">
        <v>206</v>
      </c>
      <c r="L832" s="477" t="str">
        <f>K812&amp;"."&amp;K832</f>
        <v>7.M3 Rating</v>
      </c>
      <c r="M832" s="1252">
        <f>D946</f>
        <v>0</v>
      </c>
    </row>
    <row r="833" spans="1:13" ht="14.55" customHeight="1" x14ac:dyDescent="0.3">
      <c r="A833" s="1260" t="s">
        <v>207</v>
      </c>
      <c r="B833" s="453"/>
      <c r="C833" s="460"/>
      <c r="D833" s="453"/>
      <c r="E833" s="460"/>
      <c r="F833" s="453"/>
      <c r="G833" s="460"/>
      <c r="H833" s="460"/>
      <c r="I833" s="1259"/>
      <c r="K833" s="477" t="s">
        <v>208</v>
      </c>
      <c r="L833" s="477" t="str">
        <f>K812&amp;"."&amp;K833</f>
        <v>7.M3 Type</v>
      </c>
      <c r="M833" s="1252">
        <f>E946</f>
        <v>0</v>
      </c>
    </row>
    <row r="834" spans="1:13" ht="14.55" customHeight="1" x14ac:dyDescent="0.3">
      <c r="A834" s="1260"/>
      <c r="B834" s="305" t="s">
        <v>209</v>
      </c>
      <c r="C834" s="460"/>
      <c r="D834" s="305" t="s">
        <v>210</v>
      </c>
      <c r="E834" s="460"/>
      <c r="F834" s="305" t="s">
        <v>211</v>
      </c>
      <c r="G834" s="460"/>
      <c r="H834" s="460"/>
      <c r="I834" s="1259"/>
      <c r="K834" s="477" t="s">
        <v>212</v>
      </c>
      <c r="L834" s="477" t="str">
        <f>K812&amp;"."&amp;K834</f>
        <v>7.M3 Quantity</v>
      </c>
      <c r="M834" s="1252">
        <f>F946</f>
        <v>0</v>
      </c>
    </row>
    <row r="835" spans="1:13" ht="14.55" customHeight="1" x14ac:dyDescent="0.3">
      <c r="A835" s="1258" t="s">
        <v>213</v>
      </c>
      <c r="B835" s="305"/>
      <c r="C835" s="460"/>
      <c r="D835" s="305"/>
      <c r="E835" s="460"/>
      <c r="F835" s="723"/>
      <c r="G835" s="460" t="s">
        <v>214</v>
      </c>
      <c r="H835" s="460"/>
      <c r="I835" s="1259"/>
      <c r="K835" s="477" t="s">
        <v>215</v>
      </c>
      <c r="L835" s="477" t="str">
        <f>K812&amp;"."&amp;K835</f>
        <v>7.Shell insulation thk 1</v>
      </c>
      <c r="M835" s="1252">
        <f>B883</f>
        <v>0</v>
      </c>
    </row>
    <row r="836" spans="1:13" ht="14.55" customHeight="1" x14ac:dyDescent="0.3">
      <c r="A836" s="1258" t="s">
        <v>216</v>
      </c>
      <c r="B836" s="722">
        <v>390</v>
      </c>
      <c r="C836" s="460" t="s">
        <v>93</v>
      </c>
      <c r="D836" s="722"/>
      <c r="E836" s="460" t="s">
        <v>93</v>
      </c>
      <c r="F836" s="468">
        <f>F837-2*F881</f>
        <v>0</v>
      </c>
      <c r="G836" s="460" t="s">
        <v>93</v>
      </c>
      <c r="H836" s="460"/>
      <c r="I836" s="1259"/>
      <c r="K836" s="477" t="s">
        <v>217</v>
      </c>
      <c r="L836" s="477" t="str">
        <f>K812&amp;"."&amp;K836</f>
        <v>7.Head insulation thk 1</v>
      </c>
      <c r="M836" s="1252">
        <f>B884</f>
        <v>0</v>
      </c>
    </row>
    <row r="837" spans="1:13" ht="14.55" customHeight="1" x14ac:dyDescent="0.3">
      <c r="A837" s="1258" t="s">
        <v>218</v>
      </c>
      <c r="B837" s="468">
        <f>B836+B877*2</f>
        <v>398</v>
      </c>
      <c r="C837" s="460" t="s">
        <v>93</v>
      </c>
      <c r="D837" s="468">
        <f>D836+D877*2</f>
        <v>0</v>
      </c>
      <c r="E837" s="460" t="s">
        <v>93</v>
      </c>
      <c r="F837" s="468">
        <f>IFERROR(VLOOKUP(F835,'Thickness Tab'!$1:$1048576,3,0),0)</f>
        <v>0</v>
      </c>
      <c r="G837" s="460" t="s">
        <v>93</v>
      </c>
      <c r="H837" s="469"/>
      <c r="I837" s="1261"/>
      <c r="K837" s="477" t="s">
        <v>219</v>
      </c>
      <c r="L837" s="477" t="str">
        <f>K812&amp;"."&amp;K837</f>
        <v>7.Reducer insulation thk 1</v>
      </c>
      <c r="M837" s="1252">
        <f>B885</f>
        <v>0</v>
      </c>
    </row>
    <row r="838" spans="1:13" ht="14.55" customHeight="1" x14ac:dyDescent="0.3">
      <c r="A838" s="1258" t="s">
        <v>181</v>
      </c>
      <c r="B838" s="722">
        <v>2900</v>
      </c>
      <c r="C838" s="460" t="s">
        <v>93</v>
      </c>
      <c r="D838" s="722"/>
      <c r="E838" s="460" t="s">
        <v>93</v>
      </c>
      <c r="F838" s="722"/>
      <c r="G838" s="460" t="s">
        <v>93</v>
      </c>
      <c r="H838" s="460"/>
      <c r="I838" s="1259"/>
      <c r="K838" s="477" t="s">
        <v>220</v>
      </c>
      <c r="L838" s="477" t="str">
        <f>K812&amp;"."&amp;K838</f>
        <v>7.Shell insulation area 1</v>
      </c>
      <c r="M838" s="1252">
        <f>B843</f>
        <v>3.6241880000000002</v>
      </c>
    </row>
    <row r="839" spans="1:13" ht="14.55" customHeight="1" x14ac:dyDescent="0.3">
      <c r="A839" s="1258" t="s">
        <v>221</v>
      </c>
      <c r="B839" s="468">
        <f>(PI()*B838*(((B837/2)^2)-((B836/2)^2))*7860)/1000000000*1.05</f>
        <v>118.49933928291793</v>
      </c>
      <c r="C839" s="460" t="s">
        <v>222</v>
      </c>
      <c r="D839" s="468">
        <f>(PI()*D838*(((D837/2)^2)-((D836/2)^2))*7860)/1000000000*1.05</f>
        <v>0</v>
      </c>
      <c r="E839" s="460" t="s">
        <v>222</v>
      </c>
      <c r="F839" s="468">
        <f>(PI()*F838*(((F837/2)^2)-((F836/2)^2))*7860)/1000000000*1.05</f>
        <v>0</v>
      </c>
      <c r="G839" s="460" t="s">
        <v>222</v>
      </c>
      <c r="H839" s="469"/>
      <c r="I839" s="1261"/>
      <c r="K839" s="477" t="s">
        <v>223</v>
      </c>
      <c r="L839" s="477" t="str">
        <f>K812&amp;"."&amp;K839</f>
        <v>7.Head insulation area 1</v>
      </c>
      <c r="M839" s="1252">
        <f>B855</f>
        <v>0.12434713999999999</v>
      </c>
    </row>
    <row r="840" spans="1:13" ht="14.55" customHeight="1" x14ac:dyDescent="0.3">
      <c r="A840" s="1258" t="s">
        <v>224</v>
      </c>
      <c r="B840" s="468">
        <f>(PI()*((B836/2)^2)*B838)/1000000000</f>
        <v>0.34643127589298045</v>
      </c>
      <c r="C840" s="460" t="s">
        <v>225</v>
      </c>
      <c r="D840" s="468">
        <f>(PI()*((D836/2)^2)*D838)/1000000000</f>
        <v>0</v>
      </c>
      <c r="E840" s="460" t="s">
        <v>225</v>
      </c>
      <c r="F840" s="468">
        <f>(PI()*((F836/2)^2)*F838)/1000000000</f>
        <v>0</v>
      </c>
      <c r="G840" s="460" t="s">
        <v>225</v>
      </c>
      <c r="H840" s="469"/>
      <c r="I840" s="1261"/>
      <c r="K840" s="477" t="s">
        <v>226</v>
      </c>
      <c r="L840" s="477" t="str">
        <f>K812&amp;"."&amp;K840</f>
        <v>7.Reducer insulation area 1</v>
      </c>
      <c r="M840" s="1252">
        <f>B868</f>
        <v>0</v>
      </c>
    </row>
    <row r="841" spans="1:13" ht="14.55" customHeight="1" x14ac:dyDescent="0.3">
      <c r="A841" s="1258" t="s">
        <v>227</v>
      </c>
      <c r="B841" s="468">
        <f>(B837*3.14*B838)/1000000</f>
        <v>3.6241880000000002</v>
      </c>
      <c r="C841" s="460" t="s">
        <v>228</v>
      </c>
      <c r="D841" s="468">
        <f>(D837*3.14*D838)/1000000</f>
        <v>0</v>
      </c>
      <c r="E841" s="460" t="s">
        <v>228</v>
      </c>
      <c r="F841" s="468">
        <f>(F837*3.14*F838)/1000000</f>
        <v>0</v>
      </c>
      <c r="G841" s="460" t="s">
        <v>228</v>
      </c>
      <c r="H841" s="469"/>
      <c r="I841" s="1261"/>
      <c r="K841" s="477" t="s">
        <v>229</v>
      </c>
      <c r="L841" s="477" t="str">
        <f>K812&amp;"."&amp;K841</f>
        <v>7.Shell insulation thk 2</v>
      </c>
      <c r="M841" s="1252">
        <f>D883</f>
        <v>0</v>
      </c>
    </row>
    <row r="842" spans="1:13" ht="14.55" customHeight="1" x14ac:dyDescent="0.3">
      <c r="A842" s="1258" t="s">
        <v>230</v>
      </c>
      <c r="B842" s="468">
        <f>B837+2*B883</f>
        <v>398</v>
      </c>
      <c r="C842" s="460" t="s">
        <v>93</v>
      </c>
      <c r="D842" s="468">
        <f>D837+2*D883</f>
        <v>0</v>
      </c>
      <c r="E842" s="460" t="s">
        <v>93</v>
      </c>
      <c r="F842" s="468">
        <f>F837+2*F883</f>
        <v>0</v>
      </c>
      <c r="G842" s="460" t="s">
        <v>93</v>
      </c>
      <c r="H842" s="469"/>
      <c r="I842" s="1261"/>
      <c r="K842" s="477" t="s">
        <v>231</v>
      </c>
      <c r="L842" s="477" t="str">
        <f>K812&amp;"."&amp;K842</f>
        <v>7.Head insulation thk 2</v>
      </c>
      <c r="M842" s="1252">
        <f>D884</f>
        <v>0</v>
      </c>
    </row>
    <row r="843" spans="1:13" ht="14.55" customHeight="1" x14ac:dyDescent="0.3">
      <c r="A843" s="1258" t="s">
        <v>232</v>
      </c>
      <c r="B843" s="468">
        <f>(B842*3.14*B838)/1000000</f>
        <v>3.6241880000000002</v>
      </c>
      <c r="C843" s="460" t="s">
        <v>228</v>
      </c>
      <c r="D843" s="468">
        <f>(D842*3.14*D838)/1000000</f>
        <v>0</v>
      </c>
      <c r="E843" s="460" t="s">
        <v>228</v>
      </c>
      <c r="F843" s="468">
        <f>(F842*3.14*F838)/1000000</f>
        <v>0</v>
      </c>
      <c r="G843" s="460" t="s">
        <v>228</v>
      </c>
      <c r="H843" s="469"/>
      <c r="I843" s="1261"/>
      <c r="K843" s="477" t="s">
        <v>233</v>
      </c>
      <c r="L843" s="477" t="str">
        <f>K812&amp;"."&amp;K843</f>
        <v>7.Reducer insulation thk 2</v>
      </c>
      <c r="M843" s="1252">
        <f>D885</f>
        <v>0</v>
      </c>
    </row>
    <row r="844" spans="1:13" ht="14.55" customHeight="1" x14ac:dyDescent="0.3">
      <c r="A844" s="1258"/>
      <c r="B844" s="468"/>
      <c r="C844" s="460"/>
      <c r="D844" s="468"/>
      <c r="E844" s="460"/>
      <c r="F844" s="468"/>
      <c r="G844" s="460"/>
      <c r="H844" s="469"/>
      <c r="I844" s="1261"/>
      <c r="K844" s="477" t="s">
        <v>234</v>
      </c>
      <c r="L844" s="477" t="str">
        <f>K812&amp;"."&amp;K844</f>
        <v>7.Shell insulation area 2</v>
      </c>
      <c r="M844" s="1252">
        <f>D843</f>
        <v>0</v>
      </c>
    </row>
    <row r="845" spans="1:13" ht="14.55" customHeight="1" x14ac:dyDescent="0.3">
      <c r="A845" s="1258"/>
      <c r="B845" s="468" t="s">
        <v>235</v>
      </c>
      <c r="C845" s="460"/>
      <c r="D845" s="468" t="s">
        <v>236</v>
      </c>
      <c r="E845" s="460"/>
      <c r="F845" s="468" t="s">
        <v>237</v>
      </c>
      <c r="G845" s="460"/>
      <c r="H845" s="469"/>
      <c r="I845" s="1261"/>
      <c r="K845" s="477" t="s">
        <v>238</v>
      </c>
      <c r="L845" s="477" t="str">
        <f>K812&amp;"."&amp;K845</f>
        <v>7.Head insulation area 2</v>
      </c>
      <c r="M845" s="1252">
        <f>D855</f>
        <v>0</v>
      </c>
    </row>
    <row r="846" spans="1:13" ht="14.55" customHeight="1" x14ac:dyDescent="0.3">
      <c r="A846" s="1258" t="s">
        <v>239</v>
      </c>
      <c r="B846" s="468">
        <f>B836</f>
        <v>390</v>
      </c>
      <c r="C846" s="460" t="s">
        <v>93</v>
      </c>
      <c r="D846" s="468">
        <f>D836</f>
        <v>0</v>
      </c>
      <c r="E846" s="460" t="s">
        <v>93</v>
      </c>
      <c r="F846" s="468">
        <f>F836</f>
        <v>0</v>
      </c>
      <c r="G846" s="460" t="s">
        <v>93</v>
      </c>
      <c r="H846" s="469"/>
      <c r="I846" s="1261"/>
      <c r="K846" s="477" t="s">
        <v>240</v>
      </c>
      <c r="L846" s="477" t="str">
        <f>K812&amp;"."&amp;K846</f>
        <v>7.Reducer insulation area 2</v>
      </c>
      <c r="M846" s="1252">
        <f>D868</f>
        <v>0</v>
      </c>
    </row>
    <row r="847" spans="1:13" ht="14.55" customHeight="1" x14ac:dyDescent="0.3">
      <c r="A847" s="1258" t="s">
        <v>241</v>
      </c>
      <c r="B847" s="468">
        <f>B846+2*B878</f>
        <v>398</v>
      </c>
      <c r="C847" s="460" t="s">
        <v>93</v>
      </c>
      <c r="D847" s="468">
        <f>D846+2*D878</f>
        <v>0</v>
      </c>
      <c r="E847" s="460" t="s">
        <v>93</v>
      </c>
      <c r="F847" s="468">
        <f>F846+2*F881</f>
        <v>0</v>
      </c>
      <c r="G847" s="460" t="s">
        <v>93</v>
      </c>
      <c r="H847" s="469"/>
      <c r="I847" s="1261"/>
      <c r="K847" s="477" t="s">
        <v>242</v>
      </c>
      <c r="L847" s="477" t="str">
        <f>K812&amp;"."&amp;K847</f>
        <v>7.Shell insulation thk 3</v>
      </c>
      <c r="M847" s="1252">
        <f>F883</f>
        <v>0</v>
      </c>
    </row>
    <row r="848" spans="1:13" ht="14.55" customHeight="1" x14ac:dyDescent="0.3">
      <c r="A848" s="1258" t="s">
        <v>243</v>
      </c>
      <c r="B848" s="722"/>
      <c r="C848" s="460" t="s">
        <v>93</v>
      </c>
      <c r="D848" s="722"/>
      <c r="E848" s="460" t="s">
        <v>93</v>
      </c>
      <c r="F848" s="452"/>
      <c r="G848" s="460"/>
      <c r="H848" s="469"/>
      <c r="I848" s="1261"/>
      <c r="K848" s="477" t="s">
        <v>244</v>
      </c>
      <c r="L848" s="477" t="str">
        <f>K812&amp;"."&amp;K848</f>
        <v>7.Head insulation thk 3</v>
      </c>
      <c r="M848" s="1252">
        <f>F884</f>
        <v>0</v>
      </c>
    </row>
    <row r="849" spans="1:13" ht="14.55" customHeight="1" x14ac:dyDescent="0.3">
      <c r="A849" s="1258" t="s">
        <v>245</v>
      </c>
      <c r="B849" s="724"/>
      <c r="C849" s="460"/>
      <c r="D849" s="724"/>
      <c r="E849" s="460"/>
      <c r="F849" s="724"/>
      <c r="G849" s="460"/>
      <c r="H849" s="469"/>
      <c r="I849" s="1261"/>
      <c r="K849" s="477" t="s">
        <v>246</v>
      </c>
      <c r="L849" s="477" t="str">
        <f>K812&amp;"."&amp;K849</f>
        <v>7.Reducer insulation thk 3</v>
      </c>
      <c r="M849" s="1252">
        <f>F885</f>
        <v>0</v>
      </c>
    </row>
    <row r="850" spans="1:13" ht="14.55" customHeight="1" x14ac:dyDescent="0.3">
      <c r="A850" s="1258" t="s">
        <v>247</v>
      </c>
      <c r="B850" s="468">
        <v>0</v>
      </c>
      <c r="C850" s="460" t="s">
        <v>93</v>
      </c>
      <c r="D850" s="468">
        <v>0</v>
      </c>
      <c r="E850" s="460" t="s">
        <v>93</v>
      </c>
      <c r="F850" s="468">
        <v>0</v>
      </c>
      <c r="G850" s="460" t="s">
        <v>93</v>
      </c>
      <c r="H850" s="469"/>
      <c r="I850" s="1261"/>
      <c r="K850" s="477" t="s">
        <v>248</v>
      </c>
      <c r="L850" s="477" t="str">
        <f>K812&amp;"."&amp;K850</f>
        <v>7.Shell insulation area 3</v>
      </c>
      <c r="M850" s="1252">
        <f>F843</f>
        <v>0</v>
      </c>
    </row>
    <row r="851" spans="1:13" ht="14.55" customHeight="1" x14ac:dyDescent="0.3">
      <c r="A851" s="1258" t="s">
        <v>249</v>
      </c>
      <c r="B851" s="468">
        <f>((((POWER(((((B846+B879)*1.22)+(B850*2))/100),2)*PI())/4)*(B879/100))*7.86)</f>
        <v>5.7053793215062276</v>
      </c>
      <c r="C851" s="460" t="s">
        <v>222</v>
      </c>
      <c r="D851" s="468">
        <f>((((POWER(((((D846+D879)*1.22)+(D850*2))/100),2)*PI())/4)*(D879/100))*7.86)</f>
        <v>0</v>
      </c>
      <c r="E851" s="460" t="s">
        <v>222</v>
      </c>
      <c r="F851" s="468">
        <f>IFERROR(VLOOKUP(F835&amp;"."&amp;F880,'Fitting Chart'!$1:$1048576,5,0),0)</f>
        <v>0</v>
      </c>
      <c r="G851" s="460" t="s">
        <v>222</v>
      </c>
      <c r="H851" s="469"/>
      <c r="I851" s="1261"/>
      <c r="K851" s="477" t="s">
        <v>250</v>
      </c>
      <c r="L851" s="477" t="str">
        <f>K812&amp;"."&amp;K851</f>
        <v>7.Head insulation area 3</v>
      </c>
      <c r="M851" s="1252">
        <f>F854</f>
        <v>0</v>
      </c>
    </row>
    <row r="852" spans="1:13" ht="14.55" customHeight="1" x14ac:dyDescent="0.3">
      <c r="A852" s="1258" t="s">
        <v>251</v>
      </c>
      <c r="B852" s="468">
        <f>(((0.131*(B846^3)*10^-6)+((((B846/2)^2)*PI()*(((B846/4)+B878)-B878-(B846/4)))))+((PI()*((B846/2)^2)*B850))/1000000)/1000</f>
        <v>7.7707889999999993E-3</v>
      </c>
      <c r="C852" s="460" t="s">
        <v>225</v>
      </c>
      <c r="D852" s="468">
        <f>(((0.131*(D846^3)*10^-6)+((((D846/2)^2)*PI()*(((D846/4)+D878)-D878-(D846/4)))))+((PI()*((D846/2)^2)*D850))/1000000)/1000</f>
        <v>0</v>
      </c>
      <c r="E852" s="460" t="s">
        <v>225</v>
      </c>
      <c r="F852" s="468">
        <f>(((0.131*(F846^3)*10^-6)+((((F846/2)^2)*PI()*(((F846/4)+F881)-F881-(F846/4)))))+((PI()*((F846/2)^2)*F850))/1000000)/1000</f>
        <v>0</v>
      </c>
      <c r="G852" s="460" t="s">
        <v>225</v>
      </c>
      <c r="H852" s="469"/>
      <c r="I852" s="1261"/>
      <c r="K852" s="477" t="s">
        <v>252</v>
      </c>
      <c r="L852" s="477" t="str">
        <f>K812&amp;"."&amp;K852</f>
        <v>7.Reducer insulation area 3</v>
      </c>
      <c r="M852" s="1252">
        <f>F868</f>
        <v>0</v>
      </c>
    </row>
    <row r="853" spans="1:13" ht="14.55" customHeight="1" x14ac:dyDescent="0.3">
      <c r="A853" s="1258" t="s">
        <v>253</v>
      </c>
      <c r="B853" s="468">
        <f>(((B847*B848*3.14)+(((B847/2)^2)*3.14))/1000000)</f>
        <v>0.12434713999999999</v>
      </c>
      <c r="C853" s="460" t="s">
        <v>228</v>
      </c>
      <c r="D853" s="468">
        <f>(((D847*D848*3.14)+(((D847/2)^2)*3.14))/1000000)</f>
        <v>0</v>
      </c>
      <c r="E853" s="460" t="s">
        <v>228</v>
      </c>
      <c r="F853" s="468">
        <f>(((F847*F848*3.14)+(((F847/2)^2)*3.14))/1000000)</f>
        <v>0</v>
      </c>
      <c r="G853" s="460" t="s">
        <v>228</v>
      </c>
      <c r="H853" s="469"/>
      <c r="I853" s="1261"/>
    </row>
    <row r="854" spans="1:13" ht="14.55" customHeight="1" x14ac:dyDescent="0.3">
      <c r="A854" s="1258" t="s">
        <v>254</v>
      </c>
      <c r="B854" s="468">
        <f>B847+2*B884</f>
        <v>398</v>
      </c>
      <c r="C854" s="460" t="s">
        <v>93</v>
      </c>
      <c r="D854" s="468">
        <f>D847+2*D884</f>
        <v>0</v>
      </c>
      <c r="E854" s="460" t="s">
        <v>93</v>
      </c>
      <c r="F854" s="468">
        <f>F847+2*F884</f>
        <v>0</v>
      </c>
      <c r="G854" s="460" t="s">
        <v>93</v>
      </c>
      <c r="H854" s="469"/>
      <c r="I854" s="1261"/>
    </row>
    <row r="855" spans="1:13" ht="14.55" customHeight="1" x14ac:dyDescent="0.3">
      <c r="A855" s="1258" t="s">
        <v>255</v>
      </c>
      <c r="B855" s="468">
        <f>(((B854*B848*3.14)+(((B854/2)^2)*3.14))/1000000)</f>
        <v>0.12434713999999999</v>
      </c>
      <c r="C855" s="460" t="s">
        <v>228</v>
      </c>
      <c r="D855" s="468">
        <f>(((D854*D848*3.14)+(((D854/2)^2)*3.14))/1000000)</f>
        <v>0</v>
      </c>
      <c r="E855" s="460" t="s">
        <v>228</v>
      </c>
      <c r="F855" s="468">
        <f>(((F854*F848*3.14)+(((F854/2)^2)*3.14))/1000000)</f>
        <v>0</v>
      </c>
      <c r="G855" s="460" t="s">
        <v>228</v>
      </c>
      <c r="H855" s="469"/>
      <c r="I855" s="1261"/>
    </row>
    <row r="856" spans="1:13" ht="14.55" customHeight="1" x14ac:dyDescent="0.3">
      <c r="A856" s="1258"/>
      <c r="B856" s="454"/>
      <c r="C856" s="460"/>
      <c r="D856" s="454"/>
      <c r="E856" s="460"/>
      <c r="F856" s="454"/>
      <c r="G856" s="460"/>
      <c r="H856" s="469"/>
      <c r="I856" s="1261"/>
    </row>
    <row r="857" spans="1:13" ht="14.55" customHeight="1" x14ac:dyDescent="0.3">
      <c r="A857" s="1258"/>
      <c r="B857" s="468" t="s">
        <v>256</v>
      </c>
      <c r="C857" s="460"/>
      <c r="D857" s="468" t="s">
        <v>257</v>
      </c>
      <c r="E857" s="460"/>
      <c r="F857" s="468" t="s">
        <v>258</v>
      </c>
      <c r="G857" s="460"/>
      <c r="H857" s="469"/>
      <c r="I857" s="1261"/>
    </row>
    <row r="858" spans="1:13" ht="14.55" customHeight="1" x14ac:dyDescent="0.3">
      <c r="A858" s="1258" t="s">
        <v>259</v>
      </c>
      <c r="B858" s="725"/>
      <c r="C858" s="460" t="s">
        <v>93</v>
      </c>
      <c r="D858" s="725"/>
      <c r="E858" s="460" t="s">
        <v>93</v>
      </c>
      <c r="F858" s="725"/>
      <c r="G858" s="460" t="s">
        <v>93</v>
      </c>
      <c r="H858" s="469"/>
      <c r="I858" s="1261"/>
    </row>
    <row r="859" spans="1:13" ht="14.55" customHeight="1" x14ac:dyDescent="0.3">
      <c r="A859" s="1258" t="s">
        <v>260</v>
      </c>
      <c r="B859" s="725"/>
      <c r="C859" s="460" t="s">
        <v>93</v>
      </c>
      <c r="D859" s="725"/>
      <c r="E859" s="460" t="s">
        <v>93</v>
      </c>
      <c r="F859" s="725"/>
      <c r="G859" s="460" t="s">
        <v>93</v>
      </c>
      <c r="H859" s="469"/>
      <c r="I859" s="1261"/>
    </row>
    <row r="860" spans="1:13" ht="14.55" customHeight="1" x14ac:dyDescent="0.3">
      <c r="A860" s="1258" t="s">
        <v>261</v>
      </c>
      <c r="B860" s="725"/>
      <c r="C860" s="460" t="s">
        <v>93</v>
      </c>
      <c r="D860" s="725"/>
      <c r="E860" s="460" t="s">
        <v>93</v>
      </c>
      <c r="F860" s="725"/>
      <c r="G860" s="460" t="s">
        <v>93</v>
      </c>
      <c r="H860" s="469"/>
      <c r="I860" s="1261"/>
    </row>
    <row r="861" spans="1:13" ht="14.55" customHeight="1" x14ac:dyDescent="0.3">
      <c r="A861" s="1258" t="s">
        <v>262</v>
      </c>
      <c r="B861" s="455">
        <f>B858+2*B879</f>
        <v>8</v>
      </c>
      <c r="C861" s="460" t="s">
        <v>93</v>
      </c>
      <c r="D861" s="455">
        <f>D858+2*D879</f>
        <v>0</v>
      </c>
      <c r="E861" s="460" t="s">
        <v>93</v>
      </c>
      <c r="F861" s="455">
        <f>F858+2*F881</f>
        <v>0</v>
      </c>
      <c r="G861" s="460" t="s">
        <v>93</v>
      </c>
      <c r="H861" s="469"/>
      <c r="I861" s="1261"/>
    </row>
    <row r="862" spans="1:13" ht="14.55" customHeight="1" x14ac:dyDescent="0.3">
      <c r="A862" s="1258" t="s">
        <v>263</v>
      </c>
      <c r="B862" s="455">
        <f>B859+2*B879</f>
        <v>8</v>
      </c>
      <c r="C862" s="460" t="s">
        <v>93</v>
      </c>
      <c r="D862" s="455">
        <f>D859+2*D879</f>
        <v>0</v>
      </c>
      <c r="E862" s="460" t="s">
        <v>93</v>
      </c>
      <c r="F862" s="455">
        <f>F859+2*F881</f>
        <v>0</v>
      </c>
      <c r="G862" s="460" t="s">
        <v>93</v>
      </c>
      <c r="H862" s="469"/>
      <c r="I862" s="1261"/>
    </row>
    <row r="863" spans="1:13" ht="14.55" customHeight="1" x14ac:dyDescent="0.3">
      <c r="A863" s="1258" t="s">
        <v>264</v>
      </c>
      <c r="B863" s="453">
        <f>(((((1/3*PI()*B860))*((((B861/2)^2)+(((B861/2)*(B862/2)))+((B862/2)^2))))-(((1/3*PI()*B860))*((((B858/2)^2)+(((B858/2)*(B859/2)))+((B859/2)^2)))))*7.86)/1000000</f>
        <v>0</v>
      </c>
      <c r="C863" s="460" t="s">
        <v>222</v>
      </c>
      <c r="D863" s="453">
        <f>(((((1/3*PI()*D860))*((((D861/2)^2)+(((D861/2)*(D862/2)))+((D862/2)^2))))-(((1/3*PI()*D860))*((((D858/2)^2)+(((D858/2)*(D859/2)))+((D859/2)^2)))))*7.86)/1000000</f>
        <v>0</v>
      </c>
      <c r="E863" s="460" t="s">
        <v>222</v>
      </c>
      <c r="F863" s="453">
        <f>(((((1/3*PI()*F860))*((((F861/2)^2)+(((F861/2)*(F862/2)))+((F862/2)^2))))-(((1/3*PI()*F860))*((((F858/2)^2)+(((F858/2)*(F859/2)))+((F859/2)^2)))))*7.86)/1000000</f>
        <v>0</v>
      </c>
      <c r="G863" s="460" t="s">
        <v>222</v>
      </c>
      <c r="H863" s="469"/>
      <c r="I863" s="1261"/>
    </row>
    <row r="864" spans="1:13" ht="14.55" customHeight="1" x14ac:dyDescent="0.3">
      <c r="A864" s="1258" t="s">
        <v>265</v>
      </c>
      <c r="B864" s="453">
        <f>((1/3*PI()*B860))*((((B858/2)^2)+(((B858/2)*(B859/2)))+((B859/2)^2)))/1000000000</f>
        <v>0</v>
      </c>
      <c r="C864" s="460" t="s">
        <v>225</v>
      </c>
      <c r="D864" s="453">
        <f>((1/3*PI()*D860))*((((D858/2)^2)+(((D858/2)*(D859/2)))+((D859/2)^2)))/1000000000</f>
        <v>0</v>
      </c>
      <c r="E864" s="460" t="s">
        <v>225</v>
      </c>
      <c r="F864" s="453">
        <f>((1/3*PI()*F860))*((((F858/2)^2)+(((F858/2)*(F859/2)))+((F859/2)^2)))/1000000000</f>
        <v>0</v>
      </c>
      <c r="G864" s="460" t="s">
        <v>225</v>
      </c>
      <c r="H864" s="469"/>
      <c r="I864" s="1261"/>
    </row>
    <row r="865" spans="1:9" ht="14.55" customHeight="1" x14ac:dyDescent="0.3">
      <c r="A865" s="1258" t="s">
        <v>266</v>
      </c>
      <c r="B865" s="453">
        <f>PI()*(B861+B862)/2*SQRT(B860^2+((B861-B862)/2)^2)/1000000</f>
        <v>0</v>
      </c>
      <c r="C865" s="460" t="s">
        <v>228</v>
      </c>
      <c r="D865" s="453">
        <f>PI()*(D861+D862)/2*SQRT(D860^2+((D861-D862)/2)^2)/1000000</f>
        <v>0</v>
      </c>
      <c r="E865" s="460" t="s">
        <v>228</v>
      </c>
      <c r="F865" s="453">
        <f>PI()*(F861+F862)/2*SQRT(F860^2+((F861-F862)/2)^2)/1000000</f>
        <v>0</v>
      </c>
      <c r="G865" s="460" t="s">
        <v>228</v>
      </c>
      <c r="H865" s="469"/>
      <c r="I865" s="1261"/>
    </row>
    <row r="866" spans="1:9" ht="14.55" customHeight="1" x14ac:dyDescent="0.3">
      <c r="A866" s="1258" t="s">
        <v>267</v>
      </c>
      <c r="B866" s="453">
        <f>B861+2*B885</f>
        <v>8</v>
      </c>
      <c r="C866" s="460" t="s">
        <v>93</v>
      </c>
      <c r="D866" s="453">
        <f>D858+2*D885</f>
        <v>0</v>
      </c>
      <c r="E866" s="460" t="s">
        <v>93</v>
      </c>
      <c r="F866" s="453">
        <f>F858+2*F885</f>
        <v>0</v>
      </c>
      <c r="G866" s="460" t="s">
        <v>93</v>
      </c>
      <c r="H866" s="469"/>
      <c r="I866" s="1261"/>
    </row>
    <row r="867" spans="1:9" ht="14.55" customHeight="1" x14ac:dyDescent="0.3">
      <c r="A867" s="1258" t="s">
        <v>268</v>
      </c>
      <c r="B867" s="453">
        <f>B862+2*B885</f>
        <v>8</v>
      </c>
      <c r="C867" s="460" t="s">
        <v>93</v>
      </c>
      <c r="D867" s="453">
        <f>D859+2*D885</f>
        <v>0</v>
      </c>
      <c r="E867" s="460" t="s">
        <v>93</v>
      </c>
      <c r="F867" s="453">
        <f>F859+2*F885</f>
        <v>0</v>
      </c>
      <c r="G867" s="460" t="s">
        <v>93</v>
      </c>
      <c r="H867" s="469"/>
      <c r="I867" s="1261"/>
    </row>
    <row r="868" spans="1:9" ht="14.55" customHeight="1" x14ac:dyDescent="0.3">
      <c r="A868" s="1258" t="s">
        <v>269</v>
      </c>
      <c r="B868" s="453">
        <f>PI()*(B866+B867)/2*SQRT(B860^2+((B866-B867)/2)^2)/1000000</f>
        <v>0</v>
      </c>
      <c r="C868" s="460" t="s">
        <v>228</v>
      </c>
      <c r="D868" s="453">
        <f>PI()*(D866+D867)/2*SQRT(D860^2+((D866-D867)/2)^2)/1000000</f>
        <v>0</v>
      </c>
      <c r="E868" s="460" t="s">
        <v>228</v>
      </c>
      <c r="F868" s="453">
        <f>PI()*(F866+F867)/2*SQRT(F860^2+((F866-F867)/2)^2)/1000000</f>
        <v>0</v>
      </c>
      <c r="G868" s="460" t="s">
        <v>228</v>
      </c>
      <c r="H868" s="469"/>
      <c r="I868" s="1261"/>
    </row>
    <row r="869" spans="1:9" ht="14.55" customHeight="1" x14ac:dyDescent="0.3">
      <c r="A869" s="1258"/>
      <c r="B869" s="453"/>
      <c r="C869" s="460"/>
      <c r="D869" s="453"/>
      <c r="E869" s="460"/>
      <c r="F869" s="453"/>
      <c r="G869" s="460"/>
      <c r="H869" s="460"/>
      <c r="I869" s="1259"/>
    </row>
    <row r="870" spans="1:9" ht="14.55" customHeight="1" x14ac:dyDescent="0.3">
      <c r="A870" s="1258" t="s">
        <v>270</v>
      </c>
      <c r="B870" s="725">
        <v>4</v>
      </c>
      <c r="C870" s="460" t="s">
        <v>93</v>
      </c>
      <c r="D870" s="725"/>
      <c r="E870" s="460" t="s">
        <v>93</v>
      </c>
      <c r="F870" s="725"/>
      <c r="G870" s="460" t="s">
        <v>93</v>
      </c>
      <c r="H870" s="460"/>
      <c r="I870" s="1259"/>
    </row>
    <row r="871" spans="1:9" ht="14.55" customHeight="1" x14ac:dyDescent="0.3">
      <c r="A871" s="1258" t="s">
        <v>271</v>
      </c>
      <c r="B871" s="453">
        <f>((D819/10)*B836/2)/(IF(B814="div.1",B827,B830)-0.5*D819/10)</f>
        <v>0.77044646384828142</v>
      </c>
      <c r="C871" s="460" t="s">
        <v>93</v>
      </c>
      <c r="D871" s="453">
        <f>((D819/10)*D836/2)/(IF(B814="div.1",B827,B830)-0.5*D819/10)</f>
        <v>0</v>
      </c>
      <c r="E871" s="460" t="s">
        <v>93</v>
      </c>
      <c r="F871" s="453" t="e">
        <f>((D819/10)*F836/2)/(IF(B814="div.1",F827,F830)-0.5*D819/10)</f>
        <v>#N/A</v>
      </c>
      <c r="G871" s="460" t="s">
        <v>93</v>
      </c>
      <c r="H871" s="460"/>
      <c r="I871" s="1259"/>
    </row>
    <row r="872" spans="1:9" ht="14.55" customHeight="1" x14ac:dyDescent="0.3">
      <c r="A872" s="1258" t="s">
        <v>272</v>
      </c>
      <c r="B872" s="453">
        <f>B846/2*(EXP(D819/(10*IF(B814="div.1",B828,B831)))-1)</f>
        <v>0.77044546357388</v>
      </c>
      <c r="C872" s="460" t="s">
        <v>93</v>
      </c>
      <c r="D872" s="453">
        <f>D846/2*(EXP(D819/(10*IF(B814="div.1",B828,B831)))-1)</f>
        <v>0</v>
      </c>
      <c r="E872" s="460" t="s">
        <v>93</v>
      </c>
      <c r="F872" s="453" t="e">
        <f>F846/2*(EXP(D819/(10*IF(B814="div.1",F828,F831)))-1)</f>
        <v>#N/A</v>
      </c>
      <c r="G872" s="460" t="s">
        <v>93</v>
      </c>
      <c r="H872" s="460"/>
      <c r="I872" s="1259"/>
    </row>
    <row r="873" spans="1:9" ht="14.55" customHeight="1" x14ac:dyDescent="0.3">
      <c r="A873" s="1258" t="s">
        <v>273</v>
      </c>
      <c r="B873" s="453">
        <f>B858/2*(EXP(D819/(10*IF(B814="div.1",B828,B831)))-1)</f>
        <v>0</v>
      </c>
      <c r="C873" s="460" t="s">
        <v>93</v>
      </c>
      <c r="D873" s="453">
        <f>D858/2*(EXP(D819/(10*IF(B814="div.1",B828,B831)))-1)</f>
        <v>0</v>
      </c>
      <c r="E873" s="460" t="s">
        <v>93</v>
      </c>
      <c r="F873" s="453" t="e">
        <f>F858/2*(EXP(D819/(10*IF(B814="div.1",F828,F831)))-1)</f>
        <v>#N/A</v>
      </c>
      <c r="G873" s="460" t="s">
        <v>93</v>
      </c>
      <c r="H873" s="460"/>
      <c r="I873" s="1259"/>
    </row>
    <row r="874" spans="1:9" ht="14.55" customHeight="1" x14ac:dyDescent="0.3">
      <c r="A874" s="1258" t="s">
        <v>274</v>
      </c>
      <c r="B874" s="725">
        <v>0</v>
      </c>
      <c r="C874" s="460" t="s">
        <v>93</v>
      </c>
      <c r="D874" s="725"/>
      <c r="E874" s="460" t="s">
        <v>93</v>
      </c>
      <c r="F874" s="725"/>
      <c r="G874" s="460" t="s">
        <v>93</v>
      </c>
      <c r="H874" s="460"/>
      <c r="I874" s="1259"/>
    </row>
    <row r="875" spans="1:9" ht="14.55" customHeight="1" x14ac:dyDescent="0.3">
      <c r="A875" s="1258" t="s">
        <v>275</v>
      </c>
      <c r="B875" s="725">
        <v>0</v>
      </c>
      <c r="C875" s="460" t="s">
        <v>93</v>
      </c>
      <c r="D875" s="725"/>
      <c r="E875" s="460" t="s">
        <v>93</v>
      </c>
      <c r="F875" s="725"/>
      <c r="G875" s="460" t="s">
        <v>93</v>
      </c>
      <c r="H875" s="460"/>
      <c r="I875" s="1259"/>
    </row>
    <row r="876" spans="1:9" ht="14.55" customHeight="1" x14ac:dyDescent="0.3">
      <c r="A876" s="1258" t="s">
        <v>276</v>
      </c>
      <c r="B876" s="725">
        <v>0</v>
      </c>
      <c r="C876" s="460" t="s">
        <v>93</v>
      </c>
      <c r="D876" s="725"/>
      <c r="E876" s="460" t="s">
        <v>93</v>
      </c>
      <c r="F876" s="725"/>
      <c r="G876" s="460" t="s">
        <v>93</v>
      </c>
      <c r="H876" s="460"/>
      <c r="I876" s="1259"/>
    </row>
    <row r="877" spans="1:9" ht="14.55" customHeight="1" x14ac:dyDescent="0.3">
      <c r="A877" s="1258" t="s">
        <v>277</v>
      </c>
      <c r="B877" s="453">
        <f>IF((CEILING(B871,1)+B874)&lt;B870,B870,CEILING(B871,1)+B874)</f>
        <v>4</v>
      </c>
      <c r="C877" s="460" t="s">
        <v>93</v>
      </c>
      <c r="D877" s="453">
        <f>IF((CEILING(D871,1)+D874)&lt;D870,D870,CEILING(D871,1)+D874)</f>
        <v>0</v>
      </c>
      <c r="E877" s="460" t="s">
        <v>93</v>
      </c>
      <c r="F877" s="453" t="e">
        <f>IF((CEILING(F871,1)+F874)&lt;F870,F870,CEILING(F871,1)+F874)</f>
        <v>#N/A</v>
      </c>
      <c r="G877" s="460" t="s">
        <v>93</v>
      </c>
      <c r="H877" s="460"/>
      <c r="I877" s="1259"/>
    </row>
    <row r="878" spans="1:9" ht="14.55" customHeight="1" x14ac:dyDescent="0.3">
      <c r="A878" s="1258" t="s">
        <v>278</v>
      </c>
      <c r="B878" s="453">
        <f>IF((CEILING(B872,1)+B875)&lt;=B870,B870,CEILING(B872,1)+B875)</f>
        <v>4</v>
      </c>
      <c r="C878" s="460" t="s">
        <v>93</v>
      </c>
      <c r="D878" s="453">
        <f>IF((CEILING(D872,1)+D875)&lt;=D870,D870,CEILING(D872,1)+D875)</f>
        <v>0</v>
      </c>
      <c r="E878" s="460" t="s">
        <v>93</v>
      </c>
      <c r="F878" s="453" t="e">
        <f>IF((CEILING(F872,1)+F875)&lt;=F870,F870,CEILING(F872,1)+F875)</f>
        <v>#N/A</v>
      </c>
      <c r="G878" s="460" t="s">
        <v>93</v>
      </c>
      <c r="H878" s="460"/>
      <c r="I878" s="1259"/>
    </row>
    <row r="879" spans="1:9" ht="14.55" customHeight="1" x14ac:dyDescent="0.3">
      <c r="A879" s="1258" t="s">
        <v>279</v>
      </c>
      <c r="B879" s="453">
        <f>IF((CEILING(B873,1)+B876)&lt;=B870,B870,CEILING(B873,1)+B876)</f>
        <v>4</v>
      </c>
      <c r="C879" s="460" t="s">
        <v>93</v>
      </c>
      <c r="D879" s="453">
        <f>IF((CEILING(D873,1)+D876)&lt;=D870,D870,CEILING(D873,1)+D876)</f>
        <v>0</v>
      </c>
      <c r="E879" s="460" t="s">
        <v>93</v>
      </c>
      <c r="F879" s="453" t="e">
        <f>IF((CEILING(F873,1)+F876)&lt;=F870,F870,CEILING(F873,1)+F876)</f>
        <v>#N/A</v>
      </c>
      <c r="G879" s="460" t="s">
        <v>93</v>
      </c>
      <c r="H879" s="460"/>
      <c r="I879" s="1259"/>
    </row>
    <row r="880" spans="1:9" ht="14.55" customHeight="1" x14ac:dyDescent="0.3">
      <c r="A880" s="1258" t="s">
        <v>280</v>
      </c>
      <c r="B880" s="453"/>
      <c r="C880" s="460"/>
      <c r="D880" s="453"/>
      <c r="E880" s="460"/>
      <c r="F880" s="726"/>
      <c r="G880" s="460"/>
      <c r="H880" s="460"/>
      <c r="I880" s="1259"/>
    </row>
    <row r="881" spans="1:9" ht="14.55" customHeight="1" x14ac:dyDescent="0.3">
      <c r="A881" s="1258" t="s">
        <v>281</v>
      </c>
      <c r="B881" s="453"/>
      <c r="C881" s="460"/>
      <c r="D881" s="453"/>
      <c r="E881" s="460"/>
      <c r="F881" s="460">
        <f>IFERROR(VLOOKUP(F835,'Thickness Tab'!$1:$1048576,MATCH(F880,'Thickness Tab'!$1:$1,0),0),0)</f>
        <v>0</v>
      </c>
      <c r="G881" s="460" t="s">
        <v>93</v>
      </c>
      <c r="H881" s="460"/>
      <c r="I881" s="1259"/>
    </row>
    <row r="882" spans="1:9" ht="14.55" customHeight="1" x14ac:dyDescent="0.3">
      <c r="A882" s="1258"/>
      <c r="B882" s="464"/>
      <c r="C882" s="460"/>
      <c r="D882" s="460"/>
      <c r="E882" s="460"/>
      <c r="F882" s="460"/>
      <c r="G882" s="460"/>
      <c r="H882" s="460"/>
      <c r="I882" s="1259"/>
    </row>
    <row r="883" spans="1:9" ht="14.55" customHeight="1" x14ac:dyDescent="0.3">
      <c r="A883" s="1258" t="s">
        <v>282</v>
      </c>
      <c r="B883" s="725">
        <v>0</v>
      </c>
      <c r="C883" s="460" t="s">
        <v>93</v>
      </c>
      <c r="D883" s="725">
        <v>0</v>
      </c>
      <c r="E883" s="460" t="s">
        <v>93</v>
      </c>
      <c r="F883" s="725">
        <v>0</v>
      </c>
      <c r="G883" s="460" t="s">
        <v>93</v>
      </c>
      <c r="H883" s="460"/>
      <c r="I883" s="1259"/>
    </row>
    <row r="884" spans="1:9" ht="14.55" customHeight="1" x14ac:dyDescent="0.3">
      <c r="A884" s="1258" t="s">
        <v>283</v>
      </c>
      <c r="B884" s="725">
        <v>0</v>
      </c>
      <c r="C884" s="460" t="s">
        <v>93</v>
      </c>
      <c r="D884" s="725">
        <v>0</v>
      </c>
      <c r="E884" s="460" t="s">
        <v>93</v>
      </c>
      <c r="F884" s="725">
        <v>0</v>
      </c>
      <c r="G884" s="460" t="s">
        <v>93</v>
      </c>
      <c r="H884" s="460"/>
      <c r="I884" s="1259"/>
    </row>
    <row r="885" spans="1:9" ht="14.55" customHeight="1" x14ac:dyDescent="0.3">
      <c r="A885" s="1258" t="s">
        <v>284</v>
      </c>
      <c r="B885" s="725">
        <v>0</v>
      </c>
      <c r="C885" s="460" t="s">
        <v>93</v>
      </c>
      <c r="D885" s="725">
        <v>0</v>
      </c>
      <c r="E885" s="460" t="s">
        <v>93</v>
      </c>
      <c r="F885" s="725">
        <v>0</v>
      </c>
      <c r="G885" s="460" t="s">
        <v>93</v>
      </c>
      <c r="H885" s="460"/>
      <c r="I885" s="1259"/>
    </row>
    <row r="886" spans="1:9" ht="14.55" customHeight="1" x14ac:dyDescent="0.3">
      <c r="A886" s="1258"/>
      <c r="B886" s="464"/>
      <c r="C886" s="460"/>
      <c r="D886" s="460"/>
      <c r="E886" s="460"/>
      <c r="F886" s="460"/>
      <c r="G886" s="460"/>
      <c r="H886" s="460"/>
      <c r="I886" s="1259"/>
    </row>
    <row r="887" spans="1:9" ht="14.55" customHeight="1" x14ac:dyDescent="0.3">
      <c r="A887" s="1260" t="s">
        <v>285</v>
      </c>
      <c r="B887" s="470" t="str">
        <f>IF(B815="Horizontal","No Skirt","")</f>
        <v/>
      </c>
      <c r="C887" s="460"/>
      <c r="D887" s="471"/>
      <c r="E887" s="471" t="s">
        <v>286</v>
      </c>
      <c r="F887" s="460"/>
      <c r="G887" s="469"/>
      <c r="H887" s="469"/>
      <c r="I887" s="1261"/>
    </row>
    <row r="888" spans="1:9" ht="14.55" customHeight="1" x14ac:dyDescent="0.3">
      <c r="A888" s="1258" t="s">
        <v>287</v>
      </c>
      <c r="B888" s="722"/>
      <c r="C888" s="456" t="s">
        <v>93</v>
      </c>
      <c r="D888" s="472"/>
      <c r="E888" s="472" t="s">
        <v>288</v>
      </c>
      <c r="F888" s="725"/>
      <c r="G888" s="460" t="s">
        <v>93</v>
      </c>
      <c r="H888" s="469"/>
      <c r="I888" s="1261"/>
    </row>
    <row r="889" spans="1:9" ht="14.55" customHeight="1" x14ac:dyDescent="0.3">
      <c r="A889" s="1258" t="s">
        <v>289</v>
      </c>
      <c r="B889" s="722"/>
      <c r="C889" s="456" t="s">
        <v>93</v>
      </c>
      <c r="D889" s="472"/>
      <c r="E889" s="472" t="s">
        <v>290</v>
      </c>
      <c r="F889" s="725"/>
      <c r="G889" s="460" t="s">
        <v>93</v>
      </c>
      <c r="H889" s="469"/>
      <c r="I889" s="1261"/>
    </row>
    <row r="890" spans="1:9" ht="14.55" customHeight="1" x14ac:dyDescent="0.3">
      <c r="A890" s="1258" t="s">
        <v>291</v>
      </c>
      <c r="B890" s="722"/>
      <c r="C890" s="456" t="s">
        <v>93</v>
      </c>
      <c r="D890" s="472"/>
      <c r="E890" s="472" t="s">
        <v>292</v>
      </c>
      <c r="F890" s="725"/>
      <c r="G890" s="460"/>
      <c r="H890" s="469"/>
      <c r="I890" s="1261"/>
    </row>
    <row r="891" spans="1:9" ht="14.55" customHeight="1" x14ac:dyDescent="0.3">
      <c r="A891" s="1258" t="s">
        <v>293</v>
      </c>
      <c r="B891" s="722"/>
      <c r="C891" s="456" t="s">
        <v>93</v>
      </c>
      <c r="D891" s="472"/>
      <c r="E891" s="472" t="s">
        <v>184</v>
      </c>
      <c r="F891" s="457">
        <f>(PI()*F888^2)/4*F889*(7800/1000000000)</f>
        <v>0</v>
      </c>
      <c r="G891" s="460" t="s">
        <v>222</v>
      </c>
      <c r="H891" s="460"/>
      <c r="I891" s="1259"/>
    </row>
    <row r="892" spans="1:9" ht="14.55" customHeight="1" x14ac:dyDescent="0.3">
      <c r="A892" s="1258" t="s">
        <v>294</v>
      </c>
      <c r="B892" s="722"/>
      <c r="C892" s="456" t="s">
        <v>93</v>
      </c>
      <c r="D892" s="460"/>
      <c r="E892" s="460"/>
      <c r="F892" s="460"/>
      <c r="G892" s="460"/>
      <c r="H892" s="460"/>
      <c r="I892" s="1259"/>
    </row>
    <row r="893" spans="1:9" ht="14.55" customHeight="1" x14ac:dyDescent="0.3">
      <c r="A893" s="1258"/>
      <c r="B893" s="407"/>
      <c r="C893" s="460"/>
      <c r="D893" s="460"/>
      <c r="E893" s="460"/>
      <c r="F893" s="460"/>
      <c r="G893" s="460"/>
      <c r="H893" s="460"/>
      <c r="I893" s="1259"/>
    </row>
    <row r="894" spans="1:9" ht="14.55" customHeight="1" x14ac:dyDescent="0.3">
      <c r="A894" s="1262" t="s">
        <v>295</v>
      </c>
      <c r="B894" s="480"/>
      <c r="C894" s="59"/>
      <c r="D894" s="59"/>
      <c r="E894" s="59"/>
      <c r="F894" s="460"/>
      <c r="G894" s="460"/>
      <c r="H894" s="460"/>
      <c r="I894" s="1259"/>
    </row>
    <row r="895" spans="1:9" ht="14.55" customHeight="1" x14ac:dyDescent="0.3">
      <c r="A895" s="1263" t="s">
        <v>296</v>
      </c>
      <c r="B895" s="722"/>
      <c r="C895" s="59" t="s">
        <v>93</v>
      </c>
      <c r="D895" s="59"/>
      <c r="E895" s="59"/>
      <c r="F895" s="460"/>
      <c r="G895" s="460"/>
      <c r="H895" s="460"/>
      <c r="I895" s="1259"/>
    </row>
    <row r="896" spans="1:9" ht="14.55" customHeight="1" x14ac:dyDescent="0.3">
      <c r="A896" s="1263" t="s">
        <v>297</v>
      </c>
      <c r="B896" s="722"/>
      <c r="C896" s="59" t="s">
        <v>93</v>
      </c>
      <c r="D896" s="59"/>
      <c r="E896" s="59"/>
      <c r="F896" s="460"/>
      <c r="G896" s="460"/>
      <c r="H896" s="460"/>
      <c r="I896" s="1259"/>
    </row>
    <row r="897" spans="1:9" ht="14.55" customHeight="1" x14ac:dyDescent="0.3">
      <c r="A897" s="1263" t="s">
        <v>298</v>
      </c>
      <c r="B897" s="480">
        <f>B838</f>
        <v>2900</v>
      </c>
      <c r="C897" s="59" t="s">
        <v>93</v>
      </c>
      <c r="D897" s="59"/>
      <c r="E897" s="59"/>
      <c r="F897" s="460"/>
      <c r="G897" s="460"/>
      <c r="H897" s="460"/>
      <c r="I897" s="1259"/>
    </row>
    <row r="898" spans="1:9" ht="14.55" customHeight="1" x14ac:dyDescent="0.3">
      <c r="A898" s="1263" t="s">
        <v>299</v>
      </c>
      <c r="B898" s="727"/>
      <c r="C898" s="59"/>
      <c r="D898" s="59"/>
      <c r="E898" s="59"/>
      <c r="F898" s="460"/>
      <c r="G898" s="460"/>
      <c r="H898" s="460"/>
      <c r="I898" s="1259"/>
    </row>
    <row r="899" spans="1:9" ht="14.55" customHeight="1" x14ac:dyDescent="0.3">
      <c r="A899" s="1263" t="s">
        <v>300</v>
      </c>
      <c r="B899" s="722"/>
      <c r="C899" s="59" t="s">
        <v>301</v>
      </c>
      <c r="D899" s="59"/>
      <c r="E899" s="59"/>
      <c r="F899" s="460"/>
      <c r="G899" s="460"/>
      <c r="H899" s="460"/>
      <c r="I899" s="1259"/>
    </row>
    <row r="900" spans="1:9" ht="14.55" customHeight="1" x14ac:dyDescent="0.3">
      <c r="A900" s="1263" t="s">
        <v>302</v>
      </c>
      <c r="B900" s="480">
        <f>IF(B898="Straight",B897,B897*2)</f>
        <v>5800</v>
      </c>
      <c r="C900" s="59" t="s">
        <v>93</v>
      </c>
      <c r="D900" s="480"/>
      <c r="E900" s="59"/>
      <c r="F900" s="460"/>
      <c r="G900" s="460"/>
      <c r="H900" s="460"/>
      <c r="I900" s="1259"/>
    </row>
    <row r="901" spans="1:9" ht="14.55" customHeight="1" x14ac:dyDescent="0.3">
      <c r="A901" s="1263" t="s">
        <v>303</v>
      </c>
      <c r="B901" s="480">
        <f>B895*PI()*B900/1000000*B899</f>
        <v>0</v>
      </c>
      <c r="C901" s="59" t="s">
        <v>228</v>
      </c>
      <c r="D901" s="59"/>
      <c r="E901" s="59"/>
      <c r="F901" s="460"/>
      <c r="G901" s="460"/>
      <c r="H901" s="460"/>
      <c r="I901" s="1259"/>
    </row>
    <row r="902" spans="1:9" ht="14.55" customHeight="1" x14ac:dyDescent="0.3">
      <c r="A902" s="1263" t="s">
        <v>304</v>
      </c>
      <c r="B902" s="480">
        <v>7.86</v>
      </c>
      <c r="C902" s="59" t="s">
        <v>305</v>
      </c>
      <c r="D902" s="59"/>
      <c r="E902" s="59"/>
      <c r="F902" s="460"/>
      <c r="G902" s="460"/>
      <c r="H902" s="460"/>
      <c r="I902" s="1259"/>
    </row>
    <row r="903" spans="1:9" ht="14.55" customHeight="1" x14ac:dyDescent="0.3">
      <c r="A903" s="1263" t="s">
        <v>306</v>
      </c>
      <c r="B903" s="480">
        <f>PI()*B896*(B895-B896)*B902/1000</f>
        <v>0</v>
      </c>
      <c r="C903" s="59" t="s">
        <v>307</v>
      </c>
      <c r="D903" s="59"/>
      <c r="E903" s="59"/>
      <c r="F903" s="460"/>
      <c r="G903" s="460"/>
      <c r="H903" s="460"/>
      <c r="I903" s="1259"/>
    </row>
    <row r="904" spans="1:9" ht="14.55" customHeight="1" x14ac:dyDescent="0.3">
      <c r="A904" s="1263" t="s">
        <v>308</v>
      </c>
      <c r="B904" s="480">
        <f>B903*B900*B899/1000</f>
        <v>0</v>
      </c>
      <c r="C904" s="59" t="s">
        <v>222</v>
      </c>
      <c r="D904" s="59"/>
      <c r="E904" s="59"/>
      <c r="F904" s="460"/>
      <c r="G904" s="460"/>
      <c r="H904" s="460"/>
      <c r="I904" s="1259"/>
    </row>
    <row r="905" spans="1:9" ht="14.55" customHeight="1" x14ac:dyDescent="0.3">
      <c r="A905" s="1263"/>
      <c r="B905" s="480"/>
      <c r="C905" s="59"/>
      <c r="D905" s="59"/>
      <c r="E905" s="59"/>
      <c r="F905" s="460"/>
      <c r="G905" s="460"/>
      <c r="H905" s="460"/>
      <c r="I905" s="1259"/>
    </row>
    <row r="906" spans="1:9" ht="14.55" customHeight="1" x14ac:dyDescent="0.3">
      <c r="A906" s="1262" t="s">
        <v>309</v>
      </c>
      <c r="B906" s="480"/>
      <c r="C906" s="59"/>
      <c r="D906" s="59"/>
      <c r="E906" s="59"/>
      <c r="F906" s="460"/>
      <c r="G906" s="460"/>
      <c r="H906" s="460"/>
      <c r="I906" s="1259"/>
    </row>
    <row r="907" spans="1:9" ht="14.55" customHeight="1" x14ac:dyDescent="0.3">
      <c r="A907" s="1263" t="s">
        <v>310</v>
      </c>
      <c r="B907" s="480">
        <f>B836</f>
        <v>390</v>
      </c>
      <c r="C907" s="59" t="s">
        <v>93</v>
      </c>
      <c r="D907" s="59"/>
      <c r="E907" s="59"/>
      <c r="F907" s="460"/>
      <c r="G907" s="460"/>
      <c r="H907" s="460"/>
      <c r="I907" s="1259"/>
    </row>
    <row r="908" spans="1:9" ht="14.55" customHeight="1" x14ac:dyDescent="0.3">
      <c r="A908" s="1263" t="s">
        <v>297</v>
      </c>
      <c r="B908" s="480">
        <v>15</v>
      </c>
      <c r="C908" s="59" t="s">
        <v>93</v>
      </c>
      <c r="D908" s="59"/>
      <c r="E908" s="59"/>
      <c r="F908" s="460"/>
      <c r="G908" s="460"/>
      <c r="H908" s="460"/>
      <c r="I908" s="1259"/>
    </row>
    <row r="909" spans="1:9" ht="14.55" customHeight="1" x14ac:dyDescent="0.3">
      <c r="A909" s="1263" t="s">
        <v>311</v>
      </c>
      <c r="B909" s="480">
        <f>B907^2*PI()/4/1000000</f>
        <v>0.11945906065275189</v>
      </c>
      <c r="C909" s="59" t="s">
        <v>228</v>
      </c>
      <c r="D909" s="59"/>
      <c r="E909" s="59"/>
      <c r="F909" s="460"/>
      <c r="G909" s="460"/>
      <c r="H909" s="460"/>
      <c r="I909" s="1259"/>
    </row>
    <row r="910" spans="1:9" ht="14.55" customHeight="1" x14ac:dyDescent="0.3">
      <c r="A910" s="1263" t="s">
        <v>312</v>
      </c>
      <c r="B910" s="480">
        <f>B909*B908/1000*B902*2/1000</f>
        <v>2.8168446501918896E-5</v>
      </c>
      <c r="C910" s="59" t="s">
        <v>222</v>
      </c>
      <c r="D910" s="59"/>
      <c r="E910" s="59"/>
      <c r="F910" s="460"/>
      <c r="G910" s="460"/>
      <c r="H910" s="460"/>
      <c r="I910" s="1259"/>
    </row>
    <row r="911" spans="1:9" ht="14.55" customHeight="1" x14ac:dyDescent="0.3">
      <c r="A911" s="1263"/>
      <c r="B911" s="480"/>
      <c r="C911" s="59"/>
      <c r="D911" s="59"/>
      <c r="E911" s="59"/>
      <c r="F911" s="460"/>
      <c r="G911" s="460"/>
      <c r="H911" s="460"/>
      <c r="I911" s="1259"/>
    </row>
    <row r="912" spans="1:9" ht="14.55" customHeight="1" x14ac:dyDescent="0.3">
      <c r="A912" s="1263" t="s">
        <v>313</v>
      </c>
      <c r="B912" s="480">
        <f>B904+B910*2</f>
        <v>5.6336893003837791E-5</v>
      </c>
      <c r="C912" s="59" t="s">
        <v>222</v>
      </c>
      <c r="D912" s="59"/>
      <c r="E912" s="59"/>
      <c r="F912" s="460"/>
      <c r="G912" s="460"/>
      <c r="H912" s="460"/>
      <c r="I912" s="1259"/>
    </row>
    <row r="913" spans="1:9" ht="14.55" customHeight="1" x14ac:dyDescent="0.3">
      <c r="A913" s="1263"/>
      <c r="B913" s="480"/>
      <c r="C913" s="59"/>
      <c r="D913" s="59"/>
      <c r="E913" s="59"/>
      <c r="F913" s="460"/>
      <c r="G913" s="460"/>
      <c r="H913" s="460"/>
      <c r="I913" s="1259"/>
    </row>
    <row r="914" spans="1:9" ht="14.55" customHeight="1" x14ac:dyDescent="0.3">
      <c r="A914" s="1260" t="s">
        <v>314</v>
      </c>
      <c r="B914" s="460"/>
      <c r="C914" s="460"/>
      <c r="D914" s="463" t="s">
        <v>315</v>
      </c>
      <c r="E914" s="460"/>
      <c r="F914" s="460"/>
      <c r="G914" s="471" t="s">
        <v>316</v>
      </c>
      <c r="H914" s="453"/>
      <c r="I914" s="1259"/>
    </row>
    <row r="915" spans="1:9" ht="14.55" customHeight="1" x14ac:dyDescent="0.3">
      <c r="A915" s="1258" t="s">
        <v>189</v>
      </c>
      <c r="B915" s="468">
        <f>SUM(B839,D839,F839)</f>
        <v>118.49933928291793</v>
      </c>
      <c r="C915" s="460" t="s">
        <v>222</v>
      </c>
      <c r="D915" s="472" t="s">
        <v>189</v>
      </c>
      <c r="E915" s="468">
        <f>SUM(B841,D841,F841)</f>
        <v>3.6241880000000002</v>
      </c>
      <c r="F915" s="460" t="s">
        <v>228</v>
      </c>
      <c r="G915" s="472" t="s">
        <v>189</v>
      </c>
      <c r="H915" s="453">
        <f>SUM(B843,D843,F843)</f>
        <v>3.6241880000000002</v>
      </c>
      <c r="I915" s="1259" t="s">
        <v>228</v>
      </c>
    </row>
    <row r="916" spans="1:9" ht="14.55" customHeight="1" x14ac:dyDescent="0.3">
      <c r="A916" s="1258" t="s">
        <v>317</v>
      </c>
      <c r="B916" s="468">
        <f>SUM(B849*B851,D849*D851,F849*F851)</f>
        <v>0</v>
      </c>
      <c r="C916" s="460" t="s">
        <v>222</v>
      </c>
      <c r="D916" s="472" t="s">
        <v>317</v>
      </c>
      <c r="E916" s="468">
        <f>SUM(B849*B853,D849*D853,F849*F853)</f>
        <v>0</v>
      </c>
      <c r="F916" s="460" t="s">
        <v>228</v>
      </c>
      <c r="G916" s="472" t="s">
        <v>317</v>
      </c>
      <c r="H916" s="453">
        <f>SUM(B849*B855,D849*D855,F849*F855)</f>
        <v>0</v>
      </c>
      <c r="I916" s="1259" t="s">
        <v>228</v>
      </c>
    </row>
    <row r="917" spans="1:9" ht="14.55" customHeight="1" x14ac:dyDescent="0.3">
      <c r="A917" s="1258" t="s">
        <v>318</v>
      </c>
      <c r="B917" s="468">
        <f>SUM(B863,D863,F863)</f>
        <v>0</v>
      </c>
      <c r="C917" s="460" t="s">
        <v>222</v>
      </c>
      <c r="D917" s="472" t="s">
        <v>318</v>
      </c>
      <c r="E917" s="468">
        <f>SUM(B865,D865,F865)</f>
        <v>0</v>
      </c>
      <c r="F917" s="460" t="s">
        <v>228</v>
      </c>
      <c r="G917" s="472" t="s">
        <v>318</v>
      </c>
      <c r="H917" s="453">
        <f>SUM(B868,D868,F868)</f>
        <v>0</v>
      </c>
      <c r="I917" s="1259" t="s">
        <v>228</v>
      </c>
    </row>
    <row r="918" spans="1:9" ht="14.55" customHeight="1" x14ac:dyDescent="0.3">
      <c r="A918" s="1258" t="s">
        <v>319</v>
      </c>
      <c r="B918" s="468">
        <f>SUMPRODUCT(F935:F946,H935:H946)</f>
        <v>55.099999999999994</v>
      </c>
      <c r="C918" s="460" t="s">
        <v>222</v>
      </c>
      <c r="D918" s="472" t="s">
        <v>319</v>
      </c>
      <c r="E918" s="468">
        <f>SUMPRODUCT(F935:F946,I935:I946)</f>
        <v>0.75812509074086698</v>
      </c>
      <c r="F918" s="460" t="s">
        <v>228</v>
      </c>
      <c r="G918" s="460"/>
      <c r="H918" s="453"/>
      <c r="I918" s="1259"/>
    </row>
    <row r="919" spans="1:9" ht="14.55" customHeight="1" x14ac:dyDescent="0.3">
      <c r="A919" s="1258" t="s">
        <v>320</v>
      </c>
      <c r="B919" s="468">
        <f>IF(B815="Horizontal",0,(PI()*B889*(((B837/2)^2)-(((B837-2*B888)/2)^2))*7860)/1000000000)</f>
        <v>0</v>
      </c>
      <c r="C919" s="460" t="s">
        <v>222</v>
      </c>
      <c r="D919" s="472" t="s">
        <v>320</v>
      </c>
      <c r="E919" s="468">
        <f>IF(B815="Horizontal",0,((B837*B889*PI())+((B837-2*B888)*B889*PI()))/1000000)</f>
        <v>0</v>
      </c>
      <c r="F919" s="460" t="s">
        <v>228</v>
      </c>
      <c r="G919" s="471" t="s">
        <v>321</v>
      </c>
      <c r="H919" s="453"/>
      <c r="I919" s="1259"/>
    </row>
    <row r="920" spans="1:9" ht="14.55" customHeight="1" x14ac:dyDescent="0.3">
      <c r="A920" s="1258" t="s">
        <v>322</v>
      </c>
      <c r="B920" s="468">
        <f>IF(B815="Horizontal",0,(PI()*B892*(((B891/2)^2)-((B890/2)^2))*7860)/1000000000)</f>
        <v>0</v>
      </c>
      <c r="C920" s="460" t="s">
        <v>222</v>
      </c>
      <c r="D920" s="472" t="s">
        <v>322</v>
      </c>
      <c r="E920" s="468">
        <f>IF(B815="Horizontal",0,((B891*3.14*B892)+(B890*3.14*B892)+(((((B891/2)^2)*3.14)-(((B890/2)^2)*3.14))*2))/1000000)</f>
        <v>0</v>
      </c>
      <c r="F920" s="460" t="s">
        <v>228</v>
      </c>
      <c r="G920" s="472" t="s">
        <v>189</v>
      </c>
      <c r="H920" s="453">
        <f>SUM(B840,D840,F840)</f>
        <v>0.34643127589298045</v>
      </c>
      <c r="I920" s="1259" t="s">
        <v>225</v>
      </c>
    </row>
    <row r="921" spans="1:9" ht="14.55" customHeight="1" x14ac:dyDescent="0.3">
      <c r="A921" s="1258" t="s">
        <v>323</v>
      </c>
      <c r="B921" s="468">
        <f>IF(B815="Horizontal",VLOOKUP(B837,List!$AR:$AS,2,1)*2,0)</f>
        <v>0</v>
      </c>
      <c r="C921" s="460" t="s">
        <v>222</v>
      </c>
      <c r="D921" s="472" t="s">
        <v>323</v>
      </c>
      <c r="E921" s="725"/>
      <c r="F921" s="460" t="s">
        <v>228</v>
      </c>
      <c r="G921" s="472" t="s">
        <v>317</v>
      </c>
      <c r="H921" s="453">
        <f>SUM(B849*B852+D849*D852+F849*F852)</f>
        <v>0</v>
      </c>
      <c r="I921" s="1259" t="s">
        <v>225</v>
      </c>
    </row>
    <row r="922" spans="1:9" ht="14.55" customHeight="1" x14ac:dyDescent="0.3">
      <c r="A922" s="1258" t="s">
        <v>324</v>
      </c>
      <c r="B922" s="468">
        <f>F891*F890</f>
        <v>0</v>
      </c>
      <c r="C922" s="460" t="s">
        <v>222</v>
      </c>
      <c r="D922" s="460"/>
      <c r="E922" s="460"/>
      <c r="F922" s="460"/>
      <c r="G922" s="472" t="s">
        <v>318</v>
      </c>
      <c r="H922" s="453">
        <f>SUM(B864,D864,F864)</f>
        <v>0</v>
      </c>
      <c r="I922" s="1259" t="s">
        <v>225</v>
      </c>
    </row>
    <row r="923" spans="1:9" ht="14.55" customHeight="1" x14ac:dyDescent="0.3">
      <c r="A923" s="1258" t="s">
        <v>325</v>
      </c>
      <c r="B923" s="468">
        <f>B912</f>
        <v>5.6336893003837791E-5</v>
      </c>
      <c r="C923" s="460" t="s">
        <v>222</v>
      </c>
      <c r="D923" s="460"/>
      <c r="E923" s="460"/>
      <c r="F923" s="460"/>
      <c r="G923" s="472"/>
      <c r="H923" s="453"/>
      <c r="I923" s="1259"/>
    </row>
    <row r="924" spans="1:9" ht="14.55" customHeight="1" x14ac:dyDescent="0.3">
      <c r="A924" s="1258" t="s">
        <v>326</v>
      </c>
      <c r="B924" s="725">
        <v>150</v>
      </c>
      <c r="C924" s="460" t="s">
        <v>222</v>
      </c>
      <c r="D924" s="460"/>
      <c r="E924" s="460"/>
      <c r="F924" s="460"/>
      <c r="G924" s="460"/>
      <c r="H924" s="460"/>
      <c r="I924" s="1259"/>
    </row>
    <row r="925" spans="1:9" ht="14.55" customHeight="1" x14ac:dyDescent="0.3">
      <c r="A925" s="1264"/>
      <c r="B925" s="460"/>
      <c r="C925" s="460"/>
      <c r="D925" s="460"/>
      <c r="E925" s="460"/>
      <c r="F925" s="460"/>
      <c r="G925" s="460"/>
      <c r="H925" s="460"/>
      <c r="I925" s="1259"/>
    </row>
    <row r="926" spans="1:9" ht="14.55" customHeight="1" x14ac:dyDescent="0.3">
      <c r="A926" s="1258" t="s">
        <v>327</v>
      </c>
      <c r="B926" s="453">
        <f>SUM(E915:E921)</f>
        <v>4.3823130907408672</v>
      </c>
      <c r="C926" s="460" t="s">
        <v>228</v>
      </c>
      <c r="D926" s="460"/>
      <c r="E926" s="460"/>
      <c r="F926" s="460"/>
      <c r="G926" s="460"/>
      <c r="H926" s="460"/>
      <c r="I926" s="1259"/>
    </row>
    <row r="927" spans="1:9" ht="14.55" customHeight="1" x14ac:dyDescent="0.3">
      <c r="A927" s="1258" t="s">
        <v>328</v>
      </c>
      <c r="B927" s="453" t="str">
        <f>IF(SUM(E915:E917)=SUM(H915:H917),"Not Insulated",SUM(H915:H917))</f>
        <v>Not Insulated</v>
      </c>
      <c r="C927" s="460" t="str">
        <f>IF(B926=SUM(H915:H917),"","m2")</f>
        <v>m2</v>
      </c>
      <c r="D927" s="460"/>
      <c r="E927" s="460"/>
      <c r="F927" s="460"/>
      <c r="G927" s="460"/>
      <c r="H927" s="460"/>
      <c r="I927" s="1259"/>
    </row>
    <row r="928" spans="1:9" ht="14.55" customHeight="1" x14ac:dyDescent="0.3">
      <c r="A928" s="1258" t="s">
        <v>329</v>
      </c>
      <c r="B928" s="453">
        <f>SUM(H920:H922)</f>
        <v>0.34643127589298045</v>
      </c>
      <c r="C928" s="460" t="s">
        <v>225</v>
      </c>
      <c r="D928" s="460"/>
      <c r="E928" s="460"/>
      <c r="F928" s="460"/>
      <c r="G928" s="460"/>
      <c r="H928" s="460"/>
      <c r="I928" s="1259"/>
    </row>
    <row r="929" spans="1:9" ht="14.55" customHeight="1" x14ac:dyDescent="0.3">
      <c r="A929" s="1258" t="s">
        <v>330</v>
      </c>
      <c r="B929" s="453">
        <f>SUM(B915:B924)</f>
        <v>323.59939561981093</v>
      </c>
      <c r="C929" s="460" t="s">
        <v>222</v>
      </c>
      <c r="D929" s="460"/>
      <c r="E929" s="460"/>
      <c r="F929" s="460"/>
      <c r="G929" s="460"/>
      <c r="H929" s="460"/>
      <c r="I929" s="1259"/>
    </row>
    <row r="930" spans="1:9" ht="14.55" customHeight="1" x14ac:dyDescent="0.3">
      <c r="A930" s="1258" t="s">
        <v>331</v>
      </c>
      <c r="B930" s="725">
        <v>350</v>
      </c>
      <c r="C930" s="460" t="s">
        <v>222</v>
      </c>
      <c r="D930" s="460"/>
      <c r="E930" s="460"/>
      <c r="F930" s="460"/>
      <c r="G930" s="460"/>
      <c r="H930" s="460"/>
      <c r="I930" s="1259"/>
    </row>
    <row r="931" spans="1:9" ht="15" customHeight="1" thickBot="1" x14ac:dyDescent="0.35">
      <c r="A931" s="1258"/>
      <c r="B931" s="473"/>
      <c r="C931" s="459"/>
      <c r="D931" s="460"/>
      <c r="E931" s="460"/>
      <c r="F931" s="460"/>
      <c r="G931" s="460"/>
      <c r="H931" s="460"/>
      <c r="I931" s="1259"/>
    </row>
    <row r="932" spans="1:9" ht="15" customHeight="1" thickBot="1" x14ac:dyDescent="0.35">
      <c r="A932" s="474"/>
      <c r="B932" s="1718" t="s">
        <v>332</v>
      </c>
      <c r="C932" s="1718"/>
      <c r="D932" s="1718"/>
      <c r="E932" s="1718"/>
      <c r="F932" s="1718"/>
      <c r="G932" s="475"/>
      <c r="H932" s="475"/>
      <c r="I932" s="476"/>
    </row>
    <row r="933" spans="1:9" ht="14.55" customHeight="1" x14ac:dyDescent="0.3">
      <c r="A933" s="1264"/>
      <c r="B933" s="1719" t="s">
        <v>333</v>
      </c>
      <c r="C933" s="1381" t="s">
        <v>59</v>
      </c>
      <c r="D933" s="1719" t="s">
        <v>114</v>
      </c>
      <c r="E933" s="1719" t="s">
        <v>334</v>
      </c>
      <c r="F933" s="1719" t="s">
        <v>292</v>
      </c>
      <c r="G933" s="1719" t="s">
        <v>335</v>
      </c>
      <c r="H933" s="1381" t="s">
        <v>184</v>
      </c>
      <c r="I933" s="1346" t="s">
        <v>336</v>
      </c>
    </row>
    <row r="934" spans="1:9" ht="14.55" customHeight="1" x14ac:dyDescent="0.3">
      <c r="A934" s="1264"/>
      <c r="B934" s="1720"/>
      <c r="C934" s="1442" t="s">
        <v>214</v>
      </c>
      <c r="D934" s="1720"/>
      <c r="E934" s="1720"/>
      <c r="F934" s="1720"/>
      <c r="G934" s="1720"/>
      <c r="H934" s="1442" t="s">
        <v>222</v>
      </c>
      <c r="I934" s="1443" t="s">
        <v>228</v>
      </c>
    </row>
    <row r="935" spans="1:9" ht="14.55" customHeight="1" x14ac:dyDescent="0.3">
      <c r="A935" s="1264"/>
      <c r="B935" s="1382" t="s">
        <v>337</v>
      </c>
      <c r="C935" s="728">
        <v>4</v>
      </c>
      <c r="D935" s="729">
        <v>150</v>
      </c>
      <c r="E935" s="730" t="s">
        <v>338</v>
      </c>
      <c r="F935" s="730">
        <v>1</v>
      </c>
      <c r="G935" s="730"/>
      <c r="H935" s="1465">
        <f>IFERROR(VLOOKUP($C935&amp;"F"&amp;$D935,'Flanges Chart'!$1:$1048576,MATCH($E935&amp;"."&amp;H$123,'Flanges Chart'!$1:$1,0),0),"")</f>
        <v>7</v>
      </c>
      <c r="I935" s="1466">
        <f>IFERROR(VLOOKUP($C935&amp;"F"&amp;$D935,'Flanges Chart'!$1:$1048576,MATCH($E935&amp;"."&amp;I$123,'Flanges Chart'!$1:$1,0),0),"")</f>
        <v>7.7089594338994705E-2</v>
      </c>
    </row>
    <row r="936" spans="1:9" ht="14.55" customHeight="1" x14ac:dyDescent="0.3">
      <c r="A936" s="1264"/>
      <c r="B936" s="1467" t="s">
        <v>340</v>
      </c>
      <c r="C936" s="731">
        <v>3</v>
      </c>
      <c r="D936" s="729">
        <v>150</v>
      </c>
      <c r="E936" s="729" t="s">
        <v>338</v>
      </c>
      <c r="F936" s="729">
        <v>1</v>
      </c>
      <c r="G936" s="729"/>
      <c r="H936" s="1465">
        <f>IFERROR(VLOOKUP($C936&amp;"F"&amp;$D936,'Flanges Chart'!$1:$1048576,MATCH($E936&amp;"."&amp;H$123,'Flanges Chart'!$1:$1,0),0),"")</f>
        <v>4.5</v>
      </c>
      <c r="I936" s="1466">
        <f>IFERROR(VLOOKUP($C936&amp;"F"&amp;$D936,'Flanges Chart'!$1:$1048576,MATCH($E936&amp;"."&amp;I$123,'Flanges Chart'!$1:$1,0),0),"")</f>
        <v>5.5494003694879647E-2</v>
      </c>
    </row>
    <row r="937" spans="1:9" ht="14.55" customHeight="1" x14ac:dyDescent="0.3">
      <c r="A937" s="1264"/>
      <c r="B937" s="1467" t="s">
        <v>342</v>
      </c>
      <c r="C937" s="731">
        <v>2</v>
      </c>
      <c r="D937" s="729">
        <v>150</v>
      </c>
      <c r="E937" s="729" t="s">
        <v>360</v>
      </c>
      <c r="F937" s="729">
        <v>4</v>
      </c>
      <c r="G937" s="729"/>
      <c r="H937" s="1465">
        <f>IFERROR(VLOOKUP($C937&amp;"F"&amp;$D937,'Flanges Chart'!$1:$1048576,MATCH($E937&amp;"."&amp;H$123,'Flanges Chart'!$1:$1,0),0),"")</f>
        <v>7.2999999999999989</v>
      </c>
      <c r="I937" s="1466">
        <f>IFERROR(VLOOKUP($C937&amp;"F"&amp;$D937,'Flanges Chart'!$1:$1048576,MATCH($E937&amp;"."&amp;I$123,'Flanges Chart'!$1:$1,0),0),"")</f>
        <v>9.6205458415566922E-2</v>
      </c>
    </row>
    <row r="938" spans="1:9" ht="14.55" customHeight="1" x14ac:dyDescent="0.3">
      <c r="A938" s="1264"/>
      <c r="B938" s="1467" t="s">
        <v>344</v>
      </c>
      <c r="C938" s="731">
        <v>1</v>
      </c>
      <c r="D938" s="729">
        <v>150</v>
      </c>
      <c r="E938" s="729" t="s">
        <v>360</v>
      </c>
      <c r="F938" s="729">
        <v>4</v>
      </c>
      <c r="G938" s="729"/>
      <c r="H938" s="1465">
        <f>IFERROR(VLOOKUP($C938&amp;"F"&amp;$D938,'Flanges Chart'!$1:$1048576,MATCH($E938&amp;"."&amp;H$123,'Flanges Chart'!$1:$1,0),0),"")</f>
        <v>3.6</v>
      </c>
      <c r="I938" s="1466">
        <f>IFERROR(VLOOKUP($C938&amp;"F"&amp;$D938,'Flanges Chart'!$1:$1048576,MATCH($E938&amp;"."&amp;I$123,'Flanges Chart'!$1:$1,0),0),"")</f>
        <v>6.0179914761181216E-2</v>
      </c>
    </row>
    <row r="939" spans="1:9" ht="14.55" customHeight="1" x14ac:dyDescent="0.3">
      <c r="A939" s="1264"/>
      <c r="B939" s="1467" t="s">
        <v>347</v>
      </c>
      <c r="C939" s="731"/>
      <c r="D939" s="729"/>
      <c r="E939" s="729"/>
      <c r="F939" s="729"/>
      <c r="G939" s="729"/>
      <c r="H939" s="1465" t="str">
        <f>IFERROR(VLOOKUP($C939&amp;"F"&amp;$D939,'Flanges Chart'!$1:$1048576,MATCH($E939&amp;"."&amp;H$123,'Flanges Chart'!$1:$1,0),0),"")</f>
        <v/>
      </c>
      <c r="I939" s="1466" t="str">
        <f>IFERROR(VLOOKUP($C939&amp;"F"&amp;$D939,'Flanges Chart'!$1:$1048576,MATCH($E939&amp;"."&amp;I$123,'Flanges Chart'!$1:$1,0),0),"")</f>
        <v/>
      </c>
    </row>
    <row r="940" spans="1:9" ht="14.55" customHeight="1" x14ac:dyDescent="0.3">
      <c r="A940" s="1264"/>
      <c r="B940" s="1467" t="s">
        <v>349</v>
      </c>
      <c r="C940" s="731"/>
      <c r="D940" s="729"/>
      <c r="E940" s="729"/>
      <c r="F940" s="729"/>
      <c r="G940" s="729"/>
      <c r="H940" s="1465" t="str">
        <f>IFERROR(VLOOKUP($C940&amp;"F"&amp;$D940,'Flanges Chart'!$1:$1048576,MATCH($E940&amp;"."&amp;H$123,'Flanges Chart'!$1:$1,0),0),"")</f>
        <v/>
      </c>
      <c r="I940" s="1466" t="str">
        <f>IFERROR(VLOOKUP($C940&amp;"F"&amp;$D940,'Flanges Chart'!$1:$1048576,MATCH($E940&amp;"."&amp;I$123,'Flanges Chart'!$1:$1,0),0),"")</f>
        <v/>
      </c>
    </row>
    <row r="941" spans="1:9" ht="14.55" customHeight="1" x14ac:dyDescent="0.3">
      <c r="A941" s="1264"/>
      <c r="B941" s="1467" t="s">
        <v>350</v>
      </c>
      <c r="C941" s="731"/>
      <c r="D941" s="729"/>
      <c r="E941" s="729"/>
      <c r="F941" s="729"/>
      <c r="G941" s="729"/>
      <c r="H941" s="1465" t="str">
        <f>IFERROR(VLOOKUP($C941&amp;"F"&amp;$D941,'Flanges Chart'!$1:$1048576,MATCH($E941&amp;"."&amp;H$123,'Flanges Chart'!$1:$1,0),0),"")</f>
        <v/>
      </c>
      <c r="I941" s="1466" t="str">
        <f>IFERROR(VLOOKUP($C941&amp;"F"&amp;$D941,'Flanges Chart'!$1:$1048576,MATCH($E941&amp;"."&amp;I$123,'Flanges Chart'!$1:$1,0),0),"")</f>
        <v/>
      </c>
    </row>
    <row r="942" spans="1:9" ht="14.55" customHeight="1" x14ac:dyDescent="0.3">
      <c r="A942" s="1264"/>
      <c r="B942" s="1467" t="s">
        <v>351</v>
      </c>
      <c r="C942" s="731"/>
      <c r="D942" s="729"/>
      <c r="E942" s="729"/>
      <c r="F942" s="729"/>
      <c r="G942" s="729"/>
      <c r="H942" s="1465" t="str">
        <f>IFERROR(VLOOKUP($C942&amp;"F"&amp;$D942,'Flanges Chart'!$1:$1048576,MATCH($E942&amp;"."&amp;H$123,'Flanges Chart'!$1:$1,0),0),"")</f>
        <v/>
      </c>
      <c r="I942" s="1466" t="str">
        <f>IFERROR(VLOOKUP($C942&amp;"F"&amp;$D942,'Flanges Chart'!$1:$1048576,MATCH($E942&amp;"."&amp;I$123,'Flanges Chart'!$1:$1,0),0),"")</f>
        <v/>
      </c>
    </row>
    <row r="943" spans="1:9" ht="14.55" customHeight="1" x14ac:dyDescent="0.3">
      <c r="A943" s="1264"/>
      <c r="B943" s="1467" t="s">
        <v>352</v>
      </c>
      <c r="C943" s="731">
        <v>16</v>
      </c>
      <c r="D943" s="729">
        <v>150</v>
      </c>
      <c r="E943" s="729" t="s">
        <v>338</v>
      </c>
      <c r="F943" s="729"/>
      <c r="G943" s="729"/>
      <c r="H943" s="1465">
        <f>IFERROR(VLOOKUP($C943&amp;"F"&amp;$D943,'Flanges Chart'!$1:$1048576,MATCH($E943&amp;"."&amp;H$123,'Flanges Chart'!$1:$1,0),0),"")</f>
        <v>58</v>
      </c>
      <c r="I943" s="1466">
        <f>IFERROR(VLOOKUP($C943&amp;"F"&amp;$D943,'Flanges Chart'!$1:$1048576,MATCH($E943&amp;"."&amp;I$123,'Flanges Chart'!$1:$1,0),0),"")</f>
        <v>0.46398499201725663</v>
      </c>
    </row>
    <row r="944" spans="1:9" ht="14.55" customHeight="1" x14ac:dyDescent="0.3">
      <c r="A944" s="1264"/>
      <c r="B944" s="1467" t="s">
        <v>353</v>
      </c>
      <c r="C944" s="731">
        <v>16</v>
      </c>
      <c r="D944" s="729">
        <v>150</v>
      </c>
      <c r="E944" s="729" t="s">
        <v>345</v>
      </c>
      <c r="F944" s="729"/>
      <c r="G944" s="729"/>
      <c r="H944" s="1465">
        <f>IFERROR(VLOOKUP($C944&amp;"F"&amp;$D944,'Flanges Chart'!$1:$1048576,MATCH($E944&amp;"."&amp;H$123,'Flanges Chart'!$1:$1,0),0),"")</f>
        <v>77</v>
      </c>
      <c r="I944" s="1466">
        <f>IFERROR(VLOOKUP($C944&amp;"F"&amp;$D944,'Flanges Chart'!$1:$1048576,MATCH($E944&amp;"."&amp;I$123,'Flanges Chart'!$1:$1,0),0),"")</f>
        <v>0.34856740181778878</v>
      </c>
    </row>
    <row r="945" spans="1:13" ht="14.55" customHeight="1" x14ac:dyDescent="0.3">
      <c r="A945" s="1264"/>
      <c r="B945" s="1467" t="s">
        <v>354</v>
      </c>
      <c r="C945" s="731"/>
      <c r="D945" s="729"/>
      <c r="E945" s="729"/>
      <c r="F945" s="729"/>
      <c r="G945" s="729"/>
      <c r="H945" s="1465" t="str">
        <f>IFERROR(VLOOKUP($C945&amp;"F"&amp;$D945,'Flanges Chart'!$1:$1048576,MATCH($E945&amp;"."&amp;H$123,'Flanges Chart'!$1:$1,0),0),"")</f>
        <v/>
      </c>
      <c r="I945" s="1466" t="str">
        <f>IFERROR(VLOOKUP($C945&amp;"F"&amp;$D945,'Flanges Chart'!$1:$1048576,MATCH($E945&amp;"."&amp;I$123,'Flanges Chart'!$1:$1,0),0),"")</f>
        <v/>
      </c>
    </row>
    <row r="946" spans="1:13" ht="15" customHeight="1" thickBot="1" x14ac:dyDescent="0.35">
      <c r="A946" s="1264"/>
      <c r="B946" s="1468" t="s">
        <v>355</v>
      </c>
      <c r="C946" s="732"/>
      <c r="D946" s="733"/>
      <c r="E946" s="733"/>
      <c r="F946" s="733"/>
      <c r="G946" s="733"/>
      <c r="H946" s="1469" t="s">
        <v>356</v>
      </c>
      <c r="I946" s="1470" t="str">
        <f>IFERROR(VLOOKUP($C946&amp;"F"&amp;$D946,'Flanges Chart'!$1:$1048576,MATCH($E946&amp;"."&amp;I$123,'Flanges Chart'!$1:$1,0),0),"")</f>
        <v/>
      </c>
    </row>
    <row r="947" spans="1:13" s="496" customFormat="1" ht="18.600000000000001" thickBot="1" x14ac:dyDescent="0.35">
      <c r="A947" s="493" t="str">
        <f>"POS."&amp;K947&amp;" "&amp;VLOOKUP(K947,'Equip&amp;Mach List'!$1:$1048576,2,0)&amp;" "&amp;VLOOKUP(K947,'Equip&amp;Mach List'!$1:$1048576,3,0)</f>
        <v xml:space="preserve">POS.8  </v>
      </c>
      <c r="B947" s="511"/>
      <c r="C947" s="494"/>
      <c r="D947" s="495"/>
      <c r="E947" s="495"/>
      <c r="F947" s="497"/>
      <c r="G947" s="495"/>
      <c r="H947" s="495"/>
      <c r="I947" s="1255" t="str">
        <f>IFERROR("Weight Calc./Selected = "&amp;ROUND(B1064,1)&amp;"/"&amp;B1065&amp;" kg - Øi ="&amp;IF(B971=0,F971,B971)&amp;" mm"&amp;"T/T ="&amp;IF(B972=0,F972,B972)&amp;" mm - Material "&amp;B958&amp;"        ","")</f>
        <v xml:space="preserve">Weight Calc./Selected = 1500,6/1500 kg - Øi =1000 mmT/T =1016 mm - Material SA-516 Gr.70        </v>
      </c>
      <c r="K947" s="496">
        <v>8</v>
      </c>
      <c r="M947" s="1254"/>
    </row>
    <row r="948" spans="1:13" ht="14.55" customHeight="1" x14ac:dyDescent="0.3">
      <c r="A948" s="1256"/>
      <c r="B948" s="451"/>
      <c r="C948" s="451"/>
      <c r="D948" s="451"/>
      <c r="E948" s="451"/>
      <c r="F948" s="451"/>
      <c r="G948" s="451"/>
      <c r="H948" s="451"/>
      <c r="I948" s="1257"/>
      <c r="K948" s="477" t="s">
        <v>166</v>
      </c>
      <c r="L948" s="477" t="str">
        <f>K947&amp;"."&amp;K948</f>
        <v>8.Design Code</v>
      </c>
      <c r="M948" s="1252" t="str">
        <f>A949&amp;" "&amp;B949</f>
        <v>ASME VIII div.1</v>
      </c>
    </row>
    <row r="949" spans="1:13" ht="14.55" customHeight="1" x14ac:dyDescent="0.3">
      <c r="A949" s="1258" t="s">
        <v>167</v>
      </c>
      <c r="B949" s="718" t="s">
        <v>168</v>
      </c>
      <c r="C949" s="459"/>
      <c r="D949" s="460"/>
      <c r="E949" s="460"/>
      <c r="F949" s="460"/>
      <c r="G949" s="460"/>
      <c r="H949" s="460"/>
      <c r="I949" s="1259"/>
      <c r="K949" s="477" t="s">
        <v>169</v>
      </c>
      <c r="L949" s="477" t="str">
        <f>K947&amp;"."&amp;K949</f>
        <v>8.Orientation</v>
      </c>
      <c r="M949" s="1252" t="str">
        <f>B950</f>
        <v>Horizontal</v>
      </c>
    </row>
    <row r="950" spans="1:13" ht="14.55" customHeight="1" x14ac:dyDescent="0.3">
      <c r="A950" s="1258" t="s">
        <v>170</v>
      </c>
      <c r="B950" s="718" t="s">
        <v>361</v>
      </c>
      <c r="C950" s="459"/>
      <c r="D950" s="460"/>
      <c r="E950" s="460"/>
      <c r="F950" s="461"/>
      <c r="G950" s="460"/>
      <c r="H950" s="460"/>
      <c r="I950" s="1259"/>
      <c r="K950" s="477" t="s">
        <v>172</v>
      </c>
      <c r="L950" s="477" t="str">
        <f>K947&amp;"."&amp;K950</f>
        <v>8.Design Temperature</v>
      </c>
      <c r="M950" s="1252">
        <f>D953</f>
        <v>300</v>
      </c>
    </row>
    <row r="951" spans="1:13" ht="14.55" customHeight="1" x14ac:dyDescent="0.3">
      <c r="A951" s="1258"/>
      <c r="B951" s="459"/>
      <c r="C951" s="459"/>
      <c r="D951" s="460"/>
      <c r="E951" s="460"/>
      <c r="F951" s="462"/>
      <c r="G951" s="460"/>
      <c r="H951" s="460"/>
      <c r="I951" s="1259"/>
      <c r="K951" s="477" t="s">
        <v>173</v>
      </c>
      <c r="L951" s="477" t="str">
        <f>K947&amp;"."&amp;K951</f>
        <v>8.Design Pressure</v>
      </c>
      <c r="M951" s="1252">
        <f>D954</f>
        <v>3.5</v>
      </c>
    </row>
    <row r="952" spans="1:13" ht="14.55" customHeight="1" x14ac:dyDescent="0.3">
      <c r="A952" s="1260" t="s">
        <v>174</v>
      </c>
      <c r="B952" s="459"/>
      <c r="C952" s="459"/>
      <c r="D952" s="460"/>
      <c r="E952" s="460"/>
      <c r="F952" s="462"/>
      <c r="G952" s="460"/>
      <c r="H952" s="460"/>
      <c r="I952" s="1259"/>
      <c r="K952" s="477" t="s">
        <v>175</v>
      </c>
      <c r="L952" s="477" t="str">
        <f>K947&amp;"."&amp;K952</f>
        <v>8.Material</v>
      </c>
      <c r="M952" s="1252" t="str">
        <f>B958</f>
        <v>SA-516 Gr.70</v>
      </c>
    </row>
    <row r="953" spans="1:13" ht="14.55" customHeight="1" x14ac:dyDescent="0.3">
      <c r="A953" s="1258" t="s">
        <v>176</v>
      </c>
      <c r="B953" s="719">
        <v>300</v>
      </c>
      <c r="C953" s="720" t="s">
        <v>177</v>
      </c>
      <c r="D953" s="464">
        <f>IF(C953="°C",B953,0)+IF(C953="°F",(B953-32)*5/9,0)</f>
        <v>300</v>
      </c>
      <c r="E953" s="460" t="s">
        <v>177</v>
      </c>
      <c r="F953" s="462"/>
      <c r="G953" s="460"/>
      <c r="H953" s="460"/>
      <c r="I953" s="1259"/>
      <c r="K953" s="477" t="s">
        <v>178</v>
      </c>
      <c r="L953" s="477" t="str">
        <f>K947&amp;"."&amp;K953</f>
        <v>8.Inside Diameter</v>
      </c>
      <c r="M953" s="1252">
        <f>IF(B971=0,F971,B971)</f>
        <v>1000</v>
      </c>
    </row>
    <row r="954" spans="1:13" ht="14.55" customHeight="1" x14ac:dyDescent="0.3">
      <c r="A954" s="1258" t="s">
        <v>179</v>
      </c>
      <c r="B954" s="721">
        <v>3.5</v>
      </c>
      <c r="C954" s="720" t="s">
        <v>180</v>
      </c>
      <c r="D954" s="452">
        <f>IF(C954="barg",B954,0)+IF(C954="psig",B954*List!$AV$4,0)+IF(C954="MPa",B954*List!$AV$5,0)+IF(C954="N/mm2",B954*List!$AV$6,0)</f>
        <v>3.5</v>
      </c>
      <c r="E954" s="460" t="s">
        <v>180</v>
      </c>
      <c r="F954" s="460"/>
      <c r="G954" s="460"/>
      <c r="H954" s="460"/>
      <c r="I954" s="1259"/>
      <c r="K954" s="477" t="s">
        <v>181</v>
      </c>
      <c r="L954" s="477" t="str">
        <f>K947&amp;"."&amp;K954</f>
        <v>8.Tan / Tan</v>
      </c>
      <c r="M954" s="1252">
        <f>IF(B973=0,F973,B973)</f>
        <v>3000</v>
      </c>
    </row>
    <row r="955" spans="1:13" ht="14.55" customHeight="1" x14ac:dyDescent="0.3">
      <c r="A955" s="1258" t="s">
        <v>182</v>
      </c>
      <c r="B955" s="721"/>
      <c r="C955" s="720"/>
      <c r="D955" s="452">
        <f>IF(C955="barg",B955,0)+IF(C955="psig",B955*List!$AV$4,0)+IF(C955="MPa",B955*List!$AV$5,0)+IF(C955="N/mm2",B955*List!$AV$6,0)</f>
        <v>0</v>
      </c>
      <c r="E955" s="460" t="s">
        <v>180</v>
      </c>
      <c r="F955" s="460"/>
      <c r="G955" s="465"/>
      <c r="H955" s="460"/>
      <c r="I955" s="1259"/>
      <c r="K955" s="477" t="s">
        <v>183</v>
      </c>
      <c r="L955" s="477" t="str">
        <f>K947&amp;"."&amp;K955</f>
        <v>8.Thickness</v>
      </c>
      <c r="M955" s="1252">
        <f>IF(B1012=0,F1016,B1012)</f>
        <v>8</v>
      </c>
    </row>
    <row r="956" spans="1:13" ht="14.55" customHeight="1" x14ac:dyDescent="0.3">
      <c r="A956" s="1258"/>
      <c r="B956" s="459"/>
      <c r="C956" s="459"/>
      <c r="D956" s="460"/>
      <c r="E956" s="460"/>
      <c r="F956" s="460"/>
      <c r="G956" s="465"/>
      <c r="H956" s="460"/>
      <c r="I956" s="1259"/>
      <c r="K956" s="477" t="s">
        <v>184</v>
      </c>
      <c r="L956" s="477" t="str">
        <f>K947&amp;"."&amp;K956</f>
        <v>8.Unit Weight</v>
      </c>
      <c r="M956" s="1252">
        <f>B1065</f>
        <v>1500</v>
      </c>
    </row>
    <row r="957" spans="1:13" ht="14.55" customHeight="1" x14ac:dyDescent="0.3">
      <c r="A957" s="1260" t="s">
        <v>185</v>
      </c>
      <c r="B957" s="459" t="s">
        <v>186</v>
      </c>
      <c r="C957" s="459"/>
      <c r="D957" s="460"/>
      <c r="E957" s="460"/>
      <c r="F957" s="460" t="s">
        <v>187</v>
      </c>
      <c r="G957" s="465"/>
      <c r="H957" s="460"/>
      <c r="I957" s="1259"/>
      <c r="K957" s="478" t="s">
        <v>188</v>
      </c>
      <c r="L957" s="477" t="str">
        <f>K947&amp;"."&amp;K957</f>
        <v>8.Unit External Surface</v>
      </c>
      <c r="M957" s="1252">
        <f>B1061</f>
        <v>17.787498869566932</v>
      </c>
    </row>
    <row r="958" spans="1:13" ht="14.55" customHeight="1" x14ac:dyDescent="0.3">
      <c r="A958" s="1258" t="s">
        <v>189</v>
      </c>
      <c r="B958" s="1716" t="s">
        <v>359</v>
      </c>
      <c r="C958" s="1717"/>
      <c r="D958" s="460"/>
      <c r="E958" s="461"/>
      <c r="F958" s="1716"/>
      <c r="G958" s="1717"/>
      <c r="H958" s="460"/>
      <c r="I958" s="1259"/>
      <c r="K958" s="477" t="s">
        <v>191</v>
      </c>
      <c r="L958" s="477" t="str">
        <f>K947&amp;"."&amp;K958</f>
        <v>8.M1 DN</v>
      </c>
      <c r="M958" s="1252">
        <f>C1079</f>
        <v>24</v>
      </c>
    </row>
    <row r="959" spans="1:13" ht="14.55" customHeight="1" x14ac:dyDescent="0.3">
      <c r="A959" s="1258" t="s">
        <v>192</v>
      </c>
      <c r="B959" s="1716" t="s">
        <v>359</v>
      </c>
      <c r="C959" s="1717"/>
      <c r="D959" s="460"/>
      <c r="E959" s="461"/>
      <c r="F959" s="1716"/>
      <c r="G959" s="1717"/>
      <c r="H959" s="460"/>
      <c r="I959" s="1259"/>
      <c r="K959" s="477" t="s">
        <v>193</v>
      </c>
      <c r="L959" s="477" t="str">
        <f>K947&amp;"."&amp;K959</f>
        <v>8.M1 Rating</v>
      </c>
      <c r="M959" s="1252">
        <f>D1079</f>
        <v>150</v>
      </c>
    </row>
    <row r="960" spans="1:13" ht="14.55" customHeight="1" x14ac:dyDescent="0.3">
      <c r="A960" s="1258"/>
      <c r="B960" s="466"/>
      <c r="C960" s="466"/>
      <c r="D960" s="460"/>
      <c r="E960" s="460"/>
      <c r="F960" s="460"/>
      <c r="G960" s="460"/>
      <c r="H960" s="460"/>
      <c r="I960" s="1259"/>
      <c r="K960" s="477" t="s">
        <v>194</v>
      </c>
      <c r="L960" s="477" t="str">
        <f>K947&amp;"."&amp;K960</f>
        <v>8.M1 Type</v>
      </c>
      <c r="M960" s="1252" t="str">
        <f>E1079</f>
        <v>Welding Neck</v>
      </c>
    </row>
    <row r="961" spans="1:13" ht="14.55" customHeight="1" x14ac:dyDescent="0.3">
      <c r="A961" s="1258" t="s">
        <v>195</v>
      </c>
      <c r="B961" s="460"/>
      <c r="C961" s="460"/>
      <c r="D961" s="460"/>
      <c r="E961" s="460"/>
      <c r="F961" s="460"/>
      <c r="G961" s="460"/>
      <c r="H961" s="460"/>
      <c r="I961" s="1259"/>
      <c r="K961" s="477" t="s">
        <v>196</v>
      </c>
      <c r="L961" s="477" t="str">
        <f>K947&amp;"."&amp;K961</f>
        <v>8.M1 Quantity</v>
      </c>
      <c r="M961" s="1252">
        <f>F1079</f>
        <v>1</v>
      </c>
    </row>
    <row r="962" spans="1:13" ht="14.55" customHeight="1" x14ac:dyDescent="0.3">
      <c r="A962" s="1258" t="s">
        <v>197</v>
      </c>
      <c r="B962" s="464">
        <f>$D953*(VLOOKUP($B958,'ASME II Tab 1A'!$1:$1048576,MATCH($D953,'ASME II Tab 1A'!$6:$6,1)+1,0)-VLOOKUP($B958,'ASME II Tab 1A'!$1:$1048576,MATCH($D953,'ASME II Tab 1A'!$6:$6,1),0))/(INDEX('ASME II Tab 1A'!$6:$6,MATCH($D953,'ASME II Tab 1A'!$6:$6,1)+1)-INDEX('ASME II Tab 1A'!$6:$6,MATCH($D953,'ASME II Tab 1A'!$6:$6,1)))+VLOOKUP($B958,'ASME II Tab 1A'!$1:$1048576,MATCH($D953,'ASME II Tab 1A'!$6:$6,1)+1,0)-INDEX('ASME II Tab 1A'!$6:$6,MATCH($D953,'ASME II Tab 1A'!$6:$6,1)+1)*(VLOOKUP($B958,'ASME II Tab 1A'!$1:$1048576,MATCH($D953,'ASME II Tab 1A'!$6:$6,1)+1,0)-VLOOKUP($B958,'ASME II Tab 1A'!$1:$1048576,MATCH($D953,'ASME II Tab 1A'!$6:$6,1),0))/(INDEX('ASME II Tab 1A'!$6:$6,MATCH($D953,'ASME II Tab 1A'!$6:$6,1)+1)-INDEX('ASME II Tab 1A'!$6:$6,MATCH($D953,'ASME II Tab 1A'!$6:$6,1)))</f>
        <v>136</v>
      </c>
      <c r="C962" s="460" t="s">
        <v>198</v>
      </c>
      <c r="D962" s="460"/>
      <c r="E962" s="467"/>
      <c r="F962" s="460" t="e">
        <f>$D953*(VLOOKUP($F958,'ASME II Tab 1A'!$1:$1048576,MATCH($D953,'ASME II Tab 1A'!$6:$6,1)+1,0)-VLOOKUP($F958,'ASME II Tab 1A'!$1:$1048576,MATCH($D953,'ASME II Tab 1A'!$6:$6,1),0))/(INDEX('ASME II Tab 1A'!$6:$6,MATCH($D953,'ASME II Tab 1A'!$6:$6,1)+1)-INDEX('ASME II Tab 1A'!$6:$6,MATCH($D953,'ASME II Tab 1A'!$6:$6,1)))+VLOOKUP($F958,'ASME II Tab 1A'!$1:$1048576,MATCH($D953,'ASME II Tab 1A'!$6:$6,1)+1,0)-INDEX('ASME II Tab 1A'!$6:$6,MATCH($D953,'ASME II Tab 1A'!$6:$6,1)+1)*(VLOOKUP($F958,'ASME II Tab 1A'!$1:$1048576,MATCH($D953,'ASME II Tab 1A'!$6:$6,1)+1,0)-VLOOKUP($F958,'ASME II Tab 1A'!$1:$1048576,MATCH($D953,'ASME II Tab 1A'!$6:$6,1),0))/(INDEX('ASME II Tab 1A'!$6:$6,MATCH($D953,'ASME II Tab 1A'!$6:$6,1)+1)-INDEX('ASME II Tab 1A'!$6:$6,MATCH($D953,'ASME II Tab 1A'!$6:$6,1)))</f>
        <v>#N/A</v>
      </c>
      <c r="G962" s="460" t="s">
        <v>198</v>
      </c>
      <c r="H962" s="460"/>
      <c r="I962" s="1259"/>
      <c r="K962" s="477" t="s">
        <v>199</v>
      </c>
      <c r="L962" s="477" t="str">
        <f>K947&amp;"."&amp;K962</f>
        <v>8.M2 DN</v>
      </c>
      <c r="M962" s="1252">
        <f>C1080</f>
        <v>0</v>
      </c>
    </row>
    <row r="963" spans="1:13" ht="14.55" customHeight="1" x14ac:dyDescent="0.3">
      <c r="A963" s="1258" t="s">
        <v>200</v>
      </c>
      <c r="B963" s="464">
        <f>$D953*(VLOOKUP($B959,'ASME II Tab 1A'!$1:$1048576,MATCH($D953,'ASME II Tab 1A'!$6:$6,1)+1,0)-VLOOKUP($B959,'ASME II Tab 1A'!$1:$1048576,MATCH($D953,'ASME II Tab 1A'!$6:$6,1),0))/(INDEX('ASME II Tab 1A'!$6:$6,MATCH($D953,'ASME II Tab 1A'!$6:$6,1)+1)-INDEX('ASME II Tab 1A'!$6:$6,MATCH($D953,'ASME II Tab 1A'!$6:$6,1)))+VLOOKUP($B959,'ASME II Tab 1A'!$1:$1048576,MATCH($D953,'ASME II Tab 1A'!$6:$6,1)+1,0)-INDEX('ASME II Tab 1A'!$6:$6,MATCH($D953,'ASME II Tab 1A'!$6:$6,1)+1)*(VLOOKUP($B959,'ASME II Tab 1A'!$1:$1048576,MATCH($D953,'ASME II Tab 1A'!$6:$6,1)+1,0)-VLOOKUP($B959,'ASME II Tab 1A'!$1:$1048576,MATCH($D953,'ASME II Tab 1A'!$6:$6,1),0))/(INDEX('ASME II Tab 1A'!$6:$6,MATCH($D953,'ASME II Tab 1A'!$6:$6,1)+1)-INDEX('ASME II Tab 1A'!$6:$6,MATCH($D953,'ASME II Tab 1A'!$6:$6,1)))</f>
        <v>136</v>
      </c>
      <c r="C963" s="460" t="s">
        <v>198</v>
      </c>
      <c r="D963" s="460"/>
      <c r="E963" s="460"/>
      <c r="F963" s="460" t="e">
        <f>$D953*(VLOOKUP($F959,'ASME II Tab 1A'!$1:$1048576,MATCH($D953,'ASME II Tab 1A'!$6:$6,1)+1,0)-VLOOKUP($F959,'ASME II Tab 1A'!$1:$1048576,MATCH($D953,'ASME II Tab 1A'!$6:$6,1),0))/(INDEX('ASME II Tab 1A'!$6:$6,MATCH($D953,'ASME II Tab 1A'!$6:$6,1)+1)-INDEX('ASME II Tab 1A'!$6:$6,MATCH($D953,'ASME II Tab 1A'!$6:$6,1)))+VLOOKUP($F959,'ASME II Tab 1A'!$1:$1048576,MATCH($D953,'ASME II Tab 1A'!$6:$6,1)+1,0)-INDEX('ASME II Tab 1A'!$6:$6,MATCH($D953,'ASME II Tab 1A'!$6:$6,1)+1)*(VLOOKUP($F959,'ASME II Tab 1A'!$1:$1048576,MATCH($D953,'ASME II Tab 1A'!$6:$6,1)+1,0)-VLOOKUP($F959,'ASME II Tab 1A'!$1:$1048576,MATCH($D953,'ASME II Tab 1A'!$6:$6,1),0))/(INDEX('ASME II Tab 1A'!$6:$6,MATCH($D953,'ASME II Tab 1A'!$6:$6,1)+1)-INDEX('ASME II Tab 1A'!$6:$6,MATCH($D953,'ASME II Tab 1A'!$6:$6,1)))</f>
        <v>#N/A</v>
      </c>
      <c r="G963" s="460" t="s">
        <v>198</v>
      </c>
      <c r="H963" s="460"/>
      <c r="I963" s="1259"/>
      <c r="K963" s="477" t="s">
        <v>201</v>
      </c>
      <c r="L963" s="477" t="str">
        <f>K947&amp;"."&amp;K963</f>
        <v>8.M2 Rating</v>
      </c>
      <c r="M963" s="1252">
        <f>D1080</f>
        <v>0</v>
      </c>
    </row>
    <row r="964" spans="1:13" ht="14.55" customHeight="1" x14ac:dyDescent="0.3">
      <c r="A964" s="1258" t="s">
        <v>202</v>
      </c>
      <c r="B964" s="460"/>
      <c r="C964" s="460"/>
      <c r="D964" s="460"/>
      <c r="E964" s="460"/>
      <c r="F964" s="460"/>
      <c r="G964" s="460"/>
      <c r="H964" s="460"/>
      <c r="I964" s="1259"/>
      <c r="K964" s="477" t="s">
        <v>203</v>
      </c>
      <c r="L964" s="477" t="str">
        <f>K947&amp;"."&amp;K964</f>
        <v>8.M2 Type</v>
      </c>
      <c r="M964" s="1252">
        <f>E1080</f>
        <v>0</v>
      </c>
    </row>
    <row r="965" spans="1:13" ht="14.55" customHeight="1" x14ac:dyDescent="0.3">
      <c r="A965" s="1258" t="s">
        <v>197</v>
      </c>
      <c r="B965" s="464">
        <f>$D953*(VLOOKUP($B958,'ASME II Tab 5A'!$1:$1048576,MATCH($D953,'ASME II Tab 5A'!$5:$5,1)+1,0)-VLOOKUP($B958,'ASME II Tab 5A'!$1:$1048576,MATCH($D953,'ASME II Tab 5A'!$5:$5,1),0))/(INDEX('ASME II Tab 5A'!$5:$5,MATCH($D953,'ASME II Tab 5A'!$5:$5,1)+1)-INDEX('ASME II Tab 5A'!$5:$5,MATCH($D953,'ASME II Tab 5A'!$5:$5,1)))+VLOOKUP($B958,'ASME II Tab 5A'!$1:$1048576,MATCH($D953,'ASME II Tab 5A'!$5:$5,1)+1,0)-INDEX('ASME II Tab 5A'!$5:$5,MATCH($D953,'ASME II Tab 5A'!$5:$5,1)+1)*(VLOOKUP($B958,'ASME II Tab 5A'!$1:$1048576,MATCH($D953,'ASME II Tab 5A'!$5:$5,1)+1,0)-VLOOKUP($B958,'ASME II Tab 5A'!$1:$1048576,MATCH($D953,'ASME II Tab 5A'!$5:$5,1),0))/(INDEX('ASME II Tab 5A'!$5:$5,MATCH($D953,'ASME II Tab 5A'!$5:$5,1)+1)-INDEX('ASME II Tab 5A'!$5:$5,MATCH($D953,'ASME II Tab 5A'!$5:$5,1)))</f>
        <v>136</v>
      </c>
      <c r="C965" s="460" t="s">
        <v>198</v>
      </c>
      <c r="D965" s="460"/>
      <c r="E965" s="460"/>
      <c r="F965" s="460" t="e">
        <f>$D953*(VLOOKUP($F958,'ASME II Tab 5A'!$1:$1048576,MATCH($D953,'ASME II Tab 5A'!$5:$5,1)+1,0)-VLOOKUP($F958,'ASME II Tab 5A'!$1:$1048576,MATCH($D953,'ASME II Tab 5A'!$5:$5,1),0))/(INDEX('ASME II Tab 5A'!$5:$5,MATCH($D953,'ASME II Tab 5A'!$5:$5,1)+1)-INDEX('ASME II Tab 5A'!$5:$5,MATCH($D953,'ASME II Tab 5A'!$5:$5,1)))+VLOOKUP($F958,'ASME II Tab 5A'!$1:$1048576,MATCH($D953,'ASME II Tab 5A'!$5:$5,1)+1,0)-INDEX('ASME II Tab 5A'!$5:$5,MATCH($D953,'ASME II Tab 5A'!$5:$5,1)+1)*(VLOOKUP($F958,'ASME II Tab 5A'!$1:$1048576,MATCH($D953,'ASME II Tab 5A'!$5:$5,1)+1,0)-VLOOKUP($F958,'ASME II Tab 5A'!$1:$1048576,MATCH($D953,'ASME II Tab 5A'!$5:$5,1),0))/(INDEX('ASME II Tab 5A'!$5:$5,MATCH($D953,'ASME II Tab 5A'!$5:$5,1)+1)-INDEX('ASME II Tab 5A'!$5:$5,MATCH($D953,'ASME II Tab 5A'!$5:$5,1)))</f>
        <v>#N/A</v>
      </c>
      <c r="G965" s="460" t="s">
        <v>198</v>
      </c>
      <c r="H965" s="460"/>
      <c r="I965" s="1259"/>
      <c r="K965" s="477" t="s">
        <v>204</v>
      </c>
      <c r="L965" s="477" t="str">
        <f>K947&amp;"."&amp;K965</f>
        <v>8.M2 Quantity</v>
      </c>
      <c r="M965" s="1252">
        <f>F1080</f>
        <v>0</v>
      </c>
    </row>
    <row r="966" spans="1:13" ht="14.55" customHeight="1" x14ac:dyDescent="0.3">
      <c r="A966" s="1258" t="s">
        <v>200</v>
      </c>
      <c r="B966" s="464">
        <f>$D953*(VLOOKUP($B959,'ASME II Tab 5A'!$1:$1048576,MATCH($D953,'ASME II Tab 5A'!$5:$5,1)+1,0)-VLOOKUP($B959,'ASME II Tab 5A'!$1:$1048576,MATCH($D953,'ASME II Tab 5A'!$5:$5,1),0))/(INDEX('ASME II Tab 5A'!$5:$5,MATCH($D953,'ASME II Tab 5A'!$5:$5,1)+1)-INDEX('ASME II Tab 5A'!$5:$5,MATCH($D953,'ASME II Tab 5A'!$5:$5,1)))+VLOOKUP($B959,'ASME II Tab 5A'!$1:$1048576,MATCH($D953,'ASME II Tab 5A'!$5:$5,1)+1,0)-INDEX('ASME II Tab 5A'!$5:$5,MATCH($D953,'ASME II Tab 5A'!$5:$5,1)+1)*(VLOOKUP($B959,'ASME II Tab 5A'!$1:$1048576,MATCH($D953,'ASME II Tab 5A'!$5:$5,1)+1,0)-VLOOKUP($B959,'ASME II Tab 5A'!$1:$1048576,MATCH($D953,'ASME II Tab 5A'!$5:$5,1),0))/(INDEX('ASME II Tab 5A'!$5:$5,MATCH($D953,'ASME II Tab 5A'!$5:$5,1)+1)-INDEX('ASME II Tab 5A'!$5:$5,MATCH($D953,'ASME II Tab 5A'!$5:$5,1)))</f>
        <v>136</v>
      </c>
      <c r="C966" s="460" t="s">
        <v>198</v>
      </c>
      <c r="D966" s="460"/>
      <c r="E966" s="460"/>
      <c r="F966" s="460" t="e">
        <f>$D953*(VLOOKUP($F959,'ASME II Tab 5A'!$1:$1048576,MATCH($D953,'ASME II Tab 5A'!$5:$5,1)+1,0)-VLOOKUP($F959,'ASME II Tab 5A'!$1:$1048576,MATCH($D953,'ASME II Tab 5A'!$5:$5,1),0))/(INDEX('ASME II Tab 5A'!$5:$5,MATCH($D953,'ASME II Tab 5A'!$5:$5,1)+1)-INDEX('ASME II Tab 5A'!$5:$5,MATCH($D953,'ASME II Tab 5A'!$5:$5,1)))+VLOOKUP($F959,'ASME II Tab 5A'!$1:$1048576,MATCH($D953,'ASME II Tab 5A'!$5:$5,1)+1,0)-INDEX('ASME II Tab 5A'!$5:$5,MATCH($D953,'ASME II Tab 5A'!$5:$5,1)+1)*(VLOOKUP($F959,'ASME II Tab 5A'!$1:$1048576,MATCH($D953,'ASME II Tab 5A'!$5:$5,1)+1,0)-VLOOKUP($F959,'ASME II Tab 5A'!$1:$1048576,MATCH($D953,'ASME II Tab 5A'!$5:$5,1),0))/(INDEX('ASME II Tab 5A'!$5:$5,MATCH($D953,'ASME II Tab 5A'!$5:$5,1)+1)-INDEX('ASME II Tab 5A'!$5:$5,MATCH($D953,'ASME II Tab 5A'!$5:$5,1)))</f>
        <v>#N/A</v>
      </c>
      <c r="G966" s="460" t="s">
        <v>198</v>
      </c>
      <c r="H966" s="460"/>
      <c r="I966" s="1259"/>
      <c r="K966" s="477" t="s">
        <v>205</v>
      </c>
      <c r="L966" s="477" t="str">
        <f>K947&amp;"."&amp;K966</f>
        <v>8.M3 DN</v>
      </c>
      <c r="M966" s="1252">
        <f>C1081</f>
        <v>0</v>
      </c>
    </row>
    <row r="967" spans="1:13" ht="14.55" customHeight="1" x14ac:dyDescent="0.3">
      <c r="A967" s="1258"/>
      <c r="B967" s="460"/>
      <c r="C967" s="460"/>
      <c r="D967" s="460"/>
      <c r="E967" s="460"/>
      <c r="F967" s="460"/>
      <c r="G967" s="460"/>
      <c r="H967" s="460"/>
      <c r="I967" s="1259"/>
      <c r="K967" s="477" t="s">
        <v>206</v>
      </c>
      <c r="L967" s="477" t="str">
        <f>K947&amp;"."&amp;K967</f>
        <v>8.M3 Rating</v>
      </c>
      <c r="M967" s="1252">
        <f>D1081</f>
        <v>0</v>
      </c>
    </row>
    <row r="968" spans="1:13" ht="14.55" customHeight="1" x14ac:dyDescent="0.3">
      <c r="A968" s="1260" t="s">
        <v>207</v>
      </c>
      <c r="B968" s="453"/>
      <c r="C968" s="460"/>
      <c r="D968" s="453"/>
      <c r="E968" s="460"/>
      <c r="F968" s="453"/>
      <c r="G968" s="460"/>
      <c r="H968" s="460"/>
      <c r="I968" s="1259"/>
      <c r="K968" s="477" t="s">
        <v>208</v>
      </c>
      <c r="L968" s="477" t="str">
        <f>K947&amp;"."&amp;K968</f>
        <v>8.M3 Type</v>
      </c>
      <c r="M968" s="1252">
        <f>E1081</f>
        <v>0</v>
      </c>
    </row>
    <row r="969" spans="1:13" ht="14.55" customHeight="1" x14ac:dyDescent="0.3">
      <c r="A969" s="1260"/>
      <c r="B969" s="305" t="s">
        <v>209</v>
      </c>
      <c r="C969" s="460"/>
      <c r="D969" s="305" t="s">
        <v>210</v>
      </c>
      <c r="E969" s="460"/>
      <c r="F969" s="305" t="s">
        <v>211</v>
      </c>
      <c r="G969" s="460"/>
      <c r="H969" s="460"/>
      <c r="I969" s="1259"/>
      <c r="K969" s="477" t="s">
        <v>212</v>
      </c>
      <c r="L969" s="477" t="str">
        <f>K947&amp;"."&amp;K969</f>
        <v>8.M3 Quantity</v>
      </c>
      <c r="M969" s="1252">
        <f>F1081</f>
        <v>0</v>
      </c>
    </row>
    <row r="970" spans="1:13" ht="14.55" customHeight="1" x14ac:dyDescent="0.3">
      <c r="A970" s="1258" t="s">
        <v>213</v>
      </c>
      <c r="B970" s="305"/>
      <c r="C970" s="460"/>
      <c r="D970" s="305"/>
      <c r="E970" s="460"/>
      <c r="F970" s="723"/>
      <c r="G970" s="460" t="s">
        <v>214</v>
      </c>
      <c r="H970" s="460"/>
      <c r="I970" s="1259"/>
      <c r="K970" s="477" t="s">
        <v>215</v>
      </c>
      <c r="L970" s="477" t="str">
        <f>K947&amp;"."&amp;K970</f>
        <v>8.Shell insulation thk 1</v>
      </c>
      <c r="M970" s="1252">
        <f>B1018</f>
        <v>0</v>
      </c>
    </row>
    <row r="971" spans="1:13" ht="14.55" customHeight="1" x14ac:dyDescent="0.3">
      <c r="A971" s="1258" t="s">
        <v>216</v>
      </c>
      <c r="B971" s="722">
        <v>1000</v>
      </c>
      <c r="C971" s="460" t="s">
        <v>93</v>
      </c>
      <c r="D971" s="722"/>
      <c r="E971" s="460" t="s">
        <v>93</v>
      </c>
      <c r="F971" s="468">
        <f>F972-2*F1016</f>
        <v>0</v>
      </c>
      <c r="G971" s="460" t="s">
        <v>93</v>
      </c>
      <c r="H971" s="460"/>
      <c r="I971" s="1259"/>
      <c r="K971" s="477" t="s">
        <v>217</v>
      </c>
      <c r="L971" s="477" t="str">
        <f>K947&amp;"."&amp;K971</f>
        <v>8.Head insulation thk 1</v>
      </c>
      <c r="M971" s="1252">
        <f>B1019</f>
        <v>0</v>
      </c>
    </row>
    <row r="972" spans="1:13" ht="14.55" customHeight="1" x14ac:dyDescent="0.3">
      <c r="A972" s="1258" t="s">
        <v>218</v>
      </c>
      <c r="B972" s="468">
        <f>B971+B1012*2</f>
        <v>1016</v>
      </c>
      <c r="C972" s="460" t="s">
        <v>93</v>
      </c>
      <c r="D972" s="468">
        <f>D971+D1012*2</f>
        <v>0</v>
      </c>
      <c r="E972" s="460" t="s">
        <v>93</v>
      </c>
      <c r="F972" s="468">
        <f>IFERROR(VLOOKUP(F970,'Thickness Tab'!$1:$1048576,3,0),0)</f>
        <v>0</v>
      </c>
      <c r="G972" s="460" t="s">
        <v>93</v>
      </c>
      <c r="H972" s="469"/>
      <c r="I972" s="1261"/>
      <c r="K972" s="477" t="s">
        <v>219</v>
      </c>
      <c r="L972" s="477" t="str">
        <f>K947&amp;"."&amp;K972</f>
        <v>8.Reducer insulation thk 1</v>
      </c>
      <c r="M972" s="1252">
        <f>B1020</f>
        <v>0</v>
      </c>
    </row>
    <row r="973" spans="1:13" ht="14.55" customHeight="1" x14ac:dyDescent="0.3">
      <c r="A973" s="1258" t="s">
        <v>181</v>
      </c>
      <c r="B973" s="722">
        <v>3000</v>
      </c>
      <c r="C973" s="460" t="s">
        <v>93</v>
      </c>
      <c r="D973" s="722"/>
      <c r="E973" s="460" t="s">
        <v>93</v>
      </c>
      <c r="F973" s="722"/>
      <c r="G973" s="460" t="s">
        <v>93</v>
      </c>
      <c r="H973" s="460"/>
      <c r="I973" s="1259"/>
      <c r="K973" s="477" t="s">
        <v>220</v>
      </c>
      <c r="L973" s="477" t="str">
        <f>K947&amp;"."&amp;K973</f>
        <v>8.Shell insulation area 1</v>
      </c>
      <c r="M973" s="1252">
        <f>B978</f>
        <v>9.5707199999999997</v>
      </c>
    </row>
    <row r="974" spans="1:13" ht="14.55" customHeight="1" x14ac:dyDescent="0.3">
      <c r="A974" s="1258" t="s">
        <v>221</v>
      </c>
      <c r="B974" s="468">
        <f>(PI()*B973*(((B972/2)^2)-((B971/2)^2))*7860)/1000000000*1.05</f>
        <v>627.23963240249213</v>
      </c>
      <c r="C974" s="460" t="s">
        <v>222</v>
      </c>
      <c r="D974" s="468">
        <f>(PI()*D973*(((D972/2)^2)-((D971/2)^2))*7860)/1000000000*1.05</f>
        <v>0</v>
      </c>
      <c r="E974" s="460" t="s">
        <v>222</v>
      </c>
      <c r="F974" s="468">
        <f>(PI()*F973*(((F972/2)^2)-((F971/2)^2))*7860)/1000000000*1.05</f>
        <v>0</v>
      </c>
      <c r="G974" s="460" t="s">
        <v>222</v>
      </c>
      <c r="H974" s="469"/>
      <c r="I974" s="1261"/>
      <c r="K974" s="477" t="s">
        <v>223</v>
      </c>
      <c r="L974" s="477" t="str">
        <f>K947&amp;"."&amp;K974</f>
        <v>8.Head insulation area 1</v>
      </c>
      <c r="M974" s="1252">
        <f>B990</f>
        <v>2.40544096</v>
      </c>
    </row>
    <row r="975" spans="1:13" ht="14.55" customHeight="1" x14ac:dyDescent="0.3">
      <c r="A975" s="1258" t="s">
        <v>224</v>
      </c>
      <c r="B975" s="468">
        <f>(PI()*((B971/2)^2)*B973)/1000000000</f>
        <v>2.3561944901923448</v>
      </c>
      <c r="C975" s="460" t="s">
        <v>225</v>
      </c>
      <c r="D975" s="468">
        <f>(PI()*((D971/2)^2)*D973)/1000000000</f>
        <v>0</v>
      </c>
      <c r="E975" s="460" t="s">
        <v>225</v>
      </c>
      <c r="F975" s="468">
        <f>(PI()*((F971/2)^2)*F973)/1000000000</f>
        <v>0</v>
      </c>
      <c r="G975" s="460" t="s">
        <v>225</v>
      </c>
      <c r="H975" s="469"/>
      <c r="I975" s="1261"/>
      <c r="K975" s="477" t="s">
        <v>226</v>
      </c>
      <c r="L975" s="477" t="str">
        <f>K947&amp;"."&amp;K975</f>
        <v>8.Reducer insulation area 1</v>
      </c>
      <c r="M975" s="1252">
        <f>B1003</f>
        <v>0</v>
      </c>
    </row>
    <row r="976" spans="1:13" ht="14.55" customHeight="1" x14ac:dyDescent="0.3">
      <c r="A976" s="1258" t="s">
        <v>227</v>
      </c>
      <c r="B976" s="468">
        <f>(B972*3.14*B973)/1000000</f>
        <v>9.5707199999999997</v>
      </c>
      <c r="C976" s="460" t="s">
        <v>228</v>
      </c>
      <c r="D976" s="468">
        <f>(D972*3.14*D973)/1000000</f>
        <v>0</v>
      </c>
      <c r="E976" s="460" t="s">
        <v>228</v>
      </c>
      <c r="F976" s="468">
        <f>(F972*3.14*F973)/1000000</f>
        <v>0</v>
      </c>
      <c r="G976" s="460" t="s">
        <v>228</v>
      </c>
      <c r="H976" s="469"/>
      <c r="I976" s="1261"/>
      <c r="K976" s="477" t="s">
        <v>229</v>
      </c>
      <c r="L976" s="477" t="str">
        <f>K947&amp;"."&amp;K976</f>
        <v>8.Shell insulation thk 2</v>
      </c>
      <c r="M976" s="1252">
        <f>D1018</f>
        <v>0</v>
      </c>
    </row>
    <row r="977" spans="1:13" ht="14.55" customHeight="1" x14ac:dyDescent="0.3">
      <c r="A977" s="1258" t="s">
        <v>230</v>
      </c>
      <c r="B977" s="468">
        <f>B972+2*B1018</f>
        <v>1016</v>
      </c>
      <c r="C977" s="460" t="s">
        <v>93</v>
      </c>
      <c r="D977" s="468">
        <f>D972+2*D1018</f>
        <v>0</v>
      </c>
      <c r="E977" s="460" t="s">
        <v>93</v>
      </c>
      <c r="F977" s="468">
        <f>F972+2*F1018</f>
        <v>0</v>
      </c>
      <c r="G977" s="460" t="s">
        <v>93</v>
      </c>
      <c r="H977" s="469"/>
      <c r="I977" s="1261"/>
      <c r="K977" s="477" t="s">
        <v>231</v>
      </c>
      <c r="L977" s="477" t="str">
        <f>K947&amp;"."&amp;K977</f>
        <v>8.Head insulation thk 2</v>
      </c>
      <c r="M977" s="1252">
        <f>D1019</f>
        <v>0</v>
      </c>
    </row>
    <row r="978" spans="1:13" ht="14.55" customHeight="1" x14ac:dyDescent="0.3">
      <c r="A978" s="1258" t="s">
        <v>232</v>
      </c>
      <c r="B978" s="468">
        <f>(B977*3.14*B973)/1000000</f>
        <v>9.5707199999999997</v>
      </c>
      <c r="C978" s="460" t="s">
        <v>228</v>
      </c>
      <c r="D978" s="468">
        <f>(D977*3.14*D973)/1000000</f>
        <v>0</v>
      </c>
      <c r="E978" s="460" t="s">
        <v>228</v>
      </c>
      <c r="F978" s="468">
        <f>(F977*3.14*F973)/1000000</f>
        <v>0</v>
      </c>
      <c r="G978" s="460" t="s">
        <v>228</v>
      </c>
      <c r="H978" s="469"/>
      <c r="I978" s="1261"/>
      <c r="K978" s="477" t="s">
        <v>233</v>
      </c>
      <c r="L978" s="477" t="str">
        <f>K947&amp;"."&amp;K978</f>
        <v>8.Reducer insulation thk 2</v>
      </c>
      <c r="M978" s="1252">
        <f>D1020</f>
        <v>0</v>
      </c>
    </row>
    <row r="979" spans="1:13" ht="14.55" customHeight="1" x14ac:dyDescent="0.3">
      <c r="A979" s="1258"/>
      <c r="B979" s="468"/>
      <c r="C979" s="460"/>
      <c r="D979" s="468"/>
      <c r="E979" s="460"/>
      <c r="F979" s="468"/>
      <c r="G979" s="460"/>
      <c r="H979" s="469"/>
      <c r="I979" s="1261"/>
      <c r="K979" s="477" t="s">
        <v>234</v>
      </c>
      <c r="L979" s="477" t="str">
        <f>K947&amp;"."&amp;K979</f>
        <v>8.Shell insulation area 2</v>
      </c>
      <c r="M979" s="1252">
        <f>D978</f>
        <v>0</v>
      </c>
    </row>
    <row r="980" spans="1:13" ht="14.55" customHeight="1" x14ac:dyDescent="0.3">
      <c r="A980" s="1258"/>
      <c r="B980" s="468" t="s">
        <v>235</v>
      </c>
      <c r="C980" s="460"/>
      <c r="D980" s="468" t="s">
        <v>236</v>
      </c>
      <c r="E980" s="460"/>
      <c r="F980" s="468" t="s">
        <v>237</v>
      </c>
      <c r="G980" s="460"/>
      <c r="H980" s="469"/>
      <c r="I980" s="1261"/>
      <c r="K980" s="477" t="s">
        <v>238</v>
      </c>
      <c r="L980" s="477" t="str">
        <f>K947&amp;"."&amp;K980</f>
        <v>8.Head insulation area 2</v>
      </c>
      <c r="M980" s="1252">
        <f>D990</f>
        <v>0</v>
      </c>
    </row>
    <row r="981" spans="1:13" ht="14.55" customHeight="1" x14ac:dyDescent="0.3">
      <c r="A981" s="1258" t="s">
        <v>239</v>
      </c>
      <c r="B981" s="468">
        <f>B971</f>
        <v>1000</v>
      </c>
      <c r="C981" s="460" t="s">
        <v>93</v>
      </c>
      <c r="D981" s="468">
        <f>D971</f>
        <v>0</v>
      </c>
      <c r="E981" s="460" t="s">
        <v>93</v>
      </c>
      <c r="F981" s="468">
        <f>F971</f>
        <v>0</v>
      </c>
      <c r="G981" s="460" t="s">
        <v>93</v>
      </c>
      <c r="H981" s="469"/>
      <c r="I981" s="1261"/>
      <c r="K981" s="477" t="s">
        <v>240</v>
      </c>
      <c r="L981" s="477" t="str">
        <f>K947&amp;"."&amp;K981</f>
        <v>8.Reducer insulation area 2</v>
      </c>
      <c r="M981" s="1252">
        <f>D1003</f>
        <v>0</v>
      </c>
    </row>
    <row r="982" spans="1:13" ht="14.55" customHeight="1" x14ac:dyDescent="0.3">
      <c r="A982" s="1258" t="s">
        <v>241</v>
      </c>
      <c r="B982" s="468">
        <f>B981+2*B1013</f>
        <v>1016</v>
      </c>
      <c r="C982" s="460" t="s">
        <v>93</v>
      </c>
      <c r="D982" s="468">
        <f>D981+2*D1013</f>
        <v>0</v>
      </c>
      <c r="E982" s="460" t="s">
        <v>93</v>
      </c>
      <c r="F982" s="468">
        <f>F981+2*F1016</f>
        <v>0</v>
      </c>
      <c r="G982" s="460" t="s">
        <v>93</v>
      </c>
      <c r="H982" s="469"/>
      <c r="I982" s="1261"/>
      <c r="K982" s="477" t="s">
        <v>242</v>
      </c>
      <c r="L982" s="477" t="str">
        <f>K947&amp;"."&amp;K982</f>
        <v>8.Shell insulation thk 3</v>
      </c>
      <c r="M982" s="1252">
        <f>F1018</f>
        <v>0</v>
      </c>
    </row>
    <row r="983" spans="1:13" ht="14.55" customHeight="1" x14ac:dyDescent="0.3">
      <c r="A983" s="1258" t="s">
        <v>243</v>
      </c>
      <c r="B983" s="722">
        <v>500</v>
      </c>
      <c r="C983" s="460" t="s">
        <v>93</v>
      </c>
      <c r="D983" s="722"/>
      <c r="E983" s="460" t="s">
        <v>93</v>
      </c>
      <c r="F983" s="452"/>
      <c r="G983" s="460"/>
      <c r="H983" s="469"/>
      <c r="I983" s="1261"/>
      <c r="K983" s="477" t="s">
        <v>244</v>
      </c>
      <c r="L983" s="477" t="str">
        <f>K947&amp;"."&amp;K983</f>
        <v>8.Head insulation thk 3</v>
      </c>
      <c r="M983" s="1252">
        <f>F1019</f>
        <v>0</v>
      </c>
    </row>
    <row r="984" spans="1:13" ht="14.55" customHeight="1" x14ac:dyDescent="0.3">
      <c r="A984" s="1258" t="s">
        <v>245</v>
      </c>
      <c r="B984" s="724">
        <v>2</v>
      </c>
      <c r="C984" s="460"/>
      <c r="D984" s="724"/>
      <c r="E984" s="460"/>
      <c r="F984" s="724"/>
      <c r="G984" s="460"/>
      <c r="H984" s="469"/>
      <c r="I984" s="1261"/>
      <c r="K984" s="477" t="s">
        <v>246</v>
      </c>
      <c r="L984" s="477" t="str">
        <f>K947&amp;"."&amp;K984</f>
        <v>8.Reducer insulation thk 3</v>
      </c>
      <c r="M984" s="1252">
        <f>F1020</f>
        <v>0</v>
      </c>
    </row>
    <row r="985" spans="1:13" ht="14.55" customHeight="1" x14ac:dyDescent="0.3">
      <c r="A985" s="1258" t="s">
        <v>247</v>
      </c>
      <c r="B985" s="468">
        <v>0</v>
      </c>
      <c r="C985" s="460" t="s">
        <v>93</v>
      </c>
      <c r="D985" s="468">
        <v>0</v>
      </c>
      <c r="E985" s="460" t="s">
        <v>93</v>
      </c>
      <c r="F985" s="468">
        <v>0</v>
      </c>
      <c r="G985" s="460" t="s">
        <v>93</v>
      </c>
      <c r="H985" s="469"/>
      <c r="I985" s="1261"/>
      <c r="K985" s="477" t="s">
        <v>248</v>
      </c>
      <c r="L985" s="477" t="str">
        <f>K947&amp;"."&amp;K985</f>
        <v>8.Shell insulation area 3</v>
      </c>
      <c r="M985" s="1252">
        <f>F978</f>
        <v>0</v>
      </c>
    </row>
    <row r="986" spans="1:13" ht="14.55" customHeight="1" x14ac:dyDescent="0.3">
      <c r="A986" s="1258" t="s">
        <v>249</v>
      </c>
      <c r="B986" s="468">
        <f>((((POWER(((((B981+B1014)*1.22)+(B985*2))/100),2)*PI())/4)*(B1014/100))*7.86)</f>
        <v>74.686677509429543</v>
      </c>
      <c r="C986" s="460" t="s">
        <v>222</v>
      </c>
      <c r="D986" s="468">
        <f>((((POWER(((((D981+D1014)*1.22)+(D985*2))/100),2)*PI())/4)*(D1014/100))*7.86)</f>
        <v>0</v>
      </c>
      <c r="E986" s="460" t="s">
        <v>222</v>
      </c>
      <c r="F986" s="468">
        <f>IFERROR(VLOOKUP(F970&amp;"."&amp;F1015,'Fitting Chart'!$1:$1048576,5,0),0)</f>
        <v>0</v>
      </c>
      <c r="G986" s="460" t="s">
        <v>222</v>
      </c>
      <c r="H986" s="469"/>
      <c r="I986" s="1261"/>
      <c r="K986" s="477" t="s">
        <v>250</v>
      </c>
      <c r="L986" s="477" t="str">
        <f>K947&amp;"."&amp;K986</f>
        <v>8.Head insulation area 3</v>
      </c>
      <c r="M986" s="1252">
        <f>F989</f>
        <v>0</v>
      </c>
    </row>
    <row r="987" spans="1:13" ht="14.55" customHeight="1" x14ac:dyDescent="0.3">
      <c r="A987" s="1258" t="s">
        <v>251</v>
      </c>
      <c r="B987" s="468">
        <f>(((0.131*(B981^3)*10^-6)+((((B981/2)^2)*PI()*(((B981/4)+B1013)-B1013-(B981/4)))))+((PI()*((B981/2)^2)*B985))/1000000)/1000</f>
        <v>0.13100000000000001</v>
      </c>
      <c r="C987" s="460" t="s">
        <v>225</v>
      </c>
      <c r="D987" s="468">
        <f>(((0.131*(D981^3)*10^-6)+((((D981/2)^2)*PI()*(((D981/4)+D1013)-D1013-(D981/4)))))+((PI()*((D981/2)^2)*D985))/1000000)/1000</f>
        <v>0</v>
      </c>
      <c r="E987" s="460" t="s">
        <v>225</v>
      </c>
      <c r="F987" s="468">
        <f>(((0.131*(F981^3)*10^-6)+((((F981/2)^2)*PI()*(((F981/4)+F1016)-F1016-(F981/4)))))+((PI()*((F981/2)^2)*F985))/1000000)/1000</f>
        <v>0</v>
      </c>
      <c r="G987" s="460" t="s">
        <v>225</v>
      </c>
      <c r="H987" s="469"/>
      <c r="I987" s="1261"/>
      <c r="K987" s="477" t="s">
        <v>252</v>
      </c>
      <c r="L987" s="477" t="str">
        <f>K947&amp;"."&amp;K987</f>
        <v>8.Reducer insulation area 3</v>
      </c>
      <c r="M987" s="1252">
        <f>F1003</f>
        <v>0</v>
      </c>
    </row>
    <row r="988" spans="1:13" ht="14.55" customHeight="1" x14ac:dyDescent="0.3">
      <c r="A988" s="1258" t="s">
        <v>253</v>
      </c>
      <c r="B988" s="468">
        <f>(((B982*B983*3.14)+(((B982/2)^2)*3.14))/1000000)</f>
        <v>2.40544096</v>
      </c>
      <c r="C988" s="460" t="s">
        <v>228</v>
      </c>
      <c r="D988" s="468">
        <f>(((D982*D983*3.14)+(((D982/2)^2)*3.14))/1000000)</f>
        <v>0</v>
      </c>
      <c r="E988" s="460" t="s">
        <v>228</v>
      </c>
      <c r="F988" s="468">
        <f>(((F982*F983*3.14)+(((F982/2)^2)*3.14))/1000000)</f>
        <v>0</v>
      </c>
      <c r="G988" s="460" t="s">
        <v>228</v>
      </c>
      <c r="H988" s="469"/>
      <c r="I988" s="1261"/>
    </row>
    <row r="989" spans="1:13" ht="14.55" customHeight="1" x14ac:dyDescent="0.3">
      <c r="A989" s="1258" t="s">
        <v>254</v>
      </c>
      <c r="B989" s="468">
        <f>B982+2*B1019</f>
        <v>1016</v>
      </c>
      <c r="C989" s="460" t="s">
        <v>93</v>
      </c>
      <c r="D989" s="468">
        <f>D982+2*D1019</f>
        <v>0</v>
      </c>
      <c r="E989" s="460" t="s">
        <v>93</v>
      </c>
      <c r="F989" s="468">
        <f>F982+2*F1019</f>
        <v>0</v>
      </c>
      <c r="G989" s="460" t="s">
        <v>93</v>
      </c>
      <c r="H989" s="469"/>
      <c r="I989" s="1261"/>
    </row>
    <row r="990" spans="1:13" ht="14.55" customHeight="1" x14ac:dyDescent="0.3">
      <c r="A990" s="1258" t="s">
        <v>255</v>
      </c>
      <c r="B990" s="468">
        <f>(((B989*B983*3.14)+(((B989/2)^2)*3.14))/1000000)</f>
        <v>2.40544096</v>
      </c>
      <c r="C990" s="460" t="s">
        <v>228</v>
      </c>
      <c r="D990" s="468">
        <f>(((D989*D983*3.14)+(((D989/2)^2)*3.14))/1000000)</f>
        <v>0</v>
      </c>
      <c r="E990" s="460" t="s">
        <v>228</v>
      </c>
      <c r="F990" s="468">
        <f>(((F989*F983*3.14)+(((F989/2)^2)*3.14))/1000000)</f>
        <v>0</v>
      </c>
      <c r="G990" s="460" t="s">
        <v>228</v>
      </c>
      <c r="H990" s="469"/>
      <c r="I990" s="1261"/>
    </row>
    <row r="991" spans="1:13" ht="14.55" customHeight="1" x14ac:dyDescent="0.3">
      <c r="A991" s="1258"/>
      <c r="B991" s="454"/>
      <c r="C991" s="460"/>
      <c r="D991" s="454"/>
      <c r="E991" s="460"/>
      <c r="F991" s="454"/>
      <c r="G991" s="460"/>
      <c r="H991" s="469"/>
      <c r="I991" s="1261"/>
    </row>
    <row r="992" spans="1:13" ht="14.55" customHeight="1" x14ac:dyDescent="0.3">
      <c r="A992" s="1258"/>
      <c r="B992" s="468" t="s">
        <v>256</v>
      </c>
      <c r="C992" s="460"/>
      <c r="D992" s="468" t="s">
        <v>257</v>
      </c>
      <c r="E992" s="460"/>
      <c r="F992" s="468" t="s">
        <v>258</v>
      </c>
      <c r="G992" s="460"/>
      <c r="H992" s="469"/>
      <c r="I992" s="1261"/>
    </row>
    <row r="993" spans="1:9" ht="14.55" customHeight="1" x14ac:dyDescent="0.3">
      <c r="A993" s="1258" t="s">
        <v>259</v>
      </c>
      <c r="B993" s="725"/>
      <c r="C993" s="460" t="s">
        <v>93</v>
      </c>
      <c r="D993" s="725"/>
      <c r="E993" s="460" t="s">
        <v>93</v>
      </c>
      <c r="F993" s="725"/>
      <c r="G993" s="460" t="s">
        <v>93</v>
      </c>
      <c r="H993" s="469"/>
      <c r="I993" s="1261"/>
    </row>
    <row r="994" spans="1:9" ht="14.55" customHeight="1" x14ac:dyDescent="0.3">
      <c r="A994" s="1258" t="s">
        <v>260</v>
      </c>
      <c r="B994" s="725"/>
      <c r="C994" s="460" t="s">
        <v>93</v>
      </c>
      <c r="D994" s="725"/>
      <c r="E994" s="460" t="s">
        <v>93</v>
      </c>
      <c r="F994" s="725"/>
      <c r="G994" s="460" t="s">
        <v>93</v>
      </c>
      <c r="H994" s="469"/>
      <c r="I994" s="1261"/>
    </row>
    <row r="995" spans="1:9" ht="14.55" customHeight="1" x14ac:dyDescent="0.3">
      <c r="A995" s="1258" t="s">
        <v>261</v>
      </c>
      <c r="B995" s="725"/>
      <c r="C995" s="460" t="s">
        <v>93</v>
      </c>
      <c r="D995" s="725"/>
      <c r="E995" s="460" t="s">
        <v>93</v>
      </c>
      <c r="F995" s="725"/>
      <c r="G995" s="460" t="s">
        <v>93</v>
      </c>
      <c r="H995" s="469"/>
      <c r="I995" s="1261"/>
    </row>
    <row r="996" spans="1:9" ht="14.55" customHeight="1" x14ac:dyDescent="0.3">
      <c r="A996" s="1258" t="s">
        <v>262</v>
      </c>
      <c r="B996" s="455">
        <f>B993+2*B1014</f>
        <v>16</v>
      </c>
      <c r="C996" s="460" t="s">
        <v>93</v>
      </c>
      <c r="D996" s="455">
        <f>D993+2*D1014</f>
        <v>0</v>
      </c>
      <c r="E996" s="460" t="s">
        <v>93</v>
      </c>
      <c r="F996" s="455">
        <f>F993+2*F1016</f>
        <v>0</v>
      </c>
      <c r="G996" s="460" t="s">
        <v>93</v>
      </c>
      <c r="H996" s="469"/>
      <c r="I996" s="1261"/>
    </row>
    <row r="997" spans="1:9" ht="14.55" customHeight="1" x14ac:dyDescent="0.3">
      <c r="A997" s="1258" t="s">
        <v>263</v>
      </c>
      <c r="B997" s="455">
        <f>B994+2*B1014</f>
        <v>16</v>
      </c>
      <c r="C997" s="460" t="s">
        <v>93</v>
      </c>
      <c r="D997" s="455">
        <f>D994+2*D1014</f>
        <v>0</v>
      </c>
      <c r="E997" s="460" t="s">
        <v>93</v>
      </c>
      <c r="F997" s="455">
        <f>F994+2*F1016</f>
        <v>0</v>
      </c>
      <c r="G997" s="460" t="s">
        <v>93</v>
      </c>
      <c r="H997" s="469"/>
      <c r="I997" s="1261"/>
    </row>
    <row r="998" spans="1:9" ht="14.55" customHeight="1" x14ac:dyDescent="0.3">
      <c r="A998" s="1258" t="s">
        <v>264</v>
      </c>
      <c r="B998" s="453">
        <f>(((((1/3*PI()*B995))*((((B996/2)^2)+(((B996/2)*(B997/2)))+((B997/2)^2))))-(((1/3*PI()*B995))*((((B993/2)^2)+(((B993/2)*(B994/2)))+((B994/2)^2)))))*7.86)/1000000</f>
        <v>0</v>
      </c>
      <c r="C998" s="460" t="s">
        <v>222</v>
      </c>
      <c r="D998" s="453">
        <f>(((((1/3*PI()*D995))*((((D996/2)^2)+(((D996/2)*(D997/2)))+((D997/2)^2))))-(((1/3*PI()*D995))*((((D993/2)^2)+(((D993/2)*(D994/2)))+((D994/2)^2)))))*7.86)/1000000</f>
        <v>0</v>
      </c>
      <c r="E998" s="460" t="s">
        <v>222</v>
      </c>
      <c r="F998" s="453">
        <f>(((((1/3*PI()*F995))*((((F996/2)^2)+(((F996/2)*(F997/2)))+((F997/2)^2))))-(((1/3*PI()*F995))*((((F993/2)^2)+(((F993/2)*(F994/2)))+((F994/2)^2)))))*7.86)/1000000</f>
        <v>0</v>
      </c>
      <c r="G998" s="460" t="s">
        <v>222</v>
      </c>
      <c r="H998" s="469"/>
      <c r="I998" s="1261"/>
    </row>
    <row r="999" spans="1:9" ht="14.55" customHeight="1" x14ac:dyDescent="0.3">
      <c r="A999" s="1258" t="s">
        <v>265</v>
      </c>
      <c r="B999" s="453">
        <f>((1/3*PI()*B995))*((((B993/2)^2)+(((B993/2)*(B994/2)))+((B994/2)^2)))/1000000000</f>
        <v>0</v>
      </c>
      <c r="C999" s="460" t="s">
        <v>225</v>
      </c>
      <c r="D999" s="453">
        <f>((1/3*PI()*D995))*((((D993/2)^2)+(((D993/2)*(D994/2)))+((D994/2)^2)))/1000000000</f>
        <v>0</v>
      </c>
      <c r="E999" s="460" t="s">
        <v>225</v>
      </c>
      <c r="F999" s="453">
        <f>((1/3*PI()*F995))*((((F993/2)^2)+(((F993/2)*(F994/2)))+((F994/2)^2)))/1000000000</f>
        <v>0</v>
      </c>
      <c r="G999" s="460" t="s">
        <v>225</v>
      </c>
      <c r="H999" s="469"/>
      <c r="I999" s="1261"/>
    </row>
    <row r="1000" spans="1:9" ht="14.55" customHeight="1" x14ac:dyDescent="0.3">
      <c r="A1000" s="1258" t="s">
        <v>266</v>
      </c>
      <c r="B1000" s="453">
        <f>PI()*(B996+B997)/2*SQRT(B995^2+((B996-B997)/2)^2)/1000000</f>
        <v>0</v>
      </c>
      <c r="C1000" s="460" t="s">
        <v>228</v>
      </c>
      <c r="D1000" s="453">
        <f>PI()*(D996+D997)/2*SQRT(D995^2+((D996-D997)/2)^2)/1000000</f>
        <v>0</v>
      </c>
      <c r="E1000" s="460" t="s">
        <v>228</v>
      </c>
      <c r="F1000" s="453">
        <f>PI()*(F996+F997)/2*SQRT(F995^2+((F996-F997)/2)^2)/1000000</f>
        <v>0</v>
      </c>
      <c r="G1000" s="460" t="s">
        <v>228</v>
      </c>
      <c r="H1000" s="469"/>
      <c r="I1000" s="1261"/>
    </row>
    <row r="1001" spans="1:9" ht="14.55" customHeight="1" x14ac:dyDescent="0.3">
      <c r="A1001" s="1258" t="s">
        <v>267</v>
      </c>
      <c r="B1001" s="453">
        <f>B996+2*B1020</f>
        <v>16</v>
      </c>
      <c r="C1001" s="460" t="s">
        <v>93</v>
      </c>
      <c r="D1001" s="453">
        <f>D993+2*D1020</f>
        <v>0</v>
      </c>
      <c r="E1001" s="460" t="s">
        <v>93</v>
      </c>
      <c r="F1001" s="453">
        <f>F993+2*F1020</f>
        <v>0</v>
      </c>
      <c r="G1001" s="460" t="s">
        <v>93</v>
      </c>
      <c r="H1001" s="469"/>
      <c r="I1001" s="1261"/>
    </row>
    <row r="1002" spans="1:9" ht="14.55" customHeight="1" x14ac:dyDescent="0.3">
      <c r="A1002" s="1258" t="s">
        <v>268</v>
      </c>
      <c r="B1002" s="453">
        <f>B997+2*B1020</f>
        <v>16</v>
      </c>
      <c r="C1002" s="460" t="s">
        <v>93</v>
      </c>
      <c r="D1002" s="453">
        <f>D994+2*D1020</f>
        <v>0</v>
      </c>
      <c r="E1002" s="460" t="s">
        <v>93</v>
      </c>
      <c r="F1002" s="453">
        <f>F994+2*F1020</f>
        <v>0</v>
      </c>
      <c r="G1002" s="460" t="s">
        <v>93</v>
      </c>
      <c r="H1002" s="469"/>
      <c r="I1002" s="1261"/>
    </row>
    <row r="1003" spans="1:9" ht="14.55" customHeight="1" x14ac:dyDescent="0.3">
      <c r="A1003" s="1258" t="s">
        <v>269</v>
      </c>
      <c r="B1003" s="453">
        <f>PI()*(B1001+B1002)/2*SQRT(B995^2+((B1001-B1002)/2)^2)/1000000</f>
        <v>0</v>
      </c>
      <c r="C1003" s="460" t="s">
        <v>228</v>
      </c>
      <c r="D1003" s="453">
        <f>PI()*(D1001+D1002)/2*SQRT(D995^2+((D1001-D1002)/2)^2)/1000000</f>
        <v>0</v>
      </c>
      <c r="E1003" s="460" t="s">
        <v>228</v>
      </c>
      <c r="F1003" s="453">
        <f>PI()*(F1001+F1002)/2*SQRT(F995^2+((F1001-F1002)/2)^2)/1000000</f>
        <v>0</v>
      </c>
      <c r="G1003" s="460" t="s">
        <v>228</v>
      </c>
      <c r="H1003" s="469"/>
      <c r="I1003" s="1261"/>
    </row>
    <row r="1004" spans="1:9" ht="14.55" customHeight="1" x14ac:dyDescent="0.3">
      <c r="A1004" s="1258"/>
      <c r="B1004" s="453"/>
      <c r="C1004" s="460"/>
      <c r="D1004" s="453"/>
      <c r="E1004" s="460"/>
      <c r="F1004" s="453"/>
      <c r="G1004" s="460"/>
      <c r="H1004" s="460"/>
      <c r="I1004" s="1259"/>
    </row>
    <row r="1005" spans="1:9" ht="14.55" customHeight="1" x14ac:dyDescent="0.3">
      <c r="A1005" s="1258" t="s">
        <v>270</v>
      </c>
      <c r="B1005" s="725">
        <v>8</v>
      </c>
      <c r="C1005" s="460" t="s">
        <v>93</v>
      </c>
      <c r="D1005" s="725"/>
      <c r="E1005" s="460" t="s">
        <v>93</v>
      </c>
      <c r="F1005" s="725"/>
      <c r="G1005" s="460" t="s">
        <v>93</v>
      </c>
      <c r="H1005" s="460"/>
      <c r="I1005" s="1259"/>
    </row>
    <row r="1006" spans="1:9" ht="14.55" customHeight="1" x14ac:dyDescent="0.3">
      <c r="A1006" s="1258" t="s">
        <v>271</v>
      </c>
      <c r="B1006" s="453">
        <f>((D954/10)*B971/2)/(IF(B949="div.1",B962,B965)-0.5*D954/10)</f>
        <v>1.2884226026136574</v>
      </c>
      <c r="C1006" s="460" t="s">
        <v>93</v>
      </c>
      <c r="D1006" s="453">
        <f>((D954/10)*D971/2)/(IF(B949="div.1",B962,B965)-0.5*D954/10)</f>
        <v>0</v>
      </c>
      <c r="E1006" s="460" t="s">
        <v>93</v>
      </c>
      <c r="F1006" s="453" t="e">
        <f>((D954/10)*F971/2)/(IF(B949="div.1",F962,F965)-0.5*D954/10)</f>
        <v>#N/A</v>
      </c>
      <c r="G1006" s="460" t="s">
        <v>93</v>
      </c>
      <c r="H1006" s="460"/>
      <c r="I1006" s="1259"/>
    </row>
    <row r="1007" spans="1:9" ht="14.55" customHeight="1" x14ac:dyDescent="0.3">
      <c r="A1007" s="1258" t="s">
        <v>272</v>
      </c>
      <c r="B1007" s="453">
        <f>B981/2*(EXP(D954/(10*IF(B949="div.1",B963,B966)))-1)</f>
        <v>1.2884218905903078</v>
      </c>
      <c r="C1007" s="460" t="s">
        <v>93</v>
      </c>
      <c r="D1007" s="453">
        <f>D981/2*(EXP(D954/(10*IF(B949="div.1",B963,B966)))-1)</f>
        <v>0</v>
      </c>
      <c r="E1007" s="460" t="s">
        <v>93</v>
      </c>
      <c r="F1007" s="453" t="e">
        <f>F981/2*(EXP(D954/(10*IF(B949="div.1",F963,F966)))-1)</f>
        <v>#N/A</v>
      </c>
      <c r="G1007" s="460" t="s">
        <v>93</v>
      </c>
      <c r="H1007" s="460"/>
      <c r="I1007" s="1259"/>
    </row>
    <row r="1008" spans="1:9" ht="14.55" customHeight="1" x14ac:dyDescent="0.3">
      <c r="A1008" s="1258" t="s">
        <v>273</v>
      </c>
      <c r="B1008" s="453">
        <f>B993/2*(EXP(D954/(10*IF(B949="div.1",B963,B966)))-1)</f>
        <v>0</v>
      </c>
      <c r="C1008" s="460" t="s">
        <v>93</v>
      </c>
      <c r="D1008" s="453">
        <f>D993/2*(EXP(D954/(10*IF(B949="div.1",B963,B966)))-1)</f>
        <v>0</v>
      </c>
      <c r="E1008" s="460" t="s">
        <v>93</v>
      </c>
      <c r="F1008" s="453" t="e">
        <f>F993/2*(EXP(D954/(10*IF(B949="div.1",F963,F966)))-1)</f>
        <v>#N/A</v>
      </c>
      <c r="G1008" s="460" t="s">
        <v>93</v>
      </c>
      <c r="H1008" s="460"/>
      <c r="I1008" s="1259"/>
    </row>
    <row r="1009" spans="1:9" ht="14.55" customHeight="1" x14ac:dyDescent="0.3">
      <c r="A1009" s="1258" t="s">
        <v>274</v>
      </c>
      <c r="B1009" s="725">
        <v>6</v>
      </c>
      <c r="C1009" s="460" t="s">
        <v>93</v>
      </c>
      <c r="D1009" s="725"/>
      <c r="E1009" s="460" t="s">
        <v>93</v>
      </c>
      <c r="F1009" s="725"/>
      <c r="G1009" s="460" t="s">
        <v>93</v>
      </c>
      <c r="H1009" s="460"/>
      <c r="I1009" s="1259"/>
    </row>
    <row r="1010" spans="1:9" ht="14.55" customHeight="1" x14ac:dyDescent="0.3">
      <c r="A1010" s="1258" t="s">
        <v>275</v>
      </c>
      <c r="B1010" s="725">
        <v>6</v>
      </c>
      <c r="C1010" s="460" t="s">
        <v>93</v>
      </c>
      <c r="D1010" s="725"/>
      <c r="E1010" s="460" t="s">
        <v>93</v>
      </c>
      <c r="F1010" s="725"/>
      <c r="G1010" s="460" t="s">
        <v>93</v>
      </c>
      <c r="H1010" s="460"/>
      <c r="I1010" s="1259"/>
    </row>
    <row r="1011" spans="1:9" ht="14.55" customHeight="1" x14ac:dyDescent="0.3">
      <c r="A1011" s="1258" t="s">
        <v>276</v>
      </c>
      <c r="B1011" s="725">
        <v>6</v>
      </c>
      <c r="C1011" s="460" t="s">
        <v>93</v>
      </c>
      <c r="D1011" s="725"/>
      <c r="E1011" s="460" t="s">
        <v>93</v>
      </c>
      <c r="F1011" s="725"/>
      <c r="G1011" s="460" t="s">
        <v>93</v>
      </c>
      <c r="H1011" s="460"/>
      <c r="I1011" s="1259"/>
    </row>
    <row r="1012" spans="1:9" ht="14.55" customHeight="1" x14ac:dyDescent="0.3">
      <c r="A1012" s="1258" t="s">
        <v>277</v>
      </c>
      <c r="B1012" s="453">
        <f>IF((CEILING(B1006,1)+B1009)&lt;B1005,B1005,CEILING(B1006,1)+B1009)</f>
        <v>8</v>
      </c>
      <c r="C1012" s="460" t="s">
        <v>93</v>
      </c>
      <c r="D1012" s="453">
        <f>IF((CEILING(D1006,1)+D1009)&lt;D1005,D1005,CEILING(D1006,1)+D1009)</f>
        <v>0</v>
      </c>
      <c r="E1012" s="460" t="s">
        <v>93</v>
      </c>
      <c r="F1012" s="453" t="e">
        <f>IF((CEILING(F1006,1)+F1009)&lt;F1005,F1005,CEILING(F1006,1)+F1009)</f>
        <v>#N/A</v>
      </c>
      <c r="G1012" s="460" t="s">
        <v>93</v>
      </c>
      <c r="H1012" s="460"/>
      <c r="I1012" s="1259"/>
    </row>
    <row r="1013" spans="1:9" ht="14.55" customHeight="1" x14ac:dyDescent="0.3">
      <c r="A1013" s="1258" t="s">
        <v>278</v>
      </c>
      <c r="B1013" s="453">
        <f>IF((CEILING(B1007,1)+B1010)&lt;=B1005,B1005,CEILING(B1007,1)+B1010)</f>
        <v>8</v>
      </c>
      <c r="C1013" s="460" t="s">
        <v>93</v>
      </c>
      <c r="D1013" s="453">
        <f>IF((CEILING(D1007,1)+D1010)&lt;=D1005,D1005,CEILING(D1007,1)+D1010)</f>
        <v>0</v>
      </c>
      <c r="E1013" s="460" t="s">
        <v>93</v>
      </c>
      <c r="F1013" s="453" t="e">
        <f>IF((CEILING(F1007,1)+F1010)&lt;=F1005,F1005,CEILING(F1007,1)+F1010)</f>
        <v>#N/A</v>
      </c>
      <c r="G1013" s="460" t="s">
        <v>93</v>
      </c>
      <c r="H1013" s="460"/>
      <c r="I1013" s="1259"/>
    </row>
    <row r="1014" spans="1:9" ht="14.55" customHeight="1" x14ac:dyDescent="0.3">
      <c r="A1014" s="1258" t="s">
        <v>279</v>
      </c>
      <c r="B1014" s="453">
        <f>IF((CEILING(B1008,1)+B1011)&lt;=B1005,B1005,CEILING(B1008,1)+B1011)</f>
        <v>8</v>
      </c>
      <c r="C1014" s="460" t="s">
        <v>93</v>
      </c>
      <c r="D1014" s="453">
        <f>IF((CEILING(D1008,1)+D1011)&lt;=D1005,D1005,CEILING(D1008,1)+D1011)</f>
        <v>0</v>
      </c>
      <c r="E1014" s="460" t="s">
        <v>93</v>
      </c>
      <c r="F1014" s="453" t="e">
        <f>IF((CEILING(F1008,1)+F1011)&lt;=F1005,F1005,CEILING(F1008,1)+F1011)</f>
        <v>#N/A</v>
      </c>
      <c r="G1014" s="460" t="s">
        <v>93</v>
      </c>
      <c r="H1014" s="460"/>
      <c r="I1014" s="1259"/>
    </row>
    <row r="1015" spans="1:9" ht="14.55" customHeight="1" x14ac:dyDescent="0.3">
      <c r="A1015" s="1258" t="s">
        <v>280</v>
      </c>
      <c r="B1015" s="453"/>
      <c r="C1015" s="460"/>
      <c r="D1015" s="453"/>
      <c r="E1015" s="460"/>
      <c r="F1015" s="726"/>
      <c r="G1015" s="460"/>
      <c r="H1015" s="460"/>
      <c r="I1015" s="1259"/>
    </row>
    <row r="1016" spans="1:9" ht="14.55" customHeight="1" x14ac:dyDescent="0.3">
      <c r="A1016" s="1258" t="s">
        <v>281</v>
      </c>
      <c r="B1016" s="453"/>
      <c r="C1016" s="460"/>
      <c r="D1016" s="453"/>
      <c r="E1016" s="460"/>
      <c r="F1016" s="460">
        <f>IFERROR(VLOOKUP(F970,'Thickness Tab'!$1:$1048576,MATCH(F1015,'Thickness Tab'!$1:$1,0),0),0)</f>
        <v>0</v>
      </c>
      <c r="G1016" s="460" t="s">
        <v>93</v>
      </c>
      <c r="H1016" s="460"/>
      <c r="I1016" s="1259"/>
    </row>
    <row r="1017" spans="1:9" ht="14.55" customHeight="1" x14ac:dyDescent="0.3">
      <c r="A1017" s="1258"/>
      <c r="B1017" s="464"/>
      <c r="C1017" s="460"/>
      <c r="D1017" s="460"/>
      <c r="E1017" s="460"/>
      <c r="F1017" s="460"/>
      <c r="G1017" s="460"/>
      <c r="H1017" s="460"/>
      <c r="I1017" s="1259"/>
    </row>
    <row r="1018" spans="1:9" ht="14.55" customHeight="1" x14ac:dyDescent="0.3">
      <c r="A1018" s="1258" t="s">
        <v>282</v>
      </c>
      <c r="B1018" s="725">
        <v>0</v>
      </c>
      <c r="C1018" s="460" t="s">
        <v>93</v>
      </c>
      <c r="D1018" s="725">
        <v>0</v>
      </c>
      <c r="E1018" s="460" t="s">
        <v>93</v>
      </c>
      <c r="F1018" s="725">
        <v>0</v>
      </c>
      <c r="G1018" s="460" t="s">
        <v>93</v>
      </c>
      <c r="H1018" s="460"/>
      <c r="I1018" s="1259"/>
    </row>
    <row r="1019" spans="1:9" ht="14.55" customHeight="1" x14ac:dyDescent="0.3">
      <c r="A1019" s="1258" t="s">
        <v>283</v>
      </c>
      <c r="B1019" s="725">
        <v>0</v>
      </c>
      <c r="C1019" s="460" t="s">
        <v>93</v>
      </c>
      <c r="D1019" s="725">
        <v>0</v>
      </c>
      <c r="E1019" s="460" t="s">
        <v>93</v>
      </c>
      <c r="F1019" s="725">
        <v>0</v>
      </c>
      <c r="G1019" s="460" t="s">
        <v>93</v>
      </c>
      <c r="H1019" s="460"/>
      <c r="I1019" s="1259"/>
    </row>
    <row r="1020" spans="1:9" ht="14.55" customHeight="1" x14ac:dyDescent="0.3">
      <c r="A1020" s="1258" t="s">
        <v>284</v>
      </c>
      <c r="B1020" s="725">
        <v>0</v>
      </c>
      <c r="C1020" s="460" t="s">
        <v>93</v>
      </c>
      <c r="D1020" s="725">
        <v>0</v>
      </c>
      <c r="E1020" s="460" t="s">
        <v>93</v>
      </c>
      <c r="F1020" s="725">
        <v>0</v>
      </c>
      <c r="G1020" s="460" t="s">
        <v>93</v>
      </c>
      <c r="H1020" s="460"/>
      <c r="I1020" s="1259"/>
    </row>
    <row r="1021" spans="1:9" ht="14.55" customHeight="1" x14ac:dyDescent="0.3">
      <c r="A1021" s="1258"/>
      <c r="B1021" s="464"/>
      <c r="C1021" s="460"/>
      <c r="D1021" s="460"/>
      <c r="E1021" s="460"/>
      <c r="F1021" s="460"/>
      <c r="G1021" s="460"/>
      <c r="H1021" s="460"/>
      <c r="I1021" s="1259"/>
    </row>
    <row r="1022" spans="1:9" ht="14.55" customHeight="1" x14ac:dyDescent="0.3">
      <c r="A1022" s="1260" t="s">
        <v>285</v>
      </c>
      <c r="B1022" s="470" t="str">
        <f>IF(B950="Horizontal","No Skirt","")</f>
        <v>No Skirt</v>
      </c>
      <c r="C1022" s="460"/>
      <c r="D1022" s="471"/>
      <c r="E1022" s="471" t="s">
        <v>286</v>
      </c>
      <c r="F1022" s="460"/>
      <c r="G1022" s="469"/>
      <c r="H1022" s="469"/>
      <c r="I1022" s="1261"/>
    </row>
    <row r="1023" spans="1:9" ht="14.55" customHeight="1" x14ac:dyDescent="0.3">
      <c r="A1023" s="1258" t="s">
        <v>287</v>
      </c>
      <c r="B1023" s="722"/>
      <c r="C1023" s="456" t="s">
        <v>93</v>
      </c>
      <c r="D1023" s="472"/>
      <c r="E1023" s="472" t="s">
        <v>288</v>
      </c>
      <c r="F1023" s="725"/>
      <c r="G1023" s="460" t="s">
        <v>93</v>
      </c>
      <c r="H1023" s="469"/>
      <c r="I1023" s="1261"/>
    </row>
    <row r="1024" spans="1:9" ht="14.55" customHeight="1" x14ac:dyDescent="0.3">
      <c r="A1024" s="1258" t="s">
        <v>289</v>
      </c>
      <c r="B1024" s="722"/>
      <c r="C1024" s="456" t="s">
        <v>93</v>
      </c>
      <c r="D1024" s="472"/>
      <c r="E1024" s="472" t="s">
        <v>290</v>
      </c>
      <c r="F1024" s="725"/>
      <c r="G1024" s="460" t="s">
        <v>93</v>
      </c>
      <c r="H1024" s="469"/>
      <c r="I1024" s="1261"/>
    </row>
    <row r="1025" spans="1:9" ht="14.55" customHeight="1" x14ac:dyDescent="0.3">
      <c r="A1025" s="1258" t="s">
        <v>291</v>
      </c>
      <c r="B1025" s="722"/>
      <c r="C1025" s="456" t="s">
        <v>93</v>
      </c>
      <c r="D1025" s="472"/>
      <c r="E1025" s="472" t="s">
        <v>292</v>
      </c>
      <c r="F1025" s="725"/>
      <c r="G1025" s="460"/>
      <c r="H1025" s="469"/>
      <c r="I1025" s="1261"/>
    </row>
    <row r="1026" spans="1:9" ht="14.55" customHeight="1" x14ac:dyDescent="0.3">
      <c r="A1026" s="1258" t="s">
        <v>293</v>
      </c>
      <c r="B1026" s="722"/>
      <c r="C1026" s="456" t="s">
        <v>93</v>
      </c>
      <c r="D1026" s="472"/>
      <c r="E1026" s="472" t="s">
        <v>184</v>
      </c>
      <c r="F1026" s="457">
        <f>(PI()*F1023^2)/4*F1024*(7800/1000000000)</f>
        <v>0</v>
      </c>
      <c r="G1026" s="460" t="s">
        <v>222</v>
      </c>
      <c r="H1026" s="460"/>
      <c r="I1026" s="1259"/>
    </row>
    <row r="1027" spans="1:9" ht="14.55" customHeight="1" x14ac:dyDescent="0.3">
      <c r="A1027" s="1258" t="s">
        <v>294</v>
      </c>
      <c r="B1027" s="722"/>
      <c r="C1027" s="456" t="s">
        <v>93</v>
      </c>
      <c r="D1027" s="460"/>
      <c r="E1027" s="460"/>
      <c r="F1027" s="460"/>
      <c r="G1027" s="460"/>
      <c r="H1027" s="460"/>
      <c r="I1027" s="1259"/>
    </row>
    <row r="1028" spans="1:9" ht="14.55" customHeight="1" x14ac:dyDescent="0.3">
      <c r="A1028" s="1258"/>
      <c r="B1028" s="407"/>
      <c r="C1028" s="460"/>
      <c r="D1028" s="460"/>
      <c r="E1028" s="460"/>
      <c r="F1028" s="460"/>
      <c r="G1028" s="460"/>
      <c r="H1028" s="460"/>
      <c r="I1028" s="1259"/>
    </row>
    <row r="1029" spans="1:9" ht="14.55" customHeight="1" x14ac:dyDescent="0.3">
      <c r="A1029" s="1262" t="s">
        <v>295</v>
      </c>
      <c r="B1029" s="480"/>
      <c r="C1029" s="59"/>
      <c r="D1029" s="59"/>
      <c r="E1029" s="59"/>
      <c r="F1029" s="460"/>
      <c r="G1029" s="460"/>
      <c r="H1029" s="460"/>
      <c r="I1029" s="1259"/>
    </row>
    <row r="1030" spans="1:9" ht="14.55" customHeight="1" x14ac:dyDescent="0.3">
      <c r="A1030" s="1263" t="s">
        <v>296</v>
      </c>
      <c r="B1030" s="722"/>
      <c r="C1030" s="59" t="s">
        <v>93</v>
      </c>
      <c r="D1030" s="59"/>
      <c r="E1030" s="59"/>
      <c r="F1030" s="460"/>
      <c r="G1030" s="460"/>
      <c r="H1030" s="460"/>
      <c r="I1030" s="1259"/>
    </row>
    <row r="1031" spans="1:9" ht="14.55" customHeight="1" x14ac:dyDescent="0.3">
      <c r="A1031" s="1263" t="s">
        <v>297</v>
      </c>
      <c r="B1031" s="722"/>
      <c r="C1031" s="59" t="s">
        <v>93</v>
      </c>
      <c r="D1031" s="59"/>
      <c r="E1031" s="59"/>
      <c r="F1031" s="460"/>
      <c r="G1031" s="460"/>
      <c r="H1031" s="460"/>
      <c r="I1031" s="1259"/>
    </row>
    <row r="1032" spans="1:9" ht="14.55" customHeight="1" x14ac:dyDescent="0.3">
      <c r="A1032" s="1263" t="s">
        <v>298</v>
      </c>
      <c r="B1032" s="480">
        <f>B973</f>
        <v>3000</v>
      </c>
      <c r="C1032" s="59" t="s">
        <v>93</v>
      </c>
      <c r="D1032" s="59"/>
      <c r="E1032" s="59"/>
      <c r="F1032" s="460"/>
      <c r="G1032" s="460"/>
      <c r="H1032" s="460"/>
      <c r="I1032" s="1259"/>
    </row>
    <row r="1033" spans="1:9" ht="14.55" customHeight="1" x14ac:dyDescent="0.3">
      <c r="A1033" s="1263" t="s">
        <v>299</v>
      </c>
      <c r="B1033" s="727"/>
      <c r="C1033" s="59"/>
      <c r="D1033" s="59"/>
      <c r="E1033" s="59"/>
      <c r="F1033" s="460"/>
      <c r="G1033" s="460"/>
      <c r="H1033" s="460"/>
      <c r="I1033" s="1259"/>
    </row>
    <row r="1034" spans="1:9" ht="14.55" customHeight="1" x14ac:dyDescent="0.3">
      <c r="A1034" s="1263" t="s">
        <v>300</v>
      </c>
      <c r="B1034" s="722"/>
      <c r="C1034" s="59" t="s">
        <v>301</v>
      </c>
      <c r="D1034" s="59"/>
      <c r="E1034" s="59"/>
      <c r="F1034" s="460"/>
      <c r="G1034" s="460"/>
      <c r="H1034" s="460"/>
      <c r="I1034" s="1259"/>
    </row>
    <row r="1035" spans="1:9" ht="14.55" customHeight="1" x14ac:dyDescent="0.3">
      <c r="A1035" s="1263" t="s">
        <v>302</v>
      </c>
      <c r="B1035" s="480">
        <f>IF(B1033="Straight",B1032,B1032*2)</f>
        <v>6000</v>
      </c>
      <c r="C1035" s="59" t="s">
        <v>93</v>
      </c>
      <c r="D1035" s="480"/>
      <c r="E1035" s="59"/>
      <c r="F1035" s="460"/>
      <c r="G1035" s="460"/>
      <c r="H1035" s="460"/>
      <c r="I1035" s="1259"/>
    </row>
    <row r="1036" spans="1:9" ht="14.55" customHeight="1" x14ac:dyDescent="0.3">
      <c r="A1036" s="1263" t="s">
        <v>303</v>
      </c>
      <c r="B1036" s="480">
        <f>B1030*PI()*B1035/1000000*B1034</f>
        <v>0</v>
      </c>
      <c r="C1036" s="59" t="s">
        <v>228</v>
      </c>
      <c r="D1036" s="59"/>
      <c r="E1036" s="59"/>
      <c r="F1036" s="460"/>
      <c r="G1036" s="460"/>
      <c r="H1036" s="460"/>
      <c r="I1036" s="1259"/>
    </row>
    <row r="1037" spans="1:9" ht="14.55" customHeight="1" x14ac:dyDescent="0.3">
      <c r="A1037" s="1263" t="s">
        <v>304</v>
      </c>
      <c r="B1037" s="480">
        <v>7.86</v>
      </c>
      <c r="C1037" s="59" t="s">
        <v>305</v>
      </c>
      <c r="D1037" s="59"/>
      <c r="E1037" s="59"/>
      <c r="F1037" s="460"/>
      <c r="G1037" s="460"/>
      <c r="H1037" s="460"/>
      <c r="I1037" s="1259"/>
    </row>
    <row r="1038" spans="1:9" ht="14.55" customHeight="1" x14ac:dyDescent="0.3">
      <c r="A1038" s="1263" t="s">
        <v>306</v>
      </c>
      <c r="B1038" s="480">
        <f>PI()*B1031*(B1030-B1031)*B1037/1000</f>
        <v>0</v>
      </c>
      <c r="C1038" s="59" t="s">
        <v>307</v>
      </c>
      <c r="D1038" s="59"/>
      <c r="E1038" s="59"/>
      <c r="F1038" s="460"/>
      <c r="G1038" s="460"/>
      <c r="H1038" s="460"/>
      <c r="I1038" s="1259"/>
    </row>
    <row r="1039" spans="1:9" ht="14.55" customHeight="1" x14ac:dyDescent="0.3">
      <c r="A1039" s="1263" t="s">
        <v>308</v>
      </c>
      <c r="B1039" s="480">
        <f>B1038*B1035*B1034/1000</f>
        <v>0</v>
      </c>
      <c r="C1039" s="59" t="s">
        <v>222</v>
      </c>
      <c r="D1039" s="59"/>
      <c r="E1039" s="59"/>
      <c r="F1039" s="460"/>
      <c r="G1039" s="460"/>
      <c r="H1039" s="460"/>
      <c r="I1039" s="1259"/>
    </row>
    <row r="1040" spans="1:9" ht="14.55" customHeight="1" x14ac:dyDescent="0.3">
      <c r="A1040" s="1263"/>
      <c r="B1040" s="480"/>
      <c r="C1040" s="59"/>
      <c r="D1040" s="59"/>
      <c r="E1040" s="59"/>
      <c r="F1040" s="460"/>
      <c r="G1040" s="460"/>
      <c r="H1040" s="460"/>
      <c r="I1040" s="1259"/>
    </row>
    <row r="1041" spans="1:9" ht="14.55" customHeight="1" x14ac:dyDescent="0.3">
      <c r="A1041" s="1262" t="s">
        <v>309</v>
      </c>
      <c r="B1041" s="480"/>
      <c r="C1041" s="59"/>
      <c r="D1041" s="59"/>
      <c r="E1041" s="59"/>
      <c r="F1041" s="460"/>
      <c r="G1041" s="460"/>
      <c r="H1041" s="460"/>
      <c r="I1041" s="1259"/>
    </row>
    <row r="1042" spans="1:9" ht="14.55" customHeight="1" x14ac:dyDescent="0.3">
      <c r="A1042" s="1263" t="s">
        <v>310</v>
      </c>
      <c r="B1042" s="480">
        <f>B971</f>
        <v>1000</v>
      </c>
      <c r="C1042" s="59" t="s">
        <v>93</v>
      </c>
      <c r="D1042" s="59"/>
      <c r="E1042" s="59"/>
      <c r="F1042" s="460"/>
      <c r="G1042" s="460"/>
      <c r="H1042" s="460"/>
      <c r="I1042" s="1259"/>
    </row>
    <row r="1043" spans="1:9" ht="14.55" customHeight="1" x14ac:dyDescent="0.3">
      <c r="A1043" s="1263" t="s">
        <v>297</v>
      </c>
      <c r="B1043" s="480">
        <v>15</v>
      </c>
      <c r="C1043" s="59" t="s">
        <v>93</v>
      </c>
      <c r="D1043" s="59"/>
      <c r="E1043" s="59"/>
      <c r="F1043" s="460"/>
      <c r="G1043" s="460"/>
      <c r="H1043" s="460"/>
      <c r="I1043" s="1259"/>
    </row>
    <row r="1044" spans="1:9" ht="14.55" customHeight="1" x14ac:dyDescent="0.3">
      <c r="A1044" s="1263" t="s">
        <v>311</v>
      </c>
      <c r="B1044" s="480">
        <f>B1042^2*PI()/4/1000000</f>
        <v>0.78539816339744828</v>
      </c>
      <c r="C1044" s="59" t="s">
        <v>228</v>
      </c>
      <c r="D1044" s="59"/>
      <c r="E1044" s="59"/>
      <c r="F1044" s="460"/>
      <c r="G1044" s="460"/>
      <c r="H1044" s="460"/>
      <c r="I1044" s="1259"/>
    </row>
    <row r="1045" spans="1:9" ht="14.55" customHeight="1" x14ac:dyDescent="0.3">
      <c r="A1045" s="1263" t="s">
        <v>312</v>
      </c>
      <c r="B1045" s="480">
        <f>B1044*B1043/1000*B1037*2/1000</f>
        <v>1.8519688692911828E-4</v>
      </c>
      <c r="C1045" s="59" t="s">
        <v>222</v>
      </c>
      <c r="D1045" s="59"/>
      <c r="E1045" s="59"/>
      <c r="F1045" s="460"/>
      <c r="G1045" s="460"/>
      <c r="H1045" s="460"/>
      <c r="I1045" s="1259"/>
    </row>
    <row r="1046" spans="1:9" ht="14.55" customHeight="1" x14ac:dyDescent="0.3">
      <c r="A1046" s="1263"/>
      <c r="B1046" s="480"/>
      <c r="C1046" s="59"/>
      <c r="D1046" s="59"/>
      <c r="E1046" s="59"/>
      <c r="F1046" s="460"/>
      <c r="G1046" s="460"/>
      <c r="H1046" s="460"/>
      <c r="I1046" s="1259"/>
    </row>
    <row r="1047" spans="1:9" ht="14.55" customHeight="1" x14ac:dyDescent="0.3">
      <c r="A1047" s="1263" t="s">
        <v>313</v>
      </c>
      <c r="B1047" s="480">
        <f>B1039+B1045*2</f>
        <v>3.7039377385823655E-4</v>
      </c>
      <c r="C1047" s="59" t="s">
        <v>222</v>
      </c>
      <c r="D1047" s="59"/>
      <c r="E1047" s="59"/>
      <c r="F1047" s="460"/>
      <c r="G1047" s="460"/>
      <c r="H1047" s="460"/>
      <c r="I1047" s="1259"/>
    </row>
    <row r="1048" spans="1:9" ht="14.55" customHeight="1" x14ac:dyDescent="0.3">
      <c r="A1048" s="1263"/>
      <c r="B1048" s="480"/>
      <c r="C1048" s="59"/>
      <c r="D1048" s="59"/>
      <c r="E1048" s="59"/>
      <c r="F1048" s="460"/>
      <c r="G1048" s="460"/>
      <c r="H1048" s="460"/>
      <c r="I1048" s="1259"/>
    </row>
    <row r="1049" spans="1:9" ht="14.55" customHeight="1" x14ac:dyDescent="0.3">
      <c r="A1049" s="1260" t="s">
        <v>314</v>
      </c>
      <c r="B1049" s="460"/>
      <c r="C1049" s="460"/>
      <c r="D1049" s="463" t="s">
        <v>315</v>
      </c>
      <c r="E1049" s="460"/>
      <c r="F1049" s="460"/>
      <c r="G1049" s="471" t="s">
        <v>316</v>
      </c>
      <c r="H1049" s="453"/>
      <c r="I1049" s="1259"/>
    </row>
    <row r="1050" spans="1:9" ht="14.55" customHeight="1" x14ac:dyDescent="0.3">
      <c r="A1050" s="1258" t="s">
        <v>189</v>
      </c>
      <c r="B1050" s="468">
        <f>SUM(B974,D974,F974)</f>
        <v>627.23963240249213</v>
      </c>
      <c r="C1050" s="460" t="s">
        <v>222</v>
      </c>
      <c r="D1050" s="472" t="s">
        <v>189</v>
      </c>
      <c r="E1050" s="468">
        <f>SUM(B976,D976,F976)</f>
        <v>9.5707199999999997</v>
      </c>
      <c r="F1050" s="460" t="s">
        <v>228</v>
      </c>
      <c r="G1050" s="472" t="s">
        <v>189</v>
      </c>
      <c r="H1050" s="453">
        <f>SUM(B978,D978,F978)</f>
        <v>9.5707199999999997</v>
      </c>
      <c r="I1050" s="1259" t="s">
        <v>228</v>
      </c>
    </row>
    <row r="1051" spans="1:9" ht="14.55" customHeight="1" x14ac:dyDescent="0.3">
      <c r="A1051" s="1258" t="s">
        <v>317</v>
      </c>
      <c r="B1051" s="468">
        <f>SUM(B984*B986,D984*D986,F984*F986)</f>
        <v>149.37335501885909</v>
      </c>
      <c r="C1051" s="460" t="s">
        <v>222</v>
      </c>
      <c r="D1051" s="472" t="s">
        <v>317</v>
      </c>
      <c r="E1051" s="468">
        <f>SUM(B984*B988,D984*D988,F984*F988)</f>
        <v>4.8108819199999999</v>
      </c>
      <c r="F1051" s="460" t="s">
        <v>228</v>
      </c>
      <c r="G1051" s="472" t="s">
        <v>317</v>
      </c>
      <c r="H1051" s="453">
        <f>SUM(B984*B990,D984*D990,F984*F990)</f>
        <v>4.8108819199999999</v>
      </c>
      <c r="I1051" s="1259" t="s">
        <v>228</v>
      </c>
    </row>
    <row r="1052" spans="1:9" ht="14.55" customHeight="1" x14ac:dyDescent="0.3">
      <c r="A1052" s="1258" t="s">
        <v>318</v>
      </c>
      <c r="B1052" s="468">
        <f>SUM(B998,D998,F998)</f>
        <v>0</v>
      </c>
      <c r="C1052" s="460" t="s">
        <v>222</v>
      </c>
      <c r="D1052" s="472" t="s">
        <v>318</v>
      </c>
      <c r="E1052" s="468">
        <f>SUM(B1000,D1000,F1000)</f>
        <v>0</v>
      </c>
      <c r="F1052" s="460" t="s">
        <v>228</v>
      </c>
      <c r="G1052" s="472" t="s">
        <v>318</v>
      </c>
      <c r="H1052" s="453">
        <f>SUM(B1003,D1003,F1003)</f>
        <v>0</v>
      </c>
      <c r="I1052" s="1259" t="s">
        <v>228</v>
      </c>
    </row>
    <row r="1053" spans="1:9" ht="14.55" customHeight="1" x14ac:dyDescent="0.3">
      <c r="A1053" s="1258" t="s">
        <v>319</v>
      </c>
      <c r="B1053" s="468">
        <f>SUMPRODUCT(F1070:F1081,H1070:H1081)</f>
        <v>450</v>
      </c>
      <c r="C1053" s="460" t="s">
        <v>222</v>
      </c>
      <c r="D1053" s="472" t="s">
        <v>319</v>
      </c>
      <c r="E1053" s="468">
        <f>SUMPRODUCT(F1070:F1081,I1070:I1081)</f>
        <v>3.4058969495669329</v>
      </c>
      <c r="F1053" s="460" t="s">
        <v>228</v>
      </c>
      <c r="G1053" s="460"/>
      <c r="H1053" s="453"/>
      <c r="I1053" s="1259"/>
    </row>
    <row r="1054" spans="1:9" ht="14.55" customHeight="1" x14ac:dyDescent="0.3">
      <c r="A1054" s="1258" t="s">
        <v>320</v>
      </c>
      <c r="B1054" s="468">
        <f>IF(B950="Horizontal",0,(PI()*B1024*(((B972/2)^2)-(((B972-2*B1023)/2)^2))*7860)/1000000000)</f>
        <v>0</v>
      </c>
      <c r="C1054" s="460" t="s">
        <v>222</v>
      </c>
      <c r="D1054" s="472" t="s">
        <v>320</v>
      </c>
      <c r="E1054" s="468">
        <f>IF(B950="Horizontal",0,((B972*B1024*PI())+((B972-2*B1023)*B1024*PI()))/1000000)</f>
        <v>0</v>
      </c>
      <c r="F1054" s="460" t="s">
        <v>228</v>
      </c>
      <c r="G1054" s="471" t="s">
        <v>321</v>
      </c>
      <c r="H1054" s="453"/>
      <c r="I1054" s="1259"/>
    </row>
    <row r="1055" spans="1:9" ht="14.55" customHeight="1" x14ac:dyDescent="0.3">
      <c r="A1055" s="1258" t="s">
        <v>322</v>
      </c>
      <c r="B1055" s="468">
        <f>IF(B950="Horizontal",0,(PI()*B1027*(((B1026/2)^2)-((B1025/2)^2))*7860)/1000000000)</f>
        <v>0</v>
      </c>
      <c r="C1055" s="460" t="s">
        <v>222</v>
      </c>
      <c r="D1055" s="472" t="s">
        <v>322</v>
      </c>
      <c r="E1055" s="468">
        <f>IF(B950="Horizontal",0,((B1026*3.14*B1027)+(B1025*3.14*B1027)+(((((B1026/2)^2)*3.14)-(((B1025/2)^2)*3.14))*2))/1000000)</f>
        <v>0</v>
      </c>
      <c r="F1055" s="460" t="s">
        <v>228</v>
      </c>
      <c r="G1055" s="472" t="s">
        <v>189</v>
      </c>
      <c r="H1055" s="453">
        <f>SUM(B975,D975,F975)</f>
        <v>2.3561944901923448</v>
      </c>
      <c r="I1055" s="1259" t="s">
        <v>225</v>
      </c>
    </row>
    <row r="1056" spans="1:9" ht="14.55" customHeight="1" x14ac:dyDescent="0.3">
      <c r="A1056" s="1258" t="s">
        <v>323</v>
      </c>
      <c r="B1056" s="468">
        <f>IF(B950="Horizontal",VLOOKUP(B972,List!$AR:$AS,2,1)*2,0)</f>
        <v>124</v>
      </c>
      <c r="C1056" s="460" t="s">
        <v>222</v>
      </c>
      <c r="D1056" s="472" t="s">
        <v>323</v>
      </c>
      <c r="E1056" s="725"/>
      <c r="F1056" s="460" t="s">
        <v>228</v>
      </c>
      <c r="G1056" s="472" t="s">
        <v>317</v>
      </c>
      <c r="H1056" s="453">
        <f>SUM(B984*B987+D984*D987+F984*F987)</f>
        <v>0.26200000000000001</v>
      </c>
      <c r="I1056" s="1259" t="s">
        <v>225</v>
      </c>
    </row>
    <row r="1057" spans="1:9" ht="14.55" customHeight="1" x14ac:dyDescent="0.3">
      <c r="A1057" s="1258" t="s">
        <v>324</v>
      </c>
      <c r="B1057" s="468">
        <f>F1026*F1025</f>
        <v>0</v>
      </c>
      <c r="C1057" s="460" t="s">
        <v>222</v>
      </c>
      <c r="D1057" s="460"/>
      <c r="E1057" s="460"/>
      <c r="F1057" s="460"/>
      <c r="G1057" s="472" t="s">
        <v>318</v>
      </c>
      <c r="H1057" s="453">
        <f>SUM(B999,D999,F999)</f>
        <v>0</v>
      </c>
      <c r="I1057" s="1259" t="s">
        <v>225</v>
      </c>
    </row>
    <row r="1058" spans="1:9" ht="14.55" customHeight="1" x14ac:dyDescent="0.3">
      <c r="A1058" s="1258" t="s">
        <v>325</v>
      </c>
      <c r="B1058" s="468">
        <f>B1047</f>
        <v>3.7039377385823655E-4</v>
      </c>
      <c r="C1058" s="460" t="s">
        <v>222</v>
      </c>
      <c r="D1058" s="460"/>
      <c r="E1058" s="460"/>
      <c r="F1058" s="460"/>
      <c r="G1058" s="472"/>
      <c r="H1058" s="453"/>
      <c r="I1058" s="1259"/>
    </row>
    <row r="1059" spans="1:9" ht="14.55" customHeight="1" x14ac:dyDescent="0.3">
      <c r="A1059" s="1258" t="s">
        <v>326</v>
      </c>
      <c r="B1059" s="725">
        <v>150</v>
      </c>
      <c r="C1059" s="460" t="s">
        <v>222</v>
      </c>
      <c r="D1059" s="460"/>
      <c r="E1059" s="460"/>
      <c r="F1059" s="460"/>
      <c r="G1059" s="460"/>
      <c r="H1059" s="460"/>
      <c r="I1059" s="1259"/>
    </row>
    <row r="1060" spans="1:9" ht="14.55" customHeight="1" x14ac:dyDescent="0.3">
      <c r="A1060" s="1264"/>
      <c r="B1060" s="460"/>
      <c r="C1060" s="460"/>
      <c r="D1060" s="460"/>
      <c r="E1060" s="460"/>
      <c r="F1060" s="460"/>
      <c r="G1060" s="460"/>
      <c r="H1060" s="460"/>
      <c r="I1060" s="1259"/>
    </row>
    <row r="1061" spans="1:9" ht="14.55" customHeight="1" x14ac:dyDescent="0.3">
      <c r="A1061" s="1258" t="s">
        <v>327</v>
      </c>
      <c r="B1061" s="453">
        <f>SUM(E1050:E1056)</f>
        <v>17.787498869566932</v>
      </c>
      <c r="C1061" s="460" t="s">
        <v>228</v>
      </c>
      <c r="D1061" s="460"/>
      <c r="E1061" s="460"/>
      <c r="F1061" s="460"/>
      <c r="G1061" s="460"/>
      <c r="H1061" s="460"/>
      <c r="I1061" s="1259"/>
    </row>
    <row r="1062" spans="1:9" ht="14.55" customHeight="1" x14ac:dyDescent="0.3">
      <c r="A1062" s="1258" t="s">
        <v>328</v>
      </c>
      <c r="B1062" s="453" t="str">
        <f>IF(SUM(E1050:E1052)=SUM(H1050:H1052),"Not Insulated",SUM(H1050:H1052))</f>
        <v>Not Insulated</v>
      </c>
      <c r="C1062" s="460" t="str">
        <f>IF(B1061=SUM(H1050:H1052),"","m2")</f>
        <v>m2</v>
      </c>
      <c r="D1062" s="460"/>
      <c r="E1062" s="460"/>
      <c r="F1062" s="460"/>
      <c r="G1062" s="460"/>
      <c r="H1062" s="460"/>
      <c r="I1062" s="1259"/>
    </row>
    <row r="1063" spans="1:9" ht="14.55" customHeight="1" x14ac:dyDescent="0.3">
      <c r="A1063" s="1258" t="s">
        <v>329</v>
      </c>
      <c r="B1063" s="453">
        <f>SUM(H1055:H1057)</f>
        <v>2.6181944901923448</v>
      </c>
      <c r="C1063" s="460" t="s">
        <v>225</v>
      </c>
      <c r="D1063" s="460"/>
      <c r="E1063" s="460"/>
      <c r="F1063" s="460"/>
      <c r="G1063" s="460"/>
      <c r="H1063" s="460"/>
      <c r="I1063" s="1259"/>
    </row>
    <row r="1064" spans="1:9" ht="14.55" customHeight="1" x14ac:dyDescent="0.3">
      <c r="A1064" s="1258" t="s">
        <v>330</v>
      </c>
      <c r="B1064" s="453">
        <f>SUM(B1050:B1059)</f>
        <v>1500.613357815125</v>
      </c>
      <c r="C1064" s="460" t="s">
        <v>222</v>
      </c>
      <c r="D1064" s="460"/>
      <c r="E1064" s="460"/>
      <c r="F1064" s="460"/>
      <c r="G1064" s="460"/>
      <c r="H1064" s="460"/>
      <c r="I1064" s="1259"/>
    </row>
    <row r="1065" spans="1:9" ht="14.55" customHeight="1" x14ac:dyDescent="0.3">
      <c r="A1065" s="1258" t="s">
        <v>331</v>
      </c>
      <c r="B1065" s="725">
        <v>1500</v>
      </c>
      <c r="C1065" s="460" t="s">
        <v>222</v>
      </c>
      <c r="D1065" s="460"/>
      <c r="E1065" s="460"/>
      <c r="F1065" s="460"/>
      <c r="G1065" s="460"/>
      <c r="H1065" s="460"/>
      <c r="I1065" s="1259"/>
    </row>
    <row r="1066" spans="1:9" ht="15" customHeight="1" thickBot="1" x14ac:dyDescent="0.35">
      <c r="A1066" s="1258"/>
      <c r="B1066" s="473"/>
      <c r="C1066" s="459"/>
      <c r="D1066" s="460"/>
      <c r="E1066" s="460"/>
      <c r="F1066" s="460"/>
      <c r="G1066" s="460"/>
      <c r="H1066" s="460"/>
      <c r="I1066" s="1259"/>
    </row>
    <row r="1067" spans="1:9" ht="15" customHeight="1" thickBot="1" x14ac:dyDescent="0.35">
      <c r="A1067" s="474"/>
      <c r="B1067" s="1718" t="s">
        <v>332</v>
      </c>
      <c r="C1067" s="1718"/>
      <c r="D1067" s="1718"/>
      <c r="E1067" s="1718"/>
      <c r="F1067" s="1718"/>
      <c r="G1067" s="475"/>
      <c r="H1067" s="475"/>
      <c r="I1067" s="476"/>
    </row>
    <row r="1068" spans="1:9" ht="14.55" customHeight="1" x14ac:dyDescent="0.3">
      <c r="A1068" s="1264"/>
      <c r="B1068" s="1719" t="s">
        <v>333</v>
      </c>
      <c r="C1068" s="1381" t="s">
        <v>59</v>
      </c>
      <c r="D1068" s="1719" t="s">
        <v>114</v>
      </c>
      <c r="E1068" s="1719" t="s">
        <v>334</v>
      </c>
      <c r="F1068" s="1719" t="s">
        <v>292</v>
      </c>
      <c r="G1068" s="1719" t="s">
        <v>335</v>
      </c>
      <c r="H1068" s="1381" t="s">
        <v>184</v>
      </c>
      <c r="I1068" s="1346" t="s">
        <v>336</v>
      </c>
    </row>
    <row r="1069" spans="1:9" ht="14.55" customHeight="1" x14ac:dyDescent="0.3">
      <c r="A1069" s="1264"/>
      <c r="B1069" s="1720"/>
      <c r="C1069" s="1442" t="s">
        <v>214</v>
      </c>
      <c r="D1069" s="1720"/>
      <c r="E1069" s="1720"/>
      <c r="F1069" s="1720"/>
      <c r="G1069" s="1720"/>
      <c r="H1069" s="1442" t="s">
        <v>222</v>
      </c>
      <c r="I1069" s="1443" t="s">
        <v>228</v>
      </c>
    </row>
    <row r="1070" spans="1:9" ht="14.55" customHeight="1" x14ac:dyDescent="0.3">
      <c r="A1070" s="1264"/>
      <c r="B1070" s="1382" t="s">
        <v>337</v>
      </c>
      <c r="C1070" s="728">
        <v>2</v>
      </c>
      <c r="D1070" s="729">
        <v>150</v>
      </c>
      <c r="E1070" s="730" t="s">
        <v>360</v>
      </c>
      <c r="F1070" s="730">
        <v>20</v>
      </c>
      <c r="G1070" s="730"/>
      <c r="H1070" s="1465">
        <f>IFERROR(VLOOKUP($C1070&amp;"F"&amp;$D1070,'Flanges Chart'!$1:$1048576,MATCH($E1070&amp;"."&amp;H$123,'Flanges Chart'!$1:$1,0),0),"")</f>
        <v>7.2999999999999989</v>
      </c>
      <c r="I1070" s="1466">
        <f>IFERROR(VLOOKUP($C1070&amp;"F"&amp;$D1070,'Flanges Chart'!$1:$1048576,MATCH($E1070&amp;"."&amp;I$123,'Flanges Chart'!$1:$1,0),0),"")</f>
        <v>9.6205458415566922E-2</v>
      </c>
    </row>
    <row r="1071" spans="1:9" ht="14.55" customHeight="1" x14ac:dyDescent="0.3">
      <c r="A1071" s="1264"/>
      <c r="B1071" s="1467" t="s">
        <v>340</v>
      </c>
      <c r="C1071" s="731"/>
      <c r="D1071" s="729"/>
      <c r="E1071" s="729"/>
      <c r="F1071" s="729"/>
      <c r="G1071" s="729"/>
      <c r="H1071" s="1465" t="str">
        <f>IFERROR(VLOOKUP($C1071&amp;"F"&amp;$D1071,'Flanges Chart'!$1:$1048576,MATCH($E1071&amp;"."&amp;H$123,'Flanges Chart'!$1:$1,0),0),"")</f>
        <v/>
      </c>
      <c r="I1071" s="1466" t="str">
        <f>IFERROR(VLOOKUP($C1071&amp;"F"&amp;$D1071,'Flanges Chart'!$1:$1048576,MATCH($E1071&amp;"."&amp;I$123,'Flanges Chart'!$1:$1,0),0),"")</f>
        <v/>
      </c>
    </row>
    <row r="1072" spans="1:9" ht="14.55" customHeight="1" x14ac:dyDescent="0.3">
      <c r="A1072" s="1264"/>
      <c r="B1072" s="1467" t="s">
        <v>342</v>
      </c>
      <c r="C1072" s="731"/>
      <c r="D1072" s="729"/>
      <c r="E1072" s="729"/>
      <c r="F1072" s="729"/>
      <c r="G1072" s="729"/>
      <c r="H1072" s="1465" t="str">
        <f>IFERROR(VLOOKUP($C1072&amp;"F"&amp;$D1072,'Flanges Chart'!$1:$1048576,MATCH($E1072&amp;"."&amp;H$123,'Flanges Chart'!$1:$1,0),0),"")</f>
        <v/>
      </c>
      <c r="I1072" s="1466" t="str">
        <f>IFERROR(VLOOKUP($C1072&amp;"F"&amp;$D1072,'Flanges Chart'!$1:$1048576,MATCH($E1072&amp;"."&amp;I$123,'Flanges Chart'!$1:$1,0),0),"")</f>
        <v/>
      </c>
    </row>
    <row r="1073" spans="1:13" ht="14.55" customHeight="1" x14ac:dyDescent="0.3">
      <c r="A1073" s="1264"/>
      <c r="B1073" s="1467" t="s">
        <v>344</v>
      </c>
      <c r="C1073" s="731"/>
      <c r="D1073" s="729"/>
      <c r="E1073" s="729"/>
      <c r="F1073" s="729"/>
      <c r="G1073" s="729"/>
      <c r="H1073" s="1465" t="str">
        <f>IFERROR(VLOOKUP($C1073&amp;"F"&amp;$D1073,'Flanges Chart'!$1:$1048576,MATCH($E1073&amp;"."&amp;H$123,'Flanges Chart'!$1:$1,0),0),"")</f>
        <v/>
      </c>
      <c r="I1073" s="1466" t="str">
        <f>IFERROR(VLOOKUP($C1073&amp;"F"&amp;$D1073,'Flanges Chart'!$1:$1048576,MATCH($E1073&amp;"."&amp;I$123,'Flanges Chart'!$1:$1,0),0),"")</f>
        <v/>
      </c>
    </row>
    <row r="1074" spans="1:13" ht="14.55" customHeight="1" x14ac:dyDescent="0.3">
      <c r="A1074" s="1264"/>
      <c r="B1074" s="1467" t="s">
        <v>347</v>
      </c>
      <c r="C1074" s="731"/>
      <c r="D1074" s="729"/>
      <c r="E1074" s="729"/>
      <c r="F1074" s="729"/>
      <c r="G1074" s="729"/>
      <c r="H1074" s="1465" t="str">
        <f>IFERROR(VLOOKUP($C1074&amp;"F"&amp;$D1074,'Flanges Chart'!$1:$1048576,MATCH($E1074&amp;"."&amp;H$123,'Flanges Chart'!$1:$1,0),0),"")</f>
        <v/>
      </c>
      <c r="I1074" s="1466" t="str">
        <f>IFERROR(VLOOKUP($C1074&amp;"F"&amp;$D1074,'Flanges Chart'!$1:$1048576,MATCH($E1074&amp;"."&amp;I$123,'Flanges Chart'!$1:$1,0),0),"")</f>
        <v/>
      </c>
    </row>
    <row r="1075" spans="1:13" ht="14.55" customHeight="1" x14ac:dyDescent="0.3">
      <c r="A1075" s="1264"/>
      <c r="B1075" s="1467" t="s">
        <v>349</v>
      </c>
      <c r="C1075" s="731"/>
      <c r="D1075" s="729"/>
      <c r="E1075" s="729"/>
      <c r="F1075" s="729"/>
      <c r="G1075" s="729"/>
      <c r="H1075" s="1465" t="str">
        <f>IFERROR(VLOOKUP($C1075&amp;"F"&amp;$D1075,'Flanges Chart'!$1:$1048576,MATCH($E1075&amp;"."&amp;H$123,'Flanges Chart'!$1:$1,0),0),"")</f>
        <v/>
      </c>
      <c r="I1075" s="1466" t="str">
        <f>IFERROR(VLOOKUP($C1075&amp;"F"&amp;$D1075,'Flanges Chart'!$1:$1048576,MATCH($E1075&amp;"."&amp;I$123,'Flanges Chart'!$1:$1,0),0),"")</f>
        <v/>
      </c>
    </row>
    <row r="1076" spans="1:13" ht="14.55" customHeight="1" x14ac:dyDescent="0.3">
      <c r="A1076" s="1264"/>
      <c r="B1076" s="1467" t="s">
        <v>350</v>
      </c>
      <c r="C1076" s="731"/>
      <c r="D1076" s="729"/>
      <c r="E1076" s="729"/>
      <c r="F1076" s="729"/>
      <c r="G1076" s="729"/>
      <c r="H1076" s="1465" t="str">
        <f>IFERROR(VLOOKUP($C1076&amp;"F"&amp;$D1076,'Flanges Chart'!$1:$1048576,MATCH($E1076&amp;"."&amp;H$123,'Flanges Chart'!$1:$1,0),0),"")</f>
        <v/>
      </c>
      <c r="I1076" s="1466" t="str">
        <f>IFERROR(VLOOKUP($C1076&amp;"F"&amp;$D1076,'Flanges Chart'!$1:$1048576,MATCH($E1076&amp;"."&amp;I$123,'Flanges Chart'!$1:$1,0),0),"")</f>
        <v/>
      </c>
    </row>
    <row r="1077" spans="1:13" ht="14.55" customHeight="1" x14ac:dyDescent="0.3">
      <c r="A1077" s="1264"/>
      <c r="B1077" s="1467" t="s">
        <v>351</v>
      </c>
      <c r="C1077" s="731"/>
      <c r="D1077" s="729"/>
      <c r="E1077" s="729"/>
      <c r="F1077" s="729"/>
      <c r="G1077" s="729"/>
      <c r="H1077" s="1465" t="str">
        <f>IFERROR(VLOOKUP($C1077&amp;"F"&amp;$D1077,'Flanges Chart'!$1:$1048576,MATCH($E1077&amp;"."&amp;H$123,'Flanges Chart'!$1:$1,0),0),"")</f>
        <v/>
      </c>
      <c r="I1077" s="1466" t="str">
        <f>IFERROR(VLOOKUP($C1077&amp;"F"&amp;$D1077,'Flanges Chart'!$1:$1048576,MATCH($E1077&amp;"."&amp;I$123,'Flanges Chart'!$1:$1,0),0),"")</f>
        <v/>
      </c>
    </row>
    <row r="1078" spans="1:13" ht="14.55" customHeight="1" x14ac:dyDescent="0.3">
      <c r="A1078" s="1264"/>
      <c r="B1078" s="1467" t="s">
        <v>352</v>
      </c>
      <c r="C1078" s="731">
        <v>24</v>
      </c>
      <c r="D1078" s="729">
        <v>150</v>
      </c>
      <c r="E1078" s="729" t="s">
        <v>345</v>
      </c>
      <c r="F1078" s="729">
        <v>1</v>
      </c>
      <c r="G1078" s="729"/>
      <c r="H1078" s="1465">
        <f>IFERROR(VLOOKUP($C1078&amp;"F"&amp;$D1078,'Flanges Chart'!$1:$1048576,MATCH($E1078&amp;"."&amp;H$123,'Flanges Chart'!$1:$1,0),0),"")</f>
        <v>186</v>
      </c>
      <c r="I1078" s="1466">
        <f>IFERROR(VLOOKUP($C1078&amp;"F"&amp;$D1078,'Flanges Chart'!$1:$1048576,MATCH($E1078&amp;"."&amp;I$123,'Flanges Chart'!$1:$1,0),0),"")</f>
        <v>0.64095511592812549</v>
      </c>
    </row>
    <row r="1079" spans="1:13" ht="14.55" customHeight="1" x14ac:dyDescent="0.3">
      <c r="A1079" s="1264"/>
      <c r="B1079" s="1467" t="s">
        <v>353</v>
      </c>
      <c r="C1079" s="731">
        <v>24</v>
      </c>
      <c r="D1079" s="729">
        <v>150</v>
      </c>
      <c r="E1079" s="729" t="s">
        <v>338</v>
      </c>
      <c r="F1079" s="729">
        <v>1</v>
      </c>
      <c r="G1079" s="729"/>
      <c r="H1079" s="1465">
        <f>IFERROR(VLOOKUP($C1079&amp;"F"&amp;$D1079,'Flanges Chart'!$1:$1048576,MATCH($E1079&amp;"."&amp;H$123,'Flanges Chart'!$1:$1,0),0),"")</f>
        <v>118</v>
      </c>
      <c r="I1079" s="1466">
        <f>IFERROR(VLOOKUP($C1079&amp;"F"&amp;$D1079,'Flanges Chart'!$1:$1048576,MATCH($E1079&amp;"."&amp;I$123,'Flanges Chart'!$1:$1,0),0),"")</f>
        <v>0.84083266532746892</v>
      </c>
    </row>
    <row r="1080" spans="1:13" ht="14.55" customHeight="1" x14ac:dyDescent="0.3">
      <c r="A1080" s="1264"/>
      <c r="B1080" s="1467" t="s">
        <v>354</v>
      </c>
      <c r="C1080" s="731"/>
      <c r="D1080" s="729"/>
      <c r="E1080" s="729"/>
      <c r="F1080" s="729"/>
      <c r="G1080" s="729"/>
      <c r="H1080" s="1465" t="str">
        <f>IFERROR(VLOOKUP($C1080&amp;"F"&amp;$D1080,'Flanges Chart'!$1:$1048576,MATCH($E1080&amp;"."&amp;H$123,'Flanges Chart'!$1:$1,0),0),"")</f>
        <v/>
      </c>
      <c r="I1080" s="1466" t="str">
        <f>IFERROR(VLOOKUP($C1080&amp;"F"&amp;$D1080,'Flanges Chart'!$1:$1048576,MATCH($E1080&amp;"."&amp;I$123,'Flanges Chart'!$1:$1,0),0),"")</f>
        <v/>
      </c>
    </row>
    <row r="1081" spans="1:13" ht="15" customHeight="1" thickBot="1" x14ac:dyDescent="0.35">
      <c r="A1081" s="1264"/>
      <c r="B1081" s="1468" t="s">
        <v>355</v>
      </c>
      <c r="C1081" s="732"/>
      <c r="D1081" s="733"/>
      <c r="E1081" s="733"/>
      <c r="F1081" s="733"/>
      <c r="G1081" s="733"/>
      <c r="H1081" s="1469" t="s">
        <v>356</v>
      </c>
      <c r="I1081" s="1470" t="str">
        <f>IFERROR(VLOOKUP($C1081&amp;"F"&amp;$D1081,'Flanges Chart'!$1:$1048576,MATCH($E1081&amp;"."&amp;I$123,'Flanges Chart'!$1:$1,0),0),"")</f>
        <v/>
      </c>
    </row>
    <row r="1082" spans="1:13" s="496" customFormat="1" ht="18.600000000000001" thickBot="1" x14ac:dyDescent="0.35">
      <c r="A1082" s="493" t="str">
        <f>"POS."&amp;K1082&amp;" "&amp;VLOOKUP(K1082,'Equip&amp;Mach List'!$1:$1048576,2,0)&amp;" "&amp;VLOOKUP(K1082,'Equip&amp;Mach List'!$1:$1048576,3,0)</f>
        <v xml:space="preserve">POS.9  </v>
      </c>
      <c r="B1082" s="511"/>
      <c r="C1082" s="494"/>
      <c r="D1082" s="495"/>
      <c r="E1082" s="495"/>
      <c r="F1082" s="497"/>
      <c r="G1082" s="495"/>
      <c r="H1082" s="495"/>
      <c r="I1082" s="1255" t="str">
        <f>IFERROR("Weight Calc./Selected = "&amp;ROUND(B1199,1)&amp;"/"&amp;B1200&amp;" kg - Øi ="&amp;IF(B1106=0,F1106,B1106)&amp;" mm"&amp;"T/T ="&amp;IF(B1107=0,F1107,B1107)&amp;" mm - Material "&amp;B1093&amp;"        ","")</f>
        <v xml:space="preserve">Weight Calc./Selected = 0/2200 kg - Øi =200 mmT/T =200 mm - Material SA-516 Gr.70        </v>
      </c>
      <c r="K1082" s="496">
        <v>9</v>
      </c>
      <c r="M1082" s="1254"/>
    </row>
    <row r="1083" spans="1:13" ht="14.55" customHeight="1" x14ac:dyDescent="0.3">
      <c r="A1083" s="1256"/>
      <c r="B1083" s="451"/>
      <c r="C1083" s="451"/>
      <c r="D1083" s="451"/>
      <c r="E1083" s="451"/>
      <c r="F1083" s="451"/>
      <c r="G1083" s="451"/>
      <c r="H1083" s="451"/>
      <c r="I1083" s="1257"/>
      <c r="K1083" s="477" t="s">
        <v>166</v>
      </c>
      <c r="L1083" s="477" t="str">
        <f>K1082&amp;"."&amp;K1083</f>
        <v>9.Design Code</v>
      </c>
      <c r="M1083" s="1252" t="str">
        <f>A1084&amp;" "&amp;B1084</f>
        <v xml:space="preserve">ASME VIII </v>
      </c>
    </row>
    <row r="1084" spans="1:13" ht="14.55" customHeight="1" x14ac:dyDescent="0.3">
      <c r="A1084" s="1258" t="s">
        <v>167</v>
      </c>
      <c r="B1084" s="718"/>
      <c r="C1084" s="459"/>
      <c r="D1084" s="460"/>
      <c r="E1084" s="460"/>
      <c r="F1084" s="460"/>
      <c r="G1084" s="460"/>
      <c r="H1084" s="460"/>
      <c r="I1084" s="1259"/>
      <c r="K1084" s="477" t="s">
        <v>169</v>
      </c>
      <c r="L1084" s="477" t="str">
        <f>K1082&amp;"."&amp;K1084</f>
        <v>9.Orientation</v>
      </c>
      <c r="M1084" s="1252">
        <f>B1085</f>
        <v>0</v>
      </c>
    </row>
    <row r="1085" spans="1:13" ht="14.55" customHeight="1" x14ac:dyDescent="0.3">
      <c r="A1085" s="1258" t="s">
        <v>170</v>
      </c>
      <c r="B1085" s="718"/>
      <c r="C1085" s="459"/>
      <c r="D1085" s="460"/>
      <c r="E1085" s="460"/>
      <c r="F1085" s="461"/>
      <c r="G1085" s="460"/>
      <c r="H1085" s="460"/>
      <c r="I1085" s="1259"/>
      <c r="K1085" s="477" t="s">
        <v>172</v>
      </c>
      <c r="L1085" s="477" t="str">
        <f>K1082&amp;"."&amp;K1085</f>
        <v>9.Design Temperature</v>
      </c>
      <c r="M1085" s="1252">
        <f>D1088</f>
        <v>0</v>
      </c>
    </row>
    <row r="1086" spans="1:13" ht="14.55" customHeight="1" x14ac:dyDescent="0.3">
      <c r="A1086" s="1258"/>
      <c r="B1086" s="459"/>
      <c r="C1086" s="459"/>
      <c r="D1086" s="460"/>
      <c r="E1086" s="460"/>
      <c r="F1086" s="462"/>
      <c r="G1086" s="460"/>
      <c r="H1086" s="460"/>
      <c r="I1086" s="1259"/>
      <c r="K1086" s="477" t="s">
        <v>173</v>
      </c>
      <c r="L1086" s="477" t="str">
        <f>K1082&amp;"."&amp;K1086</f>
        <v>9.Design Pressure</v>
      </c>
      <c r="M1086" s="1252">
        <f>D1089</f>
        <v>0</v>
      </c>
    </row>
    <row r="1087" spans="1:13" ht="14.55" customHeight="1" x14ac:dyDescent="0.3">
      <c r="A1087" s="1260" t="s">
        <v>174</v>
      </c>
      <c r="B1087" s="459"/>
      <c r="C1087" s="459"/>
      <c r="D1087" s="460"/>
      <c r="E1087" s="460"/>
      <c r="F1087" s="462"/>
      <c r="G1087" s="460"/>
      <c r="H1087" s="460"/>
      <c r="I1087" s="1259"/>
      <c r="K1087" s="477" t="s">
        <v>175</v>
      </c>
      <c r="L1087" s="477" t="str">
        <f>K1082&amp;"."&amp;K1087</f>
        <v>9.Material</v>
      </c>
      <c r="M1087" s="1252" t="str">
        <f>B1093</f>
        <v>SA-516 Gr.70</v>
      </c>
    </row>
    <row r="1088" spans="1:13" ht="14.55" customHeight="1" x14ac:dyDescent="0.3">
      <c r="A1088" s="1258" t="s">
        <v>176</v>
      </c>
      <c r="B1088" s="719"/>
      <c r="C1088" s="720"/>
      <c r="D1088" s="464">
        <f>IF(C1088="°C",B1088,0)+IF(C1088="°F",(B1088-32)*5/9,0)</f>
        <v>0</v>
      </c>
      <c r="E1088" s="460" t="s">
        <v>177</v>
      </c>
      <c r="F1088" s="462"/>
      <c r="G1088" s="460"/>
      <c r="H1088" s="460"/>
      <c r="I1088" s="1259"/>
      <c r="K1088" s="477" t="s">
        <v>178</v>
      </c>
      <c r="L1088" s="477" t="str">
        <f>K1082&amp;"."&amp;K1088</f>
        <v>9.Inside Diameter</v>
      </c>
      <c r="M1088" s="1252">
        <f>IF(B1106=0,F1106,B1106)</f>
        <v>200</v>
      </c>
    </row>
    <row r="1089" spans="1:13" ht="14.55" customHeight="1" x14ac:dyDescent="0.3">
      <c r="A1089" s="1258" t="s">
        <v>179</v>
      </c>
      <c r="B1089" s="721"/>
      <c r="C1089" s="720"/>
      <c r="D1089" s="452">
        <f>IF(C1089="barg",B1089,0)+IF(C1089="psig",B1089*List!$AV$4,0)+IF(C1089="MPa",B1089*List!$AV$5,0)+IF(C1089="N/mm2",B1089*List!$AV$6,0)</f>
        <v>0</v>
      </c>
      <c r="E1089" s="460" t="s">
        <v>180</v>
      </c>
      <c r="F1089" s="460"/>
      <c r="G1089" s="460"/>
      <c r="H1089" s="460"/>
      <c r="I1089" s="1259"/>
      <c r="K1089" s="477" t="s">
        <v>181</v>
      </c>
      <c r="L1089" s="477" t="str">
        <f>K1082&amp;"."&amp;K1089</f>
        <v>9.Tan / Tan</v>
      </c>
      <c r="M1089" s="1252">
        <f>IF(B1108=0,F1108,B1108)</f>
        <v>0</v>
      </c>
    </row>
    <row r="1090" spans="1:13" ht="14.55" customHeight="1" x14ac:dyDescent="0.3">
      <c r="A1090" s="1258" t="s">
        <v>182</v>
      </c>
      <c r="B1090" s="721"/>
      <c r="C1090" s="720"/>
      <c r="D1090" s="452">
        <f>IF(C1090="barg",B1090,0)+IF(C1090="psig",B1090*List!$AV$4,0)+IF(C1090="MPa",B1090*List!$AV$5,0)+IF(C1090="N/mm2",B1090*List!$AV$6,0)</f>
        <v>0</v>
      </c>
      <c r="E1090" s="460" t="s">
        <v>180</v>
      </c>
      <c r="F1090" s="460"/>
      <c r="G1090" s="465"/>
      <c r="H1090" s="460"/>
      <c r="I1090" s="1259"/>
      <c r="K1090" s="477" t="s">
        <v>183</v>
      </c>
      <c r="L1090" s="477" t="str">
        <f>K1082&amp;"."&amp;K1090</f>
        <v>9.Thickness</v>
      </c>
      <c r="M1090" s="1252">
        <f>IF(B1147=0,F1151,B1147)</f>
        <v>0</v>
      </c>
    </row>
    <row r="1091" spans="1:13" ht="14.55" customHeight="1" x14ac:dyDescent="0.3">
      <c r="A1091" s="1258"/>
      <c r="B1091" s="459"/>
      <c r="C1091" s="459"/>
      <c r="D1091" s="460"/>
      <c r="E1091" s="460"/>
      <c r="F1091" s="460"/>
      <c r="G1091" s="465"/>
      <c r="H1091" s="460"/>
      <c r="I1091" s="1259"/>
      <c r="K1091" s="477" t="s">
        <v>184</v>
      </c>
      <c r="L1091" s="477" t="str">
        <f>K1082&amp;"."&amp;K1091</f>
        <v>9.Unit Weight</v>
      </c>
      <c r="M1091" s="1252">
        <f>B1200</f>
        <v>2200</v>
      </c>
    </row>
    <row r="1092" spans="1:13" ht="14.55" customHeight="1" x14ac:dyDescent="0.3">
      <c r="A1092" s="1260" t="s">
        <v>185</v>
      </c>
      <c r="B1092" s="459" t="s">
        <v>186</v>
      </c>
      <c r="C1092" s="459"/>
      <c r="D1092" s="460"/>
      <c r="E1092" s="460"/>
      <c r="F1092" s="460" t="s">
        <v>187</v>
      </c>
      <c r="G1092" s="465"/>
      <c r="H1092" s="460"/>
      <c r="I1092" s="1259"/>
      <c r="K1092" s="478" t="s">
        <v>188</v>
      </c>
      <c r="L1092" s="477" t="str">
        <f>K1082&amp;"."&amp;K1092</f>
        <v>9.Unit External Surface</v>
      </c>
      <c r="M1092" s="1252">
        <f>B1196</f>
        <v>0</v>
      </c>
    </row>
    <row r="1093" spans="1:13" ht="14.55" customHeight="1" x14ac:dyDescent="0.3">
      <c r="A1093" s="1258" t="s">
        <v>189</v>
      </c>
      <c r="B1093" s="1716" t="s">
        <v>359</v>
      </c>
      <c r="C1093" s="1717"/>
      <c r="D1093" s="460"/>
      <c r="E1093" s="461"/>
      <c r="F1093" s="1716"/>
      <c r="G1093" s="1717"/>
      <c r="H1093" s="460"/>
      <c r="I1093" s="1259"/>
      <c r="K1093" s="477" t="s">
        <v>191</v>
      </c>
      <c r="L1093" s="477" t="str">
        <f>K1082&amp;"."&amp;K1093</f>
        <v>9.M1 DN</v>
      </c>
      <c r="M1093" s="1252">
        <f>C1214</f>
        <v>0</v>
      </c>
    </row>
    <row r="1094" spans="1:13" ht="14.55" customHeight="1" x14ac:dyDescent="0.3">
      <c r="A1094" s="1258" t="s">
        <v>192</v>
      </c>
      <c r="B1094" s="1716" t="s">
        <v>359</v>
      </c>
      <c r="C1094" s="1717"/>
      <c r="D1094" s="460"/>
      <c r="E1094" s="461"/>
      <c r="F1094" s="1716"/>
      <c r="G1094" s="1717"/>
      <c r="H1094" s="460"/>
      <c r="I1094" s="1259"/>
      <c r="K1094" s="477" t="s">
        <v>193</v>
      </c>
      <c r="L1094" s="477" t="str">
        <f>K1082&amp;"."&amp;K1094</f>
        <v>9.M1 Rating</v>
      </c>
      <c r="M1094" s="1252">
        <f>D1214</f>
        <v>0</v>
      </c>
    </row>
    <row r="1095" spans="1:13" ht="14.55" customHeight="1" x14ac:dyDescent="0.3">
      <c r="A1095" s="1258"/>
      <c r="B1095" s="466"/>
      <c r="C1095" s="466"/>
      <c r="D1095" s="460"/>
      <c r="E1095" s="460"/>
      <c r="F1095" s="460"/>
      <c r="G1095" s="460"/>
      <c r="H1095" s="460"/>
      <c r="I1095" s="1259"/>
      <c r="K1095" s="477" t="s">
        <v>194</v>
      </c>
      <c r="L1095" s="477" t="str">
        <f>K1082&amp;"."&amp;K1095</f>
        <v>9.M1 Type</v>
      </c>
      <c r="M1095" s="1252">
        <f>E1214</f>
        <v>0</v>
      </c>
    </row>
    <row r="1096" spans="1:13" ht="14.55" customHeight="1" x14ac:dyDescent="0.3">
      <c r="A1096" s="1258" t="s">
        <v>195</v>
      </c>
      <c r="B1096" s="460"/>
      <c r="C1096" s="460"/>
      <c r="D1096" s="460"/>
      <c r="E1096" s="460"/>
      <c r="F1096" s="460"/>
      <c r="G1096" s="460"/>
      <c r="H1096" s="460"/>
      <c r="I1096" s="1259"/>
      <c r="K1096" s="477" t="s">
        <v>196</v>
      </c>
      <c r="L1096" s="477" t="str">
        <f>K1082&amp;"."&amp;K1096</f>
        <v>9.M1 Quantity</v>
      </c>
      <c r="M1096" s="1252">
        <f>F1214</f>
        <v>0</v>
      </c>
    </row>
    <row r="1097" spans="1:13" ht="14.55" customHeight="1" x14ac:dyDescent="0.3">
      <c r="A1097" s="1258" t="s">
        <v>197</v>
      </c>
      <c r="B1097" s="464">
        <f>$D1088*(VLOOKUP($B1093,'ASME II Tab 1A'!$1:$1048576,MATCH($D1088,'ASME II Tab 1A'!$6:$6,1)+1,0)-VLOOKUP($B1093,'ASME II Tab 1A'!$1:$1048576,MATCH($D1088,'ASME II Tab 1A'!$6:$6,1),0))/(INDEX('ASME II Tab 1A'!$6:$6,MATCH($D1088,'ASME II Tab 1A'!$6:$6,1)+1)-INDEX('ASME II Tab 1A'!$6:$6,MATCH($D1088,'ASME II Tab 1A'!$6:$6,1)))+VLOOKUP($B1093,'ASME II Tab 1A'!$1:$1048576,MATCH($D1088,'ASME II Tab 1A'!$6:$6,1)+1,0)-INDEX('ASME II Tab 1A'!$6:$6,MATCH($D1088,'ASME II Tab 1A'!$6:$6,1)+1)*(VLOOKUP($B1093,'ASME II Tab 1A'!$1:$1048576,MATCH($D1088,'ASME II Tab 1A'!$6:$6,1)+1,0)-VLOOKUP($B1093,'ASME II Tab 1A'!$1:$1048576,MATCH($D1088,'ASME II Tab 1A'!$6:$6,1),0))/(INDEX('ASME II Tab 1A'!$6:$6,MATCH($D1088,'ASME II Tab 1A'!$6:$6,1)+1)-INDEX('ASME II Tab 1A'!$6:$6,MATCH($D1088,'ASME II Tab 1A'!$6:$6,1)))</f>
        <v>138</v>
      </c>
      <c r="C1097" s="460" t="s">
        <v>198</v>
      </c>
      <c r="D1097" s="460"/>
      <c r="E1097" s="467"/>
      <c r="F1097" s="460" t="e">
        <f>$D1088*(VLOOKUP($F1093,'ASME II Tab 1A'!$1:$1048576,MATCH($D1088,'ASME II Tab 1A'!$6:$6,1)+1,0)-VLOOKUP($F1093,'ASME II Tab 1A'!$1:$1048576,MATCH($D1088,'ASME II Tab 1A'!$6:$6,1),0))/(INDEX('ASME II Tab 1A'!$6:$6,MATCH($D1088,'ASME II Tab 1A'!$6:$6,1)+1)-INDEX('ASME II Tab 1A'!$6:$6,MATCH($D1088,'ASME II Tab 1A'!$6:$6,1)))+VLOOKUP($F1093,'ASME II Tab 1A'!$1:$1048576,MATCH($D1088,'ASME II Tab 1A'!$6:$6,1)+1,0)-INDEX('ASME II Tab 1A'!$6:$6,MATCH($D1088,'ASME II Tab 1A'!$6:$6,1)+1)*(VLOOKUP($F1093,'ASME II Tab 1A'!$1:$1048576,MATCH($D1088,'ASME II Tab 1A'!$6:$6,1)+1,0)-VLOOKUP($F1093,'ASME II Tab 1A'!$1:$1048576,MATCH($D1088,'ASME II Tab 1A'!$6:$6,1),0))/(INDEX('ASME II Tab 1A'!$6:$6,MATCH($D1088,'ASME II Tab 1A'!$6:$6,1)+1)-INDEX('ASME II Tab 1A'!$6:$6,MATCH($D1088,'ASME II Tab 1A'!$6:$6,1)))</f>
        <v>#N/A</v>
      </c>
      <c r="G1097" s="460" t="s">
        <v>198</v>
      </c>
      <c r="H1097" s="460"/>
      <c r="I1097" s="1259"/>
      <c r="K1097" s="477" t="s">
        <v>199</v>
      </c>
      <c r="L1097" s="477" t="str">
        <f>K1082&amp;"."&amp;K1097</f>
        <v>9.M2 DN</v>
      </c>
      <c r="M1097" s="1252">
        <f>C1215</f>
        <v>0</v>
      </c>
    </row>
    <row r="1098" spans="1:13" ht="14.55" customHeight="1" x14ac:dyDescent="0.3">
      <c r="A1098" s="1258" t="s">
        <v>200</v>
      </c>
      <c r="B1098" s="464">
        <f>$D1088*(VLOOKUP($B1094,'ASME II Tab 1A'!$1:$1048576,MATCH($D1088,'ASME II Tab 1A'!$6:$6,1)+1,0)-VLOOKUP($B1094,'ASME II Tab 1A'!$1:$1048576,MATCH($D1088,'ASME II Tab 1A'!$6:$6,1),0))/(INDEX('ASME II Tab 1A'!$6:$6,MATCH($D1088,'ASME II Tab 1A'!$6:$6,1)+1)-INDEX('ASME II Tab 1A'!$6:$6,MATCH($D1088,'ASME II Tab 1A'!$6:$6,1)))+VLOOKUP($B1094,'ASME II Tab 1A'!$1:$1048576,MATCH($D1088,'ASME II Tab 1A'!$6:$6,1)+1,0)-INDEX('ASME II Tab 1A'!$6:$6,MATCH($D1088,'ASME II Tab 1A'!$6:$6,1)+1)*(VLOOKUP($B1094,'ASME II Tab 1A'!$1:$1048576,MATCH($D1088,'ASME II Tab 1A'!$6:$6,1)+1,0)-VLOOKUP($B1094,'ASME II Tab 1A'!$1:$1048576,MATCH($D1088,'ASME II Tab 1A'!$6:$6,1),0))/(INDEX('ASME II Tab 1A'!$6:$6,MATCH($D1088,'ASME II Tab 1A'!$6:$6,1)+1)-INDEX('ASME II Tab 1A'!$6:$6,MATCH($D1088,'ASME II Tab 1A'!$6:$6,1)))</f>
        <v>138</v>
      </c>
      <c r="C1098" s="460" t="s">
        <v>198</v>
      </c>
      <c r="D1098" s="460"/>
      <c r="E1098" s="460"/>
      <c r="F1098" s="460" t="e">
        <f>$D1088*(VLOOKUP($F1094,'ASME II Tab 1A'!$1:$1048576,MATCH($D1088,'ASME II Tab 1A'!$6:$6,1)+1,0)-VLOOKUP($F1094,'ASME II Tab 1A'!$1:$1048576,MATCH($D1088,'ASME II Tab 1A'!$6:$6,1),0))/(INDEX('ASME II Tab 1A'!$6:$6,MATCH($D1088,'ASME II Tab 1A'!$6:$6,1)+1)-INDEX('ASME II Tab 1A'!$6:$6,MATCH($D1088,'ASME II Tab 1A'!$6:$6,1)))+VLOOKUP($F1094,'ASME II Tab 1A'!$1:$1048576,MATCH($D1088,'ASME II Tab 1A'!$6:$6,1)+1,0)-INDEX('ASME II Tab 1A'!$6:$6,MATCH($D1088,'ASME II Tab 1A'!$6:$6,1)+1)*(VLOOKUP($F1094,'ASME II Tab 1A'!$1:$1048576,MATCH($D1088,'ASME II Tab 1A'!$6:$6,1)+1,0)-VLOOKUP($F1094,'ASME II Tab 1A'!$1:$1048576,MATCH($D1088,'ASME II Tab 1A'!$6:$6,1),0))/(INDEX('ASME II Tab 1A'!$6:$6,MATCH($D1088,'ASME II Tab 1A'!$6:$6,1)+1)-INDEX('ASME II Tab 1A'!$6:$6,MATCH($D1088,'ASME II Tab 1A'!$6:$6,1)))</f>
        <v>#N/A</v>
      </c>
      <c r="G1098" s="460" t="s">
        <v>198</v>
      </c>
      <c r="H1098" s="460"/>
      <c r="I1098" s="1259"/>
      <c r="K1098" s="477" t="s">
        <v>201</v>
      </c>
      <c r="L1098" s="477" t="str">
        <f>K1082&amp;"."&amp;K1098</f>
        <v>9.M2 Rating</v>
      </c>
      <c r="M1098" s="1252">
        <f>D1215</f>
        <v>0</v>
      </c>
    </row>
    <row r="1099" spans="1:13" ht="14.55" customHeight="1" x14ac:dyDescent="0.3">
      <c r="A1099" s="1258" t="s">
        <v>202</v>
      </c>
      <c r="B1099" s="460"/>
      <c r="C1099" s="460"/>
      <c r="D1099" s="460"/>
      <c r="E1099" s="460"/>
      <c r="F1099" s="460"/>
      <c r="G1099" s="460"/>
      <c r="H1099" s="460"/>
      <c r="I1099" s="1259"/>
      <c r="K1099" s="477" t="s">
        <v>203</v>
      </c>
      <c r="L1099" s="477" t="str">
        <f>K1082&amp;"."&amp;K1099</f>
        <v>9.M2 Type</v>
      </c>
      <c r="M1099" s="1252">
        <f>E1215</f>
        <v>0</v>
      </c>
    </row>
    <row r="1100" spans="1:13" ht="14.55" customHeight="1" x14ac:dyDescent="0.3">
      <c r="A1100" s="1258" t="s">
        <v>197</v>
      </c>
      <c r="B1100" s="464">
        <f>$D1088*(VLOOKUP($B1093,'ASME II Tab 5A'!$1:$1048576,MATCH($D1088,'ASME II Tab 5A'!$5:$5,1)+1,0)-VLOOKUP($B1093,'ASME II Tab 5A'!$1:$1048576,MATCH($D1088,'ASME II Tab 5A'!$5:$5,1),0))/(INDEX('ASME II Tab 5A'!$5:$5,MATCH($D1088,'ASME II Tab 5A'!$5:$5,1)+1)-INDEX('ASME II Tab 5A'!$5:$5,MATCH($D1088,'ASME II Tab 5A'!$5:$5,1)))+VLOOKUP($B1093,'ASME II Tab 5A'!$1:$1048576,MATCH($D1088,'ASME II Tab 5A'!$5:$5,1)+1,0)-INDEX('ASME II Tab 5A'!$5:$5,MATCH($D1088,'ASME II Tab 5A'!$5:$5,1)+1)*(VLOOKUP($B1093,'ASME II Tab 5A'!$1:$1048576,MATCH($D1088,'ASME II Tab 5A'!$5:$5,1)+1,0)-VLOOKUP($B1093,'ASME II Tab 5A'!$1:$1048576,MATCH($D1088,'ASME II Tab 5A'!$5:$5,1),0))/(INDEX('ASME II Tab 5A'!$5:$5,MATCH($D1088,'ASME II Tab 5A'!$5:$5,1)+1)-INDEX('ASME II Tab 5A'!$5:$5,MATCH($D1088,'ASME II Tab 5A'!$5:$5,1)))</f>
        <v>175</v>
      </c>
      <c r="C1100" s="460" t="s">
        <v>198</v>
      </c>
      <c r="D1100" s="460"/>
      <c r="E1100" s="460"/>
      <c r="F1100" s="460" t="e">
        <f>$D1088*(VLOOKUP($F1093,'ASME II Tab 5A'!$1:$1048576,MATCH($D1088,'ASME II Tab 5A'!$5:$5,1)+1,0)-VLOOKUP($F1093,'ASME II Tab 5A'!$1:$1048576,MATCH($D1088,'ASME II Tab 5A'!$5:$5,1),0))/(INDEX('ASME II Tab 5A'!$5:$5,MATCH($D1088,'ASME II Tab 5A'!$5:$5,1)+1)-INDEX('ASME II Tab 5A'!$5:$5,MATCH($D1088,'ASME II Tab 5A'!$5:$5,1)))+VLOOKUP($F1093,'ASME II Tab 5A'!$1:$1048576,MATCH($D1088,'ASME II Tab 5A'!$5:$5,1)+1,0)-INDEX('ASME II Tab 5A'!$5:$5,MATCH($D1088,'ASME II Tab 5A'!$5:$5,1)+1)*(VLOOKUP($F1093,'ASME II Tab 5A'!$1:$1048576,MATCH($D1088,'ASME II Tab 5A'!$5:$5,1)+1,0)-VLOOKUP($F1093,'ASME II Tab 5A'!$1:$1048576,MATCH($D1088,'ASME II Tab 5A'!$5:$5,1),0))/(INDEX('ASME II Tab 5A'!$5:$5,MATCH($D1088,'ASME II Tab 5A'!$5:$5,1)+1)-INDEX('ASME II Tab 5A'!$5:$5,MATCH($D1088,'ASME II Tab 5A'!$5:$5,1)))</f>
        <v>#N/A</v>
      </c>
      <c r="G1100" s="460" t="s">
        <v>198</v>
      </c>
      <c r="H1100" s="460"/>
      <c r="I1100" s="1259"/>
      <c r="K1100" s="477" t="s">
        <v>204</v>
      </c>
      <c r="L1100" s="477" t="str">
        <f>K1082&amp;"."&amp;K1100</f>
        <v>9.M2 Quantity</v>
      </c>
      <c r="M1100" s="1252">
        <f>F1215</f>
        <v>0</v>
      </c>
    </row>
    <row r="1101" spans="1:13" ht="14.55" customHeight="1" x14ac:dyDescent="0.3">
      <c r="A1101" s="1258" t="s">
        <v>200</v>
      </c>
      <c r="B1101" s="464">
        <f>$D1088*(VLOOKUP($B1094,'ASME II Tab 5A'!$1:$1048576,MATCH($D1088,'ASME II Tab 5A'!$5:$5,1)+1,0)-VLOOKUP($B1094,'ASME II Tab 5A'!$1:$1048576,MATCH($D1088,'ASME II Tab 5A'!$5:$5,1),0))/(INDEX('ASME II Tab 5A'!$5:$5,MATCH($D1088,'ASME II Tab 5A'!$5:$5,1)+1)-INDEX('ASME II Tab 5A'!$5:$5,MATCH($D1088,'ASME II Tab 5A'!$5:$5,1)))+VLOOKUP($B1094,'ASME II Tab 5A'!$1:$1048576,MATCH($D1088,'ASME II Tab 5A'!$5:$5,1)+1,0)-INDEX('ASME II Tab 5A'!$5:$5,MATCH($D1088,'ASME II Tab 5A'!$5:$5,1)+1)*(VLOOKUP($B1094,'ASME II Tab 5A'!$1:$1048576,MATCH($D1088,'ASME II Tab 5A'!$5:$5,1)+1,0)-VLOOKUP($B1094,'ASME II Tab 5A'!$1:$1048576,MATCH($D1088,'ASME II Tab 5A'!$5:$5,1),0))/(INDEX('ASME II Tab 5A'!$5:$5,MATCH($D1088,'ASME II Tab 5A'!$5:$5,1)+1)-INDEX('ASME II Tab 5A'!$5:$5,MATCH($D1088,'ASME II Tab 5A'!$5:$5,1)))</f>
        <v>175</v>
      </c>
      <c r="C1101" s="460" t="s">
        <v>198</v>
      </c>
      <c r="D1101" s="460"/>
      <c r="E1101" s="460"/>
      <c r="F1101" s="460" t="e">
        <f>$D1088*(VLOOKUP($F1094,'ASME II Tab 5A'!$1:$1048576,MATCH($D1088,'ASME II Tab 5A'!$5:$5,1)+1,0)-VLOOKUP($F1094,'ASME II Tab 5A'!$1:$1048576,MATCH($D1088,'ASME II Tab 5A'!$5:$5,1),0))/(INDEX('ASME II Tab 5A'!$5:$5,MATCH($D1088,'ASME II Tab 5A'!$5:$5,1)+1)-INDEX('ASME II Tab 5A'!$5:$5,MATCH($D1088,'ASME II Tab 5A'!$5:$5,1)))+VLOOKUP($F1094,'ASME II Tab 5A'!$1:$1048576,MATCH($D1088,'ASME II Tab 5A'!$5:$5,1)+1,0)-INDEX('ASME II Tab 5A'!$5:$5,MATCH($D1088,'ASME II Tab 5A'!$5:$5,1)+1)*(VLOOKUP($F1094,'ASME II Tab 5A'!$1:$1048576,MATCH($D1088,'ASME II Tab 5A'!$5:$5,1)+1,0)-VLOOKUP($F1094,'ASME II Tab 5A'!$1:$1048576,MATCH($D1088,'ASME II Tab 5A'!$5:$5,1),0))/(INDEX('ASME II Tab 5A'!$5:$5,MATCH($D1088,'ASME II Tab 5A'!$5:$5,1)+1)-INDEX('ASME II Tab 5A'!$5:$5,MATCH($D1088,'ASME II Tab 5A'!$5:$5,1)))</f>
        <v>#N/A</v>
      </c>
      <c r="G1101" s="460" t="s">
        <v>198</v>
      </c>
      <c r="H1101" s="460"/>
      <c r="I1101" s="1259"/>
      <c r="K1101" s="477" t="s">
        <v>205</v>
      </c>
      <c r="L1101" s="477" t="str">
        <f>K1082&amp;"."&amp;K1101</f>
        <v>9.M3 DN</v>
      </c>
      <c r="M1101" s="1252">
        <f>C1216</f>
        <v>0</v>
      </c>
    </row>
    <row r="1102" spans="1:13" ht="14.55" customHeight="1" x14ac:dyDescent="0.3">
      <c r="A1102" s="1258"/>
      <c r="B1102" s="460"/>
      <c r="C1102" s="460"/>
      <c r="D1102" s="460"/>
      <c r="E1102" s="460"/>
      <c r="F1102" s="460"/>
      <c r="G1102" s="460"/>
      <c r="H1102" s="460"/>
      <c r="I1102" s="1259"/>
      <c r="K1102" s="477" t="s">
        <v>206</v>
      </c>
      <c r="L1102" s="477" t="str">
        <f>K1082&amp;"."&amp;K1102</f>
        <v>9.M3 Rating</v>
      </c>
      <c r="M1102" s="1252">
        <f>D1216</f>
        <v>0</v>
      </c>
    </row>
    <row r="1103" spans="1:13" ht="14.55" customHeight="1" x14ac:dyDescent="0.3">
      <c r="A1103" s="1260" t="s">
        <v>207</v>
      </c>
      <c r="B1103" s="453"/>
      <c r="C1103" s="460"/>
      <c r="D1103" s="453"/>
      <c r="E1103" s="460"/>
      <c r="F1103" s="453"/>
      <c r="G1103" s="460"/>
      <c r="H1103" s="460"/>
      <c r="I1103" s="1259"/>
      <c r="K1103" s="477" t="s">
        <v>208</v>
      </c>
      <c r="L1103" s="477" t="str">
        <f>K1082&amp;"."&amp;K1103</f>
        <v>9.M3 Type</v>
      </c>
      <c r="M1103" s="1252">
        <f>E1216</f>
        <v>0</v>
      </c>
    </row>
    <row r="1104" spans="1:13" ht="14.55" customHeight="1" x14ac:dyDescent="0.3">
      <c r="A1104" s="1260"/>
      <c r="B1104" s="305" t="s">
        <v>209</v>
      </c>
      <c r="C1104" s="460"/>
      <c r="D1104" s="305" t="s">
        <v>210</v>
      </c>
      <c r="E1104" s="460"/>
      <c r="F1104" s="305" t="s">
        <v>211</v>
      </c>
      <c r="G1104" s="460"/>
      <c r="H1104" s="460"/>
      <c r="I1104" s="1259"/>
      <c r="K1104" s="477" t="s">
        <v>212</v>
      </c>
      <c r="L1104" s="477" t="str">
        <f>K1082&amp;"."&amp;K1104</f>
        <v>9.M3 Quantity</v>
      </c>
      <c r="M1104" s="1252">
        <f>F1216</f>
        <v>0</v>
      </c>
    </row>
    <row r="1105" spans="1:13" ht="14.55" customHeight="1" x14ac:dyDescent="0.3">
      <c r="A1105" s="1258" t="s">
        <v>213</v>
      </c>
      <c r="B1105" s="305"/>
      <c r="C1105" s="460"/>
      <c r="D1105" s="305"/>
      <c r="E1105" s="460"/>
      <c r="F1105" s="723"/>
      <c r="G1105" s="460" t="s">
        <v>214</v>
      </c>
      <c r="H1105" s="460"/>
      <c r="I1105" s="1259"/>
      <c r="K1105" s="477" t="s">
        <v>215</v>
      </c>
      <c r="L1105" s="477" t="str">
        <f>K1082&amp;"."&amp;K1105</f>
        <v>9.Shell insulation thk 1</v>
      </c>
      <c r="M1105" s="1252">
        <f>B1153</f>
        <v>0</v>
      </c>
    </row>
    <row r="1106" spans="1:13" ht="14.55" customHeight="1" x14ac:dyDescent="0.3">
      <c r="A1106" s="1258" t="s">
        <v>216</v>
      </c>
      <c r="B1106" s="722">
        <v>200</v>
      </c>
      <c r="C1106" s="460" t="s">
        <v>93</v>
      </c>
      <c r="D1106" s="722"/>
      <c r="E1106" s="460" t="s">
        <v>93</v>
      </c>
      <c r="F1106" s="468">
        <f>F1107-2*F1151</f>
        <v>0</v>
      </c>
      <c r="G1106" s="460" t="s">
        <v>93</v>
      </c>
      <c r="H1106" s="460"/>
      <c r="I1106" s="1259"/>
      <c r="K1106" s="477" t="s">
        <v>217</v>
      </c>
      <c r="L1106" s="477" t="str">
        <f>K1082&amp;"."&amp;K1106</f>
        <v>9.Head insulation thk 1</v>
      </c>
      <c r="M1106" s="1252">
        <f>B1154</f>
        <v>0</v>
      </c>
    </row>
    <row r="1107" spans="1:13" ht="14.55" customHeight="1" x14ac:dyDescent="0.3">
      <c r="A1107" s="1258" t="s">
        <v>218</v>
      </c>
      <c r="B1107" s="468">
        <f>B1106+B1147*2</f>
        <v>200</v>
      </c>
      <c r="C1107" s="460" t="s">
        <v>93</v>
      </c>
      <c r="D1107" s="468">
        <f>D1106+D1147*2</f>
        <v>0</v>
      </c>
      <c r="E1107" s="460" t="s">
        <v>93</v>
      </c>
      <c r="F1107" s="468">
        <f>IFERROR(VLOOKUP(F1105,'Thickness Tab'!$1:$1048576,3,0),0)</f>
        <v>0</v>
      </c>
      <c r="G1107" s="460" t="s">
        <v>93</v>
      </c>
      <c r="H1107" s="469"/>
      <c r="I1107" s="1261"/>
      <c r="K1107" s="477" t="s">
        <v>219</v>
      </c>
      <c r="L1107" s="477" t="str">
        <f>K1082&amp;"."&amp;K1107</f>
        <v>9.Reducer insulation thk 1</v>
      </c>
      <c r="M1107" s="1252">
        <f>B1155</f>
        <v>0</v>
      </c>
    </row>
    <row r="1108" spans="1:13" ht="14.55" customHeight="1" x14ac:dyDescent="0.3">
      <c r="A1108" s="1258" t="s">
        <v>181</v>
      </c>
      <c r="B1108" s="722"/>
      <c r="C1108" s="460" t="s">
        <v>93</v>
      </c>
      <c r="D1108" s="722"/>
      <c r="E1108" s="460" t="s">
        <v>93</v>
      </c>
      <c r="F1108" s="722"/>
      <c r="G1108" s="460" t="s">
        <v>93</v>
      </c>
      <c r="H1108" s="460"/>
      <c r="I1108" s="1259"/>
      <c r="K1108" s="477" t="s">
        <v>220</v>
      </c>
      <c r="L1108" s="477" t="str">
        <f>K1082&amp;"."&amp;K1108</f>
        <v>9.Shell insulation area 1</v>
      </c>
      <c r="M1108" s="1252">
        <f>B1113</f>
        <v>0</v>
      </c>
    </row>
    <row r="1109" spans="1:13" ht="14.55" customHeight="1" x14ac:dyDescent="0.3">
      <c r="A1109" s="1258" t="s">
        <v>221</v>
      </c>
      <c r="B1109" s="468">
        <f>(PI()*B1108*(((B1107/2)^2)-((B1106/2)^2))*7860)/1000000000*1.05</f>
        <v>0</v>
      </c>
      <c r="C1109" s="460" t="s">
        <v>222</v>
      </c>
      <c r="D1109" s="468">
        <f>(PI()*D1108*(((D1107/2)^2)-((D1106/2)^2))*7860)/1000000000*1.05</f>
        <v>0</v>
      </c>
      <c r="E1109" s="460" t="s">
        <v>222</v>
      </c>
      <c r="F1109" s="468">
        <f>(PI()*F1108*(((F1107/2)^2)-((F1106/2)^2))*7860)/1000000000*1.05</f>
        <v>0</v>
      </c>
      <c r="G1109" s="460" t="s">
        <v>222</v>
      </c>
      <c r="H1109" s="469"/>
      <c r="I1109" s="1261"/>
      <c r="K1109" s="477" t="s">
        <v>223</v>
      </c>
      <c r="L1109" s="477" t="str">
        <f>K1082&amp;"."&amp;K1109</f>
        <v>9.Head insulation area 1</v>
      </c>
      <c r="M1109" s="1252">
        <f>B1125</f>
        <v>3.1399999999999997E-2</v>
      </c>
    </row>
    <row r="1110" spans="1:13" ht="14.55" customHeight="1" x14ac:dyDescent="0.3">
      <c r="A1110" s="1258" t="s">
        <v>224</v>
      </c>
      <c r="B1110" s="468">
        <f>(PI()*((B1106/2)^2)*B1108)/1000000000</f>
        <v>0</v>
      </c>
      <c r="C1110" s="460" t="s">
        <v>225</v>
      </c>
      <c r="D1110" s="468">
        <f>(PI()*((D1106/2)^2)*D1108)/1000000000</f>
        <v>0</v>
      </c>
      <c r="E1110" s="460" t="s">
        <v>225</v>
      </c>
      <c r="F1110" s="468">
        <f>(PI()*((F1106/2)^2)*F1108)/1000000000</f>
        <v>0</v>
      </c>
      <c r="G1110" s="460" t="s">
        <v>225</v>
      </c>
      <c r="H1110" s="469"/>
      <c r="I1110" s="1261"/>
      <c r="K1110" s="477" t="s">
        <v>226</v>
      </c>
      <c r="L1110" s="477" t="str">
        <f>K1082&amp;"."&amp;K1110</f>
        <v>9.Reducer insulation area 1</v>
      </c>
      <c r="M1110" s="1252">
        <f>B1138</f>
        <v>0</v>
      </c>
    </row>
    <row r="1111" spans="1:13" ht="14.55" customHeight="1" x14ac:dyDescent="0.3">
      <c r="A1111" s="1258" t="s">
        <v>227</v>
      </c>
      <c r="B1111" s="468">
        <f>(B1107*3.14*B1108)/1000000</f>
        <v>0</v>
      </c>
      <c r="C1111" s="460" t="s">
        <v>228</v>
      </c>
      <c r="D1111" s="468">
        <f>(D1107*3.14*D1108)/1000000</f>
        <v>0</v>
      </c>
      <c r="E1111" s="460" t="s">
        <v>228</v>
      </c>
      <c r="F1111" s="468">
        <f>(F1107*3.14*F1108)/1000000</f>
        <v>0</v>
      </c>
      <c r="G1111" s="460" t="s">
        <v>228</v>
      </c>
      <c r="H1111" s="469"/>
      <c r="I1111" s="1261"/>
      <c r="K1111" s="477" t="s">
        <v>229</v>
      </c>
      <c r="L1111" s="477" t="str">
        <f>K1082&amp;"."&amp;K1111</f>
        <v>9.Shell insulation thk 2</v>
      </c>
      <c r="M1111" s="1252">
        <f>D1153</f>
        <v>0</v>
      </c>
    </row>
    <row r="1112" spans="1:13" ht="14.55" customHeight="1" x14ac:dyDescent="0.3">
      <c r="A1112" s="1258" t="s">
        <v>230</v>
      </c>
      <c r="B1112" s="468">
        <f>B1107+2*B1153</f>
        <v>200</v>
      </c>
      <c r="C1112" s="460" t="s">
        <v>93</v>
      </c>
      <c r="D1112" s="468">
        <f>D1107+2*D1153</f>
        <v>0</v>
      </c>
      <c r="E1112" s="460" t="s">
        <v>93</v>
      </c>
      <c r="F1112" s="468">
        <f>F1107+2*F1153</f>
        <v>0</v>
      </c>
      <c r="G1112" s="460" t="s">
        <v>93</v>
      </c>
      <c r="H1112" s="469"/>
      <c r="I1112" s="1261"/>
      <c r="K1112" s="477" t="s">
        <v>231</v>
      </c>
      <c r="L1112" s="477" t="str">
        <f>K1082&amp;"."&amp;K1112</f>
        <v>9.Head insulation thk 2</v>
      </c>
      <c r="M1112" s="1252">
        <f>D1154</f>
        <v>0</v>
      </c>
    </row>
    <row r="1113" spans="1:13" ht="14.55" customHeight="1" x14ac:dyDescent="0.3">
      <c r="A1113" s="1258" t="s">
        <v>232</v>
      </c>
      <c r="B1113" s="468">
        <f>(B1112*3.14*B1108)/1000000</f>
        <v>0</v>
      </c>
      <c r="C1113" s="460" t="s">
        <v>228</v>
      </c>
      <c r="D1113" s="468">
        <f>(D1112*3.14*D1108)/1000000</f>
        <v>0</v>
      </c>
      <c r="E1113" s="460" t="s">
        <v>228</v>
      </c>
      <c r="F1113" s="468">
        <f>(F1112*3.14*F1108)/1000000</f>
        <v>0</v>
      </c>
      <c r="G1113" s="460" t="s">
        <v>228</v>
      </c>
      <c r="H1113" s="469"/>
      <c r="I1113" s="1261"/>
      <c r="K1113" s="477" t="s">
        <v>233</v>
      </c>
      <c r="L1113" s="477" t="str">
        <f>K1082&amp;"."&amp;K1113</f>
        <v>9.Reducer insulation thk 2</v>
      </c>
      <c r="M1113" s="1252">
        <f>D1155</f>
        <v>0</v>
      </c>
    </row>
    <row r="1114" spans="1:13" ht="14.55" customHeight="1" x14ac:dyDescent="0.3">
      <c r="A1114" s="1258"/>
      <c r="B1114" s="468"/>
      <c r="C1114" s="460"/>
      <c r="D1114" s="468"/>
      <c r="E1114" s="460"/>
      <c r="F1114" s="468"/>
      <c r="G1114" s="460"/>
      <c r="H1114" s="469"/>
      <c r="I1114" s="1261"/>
      <c r="K1114" s="477" t="s">
        <v>234</v>
      </c>
      <c r="L1114" s="477" t="str">
        <f>K1082&amp;"."&amp;K1114</f>
        <v>9.Shell insulation area 2</v>
      </c>
      <c r="M1114" s="1252">
        <f>D1113</f>
        <v>0</v>
      </c>
    </row>
    <row r="1115" spans="1:13" ht="14.55" customHeight="1" x14ac:dyDescent="0.3">
      <c r="A1115" s="1258"/>
      <c r="B1115" s="468" t="s">
        <v>235</v>
      </c>
      <c r="C1115" s="460"/>
      <c r="D1115" s="468" t="s">
        <v>236</v>
      </c>
      <c r="E1115" s="460"/>
      <c r="F1115" s="468" t="s">
        <v>237</v>
      </c>
      <c r="G1115" s="460"/>
      <c r="H1115" s="469"/>
      <c r="I1115" s="1261"/>
      <c r="K1115" s="477" t="s">
        <v>238</v>
      </c>
      <c r="L1115" s="477" t="str">
        <f>K1082&amp;"."&amp;K1115</f>
        <v>9.Head insulation area 2</v>
      </c>
      <c r="M1115" s="1252">
        <f>D1125</f>
        <v>0</v>
      </c>
    </row>
    <row r="1116" spans="1:13" ht="14.55" customHeight="1" x14ac:dyDescent="0.3">
      <c r="A1116" s="1258" t="s">
        <v>239</v>
      </c>
      <c r="B1116" s="468">
        <f>B1106</f>
        <v>200</v>
      </c>
      <c r="C1116" s="460" t="s">
        <v>93</v>
      </c>
      <c r="D1116" s="468">
        <f>D1106</f>
        <v>0</v>
      </c>
      <c r="E1116" s="460" t="s">
        <v>93</v>
      </c>
      <c r="F1116" s="468">
        <f>F1106</f>
        <v>0</v>
      </c>
      <c r="G1116" s="460" t="s">
        <v>93</v>
      </c>
      <c r="H1116" s="469"/>
      <c r="I1116" s="1261"/>
      <c r="K1116" s="477" t="s">
        <v>240</v>
      </c>
      <c r="L1116" s="477" t="str">
        <f>K1082&amp;"."&amp;K1116</f>
        <v>9.Reducer insulation area 2</v>
      </c>
      <c r="M1116" s="1252">
        <f>D1138</f>
        <v>0</v>
      </c>
    </row>
    <row r="1117" spans="1:13" ht="14.55" customHeight="1" x14ac:dyDescent="0.3">
      <c r="A1117" s="1258" t="s">
        <v>241</v>
      </c>
      <c r="B1117" s="468">
        <f>B1116+2*B1148</f>
        <v>200</v>
      </c>
      <c r="C1117" s="460" t="s">
        <v>93</v>
      </c>
      <c r="D1117" s="468">
        <f>D1116+2*D1148</f>
        <v>0</v>
      </c>
      <c r="E1117" s="460" t="s">
        <v>93</v>
      </c>
      <c r="F1117" s="468">
        <f>F1116+2*F1151</f>
        <v>0</v>
      </c>
      <c r="G1117" s="460" t="s">
        <v>93</v>
      </c>
      <c r="H1117" s="469"/>
      <c r="I1117" s="1261"/>
      <c r="K1117" s="477" t="s">
        <v>242</v>
      </c>
      <c r="L1117" s="477" t="str">
        <f>K1082&amp;"."&amp;K1117</f>
        <v>9.Shell insulation thk 3</v>
      </c>
      <c r="M1117" s="1252">
        <f>F1153</f>
        <v>0</v>
      </c>
    </row>
    <row r="1118" spans="1:13" ht="14.55" customHeight="1" x14ac:dyDescent="0.3">
      <c r="A1118" s="1258" t="s">
        <v>243</v>
      </c>
      <c r="B1118" s="722"/>
      <c r="C1118" s="460" t="s">
        <v>93</v>
      </c>
      <c r="D1118" s="722"/>
      <c r="E1118" s="460" t="s">
        <v>93</v>
      </c>
      <c r="F1118" s="452"/>
      <c r="G1118" s="460"/>
      <c r="H1118" s="469"/>
      <c r="I1118" s="1261"/>
      <c r="K1118" s="477" t="s">
        <v>244</v>
      </c>
      <c r="L1118" s="477" t="str">
        <f>K1082&amp;"."&amp;K1118</f>
        <v>9.Head insulation thk 3</v>
      </c>
      <c r="M1118" s="1252">
        <f>F1154</f>
        <v>0</v>
      </c>
    </row>
    <row r="1119" spans="1:13" ht="14.55" customHeight="1" x14ac:dyDescent="0.3">
      <c r="A1119" s="1258" t="s">
        <v>245</v>
      </c>
      <c r="B1119" s="724"/>
      <c r="C1119" s="460"/>
      <c r="D1119" s="724"/>
      <c r="E1119" s="460"/>
      <c r="F1119" s="724"/>
      <c r="G1119" s="460"/>
      <c r="H1119" s="469"/>
      <c r="I1119" s="1261"/>
      <c r="K1119" s="477" t="s">
        <v>246</v>
      </c>
      <c r="L1119" s="477" t="str">
        <f>K1082&amp;"."&amp;K1119</f>
        <v>9.Reducer insulation thk 3</v>
      </c>
      <c r="M1119" s="1252">
        <f>F1155</f>
        <v>0</v>
      </c>
    </row>
    <row r="1120" spans="1:13" ht="14.55" customHeight="1" x14ac:dyDescent="0.3">
      <c r="A1120" s="1258" t="s">
        <v>247</v>
      </c>
      <c r="B1120" s="468">
        <v>0</v>
      </c>
      <c r="C1120" s="460" t="s">
        <v>93</v>
      </c>
      <c r="D1120" s="468">
        <v>0</v>
      </c>
      <c r="E1120" s="460" t="s">
        <v>93</v>
      </c>
      <c r="F1120" s="468">
        <v>0</v>
      </c>
      <c r="G1120" s="460" t="s">
        <v>93</v>
      </c>
      <c r="H1120" s="469"/>
      <c r="I1120" s="1261"/>
      <c r="K1120" s="477" t="s">
        <v>248</v>
      </c>
      <c r="L1120" s="477" t="str">
        <f>K1082&amp;"."&amp;K1120</f>
        <v>9.Shell insulation area 3</v>
      </c>
      <c r="M1120" s="1252">
        <f>F1113</f>
        <v>0</v>
      </c>
    </row>
    <row r="1121" spans="1:13" ht="14.55" customHeight="1" x14ac:dyDescent="0.3">
      <c r="A1121" s="1258" t="s">
        <v>249</v>
      </c>
      <c r="B1121" s="468">
        <f>((((POWER(((((B1116+B1149)*1.22)+(B1120*2))/100),2)*PI())/4)*(B1149/100))*7.86)</f>
        <v>0</v>
      </c>
      <c r="C1121" s="460" t="s">
        <v>222</v>
      </c>
      <c r="D1121" s="468">
        <f>((((POWER(((((D1116+D1149)*1.22)+(D1120*2))/100),2)*PI())/4)*(D1149/100))*7.86)</f>
        <v>0</v>
      </c>
      <c r="E1121" s="460" t="s">
        <v>222</v>
      </c>
      <c r="F1121" s="468">
        <f>IFERROR(VLOOKUP(F1105&amp;"."&amp;F1150,'Fitting Chart'!$1:$1048576,5,0),0)</f>
        <v>0</v>
      </c>
      <c r="G1121" s="460" t="s">
        <v>222</v>
      </c>
      <c r="H1121" s="469"/>
      <c r="I1121" s="1261"/>
      <c r="K1121" s="477" t="s">
        <v>250</v>
      </c>
      <c r="L1121" s="477" t="str">
        <f>K1082&amp;"."&amp;K1121</f>
        <v>9.Head insulation area 3</v>
      </c>
      <c r="M1121" s="1252">
        <f>F1124</f>
        <v>0</v>
      </c>
    </row>
    <row r="1122" spans="1:13" ht="14.55" customHeight="1" x14ac:dyDescent="0.3">
      <c r="A1122" s="1258" t="s">
        <v>251</v>
      </c>
      <c r="B1122" s="468">
        <f>(((0.131*(B1116^3)*10^-6)+((((B1116/2)^2)*PI()*(((B1116/4)+B1148)-B1148-(B1116/4)))))+((PI()*((B1116/2)^2)*B1120))/1000000)/1000</f>
        <v>1.0480000000000001E-3</v>
      </c>
      <c r="C1122" s="460" t="s">
        <v>225</v>
      </c>
      <c r="D1122" s="468">
        <f>(((0.131*(D1116^3)*10^-6)+((((D1116/2)^2)*PI()*(((D1116/4)+D1148)-D1148-(D1116/4)))))+((PI()*((D1116/2)^2)*D1120))/1000000)/1000</f>
        <v>0</v>
      </c>
      <c r="E1122" s="460" t="s">
        <v>225</v>
      </c>
      <c r="F1122" s="468">
        <f>(((0.131*(F1116^3)*10^-6)+((((F1116/2)^2)*PI()*(((F1116/4)+F1151)-F1151-(F1116/4)))))+((PI()*((F1116/2)^2)*F1120))/1000000)/1000</f>
        <v>0</v>
      </c>
      <c r="G1122" s="460" t="s">
        <v>225</v>
      </c>
      <c r="H1122" s="469"/>
      <c r="I1122" s="1261"/>
      <c r="K1122" s="477" t="s">
        <v>252</v>
      </c>
      <c r="L1122" s="477" t="str">
        <f>K1082&amp;"."&amp;K1122</f>
        <v>9.Reducer insulation area 3</v>
      </c>
      <c r="M1122" s="1252">
        <f>F1138</f>
        <v>0</v>
      </c>
    </row>
    <row r="1123" spans="1:13" ht="14.55" customHeight="1" x14ac:dyDescent="0.3">
      <c r="A1123" s="1258" t="s">
        <v>253</v>
      </c>
      <c r="B1123" s="468">
        <f>(((B1117*B1118*3.14)+(((B1117/2)^2)*3.14))/1000000)</f>
        <v>3.1399999999999997E-2</v>
      </c>
      <c r="C1123" s="460" t="s">
        <v>228</v>
      </c>
      <c r="D1123" s="468">
        <f>(((D1117*D1118*3.14)+(((D1117/2)^2)*3.14))/1000000)</f>
        <v>0</v>
      </c>
      <c r="E1123" s="460" t="s">
        <v>228</v>
      </c>
      <c r="F1123" s="468">
        <f>(((F1117*F1118*3.14)+(((F1117/2)^2)*3.14))/1000000)</f>
        <v>0</v>
      </c>
      <c r="G1123" s="460" t="s">
        <v>228</v>
      </c>
      <c r="H1123" s="469"/>
      <c r="I1123" s="1261"/>
    </row>
    <row r="1124" spans="1:13" ht="14.55" customHeight="1" x14ac:dyDescent="0.3">
      <c r="A1124" s="1258" t="s">
        <v>254</v>
      </c>
      <c r="B1124" s="468">
        <f>B1117+2*B1154</f>
        <v>200</v>
      </c>
      <c r="C1124" s="460" t="s">
        <v>93</v>
      </c>
      <c r="D1124" s="468">
        <f>D1117+2*D1154</f>
        <v>0</v>
      </c>
      <c r="E1124" s="460" t="s">
        <v>93</v>
      </c>
      <c r="F1124" s="468">
        <f>F1117+2*F1154</f>
        <v>0</v>
      </c>
      <c r="G1124" s="460" t="s">
        <v>93</v>
      </c>
      <c r="H1124" s="469"/>
      <c r="I1124" s="1261"/>
    </row>
    <row r="1125" spans="1:13" ht="14.55" customHeight="1" x14ac:dyDescent="0.3">
      <c r="A1125" s="1258" t="s">
        <v>255</v>
      </c>
      <c r="B1125" s="468">
        <f>(((B1124*B1118*3.14)+(((B1124/2)^2)*3.14))/1000000)</f>
        <v>3.1399999999999997E-2</v>
      </c>
      <c r="C1125" s="460" t="s">
        <v>228</v>
      </c>
      <c r="D1125" s="468">
        <f>(((D1124*D1118*3.14)+(((D1124/2)^2)*3.14))/1000000)</f>
        <v>0</v>
      </c>
      <c r="E1125" s="460" t="s">
        <v>228</v>
      </c>
      <c r="F1125" s="468">
        <f>(((F1124*F1118*3.14)+(((F1124/2)^2)*3.14))/1000000)</f>
        <v>0</v>
      </c>
      <c r="G1125" s="460" t="s">
        <v>228</v>
      </c>
      <c r="H1125" s="469"/>
      <c r="I1125" s="1261"/>
    </row>
    <row r="1126" spans="1:13" ht="14.55" customHeight="1" x14ac:dyDescent="0.3">
      <c r="A1126" s="1258"/>
      <c r="B1126" s="454"/>
      <c r="C1126" s="460"/>
      <c r="D1126" s="454"/>
      <c r="E1126" s="460"/>
      <c r="F1126" s="454"/>
      <c r="G1126" s="460"/>
      <c r="H1126" s="469"/>
      <c r="I1126" s="1261"/>
    </row>
    <row r="1127" spans="1:13" ht="14.55" customHeight="1" x14ac:dyDescent="0.3">
      <c r="A1127" s="1258"/>
      <c r="B1127" s="468" t="s">
        <v>256</v>
      </c>
      <c r="C1127" s="460"/>
      <c r="D1127" s="468" t="s">
        <v>257</v>
      </c>
      <c r="E1127" s="460"/>
      <c r="F1127" s="468" t="s">
        <v>258</v>
      </c>
      <c r="G1127" s="460"/>
      <c r="H1127" s="469"/>
      <c r="I1127" s="1261"/>
    </row>
    <row r="1128" spans="1:13" ht="14.55" customHeight="1" x14ac:dyDescent="0.3">
      <c r="A1128" s="1258" t="s">
        <v>259</v>
      </c>
      <c r="B1128" s="725"/>
      <c r="C1128" s="460" t="s">
        <v>93</v>
      </c>
      <c r="D1128" s="725"/>
      <c r="E1128" s="460" t="s">
        <v>93</v>
      </c>
      <c r="F1128" s="725"/>
      <c r="G1128" s="460" t="s">
        <v>93</v>
      </c>
      <c r="H1128" s="469"/>
      <c r="I1128" s="1261"/>
    </row>
    <row r="1129" spans="1:13" ht="14.55" customHeight="1" x14ac:dyDescent="0.3">
      <c r="A1129" s="1258" t="s">
        <v>260</v>
      </c>
      <c r="B1129" s="725"/>
      <c r="C1129" s="460" t="s">
        <v>93</v>
      </c>
      <c r="D1129" s="725"/>
      <c r="E1129" s="460" t="s">
        <v>93</v>
      </c>
      <c r="F1129" s="725"/>
      <c r="G1129" s="460" t="s">
        <v>93</v>
      </c>
      <c r="H1129" s="469"/>
      <c r="I1129" s="1261"/>
    </row>
    <row r="1130" spans="1:13" ht="14.55" customHeight="1" x14ac:dyDescent="0.3">
      <c r="A1130" s="1258" t="s">
        <v>261</v>
      </c>
      <c r="B1130" s="725"/>
      <c r="C1130" s="460" t="s">
        <v>93</v>
      </c>
      <c r="D1130" s="725"/>
      <c r="E1130" s="460" t="s">
        <v>93</v>
      </c>
      <c r="F1130" s="725"/>
      <c r="G1130" s="460" t="s">
        <v>93</v>
      </c>
      <c r="H1130" s="469"/>
      <c r="I1130" s="1261"/>
    </row>
    <row r="1131" spans="1:13" ht="14.55" customHeight="1" x14ac:dyDescent="0.3">
      <c r="A1131" s="1258" t="s">
        <v>262</v>
      </c>
      <c r="B1131" s="455">
        <f>B1128+2*B1149</f>
        <v>0</v>
      </c>
      <c r="C1131" s="460" t="s">
        <v>93</v>
      </c>
      <c r="D1131" s="455">
        <f>D1128+2*D1149</f>
        <v>0</v>
      </c>
      <c r="E1131" s="460" t="s">
        <v>93</v>
      </c>
      <c r="F1131" s="455">
        <f>F1128+2*F1151</f>
        <v>0</v>
      </c>
      <c r="G1131" s="460" t="s">
        <v>93</v>
      </c>
      <c r="H1131" s="469"/>
      <c r="I1131" s="1261"/>
    </row>
    <row r="1132" spans="1:13" ht="14.55" customHeight="1" x14ac:dyDescent="0.3">
      <c r="A1132" s="1258" t="s">
        <v>263</v>
      </c>
      <c r="B1132" s="455">
        <f>B1129+2*B1149</f>
        <v>0</v>
      </c>
      <c r="C1132" s="460" t="s">
        <v>93</v>
      </c>
      <c r="D1132" s="455">
        <f>D1129+2*D1149</f>
        <v>0</v>
      </c>
      <c r="E1132" s="460" t="s">
        <v>93</v>
      </c>
      <c r="F1132" s="455">
        <f>F1129+2*F1151</f>
        <v>0</v>
      </c>
      <c r="G1132" s="460" t="s">
        <v>93</v>
      </c>
      <c r="H1132" s="469"/>
      <c r="I1132" s="1261"/>
    </row>
    <row r="1133" spans="1:13" ht="14.55" customHeight="1" x14ac:dyDescent="0.3">
      <c r="A1133" s="1258" t="s">
        <v>264</v>
      </c>
      <c r="B1133" s="453">
        <f>(((((1/3*PI()*B1130))*((((B1131/2)^2)+(((B1131/2)*(B1132/2)))+((B1132/2)^2))))-(((1/3*PI()*B1130))*((((B1128/2)^2)+(((B1128/2)*(B1129/2)))+((B1129/2)^2)))))*7.86)/1000000</f>
        <v>0</v>
      </c>
      <c r="C1133" s="460" t="s">
        <v>222</v>
      </c>
      <c r="D1133" s="453">
        <f>(((((1/3*PI()*D1130))*((((D1131/2)^2)+(((D1131/2)*(D1132/2)))+((D1132/2)^2))))-(((1/3*PI()*D1130))*((((D1128/2)^2)+(((D1128/2)*(D1129/2)))+((D1129/2)^2)))))*7.86)/1000000</f>
        <v>0</v>
      </c>
      <c r="E1133" s="460" t="s">
        <v>222</v>
      </c>
      <c r="F1133" s="453">
        <f>(((((1/3*PI()*F1130))*((((F1131/2)^2)+(((F1131/2)*(F1132/2)))+((F1132/2)^2))))-(((1/3*PI()*F1130))*((((F1128/2)^2)+(((F1128/2)*(F1129/2)))+((F1129/2)^2)))))*7.86)/1000000</f>
        <v>0</v>
      </c>
      <c r="G1133" s="460" t="s">
        <v>222</v>
      </c>
      <c r="H1133" s="469"/>
      <c r="I1133" s="1261"/>
    </row>
    <row r="1134" spans="1:13" ht="14.55" customHeight="1" x14ac:dyDescent="0.3">
      <c r="A1134" s="1258" t="s">
        <v>265</v>
      </c>
      <c r="B1134" s="453">
        <f>((1/3*PI()*B1130))*((((B1128/2)^2)+(((B1128/2)*(B1129/2)))+((B1129/2)^2)))/1000000000</f>
        <v>0</v>
      </c>
      <c r="C1134" s="460" t="s">
        <v>225</v>
      </c>
      <c r="D1134" s="453">
        <f>((1/3*PI()*D1130))*((((D1128/2)^2)+(((D1128/2)*(D1129/2)))+((D1129/2)^2)))/1000000000</f>
        <v>0</v>
      </c>
      <c r="E1134" s="460" t="s">
        <v>225</v>
      </c>
      <c r="F1134" s="453">
        <f>((1/3*PI()*F1130))*((((F1128/2)^2)+(((F1128/2)*(F1129/2)))+((F1129/2)^2)))/1000000000</f>
        <v>0</v>
      </c>
      <c r="G1134" s="460" t="s">
        <v>225</v>
      </c>
      <c r="H1134" s="469"/>
      <c r="I1134" s="1261"/>
    </row>
    <row r="1135" spans="1:13" ht="14.55" customHeight="1" x14ac:dyDescent="0.3">
      <c r="A1135" s="1258" t="s">
        <v>266</v>
      </c>
      <c r="B1135" s="453">
        <f>PI()*(B1131+B1132)/2*SQRT(B1130^2+((B1131-B1132)/2)^2)/1000000</f>
        <v>0</v>
      </c>
      <c r="C1135" s="460" t="s">
        <v>228</v>
      </c>
      <c r="D1135" s="453">
        <f>PI()*(D1131+D1132)/2*SQRT(D1130^2+((D1131-D1132)/2)^2)/1000000</f>
        <v>0</v>
      </c>
      <c r="E1135" s="460" t="s">
        <v>228</v>
      </c>
      <c r="F1135" s="453">
        <f>PI()*(F1131+F1132)/2*SQRT(F1130^2+((F1131-F1132)/2)^2)/1000000</f>
        <v>0</v>
      </c>
      <c r="G1135" s="460" t="s">
        <v>228</v>
      </c>
      <c r="H1135" s="469"/>
      <c r="I1135" s="1261"/>
    </row>
    <row r="1136" spans="1:13" ht="14.55" customHeight="1" x14ac:dyDescent="0.3">
      <c r="A1136" s="1258" t="s">
        <v>267</v>
      </c>
      <c r="B1136" s="453">
        <f>B1131+2*B1155</f>
        <v>0</v>
      </c>
      <c r="C1136" s="460" t="s">
        <v>93</v>
      </c>
      <c r="D1136" s="453">
        <f>D1128+2*D1155</f>
        <v>0</v>
      </c>
      <c r="E1136" s="460" t="s">
        <v>93</v>
      </c>
      <c r="F1136" s="453">
        <f>F1128+2*F1155</f>
        <v>0</v>
      </c>
      <c r="G1136" s="460" t="s">
        <v>93</v>
      </c>
      <c r="H1136" s="469"/>
      <c r="I1136" s="1261"/>
    </row>
    <row r="1137" spans="1:9" ht="14.55" customHeight="1" x14ac:dyDescent="0.3">
      <c r="A1137" s="1258" t="s">
        <v>268</v>
      </c>
      <c r="B1137" s="453">
        <f>B1132+2*B1155</f>
        <v>0</v>
      </c>
      <c r="C1137" s="460" t="s">
        <v>93</v>
      </c>
      <c r="D1137" s="453">
        <f>D1129+2*D1155</f>
        <v>0</v>
      </c>
      <c r="E1137" s="460" t="s">
        <v>93</v>
      </c>
      <c r="F1137" s="453">
        <f>F1129+2*F1155</f>
        <v>0</v>
      </c>
      <c r="G1137" s="460" t="s">
        <v>93</v>
      </c>
      <c r="H1137" s="469"/>
      <c r="I1137" s="1261"/>
    </row>
    <row r="1138" spans="1:9" ht="14.55" customHeight="1" x14ac:dyDescent="0.3">
      <c r="A1138" s="1258" t="s">
        <v>269</v>
      </c>
      <c r="B1138" s="453">
        <f>PI()*(B1136+B1137)/2*SQRT(B1130^2+((B1136-B1137)/2)^2)/1000000</f>
        <v>0</v>
      </c>
      <c r="C1138" s="460" t="s">
        <v>228</v>
      </c>
      <c r="D1138" s="453">
        <f>PI()*(D1136+D1137)/2*SQRT(D1130^2+((D1136-D1137)/2)^2)/1000000</f>
        <v>0</v>
      </c>
      <c r="E1138" s="460" t="s">
        <v>228</v>
      </c>
      <c r="F1138" s="453">
        <f>PI()*(F1136+F1137)/2*SQRT(F1130^2+((F1136-F1137)/2)^2)/1000000</f>
        <v>0</v>
      </c>
      <c r="G1138" s="460" t="s">
        <v>228</v>
      </c>
      <c r="H1138" s="469"/>
      <c r="I1138" s="1261"/>
    </row>
    <row r="1139" spans="1:9" ht="14.55" customHeight="1" x14ac:dyDescent="0.3">
      <c r="A1139" s="1258"/>
      <c r="B1139" s="453"/>
      <c r="C1139" s="460"/>
      <c r="D1139" s="453"/>
      <c r="E1139" s="460"/>
      <c r="F1139" s="453"/>
      <c r="G1139" s="460"/>
      <c r="H1139" s="460"/>
      <c r="I1139" s="1259"/>
    </row>
    <row r="1140" spans="1:9" ht="14.55" customHeight="1" x14ac:dyDescent="0.3">
      <c r="A1140" s="1258" t="s">
        <v>270</v>
      </c>
      <c r="B1140" s="725"/>
      <c r="C1140" s="460" t="s">
        <v>93</v>
      </c>
      <c r="D1140" s="725"/>
      <c r="E1140" s="460" t="s">
        <v>93</v>
      </c>
      <c r="F1140" s="725"/>
      <c r="G1140" s="460" t="s">
        <v>93</v>
      </c>
      <c r="H1140" s="460"/>
      <c r="I1140" s="1259"/>
    </row>
    <row r="1141" spans="1:9" ht="14.55" customHeight="1" x14ac:dyDescent="0.3">
      <c r="A1141" s="1258" t="s">
        <v>271</v>
      </c>
      <c r="B1141" s="453">
        <f>((D1089/10)*B1106/2)/(IF(B1084="div.1",B1097,B1100)-0.5*D1089/10)</f>
        <v>0</v>
      </c>
      <c r="C1141" s="460" t="s">
        <v>93</v>
      </c>
      <c r="D1141" s="453">
        <f>((D1089/10)*D1106/2)/(IF(B1084="div.1",B1097,B1100)-0.5*D1089/10)</f>
        <v>0</v>
      </c>
      <c r="E1141" s="460" t="s">
        <v>93</v>
      </c>
      <c r="F1141" s="453" t="e">
        <f>((D1089/10)*F1106/2)/(IF(B1084="div.1",F1097,F1100)-0.5*D1089/10)</f>
        <v>#N/A</v>
      </c>
      <c r="G1141" s="460" t="s">
        <v>93</v>
      </c>
      <c r="H1141" s="460"/>
      <c r="I1141" s="1259"/>
    </row>
    <row r="1142" spans="1:9" ht="14.55" customHeight="1" x14ac:dyDescent="0.3">
      <c r="A1142" s="1258" t="s">
        <v>272</v>
      </c>
      <c r="B1142" s="453">
        <f>B1116/2*(EXP(D1089/(10*IF(B1084="div.1",B1098,B1101)))-1)</f>
        <v>0</v>
      </c>
      <c r="C1142" s="460" t="s">
        <v>93</v>
      </c>
      <c r="D1142" s="453">
        <f>D1116/2*(EXP(D1089/(10*IF(B1084="div.1",B1098,B1101)))-1)</f>
        <v>0</v>
      </c>
      <c r="E1142" s="460" t="s">
        <v>93</v>
      </c>
      <c r="F1142" s="453" t="e">
        <f>F1116/2*(EXP(D1089/(10*IF(B1084="div.1",F1098,F1101)))-1)</f>
        <v>#N/A</v>
      </c>
      <c r="G1142" s="460" t="s">
        <v>93</v>
      </c>
      <c r="H1142" s="460"/>
      <c r="I1142" s="1259"/>
    </row>
    <row r="1143" spans="1:9" ht="14.55" customHeight="1" x14ac:dyDescent="0.3">
      <c r="A1143" s="1258" t="s">
        <v>273</v>
      </c>
      <c r="B1143" s="453">
        <f>B1128/2*(EXP(D1089/(10*IF(B1084="div.1",B1098,B1101)))-1)</f>
        <v>0</v>
      </c>
      <c r="C1143" s="460" t="s">
        <v>93</v>
      </c>
      <c r="D1143" s="453">
        <f>D1128/2*(EXP(D1089/(10*IF(B1084="div.1",B1098,B1101)))-1)</f>
        <v>0</v>
      </c>
      <c r="E1143" s="460" t="s">
        <v>93</v>
      </c>
      <c r="F1143" s="453" t="e">
        <f>F1128/2*(EXP(D1089/(10*IF(B1084="div.1",F1098,F1101)))-1)</f>
        <v>#N/A</v>
      </c>
      <c r="G1143" s="460" t="s">
        <v>93</v>
      </c>
      <c r="H1143" s="460"/>
      <c r="I1143" s="1259"/>
    </row>
    <row r="1144" spans="1:9" ht="14.55" customHeight="1" x14ac:dyDescent="0.3">
      <c r="A1144" s="1258" t="s">
        <v>274</v>
      </c>
      <c r="B1144" s="725"/>
      <c r="C1144" s="460" t="s">
        <v>93</v>
      </c>
      <c r="D1144" s="725"/>
      <c r="E1144" s="460" t="s">
        <v>93</v>
      </c>
      <c r="F1144" s="725"/>
      <c r="G1144" s="460" t="s">
        <v>93</v>
      </c>
      <c r="H1144" s="460"/>
      <c r="I1144" s="1259"/>
    </row>
    <row r="1145" spans="1:9" ht="14.55" customHeight="1" x14ac:dyDescent="0.3">
      <c r="A1145" s="1258" t="s">
        <v>275</v>
      </c>
      <c r="B1145" s="725"/>
      <c r="C1145" s="460" t="s">
        <v>93</v>
      </c>
      <c r="D1145" s="725"/>
      <c r="E1145" s="460" t="s">
        <v>93</v>
      </c>
      <c r="F1145" s="725"/>
      <c r="G1145" s="460" t="s">
        <v>93</v>
      </c>
      <c r="H1145" s="460"/>
      <c r="I1145" s="1259"/>
    </row>
    <row r="1146" spans="1:9" ht="14.55" customHeight="1" x14ac:dyDescent="0.3">
      <c r="A1146" s="1258" t="s">
        <v>276</v>
      </c>
      <c r="B1146" s="725"/>
      <c r="C1146" s="460" t="s">
        <v>93</v>
      </c>
      <c r="D1146" s="725"/>
      <c r="E1146" s="460" t="s">
        <v>93</v>
      </c>
      <c r="F1146" s="725"/>
      <c r="G1146" s="460" t="s">
        <v>93</v>
      </c>
      <c r="H1146" s="460"/>
      <c r="I1146" s="1259"/>
    </row>
    <row r="1147" spans="1:9" ht="14.55" customHeight="1" x14ac:dyDescent="0.3">
      <c r="A1147" s="1258" t="s">
        <v>277</v>
      </c>
      <c r="B1147" s="453">
        <f>IF((CEILING(B1141,1)+B1144)&lt;B1140,B1140,CEILING(B1141,1)+B1144)</f>
        <v>0</v>
      </c>
      <c r="C1147" s="460" t="s">
        <v>93</v>
      </c>
      <c r="D1147" s="453">
        <f>IF((CEILING(D1141,1)+D1144)&lt;D1140,D1140,CEILING(D1141,1)+D1144)</f>
        <v>0</v>
      </c>
      <c r="E1147" s="460" t="s">
        <v>93</v>
      </c>
      <c r="F1147" s="453" t="e">
        <f>IF((CEILING(F1141,1)+F1144)&lt;F1140,F1140,CEILING(F1141,1)+F1144)</f>
        <v>#N/A</v>
      </c>
      <c r="G1147" s="460" t="s">
        <v>93</v>
      </c>
      <c r="H1147" s="460"/>
      <c r="I1147" s="1259"/>
    </row>
    <row r="1148" spans="1:9" ht="14.55" customHeight="1" x14ac:dyDescent="0.3">
      <c r="A1148" s="1258" t="s">
        <v>278</v>
      </c>
      <c r="B1148" s="453">
        <f>IF((CEILING(B1142,1)+B1145)&lt;=B1140,B1140,CEILING(B1142,1)+B1145)</f>
        <v>0</v>
      </c>
      <c r="C1148" s="460" t="s">
        <v>93</v>
      </c>
      <c r="D1148" s="453">
        <f>IF((CEILING(D1142,1)+D1145)&lt;=D1140,D1140,CEILING(D1142,1)+D1145)</f>
        <v>0</v>
      </c>
      <c r="E1148" s="460" t="s">
        <v>93</v>
      </c>
      <c r="F1148" s="453" t="e">
        <f>IF((CEILING(F1142,1)+F1145)&lt;=F1140,F1140,CEILING(F1142,1)+F1145)</f>
        <v>#N/A</v>
      </c>
      <c r="G1148" s="460" t="s">
        <v>93</v>
      </c>
      <c r="H1148" s="460"/>
      <c r="I1148" s="1259"/>
    </row>
    <row r="1149" spans="1:9" ht="14.55" customHeight="1" x14ac:dyDescent="0.3">
      <c r="A1149" s="1258" t="s">
        <v>279</v>
      </c>
      <c r="B1149" s="453">
        <f>IF((CEILING(B1143,1)+B1146)&lt;=B1140,B1140,CEILING(B1143,1)+B1146)</f>
        <v>0</v>
      </c>
      <c r="C1149" s="460" t="s">
        <v>93</v>
      </c>
      <c r="D1149" s="453">
        <f>IF((CEILING(D1143,1)+D1146)&lt;=D1140,D1140,CEILING(D1143,1)+D1146)</f>
        <v>0</v>
      </c>
      <c r="E1149" s="460" t="s">
        <v>93</v>
      </c>
      <c r="F1149" s="453" t="e">
        <f>IF((CEILING(F1143,1)+F1146)&lt;=F1140,F1140,CEILING(F1143,1)+F1146)</f>
        <v>#N/A</v>
      </c>
      <c r="G1149" s="460" t="s">
        <v>93</v>
      </c>
      <c r="H1149" s="460"/>
      <c r="I1149" s="1259"/>
    </row>
    <row r="1150" spans="1:9" ht="14.55" customHeight="1" x14ac:dyDescent="0.3">
      <c r="A1150" s="1258" t="s">
        <v>280</v>
      </c>
      <c r="B1150" s="453"/>
      <c r="C1150" s="460"/>
      <c r="D1150" s="453"/>
      <c r="E1150" s="460"/>
      <c r="F1150" s="726"/>
      <c r="G1150" s="460"/>
      <c r="H1150" s="460"/>
      <c r="I1150" s="1259"/>
    </row>
    <row r="1151" spans="1:9" ht="14.55" customHeight="1" x14ac:dyDescent="0.3">
      <c r="A1151" s="1258" t="s">
        <v>281</v>
      </c>
      <c r="B1151" s="453"/>
      <c r="C1151" s="460"/>
      <c r="D1151" s="453"/>
      <c r="E1151" s="460"/>
      <c r="F1151" s="460">
        <f>IFERROR(VLOOKUP(F1105,'Thickness Tab'!$1:$1048576,MATCH(F1150,'Thickness Tab'!$1:$1,0),0),0)</f>
        <v>0</v>
      </c>
      <c r="G1151" s="460" t="s">
        <v>93</v>
      </c>
      <c r="H1151" s="460"/>
      <c r="I1151" s="1259"/>
    </row>
    <row r="1152" spans="1:9" ht="14.55" customHeight="1" x14ac:dyDescent="0.3">
      <c r="A1152" s="1258"/>
      <c r="B1152" s="464"/>
      <c r="C1152" s="460"/>
      <c r="D1152" s="460"/>
      <c r="E1152" s="460"/>
      <c r="F1152" s="460"/>
      <c r="G1152" s="460"/>
      <c r="H1152" s="460"/>
      <c r="I1152" s="1259"/>
    </row>
    <row r="1153" spans="1:9" ht="14.55" customHeight="1" x14ac:dyDescent="0.3">
      <c r="A1153" s="1258" t="s">
        <v>282</v>
      </c>
      <c r="B1153" s="725">
        <v>0</v>
      </c>
      <c r="C1153" s="460" t="s">
        <v>93</v>
      </c>
      <c r="D1153" s="725">
        <v>0</v>
      </c>
      <c r="E1153" s="460" t="s">
        <v>93</v>
      </c>
      <c r="F1153" s="725">
        <v>0</v>
      </c>
      <c r="G1153" s="460" t="s">
        <v>93</v>
      </c>
      <c r="H1153" s="460"/>
      <c r="I1153" s="1259"/>
    </row>
    <row r="1154" spans="1:9" ht="14.55" customHeight="1" x14ac:dyDescent="0.3">
      <c r="A1154" s="1258" t="s">
        <v>283</v>
      </c>
      <c r="B1154" s="725">
        <v>0</v>
      </c>
      <c r="C1154" s="460" t="s">
        <v>93</v>
      </c>
      <c r="D1154" s="725">
        <v>0</v>
      </c>
      <c r="E1154" s="460" t="s">
        <v>93</v>
      </c>
      <c r="F1154" s="725">
        <v>0</v>
      </c>
      <c r="G1154" s="460" t="s">
        <v>93</v>
      </c>
      <c r="H1154" s="460"/>
      <c r="I1154" s="1259"/>
    </row>
    <row r="1155" spans="1:9" ht="14.55" customHeight="1" x14ac:dyDescent="0.3">
      <c r="A1155" s="1258" t="s">
        <v>284</v>
      </c>
      <c r="B1155" s="725">
        <v>0</v>
      </c>
      <c r="C1155" s="460" t="s">
        <v>93</v>
      </c>
      <c r="D1155" s="725">
        <v>0</v>
      </c>
      <c r="E1155" s="460" t="s">
        <v>93</v>
      </c>
      <c r="F1155" s="725">
        <v>0</v>
      </c>
      <c r="G1155" s="460" t="s">
        <v>93</v>
      </c>
      <c r="H1155" s="460"/>
      <c r="I1155" s="1259"/>
    </row>
    <row r="1156" spans="1:9" ht="14.55" customHeight="1" x14ac:dyDescent="0.3">
      <c r="A1156" s="1258"/>
      <c r="B1156" s="464"/>
      <c r="C1156" s="460"/>
      <c r="D1156" s="460"/>
      <c r="E1156" s="460"/>
      <c r="F1156" s="460"/>
      <c r="G1156" s="460"/>
      <c r="H1156" s="460"/>
      <c r="I1156" s="1259"/>
    </row>
    <row r="1157" spans="1:9" ht="14.55" customHeight="1" x14ac:dyDescent="0.3">
      <c r="A1157" s="1260" t="s">
        <v>285</v>
      </c>
      <c r="B1157" s="470" t="str">
        <f>IF(B1085="Horizontal","No Skirt","")</f>
        <v/>
      </c>
      <c r="C1157" s="460"/>
      <c r="D1157" s="471"/>
      <c r="E1157" s="471" t="s">
        <v>286</v>
      </c>
      <c r="F1157" s="460"/>
      <c r="G1157" s="469"/>
      <c r="H1157" s="469"/>
      <c r="I1157" s="1261"/>
    </row>
    <row r="1158" spans="1:9" ht="14.55" customHeight="1" x14ac:dyDescent="0.3">
      <c r="A1158" s="1258" t="s">
        <v>287</v>
      </c>
      <c r="B1158" s="722"/>
      <c r="C1158" s="456" t="s">
        <v>93</v>
      </c>
      <c r="D1158" s="472"/>
      <c r="E1158" s="472" t="s">
        <v>288</v>
      </c>
      <c r="F1158" s="725"/>
      <c r="G1158" s="460" t="s">
        <v>93</v>
      </c>
      <c r="H1158" s="469"/>
      <c r="I1158" s="1261"/>
    </row>
    <row r="1159" spans="1:9" ht="14.55" customHeight="1" x14ac:dyDescent="0.3">
      <c r="A1159" s="1258" t="s">
        <v>289</v>
      </c>
      <c r="B1159" s="722"/>
      <c r="C1159" s="456" t="s">
        <v>93</v>
      </c>
      <c r="D1159" s="472"/>
      <c r="E1159" s="472" t="s">
        <v>290</v>
      </c>
      <c r="F1159" s="725"/>
      <c r="G1159" s="460" t="s">
        <v>93</v>
      </c>
      <c r="H1159" s="469"/>
      <c r="I1159" s="1261"/>
    </row>
    <row r="1160" spans="1:9" ht="14.55" customHeight="1" x14ac:dyDescent="0.3">
      <c r="A1160" s="1258" t="s">
        <v>291</v>
      </c>
      <c r="B1160" s="722"/>
      <c r="C1160" s="456" t="s">
        <v>93</v>
      </c>
      <c r="D1160" s="472"/>
      <c r="E1160" s="472" t="s">
        <v>292</v>
      </c>
      <c r="F1160" s="725"/>
      <c r="G1160" s="460"/>
      <c r="H1160" s="469"/>
      <c r="I1160" s="1261"/>
    </row>
    <row r="1161" spans="1:9" ht="14.55" customHeight="1" x14ac:dyDescent="0.3">
      <c r="A1161" s="1258" t="s">
        <v>293</v>
      </c>
      <c r="B1161" s="722"/>
      <c r="C1161" s="456" t="s">
        <v>93</v>
      </c>
      <c r="D1161" s="472"/>
      <c r="E1161" s="472" t="s">
        <v>184</v>
      </c>
      <c r="F1161" s="457">
        <f>(PI()*F1158^2)/4*F1159*(7800/1000000000)</f>
        <v>0</v>
      </c>
      <c r="G1161" s="460" t="s">
        <v>222</v>
      </c>
      <c r="H1161" s="460"/>
      <c r="I1161" s="1259"/>
    </row>
    <row r="1162" spans="1:9" ht="14.55" customHeight="1" x14ac:dyDescent="0.3">
      <c r="A1162" s="1258" t="s">
        <v>294</v>
      </c>
      <c r="B1162" s="722"/>
      <c r="C1162" s="456" t="s">
        <v>93</v>
      </c>
      <c r="D1162" s="460"/>
      <c r="E1162" s="460"/>
      <c r="F1162" s="460"/>
      <c r="G1162" s="460"/>
      <c r="H1162" s="460"/>
      <c r="I1162" s="1259"/>
    </row>
    <row r="1163" spans="1:9" ht="14.55" customHeight="1" x14ac:dyDescent="0.3">
      <c r="A1163" s="1258"/>
      <c r="B1163" s="407"/>
      <c r="C1163" s="460"/>
      <c r="D1163" s="460"/>
      <c r="E1163" s="460"/>
      <c r="F1163" s="460"/>
      <c r="G1163" s="460"/>
      <c r="H1163" s="460"/>
      <c r="I1163" s="1259"/>
    </row>
    <row r="1164" spans="1:9" ht="14.55" customHeight="1" x14ac:dyDescent="0.3">
      <c r="A1164" s="1262" t="s">
        <v>295</v>
      </c>
      <c r="B1164" s="480"/>
      <c r="C1164" s="59"/>
      <c r="D1164" s="59"/>
      <c r="E1164" s="59"/>
      <c r="F1164" s="460"/>
      <c r="G1164" s="460"/>
      <c r="H1164" s="460"/>
      <c r="I1164" s="1259"/>
    </row>
    <row r="1165" spans="1:9" ht="14.55" customHeight="1" x14ac:dyDescent="0.3">
      <c r="A1165" s="1263" t="s">
        <v>296</v>
      </c>
      <c r="B1165" s="722"/>
      <c r="C1165" s="59" t="s">
        <v>93</v>
      </c>
      <c r="D1165" s="59"/>
      <c r="E1165" s="59"/>
      <c r="F1165" s="460"/>
      <c r="G1165" s="460"/>
      <c r="H1165" s="460"/>
      <c r="I1165" s="1259"/>
    </row>
    <row r="1166" spans="1:9" ht="14.55" customHeight="1" x14ac:dyDescent="0.3">
      <c r="A1166" s="1263" t="s">
        <v>297</v>
      </c>
      <c r="B1166" s="722"/>
      <c r="C1166" s="59" t="s">
        <v>93</v>
      </c>
      <c r="D1166" s="59"/>
      <c r="E1166" s="59"/>
      <c r="F1166" s="460"/>
      <c r="G1166" s="460"/>
      <c r="H1166" s="460"/>
      <c r="I1166" s="1259"/>
    </row>
    <row r="1167" spans="1:9" ht="14.55" customHeight="1" x14ac:dyDescent="0.3">
      <c r="A1167" s="1263" t="s">
        <v>298</v>
      </c>
      <c r="B1167" s="480">
        <f>B1108</f>
        <v>0</v>
      </c>
      <c r="C1167" s="59" t="s">
        <v>93</v>
      </c>
      <c r="D1167" s="59"/>
      <c r="E1167" s="59"/>
      <c r="F1167" s="460"/>
      <c r="G1167" s="460"/>
      <c r="H1167" s="460"/>
      <c r="I1167" s="1259"/>
    </row>
    <row r="1168" spans="1:9" ht="14.55" customHeight="1" x14ac:dyDescent="0.3">
      <c r="A1168" s="1263" t="s">
        <v>299</v>
      </c>
      <c r="B1168" s="727"/>
      <c r="C1168" s="59"/>
      <c r="D1168" s="59"/>
      <c r="E1168" s="59"/>
      <c r="F1168" s="460"/>
      <c r="G1168" s="460"/>
      <c r="H1168" s="460"/>
      <c r="I1168" s="1259"/>
    </row>
    <row r="1169" spans="1:9" ht="14.55" customHeight="1" x14ac:dyDescent="0.3">
      <c r="A1169" s="1263" t="s">
        <v>300</v>
      </c>
      <c r="B1169" s="722"/>
      <c r="C1169" s="59" t="s">
        <v>301</v>
      </c>
      <c r="D1169" s="59"/>
      <c r="E1169" s="59"/>
      <c r="F1169" s="460"/>
      <c r="G1169" s="460"/>
      <c r="H1169" s="460"/>
      <c r="I1169" s="1259"/>
    </row>
    <row r="1170" spans="1:9" ht="14.55" customHeight="1" x14ac:dyDescent="0.3">
      <c r="A1170" s="1263" t="s">
        <v>302</v>
      </c>
      <c r="B1170" s="480">
        <f>IF(B1168="Straight",B1167,B1167*2)</f>
        <v>0</v>
      </c>
      <c r="C1170" s="59" t="s">
        <v>93</v>
      </c>
      <c r="D1170" s="480"/>
      <c r="E1170" s="59"/>
      <c r="F1170" s="460"/>
      <c r="G1170" s="460"/>
      <c r="H1170" s="460"/>
      <c r="I1170" s="1259"/>
    </row>
    <row r="1171" spans="1:9" ht="14.55" customHeight="1" x14ac:dyDescent="0.3">
      <c r="A1171" s="1263" t="s">
        <v>303</v>
      </c>
      <c r="B1171" s="480">
        <f>B1165*PI()*B1170/1000000*B1169</f>
        <v>0</v>
      </c>
      <c r="C1171" s="59" t="s">
        <v>228</v>
      </c>
      <c r="D1171" s="59"/>
      <c r="E1171" s="59"/>
      <c r="F1171" s="460"/>
      <c r="G1171" s="460"/>
      <c r="H1171" s="460"/>
      <c r="I1171" s="1259"/>
    </row>
    <row r="1172" spans="1:9" ht="14.55" customHeight="1" x14ac:dyDescent="0.3">
      <c r="A1172" s="1263" t="s">
        <v>304</v>
      </c>
      <c r="B1172" s="480">
        <v>7.86</v>
      </c>
      <c r="C1172" s="59" t="s">
        <v>305</v>
      </c>
      <c r="D1172" s="59"/>
      <c r="E1172" s="59"/>
      <c r="F1172" s="460"/>
      <c r="G1172" s="460"/>
      <c r="H1172" s="460"/>
      <c r="I1172" s="1259"/>
    </row>
    <row r="1173" spans="1:9" ht="14.55" customHeight="1" x14ac:dyDescent="0.3">
      <c r="A1173" s="1263" t="s">
        <v>306</v>
      </c>
      <c r="B1173" s="480">
        <f>PI()*B1166*(B1165-B1166)*B1172/1000</f>
        <v>0</v>
      </c>
      <c r="C1173" s="59" t="s">
        <v>307</v>
      </c>
      <c r="D1173" s="59"/>
      <c r="E1173" s="59"/>
      <c r="F1173" s="460"/>
      <c r="G1173" s="460"/>
      <c r="H1173" s="460"/>
      <c r="I1173" s="1259"/>
    </row>
    <row r="1174" spans="1:9" ht="14.55" customHeight="1" x14ac:dyDescent="0.3">
      <c r="A1174" s="1263" t="s">
        <v>308</v>
      </c>
      <c r="B1174" s="480">
        <f>B1173*B1170*B1169/1000</f>
        <v>0</v>
      </c>
      <c r="C1174" s="59" t="s">
        <v>222</v>
      </c>
      <c r="D1174" s="59"/>
      <c r="E1174" s="59"/>
      <c r="F1174" s="460"/>
      <c r="G1174" s="460"/>
      <c r="H1174" s="460"/>
      <c r="I1174" s="1259"/>
    </row>
    <row r="1175" spans="1:9" ht="14.55" customHeight="1" x14ac:dyDescent="0.3">
      <c r="A1175" s="1263"/>
      <c r="B1175" s="480"/>
      <c r="C1175" s="59"/>
      <c r="D1175" s="59"/>
      <c r="E1175" s="59"/>
      <c r="F1175" s="460"/>
      <c r="G1175" s="460"/>
      <c r="H1175" s="460"/>
      <c r="I1175" s="1259"/>
    </row>
    <row r="1176" spans="1:9" ht="14.55" customHeight="1" x14ac:dyDescent="0.3">
      <c r="A1176" s="1262" t="s">
        <v>309</v>
      </c>
      <c r="B1176" s="480"/>
      <c r="C1176" s="59"/>
      <c r="D1176" s="59"/>
      <c r="E1176" s="59"/>
      <c r="F1176" s="460"/>
      <c r="G1176" s="460"/>
      <c r="H1176" s="460"/>
      <c r="I1176" s="1259"/>
    </row>
    <row r="1177" spans="1:9" ht="14.55" customHeight="1" x14ac:dyDescent="0.3">
      <c r="A1177" s="1263" t="s">
        <v>310</v>
      </c>
      <c r="B1177" s="480">
        <f>B1106</f>
        <v>200</v>
      </c>
      <c r="C1177" s="59" t="s">
        <v>93</v>
      </c>
      <c r="D1177" s="59"/>
      <c r="E1177" s="59"/>
      <c r="F1177" s="460"/>
      <c r="G1177" s="460"/>
      <c r="H1177" s="460"/>
      <c r="I1177" s="1259"/>
    </row>
    <row r="1178" spans="1:9" ht="14.55" customHeight="1" x14ac:dyDescent="0.3">
      <c r="A1178" s="1263" t="s">
        <v>297</v>
      </c>
      <c r="B1178" s="480">
        <v>15</v>
      </c>
      <c r="C1178" s="59" t="s">
        <v>93</v>
      </c>
      <c r="D1178" s="59"/>
      <c r="E1178" s="59"/>
      <c r="F1178" s="460"/>
      <c r="G1178" s="460"/>
      <c r="H1178" s="460"/>
      <c r="I1178" s="1259"/>
    </row>
    <row r="1179" spans="1:9" ht="14.55" customHeight="1" x14ac:dyDescent="0.3">
      <c r="A1179" s="1263" t="s">
        <v>311</v>
      </c>
      <c r="B1179" s="480">
        <f>B1177^2*PI()/4/1000000</f>
        <v>3.1415926535897934E-2</v>
      </c>
      <c r="C1179" s="59" t="s">
        <v>228</v>
      </c>
      <c r="D1179" s="59"/>
      <c r="E1179" s="59"/>
      <c r="F1179" s="460"/>
      <c r="G1179" s="460"/>
      <c r="H1179" s="460"/>
      <c r="I1179" s="1259"/>
    </row>
    <row r="1180" spans="1:9" ht="14.55" customHeight="1" x14ac:dyDescent="0.3">
      <c r="A1180" s="1263" t="s">
        <v>312</v>
      </c>
      <c r="B1180" s="480">
        <f>B1179*B1178/1000*B1172*2/1000</f>
        <v>7.4078754771647332E-6</v>
      </c>
      <c r="C1180" s="59" t="s">
        <v>222</v>
      </c>
      <c r="D1180" s="59"/>
      <c r="E1180" s="59"/>
      <c r="F1180" s="460"/>
      <c r="G1180" s="460"/>
      <c r="H1180" s="460"/>
      <c r="I1180" s="1259"/>
    </row>
    <row r="1181" spans="1:9" ht="14.55" customHeight="1" x14ac:dyDescent="0.3">
      <c r="A1181" s="1263"/>
      <c r="B1181" s="480"/>
      <c r="C1181" s="59"/>
      <c r="D1181" s="59"/>
      <c r="E1181" s="59"/>
      <c r="F1181" s="460"/>
      <c r="G1181" s="460"/>
      <c r="H1181" s="460"/>
      <c r="I1181" s="1259"/>
    </row>
    <row r="1182" spans="1:9" ht="14.55" customHeight="1" x14ac:dyDescent="0.3">
      <c r="A1182" s="1263" t="s">
        <v>313</v>
      </c>
      <c r="B1182" s="480">
        <f>B1174+B1180*2</f>
        <v>1.4815750954329466E-5</v>
      </c>
      <c r="C1182" s="59" t="s">
        <v>222</v>
      </c>
      <c r="D1182" s="59"/>
      <c r="E1182" s="59"/>
      <c r="F1182" s="460"/>
      <c r="G1182" s="460"/>
      <c r="H1182" s="460"/>
      <c r="I1182" s="1259"/>
    </row>
    <row r="1183" spans="1:9" ht="14.55" customHeight="1" x14ac:dyDescent="0.3">
      <c r="A1183" s="1263"/>
      <c r="B1183" s="480"/>
      <c r="C1183" s="59"/>
      <c r="D1183" s="59"/>
      <c r="E1183" s="59"/>
      <c r="F1183" s="460"/>
      <c r="G1183" s="460"/>
      <c r="H1183" s="460"/>
      <c r="I1183" s="1259"/>
    </row>
    <row r="1184" spans="1:9" ht="14.55" customHeight="1" x14ac:dyDescent="0.3">
      <c r="A1184" s="1260" t="s">
        <v>314</v>
      </c>
      <c r="B1184" s="460"/>
      <c r="C1184" s="460"/>
      <c r="D1184" s="463" t="s">
        <v>315</v>
      </c>
      <c r="E1184" s="460"/>
      <c r="F1184" s="460"/>
      <c r="G1184" s="471" t="s">
        <v>316</v>
      </c>
      <c r="H1184" s="453"/>
      <c r="I1184" s="1259"/>
    </row>
    <row r="1185" spans="1:9" ht="14.55" customHeight="1" x14ac:dyDescent="0.3">
      <c r="A1185" s="1258" t="s">
        <v>189</v>
      </c>
      <c r="B1185" s="468">
        <f>SUM(B1109,D1109,F1109)</f>
        <v>0</v>
      </c>
      <c r="C1185" s="460" t="s">
        <v>222</v>
      </c>
      <c r="D1185" s="472" t="s">
        <v>189</v>
      </c>
      <c r="E1185" s="468">
        <f>SUM(B1111,D1111,F1111)</f>
        <v>0</v>
      </c>
      <c r="F1185" s="460" t="s">
        <v>228</v>
      </c>
      <c r="G1185" s="472" t="s">
        <v>189</v>
      </c>
      <c r="H1185" s="453">
        <f>SUM(B1113,D1113,F1113)</f>
        <v>0</v>
      </c>
      <c r="I1185" s="1259" t="s">
        <v>228</v>
      </c>
    </row>
    <row r="1186" spans="1:9" ht="14.55" customHeight="1" x14ac:dyDescent="0.3">
      <c r="A1186" s="1258" t="s">
        <v>317</v>
      </c>
      <c r="B1186" s="468">
        <f>SUM(B1119*B1121,D1119*D1121,F1119*F1121)</f>
        <v>0</v>
      </c>
      <c r="C1186" s="460" t="s">
        <v>222</v>
      </c>
      <c r="D1186" s="472" t="s">
        <v>317</v>
      </c>
      <c r="E1186" s="468">
        <f>SUM(B1119*B1123,D1119*D1123,F1119*F1123)</f>
        <v>0</v>
      </c>
      <c r="F1186" s="460" t="s">
        <v>228</v>
      </c>
      <c r="G1186" s="472" t="s">
        <v>317</v>
      </c>
      <c r="H1186" s="453">
        <f>SUM(B1119*B1125,D1119*D1125,F1119*F1125)</f>
        <v>0</v>
      </c>
      <c r="I1186" s="1259" t="s">
        <v>228</v>
      </c>
    </row>
    <row r="1187" spans="1:9" ht="14.55" customHeight="1" x14ac:dyDescent="0.3">
      <c r="A1187" s="1258" t="s">
        <v>318</v>
      </c>
      <c r="B1187" s="468">
        <f>SUM(B1133,D1133,F1133)</f>
        <v>0</v>
      </c>
      <c r="C1187" s="460" t="s">
        <v>222</v>
      </c>
      <c r="D1187" s="472" t="s">
        <v>318</v>
      </c>
      <c r="E1187" s="468">
        <f>SUM(B1135,D1135,F1135)</f>
        <v>0</v>
      </c>
      <c r="F1187" s="460" t="s">
        <v>228</v>
      </c>
      <c r="G1187" s="472" t="s">
        <v>318</v>
      </c>
      <c r="H1187" s="453">
        <f>SUM(B1138,D1138,F1138)</f>
        <v>0</v>
      </c>
      <c r="I1187" s="1259" t="s">
        <v>228</v>
      </c>
    </row>
    <row r="1188" spans="1:9" ht="14.55" customHeight="1" x14ac:dyDescent="0.3">
      <c r="A1188" s="1258" t="s">
        <v>319</v>
      </c>
      <c r="B1188" s="468">
        <f>SUMPRODUCT(F1205:F1216,H1205:H1216)</f>
        <v>0</v>
      </c>
      <c r="C1188" s="460" t="s">
        <v>222</v>
      </c>
      <c r="D1188" s="472" t="s">
        <v>319</v>
      </c>
      <c r="E1188" s="468">
        <f>SUMPRODUCT(F1205:F1216,I1205:I1216)</f>
        <v>0</v>
      </c>
      <c r="F1188" s="460" t="s">
        <v>228</v>
      </c>
      <c r="G1188" s="460"/>
      <c r="H1188" s="453"/>
      <c r="I1188" s="1259"/>
    </row>
    <row r="1189" spans="1:9" ht="14.55" customHeight="1" x14ac:dyDescent="0.3">
      <c r="A1189" s="1258" t="s">
        <v>320</v>
      </c>
      <c r="B1189" s="468">
        <f>IF(B1085="Horizontal",0,(PI()*B1159*(((B1107/2)^2)-(((B1107-2*B1158)/2)^2))*7860)/1000000000)</f>
        <v>0</v>
      </c>
      <c r="C1189" s="460" t="s">
        <v>222</v>
      </c>
      <c r="D1189" s="472" t="s">
        <v>320</v>
      </c>
      <c r="E1189" s="468">
        <f>IF(B1085="Horizontal",0,((B1107*B1159*PI())+((B1107-2*B1158)*B1159*PI()))/1000000)</f>
        <v>0</v>
      </c>
      <c r="F1189" s="460" t="s">
        <v>228</v>
      </c>
      <c r="G1189" s="471" t="s">
        <v>321</v>
      </c>
      <c r="H1189" s="453"/>
      <c r="I1189" s="1259"/>
    </row>
    <row r="1190" spans="1:9" ht="14.55" customHeight="1" x14ac:dyDescent="0.3">
      <c r="A1190" s="1258" t="s">
        <v>322</v>
      </c>
      <c r="B1190" s="468">
        <f>IF(B1085="Horizontal",0,(PI()*B1162*(((B1161/2)^2)-((B1160/2)^2))*7860)/1000000000)</f>
        <v>0</v>
      </c>
      <c r="C1190" s="460" t="s">
        <v>222</v>
      </c>
      <c r="D1190" s="472" t="s">
        <v>322</v>
      </c>
      <c r="E1190" s="468">
        <f>IF(B1085="Horizontal",0,((B1161*3.14*B1162)+(B1160*3.14*B1162)+(((((B1161/2)^2)*3.14)-(((B1160/2)^2)*3.14))*2))/1000000)</f>
        <v>0</v>
      </c>
      <c r="F1190" s="460" t="s">
        <v>228</v>
      </c>
      <c r="G1190" s="472" t="s">
        <v>189</v>
      </c>
      <c r="H1190" s="453">
        <f>SUM(B1110,D1110,F1110)</f>
        <v>0</v>
      </c>
      <c r="I1190" s="1259" t="s">
        <v>225</v>
      </c>
    </row>
    <row r="1191" spans="1:9" ht="14.55" customHeight="1" x14ac:dyDescent="0.3">
      <c r="A1191" s="1258" t="s">
        <v>323</v>
      </c>
      <c r="B1191" s="468">
        <f>IF(B1085="Horizontal",VLOOKUP(B1107,List!$AR:$AS,2,1)*2,0)</f>
        <v>0</v>
      </c>
      <c r="C1191" s="460" t="s">
        <v>222</v>
      </c>
      <c r="D1191" s="472" t="s">
        <v>323</v>
      </c>
      <c r="E1191" s="725"/>
      <c r="F1191" s="460" t="s">
        <v>228</v>
      </c>
      <c r="G1191" s="472" t="s">
        <v>317</v>
      </c>
      <c r="H1191" s="453">
        <f>SUM(B1119*B1122+D1119*D1122+F1119*F1122)</f>
        <v>0</v>
      </c>
      <c r="I1191" s="1259" t="s">
        <v>225</v>
      </c>
    </row>
    <row r="1192" spans="1:9" ht="14.55" customHeight="1" x14ac:dyDescent="0.3">
      <c r="A1192" s="1258" t="s">
        <v>324</v>
      </c>
      <c r="B1192" s="468">
        <f>F1161*F1160</f>
        <v>0</v>
      </c>
      <c r="C1192" s="460" t="s">
        <v>222</v>
      </c>
      <c r="D1192" s="460"/>
      <c r="E1192" s="460"/>
      <c r="F1192" s="460"/>
      <c r="G1192" s="472" t="s">
        <v>318</v>
      </c>
      <c r="H1192" s="453">
        <f>SUM(B1134,D1134,F1134)</f>
        <v>0</v>
      </c>
      <c r="I1192" s="1259" t="s">
        <v>225</v>
      </c>
    </row>
    <row r="1193" spans="1:9" ht="14.55" customHeight="1" x14ac:dyDescent="0.3">
      <c r="A1193" s="1258" t="s">
        <v>325</v>
      </c>
      <c r="B1193" s="468">
        <f>B1182</f>
        <v>1.4815750954329466E-5</v>
      </c>
      <c r="C1193" s="460" t="s">
        <v>222</v>
      </c>
      <c r="D1193" s="460"/>
      <c r="E1193" s="460"/>
      <c r="F1193" s="460"/>
      <c r="G1193" s="472"/>
      <c r="H1193" s="453"/>
      <c r="I1193" s="1259"/>
    </row>
    <row r="1194" spans="1:9" ht="14.55" customHeight="1" x14ac:dyDescent="0.3">
      <c r="A1194" s="1258" t="s">
        <v>326</v>
      </c>
      <c r="B1194" s="725"/>
      <c r="C1194" s="460" t="s">
        <v>222</v>
      </c>
      <c r="D1194" s="460"/>
      <c r="E1194" s="460"/>
      <c r="F1194" s="460"/>
      <c r="G1194" s="460"/>
      <c r="H1194" s="460"/>
      <c r="I1194" s="1259"/>
    </row>
    <row r="1195" spans="1:9" ht="14.55" customHeight="1" x14ac:dyDescent="0.3">
      <c r="A1195" s="1264"/>
      <c r="B1195" s="460"/>
      <c r="C1195" s="460"/>
      <c r="D1195" s="460"/>
      <c r="E1195" s="460"/>
      <c r="F1195" s="460"/>
      <c r="G1195" s="460"/>
      <c r="H1195" s="460"/>
      <c r="I1195" s="1259"/>
    </row>
    <row r="1196" spans="1:9" ht="14.55" customHeight="1" x14ac:dyDescent="0.3">
      <c r="A1196" s="1258" t="s">
        <v>327</v>
      </c>
      <c r="B1196" s="453">
        <f>SUM(E1185:E1191)</f>
        <v>0</v>
      </c>
      <c r="C1196" s="460" t="s">
        <v>228</v>
      </c>
      <c r="D1196" s="460"/>
      <c r="E1196" s="460"/>
      <c r="F1196" s="460"/>
      <c r="G1196" s="460"/>
      <c r="H1196" s="460"/>
      <c r="I1196" s="1259"/>
    </row>
    <row r="1197" spans="1:9" ht="14.55" customHeight="1" x14ac:dyDescent="0.3">
      <c r="A1197" s="1258" t="s">
        <v>328</v>
      </c>
      <c r="B1197" s="453" t="str">
        <f>IF(SUM(E1185:E1187)=SUM(H1185:H1187),"Not Insulated",SUM(H1185:H1187))</f>
        <v>Not Insulated</v>
      </c>
      <c r="C1197" s="460" t="str">
        <f>IF(B1196=SUM(H1185:H1187),"","m2")</f>
        <v/>
      </c>
      <c r="D1197" s="460"/>
      <c r="E1197" s="460"/>
      <c r="F1197" s="460"/>
      <c r="G1197" s="460"/>
      <c r="H1197" s="460"/>
      <c r="I1197" s="1259"/>
    </row>
    <row r="1198" spans="1:9" ht="14.55" customHeight="1" x14ac:dyDescent="0.3">
      <c r="A1198" s="1258" t="s">
        <v>329</v>
      </c>
      <c r="B1198" s="453">
        <f>SUM(H1190:H1192)</f>
        <v>0</v>
      </c>
      <c r="C1198" s="460" t="s">
        <v>225</v>
      </c>
      <c r="D1198" s="460"/>
      <c r="E1198" s="460"/>
      <c r="F1198" s="460"/>
      <c r="G1198" s="460"/>
      <c r="H1198" s="460"/>
      <c r="I1198" s="1259"/>
    </row>
    <row r="1199" spans="1:9" ht="14.55" customHeight="1" x14ac:dyDescent="0.3">
      <c r="A1199" s="1258" t="s">
        <v>330</v>
      </c>
      <c r="B1199" s="453">
        <f>SUM(B1185:B1194)</f>
        <v>1.4815750954329466E-5</v>
      </c>
      <c r="C1199" s="460" t="s">
        <v>222</v>
      </c>
      <c r="D1199" s="460"/>
      <c r="E1199" s="460"/>
      <c r="F1199" s="460"/>
      <c r="G1199" s="460"/>
      <c r="H1199" s="460"/>
      <c r="I1199" s="1259"/>
    </row>
    <row r="1200" spans="1:9" ht="14.55" customHeight="1" x14ac:dyDescent="0.3">
      <c r="A1200" s="1258" t="s">
        <v>331</v>
      </c>
      <c r="B1200" s="725">
        <v>2200</v>
      </c>
      <c r="C1200" s="460" t="s">
        <v>222</v>
      </c>
      <c r="D1200" s="460"/>
      <c r="E1200" s="460"/>
      <c r="F1200" s="460"/>
      <c r="G1200" s="460"/>
      <c r="H1200" s="460"/>
      <c r="I1200" s="1259"/>
    </row>
    <row r="1201" spans="1:9" ht="15" customHeight="1" thickBot="1" x14ac:dyDescent="0.35">
      <c r="A1201" s="1258"/>
      <c r="B1201" s="473"/>
      <c r="C1201" s="459"/>
      <c r="D1201" s="460"/>
      <c r="E1201" s="460"/>
      <c r="F1201" s="460"/>
      <c r="G1201" s="460"/>
      <c r="H1201" s="460"/>
      <c r="I1201" s="1259"/>
    </row>
    <row r="1202" spans="1:9" ht="15" customHeight="1" thickBot="1" x14ac:dyDescent="0.35">
      <c r="A1202" s="474"/>
      <c r="B1202" s="1718" t="s">
        <v>332</v>
      </c>
      <c r="C1202" s="1718"/>
      <c r="D1202" s="1718"/>
      <c r="E1202" s="1718"/>
      <c r="F1202" s="1718"/>
      <c r="G1202" s="475"/>
      <c r="H1202" s="475"/>
      <c r="I1202" s="476"/>
    </row>
    <row r="1203" spans="1:9" ht="14.55" customHeight="1" x14ac:dyDescent="0.3">
      <c r="A1203" s="1264"/>
      <c r="B1203" s="1719" t="s">
        <v>333</v>
      </c>
      <c r="C1203" s="1381" t="s">
        <v>59</v>
      </c>
      <c r="D1203" s="1719" t="s">
        <v>114</v>
      </c>
      <c r="E1203" s="1719" t="s">
        <v>334</v>
      </c>
      <c r="F1203" s="1719" t="s">
        <v>292</v>
      </c>
      <c r="G1203" s="1719" t="s">
        <v>335</v>
      </c>
      <c r="H1203" s="1381" t="s">
        <v>184</v>
      </c>
      <c r="I1203" s="1346" t="s">
        <v>336</v>
      </c>
    </row>
    <row r="1204" spans="1:9" ht="14.55" customHeight="1" x14ac:dyDescent="0.3">
      <c r="A1204" s="1264"/>
      <c r="B1204" s="1720"/>
      <c r="C1204" s="1442" t="s">
        <v>214</v>
      </c>
      <c r="D1204" s="1720"/>
      <c r="E1204" s="1720"/>
      <c r="F1204" s="1720"/>
      <c r="G1204" s="1720"/>
      <c r="H1204" s="1442" t="s">
        <v>222</v>
      </c>
      <c r="I1204" s="1443" t="s">
        <v>228</v>
      </c>
    </row>
    <row r="1205" spans="1:9" ht="14.55" customHeight="1" x14ac:dyDescent="0.3">
      <c r="A1205" s="1264"/>
      <c r="B1205" s="1382" t="s">
        <v>337</v>
      </c>
      <c r="C1205" s="728"/>
      <c r="D1205" s="729"/>
      <c r="E1205" s="730"/>
      <c r="F1205" s="730"/>
      <c r="G1205" s="730"/>
      <c r="H1205" s="1465" t="str">
        <f>IFERROR(VLOOKUP($C1205&amp;"F"&amp;$D1205,'Flanges Chart'!$1:$1048576,MATCH($E1205&amp;"."&amp;H$123,'Flanges Chart'!$1:$1,0),0),"")</f>
        <v/>
      </c>
      <c r="I1205" s="1466" t="str">
        <f>IFERROR(VLOOKUP($C1205&amp;"F"&amp;$D1205,'Flanges Chart'!$1:$1048576,MATCH($E1205&amp;"."&amp;I$123,'Flanges Chart'!$1:$1,0),0),"")</f>
        <v/>
      </c>
    </row>
    <row r="1206" spans="1:9" ht="14.55" customHeight="1" x14ac:dyDescent="0.3">
      <c r="A1206" s="1264"/>
      <c r="B1206" s="1467" t="s">
        <v>340</v>
      </c>
      <c r="C1206" s="731"/>
      <c r="D1206" s="729"/>
      <c r="E1206" s="729"/>
      <c r="F1206" s="729"/>
      <c r="G1206" s="729"/>
      <c r="H1206" s="1465" t="str">
        <f>IFERROR(VLOOKUP($C1206&amp;"F"&amp;$D1206,'Flanges Chart'!$1:$1048576,MATCH($E1206&amp;"."&amp;H$123,'Flanges Chart'!$1:$1,0),0),"")</f>
        <v/>
      </c>
      <c r="I1206" s="1466" t="str">
        <f>IFERROR(VLOOKUP($C1206&amp;"F"&amp;$D1206,'Flanges Chart'!$1:$1048576,MATCH($E1206&amp;"."&amp;I$123,'Flanges Chart'!$1:$1,0),0),"")</f>
        <v/>
      </c>
    </row>
    <row r="1207" spans="1:9" ht="14.55" customHeight="1" x14ac:dyDescent="0.3">
      <c r="A1207" s="1264"/>
      <c r="B1207" s="1467" t="s">
        <v>342</v>
      </c>
      <c r="C1207" s="731"/>
      <c r="D1207" s="729"/>
      <c r="E1207" s="729"/>
      <c r="F1207" s="729"/>
      <c r="G1207" s="729"/>
      <c r="H1207" s="1465" t="str">
        <f>IFERROR(VLOOKUP($C1207&amp;"F"&amp;$D1207,'Flanges Chart'!$1:$1048576,MATCH($E1207&amp;"."&amp;H$123,'Flanges Chart'!$1:$1,0),0),"")</f>
        <v/>
      </c>
      <c r="I1207" s="1466" t="str">
        <f>IFERROR(VLOOKUP($C1207&amp;"F"&amp;$D1207,'Flanges Chart'!$1:$1048576,MATCH($E1207&amp;"."&amp;I$123,'Flanges Chart'!$1:$1,0),0),"")</f>
        <v/>
      </c>
    </row>
    <row r="1208" spans="1:9" ht="14.55" customHeight="1" x14ac:dyDescent="0.3">
      <c r="A1208" s="1264"/>
      <c r="B1208" s="1467" t="s">
        <v>344</v>
      </c>
      <c r="C1208" s="731"/>
      <c r="D1208" s="729"/>
      <c r="E1208" s="729"/>
      <c r="F1208" s="729"/>
      <c r="G1208" s="729"/>
      <c r="H1208" s="1465" t="str">
        <f>IFERROR(VLOOKUP($C1208&amp;"F"&amp;$D1208,'Flanges Chart'!$1:$1048576,MATCH($E1208&amp;"."&amp;H$123,'Flanges Chart'!$1:$1,0),0),"")</f>
        <v/>
      </c>
      <c r="I1208" s="1466" t="str">
        <f>IFERROR(VLOOKUP($C1208&amp;"F"&amp;$D1208,'Flanges Chart'!$1:$1048576,MATCH($E1208&amp;"."&amp;I$123,'Flanges Chart'!$1:$1,0),0),"")</f>
        <v/>
      </c>
    </row>
    <row r="1209" spans="1:9" ht="14.55" customHeight="1" x14ac:dyDescent="0.3">
      <c r="A1209" s="1264"/>
      <c r="B1209" s="1467" t="s">
        <v>347</v>
      </c>
      <c r="C1209" s="731"/>
      <c r="D1209" s="729"/>
      <c r="E1209" s="729"/>
      <c r="F1209" s="729"/>
      <c r="G1209" s="729"/>
      <c r="H1209" s="1465" t="str">
        <f>IFERROR(VLOOKUP($C1209&amp;"F"&amp;$D1209,'Flanges Chart'!$1:$1048576,MATCH($E1209&amp;"."&amp;H$123,'Flanges Chart'!$1:$1,0),0),"")</f>
        <v/>
      </c>
      <c r="I1209" s="1466" t="str">
        <f>IFERROR(VLOOKUP($C1209&amp;"F"&amp;$D1209,'Flanges Chart'!$1:$1048576,MATCH($E1209&amp;"."&amp;I$123,'Flanges Chart'!$1:$1,0),0),"")</f>
        <v/>
      </c>
    </row>
    <row r="1210" spans="1:9" ht="14.55" customHeight="1" x14ac:dyDescent="0.3">
      <c r="A1210" s="1264"/>
      <c r="B1210" s="1467" t="s">
        <v>349</v>
      </c>
      <c r="C1210" s="731"/>
      <c r="D1210" s="729"/>
      <c r="E1210" s="729"/>
      <c r="F1210" s="729"/>
      <c r="G1210" s="729"/>
      <c r="H1210" s="1465" t="str">
        <f>IFERROR(VLOOKUP($C1210&amp;"F"&amp;$D1210,'Flanges Chart'!$1:$1048576,MATCH($E1210&amp;"."&amp;H$123,'Flanges Chart'!$1:$1,0),0),"")</f>
        <v/>
      </c>
      <c r="I1210" s="1466" t="str">
        <f>IFERROR(VLOOKUP($C1210&amp;"F"&amp;$D1210,'Flanges Chart'!$1:$1048576,MATCH($E1210&amp;"."&amp;I$123,'Flanges Chart'!$1:$1,0),0),"")</f>
        <v/>
      </c>
    </row>
    <row r="1211" spans="1:9" ht="14.55" customHeight="1" x14ac:dyDescent="0.3">
      <c r="A1211" s="1264"/>
      <c r="B1211" s="1467" t="s">
        <v>350</v>
      </c>
      <c r="C1211" s="731"/>
      <c r="D1211" s="729"/>
      <c r="E1211" s="729"/>
      <c r="F1211" s="729"/>
      <c r="G1211" s="729"/>
      <c r="H1211" s="1465" t="str">
        <f>IFERROR(VLOOKUP($C1211&amp;"F"&amp;$D1211,'Flanges Chart'!$1:$1048576,MATCH($E1211&amp;"."&amp;H$123,'Flanges Chart'!$1:$1,0),0),"")</f>
        <v/>
      </c>
      <c r="I1211" s="1466" t="str">
        <f>IFERROR(VLOOKUP($C1211&amp;"F"&amp;$D1211,'Flanges Chart'!$1:$1048576,MATCH($E1211&amp;"."&amp;I$123,'Flanges Chart'!$1:$1,0),0),"")</f>
        <v/>
      </c>
    </row>
    <row r="1212" spans="1:9" ht="14.55" customHeight="1" x14ac:dyDescent="0.3">
      <c r="A1212" s="1264"/>
      <c r="B1212" s="1467" t="s">
        <v>351</v>
      </c>
      <c r="C1212" s="731"/>
      <c r="D1212" s="729"/>
      <c r="E1212" s="729"/>
      <c r="F1212" s="729"/>
      <c r="G1212" s="729"/>
      <c r="H1212" s="1465" t="str">
        <f>IFERROR(VLOOKUP($C1212&amp;"F"&amp;$D1212,'Flanges Chart'!$1:$1048576,MATCH($E1212&amp;"."&amp;H$123,'Flanges Chart'!$1:$1,0),0),"")</f>
        <v/>
      </c>
      <c r="I1212" s="1466" t="str">
        <f>IFERROR(VLOOKUP($C1212&amp;"F"&amp;$D1212,'Flanges Chart'!$1:$1048576,MATCH($E1212&amp;"."&amp;I$123,'Flanges Chart'!$1:$1,0),0),"")</f>
        <v/>
      </c>
    </row>
    <row r="1213" spans="1:9" ht="14.55" customHeight="1" x14ac:dyDescent="0.3">
      <c r="A1213" s="1264"/>
      <c r="B1213" s="1467" t="s">
        <v>352</v>
      </c>
      <c r="C1213" s="731"/>
      <c r="D1213" s="729"/>
      <c r="E1213" s="729"/>
      <c r="F1213" s="729"/>
      <c r="G1213" s="729"/>
      <c r="H1213" s="1465" t="str">
        <f>IFERROR(VLOOKUP($C1213&amp;"F"&amp;$D1213,'Flanges Chart'!$1:$1048576,MATCH($E1213&amp;"."&amp;H$123,'Flanges Chart'!$1:$1,0),0),"")</f>
        <v/>
      </c>
      <c r="I1213" s="1466" t="str">
        <f>IFERROR(VLOOKUP($C1213&amp;"F"&amp;$D1213,'Flanges Chart'!$1:$1048576,MATCH($E1213&amp;"."&amp;I$123,'Flanges Chart'!$1:$1,0),0),"")</f>
        <v/>
      </c>
    </row>
    <row r="1214" spans="1:9" ht="14.55" customHeight="1" x14ac:dyDescent="0.3">
      <c r="A1214" s="1264"/>
      <c r="B1214" s="1467" t="s">
        <v>353</v>
      </c>
      <c r="C1214" s="731"/>
      <c r="D1214" s="729"/>
      <c r="E1214" s="729"/>
      <c r="F1214" s="729"/>
      <c r="G1214" s="729"/>
      <c r="H1214" s="1465" t="str">
        <f>IFERROR(VLOOKUP($C1214&amp;"F"&amp;$D1214,'Flanges Chart'!$1:$1048576,MATCH($E1214&amp;"."&amp;H$123,'Flanges Chart'!$1:$1,0),0),"")</f>
        <v/>
      </c>
      <c r="I1214" s="1466" t="str">
        <f>IFERROR(VLOOKUP($C1214&amp;"F"&amp;$D1214,'Flanges Chart'!$1:$1048576,MATCH($E1214&amp;"."&amp;I$123,'Flanges Chart'!$1:$1,0),0),"")</f>
        <v/>
      </c>
    </row>
    <row r="1215" spans="1:9" ht="14.55" customHeight="1" x14ac:dyDescent="0.3">
      <c r="A1215" s="1264"/>
      <c r="B1215" s="1467" t="s">
        <v>354</v>
      </c>
      <c r="C1215" s="731"/>
      <c r="D1215" s="729"/>
      <c r="E1215" s="729"/>
      <c r="F1215" s="729"/>
      <c r="G1215" s="729"/>
      <c r="H1215" s="1465" t="str">
        <f>IFERROR(VLOOKUP($C1215&amp;"F"&amp;$D1215,'Flanges Chart'!$1:$1048576,MATCH($E1215&amp;"."&amp;H$123,'Flanges Chart'!$1:$1,0),0),"")</f>
        <v/>
      </c>
      <c r="I1215" s="1466" t="str">
        <f>IFERROR(VLOOKUP($C1215&amp;"F"&amp;$D1215,'Flanges Chart'!$1:$1048576,MATCH($E1215&amp;"."&amp;I$123,'Flanges Chart'!$1:$1,0),0),"")</f>
        <v/>
      </c>
    </row>
    <row r="1216" spans="1:9" ht="15" customHeight="1" thickBot="1" x14ac:dyDescent="0.35">
      <c r="A1216" s="1264"/>
      <c r="B1216" s="1468" t="s">
        <v>355</v>
      </c>
      <c r="C1216" s="732"/>
      <c r="D1216" s="733"/>
      <c r="E1216" s="733"/>
      <c r="F1216" s="733"/>
      <c r="G1216" s="733"/>
      <c r="H1216" s="1469" t="s">
        <v>356</v>
      </c>
      <c r="I1216" s="1470" t="str">
        <f>IFERROR(VLOOKUP($C1216&amp;"F"&amp;$D1216,'Flanges Chart'!$1:$1048576,MATCH($E1216&amp;"."&amp;I$123,'Flanges Chart'!$1:$1,0),0),"")</f>
        <v/>
      </c>
    </row>
    <row r="1217" spans="1:13" s="496" customFormat="1" ht="18.600000000000001" thickBot="1" x14ac:dyDescent="0.35">
      <c r="A1217" s="493" t="str">
        <f>"POS."&amp;K1217&amp;" "&amp;VLOOKUP(K1217,'Equip&amp;Mach List'!$1:$1048576,2,0)&amp;" "&amp;VLOOKUP(K1217,'Equip&amp;Mach List'!$1:$1048576,3,0)</f>
        <v xml:space="preserve">POS.10  </v>
      </c>
      <c r="B1217" s="511"/>
      <c r="C1217" s="494"/>
      <c r="D1217" s="495"/>
      <c r="E1217" s="495"/>
      <c r="F1217" s="497"/>
      <c r="G1217" s="495"/>
      <c r="H1217" s="495"/>
      <c r="I1217" s="1255" t="str">
        <f>IFERROR("Weight Calc./Selected = "&amp;ROUND(B1334,1)&amp;"/"&amp;B1335&amp;" kg - Øi ="&amp;IF(B1241=0,F1241,B1241)&amp;" mm"&amp;"T/T ="&amp;IF(B1242=0,F1242,B1242)&amp;" mm - Material "&amp;B1228&amp;"        ","")</f>
        <v/>
      </c>
      <c r="K1217" s="496">
        <v>10</v>
      </c>
      <c r="M1217" s="1254"/>
    </row>
    <row r="1218" spans="1:13" ht="14.55" customHeight="1" x14ac:dyDescent="0.3">
      <c r="A1218" s="1256"/>
      <c r="B1218" s="451"/>
      <c r="C1218" s="451"/>
      <c r="D1218" s="451"/>
      <c r="E1218" s="451"/>
      <c r="F1218" s="451"/>
      <c r="G1218" s="451"/>
      <c r="H1218" s="451"/>
      <c r="I1218" s="1257"/>
      <c r="K1218" s="477" t="s">
        <v>166</v>
      </c>
      <c r="L1218" s="477" t="str">
        <f>K1217&amp;"."&amp;K1218</f>
        <v>10.Design Code</v>
      </c>
      <c r="M1218" s="1252" t="str">
        <f>A1219&amp;" "&amp;B1219</f>
        <v xml:space="preserve">ASME VIII </v>
      </c>
    </row>
    <row r="1219" spans="1:13" ht="14.55" customHeight="1" x14ac:dyDescent="0.3">
      <c r="A1219" s="1258" t="s">
        <v>167</v>
      </c>
      <c r="B1219" s="718"/>
      <c r="C1219" s="459"/>
      <c r="D1219" s="460"/>
      <c r="E1219" s="460"/>
      <c r="F1219" s="460"/>
      <c r="G1219" s="460"/>
      <c r="H1219" s="460"/>
      <c r="I1219" s="1259"/>
      <c r="K1219" s="477" t="s">
        <v>169</v>
      </c>
      <c r="L1219" s="477" t="str">
        <f>K1217&amp;"."&amp;K1219</f>
        <v>10.Orientation</v>
      </c>
      <c r="M1219" s="1252">
        <f>B1220</f>
        <v>0</v>
      </c>
    </row>
    <row r="1220" spans="1:13" ht="14.55" customHeight="1" x14ac:dyDescent="0.3">
      <c r="A1220" s="1258" t="s">
        <v>170</v>
      </c>
      <c r="B1220" s="718"/>
      <c r="C1220" s="459"/>
      <c r="D1220" s="460"/>
      <c r="E1220" s="460"/>
      <c r="F1220" s="461"/>
      <c r="G1220" s="460"/>
      <c r="H1220" s="460"/>
      <c r="I1220" s="1259"/>
      <c r="K1220" s="477" t="s">
        <v>172</v>
      </c>
      <c r="L1220" s="477" t="str">
        <f>K1217&amp;"."&amp;K1220</f>
        <v>10.Design Temperature</v>
      </c>
      <c r="M1220" s="1252">
        <f>D1223</f>
        <v>0</v>
      </c>
    </row>
    <row r="1221" spans="1:13" ht="14.55" customHeight="1" x14ac:dyDescent="0.3">
      <c r="A1221" s="1258"/>
      <c r="B1221" s="459"/>
      <c r="C1221" s="459"/>
      <c r="D1221" s="460"/>
      <c r="E1221" s="460"/>
      <c r="F1221" s="462"/>
      <c r="G1221" s="460"/>
      <c r="H1221" s="460"/>
      <c r="I1221" s="1259"/>
      <c r="K1221" s="477" t="s">
        <v>173</v>
      </c>
      <c r="L1221" s="477" t="str">
        <f>K1217&amp;"."&amp;K1221</f>
        <v>10.Design Pressure</v>
      </c>
      <c r="M1221" s="1252">
        <f>D1224</f>
        <v>0</v>
      </c>
    </row>
    <row r="1222" spans="1:13" ht="14.55" customHeight="1" x14ac:dyDescent="0.3">
      <c r="A1222" s="1260" t="s">
        <v>174</v>
      </c>
      <c r="B1222" s="459"/>
      <c r="C1222" s="459"/>
      <c r="D1222" s="460"/>
      <c r="E1222" s="460"/>
      <c r="F1222" s="462"/>
      <c r="G1222" s="460"/>
      <c r="H1222" s="460"/>
      <c r="I1222" s="1259"/>
      <c r="K1222" s="477" t="s">
        <v>175</v>
      </c>
      <c r="L1222" s="477" t="str">
        <f>K1217&amp;"."&amp;K1222</f>
        <v>10.Material</v>
      </c>
      <c r="M1222" s="1252">
        <f>B1228</f>
        <v>0</v>
      </c>
    </row>
    <row r="1223" spans="1:13" ht="14.55" customHeight="1" x14ac:dyDescent="0.3">
      <c r="A1223" s="1258" t="s">
        <v>176</v>
      </c>
      <c r="B1223" s="719"/>
      <c r="C1223" s="720"/>
      <c r="D1223" s="464">
        <f>IF(C1223="°C",B1223,0)+IF(C1223="°F",(B1223-32)*5/9,0)</f>
        <v>0</v>
      </c>
      <c r="E1223" s="460" t="s">
        <v>177</v>
      </c>
      <c r="F1223" s="462"/>
      <c r="G1223" s="460"/>
      <c r="H1223" s="460"/>
      <c r="I1223" s="1259"/>
      <c r="K1223" s="477" t="s">
        <v>178</v>
      </c>
      <c r="L1223" s="477" t="str">
        <f>K1217&amp;"."&amp;K1223</f>
        <v>10.Inside Diameter</v>
      </c>
      <c r="M1223" s="1252">
        <f>IF(B1241=0,F1241,B1241)</f>
        <v>0</v>
      </c>
    </row>
    <row r="1224" spans="1:13" ht="14.55" customHeight="1" x14ac:dyDescent="0.3">
      <c r="A1224" s="1258" t="s">
        <v>179</v>
      </c>
      <c r="B1224" s="721"/>
      <c r="C1224" s="720"/>
      <c r="D1224" s="452">
        <f>IF(C1224="barg",B1224,0)+IF(C1224="psig",B1224*List!$AV$4,0)+IF(C1224="MPa",B1224*List!$AV$5,0)+IF(C1224="N/mm2",B1224*List!$AV$6,0)</f>
        <v>0</v>
      </c>
      <c r="E1224" s="460" t="s">
        <v>180</v>
      </c>
      <c r="F1224" s="460"/>
      <c r="G1224" s="460"/>
      <c r="H1224" s="460"/>
      <c r="I1224" s="1259"/>
      <c r="K1224" s="477" t="s">
        <v>181</v>
      </c>
      <c r="L1224" s="477" t="str">
        <f>K1217&amp;"."&amp;K1224</f>
        <v>10.Tan / Tan</v>
      </c>
      <c r="M1224" s="1252">
        <f>IF(B1243=0,F1243,B1243)</f>
        <v>0</v>
      </c>
    </row>
    <row r="1225" spans="1:13" ht="14.55" customHeight="1" x14ac:dyDescent="0.3">
      <c r="A1225" s="1258" t="s">
        <v>182</v>
      </c>
      <c r="B1225" s="721"/>
      <c r="C1225" s="720"/>
      <c r="D1225" s="452">
        <f>IF(C1225="barg",B1225,0)+IF(C1225="psig",B1225*List!$AV$4,0)+IF(C1225="MPa",B1225*List!$AV$5,0)+IF(C1225="N/mm2",B1225*List!$AV$6,0)</f>
        <v>0</v>
      </c>
      <c r="E1225" s="460" t="s">
        <v>180</v>
      </c>
      <c r="F1225" s="460"/>
      <c r="G1225" s="465"/>
      <c r="H1225" s="460"/>
      <c r="I1225" s="1259"/>
      <c r="K1225" s="477" t="s">
        <v>183</v>
      </c>
      <c r="L1225" s="477" t="str">
        <f>K1217&amp;"."&amp;K1225</f>
        <v>10.Thickness</v>
      </c>
      <c r="M1225" s="1252" t="e">
        <f>IF(B1282=0,F1286,B1282)</f>
        <v>#N/A</v>
      </c>
    </row>
    <row r="1226" spans="1:13" ht="14.55" customHeight="1" x14ac:dyDescent="0.3">
      <c r="A1226" s="1258"/>
      <c r="B1226" s="459"/>
      <c r="C1226" s="459"/>
      <c r="D1226" s="460"/>
      <c r="E1226" s="460"/>
      <c r="F1226" s="460"/>
      <c r="G1226" s="465"/>
      <c r="H1226" s="460"/>
      <c r="I1226" s="1259"/>
      <c r="K1226" s="477" t="s">
        <v>184</v>
      </c>
      <c r="L1226" s="477" t="str">
        <f>K1217&amp;"."&amp;K1226</f>
        <v>10.Unit Weight</v>
      </c>
      <c r="M1226" s="1252">
        <f>B1335</f>
        <v>0</v>
      </c>
    </row>
    <row r="1227" spans="1:13" ht="14.55" customHeight="1" x14ac:dyDescent="0.3">
      <c r="A1227" s="1260" t="s">
        <v>185</v>
      </c>
      <c r="B1227" s="459" t="s">
        <v>186</v>
      </c>
      <c r="C1227" s="459"/>
      <c r="D1227" s="460"/>
      <c r="E1227" s="460"/>
      <c r="F1227" s="460" t="s">
        <v>187</v>
      </c>
      <c r="G1227" s="465"/>
      <c r="H1227" s="460"/>
      <c r="I1227" s="1259"/>
      <c r="K1227" s="478" t="s">
        <v>188</v>
      </c>
      <c r="L1227" s="477" t="str">
        <f>K1217&amp;"."&amp;K1227</f>
        <v>10.Unit External Surface</v>
      </c>
      <c r="M1227" s="1252" t="e">
        <f>B1331</f>
        <v>#N/A</v>
      </c>
    </row>
    <row r="1228" spans="1:13" ht="14.55" customHeight="1" x14ac:dyDescent="0.3">
      <c r="A1228" s="1258" t="s">
        <v>189</v>
      </c>
      <c r="B1228" s="1716"/>
      <c r="C1228" s="1717"/>
      <c r="D1228" s="460"/>
      <c r="E1228" s="461"/>
      <c r="F1228" s="1716"/>
      <c r="G1228" s="1717"/>
      <c r="H1228" s="460"/>
      <c r="I1228" s="1259"/>
      <c r="K1228" s="477" t="s">
        <v>191</v>
      </c>
      <c r="L1228" s="477" t="str">
        <f>K1217&amp;"."&amp;K1228</f>
        <v>10.M1 DN</v>
      </c>
      <c r="M1228" s="1252">
        <f>C1349</f>
        <v>0</v>
      </c>
    </row>
    <row r="1229" spans="1:13" ht="14.55" customHeight="1" x14ac:dyDescent="0.3">
      <c r="A1229" s="1258" t="s">
        <v>192</v>
      </c>
      <c r="B1229" s="1716"/>
      <c r="C1229" s="1717"/>
      <c r="D1229" s="460"/>
      <c r="E1229" s="461"/>
      <c r="F1229" s="1716"/>
      <c r="G1229" s="1717"/>
      <c r="H1229" s="460"/>
      <c r="I1229" s="1259"/>
      <c r="K1229" s="477" t="s">
        <v>193</v>
      </c>
      <c r="L1229" s="477" t="str">
        <f>K1217&amp;"."&amp;K1229</f>
        <v>10.M1 Rating</v>
      </c>
      <c r="M1229" s="1252">
        <f>D1349</f>
        <v>0</v>
      </c>
    </row>
    <row r="1230" spans="1:13" ht="14.55" customHeight="1" x14ac:dyDescent="0.3">
      <c r="A1230" s="1258"/>
      <c r="B1230" s="466"/>
      <c r="C1230" s="466"/>
      <c r="D1230" s="460"/>
      <c r="E1230" s="460"/>
      <c r="F1230" s="460"/>
      <c r="G1230" s="460"/>
      <c r="H1230" s="460"/>
      <c r="I1230" s="1259"/>
      <c r="K1230" s="477" t="s">
        <v>194</v>
      </c>
      <c r="L1230" s="477" t="str">
        <f>K1217&amp;"."&amp;K1230</f>
        <v>10.M1 Type</v>
      </c>
      <c r="M1230" s="1252">
        <f>E1349</f>
        <v>0</v>
      </c>
    </row>
    <row r="1231" spans="1:13" ht="14.55" customHeight="1" x14ac:dyDescent="0.3">
      <c r="A1231" s="1258" t="s">
        <v>195</v>
      </c>
      <c r="B1231" s="460"/>
      <c r="C1231" s="460"/>
      <c r="D1231" s="460"/>
      <c r="E1231" s="460"/>
      <c r="F1231" s="460"/>
      <c r="G1231" s="460"/>
      <c r="H1231" s="460"/>
      <c r="I1231" s="1259"/>
      <c r="K1231" s="477" t="s">
        <v>196</v>
      </c>
      <c r="L1231" s="477" t="str">
        <f>K1217&amp;"."&amp;K1231</f>
        <v>10.M1 Quantity</v>
      </c>
      <c r="M1231" s="1252">
        <f>F1349</f>
        <v>0</v>
      </c>
    </row>
    <row r="1232" spans="1:13" ht="14.55" customHeight="1" x14ac:dyDescent="0.3">
      <c r="A1232" s="1258" t="s">
        <v>197</v>
      </c>
      <c r="B1232" s="464" t="e">
        <f>$D1223*(VLOOKUP($B1228,'ASME II Tab 1A'!$1:$1048576,MATCH($D1223,'ASME II Tab 1A'!$6:$6,1)+1,0)-VLOOKUP($B1228,'ASME II Tab 1A'!$1:$1048576,MATCH($D1223,'ASME II Tab 1A'!$6:$6,1),0))/(INDEX('ASME II Tab 1A'!$6:$6,MATCH($D1223,'ASME II Tab 1A'!$6:$6,1)+1)-INDEX('ASME II Tab 1A'!$6:$6,MATCH($D1223,'ASME II Tab 1A'!$6:$6,1)))+VLOOKUP($B1228,'ASME II Tab 1A'!$1:$1048576,MATCH($D1223,'ASME II Tab 1A'!$6:$6,1)+1,0)-INDEX('ASME II Tab 1A'!$6:$6,MATCH($D1223,'ASME II Tab 1A'!$6:$6,1)+1)*(VLOOKUP($B1228,'ASME II Tab 1A'!$1:$1048576,MATCH($D1223,'ASME II Tab 1A'!$6:$6,1)+1,0)-VLOOKUP($B1228,'ASME II Tab 1A'!$1:$1048576,MATCH($D1223,'ASME II Tab 1A'!$6:$6,1),0))/(INDEX('ASME II Tab 1A'!$6:$6,MATCH($D1223,'ASME II Tab 1A'!$6:$6,1)+1)-INDEX('ASME II Tab 1A'!$6:$6,MATCH($D1223,'ASME II Tab 1A'!$6:$6,1)))</f>
        <v>#N/A</v>
      </c>
      <c r="C1232" s="460" t="s">
        <v>198</v>
      </c>
      <c r="D1232" s="460"/>
      <c r="E1232" s="467"/>
      <c r="F1232" s="460" t="e">
        <f>$D1223*(VLOOKUP($F1228,'ASME II Tab 1A'!$1:$1048576,MATCH($D1223,'ASME II Tab 1A'!$6:$6,1)+1,0)-VLOOKUP($F1228,'ASME II Tab 1A'!$1:$1048576,MATCH($D1223,'ASME II Tab 1A'!$6:$6,1),0))/(INDEX('ASME II Tab 1A'!$6:$6,MATCH($D1223,'ASME II Tab 1A'!$6:$6,1)+1)-INDEX('ASME II Tab 1A'!$6:$6,MATCH($D1223,'ASME II Tab 1A'!$6:$6,1)))+VLOOKUP($F1228,'ASME II Tab 1A'!$1:$1048576,MATCH($D1223,'ASME II Tab 1A'!$6:$6,1)+1,0)-INDEX('ASME II Tab 1A'!$6:$6,MATCH($D1223,'ASME II Tab 1A'!$6:$6,1)+1)*(VLOOKUP($F1228,'ASME II Tab 1A'!$1:$1048576,MATCH($D1223,'ASME II Tab 1A'!$6:$6,1)+1,0)-VLOOKUP($F1228,'ASME II Tab 1A'!$1:$1048576,MATCH($D1223,'ASME II Tab 1A'!$6:$6,1),0))/(INDEX('ASME II Tab 1A'!$6:$6,MATCH($D1223,'ASME II Tab 1A'!$6:$6,1)+1)-INDEX('ASME II Tab 1A'!$6:$6,MATCH($D1223,'ASME II Tab 1A'!$6:$6,1)))</f>
        <v>#N/A</v>
      </c>
      <c r="G1232" s="460" t="s">
        <v>198</v>
      </c>
      <c r="H1232" s="460"/>
      <c r="I1232" s="1259"/>
      <c r="K1232" s="477" t="s">
        <v>199</v>
      </c>
      <c r="L1232" s="477" t="str">
        <f>K1217&amp;"."&amp;K1232</f>
        <v>10.M2 DN</v>
      </c>
      <c r="M1232" s="1252">
        <f>C1350</f>
        <v>0</v>
      </c>
    </row>
    <row r="1233" spans="1:13" ht="14.55" customHeight="1" x14ac:dyDescent="0.3">
      <c r="A1233" s="1258" t="s">
        <v>200</v>
      </c>
      <c r="B1233" s="464" t="e">
        <f>$D1223*(VLOOKUP($B1229,'ASME II Tab 1A'!$1:$1048576,MATCH($D1223,'ASME II Tab 1A'!$6:$6,1)+1,0)-VLOOKUP($B1229,'ASME II Tab 1A'!$1:$1048576,MATCH($D1223,'ASME II Tab 1A'!$6:$6,1),0))/(INDEX('ASME II Tab 1A'!$6:$6,MATCH($D1223,'ASME II Tab 1A'!$6:$6,1)+1)-INDEX('ASME II Tab 1A'!$6:$6,MATCH($D1223,'ASME II Tab 1A'!$6:$6,1)))+VLOOKUP($B1229,'ASME II Tab 1A'!$1:$1048576,MATCH($D1223,'ASME II Tab 1A'!$6:$6,1)+1,0)-INDEX('ASME II Tab 1A'!$6:$6,MATCH($D1223,'ASME II Tab 1A'!$6:$6,1)+1)*(VLOOKUP($B1229,'ASME II Tab 1A'!$1:$1048576,MATCH($D1223,'ASME II Tab 1A'!$6:$6,1)+1,0)-VLOOKUP($B1229,'ASME II Tab 1A'!$1:$1048576,MATCH($D1223,'ASME II Tab 1A'!$6:$6,1),0))/(INDEX('ASME II Tab 1A'!$6:$6,MATCH($D1223,'ASME II Tab 1A'!$6:$6,1)+1)-INDEX('ASME II Tab 1A'!$6:$6,MATCH($D1223,'ASME II Tab 1A'!$6:$6,1)))</f>
        <v>#N/A</v>
      </c>
      <c r="C1233" s="460" t="s">
        <v>198</v>
      </c>
      <c r="D1233" s="460"/>
      <c r="E1233" s="460"/>
      <c r="F1233" s="460" t="e">
        <f>$D1223*(VLOOKUP($F1229,'ASME II Tab 1A'!$1:$1048576,MATCH($D1223,'ASME II Tab 1A'!$6:$6,1)+1,0)-VLOOKUP($F1229,'ASME II Tab 1A'!$1:$1048576,MATCH($D1223,'ASME II Tab 1A'!$6:$6,1),0))/(INDEX('ASME II Tab 1A'!$6:$6,MATCH($D1223,'ASME II Tab 1A'!$6:$6,1)+1)-INDEX('ASME II Tab 1A'!$6:$6,MATCH($D1223,'ASME II Tab 1A'!$6:$6,1)))+VLOOKUP($F1229,'ASME II Tab 1A'!$1:$1048576,MATCH($D1223,'ASME II Tab 1A'!$6:$6,1)+1,0)-INDEX('ASME II Tab 1A'!$6:$6,MATCH($D1223,'ASME II Tab 1A'!$6:$6,1)+1)*(VLOOKUP($F1229,'ASME II Tab 1A'!$1:$1048576,MATCH($D1223,'ASME II Tab 1A'!$6:$6,1)+1,0)-VLOOKUP($F1229,'ASME II Tab 1A'!$1:$1048576,MATCH($D1223,'ASME II Tab 1A'!$6:$6,1),0))/(INDEX('ASME II Tab 1A'!$6:$6,MATCH($D1223,'ASME II Tab 1A'!$6:$6,1)+1)-INDEX('ASME II Tab 1A'!$6:$6,MATCH($D1223,'ASME II Tab 1A'!$6:$6,1)))</f>
        <v>#N/A</v>
      </c>
      <c r="G1233" s="460" t="s">
        <v>198</v>
      </c>
      <c r="H1233" s="460"/>
      <c r="I1233" s="1259"/>
      <c r="K1233" s="477" t="s">
        <v>201</v>
      </c>
      <c r="L1233" s="477" t="str">
        <f>K1217&amp;"."&amp;K1233</f>
        <v>10.M2 Rating</v>
      </c>
      <c r="M1233" s="1252">
        <f>D1350</f>
        <v>0</v>
      </c>
    </row>
    <row r="1234" spans="1:13" ht="14.55" customHeight="1" x14ac:dyDescent="0.3">
      <c r="A1234" s="1258" t="s">
        <v>202</v>
      </c>
      <c r="B1234" s="460"/>
      <c r="C1234" s="460"/>
      <c r="D1234" s="460"/>
      <c r="E1234" s="460"/>
      <c r="F1234" s="460"/>
      <c r="G1234" s="460"/>
      <c r="H1234" s="460"/>
      <c r="I1234" s="1259"/>
      <c r="K1234" s="477" t="s">
        <v>203</v>
      </c>
      <c r="L1234" s="477" t="str">
        <f>K1217&amp;"."&amp;K1234</f>
        <v>10.M2 Type</v>
      </c>
      <c r="M1234" s="1252">
        <f>E1350</f>
        <v>0</v>
      </c>
    </row>
    <row r="1235" spans="1:13" ht="14.55" customHeight="1" x14ac:dyDescent="0.3">
      <c r="A1235" s="1258" t="s">
        <v>197</v>
      </c>
      <c r="B1235" s="464" t="e">
        <f>$D1223*(VLOOKUP($B1228,'ASME II Tab 5A'!$1:$1048576,MATCH($D1223,'ASME II Tab 5A'!$5:$5,1)+1,0)-VLOOKUP($B1228,'ASME II Tab 5A'!$1:$1048576,MATCH($D1223,'ASME II Tab 5A'!$5:$5,1),0))/(INDEX('ASME II Tab 5A'!$5:$5,MATCH($D1223,'ASME II Tab 5A'!$5:$5,1)+1)-INDEX('ASME II Tab 5A'!$5:$5,MATCH($D1223,'ASME II Tab 5A'!$5:$5,1)))+VLOOKUP($B1228,'ASME II Tab 5A'!$1:$1048576,MATCH($D1223,'ASME II Tab 5A'!$5:$5,1)+1,0)-INDEX('ASME II Tab 5A'!$5:$5,MATCH($D1223,'ASME II Tab 5A'!$5:$5,1)+1)*(VLOOKUP($B1228,'ASME II Tab 5A'!$1:$1048576,MATCH($D1223,'ASME II Tab 5A'!$5:$5,1)+1,0)-VLOOKUP($B1228,'ASME II Tab 5A'!$1:$1048576,MATCH($D1223,'ASME II Tab 5A'!$5:$5,1),0))/(INDEX('ASME II Tab 5A'!$5:$5,MATCH($D1223,'ASME II Tab 5A'!$5:$5,1)+1)-INDEX('ASME II Tab 5A'!$5:$5,MATCH($D1223,'ASME II Tab 5A'!$5:$5,1)))</f>
        <v>#N/A</v>
      </c>
      <c r="C1235" s="460" t="s">
        <v>198</v>
      </c>
      <c r="D1235" s="460"/>
      <c r="E1235" s="460"/>
      <c r="F1235" s="460" t="e">
        <f>$D1223*(VLOOKUP($F1228,'ASME II Tab 5A'!$1:$1048576,MATCH($D1223,'ASME II Tab 5A'!$5:$5,1)+1,0)-VLOOKUP($F1228,'ASME II Tab 5A'!$1:$1048576,MATCH($D1223,'ASME II Tab 5A'!$5:$5,1),0))/(INDEX('ASME II Tab 5A'!$5:$5,MATCH($D1223,'ASME II Tab 5A'!$5:$5,1)+1)-INDEX('ASME II Tab 5A'!$5:$5,MATCH($D1223,'ASME II Tab 5A'!$5:$5,1)))+VLOOKUP($F1228,'ASME II Tab 5A'!$1:$1048576,MATCH($D1223,'ASME II Tab 5A'!$5:$5,1)+1,0)-INDEX('ASME II Tab 5A'!$5:$5,MATCH($D1223,'ASME II Tab 5A'!$5:$5,1)+1)*(VLOOKUP($F1228,'ASME II Tab 5A'!$1:$1048576,MATCH($D1223,'ASME II Tab 5A'!$5:$5,1)+1,0)-VLOOKUP($F1228,'ASME II Tab 5A'!$1:$1048576,MATCH($D1223,'ASME II Tab 5A'!$5:$5,1),0))/(INDEX('ASME II Tab 5A'!$5:$5,MATCH($D1223,'ASME II Tab 5A'!$5:$5,1)+1)-INDEX('ASME II Tab 5A'!$5:$5,MATCH($D1223,'ASME II Tab 5A'!$5:$5,1)))</f>
        <v>#N/A</v>
      </c>
      <c r="G1235" s="460" t="s">
        <v>198</v>
      </c>
      <c r="H1235" s="460"/>
      <c r="I1235" s="1259"/>
      <c r="K1235" s="477" t="s">
        <v>204</v>
      </c>
      <c r="L1235" s="477" t="str">
        <f>K1217&amp;"."&amp;K1235</f>
        <v>10.M2 Quantity</v>
      </c>
      <c r="M1235" s="1252">
        <f>F1350</f>
        <v>0</v>
      </c>
    </row>
    <row r="1236" spans="1:13" ht="14.55" customHeight="1" x14ac:dyDescent="0.3">
      <c r="A1236" s="1258" t="s">
        <v>200</v>
      </c>
      <c r="B1236" s="464" t="e">
        <f>$D1223*(VLOOKUP($B1229,'ASME II Tab 5A'!$1:$1048576,MATCH($D1223,'ASME II Tab 5A'!$5:$5,1)+1,0)-VLOOKUP($B1229,'ASME II Tab 5A'!$1:$1048576,MATCH($D1223,'ASME II Tab 5A'!$5:$5,1),0))/(INDEX('ASME II Tab 5A'!$5:$5,MATCH($D1223,'ASME II Tab 5A'!$5:$5,1)+1)-INDEX('ASME II Tab 5A'!$5:$5,MATCH($D1223,'ASME II Tab 5A'!$5:$5,1)))+VLOOKUP($B1229,'ASME II Tab 5A'!$1:$1048576,MATCH($D1223,'ASME II Tab 5A'!$5:$5,1)+1,0)-INDEX('ASME II Tab 5A'!$5:$5,MATCH($D1223,'ASME II Tab 5A'!$5:$5,1)+1)*(VLOOKUP($B1229,'ASME II Tab 5A'!$1:$1048576,MATCH($D1223,'ASME II Tab 5A'!$5:$5,1)+1,0)-VLOOKUP($B1229,'ASME II Tab 5A'!$1:$1048576,MATCH($D1223,'ASME II Tab 5A'!$5:$5,1),0))/(INDEX('ASME II Tab 5A'!$5:$5,MATCH($D1223,'ASME II Tab 5A'!$5:$5,1)+1)-INDEX('ASME II Tab 5A'!$5:$5,MATCH($D1223,'ASME II Tab 5A'!$5:$5,1)))</f>
        <v>#N/A</v>
      </c>
      <c r="C1236" s="460" t="s">
        <v>198</v>
      </c>
      <c r="D1236" s="460"/>
      <c r="E1236" s="460"/>
      <c r="F1236" s="460" t="e">
        <f>$D1223*(VLOOKUP($F1229,'ASME II Tab 5A'!$1:$1048576,MATCH($D1223,'ASME II Tab 5A'!$5:$5,1)+1,0)-VLOOKUP($F1229,'ASME II Tab 5A'!$1:$1048576,MATCH($D1223,'ASME II Tab 5A'!$5:$5,1),0))/(INDEX('ASME II Tab 5A'!$5:$5,MATCH($D1223,'ASME II Tab 5A'!$5:$5,1)+1)-INDEX('ASME II Tab 5A'!$5:$5,MATCH($D1223,'ASME II Tab 5A'!$5:$5,1)))+VLOOKUP($F1229,'ASME II Tab 5A'!$1:$1048576,MATCH($D1223,'ASME II Tab 5A'!$5:$5,1)+1,0)-INDEX('ASME II Tab 5A'!$5:$5,MATCH($D1223,'ASME II Tab 5A'!$5:$5,1)+1)*(VLOOKUP($F1229,'ASME II Tab 5A'!$1:$1048576,MATCH($D1223,'ASME II Tab 5A'!$5:$5,1)+1,0)-VLOOKUP($F1229,'ASME II Tab 5A'!$1:$1048576,MATCH($D1223,'ASME II Tab 5A'!$5:$5,1),0))/(INDEX('ASME II Tab 5A'!$5:$5,MATCH($D1223,'ASME II Tab 5A'!$5:$5,1)+1)-INDEX('ASME II Tab 5A'!$5:$5,MATCH($D1223,'ASME II Tab 5A'!$5:$5,1)))</f>
        <v>#N/A</v>
      </c>
      <c r="G1236" s="460" t="s">
        <v>198</v>
      </c>
      <c r="H1236" s="460"/>
      <c r="I1236" s="1259"/>
      <c r="K1236" s="477" t="s">
        <v>205</v>
      </c>
      <c r="L1236" s="477" t="str">
        <f>K1217&amp;"."&amp;K1236</f>
        <v>10.M3 DN</v>
      </c>
      <c r="M1236" s="1252">
        <f>C1351</f>
        <v>0</v>
      </c>
    </row>
    <row r="1237" spans="1:13" ht="14.55" customHeight="1" x14ac:dyDescent="0.3">
      <c r="A1237" s="1258"/>
      <c r="B1237" s="460"/>
      <c r="C1237" s="460"/>
      <c r="D1237" s="460"/>
      <c r="E1237" s="460"/>
      <c r="F1237" s="460"/>
      <c r="G1237" s="460"/>
      <c r="H1237" s="460"/>
      <c r="I1237" s="1259"/>
      <c r="K1237" s="477" t="s">
        <v>206</v>
      </c>
      <c r="L1237" s="477" t="str">
        <f>K1217&amp;"."&amp;K1237</f>
        <v>10.M3 Rating</v>
      </c>
      <c r="M1237" s="1252">
        <f>D1351</f>
        <v>0</v>
      </c>
    </row>
    <row r="1238" spans="1:13" ht="14.55" customHeight="1" x14ac:dyDescent="0.3">
      <c r="A1238" s="1260" t="s">
        <v>207</v>
      </c>
      <c r="B1238" s="453"/>
      <c r="C1238" s="460"/>
      <c r="D1238" s="453"/>
      <c r="E1238" s="460"/>
      <c r="F1238" s="453"/>
      <c r="G1238" s="460"/>
      <c r="H1238" s="460"/>
      <c r="I1238" s="1259"/>
      <c r="K1238" s="477" t="s">
        <v>208</v>
      </c>
      <c r="L1238" s="477" t="str">
        <f>K1217&amp;"."&amp;K1238</f>
        <v>10.M3 Type</v>
      </c>
      <c r="M1238" s="1252">
        <f>E1351</f>
        <v>0</v>
      </c>
    </row>
    <row r="1239" spans="1:13" ht="14.55" customHeight="1" x14ac:dyDescent="0.3">
      <c r="A1239" s="1260"/>
      <c r="B1239" s="305" t="s">
        <v>209</v>
      </c>
      <c r="C1239" s="460"/>
      <c r="D1239" s="305" t="s">
        <v>210</v>
      </c>
      <c r="E1239" s="460"/>
      <c r="F1239" s="305" t="s">
        <v>211</v>
      </c>
      <c r="G1239" s="460"/>
      <c r="H1239" s="460"/>
      <c r="I1239" s="1259"/>
      <c r="K1239" s="477" t="s">
        <v>212</v>
      </c>
      <c r="L1239" s="477" t="str">
        <f>K1217&amp;"."&amp;K1239</f>
        <v>10.M3 Quantity</v>
      </c>
      <c r="M1239" s="1252">
        <f>F1351</f>
        <v>0</v>
      </c>
    </row>
    <row r="1240" spans="1:13" ht="14.55" customHeight="1" x14ac:dyDescent="0.3">
      <c r="A1240" s="1258" t="s">
        <v>213</v>
      </c>
      <c r="B1240" s="305"/>
      <c r="C1240" s="460"/>
      <c r="D1240" s="305"/>
      <c r="E1240" s="460"/>
      <c r="F1240" s="723"/>
      <c r="G1240" s="460" t="s">
        <v>214</v>
      </c>
      <c r="H1240" s="460"/>
      <c r="I1240" s="1259"/>
      <c r="K1240" s="477" t="s">
        <v>215</v>
      </c>
      <c r="L1240" s="477" t="str">
        <f>K1217&amp;"."&amp;K1240</f>
        <v>10.Shell insulation thk 1</v>
      </c>
      <c r="M1240" s="1252">
        <f>B1288</f>
        <v>0</v>
      </c>
    </row>
    <row r="1241" spans="1:13" ht="14.55" customHeight="1" x14ac:dyDescent="0.3">
      <c r="A1241" s="1258" t="s">
        <v>216</v>
      </c>
      <c r="B1241" s="722"/>
      <c r="C1241" s="460" t="s">
        <v>93</v>
      </c>
      <c r="D1241" s="722"/>
      <c r="E1241" s="460" t="s">
        <v>93</v>
      </c>
      <c r="F1241" s="468">
        <f>F1242-2*F1286</f>
        <v>0</v>
      </c>
      <c r="G1241" s="460" t="s">
        <v>93</v>
      </c>
      <c r="H1241" s="460"/>
      <c r="I1241" s="1259"/>
      <c r="K1241" s="477" t="s">
        <v>217</v>
      </c>
      <c r="L1241" s="477" t="str">
        <f>K1217&amp;"."&amp;K1241</f>
        <v>10.Head insulation thk 1</v>
      </c>
      <c r="M1241" s="1252">
        <f>B1289</f>
        <v>0</v>
      </c>
    </row>
    <row r="1242" spans="1:13" ht="14.55" customHeight="1" x14ac:dyDescent="0.3">
      <c r="A1242" s="1258" t="s">
        <v>218</v>
      </c>
      <c r="B1242" s="468" t="e">
        <f>B1241+B1282*2</f>
        <v>#N/A</v>
      </c>
      <c r="C1242" s="460" t="s">
        <v>93</v>
      </c>
      <c r="D1242" s="468" t="e">
        <f>D1241+D1282*2</f>
        <v>#N/A</v>
      </c>
      <c r="E1242" s="460" t="s">
        <v>93</v>
      </c>
      <c r="F1242" s="468">
        <f>IFERROR(VLOOKUP(F1240,'Thickness Tab'!$1:$1048576,3,0),0)</f>
        <v>0</v>
      </c>
      <c r="G1242" s="460" t="s">
        <v>93</v>
      </c>
      <c r="H1242" s="469"/>
      <c r="I1242" s="1261"/>
      <c r="K1242" s="477" t="s">
        <v>219</v>
      </c>
      <c r="L1242" s="477" t="str">
        <f>K1217&amp;"."&amp;K1242</f>
        <v>10.Reducer insulation thk 1</v>
      </c>
      <c r="M1242" s="1252">
        <f>B1290</f>
        <v>0</v>
      </c>
    </row>
    <row r="1243" spans="1:13" ht="14.55" customHeight="1" x14ac:dyDescent="0.3">
      <c r="A1243" s="1258" t="s">
        <v>181</v>
      </c>
      <c r="B1243" s="722"/>
      <c r="C1243" s="460" t="s">
        <v>93</v>
      </c>
      <c r="D1243" s="722"/>
      <c r="E1243" s="460" t="s">
        <v>93</v>
      </c>
      <c r="F1243" s="722"/>
      <c r="G1243" s="460" t="s">
        <v>93</v>
      </c>
      <c r="H1243" s="460"/>
      <c r="I1243" s="1259"/>
      <c r="K1243" s="477" t="s">
        <v>220</v>
      </c>
      <c r="L1243" s="477" t="str">
        <f>K1217&amp;"."&amp;K1243</f>
        <v>10.Shell insulation area 1</v>
      </c>
      <c r="M1243" s="1252" t="e">
        <f>B1248</f>
        <v>#N/A</v>
      </c>
    </row>
    <row r="1244" spans="1:13" ht="14.55" customHeight="1" x14ac:dyDescent="0.3">
      <c r="A1244" s="1258" t="s">
        <v>221</v>
      </c>
      <c r="B1244" s="468" t="e">
        <f>(PI()*B1243*(((B1242/2)^2)-((B1241/2)^2))*7860)/1000000000*1.05</f>
        <v>#N/A</v>
      </c>
      <c r="C1244" s="460" t="s">
        <v>222</v>
      </c>
      <c r="D1244" s="468" t="e">
        <f>(PI()*D1243*(((D1242/2)^2)-((D1241/2)^2))*7860)/1000000000*1.05</f>
        <v>#N/A</v>
      </c>
      <c r="E1244" s="460" t="s">
        <v>222</v>
      </c>
      <c r="F1244" s="468">
        <f>(PI()*F1243*(((F1242/2)^2)-((F1241/2)^2))*7860)/1000000000*1.05</f>
        <v>0</v>
      </c>
      <c r="G1244" s="460" t="s">
        <v>222</v>
      </c>
      <c r="H1244" s="469"/>
      <c r="I1244" s="1261"/>
      <c r="K1244" s="477" t="s">
        <v>223</v>
      </c>
      <c r="L1244" s="477" t="str">
        <f>K1217&amp;"."&amp;K1244</f>
        <v>10.Head insulation area 1</v>
      </c>
      <c r="M1244" s="1252" t="e">
        <f>B1260</f>
        <v>#N/A</v>
      </c>
    </row>
    <row r="1245" spans="1:13" ht="14.55" customHeight="1" x14ac:dyDescent="0.3">
      <c r="A1245" s="1258" t="s">
        <v>224</v>
      </c>
      <c r="B1245" s="468">
        <f>(PI()*((B1241/2)^2)*B1243)/1000000000</f>
        <v>0</v>
      </c>
      <c r="C1245" s="460" t="s">
        <v>225</v>
      </c>
      <c r="D1245" s="468">
        <f>(PI()*((D1241/2)^2)*D1243)/1000000000</f>
        <v>0</v>
      </c>
      <c r="E1245" s="460" t="s">
        <v>225</v>
      </c>
      <c r="F1245" s="468">
        <f>(PI()*((F1241/2)^2)*F1243)/1000000000</f>
        <v>0</v>
      </c>
      <c r="G1245" s="460" t="s">
        <v>225</v>
      </c>
      <c r="H1245" s="469"/>
      <c r="I1245" s="1261"/>
      <c r="K1245" s="477" t="s">
        <v>226</v>
      </c>
      <c r="L1245" s="477" t="str">
        <f>K1217&amp;"."&amp;K1245</f>
        <v>10.Reducer insulation area 1</v>
      </c>
      <c r="M1245" s="1252" t="e">
        <f>B1273</f>
        <v>#N/A</v>
      </c>
    </row>
    <row r="1246" spans="1:13" ht="14.55" customHeight="1" x14ac:dyDescent="0.3">
      <c r="A1246" s="1258" t="s">
        <v>227</v>
      </c>
      <c r="B1246" s="468" t="e">
        <f>(B1242*3.14*B1243)/1000000</f>
        <v>#N/A</v>
      </c>
      <c r="C1246" s="460" t="s">
        <v>228</v>
      </c>
      <c r="D1246" s="468" t="e">
        <f>(D1242*3.14*D1243)/1000000</f>
        <v>#N/A</v>
      </c>
      <c r="E1246" s="460" t="s">
        <v>228</v>
      </c>
      <c r="F1246" s="468">
        <f>(F1242*3.14*F1243)/1000000</f>
        <v>0</v>
      </c>
      <c r="G1246" s="460" t="s">
        <v>228</v>
      </c>
      <c r="H1246" s="469"/>
      <c r="I1246" s="1261"/>
      <c r="K1246" s="477" t="s">
        <v>229</v>
      </c>
      <c r="L1246" s="477" t="str">
        <f>K1217&amp;"."&amp;K1246</f>
        <v>10.Shell insulation thk 2</v>
      </c>
      <c r="M1246" s="1252">
        <f>D1288</f>
        <v>0</v>
      </c>
    </row>
    <row r="1247" spans="1:13" ht="14.55" customHeight="1" x14ac:dyDescent="0.3">
      <c r="A1247" s="1258" t="s">
        <v>230</v>
      </c>
      <c r="B1247" s="468" t="e">
        <f>B1242+2*B1288</f>
        <v>#N/A</v>
      </c>
      <c r="C1247" s="460" t="s">
        <v>93</v>
      </c>
      <c r="D1247" s="468" t="e">
        <f>D1242+2*D1288</f>
        <v>#N/A</v>
      </c>
      <c r="E1247" s="460" t="s">
        <v>93</v>
      </c>
      <c r="F1247" s="468">
        <f>F1242+2*F1288</f>
        <v>0</v>
      </c>
      <c r="G1247" s="460" t="s">
        <v>93</v>
      </c>
      <c r="H1247" s="469"/>
      <c r="I1247" s="1261"/>
      <c r="K1247" s="477" t="s">
        <v>231</v>
      </c>
      <c r="L1247" s="477" t="str">
        <f>K1217&amp;"."&amp;K1247</f>
        <v>10.Head insulation thk 2</v>
      </c>
      <c r="M1247" s="1252">
        <f>D1289</f>
        <v>0</v>
      </c>
    </row>
    <row r="1248" spans="1:13" ht="14.55" customHeight="1" x14ac:dyDescent="0.3">
      <c r="A1248" s="1258" t="s">
        <v>232</v>
      </c>
      <c r="B1248" s="468" t="e">
        <f>(B1247*3.14*B1243)/1000000</f>
        <v>#N/A</v>
      </c>
      <c r="C1248" s="460" t="s">
        <v>228</v>
      </c>
      <c r="D1248" s="468" t="e">
        <f>(D1247*3.14*D1243)/1000000</f>
        <v>#N/A</v>
      </c>
      <c r="E1248" s="460" t="s">
        <v>228</v>
      </c>
      <c r="F1248" s="468">
        <f>(F1247*3.14*F1243)/1000000</f>
        <v>0</v>
      </c>
      <c r="G1248" s="460" t="s">
        <v>228</v>
      </c>
      <c r="H1248" s="469"/>
      <c r="I1248" s="1261"/>
      <c r="K1248" s="477" t="s">
        <v>233</v>
      </c>
      <c r="L1248" s="477" t="str">
        <f>K1217&amp;"."&amp;K1248</f>
        <v>10.Reducer insulation thk 2</v>
      </c>
      <c r="M1248" s="1252">
        <f>D1290</f>
        <v>0</v>
      </c>
    </row>
    <row r="1249" spans="1:13" ht="14.55" customHeight="1" x14ac:dyDescent="0.3">
      <c r="A1249" s="1258"/>
      <c r="B1249" s="468"/>
      <c r="C1249" s="460"/>
      <c r="D1249" s="468"/>
      <c r="E1249" s="460"/>
      <c r="F1249" s="468"/>
      <c r="G1249" s="460"/>
      <c r="H1249" s="469"/>
      <c r="I1249" s="1261"/>
      <c r="K1249" s="477" t="s">
        <v>234</v>
      </c>
      <c r="L1249" s="477" t="str">
        <f>K1217&amp;"."&amp;K1249</f>
        <v>10.Shell insulation area 2</v>
      </c>
      <c r="M1249" s="1252" t="e">
        <f>D1248</f>
        <v>#N/A</v>
      </c>
    </row>
    <row r="1250" spans="1:13" ht="14.55" customHeight="1" x14ac:dyDescent="0.3">
      <c r="A1250" s="1258"/>
      <c r="B1250" s="468" t="s">
        <v>235</v>
      </c>
      <c r="C1250" s="460"/>
      <c r="D1250" s="468" t="s">
        <v>236</v>
      </c>
      <c r="E1250" s="460"/>
      <c r="F1250" s="468" t="s">
        <v>237</v>
      </c>
      <c r="G1250" s="460"/>
      <c r="H1250" s="469"/>
      <c r="I1250" s="1261"/>
      <c r="K1250" s="477" t="s">
        <v>238</v>
      </c>
      <c r="L1250" s="477" t="str">
        <f>K1217&amp;"."&amp;K1250</f>
        <v>10.Head insulation area 2</v>
      </c>
      <c r="M1250" s="1252" t="e">
        <f>D1260</f>
        <v>#N/A</v>
      </c>
    </row>
    <row r="1251" spans="1:13" ht="14.55" customHeight="1" x14ac:dyDescent="0.3">
      <c r="A1251" s="1258" t="s">
        <v>239</v>
      </c>
      <c r="B1251" s="468">
        <f>B1241</f>
        <v>0</v>
      </c>
      <c r="C1251" s="460" t="s">
        <v>93</v>
      </c>
      <c r="D1251" s="468">
        <f>D1241</f>
        <v>0</v>
      </c>
      <c r="E1251" s="460" t="s">
        <v>93</v>
      </c>
      <c r="F1251" s="468">
        <f>F1241</f>
        <v>0</v>
      </c>
      <c r="G1251" s="460" t="s">
        <v>93</v>
      </c>
      <c r="H1251" s="469"/>
      <c r="I1251" s="1261"/>
      <c r="K1251" s="477" t="s">
        <v>240</v>
      </c>
      <c r="L1251" s="477" t="str">
        <f>K1217&amp;"."&amp;K1251</f>
        <v>10.Reducer insulation area 2</v>
      </c>
      <c r="M1251" s="1252">
        <f>D1273</f>
        <v>0</v>
      </c>
    </row>
    <row r="1252" spans="1:13" ht="14.55" customHeight="1" x14ac:dyDescent="0.3">
      <c r="A1252" s="1258" t="s">
        <v>241</v>
      </c>
      <c r="B1252" s="468" t="e">
        <f>B1251+2*B1283</f>
        <v>#N/A</v>
      </c>
      <c r="C1252" s="460" t="s">
        <v>93</v>
      </c>
      <c r="D1252" s="468" t="e">
        <f>D1251+2*D1283</f>
        <v>#N/A</v>
      </c>
      <c r="E1252" s="460" t="s">
        <v>93</v>
      </c>
      <c r="F1252" s="468">
        <f>F1251+2*F1286</f>
        <v>0</v>
      </c>
      <c r="G1252" s="460" t="s">
        <v>93</v>
      </c>
      <c r="H1252" s="469"/>
      <c r="I1252" s="1261"/>
      <c r="K1252" s="477" t="s">
        <v>242</v>
      </c>
      <c r="L1252" s="477" t="str">
        <f>K1217&amp;"."&amp;K1252</f>
        <v>10.Shell insulation thk 3</v>
      </c>
      <c r="M1252" s="1252">
        <f>F1288</f>
        <v>0</v>
      </c>
    </row>
    <row r="1253" spans="1:13" ht="14.55" customHeight="1" x14ac:dyDescent="0.3">
      <c r="A1253" s="1258" t="s">
        <v>243</v>
      </c>
      <c r="B1253" s="722"/>
      <c r="C1253" s="460" t="s">
        <v>93</v>
      </c>
      <c r="D1253" s="722"/>
      <c r="E1253" s="460" t="s">
        <v>93</v>
      </c>
      <c r="F1253" s="452"/>
      <c r="G1253" s="460"/>
      <c r="H1253" s="469"/>
      <c r="I1253" s="1261"/>
      <c r="K1253" s="477" t="s">
        <v>244</v>
      </c>
      <c r="L1253" s="477" t="str">
        <f>K1217&amp;"."&amp;K1253</f>
        <v>10.Head insulation thk 3</v>
      </c>
      <c r="M1253" s="1252">
        <f>F1289</f>
        <v>0</v>
      </c>
    </row>
    <row r="1254" spans="1:13" ht="14.55" customHeight="1" x14ac:dyDescent="0.3">
      <c r="A1254" s="1258" t="s">
        <v>245</v>
      </c>
      <c r="B1254" s="724"/>
      <c r="C1254" s="460"/>
      <c r="D1254" s="724"/>
      <c r="E1254" s="460"/>
      <c r="F1254" s="724"/>
      <c r="G1254" s="460"/>
      <c r="H1254" s="469"/>
      <c r="I1254" s="1261"/>
      <c r="K1254" s="477" t="s">
        <v>246</v>
      </c>
      <c r="L1254" s="477" t="str">
        <f>K1217&amp;"."&amp;K1254</f>
        <v>10.Reducer insulation thk 3</v>
      </c>
      <c r="M1254" s="1252">
        <f>F1290</f>
        <v>0</v>
      </c>
    </row>
    <row r="1255" spans="1:13" ht="14.55" customHeight="1" x14ac:dyDescent="0.3">
      <c r="A1255" s="1258" t="s">
        <v>247</v>
      </c>
      <c r="B1255" s="468">
        <v>0</v>
      </c>
      <c r="C1255" s="460" t="s">
        <v>93</v>
      </c>
      <c r="D1255" s="468">
        <v>0</v>
      </c>
      <c r="E1255" s="460" t="s">
        <v>93</v>
      </c>
      <c r="F1255" s="468">
        <v>0</v>
      </c>
      <c r="G1255" s="460" t="s">
        <v>93</v>
      </c>
      <c r="H1255" s="469"/>
      <c r="I1255" s="1261"/>
      <c r="K1255" s="477" t="s">
        <v>248</v>
      </c>
      <c r="L1255" s="477" t="str">
        <f>K1217&amp;"."&amp;K1255</f>
        <v>10.Shell insulation area 3</v>
      </c>
      <c r="M1255" s="1252">
        <f>F1248</f>
        <v>0</v>
      </c>
    </row>
    <row r="1256" spans="1:13" ht="14.55" customHeight="1" x14ac:dyDescent="0.3">
      <c r="A1256" s="1258" t="s">
        <v>249</v>
      </c>
      <c r="B1256" s="468" t="e">
        <f>((((POWER(((((B1251+B1284)*1.22)+(B1255*2))/100),2)*PI())/4)*(B1284/100))*7.86)</f>
        <v>#N/A</v>
      </c>
      <c r="C1256" s="460" t="s">
        <v>222</v>
      </c>
      <c r="D1256" s="468" t="e">
        <f>((((POWER(((((D1251+D1284)*1.22)+(D1255*2))/100),2)*PI())/4)*(D1284/100))*7.86)</f>
        <v>#N/A</v>
      </c>
      <c r="E1256" s="460" t="s">
        <v>222</v>
      </c>
      <c r="F1256" s="468">
        <f>IFERROR(VLOOKUP(F1240&amp;"."&amp;F1285,'Fitting Chart'!$1:$1048576,5,0),0)</f>
        <v>0</v>
      </c>
      <c r="G1256" s="460" t="s">
        <v>222</v>
      </c>
      <c r="H1256" s="469"/>
      <c r="I1256" s="1261"/>
      <c r="K1256" s="477" t="s">
        <v>250</v>
      </c>
      <c r="L1256" s="477" t="str">
        <f>K1217&amp;"."&amp;K1256</f>
        <v>10.Head insulation area 3</v>
      </c>
      <c r="M1256" s="1252">
        <f>F1259</f>
        <v>0</v>
      </c>
    </row>
    <row r="1257" spans="1:13" ht="14.55" customHeight="1" x14ac:dyDescent="0.3">
      <c r="A1257" s="1258" t="s">
        <v>251</v>
      </c>
      <c r="B1257" s="468" t="e">
        <f>(((0.131*(B1251^3)*10^-6)+((((B1251/2)^2)*PI()*(((B1251/4)+B1283)-B1283-(B1251/4)))))+((PI()*((B1251/2)^2)*B1255))/1000000)/1000</f>
        <v>#N/A</v>
      </c>
      <c r="C1257" s="460" t="s">
        <v>225</v>
      </c>
      <c r="D1257" s="468" t="e">
        <f>(((0.131*(D1251^3)*10^-6)+((((D1251/2)^2)*PI()*(((D1251/4)+D1283)-D1283-(D1251/4)))))+((PI()*((D1251/2)^2)*D1255))/1000000)/1000</f>
        <v>#N/A</v>
      </c>
      <c r="E1257" s="460" t="s">
        <v>225</v>
      </c>
      <c r="F1257" s="468">
        <f>(((0.131*(F1251^3)*10^-6)+((((F1251/2)^2)*PI()*(((F1251/4)+F1286)-F1286-(F1251/4)))))+((PI()*((F1251/2)^2)*F1255))/1000000)/1000</f>
        <v>0</v>
      </c>
      <c r="G1257" s="460" t="s">
        <v>225</v>
      </c>
      <c r="H1257" s="469"/>
      <c r="I1257" s="1261"/>
      <c r="K1257" s="477" t="s">
        <v>252</v>
      </c>
      <c r="L1257" s="477" t="str">
        <f>K1217&amp;"."&amp;K1257</f>
        <v>10.Reducer insulation area 3</v>
      </c>
      <c r="M1257" s="1252">
        <f>F1273</f>
        <v>0</v>
      </c>
    </row>
    <row r="1258" spans="1:13" ht="14.55" customHeight="1" x14ac:dyDescent="0.3">
      <c r="A1258" s="1258" t="s">
        <v>253</v>
      </c>
      <c r="B1258" s="468" t="e">
        <f>(((B1252*B1253*3.14)+(((B1252/2)^2)*3.14))/1000000)</f>
        <v>#N/A</v>
      </c>
      <c r="C1258" s="460" t="s">
        <v>228</v>
      </c>
      <c r="D1258" s="468" t="e">
        <f>(((D1252*D1253*3.14)+(((D1252/2)^2)*3.14))/1000000)</f>
        <v>#N/A</v>
      </c>
      <c r="E1258" s="460" t="s">
        <v>228</v>
      </c>
      <c r="F1258" s="468">
        <f>(((F1252*F1253*3.14)+(((F1252/2)^2)*3.14))/1000000)</f>
        <v>0</v>
      </c>
      <c r="G1258" s="460" t="s">
        <v>228</v>
      </c>
      <c r="H1258" s="469"/>
      <c r="I1258" s="1261"/>
    </row>
    <row r="1259" spans="1:13" ht="14.55" customHeight="1" x14ac:dyDescent="0.3">
      <c r="A1259" s="1258" t="s">
        <v>254</v>
      </c>
      <c r="B1259" s="468" t="e">
        <f>B1252+2*B1289</f>
        <v>#N/A</v>
      </c>
      <c r="C1259" s="460" t="s">
        <v>93</v>
      </c>
      <c r="D1259" s="468" t="e">
        <f>D1252+2*D1289</f>
        <v>#N/A</v>
      </c>
      <c r="E1259" s="460" t="s">
        <v>93</v>
      </c>
      <c r="F1259" s="468">
        <f>F1252+2*F1289</f>
        <v>0</v>
      </c>
      <c r="G1259" s="460" t="s">
        <v>93</v>
      </c>
      <c r="H1259" s="469"/>
      <c r="I1259" s="1261"/>
    </row>
    <row r="1260" spans="1:13" ht="14.55" customHeight="1" x14ac:dyDescent="0.3">
      <c r="A1260" s="1258" t="s">
        <v>255</v>
      </c>
      <c r="B1260" s="468" t="e">
        <f>(((B1259*B1253*3.14)+(((B1259/2)^2)*3.14))/1000000)</f>
        <v>#N/A</v>
      </c>
      <c r="C1260" s="460" t="s">
        <v>228</v>
      </c>
      <c r="D1260" s="468" t="e">
        <f>(((D1259*D1253*3.14)+(((D1259/2)^2)*3.14))/1000000)</f>
        <v>#N/A</v>
      </c>
      <c r="E1260" s="460" t="s">
        <v>228</v>
      </c>
      <c r="F1260" s="468">
        <f>(((F1259*F1253*3.14)+(((F1259/2)^2)*3.14))/1000000)</f>
        <v>0</v>
      </c>
      <c r="G1260" s="460" t="s">
        <v>228</v>
      </c>
      <c r="H1260" s="469"/>
      <c r="I1260" s="1261"/>
    </row>
    <row r="1261" spans="1:13" ht="14.55" customHeight="1" x14ac:dyDescent="0.3">
      <c r="A1261" s="1258"/>
      <c r="B1261" s="454"/>
      <c r="C1261" s="460"/>
      <c r="D1261" s="454"/>
      <c r="E1261" s="460"/>
      <c r="F1261" s="454"/>
      <c r="G1261" s="460"/>
      <c r="H1261" s="469"/>
      <c r="I1261" s="1261"/>
    </row>
    <row r="1262" spans="1:13" ht="14.55" customHeight="1" x14ac:dyDescent="0.3">
      <c r="A1262" s="1258"/>
      <c r="B1262" s="468" t="s">
        <v>256</v>
      </c>
      <c r="C1262" s="460"/>
      <c r="D1262" s="468" t="s">
        <v>257</v>
      </c>
      <c r="E1262" s="460"/>
      <c r="F1262" s="468" t="s">
        <v>258</v>
      </c>
      <c r="G1262" s="460"/>
      <c r="H1262" s="469"/>
      <c r="I1262" s="1261"/>
    </row>
    <row r="1263" spans="1:13" ht="14.55" customHeight="1" x14ac:dyDescent="0.3">
      <c r="A1263" s="1258" t="s">
        <v>259</v>
      </c>
      <c r="B1263" s="725"/>
      <c r="C1263" s="460" t="s">
        <v>93</v>
      </c>
      <c r="D1263" s="725"/>
      <c r="E1263" s="460" t="s">
        <v>93</v>
      </c>
      <c r="F1263" s="725"/>
      <c r="G1263" s="460" t="s">
        <v>93</v>
      </c>
      <c r="H1263" s="469"/>
      <c r="I1263" s="1261"/>
    </row>
    <row r="1264" spans="1:13" ht="14.55" customHeight="1" x14ac:dyDescent="0.3">
      <c r="A1264" s="1258" t="s">
        <v>260</v>
      </c>
      <c r="B1264" s="725"/>
      <c r="C1264" s="460" t="s">
        <v>93</v>
      </c>
      <c r="D1264" s="725"/>
      <c r="E1264" s="460" t="s">
        <v>93</v>
      </c>
      <c r="F1264" s="725"/>
      <c r="G1264" s="460" t="s">
        <v>93</v>
      </c>
      <c r="H1264" s="469"/>
      <c r="I1264" s="1261"/>
    </row>
    <row r="1265" spans="1:9" ht="14.55" customHeight="1" x14ac:dyDescent="0.3">
      <c r="A1265" s="1258" t="s">
        <v>261</v>
      </c>
      <c r="B1265" s="725"/>
      <c r="C1265" s="460" t="s">
        <v>93</v>
      </c>
      <c r="D1265" s="725"/>
      <c r="E1265" s="460" t="s">
        <v>93</v>
      </c>
      <c r="F1265" s="725"/>
      <c r="G1265" s="460" t="s">
        <v>93</v>
      </c>
      <c r="H1265" s="469"/>
      <c r="I1265" s="1261"/>
    </row>
    <row r="1266" spans="1:9" ht="14.55" customHeight="1" x14ac:dyDescent="0.3">
      <c r="A1266" s="1258" t="s">
        <v>262</v>
      </c>
      <c r="B1266" s="455" t="e">
        <f>B1263+2*B1284</f>
        <v>#N/A</v>
      </c>
      <c r="C1266" s="460" t="s">
        <v>93</v>
      </c>
      <c r="D1266" s="455" t="e">
        <f>D1263+2*D1284</f>
        <v>#N/A</v>
      </c>
      <c r="E1266" s="460" t="s">
        <v>93</v>
      </c>
      <c r="F1266" s="455">
        <f>F1263+2*F1286</f>
        <v>0</v>
      </c>
      <c r="G1266" s="460" t="s">
        <v>93</v>
      </c>
      <c r="H1266" s="469"/>
      <c r="I1266" s="1261"/>
    </row>
    <row r="1267" spans="1:9" ht="14.55" customHeight="1" x14ac:dyDescent="0.3">
      <c r="A1267" s="1258" t="s">
        <v>263</v>
      </c>
      <c r="B1267" s="455" t="e">
        <f>B1264+2*B1284</f>
        <v>#N/A</v>
      </c>
      <c r="C1267" s="460" t="s">
        <v>93</v>
      </c>
      <c r="D1267" s="455" t="e">
        <f>D1264+2*D1284</f>
        <v>#N/A</v>
      </c>
      <c r="E1267" s="460" t="s">
        <v>93</v>
      </c>
      <c r="F1267" s="455">
        <f>F1264+2*F1286</f>
        <v>0</v>
      </c>
      <c r="G1267" s="460" t="s">
        <v>93</v>
      </c>
      <c r="H1267" s="469"/>
      <c r="I1267" s="1261"/>
    </row>
    <row r="1268" spans="1:9" ht="14.55" customHeight="1" x14ac:dyDescent="0.3">
      <c r="A1268" s="1258" t="s">
        <v>264</v>
      </c>
      <c r="B1268" s="453" t="e">
        <f>(((((1/3*PI()*B1265))*((((B1266/2)^2)+(((B1266/2)*(B1267/2)))+((B1267/2)^2))))-(((1/3*PI()*B1265))*((((B1263/2)^2)+(((B1263/2)*(B1264/2)))+((B1264/2)^2)))))*7.86)/1000000</f>
        <v>#N/A</v>
      </c>
      <c r="C1268" s="460" t="s">
        <v>222</v>
      </c>
      <c r="D1268" s="453" t="e">
        <f>(((((1/3*PI()*D1265))*((((D1266/2)^2)+(((D1266/2)*(D1267/2)))+((D1267/2)^2))))-(((1/3*PI()*D1265))*((((D1263/2)^2)+(((D1263/2)*(D1264/2)))+((D1264/2)^2)))))*7.86)/1000000</f>
        <v>#N/A</v>
      </c>
      <c r="E1268" s="460" t="s">
        <v>222</v>
      </c>
      <c r="F1268" s="453">
        <f>(((((1/3*PI()*F1265))*((((F1266/2)^2)+(((F1266/2)*(F1267/2)))+((F1267/2)^2))))-(((1/3*PI()*F1265))*((((F1263/2)^2)+(((F1263/2)*(F1264/2)))+((F1264/2)^2)))))*7.86)/1000000</f>
        <v>0</v>
      </c>
      <c r="G1268" s="460" t="s">
        <v>222</v>
      </c>
      <c r="H1268" s="469"/>
      <c r="I1268" s="1261"/>
    </row>
    <row r="1269" spans="1:9" ht="14.55" customHeight="1" x14ac:dyDescent="0.3">
      <c r="A1269" s="1258" t="s">
        <v>265</v>
      </c>
      <c r="B1269" s="453">
        <f>((1/3*PI()*B1265))*((((B1263/2)^2)+(((B1263/2)*(B1264/2)))+((B1264/2)^2)))/1000000000</f>
        <v>0</v>
      </c>
      <c r="C1269" s="460" t="s">
        <v>225</v>
      </c>
      <c r="D1269" s="453">
        <f>((1/3*PI()*D1265))*((((D1263/2)^2)+(((D1263/2)*(D1264/2)))+((D1264/2)^2)))/1000000000</f>
        <v>0</v>
      </c>
      <c r="E1269" s="460" t="s">
        <v>225</v>
      </c>
      <c r="F1269" s="453">
        <f>((1/3*PI()*F1265))*((((F1263/2)^2)+(((F1263/2)*(F1264/2)))+((F1264/2)^2)))/1000000000</f>
        <v>0</v>
      </c>
      <c r="G1269" s="460" t="s">
        <v>225</v>
      </c>
      <c r="H1269" s="469"/>
      <c r="I1269" s="1261"/>
    </row>
    <row r="1270" spans="1:9" ht="14.55" customHeight="1" x14ac:dyDescent="0.3">
      <c r="A1270" s="1258" t="s">
        <v>266</v>
      </c>
      <c r="B1270" s="453" t="e">
        <f>PI()*(B1266+B1267)/2*SQRT(B1265^2+((B1266-B1267)/2)^2)/1000000</f>
        <v>#N/A</v>
      </c>
      <c r="C1270" s="460" t="s">
        <v>228</v>
      </c>
      <c r="D1270" s="453" t="e">
        <f>PI()*(D1266+D1267)/2*SQRT(D1265^2+((D1266-D1267)/2)^2)/1000000</f>
        <v>#N/A</v>
      </c>
      <c r="E1270" s="460" t="s">
        <v>228</v>
      </c>
      <c r="F1270" s="453">
        <f>PI()*(F1266+F1267)/2*SQRT(F1265^2+((F1266-F1267)/2)^2)/1000000</f>
        <v>0</v>
      </c>
      <c r="G1270" s="460" t="s">
        <v>228</v>
      </c>
      <c r="H1270" s="469"/>
      <c r="I1270" s="1261"/>
    </row>
    <row r="1271" spans="1:9" ht="14.55" customHeight="1" x14ac:dyDescent="0.3">
      <c r="A1271" s="1258" t="s">
        <v>267</v>
      </c>
      <c r="B1271" s="453" t="e">
        <f>B1266+2*B1290</f>
        <v>#N/A</v>
      </c>
      <c r="C1271" s="460" t="s">
        <v>93</v>
      </c>
      <c r="D1271" s="453">
        <f>D1263+2*D1290</f>
        <v>0</v>
      </c>
      <c r="E1271" s="460" t="s">
        <v>93</v>
      </c>
      <c r="F1271" s="453">
        <f>F1263+2*F1290</f>
        <v>0</v>
      </c>
      <c r="G1271" s="460" t="s">
        <v>93</v>
      </c>
      <c r="H1271" s="469"/>
      <c r="I1271" s="1261"/>
    </row>
    <row r="1272" spans="1:9" ht="14.55" customHeight="1" x14ac:dyDescent="0.3">
      <c r="A1272" s="1258" t="s">
        <v>268</v>
      </c>
      <c r="B1272" s="453" t="e">
        <f>B1267+2*B1290</f>
        <v>#N/A</v>
      </c>
      <c r="C1272" s="460" t="s">
        <v>93</v>
      </c>
      <c r="D1272" s="453">
        <f>D1264+2*D1290</f>
        <v>0</v>
      </c>
      <c r="E1272" s="460" t="s">
        <v>93</v>
      </c>
      <c r="F1272" s="453">
        <f>F1264+2*F1290</f>
        <v>0</v>
      </c>
      <c r="G1272" s="460" t="s">
        <v>93</v>
      </c>
      <c r="H1272" s="469"/>
      <c r="I1272" s="1261"/>
    </row>
    <row r="1273" spans="1:9" ht="14.55" customHeight="1" x14ac:dyDescent="0.3">
      <c r="A1273" s="1258" t="s">
        <v>269</v>
      </c>
      <c r="B1273" s="453" t="e">
        <f>PI()*(B1271+B1272)/2*SQRT(B1265^2+((B1271-B1272)/2)^2)/1000000</f>
        <v>#N/A</v>
      </c>
      <c r="C1273" s="460" t="s">
        <v>228</v>
      </c>
      <c r="D1273" s="453">
        <f>PI()*(D1271+D1272)/2*SQRT(D1265^2+((D1271-D1272)/2)^2)/1000000</f>
        <v>0</v>
      </c>
      <c r="E1273" s="460" t="s">
        <v>228</v>
      </c>
      <c r="F1273" s="453">
        <f>PI()*(F1271+F1272)/2*SQRT(F1265^2+((F1271-F1272)/2)^2)/1000000</f>
        <v>0</v>
      </c>
      <c r="G1273" s="460" t="s">
        <v>228</v>
      </c>
      <c r="H1273" s="469"/>
      <c r="I1273" s="1261"/>
    </row>
    <row r="1274" spans="1:9" ht="14.55" customHeight="1" x14ac:dyDescent="0.3">
      <c r="A1274" s="1258"/>
      <c r="B1274" s="453"/>
      <c r="C1274" s="460"/>
      <c r="D1274" s="453"/>
      <c r="E1274" s="460"/>
      <c r="F1274" s="453"/>
      <c r="G1274" s="460"/>
      <c r="H1274" s="460"/>
      <c r="I1274" s="1259"/>
    </row>
    <row r="1275" spans="1:9" ht="14.55" customHeight="1" x14ac:dyDescent="0.3">
      <c r="A1275" s="1258" t="s">
        <v>270</v>
      </c>
      <c r="B1275" s="725"/>
      <c r="C1275" s="460" t="s">
        <v>93</v>
      </c>
      <c r="D1275" s="725"/>
      <c r="E1275" s="460" t="s">
        <v>93</v>
      </c>
      <c r="F1275" s="725"/>
      <c r="G1275" s="460" t="s">
        <v>93</v>
      </c>
      <c r="H1275" s="460"/>
      <c r="I1275" s="1259"/>
    </row>
    <row r="1276" spans="1:9" ht="14.55" customHeight="1" x14ac:dyDescent="0.3">
      <c r="A1276" s="1258" t="s">
        <v>271</v>
      </c>
      <c r="B1276" s="453" t="e">
        <f>((D1224/10)*B1241/2)/(IF(B1219="div.1",B1232,B1235)-0.5*D1224/10)</f>
        <v>#N/A</v>
      </c>
      <c r="C1276" s="460" t="s">
        <v>93</v>
      </c>
      <c r="D1276" s="453" t="e">
        <f>((D1224/10)*D1241/2)/(IF(B1219="div.1",B1232,B1235)-0.5*D1224/10)</f>
        <v>#N/A</v>
      </c>
      <c r="E1276" s="460" t="s">
        <v>93</v>
      </c>
      <c r="F1276" s="453" t="e">
        <f>((D1224/10)*F1241/2)/(IF(B1219="div.1",F1232,F1235)-0.5*D1224/10)</f>
        <v>#N/A</v>
      </c>
      <c r="G1276" s="460" t="s">
        <v>93</v>
      </c>
      <c r="H1276" s="460"/>
      <c r="I1276" s="1259"/>
    </row>
    <row r="1277" spans="1:9" ht="14.55" customHeight="1" x14ac:dyDescent="0.3">
      <c r="A1277" s="1258" t="s">
        <v>272</v>
      </c>
      <c r="B1277" s="453" t="e">
        <f>B1251/2*(EXP(D1224/(10*IF(B1219="div.1",B1233,B1236)))-1)</f>
        <v>#N/A</v>
      </c>
      <c r="C1277" s="460" t="s">
        <v>93</v>
      </c>
      <c r="D1277" s="453" t="e">
        <f>D1251/2*(EXP(D1224/(10*IF(B1219="div.1",B1233,B1236)))-1)</f>
        <v>#N/A</v>
      </c>
      <c r="E1277" s="460" t="s">
        <v>93</v>
      </c>
      <c r="F1277" s="453" t="e">
        <f>F1251/2*(EXP(D1224/(10*IF(B1219="div.1",F1233,F1236)))-1)</f>
        <v>#N/A</v>
      </c>
      <c r="G1277" s="460" t="s">
        <v>93</v>
      </c>
      <c r="H1277" s="460"/>
      <c r="I1277" s="1259"/>
    </row>
    <row r="1278" spans="1:9" ht="14.55" customHeight="1" x14ac:dyDescent="0.3">
      <c r="A1278" s="1258" t="s">
        <v>273</v>
      </c>
      <c r="B1278" s="453" t="e">
        <f>B1263/2*(EXP(D1224/(10*IF(B1219="div.1",B1233,B1236)))-1)</f>
        <v>#N/A</v>
      </c>
      <c r="C1278" s="460" t="s">
        <v>93</v>
      </c>
      <c r="D1278" s="453" t="e">
        <f>D1263/2*(EXP(D1224/(10*IF(B1219="div.1",B1233,B1236)))-1)</f>
        <v>#N/A</v>
      </c>
      <c r="E1278" s="460" t="s">
        <v>93</v>
      </c>
      <c r="F1278" s="453" t="e">
        <f>F1263/2*(EXP(D1224/(10*IF(B1219="div.1",F1233,F1236)))-1)</f>
        <v>#N/A</v>
      </c>
      <c r="G1278" s="460" t="s">
        <v>93</v>
      </c>
      <c r="H1278" s="460"/>
      <c r="I1278" s="1259"/>
    </row>
    <row r="1279" spans="1:9" ht="14.55" customHeight="1" x14ac:dyDescent="0.3">
      <c r="A1279" s="1258" t="s">
        <v>274</v>
      </c>
      <c r="B1279" s="725"/>
      <c r="C1279" s="460" t="s">
        <v>93</v>
      </c>
      <c r="D1279" s="725"/>
      <c r="E1279" s="460" t="s">
        <v>93</v>
      </c>
      <c r="F1279" s="725"/>
      <c r="G1279" s="460" t="s">
        <v>93</v>
      </c>
      <c r="H1279" s="460"/>
      <c r="I1279" s="1259"/>
    </row>
    <row r="1280" spans="1:9" ht="14.55" customHeight="1" x14ac:dyDescent="0.3">
      <c r="A1280" s="1258" t="s">
        <v>275</v>
      </c>
      <c r="B1280" s="725"/>
      <c r="C1280" s="460" t="s">
        <v>93</v>
      </c>
      <c r="D1280" s="725"/>
      <c r="E1280" s="460" t="s">
        <v>93</v>
      </c>
      <c r="F1280" s="725"/>
      <c r="G1280" s="460" t="s">
        <v>93</v>
      </c>
      <c r="H1280" s="460"/>
      <c r="I1280" s="1259"/>
    </row>
    <row r="1281" spans="1:9" ht="14.55" customHeight="1" x14ac:dyDescent="0.3">
      <c r="A1281" s="1258" t="s">
        <v>276</v>
      </c>
      <c r="B1281" s="725"/>
      <c r="C1281" s="460" t="s">
        <v>93</v>
      </c>
      <c r="D1281" s="725"/>
      <c r="E1281" s="460" t="s">
        <v>93</v>
      </c>
      <c r="F1281" s="725"/>
      <c r="G1281" s="460" t="s">
        <v>93</v>
      </c>
      <c r="H1281" s="460"/>
      <c r="I1281" s="1259"/>
    </row>
    <row r="1282" spans="1:9" ht="14.55" customHeight="1" x14ac:dyDescent="0.3">
      <c r="A1282" s="1258" t="s">
        <v>277</v>
      </c>
      <c r="B1282" s="453" t="e">
        <f>IF((CEILING(B1276,1)+B1279)&lt;B1275,B1275,CEILING(B1276,1)+B1279)</f>
        <v>#N/A</v>
      </c>
      <c r="C1282" s="460" t="s">
        <v>93</v>
      </c>
      <c r="D1282" s="453" t="e">
        <f>IF((CEILING(D1276,1)+D1279)&lt;D1275,D1275,CEILING(D1276,1)+D1279)</f>
        <v>#N/A</v>
      </c>
      <c r="E1282" s="460" t="s">
        <v>93</v>
      </c>
      <c r="F1282" s="453" t="e">
        <f>IF((CEILING(F1276,1)+F1279)&lt;F1275,F1275,CEILING(F1276,1)+F1279)</f>
        <v>#N/A</v>
      </c>
      <c r="G1282" s="460" t="s">
        <v>93</v>
      </c>
      <c r="H1282" s="460"/>
      <c r="I1282" s="1259"/>
    </row>
    <row r="1283" spans="1:9" ht="14.55" customHeight="1" x14ac:dyDescent="0.3">
      <c r="A1283" s="1258" t="s">
        <v>278</v>
      </c>
      <c r="B1283" s="453" t="e">
        <f>IF((CEILING(B1277,1)+B1280)&lt;=B1275,B1275,CEILING(B1277,1)+B1280)</f>
        <v>#N/A</v>
      </c>
      <c r="C1283" s="460" t="s">
        <v>93</v>
      </c>
      <c r="D1283" s="453" t="e">
        <f>IF((CEILING(D1277,1)+D1280)&lt;=D1275,D1275,CEILING(D1277,1)+D1280)</f>
        <v>#N/A</v>
      </c>
      <c r="E1283" s="460" t="s">
        <v>93</v>
      </c>
      <c r="F1283" s="453" t="e">
        <f>IF((CEILING(F1277,1)+F1280)&lt;=F1275,F1275,CEILING(F1277,1)+F1280)</f>
        <v>#N/A</v>
      </c>
      <c r="G1283" s="460" t="s">
        <v>93</v>
      </c>
      <c r="H1283" s="460"/>
      <c r="I1283" s="1259"/>
    </row>
    <row r="1284" spans="1:9" ht="14.55" customHeight="1" x14ac:dyDescent="0.3">
      <c r="A1284" s="1258" t="s">
        <v>279</v>
      </c>
      <c r="B1284" s="453" t="e">
        <f>IF((CEILING(B1278,1)+B1281)&lt;=B1275,B1275,CEILING(B1278,1)+B1281)</f>
        <v>#N/A</v>
      </c>
      <c r="C1284" s="460" t="s">
        <v>93</v>
      </c>
      <c r="D1284" s="453" t="e">
        <f>IF((CEILING(D1278,1)+D1281)&lt;=D1275,D1275,CEILING(D1278,1)+D1281)</f>
        <v>#N/A</v>
      </c>
      <c r="E1284" s="460" t="s">
        <v>93</v>
      </c>
      <c r="F1284" s="453" t="e">
        <f>IF((CEILING(F1278,1)+F1281)&lt;=F1275,F1275,CEILING(F1278,1)+F1281)</f>
        <v>#N/A</v>
      </c>
      <c r="G1284" s="460" t="s">
        <v>93</v>
      </c>
      <c r="H1284" s="460"/>
      <c r="I1284" s="1259"/>
    </row>
    <row r="1285" spans="1:9" ht="14.55" customHeight="1" x14ac:dyDescent="0.3">
      <c r="A1285" s="1258" t="s">
        <v>280</v>
      </c>
      <c r="B1285" s="453"/>
      <c r="C1285" s="460"/>
      <c r="D1285" s="453"/>
      <c r="E1285" s="460"/>
      <c r="F1285" s="726"/>
      <c r="G1285" s="460"/>
      <c r="H1285" s="460"/>
      <c r="I1285" s="1259"/>
    </row>
    <row r="1286" spans="1:9" ht="14.55" customHeight="1" x14ac:dyDescent="0.3">
      <c r="A1286" s="1258" t="s">
        <v>281</v>
      </c>
      <c r="B1286" s="453"/>
      <c r="C1286" s="460"/>
      <c r="D1286" s="453"/>
      <c r="E1286" s="460"/>
      <c r="F1286" s="460">
        <f>IFERROR(VLOOKUP(F1240,'Thickness Tab'!$1:$1048576,MATCH(F1285,'Thickness Tab'!$1:$1,0),0),0)</f>
        <v>0</v>
      </c>
      <c r="G1286" s="460" t="s">
        <v>93</v>
      </c>
      <c r="H1286" s="460"/>
      <c r="I1286" s="1259"/>
    </row>
    <row r="1287" spans="1:9" ht="14.55" customHeight="1" x14ac:dyDescent="0.3">
      <c r="A1287" s="1258"/>
      <c r="B1287" s="464"/>
      <c r="C1287" s="460"/>
      <c r="D1287" s="460"/>
      <c r="E1287" s="460"/>
      <c r="F1287" s="460"/>
      <c r="G1287" s="460"/>
      <c r="H1287" s="460"/>
      <c r="I1287" s="1259"/>
    </row>
    <row r="1288" spans="1:9" ht="14.55" customHeight="1" x14ac:dyDescent="0.3">
      <c r="A1288" s="1258" t="s">
        <v>282</v>
      </c>
      <c r="B1288" s="725">
        <v>0</v>
      </c>
      <c r="C1288" s="460" t="s">
        <v>93</v>
      </c>
      <c r="D1288" s="725">
        <v>0</v>
      </c>
      <c r="E1288" s="460" t="s">
        <v>93</v>
      </c>
      <c r="F1288" s="725">
        <v>0</v>
      </c>
      <c r="G1288" s="460" t="s">
        <v>93</v>
      </c>
      <c r="H1288" s="460"/>
      <c r="I1288" s="1259"/>
    </row>
    <row r="1289" spans="1:9" ht="14.55" customHeight="1" x14ac:dyDescent="0.3">
      <c r="A1289" s="1258" t="s">
        <v>283</v>
      </c>
      <c r="B1289" s="725">
        <v>0</v>
      </c>
      <c r="C1289" s="460" t="s">
        <v>93</v>
      </c>
      <c r="D1289" s="725">
        <v>0</v>
      </c>
      <c r="E1289" s="460" t="s">
        <v>93</v>
      </c>
      <c r="F1289" s="725">
        <v>0</v>
      </c>
      <c r="G1289" s="460" t="s">
        <v>93</v>
      </c>
      <c r="H1289" s="460"/>
      <c r="I1289" s="1259"/>
    </row>
    <row r="1290" spans="1:9" ht="14.55" customHeight="1" x14ac:dyDescent="0.3">
      <c r="A1290" s="1258" t="s">
        <v>284</v>
      </c>
      <c r="B1290" s="725">
        <v>0</v>
      </c>
      <c r="C1290" s="460" t="s">
        <v>93</v>
      </c>
      <c r="D1290" s="725">
        <v>0</v>
      </c>
      <c r="E1290" s="460" t="s">
        <v>93</v>
      </c>
      <c r="F1290" s="725">
        <v>0</v>
      </c>
      <c r="G1290" s="460" t="s">
        <v>93</v>
      </c>
      <c r="H1290" s="460"/>
      <c r="I1290" s="1259"/>
    </row>
    <row r="1291" spans="1:9" ht="14.55" customHeight="1" x14ac:dyDescent="0.3">
      <c r="A1291" s="1258"/>
      <c r="B1291" s="464"/>
      <c r="C1291" s="460"/>
      <c r="D1291" s="460"/>
      <c r="E1291" s="460"/>
      <c r="F1291" s="460"/>
      <c r="G1291" s="460"/>
      <c r="H1291" s="460"/>
      <c r="I1291" s="1259"/>
    </row>
    <row r="1292" spans="1:9" ht="14.55" customHeight="1" x14ac:dyDescent="0.3">
      <c r="A1292" s="1260" t="s">
        <v>285</v>
      </c>
      <c r="B1292" s="470" t="str">
        <f>IF(B1220="Horizontal","No Skirt","")</f>
        <v/>
      </c>
      <c r="C1292" s="460"/>
      <c r="D1292" s="471"/>
      <c r="E1292" s="471" t="s">
        <v>286</v>
      </c>
      <c r="F1292" s="460"/>
      <c r="G1292" s="469"/>
      <c r="H1292" s="469"/>
      <c r="I1292" s="1261"/>
    </row>
    <row r="1293" spans="1:9" ht="14.55" customHeight="1" x14ac:dyDescent="0.3">
      <c r="A1293" s="1258" t="s">
        <v>287</v>
      </c>
      <c r="B1293" s="722"/>
      <c r="C1293" s="456" t="s">
        <v>93</v>
      </c>
      <c r="D1293" s="472"/>
      <c r="E1293" s="472" t="s">
        <v>288</v>
      </c>
      <c r="F1293" s="725"/>
      <c r="G1293" s="460" t="s">
        <v>93</v>
      </c>
      <c r="H1293" s="469"/>
      <c r="I1293" s="1261"/>
    </row>
    <row r="1294" spans="1:9" ht="14.55" customHeight="1" x14ac:dyDescent="0.3">
      <c r="A1294" s="1258" t="s">
        <v>289</v>
      </c>
      <c r="B1294" s="722"/>
      <c r="C1294" s="456" t="s">
        <v>93</v>
      </c>
      <c r="D1294" s="472"/>
      <c r="E1294" s="472" t="s">
        <v>290</v>
      </c>
      <c r="F1294" s="725"/>
      <c r="G1294" s="460" t="s">
        <v>93</v>
      </c>
      <c r="H1294" s="469"/>
      <c r="I1294" s="1261"/>
    </row>
    <row r="1295" spans="1:9" ht="14.55" customHeight="1" x14ac:dyDescent="0.3">
      <c r="A1295" s="1258" t="s">
        <v>291</v>
      </c>
      <c r="B1295" s="722"/>
      <c r="C1295" s="456" t="s">
        <v>93</v>
      </c>
      <c r="D1295" s="472"/>
      <c r="E1295" s="472" t="s">
        <v>292</v>
      </c>
      <c r="F1295" s="725"/>
      <c r="G1295" s="460"/>
      <c r="H1295" s="469"/>
      <c r="I1295" s="1261"/>
    </row>
    <row r="1296" spans="1:9" ht="14.55" customHeight="1" x14ac:dyDescent="0.3">
      <c r="A1296" s="1258" t="s">
        <v>293</v>
      </c>
      <c r="B1296" s="722"/>
      <c r="C1296" s="456" t="s">
        <v>93</v>
      </c>
      <c r="D1296" s="472"/>
      <c r="E1296" s="472" t="s">
        <v>184</v>
      </c>
      <c r="F1296" s="457">
        <f>(PI()*F1293^2)/4*F1294*(7800/1000000000)</f>
        <v>0</v>
      </c>
      <c r="G1296" s="460" t="s">
        <v>222</v>
      </c>
      <c r="H1296" s="460"/>
      <c r="I1296" s="1259"/>
    </row>
    <row r="1297" spans="1:9" ht="14.55" customHeight="1" x14ac:dyDescent="0.3">
      <c r="A1297" s="1258" t="s">
        <v>294</v>
      </c>
      <c r="B1297" s="722"/>
      <c r="C1297" s="456" t="s">
        <v>93</v>
      </c>
      <c r="D1297" s="460"/>
      <c r="E1297" s="460"/>
      <c r="F1297" s="460"/>
      <c r="G1297" s="460"/>
      <c r="H1297" s="460"/>
      <c r="I1297" s="1259"/>
    </row>
    <row r="1298" spans="1:9" ht="14.55" customHeight="1" x14ac:dyDescent="0.3">
      <c r="A1298" s="1258"/>
      <c r="B1298" s="407"/>
      <c r="C1298" s="460"/>
      <c r="D1298" s="460"/>
      <c r="E1298" s="460"/>
      <c r="F1298" s="460"/>
      <c r="G1298" s="460"/>
      <c r="H1298" s="460"/>
      <c r="I1298" s="1259"/>
    </row>
    <row r="1299" spans="1:9" ht="14.55" customHeight="1" x14ac:dyDescent="0.3">
      <c r="A1299" s="1262" t="s">
        <v>295</v>
      </c>
      <c r="B1299" s="480"/>
      <c r="C1299" s="59"/>
      <c r="D1299" s="59"/>
      <c r="E1299" s="59"/>
      <c r="F1299" s="460"/>
      <c r="G1299" s="460"/>
      <c r="H1299" s="460"/>
      <c r="I1299" s="1259"/>
    </row>
    <row r="1300" spans="1:9" ht="14.55" customHeight="1" x14ac:dyDescent="0.3">
      <c r="A1300" s="1263" t="s">
        <v>296</v>
      </c>
      <c r="B1300" s="722"/>
      <c r="C1300" s="59" t="s">
        <v>93</v>
      </c>
      <c r="D1300" s="59"/>
      <c r="E1300" s="59"/>
      <c r="F1300" s="460"/>
      <c r="G1300" s="460"/>
      <c r="H1300" s="460"/>
      <c r="I1300" s="1259"/>
    </row>
    <row r="1301" spans="1:9" ht="14.55" customHeight="1" x14ac:dyDescent="0.3">
      <c r="A1301" s="1263" t="s">
        <v>297</v>
      </c>
      <c r="B1301" s="722"/>
      <c r="C1301" s="59" t="s">
        <v>93</v>
      </c>
      <c r="D1301" s="59"/>
      <c r="E1301" s="59"/>
      <c r="F1301" s="460"/>
      <c r="G1301" s="460"/>
      <c r="H1301" s="460"/>
      <c r="I1301" s="1259"/>
    </row>
    <row r="1302" spans="1:9" ht="14.55" customHeight="1" x14ac:dyDescent="0.3">
      <c r="A1302" s="1263" t="s">
        <v>298</v>
      </c>
      <c r="B1302" s="480">
        <f>B1243</f>
        <v>0</v>
      </c>
      <c r="C1302" s="59" t="s">
        <v>93</v>
      </c>
      <c r="D1302" s="59"/>
      <c r="E1302" s="59"/>
      <c r="F1302" s="460"/>
      <c r="G1302" s="460"/>
      <c r="H1302" s="460"/>
      <c r="I1302" s="1259"/>
    </row>
    <row r="1303" spans="1:9" ht="14.55" customHeight="1" x14ac:dyDescent="0.3">
      <c r="A1303" s="1263" t="s">
        <v>299</v>
      </c>
      <c r="B1303" s="727"/>
      <c r="C1303" s="59"/>
      <c r="D1303" s="59"/>
      <c r="E1303" s="59"/>
      <c r="F1303" s="460"/>
      <c r="G1303" s="460"/>
      <c r="H1303" s="460"/>
      <c r="I1303" s="1259"/>
    </row>
    <row r="1304" spans="1:9" ht="14.55" customHeight="1" x14ac:dyDescent="0.3">
      <c r="A1304" s="1263" t="s">
        <v>300</v>
      </c>
      <c r="B1304" s="722"/>
      <c r="C1304" s="59" t="s">
        <v>301</v>
      </c>
      <c r="D1304" s="59"/>
      <c r="E1304" s="59"/>
      <c r="F1304" s="460"/>
      <c r="G1304" s="460"/>
      <c r="H1304" s="460"/>
      <c r="I1304" s="1259"/>
    </row>
    <row r="1305" spans="1:9" ht="14.55" customHeight="1" x14ac:dyDescent="0.3">
      <c r="A1305" s="1263" t="s">
        <v>302</v>
      </c>
      <c r="B1305" s="480">
        <f>IF(B1303="Straight",B1302,B1302*2)</f>
        <v>0</v>
      </c>
      <c r="C1305" s="59" t="s">
        <v>93</v>
      </c>
      <c r="D1305" s="480"/>
      <c r="E1305" s="59"/>
      <c r="F1305" s="460"/>
      <c r="G1305" s="460"/>
      <c r="H1305" s="460"/>
      <c r="I1305" s="1259"/>
    </row>
    <row r="1306" spans="1:9" ht="14.55" customHeight="1" x14ac:dyDescent="0.3">
      <c r="A1306" s="1263" t="s">
        <v>303</v>
      </c>
      <c r="B1306" s="480">
        <f>B1300*PI()*B1305/1000000*B1304</f>
        <v>0</v>
      </c>
      <c r="C1306" s="59" t="s">
        <v>228</v>
      </c>
      <c r="D1306" s="59"/>
      <c r="E1306" s="59"/>
      <c r="F1306" s="460"/>
      <c r="G1306" s="460"/>
      <c r="H1306" s="460"/>
      <c r="I1306" s="1259"/>
    </row>
    <row r="1307" spans="1:9" ht="14.55" customHeight="1" x14ac:dyDescent="0.3">
      <c r="A1307" s="1263" t="s">
        <v>304</v>
      </c>
      <c r="B1307" s="480">
        <v>7.86</v>
      </c>
      <c r="C1307" s="59" t="s">
        <v>305</v>
      </c>
      <c r="D1307" s="59"/>
      <c r="E1307" s="59"/>
      <c r="F1307" s="460"/>
      <c r="G1307" s="460"/>
      <c r="H1307" s="460"/>
      <c r="I1307" s="1259"/>
    </row>
    <row r="1308" spans="1:9" ht="14.55" customHeight="1" x14ac:dyDescent="0.3">
      <c r="A1308" s="1263" t="s">
        <v>306</v>
      </c>
      <c r="B1308" s="480">
        <f>PI()*B1301*(B1300-B1301)*B1307/1000</f>
        <v>0</v>
      </c>
      <c r="C1308" s="59" t="s">
        <v>307</v>
      </c>
      <c r="D1308" s="59"/>
      <c r="E1308" s="59"/>
      <c r="F1308" s="460"/>
      <c r="G1308" s="460"/>
      <c r="H1308" s="460"/>
      <c r="I1308" s="1259"/>
    </row>
    <row r="1309" spans="1:9" ht="14.55" customHeight="1" x14ac:dyDescent="0.3">
      <c r="A1309" s="1263" t="s">
        <v>308</v>
      </c>
      <c r="B1309" s="480">
        <f>B1308*B1305*B1304/1000</f>
        <v>0</v>
      </c>
      <c r="C1309" s="59" t="s">
        <v>222</v>
      </c>
      <c r="D1309" s="59"/>
      <c r="E1309" s="59"/>
      <c r="F1309" s="460"/>
      <c r="G1309" s="460"/>
      <c r="H1309" s="460"/>
      <c r="I1309" s="1259"/>
    </row>
    <row r="1310" spans="1:9" ht="14.55" customHeight="1" x14ac:dyDescent="0.3">
      <c r="A1310" s="1263"/>
      <c r="B1310" s="480"/>
      <c r="C1310" s="59"/>
      <c r="D1310" s="59"/>
      <c r="E1310" s="59"/>
      <c r="F1310" s="460"/>
      <c r="G1310" s="460"/>
      <c r="H1310" s="460"/>
      <c r="I1310" s="1259"/>
    </row>
    <row r="1311" spans="1:9" ht="14.55" customHeight="1" x14ac:dyDescent="0.3">
      <c r="A1311" s="1262" t="s">
        <v>309</v>
      </c>
      <c r="B1311" s="480"/>
      <c r="C1311" s="59"/>
      <c r="D1311" s="59"/>
      <c r="E1311" s="59"/>
      <c r="F1311" s="460"/>
      <c r="G1311" s="460"/>
      <c r="H1311" s="460"/>
      <c r="I1311" s="1259"/>
    </row>
    <row r="1312" spans="1:9" ht="14.55" customHeight="1" x14ac:dyDescent="0.3">
      <c r="A1312" s="1263" t="s">
        <v>310</v>
      </c>
      <c r="B1312" s="480">
        <f>B1241</f>
        <v>0</v>
      </c>
      <c r="C1312" s="59" t="s">
        <v>93</v>
      </c>
      <c r="D1312" s="59"/>
      <c r="E1312" s="59"/>
      <c r="F1312" s="460"/>
      <c r="G1312" s="460"/>
      <c r="H1312" s="460"/>
      <c r="I1312" s="1259"/>
    </row>
    <row r="1313" spans="1:9" ht="14.55" customHeight="1" x14ac:dyDescent="0.3">
      <c r="A1313" s="1263" t="s">
        <v>297</v>
      </c>
      <c r="B1313" s="480">
        <v>15</v>
      </c>
      <c r="C1313" s="59" t="s">
        <v>93</v>
      </c>
      <c r="D1313" s="59"/>
      <c r="E1313" s="59"/>
      <c r="F1313" s="460"/>
      <c r="G1313" s="460"/>
      <c r="H1313" s="460"/>
      <c r="I1313" s="1259"/>
    </row>
    <row r="1314" spans="1:9" ht="14.55" customHeight="1" x14ac:dyDescent="0.3">
      <c r="A1314" s="1263" t="s">
        <v>311</v>
      </c>
      <c r="B1314" s="480">
        <f>B1312^2*PI()/4/1000000</f>
        <v>0</v>
      </c>
      <c r="C1314" s="59" t="s">
        <v>228</v>
      </c>
      <c r="D1314" s="59"/>
      <c r="E1314" s="59"/>
      <c r="F1314" s="460"/>
      <c r="G1314" s="460"/>
      <c r="H1314" s="460"/>
      <c r="I1314" s="1259"/>
    </row>
    <row r="1315" spans="1:9" ht="14.55" customHeight="1" x14ac:dyDescent="0.3">
      <c r="A1315" s="1263" t="s">
        <v>312</v>
      </c>
      <c r="B1315" s="480">
        <f>B1314*B1313/1000*B1307*2/1000</f>
        <v>0</v>
      </c>
      <c r="C1315" s="59" t="s">
        <v>222</v>
      </c>
      <c r="D1315" s="59"/>
      <c r="E1315" s="59"/>
      <c r="F1315" s="460"/>
      <c r="G1315" s="460"/>
      <c r="H1315" s="460"/>
      <c r="I1315" s="1259"/>
    </row>
    <row r="1316" spans="1:9" ht="14.55" customHeight="1" x14ac:dyDescent="0.3">
      <c r="A1316" s="1263"/>
      <c r="B1316" s="480"/>
      <c r="C1316" s="59"/>
      <c r="D1316" s="59"/>
      <c r="E1316" s="59"/>
      <c r="F1316" s="460"/>
      <c r="G1316" s="460"/>
      <c r="H1316" s="460"/>
      <c r="I1316" s="1259"/>
    </row>
    <row r="1317" spans="1:9" ht="14.55" customHeight="1" x14ac:dyDescent="0.3">
      <c r="A1317" s="1263" t="s">
        <v>313</v>
      </c>
      <c r="B1317" s="480">
        <f>B1309+B1315*2</f>
        <v>0</v>
      </c>
      <c r="C1317" s="59" t="s">
        <v>222</v>
      </c>
      <c r="D1317" s="59"/>
      <c r="E1317" s="59"/>
      <c r="F1317" s="460"/>
      <c r="G1317" s="460"/>
      <c r="H1317" s="460"/>
      <c r="I1317" s="1259"/>
    </row>
    <row r="1318" spans="1:9" ht="14.55" customHeight="1" x14ac:dyDescent="0.3">
      <c r="A1318" s="1263"/>
      <c r="B1318" s="480"/>
      <c r="C1318" s="59"/>
      <c r="D1318" s="59"/>
      <c r="E1318" s="59"/>
      <c r="F1318" s="460"/>
      <c r="G1318" s="460"/>
      <c r="H1318" s="460"/>
      <c r="I1318" s="1259"/>
    </row>
    <row r="1319" spans="1:9" ht="14.55" customHeight="1" x14ac:dyDescent="0.3">
      <c r="A1319" s="1260" t="s">
        <v>314</v>
      </c>
      <c r="B1319" s="460"/>
      <c r="C1319" s="460"/>
      <c r="D1319" s="463" t="s">
        <v>315</v>
      </c>
      <c r="E1319" s="460"/>
      <c r="F1319" s="460"/>
      <c r="G1319" s="471" t="s">
        <v>316</v>
      </c>
      <c r="H1319" s="453"/>
      <c r="I1319" s="1259"/>
    </row>
    <row r="1320" spans="1:9" ht="14.55" customHeight="1" x14ac:dyDescent="0.3">
      <c r="A1320" s="1258" t="s">
        <v>189</v>
      </c>
      <c r="B1320" s="468" t="e">
        <f>SUM(B1244,D1244,F1244)</f>
        <v>#N/A</v>
      </c>
      <c r="C1320" s="460" t="s">
        <v>222</v>
      </c>
      <c r="D1320" s="472" t="s">
        <v>189</v>
      </c>
      <c r="E1320" s="468" t="e">
        <f>SUM(B1246,D1246,F1246)</f>
        <v>#N/A</v>
      </c>
      <c r="F1320" s="460" t="s">
        <v>228</v>
      </c>
      <c r="G1320" s="472" t="s">
        <v>189</v>
      </c>
      <c r="H1320" s="453" t="e">
        <f>SUM(B1248,D1248,F1248)</f>
        <v>#N/A</v>
      </c>
      <c r="I1320" s="1259" t="s">
        <v>228</v>
      </c>
    </row>
    <row r="1321" spans="1:9" ht="14.55" customHeight="1" x14ac:dyDescent="0.3">
      <c r="A1321" s="1258" t="s">
        <v>317</v>
      </c>
      <c r="B1321" s="468" t="e">
        <f>SUM(B1254*B1256,D1254*D1256,F1254*F1256)</f>
        <v>#N/A</v>
      </c>
      <c r="C1321" s="460" t="s">
        <v>222</v>
      </c>
      <c r="D1321" s="472" t="s">
        <v>317</v>
      </c>
      <c r="E1321" s="468" t="e">
        <f>SUM(B1254*B1258,D1254*D1258,F1254*F1258)</f>
        <v>#N/A</v>
      </c>
      <c r="F1321" s="460" t="s">
        <v>228</v>
      </c>
      <c r="G1321" s="472" t="s">
        <v>317</v>
      </c>
      <c r="H1321" s="453" t="e">
        <f>SUM(B1254*B1260,D1254*D1260,F1254*F1260)</f>
        <v>#N/A</v>
      </c>
      <c r="I1321" s="1259" t="s">
        <v>228</v>
      </c>
    </row>
    <row r="1322" spans="1:9" ht="14.55" customHeight="1" x14ac:dyDescent="0.3">
      <c r="A1322" s="1258" t="s">
        <v>318</v>
      </c>
      <c r="B1322" s="468" t="e">
        <f>SUM(B1268,D1268,F1268)</f>
        <v>#N/A</v>
      </c>
      <c r="C1322" s="460" t="s">
        <v>222</v>
      </c>
      <c r="D1322" s="472" t="s">
        <v>318</v>
      </c>
      <c r="E1322" s="468" t="e">
        <f>SUM(B1270,D1270,F1270)</f>
        <v>#N/A</v>
      </c>
      <c r="F1322" s="460" t="s">
        <v>228</v>
      </c>
      <c r="G1322" s="472" t="s">
        <v>318</v>
      </c>
      <c r="H1322" s="453" t="e">
        <f>SUM(B1273,D1273,F1273)</f>
        <v>#N/A</v>
      </c>
      <c r="I1322" s="1259" t="s">
        <v>228</v>
      </c>
    </row>
    <row r="1323" spans="1:9" ht="14.55" customHeight="1" x14ac:dyDescent="0.3">
      <c r="A1323" s="1258" t="s">
        <v>319</v>
      </c>
      <c r="B1323" s="468">
        <f>SUMPRODUCT(F1340:F1351,H1340:H1351)</f>
        <v>0</v>
      </c>
      <c r="C1323" s="460" t="s">
        <v>222</v>
      </c>
      <c r="D1323" s="472" t="s">
        <v>319</v>
      </c>
      <c r="E1323" s="468">
        <f>SUMPRODUCT(F1340:F1351,I1340:I1351)</f>
        <v>0</v>
      </c>
      <c r="F1323" s="460" t="s">
        <v>228</v>
      </c>
      <c r="G1323" s="460"/>
      <c r="H1323" s="453"/>
      <c r="I1323" s="1259"/>
    </row>
    <row r="1324" spans="1:9" ht="14.55" customHeight="1" x14ac:dyDescent="0.3">
      <c r="A1324" s="1258" t="s">
        <v>320</v>
      </c>
      <c r="B1324" s="468" t="e">
        <f>IF(B1220="Horizontal",0,(PI()*B1294*(((B1242/2)^2)-(((B1242-2*B1293)/2)^2))*7860)/1000000000)</f>
        <v>#N/A</v>
      </c>
      <c r="C1324" s="460" t="s">
        <v>222</v>
      </c>
      <c r="D1324" s="472" t="s">
        <v>320</v>
      </c>
      <c r="E1324" s="468" t="e">
        <f>IF(B1220="Horizontal",0,((B1242*B1294*PI())+((B1242-2*B1293)*B1294*PI()))/1000000)</f>
        <v>#N/A</v>
      </c>
      <c r="F1324" s="460" t="s">
        <v>228</v>
      </c>
      <c r="G1324" s="471" t="s">
        <v>321</v>
      </c>
      <c r="H1324" s="453"/>
      <c r="I1324" s="1259"/>
    </row>
    <row r="1325" spans="1:9" ht="14.55" customHeight="1" x14ac:dyDescent="0.3">
      <c r="A1325" s="1258" t="s">
        <v>322</v>
      </c>
      <c r="B1325" s="468">
        <f>IF(B1220="Horizontal",0,(PI()*B1297*(((B1296/2)^2)-((B1295/2)^2))*7860)/1000000000)</f>
        <v>0</v>
      </c>
      <c r="C1325" s="460" t="s">
        <v>222</v>
      </c>
      <c r="D1325" s="472" t="s">
        <v>322</v>
      </c>
      <c r="E1325" s="468">
        <f>IF(B1220="Horizontal",0,((B1296*3.14*B1297)+(B1295*3.14*B1297)+(((((B1296/2)^2)*3.14)-(((B1295/2)^2)*3.14))*2))/1000000)</f>
        <v>0</v>
      </c>
      <c r="F1325" s="460" t="s">
        <v>228</v>
      </c>
      <c r="G1325" s="472" t="s">
        <v>189</v>
      </c>
      <c r="H1325" s="453">
        <f>SUM(B1245,D1245,F1245)</f>
        <v>0</v>
      </c>
      <c r="I1325" s="1259" t="s">
        <v>225</v>
      </c>
    </row>
    <row r="1326" spans="1:9" ht="14.55" customHeight="1" x14ac:dyDescent="0.3">
      <c r="A1326" s="1258" t="s">
        <v>323</v>
      </c>
      <c r="B1326" s="468">
        <f>IF(B1220="Horizontal",VLOOKUP(B1242,List!$AR:$AS,2,1)*2,0)</f>
        <v>0</v>
      </c>
      <c r="C1326" s="460" t="s">
        <v>222</v>
      </c>
      <c r="D1326" s="472" t="s">
        <v>323</v>
      </c>
      <c r="E1326" s="725"/>
      <c r="F1326" s="460" t="s">
        <v>228</v>
      </c>
      <c r="G1326" s="472" t="s">
        <v>317</v>
      </c>
      <c r="H1326" s="453" t="e">
        <f>SUM(B1254*B1257+D1254*D1257+F1254*F1257)</f>
        <v>#N/A</v>
      </c>
      <c r="I1326" s="1259" t="s">
        <v>225</v>
      </c>
    </row>
    <row r="1327" spans="1:9" ht="14.55" customHeight="1" x14ac:dyDescent="0.3">
      <c r="A1327" s="1258" t="s">
        <v>324</v>
      </c>
      <c r="B1327" s="468">
        <f>F1296*F1295</f>
        <v>0</v>
      </c>
      <c r="C1327" s="460" t="s">
        <v>222</v>
      </c>
      <c r="D1327" s="460"/>
      <c r="E1327" s="460"/>
      <c r="F1327" s="460"/>
      <c r="G1327" s="472" t="s">
        <v>318</v>
      </c>
      <c r="H1327" s="453">
        <f>SUM(B1269,D1269,F1269)</f>
        <v>0</v>
      </c>
      <c r="I1327" s="1259" t="s">
        <v>225</v>
      </c>
    </row>
    <row r="1328" spans="1:9" ht="14.55" customHeight="1" x14ac:dyDescent="0.3">
      <c r="A1328" s="1258" t="s">
        <v>325</v>
      </c>
      <c r="B1328" s="468">
        <f>B1317</f>
        <v>0</v>
      </c>
      <c r="C1328" s="460" t="s">
        <v>222</v>
      </c>
      <c r="D1328" s="460"/>
      <c r="E1328" s="460"/>
      <c r="F1328" s="460"/>
      <c r="G1328" s="472"/>
      <c r="H1328" s="453"/>
      <c r="I1328" s="1259"/>
    </row>
    <row r="1329" spans="1:9" ht="14.55" customHeight="1" x14ac:dyDescent="0.3">
      <c r="A1329" s="1258" t="s">
        <v>326</v>
      </c>
      <c r="B1329" s="725"/>
      <c r="C1329" s="460" t="s">
        <v>222</v>
      </c>
      <c r="D1329" s="460"/>
      <c r="E1329" s="460"/>
      <c r="F1329" s="460"/>
      <c r="G1329" s="460"/>
      <c r="H1329" s="460"/>
      <c r="I1329" s="1259"/>
    </row>
    <row r="1330" spans="1:9" ht="14.55" customHeight="1" x14ac:dyDescent="0.3">
      <c r="A1330" s="1264"/>
      <c r="B1330" s="460"/>
      <c r="C1330" s="460"/>
      <c r="D1330" s="460"/>
      <c r="E1330" s="460"/>
      <c r="F1330" s="460"/>
      <c r="G1330" s="460"/>
      <c r="H1330" s="460"/>
      <c r="I1330" s="1259"/>
    </row>
    <row r="1331" spans="1:9" ht="14.55" customHeight="1" x14ac:dyDescent="0.3">
      <c r="A1331" s="1258" t="s">
        <v>327</v>
      </c>
      <c r="B1331" s="453" t="e">
        <f>SUM(E1320:E1326)</f>
        <v>#N/A</v>
      </c>
      <c r="C1331" s="460" t="s">
        <v>228</v>
      </c>
      <c r="D1331" s="460"/>
      <c r="E1331" s="460"/>
      <c r="F1331" s="460"/>
      <c r="G1331" s="460"/>
      <c r="H1331" s="460"/>
      <c r="I1331" s="1259"/>
    </row>
    <row r="1332" spans="1:9" ht="14.55" customHeight="1" x14ac:dyDescent="0.3">
      <c r="A1332" s="1258" t="s">
        <v>328</v>
      </c>
      <c r="B1332" s="453" t="e">
        <f>IF(SUM(E1320:E1322)=SUM(H1320:H1322),"Not Insulated",SUM(H1320:H1322))</f>
        <v>#N/A</v>
      </c>
      <c r="C1332" s="460" t="e">
        <f>IF(B1331=SUM(H1320:H1322),"","m2")</f>
        <v>#N/A</v>
      </c>
      <c r="D1332" s="460"/>
      <c r="E1332" s="460"/>
      <c r="F1332" s="460"/>
      <c r="G1332" s="460"/>
      <c r="H1332" s="460"/>
      <c r="I1332" s="1259"/>
    </row>
    <row r="1333" spans="1:9" ht="14.55" customHeight="1" x14ac:dyDescent="0.3">
      <c r="A1333" s="1258" t="s">
        <v>329</v>
      </c>
      <c r="B1333" s="453" t="e">
        <f>SUM(H1325:H1327)</f>
        <v>#N/A</v>
      </c>
      <c r="C1333" s="460" t="s">
        <v>225</v>
      </c>
      <c r="D1333" s="460"/>
      <c r="E1333" s="460"/>
      <c r="F1333" s="460"/>
      <c r="G1333" s="460"/>
      <c r="H1333" s="460"/>
      <c r="I1333" s="1259"/>
    </row>
    <row r="1334" spans="1:9" ht="14.55" customHeight="1" x14ac:dyDescent="0.3">
      <c r="A1334" s="1258" t="s">
        <v>330</v>
      </c>
      <c r="B1334" s="453" t="e">
        <f>SUM(B1320:B1329)</f>
        <v>#N/A</v>
      </c>
      <c r="C1334" s="460" t="s">
        <v>222</v>
      </c>
      <c r="D1334" s="460"/>
      <c r="E1334" s="460"/>
      <c r="F1334" s="460"/>
      <c r="G1334" s="460"/>
      <c r="H1334" s="460"/>
      <c r="I1334" s="1259"/>
    </row>
    <row r="1335" spans="1:9" ht="14.55" customHeight="1" x14ac:dyDescent="0.3">
      <c r="A1335" s="1258" t="s">
        <v>331</v>
      </c>
      <c r="B1335" s="725"/>
      <c r="C1335" s="460" t="s">
        <v>222</v>
      </c>
      <c r="D1335" s="460"/>
      <c r="E1335" s="460"/>
      <c r="F1335" s="460"/>
      <c r="G1335" s="460"/>
      <c r="H1335" s="460"/>
      <c r="I1335" s="1259"/>
    </row>
    <row r="1336" spans="1:9" ht="15" customHeight="1" thickBot="1" x14ac:dyDescent="0.35">
      <c r="A1336" s="1258"/>
      <c r="B1336" s="473"/>
      <c r="C1336" s="459"/>
      <c r="D1336" s="460"/>
      <c r="E1336" s="460"/>
      <c r="F1336" s="460"/>
      <c r="G1336" s="460"/>
      <c r="H1336" s="460"/>
      <c r="I1336" s="1259"/>
    </row>
    <row r="1337" spans="1:9" ht="15" customHeight="1" thickBot="1" x14ac:dyDescent="0.35">
      <c r="A1337" s="474"/>
      <c r="B1337" s="1718" t="s">
        <v>332</v>
      </c>
      <c r="C1337" s="1718"/>
      <c r="D1337" s="1718"/>
      <c r="E1337" s="1718"/>
      <c r="F1337" s="1718"/>
      <c r="G1337" s="475"/>
      <c r="H1337" s="475"/>
      <c r="I1337" s="476"/>
    </row>
    <row r="1338" spans="1:9" ht="14.55" customHeight="1" x14ac:dyDescent="0.3">
      <c r="A1338" s="1264"/>
      <c r="B1338" s="1719" t="s">
        <v>333</v>
      </c>
      <c r="C1338" s="1381" t="s">
        <v>59</v>
      </c>
      <c r="D1338" s="1719" t="s">
        <v>114</v>
      </c>
      <c r="E1338" s="1719" t="s">
        <v>334</v>
      </c>
      <c r="F1338" s="1719" t="s">
        <v>292</v>
      </c>
      <c r="G1338" s="1719" t="s">
        <v>335</v>
      </c>
      <c r="H1338" s="1381" t="s">
        <v>184</v>
      </c>
      <c r="I1338" s="1346" t="s">
        <v>336</v>
      </c>
    </row>
    <row r="1339" spans="1:9" ht="14.55" customHeight="1" x14ac:dyDescent="0.3">
      <c r="A1339" s="1264"/>
      <c r="B1339" s="1720"/>
      <c r="C1339" s="1442" t="s">
        <v>214</v>
      </c>
      <c r="D1339" s="1720"/>
      <c r="E1339" s="1720"/>
      <c r="F1339" s="1720"/>
      <c r="G1339" s="1720"/>
      <c r="H1339" s="1442" t="s">
        <v>222</v>
      </c>
      <c r="I1339" s="1443" t="s">
        <v>228</v>
      </c>
    </row>
    <row r="1340" spans="1:9" ht="14.55" customHeight="1" x14ac:dyDescent="0.3">
      <c r="A1340" s="1264"/>
      <c r="B1340" s="1382" t="s">
        <v>337</v>
      </c>
      <c r="C1340" s="728"/>
      <c r="D1340" s="729"/>
      <c r="E1340" s="730"/>
      <c r="F1340" s="730"/>
      <c r="G1340" s="730"/>
      <c r="H1340" s="1465" t="str">
        <f>IFERROR(VLOOKUP($C1340&amp;"F"&amp;$D1340,'Flanges Chart'!$1:$1048576,MATCH($E1340&amp;"."&amp;H$123,'Flanges Chart'!$1:$1,0),0),"")</f>
        <v/>
      </c>
      <c r="I1340" s="1466" t="str">
        <f>IFERROR(VLOOKUP($C1340&amp;"F"&amp;$D1340,'Flanges Chart'!$1:$1048576,MATCH($E1340&amp;"."&amp;I$123,'Flanges Chart'!$1:$1,0),0),"")</f>
        <v/>
      </c>
    </row>
    <row r="1341" spans="1:9" ht="14.55" customHeight="1" x14ac:dyDescent="0.3">
      <c r="A1341" s="1264"/>
      <c r="B1341" s="1467" t="s">
        <v>340</v>
      </c>
      <c r="C1341" s="731"/>
      <c r="D1341" s="729"/>
      <c r="E1341" s="729"/>
      <c r="F1341" s="729"/>
      <c r="G1341" s="729"/>
      <c r="H1341" s="1465" t="str">
        <f>IFERROR(VLOOKUP($C1341&amp;"F"&amp;$D1341,'Flanges Chart'!$1:$1048576,MATCH($E1341&amp;"."&amp;H$123,'Flanges Chart'!$1:$1,0),0),"")</f>
        <v/>
      </c>
      <c r="I1341" s="1466" t="str">
        <f>IFERROR(VLOOKUP($C1341&amp;"F"&amp;$D1341,'Flanges Chart'!$1:$1048576,MATCH($E1341&amp;"."&amp;I$123,'Flanges Chart'!$1:$1,0),0),"")</f>
        <v/>
      </c>
    </row>
    <row r="1342" spans="1:9" ht="14.55" customHeight="1" x14ac:dyDescent="0.3">
      <c r="A1342" s="1264"/>
      <c r="B1342" s="1467" t="s">
        <v>342</v>
      </c>
      <c r="C1342" s="731"/>
      <c r="D1342" s="729"/>
      <c r="E1342" s="729"/>
      <c r="F1342" s="729"/>
      <c r="G1342" s="729"/>
      <c r="H1342" s="1465" t="str">
        <f>IFERROR(VLOOKUP($C1342&amp;"F"&amp;$D1342,'Flanges Chart'!$1:$1048576,MATCH($E1342&amp;"."&amp;H$123,'Flanges Chart'!$1:$1,0),0),"")</f>
        <v/>
      </c>
      <c r="I1342" s="1466" t="str">
        <f>IFERROR(VLOOKUP($C1342&amp;"F"&amp;$D1342,'Flanges Chart'!$1:$1048576,MATCH($E1342&amp;"."&amp;I$123,'Flanges Chart'!$1:$1,0),0),"")</f>
        <v/>
      </c>
    </row>
    <row r="1343" spans="1:9" ht="14.55" customHeight="1" x14ac:dyDescent="0.3">
      <c r="A1343" s="1264"/>
      <c r="B1343" s="1467" t="s">
        <v>344</v>
      </c>
      <c r="C1343" s="731"/>
      <c r="D1343" s="729"/>
      <c r="E1343" s="729"/>
      <c r="F1343" s="729"/>
      <c r="G1343" s="729"/>
      <c r="H1343" s="1465" t="str">
        <f>IFERROR(VLOOKUP($C1343&amp;"F"&amp;$D1343,'Flanges Chart'!$1:$1048576,MATCH($E1343&amp;"."&amp;H$123,'Flanges Chart'!$1:$1,0),0),"")</f>
        <v/>
      </c>
      <c r="I1343" s="1466" t="str">
        <f>IFERROR(VLOOKUP($C1343&amp;"F"&amp;$D1343,'Flanges Chart'!$1:$1048576,MATCH($E1343&amp;"."&amp;I$123,'Flanges Chart'!$1:$1,0),0),"")</f>
        <v/>
      </c>
    </row>
    <row r="1344" spans="1:9" ht="14.55" customHeight="1" x14ac:dyDescent="0.3">
      <c r="A1344" s="1264"/>
      <c r="B1344" s="1467" t="s">
        <v>347</v>
      </c>
      <c r="C1344" s="731"/>
      <c r="D1344" s="729"/>
      <c r="E1344" s="729"/>
      <c r="F1344" s="729"/>
      <c r="G1344" s="729"/>
      <c r="H1344" s="1465" t="str">
        <f>IFERROR(VLOOKUP($C1344&amp;"F"&amp;$D1344,'Flanges Chart'!$1:$1048576,MATCH($E1344&amp;"."&amp;H$123,'Flanges Chart'!$1:$1,0),0),"")</f>
        <v/>
      </c>
      <c r="I1344" s="1466" t="str">
        <f>IFERROR(VLOOKUP($C1344&amp;"F"&amp;$D1344,'Flanges Chart'!$1:$1048576,MATCH($E1344&amp;"."&amp;I$123,'Flanges Chart'!$1:$1,0),0),"")</f>
        <v/>
      </c>
    </row>
    <row r="1345" spans="1:13" ht="14.55" customHeight="1" x14ac:dyDescent="0.3">
      <c r="A1345" s="1264"/>
      <c r="B1345" s="1467" t="s">
        <v>349</v>
      </c>
      <c r="C1345" s="731"/>
      <c r="D1345" s="729"/>
      <c r="E1345" s="729"/>
      <c r="F1345" s="729"/>
      <c r="G1345" s="729"/>
      <c r="H1345" s="1465" t="str">
        <f>IFERROR(VLOOKUP($C1345&amp;"F"&amp;$D1345,'Flanges Chart'!$1:$1048576,MATCH($E1345&amp;"."&amp;H$123,'Flanges Chart'!$1:$1,0),0),"")</f>
        <v/>
      </c>
      <c r="I1345" s="1466" t="str">
        <f>IFERROR(VLOOKUP($C1345&amp;"F"&amp;$D1345,'Flanges Chart'!$1:$1048576,MATCH($E1345&amp;"."&amp;I$123,'Flanges Chart'!$1:$1,0),0),"")</f>
        <v/>
      </c>
    </row>
    <row r="1346" spans="1:13" ht="14.55" customHeight="1" x14ac:dyDescent="0.3">
      <c r="A1346" s="1264"/>
      <c r="B1346" s="1467" t="s">
        <v>350</v>
      </c>
      <c r="C1346" s="731"/>
      <c r="D1346" s="729"/>
      <c r="E1346" s="729"/>
      <c r="F1346" s="729"/>
      <c r="G1346" s="729"/>
      <c r="H1346" s="1465" t="str">
        <f>IFERROR(VLOOKUP($C1346&amp;"F"&amp;$D1346,'Flanges Chart'!$1:$1048576,MATCH($E1346&amp;"."&amp;H$123,'Flanges Chart'!$1:$1,0),0),"")</f>
        <v/>
      </c>
      <c r="I1346" s="1466" t="str">
        <f>IFERROR(VLOOKUP($C1346&amp;"F"&amp;$D1346,'Flanges Chart'!$1:$1048576,MATCH($E1346&amp;"."&amp;I$123,'Flanges Chart'!$1:$1,0),0),"")</f>
        <v/>
      </c>
    </row>
    <row r="1347" spans="1:13" ht="14.55" customHeight="1" x14ac:dyDescent="0.3">
      <c r="A1347" s="1264"/>
      <c r="B1347" s="1467" t="s">
        <v>351</v>
      </c>
      <c r="C1347" s="731"/>
      <c r="D1347" s="729"/>
      <c r="E1347" s="729"/>
      <c r="F1347" s="729"/>
      <c r="G1347" s="729"/>
      <c r="H1347" s="1465" t="str">
        <f>IFERROR(VLOOKUP($C1347&amp;"F"&amp;$D1347,'Flanges Chart'!$1:$1048576,MATCH($E1347&amp;"."&amp;H$123,'Flanges Chart'!$1:$1,0),0),"")</f>
        <v/>
      </c>
      <c r="I1347" s="1466" t="str">
        <f>IFERROR(VLOOKUP($C1347&amp;"F"&amp;$D1347,'Flanges Chart'!$1:$1048576,MATCH($E1347&amp;"."&amp;I$123,'Flanges Chart'!$1:$1,0),0),"")</f>
        <v/>
      </c>
    </row>
    <row r="1348" spans="1:13" ht="14.55" customHeight="1" x14ac:dyDescent="0.3">
      <c r="A1348" s="1264"/>
      <c r="B1348" s="1467" t="s">
        <v>352</v>
      </c>
      <c r="C1348" s="731"/>
      <c r="D1348" s="729"/>
      <c r="E1348" s="729"/>
      <c r="F1348" s="729"/>
      <c r="G1348" s="729"/>
      <c r="H1348" s="1465" t="str">
        <f>IFERROR(VLOOKUP($C1348&amp;"F"&amp;$D1348,'Flanges Chart'!$1:$1048576,MATCH($E1348&amp;"."&amp;H$123,'Flanges Chart'!$1:$1,0),0),"")</f>
        <v/>
      </c>
      <c r="I1348" s="1466" t="str">
        <f>IFERROR(VLOOKUP($C1348&amp;"F"&amp;$D1348,'Flanges Chart'!$1:$1048576,MATCH($E1348&amp;"."&amp;I$123,'Flanges Chart'!$1:$1,0),0),"")</f>
        <v/>
      </c>
    </row>
    <row r="1349" spans="1:13" ht="14.55" customHeight="1" x14ac:dyDescent="0.3">
      <c r="A1349" s="1264"/>
      <c r="B1349" s="1467" t="s">
        <v>353</v>
      </c>
      <c r="C1349" s="731"/>
      <c r="D1349" s="729"/>
      <c r="E1349" s="729"/>
      <c r="F1349" s="729"/>
      <c r="G1349" s="729"/>
      <c r="H1349" s="1465" t="str">
        <f>IFERROR(VLOOKUP($C1349&amp;"F"&amp;$D1349,'Flanges Chart'!$1:$1048576,MATCH($E1349&amp;"."&amp;H$123,'Flanges Chart'!$1:$1,0),0),"")</f>
        <v/>
      </c>
      <c r="I1349" s="1466" t="str">
        <f>IFERROR(VLOOKUP($C1349&amp;"F"&amp;$D1349,'Flanges Chart'!$1:$1048576,MATCH($E1349&amp;"."&amp;I$123,'Flanges Chart'!$1:$1,0),0),"")</f>
        <v/>
      </c>
    </row>
    <row r="1350" spans="1:13" ht="14.55" customHeight="1" x14ac:dyDescent="0.3">
      <c r="A1350" s="1264"/>
      <c r="B1350" s="1467" t="s">
        <v>354</v>
      </c>
      <c r="C1350" s="731"/>
      <c r="D1350" s="729"/>
      <c r="E1350" s="729"/>
      <c r="F1350" s="729"/>
      <c r="G1350" s="729"/>
      <c r="H1350" s="1465" t="str">
        <f>IFERROR(VLOOKUP($C1350&amp;"F"&amp;$D1350,'Flanges Chart'!$1:$1048576,MATCH($E1350&amp;"."&amp;H$123,'Flanges Chart'!$1:$1,0),0),"")</f>
        <v/>
      </c>
      <c r="I1350" s="1466" t="str">
        <f>IFERROR(VLOOKUP($C1350&amp;"F"&amp;$D1350,'Flanges Chart'!$1:$1048576,MATCH($E1350&amp;"."&amp;I$123,'Flanges Chart'!$1:$1,0),0),"")</f>
        <v/>
      </c>
    </row>
    <row r="1351" spans="1:13" ht="15" customHeight="1" thickBot="1" x14ac:dyDescent="0.35">
      <c r="A1351" s="1264"/>
      <c r="B1351" s="1468" t="s">
        <v>355</v>
      </c>
      <c r="C1351" s="732"/>
      <c r="D1351" s="733"/>
      <c r="E1351" s="733"/>
      <c r="F1351" s="733"/>
      <c r="G1351" s="733"/>
      <c r="H1351" s="1469" t="s">
        <v>356</v>
      </c>
      <c r="I1351" s="1470" t="str">
        <f>IFERROR(VLOOKUP($C1351&amp;"F"&amp;$D1351,'Flanges Chart'!$1:$1048576,MATCH($E1351&amp;"."&amp;I$123,'Flanges Chart'!$1:$1,0),0),"")</f>
        <v/>
      </c>
    </row>
    <row r="1352" spans="1:13" s="496" customFormat="1" ht="18.600000000000001" thickBot="1" x14ac:dyDescent="0.35">
      <c r="A1352" s="493" t="str">
        <f>"POS."&amp;K1352&amp;" "&amp;VLOOKUP(K1352,'Equip&amp;Mach List'!$1:$1048576,2,0)&amp;" "&amp;VLOOKUP(K1352,'Equip&amp;Mach List'!$1:$1048576,3,0)</f>
        <v xml:space="preserve">POS.11  </v>
      </c>
      <c r="B1352" s="511"/>
      <c r="C1352" s="494"/>
      <c r="D1352" s="495"/>
      <c r="E1352" s="495"/>
      <c r="F1352" s="497"/>
      <c r="G1352" s="495"/>
      <c r="H1352" s="495"/>
      <c r="I1352" s="1255" t="str">
        <f>IFERROR("Weight Calc./Selected = "&amp;ROUND(B1469,1)&amp;"/"&amp;B1470&amp;" kg - Øi ="&amp;IF(B1376=0,F1376,B1376)&amp;" mm"&amp;"T/T ="&amp;IF(B1377=0,F1377,B1377)&amp;" mm - Material "&amp;B1363&amp;"        ","")</f>
        <v/>
      </c>
      <c r="K1352" s="496">
        <v>11</v>
      </c>
      <c r="M1352" s="1254"/>
    </row>
    <row r="1353" spans="1:13" ht="14.55" customHeight="1" x14ac:dyDescent="0.3">
      <c r="A1353" s="1256"/>
      <c r="B1353" s="451"/>
      <c r="C1353" s="451"/>
      <c r="D1353" s="451"/>
      <c r="E1353" s="451"/>
      <c r="F1353" s="451"/>
      <c r="G1353" s="451"/>
      <c r="H1353" s="451"/>
      <c r="I1353" s="1257"/>
      <c r="K1353" s="477" t="s">
        <v>166</v>
      </c>
      <c r="L1353" s="477" t="str">
        <f>K1352&amp;"."&amp;K1353</f>
        <v>11.Design Code</v>
      </c>
      <c r="M1353" s="1252" t="str">
        <f>A1354&amp;" "&amp;B1354</f>
        <v xml:space="preserve">ASME VIII </v>
      </c>
    </row>
    <row r="1354" spans="1:13" ht="14.55" customHeight="1" x14ac:dyDescent="0.3">
      <c r="A1354" s="1258" t="s">
        <v>167</v>
      </c>
      <c r="B1354" s="718"/>
      <c r="C1354" s="459"/>
      <c r="D1354" s="460"/>
      <c r="E1354" s="460"/>
      <c r="F1354" s="460"/>
      <c r="G1354" s="460"/>
      <c r="H1354" s="460"/>
      <c r="I1354" s="1259"/>
      <c r="K1354" s="477" t="s">
        <v>169</v>
      </c>
      <c r="L1354" s="477" t="str">
        <f>K1352&amp;"."&amp;K1354</f>
        <v>11.Orientation</v>
      </c>
      <c r="M1354" s="1252">
        <f>B1355</f>
        <v>0</v>
      </c>
    </row>
    <row r="1355" spans="1:13" ht="14.55" customHeight="1" x14ac:dyDescent="0.3">
      <c r="A1355" s="1258" t="s">
        <v>170</v>
      </c>
      <c r="B1355" s="718"/>
      <c r="C1355" s="459"/>
      <c r="D1355" s="460"/>
      <c r="E1355" s="460"/>
      <c r="F1355" s="461"/>
      <c r="G1355" s="460"/>
      <c r="H1355" s="460"/>
      <c r="I1355" s="1259"/>
      <c r="K1355" s="477" t="s">
        <v>172</v>
      </c>
      <c r="L1355" s="477" t="str">
        <f>K1352&amp;"."&amp;K1355</f>
        <v>11.Design Temperature</v>
      </c>
      <c r="M1355" s="1252">
        <f>D1358</f>
        <v>0</v>
      </c>
    </row>
    <row r="1356" spans="1:13" ht="14.55" customHeight="1" x14ac:dyDescent="0.3">
      <c r="A1356" s="1258"/>
      <c r="B1356" s="459"/>
      <c r="C1356" s="459"/>
      <c r="D1356" s="460"/>
      <c r="E1356" s="460"/>
      <c r="F1356" s="462"/>
      <c r="G1356" s="460"/>
      <c r="H1356" s="460"/>
      <c r="I1356" s="1259"/>
      <c r="K1356" s="477" t="s">
        <v>173</v>
      </c>
      <c r="L1356" s="477" t="str">
        <f>K1352&amp;"."&amp;K1356</f>
        <v>11.Design Pressure</v>
      </c>
      <c r="M1356" s="1252">
        <f>D1359</f>
        <v>0</v>
      </c>
    </row>
    <row r="1357" spans="1:13" ht="14.55" customHeight="1" x14ac:dyDescent="0.3">
      <c r="A1357" s="1260" t="s">
        <v>174</v>
      </c>
      <c r="B1357" s="459"/>
      <c r="C1357" s="459"/>
      <c r="D1357" s="460"/>
      <c r="E1357" s="460"/>
      <c r="F1357" s="462"/>
      <c r="G1357" s="460"/>
      <c r="H1357" s="460"/>
      <c r="I1357" s="1259"/>
      <c r="K1357" s="477" t="s">
        <v>175</v>
      </c>
      <c r="L1357" s="477" t="str">
        <f>K1352&amp;"."&amp;K1357</f>
        <v>11.Material</v>
      </c>
      <c r="M1357" s="1252">
        <f>B1363</f>
        <v>0</v>
      </c>
    </row>
    <row r="1358" spans="1:13" ht="14.55" customHeight="1" x14ac:dyDescent="0.3">
      <c r="A1358" s="1258" t="s">
        <v>176</v>
      </c>
      <c r="B1358" s="719"/>
      <c r="C1358" s="720"/>
      <c r="D1358" s="464">
        <f>IF(C1358="°C",B1358,0)+IF(C1358="°F",(B1358-32)*5/9,0)</f>
        <v>0</v>
      </c>
      <c r="E1358" s="460" t="s">
        <v>177</v>
      </c>
      <c r="F1358" s="462"/>
      <c r="G1358" s="460"/>
      <c r="H1358" s="460"/>
      <c r="I1358" s="1259"/>
      <c r="K1358" s="477" t="s">
        <v>178</v>
      </c>
      <c r="L1358" s="477" t="str">
        <f>K1352&amp;"."&amp;K1358</f>
        <v>11.Inside Diameter</v>
      </c>
      <c r="M1358" s="1252">
        <f>IF(B1376=0,F1376,B1376)</f>
        <v>0</v>
      </c>
    </row>
    <row r="1359" spans="1:13" ht="14.55" customHeight="1" x14ac:dyDescent="0.3">
      <c r="A1359" s="1258" t="s">
        <v>179</v>
      </c>
      <c r="B1359" s="721"/>
      <c r="C1359" s="720"/>
      <c r="D1359" s="452">
        <f>IF(C1359="barg",B1359,0)+IF(C1359="psig",B1359*List!$AV$4,0)+IF(C1359="MPa",B1359*List!$AV$5,0)+IF(C1359="N/mm2",B1359*List!$AV$6,0)</f>
        <v>0</v>
      </c>
      <c r="E1359" s="460" t="s">
        <v>180</v>
      </c>
      <c r="F1359" s="460"/>
      <c r="G1359" s="460"/>
      <c r="H1359" s="460"/>
      <c r="I1359" s="1259"/>
      <c r="K1359" s="477" t="s">
        <v>181</v>
      </c>
      <c r="L1359" s="477" t="str">
        <f>K1352&amp;"."&amp;K1359</f>
        <v>11.Tan / Tan</v>
      </c>
      <c r="M1359" s="1252">
        <f>IF(B1378=0,F1378,B1378)</f>
        <v>0</v>
      </c>
    </row>
    <row r="1360" spans="1:13" ht="14.55" customHeight="1" x14ac:dyDescent="0.3">
      <c r="A1360" s="1258" t="s">
        <v>182</v>
      </c>
      <c r="B1360" s="721"/>
      <c r="C1360" s="720"/>
      <c r="D1360" s="452">
        <f>IF(C1360="barg",B1360,0)+IF(C1360="psig",B1360*List!$AV$4,0)+IF(C1360="MPa",B1360*List!$AV$5,0)+IF(C1360="N/mm2",B1360*List!$AV$6,0)</f>
        <v>0</v>
      </c>
      <c r="E1360" s="460" t="s">
        <v>180</v>
      </c>
      <c r="F1360" s="460"/>
      <c r="G1360" s="465"/>
      <c r="H1360" s="460"/>
      <c r="I1360" s="1259"/>
      <c r="K1360" s="477" t="s">
        <v>183</v>
      </c>
      <c r="L1360" s="477" t="str">
        <f>K1352&amp;"."&amp;K1360</f>
        <v>11.Thickness</v>
      </c>
      <c r="M1360" s="1252" t="e">
        <f>IF(B1417=0,F1421,B1417)</f>
        <v>#N/A</v>
      </c>
    </row>
    <row r="1361" spans="1:13" ht="14.55" customHeight="1" x14ac:dyDescent="0.3">
      <c r="A1361" s="1258"/>
      <c r="B1361" s="459"/>
      <c r="C1361" s="459"/>
      <c r="D1361" s="460"/>
      <c r="E1361" s="460"/>
      <c r="F1361" s="460"/>
      <c r="G1361" s="465"/>
      <c r="H1361" s="460"/>
      <c r="I1361" s="1259"/>
      <c r="K1361" s="477" t="s">
        <v>184</v>
      </c>
      <c r="L1361" s="477" t="str">
        <f>K1352&amp;"."&amp;K1361</f>
        <v>11.Unit Weight</v>
      </c>
      <c r="M1361" s="1252">
        <f>B1470</f>
        <v>0</v>
      </c>
    </row>
    <row r="1362" spans="1:13" ht="14.55" customHeight="1" x14ac:dyDescent="0.3">
      <c r="A1362" s="1260" t="s">
        <v>185</v>
      </c>
      <c r="B1362" s="459" t="s">
        <v>186</v>
      </c>
      <c r="C1362" s="459"/>
      <c r="D1362" s="460"/>
      <c r="E1362" s="460"/>
      <c r="F1362" s="460" t="s">
        <v>187</v>
      </c>
      <c r="G1362" s="465"/>
      <c r="H1362" s="460"/>
      <c r="I1362" s="1259"/>
      <c r="K1362" s="478" t="s">
        <v>188</v>
      </c>
      <c r="L1362" s="477" t="str">
        <f>K1352&amp;"."&amp;K1362</f>
        <v>11.Unit External Surface</v>
      </c>
      <c r="M1362" s="1252" t="e">
        <f>B1466</f>
        <v>#N/A</v>
      </c>
    </row>
    <row r="1363" spans="1:13" ht="14.55" customHeight="1" x14ac:dyDescent="0.3">
      <c r="A1363" s="1258" t="s">
        <v>189</v>
      </c>
      <c r="B1363" s="1716"/>
      <c r="C1363" s="1717"/>
      <c r="D1363" s="460"/>
      <c r="E1363" s="461"/>
      <c r="F1363" s="1716"/>
      <c r="G1363" s="1717"/>
      <c r="H1363" s="460"/>
      <c r="I1363" s="1259"/>
      <c r="K1363" s="477" t="s">
        <v>191</v>
      </c>
      <c r="L1363" s="477" t="str">
        <f>K1352&amp;"."&amp;K1363</f>
        <v>11.M1 DN</v>
      </c>
      <c r="M1363" s="1252">
        <f>C1484</f>
        <v>0</v>
      </c>
    </row>
    <row r="1364" spans="1:13" ht="14.55" customHeight="1" x14ac:dyDescent="0.3">
      <c r="A1364" s="1258" t="s">
        <v>192</v>
      </c>
      <c r="B1364" s="1716"/>
      <c r="C1364" s="1717"/>
      <c r="D1364" s="460"/>
      <c r="E1364" s="461"/>
      <c r="F1364" s="1716"/>
      <c r="G1364" s="1717"/>
      <c r="H1364" s="460"/>
      <c r="I1364" s="1259"/>
      <c r="K1364" s="477" t="s">
        <v>193</v>
      </c>
      <c r="L1364" s="477" t="str">
        <f>K1352&amp;"."&amp;K1364</f>
        <v>11.M1 Rating</v>
      </c>
      <c r="M1364" s="1252">
        <f>D1484</f>
        <v>0</v>
      </c>
    </row>
    <row r="1365" spans="1:13" ht="14.55" customHeight="1" x14ac:dyDescent="0.3">
      <c r="A1365" s="1258"/>
      <c r="B1365" s="466"/>
      <c r="C1365" s="466"/>
      <c r="D1365" s="460"/>
      <c r="E1365" s="460"/>
      <c r="F1365" s="460"/>
      <c r="G1365" s="460"/>
      <c r="H1365" s="460"/>
      <c r="I1365" s="1259"/>
      <c r="K1365" s="477" t="s">
        <v>194</v>
      </c>
      <c r="L1365" s="477" t="str">
        <f>K1352&amp;"."&amp;K1365</f>
        <v>11.M1 Type</v>
      </c>
      <c r="M1365" s="1252">
        <f>E1484</f>
        <v>0</v>
      </c>
    </row>
    <row r="1366" spans="1:13" ht="14.55" customHeight="1" x14ac:dyDescent="0.3">
      <c r="A1366" s="1258" t="s">
        <v>195</v>
      </c>
      <c r="B1366" s="460"/>
      <c r="C1366" s="460"/>
      <c r="D1366" s="460"/>
      <c r="E1366" s="460"/>
      <c r="F1366" s="460"/>
      <c r="G1366" s="460"/>
      <c r="H1366" s="460"/>
      <c r="I1366" s="1259"/>
      <c r="K1366" s="477" t="s">
        <v>196</v>
      </c>
      <c r="L1366" s="477" t="str">
        <f>K1352&amp;"."&amp;K1366</f>
        <v>11.M1 Quantity</v>
      </c>
      <c r="M1366" s="1252">
        <f>F1484</f>
        <v>0</v>
      </c>
    </row>
    <row r="1367" spans="1:13" ht="14.55" customHeight="1" x14ac:dyDescent="0.3">
      <c r="A1367" s="1258" t="s">
        <v>197</v>
      </c>
      <c r="B1367" s="464" t="e">
        <f>$D1358*(VLOOKUP($B1363,'ASME II Tab 1A'!$1:$1048576,MATCH($D1358,'ASME II Tab 1A'!$6:$6,1)+1,0)-VLOOKUP($B1363,'ASME II Tab 1A'!$1:$1048576,MATCH($D1358,'ASME II Tab 1A'!$6:$6,1),0))/(INDEX('ASME II Tab 1A'!$6:$6,MATCH($D1358,'ASME II Tab 1A'!$6:$6,1)+1)-INDEX('ASME II Tab 1A'!$6:$6,MATCH($D1358,'ASME II Tab 1A'!$6:$6,1)))+VLOOKUP($B1363,'ASME II Tab 1A'!$1:$1048576,MATCH($D1358,'ASME II Tab 1A'!$6:$6,1)+1,0)-INDEX('ASME II Tab 1A'!$6:$6,MATCH($D1358,'ASME II Tab 1A'!$6:$6,1)+1)*(VLOOKUP($B1363,'ASME II Tab 1A'!$1:$1048576,MATCH($D1358,'ASME II Tab 1A'!$6:$6,1)+1,0)-VLOOKUP($B1363,'ASME II Tab 1A'!$1:$1048576,MATCH($D1358,'ASME II Tab 1A'!$6:$6,1),0))/(INDEX('ASME II Tab 1A'!$6:$6,MATCH($D1358,'ASME II Tab 1A'!$6:$6,1)+1)-INDEX('ASME II Tab 1A'!$6:$6,MATCH($D1358,'ASME II Tab 1A'!$6:$6,1)))</f>
        <v>#N/A</v>
      </c>
      <c r="C1367" s="460" t="s">
        <v>198</v>
      </c>
      <c r="D1367" s="460"/>
      <c r="E1367" s="467"/>
      <c r="F1367" s="460" t="e">
        <f>$D1358*(VLOOKUP($F1363,'ASME II Tab 1A'!$1:$1048576,MATCH($D1358,'ASME II Tab 1A'!$6:$6,1)+1,0)-VLOOKUP($F1363,'ASME II Tab 1A'!$1:$1048576,MATCH($D1358,'ASME II Tab 1A'!$6:$6,1),0))/(INDEX('ASME II Tab 1A'!$6:$6,MATCH($D1358,'ASME II Tab 1A'!$6:$6,1)+1)-INDEX('ASME II Tab 1A'!$6:$6,MATCH($D1358,'ASME II Tab 1A'!$6:$6,1)))+VLOOKUP($F1363,'ASME II Tab 1A'!$1:$1048576,MATCH($D1358,'ASME II Tab 1A'!$6:$6,1)+1,0)-INDEX('ASME II Tab 1A'!$6:$6,MATCH($D1358,'ASME II Tab 1A'!$6:$6,1)+1)*(VLOOKUP($F1363,'ASME II Tab 1A'!$1:$1048576,MATCH($D1358,'ASME II Tab 1A'!$6:$6,1)+1,0)-VLOOKUP($F1363,'ASME II Tab 1A'!$1:$1048576,MATCH($D1358,'ASME II Tab 1A'!$6:$6,1),0))/(INDEX('ASME II Tab 1A'!$6:$6,MATCH($D1358,'ASME II Tab 1A'!$6:$6,1)+1)-INDEX('ASME II Tab 1A'!$6:$6,MATCH($D1358,'ASME II Tab 1A'!$6:$6,1)))</f>
        <v>#N/A</v>
      </c>
      <c r="G1367" s="460" t="s">
        <v>198</v>
      </c>
      <c r="H1367" s="460"/>
      <c r="I1367" s="1259"/>
      <c r="K1367" s="477" t="s">
        <v>199</v>
      </c>
      <c r="L1367" s="477" t="str">
        <f>K1352&amp;"."&amp;K1367</f>
        <v>11.M2 DN</v>
      </c>
      <c r="M1367" s="1252">
        <f>C1485</f>
        <v>0</v>
      </c>
    </row>
    <row r="1368" spans="1:13" ht="14.55" customHeight="1" x14ac:dyDescent="0.3">
      <c r="A1368" s="1258" t="s">
        <v>200</v>
      </c>
      <c r="B1368" s="464" t="e">
        <f>$D1358*(VLOOKUP($B1364,'ASME II Tab 1A'!$1:$1048576,MATCH($D1358,'ASME II Tab 1A'!$6:$6,1)+1,0)-VLOOKUP($B1364,'ASME II Tab 1A'!$1:$1048576,MATCH($D1358,'ASME II Tab 1A'!$6:$6,1),0))/(INDEX('ASME II Tab 1A'!$6:$6,MATCH($D1358,'ASME II Tab 1A'!$6:$6,1)+1)-INDEX('ASME II Tab 1A'!$6:$6,MATCH($D1358,'ASME II Tab 1A'!$6:$6,1)))+VLOOKUP($B1364,'ASME II Tab 1A'!$1:$1048576,MATCH($D1358,'ASME II Tab 1A'!$6:$6,1)+1,0)-INDEX('ASME II Tab 1A'!$6:$6,MATCH($D1358,'ASME II Tab 1A'!$6:$6,1)+1)*(VLOOKUP($B1364,'ASME II Tab 1A'!$1:$1048576,MATCH($D1358,'ASME II Tab 1A'!$6:$6,1)+1,0)-VLOOKUP($B1364,'ASME II Tab 1A'!$1:$1048576,MATCH($D1358,'ASME II Tab 1A'!$6:$6,1),0))/(INDEX('ASME II Tab 1A'!$6:$6,MATCH($D1358,'ASME II Tab 1A'!$6:$6,1)+1)-INDEX('ASME II Tab 1A'!$6:$6,MATCH($D1358,'ASME II Tab 1A'!$6:$6,1)))</f>
        <v>#N/A</v>
      </c>
      <c r="C1368" s="460" t="s">
        <v>198</v>
      </c>
      <c r="D1368" s="460"/>
      <c r="E1368" s="460"/>
      <c r="F1368" s="460" t="e">
        <f>$D1358*(VLOOKUP($F1364,'ASME II Tab 1A'!$1:$1048576,MATCH($D1358,'ASME II Tab 1A'!$6:$6,1)+1,0)-VLOOKUP($F1364,'ASME II Tab 1A'!$1:$1048576,MATCH($D1358,'ASME II Tab 1A'!$6:$6,1),0))/(INDEX('ASME II Tab 1A'!$6:$6,MATCH($D1358,'ASME II Tab 1A'!$6:$6,1)+1)-INDEX('ASME II Tab 1A'!$6:$6,MATCH($D1358,'ASME II Tab 1A'!$6:$6,1)))+VLOOKUP($F1364,'ASME II Tab 1A'!$1:$1048576,MATCH($D1358,'ASME II Tab 1A'!$6:$6,1)+1,0)-INDEX('ASME II Tab 1A'!$6:$6,MATCH($D1358,'ASME II Tab 1A'!$6:$6,1)+1)*(VLOOKUP($F1364,'ASME II Tab 1A'!$1:$1048576,MATCH($D1358,'ASME II Tab 1A'!$6:$6,1)+1,0)-VLOOKUP($F1364,'ASME II Tab 1A'!$1:$1048576,MATCH($D1358,'ASME II Tab 1A'!$6:$6,1),0))/(INDEX('ASME II Tab 1A'!$6:$6,MATCH($D1358,'ASME II Tab 1A'!$6:$6,1)+1)-INDEX('ASME II Tab 1A'!$6:$6,MATCH($D1358,'ASME II Tab 1A'!$6:$6,1)))</f>
        <v>#N/A</v>
      </c>
      <c r="G1368" s="460" t="s">
        <v>198</v>
      </c>
      <c r="H1368" s="460"/>
      <c r="I1368" s="1259"/>
      <c r="K1368" s="477" t="s">
        <v>201</v>
      </c>
      <c r="L1368" s="477" t="str">
        <f>K1352&amp;"."&amp;K1368</f>
        <v>11.M2 Rating</v>
      </c>
      <c r="M1368" s="1252">
        <f>D1485</f>
        <v>0</v>
      </c>
    </row>
    <row r="1369" spans="1:13" ht="14.55" customHeight="1" x14ac:dyDescent="0.3">
      <c r="A1369" s="1258" t="s">
        <v>202</v>
      </c>
      <c r="B1369" s="460"/>
      <c r="C1369" s="460"/>
      <c r="D1369" s="460"/>
      <c r="E1369" s="460"/>
      <c r="F1369" s="460"/>
      <c r="G1369" s="460"/>
      <c r="H1369" s="460"/>
      <c r="I1369" s="1259"/>
      <c r="K1369" s="477" t="s">
        <v>203</v>
      </c>
      <c r="L1369" s="477" t="str">
        <f>K1352&amp;"."&amp;K1369</f>
        <v>11.M2 Type</v>
      </c>
      <c r="M1369" s="1252">
        <f>E1485</f>
        <v>0</v>
      </c>
    </row>
    <row r="1370" spans="1:13" ht="14.55" customHeight="1" x14ac:dyDescent="0.3">
      <c r="A1370" s="1258" t="s">
        <v>197</v>
      </c>
      <c r="B1370" s="464" t="e">
        <f>$D1358*(VLOOKUP($B1363,'ASME II Tab 5A'!$1:$1048576,MATCH($D1358,'ASME II Tab 5A'!$5:$5,1)+1,0)-VLOOKUP($B1363,'ASME II Tab 5A'!$1:$1048576,MATCH($D1358,'ASME II Tab 5A'!$5:$5,1),0))/(INDEX('ASME II Tab 5A'!$5:$5,MATCH($D1358,'ASME II Tab 5A'!$5:$5,1)+1)-INDEX('ASME II Tab 5A'!$5:$5,MATCH($D1358,'ASME II Tab 5A'!$5:$5,1)))+VLOOKUP($B1363,'ASME II Tab 5A'!$1:$1048576,MATCH($D1358,'ASME II Tab 5A'!$5:$5,1)+1,0)-INDEX('ASME II Tab 5A'!$5:$5,MATCH($D1358,'ASME II Tab 5A'!$5:$5,1)+1)*(VLOOKUP($B1363,'ASME II Tab 5A'!$1:$1048576,MATCH($D1358,'ASME II Tab 5A'!$5:$5,1)+1,0)-VLOOKUP($B1363,'ASME II Tab 5A'!$1:$1048576,MATCH($D1358,'ASME II Tab 5A'!$5:$5,1),0))/(INDEX('ASME II Tab 5A'!$5:$5,MATCH($D1358,'ASME II Tab 5A'!$5:$5,1)+1)-INDEX('ASME II Tab 5A'!$5:$5,MATCH($D1358,'ASME II Tab 5A'!$5:$5,1)))</f>
        <v>#N/A</v>
      </c>
      <c r="C1370" s="460" t="s">
        <v>198</v>
      </c>
      <c r="D1370" s="460"/>
      <c r="E1370" s="460"/>
      <c r="F1370" s="460" t="e">
        <f>$D1358*(VLOOKUP($F1363,'ASME II Tab 5A'!$1:$1048576,MATCH($D1358,'ASME II Tab 5A'!$5:$5,1)+1,0)-VLOOKUP($F1363,'ASME II Tab 5A'!$1:$1048576,MATCH($D1358,'ASME II Tab 5A'!$5:$5,1),0))/(INDEX('ASME II Tab 5A'!$5:$5,MATCH($D1358,'ASME II Tab 5A'!$5:$5,1)+1)-INDEX('ASME II Tab 5A'!$5:$5,MATCH($D1358,'ASME II Tab 5A'!$5:$5,1)))+VLOOKUP($F1363,'ASME II Tab 5A'!$1:$1048576,MATCH($D1358,'ASME II Tab 5A'!$5:$5,1)+1,0)-INDEX('ASME II Tab 5A'!$5:$5,MATCH($D1358,'ASME II Tab 5A'!$5:$5,1)+1)*(VLOOKUP($F1363,'ASME II Tab 5A'!$1:$1048576,MATCH($D1358,'ASME II Tab 5A'!$5:$5,1)+1,0)-VLOOKUP($F1363,'ASME II Tab 5A'!$1:$1048576,MATCH($D1358,'ASME II Tab 5A'!$5:$5,1),0))/(INDEX('ASME II Tab 5A'!$5:$5,MATCH($D1358,'ASME II Tab 5A'!$5:$5,1)+1)-INDEX('ASME II Tab 5A'!$5:$5,MATCH($D1358,'ASME II Tab 5A'!$5:$5,1)))</f>
        <v>#N/A</v>
      </c>
      <c r="G1370" s="460" t="s">
        <v>198</v>
      </c>
      <c r="H1370" s="460"/>
      <c r="I1370" s="1259"/>
      <c r="K1370" s="477" t="s">
        <v>204</v>
      </c>
      <c r="L1370" s="477" t="str">
        <f>K1352&amp;"."&amp;K1370</f>
        <v>11.M2 Quantity</v>
      </c>
      <c r="M1370" s="1252">
        <f>F1485</f>
        <v>0</v>
      </c>
    </row>
    <row r="1371" spans="1:13" ht="14.55" customHeight="1" x14ac:dyDescent="0.3">
      <c r="A1371" s="1258" t="s">
        <v>200</v>
      </c>
      <c r="B1371" s="464" t="e">
        <f>$D1358*(VLOOKUP($B1364,'ASME II Tab 5A'!$1:$1048576,MATCH($D1358,'ASME II Tab 5A'!$5:$5,1)+1,0)-VLOOKUP($B1364,'ASME II Tab 5A'!$1:$1048576,MATCH($D1358,'ASME II Tab 5A'!$5:$5,1),0))/(INDEX('ASME II Tab 5A'!$5:$5,MATCH($D1358,'ASME II Tab 5A'!$5:$5,1)+1)-INDEX('ASME II Tab 5A'!$5:$5,MATCH($D1358,'ASME II Tab 5A'!$5:$5,1)))+VLOOKUP($B1364,'ASME II Tab 5A'!$1:$1048576,MATCH($D1358,'ASME II Tab 5A'!$5:$5,1)+1,0)-INDEX('ASME II Tab 5A'!$5:$5,MATCH($D1358,'ASME II Tab 5A'!$5:$5,1)+1)*(VLOOKUP($B1364,'ASME II Tab 5A'!$1:$1048576,MATCH($D1358,'ASME II Tab 5A'!$5:$5,1)+1,0)-VLOOKUP($B1364,'ASME II Tab 5A'!$1:$1048576,MATCH($D1358,'ASME II Tab 5A'!$5:$5,1),0))/(INDEX('ASME II Tab 5A'!$5:$5,MATCH($D1358,'ASME II Tab 5A'!$5:$5,1)+1)-INDEX('ASME II Tab 5A'!$5:$5,MATCH($D1358,'ASME II Tab 5A'!$5:$5,1)))</f>
        <v>#N/A</v>
      </c>
      <c r="C1371" s="460" t="s">
        <v>198</v>
      </c>
      <c r="D1371" s="460"/>
      <c r="E1371" s="460"/>
      <c r="F1371" s="460" t="e">
        <f>$D1358*(VLOOKUP($F1364,'ASME II Tab 5A'!$1:$1048576,MATCH($D1358,'ASME II Tab 5A'!$5:$5,1)+1,0)-VLOOKUP($F1364,'ASME II Tab 5A'!$1:$1048576,MATCH($D1358,'ASME II Tab 5A'!$5:$5,1),0))/(INDEX('ASME II Tab 5A'!$5:$5,MATCH($D1358,'ASME II Tab 5A'!$5:$5,1)+1)-INDEX('ASME II Tab 5A'!$5:$5,MATCH($D1358,'ASME II Tab 5A'!$5:$5,1)))+VLOOKUP($F1364,'ASME II Tab 5A'!$1:$1048576,MATCH($D1358,'ASME II Tab 5A'!$5:$5,1)+1,0)-INDEX('ASME II Tab 5A'!$5:$5,MATCH($D1358,'ASME II Tab 5A'!$5:$5,1)+1)*(VLOOKUP($F1364,'ASME II Tab 5A'!$1:$1048576,MATCH($D1358,'ASME II Tab 5A'!$5:$5,1)+1,0)-VLOOKUP($F1364,'ASME II Tab 5A'!$1:$1048576,MATCH($D1358,'ASME II Tab 5A'!$5:$5,1),0))/(INDEX('ASME II Tab 5A'!$5:$5,MATCH($D1358,'ASME II Tab 5A'!$5:$5,1)+1)-INDEX('ASME II Tab 5A'!$5:$5,MATCH($D1358,'ASME II Tab 5A'!$5:$5,1)))</f>
        <v>#N/A</v>
      </c>
      <c r="G1371" s="460" t="s">
        <v>198</v>
      </c>
      <c r="H1371" s="460"/>
      <c r="I1371" s="1259"/>
      <c r="K1371" s="477" t="s">
        <v>205</v>
      </c>
      <c r="L1371" s="477" t="str">
        <f>K1352&amp;"."&amp;K1371</f>
        <v>11.M3 DN</v>
      </c>
      <c r="M1371" s="1252">
        <f>C1486</f>
        <v>0</v>
      </c>
    </row>
    <row r="1372" spans="1:13" ht="14.55" customHeight="1" x14ac:dyDescent="0.3">
      <c r="A1372" s="1258"/>
      <c r="B1372" s="460"/>
      <c r="C1372" s="460"/>
      <c r="D1372" s="460"/>
      <c r="E1372" s="460"/>
      <c r="F1372" s="460"/>
      <c r="G1372" s="460"/>
      <c r="H1372" s="460"/>
      <c r="I1372" s="1259"/>
      <c r="K1372" s="477" t="s">
        <v>206</v>
      </c>
      <c r="L1372" s="477" t="str">
        <f>K1352&amp;"."&amp;K1372</f>
        <v>11.M3 Rating</v>
      </c>
      <c r="M1372" s="1252">
        <f>D1486</f>
        <v>0</v>
      </c>
    </row>
    <row r="1373" spans="1:13" ht="14.55" customHeight="1" x14ac:dyDescent="0.3">
      <c r="A1373" s="1260" t="s">
        <v>207</v>
      </c>
      <c r="B1373" s="453"/>
      <c r="C1373" s="460"/>
      <c r="D1373" s="453"/>
      <c r="E1373" s="460"/>
      <c r="F1373" s="453"/>
      <c r="G1373" s="460"/>
      <c r="H1373" s="460"/>
      <c r="I1373" s="1259"/>
      <c r="K1373" s="477" t="s">
        <v>208</v>
      </c>
      <c r="L1373" s="477" t="str">
        <f>K1352&amp;"."&amp;K1373</f>
        <v>11.M3 Type</v>
      </c>
      <c r="M1373" s="1252">
        <f>E1486</f>
        <v>0</v>
      </c>
    </row>
    <row r="1374" spans="1:13" ht="14.55" customHeight="1" x14ac:dyDescent="0.3">
      <c r="A1374" s="1260"/>
      <c r="B1374" s="305" t="s">
        <v>209</v>
      </c>
      <c r="C1374" s="460"/>
      <c r="D1374" s="305" t="s">
        <v>210</v>
      </c>
      <c r="E1374" s="460"/>
      <c r="F1374" s="305" t="s">
        <v>211</v>
      </c>
      <c r="G1374" s="460"/>
      <c r="H1374" s="460"/>
      <c r="I1374" s="1259"/>
      <c r="K1374" s="477" t="s">
        <v>212</v>
      </c>
      <c r="L1374" s="477" t="str">
        <f>K1352&amp;"."&amp;K1374</f>
        <v>11.M3 Quantity</v>
      </c>
      <c r="M1374" s="1252">
        <f>F1486</f>
        <v>0</v>
      </c>
    </row>
    <row r="1375" spans="1:13" ht="14.55" customHeight="1" x14ac:dyDescent="0.3">
      <c r="A1375" s="1258" t="s">
        <v>213</v>
      </c>
      <c r="B1375" s="305"/>
      <c r="C1375" s="460"/>
      <c r="D1375" s="305"/>
      <c r="E1375" s="460"/>
      <c r="F1375" s="723"/>
      <c r="G1375" s="460" t="s">
        <v>214</v>
      </c>
      <c r="H1375" s="460"/>
      <c r="I1375" s="1259"/>
      <c r="K1375" s="477" t="s">
        <v>215</v>
      </c>
      <c r="L1375" s="477" t="str">
        <f>K1352&amp;"."&amp;K1375</f>
        <v>11.Shell insulation thk 1</v>
      </c>
      <c r="M1375" s="1252">
        <f>B1423</f>
        <v>0</v>
      </c>
    </row>
    <row r="1376" spans="1:13" ht="14.55" customHeight="1" x14ac:dyDescent="0.3">
      <c r="A1376" s="1258" t="s">
        <v>216</v>
      </c>
      <c r="B1376" s="722"/>
      <c r="C1376" s="460" t="s">
        <v>93</v>
      </c>
      <c r="D1376" s="722"/>
      <c r="E1376" s="460" t="s">
        <v>93</v>
      </c>
      <c r="F1376" s="468">
        <f>F1377-2*F1421</f>
        <v>0</v>
      </c>
      <c r="G1376" s="460" t="s">
        <v>93</v>
      </c>
      <c r="H1376" s="460"/>
      <c r="I1376" s="1259"/>
      <c r="K1376" s="477" t="s">
        <v>217</v>
      </c>
      <c r="L1376" s="477" t="str">
        <f>K1352&amp;"."&amp;K1376</f>
        <v>11.Head insulation thk 1</v>
      </c>
      <c r="M1376" s="1252">
        <f>B1424</f>
        <v>0</v>
      </c>
    </row>
    <row r="1377" spans="1:13" ht="14.55" customHeight="1" x14ac:dyDescent="0.3">
      <c r="A1377" s="1258" t="s">
        <v>218</v>
      </c>
      <c r="B1377" s="468" t="e">
        <f>B1376+B1417*2</f>
        <v>#N/A</v>
      </c>
      <c r="C1377" s="460" t="s">
        <v>93</v>
      </c>
      <c r="D1377" s="468" t="e">
        <f>D1376+D1417*2</f>
        <v>#N/A</v>
      </c>
      <c r="E1377" s="460" t="s">
        <v>93</v>
      </c>
      <c r="F1377" s="468">
        <f>IFERROR(VLOOKUP(F1375,'Thickness Tab'!$1:$1048576,3,0),0)</f>
        <v>0</v>
      </c>
      <c r="G1377" s="460" t="s">
        <v>93</v>
      </c>
      <c r="H1377" s="469"/>
      <c r="I1377" s="1261"/>
      <c r="K1377" s="477" t="s">
        <v>219</v>
      </c>
      <c r="L1377" s="477" t="str">
        <f>K1352&amp;"."&amp;K1377</f>
        <v>11.Reducer insulation thk 1</v>
      </c>
      <c r="M1377" s="1252">
        <f>B1425</f>
        <v>0</v>
      </c>
    </row>
    <row r="1378" spans="1:13" ht="14.55" customHeight="1" x14ac:dyDescent="0.3">
      <c r="A1378" s="1258" t="s">
        <v>181</v>
      </c>
      <c r="B1378" s="722"/>
      <c r="C1378" s="460" t="s">
        <v>93</v>
      </c>
      <c r="D1378" s="722"/>
      <c r="E1378" s="460" t="s">
        <v>93</v>
      </c>
      <c r="F1378" s="722"/>
      <c r="G1378" s="460" t="s">
        <v>93</v>
      </c>
      <c r="H1378" s="460"/>
      <c r="I1378" s="1259"/>
      <c r="K1378" s="477" t="s">
        <v>220</v>
      </c>
      <c r="L1378" s="477" t="str">
        <f>K1352&amp;"."&amp;K1378</f>
        <v>11.Shell insulation area 1</v>
      </c>
      <c r="M1378" s="1252" t="e">
        <f>B1383</f>
        <v>#N/A</v>
      </c>
    </row>
    <row r="1379" spans="1:13" ht="14.55" customHeight="1" x14ac:dyDescent="0.3">
      <c r="A1379" s="1258" t="s">
        <v>221</v>
      </c>
      <c r="B1379" s="468" t="e">
        <f>(PI()*B1378*(((B1377/2)^2)-((B1376/2)^2))*7860)/1000000000*1.05</f>
        <v>#N/A</v>
      </c>
      <c r="C1379" s="460" t="s">
        <v>222</v>
      </c>
      <c r="D1379" s="468" t="e">
        <f>(PI()*D1378*(((D1377/2)^2)-((D1376/2)^2))*7860)/1000000000*1.05</f>
        <v>#N/A</v>
      </c>
      <c r="E1379" s="460" t="s">
        <v>222</v>
      </c>
      <c r="F1379" s="468">
        <f>(PI()*F1378*(((F1377/2)^2)-((F1376/2)^2))*7860)/1000000000*1.05</f>
        <v>0</v>
      </c>
      <c r="G1379" s="460" t="s">
        <v>222</v>
      </c>
      <c r="H1379" s="469"/>
      <c r="I1379" s="1261"/>
      <c r="K1379" s="477" t="s">
        <v>223</v>
      </c>
      <c r="L1379" s="477" t="str">
        <f>K1352&amp;"."&amp;K1379</f>
        <v>11.Head insulation area 1</v>
      </c>
      <c r="M1379" s="1252" t="e">
        <f>B1395</f>
        <v>#N/A</v>
      </c>
    </row>
    <row r="1380" spans="1:13" ht="14.55" customHeight="1" x14ac:dyDescent="0.3">
      <c r="A1380" s="1258" t="s">
        <v>224</v>
      </c>
      <c r="B1380" s="468">
        <f>(PI()*((B1376/2)^2)*B1378)/1000000000</f>
        <v>0</v>
      </c>
      <c r="C1380" s="460" t="s">
        <v>225</v>
      </c>
      <c r="D1380" s="468">
        <f>(PI()*((D1376/2)^2)*D1378)/1000000000</f>
        <v>0</v>
      </c>
      <c r="E1380" s="460" t="s">
        <v>225</v>
      </c>
      <c r="F1380" s="468">
        <f>(PI()*((F1376/2)^2)*F1378)/1000000000</f>
        <v>0</v>
      </c>
      <c r="G1380" s="460" t="s">
        <v>225</v>
      </c>
      <c r="H1380" s="469"/>
      <c r="I1380" s="1261"/>
      <c r="K1380" s="477" t="s">
        <v>226</v>
      </c>
      <c r="L1380" s="477" t="str">
        <f>K1352&amp;"."&amp;K1380</f>
        <v>11.Reducer insulation area 1</v>
      </c>
      <c r="M1380" s="1252" t="e">
        <f>B1408</f>
        <v>#N/A</v>
      </c>
    </row>
    <row r="1381" spans="1:13" ht="14.55" customHeight="1" x14ac:dyDescent="0.3">
      <c r="A1381" s="1258" t="s">
        <v>227</v>
      </c>
      <c r="B1381" s="468" t="e">
        <f>(B1377*3.14*B1378)/1000000</f>
        <v>#N/A</v>
      </c>
      <c r="C1381" s="460" t="s">
        <v>228</v>
      </c>
      <c r="D1381" s="468" t="e">
        <f>(D1377*3.14*D1378)/1000000</f>
        <v>#N/A</v>
      </c>
      <c r="E1381" s="460" t="s">
        <v>228</v>
      </c>
      <c r="F1381" s="468">
        <f>(F1377*3.14*F1378)/1000000</f>
        <v>0</v>
      </c>
      <c r="G1381" s="460" t="s">
        <v>228</v>
      </c>
      <c r="H1381" s="469"/>
      <c r="I1381" s="1261"/>
      <c r="K1381" s="477" t="s">
        <v>229</v>
      </c>
      <c r="L1381" s="477" t="str">
        <f>K1352&amp;"."&amp;K1381</f>
        <v>11.Shell insulation thk 2</v>
      </c>
      <c r="M1381" s="1252">
        <f>D1423</f>
        <v>0</v>
      </c>
    </row>
    <row r="1382" spans="1:13" ht="14.55" customHeight="1" x14ac:dyDescent="0.3">
      <c r="A1382" s="1258" t="s">
        <v>230</v>
      </c>
      <c r="B1382" s="468" t="e">
        <f>B1377+2*B1423</f>
        <v>#N/A</v>
      </c>
      <c r="C1382" s="460" t="s">
        <v>93</v>
      </c>
      <c r="D1382" s="468" t="e">
        <f>D1377+2*D1423</f>
        <v>#N/A</v>
      </c>
      <c r="E1382" s="460" t="s">
        <v>93</v>
      </c>
      <c r="F1382" s="468">
        <f>F1377+2*F1423</f>
        <v>0</v>
      </c>
      <c r="G1382" s="460" t="s">
        <v>93</v>
      </c>
      <c r="H1382" s="469"/>
      <c r="I1382" s="1261"/>
      <c r="K1382" s="477" t="s">
        <v>231</v>
      </c>
      <c r="L1382" s="477" t="str">
        <f>K1352&amp;"."&amp;K1382</f>
        <v>11.Head insulation thk 2</v>
      </c>
      <c r="M1382" s="1252">
        <f>D1424</f>
        <v>0</v>
      </c>
    </row>
    <row r="1383" spans="1:13" ht="14.55" customHeight="1" x14ac:dyDescent="0.3">
      <c r="A1383" s="1258" t="s">
        <v>232</v>
      </c>
      <c r="B1383" s="468" t="e">
        <f>(B1382*3.14*B1378)/1000000</f>
        <v>#N/A</v>
      </c>
      <c r="C1383" s="460" t="s">
        <v>228</v>
      </c>
      <c r="D1383" s="468" t="e">
        <f>(D1382*3.14*D1378)/1000000</f>
        <v>#N/A</v>
      </c>
      <c r="E1383" s="460" t="s">
        <v>228</v>
      </c>
      <c r="F1383" s="468">
        <f>(F1382*3.14*F1378)/1000000</f>
        <v>0</v>
      </c>
      <c r="G1383" s="460" t="s">
        <v>228</v>
      </c>
      <c r="H1383" s="469"/>
      <c r="I1383" s="1261"/>
      <c r="K1383" s="477" t="s">
        <v>233</v>
      </c>
      <c r="L1383" s="477" t="str">
        <f>K1352&amp;"."&amp;K1383</f>
        <v>11.Reducer insulation thk 2</v>
      </c>
      <c r="M1383" s="1252">
        <f>D1425</f>
        <v>0</v>
      </c>
    </row>
    <row r="1384" spans="1:13" ht="14.55" customHeight="1" x14ac:dyDescent="0.3">
      <c r="A1384" s="1258"/>
      <c r="B1384" s="468"/>
      <c r="C1384" s="460"/>
      <c r="D1384" s="468"/>
      <c r="E1384" s="460"/>
      <c r="F1384" s="468"/>
      <c r="G1384" s="460"/>
      <c r="H1384" s="469"/>
      <c r="I1384" s="1261"/>
      <c r="K1384" s="477" t="s">
        <v>234</v>
      </c>
      <c r="L1384" s="477" t="str">
        <f>K1352&amp;"."&amp;K1384</f>
        <v>11.Shell insulation area 2</v>
      </c>
      <c r="M1384" s="1252" t="e">
        <f>D1383</f>
        <v>#N/A</v>
      </c>
    </row>
    <row r="1385" spans="1:13" ht="14.55" customHeight="1" x14ac:dyDescent="0.3">
      <c r="A1385" s="1258"/>
      <c r="B1385" s="468" t="s">
        <v>235</v>
      </c>
      <c r="C1385" s="460"/>
      <c r="D1385" s="468" t="s">
        <v>236</v>
      </c>
      <c r="E1385" s="460"/>
      <c r="F1385" s="468" t="s">
        <v>237</v>
      </c>
      <c r="G1385" s="460"/>
      <c r="H1385" s="469"/>
      <c r="I1385" s="1261"/>
      <c r="K1385" s="477" t="s">
        <v>238</v>
      </c>
      <c r="L1385" s="477" t="str">
        <f>K1352&amp;"."&amp;K1385</f>
        <v>11.Head insulation area 2</v>
      </c>
      <c r="M1385" s="1252" t="e">
        <f>D1395</f>
        <v>#N/A</v>
      </c>
    </row>
    <row r="1386" spans="1:13" ht="14.55" customHeight="1" x14ac:dyDescent="0.3">
      <c r="A1386" s="1258" t="s">
        <v>239</v>
      </c>
      <c r="B1386" s="468">
        <f>B1376</f>
        <v>0</v>
      </c>
      <c r="C1386" s="460" t="s">
        <v>93</v>
      </c>
      <c r="D1386" s="468">
        <f>D1376</f>
        <v>0</v>
      </c>
      <c r="E1386" s="460" t="s">
        <v>93</v>
      </c>
      <c r="F1386" s="468">
        <f>F1376</f>
        <v>0</v>
      </c>
      <c r="G1386" s="460" t="s">
        <v>93</v>
      </c>
      <c r="H1386" s="469"/>
      <c r="I1386" s="1261"/>
      <c r="K1386" s="477" t="s">
        <v>240</v>
      </c>
      <c r="L1386" s="477" t="str">
        <f>K1352&amp;"."&amp;K1386</f>
        <v>11.Reducer insulation area 2</v>
      </c>
      <c r="M1386" s="1252">
        <f>D1408</f>
        <v>0</v>
      </c>
    </row>
    <row r="1387" spans="1:13" ht="14.55" customHeight="1" x14ac:dyDescent="0.3">
      <c r="A1387" s="1258" t="s">
        <v>241</v>
      </c>
      <c r="B1387" s="468" t="e">
        <f>B1386+2*B1418</f>
        <v>#N/A</v>
      </c>
      <c r="C1387" s="460" t="s">
        <v>93</v>
      </c>
      <c r="D1387" s="468" t="e">
        <f>D1386+2*D1418</f>
        <v>#N/A</v>
      </c>
      <c r="E1387" s="460" t="s">
        <v>93</v>
      </c>
      <c r="F1387" s="468">
        <f>F1386+2*F1421</f>
        <v>0</v>
      </c>
      <c r="G1387" s="460" t="s">
        <v>93</v>
      </c>
      <c r="H1387" s="469"/>
      <c r="I1387" s="1261"/>
      <c r="K1387" s="477" t="s">
        <v>242</v>
      </c>
      <c r="L1387" s="477" t="str">
        <f>K1352&amp;"."&amp;K1387</f>
        <v>11.Shell insulation thk 3</v>
      </c>
      <c r="M1387" s="1252">
        <f>F1423</f>
        <v>0</v>
      </c>
    </row>
    <row r="1388" spans="1:13" ht="14.55" customHeight="1" x14ac:dyDescent="0.3">
      <c r="A1388" s="1258" t="s">
        <v>243</v>
      </c>
      <c r="B1388" s="722"/>
      <c r="C1388" s="460" t="s">
        <v>93</v>
      </c>
      <c r="D1388" s="722"/>
      <c r="E1388" s="460" t="s">
        <v>93</v>
      </c>
      <c r="F1388" s="452"/>
      <c r="G1388" s="460"/>
      <c r="H1388" s="469"/>
      <c r="I1388" s="1261"/>
      <c r="K1388" s="477" t="s">
        <v>244</v>
      </c>
      <c r="L1388" s="477" t="str">
        <f>K1352&amp;"."&amp;K1388</f>
        <v>11.Head insulation thk 3</v>
      </c>
      <c r="M1388" s="1252">
        <f>F1424</f>
        <v>0</v>
      </c>
    </row>
    <row r="1389" spans="1:13" ht="14.55" customHeight="1" x14ac:dyDescent="0.3">
      <c r="A1389" s="1258" t="s">
        <v>245</v>
      </c>
      <c r="B1389" s="724"/>
      <c r="C1389" s="460"/>
      <c r="D1389" s="724"/>
      <c r="E1389" s="460"/>
      <c r="F1389" s="724"/>
      <c r="G1389" s="460"/>
      <c r="H1389" s="469"/>
      <c r="I1389" s="1261"/>
      <c r="K1389" s="477" t="s">
        <v>246</v>
      </c>
      <c r="L1389" s="477" t="str">
        <f>K1352&amp;"."&amp;K1389</f>
        <v>11.Reducer insulation thk 3</v>
      </c>
      <c r="M1389" s="1252">
        <f>F1425</f>
        <v>0</v>
      </c>
    </row>
    <row r="1390" spans="1:13" ht="14.55" customHeight="1" x14ac:dyDescent="0.3">
      <c r="A1390" s="1258" t="s">
        <v>247</v>
      </c>
      <c r="B1390" s="468">
        <v>0</v>
      </c>
      <c r="C1390" s="460" t="s">
        <v>93</v>
      </c>
      <c r="D1390" s="468">
        <v>0</v>
      </c>
      <c r="E1390" s="460" t="s">
        <v>93</v>
      </c>
      <c r="F1390" s="468">
        <v>0</v>
      </c>
      <c r="G1390" s="460" t="s">
        <v>93</v>
      </c>
      <c r="H1390" s="469"/>
      <c r="I1390" s="1261"/>
      <c r="K1390" s="477" t="s">
        <v>248</v>
      </c>
      <c r="L1390" s="477" t="str">
        <f>K1352&amp;"."&amp;K1390</f>
        <v>11.Shell insulation area 3</v>
      </c>
      <c r="M1390" s="1252">
        <f>F1383</f>
        <v>0</v>
      </c>
    </row>
    <row r="1391" spans="1:13" ht="14.55" customHeight="1" x14ac:dyDescent="0.3">
      <c r="A1391" s="1258" t="s">
        <v>249</v>
      </c>
      <c r="B1391" s="468" t="e">
        <f>((((POWER(((((B1386+B1419)*1.22)+(B1390*2))/100),2)*PI())/4)*(B1419/100))*7.86)</f>
        <v>#N/A</v>
      </c>
      <c r="C1391" s="460" t="s">
        <v>222</v>
      </c>
      <c r="D1391" s="468" t="e">
        <f>((((POWER(((((D1386+D1419)*1.22)+(D1390*2))/100),2)*PI())/4)*(D1419/100))*7.86)</f>
        <v>#N/A</v>
      </c>
      <c r="E1391" s="460" t="s">
        <v>222</v>
      </c>
      <c r="F1391" s="468">
        <f>IFERROR(VLOOKUP(F1375&amp;"."&amp;F1420,'Fitting Chart'!$1:$1048576,5,0),0)</f>
        <v>0</v>
      </c>
      <c r="G1391" s="460" t="s">
        <v>222</v>
      </c>
      <c r="H1391" s="469"/>
      <c r="I1391" s="1261"/>
      <c r="K1391" s="477" t="s">
        <v>250</v>
      </c>
      <c r="L1391" s="477" t="str">
        <f>K1352&amp;"."&amp;K1391</f>
        <v>11.Head insulation area 3</v>
      </c>
      <c r="M1391" s="1252">
        <f>F1394</f>
        <v>0</v>
      </c>
    </row>
    <row r="1392" spans="1:13" ht="14.55" customHeight="1" x14ac:dyDescent="0.3">
      <c r="A1392" s="1258" t="s">
        <v>251</v>
      </c>
      <c r="B1392" s="468" t="e">
        <f>(((0.131*(B1386^3)*10^-6)+((((B1386/2)^2)*PI()*(((B1386/4)+B1418)-B1418-(B1386/4)))))+((PI()*((B1386/2)^2)*B1390))/1000000)/1000</f>
        <v>#N/A</v>
      </c>
      <c r="C1392" s="460" t="s">
        <v>225</v>
      </c>
      <c r="D1392" s="468" t="e">
        <f>(((0.131*(D1386^3)*10^-6)+((((D1386/2)^2)*PI()*(((D1386/4)+D1418)-D1418-(D1386/4)))))+((PI()*((D1386/2)^2)*D1390))/1000000)/1000</f>
        <v>#N/A</v>
      </c>
      <c r="E1392" s="460" t="s">
        <v>225</v>
      </c>
      <c r="F1392" s="468">
        <f>(((0.131*(F1386^3)*10^-6)+((((F1386/2)^2)*PI()*(((F1386/4)+F1421)-F1421-(F1386/4)))))+((PI()*((F1386/2)^2)*F1390))/1000000)/1000</f>
        <v>0</v>
      </c>
      <c r="G1392" s="460" t="s">
        <v>225</v>
      </c>
      <c r="H1392" s="469"/>
      <c r="I1392" s="1261"/>
      <c r="K1392" s="477" t="s">
        <v>252</v>
      </c>
      <c r="L1392" s="477" t="str">
        <f>K1352&amp;"."&amp;K1392</f>
        <v>11.Reducer insulation area 3</v>
      </c>
      <c r="M1392" s="1252">
        <f>F1408</f>
        <v>0</v>
      </c>
    </row>
    <row r="1393" spans="1:9" ht="14.55" customHeight="1" x14ac:dyDescent="0.3">
      <c r="A1393" s="1258" t="s">
        <v>253</v>
      </c>
      <c r="B1393" s="468" t="e">
        <f>(((B1387*B1388*3.14)+(((B1387/2)^2)*3.14))/1000000)</f>
        <v>#N/A</v>
      </c>
      <c r="C1393" s="460" t="s">
        <v>228</v>
      </c>
      <c r="D1393" s="468" t="e">
        <f>(((D1387*D1388*3.14)+(((D1387/2)^2)*3.14))/1000000)</f>
        <v>#N/A</v>
      </c>
      <c r="E1393" s="460" t="s">
        <v>228</v>
      </c>
      <c r="F1393" s="468">
        <f>(((F1387*F1388*3.14)+(((F1387/2)^2)*3.14))/1000000)</f>
        <v>0</v>
      </c>
      <c r="G1393" s="460" t="s">
        <v>228</v>
      </c>
      <c r="H1393" s="469"/>
      <c r="I1393" s="1261"/>
    </row>
    <row r="1394" spans="1:9" ht="14.55" customHeight="1" x14ac:dyDescent="0.3">
      <c r="A1394" s="1258" t="s">
        <v>254</v>
      </c>
      <c r="B1394" s="468" t="e">
        <f>B1387+2*B1424</f>
        <v>#N/A</v>
      </c>
      <c r="C1394" s="460" t="s">
        <v>93</v>
      </c>
      <c r="D1394" s="468" t="e">
        <f>D1387+2*D1424</f>
        <v>#N/A</v>
      </c>
      <c r="E1394" s="460" t="s">
        <v>93</v>
      </c>
      <c r="F1394" s="468">
        <f>F1387+2*F1424</f>
        <v>0</v>
      </c>
      <c r="G1394" s="460" t="s">
        <v>93</v>
      </c>
      <c r="H1394" s="469"/>
      <c r="I1394" s="1261"/>
    </row>
    <row r="1395" spans="1:9" ht="14.55" customHeight="1" x14ac:dyDescent="0.3">
      <c r="A1395" s="1258" t="s">
        <v>255</v>
      </c>
      <c r="B1395" s="468" t="e">
        <f>(((B1394*B1388*3.14)+(((B1394/2)^2)*3.14))/1000000)</f>
        <v>#N/A</v>
      </c>
      <c r="C1395" s="460" t="s">
        <v>228</v>
      </c>
      <c r="D1395" s="468" t="e">
        <f>(((D1394*D1388*3.14)+(((D1394/2)^2)*3.14))/1000000)</f>
        <v>#N/A</v>
      </c>
      <c r="E1395" s="460" t="s">
        <v>228</v>
      </c>
      <c r="F1395" s="468">
        <f>(((F1394*F1388*3.14)+(((F1394/2)^2)*3.14))/1000000)</f>
        <v>0</v>
      </c>
      <c r="G1395" s="460" t="s">
        <v>228</v>
      </c>
      <c r="H1395" s="469"/>
      <c r="I1395" s="1261"/>
    </row>
    <row r="1396" spans="1:9" ht="14.55" customHeight="1" x14ac:dyDescent="0.3">
      <c r="A1396" s="1258"/>
      <c r="B1396" s="454"/>
      <c r="C1396" s="460"/>
      <c r="D1396" s="454"/>
      <c r="E1396" s="460"/>
      <c r="F1396" s="454"/>
      <c r="G1396" s="460"/>
      <c r="H1396" s="469"/>
      <c r="I1396" s="1261"/>
    </row>
    <row r="1397" spans="1:9" ht="14.55" customHeight="1" x14ac:dyDescent="0.3">
      <c r="A1397" s="1258"/>
      <c r="B1397" s="468" t="s">
        <v>256</v>
      </c>
      <c r="C1397" s="460"/>
      <c r="D1397" s="468" t="s">
        <v>257</v>
      </c>
      <c r="E1397" s="460"/>
      <c r="F1397" s="468" t="s">
        <v>258</v>
      </c>
      <c r="G1397" s="460"/>
      <c r="H1397" s="469"/>
      <c r="I1397" s="1261"/>
    </row>
    <row r="1398" spans="1:9" ht="14.55" customHeight="1" x14ac:dyDescent="0.3">
      <c r="A1398" s="1258" t="s">
        <v>259</v>
      </c>
      <c r="B1398" s="725"/>
      <c r="C1398" s="460" t="s">
        <v>93</v>
      </c>
      <c r="D1398" s="725"/>
      <c r="E1398" s="460" t="s">
        <v>93</v>
      </c>
      <c r="F1398" s="725"/>
      <c r="G1398" s="460" t="s">
        <v>93</v>
      </c>
      <c r="H1398" s="469"/>
      <c r="I1398" s="1261"/>
    </row>
    <row r="1399" spans="1:9" ht="14.55" customHeight="1" x14ac:dyDescent="0.3">
      <c r="A1399" s="1258" t="s">
        <v>260</v>
      </c>
      <c r="B1399" s="725"/>
      <c r="C1399" s="460" t="s">
        <v>93</v>
      </c>
      <c r="D1399" s="725"/>
      <c r="E1399" s="460" t="s">
        <v>93</v>
      </c>
      <c r="F1399" s="725"/>
      <c r="G1399" s="460" t="s">
        <v>93</v>
      </c>
      <c r="H1399" s="469"/>
      <c r="I1399" s="1261"/>
    </row>
    <row r="1400" spans="1:9" ht="14.55" customHeight="1" x14ac:dyDescent="0.3">
      <c r="A1400" s="1258" t="s">
        <v>261</v>
      </c>
      <c r="B1400" s="725"/>
      <c r="C1400" s="460" t="s">
        <v>93</v>
      </c>
      <c r="D1400" s="725"/>
      <c r="E1400" s="460" t="s">
        <v>93</v>
      </c>
      <c r="F1400" s="725"/>
      <c r="G1400" s="460" t="s">
        <v>93</v>
      </c>
      <c r="H1400" s="469"/>
      <c r="I1400" s="1261"/>
    </row>
    <row r="1401" spans="1:9" ht="14.55" customHeight="1" x14ac:dyDescent="0.3">
      <c r="A1401" s="1258" t="s">
        <v>262</v>
      </c>
      <c r="B1401" s="455" t="e">
        <f>B1398+2*B1419</f>
        <v>#N/A</v>
      </c>
      <c r="C1401" s="460" t="s">
        <v>93</v>
      </c>
      <c r="D1401" s="455" t="e">
        <f>D1398+2*D1419</f>
        <v>#N/A</v>
      </c>
      <c r="E1401" s="460" t="s">
        <v>93</v>
      </c>
      <c r="F1401" s="455">
        <f>F1398+2*F1421</f>
        <v>0</v>
      </c>
      <c r="G1401" s="460" t="s">
        <v>93</v>
      </c>
      <c r="H1401" s="469"/>
      <c r="I1401" s="1261"/>
    </row>
    <row r="1402" spans="1:9" ht="14.55" customHeight="1" x14ac:dyDescent="0.3">
      <c r="A1402" s="1258" t="s">
        <v>263</v>
      </c>
      <c r="B1402" s="455" t="e">
        <f>B1399+2*B1419</f>
        <v>#N/A</v>
      </c>
      <c r="C1402" s="460" t="s">
        <v>93</v>
      </c>
      <c r="D1402" s="455" t="e">
        <f>D1399+2*D1419</f>
        <v>#N/A</v>
      </c>
      <c r="E1402" s="460" t="s">
        <v>93</v>
      </c>
      <c r="F1402" s="455">
        <f>F1399+2*F1421</f>
        <v>0</v>
      </c>
      <c r="G1402" s="460" t="s">
        <v>93</v>
      </c>
      <c r="H1402" s="469"/>
      <c r="I1402" s="1261"/>
    </row>
    <row r="1403" spans="1:9" ht="14.55" customHeight="1" x14ac:dyDescent="0.3">
      <c r="A1403" s="1258" t="s">
        <v>264</v>
      </c>
      <c r="B1403" s="453" t="e">
        <f>(((((1/3*PI()*B1400))*((((B1401/2)^2)+(((B1401/2)*(B1402/2)))+((B1402/2)^2))))-(((1/3*PI()*B1400))*((((B1398/2)^2)+(((B1398/2)*(B1399/2)))+((B1399/2)^2)))))*7.86)/1000000</f>
        <v>#N/A</v>
      </c>
      <c r="C1403" s="460" t="s">
        <v>222</v>
      </c>
      <c r="D1403" s="453" t="e">
        <f>(((((1/3*PI()*D1400))*((((D1401/2)^2)+(((D1401/2)*(D1402/2)))+((D1402/2)^2))))-(((1/3*PI()*D1400))*((((D1398/2)^2)+(((D1398/2)*(D1399/2)))+((D1399/2)^2)))))*7.86)/1000000</f>
        <v>#N/A</v>
      </c>
      <c r="E1403" s="460" t="s">
        <v>222</v>
      </c>
      <c r="F1403" s="453">
        <f>(((((1/3*PI()*F1400))*((((F1401/2)^2)+(((F1401/2)*(F1402/2)))+((F1402/2)^2))))-(((1/3*PI()*F1400))*((((F1398/2)^2)+(((F1398/2)*(F1399/2)))+((F1399/2)^2)))))*7.86)/1000000</f>
        <v>0</v>
      </c>
      <c r="G1403" s="460" t="s">
        <v>222</v>
      </c>
      <c r="H1403" s="469"/>
      <c r="I1403" s="1261"/>
    </row>
    <row r="1404" spans="1:9" ht="14.55" customHeight="1" x14ac:dyDescent="0.3">
      <c r="A1404" s="1258" t="s">
        <v>265</v>
      </c>
      <c r="B1404" s="453">
        <f>((1/3*PI()*B1400))*((((B1398/2)^2)+(((B1398/2)*(B1399/2)))+((B1399/2)^2)))/1000000000</f>
        <v>0</v>
      </c>
      <c r="C1404" s="460" t="s">
        <v>225</v>
      </c>
      <c r="D1404" s="453">
        <f>((1/3*PI()*D1400))*((((D1398/2)^2)+(((D1398/2)*(D1399/2)))+((D1399/2)^2)))/1000000000</f>
        <v>0</v>
      </c>
      <c r="E1404" s="460" t="s">
        <v>225</v>
      </c>
      <c r="F1404" s="453">
        <f>((1/3*PI()*F1400))*((((F1398/2)^2)+(((F1398/2)*(F1399/2)))+((F1399/2)^2)))/1000000000</f>
        <v>0</v>
      </c>
      <c r="G1404" s="460" t="s">
        <v>225</v>
      </c>
      <c r="H1404" s="469"/>
      <c r="I1404" s="1261"/>
    </row>
    <row r="1405" spans="1:9" ht="14.55" customHeight="1" x14ac:dyDescent="0.3">
      <c r="A1405" s="1258" t="s">
        <v>266</v>
      </c>
      <c r="B1405" s="453" t="e">
        <f>PI()*(B1401+B1402)/2*SQRT(B1400^2+((B1401-B1402)/2)^2)/1000000</f>
        <v>#N/A</v>
      </c>
      <c r="C1405" s="460" t="s">
        <v>228</v>
      </c>
      <c r="D1405" s="453" t="e">
        <f>PI()*(D1401+D1402)/2*SQRT(D1400^2+((D1401-D1402)/2)^2)/1000000</f>
        <v>#N/A</v>
      </c>
      <c r="E1405" s="460" t="s">
        <v>228</v>
      </c>
      <c r="F1405" s="453">
        <f>PI()*(F1401+F1402)/2*SQRT(F1400^2+((F1401-F1402)/2)^2)/1000000</f>
        <v>0</v>
      </c>
      <c r="G1405" s="460" t="s">
        <v>228</v>
      </c>
      <c r="H1405" s="469"/>
      <c r="I1405" s="1261"/>
    </row>
    <row r="1406" spans="1:9" ht="14.55" customHeight="1" x14ac:dyDescent="0.3">
      <c r="A1406" s="1258" t="s">
        <v>267</v>
      </c>
      <c r="B1406" s="453" t="e">
        <f>B1401+2*B1425</f>
        <v>#N/A</v>
      </c>
      <c r="C1406" s="460" t="s">
        <v>93</v>
      </c>
      <c r="D1406" s="453">
        <f>D1398+2*D1425</f>
        <v>0</v>
      </c>
      <c r="E1406" s="460" t="s">
        <v>93</v>
      </c>
      <c r="F1406" s="453">
        <f>F1398+2*F1425</f>
        <v>0</v>
      </c>
      <c r="G1406" s="460" t="s">
        <v>93</v>
      </c>
      <c r="H1406" s="469"/>
      <c r="I1406" s="1261"/>
    </row>
    <row r="1407" spans="1:9" ht="14.55" customHeight="1" x14ac:dyDescent="0.3">
      <c r="A1407" s="1258" t="s">
        <v>268</v>
      </c>
      <c r="B1407" s="453" t="e">
        <f>B1402+2*B1425</f>
        <v>#N/A</v>
      </c>
      <c r="C1407" s="460" t="s">
        <v>93</v>
      </c>
      <c r="D1407" s="453">
        <f>D1399+2*D1425</f>
        <v>0</v>
      </c>
      <c r="E1407" s="460" t="s">
        <v>93</v>
      </c>
      <c r="F1407" s="453">
        <f>F1399+2*F1425</f>
        <v>0</v>
      </c>
      <c r="G1407" s="460" t="s">
        <v>93</v>
      </c>
      <c r="H1407" s="469"/>
      <c r="I1407" s="1261"/>
    </row>
    <row r="1408" spans="1:9" ht="14.55" customHeight="1" x14ac:dyDescent="0.3">
      <c r="A1408" s="1258" t="s">
        <v>269</v>
      </c>
      <c r="B1408" s="453" t="e">
        <f>PI()*(B1406+B1407)/2*SQRT(B1400^2+((B1406-B1407)/2)^2)/1000000</f>
        <v>#N/A</v>
      </c>
      <c r="C1408" s="460" t="s">
        <v>228</v>
      </c>
      <c r="D1408" s="453">
        <f>PI()*(D1406+D1407)/2*SQRT(D1400^2+((D1406-D1407)/2)^2)/1000000</f>
        <v>0</v>
      </c>
      <c r="E1408" s="460" t="s">
        <v>228</v>
      </c>
      <c r="F1408" s="453">
        <f>PI()*(F1406+F1407)/2*SQRT(F1400^2+((F1406-F1407)/2)^2)/1000000</f>
        <v>0</v>
      </c>
      <c r="G1408" s="460" t="s">
        <v>228</v>
      </c>
      <c r="H1408" s="469"/>
      <c r="I1408" s="1261"/>
    </row>
    <row r="1409" spans="1:9" ht="14.55" customHeight="1" x14ac:dyDescent="0.3">
      <c r="A1409" s="1258"/>
      <c r="B1409" s="453"/>
      <c r="C1409" s="460"/>
      <c r="D1409" s="453"/>
      <c r="E1409" s="460"/>
      <c r="F1409" s="453"/>
      <c r="G1409" s="460"/>
      <c r="H1409" s="460"/>
      <c r="I1409" s="1259"/>
    </row>
    <row r="1410" spans="1:9" ht="14.55" customHeight="1" x14ac:dyDescent="0.3">
      <c r="A1410" s="1258" t="s">
        <v>270</v>
      </c>
      <c r="B1410" s="725"/>
      <c r="C1410" s="460" t="s">
        <v>93</v>
      </c>
      <c r="D1410" s="725"/>
      <c r="E1410" s="460" t="s">
        <v>93</v>
      </c>
      <c r="F1410" s="725"/>
      <c r="G1410" s="460" t="s">
        <v>93</v>
      </c>
      <c r="H1410" s="460"/>
      <c r="I1410" s="1259"/>
    </row>
    <row r="1411" spans="1:9" ht="14.55" customHeight="1" x14ac:dyDescent="0.3">
      <c r="A1411" s="1258" t="s">
        <v>271</v>
      </c>
      <c r="B1411" s="453" t="e">
        <f>((D1359/10)*B1376/2)/(IF(B1354="div.1",B1367,B1370)-0.5*D1359/10)</f>
        <v>#N/A</v>
      </c>
      <c r="C1411" s="460" t="s">
        <v>93</v>
      </c>
      <c r="D1411" s="453" t="e">
        <f>((D1359/10)*D1376/2)/(IF(B1354="div.1",B1367,B1370)-0.5*D1359/10)</f>
        <v>#N/A</v>
      </c>
      <c r="E1411" s="460" t="s">
        <v>93</v>
      </c>
      <c r="F1411" s="453" t="e">
        <f>((D1359/10)*F1376/2)/(IF(B1354="div.1",F1367,F1370)-0.5*D1359/10)</f>
        <v>#N/A</v>
      </c>
      <c r="G1411" s="460" t="s">
        <v>93</v>
      </c>
      <c r="H1411" s="460"/>
      <c r="I1411" s="1259"/>
    </row>
    <row r="1412" spans="1:9" ht="14.55" customHeight="1" x14ac:dyDescent="0.3">
      <c r="A1412" s="1258" t="s">
        <v>272</v>
      </c>
      <c r="B1412" s="453" t="e">
        <f>B1386/2*(EXP(D1359/(10*IF(B1354="div.1",B1368,B1371)))-1)</f>
        <v>#N/A</v>
      </c>
      <c r="C1412" s="460" t="s">
        <v>93</v>
      </c>
      <c r="D1412" s="453" t="e">
        <f>D1386/2*(EXP(D1359/(10*IF(B1354="div.1",B1368,B1371)))-1)</f>
        <v>#N/A</v>
      </c>
      <c r="E1412" s="460" t="s">
        <v>93</v>
      </c>
      <c r="F1412" s="453" t="e">
        <f>F1386/2*(EXP(D1359/(10*IF(B1354="div.1",F1368,F1371)))-1)</f>
        <v>#N/A</v>
      </c>
      <c r="G1412" s="460" t="s">
        <v>93</v>
      </c>
      <c r="H1412" s="460"/>
      <c r="I1412" s="1259"/>
    </row>
    <row r="1413" spans="1:9" ht="14.55" customHeight="1" x14ac:dyDescent="0.3">
      <c r="A1413" s="1258" t="s">
        <v>273</v>
      </c>
      <c r="B1413" s="453" t="e">
        <f>B1398/2*(EXP(D1359/(10*IF(B1354="div.1",B1368,B1371)))-1)</f>
        <v>#N/A</v>
      </c>
      <c r="C1413" s="460" t="s">
        <v>93</v>
      </c>
      <c r="D1413" s="453" t="e">
        <f>D1398/2*(EXP(D1359/(10*IF(B1354="div.1",B1368,B1371)))-1)</f>
        <v>#N/A</v>
      </c>
      <c r="E1413" s="460" t="s">
        <v>93</v>
      </c>
      <c r="F1413" s="453" t="e">
        <f>F1398/2*(EXP(D1359/(10*IF(B1354="div.1",F1368,F1371)))-1)</f>
        <v>#N/A</v>
      </c>
      <c r="G1413" s="460" t="s">
        <v>93</v>
      </c>
      <c r="H1413" s="460"/>
      <c r="I1413" s="1259"/>
    </row>
    <row r="1414" spans="1:9" ht="14.55" customHeight="1" x14ac:dyDescent="0.3">
      <c r="A1414" s="1258" t="s">
        <v>274</v>
      </c>
      <c r="B1414" s="725"/>
      <c r="C1414" s="460" t="s">
        <v>93</v>
      </c>
      <c r="D1414" s="725"/>
      <c r="E1414" s="460" t="s">
        <v>93</v>
      </c>
      <c r="F1414" s="725"/>
      <c r="G1414" s="460" t="s">
        <v>93</v>
      </c>
      <c r="H1414" s="460"/>
      <c r="I1414" s="1259"/>
    </row>
    <row r="1415" spans="1:9" ht="14.55" customHeight="1" x14ac:dyDescent="0.3">
      <c r="A1415" s="1258" t="s">
        <v>275</v>
      </c>
      <c r="B1415" s="725"/>
      <c r="C1415" s="460" t="s">
        <v>93</v>
      </c>
      <c r="D1415" s="725"/>
      <c r="E1415" s="460" t="s">
        <v>93</v>
      </c>
      <c r="F1415" s="725"/>
      <c r="G1415" s="460" t="s">
        <v>93</v>
      </c>
      <c r="H1415" s="460"/>
      <c r="I1415" s="1259"/>
    </row>
    <row r="1416" spans="1:9" ht="14.55" customHeight="1" x14ac:dyDescent="0.3">
      <c r="A1416" s="1258" t="s">
        <v>276</v>
      </c>
      <c r="B1416" s="725"/>
      <c r="C1416" s="460" t="s">
        <v>93</v>
      </c>
      <c r="D1416" s="725"/>
      <c r="E1416" s="460" t="s">
        <v>93</v>
      </c>
      <c r="F1416" s="725"/>
      <c r="G1416" s="460" t="s">
        <v>93</v>
      </c>
      <c r="H1416" s="460"/>
      <c r="I1416" s="1259"/>
    </row>
    <row r="1417" spans="1:9" ht="14.55" customHeight="1" x14ac:dyDescent="0.3">
      <c r="A1417" s="1258" t="s">
        <v>277</v>
      </c>
      <c r="B1417" s="453" t="e">
        <f>IF((CEILING(B1411,1)+B1414)&lt;B1410,B1410,CEILING(B1411,1)+B1414)</f>
        <v>#N/A</v>
      </c>
      <c r="C1417" s="460" t="s">
        <v>93</v>
      </c>
      <c r="D1417" s="453" t="e">
        <f>IF((CEILING(D1411,1)+D1414)&lt;D1410,D1410,CEILING(D1411,1)+D1414)</f>
        <v>#N/A</v>
      </c>
      <c r="E1417" s="460" t="s">
        <v>93</v>
      </c>
      <c r="F1417" s="453" t="e">
        <f>IF((CEILING(F1411,1)+F1414)&lt;F1410,F1410,CEILING(F1411,1)+F1414)</f>
        <v>#N/A</v>
      </c>
      <c r="G1417" s="460" t="s">
        <v>93</v>
      </c>
      <c r="H1417" s="460"/>
      <c r="I1417" s="1259"/>
    </row>
    <row r="1418" spans="1:9" ht="14.55" customHeight="1" x14ac:dyDescent="0.3">
      <c r="A1418" s="1258" t="s">
        <v>278</v>
      </c>
      <c r="B1418" s="453" t="e">
        <f>IF((CEILING(B1412,1)+B1415)&lt;=B1410,B1410,CEILING(B1412,1)+B1415)</f>
        <v>#N/A</v>
      </c>
      <c r="C1418" s="460" t="s">
        <v>93</v>
      </c>
      <c r="D1418" s="453" t="e">
        <f>IF((CEILING(D1412,1)+D1415)&lt;=D1410,D1410,CEILING(D1412,1)+D1415)</f>
        <v>#N/A</v>
      </c>
      <c r="E1418" s="460" t="s">
        <v>93</v>
      </c>
      <c r="F1418" s="453" t="e">
        <f>IF((CEILING(F1412,1)+F1415)&lt;=F1410,F1410,CEILING(F1412,1)+F1415)</f>
        <v>#N/A</v>
      </c>
      <c r="G1418" s="460" t="s">
        <v>93</v>
      </c>
      <c r="H1418" s="460"/>
      <c r="I1418" s="1259"/>
    </row>
    <row r="1419" spans="1:9" ht="14.55" customHeight="1" x14ac:dyDescent="0.3">
      <c r="A1419" s="1258" t="s">
        <v>279</v>
      </c>
      <c r="B1419" s="453" t="e">
        <f>IF((CEILING(B1413,1)+B1416)&lt;=B1410,B1410,CEILING(B1413,1)+B1416)</f>
        <v>#N/A</v>
      </c>
      <c r="C1419" s="460" t="s">
        <v>93</v>
      </c>
      <c r="D1419" s="453" t="e">
        <f>IF((CEILING(D1413,1)+D1416)&lt;=D1410,D1410,CEILING(D1413,1)+D1416)</f>
        <v>#N/A</v>
      </c>
      <c r="E1419" s="460" t="s">
        <v>93</v>
      </c>
      <c r="F1419" s="453" t="e">
        <f>IF((CEILING(F1413,1)+F1416)&lt;=F1410,F1410,CEILING(F1413,1)+F1416)</f>
        <v>#N/A</v>
      </c>
      <c r="G1419" s="460" t="s">
        <v>93</v>
      </c>
      <c r="H1419" s="460"/>
      <c r="I1419" s="1259"/>
    </row>
    <row r="1420" spans="1:9" ht="14.55" customHeight="1" x14ac:dyDescent="0.3">
      <c r="A1420" s="1258" t="s">
        <v>280</v>
      </c>
      <c r="B1420" s="453"/>
      <c r="C1420" s="460"/>
      <c r="D1420" s="453"/>
      <c r="E1420" s="460"/>
      <c r="F1420" s="726"/>
      <c r="G1420" s="460"/>
      <c r="H1420" s="460"/>
      <c r="I1420" s="1259"/>
    </row>
    <row r="1421" spans="1:9" ht="14.55" customHeight="1" x14ac:dyDescent="0.3">
      <c r="A1421" s="1258" t="s">
        <v>281</v>
      </c>
      <c r="B1421" s="453"/>
      <c r="C1421" s="460"/>
      <c r="D1421" s="453"/>
      <c r="E1421" s="460"/>
      <c r="F1421" s="460">
        <f>IFERROR(VLOOKUP(F1375,'Thickness Tab'!$1:$1048576,MATCH(F1420,'Thickness Tab'!$1:$1,0),0),0)</f>
        <v>0</v>
      </c>
      <c r="G1421" s="460" t="s">
        <v>93</v>
      </c>
      <c r="H1421" s="460"/>
      <c r="I1421" s="1259"/>
    </row>
    <row r="1422" spans="1:9" ht="14.55" customHeight="1" x14ac:dyDescent="0.3">
      <c r="A1422" s="1258"/>
      <c r="B1422" s="464"/>
      <c r="C1422" s="460"/>
      <c r="D1422" s="460"/>
      <c r="E1422" s="460"/>
      <c r="F1422" s="460"/>
      <c r="G1422" s="460"/>
      <c r="H1422" s="460"/>
      <c r="I1422" s="1259"/>
    </row>
    <row r="1423" spans="1:9" ht="14.55" customHeight="1" x14ac:dyDescent="0.3">
      <c r="A1423" s="1258" t="s">
        <v>282</v>
      </c>
      <c r="B1423" s="725">
        <v>0</v>
      </c>
      <c r="C1423" s="460" t="s">
        <v>93</v>
      </c>
      <c r="D1423" s="725">
        <v>0</v>
      </c>
      <c r="E1423" s="460" t="s">
        <v>93</v>
      </c>
      <c r="F1423" s="725">
        <v>0</v>
      </c>
      <c r="G1423" s="460" t="s">
        <v>93</v>
      </c>
      <c r="H1423" s="460"/>
      <c r="I1423" s="1259"/>
    </row>
    <row r="1424" spans="1:9" ht="14.55" customHeight="1" x14ac:dyDescent="0.3">
      <c r="A1424" s="1258" t="s">
        <v>283</v>
      </c>
      <c r="B1424" s="725">
        <v>0</v>
      </c>
      <c r="C1424" s="460" t="s">
        <v>93</v>
      </c>
      <c r="D1424" s="725">
        <v>0</v>
      </c>
      <c r="E1424" s="460" t="s">
        <v>93</v>
      </c>
      <c r="F1424" s="725">
        <v>0</v>
      </c>
      <c r="G1424" s="460" t="s">
        <v>93</v>
      </c>
      <c r="H1424" s="460"/>
      <c r="I1424" s="1259"/>
    </row>
    <row r="1425" spans="1:9" ht="14.55" customHeight="1" x14ac:dyDescent="0.3">
      <c r="A1425" s="1258" t="s">
        <v>284</v>
      </c>
      <c r="B1425" s="725">
        <v>0</v>
      </c>
      <c r="C1425" s="460" t="s">
        <v>93</v>
      </c>
      <c r="D1425" s="725">
        <v>0</v>
      </c>
      <c r="E1425" s="460" t="s">
        <v>93</v>
      </c>
      <c r="F1425" s="725">
        <v>0</v>
      </c>
      <c r="G1425" s="460" t="s">
        <v>93</v>
      </c>
      <c r="H1425" s="460"/>
      <c r="I1425" s="1259"/>
    </row>
    <row r="1426" spans="1:9" ht="14.55" customHeight="1" x14ac:dyDescent="0.3">
      <c r="A1426" s="1258"/>
      <c r="B1426" s="464"/>
      <c r="C1426" s="460"/>
      <c r="D1426" s="460"/>
      <c r="E1426" s="460"/>
      <c r="F1426" s="460"/>
      <c r="G1426" s="460"/>
      <c r="H1426" s="460"/>
      <c r="I1426" s="1259"/>
    </row>
    <row r="1427" spans="1:9" ht="14.55" customHeight="1" x14ac:dyDescent="0.3">
      <c r="A1427" s="1260" t="s">
        <v>285</v>
      </c>
      <c r="B1427" s="470" t="str">
        <f>IF(B1355="Horizontal","No Skirt","")</f>
        <v/>
      </c>
      <c r="C1427" s="460"/>
      <c r="D1427" s="471"/>
      <c r="E1427" s="471" t="s">
        <v>286</v>
      </c>
      <c r="F1427" s="460"/>
      <c r="G1427" s="469"/>
      <c r="H1427" s="469"/>
      <c r="I1427" s="1261"/>
    </row>
    <row r="1428" spans="1:9" ht="14.55" customHeight="1" x14ac:dyDescent="0.3">
      <c r="A1428" s="1258" t="s">
        <v>287</v>
      </c>
      <c r="B1428" s="722"/>
      <c r="C1428" s="456" t="s">
        <v>93</v>
      </c>
      <c r="D1428" s="472"/>
      <c r="E1428" s="472" t="s">
        <v>288</v>
      </c>
      <c r="F1428" s="725"/>
      <c r="G1428" s="460" t="s">
        <v>93</v>
      </c>
      <c r="H1428" s="469"/>
      <c r="I1428" s="1261"/>
    </row>
    <row r="1429" spans="1:9" ht="14.55" customHeight="1" x14ac:dyDescent="0.3">
      <c r="A1429" s="1258" t="s">
        <v>289</v>
      </c>
      <c r="B1429" s="722"/>
      <c r="C1429" s="456" t="s">
        <v>93</v>
      </c>
      <c r="D1429" s="472"/>
      <c r="E1429" s="472" t="s">
        <v>290</v>
      </c>
      <c r="F1429" s="725"/>
      <c r="G1429" s="460" t="s">
        <v>93</v>
      </c>
      <c r="H1429" s="469"/>
      <c r="I1429" s="1261"/>
    </row>
    <row r="1430" spans="1:9" ht="14.55" customHeight="1" x14ac:dyDescent="0.3">
      <c r="A1430" s="1258" t="s">
        <v>291</v>
      </c>
      <c r="B1430" s="722"/>
      <c r="C1430" s="456" t="s">
        <v>93</v>
      </c>
      <c r="D1430" s="472"/>
      <c r="E1430" s="472" t="s">
        <v>292</v>
      </c>
      <c r="F1430" s="725"/>
      <c r="G1430" s="460"/>
      <c r="H1430" s="469"/>
      <c r="I1430" s="1261"/>
    </row>
    <row r="1431" spans="1:9" ht="14.55" customHeight="1" x14ac:dyDescent="0.3">
      <c r="A1431" s="1258" t="s">
        <v>293</v>
      </c>
      <c r="B1431" s="722"/>
      <c r="C1431" s="456" t="s">
        <v>93</v>
      </c>
      <c r="D1431" s="472"/>
      <c r="E1431" s="472" t="s">
        <v>184</v>
      </c>
      <c r="F1431" s="457">
        <f>(PI()*F1428^2)/4*F1429*(7800/1000000000)</f>
        <v>0</v>
      </c>
      <c r="G1431" s="460" t="s">
        <v>222</v>
      </c>
      <c r="H1431" s="460"/>
      <c r="I1431" s="1259"/>
    </row>
    <row r="1432" spans="1:9" ht="14.55" customHeight="1" x14ac:dyDescent="0.3">
      <c r="A1432" s="1258" t="s">
        <v>294</v>
      </c>
      <c r="B1432" s="722"/>
      <c r="C1432" s="456" t="s">
        <v>93</v>
      </c>
      <c r="D1432" s="460"/>
      <c r="E1432" s="460"/>
      <c r="F1432" s="460"/>
      <c r="G1432" s="460"/>
      <c r="H1432" s="460"/>
      <c r="I1432" s="1259"/>
    </row>
    <row r="1433" spans="1:9" ht="14.55" customHeight="1" x14ac:dyDescent="0.3">
      <c r="A1433" s="1258"/>
      <c r="B1433" s="407"/>
      <c r="C1433" s="460"/>
      <c r="D1433" s="460"/>
      <c r="E1433" s="460"/>
      <c r="F1433" s="460"/>
      <c r="G1433" s="460"/>
      <c r="H1433" s="460"/>
      <c r="I1433" s="1259"/>
    </row>
    <row r="1434" spans="1:9" ht="14.55" customHeight="1" x14ac:dyDescent="0.3">
      <c r="A1434" s="1262" t="s">
        <v>295</v>
      </c>
      <c r="B1434" s="480"/>
      <c r="C1434" s="59"/>
      <c r="D1434" s="59"/>
      <c r="E1434" s="59"/>
      <c r="F1434" s="460"/>
      <c r="G1434" s="460"/>
      <c r="H1434" s="460"/>
      <c r="I1434" s="1259"/>
    </row>
    <row r="1435" spans="1:9" ht="14.55" customHeight="1" x14ac:dyDescent="0.3">
      <c r="A1435" s="1263" t="s">
        <v>296</v>
      </c>
      <c r="B1435" s="722"/>
      <c r="C1435" s="59" t="s">
        <v>93</v>
      </c>
      <c r="D1435" s="59"/>
      <c r="E1435" s="59"/>
      <c r="F1435" s="460"/>
      <c r="G1435" s="460"/>
      <c r="H1435" s="460"/>
      <c r="I1435" s="1259"/>
    </row>
    <row r="1436" spans="1:9" ht="14.55" customHeight="1" x14ac:dyDescent="0.3">
      <c r="A1436" s="1263" t="s">
        <v>297</v>
      </c>
      <c r="B1436" s="722"/>
      <c r="C1436" s="59" t="s">
        <v>93</v>
      </c>
      <c r="D1436" s="59"/>
      <c r="E1436" s="59"/>
      <c r="F1436" s="460"/>
      <c r="G1436" s="460"/>
      <c r="H1436" s="460"/>
      <c r="I1436" s="1259"/>
    </row>
    <row r="1437" spans="1:9" ht="14.55" customHeight="1" x14ac:dyDescent="0.3">
      <c r="A1437" s="1263" t="s">
        <v>298</v>
      </c>
      <c r="B1437" s="480">
        <f>B1378</f>
        <v>0</v>
      </c>
      <c r="C1437" s="59" t="s">
        <v>93</v>
      </c>
      <c r="D1437" s="59"/>
      <c r="E1437" s="59"/>
      <c r="F1437" s="460"/>
      <c r="G1437" s="460"/>
      <c r="H1437" s="460"/>
      <c r="I1437" s="1259"/>
    </row>
    <row r="1438" spans="1:9" ht="14.55" customHeight="1" x14ac:dyDescent="0.3">
      <c r="A1438" s="1263" t="s">
        <v>299</v>
      </c>
      <c r="B1438" s="727"/>
      <c r="C1438" s="59"/>
      <c r="D1438" s="59"/>
      <c r="E1438" s="59"/>
      <c r="F1438" s="460"/>
      <c r="G1438" s="460"/>
      <c r="H1438" s="460"/>
      <c r="I1438" s="1259"/>
    </row>
    <row r="1439" spans="1:9" ht="14.55" customHeight="1" x14ac:dyDescent="0.3">
      <c r="A1439" s="1263" t="s">
        <v>300</v>
      </c>
      <c r="B1439" s="722"/>
      <c r="C1439" s="59" t="s">
        <v>301</v>
      </c>
      <c r="D1439" s="59"/>
      <c r="E1439" s="59"/>
      <c r="F1439" s="460"/>
      <c r="G1439" s="460"/>
      <c r="H1439" s="460"/>
      <c r="I1439" s="1259"/>
    </row>
    <row r="1440" spans="1:9" ht="14.55" customHeight="1" x14ac:dyDescent="0.3">
      <c r="A1440" s="1263" t="s">
        <v>302</v>
      </c>
      <c r="B1440" s="480">
        <f>IF(B1438="Straight",B1437,B1437*2)</f>
        <v>0</v>
      </c>
      <c r="C1440" s="59" t="s">
        <v>93</v>
      </c>
      <c r="D1440" s="480"/>
      <c r="E1440" s="59"/>
      <c r="F1440" s="460"/>
      <c r="G1440" s="460"/>
      <c r="H1440" s="460"/>
      <c r="I1440" s="1259"/>
    </row>
    <row r="1441" spans="1:9" ht="14.55" customHeight="1" x14ac:dyDescent="0.3">
      <c r="A1441" s="1263" t="s">
        <v>303</v>
      </c>
      <c r="B1441" s="480">
        <f>B1435*PI()*B1440/1000000*B1439</f>
        <v>0</v>
      </c>
      <c r="C1441" s="59" t="s">
        <v>228</v>
      </c>
      <c r="D1441" s="59"/>
      <c r="E1441" s="59"/>
      <c r="F1441" s="460"/>
      <c r="G1441" s="460"/>
      <c r="H1441" s="460"/>
      <c r="I1441" s="1259"/>
    </row>
    <row r="1442" spans="1:9" ht="14.55" customHeight="1" x14ac:dyDescent="0.3">
      <c r="A1442" s="1263" t="s">
        <v>304</v>
      </c>
      <c r="B1442" s="480">
        <v>7.86</v>
      </c>
      <c r="C1442" s="59" t="s">
        <v>305</v>
      </c>
      <c r="D1442" s="59"/>
      <c r="E1442" s="59"/>
      <c r="F1442" s="460"/>
      <c r="G1442" s="460"/>
      <c r="H1442" s="460"/>
      <c r="I1442" s="1259"/>
    </row>
    <row r="1443" spans="1:9" ht="14.55" customHeight="1" x14ac:dyDescent="0.3">
      <c r="A1443" s="1263" t="s">
        <v>306</v>
      </c>
      <c r="B1443" s="480">
        <f>PI()*B1436*(B1435-B1436)*B1442/1000</f>
        <v>0</v>
      </c>
      <c r="C1443" s="59" t="s">
        <v>307</v>
      </c>
      <c r="D1443" s="59"/>
      <c r="E1443" s="59"/>
      <c r="F1443" s="460"/>
      <c r="G1443" s="460"/>
      <c r="H1443" s="460"/>
      <c r="I1443" s="1259"/>
    </row>
    <row r="1444" spans="1:9" ht="14.55" customHeight="1" x14ac:dyDescent="0.3">
      <c r="A1444" s="1263" t="s">
        <v>308</v>
      </c>
      <c r="B1444" s="480">
        <f>B1443*B1440*B1439/1000</f>
        <v>0</v>
      </c>
      <c r="C1444" s="59" t="s">
        <v>222</v>
      </c>
      <c r="D1444" s="59"/>
      <c r="E1444" s="59"/>
      <c r="F1444" s="460"/>
      <c r="G1444" s="460"/>
      <c r="H1444" s="460"/>
      <c r="I1444" s="1259"/>
    </row>
    <row r="1445" spans="1:9" ht="14.55" customHeight="1" x14ac:dyDescent="0.3">
      <c r="A1445" s="1263"/>
      <c r="B1445" s="480"/>
      <c r="C1445" s="59"/>
      <c r="D1445" s="59"/>
      <c r="E1445" s="59"/>
      <c r="F1445" s="460"/>
      <c r="G1445" s="460"/>
      <c r="H1445" s="460"/>
      <c r="I1445" s="1259"/>
    </row>
    <row r="1446" spans="1:9" ht="14.55" customHeight="1" x14ac:dyDescent="0.3">
      <c r="A1446" s="1262" t="s">
        <v>309</v>
      </c>
      <c r="B1446" s="480"/>
      <c r="C1446" s="59"/>
      <c r="D1446" s="59"/>
      <c r="E1446" s="59"/>
      <c r="F1446" s="460"/>
      <c r="G1446" s="460"/>
      <c r="H1446" s="460"/>
      <c r="I1446" s="1259"/>
    </row>
    <row r="1447" spans="1:9" ht="14.55" customHeight="1" x14ac:dyDescent="0.3">
      <c r="A1447" s="1263" t="s">
        <v>310</v>
      </c>
      <c r="B1447" s="480">
        <f>B1376</f>
        <v>0</v>
      </c>
      <c r="C1447" s="59" t="s">
        <v>93</v>
      </c>
      <c r="D1447" s="59"/>
      <c r="E1447" s="59"/>
      <c r="F1447" s="460"/>
      <c r="G1447" s="460"/>
      <c r="H1447" s="460"/>
      <c r="I1447" s="1259"/>
    </row>
    <row r="1448" spans="1:9" ht="14.55" customHeight="1" x14ac:dyDescent="0.3">
      <c r="A1448" s="1263" t="s">
        <v>297</v>
      </c>
      <c r="B1448" s="480">
        <v>15</v>
      </c>
      <c r="C1448" s="59" t="s">
        <v>93</v>
      </c>
      <c r="D1448" s="59"/>
      <c r="E1448" s="59"/>
      <c r="F1448" s="460"/>
      <c r="G1448" s="460"/>
      <c r="H1448" s="460"/>
      <c r="I1448" s="1259"/>
    </row>
    <row r="1449" spans="1:9" ht="14.55" customHeight="1" x14ac:dyDescent="0.3">
      <c r="A1449" s="1263" t="s">
        <v>311</v>
      </c>
      <c r="B1449" s="480">
        <f>B1447^2*PI()/4/1000000</f>
        <v>0</v>
      </c>
      <c r="C1449" s="59" t="s">
        <v>228</v>
      </c>
      <c r="D1449" s="59"/>
      <c r="E1449" s="59"/>
      <c r="F1449" s="460"/>
      <c r="G1449" s="460"/>
      <c r="H1449" s="460"/>
      <c r="I1449" s="1259"/>
    </row>
    <row r="1450" spans="1:9" ht="14.55" customHeight="1" x14ac:dyDescent="0.3">
      <c r="A1450" s="1263" t="s">
        <v>312</v>
      </c>
      <c r="B1450" s="480">
        <f>B1449*B1448/1000*B1442*2/1000</f>
        <v>0</v>
      </c>
      <c r="C1450" s="59" t="s">
        <v>222</v>
      </c>
      <c r="D1450" s="59"/>
      <c r="E1450" s="59"/>
      <c r="F1450" s="460"/>
      <c r="G1450" s="460"/>
      <c r="H1450" s="460"/>
      <c r="I1450" s="1259"/>
    </row>
    <row r="1451" spans="1:9" ht="14.55" customHeight="1" x14ac:dyDescent="0.3">
      <c r="A1451" s="1263"/>
      <c r="B1451" s="480"/>
      <c r="C1451" s="59"/>
      <c r="D1451" s="59"/>
      <c r="E1451" s="59"/>
      <c r="F1451" s="460"/>
      <c r="G1451" s="460"/>
      <c r="H1451" s="460"/>
      <c r="I1451" s="1259"/>
    </row>
    <row r="1452" spans="1:9" ht="14.55" customHeight="1" x14ac:dyDescent="0.3">
      <c r="A1452" s="1263" t="s">
        <v>313</v>
      </c>
      <c r="B1452" s="480">
        <f>B1444+B1450*2</f>
        <v>0</v>
      </c>
      <c r="C1452" s="59" t="s">
        <v>222</v>
      </c>
      <c r="D1452" s="59"/>
      <c r="E1452" s="59"/>
      <c r="F1452" s="460"/>
      <c r="G1452" s="460"/>
      <c r="H1452" s="460"/>
      <c r="I1452" s="1259"/>
    </row>
    <row r="1453" spans="1:9" ht="14.55" customHeight="1" x14ac:dyDescent="0.3">
      <c r="A1453" s="1263"/>
      <c r="B1453" s="480"/>
      <c r="C1453" s="59"/>
      <c r="D1453" s="59"/>
      <c r="E1453" s="59"/>
      <c r="F1453" s="460"/>
      <c r="G1453" s="460"/>
      <c r="H1453" s="460"/>
      <c r="I1453" s="1259"/>
    </row>
    <row r="1454" spans="1:9" ht="14.55" customHeight="1" x14ac:dyDescent="0.3">
      <c r="A1454" s="1260" t="s">
        <v>314</v>
      </c>
      <c r="B1454" s="460"/>
      <c r="C1454" s="460"/>
      <c r="D1454" s="463" t="s">
        <v>315</v>
      </c>
      <c r="E1454" s="460"/>
      <c r="F1454" s="460"/>
      <c r="G1454" s="471" t="s">
        <v>316</v>
      </c>
      <c r="H1454" s="453"/>
      <c r="I1454" s="1259"/>
    </row>
    <row r="1455" spans="1:9" ht="14.55" customHeight="1" x14ac:dyDescent="0.3">
      <c r="A1455" s="1258" t="s">
        <v>189</v>
      </c>
      <c r="B1455" s="468" t="e">
        <f>SUM(B1379,D1379,F1379)</f>
        <v>#N/A</v>
      </c>
      <c r="C1455" s="460" t="s">
        <v>222</v>
      </c>
      <c r="D1455" s="472" t="s">
        <v>189</v>
      </c>
      <c r="E1455" s="468" t="e">
        <f>SUM(B1381,D1381,F1381)</f>
        <v>#N/A</v>
      </c>
      <c r="F1455" s="460" t="s">
        <v>228</v>
      </c>
      <c r="G1455" s="472" t="s">
        <v>189</v>
      </c>
      <c r="H1455" s="453" t="e">
        <f>SUM(B1383,D1383,F1383)</f>
        <v>#N/A</v>
      </c>
      <c r="I1455" s="1259" t="s">
        <v>228</v>
      </c>
    </row>
    <row r="1456" spans="1:9" ht="14.55" customHeight="1" x14ac:dyDescent="0.3">
      <c r="A1456" s="1258" t="s">
        <v>317</v>
      </c>
      <c r="B1456" s="468" t="e">
        <f>SUM(B1389*B1391,D1389*D1391,F1389*F1391)</f>
        <v>#N/A</v>
      </c>
      <c r="C1456" s="460" t="s">
        <v>222</v>
      </c>
      <c r="D1456" s="472" t="s">
        <v>317</v>
      </c>
      <c r="E1456" s="468" t="e">
        <f>SUM(B1389*B1393,D1389*D1393,F1389*F1393)</f>
        <v>#N/A</v>
      </c>
      <c r="F1456" s="460" t="s">
        <v>228</v>
      </c>
      <c r="G1456" s="472" t="s">
        <v>317</v>
      </c>
      <c r="H1456" s="453" t="e">
        <f>SUM(B1389*B1395,D1389*D1395,F1389*F1395)</f>
        <v>#N/A</v>
      </c>
      <c r="I1456" s="1259" t="s">
        <v>228</v>
      </c>
    </row>
    <row r="1457" spans="1:9" ht="14.55" customHeight="1" x14ac:dyDescent="0.3">
      <c r="A1457" s="1258" t="s">
        <v>318</v>
      </c>
      <c r="B1457" s="468" t="e">
        <f>SUM(B1403,D1403,F1403)</f>
        <v>#N/A</v>
      </c>
      <c r="C1457" s="460" t="s">
        <v>222</v>
      </c>
      <c r="D1457" s="472" t="s">
        <v>318</v>
      </c>
      <c r="E1457" s="468" t="e">
        <f>SUM(B1405,D1405,F1405)</f>
        <v>#N/A</v>
      </c>
      <c r="F1457" s="460" t="s">
        <v>228</v>
      </c>
      <c r="G1457" s="472" t="s">
        <v>318</v>
      </c>
      <c r="H1457" s="453" t="e">
        <f>SUM(B1408,D1408,F1408)</f>
        <v>#N/A</v>
      </c>
      <c r="I1457" s="1259" t="s">
        <v>228</v>
      </c>
    </row>
    <row r="1458" spans="1:9" ht="14.55" customHeight="1" x14ac:dyDescent="0.3">
      <c r="A1458" s="1258" t="s">
        <v>319</v>
      </c>
      <c r="B1458" s="468">
        <f>SUMPRODUCT(F1475:F1486,H1475:H1486)</f>
        <v>0</v>
      </c>
      <c r="C1458" s="460" t="s">
        <v>222</v>
      </c>
      <c r="D1458" s="472" t="s">
        <v>319</v>
      </c>
      <c r="E1458" s="468">
        <f>SUMPRODUCT(F1475:F1486,I1475:I1486)</f>
        <v>0</v>
      </c>
      <c r="F1458" s="460" t="s">
        <v>228</v>
      </c>
      <c r="G1458" s="460"/>
      <c r="H1458" s="453"/>
      <c r="I1458" s="1259"/>
    </row>
    <row r="1459" spans="1:9" ht="14.55" customHeight="1" x14ac:dyDescent="0.3">
      <c r="A1459" s="1258" t="s">
        <v>320</v>
      </c>
      <c r="B1459" s="468" t="e">
        <f>IF(B1355="Horizontal",0,(PI()*B1429*(((B1377/2)^2)-(((B1377-2*B1428)/2)^2))*7860)/1000000000)</f>
        <v>#N/A</v>
      </c>
      <c r="C1459" s="460" t="s">
        <v>222</v>
      </c>
      <c r="D1459" s="472" t="s">
        <v>320</v>
      </c>
      <c r="E1459" s="468" t="e">
        <f>IF(B1355="Horizontal",0,((B1377*B1429*PI())+((B1377-2*B1428)*B1429*PI()))/1000000)</f>
        <v>#N/A</v>
      </c>
      <c r="F1459" s="460" t="s">
        <v>228</v>
      </c>
      <c r="G1459" s="471" t="s">
        <v>321</v>
      </c>
      <c r="H1459" s="453"/>
      <c r="I1459" s="1259"/>
    </row>
    <row r="1460" spans="1:9" ht="14.55" customHeight="1" x14ac:dyDescent="0.3">
      <c r="A1460" s="1258" t="s">
        <v>322</v>
      </c>
      <c r="B1460" s="468">
        <f>IF(B1355="Horizontal",0,(PI()*B1432*(((B1431/2)^2)-((B1430/2)^2))*7860)/1000000000)</f>
        <v>0</v>
      </c>
      <c r="C1460" s="460" t="s">
        <v>222</v>
      </c>
      <c r="D1460" s="472" t="s">
        <v>322</v>
      </c>
      <c r="E1460" s="468">
        <f>IF(B1355="Horizontal",0,((B1431*3.14*B1432)+(B1430*3.14*B1432)+(((((B1431/2)^2)*3.14)-(((B1430/2)^2)*3.14))*2))/1000000)</f>
        <v>0</v>
      </c>
      <c r="F1460" s="460" t="s">
        <v>228</v>
      </c>
      <c r="G1460" s="472" t="s">
        <v>189</v>
      </c>
      <c r="H1460" s="453">
        <f>SUM(B1380,D1380,F1380)</f>
        <v>0</v>
      </c>
      <c r="I1460" s="1259" t="s">
        <v>225</v>
      </c>
    </row>
    <row r="1461" spans="1:9" ht="14.55" customHeight="1" x14ac:dyDescent="0.3">
      <c r="A1461" s="1258" t="s">
        <v>323</v>
      </c>
      <c r="B1461" s="468">
        <f>IF(B1355="Horizontal",VLOOKUP(B1377,List!$AR:$AS,2,1)*2,0)</f>
        <v>0</v>
      </c>
      <c r="C1461" s="460" t="s">
        <v>222</v>
      </c>
      <c r="D1461" s="472" t="s">
        <v>323</v>
      </c>
      <c r="E1461" s="725"/>
      <c r="F1461" s="460" t="s">
        <v>228</v>
      </c>
      <c r="G1461" s="472" t="s">
        <v>317</v>
      </c>
      <c r="H1461" s="453" t="e">
        <f>SUM(B1389*B1392+D1389*D1392+F1389*F1392)</f>
        <v>#N/A</v>
      </c>
      <c r="I1461" s="1259" t="s">
        <v>225</v>
      </c>
    </row>
    <row r="1462" spans="1:9" ht="14.55" customHeight="1" x14ac:dyDescent="0.3">
      <c r="A1462" s="1258" t="s">
        <v>324</v>
      </c>
      <c r="B1462" s="468">
        <f>F1431*F1430</f>
        <v>0</v>
      </c>
      <c r="C1462" s="460" t="s">
        <v>222</v>
      </c>
      <c r="D1462" s="460"/>
      <c r="E1462" s="460"/>
      <c r="F1462" s="460"/>
      <c r="G1462" s="472" t="s">
        <v>318</v>
      </c>
      <c r="H1462" s="453">
        <f>SUM(B1404,D1404,F1404)</f>
        <v>0</v>
      </c>
      <c r="I1462" s="1259" t="s">
        <v>225</v>
      </c>
    </row>
    <row r="1463" spans="1:9" ht="14.55" customHeight="1" x14ac:dyDescent="0.3">
      <c r="A1463" s="1258" t="s">
        <v>325</v>
      </c>
      <c r="B1463" s="468">
        <f>B1452</f>
        <v>0</v>
      </c>
      <c r="C1463" s="460" t="s">
        <v>222</v>
      </c>
      <c r="D1463" s="460"/>
      <c r="E1463" s="460"/>
      <c r="F1463" s="460"/>
      <c r="G1463" s="472"/>
      <c r="H1463" s="453"/>
      <c r="I1463" s="1259"/>
    </row>
    <row r="1464" spans="1:9" ht="14.55" customHeight="1" x14ac:dyDescent="0.3">
      <c r="A1464" s="1258" t="s">
        <v>326</v>
      </c>
      <c r="B1464" s="725"/>
      <c r="C1464" s="460" t="s">
        <v>222</v>
      </c>
      <c r="D1464" s="460"/>
      <c r="E1464" s="460"/>
      <c r="F1464" s="460"/>
      <c r="G1464" s="460"/>
      <c r="H1464" s="460"/>
      <c r="I1464" s="1259"/>
    </row>
    <row r="1465" spans="1:9" ht="14.55" customHeight="1" x14ac:dyDescent="0.3">
      <c r="A1465" s="1264"/>
      <c r="B1465" s="460"/>
      <c r="C1465" s="460"/>
      <c r="D1465" s="460"/>
      <c r="E1465" s="460"/>
      <c r="F1465" s="460"/>
      <c r="G1465" s="460"/>
      <c r="H1465" s="460"/>
      <c r="I1465" s="1259"/>
    </row>
    <row r="1466" spans="1:9" ht="14.55" customHeight="1" x14ac:dyDescent="0.3">
      <c r="A1466" s="1258" t="s">
        <v>327</v>
      </c>
      <c r="B1466" s="453" t="e">
        <f>SUM(E1455:E1461)</f>
        <v>#N/A</v>
      </c>
      <c r="C1466" s="460" t="s">
        <v>228</v>
      </c>
      <c r="D1466" s="460"/>
      <c r="E1466" s="460"/>
      <c r="F1466" s="460"/>
      <c r="G1466" s="460"/>
      <c r="H1466" s="460"/>
      <c r="I1466" s="1259"/>
    </row>
    <row r="1467" spans="1:9" ht="14.55" customHeight="1" x14ac:dyDescent="0.3">
      <c r="A1467" s="1258" t="s">
        <v>328</v>
      </c>
      <c r="B1467" s="453" t="e">
        <f>IF(SUM(E1455:E1457)=SUM(H1455:H1457),"Not Insulated",SUM(H1455:H1457))</f>
        <v>#N/A</v>
      </c>
      <c r="C1467" s="460" t="e">
        <f>IF(B1466=SUM(H1455:H1457),"","m2")</f>
        <v>#N/A</v>
      </c>
      <c r="D1467" s="460"/>
      <c r="E1467" s="460"/>
      <c r="F1467" s="460"/>
      <c r="G1467" s="460"/>
      <c r="H1467" s="460"/>
      <c r="I1467" s="1259"/>
    </row>
    <row r="1468" spans="1:9" ht="14.55" customHeight="1" x14ac:dyDescent="0.3">
      <c r="A1468" s="1258" t="s">
        <v>329</v>
      </c>
      <c r="B1468" s="453" t="e">
        <f>SUM(H1460:H1462)</f>
        <v>#N/A</v>
      </c>
      <c r="C1468" s="460" t="s">
        <v>225</v>
      </c>
      <c r="D1468" s="460"/>
      <c r="E1468" s="460"/>
      <c r="F1468" s="460"/>
      <c r="G1468" s="460"/>
      <c r="H1468" s="460"/>
      <c r="I1468" s="1259"/>
    </row>
    <row r="1469" spans="1:9" ht="14.55" customHeight="1" x14ac:dyDescent="0.3">
      <c r="A1469" s="1258" t="s">
        <v>330</v>
      </c>
      <c r="B1469" s="453" t="e">
        <f>SUM(B1455:B1464)</f>
        <v>#N/A</v>
      </c>
      <c r="C1469" s="460" t="s">
        <v>222</v>
      </c>
      <c r="D1469" s="460"/>
      <c r="E1469" s="460"/>
      <c r="F1469" s="460"/>
      <c r="G1469" s="460"/>
      <c r="H1469" s="460"/>
      <c r="I1469" s="1259"/>
    </row>
    <row r="1470" spans="1:9" ht="14.55" customHeight="1" x14ac:dyDescent="0.3">
      <c r="A1470" s="1258" t="s">
        <v>331</v>
      </c>
      <c r="B1470" s="725"/>
      <c r="C1470" s="460" t="s">
        <v>222</v>
      </c>
      <c r="D1470" s="460"/>
      <c r="E1470" s="460"/>
      <c r="F1470" s="460"/>
      <c r="G1470" s="460"/>
      <c r="H1470" s="460"/>
      <c r="I1470" s="1259"/>
    </row>
    <row r="1471" spans="1:9" ht="15" customHeight="1" thickBot="1" x14ac:dyDescent="0.35">
      <c r="A1471" s="1258"/>
      <c r="B1471" s="473"/>
      <c r="C1471" s="459"/>
      <c r="D1471" s="460"/>
      <c r="E1471" s="460"/>
      <c r="F1471" s="460"/>
      <c r="G1471" s="460"/>
      <c r="H1471" s="460"/>
      <c r="I1471" s="1259"/>
    </row>
    <row r="1472" spans="1:9" ht="15" customHeight="1" thickBot="1" x14ac:dyDescent="0.35">
      <c r="A1472" s="474"/>
      <c r="B1472" s="1718" t="s">
        <v>332</v>
      </c>
      <c r="C1472" s="1718"/>
      <c r="D1472" s="1718"/>
      <c r="E1472" s="1718"/>
      <c r="F1472" s="1718"/>
      <c r="G1472" s="475"/>
      <c r="H1472" s="475"/>
      <c r="I1472" s="476"/>
    </row>
    <row r="1473" spans="1:13" ht="14.55" customHeight="1" x14ac:dyDescent="0.3">
      <c r="A1473" s="1264"/>
      <c r="B1473" s="1719" t="s">
        <v>333</v>
      </c>
      <c r="C1473" s="1381" t="s">
        <v>59</v>
      </c>
      <c r="D1473" s="1719" t="s">
        <v>114</v>
      </c>
      <c r="E1473" s="1719" t="s">
        <v>334</v>
      </c>
      <c r="F1473" s="1719" t="s">
        <v>292</v>
      </c>
      <c r="G1473" s="1719" t="s">
        <v>335</v>
      </c>
      <c r="H1473" s="1381" t="s">
        <v>184</v>
      </c>
      <c r="I1473" s="1346" t="s">
        <v>336</v>
      </c>
    </row>
    <row r="1474" spans="1:13" ht="14.55" customHeight="1" x14ac:dyDescent="0.3">
      <c r="A1474" s="1264"/>
      <c r="B1474" s="1720"/>
      <c r="C1474" s="1442" t="s">
        <v>214</v>
      </c>
      <c r="D1474" s="1720"/>
      <c r="E1474" s="1720"/>
      <c r="F1474" s="1720"/>
      <c r="G1474" s="1720"/>
      <c r="H1474" s="1442" t="s">
        <v>222</v>
      </c>
      <c r="I1474" s="1443" t="s">
        <v>228</v>
      </c>
    </row>
    <row r="1475" spans="1:13" ht="14.55" customHeight="1" x14ac:dyDescent="0.3">
      <c r="A1475" s="1264"/>
      <c r="B1475" s="1382" t="s">
        <v>337</v>
      </c>
      <c r="C1475" s="728"/>
      <c r="D1475" s="729"/>
      <c r="E1475" s="730"/>
      <c r="F1475" s="730"/>
      <c r="G1475" s="730"/>
      <c r="H1475" s="1465" t="str">
        <f>IFERROR(VLOOKUP($C1475&amp;"F"&amp;$D1475,'Flanges Chart'!$1:$1048576,MATCH($E1475&amp;"."&amp;H$123,'Flanges Chart'!$1:$1,0),0),"")</f>
        <v/>
      </c>
      <c r="I1475" s="1466" t="str">
        <f>IFERROR(VLOOKUP($C1475&amp;"F"&amp;$D1475,'Flanges Chart'!$1:$1048576,MATCH($E1475&amp;"."&amp;I$123,'Flanges Chart'!$1:$1,0),0),"")</f>
        <v/>
      </c>
    </row>
    <row r="1476" spans="1:13" ht="14.55" customHeight="1" x14ac:dyDescent="0.3">
      <c r="A1476" s="1264"/>
      <c r="B1476" s="1467" t="s">
        <v>340</v>
      </c>
      <c r="C1476" s="731"/>
      <c r="D1476" s="729"/>
      <c r="E1476" s="729"/>
      <c r="F1476" s="729"/>
      <c r="G1476" s="729"/>
      <c r="H1476" s="1465" t="str">
        <f>IFERROR(VLOOKUP($C1476&amp;"F"&amp;$D1476,'Flanges Chart'!$1:$1048576,MATCH($E1476&amp;"."&amp;H$123,'Flanges Chart'!$1:$1,0),0),"")</f>
        <v/>
      </c>
      <c r="I1476" s="1466" t="str">
        <f>IFERROR(VLOOKUP($C1476&amp;"F"&amp;$D1476,'Flanges Chart'!$1:$1048576,MATCH($E1476&amp;"."&amp;I$123,'Flanges Chart'!$1:$1,0),0),"")</f>
        <v/>
      </c>
    </row>
    <row r="1477" spans="1:13" ht="14.55" customHeight="1" x14ac:dyDescent="0.3">
      <c r="A1477" s="1264"/>
      <c r="B1477" s="1467" t="s">
        <v>342</v>
      </c>
      <c r="C1477" s="731"/>
      <c r="D1477" s="729"/>
      <c r="E1477" s="729"/>
      <c r="F1477" s="729"/>
      <c r="G1477" s="729"/>
      <c r="H1477" s="1465" t="str">
        <f>IFERROR(VLOOKUP($C1477&amp;"F"&amp;$D1477,'Flanges Chart'!$1:$1048576,MATCH($E1477&amp;"."&amp;H$123,'Flanges Chart'!$1:$1,0),0),"")</f>
        <v/>
      </c>
      <c r="I1477" s="1466" t="str">
        <f>IFERROR(VLOOKUP($C1477&amp;"F"&amp;$D1477,'Flanges Chart'!$1:$1048576,MATCH($E1477&amp;"."&amp;I$123,'Flanges Chart'!$1:$1,0),0),"")</f>
        <v/>
      </c>
    </row>
    <row r="1478" spans="1:13" ht="14.55" customHeight="1" x14ac:dyDescent="0.3">
      <c r="A1478" s="1264"/>
      <c r="B1478" s="1467" t="s">
        <v>344</v>
      </c>
      <c r="C1478" s="731"/>
      <c r="D1478" s="729"/>
      <c r="E1478" s="729"/>
      <c r="F1478" s="729"/>
      <c r="G1478" s="729"/>
      <c r="H1478" s="1465" t="str">
        <f>IFERROR(VLOOKUP($C1478&amp;"F"&amp;$D1478,'Flanges Chart'!$1:$1048576,MATCH($E1478&amp;"."&amp;H$123,'Flanges Chart'!$1:$1,0),0),"")</f>
        <v/>
      </c>
      <c r="I1478" s="1466" t="str">
        <f>IFERROR(VLOOKUP($C1478&amp;"F"&amp;$D1478,'Flanges Chart'!$1:$1048576,MATCH($E1478&amp;"."&amp;I$123,'Flanges Chart'!$1:$1,0),0),"")</f>
        <v/>
      </c>
    </row>
    <row r="1479" spans="1:13" ht="14.55" customHeight="1" x14ac:dyDescent="0.3">
      <c r="A1479" s="1264"/>
      <c r="B1479" s="1467" t="s">
        <v>347</v>
      </c>
      <c r="C1479" s="731"/>
      <c r="D1479" s="729"/>
      <c r="E1479" s="729"/>
      <c r="F1479" s="729"/>
      <c r="G1479" s="729"/>
      <c r="H1479" s="1465" t="str">
        <f>IFERROR(VLOOKUP($C1479&amp;"F"&amp;$D1479,'Flanges Chart'!$1:$1048576,MATCH($E1479&amp;"."&amp;H$123,'Flanges Chart'!$1:$1,0),0),"")</f>
        <v/>
      </c>
      <c r="I1479" s="1466" t="str">
        <f>IFERROR(VLOOKUP($C1479&amp;"F"&amp;$D1479,'Flanges Chart'!$1:$1048576,MATCH($E1479&amp;"."&amp;I$123,'Flanges Chart'!$1:$1,0),0),"")</f>
        <v/>
      </c>
    </row>
    <row r="1480" spans="1:13" ht="14.55" customHeight="1" x14ac:dyDescent="0.3">
      <c r="A1480" s="1264"/>
      <c r="B1480" s="1467" t="s">
        <v>349</v>
      </c>
      <c r="C1480" s="731"/>
      <c r="D1480" s="729"/>
      <c r="E1480" s="729"/>
      <c r="F1480" s="729"/>
      <c r="G1480" s="729"/>
      <c r="H1480" s="1465" t="str">
        <f>IFERROR(VLOOKUP($C1480&amp;"F"&amp;$D1480,'Flanges Chart'!$1:$1048576,MATCH($E1480&amp;"."&amp;H$123,'Flanges Chart'!$1:$1,0),0),"")</f>
        <v/>
      </c>
      <c r="I1480" s="1466" t="str">
        <f>IFERROR(VLOOKUP($C1480&amp;"F"&amp;$D1480,'Flanges Chart'!$1:$1048576,MATCH($E1480&amp;"."&amp;I$123,'Flanges Chart'!$1:$1,0),0),"")</f>
        <v/>
      </c>
    </row>
    <row r="1481" spans="1:13" ht="14.55" customHeight="1" x14ac:dyDescent="0.3">
      <c r="A1481" s="1264"/>
      <c r="B1481" s="1467" t="s">
        <v>350</v>
      </c>
      <c r="C1481" s="731"/>
      <c r="D1481" s="729"/>
      <c r="E1481" s="729"/>
      <c r="F1481" s="729"/>
      <c r="G1481" s="729"/>
      <c r="H1481" s="1465" t="str">
        <f>IFERROR(VLOOKUP($C1481&amp;"F"&amp;$D1481,'Flanges Chart'!$1:$1048576,MATCH($E1481&amp;"."&amp;H$123,'Flanges Chart'!$1:$1,0),0),"")</f>
        <v/>
      </c>
      <c r="I1481" s="1466" t="str">
        <f>IFERROR(VLOOKUP($C1481&amp;"F"&amp;$D1481,'Flanges Chart'!$1:$1048576,MATCH($E1481&amp;"."&amp;I$123,'Flanges Chart'!$1:$1,0),0),"")</f>
        <v/>
      </c>
    </row>
    <row r="1482" spans="1:13" ht="14.55" customHeight="1" x14ac:dyDescent="0.3">
      <c r="A1482" s="1264"/>
      <c r="B1482" s="1467" t="s">
        <v>351</v>
      </c>
      <c r="C1482" s="731"/>
      <c r="D1482" s="729"/>
      <c r="E1482" s="729"/>
      <c r="F1482" s="729"/>
      <c r="G1482" s="729"/>
      <c r="H1482" s="1465" t="str">
        <f>IFERROR(VLOOKUP($C1482&amp;"F"&amp;$D1482,'Flanges Chart'!$1:$1048576,MATCH($E1482&amp;"."&amp;H$123,'Flanges Chart'!$1:$1,0),0),"")</f>
        <v/>
      </c>
      <c r="I1482" s="1466" t="str">
        <f>IFERROR(VLOOKUP($C1482&amp;"F"&amp;$D1482,'Flanges Chart'!$1:$1048576,MATCH($E1482&amp;"."&amp;I$123,'Flanges Chart'!$1:$1,0),0),"")</f>
        <v/>
      </c>
    </row>
    <row r="1483" spans="1:13" ht="14.55" customHeight="1" x14ac:dyDescent="0.3">
      <c r="A1483" s="1264"/>
      <c r="B1483" s="1467" t="s">
        <v>352</v>
      </c>
      <c r="C1483" s="731"/>
      <c r="D1483" s="729"/>
      <c r="E1483" s="729"/>
      <c r="F1483" s="729"/>
      <c r="G1483" s="729"/>
      <c r="H1483" s="1465" t="str">
        <f>IFERROR(VLOOKUP($C1483&amp;"F"&amp;$D1483,'Flanges Chart'!$1:$1048576,MATCH($E1483&amp;"."&amp;H$123,'Flanges Chart'!$1:$1,0),0),"")</f>
        <v/>
      </c>
      <c r="I1483" s="1466" t="str">
        <f>IFERROR(VLOOKUP($C1483&amp;"F"&amp;$D1483,'Flanges Chart'!$1:$1048576,MATCH($E1483&amp;"."&amp;I$123,'Flanges Chart'!$1:$1,0),0),"")</f>
        <v/>
      </c>
    </row>
    <row r="1484" spans="1:13" ht="14.55" customHeight="1" x14ac:dyDescent="0.3">
      <c r="A1484" s="1264"/>
      <c r="B1484" s="1467" t="s">
        <v>353</v>
      </c>
      <c r="C1484" s="731"/>
      <c r="D1484" s="729"/>
      <c r="E1484" s="729"/>
      <c r="F1484" s="729"/>
      <c r="G1484" s="729"/>
      <c r="H1484" s="1465" t="str">
        <f>IFERROR(VLOOKUP($C1484&amp;"F"&amp;$D1484,'Flanges Chart'!$1:$1048576,MATCH($E1484&amp;"."&amp;H$123,'Flanges Chart'!$1:$1,0),0),"")</f>
        <v/>
      </c>
      <c r="I1484" s="1466" t="str">
        <f>IFERROR(VLOOKUP($C1484&amp;"F"&amp;$D1484,'Flanges Chart'!$1:$1048576,MATCH($E1484&amp;"."&amp;I$123,'Flanges Chart'!$1:$1,0),0),"")</f>
        <v/>
      </c>
    </row>
    <row r="1485" spans="1:13" ht="14.55" customHeight="1" x14ac:dyDescent="0.3">
      <c r="A1485" s="1264"/>
      <c r="B1485" s="1467" t="s">
        <v>354</v>
      </c>
      <c r="C1485" s="731"/>
      <c r="D1485" s="729"/>
      <c r="E1485" s="729"/>
      <c r="F1485" s="729"/>
      <c r="G1485" s="729"/>
      <c r="H1485" s="1465" t="str">
        <f>IFERROR(VLOOKUP($C1485&amp;"F"&amp;$D1485,'Flanges Chart'!$1:$1048576,MATCH($E1485&amp;"."&amp;H$123,'Flanges Chart'!$1:$1,0),0),"")</f>
        <v/>
      </c>
      <c r="I1485" s="1466" t="str">
        <f>IFERROR(VLOOKUP($C1485&amp;"F"&amp;$D1485,'Flanges Chart'!$1:$1048576,MATCH($E1485&amp;"."&amp;I$123,'Flanges Chart'!$1:$1,0),0),"")</f>
        <v/>
      </c>
    </row>
    <row r="1486" spans="1:13" ht="15" customHeight="1" thickBot="1" x14ac:dyDescent="0.35">
      <c r="A1486" s="1264"/>
      <c r="B1486" s="1468" t="s">
        <v>355</v>
      </c>
      <c r="C1486" s="732"/>
      <c r="D1486" s="733"/>
      <c r="E1486" s="733"/>
      <c r="F1486" s="733"/>
      <c r="G1486" s="733"/>
      <c r="H1486" s="1469" t="s">
        <v>356</v>
      </c>
      <c r="I1486" s="1470" t="str">
        <f>IFERROR(VLOOKUP($C1486&amp;"F"&amp;$D1486,'Flanges Chart'!$1:$1048576,MATCH($E1486&amp;"."&amp;I$123,'Flanges Chart'!$1:$1,0),0),"")</f>
        <v/>
      </c>
    </row>
    <row r="1487" spans="1:13" s="496" customFormat="1" ht="18.600000000000001" thickBot="1" x14ac:dyDescent="0.35">
      <c r="A1487" s="493" t="str">
        <f>"POS."&amp;K1487&amp;" "&amp;VLOOKUP(K1487,'Equip&amp;Mach List'!$1:$1048576,2,0)&amp;" "&amp;VLOOKUP(K1487,'Equip&amp;Mach List'!$1:$1048576,3,0)</f>
        <v xml:space="preserve">POS.12  </v>
      </c>
      <c r="B1487" s="511"/>
      <c r="C1487" s="494"/>
      <c r="D1487" s="495"/>
      <c r="E1487" s="495"/>
      <c r="F1487" s="497"/>
      <c r="G1487" s="495"/>
      <c r="H1487" s="495"/>
      <c r="I1487" s="1255" t="str">
        <f>IFERROR("Weight Calc./Selected = "&amp;ROUND(B1604,1)&amp;"/"&amp;B1605&amp;" kg - Øi ="&amp;IF(B1511=0,F1511,B1511)&amp;" mm"&amp;"T/T ="&amp;IF(B1512=0,F1512,B1512)&amp;" mm - Material "&amp;B1498&amp;"        ","")</f>
        <v/>
      </c>
      <c r="K1487" s="496">
        <v>12</v>
      </c>
      <c r="M1487" s="1254"/>
    </row>
    <row r="1488" spans="1:13" ht="14.55" customHeight="1" x14ac:dyDescent="0.3">
      <c r="A1488" s="1256"/>
      <c r="B1488" s="451"/>
      <c r="C1488" s="451"/>
      <c r="D1488" s="451"/>
      <c r="E1488" s="451"/>
      <c r="F1488" s="451"/>
      <c r="G1488" s="451"/>
      <c r="H1488" s="451"/>
      <c r="I1488" s="1257"/>
      <c r="K1488" s="477" t="s">
        <v>166</v>
      </c>
      <c r="L1488" s="477" t="str">
        <f>K1487&amp;"."&amp;K1488</f>
        <v>12.Design Code</v>
      </c>
      <c r="M1488" s="1252" t="str">
        <f>A1489&amp;" "&amp;B1489</f>
        <v xml:space="preserve">ASME VIII </v>
      </c>
    </row>
    <row r="1489" spans="1:13" ht="14.55" customHeight="1" x14ac:dyDescent="0.3">
      <c r="A1489" s="1258" t="s">
        <v>167</v>
      </c>
      <c r="B1489" s="718"/>
      <c r="C1489" s="459"/>
      <c r="D1489" s="460"/>
      <c r="E1489" s="460"/>
      <c r="F1489" s="460"/>
      <c r="G1489" s="460"/>
      <c r="H1489" s="460"/>
      <c r="I1489" s="1259"/>
      <c r="K1489" s="477" t="s">
        <v>169</v>
      </c>
      <c r="L1489" s="477" t="str">
        <f>K1487&amp;"."&amp;K1489</f>
        <v>12.Orientation</v>
      </c>
      <c r="M1489" s="1252">
        <f>B1490</f>
        <v>0</v>
      </c>
    </row>
    <row r="1490" spans="1:13" ht="14.55" customHeight="1" x14ac:dyDescent="0.3">
      <c r="A1490" s="1258" t="s">
        <v>170</v>
      </c>
      <c r="B1490" s="718"/>
      <c r="C1490" s="459"/>
      <c r="D1490" s="460"/>
      <c r="E1490" s="460"/>
      <c r="F1490" s="461"/>
      <c r="G1490" s="460"/>
      <c r="H1490" s="460"/>
      <c r="I1490" s="1259"/>
      <c r="K1490" s="477" t="s">
        <v>172</v>
      </c>
      <c r="L1490" s="477" t="str">
        <f>K1487&amp;"."&amp;K1490</f>
        <v>12.Design Temperature</v>
      </c>
      <c r="M1490" s="1252">
        <f>D1493</f>
        <v>0</v>
      </c>
    </row>
    <row r="1491" spans="1:13" ht="14.55" customHeight="1" x14ac:dyDescent="0.3">
      <c r="A1491" s="1258"/>
      <c r="B1491" s="459"/>
      <c r="C1491" s="459"/>
      <c r="D1491" s="460"/>
      <c r="E1491" s="460"/>
      <c r="F1491" s="462"/>
      <c r="G1491" s="460"/>
      <c r="H1491" s="460"/>
      <c r="I1491" s="1259"/>
      <c r="K1491" s="477" t="s">
        <v>173</v>
      </c>
      <c r="L1491" s="477" t="str">
        <f>K1487&amp;"."&amp;K1491</f>
        <v>12.Design Pressure</v>
      </c>
      <c r="M1491" s="1252">
        <f>D1494</f>
        <v>0</v>
      </c>
    </row>
    <row r="1492" spans="1:13" ht="14.55" customHeight="1" x14ac:dyDescent="0.3">
      <c r="A1492" s="1260" t="s">
        <v>174</v>
      </c>
      <c r="B1492" s="459"/>
      <c r="C1492" s="459"/>
      <c r="D1492" s="460"/>
      <c r="E1492" s="460"/>
      <c r="F1492" s="462"/>
      <c r="G1492" s="460"/>
      <c r="H1492" s="460"/>
      <c r="I1492" s="1259"/>
      <c r="K1492" s="477" t="s">
        <v>175</v>
      </c>
      <c r="L1492" s="477" t="str">
        <f>K1487&amp;"."&amp;K1492</f>
        <v>12.Material</v>
      </c>
      <c r="M1492" s="1252">
        <f>B1498</f>
        <v>0</v>
      </c>
    </row>
    <row r="1493" spans="1:13" ht="14.55" customHeight="1" x14ac:dyDescent="0.3">
      <c r="A1493" s="1258" t="s">
        <v>176</v>
      </c>
      <c r="B1493" s="719"/>
      <c r="C1493" s="720"/>
      <c r="D1493" s="464">
        <f>IF(C1493="°C",B1493,0)+IF(C1493="°F",(B1493-32)*5/9,0)</f>
        <v>0</v>
      </c>
      <c r="E1493" s="460" t="s">
        <v>177</v>
      </c>
      <c r="F1493" s="462"/>
      <c r="G1493" s="460"/>
      <c r="H1493" s="460"/>
      <c r="I1493" s="1259"/>
      <c r="K1493" s="477" t="s">
        <v>178</v>
      </c>
      <c r="L1493" s="477" t="str">
        <f>K1487&amp;"."&amp;K1493</f>
        <v>12.Inside Diameter</v>
      </c>
      <c r="M1493" s="1252">
        <f>IF(B1511=0,F1511,B1511)</f>
        <v>0</v>
      </c>
    </row>
    <row r="1494" spans="1:13" ht="14.55" customHeight="1" x14ac:dyDescent="0.3">
      <c r="A1494" s="1258" t="s">
        <v>179</v>
      </c>
      <c r="B1494" s="721"/>
      <c r="C1494" s="720"/>
      <c r="D1494" s="452">
        <f>IF(C1494="barg",B1494,0)+IF(C1494="psig",B1494*List!$AV$4,0)+IF(C1494="MPa",B1494*List!$AV$5,0)+IF(C1494="N/mm2",B1494*List!$AV$6,0)</f>
        <v>0</v>
      </c>
      <c r="E1494" s="460" t="s">
        <v>180</v>
      </c>
      <c r="F1494" s="460"/>
      <c r="G1494" s="460"/>
      <c r="H1494" s="460"/>
      <c r="I1494" s="1259"/>
      <c r="K1494" s="477" t="s">
        <v>181</v>
      </c>
      <c r="L1494" s="477" t="str">
        <f>K1487&amp;"."&amp;K1494</f>
        <v>12.Tan / Tan</v>
      </c>
      <c r="M1494" s="1252">
        <f>IF(B1513=0,F1513,B1513)</f>
        <v>0</v>
      </c>
    </row>
    <row r="1495" spans="1:13" ht="14.55" customHeight="1" x14ac:dyDescent="0.3">
      <c r="A1495" s="1258" t="s">
        <v>182</v>
      </c>
      <c r="B1495" s="721"/>
      <c r="C1495" s="720"/>
      <c r="D1495" s="452">
        <f>IF(C1495="barg",B1495,0)+IF(C1495="psig",B1495*List!$AV$4,0)+IF(C1495="MPa",B1495*List!$AV$5,0)+IF(C1495="N/mm2",B1495*List!$AV$6,0)</f>
        <v>0</v>
      </c>
      <c r="E1495" s="460" t="s">
        <v>180</v>
      </c>
      <c r="F1495" s="460"/>
      <c r="G1495" s="465"/>
      <c r="H1495" s="460"/>
      <c r="I1495" s="1259"/>
      <c r="K1495" s="477" t="s">
        <v>183</v>
      </c>
      <c r="L1495" s="477" t="str">
        <f>K1487&amp;"."&amp;K1495</f>
        <v>12.Thickness</v>
      </c>
      <c r="M1495" s="1252" t="e">
        <f>IF(B1552=0,F1556,B1552)</f>
        <v>#N/A</v>
      </c>
    </row>
    <row r="1496" spans="1:13" ht="14.55" customHeight="1" x14ac:dyDescent="0.3">
      <c r="A1496" s="1258"/>
      <c r="B1496" s="459"/>
      <c r="C1496" s="459"/>
      <c r="D1496" s="460"/>
      <c r="E1496" s="460"/>
      <c r="F1496" s="460"/>
      <c r="G1496" s="465"/>
      <c r="H1496" s="460"/>
      <c r="I1496" s="1259"/>
      <c r="K1496" s="477" t="s">
        <v>184</v>
      </c>
      <c r="L1496" s="477" t="str">
        <f>K1487&amp;"."&amp;K1496</f>
        <v>12.Unit Weight</v>
      </c>
      <c r="M1496" s="1252">
        <f>B1605</f>
        <v>0</v>
      </c>
    </row>
    <row r="1497" spans="1:13" ht="14.55" customHeight="1" x14ac:dyDescent="0.3">
      <c r="A1497" s="1260" t="s">
        <v>185</v>
      </c>
      <c r="B1497" s="459" t="s">
        <v>186</v>
      </c>
      <c r="C1497" s="459"/>
      <c r="D1497" s="460"/>
      <c r="E1497" s="460"/>
      <c r="F1497" s="460" t="s">
        <v>187</v>
      </c>
      <c r="G1497" s="465"/>
      <c r="H1497" s="460"/>
      <c r="I1497" s="1259"/>
      <c r="K1497" s="478" t="s">
        <v>188</v>
      </c>
      <c r="L1497" s="477" t="str">
        <f>K1487&amp;"."&amp;K1497</f>
        <v>12.Unit External Surface</v>
      </c>
      <c r="M1497" s="1252" t="e">
        <f>B1601</f>
        <v>#N/A</v>
      </c>
    </row>
    <row r="1498" spans="1:13" ht="14.55" customHeight="1" x14ac:dyDescent="0.3">
      <c r="A1498" s="1258" t="s">
        <v>189</v>
      </c>
      <c r="B1498" s="1716"/>
      <c r="C1498" s="1717"/>
      <c r="D1498" s="460"/>
      <c r="E1498" s="461"/>
      <c r="F1498" s="1716"/>
      <c r="G1498" s="1717"/>
      <c r="H1498" s="460"/>
      <c r="I1498" s="1259"/>
      <c r="K1498" s="477" t="s">
        <v>191</v>
      </c>
      <c r="L1498" s="477" t="str">
        <f>K1487&amp;"."&amp;K1498</f>
        <v>12.M1 DN</v>
      </c>
      <c r="M1498" s="1252">
        <f>C1619</f>
        <v>0</v>
      </c>
    </row>
    <row r="1499" spans="1:13" ht="14.55" customHeight="1" x14ac:dyDescent="0.3">
      <c r="A1499" s="1258" t="s">
        <v>192</v>
      </c>
      <c r="B1499" s="1716"/>
      <c r="C1499" s="1717"/>
      <c r="D1499" s="460"/>
      <c r="E1499" s="461"/>
      <c r="F1499" s="1716"/>
      <c r="G1499" s="1717"/>
      <c r="H1499" s="460"/>
      <c r="I1499" s="1259"/>
      <c r="K1499" s="477" t="s">
        <v>193</v>
      </c>
      <c r="L1499" s="477" t="str">
        <f>K1487&amp;"."&amp;K1499</f>
        <v>12.M1 Rating</v>
      </c>
      <c r="M1499" s="1252">
        <f>D1619</f>
        <v>0</v>
      </c>
    </row>
    <row r="1500" spans="1:13" ht="14.55" customHeight="1" x14ac:dyDescent="0.3">
      <c r="A1500" s="1258"/>
      <c r="B1500" s="466"/>
      <c r="C1500" s="466"/>
      <c r="D1500" s="460"/>
      <c r="E1500" s="460"/>
      <c r="F1500" s="460"/>
      <c r="G1500" s="460"/>
      <c r="H1500" s="460"/>
      <c r="I1500" s="1259"/>
      <c r="K1500" s="477" t="s">
        <v>194</v>
      </c>
      <c r="L1500" s="477" t="str">
        <f>K1487&amp;"."&amp;K1500</f>
        <v>12.M1 Type</v>
      </c>
      <c r="M1500" s="1252">
        <f>E1619</f>
        <v>0</v>
      </c>
    </row>
    <row r="1501" spans="1:13" ht="14.55" customHeight="1" x14ac:dyDescent="0.3">
      <c r="A1501" s="1258" t="s">
        <v>195</v>
      </c>
      <c r="B1501" s="460"/>
      <c r="C1501" s="460"/>
      <c r="D1501" s="460"/>
      <c r="E1501" s="460"/>
      <c r="F1501" s="460"/>
      <c r="G1501" s="460"/>
      <c r="H1501" s="460"/>
      <c r="I1501" s="1259"/>
      <c r="K1501" s="477" t="s">
        <v>196</v>
      </c>
      <c r="L1501" s="477" t="str">
        <f>K1487&amp;"."&amp;K1501</f>
        <v>12.M1 Quantity</v>
      </c>
      <c r="M1501" s="1252">
        <f>F1619</f>
        <v>0</v>
      </c>
    </row>
    <row r="1502" spans="1:13" ht="14.55" customHeight="1" x14ac:dyDescent="0.3">
      <c r="A1502" s="1258" t="s">
        <v>197</v>
      </c>
      <c r="B1502" s="464" t="e">
        <f>$D1493*(VLOOKUP($B1498,'ASME II Tab 1A'!$1:$1048576,MATCH($D1493,'ASME II Tab 1A'!$6:$6,1)+1,0)-VLOOKUP($B1498,'ASME II Tab 1A'!$1:$1048576,MATCH($D1493,'ASME II Tab 1A'!$6:$6,1),0))/(INDEX('ASME II Tab 1A'!$6:$6,MATCH($D1493,'ASME II Tab 1A'!$6:$6,1)+1)-INDEX('ASME II Tab 1A'!$6:$6,MATCH($D1493,'ASME II Tab 1A'!$6:$6,1)))+VLOOKUP($B1498,'ASME II Tab 1A'!$1:$1048576,MATCH($D1493,'ASME II Tab 1A'!$6:$6,1)+1,0)-INDEX('ASME II Tab 1A'!$6:$6,MATCH($D1493,'ASME II Tab 1A'!$6:$6,1)+1)*(VLOOKUP($B1498,'ASME II Tab 1A'!$1:$1048576,MATCH($D1493,'ASME II Tab 1A'!$6:$6,1)+1,0)-VLOOKUP($B1498,'ASME II Tab 1A'!$1:$1048576,MATCH($D1493,'ASME II Tab 1A'!$6:$6,1),0))/(INDEX('ASME II Tab 1A'!$6:$6,MATCH($D1493,'ASME II Tab 1A'!$6:$6,1)+1)-INDEX('ASME II Tab 1A'!$6:$6,MATCH($D1493,'ASME II Tab 1A'!$6:$6,1)))</f>
        <v>#N/A</v>
      </c>
      <c r="C1502" s="460" t="s">
        <v>198</v>
      </c>
      <c r="D1502" s="460"/>
      <c r="E1502" s="467"/>
      <c r="F1502" s="460" t="e">
        <f>$D1493*(VLOOKUP($F1498,'ASME II Tab 1A'!$1:$1048576,MATCH($D1493,'ASME II Tab 1A'!$6:$6,1)+1,0)-VLOOKUP($F1498,'ASME II Tab 1A'!$1:$1048576,MATCH($D1493,'ASME II Tab 1A'!$6:$6,1),0))/(INDEX('ASME II Tab 1A'!$6:$6,MATCH($D1493,'ASME II Tab 1A'!$6:$6,1)+1)-INDEX('ASME II Tab 1A'!$6:$6,MATCH($D1493,'ASME II Tab 1A'!$6:$6,1)))+VLOOKUP($F1498,'ASME II Tab 1A'!$1:$1048576,MATCH($D1493,'ASME II Tab 1A'!$6:$6,1)+1,0)-INDEX('ASME II Tab 1A'!$6:$6,MATCH($D1493,'ASME II Tab 1A'!$6:$6,1)+1)*(VLOOKUP($F1498,'ASME II Tab 1A'!$1:$1048576,MATCH($D1493,'ASME II Tab 1A'!$6:$6,1)+1,0)-VLOOKUP($F1498,'ASME II Tab 1A'!$1:$1048576,MATCH($D1493,'ASME II Tab 1A'!$6:$6,1),0))/(INDEX('ASME II Tab 1A'!$6:$6,MATCH($D1493,'ASME II Tab 1A'!$6:$6,1)+1)-INDEX('ASME II Tab 1A'!$6:$6,MATCH($D1493,'ASME II Tab 1A'!$6:$6,1)))</f>
        <v>#N/A</v>
      </c>
      <c r="G1502" s="460" t="s">
        <v>198</v>
      </c>
      <c r="H1502" s="460"/>
      <c r="I1502" s="1259"/>
      <c r="K1502" s="477" t="s">
        <v>199</v>
      </c>
      <c r="L1502" s="477" t="str">
        <f>K1487&amp;"."&amp;K1502</f>
        <v>12.M2 DN</v>
      </c>
      <c r="M1502" s="1252">
        <f>C1620</f>
        <v>0</v>
      </c>
    </row>
    <row r="1503" spans="1:13" ht="14.55" customHeight="1" x14ac:dyDescent="0.3">
      <c r="A1503" s="1258" t="s">
        <v>200</v>
      </c>
      <c r="B1503" s="464" t="e">
        <f>$D1493*(VLOOKUP($B1499,'ASME II Tab 1A'!$1:$1048576,MATCH($D1493,'ASME II Tab 1A'!$6:$6,1)+1,0)-VLOOKUP($B1499,'ASME II Tab 1A'!$1:$1048576,MATCH($D1493,'ASME II Tab 1A'!$6:$6,1),0))/(INDEX('ASME II Tab 1A'!$6:$6,MATCH($D1493,'ASME II Tab 1A'!$6:$6,1)+1)-INDEX('ASME II Tab 1A'!$6:$6,MATCH($D1493,'ASME II Tab 1A'!$6:$6,1)))+VLOOKUP($B1499,'ASME II Tab 1A'!$1:$1048576,MATCH($D1493,'ASME II Tab 1A'!$6:$6,1)+1,0)-INDEX('ASME II Tab 1A'!$6:$6,MATCH($D1493,'ASME II Tab 1A'!$6:$6,1)+1)*(VLOOKUP($B1499,'ASME II Tab 1A'!$1:$1048576,MATCH($D1493,'ASME II Tab 1A'!$6:$6,1)+1,0)-VLOOKUP($B1499,'ASME II Tab 1A'!$1:$1048576,MATCH($D1493,'ASME II Tab 1A'!$6:$6,1),0))/(INDEX('ASME II Tab 1A'!$6:$6,MATCH($D1493,'ASME II Tab 1A'!$6:$6,1)+1)-INDEX('ASME II Tab 1A'!$6:$6,MATCH($D1493,'ASME II Tab 1A'!$6:$6,1)))</f>
        <v>#N/A</v>
      </c>
      <c r="C1503" s="460" t="s">
        <v>198</v>
      </c>
      <c r="D1503" s="460"/>
      <c r="E1503" s="460"/>
      <c r="F1503" s="460" t="e">
        <f>$D1493*(VLOOKUP($F1499,'ASME II Tab 1A'!$1:$1048576,MATCH($D1493,'ASME II Tab 1A'!$6:$6,1)+1,0)-VLOOKUP($F1499,'ASME II Tab 1A'!$1:$1048576,MATCH($D1493,'ASME II Tab 1A'!$6:$6,1),0))/(INDEX('ASME II Tab 1A'!$6:$6,MATCH($D1493,'ASME II Tab 1A'!$6:$6,1)+1)-INDEX('ASME II Tab 1A'!$6:$6,MATCH($D1493,'ASME II Tab 1A'!$6:$6,1)))+VLOOKUP($F1499,'ASME II Tab 1A'!$1:$1048576,MATCH($D1493,'ASME II Tab 1A'!$6:$6,1)+1,0)-INDEX('ASME II Tab 1A'!$6:$6,MATCH($D1493,'ASME II Tab 1A'!$6:$6,1)+1)*(VLOOKUP($F1499,'ASME II Tab 1A'!$1:$1048576,MATCH($D1493,'ASME II Tab 1A'!$6:$6,1)+1,0)-VLOOKUP($F1499,'ASME II Tab 1A'!$1:$1048576,MATCH($D1493,'ASME II Tab 1A'!$6:$6,1),0))/(INDEX('ASME II Tab 1A'!$6:$6,MATCH($D1493,'ASME II Tab 1A'!$6:$6,1)+1)-INDEX('ASME II Tab 1A'!$6:$6,MATCH($D1493,'ASME II Tab 1A'!$6:$6,1)))</f>
        <v>#N/A</v>
      </c>
      <c r="G1503" s="460" t="s">
        <v>198</v>
      </c>
      <c r="H1503" s="460"/>
      <c r="I1503" s="1259"/>
      <c r="K1503" s="477" t="s">
        <v>201</v>
      </c>
      <c r="L1503" s="477" t="str">
        <f>K1487&amp;"."&amp;K1503</f>
        <v>12.M2 Rating</v>
      </c>
      <c r="M1503" s="1252">
        <f>D1620</f>
        <v>0</v>
      </c>
    </row>
    <row r="1504" spans="1:13" ht="14.55" customHeight="1" x14ac:dyDescent="0.3">
      <c r="A1504" s="1258" t="s">
        <v>202</v>
      </c>
      <c r="B1504" s="460"/>
      <c r="C1504" s="460"/>
      <c r="D1504" s="460"/>
      <c r="E1504" s="460"/>
      <c r="F1504" s="460"/>
      <c r="G1504" s="460"/>
      <c r="H1504" s="460"/>
      <c r="I1504" s="1259"/>
      <c r="K1504" s="477" t="s">
        <v>203</v>
      </c>
      <c r="L1504" s="477" t="str">
        <f>K1487&amp;"."&amp;K1504</f>
        <v>12.M2 Type</v>
      </c>
      <c r="M1504" s="1252">
        <f>E1620</f>
        <v>0</v>
      </c>
    </row>
    <row r="1505" spans="1:13" ht="14.55" customHeight="1" x14ac:dyDescent="0.3">
      <c r="A1505" s="1258" t="s">
        <v>197</v>
      </c>
      <c r="B1505" s="464" t="e">
        <f>$D1493*(VLOOKUP($B1498,'ASME II Tab 5A'!$1:$1048576,MATCH($D1493,'ASME II Tab 5A'!$5:$5,1)+1,0)-VLOOKUP($B1498,'ASME II Tab 5A'!$1:$1048576,MATCH($D1493,'ASME II Tab 5A'!$5:$5,1),0))/(INDEX('ASME II Tab 5A'!$5:$5,MATCH($D1493,'ASME II Tab 5A'!$5:$5,1)+1)-INDEX('ASME II Tab 5A'!$5:$5,MATCH($D1493,'ASME II Tab 5A'!$5:$5,1)))+VLOOKUP($B1498,'ASME II Tab 5A'!$1:$1048576,MATCH($D1493,'ASME II Tab 5A'!$5:$5,1)+1,0)-INDEX('ASME II Tab 5A'!$5:$5,MATCH($D1493,'ASME II Tab 5A'!$5:$5,1)+1)*(VLOOKUP($B1498,'ASME II Tab 5A'!$1:$1048576,MATCH($D1493,'ASME II Tab 5A'!$5:$5,1)+1,0)-VLOOKUP($B1498,'ASME II Tab 5A'!$1:$1048576,MATCH($D1493,'ASME II Tab 5A'!$5:$5,1),0))/(INDEX('ASME II Tab 5A'!$5:$5,MATCH($D1493,'ASME II Tab 5A'!$5:$5,1)+1)-INDEX('ASME II Tab 5A'!$5:$5,MATCH($D1493,'ASME II Tab 5A'!$5:$5,1)))</f>
        <v>#N/A</v>
      </c>
      <c r="C1505" s="460" t="s">
        <v>198</v>
      </c>
      <c r="D1505" s="460"/>
      <c r="E1505" s="460"/>
      <c r="F1505" s="460" t="e">
        <f>$D1493*(VLOOKUP($F1498,'ASME II Tab 5A'!$1:$1048576,MATCH($D1493,'ASME II Tab 5A'!$5:$5,1)+1,0)-VLOOKUP($F1498,'ASME II Tab 5A'!$1:$1048576,MATCH($D1493,'ASME II Tab 5A'!$5:$5,1),0))/(INDEX('ASME II Tab 5A'!$5:$5,MATCH($D1493,'ASME II Tab 5A'!$5:$5,1)+1)-INDEX('ASME II Tab 5A'!$5:$5,MATCH($D1493,'ASME II Tab 5A'!$5:$5,1)))+VLOOKUP($F1498,'ASME II Tab 5A'!$1:$1048576,MATCH($D1493,'ASME II Tab 5A'!$5:$5,1)+1,0)-INDEX('ASME II Tab 5A'!$5:$5,MATCH($D1493,'ASME II Tab 5A'!$5:$5,1)+1)*(VLOOKUP($F1498,'ASME II Tab 5A'!$1:$1048576,MATCH($D1493,'ASME II Tab 5A'!$5:$5,1)+1,0)-VLOOKUP($F1498,'ASME II Tab 5A'!$1:$1048576,MATCH($D1493,'ASME II Tab 5A'!$5:$5,1),0))/(INDEX('ASME II Tab 5A'!$5:$5,MATCH($D1493,'ASME II Tab 5A'!$5:$5,1)+1)-INDEX('ASME II Tab 5A'!$5:$5,MATCH($D1493,'ASME II Tab 5A'!$5:$5,1)))</f>
        <v>#N/A</v>
      </c>
      <c r="G1505" s="460" t="s">
        <v>198</v>
      </c>
      <c r="H1505" s="460"/>
      <c r="I1505" s="1259"/>
      <c r="K1505" s="477" t="s">
        <v>204</v>
      </c>
      <c r="L1505" s="477" t="str">
        <f>K1487&amp;"."&amp;K1505</f>
        <v>12.M2 Quantity</v>
      </c>
      <c r="M1505" s="1252">
        <f>F1620</f>
        <v>0</v>
      </c>
    </row>
    <row r="1506" spans="1:13" ht="14.55" customHeight="1" x14ac:dyDescent="0.3">
      <c r="A1506" s="1258" t="s">
        <v>200</v>
      </c>
      <c r="B1506" s="464" t="e">
        <f>$D1493*(VLOOKUP($B1499,'ASME II Tab 5A'!$1:$1048576,MATCH($D1493,'ASME II Tab 5A'!$5:$5,1)+1,0)-VLOOKUP($B1499,'ASME II Tab 5A'!$1:$1048576,MATCH($D1493,'ASME II Tab 5A'!$5:$5,1),0))/(INDEX('ASME II Tab 5A'!$5:$5,MATCH($D1493,'ASME II Tab 5A'!$5:$5,1)+1)-INDEX('ASME II Tab 5A'!$5:$5,MATCH($D1493,'ASME II Tab 5A'!$5:$5,1)))+VLOOKUP($B1499,'ASME II Tab 5A'!$1:$1048576,MATCH($D1493,'ASME II Tab 5A'!$5:$5,1)+1,0)-INDEX('ASME II Tab 5A'!$5:$5,MATCH($D1493,'ASME II Tab 5A'!$5:$5,1)+1)*(VLOOKUP($B1499,'ASME II Tab 5A'!$1:$1048576,MATCH($D1493,'ASME II Tab 5A'!$5:$5,1)+1,0)-VLOOKUP($B1499,'ASME II Tab 5A'!$1:$1048576,MATCH($D1493,'ASME II Tab 5A'!$5:$5,1),0))/(INDEX('ASME II Tab 5A'!$5:$5,MATCH($D1493,'ASME II Tab 5A'!$5:$5,1)+1)-INDEX('ASME II Tab 5A'!$5:$5,MATCH($D1493,'ASME II Tab 5A'!$5:$5,1)))</f>
        <v>#N/A</v>
      </c>
      <c r="C1506" s="460" t="s">
        <v>198</v>
      </c>
      <c r="D1506" s="460"/>
      <c r="E1506" s="460"/>
      <c r="F1506" s="460" t="e">
        <f>$D1493*(VLOOKUP($F1499,'ASME II Tab 5A'!$1:$1048576,MATCH($D1493,'ASME II Tab 5A'!$5:$5,1)+1,0)-VLOOKUP($F1499,'ASME II Tab 5A'!$1:$1048576,MATCH($D1493,'ASME II Tab 5A'!$5:$5,1),0))/(INDEX('ASME II Tab 5A'!$5:$5,MATCH($D1493,'ASME II Tab 5A'!$5:$5,1)+1)-INDEX('ASME II Tab 5A'!$5:$5,MATCH($D1493,'ASME II Tab 5A'!$5:$5,1)))+VLOOKUP($F1499,'ASME II Tab 5A'!$1:$1048576,MATCH($D1493,'ASME II Tab 5A'!$5:$5,1)+1,0)-INDEX('ASME II Tab 5A'!$5:$5,MATCH($D1493,'ASME II Tab 5A'!$5:$5,1)+1)*(VLOOKUP($F1499,'ASME II Tab 5A'!$1:$1048576,MATCH($D1493,'ASME II Tab 5A'!$5:$5,1)+1,0)-VLOOKUP($F1499,'ASME II Tab 5A'!$1:$1048576,MATCH($D1493,'ASME II Tab 5A'!$5:$5,1),0))/(INDEX('ASME II Tab 5A'!$5:$5,MATCH($D1493,'ASME II Tab 5A'!$5:$5,1)+1)-INDEX('ASME II Tab 5A'!$5:$5,MATCH($D1493,'ASME II Tab 5A'!$5:$5,1)))</f>
        <v>#N/A</v>
      </c>
      <c r="G1506" s="460" t="s">
        <v>198</v>
      </c>
      <c r="H1506" s="460"/>
      <c r="I1506" s="1259"/>
      <c r="K1506" s="477" t="s">
        <v>205</v>
      </c>
      <c r="L1506" s="477" t="str">
        <f>K1487&amp;"."&amp;K1506</f>
        <v>12.M3 DN</v>
      </c>
      <c r="M1506" s="1252">
        <f>C1621</f>
        <v>0</v>
      </c>
    </row>
    <row r="1507" spans="1:13" ht="14.55" customHeight="1" x14ac:dyDescent="0.3">
      <c r="A1507" s="1258"/>
      <c r="B1507" s="460"/>
      <c r="C1507" s="460"/>
      <c r="D1507" s="460"/>
      <c r="E1507" s="460"/>
      <c r="F1507" s="460"/>
      <c r="G1507" s="460"/>
      <c r="H1507" s="460"/>
      <c r="I1507" s="1259"/>
      <c r="K1507" s="477" t="s">
        <v>206</v>
      </c>
      <c r="L1507" s="477" t="str">
        <f>K1487&amp;"."&amp;K1507</f>
        <v>12.M3 Rating</v>
      </c>
      <c r="M1507" s="1252">
        <f>D1621</f>
        <v>0</v>
      </c>
    </row>
    <row r="1508" spans="1:13" ht="14.55" customHeight="1" x14ac:dyDescent="0.3">
      <c r="A1508" s="1260" t="s">
        <v>207</v>
      </c>
      <c r="B1508" s="453"/>
      <c r="C1508" s="460"/>
      <c r="D1508" s="453"/>
      <c r="E1508" s="460"/>
      <c r="F1508" s="453"/>
      <c r="G1508" s="460"/>
      <c r="H1508" s="460"/>
      <c r="I1508" s="1259"/>
      <c r="K1508" s="477" t="s">
        <v>208</v>
      </c>
      <c r="L1508" s="477" t="str">
        <f>K1487&amp;"."&amp;K1508</f>
        <v>12.M3 Type</v>
      </c>
      <c r="M1508" s="1252">
        <f>E1621</f>
        <v>0</v>
      </c>
    </row>
    <row r="1509" spans="1:13" ht="14.55" customHeight="1" x14ac:dyDescent="0.3">
      <c r="A1509" s="1260"/>
      <c r="B1509" s="305" t="s">
        <v>209</v>
      </c>
      <c r="C1509" s="460"/>
      <c r="D1509" s="305" t="s">
        <v>210</v>
      </c>
      <c r="E1509" s="460"/>
      <c r="F1509" s="305" t="s">
        <v>211</v>
      </c>
      <c r="G1509" s="460"/>
      <c r="H1509" s="460"/>
      <c r="I1509" s="1259"/>
      <c r="K1509" s="477" t="s">
        <v>212</v>
      </c>
      <c r="L1509" s="477" t="str">
        <f>K1487&amp;"."&amp;K1509</f>
        <v>12.M3 Quantity</v>
      </c>
      <c r="M1509" s="1252">
        <f>F1621</f>
        <v>0</v>
      </c>
    </row>
    <row r="1510" spans="1:13" ht="14.55" customHeight="1" x14ac:dyDescent="0.3">
      <c r="A1510" s="1258" t="s">
        <v>213</v>
      </c>
      <c r="B1510" s="305"/>
      <c r="C1510" s="460"/>
      <c r="D1510" s="305"/>
      <c r="E1510" s="460"/>
      <c r="F1510" s="723"/>
      <c r="G1510" s="460" t="s">
        <v>214</v>
      </c>
      <c r="H1510" s="460"/>
      <c r="I1510" s="1259"/>
      <c r="K1510" s="477" t="s">
        <v>215</v>
      </c>
      <c r="L1510" s="477" t="str">
        <f>K1487&amp;"."&amp;K1510</f>
        <v>12.Shell insulation thk 1</v>
      </c>
      <c r="M1510" s="1252">
        <f>B1558</f>
        <v>0</v>
      </c>
    </row>
    <row r="1511" spans="1:13" ht="14.55" customHeight="1" x14ac:dyDescent="0.3">
      <c r="A1511" s="1258" t="s">
        <v>216</v>
      </c>
      <c r="B1511" s="722"/>
      <c r="C1511" s="460" t="s">
        <v>93</v>
      </c>
      <c r="D1511" s="722"/>
      <c r="E1511" s="460" t="s">
        <v>93</v>
      </c>
      <c r="F1511" s="468">
        <f>F1512-2*F1556</f>
        <v>0</v>
      </c>
      <c r="G1511" s="460" t="s">
        <v>93</v>
      </c>
      <c r="H1511" s="460"/>
      <c r="I1511" s="1259"/>
      <c r="K1511" s="477" t="s">
        <v>217</v>
      </c>
      <c r="L1511" s="477" t="str">
        <f>K1487&amp;"."&amp;K1511</f>
        <v>12.Head insulation thk 1</v>
      </c>
      <c r="M1511" s="1252">
        <f>B1559</f>
        <v>0</v>
      </c>
    </row>
    <row r="1512" spans="1:13" ht="14.55" customHeight="1" x14ac:dyDescent="0.3">
      <c r="A1512" s="1258" t="s">
        <v>218</v>
      </c>
      <c r="B1512" s="468" t="e">
        <f>B1511+B1552*2</f>
        <v>#N/A</v>
      </c>
      <c r="C1512" s="460" t="s">
        <v>93</v>
      </c>
      <c r="D1512" s="468" t="e">
        <f>D1511+D1552*2</f>
        <v>#N/A</v>
      </c>
      <c r="E1512" s="460" t="s">
        <v>93</v>
      </c>
      <c r="F1512" s="468">
        <f>IFERROR(VLOOKUP(F1510,'Thickness Tab'!$1:$1048576,3,0),0)</f>
        <v>0</v>
      </c>
      <c r="G1512" s="460" t="s">
        <v>93</v>
      </c>
      <c r="H1512" s="469"/>
      <c r="I1512" s="1261"/>
      <c r="K1512" s="477" t="s">
        <v>219</v>
      </c>
      <c r="L1512" s="477" t="str">
        <f>K1487&amp;"."&amp;K1512</f>
        <v>12.Reducer insulation thk 1</v>
      </c>
      <c r="M1512" s="1252">
        <f>B1560</f>
        <v>0</v>
      </c>
    </row>
    <row r="1513" spans="1:13" ht="14.55" customHeight="1" x14ac:dyDescent="0.3">
      <c r="A1513" s="1258" t="s">
        <v>181</v>
      </c>
      <c r="B1513" s="722"/>
      <c r="C1513" s="460" t="s">
        <v>93</v>
      </c>
      <c r="D1513" s="722"/>
      <c r="E1513" s="460" t="s">
        <v>93</v>
      </c>
      <c r="F1513" s="722"/>
      <c r="G1513" s="460" t="s">
        <v>93</v>
      </c>
      <c r="H1513" s="460"/>
      <c r="I1513" s="1259"/>
      <c r="K1513" s="477" t="s">
        <v>220</v>
      </c>
      <c r="L1513" s="477" t="str">
        <f>K1487&amp;"."&amp;K1513</f>
        <v>12.Shell insulation area 1</v>
      </c>
      <c r="M1513" s="1252" t="e">
        <f>B1518</f>
        <v>#N/A</v>
      </c>
    </row>
    <row r="1514" spans="1:13" ht="14.55" customHeight="1" x14ac:dyDescent="0.3">
      <c r="A1514" s="1258" t="s">
        <v>221</v>
      </c>
      <c r="B1514" s="468" t="e">
        <f>(PI()*B1513*(((B1512/2)^2)-((B1511/2)^2))*7860)/1000000000*1.05</f>
        <v>#N/A</v>
      </c>
      <c r="C1514" s="460" t="s">
        <v>222</v>
      </c>
      <c r="D1514" s="468" t="e">
        <f>(PI()*D1513*(((D1512/2)^2)-((D1511/2)^2))*7860)/1000000000*1.05</f>
        <v>#N/A</v>
      </c>
      <c r="E1514" s="460" t="s">
        <v>222</v>
      </c>
      <c r="F1514" s="468">
        <f>(PI()*F1513*(((F1512/2)^2)-((F1511/2)^2))*7860)/1000000000*1.05</f>
        <v>0</v>
      </c>
      <c r="G1514" s="460" t="s">
        <v>222</v>
      </c>
      <c r="H1514" s="469"/>
      <c r="I1514" s="1261"/>
      <c r="K1514" s="477" t="s">
        <v>223</v>
      </c>
      <c r="L1514" s="477" t="str">
        <f>K1487&amp;"."&amp;K1514</f>
        <v>12.Head insulation area 1</v>
      </c>
      <c r="M1514" s="1252" t="e">
        <f>B1530</f>
        <v>#N/A</v>
      </c>
    </row>
    <row r="1515" spans="1:13" ht="14.55" customHeight="1" x14ac:dyDescent="0.3">
      <c r="A1515" s="1258" t="s">
        <v>224</v>
      </c>
      <c r="B1515" s="468">
        <f>(PI()*((B1511/2)^2)*B1513)/1000000000</f>
        <v>0</v>
      </c>
      <c r="C1515" s="460" t="s">
        <v>225</v>
      </c>
      <c r="D1515" s="468">
        <f>(PI()*((D1511/2)^2)*D1513)/1000000000</f>
        <v>0</v>
      </c>
      <c r="E1515" s="460" t="s">
        <v>225</v>
      </c>
      <c r="F1515" s="468">
        <f>(PI()*((F1511/2)^2)*F1513)/1000000000</f>
        <v>0</v>
      </c>
      <c r="G1515" s="460" t="s">
        <v>225</v>
      </c>
      <c r="H1515" s="469"/>
      <c r="I1515" s="1261"/>
      <c r="K1515" s="477" t="s">
        <v>226</v>
      </c>
      <c r="L1515" s="477" t="str">
        <f>K1487&amp;"."&amp;K1515</f>
        <v>12.Reducer insulation area 1</v>
      </c>
      <c r="M1515" s="1252" t="e">
        <f>B1543</f>
        <v>#N/A</v>
      </c>
    </row>
    <row r="1516" spans="1:13" ht="14.55" customHeight="1" x14ac:dyDescent="0.3">
      <c r="A1516" s="1258" t="s">
        <v>227</v>
      </c>
      <c r="B1516" s="468" t="e">
        <f>(B1512*3.14*B1513)/1000000</f>
        <v>#N/A</v>
      </c>
      <c r="C1516" s="460" t="s">
        <v>228</v>
      </c>
      <c r="D1516" s="468" t="e">
        <f>(D1512*3.14*D1513)/1000000</f>
        <v>#N/A</v>
      </c>
      <c r="E1516" s="460" t="s">
        <v>228</v>
      </c>
      <c r="F1516" s="468">
        <f>(F1512*3.14*F1513)/1000000</f>
        <v>0</v>
      </c>
      <c r="G1516" s="460" t="s">
        <v>228</v>
      </c>
      <c r="H1516" s="469"/>
      <c r="I1516" s="1261"/>
      <c r="K1516" s="477" t="s">
        <v>229</v>
      </c>
      <c r="L1516" s="477" t="str">
        <f>K1487&amp;"."&amp;K1516</f>
        <v>12.Shell insulation thk 2</v>
      </c>
      <c r="M1516" s="1252">
        <f>D1558</f>
        <v>0</v>
      </c>
    </row>
    <row r="1517" spans="1:13" ht="14.55" customHeight="1" x14ac:dyDescent="0.3">
      <c r="A1517" s="1258" t="s">
        <v>230</v>
      </c>
      <c r="B1517" s="468" t="e">
        <f>B1512+2*B1558</f>
        <v>#N/A</v>
      </c>
      <c r="C1517" s="460" t="s">
        <v>93</v>
      </c>
      <c r="D1517" s="468" t="e">
        <f>D1512+2*D1558</f>
        <v>#N/A</v>
      </c>
      <c r="E1517" s="460" t="s">
        <v>93</v>
      </c>
      <c r="F1517" s="468">
        <f>F1512+2*F1558</f>
        <v>0</v>
      </c>
      <c r="G1517" s="460" t="s">
        <v>93</v>
      </c>
      <c r="H1517" s="469"/>
      <c r="I1517" s="1261"/>
      <c r="K1517" s="477" t="s">
        <v>231</v>
      </c>
      <c r="L1517" s="477" t="str">
        <f>K1487&amp;"."&amp;K1517</f>
        <v>12.Head insulation thk 2</v>
      </c>
      <c r="M1517" s="1252">
        <f>D1559</f>
        <v>0</v>
      </c>
    </row>
    <row r="1518" spans="1:13" ht="14.55" customHeight="1" x14ac:dyDescent="0.3">
      <c r="A1518" s="1258" t="s">
        <v>232</v>
      </c>
      <c r="B1518" s="468" t="e">
        <f>(B1517*3.14*B1513)/1000000</f>
        <v>#N/A</v>
      </c>
      <c r="C1518" s="460" t="s">
        <v>228</v>
      </c>
      <c r="D1518" s="468" t="e">
        <f>(D1517*3.14*D1513)/1000000</f>
        <v>#N/A</v>
      </c>
      <c r="E1518" s="460" t="s">
        <v>228</v>
      </c>
      <c r="F1518" s="468">
        <f>(F1517*3.14*F1513)/1000000</f>
        <v>0</v>
      </c>
      <c r="G1518" s="460" t="s">
        <v>228</v>
      </c>
      <c r="H1518" s="469"/>
      <c r="I1518" s="1261"/>
      <c r="K1518" s="477" t="s">
        <v>233</v>
      </c>
      <c r="L1518" s="477" t="str">
        <f>K1487&amp;"."&amp;K1518</f>
        <v>12.Reducer insulation thk 2</v>
      </c>
      <c r="M1518" s="1252">
        <f>D1560</f>
        <v>0</v>
      </c>
    </row>
    <row r="1519" spans="1:13" ht="14.55" customHeight="1" x14ac:dyDescent="0.3">
      <c r="A1519" s="1258"/>
      <c r="B1519" s="468"/>
      <c r="C1519" s="460"/>
      <c r="D1519" s="468"/>
      <c r="E1519" s="460"/>
      <c r="F1519" s="468"/>
      <c r="G1519" s="460"/>
      <c r="H1519" s="469"/>
      <c r="I1519" s="1261"/>
      <c r="K1519" s="477" t="s">
        <v>234</v>
      </c>
      <c r="L1519" s="477" t="str">
        <f>K1487&amp;"."&amp;K1519</f>
        <v>12.Shell insulation area 2</v>
      </c>
      <c r="M1519" s="1252" t="e">
        <f>D1518</f>
        <v>#N/A</v>
      </c>
    </row>
    <row r="1520" spans="1:13" ht="14.55" customHeight="1" x14ac:dyDescent="0.3">
      <c r="A1520" s="1258"/>
      <c r="B1520" s="468" t="s">
        <v>235</v>
      </c>
      <c r="C1520" s="460"/>
      <c r="D1520" s="468" t="s">
        <v>236</v>
      </c>
      <c r="E1520" s="460"/>
      <c r="F1520" s="468" t="s">
        <v>237</v>
      </c>
      <c r="G1520" s="460"/>
      <c r="H1520" s="469"/>
      <c r="I1520" s="1261"/>
      <c r="K1520" s="477" t="s">
        <v>238</v>
      </c>
      <c r="L1520" s="477" t="str">
        <f>K1487&amp;"."&amp;K1520</f>
        <v>12.Head insulation area 2</v>
      </c>
      <c r="M1520" s="1252" t="e">
        <f>D1530</f>
        <v>#N/A</v>
      </c>
    </row>
    <row r="1521" spans="1:13" ht="14.55" customHeight="1" x14ac:dyDescent="0.3">
      <c r="A1521" s="1258" t="s">
        <v>239</v>
      </c>
      <c r="B1521" s="468">
        <f>B1511</f>
        <v>0</v>
      </c>
      <c r="C1521" s="460" t="s">
        <v>93</v>
      </c>
      <c r="D1521" s="468">
        <f>D1511</f>
        <v>0</v>
      </c>
      <c r="E1521" s="460" t="s">
        <v>93</v>
      </c>
      <c r="F1521" s="468">
        <f>F1511</f>
        <v>0</v>
      </c>
      <c r="G1521" s="460" t="s">
        <v>93</v>
      </c>
      <c r="H1521" s="469"/>
      <c r="I1521" s="1261"/>
      <c r="K1521" s="477" t="s">
        <v>240</v>
      </c>
      <c r="L1521" s="477" t="str">
        <f>K1487&amp;"."&amp;K1521</f>
        <v>12.Reducer insulation area 2</v>
      </c>
      <c r="M1521" s="1252">
        <f>D1543</f>
        <v>0</v>
      </c>
    </row>
    <row r="1522" spans="1:13" ht="14.55" customHeight="1" x14ac:dyDescent="0.3">
      <c r="A1522" s="1258" t="s">
        <v>241</v>
      </c>
      <c r="B1522" s="468" t="e">
        <f>B1521+2*B1553</f>
        <v>#N/A</v>
      </c>
      <c r="C1522" s="460" t="s">
        <v>93</v>
      </c>
      <c r="D1522" s="468" t="e">
        <f>D1521+2*D1553</f>
        <v>#N/A</v>
      </c>
      <c r="E1522" s="460" t="s">
        <v>93</v>
      </c>
      <c r="F1522" s="468">
        <f>F1521+2*F1556</f>
        <v>0</v>
      </c>
      <c r="G1522" s="460" t="s">
        <v>93</v>
      </c>
      <c r="H1522" s="469"/>
      <c r="I1522" s="1261"/>
      <c r="K1522" s="477" t="s">
        <v>242</v>
      </c>
      <c r="L1522" s="477" t="str">
        <f>K1487&amp;"."&amp;K1522</f>
        <v>12.Shell insulation thk 3</v>
      </c>
      <c r="M1522" s="1252">
        <f>F1558</f>
        <v>0</v>
      </c>
    </row>
    <row r="1523" spans="1:13" ht="14.55" customHeight="1" x14ac:dyDescent="0.3">
      <c r="A1523" s="1258" t="s">
        <v>243</v>
      </c>
      <c r="B1523" s="722"/>
      <c r="C1523" s="460" t="s">
        <v>93</v>
      </c>
      <c r="D1523" s="722"/>
      <c r="E1523" s="460" t="s">
        <v>93</v>
      </c>
      <c r="F1523" s="452"/>
      <c r="G1523" s="460"/>
      <c r="H1523" s="469"/>
      <c r="I1523" s="1261"/>
      <c r="K1523" s="477" t="s">
        <v>244</v>
      </c>
      <c r="L1523" s="477" t="str">
        <f>K1487&amp;"."&amp;K1523</f>
        <v>12.Head insulation thk 3</v>
      </c>
      <c r="M1523" s="1252">
        <f>F1559</f>
        <v>0</v>
      </c>
    </row>
    <row r="1524" spans="1:13" ht="14.55" customHeight="1" x14ac:dyDescent="0.3">
      <c r="A1524" s="1258" t="s">
        <v>245</v>
      </c>
      <c r="B1524" s="724"/>
      <c r="C1524" s="460"/>
      <c r="D1524" s="724"/>
      <c r="E1524" s="460"/>
      <c r="F1524" s="724"/>
      <c r="G1524" s="460"/>
      <c r="H1524" s="469"/>
      <c r="I1524" s="1261"/>
      <c r="K1524" s="477" t="s">
        <v>246</v>
      </c>
      <c r="L1524" s="477" t="str">
        <f>K1487&amp;"."&amp;K1524</f>
        <v>12.Reducer insulation thk 3</v>
      </c>
      <c r="M1524" s="1252">
        <f>F1560</f>
        <v>0</v>
      </c>
    </row>
    <row r="1525" spans="1:13" ht="14.55" customHeight="1" x14ac:dyDescent="0.3">
      <c r="A1525" s="1258" t="s">
        <v>247</v>
      </c>
      <c r="B1525" s="468">
        <v>0</v>
      </c>
      <c r="C1525" s="460" t="s">
        <v>93</v>
      </c>
      <c r="D1525" s="468">
        <v>0</v>
      </c>
      <c r="E1525" s="460" t="s">
        <v>93</v>
      </c>
      <c r="F1525" s="468">
        <v>0</v>
      </c>
      <c r="G1525" s="460" t="s">
        <v>93</v>
      </c>
      <c r="H1525" s="469"/>
      <c r="I1525" s="1261"/>
      <c r="K1525" s="477" t="s">
        <v>248</v>
      </c>
      <c r="L1525" s="477" t="str">
        <f>K1487&amp;"."&amp;K1525</f>
        <v>12.Shell insulation area 3</v>
      </c>
      <c r="M1525" s="1252">
        <f>F1518</f>
        <v>0</v>
      </c>
    </row>
    <row r="1526" spans="1:13" ht="14.55" customHeight="1" x14ac:dyDescent="0.3">
      <c r="A1526" s="1258" t="s">
        <v>249</v>
      </c>
      <c r="B1526" s="468" t="e">
        <f>((((POWER(((((B1521+B1554)*1.22)+(B1525*2))/100),2)*PI())/4)*(B1554/100))*7.86)</f>
        <v>#N/A</v>
      </c>
      <c r="C1526" s="460" t="s">
        <v>222</v>
      </c>
      <c r="D1526" s="468" t="e">
        <f>((((POWER(((((D1521+D1554)*1.22)+(D1525*2))/100),2)*PI())/4)*(D1554/100))*7.86)</f>
        <v>#N/A</v>
      </c>
      <c r="E1526" s="460" t="s">
        <v>222</v>
      </c>
      <c r="F1526" s="468">
        <f>IFERROR(VLOOKUP(F1510&amp;"."&amp;F1555,'Fitting Chart'!$1:$1048576,5,0),0)</f>
        <v>0</v>
      </c>
      <c r="G1526" s="460" t="s">
        <v>222</v>
      </c>
      <c r="H1526" s="469"/>
      <c r="I1526" s="1261"/>
      <c r="K1526" s="477" t="s">
        <v>250</v>
      </c>
      <c r="L1526" s="477" t="str">
        <f>K1487&amp;"."&amp;K1526</f>
        <v>12.Head insulation area 3</v>
      </c>
      <c r="M1526" s="1252">
        <f>F1529</f>
        <v>0</v>
      </c>
    </row>
    <row r="1527" spans="1:13" ht="14.55" customHeight="1" x14ac:dyDescent="0.3">
      <c r="A1527" s="1258" t="s">
        <v>251</v>
      </c>
      <c r="B1527" s="468" t="e">
        <f>(((0.131*(B1521^3)*10^-6)+((((B1521/2)^2)*PI()*(((B1521/4)+B1553)-B1553-(B1521/4)))))+((PI()*((B1521/2)^2)*B1525))/1000000)/1000</f>
        <v>#N/A</v>
      </c>
      <c r="C1527" s="460" t="s">
        <v>225</v>
      </c>
      <c r="D1527" s="468" t="e">
        <f>(((0.131*(D1521^3)*10^-6)+((((D1521/2)^2)*PI()*(((D1521/4)+D1553)-D1553-(D1521/4)))))+((PI()*((D1521/2)^2)*D1525))/1000000)/1000</f>
        <v>#N/A</v>
      </c>
      <c r="E1527" s="460" t="s">
        <v>225</v>
      </c>
      <c r="F1527" s="468">
        <f>(((0.131*(F1521^3)*10^-6)+((((F1521/2)^2)*PI()*(((F1521/4)+F1556)-F1556-(F1521/4)))))+((PI()*((F1521/2)^2)*F1525))/1000000)/1000</f>
        <v>0</v>
      </c>
      <c r="G1527" s="460" t="s">
        <v>225</v>
      </c>
      <c r="H1527" s="469"/>
      <c r="I1527" s="1261"/>
      <c r="K1527" s="477" t="s">
        <v>252</v>
      </c>
      <c r="L1527" s="477" t="str">
        <f>K1487&amp;"."&amp;K1527</f>
        <v>12.Reducer insulation area 3</v>
      </c>
      <c r="M1527" s="1252">
        <f>F1543</f>
        <v>0</v>
      </c>
    </row>
    <row r="1528" spans="1:13" ht="14.55" customHeight="1" x14ac:dyDescent="0.3">
      <c r="A1528" s="1258" t="s">
        <v>253</v>
      </c>
      <c r="B1528" s="468" t="e">
        <f>(((B1522*B1523*3.14)+(((B1522/2)^2)*3.14))/1000000)</f>
        <v>#N/A</v>
      </c>
      <c r="C1528" s="460" t="s">
        <v>228</v>
      </c>
      <c r="D1528" s="468" t="e">
        <f>(((D1522*D1523*3.14)+(((D1522/2)^2)*3.14))/1000000)</f>
        <v>#N/A</v>
      </c>
      <c r="E1528" s="460" t="s">
        <v>228</v>
      </c>
      <c r="F1528" s="468">
        <f>(((F1522*F1523*3.14)+(((F1522/2)^2)*3.14))/1000000)</f>
        <v>0</v>
      </c>
      <c r="G1528" s="460" t="s">
        <v>228</v>
      </c>
      <c r="H1528" s="469"/>
      <c r="I1528" s="1261"/>
    </row>
    <row r="1529" spans="1:13" ht="14.55" customHeight="1" x14ac:dyDescent="0.3">
      <c r="A1529" s="1258" t="s">
        <v>254</v>
      </c>
      <c r="B1529" s="468" t="e">
        <f>B1522+2*B1559</f>
        <v>#N/A</v>
      </c>
      <c r="C1529" s="460" t="s">
        <v>93</v>
      </c>
      <c r="D1529" s="468" t="e">
        <f>D1522+2*D1559</f>
        <v>#N/A</v>
      </c>
      <c r="E1529" s="460" t="s">
        <v>93</v>
      </c>
      <c r="F1529" s="468">
        <f>F1522+2*F1559</f>
        <v>0</v>
      </c>
      <c r="G1529" s="460" t="s">
        <v>93</v>
      </c>
      <c r="H1529" s="469"/>
      <c r="I1529" s="1261"/>
    </row>
    <row r="1530" spans="1:13" ht="14.55" customHeight="1" x14ac:dyDescent="0.3">
      <c r="A1530" s="1258" t="s">
        <v>255</v>
      </c>
      <c r="B1530" s="468" t="e">
        <f>(((B1529*B1523*3.14)+(((B1529/2)^2)*3.14))/1000000)</f>
        <v>#N/A</v>
      </c>
      <c r="C1530" s="460" t="s">
        <v>228</v>
      </c>
      <c r="D1530" s="468" t="e">
        <f>(((D1529*D1523*3.14)+(((D1529/2)^2)*3.14))/1000000)</f>
        <v>#N/A</v>
      </c>
      <c r="E1530" s="460" t="s">
        <v>228</v>
      </c>
      <c r="F1530" s="468">
        <f>(((F1529*F1523*3.14)+(((F1529/2)^2)*3.14))/1000000)</f>
        <v>0</v>
      </c>
      <c r="G1530" s="460" t="s">
        <v>228</v>
      </c>
      <c r="H1530" s="469"/>
      <c r="I1530" s="1261"/>
    </row>
    <row r="1531" spans="1:13" ht="14.55" customHeight="1" x14ac:dyDescent="0.3">
      <c r="A1531" s="1258"/>
      <c r="B1531" s="454"/>
      <c r="C1531" s="460"/>
      <c r="D1531" s="454"/>
      <c r="E1531" s="460"/>
      <c r="F1531" s="454"/>
      <c r="G1531" s="460"/>
      <c r="H1531" s="469"/>
      <c r="I1531" s="1261"/>
    </row>
    <row r="1532" spans="1:13" ht="14.55" customHeight="1" x14ac:dyDescent="0.3">
      <c r="A1532" s="1258"/>
      <c r="B1532" s="468" t="s">
        <v>256</v>
      </c>
      <c r="C1532" s="460"/>
      <c r="D1532" s="468" t="s">
        <v>257</v>
      </c>
      <c r="E1532" s="460"/>
      <c r="F1532" s="468" t="s">
        <v>258</v>
      </c>
      <c r="G1532" s="460"/>
      <c r="H1532" s="469"/>
      <c r="I1532" s="1261"/>
    </row>
    <row r="1533" spans="1:13" ht="14.55" customHeight="1" x14ac:dyDescent="0.3">
      <c r="A1533" s="1258" t="s">
        <v>259</v>
      </c>
      <c r="B1533" s="725"/>
      <c r="C1533" s="460" t="s">
        <v>93</v>
      </c>
      <c r="D1533" s="725"/>
      <c r="E1533" s="460" t="s">
        <v>93</v>
      </c>
      <c r="F1533" s="725"/>
      <c r="G1533" s="460" t="s">
        <v>93</v>
      </c>
      <c r="H1533" s="469"/>
      <c r="I1533" s="1261"/>
    </row>
    <row r="1534" spans="1:13" ht="14.55" customHeight="1" x14ac:dyDescent="0.3">
      <c r="A1534" s="1258" t="s">
        <v>260</v>
      </c>
      <c r="B1534" s="725"/>
      <c r="C1534" s="460" t="s">
        <v>93</v>
      </c>
      <c r="D1534" s="725"/>
      <c r="E1534" s="460" t="s">
        <v>93</v>
      </c>
      <c r="F1534" s="725"/>
      <c r="G1534" s="460" t="s">
        <v>93</v>
      </c>
      <c r="H1534" s="469"/>
      <c r="I1534" s="1261"/>
    </row>
    <row r="1535" spans="1:13" ht="14.55" customHeight="1" x14ac:dyDescent="0.3">
      <c r="A1535" s="1258" t="s">
        <v>261</v>
      </c>
      <c r="B1535" s="725"/>
      <c r="C1535" s="460" t="s">
        <v>93</v>
      </c>
      <c r="D1535" s="725"/>
      <c r="E1535" s="460" t="s">
        <v>93</v>
      </c>
      <c r="F1535" s="725"/>
      <c r="G1535" s="460" t="s">
        <v>93</v>
      </c>
      <c r="H1535" s="469"/>
      <c r="I1535" s="1261"/>
    </row>
    <row r="1536" spans="1:13" ht="14.55" customHeight="1" x14ac:dyDescent="0.3">
      <c r="A1536" s="1258" t="s">
        <v>262</v>
      </c>
      <c r="B1536" s="455" t="e">
        <f>B1533+2*B1554</f>
        <v>#N/A</v>
      </c>
      <c r="C1536" s="460" t="s">
        <v>93</v>
      </c>
      <c r="D1536" s="455" t="e">
        <f>D1533+2*D1554</f>
        <v>#N/A</v>
      </c>
      <c r="E1536" s="460" t="s">
        <v>93</v>
      </c>
      <c r="F1536" s="455">
        <f>F1533+2*F1556</f>
        <v>0</v>
      </c>
      <c r="G1536" s="460" t="s">
        <v>93</v>
      </c>
      <c r="H1536" s="469"/>
      <c r="I1536" s="1261"/>
    </row>
    <row r="1537" spans="1:9" ht="14.55" customHeight="1" x14ac:dyDescent="0.3">
      <c r="A1537" s="1258" t="s">
        <v>263</v>
      </c>
      <c r="B1537" s="455" t="e">
        <f>B1534+2*B1554</f>
        <v>#N/A</v>
      </c>
      <c r="C1537" s="460" t="s">
        <v>93</v>
      </c>
      <c r="D1537" s="455" t="e">
        <f>D1534+2*D1554</f>
        <v>#N/A</v>
      </c>
      <c r="E1537" s="460" t="s">
        <v>93</v>
      </c>
      <c r="F1537" s="455">
        <f>F1534+2*F1556</f>
        <v>0</v>
      </c>
      <c r="G1537" s="460" t="s">
        <v>93</v>
      </c>
      <c r="H1537" s="469"/>
      <c r="I1537" s="1261"/>
    </row>
    <row r="1538" spans="1:9" ht="14.55" customHeight="1" x14ac:dyDescent="0.3">
      <c r="A1538" s="1258" t="s">
        <v>264</v>
      </c>
      <c r="B1538" s="453" t="e">
        <f>(((((1/3*PI()*B1535))*((((B1536/2)^2)+(((B1536/2)*(B1537/2)))+((B1537/2)^2))))-(((1/3*PI()*B1535))*((((B1533/2)^2)+(((B1533/2)*(B1534/2)))+((B1534/2)^2)))))*7.86)/1000000</f>
        <v>#N/A</v>
      </c>
      <c r="C1538" s="460" t="s">
        <v>222</v>
      </c>
      <c r="D1538" s="453" t="e">
        <f>(((((1/3*PI()*D1535))*((((D1536/2)^2)+(((D1536/2)*(D1537/2)))+((D1537/2)^2))))-(((1/3*PI()*D1535))*((((D1533/2)^2)+(((D1533/2)*(D1534/2)))+((D1534/2)^2)))))*7.86)/1000000</f>
        <v>#N/A</v>
      </c>
      <c r="E1538" s="460" t="s">
        <v>222</v>
      </c>
      <c r="F1538" s="453">
        <f>(((((1/3*PI()*F1535))*((((F1536/2)^2)+(((F1536/2)*(F1537/2)))+((F1537/2)^2))))-(((1/3*PI()*F1535))*((((F1533/2)^2)+(((F1533/2)*(F1534/2)))+((F1534/2)^2)))))*7.86)/1000000</f>
        <v>0</v>
      </c>
      <c r="G1538" s="460" t="s">
        <v>222</v>
      </c>
      <c r="H1538" s="469"/>
      <c r="I1538" s="1261"/>
    </row>
    <row r="1539" spans="1:9" ht="14.55" customHeight="1" x14ac:dyDescent="0.3">
      <c r="A1539" s="1258" t="s">
        <v>265</v>
      </c>
      <c r="B1539" s="453">
        <f>((1/3*PI()*B1535))*((((B1533/2)^2)+(((B1533/2)*(B1534/2)))+((B1534/2)^2)))/1000000000</f>
        <v>0</v>
      </c>
      <c r="C1539" s="460" t="s">
        <v>225</v>
      </c>
      <c r="D1539" s="453">
        <f>((1/3*PI()*D1535))*((((D1533/2)^2)+(((D1533/2)*(D1534/2)))+((D1534/2)^2)))/1000000000</f>
        <v>0</v>
      </c>
      <c r="E1539" s="460" t="s">
        <v>225</v>
      </c>
      <c r="F1539" s="453">
        <f>((1/3*PI()*F1535))*((((F1533/2)^2)+(((F1533/2)*(F1534/2)))+((F1534/2)^2)))/1000000000</f>
        <v>0</v>
      </c>
      <c r="G1539" s="460" t="s">
        <v>225</v>
      </c>
      <c r="H1539" s="469"/>
      <c r="I1539" s="1261"/>
    </row>
    <row r="1540" spans="1:9" ht="14.55" customHeight="1" x14ac:dyDescent="0.3">
      <c r="A1540" s="1258" t="s">
        <v>266</v>
      </c>
      <c r="B1540" s="453" t="e">
        <f>PI()*(B1536+B1537)/2*SQRT(B1535^2+((B1536-B1537)/2)^2)/1000000</f>
        <v>#N/A</v>
      </c>
      <c r="C1540" s="460" t="s">
        <v>228</v>
      </c>
      <c r="D1540" s="453" t="e">
        <f>PI()*(D1536+D1537)/2*SQRT(D1535^2+((D1536-D1537)/2)^2)/1000000</f>
        <v>#N/A</v>
      </c>
      <c r="E1540" s="460" t="s">
        <v>228</v>
      </c>
      <c r="F1540" s="453">
        <f>PI()*(F1536+F1537)/2*SQRT(F1535^2+((F1536-F1537)/2)^2)/1000000</f>
        <v>0</v>
      </c>
      <c r="G1540" s="460" t="s">
        <v>228</v>
      </c>
      <c r="H1540" s="469"/>
      <c r="I1540" s="1261"/>
    </row>
    <row r="1541" spans="1:9" ht="14.55" customHeight="1" x14ac:dyDescent="0.3">
      <c r="A1541" s="1258" t="s">
        <v>267</v>
      </c>
      <c r="B1541" s="453" t="e">
        <f>B1536+2*B1560</f>
        <v>#N/A</v>
      </c>
      <c r="C1541" s="460" t="s">
        <v>93</v>
      </c>
      <c r="D1541" s="453">
        <f>D1533+2*D1560</f>
        <v>0</v>
      </c>
      <c r="E1541" s="460" t="s">
        <v>93</v>
      </c>
      <c r="F1541" s="453">
        <f>F1533+2*F1560</f>
        <v>0</v>
      </c>
      <c r="G1541" s="460" t="s">
        <v>93</v>
      </c>
      <c r="H1541" s="469"/>
      <c r="I1541" s="1261"/>
    </row>
    <row r="1542" spans="1:9" ht="14.55" customHeight="1" x14ac:dyDescent="0.3">
      <c r="A1542" s="1258" t="s">
        <v>268</v>
      </c>
      <c r="B1542" s="453" t="e">
        <f>B1537+2*B1560</f>
        <v>#N/A</v>
      </c>
      <c r="C1542" s="460" t="s">
        <v>93</v>
      </c>
      <c r="D1542" s="453">
        <f>D1534+2*D1560</f>
        <v>0</v>
      </c>
      <c r="E1542" s="460" t="s">
        <v>93</v>
      </c>
      <c r="F1542" s="453">
        <f>F1534+2*F1560</f>
        <v>0</v>
      </c>
      <c r="G1542" s="460" t="s">
        <v>93</v>
      </c>
      <c r="H1542" s="469"/>
      <c r="I1542" s="1261"/>
    </row>
    <row r="1543" spans="1:9" ht="14.55" customHeight="1" x14ac:dyDescent="0.3">
      <c r="A1543" s="1258" t="s">
        <v>269</v>
      </c>
      <c r="B1543" s="453" t="e">
        <f>PI()*(B1541+B1542)/2*SQRT(B1535^2+((B1541-B1542)/2)^2)/1000000</f>
        <v>#N/A</v>
      </c>
      <c r="C1543" s="460" t="s">
        <v>228</v>
      </c>
      <c r="D1543" s="453">
        <f>PI()*(D1541+D1542)/2*SQRT(D1535^2+((D1541-D1542)/2)^2)/1000000</f>
        <v>0</v>
      </c>
      <c r="E1543" s="460" t="s">
        <v>228</v>
      </c>
      <c r="F1543" s="453">
        <f>PI()*(F1541+F1542)/2*SQRT(F1535^2+((F1541-F1542)/2)^2)/1000000</f>
        <v>0</v>
      </c>
      <c r="G1543" s="460" t="s">
        <v>228</v>
      </c>
      <c r="H1543" s="469"/>
      <c r="I1543" s="1261"/>
    </row>
    <row r="1544" spans="1:9" ht="14.55" customHeight="1" x14ac:dyDescent="0.3">
      <c r="A1544" s="1258"/>
      <c r="B1544" s="453"/>
      <c r="C1544" s="460"/>
      <c r="D1544" s="453"/>
      <c r="E1544" s="460"/>
      <c r="F1544" s="453"/>
      <c r="G1544" s="460"/>
      <c r="H1544" s="460"/>
      <c r="I1544" s="1259"/>
    </row>
    <row r="1545" spans="1:9" ht="14.55" customHeight="1" x14ac:dyDescent="0.3">
      <c r="A1545" s="1258" t="s">
        <v>270</v>
      </c>
      <c r="B1545" s="725"/>
      <c r="C1545" s="460" t="s">
        <v>93</v>
      </c>
      <c r="D1545" s="725"/>
      <c r="E1545" s="460" t="s">
        <v>93</v>
      </c>
      <c r="F1545" s="725"/>
      <c r="G1545" s="460" t="s">
        <v>93</v>
      </c>
      <c r="H1545" s="460"/>
      <c r="I1545" s="1259"/>
    </row>
    <row r="1546" spans="1:9" ht="14.55" customHeight="1" x14ac:dyDescent="0.3">
      <c r="A1546" s="1258" t="s">
        <v>271</v>
      </c>
      <c r="B1546" s="453" t="e">
        <f>((D1494/10)*B1511/2)/(IF(B1489="div.1",B1502,B1505)-0.5*D1494/10)</f>
        <v>#N/A</v>
      </c>
      <c r="C1546" s="460" t="s">
        <v>93</v>
      </c>
      <c r="D1546" s="453" t="e">
        <f>((D1494/10)*D1511/2)/(IF(B1489="div.1",B1502,B1505)-0.5*D1494/10)</f>
        <v>#N/A</v>
      </c>
      <c r="E1546" s="460" t="s">
        <v>93</v>
      </c>
      <c r="F1546" s="453" t="e">
        <f>((D1494/10)*F1511/2)/(IF(B1489="div.1",F1502,F1505)-0.5*D1494/10)</f>
        <v>#N/A</v>
      </c>
      <c r="G1546" s="460" t="s">
        <v>93</v>
      </c>
      <c r="H1546" s="460"/>
      <c r="I1546" s="1259"/>
    </row>
    <row r="1547" spans="1:9" ht="14.55" customHeight="1" x14ac:dyDescent="0.3">
      <c r="A1547" s="1258" t="s">
        <v>272</v>
      </c>
      <c r="B1547" s="453" t="e">
        <f>B1521/2*(EXP(D1494/(10*IF(B1489="div.1",B1503,B1506)))-1)</f>
        <v>#N/A</v>
      </c>
      <c r="C1547" s="460" t="s">
        <v>93</v>
      </c>
      <c r="D1547" s="453" t="e">
        <f>D1521/2*(EXP(D1494/(10*IF(B1489="div.1",B1503,B1506)))-1)</f>
        <v>#N/A</v>
      </c>
      <c r="E1547" s="460" t="s">
        <v>93</v>
      </c>
      <c r="F1547" s="453" t="e">
        <f>F1521/2*(EXP(D1494/(10*IF(B1489="div.1",F1503,F1506)))-1)</f>
        <v>#N/A</v>
      </c>
      <c r="G1547" s="460" t="s">
        <v>93</v>
      </c>
      <c r="H1547" s="460"/>
      <c r="I1547" s="1259"/>
    </row>
    <row r="1548" spans="1:9" ht="14.55" customHeight="1" x14ac:dyDescent="0.3">
      <c r="A1548" s="1258" t="s">
        <v>273</v>
      </c>
      <c r="B1548" s="453" t="e">
        <f>B1533/2*(EXP(D1494/(10*IF(B1489="div.1",B1503,B1506)))-1)</f>
        <v>#N/A</v>
      </c>
      <c r="C1548" s="460" t="s">
        <v>93</v>
      </c>
      <c r="D1548" s="453" t="e">
        <f>D1533/2*(EXP(D1494/(10*IF(B1489="div.1",B1503,B1506)))-1)</f>
        <v>#N/A</v>
      </c>
      <c r="E1548" s="460" t="s">
        <v>93</v>
      </c>
      <c r="F1548" s="453" t="e">
        <f>F1533/2*(EXP(D1494/(10*IF(B1489="div.1",F1503,F1506)))-1)</f>
        <v>#N/A</v>
      </c>
      <c r="G1548" s="460" t="s">
        <v>93</v>
      </c>
      <c r="H1548" s="460"/>
      <c r="I1548" s="1259"/>
    </row>
    <row r="1549" spans="1:9" ht="14.55" customHeight="1" x14ac:dyDescent="0.3">
      <c r="A1549" s="1258" t="s">
        <v>274</v>
      </c>
      <c r="B1549" s="725"/>
      <c r="C1549" s="460" t="s">
        <v>93</v>
      </c>
      <c r="D1549" s="725"/>
      <c r="E1549" s="460" t="s">
        <v>93</v>
      </c>
      <c r="F1549" s="725"/>
      <c r="G1549" s="460" t="s">
        <v>93</v>
      </c>
      <c r="H1549" s="460"/>
      <c r="I1549" s="1259"/>
    </row>
    <row r="1550" spans="1:9" ht="14.55" customHeight="1" x14ac:dyDescent="0.3">
      <c r="A1550" s="1258" t="s">
        <v>275</v>
      </c>
      <c r="B1550" s="725"/>
      <c r="C1550" s="460" t="s">
        <v>93</v>
      </c>
      <c r="D1550" s="725"/>
      <c r="E1550" s="460" t="s">
        <v>93</v>
      </c>
      <c r="F1550" s="725"/>
      <c r="G1550" s="460" t="s">
        <v>93</v>
      </c>
      <c r="H1550" s="460"/>
      <c r="I1550" s="1259"/>
    </row>
    <row r="1551" spans="1:9" ht="14.55" customHeight="1" x14ac:dyDescent="0.3">
      <c r="A1551" s="1258" t="s">
        <v>276</v>
      </c>
      <c r="B1551" s="725"/>
      <c r="C1551" s="460" t="s">
        <v>93</v>
      </c>
      <c r="D1551" s="725"/>
      <c r="E1551" s="460" t="s">
        <v>93</v>
      </c>
      <c r="F1551" s="725"/>
      <c r="G1551" s="460" t="s">
        <v>93</v>
      </c>
      <c r="H1551" s="460"/>
      <c r="I1551" s="1259"/>
    </row>
    <row r="1552" spans="1:9" ht="14.55" customHeight="1" x14ac:dyDescent="0.3">
      <c r="A1552" s="1258" t="s">
        <v>277</v>
      </c>
      <c r="B1552" s="453" t="e">
        <f>IF((CEILING(B1546,1)+B1549)&lt;B1545,B1545,CEILING(B1546,1)+B1549)</f>
        <v>#N/A</v>
      </c>
      <c r="C1552" s="460" t="s">
        <v>93</v>
      </c>
      <c r="D1552" s="453" t="e">
        <f>IF((CEILING(D1546,1)+D1549)&lt;D1545,D1545,CEILING(D1546,1)+D1549)</f>
        <v>#N/A</v>
      </c>
      <c r="E1552" s="460" t="s">
        <v>93</v>
      </c>
      <c r="F1552" s="453" t="e">
        <f>IF((CEILING(F1546,1)+F1549)&lt;F1545,F1545,CEILING(F1546,1)+F1549)</f>
        <v>#N/A</v>
      </c>
      <c r="G1552" s="460" t="s">
        <v>93</v>
      </c>
      <c r="H1552" s="460"/>
      <c r="I1552" s="1259"/>
    </row>
    <row r="1553" spans="1:9" ht="14.55" customHeight="1" x14ac:dyDescent="0.3">
      <c r="A1553" s="1258" t="s">
        <v>278</v>
      </c>
      <c r="B1553" s="453" t="e">
        <f>IF((CEILING(B1547,1)+B1550)&lt;=B1545,B1545,CEILING(B1547,1)+B1550)</f>
        <v>#N/A</v>
      </c>
      <c r="C1553" s="460" t="s">
        <v>93</v>
      </c>
      <c r="D1553" s="453" t="e">
        <f>IF((CEILING(D1547,1)+D1550)&lt;=D1545,D1545,CEILING(D1547,1)+D1550)</f>
        <v>#N/A</v>
      </c>
      <c r="E1553" s="460" t="s">
        <v>93</v>
      </c>
      <c r="F1553" s="453" t="e">
        <f>IF((CEILING(F1547,1)+F1550)&lt;=F1545,F1545,CEILING(F1547,1)+F1550)</f>
        <v>#N/A</v>
      </c>
      <c r="G1553" s="460" t="s">
        <v>93</v>
      </c>
      <c r="H1553" s="460"/>
      <c r="I1553" s="1259"/>
    </row>
    <row r="1554" spans="1:9" ht="14.55" customHeight="1" x14ac:dyDescent="0.3">
      <c r="A1554" s="1258" t="s">
        <v>279</v>
      </c>
      <c r="B1554" s="453" t="e">
        <f>IF((CEILING(B1548,1)+B1551)&lt;=B1545,B1545,CEILING(B1548,1)+B1551)</f>
        <v>#N/A</v>
      </c>
      <c r="C1554" s="460" t="s">
        <v>93</v>
      </c>
      <c r="D1554" s="453" t="e">
        <f>IF((CEILING(D1548,1)+D1551)&lt;=D1545,D1545,CEILING(D1548,1)+D1551)</f>
        <v>#N/A</v>
      </c>
      <c r="E1554" s="460" t="s">
        <v>93</v>
      </c>
      <c r="F1554" s="453" t="e">
        <f>IF((CEILING(F1548,1)+F1551)&lt;=F1545,F1545,CEILING(F1548,1)+F1551)</f>
        <v>#N/A</v>
      </c>
      <c r="G1554" s="460" t="s">
        <v>93</v>
      </c>
      <c r="H1554" s="460"/>
      <c r="I1554" s="1259"/>
    </row>
    <row r="1555" spans="1:9" ht="14.55" customHeight="1" x14ac:dyDescent="0.3">
      <c r="A1555" s="1258" t="s">
        <v>280</v>
      </c>
      <c r="B1555" s="453"/>
      <c r="C1555" s="460"/>
      <c r="D1555" s="453"/>
      <c r="E1555" s="460"/>
      <c r="F1555" s="726"/>
      <c r="G1555" s="460"/>
      <c r="H1555" s="460"/>
      <c r="I1555" s="1259"/>
    </row>
    <row r="1556" spans="1:9" ht="14.55" customHeight="1" x14ac:dyDescent="0.3">
      <c r="A1556" s="1258" t="s">
        <v>281</v>
      </c>
      <c r="B1556" s="453"/>
      <c r="C1556" s="460"/>
      <c r="D1556" s="453"/>
      <c r="E1556" s="460"/>
      <c r="F1556" s="460">
        <f>IFERROR(VLOOKUP(F1510,'Thickness Tab'!$1:$1048576,MATCH(F1555,'Thickness Tab'!$1:$1,0),0),0)</f>
        <v>0</v>
      </c>
      <c r="G1556" s="460" t="s">
        <v>93</v>
      </c>
      <c r="H1556" s="460"/>
      <c r="I1556" s="1259"/>
    </row>
    <row r="1557" spans="1:9" ht="14.55" customHeight="1" x14ac:dyDescent="0.3">
      <c r="A1557" s="1258"/>
      <c r="B1557" s="464"/>
      <c r="C1557" s="460"/>
      <c r="D1557" s="460"/>
      <c r="E1557" s="460"/>
      <c r="F1557" s="460"/>
      <c r="G1557" s="460"/>
      <c r="H1557" s="460"/>
      <c r="I1557" s="1259"/>
    </row>
    <row r="1558" spans="1:9" ht="14.55" customHeight="1" x14ac:dyDescent="0.3">
      <c r="A1558" s="1258" t="s">
        <v>282</v>
      </c>
      <c r="B1558" s="725">
        <v>0</v>
      </c>
      <c r="C1558" s="460" t="s">
        <v>93</v>
      </c>
      <c r="D1558" s="725">
        <v>0</v>
      </c>
      <c r="E1558" s="460" t="s">
        <v>93</v>
      </c>
      <c r="F1558" s="725">
        <v>0</v>
      </c>
      <c r="G1558" s="460" t="s">
        <v>93</v>
      </c>
      <c r="H1558" s="460"/>
      <c r="I1558" s="1259"/>
    </row>
    <row r="1559" spans="1:9" ht="14.55" customHeight="1" x14ac:dyDescent="0.3">
      <c r="A1559" s="1258" t="s">
        <v>283</v>
      </c>
      <c r="B1559" s="725">
        <v>0</v>
      </c>
      <c r="C1559" s="460" t="s">
        <v>93</v>
      </c>
      <c r="D1559" s="725">
        <v>0</v>
      </c>
      <c r="E1559" s="460" t="s">
        <v>93</v>
      </c>
      <c r="F1559" s="725">
        <v>0</v>
      </c>
      <c r="G1559" s="460" t="s">
        <v>93</v>
      </c>
      <c r="H1559" s="460"/>
      <c r="I1559" s="1259"/>
    </row>
    <row r="1560" spans="1:9" ht="14.55" customHeight="1" x14ac:dyDescent="0.3">
      <c r="A1560" s="1258" t="s">
        <v>284</v>
      </c>
      <c r="B1560" s="725">
        <v>0</v>
      </c>
      <c r="C1560" s="460" t="s">
        <v>93</v>
      </c>
      <c r="D1560" s="725">
        <v>0</v>
      </c>
      <c r="E1560" s="460" t="s">
        <v>93</v>
      </c>
      <c r="F1560" s="725">
        <v>0</v>
      </c>
      <c r="G1560" s="460" t="s">
        <v>93</v>
      </c>
      <c r="H1560" s="460"/>
      <c r="I1560" s="1259"/>
    </row>
    <row r="1561" spans="1:9" ht="14.55" customHeight="1" x14ac:dyDescent="0.3">
      <c r="A1561" s="1258"/>
      <c r="B1561" s="464"/>
      <c r="C1561" s="460"/>
      <c r="D1561" s="460"/>
      <c r="E1561" s="460"/>
      <c r="F1561" s="460"/>
      <c r="G1561" s="460"/>
      <c r="H1561" s="460"/>
      <c r="I1561" s="1259"/>
    </row>
    <row r="1562" spans="1:9" ht="14.55" customHeight="1" x14ac:dyDescent="0.3">
      <c r="A1562" s="1260" t="s">
        <v>285</v>
      </c>
      <c r="B1562" s="470" t="str">
        <f>IF(B1490="Horizontal","No Skirt","")</f>
        <v/>
      </c>
      <c r="C1562" s="460"/>
      <c r="D1562" s="471"/>
      <c r="E1562" s="471" t="s">
        <v>286</v>
      </c>
      <c r="F1562" s="460"/>
      <c r="G1562" s="469"/>
      <c r="H1562" s="469"/>
      <c r="I1562" s="1261"/>
    </row>
    <row r="1563" spans="1:9" ht="14.55" customHeight="1" x14ac:dyDescent="0.3">
      <c r="A1563" s="1258" t="s">
        <v>287</v>
      </c>
      <c r="B1563" s="722"/>
      <c r="C1563" s="456" t="s">
        <v>93</v>
      </c>
      <c r="D1563" s="472"/>
      <c r="E1563" s="472" t="s">
        <v>288</v>
      </c>
      <c r="F1563" s="725"/>
      <c r="G1563" s="460" t="s">
        <v>93</v>
      </c>
      <c r="H1563" s="469"/>
      <c r="I1563" s="1261"/>
    </row>
    <row r="1564" spans="1:9" ht="14.55" customHeight="1" x14ac:dyDescent="0.3">
      <c r="A1564" s="1258" t="s">
        <v>289</v>
      </c>
      <c r="B1564" s="722"/>
      <c r="C1564" s="456" t="s">
        <v>93</v>
      </c>
      <c r="D1564" s="472"/>
      <c r="E1564" s="472" t="s">
        <v>290</v>
      </c>
      <c r="F1564" s="725"/>
      <c r="G1564" s="460" t="s">
        <v>93</v>
      </c>
      <c r="H1564" s="469"/>
      <c r="I1564" s="1261"/>
    </row>
    <row r="1565" spans="1:9" ht="14.55" customHeight="1" x14ac:dyDescent="0.3">
      <c r="A1565" s="1258" t="s">
        <v>291</v>
      </c>
      <c r="B1565" s="722"/>
      <c r="C1565" s="456" t="s">
        <v>93</v>
      </c>
      <c r="D1565" s="472"/>
      <c r="E1565" s="472" t="s">
        <v>292</v>
      </c>
      <c r="F1565" s="725"/>
      <c r="G1565" s="460"/>
      <c r="H1565" s="469"/>
      <c r="I1565" s="1261"/>
    </row>
    <row r="1566" spans="1:9" ht="14.55" customHeight="1" x14ac:dyDescent="0.3">
      <c r="A1566" s="1258" t="s">
        <v>293</v>
      </c>
      <c r="B1566" s="722"/>
      <c r="C1566" s="456" t="s">
        <v>93</v>
      </c>
      <c r="D1566" s="472"/>
      <c r="E1566" s="472" t="s">
        <v>184</v>
      </c>
      <c r="F1566" s="457">
        <f>(PI()*F1563^2)/4*F1564*(7800/1000000000)</f>
        <v>0</v>
      </c>
      <c r="G1566" s="460" t="s">
        <v>222</v>
      </c>
      <c r="H1566" s="460"/>
      <c r="I1566" s="1259"/>
    </row>
    <row r="1567" spans="1:9" ht="14.55" customHeight="1" x14ac:dyDescent="0.3">
      <c r="A1567" s="1258" t="s">
        <v>294</v>
      </c>
      <c r="B1567" s="722"/>
      <c r="C1567" s="456" t="s">
        <v>93</v>
      </c>
      <c r="D1567" s="460"/>
      <c r="E1567" s="460"/>
      <c r="F1567" s="460"/>
      <c r="G1567" s="460"/>
      <c r="H1567" s="460"/>
      <c r="I1567" s="1259"/>
    </row>
    <row r="1568" spans="1:9" ht="14.55" customHeight="1" x14ac:dyDescent="0.3">
      <c r="A1568" s="1258"/>
      <c r="B1568" s="407"/>
      <c r="C1568" s="460"/>
      <c r="D1568" s="460"/>
      <c r="E1568" s="460"/>
      <c r="F1568" s="460"/>
      <c r="G1568" s="460"/>
      <c r="H1568" s="460"/>
      <c r="I1568" s="1259"/>
    </row>
    <row r="1569" spans="1:9" ht="14.55" customHeight="1" x14ac:dyDescent="0.3">
      <c r="A1569" s="1262" t="s">
        <v>295</v>
      </c>
      <c r="B1569" s="480"/>
      <c r="C1569" s="59"/>
      <c r="D1569" s="59"/>
      <c r="E1569" s="59"/>
      <c r="F1569" s="460"/>
      <c r="G1569" s="460"/>
      <c r="H1569" s="460"/>
      <c r="I1569" s="1259"/>
    </row>
    <row r="1570" spans="1:9" ht="14.55" customHeight="1" x14ac:dyDescent="0.3">
      <c r="A1570" s="1263" t="s">
        <v>296</v>
      </c>
      <c r="B1570" s="722"/>
      <c r="C1570" s="59" t="s">
        <v>93</v>
      </c>
      <c r="D1570" s="59"/>
      <c r="E1570" s="59"/>
      <c r="F1570" s="460"/>
      <c r="G1570" s="460"/>
      <c r="H1570" s="460"/>
      <c r="I1570" s="1259"/>
    </row>
    <row r="1571" spans="1:9" ht="14.55" customHeight="1" x14ac:dyDescent="0.3">
      <c r="A1571" s="1263" t="s">
        <v>297</v>
      </c>
      <c r="B1571" s="722"/>
      <c r="C1571" s="59" t="s">
        <v>93</v>
      </c>
      <c r="D1571" s="59"/>
      <c r="E1571" s="59"/>
      <c r="F1571" s="460"/>
      <c r="G1571" s="460"/>
      <c r="H1571" s="460"/>
      <c r="I1571" s="1259"/>
    </row>
    <row r="1572" spans="1:9" ht="14.55" customHeight="1" x14ac:dyDescent="0.3">
      <c r="A1572" s="1263" t="s">
        <v>298</v>
      </c>
      <c r="B1572" s="480">
        <f>B1513</f>
        <v>0</v>
      </c>
      <c r="C1572" s="59" t="s">
        <v>93</v>
      </c>
      <c r="D1572" s="59"/>
      <c r="E1572" s="59"/>
      <c r="F1572" s="460"/>
      <c r="G1572" s="460"/>
      <c r="H1572" s="460"/>
      <c r="I1572" s="1259"/>
    </row>
    <row r="1573" spans="1:9" ht="14.55" customHeight="1" x14ac:dyDescent="0.3">
      <c r="A1573" s="1263" t="s">
        <v>299</v>
      </c>
      <c r="B1573" s="727"/>
      <c r="C1573" s="59"/>
      <c r="D1573" s="59"/>
      <c r="E1573" s="59"/>
      <c r="F1573" s="460"/>
      <c r="G1573" s="460"/>
      <c r="H1573" s="460"/>
      <c r="I1573" s="1259"/>
    </row>
    <row r="1574" spans="1:9" ht="14.55" customHeight="1" x14ac:dyDescent="0.3">
      <c r="A1574" s="1263" t="s">
        <v>300</v>
      </c>
      <c r="B1574" s="722"/>
      <c r="C1574" s="59" t="s">
        <v>301</v>
      </c>
      <c r="D1574" s="59"/>
      <c r="E1574" s="59"/>
      <c r="F1574" s="460"/>
      <c r="G1574" s="460"/>
      <c r="H1574" s="460"/>
      <c r="I1574" s="1259"/>
    </row>
    <row r="1575" spans="1:9" ht="14.55" customHeight="1" x14ac:dyDescent="0.3">
      <c r="A1575" s="1263" t="s">
        <v>302</v>
      </c>
      <c r="B1575" s="480">
        <f>IF(B1573="Straight",B1572,B1572*2)</f>
        <v>0</v>
      </c>
      <c r="C1575" s="59" t="s">
        <v>93</v>
      </c>
      <c r="D1575" s="480"/>
      <c r="E1575" s="59"/>
      <c r="F1575" s="460"/>
      <c r="G1575" s="460"/>
      <c r="H1575" s="460"/>
      <c r="I1575" s="1259"/>
    </row>
    <row r="1576" spans="1:9" ht="14.55" customHeight="1" x14ac:dyDescent="0.3">
      <c r="A1576" s="1263" t="s">
        <v>303</v>
      </c>
      <c r="B1576" s="480">
        <f>B1570*PI()*B1575/1000000*B1574</f>
        <v>0</v>
      </c>
      <c r="C1576" s="59" t="s">
        <v>228</v>
      </c>
      <c r="D1576" s="59"/>
      <c r="E1576" s="59"/>
      <c r="F1576" s="460"/>
      <c r="G1576" s="460"/>
      <c r="H1576" s="460"/>
      <c r="I1576" s="1259"/>
    </row>
    <row r="1577" spans="1:9" ht="14.55" customHeight="1" x14ac:dyDescent="0.3">
      <c r="A1577" s="1263" t="s">
        <v>304</v>
      </c>
      <c r="B1577" s="480">
        <v>7.86</v>
      </c>
      <c r="C1577" s="59" t="s">
        <v>305</v>
      </c>
      <c r="D1577" s="59"/>
      <c r="E1577" s="59"/>
      <c r="F1577" s="460"/>
      <c r="G1577" s="460"/>
      <c r="H1577" s="460"/>
      <c r="I1577" s="1259"/>
    </row>
    <row r="1578" spans="1:9" ht="14.55" customHeight="1" x14ac:dyDescent="0.3">
      <c r="A1578" s="1263" t="s">
        <v>306</v>
      </c>
      <c r="B1578" s="480">
        <f>PI()*B1571*(B1570-B1571)*B1577/1000</f>
        <v>0</v>
      </c>
      <c r="C1578" s="59" t="s">
        <v>307</v>
      </c>
      <c r="D1578" s="59"/>
      <c r="E1578" s="59"/>
      <c r="F1578" s="460"/>
      <c r="G1578" s="460"/>
      <c r="H1578" s="460"/>
      <c r="I1578" s="1259"/>
    </row>
    <row r="1579" spans="1:9" ht="14.55" customHeight="1" x14ac:dyDescent="0.3">
      <c r="A1579" s="1263" t="s">
        <v>308</v>
      </c>
      <c r="B1579" s="480">
        <f>B1578*B1575*B1574/1000</f>
        <v>0</v>
      </c>
      <c r="C1579" s="59" t="s">
        <v>222</v>
      </c>
      <c r="D1579" s="59"/>
      <c r="E1579" s="59"/>
      <c r="F1579" s="460"/>
      <c r="G1579" s="460"/>
      <c r="H1579" s="460"/>
      <c r="I1579" s="1259"/>
    </row>
    <row r="1580" spans="1:9" ht="14.55" customHeight="1" x14ac:dyDescent="0.3">
      <c r="A1580" s="1263"/>
      <c r="B1580" s="480"/>
      <c r="C1580" s="59"/>
      <c r="D1580" s="59"/>
      <c r="E1580" s="59"/>
      <c r="F1580" s="460"/>
      <c r="G1580" s="460"/>
      <c r="H1580" s="460"/>
      <c r="I1580" s="1259"/>
    </row>
    <row r="1581" spans="1:9" ht="14.55" customHeight="1" x14ac:dyDescent="0.3">
      <c r="A1581" s="1262" t="s">
        <v>309</v>
      </c>
      <c r="B1581" s="480"/>
      <c r="C1581" s="59"/>
      <c r="D1581" s="59"/>
      <c r="E1581" s="59"/>
      <c r="F1581" s="460"/>
      <c r="G1581" s="460"/>
      <c r="H1581" s="460"/>
      <c r="I1581" s="1259"/>
    </row>
    <row r="1582" spans="1:9" ht="14.55" customHeight="1" x14ac:dyDescent="0.3">
      <c r="A1582" s="1263" t="s">
        <v>310</v>
      </c>
      <c r="B1582" s="480">
        <f>B1511</f>
        <v>0</v>
      </c>
      <c r="C1582" s="59" t="s">
        <v>93</v>
      </c>
      <c r="D1582" s="59"/>
      <c r="E1582" s="59"/>
      <c r="F1582" s="460"/>
      <c r="G1582" s="460"/>
      <c r="H1582" s="460"/>
      <c r="I1582" s="1259"/>
    </row>
    <row r="1583" spans="1:9" ht="14.55" customHeight="1" x14ac:dyDescent="0.3">
      <c r="A1583" s="1263" t="s">
        <v>297</v>
      </c>
      <c r="B1583" s="480">
        <v>0</v>
      </c>
      <c r="C1583" s="59" t="s">
        <v>93</v>
      </c>
      <c r="D1583" s="59"/>
      <c r="E1583" s="59"/>
      <c r="F1583" s="460"/>
      <c r="G1583" s="460"/>
      <c r="H1583" s="460"/>
      <c r="I1583" s="1259"/>
    </row>
    <row r="1584" spans="1:9" ht="14.55" customHeight="1" x14ac:dyDescent="0.3">
      <c r="A1584" s="1263" t="s">
        <v>311</v>
      </c>
      <c r="B1584" s="480">
        <f>B1582^2*PI()/4/1000000</f>
        <v>0</v>
      </c>
      <c r="C1584" s="59" t="s">
        <v>228</v>
      </c>
      <c r="D1584" s="59"/>
      <c r="E1584" s="59"/>
      <c r="F1584" s="460"/>
      <c r="G1584" s="460"/>
      <c r="H1584" s="460"/>
      <c r="I1584" s="1259"/>
    </row>
    <row r="1585" spans="1:9" ht="14.55" customHeight="1" x14ac:dyDescent="0.3">
      <c r="A1585" s="1263" t="s">
        <v>312</v>
      </c>
      <c r="B1585" s="480">
        <f>B1584*B1583/1000*B1577*2/1000</f>
        <v>0</v>
      </c>
      <c r="C1585" s="59" t="s">
        <v>222</v>
      </c>
      <c r="D1585" s="59"/>
      <c r="E1585" s="59"/>
      <c r="F1585" s="460"/>
      <c r="G1585" s="460"/>
      <c r="H1585" s="460"/>
      <c r="I1585" s="1259"/>
    </row>
    <row r="1586" spans="1:9" ht="14.55" customHeight="1" x14ac:dyDescent="0.3">
      <c r="A1586" s="1263"/>
      <c r="B1586" s="480"/>
      <c r="C1586" s="59"/>
      <c r="D1586" s="59"/>
      <c r="E1586" s="59"/>
      <c r="F1586" s="460"/>
      <c r="G1586" s="460"/>
      <c r="H1586" s="460"/>
      <c r="I1586" s="1259"/>
    </row>
    <row r="1587" spans="1:9" ht="14.55" customHeight="1" x14ac:dyDescent="0.3">
      <c r="A1587" s="1263" t="s">
        <v>313</v>
      </c>
      <c r="B1587" s="480">
        <f>B1579+B1585*2</f>
        <v>0</v>
      </c>
      <c r="C1587" s="59" t="s">
        <v>222</v>
      </c>
      <c r="D1587" s="59"/>
      <c r="E1587" s="59"/>
      <c r="F1587" s="460"/>
      <c r="G1587" s="460"/>
      <c r="H1587" s="460"/>
      <c r="I1587" s="1259"/>
    </row>
    <row r="1588" spans="1:9" ht="14.55" customHeight="1" x14ac:dyDescent="0.3">
      <c r="A1588" s="1263"/>
      <c r="B1588" s="480"/>
      <c r="C1588" s="59"/>
      <c r="D1588" s="59"/>
      <c r="E1588" s="59"/>
      <c r="F1588" s="460"/>
      <c r="G1588" s="460"/>
      <c r="H1588" s="460"/>
      <c r="I1588" s="1259"/>
    </row>
    <row r="1589" spans="1:9" ht="14.55" customHeight="1" x14ac:dyDescent="0.3">
      <c r="A1589" s="1260" t="s">
        <v>314</v>
      </c>
      <c r="B1589" s="460"/>
      <c r="C1589" s="460"/>
      <c r="D1589" s="463" t="s">
        <v>315</v>
      </c>
      <c r="E1589" s="460"/>
      <c r="F1589" s="460"/>
      <c r="G1589" s="471" t="s">
        <v>316</v>
      </c>
      <c r="H1589" s="453"/>
      <c r="I1589" s="1259"/>
    </row>
    <row r="1590" spans="1:9" ht="14.55" customHeight="1" x14ac:dyDescent="0.3">
      <c r="A1590" s="1258" t="s">
        <v>189</v>
      </c>
      <c r="B1590" s="468" t="e">
        <f>SUM(B1514,D1514,F1514)</f>
        <v>#N/A</v>
      </c>
      <c r="C1590" s="460" t="s">
        <v>222</v>
      </c>
      <c r="D1590" s="472" t="s">
        <v>189</v>
      </c>
      <c r="E1590" s="468" t="e">
        <f>SUM(B1516,D1516,F1516)</f>
        <v>#N/A</v>
      </c>
      <c r="F1590" s="460" t="s">
        <v>228</v>
      </c>
      <c r="G1590" s="472" t="s">
        <v>189</v>
      </c>
      <c r="H1590" s="453" t="e">
        <f>SUM(B1518,D1518,F1518)</f>
        <v>#N/A</v>
      </c>
      <c r="I1590" s="1259" t="s">
        <v>228</v>
      </c>
    </row>
    <row r="1591" spans="1:9" ht="14.55" customHeight="1" x14ac:dyDescent="0.3">
      <c r="A1591" s="1258" t="s">
        <v>317</v>
      </c>
      <c r="B1591" s="468" t="e">
        <f>SUM(B1524*B1526,D1524*D1526,F1524*F1526)</f>
        <v>#N/A</v>
      </c>
      <c r="C1591" s="460" t="s">
        <v>222</v>
      </c>
      <c r="D1591" s="472" t="s">
        <v>317</v>
      </c>
      <c r="E1591" s="468" t="e">
        <f>SUM(B1524*B1528,D1524*D1528,F1524*F1528)</f>
        <v>#N/A</v>
      </c>
      <c r="F1591" s="460" t="s">
        <v>228</v>
      </c>
      <c r="G1591" s="472" t="s">
        <v>317</v>
      </c>
      <c r="H1591" s="453" t="e">
        <f>SUM(B1524*B1530,D1524*D1530,F1524*F1530)</f>
        <v>#N/A</v>
      </c>
      <c r="I1591" s="1259" t="s">
        <v>228</v>
      </c>
    </row>
    <row r="1592" spans="1:9" ht="14.55" customHeight="1" x14ac:dyDescent="0.3">
      <c r="A1592" s="1258" t="s">
        <v>318</v>
      </c>
      <c r="B1592" s="468" t="e">
        <f>SUM(B1538,D1538,F1538)</f>
        <v>#N/A</v>
      </c>
      <c r="C1592" s="460" t="s">
        <v>222</v>
      </c>
      <c r="D1592" s="472" t="s">
        <v>318</v>
      </c>
      <c r="E1592" s="468" t="e">
        <f>SUM(B1540,D1540,F1540)</f>
        <v>#N/A</v>
      </c>
      <c r="F1592" s="460" t="s">
        <v>228</v>
      </c>
      <c r="G1592" s="472" t="s">
        <v>318</v>
      </c>
      <c r="H1592" s="453" t="e">
        <f>SUM(B1543,D1543,F1543)</f>
        <v>#N/A</v>
      </c>
      <c r="I1592" s="1259" t="s">
        <v>228</v>
      </c>
    </row>
    <row r="1593" spans="1:9" ht="14.55" customHeight="1" x14ac:dyDescent="0.3">
      <c r="A1593" s="1258" t="s">
        <v>319</v>
      </c>
      <c r="B1593" s="468">
        <f>SUMPRODUCT(F1610:F1621,H1610:H1621)</f>
        <v>0</v>
      </c>
      <c r="C1593" s="460" t="s">
        <v>222</v>
      </c>
      <c r="D1593" s="472" t="s">
        <v>319</v>
      </c>
      <c r="E1593" s="468">
        <f>SUMPRODUCT(F1610:F1621,I1610:I1621)</f>
        <v>0</v>
      </c>
      <c r="F1593" s="460" t="s">
        <v>228</v>
      </c>
      <c r="G1593" s="460"/>
      <c r="H1593" s="453"/>
      <c r="I1593" s="1259"/>
    </row>
    <row r="1594" spans="1:9" ht="14.55" customHeight="1" x14ac:dyDescent="0.3">
      <c r="A1594" s="1258" t="s">
        <v>320</v>
      </c>
      <c r="B1594" s="468" t="e">
        <f>IF(B1490="Horizontal",0,(PI()*B1564*(((B1512/2)^2)-(((B1512-2*B1563)/2)^2))*7860)/1000000000)</f>
        <v>#N/A</v>
      </c>
      <c r="C1594" s="460" t="s">
        <v>222</v>
      </c>
      <c r="D1594" s="472" t="s">
        <v>320</v>
      </c>
      <c r="E1594" s="468" t="e">
        <f>IF(B1490="Horizontal",0,((B1512*B1564*PI())+((B1512-2*B1563)*B1564*PI()))/1000000)</f>
        <v>#N/A</v>
      </c>
      <c r="F1594" s="460" t="s">
        <v>228</v>
      </c>
      <c r="G1594" s="471" t="s">
        <v>321</v>
      </c>
      <c r="H1594" s="453"/>
      <c r="I1594" s="1259"/>
    </row>
    <row r="1595" spans="1:9" ht="14.55" customHeight="1" x14ac:dyDescent="0.3">
      <c r="A1595" s="1258" t="s">
        <v>322</v>
      </c>
      <c r="B1595" s="468">
        <f>IF(B1490="Horizontal",0,(PI()*B1567*(((B1566/2)^2)-((B1565/2)^2))*7860)/1000000000)</f>
        <v>0</v>
      </c>
      <c r="C1595" s="460" t="s">
        <v>222</v>
      </c>
      <c r="D1595" s="472" t="s">
        <v>322</v>
      </c>
      <c r="E1595" s="468">
        <f>IF(B1490="Horizontal",0,((B1566*3.14*B1567)+(B1565*3.14*B1567)+(((((B1566/2)^2)*3.14)-(((B1565/2)^2)*3.14))*2))/1000000)</f>
        <v>0</v>
      </c>
      <c r="F1595" s="460" t="s">
        <v>228</v>
      </c>
      <c r="G1595" s="472" t="s">
        <v>189</v>
      </c>
      <c r="H1595" s="453">
        <f>SUM(B1515,D1515,F1515)</f>
        <v>0</v>
      </c>
      <c r="I1595" s="1259" t="s">
        <v>225</v>
      </c>
    </row>
    <row r="1596" spans="1:9" ht="14.55" customHeight="1" x14ac:dyDescent="0.3">
      <c r="A1596" s="1258" t="s">
        <v>323</v>
      </c>
      <c r="B1596" s="468">
        <f>IF(B1490="Horizontal",VLOOKUP(B1512,List!$AR:$AS,2,1)*2,0)</f>
        <v>0</v>
      </c>
      <c r="C1596" s="460" t="s">
        <v>222</v>
      </c>
      <c r="D1596" s="472" t="s">
        <v>323</v>
      </c>
      <c r="E1596" s="725"/>
      <c r="F1596" s="460" t="s">
        <v>228</v>
      </c>
      <c r="G1596" s="472" t="s">
        <v>317</v>
      </c>
      <c r="H1596" s="453" t="e">
        <f>SUM(B1524*B1527+D1524*D1527+F1524*F1527)</f>
        <v>#N/A</v>
      </c>
      <c r="I1596" s="1259" t="s">
        <v>225</v>
      </c>
    </row>
    <row r="1597" spans="1:9" ht="14.55" customHeight="1" x14ac:dyDescent="0.3">
      <c r="A1597" s="1258" t="s">
        <v>324</v>
      </c>
      <c r="B1597" s="468">
        <f>F1566*F1565</f>
        <v>0</v>
      </c>
      <c r="C1597" s="460" t="s">
        <v>222</v>
      </c>
      <c r="D1597" s="460"/>
      <c r="E1597" s="460"/>
      <c r="F1597" s="460"/>
      <c r="G1597" s="472" t="s">
        <v>318</v>
      </c>
      <c r="H1597" s="453">
        <f>SUM(B1539,D1539,F1539)</f>
        <v>0</v>
      </c>
      <c r="I1597" s="1259" t="s">
        <v>225</v>
      </c>
    </row>
    <row r="1598" spans="1:9" ht="14.55" customHeight="1" x14ac:dyDescent="0.3">
      <c r="A1598" s="1258" t="s">
        <v>325</v>
      </c>
      <c r="B1598" s="468">
        <f>B1587</f>
        <v>0</v>
      </c>
      <c r="C1598" s="460" t="s">
        <v>222</v>
      </c>
      <c r="D1598" s="460"/>
      <c r="E1598" s="460"/>
      <c r="F1598" s="460"/>
      <c r="G1598" s="472"/>
      <c r="H1598" s="453"/>
      <c r="I1598" s="1259"/>
    </row>
    <row r="1599" spans="1:9" ht="14.55" customHeight="1" x14ac:dyDescent="0.3">
      <c r="A1599" s="1258" t="s">
        <v>326</v>
      </c>
      <c r="B1599" s="725"/>
      <c r="C1599" s="460" t="s">
        <v>222</v>
      </c>
      <c r="D1599" s="460"/>
      <c r="E1599" s="460"/>
      <c r="F1599" s="460"/>
      <c r="G1599" s="460"/>
      <c r="H1599" s="460"/>
      <c r="I1599" s="1259"/>
    </row>
    <row r="1600" spans="1:9" ht="14.55" customHeight="1" x14ac:dyDescent="0.3">
      <c r="A1600" s="1264"/>
      <c r="B1600" s="460"/>
      <c r="C1600" s="460"/>
      <c r="D1600" s="460"/>
      <c r="E1600" s="460"/>
      <c r="F1600" s="460"/>
      <c r="G1600" s="460"/>
      <c r="H1600" s="460"/>
      <c r="I1600" s="1259"/>
    </row>
    <row r="1601" spans="1:9" ht="14.55" customHeight="1" x14ac:dyDescent="0.3">
      <c r="A1601" s="1258" t="s">
        <v>327</v>
      </c>
      <c r="B1601" s="453" t="e">
        <f>SUM(E1590:E1596)</f>
        <v>#N/A</v>
      </c>
      <c r="C1601" s="460" t="s">
        <v>228</v>
      </c>
      <c r="D1601" s="460"/>
      <c r="E1601" s="460"/>
      <c r="F1601" s="460"/>
      <c r="G1601" s="460"/>
      <c r="H1601" s="460"/>
      <c r="I1601" s="1259"/>
    </row>
    <row r="1602" spans="1:9" ht="14.55" customHeight="1" x14ac:dyDescent="0.3">
      <c r="A1602" s="1258" t="s">
        <v>328</v>
      </c>
      <c r="B1602" s="453" t="e">
        <f>IF(SUM(E1590:E1592)=SUM(H1590:H1592),"Not Insulated",SUM(H1590:H1592))</f>
        <v>#N/A</v>
      </c>
      <c r="C1602" s="460" t="e">
        <f>IF(B1601=SUM(H1590:H1592),"","m2")</f>
        <v>#N/A</v>
      </c>
      <c r="D1602" s="460"/>
      <c r="E1602" s="460"/>
      <c r="F1602" s="460"/>
      <c r="G1602" s="460"/>
      <c r="H1602" s="460"/>
      <c r="I1602" s="1259"/>
    </row>
    <row r="1603" spans="1:9" ht="14.55" customHeight="1" x14ac:dyDescent="0.3">
      <c r="A1603" s="1258" t="s">
        <v>329</v>
      </c>
      <c r="B1603" s="453" t="e">
        <f>SUM(H1595:H1597)</f>
        <v>#N/A</v>
      </c>
      <c r="C1603" s="460" t="s">
        <v>225</v>
      </c>
      <c r="D1603" s="460"/>
      <c r="E1603" s="460"/>
      <c r="F1603" s="460"/>
      <c r="G1603" s="460"/>
      <c r="H1603" s="460"/>
      <c r="I1603" s="1259"/>
    </row>
    <row r="1604" spans="1:9" ht="14.55" customHeight="1" x14ac:dyDescent="0.3">
      <c r="A1604" s="1258" t="s">
        <v>330</v>
      </c>
      <c r="B1604" s="453" t="e">
        <f>SUM(B1590:B1599)</f>
        <v>#N/A</v>
      </c>
      <c r="C1604" s="460" t="s">
        <v>222</v>
      </c>
      <c r="D1604" s="460"/>
      <c r="E1604" s="460"/>
      <c r="F1604" s="460"/>
      <c r="G1604" s="460"/>
      <c r="H1604" s="460"/>
      <c r="I1604" s="1259"/>
    </row>
    <row r="1605" spans="1:9" ht="14.55" customHeight="1" x14ac:dyDescent="0.3">
      <c r="A1605" s="1258" t="s">
        <v>331</v>
      </c>
      <c r="B1605" s="725"/>
      <c r="C1605" s="460" t="s">
        <v>222</v>
      </c>
      <c r="D1605" s="460"/>
      <c r="E1605" s="460"/>
      <c r="F1605" s="460"/>
      <c r="G1605" s="460"/>
      <c r="H1605" s="460"/>
      <c r="I1605" s="1259"/>
    </row>
    <row r="1606" spans="1:9" ht="15" customHeight="1" thickBot="1" x14ac:dyDescent="0.35">
      <c r="A1606" s="1258"/>
      <c r="B1606" s="473"/>
      <c r="C1606" s="459"/>
      <c r="D1606" s="460"/>
      <c r="E1606" s="460"/>
      <c r="F1606" s="460"/>
      <c r="G1606" s="460"/>
      <c r="H1606" s="460"/>
      <c r="I1606" s="1259"/>
    </row>
    <row r="1607" spans="1:9" ht="15" customHeight="1" thickBot="1" x14ac:dyDescent="0.35">
      <c r="A1607" s="474"/>
      <c r="B1607" s="1718" t="s">
        <v>332</v>
      </c>
      <c r="C1607" s="1718"/>
      <c r="D1607" s="1718"/>
      <c r="E1607" s="1718"/>
      <c r="F1607" s="1718"/>
      <c r="G1607" s="475"/>
      <c r="H1607" s="475"/>
      <c r="I1607" s="476"/>
    </row>
    <row r="1608" spans="1:9" ht="14.55" customHeight="1" x14ac:dyDescent="0.3">
      <c r="A1608" s="1264"/>
      <c r="B1608" s="1719" t="s">
        <v>333</v>
      </c>
      <c r="C1608" s="1381" t="s">
        <v>59</v>
      </c>
      <c r="D1608" s="1719" t="s">
        <v>114</v>
      </c>
      <c r="E1608" s="1719" t="s">
        <v>334</v>
      </c>
      <c r="F1608" s="1719" t="s">
        <v>292</v>
      </c>
      <c r="G1608" s="1719" t="s">
        <v>335</v>
      </c>
      <c r="H1608" s="1381" t="s">
        <v>184</v>
      </c>
      <c r="I1608" s="1346" t="s">
        <v>336</v>
      </c>
    </row>
    <row r="1609" spans="1:9" ht="14.55" customHeight="1" x14ac:dyDescent="0.3">
      <c r="A1609" s="1264"/>
      <c r="B1609" s="1720"/>
      <c r="C1609" s="1442" t="s">
        <v>214</v>
      </c>
      <c r="D1609" s="1720"/>
      <c r="E1609" s="1720"/>
      <c r="F1609" s="1720"/>
      <c r="G1609" s="1720"/>
      <c r="H1609" s="1442" t="s">
        <v>222</v>
      </c>
      <c r="I1609" s="1443" t="s">
        <v>228</v>
      </c>
    </row>
    <row r="1610" spans="1:9" ht="14.55" customHeight="1" x14ac:dyDescent="0.3">
      <c r="A1610" s="1264"/>
      <c r="B1610" s="1382" t="s">
        <v>337</v>
      </c>
      <c r="C1610" s="728"/>
      <c r="D1610" s="729"/>
      <c r="E1610" s="730"/>
      <c r="F1610" s="730"/>
      <c r="G1610" s="730"/>
      <c r="H1610" s="1465" t="str">
        <f>IFERROR(VLOOKUP($C1610&amp;"F"&amp;$D1610,'Flanges Chart'!$1:$1048576,MATCH($E1610&amp;"."&amp;H$123,'Flanges Chart'!$1:$1,0),0),"")</f>
        <v/>
      </c>
      <c r="I1610" s="1466" t="str">
        <f>IFERROR(VLOOKUP($C1610&amp;"F"&amp;$D1610,'Flanges Chart'!$1:$1048576,MATCH($E1610&amp;"."&amp;I$123,'Flanges Chart'!$1:$1,0),0),"")</f>
        <v/>
      </c>
    </row>
    <row r="1611" spans="1:9" ht="14.55" customHeight="1" x14ac:dyDescent="0.3">
      <c r="A1611" s="1264"/>
      <c r="B1611" s="1467" t="s">
        <v>340</v>
      </c>
      <c r="C1611" s="731"/>
      <c r="D1611" s="729"/>
      <c r="E1611" s="729"/>
      <c r="F1611" s="729"/>
      <c r="G1611" s="729"/>
      <c r="H1611" s="1465" t="str">
        <f>IFERROR(VLOOKUP($C1611&amp;"F"&amp;$D1611,'Flanges Chart'!$1:$1048576,MATCH($E1611&amp;"."&amp;H$123,'Flanges Chart'!$1:$1,0),0),"")</f>
        <v/>
      </c>
      <c r="I1611" s="1466" t="str">
        <f>IFERROR(VLOOKUP($C1611&amp;"F"&amp;$D1611,'Flanges Chart'!$1:$1048576,MATCH($E1611&amp;"."&amp;I$123,'Flanges Chart'!$1:$1,0),0),"")</f>
        <v/>
      </c>
    </row>
    <row r="1612" spans="1:9" ht="14.55" customHeight="1" x14ac:dyDescent="0.3">
      <c r="A1612" s="1264"/>
      <c r="B1612" s="1467" t="s">
        <v>342</v>
      </c>
      <c r="C1612" s="731"/>
      <c r="D1612" s="729"/>
      <c r="E1612" s="729"/>
      <c r="F1612" s="729"/>
      <c r="G1612" s="729"/>
      <c r="H1612" s="1465" t="str">
        <f>IFERROR(VLOOKUP($C1612&amp;"F"&amp;$D1612,'Flanges Chart'!$1:$1048576,MATCH($E1612&amp;"."&amp;H$123,'Flanges Chart'!$1:$1,0),0),"")</f>
        <v/>
      </c>
      <c r="I1612" s="1466" t="str">
        <f>IFERROR(VLOOKUP($C1612&amp;"F"&amp;$D1612,'Flanges Chart'!$1:$1048576,MATCH($E1612&amp;"."&amp;I$123,'Flanges Chart'!$1:$1,0),0),"")</f>
        <v/>
      </c>
    </row>
    <row r="1613" spans="1:9" ht="14.55" customHeight="1" x14ac:dyDescent="0.3">
      <c r="A1613" s="1264"/>
      <c r="B1613" s="1467" t="s">
        <v>344</v>
      </c>
      <c r="C1613" s="731"/>
      <c r="D1613" s="729"/>
      <c r="E1613" s="729"/>
      <c r="F1613" s="729"/>
      <c r="G1613" s="729"/>
      <c r="H1613" s="1465" t="str">
        <f>IFERROR(VLOOKUP($C1613&amp;"F"&amp;$D1613,'Flanges Chart'!$1:$1048576,MATCH($E1613&amp;"."&amp;H$123,'Flanges Chart'!$1:$1,0),0),"")</f>
        <v/>
      </c>
      <c r="I1613" s="1466" t="str">
        <f>IFERROR(VLOOKUP($C1613&amp;"F"&amp;$D1613,'Flanges Chart'!$1:$1048576,MATCH($E1613&amp;"."&amp;I$123,'Flanges Chart'!$1:$1,0),0),"")</f>
        <v/>
      </c>
    </row>
    <row r="1614" spans="1:9" ht="14.55" customHeight="1" x14ac:dyDescent="0.3">
      <c r="A1614" s="1264"/>
      <c r="B1614" s="1467" t="s">
        <v>347</v>
      </c>
      <c r="C1614" s="731"/>
      <c r="D1614" s="729"/>
      <c r="E1614" s="729"/>
      <c r="F1614" s="729"/>
      <c r="G1614" s="729"/>
      <c r="H1614" s="1465" t="str">
        <f>IFERROR(VLOOKUP($C1614&amp;"F"&amp;$D1614,'Flanges Chart'!$1:$1048576,MATCH($E1614&amp;"."&amp;H$123,'Flanges Chart'!$1:$1,0),0),"")</f>
        <v/>
      </c>
      <c r="I1614" s="1466" t="str">
        <f>IFERROR(VLOOKUP($C1614&amp;"F"&amp;$D1614,'Flanges Chart'!$1:$1048576,MATCH($E1614&amp;"."&amp;I$123,'Flanges Chart'!$1:$1,0),0),"")</f>
        <v/>
      </c>
    </row>
    <row r="1615" spans="1:9" ht="14.55" customHeight="1" x14ac:dyDescent="0.3">
      <c r="A1615" s="1264"/>
      <c r="B1615" s="1467" t="s">
        <v>349</v>
      </c>
      <c r="C1615" s="731"/>
      <c r="D1615" s="729"/>
      <c r="E1615" s="729"/>
      <c r="F1615" s="729"/>
      <c r="G1615" s="729"/>
      <c r="H1615" s="1465" t="str">
        <f>IFERROR(VLOOKUP($C1615&amp;"F"&amp;$D1615,'Flanges Chart'!$1:$1048576,MATCH($E1615&amp;"."&amp;H$123,'Flanges Chart'!$1:$1,0),0),"")</f>
        <v/>
      </c>
      <c r="I1615" s="1466" t="str">
        <f>IFERROR(VLOOKUP($C1615&amp;"F"&amp;$D1615,'Flanges Chart'!$1:$1048576,MATCH($E1615&amp;"."&amp;I$123,'Flanges Chart'!$1:$1,0),0),"")</f>
        <v/>
      </c>
    </row>
    <row r="1616" spans="1:9" ht="14.55" customHeight="1" x14ac:dyDescent="0.3">
      <c r="A1616" s="1264"/>
      <c r="B1616" s="1467" t="s">
        <v>350</v>
      </c>
      <c r="C1616" s="731"/>
      <c r="D1616" s="729"/>
      <c r="E1616" s="729"/>
      <c r="F1616" s="729"/>
      <c r="G1616" s="729"/>
      <c r="H1616" s="1465" t="str">
        <f>IFERROR(VLOOKUP($C1616&amp;"F"&amp;$D1616,'Flanges Chart'!$1:$1048576,MATCH($E1616&amp;"."&amp;H$123,'Flanges Chart'!$1:$1,0),0),"")</f>
        <v/>
      </c>
      <c r="I1616" s="1466" t="str">
        <f>IFERROR(VLOOKUP($C1616&amp;"F"&amp;$D1616,'Flanges Chart'!$1:$1048576,MATCH($E1616&amp;"."&amp;I$123,'Flanges Chart'!$1:$1,0),0),"")</f>
        <v/>
      </c>
    </row>
    <row r="1617" spans="1:13" ht="14.55" customHeight="1" x14ac:dyDescent="0.3">
      <c r="A1617" s="1264"/>
      <c r="B1617" s="1467" t="s">
        <v>351</v>
      </c>
      <c r="C1617" s="731"/>
      <c r="D1617" s="729"/>
      <c r="E1617" s="729"/>
      <c r="F1617" s="729"/>
      <c r="G1617" s="729"/>
      <c r="H1617" s="1465" t="str">
        <f>IFERROR(VLOOKUP($C1617&amp;"F"&amp;$D1617,'Flanges Chart'!$1:$1048576,MATCH($E1617&amp;"."&amp;H$123,'Flanges Chart'!$1:$1,0),0),"")</f>
        <v/>
      </c>
      <c r="I1617" s="1466" t="str">
        <f>IFERROR(VLOOKUP($C1617&amp;"F"&amp;$D1617,'Flanges Chart'!$1:$1048576,MATCH($E1617&amp;"."&amp;I$123,'Flanges Chart'!$1:$1,0),0),"")</f>
        <v/>
      </c>
    </row>
    <row r="1618" spans="1:13" ht="14.55" customHeight="1" x14ac:dyDescent="0.3">
      <c r="A1618" s="1264"/>
      <c r="B1618" s="1467" t="s">
        <v>352</v>
      </c>
      <c r="C1618" s="731"/>
      <c r="D1618" s="729"/>
      <c r="E1618" s="729"/>
      <c r="F1618" s="729"/>
      <c r="G1618" s="729"/>
      <c r="H1618" s="1465" t="str">
        <f>IFERROR(VLOOKUP($C1618&amp;"F"&amp;$D1618,'Flanges Chart'!$1:$1048576,MATCH($E1618&amp;"."&amp;H$123,'Flanges Chart'!$1:$1,0),0),"")</f>
        <v/>
      </c>
      <c r="I1618" s="1466" t="str">
        <f>IFERROR(VLOOKUP($C1618&amp;"F"&amp;$D1618,'Flanges Chart'!$1:$1048576,MATCH($E1618&amp;"."&amp;I$123,'Flanges Chart'!$1:$1,0),0),"")</f>
        <v/>
      </c>
    </row>
    <row r="1619" spans="1:13" ht="14.55" customHeight="1" x14ac:dyDescent="0.3">
      <c r="A1619" s="1264"/>
      <c r="B1619" s="1467" t="s">
        <v>353</v>
      </c>
      <c r="C1619" s="731"/>
      <c r="D1619" s="729"/>
      <c r="E1619" s="729"/>
      <c r="F1619" s="729"/>
      <c r="G1619" s="729"/>
      <c r="H1619" s="1465" t="str">
        <f>IFERROR(VLOOKUP($C1619&amp;"F"&amp;$D1619,'Flanges Chart'!$1:$1048576,MATCH($E1619&amp;"."&amp;H$123,'Flanges Chart'!$1:$1,0),0),"")</f>
        <v/>
      </c>
      <c r="I1619" s="1466" t="str">
        <f>IFERROR(VLOOKUP($C1619&amp;"F"&amp;$D1619,'Flanges Chart'!$1:$1048576,MATCH($E1619&amp;"."&amp;I$123,'Flanges Chart'!$1:$1,0),0),"")</f>
        <v/>
      </c>
    </row>
    <row r="1620" spans="1:13" ht="14.55" customHeight="1" x14ac:dyDescent="0.3">
      <c r="A1620" s="1264"/>
      <c r="B1620" s="1467" t="s">
        <v>354</v>
      </c>
      <c r="C1620" s="731"/>
      <c r="D1620" s="729"/>
      <c r="E1620" s="729"/>
      <c r="F1620" s="729"/>
      <c r="G1620" s="729"/>
      <c r="H1620" s="1465" t="str">
        <f>IFERROR(VLOOKUP($C1620&amp;"F"&amp;$D1620,'Flanges Chart'!$1:$1048576,MATCH($E1620&amp;"."&amp;H$123,'Flanges Chart'!$1:$1,0),0),"")</f>
        <v/>
      </c>
      <c r="I1620" s="1466" t="str">
        <f>IFERROR(VLOOKUP($C1620&amp;"F"&amp;$D1620,'Flanges Chart'!$1:$1048576,MATCH($E1620&amp;"."&amp;I$123,'Flanges Chart'!$1:$1,0),0),"")</f>
        <v/>
      </c>
    </row>
    <row r="1621" spans="1:13" ht="15" customHeight="1" thickBot="1" x14ac:dyDescent="0.35">
      <c r="A1621" s="1264"/>
      <c r="B1621" s="1468" t="s">
        <v>355</v>
      </c>
      <c r="C1621" s="732"/>
      <c r="D1621" s="733"/>
      <c r="E1621" s="733"/>
      <c r="F1621" s="733"/>
      <c r="G1621" s="733"/>
      <c r="H1621" s="1469" t="s">
        <v>356</v>
      </c>
      <c r="I1621" s="1470" t="str">
        <f>IFERROR(VLOOKUP($C1621&amp;"F"&amp;$D1621,'Flanges Chart'!$1:$1048576,MATCH($E1621&amp;"."&amp;I$123,'Flanges Chart'!$1:$1,0),0),"")</f>
        <v/>
      </c>
    </row>
    <row r="1622" spans="1:13" s="496" customFormat="1" ht="18.600000000000001" thickBot="1" x14ac:dyDescent="0.35">
      <c r="A1622" s="493" t="str">
        <f>"POS."&amp;K1622&amp;" "&amp;VLOOKUP(K1622,'Equip&amp;Mach List'!$1:$1048576,2,0)&amp;" "&amp;VLOOKUP(K1622,'Equip&amp;Mach List'!$1:$1048576,3,0)</f>
        <v xml:space="preserve">POS.13  </v>
      </c>
      <c r="B1622" s="511"/>
      <c r="C1622" s="494"/>
      <c r="D1622" s="495"/>
      <c r="E1622" s="495"/>
      <c r="F1622" s="497"/>
      <c r="G1622" s="495"/>
      <c r="H1622" s="495"/>
      <c r="I1622" s="1255" t="str">
        <f>IFERROR("Weight Calc./Selected = "&amp;ROUND(B1739,1)&amp;"/"&amp;B1740&amp;" kg - Øi ="&amp;IF(B1646=0,F1646,B1646)&amp;" mm"&amp;"T/T ="&amp;IF(B1647=0,F1647,B1647)&amp;" mm - Material "&amp;B1633&amp;"        ","")</f>
        <v/>
      </c>
      <c r="K1622" s="496">
        <v>13</v>
      </c>
      <c r="M1622" s="1254"/>
    </row>
    <row r="1623" spans="1:13" ht="14.55" customHeight="1" x14ac:dyDescent="0.3">
      <c r="A1623" s="1256"/>
      <c r="B1623" s="451"/>
      <c r="C1623" s="451"/>
      <c r="D1623" s="451"/>
      <c r="E1623" s="451"/>
      <c r="F1623" s="451"/>
      <c r="G1623" s="451"/>
      <c r="H1623" s="451"/>
      <c r="I1623" s="1257"/>
      <c r="K1623" s="477" t="s">
        <v>166</v>
      </c>
      <c r="L1623" s="477" t="str">
        <f>K1622&amp;"."&amp;K1623</f>
        <v>13.Design Code</v>
      </c>
      <c r="M1623" s="1252" t="str">
        <f>A1624&amp;" "&amp;B1624</f>
        <v xml:space="preserve">ASME VIII </v>
      </c>
    </row>
    <row r="1624" spans="1:13" ht="14.55" customHeight="1" x14ac:dyDescent="0.3">
      <c r="A1624" s="1258" t="s">
        <v>167</v>
      </c>
      <c r="B1624" s="718"/>
      <c r="C1624" s="459"/>
      <c r="D1624" s="460"/>
      <c r="E1624" s="460"/>
      <c r="F1624" s="460"/>
      <c r="G1624" s="460"/>
      <c r="H1624" s="460"/>
      <c r="I1624" s="1259"/>
      <c r="K1624" s="477" t="s">
        <v>169</v>
      </c>
      <c r="L1624" s="477" t="str">
        <f>K1622&amp;"."&amp;K1624</f>
        <v>13.Orientation</v>
      </c>
      <c r="M1624" s="1252">
        <f>B1625</f>
        <v>0</v>
      </c>
    </row>
    <row r="1625" spans="1:13" ht="14.55" customHeight="1" x14ac:dyDescent="0.3">
      <c r="A1625" s="1258" t="s">
        <v>170</v>
      </c>
      <c r="B1625" s="718"/>
      <c r="C1625" s="459"/>
      <c r="D1625" s="460"/>
      <c r="E1625" s="460"/>
      <c r="F1625" s="461"/>
      <c r="G1625" s="460"/>
      <c r="H1625" s="460"/>
      <c r="I1625" s="1259"/>
      <c r="K1625" s="477" t="s">
        <v>172</v>
      </c>
      <c r="L1625" s="477" t="str">
        <f>K1622&amp;"."&amp;K1625</f>
        <v>13.Design Temperature</v>
      </c>
      <c r="M1625" s="1252">
        <f>D1628</f>
        <v>0</v>
      </c>
    </row>
    <row r="1626" spans="1:13" ht="14.55" customHeight="1" x14ac:dyDescent="0.3">
      <c r="A1626" s="1258"/>
      <c r="B1626" s="459"/>
      <c r="C1626" s="459"/>
      <c r="D1626" s="460"/>
      <c r="E1626" s="460"/>
      <c r="F1626" s="462"/>
      <c r="G1626" s="460"/>
      <c r="H1626" s="460"/>
      <c r="I1626" s="1259"/>
      <c r="K1626" s="477" t="s">
        <v>173</v>
      </c>
      <c r="L1626" s="477" t="str">
        <f>K1622&amp;"."&amp;K1626</f>
        <v>13.Design Pressure</v>
      </c>
      <c r="M1626" s="1252">
        <f>D1629</f>
        <v>0</v>
      </c>
    </row>
    <row r="1627" spans="1:13" ht="14.55" customHeight="1" x14ac:dyDescent="0.3">
      <c r="A1627" s="1260" t="s">
        <v>174</v>
      </c>
      <c r="B1627" s="459"/>
      <c r="C1627" s="459"/>
      <c r="D1627" s="460"/>
      <c r="E1627" s="460"/>
      <c r="F1627" s="462"/>
      <c r="G1627" s="460"/>
      <c r="H1627" s="460"/>
      <c r="I1627" s="1259"/>
      <c r="K1627" s="477" t="s">
        <v>175</v>
      </c>
      <c r="L1627" s="477" t="str">
        <f>K1622&amp;"."&amp;K1627</f>
        <v>13.Material</v>
      </c>
      <c r="M1627" s="1252">
        <f>B1633</f>
        <v>0</v>
      </c>
    </row>
    <row r="1628" spans="1:13" ht="14.55" customHeight="1" x14ac:dyDescent="0.3">
      <c r="A1628" s="1258" t="s">
        <v>176</v>
      </c>
      <c r="B1628" s="719"/>
      <c r="C1628" s="720" t="s">
        <v>177</v>
      </c>
      <c r="D1628" s="464">
        <f>IF(C1628="°C",B1628,0)+IF(C1628="°F",(B1628-32)*5/9,0)</f>
        <v>0</v>
      </c>
      <c r="E1628" s="460" t="s">
        <v>177</v>
      </c>
      <c r="F1628" s="462"/>
      <c r="G1628" s="460"/>
      <c r="H1628" s="460"/>
      <c r="I1628" s="1259"/>
      <c r="K1628" s="477" t="s">
        <v>178</v>
      </c>
      <c r="L1628" s="477" t="str">
        <f>K1622&amp;"."&amp;K1628</f>
        <v>13.Inside Diameter</v>
      </c>
      <c r="M1628" s="1252">
        <f>IF(B1646=0,F1646,B1646)</f>
        <v>0</v>
      </c>
    </row>
    <row r="1629" spans="1:13" ht="14.55" customHeight="1" x14ac:dyDescent="0.3">
      <c r="A1629" s="1258" t="s">
        <v>179</v>
      </c>
      <c r="B1629" s="721"/>
      <c r="C1629" s="720" t="s">
        <v>180</v>
      </c>
      <c r="D1629" s="452">
        <f>IF(C1629="barg",B1629,0)+IF(C1629="psig",B1629*List!$AV$4,0)+IF(C1629="MPa",B1629*List!$AV$5,0)+IF(C1629="N/mm2",B1629*List!$AV$6,0)</f>
        <v>0</v>
      </c>
      <c r="E1629" s="460" t="s">
        <v>180</v>
      </c>
      <c r="F1629" s="460"/>
      <c r="G1629" s="460"/>
      <c r="H1629" s="460"/>
      <c r="I1629" s="1259"/>
      <c r="K1629" s="477" t="s">
        <v>181</v>
      </c>
      <c r="L1629" s="477" t="str">
        <f>K1622&amp;"."&amp;K1629</f>
        <v>13.Tan / Tan</v>
      </c>
      <c r="M1629" s="1252">
        <f>IF(B1648=0,F1648,B1648)</f>
        <v>0</v>
      </c>
    </row>
    <row r="1630" spans="1:13" ht="14.55" customHeight="1" x14ac:dyDescent="0.3">
      <c r="A1630" s="1258" t="s">
        <v>182</v>
      </c>
      <c r="B1630" s="721"/>
      <c r="C1630" s="720" t="s">
        <v>180</v>
      </c>
      <c r="D1630" s="452">
        <f>IF(C1630="barg",B1630,0)+IF(C1630="psig",B1630*List!$AV$4,0)+IF(C1630="MPa",B1630*List!$AV$5,0)+IF(C1630="N/mm2",B1630*List!$AV$6,0)</f>
        <v>0</v>
      </c>
      <c r="E1630" s="460" t="s">
        <v>180</v>
      </c>
      <c r="F1630" s="460"/>
      <c r="G1630" s="465"/>
      <c r="H1630" s="460"/>
      <c r="I1630" s="1259"/>
      <c r="K1630" s="477" t="s">
        <v>183</v>
      </c>
      <c r="L1630" s="477" t="str">
        <f>K1622&amp;"."&amp;K1630</f>
        <v>13.Thickness</v>
      </c>
      <c r="M1630" s="1252" t="e">
        <f>IF(B1687=0,F1691,B1687)</f>
        <v>#N/A</v>
      </c>
    </row>
    <row r="1631" spans="1:13" ht="14.55" customHeight="1" x14ac:dyDescent="0.3">
      <c r="A1631" s="1258"/>
      <c r="B1631" s="459"/>
      <c r="C1631" s="459"/>
      <c r="D1631" s="460"/>
      <c r="E1631" s="460"/>
      <c r="F1631" s="460"/>
      <c r="G1631" s="465"/>
      <c r="H1631" s="460"/>
      <c r="I1631" s="1259"/>
      <c r="K1631" s="477" t="s">
        <v>184</v>
      </c>
      <c r="L1631" s="477" t="str">
        <f>K1622&amp;"."&amp;K1631</f>
        <v>13.Unit Weight</v>
      </c>
      <c r="M1631" s="1252">
        <f>B1740</f>
        <v>0</v>
      </c>
    </row>
    <row r="1632" spans="1:13" ht="14.55" customHeight="1" x14ac:dyDescent="0.3">
      <c r="A1632" s="1260" t="s">
        <v>185</v>
      </c>
      <c r="B1632" s="459" t="s">
        <v>186</v>
      </c>
      <c r="C1632" s="459"/>
      <c r="D1632" s="460"/>
      <c r="E1632" s="460"/>
      <c r="F1632" s="460" t="s">
        <v>187</v>
      </c>
      <c r="G1632" s="465"/>
      <c r="H1632" s="460"/>
      <c r="I1632" s="1259"/>
      <c r="K1632" s="478" t="s">
        <v>188</v>
      </c>
      <c r="L1632" s="477" t="str">
        <f>K1622&amp;"."&amp;K1632</f>
        <v>13.Unit External Surface</v>
      </c>
      <c r="M1632" s="1252" t="e">
        <f>B1736</f>
        <v>#N/A</v>
      </c>
    </row>
    <row r="1633" spans="1:13" ht="14.55" customHeight="1" x14ac:dyDescent="0.3">
      <c r="A1633" s="1258" t="s">
        <v>189</v>
      </c>
      <c r="B1633" s="1716"/>
      <c r="C1633" s="1717"/>
      <c r="D1633" s="460"/>
      <c r="E1633" s="461"/>
      <c r="F1633" s="1716"/>
      <c r="G1633" s="1717"/>
      <c r="H1633" s="460"/>
      <c r="I1633" s="1259"/>
      <c r="K1633" s="477" t="s">
        <v>191</v>
      </c>
      <c r="L1633" s="477" t="str">
        <f>K1622&amp;"."&amp;K1633</f>
        <v>13.M1 DN</v>
      </c>
      <c r="M1633" s="1252">
        <f>C1754</f>
        <v>0</v>
      </c>
    </row>
    <row r="1634" spans="1:13" ht="14.55" customHeight="1" x14ac:dyDescent="0.3">
      <c r="A1634" s="1258" t="s">
        <v>192</v>
      </c>
      <c r="B1634" s="1716"/>
      <c r="C1634" s="1717"/>
      <c r="D1634" s="460"/>
      <c r="E1634" s="461"/>
      <c r="F1634" s="1716"/>
      <c r="G1634" s="1717"/>
      <c r="H1634" s="460"/>
      <c r="I1634" s="1259"/>
      <c r="K1634" s="477" t="s">
        <v>193</v>
      </c>
      <c r="L1634" s="477" t="str">
        <f>K1622&amp;"."&amp;K1634</f>
        <v>13.M1 Rating</v>
      </c>
      <c r="M1634" s="1252">
        <f>D1754</f>
        <v>0</v>
      </c>
    </row>
    <row r="1635" spans="1:13" ht="14.55" customHeight="1" x14ac:dyDescent="0.3">
      <c r="A1635" s="1258"/>
      <c r="B1635" s="466"/>
      <c r="C1635" s="466"/>
      <c r="D1635" s="460"/>
      <c r="E1635" s="460"/>
      <c r="F1635" s="460"/>
      <c r="G1635" s="460"/>
      <c r="H1635" s="460"/>
      <c r="I1635" s="1259"/>
      <c r="K1635" s="477" t="s">
        <v>194</v>
      </c>
      <c r="L1635" s="477" t="str">
        <f>K1622&amp;"."&amp;K1635</f>
        <v>13.M1 Type</v>
      </c>
      <c r="M1635" s="1252">
        <f>E1754</f>
        <v>0</v>
      </c>
    </row>
    <row r="1636" spans="1:13" ht="14.55" customHeight="1" x14ac:dyDescent="0.3">
      <c r="A1636" s="1258" t="s">
        <v>195</v>
      </c>
      <c r="B1636" s="460"/>
      <c r="C1636" s="460"/>
      <c r="D1636" s="460"/>
      <c r="E1636" s="460"/>
      <c r="F1636" s="460"/>
      <c r="G1636" s="460"/>
      <c r="H1636" s="460"/>
      <c r="I1636" s="1259"/>
      <c r="K1636" s="477" t="s">
        <v>196</v>
      </c>
      <c r="L1636" s="477" t="str">
        <f>K1622&amp;"."&amp;K1636</f>
        <v>13.M1 Quantity</v>
      </c>
      <c r="M1636" s="1252">
        <f>F1754</f>
        <v>0</v>
      </c>
    </row>
    <row r="1637" spans="1:13" ht="14.55" customHeight="1" x14ac:dyDescent="0.3">
      <c r="A1637" s="1258" t="s">
        <v>197</v>
      </c>
      <c r="B1637" s="464" t="e">
        <f>$D1628*(VLOOKUP($B1633,'ASME II Tab 1A'!$1:$1048576,MATCH($D1628,'ASME II Tab 1A'!$6:$6,1)+1,0)-VLOOKUP($B1633,'ASME II Tab 1A'!$1:$1048576,MATCH($D1628,'ASME II Tab 1A'!$6:$6,1),0))/(INDEX('ASME II Tab 1A'!$6:$6,MATCH($D1628,'ASME II Tab 1A'!$6:$6,1)+1)-INDEX('ASME II Tab 1A'!$6:$6,MATCH($D1628,'ASME II Tab 1A'!$6:$6,1)))+VLOOKUP($B1633,'ASME II Tab 1A'!$1:$1048576,MATCH($D1628,'ASME II Tab 1A'!$6:$6,1)+1,0)-INDEX('ASME II Tab 1A'!$6:$6,MATCH($D1628,'ASME II Tab 1A'!$6:$6,1)+1)*(VLOOKUP($B1633,'ASME II Tab 1A'!$1:$1048576,MATCH($D1628,'ASME II Tab 1A'!$6:$6,1)+1,0)-VLOOKUP($B1633,'ASME II Tab 1A'!$1:$1048576,MATCH($D1628,'ASME II Tab 1A'!$6:$6,1),0))/(INDEX('ASME II Tab 1A'!$6:$6,MATCH($D1628,'ASME II Tab 1A'!$6:$6,1)+1)-INDEX('ASME II Tab 1A'!$6:$6,MATCH($D1628,'ASME II Tab 1A'!$6:$6,1)))</f>
        <v>#N/A</v>
      </c>
      <c r="C1637" s="460" t="s">
        <v>198</v>
      </c>
      <c r="D1637" s="460"/>
      <c r="E1637" s="467"/>
      <c r="F1637" s="460" t="e">
        <f>$D1628*(VLOOKUP($F1633,'ASME II Tab 1A'!$1:$1048576,MATCH($D1628,'ASME II Tab 1A'!$6:$6,1)+1,0)-VLOOKUP($F1633,'ASME II Tab 1A'!$1:$1048576,MATCH($D1628,'ASME II Tab 1A'!$6:$6,1),0))/(INDEX('ASME II Tab 1A'!$6:$6,MATCH($D1628,'ASME II Tab 1A'!$6:$6,1)+1)-INDEX('ASME II Tab 1A'!$6:$6,MATCH($D1628,'ASME II Tab 1A'!$6:$6,1)))+VLOOKUP($F1633,'ASME II Tab 1A'!$1:$1048576,MATCH($D1628,'ASME II Tab 1A'!$6:$6,1)+1,0)-INDEX('ASME II Tab 1A'!$6:$6,MATCH($D1628,'ASME II Tab 1A'!$6:$6,1)+1)*(VLOOKUP($F1633,'ASME II Tab 1A'!$1:$1048576,MATCH($D1628,'ASME II Tab 1A'!$6:$6,1)+1,0)-VLOOKUP($F1633,'ASME II Tab 1A'!$1:$1048576,MATCH($D1628,'ASME II Tab 1A'!$6:$6,1),0))/(INDEX('ASME II Tab 1A'!$6:$6,MATCH($D1628,'ASME II Tab 1A'!$6:$6,1)+1)-INDEX('ASME II Tab 1A'!$6:$6,MATCH($D1628,'ASME II Tab 1A'!$6:$6,1)))</f>
        <v>#N/A</v>
      </c>
      <c r="G1637" s="460" t="s">
        <v>198</v>
      </c>
      <c r="H1637" s="460"/>
      <c r="I1637" s="1259"/>
      <c r="K1637" s="477" t="s">
        <v>199</v>
      </c>
      <c r="L1637" s="477" t="str">
        <f>K1622&amp;"."&amp;K1637</f>
        <v>13.M2 DN</v>
      </c>
      <c r="M1637" s="1252">
        <f>C1755</f>
        <v>0</v>
      </c>
    </row>
    <row r="1638" spans="1:13" ht="14.55" customHeight="1" x14ac:dyDescent="0.3">
      <c r="A1638" s="1258" t="s">
        <v>200</v>
      </c>
      <c r="B1638" s="464" t="e">
        <f>$D1628*(VLOOKUP($B1634,'ASME II Tab 1A'!$1:$1048576,MATCH($D1628,'ASME II Tab 1A'!$6:$6,1)+1,0)-VLOOKUP($B1634,'ASME II Tab 1A'!$1:$1048576,MATCH($D1628,'ASME II Tab 1A'!$6:$6,1),0))/(INDEX('ASME II Tab 1A'!$6:$6,MATCH($D1628,'ASME II Tab 1A'!$6:$6,1)+1)-INDEX('ASME II Tab 1A'!$6:$6,MATCH($D1628,'ASME II Tab 1A'!$6:$6,1)))+VLOOKUP($B1634,'ASME II Tab 1A'!$1:$1048576,MATCH($D1628,'ASME II Tab 1A'!$6:$6,1)+1,0)-INDEX('ASME II Tab 1A'!$6:$6,MATCH($D1628,'ASME II Tab 1A'!$6:$6,1)+1)*(VLOOKUP($B1634,'ASME II Tab 1A'!$1:$1048576,MATCH($D1628,'ASME II Tab 1A'!$6:$6,1)+1,0)-VLOOKUP($B1634,'ASME II Tab 1A'!$1:$1048576,MATCH($D1628,'ASME II Tab 1A'!$6:$6,1),0))/(INDEX('ASME II Tab 1A'!$6:$6,MATCH($D1628,'ASME II Tab 1A'!$6:$6,1)+1)-INDEX('ASME II Tab 1A'!$6:$6,MATCH($D1628,'ASME II Tab 1A'!$6:$6,1)))</f>
        <v>#N/A</v>
      </c>
      <c r="C1638" s="460" t="s">
        <v>198</v>
      </c>
      <c r="D1638" s="460"/>
      <c r="E1638" s="460"/>
      <c r="F1638" s="460" t="e">
        <f>$D1628*(VLOOKUP($F1634,'ASME II Tab 1A'!$1:$1048576,MATCH($D1628,'ASME II Tab 1A'!$6:$6,1)+1,0)-VLOOKUP($F1634,'ASME II Tab 1A'!$1:$1048576,MATCH($D1628,'ASME II Tab 1A'!$6:$6,1),0))/(INDEX('ASME II Tab 1A'!$6:$6,MATCH($D1628,'ASME II Tab 1A'!$6:$6,1)+1)-INDEX('ASME II Tab 1A'!$6:$6,MATCH($D1628,'ASME II Tab 1A'!$6:$6,1)))+VLOOKUP($F1634,'ASME II Tab 1A'!$1:$1048576,MATCH($D1628,'ASME II Tab 1A'!$6:$6,1)+1,0)-INDEX('ASME II Tab 1A'!$6:$6,MATCH($D1628,'ASME II Tab 1A'!$6:$6,1)+1)*(VLOOKUP($F1634,'ASME II Tab 1A'!$1:$1048576,MATCH($D1628,'ASME II Tab 1A'!$6:$6,1)+1,0)-VLOOKUP($F1634,'ASME II Tab 1A'!$1:$1048576,MATCH($D1628,'ASME II Tab 1A'!$6:$6,1),0))/(INDEX('ASME II Tab 1A'!$6:$6,MATCH($D1628,'ASME II Tab 1A'!$6:$6,1)+1)-INDEX('ASME II Tab 1A'!$6:$6,MATCH($D1628,'ASME II Tab 1A'!$6:$6,1)))</f>
        <v>#N/A</v>
      </c>
      <c r="G1638" s="460" t="s">
        <v>198</v>
      </c>
      <c r="H1638" s="460"/>
      <c r="I1638" s="1259"/>
      <c r="K1638" s="477" t="s">
        <v>201</v>
      </c>
      <c r="L1638" s="477" t="str">
        <f>K1622&amp;"."&amp;K1638</f>
        <v>13.M2 Rating</v>
      </c>
      <c r="M1638" s="1252">
        <f>D1755</f>
        <v>0</v>
      </c>
    </row>
    <row r="1639" spans="1:13" ht="14.55" customHeight="1" x14ac:dyDescent="0.3">
      <c r="A1639" s="1258" t="s">
        <v>202</v>
      </c>
      <c r="B1639" s="460"/>
      <c r="C1639" s="460"/>
      <c r="D1639" s="460"/>
      <c r="E1639" s="460"/>
      <c r="F1639" s="460"/>
      <c r="G1639" s="460"/>
      <c r="H1639" s="460"/>
      <c r="I1639" s="1259"/>
      <c r="K1639" s="477" t="s">
        <v>203</v>
      </c>
      <c r="L1639" s="477" t="str">
        <f>K1622&amp;"."&amp;K1639</f>
        <v>13.M2 Type</v>
      </c>
      <c r="M1639" s="1252">
        <f>E1755</f>
        <v>0</v>
      </c>
    </row>
    <row r="1640" spans="1:13" ht="14.55" customHeight="1" x14ac:dyDescent="0.3">
      <c r="A1640" s="1258" t="s">
        <v>197</v>
      </c>
      <c r="B1640" s="464" t="e">
        <f>$D1628*(VLOOKUP($B1633,'ASME II Tab 5A'!$1:$1048576,MATCH($D1628,'ASME II Tab 5A'!$5:$5,1)+1,0)-VLOOKUP($B1633,'ASME II Tab 5A'!$1:$1048576,MATCH($D1628,'ASME II Tab 5A'!$5:$5,1),0))/(INDEX('ASME II Tab 5A'!$5:$5,MATCH($D1628,'ASME II Tab 5A'!$5:$5,1)+1)-INDEX('ASME II Tab 5A'!$5:$5,MATCH($D1628,'ASME II Tab 5A'!$5:$5,1)))+VLOOKUP($B1633,'ASME II Tab 5A'!$1:$1048576,MATCH($D1628,'ASME II Tab 5A'!$5:$5,1)+1,0)-INDEX('ASME II Tab 5A'!$5:$5,MATCH($D1628,'ASME II Tab 5A'!$5:$5,1)+1)*(VLOOKUP($B1633,'ASME II Tab 5A'!$1:$1048576,MATCH($D1628,'ASME II Tab 5A'!$5:$5,1)+1,0)-VLOOKUP($B1633,'ASME II Tab 5A'!$1:$1048576,MATCH($D1628,'ASME II Tab 5A'!$5:$5,1),0))/(INDEX('ASME II Tab 5A'!$5:$5,MATCH($D1628,'ASME II Tab 5A'!$5:$5,1)+1)-INDEX('ASME II Tab 5A'!$5:$5,MATCH($D1628,'ASME II Tab 5A'!$5:$5,1)))</f>
        <v>#N/A</v>
      </c>
      <c r="C1640" s="460" t="s">
        <v>198</v>
      </c>
      <c r="D1640" s="460"/>
      <c r="E1640" s="460"/>
      <c r="F1640" s="460" t="e">
        <f>$D1628*(VLOOKUP($F1633,'ASME II Tab 5A'!$1:$1048576,MATCH($D1628,'ASME II Tab 5A'!$5:$5,1)+1,0)-VLOOKUP($F1633,'ASME II Tab 5A'!$1:$1048576,MATCH($D1628,'ASME II Tab 5A'!$5:$5,1),0))/(INDEX('ASME II Tab 5A'!$5:$5,MATCH($D1628,'ASME II Tab 5A'!$5:$5,1)+1)-INDEX('ASME II Tab 5A'!$5:$5,MATCH($D1628,'ASME II Tab 5A'!$5:$5,1)))+VLOOKUP($F1633,'ASME II Tab 5A'!$1:$1048576,MATCH($D1628,'ASME II Tab 5A'!$5:$5,1)+1,0)-INDEX('ASME II Tab 5A'!$5:$5,MATCH($D1628,'ASME II Tab 5A'!$5:$5,1)+1)*(VLOOKUP($F1633,'ASME II Tab 5A'!$1:$1048576,MATCH($D1628,'ASME II Tab 5A'!$5:$5,1)+1,0)-VLOOKUP($F1633,'ASME II Tab 5A'!$1:$1048576,MATCH($D1628,'ASME II Tab 5A'!$5:$5,1),0))/(INDEX('ASME II Tab 5A'!$5:$5,MATCH($D1628,'ASME II Tab 5A'!$5:$5,1)+1)-INDEX('ASME II Tab 5A'!$5:$5,MATCH($D1628,'ASME II Tab 5A'!$5:$5,1)))</f>
        <v>#N/A</v>
      </c>
      <c r="G1640" s="460" t="s">
        <v>198</v>
      </c>
      <c r="H1640" s="460"/>
      <c r="I1640" s="1259"/>
      <c r="K1640" s="477" t="s">
        <v>204</v>
      </c>
      <c r="L1640" s="477" t="str">
        <f>K1622&amp;"."&amp;K1640</f>
        <v>13.M2 Quantity</v>
      </c>
      <c r="M1640" s="1252">
        <f>F1755</f>
        <v>0</v>
      </c>
    </row>
    <row r="1641" spans="1:13" ht="14.55" customHeight="1" x14ac:dyDescent="0.3">
      <c r="A1641" s="1258" t="s">
        <v>200</v>
      </c>
      <c r="B1641" s="464" t="e">
        <f>$D1628*(VLOOKUP($B1634,'ASME II Tab 5A'!$1:$1048576,MATCH($D1628,'ASME II Tab 5A'!$5:$5,1)+1,0)-VLOOKUP($B1634,'ASME II Tab 5A'!$1:$1048576,MATCH($D1628,'ASME II Tab 5A'!$5:$5,1),0))/(INDEX('ASME II Tab 5A'!$5:$5,MATCH($D1628,'ASME II Tab 5A'!$5:$5,1)+1)-INDEX('ASME II Tab 5A'!$5:$5,MATCH($D1628,'ASME II Tab 5A'!$5:$5,1)))+VLOOKUP($B1634,'ASME II Tab 5A'!$1:$1048576,MATCH($D1628,'ASME II Tab 5A'!$5:$5,1)+1,0)-INDEX('ASME II Tab 5A'!$5:$5,MATCH($D1628,'ASME II Tab 5A'!$5:$5,1)+1)*(VLOOKUP($B1634,'ASME II Tab 5A'!$1:$1048576,MATCH($D1628,'ASME II Tab 5A'!$5:$5,1)+1,0)-VLOOKUP($B1634,'ASME II Tab 5A'!$1:$1048576,MATCH($D1628,'ASME II Tab 5A'!$5:$5,1),0))/(INDEX('ASME II Tab 5A'!$5:$5,MATCH($D1628,'ASME II Tab 5A'!$5:$5,1)+1)-INDEX('ASME II Tab 5A'!$5:$5,MATCH($D1628,'ASME II Tab 5A'!$5:$5,1)))</f>
        <v>#N/A</v>
      </c>
      <c r="C1641" s="460" t="s">
        <v>198</v>
      </c>
      <c r="D1641" s="460"/>
      <c r="E1641" s="460"/>
      <c r="F1641" s="460" t="e">
        <f>$D1628*(VLOOKUP($F1634,'ASME II Tab 5A'!$1:$1048576,MATCH($D1628,'ASME II Tab 5A'!$5:$5,1)+1,0)-VLOOKUP($F1634,'ASME II Tab 5A'!$1:$1048576,MATCH($D1628,'ASME II Tab 5A'!$5:$5,1),0))/(INDEX('ASME II Tab 5A'!$5:$5,MATCH($D1628,'ASME II Tab 5A'!$5:$5,1)+1)-INDEX('ASME II Tab 5A'!$5:$5,MATCH($D1628,'ASME II Tab 5A'!$5:$5,1)))+VLOOKUP($F1634,'ASME II Tab 5A'!$1:$1048576,MATCH($D1628,'ASME II Tab 5A'!$5:$5,1)+1,0)-INDEX('ASME II Tab 5A'!$5:$5,MATCH($D1628,'ASME II Tab 5A'!$5:$5,1)+1)*(VLOOKUP($F1634,'ASME II Tab 5A'!$1:$1048576,MATCH($D1628,'ASME II Tab 5A'!$5:$5,1)+1,0)-VLOOKUP($F1634,'ASME II Tab 5A'!$1:$1048576,MATCH($D1628,'ASME II Tab 5A'!$5:$5,1),0))/(INDEX('ASME II Tab 5A'!$5:$5,MATCH($D1628,'ASME II Tab 5A'!$5:$5,1)+1)-INDEX('ASME II Tab 5A'!$5:$5,MATCH($D1628,'ASME II Tab 5A'!$5:$5,1)))</f>
        <v>#N/A</v>
      </c>
      <c r="G1641" s="460" t="s">
        <v>198</v>
      </c>
      <c r="H1641" s="460"/>
      <c r="I1641" s="1259"/>
      <c r="K1641" s="477" t="s">
        <v>205</v>
      </c>
      <c r="L1641" s="477" t="str">
        <f>K1622&amp;"."&amp;K1641</f>
        <v>13.M3 DN</v>
      </c>
      <c r="M1641" s="1252">
        <f>C1756</f>
        <v>0</v>
      </c>
    </row>
    <row r="1642" spans="1:13" ht="14.55" customHeight="1" x14ac:dyDescent="0.3">
      <c r="A1642" s="1258"/>
      <c r="B1642" s="460"/>
      <c r="C1642" s="460"/>
      <c r="D1642" s="460"/>
      <c r="E1642" s="460"/>
      <c r="F1642" s="460"/>
      <c r="G1642" s="460"/>
      <c r="H1642" s="460"/>
      <c r="I1642" s="1259"/>
      <c r="K1642" s="477" t="s">
        <v>206</v>
      </c>
      <c r="L1642" s="477" t="str">
        <f>K1622&amp;"."&amp;K1642</f>
        <v>13.M3 Rating</v>
      </c>
      <c r="M1642" s="1252">
        <f>D1756</f>
        <v>0</v>
      </c>
    </row>
    <row r="1643" spans="1:13" ht="14.55" customHeight="1" x14ac:dyDescent="0.3">
      <c r="A1643" s="1260" t="s">
        <v>207</v>
      </c>
      <c r="B1643" s="453"/>
      <c r="C1643" s="460"/>
      <c r="D1643" s="453"/>
      <c r="E1643" s="460"/>
      <c r="F1643" s="453"/>
      <c r="G1643" s="460"/>
      <c r="H1643" s="460"/>
      <c r="I1643" s="1259"/>
      <c r="K1643" s="477" t="s">
        <v>208</v>
      </c>
      <c r="L1643" s="477" t="str">
        <f>K1622&amp;"."&amp;K1643</f>
        <v>13.M3 Type</v>
      </c>
      <c r="M1643" s="1252">
        <f>E1756</f>
        <v>0</v>
      </c>
    </row>
    <row r="1644" spans="1:13" ht="14.55" customHeight="1" x14ac:dyDescent="0.3">
      <c r="A1644" s="1260"/>
      <c r="B1644" s="305" t="s">
        <v>209</v>
      </c>
      <c r="C1644" s="460"/>
      <c r="D1644" s="305" t="s">
        <v>210</v>
      </c>
      <c r="E1644" s="460"/>
      <c r="F1644" s="305" t="s">
        <v>211</v>
      </c>
      <c r="G1644" s="460"/>
      <c r="H1644" s="460"/>
      <c r="I1644" s="1259"/>
      <c r="K1644" s="477" t="s">
        <v>212</v>
      </c>
      <c r="L1644" s="477" t="str">
        <f>K1622&amp;"."&amp;K1644</f>
        <v>13.M3 Quantity</v>
      </c>
      <c r="M1644" s="1252">
        <f>F1756</f>
        <v>0</v>
      </c>
    </row>
    <row r="1645" spans="1:13" ht="14.55" customHeight="1" x14ac:dyDescent="0.3">
      <c r="A1645" s="1258" t="s">
        <v>213</v>
      </c>
      <c r="B1645" s="305"/>
      <c r="C1645" s="460"/>
      <c r="D1645" s="305"/>
      <c r="E1645" s="460"/>
      <c r="F1645" s="723"/>
      <c r="G1645" s="460" t="s">
        <v>214</v>
      </c>
      <c r="H1645" s="460"/>
      <c r="I1645" s="1259"/>
      <c r="K1645" s="477" t="s">
        <v>215</v>
      </c>
      <c r="L1645" s="477" t="str">
        <f>K1622&amp;"."&amp;K1645</f>
        <v>13.Shell insulation thk 1</v>
      </c>
      <c r="M1645" s="1252">
        <f>B1693</f>
        <v>0</v>
      </c>
    </row>
    <row r="1646" spans="1:13" ht="14.55" customHeight="1" x14ac:dyDescent="0.3">
      <c r="A1646" s="1258" t="s">
        <v>216</v>
      </c>
      <c r="B1646" s="722"/>
      <c r="C1646" s="460" t="s">
        <v>93</v>
      </c>
      <c r="D1646" s="722"/>
      <c r="E1646" s="460" t="s">
        <v>93</v>
      </c>
      <c r="F1646" s="468">
        <f>F1647-2*F1691</f>
        <v>0</v>
      </c>
      <c r="G1646" s="460" t="s">
        <v>93</v>
      </c>
      <c r="H1646" s="460"/>
      <c r="I1646" s="1259"/>
      <c r="K1646" s="477" t="s">
        <v>217</v>
      </c>
      <c r="L1646" s="477" t="str">
        <f>K1622&amp;"."&amp;K1646</f>
        <v>13.Head insulation thk 1</v>
      </c>
      <c r="M1646" s="1252">
        <f>B1694</f>
        <v>0</v>
      </c>
    </row>
    <row r="1647" spans="1:13" ht="14.55" customHeight="1" x14ac:dyDescent="0.3">
      <c r="A1647" s="1258" t="s">
        <v>218</v>
      </c>
      <c r="B1647" s="468" t="e">
        <f>B1646+B1687*2</f>
        <v>#N/A</v>
      </c>
      <c r="C1647" s="460" t="s">
        <v>93</v>
      </c>
      <c r="D1647" s="468" t="e">
        <f>D1646+D1687*2</f>
        <v>#N/A</v>
      </c>
      <c r="E1647" s="460" t="s">
        <v>93</v>
      </c>
      <c r="F1647" s="468">
        <f>IFERROR(VLOOKUP(F1645,'Thickness Tab'!$1:$1048576,3,0),0)</f>
        <v>0</v>
      </c>
      <c r="G1647" s="460" t="s">
        <v>93</v>
      </c>
      <c r="H1647" s="469"/>
      <c r="I1647" s="1261"/>
      <c r="K1647" s="477" t="s">
        <v>219</v>
      </c>
      <c r="L1647" s="477" t="str">
        <f>K1622&amp;"."&amp;K1647</f>
        <v>13.Reducer insulation thk 1</v>
      </c>
      <c r="M1647" s="1252">
        <f>B1695</f>
        <v>0</v>
      </c>
    </row>
    <row r="1648" spans="1:13" ht="14.55" customHeight="1" x14ac:dyDescent="0.3">
      <c r="A1648" s="1258" t="s">
        <v>181</v>
      </c>
      <c r="B1648" s="722"/>
      <c r="C1648" s="460" t="s">
        <v>93</v>
      </c>
      <c r="D1648" s="722"/>
      <c r="E1648" s="460" t="s">
        <v>93</v>
      </c>
      <c r="F1648" s="722"/>
      <c r="G1648" s="460" t="s">
        <v>93</v>
      </c>
      <c r="H1648" s="460"/>
      <c r="I1648" s="1259"/>
      <c r="K1648" s="477" t="s">
        <v>220</v>
      </c>
      <c r="L1648" s="477" t="str">
        <f>K1622&amp;"."&amp;K1648</f>
        <v>13.Shell insulation area 1</v>
      </c>
      <c r="M1648" s="1252" t="e">
        <f>B1653</f>
        <v>#N/A</v>
      </c>
    </row>
    <row r="1649" spans="1:13" ht="14.55" customHeight="1" x14ac:dyDescent="0.3">
      <c r="A1649" s="1258" t="s">
        <v>221</v>
      </c>
      <c r="B1649" s="468" t="e">
        <f>(PI()*B1648*(((B1647/2)^2)-((B1646/2)^2))*7860)/1000000000*1.05</f>
        <v>#N/A</v>
      </c>
      <c r="C1649" s="460" t="s">
        <v>222</v>
      </c>
      <c r="D1649" s="468" t="e">
        <f>(PI()*D1648*(((D1647/2)^2)-((D1646/2)^2))*7860)/1000000000*1.05</f>
        <v>#N/A</v>
      </c>
      <c r="E1649" s="460" t="s">
        <v>222</v>
      </c>
      <c r="F1649" s="468">
        <f>(PI()*F1648*(((F1647/2)^2)-((F1646/2)^2))*7860)/1000000000*1.05</f>
        <v>0</v>
      </c>
      <c r="G1649" s="460" t="s">
        <v>222</v>
      </c>
      <c r="H1649" s="469"/>
      <c r="I1649" s="1261"/>
      <c r="K1649" s="477" t="s">
        <v>223</v>
      </c>
      <c r="L1649" s="477" t="str">
        <f>K1622&amp;"."&amp;K1649</f>
        <v>13.Head insulation area 1</v>
      </c>
      <c r="M1649" s="1252" t="e">
        <f>B1665</f>
        <v>#N/A</v>
      </c>
    </row>
    <row r="1650" spans="1:13" ht="14.55" customHeight="1" x14ac:dyDescent="0.3">
      <c r="A1650" s="1258" t="s">
        <v>224</v>
      </c>
      <c r="B1650" s="468">
        <f>(PI()*((B1646/2)^2)*B1648)/1000000000</f>
        <v>0</v>
      </c>
      <c r="C1650" s="460" t="s">
        <v>225</v>
      </c>
      <c r="D1650" s="468">
        <f>(PI()*((D1646/2)^2)*D1648)/1000000000</f>
        <v>0</v>
      </c>
      <c r="E1650" s="460" t="s">
        <v>225</v>
      </c>
      <c r="F1650" s="468">
        <f>(PI()*((F1646/2)^2)*F1648)/1000000000</f>
        <v>0</v>
      </c>
      <c r="G1650" s="460" t="s">
        <v>225</v>
      </c>
      <c r="H1650" s="469"/>
      <c r="I1650" s="1261"/>
      <c r="K1650" s="477" t="s">
        <v>226</v>
      </c>
      <c r="L1650" s="477" t="str">
        <f>K1622&amp;"."&amp;K1650</f>
        <v>13.Reducer insulation area 1</v>
      </c>
      <c r="M1650" s="1252" t="e">
        <f>B1678</f>
        <v>#N/A</v>
      </c>
    </row>
    <row r="1651" spans="1:13" ht="14.55" customHeight="1" x14ac:dyDescent="0.3">
      <c r="A1651" s="1258" t="s">
        <v>227</v>
      </c>
      <c r="B1651" s="468" t="e">
        <f>(B1647*3.14*B1648)/1000000</f>
        <v>#N/A</v>
      </c>
      <c r="C1651" s="460" t="s">
        <v>228</v>
      </c>
      <c r="D1651" s="468" t="e">
        <f>(D1647*3.14*D1648)/1000000</f>
        <v>#N/A</v>
      </c>
      <c r="E1651" s="460" t="s">
        <v>228</v>
      </c>
      <c r="F1651" s="468">
        <f>(F1647*3.14*F1648)/1000000</f>
        <v>0</v>
      </c>
      <c r="G1651" s="460" t="s">
        <v>228</v>
      </c>
      <c r="H1651" s="469"/>
      <c r="I1651" s="1261"/>
      <c r="K1651" s="477" t="s">
        <v>229</v>
      </c>
      <c r="L1651" s="477" t="str">
        <f>K1622&amp;"."&amp;K1651</f>
        <v>13.Shell insulation thk 2</v>
      </c>
      <c r="M1651" s="1252">
        <f>D1693</f>
        <v>0</v>
      </c>
    </row>
    <row r="1652" spans="1:13" ht="14.55" customHeight="1" x14ac:dyDescent="0.3">
      <c r="A1652" s="1258" t="s">
        <v>230</v>
      </c>
      <c r="B1652" s="468" t="e">
        <f>B1647+2*B1693</f>
        <v>#N/A</v>
      </c>
      <c r="C1652" s="460" t="s">
        <v>93</v>
      </c>
      <c r="D1652" s="468" t="e">
        <f>D1647+2*D1693</f>
        <v>#N/A</v>
      </c>
      <c r="E1652" s="460" t="s">
        <v>93</v>
      </c>
      <c r="F1652" s="468">
        <f>F1647+2*F1693</f>
        <v>0</v>
      </c>
      <c r="G1652" s="460" t="s">
        <v>93</v>
      </c>
      <c r="H1652" s="469"/>
      <c r="I1652" s="1261"/>
      <c r="K1652" s="477" t="s">
        <v>231</v>
      </c>
      <c r="L1652" s="477" t="str">
        <f>K1622&amp;"."&amp;K1652</f>
        <v>13.Head insulation thk 2</v>
      </c>
      <c r="M1652" s="1252">
        <f>D1694</f>
        <v>0</v>
      </c>
    </row>
    <row r="1653" spans="1:13" ht="14.55" customHeight="1" x14ac:dyDescent="0.3">
      <c r="A1653" s="1258" t="s">
        <v>232</v>
      </c>
      <c r="B1653" s="468" t="e">
        <f>(B1652*3.14*B1648)/1000000</f>
        <v>#N/A</v>
      </c>
      <c r="C1653" s="460" t="s">
        <v>228</v>
      </c>
      <c r="D1653" s="468" t="e">
        <f>(D1652*3.14*D1648)/1000000</f>
        <v>#N/A</v>
      </c>
      <c r="E1653" s="460" t="s">
        <v>228</v>
      </c>
      <c r="F1653" s="468">
        <f>(F1652*3.14*F1648)/1000000</f>
        <v>0</v>
      </c>
      <c r="G1653" s="460" t="s">
        <v>228</v>
      </c>
      <c r="H1653" s="469"/>
      <c r="I1653" s="1261"/>
      <c r="K1653" s="477" t="s">
        <v>233</v>
      </c>
      <c r="L1653" s="477" t="str">
        <f>K1622&amp;"."&amp;K1653</f>
        <v>13.Reducer insulation thk 2</v>
      </c>
      <c r="M1653" s="1252">
        <f>D1695</f>
        <v>0</v>
      </c>
    </row>
    <row r="1654" spans="1:13" ht="14.55" customHeight="1" x14ac:dyDescent="0.3">
      <c r="A1654" s="1258"/>
      <c r="B1654" s="468"/>
      <c r="C1654" s="460"/>
      <c r="D1654" s="468"/>
      <c r="E1654" s="460"/>
      <c r="F1654" s="468"/>
      <c r="G1654" s="460"/>
      <c r="H1654" s="469"/>
      <c r="I1654" s="1261"/>
      <c r="K1654" s="477" t="s">
        <v>234</v>
      </c>
      <c r="L1654" s="477" t="str">
        <f>K1622&amp;"."&amp;K1654</f>
        <v>13.Shell insulation area 2</v>
      </c>
      <c r="M1654" s="1252" t="e">
        <f>D1653</f>
        <v>#N/A</v>
      </c>
    </row>
    <row r="1655" spans="1:13" ht="14.55" customHeight="1" x14ac:dyDescent="0.3">
      <c r="A1655" s="1258"/>
      <c r="B1655" s="468" t="s">
        <v>235</v>
      </c>
      <c r="C1655" s="460"/>
      <c r="D1655" s="468" t="s">
        <v>236</v>
      </c>
      <c r="E1655" s="460"/>
      <c r="F1655" s="468" t="s">
        <v>237</v>
      </c>
      <c r="G1655" s="460"/>
      <c r="H1655" s="469"/>
      <c r="I1655" s="1261"/>
      <c r="K1655" s="477" t="s">
        <v>238</v>
      </c>
      <c r="L1655" s="477" t="str">
        <f>K1622&amp;"."&amp;K1655</f>
        <v>13.Head insulation area 2</v>
      </c>
      <c r="M1655" s="1252" t="e">
        <f>D1665</f>
        <v>#N/A</v>
      </c>
    </row>
    <row r="1656" spans="1:13" ht="14.55" customHeight="1" x14ac:dyDescent="0.3">
      <c r="A1656" s="1258" t="s">
        <v>239</v>
      </c>
      <c r="B1656" s="468">
        <f>B1646</f>
        <v>0</v>
      </c>
      <c r="C1656" s="460" t="s">
        <v>93</v>
      </c>
      <c r="D1656" s="468">
        <f>D1646</f>
        <v>0</v>
      </c>
      <c r="E1656" s="460" t="s">
        <v>93</v>
      </c>
      <c r="F1656" s="468">
        <f>F1646</f>
        <v>0</v>
      </c>
      <c r="G1656" s="460" t="s">
        <v>93</v>
      </c>
      <c r="H1656" s="469"/>
      <c r="I1656" s="1261"/>
      <c r="K1656" s="477" t="s">
        <v>240</v>
      </c>
      <c r="L1656" s="477" t="str">
        <f>K1622&amp;"."&amp;K1656</f>
        <v>13.Reducer insulation area 2</v>
      </c>
      <c r="M1656" s="1252">
        <f>D1678</f>
        <v>0</v>
      </c>
    </row>
    <row r="1657" spans="1:13" ht="14.55" customHeight="1" x14ac:dyDescent="0.3">
      <c r="A1657" s="1258" t="s">
        <v>241</v>
      </c>
      <c r="B1657" s="468" t="e">
        <f>B1656+2*B1688</f>
        <v>#N/A</v>
      </c>
      <c r="C1657" s="460" t="s">
        <v>93</v>
      </c>
      <c r="D1657" s="468" t="e">
        <f>D1656+2*D1688</f>
        <v>#N/A</v>
      </c>
      <c r="E1657" s="460" t="s">
        <v>93</v>
      </c>
      <c r="F1657" s="468">
        <f>F1656+2*F1691</f>
        <v>0</v>
      </c>
      <c r="G1657" s="460" t="s">
        <v>93</v>
      </c>
      <c r="H1657" s="469"/>
      <c r="I1657" s="1261"/>
      <c r="K1657" s="477" t="s">
        <v>242</v>
      </c>
      <c r="L1657" s="477" t="str">
        <f>K1622&amp;"."&amp;K1657</f>
        <v>13.Shell insulation thk 3</v>
      </c>
      <c r="M1657" s="1252">
        <f>F1693</f>
        <v>0</v>
      </c>
    </row>
    <row r="1658" spans="1:13" ht="14.55" customHeight="1" x14ac:dyDescent="0.3">
      <c r="A1658" s="1258" t="s">
        <v>243</v>
      </c>
      <c r="B1658" s="722"/>
      <c r="C1658" s="460" t="s">
        <v>93</v>
      </c>
      <c r="D1658" s="722"/>
      <c r="E1658" s="460" t="s">
        <v>93</v>
      </c>
      <c r="F1658" s="452"/>
      <c r="G1658" s="460"/>
      <c r="H1658" s="469"/>
      <c r="I1658" s="1261"/>
      <c r="K1658" s="477" t="s">
        <v>244</v>
      </c>
      <c r="L1658" s="477" t="str">
        <f>K1622&amp;"."&amp;K1658</f>
        <v>13.Head insulation thk 3</v>
      </c>
      <c r="M1658" s="1252">
        <f>F1694</f>
        <v>0</v>
      </c>
    </row>
    <row r="1659" spans="1:13" ht="14.55" customHeight="1" x14ac:dyDescent="0.3">
      <c r="A1659" s="1258" t="s">
        <v>245</v>
      </c>
      <c r="B1659" s="724"/>
      <c r="C1659" s="460"/>
      <c r="D1659" s="724"/>
      <c r="E1659" s="460"/>
      <c r="F1659" s="724"/>
      <c r="G1659" s="460"/>
      <c r="H1659" s="469"/>
      <c r="I1659" s="1261"/>
      <c r="K1659" s="477" t="s">
        <v>246</v>
      </c>
      <c r="L1659" s="477" t="str">
        <f>K1622&amp;"."&amp;K1659</f>
        <v>13.Reducer insulation thk 3</v>
      </c>
      <c r="M1659" s="1252">
        <f>F1695</f>
        <v>0</v>
      </c>
    </row>
    <row r="1660" spans="1:13" ht="14.55" customHeight="1" x14ac:dyDescent="0.3">
      <c r="A1660" s="1258" t="s">
        <v>247</v>
      </c>
      <c r="B1660" s="468">
        <v>0</v>
      </c>
      <c r="C1660" s="460" t="s">
        <v>93</v>
      </c>
      <c r="D1660" s="468">
        <v>0</v>
      </c>
      <c r="E1660" s="460" t="s">
        <v>93</v>
      </c>
      <c r="F1660" s="468">
        <v>0</v>
      </c>
      <c r="G1660" s="460" t="s">
        <v>93</v>
      </c>
      <c r="H1660" s="469"/>
      <c r="I1660" s="1261"/>
      <c r="K1660" s="477" t="s">
        <v>248</v>
      </c>
      <c r="L1660" s="477" t="str">
        <f>K1622&amp;"."&amp;K1660</f>
        <v>13.Shell insulation area 3</v>
      </c>
      <c r="M1660" s="1252">
        <f>F1653</f>
        <v>0</v>
      </c>
    </row>
    <row r="1661" spans="1:13" ht="14.55" customHeight="1" x14ac:dyDescent="0.3">
      <c r="A1661" s="1258" t="s">
        <v>249</v>
      </c>
      <c r="B1661" s="468" t="e">
        <f>((((POWER(((((B1656+B1689)*1.22)+(B1660*2))/100),2)*PI())/4)*(B1689/100))*7.86)</f>
        <v>#N/A</v>
      </c>
      <c r="C1661" s="460" t="s">
        <v>222</v>
      </c>
      <c r="D1661" s="468" t="e">
        <f>((((POWER(((((D1656+D1689)*1.22)+(D1660*2))/100),2)*PI())/4)*(D1689/100))*7.86)</f>
        <v>#N/A</v>
      </c>
      <c r="E1661" s="460" t="s">
        <v>222</v>
      </c>
      <c r="F1661" s="468">
        <f>IFERROR(VLOOKUP(F1645&amp;"."&amp;F1690,'Fitting Chart'!$1:$1048576,5,0),0)</f>
        <v>0</v>
      </c>
      <c r="G1661" s="460" t="s">
        <v>222</v>
      </c>
      <c r="H1661" s="469"/>
      <c r="I1661" s="1261"/>
      <c r="K1661" s="477" t="s">
        <v>250</v>
      </c>
      <c r="L1661" s="477" t="str">
        <f>K1622&amp;"."&amp;K1661</f>
        <v>13.Head insulation area 3</v>
      </c>
      <c r="M1661" s="1252">
        <f>F1664</f>
        <v>0</v>
      </c>
    </row>
    <row r="1662" spans="1:13" ht="14.55" customHeight="1" x14ac:dyDescent="0.3">
      <c r="A1662" s="1258" t="s">
        <v>251</v>
      </c>
      <c r="B1662" s="468" t="e">
        <f>(((0.131*(B1656^3)*10^-6)+((((B1656/2)^2)*PI()*(((B1656/4)+B1688)-B1688-(B1656/4)))))+((PI()*((B1656/2)^2)*B1660))/1000000)/1000</f>
        <v>#N/A</v>
      </c>
      <c r="C1662" s="460" t="s">
        <v>225</v>
      </c>
      <c r="D1662" s="468" t="e">
        <f>(((0.131*(D1656^3)*10^-6)+((((D1656/2)^2)*PI()*(((D1656/4)+D1688)-D1688-(D1656/4)))))+((PI()*((D1656/2)^2)*D1660))/1000000)/1000</f>
        <v>#N/A</v>
      </c>
      <c r="E1662" s="460" t="s">
        <v>225</v>
      </c>
      <c r="F1662" s="468">
        <f>(((0.131*(F1656^3)*10^-6)+((((F1656/2)^2)*PI()*(((F1656/4)+F1691)-F1691-(F1656/4)))))+((PI()*((F1656/2)^2)*F1660))/1000000)/1000</f>
        <v>0</v>
      </c>
      <c r="G1662" s="460" t="s">
        <v>225</v>
      </c>
      <c r="H1662" s="469"/>
      <c r="I1662" s="1261"/>
      <c r="K1662" s="477" t="s">
        <v>252</v>
      </c>
      <c r="L1662" s="477" t="str">
        <f>K1622&amp;"."&amp;K1662</f>
        <v>13.Reducer insulation area 3</v>
      </c>
      <c r="M1662" s="1252">
        <f>F1678</f>
        <v>0</v>
      </c>
    </row>
    <row r="1663" spans="1:13" ht="14.55" customHeight="1" x14ac:dyDescent="0.3">
      <c r="A1663" s="1258" t="s">
        <v>253</v>
      </c>
      <c r="B1663" s="468" t="e">
        <f>(((B1657*B1658*3.14)+(((B1657/2)^2)*3.14))/1000000)</f>
        <v>#N/A</v>
      </c>
      <c r="C1663" s="460" t="s">
        <v>228</v>
      </c>
      <c r="D1663" s="468" t="e">
        <f>(((D1657*D1658*3.14)+(((D1657/2)^2)*3.14))/1000000)</f>
        <v>#N/A</v>
      </c>
      <c r="E1663" s="460" t="s">
        <v>228</v>
      </c>
      <c r="F1663" s="468">
        <f>(((F1657*F1658*3.14)+(((F1657/2)^2)*3.14))/1000000)</f>
        <v>0</v>
      </c>
      <c r="G1663" s="460" t="s">
        <v>228</v>
      </c>
      <c r="H1663" s="469"/>
      <c r="I1663" s="1261"/>
    </row>
    <row r="1664" spans="1:13" ht="14.55" customHeight="1" x14ac:dyDescent="0.3">
      <c r="A1664" s="1258" t="s">
        <v>254</v>
      </c>
      <c r="B1664" s="468" t="e">
        <f>B1657+2*B1694</f>
        <v>#N/A</v>
      </c>
      <c r="C1664" s="460" t="s">
        <v>93</v>
      </c>
      <c r="D1664" s="468" t="e">
        <f>D1657+2*D1694</f>
        <v>#N/A</v>
      </c>
      <c r="E1664" s="460" t="s">
        <v>93</v>
      </c>
      <c r="F1664" s="468">
        <f>F1657+2*F1694</f>
        <v>0</v>
      </c>
      <c r="G1664" s="460" t="s">
        <v>93</v>
      </c>
      <c r="H1664" s="469"/>
      <c r="I1664" s="1261"/>
    </row>
    <row r="1665" spans="1:9" ht="14.55" customHeight="1" x14ac:dyDescent="0.3">
      <c r="A1665" s="1258" t="s">
        <v>255</v>
      </c>
      <c r="B1665" s="468" t="e">
        <f>(((B1664*B1658*3.14)+(((B1664/2)^2)*3.14))/1000000)</f>
        <v>#N/A</v>
      </c>
      <c r="C1665" s="460" t="s">
        <v>228</v>
      </c>
      <c r="D1665" s="468" t="e">
        <f>(((D1664*D1658*3.14)+(((D1664/2)^2)*3.14))/1000000)</f>
        <v>#N/A</v>
      </c>
      <c r="E1665" s="460" t="s">
        <v>228</v>
      </c>
      <c r="F1665" s="468">
        <f>(((F1664*F1658*3.14)+(((F1664/2)^2)*3.14))/1000000)</f>
        <v>0</v>
      </c>
      <c r="G1665" s="460" t="s">
        <v>228</v>
      </c>
      <c r="H1665" s="469"/>
      <c r="I1665" s="1261"/>
    </row>
    <row r="1666" spans="1:9" ht="14.55" customHeight="1" x14ac:dyDescent="0.3">
      <c r="A1666" s="1258"/>
      <c r="B1666" s="454"/>
      <c r="C1666" s="460"/>
      <c r="D1666" s="454"/>
      <c r="E1666" s="460"/>
      <c r="F1666" s="454"/>
      <c r="G1666" s="460"/>
      <c r="H1666" s="469"/>
      <c r="I1666" s="1261"/>
    </row>
    <row r="1667" spans="1:9" ht="14.55" customHeight="1" x14ac:dyDescent="0.3">
      <c r="A1667" s="1258"/>
      <c r="B1667" s="468" t="s">
        <v>256</v>
      </c>
      <c r="C1667" s="460"/>
      <c r="D1667" s="468" t="s">
        <v>257</v>
      </c>
      <c r="E1667" s="460"/>
      <c r="F1667" s="468" t="s">
        <v>258</v>
      </c>
      <c r="G1667" s="460"/>
      <c r="H1667" s="469"/>
      <c r="I1667" s="1261"/>
    </row>
    <row r="1668" spans="1:9" ht="14.55" customHeight="1" x14ac:dyDescent="0.3">
      <c r="A1668" s="1258" t="s">
        <v>259</v>
      </c>
      <c r="B1668" s="725"/>
      <c r="C1668" s="460" t="s">
        <v>93</v>
      </c>
      <c r="D1668" s="725"/>
      <c r="E1668" s="460" t="s">
        <v>93</v>
      </c>
      <c r="F1668" s="725"/>
      <c r="G1668" s="460" t="s">
        <v>93</v>
      </c>
      <c r="H1668" s="469"/>
      <c r="I1668" s="1261"/>
    </row>
    <row r="1669" spans="1:9" ht="14.55" customHeight="1" x14ac:dyDescent="0.3">
      <c r="A1669" s="1258" t="s">
        <v>260</v>
      </c>
      <c r="B1669" s="725"/>
      <c r="C1669" s="460" t="s">
        <v>93</v>
      </c>
      <c r="D1669" s="725"/>
      <c r="E1669" s="460" t="s">
        <v>93</v>
      </c>
      <c r="F1669" s="725"/>
      <c r="G1669" s="460" t="s">
        <v>93</v>
      </c>
      <c r="H1669" s="469"/>
      <c r="I1669" s="1261"/>
    </row>
    <row r="1670" spans="1:9" ht="14.55" customHeight="1" x14ac:dyDescent="0.3">
      <c r="A1670" s="1258" t="s">
        <v>261</v>
      </c>
      <c r="B1670" s="725"/>
      <c r="C1670" s="460" t="s">
        <v>93</v>
      </c>
      <c r="D1670" s="725"/>
      <c r="E1670" s="460" t="s">
        <v>93</v>
      </c>
      <c r="F1670" s="725"/>
      <c r="G1670" s="460" t="s">
        <v>93</v>
      </c>
      <c r="H1670" s="469"/>
      <c r="I1670" s="1261"/>
    </row>
    <row r="1671" spans="1:9" ht="14.55" customHeight="1" x14ac:dyDescent="0.3">
      <c r="A1671" s="1258" t="s">
        <v>262</v>
      </c>
      <c r="B1671" s="455" t="e">
        <f>B1668+2*B1689</f>
        <v>#N/A</v>
      </c>
      <c r="C1671" s="460" t="s">
        <v>93</v>
      </c>
      <c r="D1671" s="455" t="e">
        <f>D1668+2*D1689</f>
        <v>#N/A</v>
      </c>
      <c r="E1671" s="460" t="s">
        <v>93</v>
      </c>
      <c r="F1671" s="455">
        <f>F1668+2*F1691</f>
        <v>0</v>
      </c>
      <c r="G1671" s="460" t="s">
        <v>93</v>
      </c>
      <c r="H1671" s="469"/>
      <c r="I1671" s="1261"/>
    </row>
    <row r="1672" spans="1:9" ht="14.55" customHeight="1" x14ac:dyDescent="0.3">
      <c r="A1672" s="1258" t="s">
        <v>263</v>
      </c>
      <c r="B1672" s="455" t="e">
        <f>B1669+2*B1689</f>
        <v>#N/A</v>
      </c>
      <c r="C1672" s="460" t="s">
        <v>93</v>
      </c>
      <c r="D1672" s="455" t="e">
        <f>D1669+2*D1689</f>
        <v>#N/A</v>
      </c>
      <c r="E1672" s="460" t="s">
        <v>93</v>
      </c>
      <c r="F1672" s="455">
        <f>F1669+2*F1691</f>
        <v>0</v>
      </c>
      <c r="G1672" s="460" t="s">
        <v>93</v>
      </c>
      <c r="H1672" s="469"/>
      <c r="I1672" s="1261"/>
    </row>
    <row r="1673" spans="1:9" ht="14.55" customHeight="1" x14ac:dyDescent="0.3">
      <c r="A1673" s="1258" t="s">
        <v>264</v>
      </c>
      <c r="B1673" s="453" t="e">
        <f>(((((1/3*PI()*B1670))*((((B1671/2)^2)+(((B1671/2)*(B1672/2)))+((B1672/2)^2))))-(((1/3*PI()*B1670))*((((B1668/2)^2)+(((B1668/2)*(B1669/2)))+((B1669/2)^2)))))*7.86)/1000000</f>
        <v>#N/A</v>
      </c>
      <c r="C1673" s="460" t="s">
        <v>222</v>
      </c>
      <c r="D1673" s="453" t="e">
        <f>(((((1/3*PI()*D1670))*((((D1671/2)^2)+(((D1671/2)*(D1672/2)))+((D1672/2)^2))))-(((1/3*PI()*D1670))*((((D1668/2)^2)+(((D1668/2)*(D1669/2)))+((D1669/2)^2)))))*7.86)/1000000</f>
        <v>#N/A</v>
      </c>
      <c r="E1673" s="460" t="s">
        <v>222</v>
      </c>
      <c r="F1673" s="453">
        <f>(((((1/3*PI()*F1670))*((((F1671/2)^2)+(((F1671/2)*(F1672/2)))+((F1672/2)^2))))-(((1/3*PI()*F1670))*((((F1668/2)^2)+(((F1668/2)*(F1669/2)))+((F1669/2)^2)))))*7.86)/1000000</f>
        <v>0</v>
      </c>
      <c r="G1673" s="460" t="s">
        <v>222</v>
      </c>
      <c r="H1673" s="469"/>
      <c r="I1673" s="1261"/>
    </row>
    <row r="1674" spans="1:9" ht="14.55" customHeight="1" x14ac:dyDescent="0.3">
      <c r="A1674" s="1258" t="s">
        <v>265</v>
      </c>
      <c r="B1674" s="453">
        <f>((1/3*PI()*B1670))*((((B1668/2)^2)+(((B1668/2)*(B1669/2)))+((B1669/2)^2)))/1000000000</f>
        <v>0</v>
      </c>
      <c r="C1674" s="460" t="s">
        <v>225</v>
      </c>
      <c r="D1674" s="453">
        <f>((1/3*PI()*D1670))*((((D1668/2)^2)+(((D1668/2)*(D1669/2)))+((D1669/2)^2)))/1000000000</f>
        <v>0</v>
      </c>
      <c r="E1674" s="460" t="s">
        <v>225</v>
      </c>
      <c r="F1674" s="453">
        <f>((1/3*PI()*F1670))*((((F1668/2)^2)+(((F1668/2)*(F1669/2)))+((F1669/2)^2)))/1000000000</f>
        <v>0</v>
      </c>
      <c r="G1674" s="460" t="s">
        <v>225</v>
      </c>
      <c r="H1674" s="469"/>
      <c r="I1674" s="1261"/>
    </row>
    <row r="1675" spans="1:9" ht="14.55" customHeight="1" x14ac:dyDescent="0.3">
      <c r="A1675" s="1258" t="s">
        <v>266</v>
      </c>
      <c r="B1675" s="453" t="e">
        <f>PI()*(B1671+B1672)/2*SQRT(B1670^2+((B1671-B1672)/2)^2)/1000000</f>
        <v>#N/A</v>
      </c>
      <c r="C1675" s="460" t="s">
        <v>228</v>
      </c>
      <c r="D1675" s="453" t="e">
        <f>PI()*(D1671+D1672)/2*SQRT(D1670^2+((D1671-D1672)/2)^2)/1000000</f>
        <v>#N/A</v>
      </c>
      <c r="E1675" s="460" t="s">
        <v>228</v>
      </c>
      <c r="F1675" s="453">
        <f>PI()*(F1671+F1672)/2*SQRT(F1670^2+((F1671-F1672)/2)^2)/1000000</f>
        <v>0</v>
      </c>
      <c r="G1675" s="460" t="s">
        <v>228</v>
      </c>
      <c r="H1675" s="469"/>
      <c r="I1675" s="1261"/>
    </row>
    <row r="1676" spans="1:9" ht="14.55" customHeight="1" x14ac:dyDescent="0.3">
      <c r="A1676" s="1258" t="s">
        <v>267</v>
      </c>
      <c r="B1676" s="453" t="e">
        <f>B1671+2*B1695</f>
        <v>#N/A</v>
      </c>
      <c r="C1676" s="460" t="s">
        <v>93</v>
      </c>
      <c r="D1676" s="453">
        <f>D1668+2*D1695</f>
        <v>0</v>
      </c>
      <c r="E1676" s="460" t="s">
        <v>93</v>
      </c>
      <c r="F1676" s="453">
        <f>F1668+2*F1695</f>
        <v>0</v>
      </c>
      <c r="G1676" s="460" t="s">
        <v>93</v>
      </c>
      <c r="H1676" s="469"/>
      <c r="I1676" s="1261"/>
    </row>
    <row r="1677" spans="1:9" ht="14.55" customHeight="1" x14ac:dyDescent="0.3">
      <c r="A1677" s="1258" t="s">
        <v>268</v>
      </c>
      <c r="B1677" s="453" t="e">
        <f>B1672+2*B1695</f>
        <v>#N/A</v>
      </c>
      <c r="C1677" s="460" t="s">
        <v>93</v>
      </c>
      <c r="D1677" s="453">
        <f>D1669+2*D1695</f>
        <v>0</v>
      </c>
      <c r="E1677" s="460" t="s">
        <v>93</v>
      </c>
      <c r="F1677" s="453">
        <f>F1669+2*F1695</f>
        <v>0</v>
      </c>
      <c r="G1677" s="460" t="s">
        <v>93</v>
      </c>
      <c r="H1677" s="469"/>
      <c r="I1677" s="1261"/>
    </row>
    <row r="1678" spans="1:9" ht="14.55" customHeight="1" x14ac:dyDescent="0.3">
      <c r="A1678" s="1258" t="s">
        <v>269</v>
      </c>
      <c r="B1678" s="453" t="e">
        <f>PI()*(B1676+B1677)/2*SQRT(B1670^2+((B1676-B1677)/2)^2)/1000000</f>
        <v>#N/A</v>
      </c>
      <c r="C1678" s="460" t="s">
        <v>228</v>
      </c>
      <c r="D1678" s="453">
        <f>PI()*(D1676+D1677)/2*SQRT(D1670^2+((D1676-D1677)/2)^2)/1000000</f>
        <v>0</v>
      </c>
      <c r="E1678" s="460" t="s">
        <v>228</v>
      </c>
      <c r="F1678" s="453">
        <f>PI()*(F1676+F1677)/2*SQRT(F1670^2+((F1676-F1677)/2)^2)/1000000</f>
        <v>0</v>
      </c>
      <c r="G1678" s="460" t="s">
        <v>228</v>
      </c>
      <c r="H1678" s="469"/>
      <c r="I1678" s="1261"/>
    </row>
    <row r="1679" spans="1:9" ht="14.55" customHeight="1" x14ac:dyDescent="0.3">
      <c r="A1679" s="1258"/>
      <c r="B1679" s="453"/>
      <c r="C1679" s="460"/>
      <c r="D1679" s="453"/>
      <c r="E1679" s="460"/>
      <c r="F1679" s="453"/>
      <c r="G1679" s="460"/>
      <c r="H1679" s="460"/>
      <c r="I1679" s="1259"/>
    </row>
    <row r="1680" spans="1:9" ht="14.55" customHeight="1" x14ac:dyDescent="0.3">
      <c r="A1680" s="1258" t="s">
        <v>270</v>
      </c>
      <c r="B1680" s="725"/>
      <c r="C1680" s="460" t="s">
        <v>93</v>
      </c>
      <c r="D1680" s="725"/>
      <c r="E1680" s="460" t="s">
        <v>93</v>
      </c>
      <c r="F1680" s="725"/>
      <c r="G1680" s="460" t="s">
        <v>93</v>
      </c>
      <c r="H1680" s="460"/>
      <c r="I1680" s="1259"/>
    </row>
    <row r="1681" spans="1:9" ht="14.55" customHeight="1" x14ac:dyDescent="0.3">
      <c r="A1681" s="1258" t="s">
        <v>271</v>
      </c>
      <c r="B1681" s="453" t="e">
        <f>((D1629/10)*B1646/2)/(IF(B1624="div.1",B1637,B1640)-0.5*D1629/10)</f>
        <v>#N/A</v>
      </c>
      <c r="C1681" s="460" t="s">
        <v>93</v>
      </c>
      <c r="D1681" s="453" t="e">
        <f>((D1629/10)*D1646/2)/(IF(B1624="div.1",B1637,B1640)-0.5*D1629/10)</f>
        <v>#N/A</v>
      </c>
      <c r="E1681" s="460" t="s">
        <v>93</v>
      </c>
      <c r="F1681" s="453" t="e">
        <f>((D1629/10)*F1646/2)/(IF(B1624="div.1",F1637,F1640)-0.5*D1629/10)</f>
        <v>#N/A</v>
      </c>
      <c r="G1681" s="460" t="s">
        <v>93</v>
      </c>
      <c r="H1681" s="460"/>
      <c r="I1681" s="1259"/>
    </row>
    <row r="1682" spans="1:9" ht="14.55" customHeight="1" x14ac:dyDescent="0.3">
      <c r="A1682" s="1258" t="s">
        <v>272</v>
      </c>
      <c r="B1682" s="453" t="e">
        <f>B1656/2*(EXP(D1629/(10*IF(B1624="div.1",B1638,B1641)))-1)</f>
        <v>#N/A</v>
      </c>
      <c r="C1682" s="460" t="s">
        <v>93</v>
      </c>
      <c r="D1682" s="453" t="e">
        <f>D1656/2*(EXP(D1629/(10*IF(B1624="div.1",B1638,B1641)))-1)</f>
        <v>#N/A</v>
      </c>
      <c r="E1682" s="460" t="s">
        <v>93</v>
      </c>
      <c r="F1682" s="453" t="e">
        <f>F1656/2*(EXP(D1629/(10*IF(B1624="div.1",F1638,F1641)))-1)</f>
        <v>#N/A</v>
      </c>
      <c r="G1682" s="460" t="s">
        <v>93</v>
      </c>
      <c r="H1682" s="460"/>
      <c r="I1682" s="1259"/>
    </row>
    <row r="1683" spans="1:9" ht="14.55" customHeight="1" x14ac:dyDescent="0.3">
      <c r="A1683" s="1258" t="s">
        <v>273</v>
      </c>
      <c r="B1683" s="453" t="e">
        <f>B1668/2*(EXP(D1629/(10*IF(B1624="div.1",B1638,B1641)))-1)</f>
        <v>#N/A</v>
      </c>
      <c r="C1683" s="460" t="s">
        <v>93</v>
      </c>
      <c r="D1683" s="453" t="e">
        <f>D1668/2*(EXP(D1629/(10*IF(B1624="div.1",B1638,B1641)))-1)</f>
        <v>#N/A</v>
      </c>
      <c r="E1683" s="460" t="s">
        <v>93</v>
      </c>
      <c r="F1683" s="453" t="e">
        <f>F1668/2*(EXP(D1629/(10*IF(B1624="div.1",F1638,F1641)))-1)</f>
        <v>#N/A</v>
      </c>
      <c r="G1683" s="460" t="s">
        <v>93</v>
      </c>
      <c r="H1683" s="460"/>
      <c r="I1683" s="1259"/>
    </row>
    <row r="1684" spans="1:9" ht="14.55" customHeight="1" x14ac:dyDescent="0.3">
      <c r="A1684" s="1258" t="s">
        <v>274</v>
      </c>
      <c r="B1684" s="725"/>
      <c r="C1684" s="460" t="s">
        <v>93</v>
      </c>
      <c r="D1684" s="725"/>
      <c r="E1684" s="460" t="s">
        <v>93</v>
      </c>
      <c r="F1684" s="725"/>
      <c r="G1684" s="460" t="s">
        <v>93</v>
      </c>
      <c r="H1684" s="460"/>
      <c r="I1684" s="1259"/>
    </row>
    <row r="1685" spans="1:9" ht="14.55" customHeight="1" x14ac:dyDescent="0.3">
      <c r="A1685" s="1258" t="s">
        <v>275</v>
      </c>
      <c r="B1685" s="725"/>
      <c r="C1685" s="460" t="s">
        <v>93</v>
      </c>
      <c r="D1685" s="725"/>
      <c r="E1685" s="460" t="s">
        <v>93</v>
      </c>
      <c r="F1685" s="725"/>
      <c r="G1685" s="460" t="s">
        <v>93</v>
      </c>
      <c r="H1685" s="460"/>
      <c r="I1685" s="1259"/>
    </row>
    <row r="1686" spans="1:9" ht="14.55" customHeight="1" x14ac:dyDescent="0.3">
      <c r="A1686" s="1258" t="s">
        <v>276</v>
      </c>
      <c r="B1686" s="725"/>
      <c r="C1686" s="460" t="s">
        <v>93</v>
      </c>
      <c r="D1686" s="725"/>
      <c r="E1686" s="460" t="s">
        <v>93</v>
      </c>
      <c r="F1686" s="725"/>
      <c r="G1686" s="460" t="s">
        <v>93</v>
      </c>
      <c r="H1686" s="460"/>
      <c r="I1686" s="1259"/>
    </row>
    <row r="1687" spans="1:9" ht="14.55" customHeight="1" x14ac:dyDescent="0.3">
      <c r="A1687" s="1258" t="s">
        <v>277</v>
      </c>
      <c r="B1687" s="453" t="e">
        <f>IF((CEILING(B1681,1)+B1684)&lt;B1680,B1680,CEILING(B1681,1)+B1684)</f>
        <v>#N/A</v>
      </c>
      <c r="C1687" s="460" t="s">
        <v>93</v>
      </c>
      <c r="D1687" s="453" t="e">
        <f>IF((CEILING(D1681,1)+D1684)&lt;D1680,D1680,CEILING(D1681,1)+D1684)</f>
        <v>#N/A</v>
      </c>
      <c r="E1687" s="460" t="s">
        <v>93</v>
      </c>
      <c r="F1687" s="453" t="e">
        <f>IF((CEILING(F1681,1)+F1684)&lt;F1680,F1680,CEILING(F1681,1)+F1684)</f>
        <v>#N/A</v>
      </c>
      <c r="G1687" s="460" t="s">
        <v>93</v>
      </c>
      <c r="H1687" s="460"/>
      <c r="I1687" s="1259"/>
    </row>
    <row r="1688" spans="1:9" ht="14.55" customHeight="1" x14ac:dyDescent="0.3">
      <c r="A1688" s="1258" t="s">
        <v>278</v>
      </c>
      <c r="B1688" s="453" t="e">
        <f>IF((CEILING(B1682,1)+B1685)&lt;=B1680,B1680,CEILING(B1682,1)+B1685)</f>
        <v>#N/A</v>
      </c>
      <c r="C1688" s="460" t="s">
        <v>93</v>
      </c>
      <c r="D1688" s="453" t="e">
        <f>IF((CEILING(D1682,1)+D1685)&lt;=D1680,D1680,CEILING(D1682,1)+D1685)</f>
        <v>#N/A</v>
      </c>
      <c r="E1688" s="460" t="s">
        <v>93</v>
      </c>
      <c r="F1688" s="453" t="e">
        <f>IF((CEILING(F1682,1)+F1685)&lt;=F1680,F1680,CEILING(F1682,1)+F1685)</f>
        <v>#N/A</v>
      </c>
      <c r="G1688" s="460" t="s">
        <v>93</v>
      </c>
      <c r="H1688" s="460"/>
      <c r="I1688" s="1259"/>
    </row>
    <row r="1689" spans="1:9" ht="14.55" customHeight="1" x14ac:dyDescent="0.3">
      <c r="A1689" s="1258" t="s">
        <v>279</v>
      </c>
      <c r="B1689" s="453" t="e">
        <f>IF((CEILING(B1683,1)+B1686)&lt;=B1680,B1680,CEILING(B1683,1)+B1686)</f>
        <v>#N/A</v>
      </c>
      <c r="C1689" s="460" t="s">
        <v>93</v>
      </c>
      <c r="D1689" s="453" t="e">
        <f>IF((CEILING(D1683,1)+D1686)&lt;=D1680,D1680,CEILING(D1683,1)+D1686)</f>
        <v>#N/A</v>
      </c>
      <c r="E1689" s="460" t="s">
        <v>93</v>
      </c>
      <c r="F1689" s="453" t="e">
        <f>IF((CEILING(F1683,1)+F1686)&lt;=F1680,F1680,CEILING(F1683,1)+F1686)</f>
        <v>#N/A</v>
      </c>
      <c r="G1689" s="460" t="s">
        <v>93</v>
      </c>
      <c r="H1689" s="460"/>
      <c r="I1689" s="1259"/>
    </row>
    <row r="1690" spans="1:9" ht="14.55" customHeight="1" x14ac:dyDescent="0.3">
      <c r="A1690" s="1258" t="s">
        <v>280</v>
      </c>
      <c r="B1690" s="453"/>
      <c r="C1690" s="460"/>
      <c r="D1690" s="453"/>
      <c r="E1690" s="460"/>
      <c r="F1690" s="726"/>
      <c r="G1690" s="460"/>
      <c r="H1690" s="460"/>
      <c r="I1690" s="1259"/>
    </row>
    <row r="1691" spans="1:9" ht="14.55" customHeight="1" x14ac:dyDescent="0.3">
      <c r="A1691" s="1258" t="s">
        <v>281</v>
      </c>
      <c r="B1691" s="453"/>
      <c r="C1691" s="460"/>
      <c r="D1691" s="453"/>
      <c r="E1691" s="460"/>
      <c r="F1691" s="460">
        <f>IFERROR(VLOOKUP(F1645,'Thickness Tab'!$1:$1048576,MATCH(F1690,'Thickness Tab'!$1:$1,0),0),0)</f>
        <v>0</v>
      </c>
      <c r="G1691" s="460" t="s">
        <v>93</v>
      </c>
      <c r="H1691" s="460"/>
      <c r="I1691" s="1259"/>
    </row>
    <row r="1692" spans="1:9" ht="14.55" customHeight="1" x14ac:dyDescent="0.3">
      <c r="A1692" s="1258"/>
      <c r="B1692" s="464"/>
      <c r="C1692" s="460"/>
      <c r="D1692" s="460"/>
      <c r="E1692" s="460"/>
      <c r="F1692" s="460"/>
      <c r="G1692" s="460"/>
      <c r="H1692" s="460"/>
      <c r="I1692" s="1259"/>
    </row>
    <row r="1693" spans="1:9" ht="14.55" customHeight="1" x14ac:dyDescent="0.3">
      <c r="A1693" s="1258" t="s">
        <v>282</v>
      </c>
      <c r="B1693" s="725">
        <v>0</v>
      </c>
      <c r="C1693" s="460" t="s">
        <v>93</v>
      </c>
      <c r="D1693" s="725">
        <v>0</v>
      </c>
      <c r="E1693" s="460" t="s">
        <v>93</v>
      </c>
      <c r="F1693" s="725">
        <v>0</v>
      </c>
      <c r="G1693" s="460" t="s">
        <v>93</v>
      </c>
      <c r="H1693" s="460"/>
      <c r="I1693" s="1259"/>
    </row>
    <row r="1694" spans="1:9" ht="14.55" customHeight="1" x14ac:dyDescent="0.3">
      <c r="A1694" s="1258" t="s">
        <v>283</v>
      </c>
      <c r="B1694" s="725">
        <v>0</v>
      </c>
      <c r="C1694" s="460" t="s">
        <v>93</v>
      </c>
      <c r="D1694" s="725">
        <v>0</v>
      </c>
      <c r="E1694" s="460" t="s">
        <v>93</v>
      </c>
      <c r="F1694" s="725">
        <v>0</v>
      </c>
      <c r="G1694" s="460" t="s">
        <v>93</v>
      </c>
      <c r="H1694" s="460"/>
      <c r="I1694" s="1259"/>
    </row>
    <row r="1695" spans="1:9" ht="14.55" customHeight="1" x14ac:dyDescent="0.3">
      <c r="A1695" s="1258" t="s">
        <v>284</v>
      </c>
      <c r="B1695" s="725">
        <v>0</v>
      </c>
      <c r="C1695" s="460" t="s">
        <v>93</v>
      </c>
      <c r="D1695" s="725">
        <v>0</v>
      </c>
      <c r="E1695" s="460" t="s">
        <v>93</v>
      </c>
      <c r="F1695" s="725">
        <v>0</v>
      </c>
      <c r="G1695" s="460" t="s">
        <v>93</v>
      </c>
      <c r="H1695" s="460"/>
      <c r="I1695" s="1259"/>
    </row>
    <row r="1696" spans="1:9" ht="14.55" customHeight="1" x14ac:dyDescent="0.3">
      <c r="A1696" s="1258"/>
      <c r="B1696" s="464"/>
      <c r="C1696" s="460"/>
      <c r="D1696" s="460"/>
      <c r="E1696" s="460"/>
      <c r="F1696" s="460"/>
      <c r="G1696" s="460"/>
      <c r="H1696" s="460"/>
      <c r="I1696" s="1259"/>
    </row>
    <row r="1697" spans="1:9" ht="14.55" customHeight="1" x14ac:dyDescent="0.3">
      <c r="A1697" s="1260" t="s">
        <v>285</v>
      </c>
      <c r="B1697" s="470" t="str">
        <f>IF(B1625="Horizontal","No Skirt","")</f>
        <v/>
      </c>
      <c r="C1697" s="460"/>
      <c r="D1697" s="471"/>
      <c r="E1697" s="471" t="s">
        <v>286</v>
      </c>
      <c r="F1697" s="460"/>
      <c r="G1697" s="469"/>
      <c r="H1697" s="469"/>
      <c r="I1697" s="1261"/>
    </row>
    <row r="1698" spans="1:9" ht="14.55" customHeight="1" x14ac:dyDescent="0.3">
      <c r="A1698" s="1258" t="s">
        <v>287</v>
      </c>
      <c r="B1698" s="722"/>
      <c r="C1698" s="456" t="s">
        <v>93</v>
      </c>
      <c r="D1698" s="472"/>
      <c r="E1698" s="472" t="s">
        <v>288</v>
      </c>
      <c r="F1698" s="725"/>
      <c r="G1698" s="460" t="s">
        <v>93</v>
      </c>
      <c r="H1698" s="469"/>
      <c r="I1698" s="1261"/>
    </row>
    <row r="1699" spans="1:9" ht="14.55" customHeight="1" x14ac:dyDescent="0.3">
      <c r="A1699" s="1258" t="s">
        <v>289</v>
      </c>
      <c r="B1699" s="722"/>
      <c r="C1699" s="456" t="s">
        <v>93</v>
      </c>
      <c r="D1699" s="472"/>
      <c r="E1699" s="472" t="s">
        <v>290</v>
      </c>
      <c r="F1699" s="725"/>
      <c r="G1699" s="460" t="s">
        <v>93</v>
      </c>
      <c r="H1699" s="469"/>
      <c r="I1699" s="1261"/>
    </row>
    <row r="1700" spans="1:9" ht="14.55" customHeight="1" x14ac:dyDescent="0.3">
      <c r="A1700" s="1258" t="s">
        <v>291</v>
      </c>
      <c r="B1700" s="722"/>
      <c r="C1700" s="456" t="s">
        <v>93</v>
      </c>
      <c r="D1700" s="472"/>
      <c r="E1700" s="472" t="s">
        <v>292</v>
      </c>
      <c r="F1700" s="725"/>
      <c r="G1700" s="460"/>
      <c r="H1700" s="469"/>
      <c r="I1700" s="1261"/>
    </row>
    <row r="1701" spans="1:9" ht="14.55" customHeight="1" x14ac:dyDescent="0.3">
      <c r="A1701" s="1258" t="s">
        <v>293</v>
      </c>
      <c r="B1701" s="722"/>
      <c r="C1701" s="456" t="s">
        <v>93</v>
      </c>
      <c r="D1701" s="472"/>
      <c r="E1701" s="472" t="s">
        <v>184</v>
      </c>
      <c r="F1701" s="457">
        <f>(PI()*F1698^2)/4*F1699*(7800/1000000000)</f>
        <v>0</v>
      </c>
      <c r="G1701" s="460" t="s">
        <v>222</v>
      </c>
      <c r="H1701" s="460"/>
      <c r="I1701" s="1259"/>
    </row>
    <row r="1702" spans="1:9" ht="14.55" customHeight="1" x14ac:dyDescent="0.3">
      <c r="A1702" s="1258" t="s">
        <v>294</v>
      </c>
      <c r="B1702" s="722"/>
      <c r="C1702" s="456" t="s">
        <v>93</v>
      </c>
      <c r="D1702" s="460"/>
      <c r="E1702" s="460"/>
      <c r="F1702" s="460"/>
      <c r="G1702" s="460"/>
      <c r="H1702" s="460"/>
      <c r="I1702" s="1259"/>
    </row>
    <row r="1703" spans="1:9" ht="14.55" customHeight="1" x14ac:dyDescent="0.3">
      <c r="A1703" s="1258"/>
      <c r="B1703" s="407"/>
      <c r="C1703" s="460"/>
      <c r="D1703" s="460"/>
      <c r="E1703" s="460"/>
      <c r="F1703" s="460"/>
      <c r="G1703" s="460"/>
      <c r="H1703" s="460"/>
      <c r="I1703" s="1259"/>
    </row>
    <row r="1704" spans="1:9" ht="14.55" customHeight="1" x14ac:dyDescent="0.3">
      <c r="A1704" s="1262" t="s">
        <v>295</v>
      </c>
      <c r="B1704" s="480"/>
      <c r="C1704" s="59"/>
      <c r="D1704" s="59"/>
      <c r="E1704" s="59"/>
      <c r="F1704" s="460"/>
      <c r="G1704" s="460"/>
      <c r="H1704" s="460"/>
      <c r="I1704" s="1259"/>
    </row>
    <row r="1705" spans="1:9" ht="14.55" customHeight="1" x14ac:dyDescent="0.3">
      <c r="A1705" s="1263" t="s">
        <v>296</v>
      </c>
      <c r="B1705" s="722"/>
      <c r="C1705" s="59" t="s">
        <v>93</v>
      </c>
      <c r="D1705" s="59"/>
      <c r="E1705" s="59"/>
      <c r="F1705" s="460"/>
      <c r="G1705" s="460"/>
      <c r="H1705" s="460"/>
      <c r="I1705" s="1259"/>
    </row>
    <row r="1706" spans="1:9" ht="14.55" customHeight="1" x14ac:dyDescent="0.3">
      <c r="A1706" s="1263" t="s">
        <v>297</v>
      </c>
      <c r="B1706" s="722"/>
      <c r="C1706" s="59" t="s">
        <v>93</v>
      </c>
      <c r="D1706" s="59"/>
      <c r="E1706" s="59"/>
      <c r="F1706" s="460"/>
      <c r="G1706" s="460"/>
      <c r="H1706" s="460"/>
      <c r="I1706" s="1259"/>
    </row>
    <row r="1707" spans="1:9" ht="14.55" customHeight="1" x14ac:dyDescent="0.3">
      <c r="A1707" s="1263" t="s">
        <v>298</v>
      </c>
      <c r="B1707" s="480">
        <f>B1648</f>
        <v>0</v>
      </c>
      <c r="C1707" s="59" t="s">
        <v>93</v>
      </c>
      <c r="D1707" s="59"/>
      <c r="E1707" s="59"/>
      <c r="F1707" s="460"/>
      <c r="G1707" s="460"/>
      <c r="H1707" s="460"/>
      <c r="I1707" s="1259"/>
    </row>
    <row r="1708" spans="1:9" ht="14.55" customHeight="1" x14ac:dyDescent="0.3">
      <c r="A1708" s="1263" t="s">
        <v>299</v>
      </c>
      <c r="B1708" s="727"/>
      <c r="C1708" s="59"/>
      <c r="D1708" s="59"/>
      <c r="E1708" s="59"/>
      <c r="F1708" s="460"/>
      <c r="G1708" s="460"/>
      <c r="H1708" s="460"/>
      <c r="I1708" s="1259"/>
    </row>
    <row r="1709" spans="1:9" ht="14.55" customHeight="1" x14ac:dyDescent="0.3">
      <c r="A1709" s="1263" t="s">
        <v>300</v>
      </c>
      <c r="B1709" s="722"/>
      <c r="C1709" s="59" t="s">
        <v>301</v>
      </c>
      <c r="D1709" s="59"/>
      <c r="E1709" s="59"/>
      <c r="F1709" s="460"/>
      <c r="G1709" s="460"/>
      <c r="H1709" s="460"/>
      <c r="I1709" s="1259"/>
    </row>
    <row r="1710" spans="1:9" ht="14.55" customHeight="1" x14ac:dyDescent="0.3">
      <c r="A1710" s="1263" t="s">
        <v>302</v>
      </c>
      <c r="B1710" s="480">
        <f>IF(B1708="Straight",B1707,B1707*2)</f>
        <v>0</v>
      </c>
      <c r="C1710" s="59" t="s">
        <v>93</v>
      </c>
      <c r="D1710" s="480"/>
      <c r="E1710" s="59"/>
      <c r="F1710" s="460"/>
      <c r="G1710" s="460"/>
      <c r="H1710" s="460"/>
      <c r="I1710" s="1259"/>
    </row>
    <row r="1711" spans="1:9" ht="14.55" customHeight="1" x14ac:dyDescent="0.3">
      <c r="A1711" s="1263" t="s">
        <v>303</v>
      </c>
      <c r="B1711" s="480">
        <f>B1705*PI()*B1710/1000000*B1709</f>
        <v>0</v>
      </c>
      <c r="C1711" s="59" t="s">
        <v>228</v>
      </c>
      <c r="D1711" s="59"/>
      <c r="E1711" s="59"/>
      <c r="F1711" s="460"/>
      <c r="G1711" s="460"/>
      <c r="H1711" s="460"/>
      <c r="I1711" s="1259"/>
    </row>
    <row r="1712" spans="1:9" ht="14.55" customHeight="1" x14ac:dyDescent="0.3">
      <c r="A1712" s="1263" t="s">
        <v>304</v>
      </c>
      <c r="B1712" s="480">
        <v>7.86</v>
      </c>
      <c r="C1712" s="59" t="s">
        <v>305</v>
      </c>
      <c r="D1712" s="59"/>
      <c r="E1712" s="59"/>
      <c r="F1712" s="460"/>
      <c r="G1712" s="460"/>
      <c r="H1712" s="460"/>
      <c r="I1712" s="1259"/>
    </row>
    <row r="1713" spans="1:9" ht="14.55" customHeight="1" x14ac:dyDescent="0.3">
      <c r="A1713" s="1263" t="s">
        <v>306</v>
      </c>
      <c r="B1713" s="480">
        <f>PI()*B1706*(B1705-B1706)*B1712/1000</f>
        <v>0</v>
      </c>
      <c r="C1713" s="59" t="s">
        <v>307</v>
      </c>
      <c r="D1713" s="59"/>
      <c r="E1713" s="59"/>
      <c r="F1713" s="460"/>
      <c r="G1713" s="460"/>
      <c r="H1713" s="460"/>
      <c r="I1713" s="1259"/>
    </row>
    <row r="1714" spans="1:9" ht="14.55" customHeight="1" x14ac:dyDescent="0.3">
      <c r="A1714" s="1263" t="s">
        <v>308</v>
      </c>
      <c r="B1714" s="480">
        <f>B1713*B1710*B1709/1000</f>
        <v>0</v>
      </c>
      <c r="C1714" s="59" t="s">
        <v>222</v>
      </c>
      <c r="D1714" s="59"/>
      <c r="E1714" s="59"/>
      <c r="F1714" s="460"/>
      <c r="G1714" s="460"/>
      <c r="H1714" s="460"/>
      <c r="I1714" s="1259"/>
    </row>
    <row r="1715" spans="1:9" ht="14.55" customHeight="1" x14ac:dyDescent="0.3">
      <c r="A1715" s="1263"/>
      <c r="B1715" s="480"/>
      <c r="C1715" s="59"/>
      <c r="D1715" s="59"/>
      <c r="E1715" s="59"/>
      <c r="F1715" s="460"/>
      <c r="G1715" s="460"/>
      <c r="H1715" s="460"/>
      <c r="I1715" s="1259"/>
    </row>
    <row r="1716" spans="1:9" ht="14.55" customHeight="1" x14ac:dyDescent="0.3">
      <c r="A1716" s="1262" t="s">
        <v>309</v>
      </c>
      <c r="B1716" s="480"/>
      <c r="C1716" s="59"/>
      <c r="D1716" s="59"/>
      <c r="E1716" s="59"/>
      <c r="F1716" s="460"/>
      <c r="G1716" s="460"/>
      <c r="H1716" s="460"/>
      <c r="I1716" s="1259"/>
    </row>
    <row r="1717" spans="1:9" ht="14.55" customHeight="1" x14ac:dyDescent="0.3">
      <c r="A1717" s="1263" t="s">
        <v>310</v>
      </c>
      <c r="B1717" s="480">
        <f>B1646</f>
        <v>0</v>
      </c>
      <c r="C1717" s="59" t="s">
        <v>93</v>
      </c>
      <c r="D1717" s="59"/>
      <c r="E1717" s="59"/>
      <c r="F1717" s="460"/>
      <c r="G1717" s="460"/>
      <c r="H1717" s="460"/>
      <c r="I1717" s="1259"/>
    </row>
    <row r="1718" spans="1:9" ht="14.55" customHeight="1" x14ac:dyDescent="0.3">
      <c r="A1718" s="1263" t="s">
        <v>297</v>
      </c>
      <c r="B1718" s="480">
        <v>15</v>
      </c>
      <c r="C1718" s="59" t="s">
        <v>93</v>
      </c>
      <c r="D1718" s="59"/>
      <c r="E1718" s="59"/>
      <c r="F1718" s="460"/>
      <c r="G1718" s="460"/>
      <c r="H1718" s="460"/>
      <c r="I1718" s="1259"/>
    </row>
    <row r="1719" spans="1:9" ht="14.55" customHeight="1" x14ac:dyDescent="0.3">
      <c r="A1719" s="1263" t="s">
        <v>311</v>
      </c>
      <c r="B1719" s="480">
        <f>B1717^2*PI()/4/1000000</f>
        <v>0</v>
      </c>
      <c r="C1719" s="59" t="s">
        <v>228</v>
      </c>
      <c r="D1719" s="59"/>
      <c r="E1719" s="59"/>
      <c r="F1719" s="460"/>
      <c r="G1719" s="460"/>
      <c r="H1719" s="460"/>
      <c r="I1719" s="1259"/>
    </row>
    <row r="1720" spans="1:9" ht="14.55" customHeight="1" x14ac:dyDescent="0.3">
      <c r="A1720" s="1263" t="s">
        <v>312</v>
      </c>
      <c r="B1720" s="480">
        <f>B1719*B1718/1000*B1712*2/1000</f>
        <v>0</v>
      </c>
      <c r="C1720" s="59" t="s">
        <v>222</v>
      </c>
      <c r="D1720" s="59"/>
      <c r="E1720" s="59"/>
      <c r="F1720" s="460"/>
      <c r="G1720" s="460"/>
      <c r="H1720" s="460"/>
      <c r="I1720" s="1259"/>
    </row>
    <row r="1721" spans="1:9" ht="14.55" customHeight="1" x14ac:dyDescent="0.3">
      <c r="A1721" s="1263"/>
      <c r="B1721" s="480"/>
      <c r="C1721" s="59"/>
      <c r="D1721" s="59"/>
      <c r="E1721" s="59"/>
      <c r="F1721" s="460"/>
      <c r="G1721" s="460"/>
      <c r="H1721" s="460"/>
      <c r="I1721" s="1259"/>
    </row>
    <row r="1722" spans="1:9" ht="14.55" customHeight="1" x14ac:dyDescent="0.3">
      <c r="A1722" s="1263" t="s">
        <v>313</v>
      </c>
      <c r="B1722" s="480">
        <f>B1714+B1720*2</f>
        <v>0</v>
      </c>
      <c r="C1722" s="59" t="s">
        <v>222</v>
      </c>
      <c r="D1722" s="59"/>
      <c r="E1722" s="59"/>
      <c r="F1722" s="460"/>
      <c r="G1722" s="460"/>
      <c r="H1722" s="460"/>
      <c r="I1722" s="1259"/>
    </row>
    <row r="1723" spans="1:9" ht="14.55" customHeight="1" x14ac:dyDescent="0.3">
      <c r="A1723" s="1263"/>
      <c r="B1723" s="480"/>
      <c r="C1723" s="59"/>
      <c r="D1723" s="59"/>
      <c r="E1723" s="59"/>
      <c r="F1723" s="460"/>
      <c r="G1723" s="460"/>
      <c r="H1723" s="460"/>
      <c r="I1723" s="1259"/>
    </row>
    <row r="1724" spans="1:9" ht="14.55" customHeight="1" x14ac:dyDescent="0.3">
      <c r="A1724" s="1260" t="s">
        <v>314</v>
      </c>
      <c r="B1724" s="460"/>
      <c r="C1724" s="460"/>
      <c r="D1724" s="463" t="s">
        <v>315</v>
      </c>
      <c r="E1724" s="460"/>
      <c r="F1724" s="460"/>
      <c r="G1724" s="471" t="s">
        <v>316</v>
      </c>
      <c r="H1724" s="453"/>
      <c r="I1724" s="1259"/>
    </row>
    <row r="1725" spans="1:9" ht="14.55" customHeight="1" x14ac:dyDescent="0.3">
      <c r="A1725" s="1258" t="s">
        <v>189</v>
      </c>
      <c r="B1725" s="468" t="e">
        <f>SUM(B1649,D1649,F1649)</f>
        <v>#N/A</v>
      </c>
      <c r="C1725" s="460" t="s">
        <v>222</v>
      </c>
      <c r="D1725" s="472" t="s">
        <v>189</v>
      </c>
      <c r="E1725" s="468" t="e">
        <f>SUM(B1651,D1651,F1651)</f>
        <v>#N/A</v>
      </c>
      <c r="F1725" s="460" t="s">
        <v>228</v>
      </c>
      <c r="G1725" s="472" t="s">
        <v>189</v>
      </c>
      <c r="H1725" s="453" t="e">
        <f>SUM(B1653,D1653,F1653)</f>
        <v>#N/A</v>
      </c>
      <c r="I1725" s="1259" t="s">
        <v>228</v>
      </c>
    </row>
    <row r="1726" spans="1:9" ht="14.55" customHeight="1" x14ac:dyDescent="0.3">
      <c r="A1726" s="1258" t="s">
        <v>317</v>
      </c>
      <c r="B1726" s="468" t="e">
        <f>SUM(B1659*B1661,D1659*D1661,F1659*F1661)</f>
        <v>#N/A</v>
      </c>
      <c r="C1726" s="460" t="s">
        <v>222</v>
      </c>
      <c r="D1726" s="472" t="s">
        <v>317</v>
      </c>
      <c r="E1726" s="468" t="e">
        <f>SUM(B1659*B1663,D1659*D1663,F1659*F1663)</f>
        <v>#N/A</v>
      </c>
      <c r="F1726" s="460" t="s">
        <v>228</v>
      </c>
      <c r="G1726" s="472" t="s">
        <v>317</v>
      </c>
      <c r="H1726" s="453" t="e">
        <f>SUM(B1659*B1665,D1659*D1665,F1659*F1665)</f>
        <v>#N/A</v>
      </c>
      <c r="I1726" s="1259" t="s">
        <v>228</v>
      </c>
    </row>
    <row r="1727" spans="1:9" ht="14.55" customHeight="1" x14ac:dyDescent="0.3">
      <c r="A1727" s="1258" t="s">
        <v>318</v>
      </c>
      <c r="B1727" s="468" t="e">
        <f>SUM(B1673,D1673,F1673)</f>
        <v>#N/A</v>
      </c>
      <c r="C1727" s="460" t="s">
        <v>222</v>
      </c>
      <c r="D1727" s="472" t="s">
        <v>318</v>
      </c>
      <c r="E1727" s="468" t="e">
        <f>SUM(B1675,D1675,F1675)</f>
        <v>#N/A</v>
      </c>
      <c r="F1727" s="460" t="s">
        <v>228</v>
      </c>
      <c r="G1727" s="472" t="s">
        <v>318</v>
      </c>
      <c r="H1727" s="453" t="e">
        <f>SUM(B1678,D1678,F1678)</f>
        <v>#N/A</v>
      </c>
      <c r="I1727" s="1259" t="s">
        <v>228</v>
      </c>
    </row>
    <row r="1728" spans="1:9" ht="14.55" customHeight="1" x14ac:dyDescent="0.3">
      <c r="A1728" s="1258" t="s">
        <v>319</v>
      </c>
      <c r="B1728" s="468">
        <f>SUMPRODUCT(F1745:F1756,H1745:H1756)</f>
        <v>0</v>
      </c>
      <c r="C1728" s="460" t="s">
        <v>222</v>
      </c>
      <c r="D1728" s="472" t="s">
        <v>319</v>
      </c>
      <c r="E1728" s="468">
        <f>SUMPRODUCT(F1745:F1756,I1745:I1756)</f>
        <v>0</v>
      </c>
      <c r="F1728" s="460" t="s">
        <v>228</v>
      </c>
      <c r="G1728" s="460"/>
      <c r="H1728" s="453"/>
      <c r="I1728" s="1259"/>
    </row>
    <row r="1729" spans="1:9" ht="14.55" customHeight="1" x14ac:dyDescent="0.3">
      <c r="A1729" s="1258" t="s">
        <v>320</v>
      </c>
      <c r="B1729" s="468" t="e">
        <f>IF(B1625="Horizontal",0,(PI()*B1699*(((B1647/2)^2)-(((B1647-2*B1698)/2)^2))*7860)/1000000000)</f>
        <v>#N/A</v>
      </c>
      <c r="C1729" s="460" t="s">
        <v>222</v>
      </c>
      <c r="D1729" s="472" t="s">
        <v>320</v>
      </c>
      <c r="E1729" s="468" t="e">
        <f>IF(B1625="Horizontal",0,((B1647*B1699*PI())+((B1647-2*B1698)*B1699*PI()))/1000000)</f>
        <v>#N/A</v>
      </c>
      <c r="F1729" s="460" t="s">
        <v>228</v>
      </c>
      <c r="G1729" s="471" t="s">
        <v>321</v>
      </c>
      <c r="H1729" s="453"/>
      <c r="I1729" s="1259"/>
    </row>
    <row r="1730" spans="1:9" ht="14.55" customHeight="1" x14ac:dyDescent="0.3">
      <c r="A1730" s="1258" t="s">
        <v>322</v>
      </c>
      <c r="B1730" s="468">
        <f>IF(B1625="Horizontal",0,(PI()*B1702*(((B1701/2)^2)-((B1700/2)^2))*7860)/1000000000)</f>
        <v>0</v>
      </c>
      <c r="C1730" s="460" t="s">
        <v>222</v>
      </c>
      <c r="D1730" s="472" t="s">
        <v>322</v>
      </c>
      <c r="E1730" s="468">
        <f>IF(B1625="Horizontal",0,((B1701*3.14*B1702)+(B1700*3.14*B1702)+(((((B1701/2)^2)*3.14)-(((B1700/2)^2)*3.14))*2))/1000000)</f>
        <v>0</v>
      </c>
      <c r="F1730" s="460" t="s">
        <v>228</v>
      </c>
      <c r="G1730" s="472" t="s">
        <v>189</v>
      </c>
      <c r="H1730" s="453">
        <f>SUM(B1650,D1650,F1650)</f>
        <v>0</v>
      </c>
      <c r="I1730" s="1259" t="s">
        <v>225</v>
      </c>
    </row>
    <row r="1731" spans="1:9" ht="14.55" customHeight="1" x14ac:dyDescent="0.3">
      <c r="A1731" s="1258" t="s">
        <v>323</v>
      </c>
      <c r="B1731" s="468">
        <f>IF(B1625="Horizontal",VLOOKUP(B1647,List!$AR:$AS,2,1)*2,0)</f>
        <v>0</v>
      </c>
      <c r="C1731" s="460" t="s">
        <v>222</v>
      </c>
      <c r="D1731" s="472" t="s">
        <v>323</v>
      </c>
      <c r="E1731" s="725"/>
      <c r="F1731" s="460" t="s">
        <v>228</v>
      </c>
      <c r="G1731" s="472" t="s">
        <v>317</v>
      </c>
      <c r="H1731" s="453" t="e">
        <f>SUM(B1659*B1662+D1659*D1662+F1659*F1662)</f>
        <v>#N/A</v>
      </c>
      <c r="I1731" s="1259" t="s">
        <v>225</v>
      </c>
    </row>
    <row r="1732" spans="1:9" ht="14.55" customHeight="1" x14ac:dyDescent="0.3">
      <c r="A1732" s="1258" t="s">
        <v>324</v>
      </c>
      <c r="B1732" s="468">
        <f>F1701*F1700</f>
        <v>0</v>
      </c>
      <c r="C1732" s="460" t="s">
        <v>222</v>
      </c>
      <c r="D1732" s="460"/>
      <c r="E1732" s="460"/>
      <c r="F1732" s="460"/>
      <c r="G1732" s="472" t="s">
        <v>318</v>
      </c>
      <c r="H1732" s="453">
        <f>SUM(B1674,D1674,F1674)</f>
        <v>0</v>
      </c>
      <c r="I1732" s="1259" t="s">
        <v>225</v>
      </c>
    </row>
    <row r="1733" spans="1:9" ht="14.55" customHeight="1" x14ac:dyDescent="0.3">
      <c r="A1733" s="1258" t="s">
        <v>325</v>
      </c>
      <c r="B1733" s="468">
        <f>B1722</f>
        <v>0</v>
      </c>
      <c r="C1733" s="460" t="s">
        <v>222</v>
      </c>
      <c r="D1733" s="460"/>
      <c r="E1733" s="460"/>
      <c r="F1733" s="460"/>
      <c r="G1733" s="472"/>
      <c r="H1733" s="453"/>
      <c r="I1733" s="1259"/>
    </row>
    <row r="1734" spans="1:9" ht="14.55" customHeight="1" x14ac:dyDescent="0.3">
      <c r="A1734" s="1258" t="s">
        <v>326</v>
      </c>
      <c r="B1734" s="725"/>
      <c r="C1734" s="460" t="s">
        <v>222</v>
      </c>
      <c r="D1734" s="460"/>
      <c r="E1734" s="460"/>
      <c r="F1734" s="460"/>
      <c r="G1734" s="460"/>
      <c r="H1734" s="460"/>
      <c r="I1734" s="1259"/>
    </row>
    <row r="1735" spans="1:9" ht="14.55" customHeight="1" x14ac:dyDescent="0.3">
      <c r="A1735" s="1264"/>
      <c r="B1735" s="460"/>
      <c r="C1735" s="460"/>
      <c r="D1735" s="460"/>
      <c r="E1735" s="460"/>
      <c r="F1735" s="460"/>
      <c r="G1735" s="460"/>
      <c r="H1735" s="460"/>
      <c r="I1735" s="1259"/>
    </row>
    <row r="1736" spans="1:9" ht="14.55" customHeight="1" x14ac:dyDescent="0.3">
      <c r="A1736" s="1258" t="s">
        <v>327</v>
      </c>
      <c r="B1736" s="453" t="e">
        <f>SUM(E1725:E1731)</f>
        <v>#N/A</v>
      </c>
      <c r="C1736" s="460" t="s">
        <v>228</v>
      </c>
      <c r="D1736" s="460"/>
      <c r="E1736" s="460"/>
      <c r="F1736" s="460"/>
      <c r="G1736" s="460"/>
      <c r="H1736" s="460"/>
      <c r="I1736" s="1259"/>
    </row>
    <row r="1737" spans="1:9" ht="14.55" customHeight="1" x14ac:dyDescent="0.3">
      <c r="A1737" s="1258" t="s">
        <v>328</v>
      </c>
      <c r="B1737" s="453" t="e">
        <f>IF(SUM(E1725:E1727)=SUM(H1725:H1727),"Not Insulated",SUM(H1725:H1727))</f>
        <v>#N/A</v>
      </c>
      <c r="C1737" s="460" t="e">
        <f>IF(B1736=SUM(H1725:H1727),"","m2")</f>
        <v>#N/A</v>
      </c>
      <c r="D1737" s="460"/>
      <c r="E1737" s="460"/>
      <c r="F1737" s="460"/>
      <c r="G1737" s="460"/>
      <c r="H1737" s="460"/>
      <c r="I1737" s="1259"/>
    </row>
    <row r="1738" spans="1:9" ht="14.55" customHeight="1" x14ac:dyDescent="0.3">
      <c r="A1738" s="1258" t="s">
        <v>329</v>
      </c>
      <c r="B1738" s="453" t="e">
        <f>SUM(H1730:H1732)</f>
        <v>#N/A</v>
      </c>
      <c r="C1738" s="460" t="s">
        <v>225</v>
      </c>
      <c r="D1738" s="460"/>
      <c r="E1738" s="460"/>
      <c r="F1738" s="460"/>
      <c r="G1738" s="460"/>
      <c r="H1738" s="460"/>
      <c r="I1738" s="1259"/>
    </row>
    <row r="1739" spans="1:9" ht="14.55" customHeight="1" x14ac:dyDescent="0.3">
      <c r="A1739" s="1258" t="s">
        <v>330</v>
      </c>
      <c r="B1739" s="453" t="e">
        <f>SUM(B1725:B1734)</f>
        <v>#N/A</v>
      </c>
      <c r="C1739" s="460" t="s">
        <v>222</v>
      </c>
      <c r="D1739" s="460"/>
      <c r="E1739" s="460"/>
      <c r="F1739" s="460"/>
      <c r="G1739" s="460"/>
      <c r="H1739" s="460"/>
      <c r="I1739" s="1259"/>
    </row>
    <row r="1740" spans="1:9" ht="14.55" customHeight="1" x14ac:dyDescent="0.3">
      <c r="A1740" s="1258" t="s">
        <v>331</v>
      </c>
      <c r="B1740" s="725"/>
      <c r="C1740" s="460" t="s">
        <v>222</v>
      </c>
      <c r="D1740" s="460"/>
      <c r="E1740" s="460"/>
      <c r="F1740" s="460"/>
      <c r="G1740" s="460"/>
      <c r="H1740" s="460"/>
      <c r="I1740" s="1259"/>
    </row>
    <row r="1741" spans="1:9" ht="15" customHeight="1" thickBot="1" x14ac:dyDescent="0.35">
      <c r="A1741" s="1258"/>
      <c r="B1741" s="473"/>
      <c r="C1741" s="459"/>
      <c r="D1741" s="460"/>
      <c r="E1741" s="460"/>
      <c r="F1741" s="460"/>
      <c r="G1741" s="460"/>
      <c r="H1741" s="460"/>
      <c r="I1741" s="1259"/>
    </row>
    <row r="1742" spans="1:9" ht="15" customHeight="1" thickBot="1" x14ac:dyDescent="0.35">
      <c r="A1742" s="474"/>
      <c r="B1742" s="1718" t="s">
        <v>332</v>
      </c>
      <c r="C1742" s="1718"/>
      <c r="D1742" s="1718"/>
      <c r="E1742" s="1718"/>
      <c r="F1742" s="1718"/>
      <c r="G1742" s="475"/>
      <c r="H1742" s="475"/>
      <c r="I1742" s="476"/>
    </row>
    <row r="1743" spans="1:9" ht="14.55" customHeight="1" x14ac:dyDescent="0.3">
      <c r="A1743" s="1264"/>
      <c r="B1743" s="1719" t="s">
        <v>333</v>
      </c>
      <c r="C1743" s="1381" t="s">
        <v>59</v>
      </c>
      <c r="D1743" s="1719" t="s">
        <v>114</v>
      </c>
      <c r="E1743" s="1719" t="s">
        <v>334</v>
      </c>
      <c r="F1743" s="1719" t="s">
        <v>292</v>
      </c>
      <c r="G1743" s="1719" t="s">
        <v>335</v>
      </c>
      <c r="H1743" s="1381" t="s">
        <v>184</v>
      </c>
      <c r="I1743" s="1346" t="s">
        <v>336</v>
      </c>
    </row>
    <row r="1744" spans="1:9" ht="14.55" customHeight="1" x14ac:dyDescent="0.3">
      <c r="A1744" s="1264"/>
      <c r="B1744" s="1720"/>
      <c r="C1744" s="1442" t="s">
        <v>214</v>
      </c>
      <c r="D1744" s="1720"/>
      <c r="E1744" s="1720"/>
      <c r="F1744" s="1720"/>
      <c r="G1744" s="1720"/>
      <c r="H1744" s="1442" t="s">
        <v>222</v>
      </c>
      <c r="I1744" s="1443" t="s">
        <v>228</v>
      </c>
    </row>
    <row r="1745" spans="1:13" ht="14.55" customHeight="1" x14ac:dyDescent="0.3">
      <c r="A1745" s="1264"/>
      <c r="B1745" s="1382" t="s">
        <v>337</v>
      </c>
      <c r="C1745" s="728"/>
      <c r="D1745" s="729"/>
      <c r="E1745" s="730"/>
      <c r="F1745" s="730"/>
      <c r="G1745" s="730"/>
      <c r="H1745" s="1465" t="str">
        <f>IFERROR(VLOOKUP($C1745&amp;"F"&amp;$D1745,'Flanges Chart'!$1:$1048576,MATCH($E1745&amp;"."&amp;H$123,'Flanges Chart'!$1:$1,0),0),"")</f>
        <v/>
      </c>
      <c r="I1745" s="1466" t="str">
        <f>IFERROR(VLOOKUP($C1745&amp;"F"&amp;$D1745,'Flanges Chart'!$1:$1048576,MATCH($E1745&amp;"."&amp;I$123,'Flanges Chart'!$1:$1,0),0),"")</f>
        <v/>
      </c>
    </row>
    <row r="1746" spans="1:13" ht="14.55" customHeight="1" x14ac:dyDescent="0.3">
      <c r="A1746" s="1264"/>
      <c r="B1746" s="1467" t="s">
        <v>340</v>
      </c>
      <c r="C1746" s="731"/>
      <c r="D1746" s="729"/>
      <c r="E1746" s="729"/>
      <c r="F1746" s="729"/>
      <c r="G1746" s="729"/>
      <c r="H1746" s="1465" t="str">
        <f>IFERROR(VLOOKUP($C1746&amp;"F"&amp;$D1746,'Flanges Chart'!$1:$1048576,MATCH($E1746&amp;"."&amp;H$123,'Flanges Chart'!$1:$1,0),0),"")</f>
        <v/>
      </c>
      <c r="I1746" s="1466" t="str">
        <f>IFERROR(VLOOKUP($C1746&amp;"F"&amp;$D1746,'Flanges Chart'!$1:$1048576,MATCH($E1746&amp;"."&amp;I$123,'Flanges Chart'!$1:$1,0),0),"")</f>
        <v/>
      </c>
    </row>
    <row r="1747" spans="1:13" ht="14.55" customHeight="1" x14ac:dyDescent="0.3">
      <c r="A1747" s="1264"/>
      <c r="B1747" s="1467" t="s">
        <v>342</v>
      </c>
      <c r="C1747" s="731"/>
      <c r="D1747" s="729"/>
      <c r="E1747" s="729"/>
      <c r="F1747" s="729"/>
      <c r="G1747" s="729"/>
      <c r="H1747" s="1465" t="str">
        <f>IFERROR(VLOOKUP($C1747&amp;"F"&amp;$D1747,'Flanges Chart'!$1:$1048576,MATCH($E1747&amp;"."&amp;H$123,'Flanges Chart'!$1:$1,0),0),"")</f>
        <v/>
      </c>
      <c r="I1747" s="1466" t="str">
        <f>IFERROR(VLOOKUP($C1747&amp;"F"&amp;$D1747,'Flanges Chart'!$1:$1048576,MATCH($E1747&amp;"."&amp;I$123,'Flanges Chart'!$1:$1,0),0),"")</f>
        <v/>
      </c>
    </row>
    <row r="1748" spans="1:13" ht="14.55" customHeight="1" x14ac:dyDescent="0.3">
      <c r="A1748" s="1264"/>
      <c r="B1748" s="1467" t="s">
        <v>344</v>
      </c>
      <c r="C1748" s="731"/>
      <c r="D1748" s="729"/>
      <c r="E1748" s="729"/>
      <c r="F1748" s="729"/>
      <c r="G1748" s="729"/>
      <c r="H1748" s="1465" t="str">
        <f>IFERROR(VLOOKUP($C1748&amp;"F"&amp;$D1748,'Flanges Chart'!$1:$1048576,MATCH($E1748&amp;"."&amp;H$123,'Flanges Chart'!$1:$1,0),0),"")</f>
        <v/>
      </c>
      <c r="I1748" s="1466" t="str">
        <f>IFERROR(VLOOKUP($C1748&amp;"F"&amp;$D1748,'Flanges Chart'!$1:$1048576,MATCH($E1748&amp;"."&amp;I$123,'Flanges Chart'!$1:$1,0),0),"")</f>
        <v/>
      </c>
    </row>
    <row r="1749" spans="1:13" ht="14.55" customHeight="1" x14ac:dyDescent="0.3">
      <c r="A1749" s="1264"/>
      <c r="B1749" s="1467" t="s">
        <v>347</v>
      </c>
      <c r="C1749" s="731"/>
      <c r="D1749" s="729"/>
      <c r="E1749" s="729"/>
      <c r="F1749" s="729"/>
      <c r="G1749" s="729"/>
      <c r="H1749" s="1465" t="str">
        <f>IFERROR(VLOOKUP($C1749&amp;"F"&amp;$D1749,'Flanges Chart'!$1:$1048576,MATCH($E1749&amp;"."&amp;H$123,'Flanges Chart'!$1:$1,0),0),"")</f>
        <v/>
      </c>
      <c r="I1749" s="1466" t="str">
        <f>IFERROR(VLOOKUP($C1749&amp;"F"&amp;$D1749,'Flanges Chart'!$1:$1048576,MATCH($E1749&amp;"."&amp;I$123,'Flanges Chart'!$1:$1,0),0),"")</f>
        <v/>
      </c>
    </row>
    <row r="1750" spans="1:13" ht="14.55" customHeight="1" x14ac:dyDescent="0.3">
      <c r="A1750" s="1264"/>
      <c r="B1750" s="1467" t="s">
        <v>349</v>
      </c>
      <c r="C1750" s="731"/>
      <c r="D1750" s="729"/>
      <c r="E1750" s="729"/>
      <c r="F1750" s="729"/>
      <c r="G1750" s="729"/>
      <c r="H1750" s="1465" t="str">
        <f>IFERROR(VLOOKUP($C1750&amp;"F"&amp;$D1750,'Flanges Chart'!$1:$1048576,MATCH($E1750&amp;"."&amp;H$123,'Flanges Chart'!$1:$1,0),0),"")</f>
        <v/>
      </c>
      <c r="I1750" s="1466" t="str">
        <f>IFERROR(VLOOKUP($C1750&amp;"F"&amp;$D1750,'Flanges Chart'!$1:$1048576,MATCH($E1750&amp;"."&amp;I$123,'Flanges Chart'!$1:$1,0),0),"")</f>
        <v/>
      </c>
    </row>
    <row r="1751" spans="1:13" ht="14.55" customHeight="1" x14ac:dyDescent="0.3">
      <c r="A1751" s="1264"/>
      <c r="B1751" s="1467" t="s">
        <v>350</v>
      </c>
      <c r="C1751" s="731"/>
      <c r="D1751" s="729"/>
      <c r="E1751" s="729"/>
      <c r="F1751" s="729"/>
      <c r="G1751" s="729"/>
      <c r="H1751" s="1465" t="str">
        <f>IFERROR(VLOOKUP($C1751&amp;"F"&amp;$D1751,'Flanges Chart'!$1:$1048576,MATCH($E1751&amp;"."&amp;H$123,'Flanges Chart'!$1:$1,0),0),"")</f>
        <v/>
      </c>
      <c r="I1751" s="1466" t="str">
        <f>IFERROR(VLOOKUP($C1751&amp;"F"&amp;$D1751,'Flanges Chart'!$1:$1048576,MATCH($E1751&amp;"."&amp;I$123,'Flanges Chart'!$1:$1,0),0),"")</f>
        <v/>
      </c>
    </row>
    <row r="1752" spans="1:13" ht="14.55" customHeight="1" x14ac:dyDescent="0.3">
      <c r="A1752" s="1264"/>
      <c r="B1752" s="1467" t="s">
        <v>351</v>
      </c>
      <c r="C1752" s="731"/>
      <c r="D1752" s="729"/>
      <c r="E1752" s="729"/>
      <c r="F1752" s="729"/>
      <c r="G1752" s="729"/>
      <c r="H1752" s="1465" t="str">
        <f>IFERROR(VLOOKUP($C1752&amp;"F"&amp;$D1752,'Flanges Chart'!$1:$1048576,MATCH($E1752&amp;"."&amp;H$123,'Flanges Chart'!$1:$1,0),0),"")</f>
        <v/>
      </c>
      <c r="I1752" s="1466" t="str">
        <f>IFERROR(VLOOKUP($C1752&amp;"F"&amp;$D1752,'Flanges Chart'!$1:$1048576,MATCH($E1752&amp;"."&amp;I$123,'Flanges Chart'!$1:$1,0),0),"")</f>
        <v/>
      </c>
    </row>
    <row r="1753" spans="1:13" ht="14.55" customHeight="1" x14ac:dyDescent="0.3">
      <c r="A1753" s="1264"/>
      <c r="B1753" s="1467" t="s">
        <v>352</v>
      </c>
      <c r="C1753" s="731"/>
      <c r="D1753" s="729"/>
      <c r="E1753" s="729"/>
      <c r="F1753" s="729"/>
      <c r="G1753" s="729"/>
      <c r="H1753" s="1465" t="str">
        <f>IFERROR(VLOOKUP($C1753&amp;"F"&amp;$D1753,'Flanges Chart'!$1:$1048576,MATCH($E1753&amp;"."&amp;H$123,'Flanges Chart'!$1:$1,0),0),"")</f>
        <v/>
      </c>
      <c r="I1753" s="1466" t="str">
        <f>IFERROR(VLOOKUP($C1753&amp;"F"&amp;$D1753,'Flanges Chart'!$1:$1048576,MATCH($E1753&amp;"."&amp;I$123,'Flanges Chart'!$1:$1,0),0),"")</f>
        <v/>
      </c>
    </row>
    <row r="1754" spans="1:13" ht="14.55" customHeight="1" x14ac:dyDescent="0.3">
      <c r="A1754" s="1264"/>
      <c r="B1754" s="1467" t="s">
        <v>353</v>
      </c>
      <c r="C1754" s="731"/>
      <c r="D1754" s="729"/>
      <c r="E1754" s="729"/>
      <c r="F1754" s="729"/>
      <c r="G1754" s="729"/>
      <c r="H1754" s="1465" t="str">
        <f>IFERROR(VLOOKUP($C1754&amp;"F"&amp;$D1754,'Flanges Chart'!$1:$1048576,MATCH($E1754&amp;"."&amp;H$123,'Flanges Chart'!$1:$1,0),0),"")</f>
        <v/>
      </c>
      <c r="I1754" s="1466" t="str">
        <f>IFERROR(VLOOKUP($C1754&amp;"F"&amp;$D1754,'Flanges Chart'!$1:$1048576,MATCH($E1754&amp;"."&amp;I$123,'Flanges Chart'!$1:$1,0),0),"")</f>
        <v/>
      </c>
    </row>
    <row r="1755" spans="1:13" ht="14.55" customHeight="1" x14ac:dyDescent="0.3">
      <c r="A1755" s="1264"/>
      <c r="B1755" s="1467" t="s">
        <v>354</v>
      </c>
      <c r="C1755" s="731"/>
      <c r="D1755" s="729"/>
      <c r="E1755" s="729"/>
      <c r="F1755" s="729"/>
      <c r="G1755" s="729"/>
      <c r="H1755" s="1465" t="str">
        <f>IFERROR(VLOOKUP($C1755&amp;"F"&amp;$D1755,'Flanges Chart'!$1:$1048576,MATCH($E1755&amp;"."&amp;H$123,'Flanges Chart'!$1:$1,0),0),"")</f>
        <v/>
      </c>
      <c r="I1755" s="1466" t="str">
        <f>IFERROR(VLOOKUP($C1755&amp;"F"&amp;$D1755,'Flanges Chart'!$1:$1048576,MATCH($E1755&amp;"."&amp;I$123,'Flanges Chart'!$1:$1,0),0),"")</f>
        <v/>
      </c>
    </row>
    <row r="1756" spans="1:13" ht="15" customHeight="1" thickBot="1" x14ac:dyDescent="0.35">
      <c r="A1756" s="1264"/>
      <c r="B1756" s="1468" t="s">
        <v>355</v>
      </c>
      <c r="C1756" s="732"/>
      <c r="D1756" s="733"/>
      <c r="E1756" s="733"/>
      <c r="F1756" s="733"/>
      <c r="G1756" s="733"/>
      <c r="H1756" s="1469" t="s">
        <v>356</v>
      </c>
      <c r="I1756" s="1470" t="str">
        <f>IFERROR(VLOOKUP($C1756&amp;"F"&amp;$D1756,'Flanges Chart'!$1:$1048576,MATCH($E1756&amp;"."&amp;I$123,'Flanges Chart'!$1:$1,0),0),"")</f>
        <v/>
      </c>
    </row>
    <row r="1757" spans="1:13" s="496" customFormat="1" ht="18.600000000000001" thickBot="1" x14ac:dyDescent="0.35">
      <c r="A1757" s="493" t="str">
        <f>"POS."&amp;K1757&amp;" "&amp;VLOOKUP(K1757,'Equip&amp;Mach List'!$1:$1048576,2,0)&amp;" "&amp;VLOOKUP(K1757,'Equip&amp;Mach List'!$1:$1048576,3,0)</f>
        <v xml:space="preserve">POS.14  </v>
      </c>
      <c r="B1757" s="511"/>
      <c r="C1757" s="494"/>
      <c r="D1757" s="495"/>
      <c r="E1757" s="495"/>
      <c r="F1757" s="497"/>
      <c r="G1757" s="495"/>
      <c r="H1757" s="495"/>
      <c r="I1757" s="1255" t="str">
        <f>IFERROR("Weight Calc./Selected = "&amp;ROUND(B1874,1)&amp;"/"&amp;B1875&amp;" kg - Øi ="&amp;IF(B1781=0,F1781,B1781)&amp;" mm"&amp;"T/T ="&amp;IF(B1782=0,F1782,B1782)&amp;" mm - Material "&amp;B1768&amp;"        ","")</f>
        <v/>
      </c>
      <c r="K1757" s="496">
        <v>14</v>
      </c>
      <c r="M1757" s="1254"/>
    </row>
    <row r="1758" spans="1:13" ht="14.55" customHeight="1" x14ac:dyDescent="0.3">
      <c r="A1758" s="1256"/>
      <c r="B1758" s="451"/>
      <c r="C1758" s="451"/>
      <c r="D1758" s="451"/>
      <c r="E1758" s="451"/>
      <c r="F1758" s="451"/>
      <c r="G1758" s="451"/>
      <c r="H1758" s="451"/>
      <c r="I1758" s="1257"/>
      <c r="K1758" s="477" t="s">
        <v>166</v>
      </c>
      <c r="L1758" s="477" t="str">
        <f>K1757&amp;"."&amp;K1758</f>
        <v>14.Design Code</v>
      </c>
      <c r="M1758" s="1252" t="str">
        <f>A1759&amp;" "&amp;B1759</f>
        <v xml:space="preserve">ASME VIII </v>
      </c>
    </row>
    <row r="1759" spans="1:13" ht="14.55" customHeight="1" x14ac:dyDescent="0.3">
      <c r="A1759" s="1258" t="s">
        <v>167</v>
      </c>
      <c r="B1759" s="718"/>
      <c r="C1759" s="459"/>
      <c r="D1759" s="460"/>
      <c r="E1759" s="460"/>
      <c r="F1759" s="460"/>
      <c r="G1759" s="460"/>
      <c r="H1759" s="460"/>
      <c r="I1759" s="1259"/>
      <c r="K1759" s="477" t="s">
        <v>169</v>
      </c>
      <c r="L1759" s="477" t="str">
        <f>K1757&amp;"."&amp;K1759</f>
        <v>14.Orientation</v>
      </c>
      <c r="M1759" s="1252">
        <f>B1760</f>
        <v>0</v>
      </c>
    </row>
    <row r="1760" spans="1:13" ht="14.55" customHeight="1" x14ac:dyDescent="0.3">
      <c r="A1760" s="1258" t="s">
        <v>170</v>
      </c>
      <c r="B1760" s="718"/>
      <c r="C1760" s="459"/>
      <c r="D1760" s="460"/>
      <c r="E1760" s="460"/>
      <c r="F1760" s="461"/>
      <c r="G1760" s="460"/>
      <c r="H1760" s="460"/>
      <c r="I1760" s="1259"/>
      <c r="K1760" s="477" t="s">
        <v>172</v>
      </c>
      <c r="L1760" s="477" t="str">
        <f>K1757&amp;"."&amp;K1760</f>
        <v>14.Design Temperature</v>
      </c>
      <c r="M1760" s="1252">
        <f>D1763</f>
        <v>0</v>
      </c>
    </row>
    <row r="1761" spans="1:13" ht="14.55" customHeight="1" x14ac:dyDescent="0.3">
      <c r="A1761" s="1258"/>
      <c r="B1761" s="459"/>
      <c r="C1761" s="459"/>
      <c r="D1761" s="460"/>
      <c r="E1761" s="460"/>
      <c r="F1761" s="462"/>
      <c r="G1761" s="460"/>
      <c r="H1761" s="460"/>
      <c r="I1761" s="1259"/>
      <c r="K1761" s="477" t="s">
        <v>173</v>
      </c>
      <c r="L1761" s="477" t="str">
        <f>K1757&amp;"."&amp;K1761</f>
        <v>14.Design Pressure</v>
      </c>
      <c r="M1761" s="1252">
        <f>D1764</f>
        <v>0</v>
      </c>
    </row>
    <row r="1762" spans="1:13" ht="14.55" customHeight="1" x14ac:dyDescent="0.3">
      <c r="A1762" s="1260" t="s">
        <v>174</v>
      </c>
      <c r="B1762" s="459"/>
      <c r="C1762" s="459"/>
      <c r="D1762" s="460"/>
      <c r="E1762" s="460"/>
      <c r="F1762" s="462"/>
      <c r="G1762" s="460"/>
      <c r="H1762" s="460"/>
      <c r="I1762" s="1259"/>
      <c r="K1762" s="477" t="s">
        <v>175</v>
      </c>
      <c r="L1762" s="477" t="str">
        <f>K1757&amp;"."&amp;K1762</f>
        <v>14.Material</v>
      </c>
      <c r="M1762" s="1252">
        <f>B1768</f>
        <v>0</v>
      </c>
    </row>
    <row r="1763" spans="1:13" ht="14.55" customHeight="1" x14ac:dyDescent="0.3">
      <c r="A1763" s="1258" t="s">
        <v>176</v>
      </c>
      <c r="B1763" s="719"/>
      <c r="C1763" s="720"/>
      <c r="D1763" s="464">
        <f>IF(C1763="°C",B1763,0)+IF(C1763="°F",(B1763-32)*5/9,0)</f>
        <v>0</v>
      </c>
      <c r="E1763" s="460" t="s">
        <v>177</v>
      </c>
      <c r="F1763" s="462"/>
      <c r="G1763" s="460"/>
      <c r="H1763" s="460"/>
      <c r="I1763" s="1259"/>
      <c r="K1763" s="477" t="s">
        <v>178</v>
      </c>
      <c r="L1763" s="477" t="str">
        <f>K1757&amp;"."&amp;K1763</f>
        <v>14.Inside Diameter</v>
      </c>
      <c r="M1763" s="1252">
        <f>IF(B1781=0,F1781,B1781)</f>
        <v>0</v>
      </c>
    </row>
    <row r="1764" spans="1:13" ht="14.55" customHeight="1" x14ac:dyDescent="0.3">
      <c r="A1764" s="1258" t="s">
        <v>179</v>
      </c>
      <c r="B1764" s="721"/>
      <c r="C1764" s="720"/>
      <c r="D1764" s="452">
        <f>IF(C1764="barg",B1764,0)+IF(C1764="psig",B1764*List!$AV$4,0)+IF(C1764="MPa",B1764*List!$AV$5,0)+IF(C1764="N/mm2",B1764*List!$AV$6,0)</f>
        <v>0</v>
      </c>
      <c r="E1764" s="460" t="s">
        <v>180</v>
      </c>
      <c r="F1764" s="460"/>
      <c r="G1764" s="460"/>
      <c r="H1764" s="460"/>
      <c r="I1764" s="1259"/>
      <c r="K1764" s="477" t="s">
        <v>181</v>
      </c>
      <c r="L1764" s="477" t="str">
        <f>K1757&amp;"."&amp;K1764</f>
        <v>14.Tan / Tan</v>
      </c>
      <c r="M1764" s="1252">
        <f>IF(B1783=0,F1783,B1783)</f>
        <v>0</v>
      </c>
    </row>
    <row r="1765" spans="1:13" ht="14.55" customHeight="1" x14ac:dyDescent="0.3">
      <c r="A1765" s="1258" t="s">
        <v>182</v>
      </c>
      <c r="B1765" s="721"/>
      <c r="C1765" s="720"/>
      <c r="D1765" s="452">
        <f>IF(C1765="barg",B1765,0)+IF(C1765="psig",B1765*List!$AV$4,0)+IF(C1765="MPa",B1765*List!$AV$5,0)+IF(C1765="N/mm2",B1765*List!$AV$6,0)</f>
        <v>0</v>
      </c>
      <c r="E1765" s="460" t="s">
        <v>180</v>
      </c>
      <c r="F1765" s="460"/>
      <c r="G1765" s="465"/>
      <c r="H1765" s="460"/>
      <c r="I1765" s="1259"/>
      <c r="K1765" s="477" t="s">
        <v>183</v>
      </c>
      <c r="L1765" s="477" t="str">
        <f>K1757&amp;"."&amp;K1765</f>
        <v>14.Thickness</v>
      </c>
      <c r="M1765" s="1252" t="e">
        <f>IF(B1822=0,F1826,B1822)</f>
        <v>#N/A</v>
      </c>
    </row>
    <row r="1766" spans="1:13" ht="14.55" customHeight="1" x14ac:dyDescent="0.3">
      <c r="A1766" s="1258"/>
      <c r="B1766" s="459"/>
      <c r="C1766" s="459"/>
      <c r="D1766" s="460"/>
      <c r="E1766" s="460"/>
      <c r="F1766" s="460"/>
      <c r="G1766" s="465"/>
      <c r="H1766" s="460"/>
      <c r="I1766" s="1259"/>
      <c r="K1766" s="477" t="s">
        <v>184</v>
      </c>
      <c r="L1766" s="477" t="str">
        <f>K1757&amp;"."&amp;K1766</f>
        <v>14.Unit Weight</v>
      </c>
      <c r="M1766" s="1252">
        <f>B1875</f>
        <v>0</v>
      </c>
    </row>
    <row r="1767" spans="1:13" ht="14.55" customHeight="1" x14ac:dyDescent="0.3">
      <c r="A1767" s="1260" t="s">
        <v>185</v>
      </c>
      <c r="B1767" s="459" t="s">
        <v>186</v>
      </c>
      <c r="C1767" s="459"/>
      <c r="D1767" s="460"/>
      <c r="E1767" s="460"/>
      <c r="F1767" s="460" t="s">
        <v>187</v>
      </c>
      <c r="G1767" s="465"/>
      <c r="H1767" s="460"/>
      <c r="I1767" s="1259"/>
      <c r="K1767" s="478" t="s">
        <v>188</v>
      </c>
      <c r="L1767" s="477" t="str">
        <f>K1757&amp;"."&amp;K1767</f>
        <v>14.Unit External Surface</v>
      </c>
      <c r="M1767" s="1252" t="e">
        <f>B1871</f>
        <v>#N/A</v>
      </c>
    </row>
    <row r="1768" spans="1:13" ht="14.55" customHeight="1" x14ac:dyDescent="0.3">
      <c r="A1768" s="1258" t="s">
        <v>189</v>
      </c>
      <c r="B1768" s="1716"/>
      <c r="C1768" s="1717"/>
      <c r="D1768" s="460"/>
      <c r="E1768" s="461"/>
      <c r="F1768" s="1716"/>
      <c r="G1768" s="1717"/>
      <c r="H1768" s="460"/>
      <c r="I1768" s="1259"/>
      <c r="K1768" s="477" t="s">
        <v>191</v>
      </c>
      <c r="L1768" s="477" t="str">
        <f>K1757&amp;"."&amp;K1768</f>
        <v>14.M1 DN</v>
      </c>
      <c r="M1768" s="1252">
        <f>C1889</f>
        <v>0</v>
      </c>
    </row>
    <row r="1769" spans="1:13" ht="14.55" customHeight="1" x14ac:dyDescent="0.3">
      <c r="A1769" s="1258" t="s">
        <v>192</v>
      </c>
      <c r="B1769" s="1716"/>
      <c r="C1769" s="1717"/>
      <c r="D1769" s="460"/>
      <c r="E1769" s="461"/>
      <c r="F1769" s="1716"/>
      <c r="G1769" s="1717"/>
      <c r="H1769" s="460"/>
      <c r="I1769" s="1259"/>
      <c r="K1769" s="477" t="s">
        <v>193</v>
      </c>
      <c r="L1769" s="477" t="str">
        <f>K1757&amp;"."&amp;K1769</f>
        <v>14.M1 Rating</v>
      </c>
      <c r="M1769" s="1252">
        <f>D1889</f>
        <v>0</v>
      </c>
    </row>
    <row r="1770" spans="1:13" ht="14.55" customHeight="1" x14ac:dyDescent="0.3">
      <c r="A1770" s="1258"/>
      <c r="B1770" s="466"/>
      <c r="C1770" s="466"/>
      <c r="D1770" s="460"/>
      <c r="E1770" s="460"/>
      <c r="F1770" s="460"/>
      <c r="G1770" s="460"/>
      <c r="H1770" s="460"/>
      <c r="I1770" s="1259"/>
      <c r="K1770" s="477" t="s">
        <v>194</v>
      </c>
      <c r="L1770" s="477" t="str">
        <f>K1757&amp;"."&amp;K1770</f>
        <v>14.M1 Type</v>
      </c>
      <c r="M1770" s="1252">
        <f>E1889</f>
        <v>0</v>
      </c>
    </row>
    <row r="1771" spans="1:13" ht="14.55" customHeight="1" x14ac:dyDescent="0.3">
      <c r="A1771" s="1258" t="s">
        <v>195</v>
      </c>
      <c r="B1771" s="460"/>
      <c r="C1771" s="460"/>
      <c r="D1771" s="460"/>
      <c r="E1771" s="460"/>
      <c r="F1771" s="460"/>
      <c r="G1771" s="460"/>
      <c r="H1771" s="460"/>
      <c r="I1771" s="1259"/>
      <c r="K1771" s="477" t="s">
        <v>196</v>
      </c>
      <c r="L1771" s="477" t="str">
        <f>K1757&amp;"."&amp;K1771</f>
        <v>14.M1 Quantity</v>
      </c>
      <c r="M1771" s="1252">
        <f>F1889</f>
        <v>0</v>
      </c>
    </row>
    <row r="1772" spans="1:13" ht="14.55" customHeight="1" x14ac:dyDescent="0.3">
      <c r="A1772" s="1258" t="s">
        <v>197</v>
      </c>
      <c r="B1772" s="464" t="e">
        <f>$D1763*(VLOOKUP($B1768,'ASME II Tab 1A'!$1:$1048576,MATCH($D1763,'ASME II Tab 1A'!$6:$6,1)+1,0)-VLOOKUP($B1768,'ASME II Tab 1A'!$1:$1048576,MATCH($D1763,'ASME II Tab 1A'!$6:$6,1),0))/(INDEX('ASME II Tab 1A'!$6:$6,MATCH($D1763,'ASME II Tab 1A'!$6:$6,1)+1)-INDEX('ASME II Tab 1A'!$6:$6,MATCH($D1763,'ASME II Tab 1A'!$6:$6,1)))+VLOOKUP($B1768,'ASME II Tab 1A'!$1:$1048576,MATCH($D1763,'ASME II Tab 1A'!$6:$6,1)+1,0)-INDEX('ASME II Tab 1A'!$6:$6,MATCH($D1763,'ASME II Tab 1A'!$6:$6,1)+1)*(VLOOKUP($B1768,'ASME II Tab 1A'!$1:$1048576,MATCH($D1763,'ASME II Tab 1A'!$6:$6,1)+1,0)-VLOOKUP($B1768,'ASME II Tab 1A'!$1:$1048576,MATCH($D1763,'ASME II Tab 1A'!$6:$6,1),0))/(INDEX('ASME II Tab 1A'!$6:$6,MATCH($D1763,'ASME II Tab 1A'!$6:$6,1)+1)-INDEX('ASME II Tab 1A'!$6:$6,MATCH($D1763,'ASME II Tab 1A'!$6:$6,1)))</f>
        <v>#N/A</v>
      </c>
      <c r="C1772" s="460" t="s">
        <v>198</v>
      </c>
      <c r="D1772" s="460"/>
      <c r="E1772" s="467"/>
      <c r="F1772" s="460" t="e">
        <f>$D1763*(VLOOKUP($F1768,'ASME II Tab 1A'!$1:$1048576,MATCH($D1763,'ASME II Tab 1A'!$6:$6,1)+1,0)-VLOOKUP($F1768,'ASME II Tab 1A'!$1:$1048576,MATCH($D1763,'ASME II Tab 1A'!$6:$6,1),0))/(INDEX('ASME II Tab 1A'!$6:$6,MATCH($D1763,'ASME II Tab 1A'!$6:$6,1)+1)-INDEX('ASME II Tab 1A'!$6:$6,MATCH($D1763,'ASME II Tab 1A'!$6:$6,1)))+VLOOKUP($F1768,'ASME II Tab 1A'!$1:$1048576,MATCH($D1763,'ASME II Tab 1A'!$6:$6,1)+1,0)-INDEX('ASME II Tab 1A'!$6:$6,MATCH($D1763,'ASME II Tab 1A'!$6:$6,1)+1)*(VLOOKUP($F1768,'ASME II Tab 1A'!$1:$1048576,MATCH($D1763,'ASME II Tab 1A'!$6:$6,1)+1,0)-VLOOKUP($F1768,'ASME II Tab 1A'!$1:$1048576,MATCH($D1763,'ASME II Tab 1A'!$6:$6,1),0))/(INDEX('ASME II Tab 1A'!$6:$6,MATCH($D1763,'ASME II Tab 1A'!$6:$6,1)+1)-INDEX('ASME II Tab 1A'!$6:$6,MATCH($D1763,'ASME II Tab 1A'!$6:$6,1)))</f>
        <v>#N/A</v>
      </c>
      <c r="G1772" s="460" t="s">
        <v>198</v>
      </c>
      <c r="H1772" s="460"/>
      <c r="I1772" s="1259"/>
      <c r="K1772" s="477" t="s">
        <v>199</v>
      </c>
      <c r="L1772" s="477" t="str">
        <f>K1757&amp;"."&amp;K1772</f>
        <v>14.M2 DN</v>
      </c>
      <c r="M1772" s="1252">
        <f>C1890</f>
        <v>0</v>
      </c>
    </row>
    <row r="1773" spans="1:13" ht="14.55" customHeight="1" x14ac:dyDescent="0.3">
      <c r="A1773" s="1258" t="s">
        <v>200</v>
      </c>
      <c r="B1773" s="464" t="e">
        <f>$D1763*(VLOOKUP($B1769,'ASME II Tab 1A'!$1:$1048576,MATCH($D1763,'ASME II Tab 1A'!$6:$6,1)+1,0)-VLOOKUP($B1769,'ASME II Tab 1A'!$1:$1048576,MATCH($D1763,'ASME II Tab 1A'!$6:$6,1),0))/(INDEX('ASME II Tab 1A'!$6:$6,MATCH($D1763,'ASME II Tab 1A'!$6:$6,1)+1)-INDEX('ASME II Tab 1A'!$6:$6,MATCH($D1763,'ASME II Tab 1A'!$6:$6,1)))+VLOOKUP($B1769,'ASME II Tab 1A'!$1:$1048576,MATCH($D1763,'ASME II Tab 1A'!$6:$6,1)+1,0)-INDEX('ASME II Tab 1A'!$6:$6,MATCH($D1763,'ASME II Tab 1A'!$6:$6,1)+1)*(VLOOKUP($B1769,'ASME II Tab 1A'!$1:$1048576,MATCH($D1763,'ASME II Tab 1A'!$6:$6,1)+1,0)-VLOOKUP($B1769,'ASME II Tab 1A'!$1:$1048576,MATCH($D1763,'ASME II Tab 1A'!$6:$6,1),0))/(INDEX('ASME II Tab 1A'!$6:$6,MATCH($D1763,'ASME II Tab 1A'!$6:$6,1)+1)-INDEX('ASME II Tab 1A'!$6:$6,MATCH($D1763,'ASME II Tab 1A'!$6:$6,1)))</f>
        <v>#N/A</v>
      </c>
      <c r="C1773" s="460" t="s">
        <v>198</v>
      </c>
      <c r="D1773" s="460"/>
      <c r="E1773" s="460"/>
      <c r="F1773" s="460" t="e">
        <f>$D1763*(VLOOKUP($F1769,'ASME II Tab 1A'!$1:$1048576,MATCH($D1763,'ASME II Tab 1A'!$6:$6,1)+1,0)-VLOOKUP($F1769,'ASME II Tab 1A'!$1:$1048576,MATCH($D1763,'ASME II Tab 1A'!$6:$6,1),0))/(INDEX('ASME II Tab 1A'!$6:$6,MATCH($D1763,'ASME II Tab 1A'!$6:$6,1)+1)-INDEX('ASME II Tab 1A'!$6:$6,MATCH($D1763,'ASME II Tab 1A'!$6:$6,1)))+VLOOKUP($F1769,'ASME II Tab 1A'!$1:$1048576,MATCH($D1763,'ASME II Tab 1A'!$6:$6,1)+1,0)-INDEX('ASME II Tab 1A'!$6:$6,MATCH($D1763,'ASME II Tab 1A'!$6:$6,1)+1)*(VLOOKUP($F1769,'ASME II Tab 1A'!$1:$1048576,MATCH($D1763,'ASME II Tab 1A'!$6:$6,1)+1,0)-VLOOKUP($F1769,'ASME II Tab 1A'!$1:$1048576,MATCH($D1763,'ASME II Tab 1A'!$6:$6,1),0))/(INDEX('ASME II Tab 1A'!$6:$6,MATCH($D1763,'ASME II Tab 1A'!$6:$6,1)+1)-INDEX('ASME II Tab 1A'!$6:$6,MATCH($D1763,'ASME II Tab 1A'!$6:$6,1)))</f>
        <v>#N/A</v>
      </c>
      <c r="G1773" s="460" t="s">
        <v>198</v>
      </c>
      <c r="H1773" s="460"/>
      <c r="I1773" s="1259"/>
      <c r="K1773" s="477" t="s">
        <v>201</v>
      </c>
      <c r="L1773" s="477" t="str">
        <f>K1757&amp;"."&amp;K1773</f>
        <v>14.M2 Rating</v>
      </c>
      <c r="M1773" s="1252">
        <f>D1890</f>
        <v>0</v>
      </c>
    </row>
    <row r="1774" spans="1:13" ht="14.55" customHeight="1" x14ac:dyDescent="0.3">
      <c r="A1774" s="1258" t="s">
        <v>202</v>
      </c>
      <c r="B1774" s="460"/>
      <c r="C1774" s="460"/>
      <c r="D1774" s="460"/>
      <c r="E1774" s="460"/>
      <c r="F1774" s="460"/>
      <c r="G1774" s="460"/>
      <c r="H1774" s="460"/>
      <c r="I1774" s="1259"/>
      <c r="K1774" s="477" t="s">
        <v>203</v>
      </c>
      <c r="L1774" s="477" t="str">
        <f>K1757&amp;"."&amp;K1774</f>
        <v>14.M2 Type</v>
      </c>
      <c r="M1774" s="1252">
        <f>E1890</f>
        <v>0</v>
      </c>
    </row>
    <row r="1775" spans="1:13" ht="14.55" customHeight="1" x14ac:dyDescent="0.3">
      <c r="A1775" s="1258" t="s">
        <v>197</v>
      </c>
      <c r="B1775" s="464" t="e">
        <f>$D1763*(VLOOKUP($B1768,'ASME II Tab 5A'!$1:$1048576,MATCH($D1763,'ASME II Tab 5A'!$5:$5,1)+1,0)-VLOOKUP($B1768,'ASME II Tab 5A'!$1:$1048576,MATCH($D1763,'ASME II Tab 5A'!$5:$5,1),0))/(INDEX('ASME II Tab 5A'!$5:$5,MATCH($D1763,'ASME II Tab 5A'!$5:$5,1)+1)-INDEX('ASME II Tab 5A'!$5:$5,MATCH($D1763,'ASME II Tab 5A'!$5:$5,1)))+VLOOKUP($B1768,'ASME II Tab 5A'!$1:$1048576,MATCH($D1763,'ASME II Tab 5A'!$5:$5,1)+1,0)-INDEX('ASME II Tab 5A'!$5:$5,MATCH($D1763,'ASME II Tab 5A'!$5:$5,1)+1)*(VLOOKUP($B1768,'ASME II Tab 5A'!$1:$1048576,MATCH($D1763,'ASME II Tab 5A'!$5:$5,1)+1,0)-VLOOKUP($B1768,'ASME II Tab 5A'!$1:$1048576,MATCH($D1763,'ASME II Tab 5A'!$5:$5,1),0))/(INDEX('ASME II Tab 5A'!$5:$5,MATCH($D1763,'ASME II Tab 5A'!$5:$5,1)+1)-INDEX('ASME II Tab 5A'!$5:$5,MATCH($D1763,'ASME II Tab 5A'!$5:$5,1)))</f>
        <v>#N/A</v>
      </c>
      <c r="C1775" s="460" t="s">
        <v>198</v>
      </c>
      <c r="D1775" s="460"/>
      <c r="E1775" s="460"/>
      <c r="F1775" s="460" t="e">
        <f>$D1763*(VLOOKUP($F1768,'ASME II Tab 5A'!$1:$1048576,MATCH($D1763,'ASME II Tab 5A'!$5:$5,1)+1,0)-VLOOKUP($F1768,'ASME II Tab 5A'!$1:$1048576,MATCH($D1763,'ASME II Tab 5A'!$5:$5,1),0))/(INDEX('ASME II Tab 5A'!$5:$5,MATCH($D1763,'ASME II Tab 5A'!$5:$5,1)+1)-INDEX('ASME II Tab 5A'!$5:$5,MATCH($D1763,'ASME II Tab 5A'!$5:$5,1)))+VLOOKUP($F1768,'ASME II Tab 5A'!$1:$1048576,MATCH($D1763,'ASME II Tab 5A'!$5:$5,1)+1,0)-INDEX('ASME II Tab 5A'!$5:$5,MATCH($D1763,'ASME II Tab 5A'!$5:$5,1)+1)*(VLOOKUP($F1768,'ASME II Tab 5A'!$1:$1048576,MATCH($D1763,'ASME II Tab 5A'!$5:$5,1)+1,0)-VLOOKUP($F1768,'ASME II Tab 5A'!$1:$1048576,MATCH($D1763,'ASME II Tab 5A'!$5:$5,1),0))/(INDEX('ASME II Tab 5A'!$5:$5,MATCH($D1763,'ASME II Tab 5A'!$5:$5,1)+1)-INDEX('ASME II Tab 5A'!$5:$5,MATCH($D1763,'ASME II Tab 5A'!$5:$5,1)))</f>
        <v>#N/A</v>
      </c>
      <c r="G1775" s="460" t="s">
        <v>198</v>
      </c>
      <c r="H1775" s="460"/>
      <c r="I1775" s="1259"/>
      <c r="K1775" s="477" t="s">
        <v>204</v>
      </c>
      <c r="L1775" s="477" t="str">
        <f>K1757&amp;"."&amp;K1775</f>
        <v>14.M2 Quantity</v>
      </c>
      <c r="M1775" s="1252">
        <f>F1890</f>
        <v>0</v>
      </c>
    </row>
    <row r="1776" spans="1:13" ht="14.55" customHeight="1" x14ac:dyDescent="0.3">
      <c r="A1776" s="1258" t="s">
        <v>200</v>
      </c>
      <c r="B1776" s="464" t="e">
        <f>$D1763*(VLOOKUP($B1769,'ASME II Tab 5A'!$1:$1048576,MATCH($D1763,'ASME II Tab 5A'!$5:$5,1)+1,0)-VLOOKUP($B1769,'ASME II Tab 5A'!$1:$1048576,MATCH($D1763,'ASME II Tab 5A'!$5:$5,1),0))/(INDEX('ASME II Tab 5A'!$5:$5,MATCH($D1763,'ASME II Tab 5A'!$5:$5,1)+1)-INDEX('ASME II Tab 5A'!$5:$5,MATCH($D1763,'ASME II Tab 5A'!$5:$5,1)))+VLOOKUP($B1769,'ASME II Tab 5A'!$1:$1048576,MATCH($D1763,'ASME II Tab 5A'!$5:$5,1)+1,0)-INDEX('ASME II Tab 5A'!$5:$5,MATCH($D1763,'ASME II Tab 5A'!$5:$5,1)+1)*(VLOOKUP($B1769,'ASME II Tab 5A'!$1:$1048576,MATCH($D1763,'ASME II Tab 5A'!$5:$5,1)+1,0)-VLOOKUP($B1769,'ASME II Tab 5A'!$1:$1048576,MATCH($D1763,'ASME II Tab 5A'!$5:$5,1),0))/(INDEX('ASME II Tab 5A'!$5:$5,MATCH($D1763,'ASME II Tab 5A'!$5:$5,1)+1)-INDEX('ASME II Tab 5A'!$5:$5,MATCH($D1763,'ASME II Tab 5A'!$5:$5,1)))</f>
        <v>#N/A</v>
      </c>
      <c r="C1776" s="460" t="s">
        <v>198</v>
      </c>
      <c r="D1776" s="460"/>
      <c r="E1776" s="460"/>
      <c r="F1776" s="460" t="e">
        <f>$D1763*(VLOOKUP($F1769,'ASME II Tab 5A'!$1:$1048576,MATCH($D1763,'ASME II Tab 5A'!$5:$5,1)+1,0)-VLOOKUP($F1769,'ASME II Tab 5A'!$1:$1048576,MATCH($D1763,'ASME II Tab 5A'!$5:$5,1),0))/(INDEX('ASME II Tab 5A'!$5:$5,MATCH($D1763,'ASME II Tab 5A'!$5:$5,1)+1)-INDEX('ASME II Tab 5A'!$5:$5,MATCH($D1763,'ASME II Tab 5A'!$5:$5,1)))+VLOOKUP($F1769,'ASME II Tab 5A'!$1:$1048576,MATCH($D1763,'ASME II Tab 5A'!$5:$5,1)+1,0)-INDEX('ASME II Tab 5A'!$5:$5,MATCH($D1763,'ASME II Tab 5A'!$5:$5,1)+1)*(VLOOKUP($F1769,'ASME II Tab 5A'!$1:$1048576,MATCH($D1763,'ASME II Tab 5A'!$5:$5,1)+1,0)-VLOOKUP($F1769,'ASME II Tab 5A'!$1:$1048576,MATCH($D1763,'ASME II Tab 5A'!$5:$5,1),0))/(INDEX('ASME II Tab 5A'!$5:$5,MATCH($D1763,'ASME II Tab 5A'!$5:$5,1)+1)-INDEX('ASME II Tab 5A'!$5:$5,MATCH($D1763,'ASME II Tab 5A'!$5:$5,1)))</f>
        <v>#N/A</v>
      </c>
      <c r="G1776" s="460" t="s">
        <v>198</v>
      </c>
      <c r="H1776" s="460"/>
      <c r="I1776" s="1259"/>
      <c r="K1776" s="477" t="s">
        <v>205</v>
      </c>
      <c r="L1776" s="477" t="str">
        <f>K1757&amp;"."&amp;K1776</f>
        <v>14.M3 DN</v>
      </c>
      <c r="M1776" s="1252">
        <f>C1891</f>
        <v>0</v>
      </c>
    </row>
    <row r="1777" spans="1:13" ht="14.55" customHeight="1" x14ac:dyDescent="0.3">
      <c r="A1777" s="1258"/>
      <c r="B1777" s="460"/>
      <c r="C1777" s="460"/>
      <c r="D1777" s="460"/>
      <c r="E1777" s="460"/>
      <c r="F1777" s="460"/>
      <c r="G1777" s="460"/>
      <c r="H1777" s="460"/>
      <c r="I1777" s="1259"/>
      <c r="K1777" s="477" t="s">
        <v>206</v>
      </c>
      <c r="L1777" s="477" t="str">
        <f>K1757&amp;"."&amp;K1777</f>
        <v>14.M3 Rating</v>
      </c>
      <c r="M1777" s="1252">
        <f>D1891</f>
        <v>0</v>
      </c>
    </row>
    <row r="1778" spans="1:13" ht="14.55" customHeight="1" x14ac:dyDescent="0.3">
      <c r="A1778" s="1260" t="s">
        <v>207</v>
      </c>
      <c r="B1778" s="453"/>
      <c r="C1778" s="460"/>
      <c r="D1778" s="453"/>
      <c r="E1778" s="460"/>
      <c r="F1778" s="453"/>
      <c r="G1778" s="460"/>
      <c r="H1778" s="460"/>
      <c r="I1778" s="1259"/>
      <c r="K1778" s="477" t="s">
        <v>208</v>
      </c>
      <c r="L1778" s="477" t="str">
        <f>K1757&amp;"."&amp;K1778</f>
        <v>14.M3 Type</v>
      </c>
      <c r="M1778" s="1252">
        <f>E1891</f>
        <v>0</v>
      </c>
    </row>
    <row r="1779" spans="1:13" ht="14.55" customHeight="1" x14ac:dyDescent="0.3">
      <c r="A1779" s="1260"/>
      <c r="B1779" s="305" t="s">
        <v>209</v>
      </c>
      <c r="C1779" s="460"/>
      <c r="D1779" s="305" t="s">
        <v>210</v>
      </c>
      <c r="E1779" s="460"/>
      <c r="F1779" s="305" t="s">
        <v>211</v>
      </c>
      <c r="G1779" s="460"/>
      <c r="H1779" s="460"/>
      <c r="I1779" s="1259"/>
      <c r="K1779" s="477" t="s">
        <v>212</v>
      </c>
      <c r="L1779" s="477" t="str">
        <f>K1757&amp;"."&amp;K1779</f>
        <v>14.M3 Quantity</v>
      </c>
      <c r="M1779" s="1252">
        <f>F1891</f>
        <v>0</v>
      </c>
    </row>
    <row r="1780" spans="1:13" ht="14.55" customHeight="1" x14ac:dyDescent="0.3">
      <c r="A1780" s="1258" t="s">
        <v>213</v>
      </c>
      <c r="B1780" s="305"/>
      <c r="C1780" s="460"/>
      <c r="D1780" s="305"/>
      <c r="E1780" s="460"/>
      <c r="F1780" s="723"/>
      <c r="G1780" s="460" t="s">
        <v>214</v>
      </c>
      <c r="H1780" s="460"/>
      <c r="I1780" s="1259"/>
      <c r="K1780" s="477" t="s">
        <v>215</v>
      </c>
      <c r="L1780" s="477" t="str">
        <f>K1757&amp;"."&amp;K1780</f>
        <v>14.Shell insulation thk 1</v>
      </c>
      <c r="M1780" s="1252">
        <f>B1828</f>
        <v>0</v>
      </c>
    </row>
    <row r="1781" spans="1:13" ht="14.55" customHeight="1" x14ac:dyDescent="0.3">
      <c r="A1781" s="1258" t="s">
        <v>216</v>
      </c>
      <c r="B1781" s="722"/>
      <c r="C1781" s="460" t="s">
        <v>93</v>
      </c>
      <c r="D1781" s="722"/>
      <c r="E1781" s="460" t="s">
        <v>93</v>
      </c>
      <c r="F1781" s="468">
        <f>F1782-2*F1826</f>
        <v>0</v>
      </c>
      <c r="G1781" s="460" t="s">
        <v>93</v>
      </c>
      <c r="H1781" s="460"/>
      <c r="I1781" s="1259"/>
      <c r="K1781" s="477" t="s">
        <v>217</v>
      </c>
      <c r="L1781" s="477" t="str">
        <f>K1757&amp;"."&amp;K1781</f>
        <v>14.Head insulation thk 1</v>
      </c>
      <c r="M1781" s="1252">
        <f>B1829</f>
        <v>0</v>
      </c>
    </row>
    <row r="1782" spans="1:13" ht="14.55" customHeight="1" x14ac:dyDescent="0.3">
      <c r="A1782" s="1258" t="s">
        <v>218</v>
      </c>
      <c r="B1782" s="468" t="e">
        <f>B1781+B1822*2</f>
        <v>#N/A</v>
      </c>
      <c r="C1782" s="460" t="s">
        <v>93</v>
      </c>
      <c r="D1782" s="468" t="e">
        <f>D1781+D1822*2</f>
        <v>#N/A</v>
      </c>
      <c r="E1782" s="460" t="s">
        <v>93</v>
      </c>
      <c r="F1782" s="468">
        <f>IFERROR(VLOOKUP(F1780,'Thickness Tab'!$1:$1048576,3,0),0)</f>
        <v>0</v>
      </c>
      <c r="G1782" s="460" t="s">
        <v>93</v>
      </c>
      <c r="H1782" s="469"/>
      <c r="I1782" s="1261"/>
      <c r="K1782" s="477" t="s">
        <v>219</v>
      </c>
      <c r="L1782" s="477" t="str">
        <f>K1757&amp;"."&amp;K1782</f>
        <v>14.Reducer insulation thk 1</v>
      </c>
      <c r="M1782" s="1252">
        <f>B1830</f>
        <v>0</v>
      </c>
    </row>
    <row r="1783" spans="1:13" ht="14.55" customHeight="1" x14ac:dyDescent="0.3">
      <c r="A1783" s="1258" t="s">
        <v>181</v>
      </c>
      <c r="B1783" s="722"/>
      <c r="C1783" s="460" t="s">
        <v>93</v>
      </c>
      <c r="D1783" s="722"/>
      <c r="E1783" s="460" t="s">
        <v>93</v>
      </c>
      <c r="F1783" s="722"/>
      <c r="G1783" s="460" t="s">
        <v>93</v>
      </c>
      <c r="H1783" s="460"/>
      <c r="I1783" s="1259"/>
      <c r="K1783" s="477" t="s">
        <v>220</v>
      </c>
      <c r="L1783" s="477" t="str">
        <f>K1757&amp;"."&amp;K1783</f>
        <v>14.Shell insulation area 1</v>
      </c>
      <c r="M1783" s="1252" t="e">
        <f>B1788</f>
        <v>#N/A</v>
      </c>
    </row>
    <row r="1784" spans="1:13" ht="14.55" customHeight="1" x14ac:dyDescent="0.3">
      <c r="A1784" s="1258" t="s">
        <v>221</v>
      </c>
      <c r="B1784" s="468" t="e">
        <f>(PI()*B1783*(((B1782/2)^2)-((B1781/2)^2))*7860)/1000000000*1.05</f>
        <v>#N/A</v>
      </c>
      <c r="C1784" s="460" t="s">
        <v>222</v>
      </c>
      <c r="D1784" s="468" t="e">
        <f>(PI()*D1783*(((D1782/2)^2)-((D1781/2)^2))*7860)/1000000000*1.05</f>
        <v>#N/A</v>
      </c>
      <c r="E1784" s="460" t="s">
        <v>222</v>
      </c>
      <c r="F1784" s="468">
        <f>(PI()*F1783*(((F1782/2)^2)-((F1781/2)^2))*7860)/1000000000*1.05</f>
        <v>0</v>
      </c>
      <c r="G1784" s="460" t="s">
        <v>222</v>
      </c>
      <c r="H1784" s="469"/>
      <c r="I1784" s="1261"/>
      <c r="K1784" s="477" t="s">
        <v>223</v>
      </c>
      <c r="L1784" s="477" t="str">
        <f>K1757&amp;"."&amp;K1784</f>
        <v>14.Head insulation area 1</v>
      </c>
      <c r="M1784" s="1252" t="e">
        <f>B1800</f>
        <v>#N/A</v>
      </c>
    </row>
    <row r="1785" spans="1:13" ht="14.55" customHeight="1" x14ac:dyDescent="0.3">
      <c r="A1785" s="1258" t="s">
        <v>224</v>
      </c>
      <c r="B1785" s="468">
        <f>(PI()*((B1781/2)^2)*B1783)/1000000000</f>
        <v>0</v>
      </c>
      <c r="C1785" s="460" t="s">
        <v>225</v>
      </c>
      <c r="D1785" s="468">
        <f>(PI()*((D1781/2)^2)*D1783)/1000000000</f>
        <v>0</v>
      </c>
      <c r="E1785" s="460" t="s">
        <v>225</v>
      </c>
      <c r="F1785" s="468">
        <f>(PI()*((F1781/2)^2)*F1783)/1000000000</f>
        <v>0</v>
      </c>
      <c r="G1785" s="460" t="s">
        <v>225</v>
      </c>
      <c r="H1785" s="469"/>
      <c r="I1785" s="1261"/>
      <c r="K1785" s="477" t="s">
        <v>226</v>
      </c>
      <c r="L1785" s="477" t="str">
        <f>K1757&amp;"."&amp;K1785</f>
        <v>14.Reducer insulation area 1</v>
      </c>
      <c r="M1785" s="1252" t="e">
        <f>B1813</f>
        <v>#N/A</v>
      </c>
    </row>
    <row r="1786" spans="1:13" ht="14.55" customHeight="1" x14ac:dyDescent="0.3">
      <c r="A1786" s="1258" t="s">
        <v>227</v>
      </c>
      <c r="B1786" s="468" t="e">
        <f>(B1782*3.14*B1783)/1000000</f>
        <v>#N/A</v>
      </c>
      <c r="C1786" s="460" t="s">
        <v>228</v>
      </c>
      <c r="D1786" s="468" t="e">
        <f>(D1782*3.14*D1783)/1000000</f>
        <v>#N/A</v>
      </c>
      <c r="E1786" s="460" t="s">
        <v>228</v>
      </c>
      <c r="F1786" s="468">
        <f>(F1782*3.14*F1783)/1000000</f>
        <v>0</v>
      </c>
      <c r="G1786" s="460" t="s">
        <v>228</v>
      </c>
      <c r="H1786" s="469"/>
      <c r="I1786" s="1261"/>
      <c r="K1786" s="477" t="s">
        <v>229</v>
      </c>
      <c r="L1786" s="477" t="str">
        <f>K1757&amp;"."&amp;K1786</f>
        <v>14.Shell insulation thk 2</v>
      </c>
      <c r="M1786" s="1252">
        <f>D1828</f>
        <v>0</v>
      </c>
    </row>
    <row r="1787" spans="1:13" ht="14.55" customHeight="1" x14ac:dyDescent="0.3">
      <c r="A1787" s="1258" t="s">
        <v>230</v>
      </c>
      <c r="B1787" s="468" t="e">
        <f>B1782+2*B1828</f>
        <v>#N/A</v>
      </c>
      <c r="C1787" s="460" t="s">
        <v>93</v>
      </c>
      <c r="D1787" s="468" t="e">
        <f>D1782+2*D1828</f>
        <v>#N/A</v>
      </c>
      <c r="E1787" s="460" t="s">
        <v>93</v>
      </c>
      <c r="F1787" s="468">
        <f>F1782+2*F1828</f>
        <v>0</v>
      </c>
      <c r="G1787" s="460" t="s">
        <v>93</v>
      </c>
      <c r="H1787" s="469"/>
      <c r="I1787" s="1261"/>
      <c r="K1787" s="477" t="s">
        <v>231</v>
      </c>
      <c r="L1787" s="477" t="str">
        <f>K1757&amp;"."&amp;K1787</f>
        <v>14.Head insulation thk 2</v>
      </c>
      <c r="M1787" s="1252">
        <f>D1829</f>
        <v>0</v>
      </c>
    </row>
    <row r="1788" spans="1:13" ht="14.55" customHeight="1" x14ac:dyDescent="0.3">
      <c r="A1788" s="1258" t="s">
        <v>232</v>
      </c>
      <c r="B1788" s="468" t="e">
        <f>(B1787*3.14*B1783)/1000000</f>
        <v>#N/A</v>
      </c>
      <c r="C1788" s="460" t="s">
        <v>228</v>
      </c>
      <c r="D1788" s="468" t="e">
        <f>(D1787*3.14*D1783)/1000000</f>
        <v>#N/A</v>
      </c>
      <c r="E1788" s="460" t="s">
        <v>228</v>
      </c>
      <c r="F1788" s="468">
        <f>(F1787*3.14*F1783)/1000000</f>
        <v>0</v>
      </c>
      <c r="G1788" s="460" t="s">
        <v>228</v>
      </c>
      <c r="H1788" s="469"/>
      <c r="I1788" s="1261"/>
      <c r="K1788" s="477" t="s">
        <v>233</v>
      </c>
      <c r="L1788" s="477" t="str">
        <f>K1757&amp;"."&amp;K1788</f>
        <v>14.Reducer insulation thk 2</v>
      </c>
      <c r="M1788" s="1252">
        <f>D1830</f>
        <v>0</v>
      </c>
    </row>
    <row r="1789" spans="1:13" ht="14.55" customHeight="1" x14ac:dyDescent="0.3">
      <c r="A1789" s="1258"/>
      <c r="B1789" s="468"/>
      <c r="C1789" s="460"/>
      <c r="D1789" s="468"/>
      <c r="E1789" s="460"/>
      <c r="F1789" s="468"/>
      <c r="G1789" s="460"/>
      <c r="H1789" s="469"/>
      <c r="I1789" s="1261"/>
      <c r="K1789" s="477" t="s">
        <v>234</v>
      </c>
      <c r="L1789" s="477" t="str">
        <f>K1757&amp;"."&amp;K1789</f>
        <v>14.Shell insulation area 2</v>
      </c>
      <c r="M1789" s="1252" t="e">
        <f>D1788</f>
        <v>#N/A</v>
      </c>
    </row>
    <row r="1790" spans="1:13" ht="14.55" customHeight="1" x14ac:dyDescent="0.3">
      <c r="A1790" s="1258"/>
      <c r="B1790" s="468" t="s">
        <v>235</v>
      </c>
      <c r="C1790" s="460"/>
      <c r="D1790" s="468" t="s">
        <v>236</v>
      </c>
      <c r="E1790" s="460"/>
      <c r="F1790" s="468" t="s">
        <v>237</v>
      </c>
      <c r="G1790" s="460"/>
      <c r="H1790" s="469"/>
      <c r="I1790" s="1261"/>
      <c r="K1790" s="477" t="s">
        <v>238</v>
      </c>
      <c r="L1790" s="477" t="str">
        <f>K1757&amp;"."&amp;K1790</f>
        <v>14.Head insulation area 2</v>
      </c>
      <c r="M1790" s="1252" t="e">
        <f>D1800</f>
        <v>#N/A</v>
      </c>
    </row>
    <row r="1791" spans="1:13" ht="14.55" customHeight="1" x14ac:dyDescent="0.3">
      <c r="A1791" s="1258" t="s">
        <v>239</v>
      </c>
      <c r="B1791" s="468">
        <f>B1781</f>
        <v>0</v>
      </c>
      <c r="C1791" s="460" t="s">
        <v>93</v>
      </c>
      <c r="D1791" s="468">
        <f>D1781</f>
        <v>0</v>
      </c>
      <c r="E1791" s="460" t="s">
        <v>93</v>
      </c>
      <c r="F1791" s="468">
        <f>F1781</f>
        <v>0</v>
      </c>
      <c r="G1791" s="460" t="s">
        <v>93</v>
      </c>
      <c r="H1791" s="469"/>
      <c r="I1791" s="1261"/>
      <c r="K1791" s="477" t="s">
        <v>240</v>
      </c>
      <c r="L1791" s="477" t="str">
        <f>K1757&amp;"."&amp;K1791</f>
        <v>14.Reducer insulation area 2</v>
      </c>
      <c r="M1791" s="1252">
        <f>D1813</f>
        <v>0</v>
      </c>
    </row>
    <row r="1792" spans="1:13" ht="14.55" customHeight="1" x14ac:dyDescent="0.3">
      <c r="A1792" s="1258" t="s">
        <v>241</v>
      </c>
      <c r="B1792" s="468" t="e">
        <f>B1791+2*B1823</f>
        <v>#N/A</v>
      </c>
      <c r="C1792" s="460" t="s">
        <v>93</v>
      </c>
      <c r="D1792" s="468" t="e">
        <f>D1791+2*D1823</f>
        <v>#N/A</v>
      </c>
      <c r="E1792" s="460" t="s">
        <v>93</v>
      </c>
      <c r="F1792" s="468">
        <f>F1791+2*F1826</f>
        <v>0</v>
      </c>
      <c r="G1792" s="460" t="s">
        <v>93</v>
      </c>
      <c r="H1792" s="469"/>
      <c r="I1792" s="1261"/>
      <c r="K1792" s="477" t="s">
        <v>242</v>
      </c>
      <c r="L1792" s="477" t="str">
        <f>K1757&amp;"."&amp;K1792</f>
        <v>14.Shell insulation thk 3</v>
      </c>
      <c r="M1792" s="1252">
        <f>F1828</f>
        <v>0</v>
      </c>
    </row>
    <row r="1793" spans="1:13" ht="14.55" customHeight="1" x14ac:dyDescent="0.3">
      <c r="A1793" s="1258" t="s">
        <v>243</v>
      </c>
      <c r="B1793" s="722"/>
      <c r="C1793" s="460" t="s">
        <v>93</v>
      </c>
      <c r="D1793" s="722"/>
      <c r="E1793" s="460" t="s">
        <v>93</v>
      </c>
      <c r="F1793" s="452"/>
      <c r="G1793" s="460"/>
      <c r="H1793" s="469"/>
      <c r="I1793" s="1261"/>
      <c r="K1793" s="477" t="s">
        <v>244</v>
      </c>
      <c r="L1793" s="477" t="str">
        <f>K1757&amp;"."&amp;K1793</f>
        <v>14.Head insulation thk 3</v>
      </c>
      <c r="M1793" s="1252">
        <f>F1829</f>
        <v>0</v>
      </c>
    </row>
    <row r="1794" spans="1:13" ht="14.55" customHeight="1" x14ac:dyDescent="0.3">
      <c r="A1794" s="1258" t="s">
        <v>245</v>
      </c>
      <c r="B1794" s="724"/>
      <c r="C1794" s="460"/>
      <c r="D1794" s="724"/>
      <c r="E1794" s="460"/>
      <c r="F1794" s="724"/>
      <c r="G1794" s="460"/>
      <c r="H1794" s="469"/>
      <c r="I1794" s="1261"/>
      <c r="K1794" s="477" t="s">
        <v>246</v>
      </c>
      <c r="L1794" s="477" t="str">
        <f>K1757&amp;"."&amp;K1794</f>
        <v>14.Reducer insulation thk 3</v>
      </c>
      <c r="M1794" s="1252">
        <f>F1830</f>
        <v>0</v>
      </c>
    </row>
    <row r="1795" spans="1:13" ht="14.55" customHeight="1" x14ac:dyDescent="0.3">
      <c r="A1795" s="1258" t="s">
        <v>247</v>
      </c>
      <c r="B1795" s="468">
        <v>0</v>
      </c>
      <c r="C1795" s="460" t="s">
        <v>93</v>
      </c>
      <c r="D1795" s="468">
        <v>0</v>
      </c>
      <c r="E1795" s="460" t="s">
        <v>93</v>
      </c>
      <c r="F1795" s="468">
        <v>0</v>
      </c>
      <c r="G1795" s="460" t="s">
        <v>93</v>
      </c>
      <c r="H1795" s="469"/>
      <c r="I1795" s="1261"/>
      <c r="K1795" s="477" t="s">
        <v>248</v>
      </c>
      <c r="L1795" s="477" t="str">
        <f>K1757&amp;"."&amp;K1795</f>
        <v>14.Shell insulation area 3</v>
      </c>
      <c r="M1795" s="1252">
        <f>F1788</f>
        <v>0</v>
      </c>
    </row>
    <row r="1796" spans="1:13" ht="14.55" customHeight="1" x14ac:dyDescent="0.3">
      <c r="A1796" s="1258" t="s">
        <v>249</v>
      </c>
      <c r="B1796" s="468" t="e">
        <f>((((POWER(((((B1791+B1824)*1.22)+(B1795*2))/100),2)*PI())/4)*(B1824/100))*7.86)</f>
        <v>#N/A</v>
      </c>
      <c r="C1796" s="460" t="s">
        <v>222</v>
      </c>
      <c r="D1796" s="468" t="e">
        <f>((((POWER(((((D1791+D1824)*1.22)+(D1795*2))/100),2)*PI())/4)*(D1824/100))*7.86)</f>
        <v>#N/A</v>
      </c>
      <c r="E1796" s="460" t="s">
        <v>222</v>
      </c>
      <c r="F1796" s="468">
        <f>IFERROR(VLOOKUP(F1780&amp;"."&amp;F1825,'Fitting Chart'!$1:$1048576,5,0),0)</f>
        <v>0</v>
      </c>
      <c r="G1796" s="460" t="s">
        <v>222</v>
      </c>
      <c r="H1796" s="469"/>
      <c r="I1796" s="1261"/>
      <c r="K1796" s="477" t="s">
        <v>250</v>
      </c>
      <c r="L1796" s="477" t="str">
        <f>K1757&amp;"."&amp;K1796</f>
        <v>14.Head insulation area 3</v>
      </c>
      <c r="M1796" s="1252">
        <f>F1799</f>
        <v>0</v>
      </c>
    </row>
    <row r="1797" spans="1:13" ht="14.55" customHeight="1" x14ac:dyDescent="0.3">
      <c r="A1797" s="1258" t="s">
        <v>251</v>
      </c>
      <c r="B1797" s="468" t="e">
        <f>(((0.131*(B1791^3)*10^-6)+((((B1791/2)^2)*PI()*(((B1791/4)+B1823)-B1823-(B1791/4)))))+((PI()*((B1791/2)^2)*B1795))/1000000)/1000</f>
        <v>#N/A</v>
      </c>
      <c r="C1797" s="460" t="s">
        <v>225</v>
      </c>
      <c r="D1797" s="468" t="e">
        <f>(((0.131*(D1791^3)*10^-6)+((((D1791/2)^2)*PI()*(((D1791/4)+D1823)-D1823-(D1791/4)))))+((PI()*((D1791/2)^2)*D1795))/1000000)/1000</f>
        <v>#N/A</v>
      </c>
      <c r="E1797" s="460" t="s">
        <v>225</v>
      </c>
      <c r="F1797" s="468">
        <f>(((0.131*(F1791^3)*10^-6)+((((F1791/2)^2)*PI()*(((F1791/4)+F1826)-F1826-(F1791/4)))))+((PI()*((F1791/2)^2)*F1795))/1000000)/1000</f>
        <v>0</v>
      </c>
      <c r="G1797" s="460" t="s">
        <v>225</v>
      </c>
      <c r="H1797" s="469"/>
      <c r="I1797" s="1261"/>
      <c r="K1797" s="477" t="s">
        <v>252</v>
      </c>
      <c r="L1797" s="477" t="str">
        <f>K1757&amp;"."&amp;K1797</f>
        <v>14.Reducer insulation area 3</v>
      </c>
      <c r="M1797" s="1252">
        <f>F1813</f>
        <v>0</v>
      </c>
    </row>
    <row r="1798" spans="1:13" ht="14.55" customHeight="1" x14ac:dyDescent="0.3">
      <c r="A1798" s="1258" t="s">
        <v>253</v>
      </c>
      <c r="B1798" s="468" t="e">
        <f>(((B1792*B1793*3.14)+(((B1792/2)^2)*3.14))/1000000)</f>
        <v>#N/A</v>
      </c>
      <c r="C1798" s="460" t="s">
        <v>228</v>
      </c>
      <c r="D1798" s="468" t="e">
        <f>(((D1792*D1793*3.14)+(((D1792/2)^2)*3.14))/1000000)</f>
        <v>#N/A</v>
      </c>
      <c r="E1798" s="460" t="s">
        <v>228</v>
      </c>
      <c r="F1798" s="468">
        <f>(((F1792*F1793*3.14)+(((F1792/2)^2)*3.14))/1000000)</f>
        <v>0</v>
      </c>
      <c r="G1798" s="460" t="s">
        <v>228</v>
      </c>
      <c r="H1798" s="469"/>
      <c r="I1798" s="1261"/>
    </row>
    <row r="1799" spans="1:13" ht="14.55" customHeight="1" x14ac:dyDescent="0.3">
      <c r="A1799" s="1258" t="s">
        <v>254</v>
      </c>
      <c r="B1799" s="468" t="e">
        <f>B1792+2*B1829</f>
        <v>#N/A</v>
      </c>
      <c r="C1799" s="460" t="s">
        <v>93</v>
      </c>
      <c r="D1799" s="468" t="e">
        <f>D1792+2*D1829</f>
        <v>#N/A</v>
      </c>
      <c r="E1799" s="460" t="s">
        <v>93</v>
      </c>
      <c r="F1799" s="468">
        <f>F1792+2*F1829</f>
        <v>0</v>
      </c>
      <c r="G1799" s="460" t="s">
        <v>93</v>
      </c>
      <c r="H1799" s="469"/>
      <c r="I1799" s="1261"/>
    </row>
    <row r="1800" spans="1:13" ht="14.55" customHeight="1" x14ac:dyDescent="0.3">
      <c r="A1800" s="1258" t="s">
        <v>255</v>
      </c>
      <c r="B1800" s="468" t="e">
        <f>(((B1799*B1793*3.14)+(((B1799/2)^2)*3.14))/1000000)</f>
        <v>#N/A</v>
      </c>
      <c r="C1800" s="460" t="s">
        <v>228</v>
      </c>
      <c r="D1800" s="468" t="e">
        <f>(((D1799*D1793*3.14)+(((D1799/2)^2)*3.14))/1000000)</f>
        <v>#N/A</v>
      </c>
      <c r="E1800" s="460" t="s">
        <v>228</v>
      </c>
      <c r="F1800" s="468">
        <f>(((F1799*F1793*3.14)+(((F1799/2)^2)*3.14))/1000000)</f>
        <v>0</v>
      </c>
      <c r="G1800" s="460" t="s">
        <v>228</v>
      </c>
      <c r="H1800" s="469"/>
      <c r="I1800" s="1261"/>
    </row>
    <row r="1801" spans="1:13" ht="14.55" customHeight="1" x14ac:dyDescent="0.3">
      <c r="A1801" s="1258"/>
      <c r="B1801" s="454"/>
      <c r="C1801" s="460"/>
      <c r="D1801" s="454"/>
      <c r="E1801" s="460"/>
      <c r="F1801" s="454"/>
      <c r="G1801" s="460"/>
      <c r="H1801" s="469"/>
      <c r="I1801" s="1261"/>
    </row>
    <row r="1802" spans="1:13" ht="14.55" customHeight="1" x14ac:dyDescent="0.3">
      <c r="A1802" s="1258"/>
      <c r="B1802" s="468" t="s">
        <v>256</v>
      </c>
      <c r="C1802" s="460"/>
      <c r="D1802" s="468" t="s">
        <v>257</v>
      </c>
      <c r="E1802" s="460"/>
      <c r="F1802" s="468" t="s">
        <v>258</v>
      </c>
      <c r="G1802" s="460"/>
      <c r="H1802" s="469"/>
      <c r="I1802" s="1261"/>
    </row>
    <row r="1803" spans="1:13" ht="14.55" customHeight="1" x14ac:dyDescent="0.3">
      <c r="A1803" s="1258" t="s">
        <v>259</v>
      </c>
      <c r="B1803" s="725"/>
      <c r="C1803" s="460" t="s">
        <v>93</v>
      </c>
      <c r="D1803" s="725"/>
      <c r="E1803" s="460" t="s">
        <v>93</v>
      </c>
      <c r="F1803" s="725"/>
      <c r="G1803" s="460" t="s">
        <v>93</v>
      </c>
      <c r="H1803" s="469"/>
      <c r="I1803" s="1261"/>
    </row>
    <row r="1804" spans="1:13" ht="14.55" customHeight="1" x14ac:dyDescent="0.3">
      <c r="A1804" s="1258" t="s">
        <v>260</v>
      </c>
      <c r="B1804" s="725"/>
      <c r="C1804" s="460" t="s">
        <v>93</v>
      </c>
      <c r="D1804" s="725"/>
      <c r="E1804" s="460" t="s">
        <v>93</v>
      </c>
      <c r="F1804" s="725"/>
      <c r="G1804" s="460" t="s">
        <v>93</v>
      </c>
      <c r="H1804" s="469"/>
      <c r="I1804" s="1261"/>
    </row>
    <row r="1805" spans="1:13" ht="14.55" customHeight="1" x14ac:dyDescent="0.3">
      <c r="A1805" s="1258" t="s">
        <v>261</v>
      </c>
      <c r="B1805" s="725"/>
      <c r="C1805" s="460" t="s">
        <v>93</v>
      </c>
      <c r="D1805" s="725"/>
      <c r="E1805" s="460" t="s">
        <v>93</v>
      </c>
      <c r="F1805" s="725"/>
      <c r="G1805" s="460" t="s">
        <v>93</v>
      </c>
      <c r="H1805" s="469"/>
      <c r="I1805" s="1261"/>
    </row>
    <row r="1806" spans="1:13" ht="14.55" customHeight="1" x14ac:dyDescent="0.3">
      <c r="A1806" s="1258" t="s">
        <v>262</v>
      </c>
      <c r="B1806" s="455" t="e">
        <f>B1803+2*B1824</f>
        <v>#N/A</v>
      </c>
      <c r="C1806" s="460" t="s">
        <v>93</v>
      </c>
      <c r="D1806" s="455" t="e">
        <f>D1803+2*D1824</f>
        <v>#N/A</v>
      </c>
      <c r="E1806" s="460" t="s">
        <v>93</v>
      </c>
      <c r="F1806" s="455">
        <f>F1803+2*F1826</f>
        <v>0</v>
      </c>
      <c r="G1806" s="460" t="s">
        <v>93</v>
      </c>
      <c r="H1806" s="469"/>
      <c r="I1806" s="1261"/>
    </row>
    <row r="1807" spans="1:13" ht="14.55" customHeight="1" x14ac:dyDescent="0.3">
      <c r="A1807" s="1258" t="s">
        <v>263</v>
      </c>
      <c r="B1807" s="455" t="e">
        <f>B1804+2*B1824</f>
        <v>#N/A</v>
      </c>
      <c r="C1807" s="460" t="s">
        <v>93</v>
      </c>
      <c r="D1807" s="455" t="e">
        <f>D1804+2*D1824</f>
        <v>#N/A</v>
      </c>
      <c r="E1807" s="460" t="s">
        <v>93</v>
      </c>
      <c r="F1807" s="455">
        <f>F1804+2*F1826</f>
        <v>0</v>
      </c>
      <c r="G1807" s="460" t="s">
        <v>93</v>
      </c>
      <c r="H1807" s="469"/>
      <c r="I1807" s="1261"/>
    </row>
    <row r="1808" spans="1:13" ht="14.55" customHeight="1" x14ac:dyDescent="0.3">
      <c r="A1808" s="1258" t="s">
        <v>264</v>
      </c>
      <c r="B1808" s="453" t="e">
        <f>(((((1/3*PI()*B1805))*((((B1806/2)^2)+(((B1806/2)*(B1807/2)))+((B1807/2)^2))))-(((1/3*PI()*B1805))*((((B1803/2)^2)+(((B1803/2)*(B1804/2)))+((B1804/2)^2)))))*7.86)/1000000</f>
        <v>#N/A</v>
      </c>
      <c r="C1808" s="460" t="s">
        <v>222</v>
      </c>
      <c r="D1808" s="453" t="e">
        <f>(((((1/3*PI()*D1805))*((((D1806/2)^2)+(((D1806/2)*(D1807/2)))+((D1807/2)^2))))-(((1/3*PI()*D1805))*((((D1803/2)^2)+(((D1803/2)*(D1804/2)))+((D1804/2)^2)))))*7.86)/1000000</f>
        <v>#N/A</v>
      </c>
      <c r="E1808" s="460" t="s">
        <v>222</v>
      </c>
      <c r="F1808" s="453">
        <f>(((((1/3*PI()*F1805))*((((F1806/2)^2)+(((F1806/2)*(F1807/2)))+((F1807/2)^2))))-(((1/3*PI()*F1805))*((((F1803/2)^2)+(((F1803/2)*(F1804/2)))+((F1804/2)^2)))))*7.86)/1000000</f>
        <v>0</v>
      </c>
      <c r="G1808" s="460" t="s">
        <v>222</v>
      </c>
      <c r="H1808" s="469"/>
      <c r="I1808" s="1261"/>
    </row>
    <row r="1809" spans="1:9" ht="14.55" customHeight="1" x14ac:dyDescent="0.3">
      <c r="A1809" s="1258" t="s">
        <v>265</v>
      </c>
      <c r="B1809" s="453">
        <f>((1/3*PI()*B1805))*((((B1803/2)^2)+(((B1803/2)*(B1804/2)))+((B1804/2)^2)))/1000000000</f>
        <v>0</v>
      </c>
      <c r="C1809" s="460" t="s">
        <v>225</v>
      </c>
      <c r="D1809" s="453">
        <f>((1/3*PI()*D1805))*((((D1803/2)^2)+(((D1803/2)*(D1804/2)))+((D1804/2)^2)))/1000000000</f>
        <v>0</v>
      </c>
      <c r="E1809" s="460" t="s">
        <v>225</v>
      </c>
      <c r="F1809" s="453">
        <f>((1/3*PI()*F1805))*((((F1803/2)^2)+(((F1803/2)*(F1804/2)))+((F1804/2)^2)))/1000000000</f>
        <v>0</v>
      </c>
      <c r="G1809" s="460" t="s">
        <v>225</v>
      </c>
      <c r="H1809" s="469"/>
      <c r="I1809" s="1261"/>
    </row>
    <row r="1810" spans="1:9" ht="14.55" customHeight="1" x14ac:dyDescent="0.3">
      <c r="A1810" s="1258" t="s">
        <v>266</v>
      </c>
      <c r="B1810" s="453" t="e">
        <f>PI()*(B1806+B1807)/2*SQRT(B1805^2+((B1806-B1807)/2)^2)/1000000</f>
        <v>#N/A</v>
      </c>
      <c r="C1810" s="460" t="s">
        <v>228</v>
      </c>
      <c r="D1810" s="453" t="e">
        <f>PI()*(D1806+D1807)/2*SQRT(D1805^2+((D1806-D1807)/2)^2)/1000000</f>
        <v>#N/A</v>
      </c>
      <c r="E1810" s="460" t="s">
        <v>228</v>
      </c>
      <c r="F1810" s="453">
        <f>PI()*(F1806+F1807)/2*SQRT(F1805^2+((F1806-F1807)/2)^2)/1000000</f>
        <v>0</v>
      </c>
      <c r="G1810" s="460" t="s">
        <v>228</v>
      </c>
      <c r="H1810" s="469"/>
      <c r="I1810" s="1261"/>
    </row>
    <row r="1811" spans="1:9" ht="14.55" customHeight="1" x14ac:dyDescent="0.3">
      <c r="A1811" s="1258" t="s">
        <v>267</v>
      </c>
      <c r="B1811" s="453" t="e">
        <f>B1806+2*B1830</f>
        <v>#N/A</v>
      </c>
      <c r="C1811" s="460" t="s">
        <v>93</v>
      </c>
      <c r="D1811" s="453">
        <f>D1803+2*D1830</f>
        <v>0</v>
      </c>
      <c r="E1811" s="460" t="s">
        <v>93</v>
      </c>
      <c r="F1811" s="453">
        <f>F1803+2*F1830</f>
        <v>0</v>
      </c>
      <c r="G1811" s="460" t="s">
        <v>93</v>
      </c>
      <c r="H1811" s="469"/>
      <c r="I1811" s="1261"/>
    </row>
    <row r="1812" spans="1:9" ht="14.55" customHeight="1" x14ac:dyDescent="0.3">
      <c r="A1812" s="1258" t="s">
        <v>268</v>
      </c>
      <c r="B1812" s="453" t="e">
        <f>B1807+2*B1830</f>
        <v>#N/A</v>
      </c>
      <c r="C1812" s="460" t="s">
        <v>93</v>
      </c>
      <c r="D1812" s="453">
        <f>D1804+2*D1830</f>
        <v>0</v>
      </c>
      <c r="E1812" s="460" t="s">
        <v>93</v>
      </c>
      <c r="F1812" s="453">
        <f>F1804+2*F1830</f>
        <v>0</v>
      </c>
      <c r="G1812" s="460" t="s">
        <v>93</v>
      </c>
      <c r="H1812" s="469"/>
      <c r="I1812" s="1261"/>
    </row>
    <row r="1813" spans="1:9" ht="14.55" customHeight="1" x14ac:dyDescent="0.3">
      <c r="A1813" s="1258" t="s">
        <v>269</v>
      </c>
      <c r="B1813" s="453" t="e">
        <f>PI()*(B1811+B1812)/2*SQRT(B1805^2+((B1811-B1812)/2)^2)/1000000</f>
        <v>#N/A</v>
      </c>
      <c r="C1813" s="460" t="s">
        <v>228</v>
      </c>
      <c r="D1813" s="453">
        <f>PI()*(D1811+D1812)/2*SQRT(D1805^2+((D1811-D1812)/2)^2)/1000000</f>
        <v>0</v>
      </c>
      <c r="E1813" s="460" t="s">
        <v>228</v>
      </c>
      <c r="F1813" s="453">
        <f>PI()*(F1811+F1812)/2*SQRT(F1805^2+((F1811-F1812)/2)^2)/1000000</f>
        <v>0</v>
      </c>
      <c r="G1813" s="460" t="s">
        <v>228</v>
      </c>
      <c r="H1813" s="469"/>
      <c r="I1813" s="1261"/>
    </row>
    <row r="1814" spans="1:9" ht="14.55" customHeight="1" x14ac:dyDescent="0.3">
      <c r="A1814" s="1258"/>
      <c r="B1814" s="453"/>
      <c r="C1814" s="460"/>
      <c r="D1814" s="453"/>
      <c r="E1814" s="460"/>
      <c r="F1814" s="453"/>
      <c r="G1814" s="460"/>
      <c r="H1814" s="460"/>
      <c r="I1814" s="1259"/>
    </row>
    <row r="1815" spans="1:9" ht="14.55" customHeight="1" x14ac:dyDescent="0.3">
      <c r="A1815" s="1258" t="s">
        <v>270</v>
      </c>
      <c r="B1815" s="725">
        <v>8</v>
      </c>
      <c r="C1815" s="460" t="s">
        <v>93</v>
      </c>
      <c r="D1815" s="725"/>
      <c r="E1815" s="460" t="s">
        <v>93</v>
      </c>
      <c r="F1815" s="725"/>
      <c r="G1815" s="460" t="s">
        <v>93</v>
      </c>
      <c r="H1815" s="460"/>
      <c r="I1815" s="1259"/>
    </row>
    <row r="1816" spans="1:9" ht="14.55" customHeight="1" x14ac:dyDescent="0.3">
      <c r="A1816" s="1258" t="s">
        <v>271</v>
      </c>
      <c r="B1816" s="453" t="e">
        <f>((D1764/10)*B1781/2)/(IF(B1759="div.1",B1772,B1775)-0.5*D1764/10)</f>
        <v>#N/A</v>
      </c>
      <c r="C1816" s="460" t="s">
        <v>93</v>
      </c>
      <c r="D1816" s="453" t="e">
        <f>((D1764/10)*D1781/2)/(IF(B1759="div.1",B1772,B1775)-0.5*D1764/10)</f>
        <v>#N/A</v>
      </c>
      <c r="E1816" s="460" t="s">
        <v>93</v>
      </c>
      <c r="F1816" s="453" t="e">
        <f>((D1764/10)*F1781/2)/(IF(B1759="div.1",F1772,F1775)-0.5*D1764/10)</f>
        <v>#N/A</v>
      </c>
      <c r="G1816" s="460" t="s">
        <v>93</v>
      </c>
      <c r="H1816" s="460"/>
      <c r="I1816" s="1259"/>
    </row>
    <row r="1817" spans="1:9" ht="14.55" customHeight="1" x14ac:dyDescent="0.3">
      <c r="A1817" s="1258" t="s">
        <v>272</v>
      </c>
      <c r="B1817" s="453" t="e">
        <f>B1791/2*(EXP(D1764/(10*IF(B1759="div.1",B1773,B1776)))-1)</f>
        <v>#N/A</v>
      </c>
      <c r="C1817" s="460" t="s">
        <v>93</v>
      </c>
      <c r="D1817" s="453" t="e">
        <f>D1791/2*(EXP(D1764/(10*IF(B1759="div.1",B1773,B1776)))-1)</f>
        <v>#N/A</v>
      </c>
      <c r="E1817" s="460" t="s">
        <v>93</v>
      </c>
      <c r="F1817" s="453" t="e">
        <f>F1791/2*(EXP(D1764/(10*IF(B1759="div.1",F1773,F1776)))-1)</f>
        <v>#N/A</v>
      </c>
      <c r="G1817" s="460" t="s">
        <v>93</v>
      </c>
      <c r="H1817" s="460"/>
      <c r="I1817" s="1259"/>
    </row>
    <row r="1818" spans="1:9" ht="14.55" customHeight="1" x14ac:dyDescent="0.3">
      <c r="A1818" s="1258" t="s">
        <v>273</v>
      </c>
      <c r="B1818" s="453" t="e">
        <f>B1803/2*(EXP(D1764/(10*IF(B1759="div.1",B1773,B1776)))-1)</f>
        <v>#N/A</v>
      </c>
      <c r="C1818" s="460" t="s">
        <v>93</v>
      </c>
      <c r="D1818" s="453" t="e">
        <f>D1803/2*(EXP(D1764/(10*IF(B1759="div.1",B1773,B1776)))-1)</f>
        <v>#N/A</v>
      </c>
      <c r="E1818" s="460" t="s">
        <v>93</v>
      </c>
      <c r="F1818" s="453" t="e">
        <f>F1803/2*(EXP(D1764/(10*IF(B1759="div.1",F1773,F1776)))-1)</f>
        <v>#N/A</v>
      </c>
      <c r="G1818" s="460" t="s">
        <v>93</v>
      </c>
      <c r="H1818" s="460"/>
      <c r="I1818" s="1259"/>
    </row>
    <row r="1819" spans="1:9" ht="14.55" customHeight="1" x14ac:dyDescent="0.3">
      <c r="A1819" s="1258" t="s">
        <v>274</v>
      </c>
      <c r="B1819" s="725"/>
      <c r="C1819" s="460" t="s">
        <v>93</v>
      </c>
      <c r="D1819" s="725"/>
      <c r="E1819" s="460" t="s">
        <v>93</v>
      </c>
      <c r="F1819" s="725"/>
      <c r="G1819" s="460" t="s">
        <v>93</v>
      </c>
      <c r="H1819" s="460"/>
      <c r="I1819" s="1259"/>
    </row>
    <row r="1820" spans="1:9" ht="14.55" customHeight="1" x14ac:dyDescent="0.3">
      <c r="A1820" s="1258" t="s">
        <v>275</v>
      </c>
      <c r="B1820" s="725"/>
      <c r="C1820" s="460" t="s">
        <v>93</v>
      </c>
      <c r="D1820" s="725"/>
      <c r="E1820" s="460" t="s">
        <v>93</v>
      </c>
      <c r="F1820" s="725"/>
      <c r="G1820" s="460" t="s">
        <v>93</v>
      </c>
      <c r="H1820" s="460"/>
      <c r="I1820" s="1259"/>
    </row>
    <row r="1821" spans="1:9" ht="14.55" customHeight="1" x14ac:dyDescent="0.3">
      <c r="A1821" s="1258" t="s">
        <v>276</v>
      </c>
      <c r="B1821" s="725"/>
      <c r="C1821" s="460" t="s">
        <v>93</v>
      </c>
      <c r="D1821" s="725"/>
      <c r="E1821" s="460" t="s">
        <v>93</v>
      </c>
      <c r="F1821" s="725"/>
      <c r="G1821" s="460" t="s">
        <v>93</v>
      </c>
      <c r="H1821" s="460"/>
      <c r="I1821" s="1259"/>
    </row>
    <row r="1822" spans="1:9" ht="14.55" customHeight="1" x14ac:dyDescent="0.3">
      <c r="A1822" s="1258" t="s">
        <v>277</v>
      </c>
      <c r="B1822" s="453" t="e">
        <f>IF((CEILING(B1816,1)+B1819)&lt;B1815,B1815,CEILING(B1816,1)+B1819)</f>
        <v>#N/A</v>
      </c>
      <c r="C1822" s="460" t="s">
        <v>93</v>
      </c>
      <c r="D1822" s="453" t="e">
        <f>IF((CEILING(D1816,1)+D1819)&lt;D1815,D1815,CEILING(D1816,1)+D1819)</f>
        <v>#N/A</v>
      </c>
      <c r="E1822" s="460" t="s">
        <v>93</v>
      </c>
      <c r="F1822" s="453" t="e">
        <f>IF((CEILING(F1816,1)+F1819)&lt;F1815,F1815,CEILING(F1816,1)+F1819)</f>
        <v>#N/A</v>
      </c>
      <c r="G1822" s="460" t="s">
        <v>93</v>
      </c>
      <c r="H1822" s="460"/>
      <c r="I1822" s="1259"/>
    </row>
    <row r="1823" spans="1:9" ht="14.55" customHeight="1" x14ac:dyDescent="0.3">
      <c r="A1823" s="1258" t="s">
        <v>278</v>
      </c>
      <c r="B1823" s="453" t="e">
        <f>IF((CEILING(B1817,1)+B1820)&lt;=B1815,B1815,CEILING(B1817,1)+B1820)</f>
        <v>#N/A</v>
      </c>
      <c r="C1823" s="460" t="s">
        <v>93</v>
      </c>
      <c r="D1823" s="453" t="e">
        <f>IF((CEILING(D1817,1)+D1820)&lt;=D1815,D1815,CEILING(D1817,1)+D1820)</f>
        <v>#N/A</v>
      </c>
      <c r="E1823" s="460" t="s">
        <v>93</v>
      </c>
      <c r="F1823" s="453" t="e">
        <f>IF((CEILING(F1817,1)+F1820)&lt;=F1815,F1815,CEILING(F1817,1)+F1820)</f>
        <v>#N/A</v>
      </c>
      <c r="G1823" s="460" t="s">
        <v>93</v>
      </c>
      <c r="H1823" s="460"/>
      <c r="I1823" s="1259"/>
    </row>
    <row r="1824" spans="1:9" ht="14.55" customHeight="1" x14ac:dyDescent="0.3">
      <c r="A1824" s="1258" t="s">
        <v>279</v>
      </c>
      <c r="B1824" s="453" t="e">
        <f>IF((CEILING(B1818,1)+B1821)&lt;=B1815,B1815,CEILING(B1818,1)+B1821)</f>
        <v>#N/A</v>
      </c>
      <c r="C1824" s="460" t="s">
        <v>93</v>
      </c>
      <c r="D1824" s="453" t="e">
        <f>IF((CEILING(D1818,1)+D1821)&lt;=D1815,D1815,CEILING(D1818,1)+D1821)</f>
        <v>#N/A</v>
      </c>
      <c r="E1824" s="460" t="s">
        <v>93</v>
      </c>
      <c r="F1824" s="453" t="e">
        <f>IF((CEILING(F1818,1)+F1821)&lt;=F1815,F1815,CEILING(F1818,1)+F1821)</f>
        <v>#N/A</v>
      </c>
      <c r="G1824" s="460" t="s">
        <v>93</v>
      </c>
      <c r="H1824" s="460"/>
      <c r="I1824" s="1259"/>
    </row>
    <row r="1825" spans="1:9" ht="14.55" customHeight="1" x14ac:dyDescent="0.3">
      <c r="A1825" s="1258" t="s">
        <v>280</v>
      </c>
      <c r="B1825" s="453"/>
      <c r="C1825" s="460"/>
      <c r="D1825" s="453"/>
      <c r="E1825" s="460"/>
      <c r="F1825" s="726"/>
      <c r="G1825" s="460"/>
      <c r="H1825" s="460"/>
      <c r="I1825" s="1259"/>
    </row>
    <row r="1826" spans="1:9" ht="14.55" customHeight="1" x14ac:dyDescent="0.3">
      <c r="A1826" s="1258" t="s">
        <v>281</v>
      </c>
      <c r="B1826" s="453"/>
      <c r="C1826" s="460"/>
      <c r="D1826" s="453"/>
      <c r="E1826" s="460"/>
      <c r="F1826" s="460">
        <f>IFERROR(VLOOKUP(F1780,'Thickness Tab'!$1:$1048576,MATCH(F1825,'Thickness Tab'!$1:$1,0),0),0)</f>
        <v>0</v>
      </c>
      <c r="G1826" s="460" t="s">
        <v>93</v>
      </c>
      <c r="H1826" s="460"/>
      <c r="I1826" s="1259"/>
    </row>
    <row r="1827" spans="1:9" ht="14.55" customHeight="1" x14ac:dyDescent="0.3">
      <c r="A1827" s="1258"/>
      <c r="B1827" s="464"/>
      <c r="C1827" s="460"/>
      <c r="D1827" s="460"/>
      <c r="E1827" s="460"/>
      <c r="F1827" s="460"/>
      <c r="G1827" s="460"/>
      <c r="H1827" s="460"/>
      <c r="I1827" s="1259"/>
    </row>
    <row r="1828" spans="1:9" ht="14.55" customHeight="1" x14ac:dyDescent="0.3">
      <c r="A1828" s="1258" t="s">
        <v>282</v>
      </c>
      <c r="B1828" s="725">
        <v>0</v>
      </c>
      <c r="C1828" s="460" t="s">
        <v>93</v>
      </c>
      <c r="D1828" s="725">
        <v>0</v>
      </c>
      <c r="E1828" s="460" t="s">
        <v>93</v>
      </c>
      <c r="F1828" s="725">
        <v>0</v>
      </c>
      <c r="G1828" s="460" t="s">
        <v>93</v>
      </c>
      <c r="H1828" s="460"/>
      <c r="I1828" s="1259"/>
    </row>
    <row r="1829" spans="1:9" ht="14.55" customHeight="1" x14ac:dyDescent="0.3">
      <c r="A1829" s="1258" t="s">
        <v>283</v>
      </c>
      <c r="B1829" s="725">
        <v>0</v>
      </c>
      <c r="C1829" s="460" t="s">
        <v>93</v>
      </c>
      <c r="D1829" s="725">
        <v>0</v>
      </c>
      <c r="E1829" s="460" t="s">
        <v>93</v>
      </c>
      <c r="F1829" s="725">
        <v>0</v>
      </c>
      <c r="G1829" s="460" t="s">
        <v>93</v>
      </c>
      <c r="H1829" s="460"/>
      <c r="I1829" s="1259"/>
    </row>
    <row r="1830" spans="1:9" ht="14.55" customHeight="1" x14ac:dyDescent="0.3">
      <c r="A1830" s="1258" t="s">
        <v>284</v>
      </c>
      <c r="B1830" s="725">
        <v>0</v>
      </c>
      <c r="C1830" s="460" t="s">
        <v>93</v>
      </c>
      <c r="D1830" s="725">
        <v>0</v>
      </c>
      <c r="E1830" s="460" t="s">
        <v>93</v>
      </c>
      <c r="F1830" s="725">
        <v>0</v>
      </c>
      <c r="G1830" s="460" t="s">
        <v>93</v>
      </c>
      <c r="H1830" s="460"/>
      <c r="I1830" s="1259"/>
    </row>
    <row r="1831" spans="1:9" ht="14.55" customHeight="1" x14ac:dyDescent="0.3">
      <c r="A1831" s="1258"/>
      <c r="B1831" s="464"/>
      <c r="C1831" s="460"/>
      <c r="D1831" s="460"/>
      <c r="E1831" s="460"/>
      <c r="F1831" s="460"/>
      <c r="G1831" s="460"/>
      <c r="H1831" s="460"/>
      <c r="I1831" s="1259"/>
    </row>
    <row r="1832" spans="1:9" ht="14.55" customHeight="1" x14ac:dyDescent="0.3">
      <c r="A1832" s="1260" t="s">
        <v>285</v>
      </c>
      <c r="B1832" s="470" t="str">
        <f>IF(B1760="Horizontal","No Skirt","")</f>
        <v/>
      </c>
      <c r="C1832" s="460"/>
      <c r="D1832" s="471"/>
      <c r="E1832" s="471" t="s">
        <v>286</v>
      </c>
      <c r="F1832" s="460"/>
      <c r="G1832" s="469"/>
      <c r="H1832" s="469"/>
      <c r="I1832" s="1261"/>
    </row>
    <row r="1833" spans="1:9" ht="14.55" customHeight="1" x14ac:dyDescent="0.3">
      <c r="A1833" s="1258" t="s">
        <v>287</v>
      </c>
      <c r="B1833" s="722"/>
      <c r="C1833" s="456" t="s">
        <v>93</v>
      </c>
      <c r="D1833" s="472"/>
      <c r="E1833" s="472" t="s">
        <v>288</v>
      </c>
      <c r="F1833" s="725"/>
      <c r="G1833" s="460" t="s">
        <v>93</v>
      </c>
      <c r="H1833" s="469"/>
      <c r="I1833" s="1261"/>
    </row>
    <row r="1834" spans="1:9" ht="14.55" customHeight="1" x14ac:dyDescent="0.3">
      <c r="A1834" s="1258" t="s">
        <v>289</v>
      </c>
      <c r="B1834" s="722"/>
      <c r="C1834" s="456" t="s">
        <v>93</v>
      </c>
      <c r="D1834" s="472"/>
      <c r="E1834" s="472" t="s">
        <v>290</v>
      </c>
      <c r="F1834" s="725"/>
      <c r="G1834" s="460" t="s">
        <v>93</v>
      </c>
      <c r="H1834" s="469"/>
      <c r="I1834" s="1261"/>
    </row>
    <row r="1835" spans="1:9" ht="14.55" customHeight="1" x14ac:dyDescent="0.3">
      <c r="A1835" s="1258" t="s">
        <v>291</v>
      </c>
      <c r="B1835" s="722"/>
      <c r="C1835" s="456" t="s">
        <v>93</v>
      </c>
      <c r="D1835" s="472"/>
      <c r="E1835" s="472" t="s">
        <v>292</v>
      </c>
      <c r="F1835" s="725"/>
      <c r="G1835" s="460"/>
      <c r="H1835" s="469"/>
      <c r="I1835" s="1261"/>
    </row>
    <row r="1836" spans="1:9" ht="14.55" customHeight="1" x14ac:dyDescent="0.3">
      <c r="A1836" s="1258" t="s">
        <v>293</v>
      </c>
      <c r="B1836" s="722"/>
      <c r="C1836" s="456" t="s">
        <v>93</v>
      </c>
      <c r="D1836" s="472"/>
      <c r="E1836" s="472" t="s">
        <v>184</v>
      </c>
      <c r="F1836" s="457">
        <f>(PI()*F1833^2)/4*F1834*(7800/1000000000)</f>
        <v>0</v>
      </c>
      <c r="G1836" s="460" t="s">
        <v>222</v>
      </c>
      <c r="H1836" s="460"/>
      <c r="I1836" s="1259"/>
    </row>
    <row r="1837" spans="1:9" ht="14.55" customHeight="1" x14ac:dyDescent="0.3">
      <c r="A1837" s="1258" t="s">
        <v>294</v>
      </c>
      <c r="B1837" s="722"/>
      <c r="C1837" s="456" t="s">
        <v>93</v>
      </c>
      <c r="D1837" s="460"/>
      <c r="E1837" s="460"/>
      <c r="F1837" s="460"/>
      <c r="G1837" s="460"/>
      <c r="H1837" s="460"/>
      <c r="I1837" s="1259"/>
    </row>
    <row r="1838" spans="1:9" ht="14.55" customHeight="1" x14ac:dyDescent="0.3">
      <c r="A1838" s="1258"/>
      <c r="B1838" s="407"/>
      <c r="C1838" s="460"/>
      <c r="D1838" s="460"/>
      <c r="E1838" s="460"/>
      <c r="F1838" s="460"/>
      <c r="G1838" s="460"/>
      <c r="H1838" s="460"/>
      <c r="I1838" s="1259"/>
    </row>
    <row r="1839" spans="1:9" ht="14.55" customHeight="1" x14ac:dyDescent="0.3">
      <c r="A1839" s="1262" t="s">
        <v>295</v>
      </c>
      <c r="B1839" s="480"/>
      <c r="C1839" s="59"/>
      <c r="D1839" s="59"/>
      <c r="E1839" s="59"/>
      <c r="F1839" s="460"/>
      <c r="G1839" s="460"/>
      <c r="H1839" s="460"/>
      <c r="I1839" s="1259"/>
    </row>
    <row r="1840" spans="1:9" ht="14.55" customHeight="1" x14ac:dyDescent="0.3">
      <c r="A1840" s="1263" t="s">
        <v>296</v>
      </c>
      <c r="B1840" s="722"/>
      <c r="C1840" s="59" t="s">
        <v>93</v>
      </c>
      <c r="D1840" s="59"/>
      <c r="E1840" s="59"/>
      <c r="F1840" s="460"/>
      <c r="G1840" s="460"/>
      <c r="H1840" s="460"/>
      <c r="I1840" s="1259"/>
    </row>
    <row r="1841" spans="1:9" ht="14.55" customHeight="1" x14ac:dyDescent="0.3">
      <c r="A1841" s="1263" t="s">
        <v>297</v>
      </c>
      <c r="B1841" s="722"/>
      <c r="C1841" s="59" t="s">
        <v>93</v>
      </c>
      <c r="D1841" s="59"/>
      <c r="E1841" s="59"/>
      <c r="F1841" s="460"/>
      <c r="G1841" s="460"/>
      <c r="H1841" s="460"/>
      <c r="I1841" s="1259"/>
    </row>
    <row r="1842" spans="1:9" ht="14.55" customHeight="1" x14ac:dyDescent="0.3">
      <c r="A1842" s="1263" t="s">
        <v>298</v>
      </c>
      <c r="B1842" s="480">
        <f>B1783</f>
        <v>0</v>
      </c>
      <c r="C1842" s="59" t="s">
        <v>93</v>
      </c>
      <c r="D1842" s="59"/>
      <c r="E1842" s="59"/>
      <c r="F1842" s="460"/>
      <c r="G1842" s="460"/>
      <c r="H1842" s="460"/>
      <c r="I1842" s="1259"/>
    </row>
    <row r="1843" spans="1:9" ht="14.55" customHeight="1" x14ac:dyDescent="0.3">
      <c r="A1843" s="1263" t="s">
        <v>299</v>
      </c>
      <c r="B1843" s="727"/>
      <c r="C1843" s="59"/>
      <c r="D1843" s="59"/>
      <c r="E1843" s="59"/>
      <c r="F1843" s="460"/>
      <c r="G1843" s="460"/>
      <c r="H1843" s="460"/>
      <c r="I1843" s="1259"/>
    </row>
    <row r="1844" spans="1:9" ht="14.55" customHeight="1" x14ac:dyDescent="0.3">
      <c r="A1844" s="1263" t="s">
        <v>300</v>
      </c>
      <c r="B1844" s="722"/>
      <c r="C1844" s="59" t="s">
        <v>301</v>
      </c>
      <c r="D1844" s="59"/>
      <c r="E1844" s="59"/>
      <c r="F1844" s="460"/>
      <c r="G1844" s="460"/>
      <c r="H1844" s="460"/>
      <c r="I1844" s="1259"/>
    </row>
    <row r="1845" spans="1:9" ht="14.55" customHeight="1" x14ac:dyDescent="0.3">
      <c r="A1845" s="1263" t="s">
        <v>302</v>
      </c>
      <c r="B1845" s="480">
        <f>IF(B1843="Straight",B1842,B1842*2)</f>
        <v>0</v>
      </c>
      <c r="C1845" s="59" t="s">
        <v>93</v>
      </c>
      <c r="D1845" s="480"/>
      <c r="E1845" s="59"/>
      <c r="F1845" s="460"/>
      <c r="G1845" s="460"/>
      <c r="H1845" s="460"/>
      <c r="I1845" s="1259"/>
    </row>
    <row r="1846" spans="1:9" ht="14.55" customHeight="1" x14ac:dyDescent="0.3">
      <c r="A1846" s="1263" t="s">
        <v>303</v>
      </c>
      <c r="B1846" s="480">
        <f>B1840*PI()*B1845/1000000*B1844</f>
        <v>0</v>
      </c>
      <c r="C1846" s="59" t="s">
        <v>228</v>
      </c>
      <c r="D1846" s="59"/>
      <c r="E1846" s="59"/>
      <c r="F1846" s="460"/>
      <c r="G1846" s="460"/>
      <c r="H1846" s="460"/>
      <c r="I1846" s="1259"/>
    </row>
    <row r="1847" spans="1:9" ht="14.55" customHeight="1" x14ac:dyDescent="0.3">
      <c r="A1847" s="1263" t="s">
        <v>304</v>
      </c>
      <c r="B1847" s="480">
        <v>7.86</v>
      </c>
      <c r="C1847" s="59" t="s">
        <v>305</v>
      </c>
      <c r="D1847" s="59"/>
      <c r="E1847" s="59"/>
      <c r="F1847" s="460"/>
      <c r="G1847" s="460"/>
      <c r="H1847" s="460"/>
      <c r="I1847" s="1259"/>
    </row>
    <row r="1848" spans="1:9" ht="14.55" customHeight="1" x14ac:dyDescent="0.3">
      <c r="A1848" s="1263" t="s">
        <v>306</v>
      </c>
      <c r="B1848" s="480">
        <f>PI()*B1841*(B1840-B1841)*B1847/1000</f>
        <v>0</v>
      </c>
      <c r="C1848" s="59" t="s">
        <v>307</v>
      </c>
      <c r="D1848" s="59"/>
      <c r="E1848" s="59"/>
      <c r="F1848" s="460"/>
      <c r="G1848" s="460"/>
      <c r="H1848" s="460"/>
      <c r="I1848" s="1259"/>
    </row>
    <row r="1849" spans="1:9" ht="14.55" customHeight="1" x14ac:dyDescent="0.3">
      <c r="A1849" s="1263" t="s">
        <v>308</v>
      </c>
      <c r="B1849" s="480">
        <f>B1848*B1845*B1844/1000</f>
        <v>0</v>
      </c>
      <c r="C1849" s="59" t="s">
        <v>222</v>
      </c>
      <c r="D1849" s="59"/>
      <c r="E1849" s="59"/>
      <c r="F1849" s="460"/>
      <c r="G1849" s="460"/>
      <c r="H1849" s="460"/>
      <c r="I1849" s="1259"/>
    </row>
    <row r="1850" spans="1:9" ht="14.55" customHeight="1" x14ac:dyDescent="0.3">
      <c r="A1850" s="1263"/>
      <c r="B1850" s="480"/>
      <c r="C1850" s="59"/>
      <c r="D1850" s="59"/>
      <c r="E1850" s="59"/>
      <c r="F1850" s="460"/>
      <c r="G1850" s="460"/>
      <c r="H1850" s="460"/>
      <c r="I1850" s="1259"/>
    </row>
    <row r="1851" spans="1:9" ht="14.55" customHeight="1" x14ac:dyDescent="0.3">
      <c r="A1851" s="1262" t="s">
        <v>309</v>
      </c>
      <c r="B1851" s="480"/>
      <c r="C1851" s="59"/>
      <c r="D1851" s="59"/>
      <c r="E1851" s="59"/>
      <c r="F1851" s="460"/>
      <c r="G1851" s="460"/>
      <c r="H1851" s="460"/>
      <c r="I1851" s="1259"/>
    </row>
    <row r="1852" spans="1:9" ht="14.55" customHeight="1" x14ac:dyDescent="0.3">
      <c r="A1852" s="1263" t="s">
        <v>310</v>
      </c>
      <c r="B1852" s="480">
        <f>B1781</f>
        <v>0</v>
      </c>
      <c r="C1852" s="59" t="s">
        <v>93</v>
      </c>
      <c r="D1852" s="59"/>
      <c r="E1852" s="59"/>
      <c r="F1852" s="460"/>
      <c r="G1852" s="460"/>
      <c r="H1852" s="460"/>
      <c r="I1852" s="1259"/>
    </row>
    <row r="1853" spans="1:9" ht="14.55" customHeight="1" x14ac:dyDescent="0.3">
      <c r="A1853" s="1263" t="s">
        <v>297</v>
      </c>
      <c r="B1853" s="480">
        <v>15</v>
      </c>
      <c r="C1853" s="59" t="s">
        <v>93</v>
      </c>
      <c r="D1853" s="59"/>
      <c r="E1853" s="59"/>
      <c r="F1853" s="460"/>
      <c r="G1853" s="460"/>
      <c r="H1853" s="460"/>
      <c r="I1853" s="1259"/>
    </row>
    <row r="1854" spans="1:9" ht="14.55" customHeight="1" x14ac:dyDescent="0.3">
      <c r="A1854" s="1263" t="s">
        <v>311</v>
      </c>
      <c r="B1854" s="480">
        <f>B1852^2*PI()/4/1000000</f>
        <v>0</v>
      </c>
      <c r="C1854" s="59" t="s">
        <v>228</v>
      </c>
      <c r="D1854" s="59"/>
      <c r="E1854" s="59"/>
      <c r="F1854" s="460"/>
      <c r="G1854" s="460"/>
      <c r="H1854" s="460"/>
      <c r="I1854" s="1259"/>
    </row>
    <row r="1855" spans="1:9" ht="14.55" customHeight="1" x14ac:dyDescent="0.3">
      <c r="A1855" s="1263" t="s">
        <v>312</v>
      </c>
      <c r="B1855" s="480">
        <f>B1854*B1853/1000*B1847*2/1000</f>
        <v>0</v>
      </c>
      <c r="C1855" s="59" t="s">
        <v>222</v>
      </c>
      <c r="D1855" s="59"/>
      <c r="E1855" s="59"/>
      <c r="F1855" s="460"/>
      <c r="G1855" s="460"/>
      <c r="H1855" s="460"/>
      <c r="I1855" s="1259"/>
    </row>
    <row r="1856" spans="1:9" ht="14.55" customHeight="1" x14ac:dyDescent="0.3">
      <c r="A1856" s="1263"/>
      <c r="B1856" s="480"/>
      <c r="C1856" s="59"/>
      <c r="D1856" s="59"/>
      <c r="E1856" s="59"/>
      <c r="F1856" s="460"/>
      <c r="G1856" s="460"/>
      <c r="H1856" s="460"/>
      <c r="I1856" s="1259"/>
    </row>
    <row r="1857" spans="1:9" ht="14.55" customHeight="1" x14ac:dyDescent="0.3">
      <c r="A1857" s="1263" t="s">
        <v>313</v>
      </c>
      <c r="B1857" s="480">
        <f>B1849+B1855*2</f>
        <v>0</v>
      </c>
      <c r="C1857" s="59" t="s">
        <v>222</v>
      </c>
      <c r="D1857" s="59"/>
      <c r="E1857" s="59"/>
      <c r="F1857" s="460"/>
      <c r="G1857" s="460"/>
      <c r="H1857" s="460"/>
      <c r="I1857" s="1259"/>
    </row>
    <row r="1858" spans="1:9" ht="14.55" customHeight="1" x14ac:dyDescent="0.3">
      <c r="A1858" s="1263"/>
      <c r="B1858" s="480"/>
      <c r="C1858" s="59"/>
      <c r="D1858" s="59"/>
      <c r="E1858" s="59"/>
      <c r="F1858" s="460"/>
      <c r="G1858" s="460"/>
      <c r="H1858" s="460"/>
      <c r="I1858" s="1259"/>
    </row>
    <row r="1859" spans="1:9" ht="14.55" customHeight="1" x14ac:dyDescent="0.3">
      <c r="A1859" s="1260" t="s">
        <v>314</v>
      </c>
      <c r="B1859" s="460"/>
      <c r="C1859" s="460"/>
      <c r="D1859" s="463" t="s">
        <v>315</v>
      </c>
      <c r="E1859" s="460"/>
      <c r="F1859" s="460"/>
      <c r="G1859" s="471" t="s">
        <v>316</v>
      </c>
      <c r="H1859" s="453"/>
      <c r="I1859" s="1259"/>
    </row>
    <row r="1860" spans="1:9" ht="14.55" customHeight="1" x14ac:dyDescent="0.3">
      <c r="A1860" s="1258" t="s">
        <v>189</v>
      </c>
      <c r="B1860" s="468" t="e">
        <f>SUM(B1784,D1784,F1784)</f>
        <v>#N/A</v>
      </c>
      <c r="C1860" s="460" t="s">
        <v>222</v>
      </c>
      <c r="D1860" s="472" t="s">
        <v>189</v>
      </c>
      <c r="E1860" s="468" t="e">
        <f>SUM(B1786,D1786,F1786)</f>
        <v>#N/A</v>
      </c>
      <c r="F1860" s="460" t="s">
        <v>228</v>
      </c>
      <c r="G1860" s="472" t="s">
        <v>189</v>
      </c>
      <c r="H1860" s="453" t="e">
        <f>SUM(B1788,D1788,F1788)</f>
        <v>#N/A</v>
      </c>
      <c r="I1860" s="1259" t="s">
        <v>228</v>
      </c>
    </row>
    <row r="1861" spans="1:9" ht="14.55" customHeight="1" x14ac:dyDescent="0.3">
      <c r="A1861" s="1258" t="s">
        <v>317</v>
      </c>
      <c r="B1861" s="468" t="e">
        <f>SUM(B1794*B1796,D1794*D1796,F1794*F1796)</f>
        <v>#N/A</v>
      </c>
      <c r="C1861" s="460" t="s">
        <v>222</v>
      </c>
      <c r="D1861" s="472" t="s">
        <v>317</v>
      </c>
      <c r="E1861" s="468" t="e">
        <f>SUM(B1794*B1798,D1794*D1798,F1794*F1798)</f>
        <v>#N/A</v>
      </c>
      <c r="F1861" s="460" t="s">
        <v>228</v>
      </c>
      <c r="G1861" s="472" t="s">
        <v>317</v>
      </c>
      <c r="H1861" s="453" t="e">
        <f>SUM(B1794*B1800,D1794*D1800,F1794*F1800)</f>
        <v>#N/A</v>
      </c>
      <c r="I1861" s="1259" t="s">
        <v>228</v>
      </c>
    </row>
    <row r="1862" spans="1:9" ht="14.55" customHeight="1" x14ac:dyDescent="0.3">
      <c r="A1862" s="1258" t="s">
        <v>318</v>
      </c>
      <c r="B1862" s="468" t="e">
        <f>SUM(B1808,D1808,F1808)</f>
        <v>#N/A</v>
      </c>
      <c r="C1862" s="460" t="s">
        <v>222</v>
      </c>
      <c r="D1862" s="472" t="s">
        <v>318</v>
      </c>
      <c r="E1862" s="468" t="e">
        <f>SUM(B1810,D1810,F1810)</f>
        <v>#N/A</v>
      </c>
      <c r="F1862" s="460" t="s">
        <v>228</v>
      </c>
      <c r="G1862" s="472" t="s">
        <v>318</v>
      </c>
      <c r="H1862" s="453" t="e">
        <f>SUM(B1813,D1813,F1813)</f>
        <v>#N/A</v>
      </c>
      <c r="I1862" s="1259" t="s">
        <v>228</v>
      </c>
    </row>
    <row r="1863" spans="1:9" ht="14.55" customHeight="1" x14ac:dyDescent="0.3">
      <c r="A1863" s="1258" t="s">
        <v>319</v>
      </c>
      <c r="B1863" s="468">
        <f>SUMPRODUCT(F1880:F1891,H1880:H1891)</f>
        <v>0</v>
      </c>
      <c r="C1863" s="460" t="s">
        <v>222</v>
      </c>
      <c r="D1863" s="472" t="s">
        <v>319</v>
      </c>
      <c r="E1863" s="468">
        <f>SUMPRODUCT(F1880:F1891,I1880:I1891)</f>
        <v>0</v>
      </c>
      <c r="F1863" s="460" t="s">
        <v>228</v>
      </c>
      <c r="G1863" s="460"/>
      <c r="H1863" s="453"/>
      <c r="I1863" s="1259"/>
    </row>
    <row r="1864" spans="1:9" ht="14.55" customHeight="1" x14ac:dyDescent="0.3">
      <c r="A1864" s="1258" t="s">
        <v>320</v>
      </c>
      <c r="B1864" s="468" t="e">
        <f>IF(B1760="Horizontal",0,(PI()*B1834*(((B1782/2)^2)-(((B1782-2*B1833)/2)^2))*7860)/1000000000)</f>
        <v>#N/A</v>
      </c>
      <c r="C1864" s="460" t="s">
        <v>222</v>
      </c>
      <c r="D1864" s="472" t="s">
        <v>320</v>
      </c>
      <c r="E1864" s="468" t="e">
        <f>IF(B1760="Horizontal",0,((B1782*B1834*PI())+((B1782-2*B1833)*B1834*PI()))/1000000)</f>
        <v>#N/A</v>
      </c>
      <c r="F1864" s="460" t="s">
        <v>228</v>
      </c>
      <c r="G1864" s="471" t="s">
        <v>321</v>
      </c>
      <c r="H1864" s="453"/>
      <c r="I1864" s="1259"/>
    </row>
    <row r="1865" spans="1:9" ht="14.55" customHeight="1" x14ac:dyDescent="0.3">
      <c r="A1865" s="1258" t="s">
        <v>322</v>
      </c>
      <c r="B1865" s="468">
        <f>IF(B1760="Horizontal",0,(PI()*B1837*(((B1836/2)^2)-((B1835/2)^2))*7860)/1000000000)</f>
        <v>0</v>
      </c>
      <c r="C1865" s="460" t="s">
        <v>222</v>
      </c>
      <c r="D1865" s="472" t="s">
        <v>322</v>
      </c>
      <c r="E1865" s="468">
        <f>IF(B1760="Horizontal",0,((B1836*3.14*B1837)+(B1835*3.14*B1837)+(((((B1836/2)^2)*3.14)-(((B1835/2)^2)*3.14))*2))/1000000)</f>
        <v>0</v>
      </c>
      <c r="F1865" s="460" t="s">
        <v>228</v>
      </c>
      <c r="G1865" s="472" t="s">
        <v>189</v>
      </c>
      <c r="H1865" s="453">
        <f>SUM(B1785,D1785,F1785)</f>
        <v>0</v>
      </c>
      <c r="I1865" s="1259" t="s">
        <v>225</v>
      </c>
    </row>
    <row r="1866" spans="1:9" ht="14.55" customHeight="1" x14ac:dyDescent="0.3">
      <c r="A1866" s="1258" t="s">
        <v>323</v>
      </c>
      <c r="B1866" s="468">
        <f>IF(B1760="Horizontal",VLOOKUP(B1782,List!$AR:$AS,2,1)*2,0)</f>
        <v>0</v>
      </c>
      <c r="C1866" s="460" t="s">
        <v>222</v>
      </c>
      <c r="D1866" s="472" t="s">
        <v>323</v>
      </c>
      <c r="E1866" s="725"/>
      <c r="F1866" s="460" t="s">
        <v>228</v>
      </c>
      <c r="G1866" s="472" t="s">
        <v>317</v>
      </c>
      <c r="H1866" s="453" t="e">
        <f>SUM(B1794*B1797+D1794*D1797+F1794*F1797)</f>
        <v>#N/A</v>
      </c>
      <c r="I1866" s="1259" t="s">
        <v>225</v>
      </c>
    </row>
    <row r="1867" spans="1:9" ht="14.55" customHeight="1" x14ac:dyDescent="0.3">
      <c r="A1867" s="1258" t="s">
        <v>324</v>
      </c>
      <c r="B1867" s="468">
        <f>F1836*F1835</f>
        <v>0</v>
      </c>
      <c r="C1867" s="460" t="s">
        <v>222</v>
      </c>
      <c r="D1867" s="460"/>
      <c r="E1867" s="460"/>
      <c r="F1867" s="460"/>
      <c r="G1867" s="472" t="s">
        <v>318</v>
      </c>
      <c r="H1867" s="453">
        <f>SUM(B1809,D1809,F1809)</f>
        <v>0</v>
      </c>
      <c r="I1867" s="1259" t="s">
        <v>225</v>
      </c>
    </row>
    <row r="1868" spans="1:9" ht="14.55" customHeight="1" x14ac:dyDescent="0.3">
      <c r="A1868" s="1258" t="s">
        <v>325</v>
      </c>
      <c r="B1868" s="468">
        <f>B1857</f>
        <v>0</v>
      </c>
      <c r="C1868" s="460" t="s">
        <v>222</v>
      </c>
      <c r="D1868" s="460"/>
      <c r="E1868" s="460"/>
      <c r="F1868" s="460"/>
      <c r="G1868" s="472"/>
      <c r="H1868" s="453"/>
      <c r="I1868" s="1259"/>
    </row>
    <row r="1869" spans="1:9" ht="14.55" customHeight="1" x14ac:dyDescent="0.3">
      <c r="A1869" s="1258" t="s">
        <v>326</v>
      </c>
      <c r="B1869" s="725"/>
      <c r="C1869" s="460" t="s">
        <v>222</v>
      </c>
      <c r="D1869" s="460"/>
      <c r="E1869" s="460"/>
      <c r="F1869" s="460"/>
      <c r="G1869" s="460"/>
      <c r="H1869" s="460"/>
      <c r="I1869" s="1259"/>
    </row>
    <row r="1870" spans="1:9" ht="14.55" customHeight="1" x14ac:dyDescent="0.3">
      <c r="A1870" s="1264"/>
      <c r="B1870" s="460"/>
      <c r="C1870" s="460"/>
      <c r="D1870" s="460"/>
      <c r="E1870" s="460"/>
      <c r="F1870" s="460"/>
      <c r="G1870" s="460"/>
      <c r="H1870" s="460"/>
      <c r="I1870" s="1259"/>
    </row>
    <row r="1871" spans="1:9" ht="14.55" customHeight="1" x14ac:dyDescent="0.3">
      <c r="A1871" s="1258" t="s">
        <v>327</v>
      </c>
      <c r="B1871" s="453" t="e">
        <f>SUM(E1860:E1866)</f>
        <v>#N/A</v>
      </c>
      <c r="C1871" s="460" t="s">
        <v>228</v>
      </c>
      <c r="D1871" s="460"/>
      <c r="E1871" s="460"/>
      <c r="F1871" s="460"/>
      <c r="G1871" s="460"/>
      <c r="H1871" s="460"/>
      <c r="I1871" s="1259"/>
    </row>
    <row r="1872" spans="1:9" ht="14.55" customHeight="1" x14ac:dyDescent="0.3">
      <c r="A1872" s="1258" t="s">
        <v>328</v>
      </c>
      <c r="B1872" s="453" t="e">
        <f>IF(SUM(E1860:E1862)=SUM(H1860:H1862),"Not Insulated",SUM(H1860:H1862))</f>
        <v>#N/A</v>
      </c>
      <c r="C1872" s="460" t="e">
        <f>IF(B1871=SUM(H1860:H1862),"","m2")</f>
        <v>#N/A</v>
      </c>
      <c r="D1872" s="460"/>
      <c r="E1872" s="460"/>
      <c r="F1872" s="460"/>
      <c r="G1872" s="460"/>
      <c r="H1872" s="460"/>
      <c r="I1872" s="1259"/>
    </row>
    <row r="1873" spans="1:9" ht="14.55" customHeight="1" x14ac:dyDescent="0.3">
      <c r="A1873" s="1258" t="s">
        <v>329</v>
      </c>
      <c r="B1873" s="453" t="e">
        <f>SUM(H1865:H1867)</f>
        <v>#N/A</v>
      </c>
      <c r="C1873" s="460" t="s">
        <v>225</v>
      </c>
      <c r="D1873" s="460"/>
      <c r="E1873" s="460"/>
      <c r="F1873" s="460"/>
      <c r="G1873" s="460"/>
      <c r="H1873" s="460"/>
      <c r="I1873" s="1259"/>
    </row>
    <row r="1874" spans="1:9" ht="14.55" customHeight="1" x14ac:dyDescent="0.3">
      <c r="A1874" s="1258" t="s">
        <v>330</v>
      </c>
      <c r="B1874" s="453" t="e">
        <f>SUM(B1860:B1869)</f>
        <v>#N/A</v>
      </c>
      <c r="C1874" s="460" t="s">
        <v>222</v>
      </c>
      <c r="D1874" s="460"/>
      <c r="E1874" s="460"/>
      <c r="F1874" s="460"/>
      <c r="G1874" s="460"/>
      <c r="H1874" s="460"/>
      <c r="I1874" s="1259"/>
    </row>
    <row r="1875" spans="1:9" ht="14.55" customHeight="1" x14ac:dyDescent="0.3">
      <c r="A1875" s="1258" t="s">
        <v>331</v>
      </c>
      <c r="B1875" s="725"/>
      <c r="C1875" s="460" t="s">
        <v>222</v>
      </c>
      <c r="D1875" s="460"/>
      <c r="E1875" s="460"/>
      <c r="F1875" s="460"/>
      <c r="G1875" s="460"/>
      <c r="H1875" s="460"/>
      <c r="I1875" s="1259"/>
    </row>
    <row r="1876" spans="1:9" ht="15" customHeight="1" thickBot="1" x14ac:dyDescent="0.35">
      <c r="A1876" s="1258"/>
      <c r="B1876" s="473"/>
      <c r="C1876" s="459"/>
      <c r="D1876" s="460"/>
      <c r="E1876" s="460"/>
      <c r="F1876" s="460"/>
      <c r="G1876" s="460"/>
      <c r="H1876" s="460"/>
      <c r="I1876" s="1259"/>
    </row>
    <row r="1877" spans="1:9" ht="15" customHeight="1" thickBot="1" x14ac:dyDescent="0.35">
      <c r="A1877" s="474"/>
      <c r="B1877" s="1718" t="s">
        <v>332</v>
      </c>
      <c r="C1877" s="1718"/>
      <c r="D1877" s="1718"/>
      <c r="E1877" s="1718"/>
      <c r="F1877" s="1718"/>
      <c r="G1877" s="475"/>
      <c r="H1877" s="475"/>
      <c r="I1877" s="476"/>
    </row>
    <row r="1878" spans="1:9" ht="14.55" customHeight="1" x14ac:dyDescent="0.3">
      <c r="A1878" s="1264"/>
      <c r="B1878" s="1719" t="s">
        <v>333</v>
      </c>
      <c r="C1878" s="1381" t="s">
        <v>59</v>
      </c>
      <c r="D1878" s="1719" t="s">
        <v>114</v>
      </c>
      <c r="E1878" s="1719" t="s">
        <v>334</v>
      </c>
      <c r="F1878" s="1719" t="s">
        <v>292</v>
      </c>
      <c r="G1878" s="1719" t="s">
        <v>335</v>
      </c>
      <c r="H1878" s="1381" t="s">
        <v>184</v>
      </c>
      <c r="I1878" s="1346" t="s">
        <v>336</v>
      </c>
    </row>
    <row r="1879" spans="1:9" ht="14.55" customHeight="1" x14ac:dyDescent="0.3">
      <c r="A1879" s="1264"/>
      <c r="B1879" s="1720"/>
      <c r="C1879" s="1442" t="s">
        <v>214</v>
      </c>
      <c r="D1879" s="1720"/>
      <c r="E1879" s="1720"/>
      <c r="F1879" s="1720"/>
      <c r="G1879" s="1720"/>
      <c r="H1879" s="1442" t="s">
        <v>222</v>
      </c>
      <c r="I1879" s="1443" t="s">
        <v>228</v>
      </c>
    </row>
    <row r="1880" spans="1:9" ht="14.55" customHeight="1" x14ac:dyDescent="0.3">
      <c r="A1880" s="1264"/>
      <c r="B1880" s="1382" t="s">
        <v>337</v>
      </c>
      <c r="C1880" s="728"/>
      <c r="D1880" s="729"/>
      <c r="E1880" s="730"/>
      <c r="F1880" s="730"/>
      <c r="G1880" s="730"/>
      <c r="H1880" s="1465" t="str">
        <f>IFERROR(VLOOKUP($C1880&amp;"F"&amp;$D1880,'Flanges Chart'!$1:$1048576,MATCH($E1880&amp;"."&amp;H$123,'Flanges Chart'!$1:$1,0),0),"")</f>
        <v/>
      </c>
      <c r="I1880" s="1466" t="str">
        <f>IFERROR(VLOOKUP($C1880&amp;"F"&amp;$D1880,'Flanges Chart'!$1:$1048576,MATCH($E1880&amp;"."&amp;I$123,'Flanges Chart'!$1:$1,0),0),"")</f>
        <v/>
      </c>
    </row>
    <row r="1881" spans="1:9" ht="14.55" customHeight="1" x14ac:dyDescent="0.3">
      <c r="A1881" s="1264"/>
      <c r="B1881" s="1467" t="s">
        <v>340</v>
      </c>
      <c r="C1881" s="731"/>
      <c r="D1881" s="729"/>
      <c r="E1881" s="729"/>
      <c r="F1881" s="729"/>
      <c r="G1881" s="729"/>
      <c r="H1881" s="1465" t="str">
        <f>IFERROR(VLOOKUP($C1881&amp;"F"&amp;$D1881,'Flanges Chart'!$1:$1048576,MATCH($E1881&amp;"."&amp;H$123,'Flanges Chart'!$1:$1,0),0),"")</f>
        <v/>
      </c>
      <c r="I1881" s="1466" t="str">
        <f>IFERROR(VLOOKUP($C1881&amp;"F"&amp;$D1881,'Flanges Chart'!$1:$1048576,MATCH($E1881&amp;"."&amp;I$123,'Flanges Chart'!$1:$1,0),0),"")</f>
        <v/>
      </c>
    </row>
    <row r="1882" spans="1:9" ht="14.55" customHeight="1" x14ac:dyDescent="0.3">
      <c r="A1882" s="1264"/>
      <c r="B1882" s="1467" t="s">
        <v>342</v>
      </c>
      <c r="C1882" s="731"/>
      <c r="D1882" s="729"/>
      <c r="E1882" s="729"/>
      <c r="F1882" s="729"/>
      <c r="G1882" s="729"/>
      <c r="H1882" s="1465" t="str">
        <f>IFERROR(VLOOKUP($C1882&amp;"F"&amp;$D1882,'Flanges Chart'!$1:$1048576,MATCH($E1882&amp;"."&amp;H$123,'Flanges Chart'!$1:$1,0),0),"")</f>
        <v/>
      </c>
      <c r="I1882" s="1466" t="str">
        <f>IFERROR(VLOOKUP($C1882&amp;"F"&amp;$D1882,'Flanges Chart'!$1:$1048576,MATCH($E1882&amp;"."&amp;I$123,'Flanges Chart'!$1:$1,0),0),"")</f>
        <v/>
      </c>
    </row>
    <row r="1883" spans="1:9" ht="14.55" customHeight="1" x14ac:dyDescent="0.3">
      <c r="A1883" s="1264"/>
      <c r="B1883" s="1467" t="s">
        <v>344</v>
      </c>
      <c r="C1883" s="731"/>
      <c r="D1883" s="729"/>
      <c r="E1883" s="729"/>
      <c r="F1883" s="729"/>
      <c r="G1883" s="729"/>
      <c r="H1883" s="1465" t="str">
        <f>IFERROR(VLOOKUP($C1883&amp;"F"&amp;$D1883,'Flanges Chart'!$1:$1048576,MATCH($E1883&amp;"."&amp;H$123,'Flanges Chart'!$1:$1,0),0),"")</f>
        <v/>
      </c>
      <c r="I1883" s="1466" t="str">
        <f>IFERROR(VLOOKUP($C1883&amp;"F"&amp;$D1883,'Flanges Chart'!$1:$1048576,MATCH($E1883&amp;"."&amp;I$123,'Flanges Chart'!$1:$1,0),0),"")</f>
        <v/>
      </c>
    </row>
    <row r="1884" spans="1:9" ht="14.55" customHeight="1" x14ac:dyDescent="0.3">
      <c r="A1884" s="1264"/>
      <c r="B1884" s="1467" t="s">
        <v>347</v>
      </c>
      <c r="C1884" s="731"/>
      <c r="D1884" s="729"/>
      <c r="E1884" s="729"/>
      <c r="F1884" s="729"/>
      <c r="G1884" s="729"/>
      <c r="H1884" s="1465" t="str">
        <f>IFERROR(VLOOKUP($C1884&amp;"F"&amp;$D1884,'Flanges Chart'!$1:$1048576,MATCH($E1884&amp;"."&amp;H$123,'Flanges Chart'!$1:$1,0),0),"")</f>
        <v/>
      </c>
      <c r="I1884" s="1466" t="str">
        <f>IFERROR(VLOOKUP($C1884&amp;"F"&amp;$D1884,'Flanges Chart'!$1:$1048576,MATCH($E1884&amp;"."&amp;I$123,'Flanges Chart'!$1:$1,0),0),"")</f>
        <v/>
      </c>
    </row>
    <row r="1885" spans="1:9" ht="14.55" customHeight="1" x14ac:dyDescent="0.3">
      <c r="A1885" s="1264"/>
      <c r="B1885" s="1467" t="s">
        <v>349</v>
      </c>
      <c r="C1885" s="731"/>
      <c r="D1885" s="729"/>
      <c r="E1885" s="729"/>
      <c r="F1885" s="729"/>
      <c r="G1885" s="729"/>
      <c r="H1885" s="1465" t="str">
        <f>IFERROR(VLOOKUP($C1885&amp;"F"&amp;$D1885,'Flanges Chart'!$1:$1048576,MATCH($E1885&amp;"."&amp;H$123,'Flanges Chart'!$1:$1,0),0),"")</f>
        <v/>
      </c>
      <c r="I1885" s="1466" t="str">
        <f>IFERROR(VLOOKUP($C1885&amp;"F"&amp;$D1885,'Flanges Chart'!$1:$1048576,MATCH($E1885&amp;"."&amp;I$123,'Flanges Chart'!$1:$1,0),0),"")</f>
        <v/>
      </c>
    </row>
    <row r="1886" spans="1:9" ht="14.55" customHeight="1" x14ac:dyDescent="0.3">
      <c r="A1886" s="1264"/>
      <c r="B1886" s="1467" t="s">
        <v>350</v>
      </c>
      <c r="C1886" s="731"/>
      <c r="D1886" s="729"/>
      <c r="E1886" s="729"/>
      <c r="F1886" s="729"/>
      <c r="G1886" s="729"/>
      <c r="H1886" s="1465" t="str">
        <f>IFERROR(VLOOKUP($C1886&amp;"F"&amp;$D1886,'Flanges Chart'!$1:$1048576,MATCH($E1886&amp;"."&amp;H$123,'Flanges Chart'!$1:$1,0),0),"")</f>
        <v/>
      </c>
      <c r="I1886" s="1466" t="str">
        <f>IFERROR(VLOOKUP($C1886&amp;"F"&amp;$D1886,'Flanges Chart'!$1:$1048576,MATCH($E1886&amp;"."&amp;I$123,'Flanges Chart'!$1:$1,0),0),"")</f>
        <v/>
      </c>
    </row>
    <row r="1887" spans="1:9" ht="14.55" customHeight="1" x14ac:dyDescent="0.3">
      <c r="A1887" s="1264"/>
      <c r="B1887" s="1467" t="s">
        <v>351</v>
      </c>
      <c r="C1887" s="731"/>
      <c r="D1887" s="729"/>
      <c r="E1887" s="729"/>
      <c r="F1887" s="729"/>
      <c r="G1887" s="729"/>
      <c r="H1887" s="1465" t="str">
        <f>IFERROR(VLOOKUP($C1887&amp;"F"&amp;$D1887,'Flanges Chart'!$1:$1048576,MATCH($E1887&amp;"."&amp;H$123,'Flanges Chart'!$1:$1,0),0),"")</f>
        <v/>
      </c>
      <c r="I1887" s="1466" t="str">
        <f>IFERROR(VLOOKUP($C1887&amp;"F"&amp;$D1887,'Flanges Chart'!$1:$1048576,MATCH($E1887&amp;"."&amp;I$123,'Flanges Chart'!$1:$1,0),0),"")</f>
        <v/>
      </c>
    </row>
    <row r="1888" spans="1:9" ht="14.55" customHeight="1" x14ac:dyDescent="0.3">
      <c r="A1888" s="1264"/>
      <c r="B1888" s="1467" t="s">
        <v>352</v>
      </c>
      <c r="C1888" s="731"/>
      <c r="D1888" s="729"/>
      <c r="E1888" s="729"/>
      <c r="F1888" s="729"/>
      <c r="G1888" s="729"/>
      <c r="H1888" s="1465" t="str">
        <f>IFERROR(VLOOKUP($C1888&amp;"F"&amp;$D1888,'Flanges Chart'!$1:$1048576,MATCH($E1888&amp;"."&amp;H$123,'Flanges Chart'!$1:$1,0),0),"")</f>
        <v/>
      </c>
      <c r="I1888" s="1466" t="str">
        <f>IFERROR(VLOOKUP($C1888&amp;"F"&amp;$D1888,'Flanges Chart'!$1:$1048576,MATCH($E1888&amp;"."&amp;I$123,'Flanges Chart'!$1:$1,0),0),"")</f>
        <v/>
      </c>
    </row>
    <row r="1889" spans="1:13" ht="14.55" customHeight="1" x14ac:dyDescent="0.3">
      <c r="A1889" s="1264"/>
      <c r="B1889" s="1467" t="s">
        <v>353</v>
      </c>
      <c r="C1889" s="731"/>
      <c r="D1889" s="729"/>
      <c r="E1889" s="729"/>
      <c r="F1889" s="729"/>
      <c r="G1889" s="729"/>
      <c r="H1889" s="1465" t="str">
        <f>IFERROR(VLOOKUP($C1889&amp;"F"&amp;$D1889,'Flanges Chart'!$1:$1048576,MATCH($E1889&amp;"."&amp;H$123,'Flanges Chart'!$1:$1,0),0),"")</f>
        <v/>
      </c>
      <c r="I1889" s="1466" t="str">
        <f>IFERROR(VLOOKUP($C1889&amp;"F"&amp;$D1889,'Flanges Chart'!$1:$1048576,MATCH($E1889&amp;"."&amp;I$123,'Flanges Chart'!$1:$1,0),0),"")</f>
        <v/>
      </c>
    </row>
    <row r="1890" spans="1:13" ht="14.55" customHeight="1" x14ac:dyDescent="0.3">
      <c r="A1890" s="1264"/>
      <c r="B1890" s="1467" t="s">
        <v>354</v>
      </c>
      <c r="C1890" s="731"/>
      <c r="D1890" s="729"/>
      <c r="E1890" s="729"/>
      <c r="F1890" s="729"/>
      <c r="G1890" s="729"/>
      <c r="H1890" s="1465" t="str">
        <f>IFERROR(VLOOKUP($C1890&amp;"F"&amp;$D1890,'Flanges Chart'!$1:$1048576,MATCH($E1890&amp;"."&amp;H$123,'Flanges Chart'!$1:$1,0),0),"")</f>
        <v/>
      </c>
      <c r="I1890" s="1466" t="str">
        <f>IFERROR(VLOOKUP($C1890&amp;"F"&amp;$D1890,'Flanges Chart'!$1:$1048576,MATCH($E1890&amp;"."&amp;I$123,'Flanges Chart'!$1:$1,0),0),"")</f>
        <v/>
      </c>
    </row>
    <row r="1891" spans="1:13" ht="15" customHeight="1" thickBot="1" x14ac:dyDescent="0.35">
      <c r="A1891" s="1264"/>
      <c r="B1891" s="1468" t="s">
        <v>355</v>
      </c>
      <c r="C1891" s="732"/>
      <c r="D1891" s="733"/>
      <c r="E1891" s="733"/>
      <c r="F1891" s="733"/>
      <c r="G1891" s="733"/>
      <c r="H1891" s="1469" t="s">
        <v>356</v>
      </c>
      <c r="I1891" s="1470" t="str">
        <f>IFERROR(VLOOKUP($C1891&amp;"F"&amp;$D1891,'Flanges Chart'!$1:$1048576,MATCH($E1891&amp;"."&amp;I$123,'Flanges Chart'!$1:$1,0),0),"")</f>
        <v/>
      </c>
    </row>
    <row r="1892" spans="1:13" s="496" customFormat="1" ht="18.600000000000001" thickBot="1" x14ac:dyDescent="0.35">
      <c r="A1892" s="493" t="str">
        <f>"POS."&amp;K1892&amp;" "&amp;VLOOKUP(K1892,'Equip&amp;Mach List'!$1:$1048576,2,0)&amp;" "&amp;VLOOKUP(K1892,'Equip&amp;Mach List'!$1:$1048576,3,0)</f>
        <v xml:space="preserve">POS.15  </v>
      </c>
      <c r="B1892" s="511"/>
      <c r="C1892" s="494"/>
      <c r="D1892" s="495"/>
      <c r="E1892" s="495"/>
      <c r="F1892" s="497"/>
      <c r="G1892" s="495"/>
      <c r="H1892" s="495"/>
      <c r="I1892" s="1255" t="str">
        <f>IFERROR("Weight Calc./Selected = "&amp;ROUND(B2009,1)&amp;"/"&amp;B2010&amp;" kg - Øi ="&amp;IF(B1916=0,F1916,B1916)&amp;" mm"&amp;"T/T ="&amp;IF(B1917=0,F1917,B1917)&amp;" mm - Material "&amp;B1903&amp;"        ","")</f>
        <v/>
      </c>
      <c r="K1892" s="496">
        <v>15</v>
      </c>
      <c r="M1892" s="1254"/>
    </row>
    <row r="1893" spans="1:13" ht="14.55" customHeight="1" x14ac:dyDescent="0.3">
      <c r="A1893" s="1256"/>
      <c r="B1893" s="451"/>
      <c r="C1893" s="451"/>
      <c r="D1893" s="451"/>
      <c r="E1893" s="451"/>
      <c r="F1893" s="451"/>
      <c r="G1893" s="451"/>
      <c r="H1893" s="451"/>
      <c r="I1893" s="1257"/>
      <c r="K1893" s="477" t="s">
        <v>166</v>
      </c>
      <c r="L1893" s="477" t="str">
        <f>K1892&amp;"."&amp;K1893</f>
        <v>15.Design Code</v>
      </c>
      <c r="M1893" s="1252" t="str">
        <f>A1894&amp;" "&amp;B1894</f>
        <v xml:space="preserve">ASME VIII </v>
      </c>
    </row>
    <row r="1894" spans="1:13" ht="14.55" customHeight="1" x14ac:dyDescent="0.3">
      <c r="A1894" s="1258" t="s">
        <v>167</v>
      </c>
      <c r="B1894" s="718"/>
      <c r="C1894" s="459"/>
      <c r="D1894" s="460"/>
      <c r="E1894" s="460"/>
      <c r="F1894" s="460"/>
      <c r="G1894" s="460"/>
      <c r="H1894" s="460"/>
      <c r="I1894" s="1259"/>
      <c r="K1894" s="477" t="s">
        <v>169</v>
      </c>
      <c r="L1894" s="477" t="str">
        <f>K1892&amp;"."&amp;K1894</f>
        <v>15.Orientation</v>
      </c>
      <c r="M1894" s="1252">
        <f>B1895</f>
        <v>0</v>
      </c>
    </row>
    <row r="1895" spans="1:13" ht="14.55" customHeight="1" x14ac:dyDescent="0.3">
      <c r="A1895" s="1258" t="s">
        <v>170</v>
      </c>
      <c r="B1895" s="718"/>
      <c r="C1895" s="459"/>
      <c r="D1895" s="460"/>
      <c r="E1895" s="460"/>
      <c r="F1895" s="461"/>
      <c r="G1895" s="460"/>
      <c r="H1895" s="460"/>
      <c r="I1895" s="1259"/>
      <c r="K1895" s="477" t="s">
        <v>172</v>
      </c>
      <c r="L1895" s="477" t="str">
        <f>K1892&amp;"."&amp;K1895</f>
        <v>15.Design Temperature</v>
      </c>
      <c r="M1895" s="1252">
        <f>D1898</f>
        <v>0</v>
      </c>
    </row>
    <row r="1896" spans="1:13" ht="14.55" customHeight="1" x14ac:dyDescent="0.3">
      <c r="A1896" s="1258"/>
      <c r="B1896" s="459"/>
      <c r="C1896" s="459"/>
      <c r="D1896" s="460"/>
      <c r="E1896" s="460"/>
      <c r="F1896" s="462"/>
      <c r="G1896" s="460"/>
      <c r="H1896" s="460"/>
      <c r="I1896" s="1259"/>
      <c r="K1896" s="477" t="s">
        <v>173</v>
      </c>
      <c r="L1896" s="477" t="str">
        <f>K1892&amp;"."&amp;K1896</f>
        <v>15.Design Pressure</v>
      </c>
      <c r="M1896" s="1252">
        <f>D1899</f>
        <v>0</v>
      </c>
    </row>
    <row r="1897" spans="1:13" ht="14.55" customHeight="1" x14ac:dyDescent="0.3">
      <c r="A1897" s="1260" t="s">
        <v>174</v>
      </c>
      <c r="B1897" s="459"/>
      <c r="C1897" s="459"/>
      <c r="D1897" s="460"/>
      <c r="E1897" s="460"/>
      <c r="F1897" s="462"/>
      <c r="G1897" s="460"/>
      <c r="H1897" s="460"/>
      <c r="I1897" s="1259"/>
      <c r="K1897" s="477" t="s">
        <v>175</v>
      </c>
      <c r="L1897" s="477" t="str">
        <f>K1892&amp;"."&amp;K1897</f>
        <v>15.Material</v>
      </c>
      <c r="M1897" s="1252">
        <f>B1903</f>
        <v>0</v>
      </c>
    </row>
    <row r="1898" spans="1:13" ht="14.55" customHeight="1" x14ac:dyDescent="0.3">
      <c r="A1898" s="1258" t="s">
        <v>176</v>
      </c>
      <c r="B1898" s="719"/>
      <c r="C1898" s="720"/>
      <c r="D1898" s="464">
        <f>IF(C1898="°C",B1898,0)+IF(C1898="°F",(B1898-32)*5/9,0)</f>
        <v>0</v>
      </c>
      <c r="E1898" s="460" t="s">
        <v>177</v>
      </c>
      <c r="F1898" s="462"/>
      <c r="G1898" s="460"/>
      <c r="H1898" s="460"/>
      <c r="I1898" s="1259"/>
      <c r="K1898" s="477" t="s">
        <v>178</v>
      </c>
      <c r="L1898" s="477" t="str">
        <f>K1892&amp;"."&amp;K1898</f>
        <v>15.Inside Diameter</v>
      </c>
      <c r="M1898" s="1252">
        <f>IF(B1916=0,F1916,B1916)</f>
        <v>0</v>
      </c>
    </row>
    <row r="1899" spans="1:13" ht="14.55" customHeight="1" x14ac:dyDescent="0.3">
      <c r="A1899" s="1258" t="s">
        <v>179</v>
      </c>
      <c r="B1899" s="721"/>
      <c r="C1899" s="720"/>
      <c r="D1899" s="452">
        <f>IF(C1899="barg",B1899,0)+IF(C1899="psig",B1899*List!$AV$4,0)+IF(C1899="MPa",B1899*List!$AV$5,0)+IF(C1899="N/mm2",B1899*List!$AV$6,0)</f>
        <v>0</v>
      </c>
      <c r="E1899" s="460" t="s">
        <v>180</v>
      </c>
      <c r="F1899" s="460"/>
      <c r="G1899" s="460"/>
      <c r="H1899" s="460"/>
      <c r="I1899" s="1259"/>
      <c r="K1899" s="477" t="s">
        <v>181</v>
      </c>
      <c r="L1899" s="477" t="str">
        <f>K1892&amp;"."&amp;K1899</f>
        <v>15.Tan / Tan</v>
      </c>
      <c r="M1899" s="1252">
        <f>IF(B1918=0,F1918,B1918)</f>
        <v>0</v>
      </c>
    </row>
    <row r="1900" spans="1:13" ht="14.55" customHeight="1" x14ac:dyDescent="0.3">
      <c r="A1900" s="1258" t="s">
        <v>182</v>
      </c>
      <c r="B1900" s="721"/>
      <c r="C1900" s="720"/>
      <c r="D1900" s="452">
        <f>IF(C1900="barg",B1900,0)+IF(C1900="psig",B1900*List!$AV$4,0)+IF(C1900="MPa",B1900*List!$AV$5,0)+IF(C1900="N/mm2",B1900*List!$AV$6,0)</f>
        <v>0</v>
      </c>
      <c r="E1900" s="460" t="s">
        <v>180</v>
      </c>
      <c r="F1900" s="460"/>
      <c r="G1900" s="465"/>
      <c r="H1900" s="460"/>
      <c r="I1900" s="1259"/>
      <c r="K1900" s="477" t="s">
        <v>183</v>
      </c>
      <c r="L1900" s="477" t="str">
        <f>K1892&amp;"."&amp;K1900</f>
        <v>15.Thickness</v>
      </c>
      <c r="M1900" s="1252" t="e">
        <f>IF(B1957=0,F1961,B1957)</f>
        <v>#N/A</v>
      </c>
    </row>
    <row r="1901" spans="1:13" ht="14.55" customHeight="1" x14ac:dyDescent="0.3">
      <c r="A1901" s="1258"/>
      <c r="B1901" s="459"/>
      <c r="C1901" s="459"/>
      <c r="D1901" s="460"/>
      <c r="E1901" s="460"/>
      <c r="F1901" s="460"/>
      <c r="G1901" s="465"/>
      <c r="H1901" s="460"/>
      <c r="I1901" s="1259"/>
      <c r="K1901" s="477" t="s">
        <v>184</v>
      </c>
      <c r="L1901" s="477" t="str">
        <f>K1892&amp;"."&amp;K1901</f>
        <v>15.Unit Weight</v>
      </c>
      <c r="M1901" s="1252">
        <f>B2010</f>
        <v>0</v>
      </c>
    </row>
    <row r="1902" spans="1:13" ht="14.55" customHeight="1" x14ac:dyDescent="0.3">
      <c r="A1902" s="1260" t="s">
        <v>185</v>
      </c>
      <c r="B1902" s="459" t="s">
        <v>186</v>
      </c>
      <c r="C1902" s="459"/>
      <c r="D1902" s="460"/>
      <c r="E1902" s="460"/>
      <c r="F1902" s="460" t="s">
        <v>187</v>
      </c>
      <c r="G1902" s="465"/>
      <c r="H1902" s="460"/>
      <c r="I1902" s="1259"/>
      <c r="K1902" s="478" t="s">
        <v>188</v>
      </c>
      <c r="L1902" s="477" t="str">
        <f>K1892&amp;"."&amp;K1902</f>
        <v>15.Unit External Surface</v>
      </c>
      <c r="M1902" s="1252" t="e">
        <f>B2006</f>
        <v>#N/A</v>
      </c>
    </row>
    <row r="1903" spans="1:13" ht="14.55" customHeight="1" x14ac:dyDescent="0.3">
      <c r="A1903" s="1258" t="s">
        <v>189</v>
      </c>
      <c r="B1903" s="1716"/>
      <c r="C1903" s="1717"/>
      <c r="D1903" s="460"/>
      <c r="E1903" s="461"/>
      <c r="F1903" s="1716"/>
      <c r="G1903" s="1717"/>
      <c r="H1903" s="460"/>
      <c r="I1903" s="1259"/>
      <c r="K1903" s="477" t="s">
        <v>191</v>
      </c>
      <c r="L1903" s="477" t="str">
        <f>K1892&amp;"."&amp;K1903</f>
        <v>15.M1 DN</v>
      </c>
      <c r="M1903" s="1252">
        <f>C2024</f>
        <v>0</v>
      </c>
    </row>
    <row r="1904" spans="1:13" ht="14.55" customHeight="1" x14ac:dyDescent="0.3">
      <c r="A1904" s="1258" t="s">
        <v>192</v>
      </c>
      <c r="B1904" s="1716"/>
      <c r="C1904" s="1717"/>
      <c r="D1904" s="460"/>
      <c r="E1904" s="461"/>
      <c r="F1904" s="1716"/>
      <c r="G1904" s="1717"/>
      <c r="H1904" s="460"/>
      <c r="I1904" s="1259"/>
      <c r="K1904" s="477" t="s">
        <v>193</v>
      </c>
      <c r="L1904" s="477" t="str">
        <f>K1892&amp;"."&amp;K1904</f>
        <v>15.M1 Rating</v>
      </c>
      <c r="M1904" s="1252">
        <f>D2024</f>
        <v>0</v>
      </c>
    </row>
    <row r="1905" spans="1:13" ht="14.55" customHeight="1" x14ac:dyDescent="0.3">
      <c r="A1905" s="1258"/>
      <c r="B1905" s="466"/>
      <c r="C1905" s="466"/>
      <c r="D1905" s="460"/>
      <c r="E1905" s="460"/>
      <c r="F1905" s="460"/>
      <c r="G1905" s="460"/>
      <c r="H1905" s="460"/>
      <c r="I1905" s="1259"/>
      <c r="K1905" s="477" t="s">
        <v>194</v>
      </c>
      <c r="L1905" s="477" t="str">
        <f>K1892&amp;"."&amp;K1905</f>
        <v>15.M1 Type</v>
      </c>
      <c r="M1905" s="1252">
        <f>E2024</f>
        <v>0</v>
      </c>
    </row>
    <row r="1906" spans="1:13" ht="14.55" customHeight="1" x14ac:dyDescent="0.3">
      <c r="A1906" s="1258" t="s">
        <v>195</v>
      </c>
      <c r="B1906" s="460"/>
      <c r="C1906" s="460"/>
      <c r="D1906" s="460"/>
      <c r="E1906" s="460"/>
      <c r="F1906" s="460"/>
      <c r="G1906" s="460"/>
      <c r="H1906" s="460"/>
      <c r="I1906" s="1259"/>
      <c r="K1906" s="477" t="s">
        <v>196</v>
      </c>
      <c r="L1906" s="477" t="str">
        <f>K1892&amp;"."&amp;K1906</f>
        <v>15.M1 Quantity</v>
      </c>
      <c r="M1906" s="1252">
        <f>F2024</f>
        <v>0</v>
      </c>
    </row>
    <row r="1907" spans="1:13" ht="14.55" customHeight="1" x14ac:dyDescent="0.3">
      <c r="A1907" s="1258" t="s">
        <v>197</v>
      </c>
      <c r="B1907" s="464" t="e">
        <f>$D1898*(VLOOKUP($B1903,'ASME II Tab 1A'!$1:$1048576,MATCH($D1898,'ASME II Tab 1A'!$6:$6,1)+1,0)-VLOOKUP($B1903,'ASME II Tab 1A'!$1:$1048576,MATCH($D1898,'ASME II Tab 1A'!$6:$6,1),0))/(INDEX('ASME II Tab 1A'!$6:$6,MATCH($D1898,'ASME II Tab 1A'!$6:$6,1)+1)-INDEX('ASME II Tab 1A'!$6:$6,MATCH($D1898,'ASME II Tab 1A'!$6:$6,1)))+VLOOKUP($B1903,'ASME II Tab 1A'!$1:$1048576,MATCH($D1898,'ASME II Tab 1A'!$6:$6,1)+1,0)-INDEX('ASME II Tab 1A'!$6:$6,MATCH($D1898,'ASME II Tab 1A'!$6:$6,1)+1)*(VLOOKUP($B1903,'ASME II Tab 1A'!$1:$1048576,MATCH($D1898,'ASME II Tab 1A'!$6:$6,1)+1,0)-VLOOKUP($B1903,'ASME II Tab 1A'!$1:$1048576,MATCH($D1898,'ASME II Tab 1A'!$6:$6,1),0))/(INDEX('ASME II Tab 1A'!$6:$6,MATCH($D1898,'ASME II Tab 1A'!$6:$6,1)+1)-INDEX('ASME II Tab 1A'!$6:$6,MATCH($D1898,'ASME II Tab 1A'!$6:$6,1)))</f>
        <v>#N/A</v>
      </c>
      <c r="C1907" s="460" t="s">
        <v>198</v>
      </c>
      <c r="D1907" s="460"/>
      <c r="E1907" s="467"/>
      <c r="F1907" s="460" t="e">
        <f>$D1898*(VLOOKUP($F1903,'ASME II Tab 1A'!$1:$1048576,MATCH($D1898,'ASME II Tab 1A'!$6:$6,1)+1,0)-VLOOKUP($F1903,'ASME II Tab 1A'!$1:$1048576,MATCH($D1898,'ASME II Tab 1A'!$6:$6,1),0))/(INDEX('ASME II Tab 1A'!$6:$6,MATCH($D1898,'ASME II Tab 1A'!$6:$6,1)+1)-INDEX('ASME II Tab 1A'!$6:$6,MATCH($D1898,'ASME II Tab 1A'!$6:$6,1)))+VLOOKUP($F1903,'ASME II Tab 1A'!$1:$1048576,MATCH($D1898,'ASME II Tab 1A'!$6:$6,1)+1,0)-INDEX('ASME II Tab 1A'!$6:$6,MATCH($D1898,'ASME II Tab 1A'!$6:$6,1)+1)*(VLOOKUP($F1903,'ASME II Tab 1A'!$1:$1048576,MATCH($D1898,'ASME II Tab 1A'!$6:$6,1)+1,0)-VLOOKUP($F1903,'ASME II Tab 1A'!$1:$1048576,MATCH($D1898,'ASME II Tab 1A'!$6:$6,1),0))/(INDEX('ASME II Tab 1A'!$6:$6,MATCH($D1898,'ASME II Tab 1A'!$6:$6,1)+1)-INDEX('ASME II Tab 1A'!$6:$6,MATCH($D1898,'ASME II Tab 1A'!$6:$6,1)))</f>
        <v>#N/A</v>
      </c>
      <c r="G1907" s="460" t="s">
        <v>198</v>
      </c>
      <c r="H1907" s="460"/>
      <c r="I1907" s="1259"/>
      <c r="K1907" s="477" t="s">
        <v>199</v>
      </c>
      <c r="L1907" s="477" t="str">
        <f>K1892&amp;"."&amp;K1907</f>
        <v>15.M2 DN</v>
      </c>
      <c r="M1907" s="1252">
        <f>C2025</f>
        <v>0</v>
      </c>
    </row>
    <row r="1908" spans="1:13" ht="14.55" customHeight="1" x14ac:dyDescent="0.3">
      <c r="A1908" s="1258" t="s">
        <v>200</v>
      </c>
      <c r="B1908" s="464" t="e">
        <f>$D1898*(VLOOKUP($B1904,'ASME II Tab 1A'!$1:$1048576,MATCH($D1898,'ASME II Tab 1A'!$6:$6,1)+1,0)-VLOOKUP($B1904,'ASME II Tab 1A'!$1:$1048576,MATCH($D1898,'ASME II Tab 1A'!$6:$6,1),0))/(INDEX('ASME II Tab 1A'!$6:$6,MATCH($D1898,'ASME II Tab 1A'!$6:$6,1)+1)-INDEX('ASME II Tab 1A'!$6:$6,MATCH($D1898,'ASME II Tab 1A'!$6:$6,1)))+VLOOKUP($B1904,'ASME II Tab 1A'!$1:$1048576,MATCH($D1898,'ASME II Tab 1A'!$6:$6,1)+1,0)-INDEX('ASME II Tab 1A'!$6:$6,MATCH($D1898,'ASME II Tab 1A'!$6:$6,1)+1)*(VLOOKUP($B1904,'ASME II Tab 1A'!$1:$1048576,MATCH($D1898,'ASME II Tab 1A'!$6:$6,1)+1,0)-VLOOKUP($B1904,'ASME II Tab 1A'!$1:$1048576,MATCH($D1898,'ASME II Tab 1A'!$6:$6,1),0))/(INDEX('ASME II Tab 1A'!$6:$6,MATCH($D1898,'ASME II Tab 1A'!$6:$6,1)+1)-INDEX('ASME II Tab 1A'!$6:$6,MATCH($D1898,'ASME II Tab 1A'!$6:$6,1)))</f>
        <v>#N/A</v>
      </c>
      <c r="C1908" s="460" t="s">
        <v>198</v>
      </c>
      <c r="D1908" s="460"/>
      <c r="E1908" s="460"/>
      <c r="F1908" s="460" t="e">
        <f>$D1898*(VLOOKUP($F1904,'ASME II Tab 1A'!$1:$1048576,MATCH($D1898,'ASME II Tab 1A'!$6:$6,1)+1,0)-VLOOKUP($F1904,'ASME II Tab 1A'!$1:$1048576,MATCH($D1898,'ASME II Tab 1A'!$6:$6,1),0))/(INDEX('ASME II Tab 1A'!$6:$6,MATCH($D1898,'ASME II Tab 1A'!$6:$6,1)+1)-INDEX('ASME II Tab 1A'!$6:$6,MATCH($D1898,'ASME II Tab 1A'!$6:$6,1)))+VLOOKUP($F1904,'ASME II Tab 1A'!$1:$1048576,MATCH($D1898,'ASME II Tab 1A'!$6:$6,1)+1,0)-INDEX('ASME II Tab 1A'!$6:$6,MATCH($D1898,'ASME II Tab 1A'!$6:$6,1)+1)*(VLOOKUP($F1904,'ASME II Tab 1A'!$1:$1048576,MATCH($D1898,'ASME II Tab 1A'!$6:$6,1)+1,0)-VLOOKUP($F1904,'ASME II Tab 1A'!$1:$1048576,MATCH($D1898,'ASME II Tab 1A'!$6:$6,1),0))/(INDEX('ASME II Tab 1A'!$6:$6,MATCH($D1898,'ASME II Tab 1A'!$6:$6,1)+1)-INDEX('ASME II Tab 1A'!$6:$6,MATCH($D1898,'ASME II Tab 1A'!$6:$6,1)))</f>
        <v>#N/A</v>
      </c>
      <c r="G1908" s="460" t="s">
        <v>198</v>
      </c>
      <c r="H1908" s="460"/>
      <c r="I1908" s="1259"/>
      <c r="K1908" s="477" t="s">
        <v>201</v>
      </c>
      <c r="L1908" s="477" t="str">
        <f>K1892&amp;"."&amp;K1908</f>
        <v>15.M2 Rating</v>
      </c>
      <c r="M1908" s="1252">
        <f>D2025</f>
        <v>0</v>
      </c>
    </row>
    <row r="1909" spans="1:13" ht="14.55" customHeight="1" x14ac:dyDescent="0.3">
      <c r="A1909" s="1258" t="s">
        <v>202</v>
      </c>
      <c r="B1909" s="460"/>
      <c r="C1909" s="460"/>
      <c r="D1909" s="460"/>
      <c r="E1909" s="460"/>
      <c r="F1909" s="460"/>
      <c r="G1909" s="460"/>
      <c r="H1909" s="460"/>
      <c r="I1909" s="1259"/>
      <c r="K1909" s="477" t="s">
        <v>203</v>
      </c>
      <c r="L1909" s="477" t="str">
        <f>K1892&amp;"."&amp;K1909</f>
        <v>15.M2 Type</v>
      </c>
      <c r="M1909" s="1252">
        <f>E2025</f>
        <v>0</v>
      </c>
    </row>
    <row r="1910" spans="1:13" ht="14.55" customHeight="1" x14ac:dyDescent="0.3">
      <c r="A1910" s="1258" t="s">
        <v>197</v>
      </c>
      <c r="B1910" s="464" t="e">
        <f>$D1898*(VLOOKUP($B1903,'ASME II Tab 5A'!$1:$1048576,MATCH($D1898,'ASME II Tab 5A'!$5:$5,1)+1,0)-VLOOKUP($B1903,'ASME II Tab 5A'!$1:$1048576,MATCH($D1898,'ASME II Tab 5A'!$5:$5,1),0))/(INDEX('ASME II Tab 5A'!$5:$5,MATCH($D1898,'ASME II Tab 5A'!$5:$5,1)+1)-INDEX('ASME II Tab 5A'!$5:$5,MATCH($D1898,'ASME II Tab 5A'!$5:$5,1)))+VLOOKUP($B1903,'ASME II Tab 5A'!$1:$1048576,MATCH($D1898,'ASME II Tab 5A'!$5:$5,1)+1,0)-INDEX('ASME II Tab 5A'!$5:$5,MATCH($D1898,'ASME II Tab 5A'!$5:$5,1)+1)*(VLOOKUP($B1903,'ASME II Tab 5A'!$1:$1048576,MATCH($D1898,'ASME II Tab 5A'!$5:$5,1)+1,0)-VLOOKUP($B1903,'ASME II Tab 5A'!$1:$1048576,MATCH($D1898,'ASME II Tab 5A'!$5:$5,1),0))/(INDEX('ASME II Tab 5A'!$5:$5,MATCH($D1898,'ASME II Tab 5A'!$5:$5,1)+1)-INDEX('ASME II Tab 5A'!$5:$5,MATCH($D1898,'ASME II Tab 5A'!$5:$5,1)))</f>
        <v>#N/A</v>
      </c>
      <c r="C1910" s="460" t="s">
        <v>198</v>
      </c>
      <c r="D1910" s="460"/>
      <c r="E1910" s="460"/>
      <c r="F1910" s="460" t="e">
        <f>$D1898*(VLOOKUP($F1903,'ASME II Tab 5A'!$1:$1048576,MATCH($D1898,'ASME II Tab 5A'!$5:$5,1)+1,0)-VLOOKUP($F1903,'ASME II Tab 5A'!$1:$1048576,MATCH($D1898,'ASME II Tab 5A'!$5:$5,1),0))/(INDEX('ASME II Tab 5A'!$5:$5,MATCH($D1898,'ASME II Tab 5A'!$5:$5,1)+1)-INDEX('ASME II Tab 5A'!$5:$5,MATCH($D1898,'ASME II Tab 5A'!$5:$5,1)))+VLOOKUP($F1903,'ASME II Tab 5A'!$1:$1048576,MATCH($D1898,'ASME II Tab 5A'!$5:$5,1)+1,0)-INDEX('ASME II Tab 5A'!$5:$5,MATCH($D1898,'ASME II Tab 5A'!$5:$5,1)+1)*(VLOOKUP($F1903,'ASME II Tab 5A'!$1:$1048576,MATCH($D1898,'ASME II Tab 5A'!$5:$5,1)+1,0)-VLOOKUP($F1903,'ASME II Tab 5A'!$1:$1048576,MATCH($D1898,'ASME II Tab 5A'!$5:$5,1),0))/(INDEX('ASME II Tab 5A'!$5:$5,MATCH($D1898,'ASME II Tab 5A'!$5:$5,1)+1)-INDEX('ASME II Tab 5A'!$5:$5,MATCH($D1898,'ASME II Tab 5A'!$5:$5,1)))</f>
        <v>#N/A</v>
      </c>
      <c r="G1910" s="460" t="s">
        <v>198</v>
      </c>
      <c r="H1910" s="460"/>
      <c r="I1910" s="1259"/>
      <c r="K1910" s="477" t="s">
        <v>204</v>
      </c>
      <c r="L1910" s="477" t="str">
        <f>K1892&amp;"."&amp;K1910</f>
        <v>15.M2 Quantity</v>
      </c>
      <c r="M1910" s="1252">
        <f>F2025</f>
        <v>0</v>
      </c>
    </row>
    <row r="1911" spans="1:13" ht="14.55" customHeight="1" x14ac:dyDescent="0.3">
      <c r="A1911" s="1258" t="s">
        <v>200</v>
      </c>
      <c r="B1911" s="464" t="e">
        <f>$D1898*(VLOOKUP($B1904,'ASME II Tab 5A'!$1:$1048576,MATCH($D1898,'ASME II Tab 5A'!$5:$5,1)+1,0)-VLOOKUP($B1904,'ASME II Tab 5A'!$1:$1048576,MATCH($D1898,'ASME II Tab 5A'!$5:$5,1),0))/(INDEX('ASME II Tab 5A'!$5:$5,MATCH($D1898,'ASME II Tab 5A'!$5:$5,1)+1)-INDEX('ASME II Tab 5A'!$5:$5,MATCH($D1898,'ASME II Tab 5A'!$5:$5,1)))+VLOOKUP($B1904,'ASME II Tab 5A'!$1:$1048576,MATCH($D1898,'ASME II Tab 5A'!$5:$5,1)+1,0)-INDEX('ASME II Tab 5A'!$5:$5,MATCH($D1898,'ASME II Tab 5A'!$5:$5,1)+1)*(VLOOKUP($B1904,'ASME II Tab 5A'!$1:$1048576,MATCH($D1898,'ASME II Tab 5A'!$5:$5,1)+1,0)-VLOOKUP($B1904,'ASME II Tab 5A'!$1:$1048576,MATCH($D1898,'ASME II Tab 5A'!$5:$5,1),0))/(INDEX('ASME II Tab 5A'!$5:$5,MATCH($D1898,'ASME II Tab 5A'!$5:$5,1)+1)-INDEX('ASME II Tab 5A'!$5:$5,MATCH($D1898,'ASME II Tab 5A'!$5:$5,1)))</f>
        <v>#N/A</v>
      </c>
      <c r="C1911" s="460" t="s">
        <v>198</v>
      </c>
      <c r="D1911" s="460"/>
      <c r="E1911" s="460"/>
      <c r="F1911" s="460" t="e">
        <f>$D1898*(VLOOKUP($F1904,'ASME II Tab 5A'!$1:$1048576,MATCH($D1898,'ASME II Tab 5A'!$5:$5,1)+1,0)-VLOOKUP($F1904,'ASME II Tab 5A'!$1:$1048576,MATCH($D1898,'ASME II Tab 5A'!$5:$5,1),0))/(INDEX('ASME II Tab 5A'!$5:$5,MATCH($D1898,'ASME II Tab 5A'!$5:$5,1)+1)-INDEX('ASME II Tab 5A'!$5:$5,MATCH($D1898,'ASME II Tab 5A'!$5:$5,1)))+VLOOKUP($F1904,'ASME II Tab 5A'!$1:$1048576,MATCH($D1898,'ASME II Tab 5A'!$5:$5,1)+1,0)-INDEX('ASME II Tab 5A'!$5:$5,MATCH($D1898,'ASME II Tab 5A'!$5:$5,1)+1)*(VLOOKUP($F1904,'ASME II Tab 5A'!$1:$1048576,MATCH($D1898,'ASME II Tab 5A'!$5:$5,1)+1,0)-VLOOKUP($F1904,'ASME II Tab 5A'!$1:$1048576,MATCH($D1898,'ASME II Tab 5A'!$5:$5,1),0))/(INDEX('ASME II Tab 5A'!$5:$5,MATCH($D1898,'ASME II Tab 5A'!$5:$5,1)+1)-INDEX('ASME II Tab 5A'!$5:$5,MATCH($D1898,'ASME II Tab 5A'!$5:$5,1)))</f>
        <v>#N/A</v>
      </c>
      <c r="G1911" s="460" t="s">
        <v>198</v>
      </c>
      <c r="H1911" s="460"/>
      <c r="I1911" s="1259"/>
      <c r="K1911" s="477" t="s">
        <v>205</v>
      </c>
      <c r="L1911" s="477" t="str">
        <f>K1892&amp;"."&amp;K1911</f>
        <v>15.M3 DN</v>
      </c>
      <c r="M1911" s="1252">
        <f>C2026</f>
        <v>0</v>
      </c>
    </row>
    <row r="1912" spans="1:13" ht="14.55" customHeight="1" x14ac:dyDescent="0.3">
      <c r="A1912" s="1258"/>
      <c r="B1912" s="460"/>
      <c r="C1912" s="460"/>
      <c r="D1912" s="460"/>
      <c r="E1912" s="460"/>
      <c r="F1912" s="460"/>
      <c r="G1912" s="460"/>
      <c r="H1912" s="460"/>
      <c r="I1912" s="1259"/>
      <c r="K1912" s="477" t="s">
        <v>206</v>
      </c>
      <c r="L1912" s="477" t="str">
        <f>K1892&amp;"."&amp;K1912</f>
        <v>15.M3 Rating</v>
      </c>
      <c r="M1912" s="1252">
        <f>D2026</f>
        <v>0</v>
      </c>
    </row>
    <row r="1913" spans="1:13" ht="14.55" customHeight="1" x14ac:dyDescent="0.3">
      <c r="A1913" s="1260" t="s">
        <v>207</v>
      </c>
      <c r="B1913" s="453"/>
      <c r="C1913" s="460"/>
      <c r="D1913" s="453"/>
      <c r="E1913" s="460"/>
      <c r="F1913" s="453"/>
      <c r="G1913" s="460"/>
      <c r="H1913" s="460"/>
      <c r="I1913" s="1259"/>
      <c r="K1913" s="477" t="s">
        <v>208</v>
      </c>
      <c r="L1913" s="477" t="str">
        <f>K1892&amp;"."&amp;K1913</f>
        <v>15.M3 Type</v>
      </c>
      <c r="M1913" s="1252">
        <f>E2026</f>
        <v>0</v>
      </c>
    </row>
    <row r="1914" spans="1:13" ht="14.55" customHeight="1" x14ac:dyDescent="0.3">
      <c r="A1914" s="1260"/>
      <c r="B1914" s="305" t="s">
        <v>209</v>
      </c>
      <c r="C1914" s="460"/>
      <c r="D1914" s="305" t="s">
        <v>210</v>
      </c>
      <c r="E1914" s="460"/>
      <c r="F1914" s="305" t="s">
        <v>211</v>
      </c>
      <c r="G1914" s="460"/>
      <c r="H1914" s="460"/>
      <c r="I1914" s="1259"/>
      <c r="K1914" s="477" t="s">
        <v>212</v>
      </c>
      <c r="L1914" s="477" t="str">
        <f>K1892&amp;"."&amp;K1914</f>
        <v>15.M3 Quantity</v>
      </c>
      <c r="M1914" s="1252">
        <f>F2026</f>
        <v>0</v>
      </c>
    </row>
    <row r="1915" spans="1:13" ht="14.55" customHeight="1" x14ac:dyDescent="0.3">
      <c r="A1915" s="1258" t="s">
        <v>213</v>
      </c>
      <c r="B1915" s="305"/>
      <c r="C1915" s="460"/>
      <c r="D1915" s="305"/>
      <c r="E1915" s="460"/>
      <c r="F1915" s="723"/>
      <c r="G1915" s="460" t="s">
        <v>214</v>
      </c>
      <c r="H1915" s="460"/>
      <c r="I1915" s="1259"/>
      <c r="K1915" s="477" t="s">
        <v>215</v>
      </c>
      <c r="L1915" s="477" t="str">
        <f>K1892&amp;"."&amp;K1915</f>
        <v>15.Shell insulation thk 1</v>
      </c>
      <c r="M1915" s="1252">
        <f>B1963</f>
        <v>0</v>
      </c>
    </row>
    <row r="1916" spans="1:13" ht="14.55" customHeight="1" x14ac:dyDescent="0.3">
      <c r="A1916" s="1258" t="s">
        <v>216</v>
      </c>
      <c r="B1916" s="722"/>
      <c r="C1916" s="460" t="s">
        <v>93</v>
      </c>
      <c r="D1916" s="722"/>
      <c r="E1916" s="460" t="s">
        <v>93</v>
      </c>
      <c r="F1916" s="468">
        <f>F1917-2*F1961</f>
        <v>0</v>
      </c>
      <c r="G1916" s="460" t="s">
        <v>93</v>
      </c>
      <c r="H1916" s="460"/>
      <c r="I1916" s="1259"/>
      <c r="K1916" s="477" t="s">
        <v>217</v>
      </c>
      <c r="L1916" s="477" t="str">
        <f>K1892&amp;"."&amp;K1916</f>
        <v>15.Head insulation thk 1</v>
      </c>
      <c r="M1916" s="1252">
        <f>B1964</f>
        <v>0</v>
      </c>
    </row>
    <row r="1917" spans="1:13" ht="14.55" customHeight="1" x14ac:dyDescent="0.3">
      <c r="A1917" s="1258" t="s">
        <v>218</v>
      </c>
      <c r="B1917" s="468" t="e">
        <f>B1916+B1957*2</f>
        <v>#N/A</v>
      </c>
      <c r="C1917" s="460" t="s">
        <v>93</v>
      </c>
      <c r="D1917" s="468" t="e">
        <f>D1916+D1957*2</f>
        <v>#N/A</v>
      </c>
      <c r="E1917" s="460" t="s">
        <v>93</v>
      </c>
      <c r="F1917" s="468">
        <f>IFERROR(VLOOKUP(F1915,'Thickness Tab'!$1:$1048576,3,0),0)</f>
        <v>0</v>
      </c>
      <c r="G1917" s="460" t="s">
        <v>93</v>
      </c>
      <c r="H1917" s="469"/>
      <c r="I1917" s="1261"/>
      <c r="K1917" s="477" t="s">
        <v>219</v>
      </c>
      <c r="L1917" s="477" t="str">
        <f>K1892&amp;"."&amp;K1917</f>
        <v>15.Reducer insulation thk 1</v>
      </c>
      <c r="M1917" s="1252">
        <f>B1965</f>
        <v>0</v>
      </c>
    </row>
    <row r="1918" spans="1:13" ht="14.55" customHeight="1" x14ac:dyDescent="0.3">
      <c r="A1918" s="1258" t="s">
        <v>181</v>
      </c>
      <c r="B1918" s="722"/>
      <c r="C1918" s="460" t="s">
        <v>93</v>
      </c>
      <c r="D1918" s="722"/>
      <c r="E1918" s="460" t="s">
        <v>93</v>
      </c>
      <c r="F1918" s="722"/>
      <c r="G1918" s="460" t="s">
        <v>93</v>
      </c>
      <c r="H1918" s="460"/>
      <c r="I1918" s="1259"/>
      <c r="K1918" s="477" t="s">
        <v>220</v>
      </c>
      <c r="L1918" s="477" t="str">
        <f>K1892&amp;"."&amp;K1918</f>
        <v>15.Shell insulation area 1</v>
      </c>
      <c r="M1918" s="1252" t="e">
        <f>B1923</f>
        <v>#N/A</v>
      </c>
    </row>
    <row r="1919" spans="1:13" ht="14.55" customHeight="1" x14ac:dyDescent="0.3">
      <c r="A1919" s="1258" t="s">
        <v>221</v>
      </c>
      <c r="B1919" s="468" t="e">
        <f>(PI()*B1918*(((B1917/2)^2)-((B1916/2)^2))*7860)/1000000000*1.05</f>
        <v>#N/A</v>
      </c>
      <c r="C1919" s="460" t="s">
        <v>222</v>
      </c>
      <c r="D1919" s="468" t="e">
        <f>(PI()*D1918*(((D1917/2)^2)-((D1916/2)^2))*7860)/1000000000*1.05</f>
        <v>#N/A</v>
      </c>
      <c r="E1919" s="460" t="s">
        <v>222</v>
      </c>
      <c r="F1919" s="468">
        <f>(PI()*F1918*(((F1917/2)^2)-((F1916/2)^2))*7860)/1000000000*1.05</f>
        <v>0</v>
      </c>
      <c r="G1919" s="460" t="s">
        <v>222</v>
      </c>
      <c r="H1919" s="469"/>
      <c r="I1919" s="1261"/>
      <c r="K1919" s="477" t="s">
        <v>223</v>
      </c>
      <c r="L1919" s="477" t="str">
        <f>K1892&amp;"."&amp;K1919</f>
        <v>15.Head insulation area 1</v>
      </c>
      <c r="M1919" s="1252" t="e">
        <f>B1935</f>
        <v>#N/A</v>
      </c>
    </row>
    <row r="1920" spans="1:13" ht="14.55" customHeight="1" x14ac:dyDescent="0.3">
      <c r="A1920" s="1258" t="s">
        <v>224</v>
      </c>
      <c r="B1920" s="468">
        <f>(PI()*((B1916/2)^2)*B1918)/1000000000</f>
        <v>0</v>
      </c>
      <c r="C1920" s="460" t="s">
        <v>225</v>
      </c>
      <c r="D1920" s="468">
        <f>(PI()*((D1916/2)^2)*D1918)/1000000000</f>
        <v>0</v>
      </c>
      <c r="E1920" s="460" t="s">
        <v>225</v>
      </c>
      <c r="F1920" s="468">
        <f>(PI()*((F1916/2)^2)*F1918)/1000000000</f>
        <v>0</v>
      </c>
      <c r="G1920" s="460" t="s">
        <v>225</v>
      </c>
      <c r="H1920" s="469"/>
      <c r="I1920" s="1261"/>
      <c r="K1920" s="477" t="s">
        <v>226</v>
      </c>
      <c r="L1920" s="477" t="str">
        <f>K1892&amp;"."&amp;K1920</f>
        <v>15.Reducer insulation area 1</v>
      </c>
      <c r="M1920" s="1252" t="e">
        <f>B1948</f>
        <v>#N/A</v>
      </c>
    </row>
    <row r="1921" spans="1:13" ht="14.55" customHeight="1" x14ac:dyDescent="0.3">
      <c r="A1921" s="1258" t="s">
        <v>227</v>
      </c>
      <c r="B1921" s="468" t="e">
        <f>(B1917*3.14*B1918)/1000000</f>
        <v>#N/A</v>
      </c>
      <c r="C1921" s="460" t="s">
        <v>228</v>
      </c>
      <c r="D1921" s="468" t="e">
        <f>(D1917*3.14*D1918)/1000000</f>
        <v>#N/A</v>
      </c>
      <c r="E1921" s="460" t="s">
        <v>228</v>
      </c>
      <c r="F1921" s="468">
        <f>(F1917*3.14*F1918)/1000000</f>
        <v>0</v>
      </c>
      <c r="G1921" s="460" t="s">
        <v>228</v>
      </c>
      <c r="H1921" s="469"/>
      <c r="I1921" s="1261"/>
      <c r="K1921" s="477" t="s">
        <v>229</v>
      </c>
      <c r="L1921" s="477" t="str">
        <f>K1892&amp;"."&amp;K1921</f>
        <v>15.Shell insulation thk 2</v>
      </c>
      <c r="M1921" s="1252">
        <f>D1963</f>
        <v>0</v>
      </c>
    </row>
    <row r="1922" spans="1:13" ht="14.55" customHeight="1" x14ac:dyDescent="0.3">
      <c r="A1922" s="1258" t="s">
        <v>230</v>
      </c>
      <c r="B1922" s="468" t="e">
        <f>B1917+2*B1963</f>
        <v>#N/A</v>
      </c>
      <c r="C1922" s="460" t="s">
        <v>93</v>
      </c>
      <c r="D1922" s="468" t="e">
        <f>D1917+2*D1963</f>
        <v>#N/A</v>
      </c>
      <c r="E1922" s="460" t="s">
        <v>93</v>
      </c>
      <c r="F1922" s="468">
        <f>F1917+2*F1963</f>
        <v>0</v>
      </c>
      <c r="G1922" s="460" t="s">
        <v>93</v>
      </c>
      <c r="H1922" s="469"/>
      <c r="I1922" s="1261"/>
      <c r="K1922" s="477" t="s">
        <v>231</v>
      </c>
      <c r="L1922" s="477" t="str">
        <f>K1892&amp;"."&amp;K1922</f>
        <v>15.Head insulation thk 2</v>
      </c>
      <c r="M1922" s="1252">
        <f>D1964</f>
        <v>0</v>
      </c>
    </row>
    <row r="1923" spans="1:13" ht="14.55" customHeight="1" x14ac:dyDescent="0.3">
      <c r="A1923" s="1258" t="s">
        <v>232</v>
      </c>
      <c r="B1923" s="468" t="e">
        <f>(B1922*3.14*B1918)/1000000</f>
        <v>#N/A</v>
      </c>
      <c r="C1923" s="460" t="s">
        <v>228</v>
      </c>
      <c r="D1923" s="468" t="e">
        <f>(D1922*3.14*D1918)/1000000</f>
        <v>#N/A</v>
      </c>
      <c r="E1923" s="460" t="s">
        <v>228</v>
      </c>
      <c r="F1923" s="468">
        <f>(F1922*3.14*F1918)/1000000</f>
        <v>0</v>
      </c>
      <c r="G1923" s="460" t="s">
        <v>228</v>
      </c>
      <c r="H1923" s="469"/>
      <c r="I1923" s="1261"/>
      <c r="K1923" s="477" t="s">
        <v>233</v>
      </c>
      <c r="L1923" s="477" t="str">
        <f>K1892&amp;"."&amp;K1923</f>
        <v>15.Reducer insulation thk 2</v>
      </c>
      <c r="M1923" s="1252">
        <f>D1965</f>
        <v>0</v>
      </c>
    </row>
    <row r="1924" spans="1:13" ht="14.55" customHeight="1" x14ac:dyDescent="0.3">
      <c r="A1924" s="1258"/>
      <c r="B1924" s="468"/>
      <c r="C1924" s="460"/>
      <c r="D1924" s="468"/>
      <c r="E1924" s="460"/>
      <c r="F1924" s="468"/>
      <c r="G1924" s="460"/>
      <c r="H1924" s="469"/>
      <c r="I1924" s="1261"/>
      <c r="K1924" s="477" t="s">
        <v>234</v>
      </c>
      <c r="L1924" s="477" t="str">
        <f>K1892&amp;"."&amp;K1924</f>
        <v>15.Shell insulation area 2</v>
      </c>
      <c r="M1924" s="1252" t="e">
        <f>D1923</f>
        <v>#N/A</v>
      </c>
    </row>
    <row r="1925" spans="1:13" ht="14.55" customHeight="1" x14ac:dyDescent="0.3">
      <c r="A1925" s="1258"/>
      <c r="B1925" s="468" t="s">
        <v>235</v>
      </c>
      <c r="C1925" s="460"/>
      <c r="D1925" s="468" t="s">
        <v>236</v>
      </c>
      <c r="E1925" s="460"/>
      <c r="F1925" s="468" t="s">
        <v>237</v>
      </c>
      <c r="G1925" s="460"/>
      <c r="H1925" s="469"/>
      <c r="I1925" s="1261"/>
      <c r="K1925" s="477" t="s">
        <v>238</v>
      </c>
      <c r="L1925" s="477" t="str">
        <f>K1892&amp;"."&amp;K1925</f>
        <v>15.Head insulation area 2</v>
      </c>
      <c r="M1925" s="1252" t="e">
        <f>D1935</f>
        <v>#N/A</v>
      </c>
    </row>
    <row r="1926" spans="1:13" ht="14.55" customHeight="1" x14ac:dyDescent="0.3">
      <c r="A1926" s="1258" t="s">
        <v>239</v>
      </c>
      <c r="B1926" s="468">
        <f>B1916</f>
        <v>0</v>
      </c>
      <c r="C1926" s="460" t="s">
        <v>93</v>
      </c>
      <c r="D1926" s="468">
        <f>D1916</f>
        <v>0</v>
      </c>
      <c r="E1926" s="460" t="s">
        <v>93</v>
      </c>
      <c r="F1926" s="468">
        <f>F1916</f>
        <v>0</v>
      </c>
      <c r="G1926" s="460" t="s">
        <v>93</v>
      </c>
      <c r="H1926" s="469"/>
      <c r="I1926" s="1261"/>
      <c r="K1926" s="477" t="s">
        <v>240</v>
      </c>
      <c r="L1926" s="477" t="str">
        <f>K1892&amp;"."&amp;K1926</f>
        <v>15.Reducer insulation area 2</v>
      </c>
      <c r="M1926" s="1252">
        <f>D1948</f>
        <v>0</v>
      </c>
    </row>
    <row r="1927" spans="1:13" ht="14.55" customHeight="1" x14ac:dyDescent="0.3">
      <c r="A1927" s="1258" t="s">
        <v>241</v>
      </c>
      <c r="B1927" s="468" t="e">
        <f>B1926+2*B1958</f>
        <v>#N/A</v>
      </c>
      <c r="C1927" s="460" t="s">
        <v>93</v>
      </c>
      <c r="D1927" s="468" t="e">
        <f>D1926+2*D1958</f>
        <v>#N/A</v>
      </c>
      <c r="E1927" s="460" t="s">
        <v>93</v>
      </c>
      <c r="F1927" s="468">
        <f>F1926+2*F1961</f>
        <v>0</v>
      </c>
      <c r="G1927" s="460" t="s">
        <v>93</v>
      </c>
      <c r="H1927" s="469"/>
      <c r="I1927" s="1261"/>
      <c r="K1927" s="477" t="s">
        <v>242</v>
      </c>
      <c r="L1927" s="477" t="str">
        <f>K1892&amp;"."&amp;K1927</f>
        <v>15.Shell insulation thk 3</v>
      </c>
      <c r="M1927" s="1252">
        <f>F1963</f>
        <v>0</v>
      </c>
    </row>
    <row r="1928" spans="1:13" ht="14.55" customHeight="1" x14ac:dyDescent="0.3">
      <c r="A1928" s="1258" t="s">
        <v>243</v>
      </c>
      <c r="B1928" s="722"/>
      <c r="C1928" s="460" t="s">
        <v>93</v>
      </c>
      <c r="D1928" s="722"/>
      <c r="E1928" s="460" t="s">
        <v>93</v>
      </c>
      <c r="F1928" s="452"/>
      <c r="G1928" s="460"/>
      <c r="H1928" s="469"/>
      <c r="I1928" s="1261"/>
      <c r="K1928" s="477" t="s">
        <v>244</v>
      </c>
      <c r="L1928" s="477" t="str">
        <f>K1892&amp;"."&amp;K1928</f>
        <v>15.Head insulation thk 3</v>
      </c>
      <c r="M1928" s="1252">
        <f>F1964</f>
        <v>0</v>
      </c>
    </row>
    <row r="1929" spans="1:13" ht="14.55" customHeight="1" x14ac:dyDescent="0.3">
      <c r="A1929" s="1258" t="s">
        <v>245</v>
      </c>
      <c r="B1929" s="724"/>
      <c r="C1929" s="460"/>
      <c r="D1929" s="724"/>
      <c r="E1929" s="460"/>
      <c r="F1929" s="724"/>
      <c r="G1929" s="460"/>
      <c r="H1929" s="469"/>
      <c r="I1929" s="1261"/>
      <c r="K1929" s="477" t="s">
        <v>246</v>
      </c>
      <c r="L1929" s="477" t="str">
        <f>K1892&amp;"."&amp;K1929</f>
        <v>15.Reducer insulation thk 3</v>
      </c>
      <c r="M1929" s="1252">
        <f>F1965</f>
        <v>0</v>
      </c>
    </row>
    <row r="1930" spans="1:13" ht="14.55" customHeight="1" x14ac:dyDescent="0.3">
      <c r="A1930" s="1258" t="s">
        <v>247</v>
      </c>
      <c r="B1930" s="468">
        <v>0</v>
      </c>
      <c r="C1930" s="460" t="s">
        <v>93</v>
      </c>
      <c r="D1930" s="468">
        <v>0</v>
      </c>
      <c r="E1930" s="460" t="s">
        <v>93</v>
      </c>
      <c r="F1930" s="468">
        <v>0</v>
      </c>
      <c r="G1930" s="460" t="s">
        <v>93</v>
      </c>
      <c r="H1930" s="469"/>
      <c r="I1930" s="1261"/>
      <c r="K1930" s="477" t="s">
        <v>248</v>
      </c>
      <c r="L1930" s="477" t="str">
        <f>K1892&amp;"."&amp;K1930</f>
        <v>15.Shell insulation area 3</v>
      </c>
      <c r="M1930" s="1252">
        <f>F1923</f>
        <v>0</v>
      </c>
    </row>
    <row r="1931" spans="1:13" ht="14.55" customHeight="1" x14ac:dyDescent="0.3">
      <c r="A1931" s="1258" t="s">
        <v>249</v>
      </c>
      <c r="B1931" s="468" t="e">
        <f>((((POWER(((((B1926+B1959)*1.22)+(B1930*2))/100),2)*PI())/4)*(B1959/100))*7.86)</f>
        <v>#N/A</v>
      </c>
      <c r="C1931" s="460" t="s">
        <v>222</v>
      </c>
      <c r="D1931" s="468" t="e">
        <f>((((POWER(((((D1926+D1959)*1.22)+(D1930*2))/100),2)*PI())/4)*(D1959/100))*7.86)</f>
        <v>#N/A</v>
      </c>
      <c r="E1931" s="460" t="s">
        <v>222</v>
      </c>
      <c r="F1931" s="468">
        <f>IFERROR(VLOOKUP(F1915&amp;"."&amp;F1960,'Fitting Chart'!$1:$1048576,5,0),0)</f>
        <v>0</v>
      </c>
      <c r="G1931" s="460" t="s">
        <v>222</v>
      </c>
      <c r="H1931" s="469"/>
      <c r="I1931" s="1261"/>
      <c r="K1931" s="477" t="s">
        <v>250</v>
      </c>
      <c r="L1931" s="477" t="str">
        <f>K1892&amp;"."&amp;K1931</f>
        <v>15.Head insulation area 3</v>
      </c>
      <c r="M1931" s="1252">
        <f>F1934</f>
        <v>0</v>
      </c>
    </row>
    <row r="1932" spans="1:13" ht="14.55" customHeight="1" x14ac:dyDescent="0.3">
      <c r="A1932" s="1258" t="s">
        <v>251</v>
      </c>
      <c r="B1932" s="468" t="e">
        <f>(((0.131*(B1926^3)*10^-6)+((((B1926/2)^2)*PI()*(((B1926/4)+B1958)-B1958-(B1926/4)))))+((PI()*((B1926/2)^2)*B1930))/1000000)/1000</f>
        <v>#N/A</v>
      </c>
      <c r="C1932" s="460" t="s">
        <v>225</v>
      </c>
      <c r="D1932" s="468" t="e">
        <f>(((0.131*(D1926^3)*10^-6)+((((D1926/2)^2)*PI()*(((D1926/4)+D1958)-D1958-(D1926/4)))))+((PI()*((D1926/2)^2)*D1930))/1000000)/1000</f>
        <v>#N/A</v>
      </c>
      <c r="E1932" s="460" t="s">
        <v>225</v>
      </c>
      <c r="F1932" s="468">
        <f>(((0.131*(F1926^3)*10^-6)+((((F1926/2)^2)*PI()*(((F1926/4)+F1961)-F1961-(F1926/4)))))+((PI()*((F1926/2)^2)*F1930))/1000000)/1000</f>
        <v>0</v>
      </c>
      <c r="G1932" s="460" t="s">
        <v>225</v>
      </c>
      <c r="H1932" s="469"/>
      <c r="I1932" s="1261"/>
      <c r="K1932" s="477" t="s">
        <v>252</v>
      </c>
      <c r="L1932" s="477" t="str">
        <f>K1892&amp;"."&amp;K1932</f>
        <v>15.Reducer insulation area 3</v>
      </c>
      <c r="M1932" s="1252">
        <f>F1948</f>
        <v>0</v>
      </c>
    </row>
    <row r="1933" spans="1:13" ht="14.55" customHeight="1" x14ac:dyDescent="0.3">
      <c r="A1933" s="1258" t="s">
        <v>253</v>
      </c>
      <c r="B1933" s="468" t="e">
        <f>(((B1927*B1928*3.14)+(((B1927/2)^2)*3.14))/1000000)</f>
        <v>#N/A</v>
      </c>
      <c r="C1933" s="460" t="s">
        <v>228</v>
      </c>
      <c r="D1933" s="468" t="e">
        <f>(((D1927*D1928*3.14)+(((D1927/2)^2)*3.14))/1000000)</f>
        <v>#N/A</v>
      </c>
      <c r="E1933" s="460" t="s">
        <v>228</v>
      </c>
      <c r="F1933" s="468">
        <f>(((F1927*F1928*3.14)+(((F1927/2)^2)*3.14))/1000000)</f>
        <v>0</v>
      </c>
      <c r="G1933" s="460" t="s">
        <v>228</v>
      </c>
      <c r="H1933" s="469"/>
      <c r="I1933" s="1261"/>
    </row>
    <row r="1934" spans="1:13" ht="14.55" customHeight="1" x14ac:dyDescent="0.3">
      <c r="A1934" s="1258" t="s">
        <v>254</v>
      </c>
      <c r="B1934" s="468" t="e">
        <f>B1927+2*B1964</f>
        <v>#N/A</v>
      </c>
      <c r="C1934" s="460" t="s">
        <v>93</v>
      </c>
      <c r="D1934" s="468" t="e">
        <f>D1927+2*D1964</f>
        <v>#N/A</v>
      </c>
      <c r="E1934" s="460" t="s">
        <v>93</v>
      </c>
      <c r="F1934" s="468">
        <f>F1927+2*F1964</f>
        <v>0</v>
      </c>
      <c r="G1934" s="460" t="s">
        <v>93</v>
      </c>
      <c r="H1934" s="469"/>
      <c r="I1934" s="1261"/>
    </row>
    <row r="1935" spans="1:13" ht="14.55" customHeight="1" x14ac:dyDescent="0.3">
      <c r="A1935" s="1258" t="s">
        <v>255</v>
      </c>
      <c r="B1935" s="468" t="e">
        <f>(((B1934*B1928*3.14)+(((B1934/2)^2)*3.14))/1000000)</f>
        <v>#N/A</v>
      </c>
      <c r="C1935" s="460" t="s">
        <v>228</v>
      </c>
      <c r="D1935" s="468" t="e">
        <f>(((D1934*D1928*3.14)+(((D1934/2)^2)*3.14))/1000000)</f>
        <v>#N/A</v>
      </c>
      <c r="E1935" s="460" t="s">
        <v>228</v>
      </c>
      <c r="F1935" s="468">
        <f>(((F1934*F1928*3.14)+(((F1934/2)^2)*3.14))/1000000)</f>
        <v>0</v>
      </c>
      <c r="G1935" s="460" t="s">
        <v>228</v>
      </c>
      <c r="H1935" s="469"/>
      <c r="I1935" s="1261"/>
    </row>
    <row r="1936" spans="1:13" ht="14.55" customHeight="1" x14ac:dyDescent="0.3">
      <c r="A1936" s="1258"/>
      <c r="B1936" s="454"/>
      <c r="C1936" s="460"/>
      <c r="D1936" s="454"/>
      <c r="E1936" s="460"/>
      <c r="F1936" s="454"/>
      <c r="G1936" s="460"/>
      <c r="H1936" s="469"/>
      <c r="I1936" s="1261"/>
    </row>
    <row r="1937" spans="1:9" ht="14.55" customHeight="1" x14ac:dyDescent="0.3">
      <c r="A1937" s="1258"/>
      <c r="B1937" s="468" t="s">
        <v>256</v>
      </c>
      <c r="C1937" s="460"/>
      <c r="D1937" s="468" t="s">
        <v>257</v>
      </c>
      <c r="E1937" s="460"/>
      <c r="F1937" s="468" t="s">
        <v>258</v>
      </c>
      <c r="G1937" s="460"/>
      <c r="H1937" s="469"/>
      <c r="I1937" s="1261"/>
    </row>
    <row r="1938" spans="1:9" ht="14.55" customHeight="1" x14ac:dyDescent="0.3">
      <c r="A1938" s="1258" t="s">
        <v>259</v>
      </c>
      <c r="B1938" s="725"/>
      <c r="C1938" s="460" t="s">
        <v>93</v>
      </c>
      <c r="D1938" s="725"/>
      <c r="E1938" s="460" t="s">
        <v>93</v>
      </c>
      <c r="F1938" s="725"/>
      <c r="G1938" s="460" t="s">
        <v>93</v>
      </c>
      <c r="H1938" s="469"/>
      <c r="I1938" s="1261"/>
    </row>
    <row r="1939" spans="1:9" ht="14.55" customHeight="1" x14ac:dyDescent="0.3">
      <c r="A1939" s="1258" t="s">
        <v>260</v>
      </c>
      <c r="B1939" s="725"/>
      <c r="C1939" s="460" t="s">
        <v>93</v>
      </c>
      <c r="D1939" s="725"/>
      <c r="E1939" s="460" t="s">
        <v>93</v>
      </c>
      <c r="F1939" s="725"/>
      <c r="G1939" s="460" t="s">
        <v>93</v>
      </c>
      <c r="H1939" s="469"/>
      <c r="I1939" s="1261"/>
    </row>
    <row r="1940" spans="1:9" ht="14.55" customHeight="1" x14ac:dyDescent="0.3">
      <c r="A1940" s="1258" t="s">
        <v>261</v>
      </c>
      <c r="B1940" s="725"/>
      <c r="C1940" s="460" t="s">
        <v>93</v>
      </c>
      <c r="D1940" s="725"/>
      <c r="E1940" s="460" t="s">
        <v>93</v>
      </c>
      <c r="F1940" s="725"/>
      <c r="G1940" s="460" t="s">
        <v>93</v>
      </c>
      <c r="H1940" s="469"/>
      <c r="I1940" s="1261"/>
    </row>
    <row r="1941" spans="1:9" ht="14.55" customHeight="1" x14ac:dyDescent="0.3">
      <c r="A1941" s="1258" t="s">
        <v>262</v>
      </c>
      <c r="B1941" s="455" t="e">
        <f>B1938+2*B1959</f>
        <v>#N/A</v>
      </c>
      <c r="C1941" s="460" t="s">
        <v>93</v>
      </c>
      <c r="D1941" s="455" t="e">
        <f>D1938+2*D1959</f>
        <v>#N/A</v>
      </c>
      <c r="E1941" s="460" t="s">
        <v>93</v>
      </c>
      <c r="F1941" s="455">
        <f>F1938+2*F1961</f>
        <v>0</v>
      </c>
      <c r="G1941" s="460" t="s">
        <v>93</v>
      </c>
      <c r="H1941" s="469"/>
      <c r="I1941" s="1261"/>
    </row>
    <row r="1942" spans="1:9" ht="14.55" customHeight="1" x14ac:dyDescent="0.3">
      <c r="A1942" s="1258" t="s">
        <v>263</v>
      </c>
      <c r="B1942" s="455" t="e">
        <f>B1939+2*B1959</f>
        <v>#N/A</v>
      </c>
      <c r="C1942" s="460" t="s">
        <v>93</v>
      </c>
      <c r="D1942" s="455" t="e">
        <f>D1939+2*D1959</f>
        <v>#N/A</v>
      </c>
      <c r="E1942" s="460" t="s">
        <v>93</v>
      </c>
      <c r="F1942" s="455">
        <f>F1939+2*F1961</f>
        <v>0</v>
      </c>
      <c r="G1942" s="460" t="s">
        <v>93</v>
      </c>
      <c r="H1942" s="469"/>
      <c r="I1942" s="1261"/>
    </row>
    <row r="1943" spans="1:9" ht="14.55" customHeight="1" x14ac:dyDescent="0.3">
      <c r="A1943" s="1258" t="s">
        <v>264</v>
      </c>
      <c r="B1943" s="453" t="e">
        <f>(((((1/3*PI()*B1940))*((((B1941/2)^2)+(((B1941/2)*(B1942/2)))+((B1942/2)^2))))-(((1/3*PI()*B1940))*((((B1938/2)^2)+(((B1938/2)*(B1939/2)))+((B1939/2)^2)))))*7.86)/1000000</f>
        <v>#N/A</v>
      </c>
      <c r="C1943" s="460" t="s">
        <v>222</v>
      </c>
      <c r="D1943" s="453" t="e">
        <f>(((((1/3*PI()*D1940))*((((D1941/2)^2)+(((D1941/2)*(D1942/2)))+((D1942/2)^2))))-(((1/3*PI()*D1940))*((((D1938/2)^2)+(((D1938/2)*(D1939/2)))+((D1939/2)^2)))))*7.86)/1000000</f>
        <v>#N/A</v>
      </c>
      <c r="E1943" s="460" t="s">
        <v>222</v>
      </c>
      <c r="F1943" s="453">
        <f>(((((1/3*PI()*F1940))*((((F1941/2)^2)+(((F1941/2)*(F1942/2)))+((F1942/2)^2))))-(((1/3*PI()*F1940))*((((F1938/2)^2)+(((F1938/2)*(F1939/2)))+((F1939/2)^2)))))*7.86)/1000000</f>
        <v>0</v>
      </c>
      <c r="G1943" s="460" t="s">
        <v>222</v>
      </c>
      <c r="H1943" s="469"/>
      <c r="I1943" s="1261"/>
    </row>
    <row r="1944" spans="1:9" ht="14.55" customHeight="1" x14ac:dyDescent="0.3">
      <c r="A1944" s="1258" t="s">
        <v>265</v>
      </c>
      <c r="B1944" s="453">
        <f>((1/3*PI()*B1940))*((((B1938/2)^2)+(((B1938/2)*(B1939/2)))+((B1939/2)^2)))/1000000000</f>
        <v>0</v>
      </c>
      <c r="C1944" s="460" t="s">
        <v>225</v>
      </c>
      <c r="D1944" s="453">
        <f>((1/3*PI()*D1940))*((((D1938/2)^2)+(((D1938/2)*(D1939/2)))+((D1939/2)^2)))/1000000000</f>
        <v>0</v>
      </c>
      <c r="E1944" s="460" t="s">
        <v>225</v>
      </c>
      <c r="F1944" s="453">
        <f>((1/3*PI()*F1940))*((((F1938/2)^2)+(((F1938/2)*(F1939/2)))+((F1939/2)^2)))/1000000000</f>
        <v>0</v>
      </c>
      <c r="G1944" s="460" t="s">
        <v>225</v>
      </c>
      <c r="H1944" s="469"/>
      <c r="I1944" s="1261"/>
    </row>
    <row r="1945" spans="1:9" ht="14.55" customHeight="1" x14ac:dyDescent="0.3">
      <c r="A1945" s="1258" t="s">
        <v>266</v>
      </c>
      <c r="B1945" s="453" t="e">
        <f>PI()*(B1941+B1942)/2*SQRT(B1940^2+((B1941-B1942)/2)^2)/1000000</f>
        <v>#N/A</v>
      </c>
      <c r="C1945" s="460" t="s">
        <v>228</v>
      </c>
      <c r="D1945" s="453" t="e">
        <f>PI()*(D1941+D1942)/2*SQRT(D1940^2+((D1941-D1942)/2)^2)/1000000</f>
        <v>#N/A</v>
      </c>
      <c r="E1945" s="460" t="s">
        <v>228</v>
      </c>
      <c r="F1945" s="453">
        <f>PI()*(F1941+F1942)/2*SQRT(F1940^2+((F1941-F1942)/2)^2)/1000000</f>
        <v>0</v>
      </c>
      <c r="G1945" s="460" t="s">
        <v>228</v>
      </c>
      <c r="H1945" s="469"/>
      <c r="I1945" s="1261"/>
    </row>
    <row r="1946" spans="1:9" ht="14.55" customHeight="1" x14ac:dyDescent="0.3">
      <c r="A1946" s="1258" t="s">
        <v>267</v>
      </c>
      <c r="B1946" s="453" t="e">
        <f>B1941+2*B1965</f>
        <v>#N/A</v>
      </c>
      <c r="C1946" s="460" t="s">
        <v>93</v>
      </c>
      <c r="D1946" s="453">
        <f>D1938+2*D1965</f>
        <v>0</v>
      </c>
      <c r="E1946" s="460" t="s">
        <v>93</v>
      </c>
      <c r="F1946" s="453">
        <f>F1938+2*F1965</f>
        <v>0</v>
      </c>
      <c r="G1946" s="460" t="s">
        <v>93</v>
      </c>
      <c r="H1946" s="469"/>
      <c r="I1946" s="1261"/>
    </row>
    <row r="1947" spans="1:9" ht="14.55" customHeight="1" x14ac:dyDescent="0.3">
      <c r="A1947" s="1258" t="s">
        <v>268</v>
      </c>
      <c r="B1947" s="453" t="e">
        <f>B1942+2*B1965</f>
        <v>#N/A</v>
      </c>
      <c r="C1947" s="460" t="s">
        <v>93</v>
      </c>
      <c r="D1947" s="453">
        <f>D1939+2*D1965</f>
        <v>0</v>
      </c>
      <c r="E1947" s="460" t="s">
        <v>93</v>
      </c>
      <c r="F1947" s="453">
        <f>F1939+2*F1965</f>
        <v>0</v>
      </c>
      <c r="G1947" s="460" t="s">
        <v>93</v>
      </c>
      <c r="H1947" s="469"/>
      <c r="I1947" s="1261"/>
    </row>
    <row r="1948" spans="1:9" ht="14.55" customHeight="1" x14ac:dyDescent="0.3">
      <c r="A1948" s="1258" t="s">
        <v>269</v>
      </c>
      <c r="B1948" s="453" t="e">
        <f>PI()*(B1946+B1947)/2*SQRT(B1940^2+((B1946-B1947)/2)^2)/1000000</f>
        <v>#N/A</v>
      </c>
      <c r="C1948" s="460" t="s">
        <v>228</v>
      </c>
      <c r="D1948" s="453">
        <f>PI()*(D1946+D1947)/2*SQRT(D1940^2+((D1946-D1947)/2)^2)/1000000</f>
        <v>0</v>
      </c>
      <c r="E1948" s="460" t="s">
        <v>228</v>
      </c>
      <c r="F1948" s="453">
        <f>PI()*(F1946+F1947)/2*SQRT(F1940^2+((F1946-F1947)/2)^2)/1000000</f>
        <v>0</v>
      </c>
      <c r="G1948" s="460" t="s">
        <v>228</v>
      </c>
      <c r="H1948" s="469"/>
      <c r="I1948" s="1261"/>
    </row>
    <row r="1949" spans="1:9" ht="14.55" customHeight="1" x14ac:dyDescent="0.3">
      <c r="A1949" s="1258"/>
      <c r="B1949" s="453"/>
      <c r="C1949" s="460"/>
      <c r="D1949" s="453"/>
      <c r="E1949" s="460"/>
      <c r="F1949" s="453"/>
      <c r="G1949" s="460"/>
      <c r="H1949" s="460"/>
      <c r="I1949" s="1259"/>
    </row>
    <row r="1950" spans="1:9" ht="14.55" customHeight="1" x14ac:dyDescent="0.3">
      <c r="A1950" s="1258" t="s">
        <v>270</v>
      </c>
      <c r="B1950" s="725"/>
      <c r="C1950" s="460" t="s">
        <v>93</v>
      </c>
      <c r="D1950" s="725"/>
      <c r="E1950" s="460" t="s">
        <v>93</v>
      </c>
      <c r="F1950" s="725"/>
      <c r="G1950" s="460" t="s">
        <v>93</v>
      </c>
      <c r="H1950" s="460"/>
      <c r="I1950" s="1259"/>
    </row>
    <row r="1951" spans="1:9" ht="14.55" customHeight="1" x14ac:dyDescent="0.3">
      <c r="A1951" s="1258" t="s">
        <v>271</v>
      </c>
      <c r="B1951" s="453" t="e">
        <f>((D1899/10)*B1916/2)/(IF(B1894="div.1",B1907,B1910)-0.5*D1899/10)</f>
        <v>#N/A</v>
      </c>
      <c r="C1951" s="460" t="s">
        <v>93</v>
      </c>
      <c r="D1951" s="453" t="e">
        <f>((D1899/10)*D1916/2)/(IF(B1894="div.1",B1907,B1910)-0.5*D1899/10)</f>
        <v>#N/A</v>
      </c>
      <c r="E1951" s="460" t="s">
        <v>93</v>
      </c>
      <c r="F1951" s="453" t="e">
        <f>((D1899/10)*F1916/2)/(IF(B1894="div.1",F1907,F1910)-0.5*D1899/10)</f>
        <v>#N/A</v>
      </c>
      <c r="G1951" s="460" t="s">
        <v>93</v>
      </c>
      <c r="H1951" s="460"/>
      <c r="I1951" s="1259"/>
    </row>
    <row r="1952" spans="1:9" ht="14.55" customHeight="1" x14ac:dyDescent="0.3">
      <c r="A1952" s="1258" t="s">
        <v>272</v>
      </c>
      <c r="B1952" s="453" t="e">
        <f>B1926/2*(EXP(D1899/(10*IF(B1894="div.1",B1908,B1911)))-1)</f>
        <v>#N/A</v>
      </c>
      <c r="C1952" s="460" t="s">
        <v>93</v>
      </c>
      <c r="D1952" s="453" t="e">
        <f>D1926/2*(EXP(D1899/(10*IF(B1894="div.1",B1908,B1911)))-1)</f>
        <v>#N/A</v>
      </c>
      <c r="E1952" s="460" t="s">
        <v>93</v>
      </c>
      <c r="F1952" s="453" t="e">
        <f>F1926/2*(EXP(D1899/(10*IF(B1894="div.1",F1908,F1911)))-1)</f>
        <v>#N/A</v>
      </c>
      <c r="G1952" s="460" t="s">
        <v>93</v>
      </c>
      <c r="H1952" s="460"/>
      <c r="I1952" s="1259"/>
    </row>
    <row r="1953" spans="1:9" ht="14.55" customHeight="1" x14ac:dyDescent="0.3">
      <c r="A1953" s="1258" t="s">
        <v>273</v>
      </c>
      <c r="B1953" s="453" t="e">
        <f>B1938/2*(EXP(D1899/(10*IF(B1894="div.1",B1908,B1911)))-1)</f>
        <v>#N/A</v>
      </c>
      <c r="C1953" s="460" t="s">
        <v>93</v>
      </c>
      <c r="D1953" s="453" t="e">
        <f>D1938/2*(EXP(D1899/(10*IF(B1894="div.1",B1908,B1911)))-1)</f>
        <v>#N/A</v>
      </c>
      <c r="E1953" s="460" t="s">
        <v>93</v>
      </c>
      <c r="F1953" s="453" t="e">
        <f>F1938/2*(EXP(D1899/(10*IF(B1894="div.1",F1908,F1911)))-1)</f>
        <v>#N/A</v>
      </c>
      <c r="G1953" s="460" t="s">
        <v>93</v>
      </c>
      <c r="H1953" s="460"/>
      <c r="I1953" s="1259"/>
    </row>
    <row r="1954" spans="1:9" ht="14.55" customHeight="1" x14ac:dyDescent="0.3">
      <c r="A1954" s="1258" t="s">
        <v>274</v>
      </c>
      <c r="B1954" s="725"/>
      <c r="C1954" s="460" t="s">
        <v>93</v>
      </c>
      <c r="D1954" s="725"/>
      <c r="E1954" s="460" t="s">
        <v>93</v>
      </c>
      <c r="F1954" s="725"/>
      <c r="G1954" s="460" t="s">
        <v>93</v>
      </c>
      <c r="H1954" s="460"/>
      <c r="I1954" s="1259"/>
    </row>
    <row r="1955" spans="1:9" ht="14.55" customHeight="1" x14ac:dyDescent="0.3">
      <c r="A1955" s="1258" t="s">
        <v>275</v>
      </c>
      <c r="B1955" s="725"/>
      <c r="C1955" s="460" t="s">
        <v>93</v>
      </c>
      <c r="D1955" s="725"/>
      <c r="E1955" s="460" t="s">
        <v>93</v>
      </c>
      <c r="F1955" s="725"/>
      <c r="G1955" s="460" t="s">
        <v>93</v>
      </c>
      <c r="H1955" s="460"/>
      <c r="I1955" s="1259"/>
    </row>
    <row r="1956" spans="1:9" ht="14.55" customHeight="1" x14ac:dyDescent="0.3">
      <c r="A1956" s="1258" t="s">
        <v>276</v>
      </c>
      <c r="B1956" s="725"/>
      <c r="C1956" s="460" t="s">
        <v>93</v>
      </c>
      <c r="D1956" s="725"/>
      <c r="E1956" s="460" t="s">
        <v>93</v>
      </c>
      <c r="F1956" s="725"/>
      <c r="G1956" s="460" t="s">
        <v>93</v>
      </c>
      <c r="H1956" s="460"/>
      <c r="I1956" s="1259"/>
    </row>
    <row r="1957" spans="1:9" ht="14.55" customHeight="1" x14ac:dyDescent="0.3">
      <c r="A1957" s="1258" t="s">
        <v>277</v>
      </c>
      <c r="B1957" s="453" t="e">
        <f>IF((CEILING(B1951,1)+B1954)&lt;B1950,B1950,CEILING(B1951,1)+B1954)</f>
        <v>#N/A</v>
      </c>
      <c r="C1957" s="460" t="s">
        <v>93</v>
      </c>
      <c r="D1957" s="453" t="e">
        <f>IF((CEILING(D1951,1)+D1954)&lt;D1950,D1950,CEILING(D1951,1)+D1954)</f>
        <v>#N/A</v>
      </c>
      <c r="E1957" s="460" t="s">
        <v>93</v>
      </c>
      <c r="F1957" s="453" t="e">
        <f>IF((CEILING(F1951,1)+F1954)&lt;F1950,F1950,CEILING(F1951,1)+F1954)</f>
        <v>#N/A</v>
      </c>
      <c r="G1957" s="460" t="s">
        <v>93</v>
      </c>
      <c r="H1957" s="460"/>
      <c r="I1957" s="1259"/>
    </row>
    <row r="1958" spans="1:9" ht="14.55" customHeight="1" x14ac:dyDescent="0.3">
      <c r="A1958" s="1258" t="s">
        <v>278</v>
      </c>
      <c r="B1958" s="453" t="e">
        <f>IF((CEILING(B1952,1)+B1955)&lt;=B1950,B1950,CEILING(B1952,1)+B1955)</f>
        <v>#N/A</v>
      </c>
      <c r="C1958" s="460" t="s">
        <v>93</v>
      </c>
      <c r="D1958" s="453" t="e">
        <f>IF((CEILING(D1952,1)+D1955)&lt;=D1950,D1950,CEILING(D1952,1)+D1955)</f>
        <v>#N/A</v>
      </c>
      <c r="E1958" s="460" t="s">
        <v>93</v>
      </c>
      <c r="F1958" s="453" t="e">
        <f>IF((CEILING(F1952,1)+F1955)&lt;=F1950,F1950,CEILING(F1952,1)+F1955)</f>
        <v>#N/A</v>
      </c>
      <c r="G1958" s="460" t="s">
        <v>93</v>
      </c>
      <c r="H1958" s="460"/>
      <c r="I1958" s="1259"/>
    </row>
    <row r="1959" spans="1:9" ht="14.55" customHeight="1" x14ac:dyDescent="0.3">
      <c r="A1959" s="1258" t="s">
        <v>279</v>
      </c>
      <c r="B1959" s="453" t="e">
        <f>IF((CEILING(B1953,1)+B1956)&lt;=B1950,B1950,CEILING(B1953,1)+B1956)</f>
        <v>#N/A</v>
      </c>
      <c r="C1959" s="460" t="s">
        <v>93</v>
      </c>
      <c r="D1959" s="453" t="e">
        <f>IF((CEILING(D1953,1)+D1956)&lt;=D1950,D1950,CEILING(D1953,1)+D1956)</f>
        <v>#N/A</v>
      </c>
      <c r="E1959" s="460" t="s">
        <v>93</v>
      </c>
      <c r="F1959" s="453" t="e">
        <f>IF((CEILING(F1953,1)+F1956)&lt;=F1950,F1950,CEILING(F1953,1)+F1956)</f>
        <v>#N/A</v>
      </c>
      <c r="G1959" s="460" t="s">
        <v>93</v>
      </c>
      <c r="H1959" s="460"/>
      <c r="I1959" s="1259"/>
    </row>
    <row r="1960" spans="1:9" ht="14.55" customHeight="1" x14ac:dyDescent="0.3">
      <c r="A1960" s="1258" t="s">
        <v>280</v>
      </c>
      <c r="B1960" s="453"/>
      <c r="C1960" s="460"/>
      <c r="D1960" s="453"/>
      <c r="E1960" s="460"/>
      <c r="F1960" s="726"/>
      <c r="G1960" s="460"/>
      <c r="H1960" s="460"/>
      <c r="I1960" s="1259"/>
    </row>
    <row r="1961" spans="1:9" ht="14.55" customHeight="1" x14ac:dyDescent="0.3">
      <c r="A1961" s="1258" t="s">
        <v>281</v>
      </c>
      <c r="B1961" s="453"/>
      <c r="C1961" s="460"/>
      <c r="D1961" s="453"/>
      <c r="E1961" s="460"/>
      <c r="F1961" s="460">
        <f>IFERROR(VLOOKUP(F1915,'Thickness Tab'!$1:$1048576,MATCH(F1960,'Thickness Tab'!$1:$1,0),0),0)</f>
        <v>0</v>
      </c>
      <c r="G1961" s="460" t="s">
        <v>93</v>
      </c>
      <c r="H1961" s="460"/>
      <c r="I1961" s="1259"/>
    </row>
    <row r="1962" spans="1:9" ht="14.55" customHeight="1" x14ac:dyDescent="0.3">
      <c r="A1962" s="1258"/>
      <c r="B1962" s="464"/>
      <c r="C1962" s="460"/>
      <c r="D1962" s="460"/>
      <c r="E1962" s="460"/>
      <c r="F1962" s="460"/>
      <c r="G1962" s="460"/>
      <c r="H1962" s="460"/>
      <c r="I1962" s="1259"/>
    </row>
    <row r="1963" spans="1:9" ht="14.55" customHeight="1" x14ac:dyDescent="0.3">
      <c r="A1963" s="1258" t="s">
        <v>282</v>
      </c>
      <c r="B1963" s="725">
        <v>0</v>
      </c>
      <c r="C1963" s="460" t="s">
        <v>93</v>
      </c>
      <c r="D1963" s="725">
        <v>0</v>
      </c>
      <c r="E1963" s="460" t="s">
        <v>93</v>
      </c>
      <c r="F1963" s="725">
        <v>0</v>
      </c>
      <c r="G1963" s="460" t="s">
        <v>93</v>
      </c>
      <c r="H1963" s="460"/>
      <c r="I1963" s="1259"/>
    </row>
    <row r="1964" spans="1:9" ht="14.55" customHeight="1" x14ac:dyDescent="0.3">
      <c r="A1964" s="1258" t="s">
        <v>283</v>
      </c>
      <c r="B1964" s="725">
        <v>0</v>
      </c>
      <c r="C1964" s="460" t="s">
        <v>93</v>
      </c>
      <c r="D1964" s="725">
        <v>0</v>
      </c>
      <c r="E1964" s="460" t="s">
        <v>93</v>
      </c>
      <c r="F1964" s="725">
        <v>0</v>
      </c>
      <c r="G1964" s="460" t="s">
        <v>93</v>
      </c>
      <c r="H1964" s="460"/>
      <c r="I1964" s="1259"/>
    </row>
    <row r="1965" spans="1:9" ht="14.55" customHeight="1" x14ac:dyDescent="0.3">
      <c r="A1965" s="1258" t="s">
        <v>284</v>
      </c>
      <c r="B1965" s="725">
        <v>0</v>
      </c>
      <c r="C1965" s="460" t="s">
        <v>93</v>
      </c>
      <c r="D1965" s="725">
        <v>0</v>
      </c>
      <c r="E1965" s="460" t="s">
        <v>93</v>
      </c>
      <c r="F1965" s="725">
        <v>0</v>
      </c>
      <c r="G1965" s="460" t="s">
        <v>93</v>
      </c>
      <c r="H1965" s="460"/>
      <c r="I1965" s="1259"/>
    </row>
    <row r="1966" spans="1:9" ht="14.55" customHeight="1" x14ac:dyDescent="0.3">
      <c r="A1966" s="1258"/>
      <c r="B1966" s="464"/>
      <c r="C1966" s="460"/>
      <c r="D1966" s="460"/>
      <c r="E1966" s="460"/>
      <c r="F1966" s="460"/>
      <c r="G1966" s="460"/>
      <c r="H1966" s="460"/>
      <c r="I1966" s="1259"/>
    </row>
    <row r="1967" spans="1:9" ht="14.55" customHeight="1" x14ac:dyDescent="0.3">
      <c r="A1967" s="1260" t="s">
        <v>285</v>
      </c>
      <c r="B1967" s="470" t="str">
        <f>IF(B1895="Horizontal","No Skirt","")</f>
        <v/>
      </c>
      <c r="C1967" s="460"/>
      <c r="D1967" s="471"/>
      <c r="E1967" s="471" t="s">
        <v>286</v>
      </c>
      <c r="F1967" s="460"/>
      <c r="G1967" s="469"/>
      <c r="H1967" s="469"/>
      <c r="I1967" s="1261"/>
    </row>
    <row r="1968" spans="1:9" ht="14.55" customHeight="1" x14ac:dyDescent="0.3">
      <c r="A1968" s="1258" t="s">
        <v>287</v>
      </c>
      <c r="B1968" s="722"/>
      <c r="C1968" s="456" t="s">
        <v>93</v>
      </c>
      <c r="D1968" s="472"/>
      <c r="E1968" s="472" t="s">
        <v>288</v>
      </c>
      <c r="F1968" s="725"/>
      <c r="G1968" s="460" t="s">
        <v>93</v>
      </c>
      <c r="H1968" s="469"/>
      <c r="I1968" s="1261"/>
    </row>
    <row r="1969" spans="1:9" ht="14.55" customHeight="1" x14ac:dyDescent="0.3">
      <c r="A1969" s="1258" t="s">
        <v>289</v>
      </c>
      <c r="B1969" s="722"/>
      <c r="C1969" s="456" t="s">
        <v>93</v>
      </c>
      <c r="D1969" s="472"/>
      <c r="E1969" s="472" t="s">
        <v>290</v>
      </c>
      <c r="F1969" s="725"/>
      <c r="G1969" s="460" t="s">
        <v>93</v>
      </c>
      <c r="H1969" s="469"/>
      <c r="I1969" s="1261"/>
    </row>
    <row r="1970" spans="1:9" ht="14.55" customHeight="1" x14ac:dyDescent="0.3">
      <c r="A1970" s="1258" t="s">
        <v>291</v>
      </c>
      <c r="B1970" s="722"/>
      <c r="C1970" s="456" t="s">
        <v>93</v>
      </c>
      <c r="D1970" s="472"/>
      <c r="E1970" s="472" t="s">
        <v>292</v>
      </c>
      <c r="F1970" s="725"/>
      <c r="G1970" s="460"/>
      <c r="H1970" s="469"/>
      <c r="I1970" s="1261"/>
    </row>
    <row r="1971" spans="1:9" ht="14.55" customHeight="1" x14ac:dyDescent="0.3">
      <c r="A1971" s="1258" t="s">
        <v>293</v>
      </c>
      <c r="B1971" s="722"/>
      <c r="C1971" s="456" t="s">
        <v>93</v>
      </c>
      <c r="D1971" s="472"/>
      <c r="E1971" s="472" t="s">
        <v>184</v>
      </c>
      <c r="F1971" s="457">
        <f>(PI()*F1968^2)/4*F1969*(7800/1000000000)</f>
        <v>0</v>
      </c>
      <c r="G1971" s="460" t="s">
        <v>222</v>
      </c>
      <c r="H1971" s="460"/>
      <c r="I1971" s="1259"/>
    </row>
    <row r="1972" spans="1:9" ht="14.55" customHeight="1" x14ac:dyDescent="0.3">
      <c r="A1972" s="1258" t="s">
        <v>294</v>
      </c>
      <c r="B1972" s="722"/>
      <c r="C1972" s="456" t="s">
        <v>93</v>
      </c>
      <c r="D1972" s="460"/>
      <c r="E1972" s="460"/>
      <c r="F1972" s="460"/>
      <c r="G1972" s="460"/>
      <c r="H1972" s="460"/>
      <c r="I1972" s="1259"/>
    </row>
    <row r="1973" spans="1:9" ht="14.55" customHeight="1" x14ac:dyDescent="0.3">
      <c r="A1973" s="1258"/>
      <c r="B1973" s="407"/>
      <c r="C1973" s="460"/>
      <c r="D1973" s="460"/>
      <c r="E1973" s="460"/>
      <c r="F1973" s="460"/>
      <c r="G1973" s="460"/>
      <c r="H1973" s="460"/>
      <c r="I1973" s="1259"/>
    </row>
    <row r="1974" spans="1:9" ht="14.55" customHeight="1" x14ac:dyDescent="0.3">
      <c r="A1974" s="1262" t="s">
        <v>295</v>
      </c>
      <c r="B1974" s="480"/>
      <c r="C1974" s="59"/>
      <c r="D1974" s="59"/>
      <c r="E1974" s="59"/>
      <c r="F1974" s="460"/>
      <c r="G1974" s="460"/>
      <c r="H1974" s="460"/>
      <c r="I1974" s="1259"/>
    </row>
    <row r="1975" spans="1:9" ht="14.55" customHeight="1" x14ac:dyDescent="0.3">
      <c r="A1975" s="1263" t="s">
        <v>296</v>
      </c>
      <c r="B1975" s="722"/>
      <c r="C1975" s="59" t="s">
        <v>93</v>
      </c>
      <c r="D1975" s="59"/>
      <c r="E1975" s="59"/>
      <c r="F1975" s="460"/>
      <c r="G1975" s="460"/>
      <c r="H1975" s="460"/>
      <c r="I1975" s="1259"/>
    </row>
    <row r="1976" spans="1:9" ht="14.55" customHeight="1" x14ac:dyDescent="0.3">
      <c r="A1976" s="1263" t="s">
        <v>297</v>
      </c>
      <c r="B1976" s="722"/>
      <c r="C1976" s="59" t="s">
        <v>93</v>
      </c>
      <c r="D1976" s="59"/>
      <c r="E1976" s="59"/>
      <c r="F1976" s="460"/>
      <c r="G1976" s="460"/>
      <c r="H1976" s="460"/>
      <c r="I1976" s="1259"/>
    </row>
    <row r="1977" spans="1:9" ht="14.55" customHeight="1" x14ac:dyDescent="0.3">
      <c r="A1977" s="1263" t="s">
        <v>298</v>
      </c>
      <c r="B1977" s="480">
        <f>B1918</f>
        <v>0</v>
      </c>
      <c r="C1977" s="59" t="s">
        <v>93</v>
      </c>
      <c r="D1977" s="59"/>
      <c r="E1977" s="59"/>
      <c r="F1977" s="460"/>
      <c r="G1977" s="460"/>
      <c r="H1977" s="460"/>
      <c r="I1977" s="1259"/>
    </row>
    <row r="1978" spans="1:9" ht="14.55" customHeight="1" x14ac:dyDescent="0.3">
      <c r="A1978" s="1263" t="s">
        <v>299</v>
      </c>
      <c r="B1978" s="727"/>
      <c r="C1978" s="59"/>
      <c r="D1978" s="59"/>
      <c r="E1978" s="59"/>
      <c r="F1978" s="460"/>
      <c r="G1978" s="460"/>
      <c r="H1978" s="460"/>
      <c r="I1978" s="1259"/>
    </row>
    <row r="1979" spans="1:9" ht="14.55" customHeight="1" x14ac:dyDescent="0.3">
      <c r="A1979" s="1263" t="s">
        <v>300</v>
      </c>
      <c r="B1979" s="722"/>
      <c r="C1979" s="59" t="s">
        <v>301</v>
      </c>
      <c r="D1979" s="59"/>
      <c r="E1979" s="59"/>
      <c r="F1979" s="460"/>
      <c r="G1979" s="460"/>
      <c r="H1979" s="460"/>
      <c r="I1979" s="1259"/>
    </row>
    <row r="1980" spans="1:9" ht="14.55" customHeight="1" x14ac:dyDescent="0.3">
      <c r="A1980" s="1263" t="s">
        <v>302</v>
      </c>
      <c r="B1980" s="480">
        <f>IF(B1978="Straight",B1977,B1977*2)</f>
        <v>0</v>
      </c>
      <c r="C1980" s="59" t="s">
        <v>93</v>
      </c>
      <c r="D1980" s="480"/>
      <c r="E1980" s="59"/>
      <c r="F1980" s="460"/>
      <c r="G1980" s="460"/>
      <c r="H1980" s="460"/>
      <c r="I1980" s="1259"/>
    </row>
    <row r="1981" spans="1:9" ht="14.55" customHeight="1" x14ac:dyDescent="0.3">
      <c r="A1981" s="1263" t="s">
        <v>303</v>
      </c>
      <c r="B1981" s="480">
        <f>B1975*PI()*B1980/1000000*B1979</f>
        <v>0</v>
      </c>
      <c r="C1981" s="59" t="s">
        <v>228</v>
      </c>
      <c r="D1981" s="59"/>
      <c r="E1981" s="59"/>
      <c r="F1981" s="460"/>
      <c r="G1981" s="460"/>
      <c r="H1981" s="460"/>
      <c r="I1981" s="1259"/>
    </row>
    <row r="1982" spans="1:9" ht="14.55" customHeight="1" x14ac:dyDescent="0.3">
      <c r="A1982" s="1263" t="s">
        <v>304</v>
      </c>
      <c r="B1982" s="480">
        <v>7.86</v>
      </c>
      <c r="C1982" s="59" t="s">
        <v>305</v>
      </c>
      <c r="D1982" s="59"/>
      <c r="E1982" s="59"/>
      <c r="F1982" s="460"/>
      <c r="G1982" s="460"/>
      <c r="H1982" s="460"/>
      <c r="I1982" s="1259"/>
    </row>
    <row r="1983" spans="1:9" ht="14.55" customHeight="1" x14ac:dyDescent="0.3">
      <c r="A1983" s="1263" t="s">
        <v>306</v>
      </c>
      <c r="B1983" s="480">
        <f>PI()*B1976*(B1975-B1976)*B1982/1000</f>
        <v>0</v>
      </c>
      <c r="C1983" s="59" t="s">
        <v>307</v>
      </c>
      <c r="D1983" s="59"/>
      <c r="E1983" s="59"/>
      <c r="F1983" s="460"/>
      <c r="G1983" s="460"/>
      <c r="H1983" s="460"/>
      <c r="I1983" s="1259"/>
    </row>
    <row r="1984" spans="1:9" ht="14.55" customHeight="1" x14ac:dyDescent="0.3">
      <c r="A1984" s="1263" t="s">
        <v>308</v>
      </c>
      <c r="B1984" s="480">
        <f>B1983*B1980*B1979/1000</f>
        <v>0</v>
      </c>
      <c r="C1984" s="59" t="s">
        <v>222</v>
      </c>
      <c r="D1984" s="59"/>
      <c r="E1984" s="59"/>
      <c r="F1984" s="460"/>
      <c r="G1984" s="460"/>
      <c r="H1984" s="460"/>
      <c r="I1984" s="1259"/>
    </row>
    <row r="1985" spans="1:9" ht="14.55" customHeight="1" x14ac:dyDescent="0.3">
      <c r="A1985" s="1263"/>
      <c r="B1985" s="480"/>
      <c r="C1985" s="59"/>
      <c r="D1985" s="59"/>
      <c r="E1985" s="59"/>
      <c r="F1985" s="460"/>
      <c r="G1985" s="460"/>
      <c r="H1985" s="460"/>
      <c r="I1985" s="1259"/>
    </row>
    <row r="1986" spans="1:9" ht="14.55" customHeight="1" x14ac:dyDescent="0.3">
      <c r="A1986" s="1262" t="s">
        <v>309</v>
      </c>
      <c r="B1986" s="480"/>
      <c r="C1986" s="59"/>
      <c r="D1986" s="59"/>
      <c r="E1986" s="59"/>
      <c r="F1986" s="460"/>
      <c r="G1986" s="460"/>
      <c r="H1986" s="460"/>
      <c r="I1986" s="1259"/>
    </row>
    <row r="1987" spans="1:9" ht="14.55" customHeight="1" x14ac:dyDescent="0.3">
      <c r="A1987" s="1263" t="s">
        <v>310</v>
      </c>
      <c r="B1987" s="480">
        <f>B1916</f>
        <v>0</v>
      </c>
      <c r="C1987" s="59" t="s">
        <v>93</v>
      </c>
      <c r="D1987" s="59"/>
      <c r="E1987" s="59"/>
      <c r="F1987" s="460"/>
      <c r="G1987" s="460"/>
      <c r="H1987" s="460"/>
      <c r="I1987" s="1259"/>
    </row>
    <row r="1988" spans="1:9" ht="14.55" customHeight="1" x14ac:dyDescent="0.3">
      <c r="A1988" s="1263" t="s">
        <v>297</v>
      </c>
      <c r="B1988" s="480">
        <v>15</v>
      </c>
      <c r="C1988" s="59" t="s">
        <v>93</v>
      </c>
      <c r="D1988" s="59"/>
      <c r="E1988" s="59"/>
      <c r="F1988" s="460"/>
      <c r="G1988" s="460"/>
      <c r="H1988" s="460"/>
      <c r="I1988" s="1259"/>
    </row>
    <row r="1989" spans="1:9" ht="14.55" customHeight="1" x14ac:dyDescent="0.3">
      <c r="A1989" s="1263" t="s">
        <v>311</v>
      </c>
      <c r="B1989" s="480">
        <f>B1987^2*PI()/4/1000000</f>
        <v>0</v>
      </c>
      <c r="C1989" s="59" t="s">
        <v>228</v>
      </c>
      <c r="D1989" s="59"/>
      <c r="E1989" s="59"/>
      <c r="F1989" s="460"/>
      <c r="G1989" s="460"/>
      <c r="H1989" s="460"/>
      <c r="I1989" s="1259"/>
    </row>
    <row r="1990" spans="1:9" ht="14.55" customHeight="1" x14ac:dyDescent="0.3">
      <c r="A1990" s="1263" t="s">
        <v>312</v>
      </c>
      <c r="B1990" s="480">
        <f>B1989*B1988/1000*B1982*2/1000</f>
        <v>0</v>
      </c>
      <c r="C1990" s="59" t="s">
        <v>222</v>
      </c>
      <c r="D1990" s="59"/>
      <c r="E1990" s="59"/>
      <c r="F1990" s="460"/>
      <c r="G1990" s="460"/>
      <c r="H1990" s="460"/>
      <c r="I1990" s="1259"/>
    </row>
    <row r="1991" spans="1:9" ht="14.55" customHeight="1" x14ac:dyDescent="0.3">
      <c r="A1991" s="1263"/>
      <c r="B1991" s="480"/>
      <c r="C1991" s="59"/>
      <c r="D1991" s="59"/>
      <c r="E1991" s="59"/>
      <c r="F1991" s="460"/>
      <c r="G1991" s="460"/>
      <c r="H1991" s="460"/>
      <c r="I1991" s="1259"/>
    </row>
    <row r="1992" spans="1:9" ht="14.55" customHeight="1" x14ac:dyDescent="0.3">
      <c r="A1992" s="1263" t="s">
        <v>313</v>
      </c>
      <c r="B1992" s="480">
        <f>B1984+B1990*2</f>
        <v>0</v>
      </c>
      <c r="C1992" s="59" t="s">
        <v>222</v>
      </c>
      <c r="D1992" s="59"/>
      <c r="E1992" s="59"/>
      <c r="F1992" s="460"/>
      <c r="G1992" s="460"/>
      <c r="H1992" s="460"/>
      <c r="I1992" s="1259"/>
    </row>
    <row r="1993" spans="1:9" ht="14.55" customHeight="1" x14ac:dyDescent="0.3">
      <c r="A1993" s="1263"/>
      <c r="B1993" s="480"/>
      <c r="C1993" s="59"/>
      <c r="D1993" s="59"/>
      <c r="E1993" s="59"/>
      <c r="F1993" s="460"/>
      <c r="G1993" s="460"/>
      <c r="H1993" s="460"/>
      <c r="I1993" s="1259"/>
    </row>
    <row r="1994" spans="1:9" ht="14.55" customHeight="1" x14ac:dyDescent="0.3">
      <c r="A1994" s="1260" t="s">
        <v>314</v>
      </c>
      <c r="B1994" s="460"/>
      <c r="C1994" s="460"/>
      <c r="D1994" s="463" t="s">
        <v>315</v>
      </c>
      <c r="E1994" s="460"/>
      <c r="F1994" s="460"/>
      <c r="G1994" s="471" t="s">
        <v>316</v>
      </c>
      <c r="H1994" s="453"/>
      <c r="I1994" s="1259"/>
    </row>
    <row r="1995" spans="1:9" ht="14.55" customHeight="1" x14ac:dyDescent="0.3">
      <c r="A1995" s="1258" t="s">
        <v>189</v>
      </c>
      <c r="B1995" s="468" t="e">
        <f>SUM(B1919,D1919,F1919)</f>
        <v>#N/A</v>
      </c>
      <c r="C1995" s="460" t="s">
        <v>222</v>
      </c>
      <c r="D1995" s="472" t="s">
        <v>189</v>
      </c>
      <c r="E1995" s="468" t="e">
        <f>SUM(B1921,D1921,F1921)</f>
        <v>#N/A</v>
      </c>
      <c r="F1995" s="460" t="s">
        <v>228</v>
      </c>
      <c r="G1995" s="472" t="s">
        <v>189</v>
      </c>
      <c r="H1995" s="453" t="e">
        <f>SUM(B1923,D1923,F1923)</f>
        <v>#N/A</v>
      </c>
      <c r="I1995" s="1259" t="s">
        <v>228</v>
      </c>
    </row>
    <row r="1996" spans="1:9" ht="14.55" customHeight="1" x14ac:dyDescent="0.3">
      <c r="A1996" s="1258" t="s">
        <v>317</v>
      </c>
      <c r="B1996" s="468" t="e">
        <f>SUM(B1929*B1931,D1929*D1931,F1929*F1931)</f>
        <v>#N/A</v>
      </c>
      <c r="C1996" s="460" t="s">
        <v>222</v>
      </c>
      <c r="D1996" s="472" t="s">
        <v>317</v>
      </c>
      <c r="E1996" s="468" t="e">
        <f>SUM(B1929*B1933,D1929*D1933,F1929*F1933)</f>
        <v>#N/A</v>
      </c>
      <c r="F1996" s="460" t="s">
        <v>228</v>
      </c>
      <c r="G1996" s="472" t="s">
        <v>317</v>
      </c>
      <c r="H1996" s="453" t="e">
        <f>SUM(B1929*B1935,D1929*D1935,F1929*F1935)</f>
        <v>#N/A</v>
      </c>
      <c r="I1996" s="1259" t="s">
        <v>228</v>
      </c>
    </row>
    <row r="1997" spans="1:9" ht="14.55" customHeight="1" x14ac:dyDescent="0.3">
      <c r="A1997" s="1258" t="s">
        <v>318</v>
      </c>
      <c r="B1997" s="468" t="e">
        <f>SUM(B1943,D1943,F1943)</f>
        <v>#N/A</v>
      </c>
      <c r="C1997" s="460" t="s">
        <v>222</v>
      </c>
      <c r="D1997" s="472" t="s">
        <v>318</v>
      </c>
      <c r="E1997" s="468" t="e">
        <f>SUM(B1945,D1945,F1945)</f>
        <v>#N/A</v>
      </c>
      <c r="F1997" s="460" t="s">
        <v>228</v>
      </c>
      <c r="G1997" s="472" t="s">
        <v>318</v>
      </c>
      <c r="H1997" s="453" t="e">
        <f>SUM(B1948,D1948,F1948)</f>
        <v>#N/A</v>
      </c>
      <c r="I1997" s="1259" t="s">
        <v>228</v>
      </c>
    </row>
    <row r="1998" spans="1:9" ht="14.55" customHeight="1" x14ac:dyDescent="0.3">
      <c r="A1998" s="1258" t="s">
        <v>319</v>
      </c>
      <c r="B1998" s="468">
        <f>SUMPRODUCT(F2015:F2026,H2015:H2026)</f>
        <v>0</v>
      </c>
      <c r="C1998" s="460" t="s">
        <v>222</v>
      </c>
      <c r="D1998" s="472" t="s">
        <v>319</v>
      </c>
      <c r="E1998" s="468">
        <f>SUMPRODUCT(F2015:F2026,I2015:I2026)</f>
        <v>0</v>
      </c>
      <c r="F1998" s="460" t="s">
        <v>228</v>
      </c>
      <c r="G1998" s="460"/>
      <c r="H1998" s="453"/>
      <c r="I1998" s="1259"/>
    </row>
    <row r="1999" spans="1:9" ht="14.55" customHeight="1" x14ac:dyDescent="0.3">
      <c r="A1999" s="1258" t="s">
        <v>320</v>
      </c>
      <c r="B1999" s="468" t="e">
        <f>IF(B1895="Horizontal",0,(PI()*B1969*(((B1917/2)^2)-(((B1917-2*B1968)/2)^2))*7860)/1000000000)</f>
        <v>#N/A</v>
      </c>
      <c r="C1999" s="460" t="s">
        <v>222</v>
      </c>
      <c r="D1999" s="472" t="s">
        <v>320</v>
      </c>
      <c r="E1999" s="468" t="e">
        <f>IF(B1895="Horizontal",0,((B1917*B1969*PI())+((B1917-2*B1968)*B1969*PI()))/1000000)</f>
        <v>#N/A</v>
      </c>
      <c r="F1999" s="460" t="s">
        <v>228</v>
      </c>
      <c r="G1999" s="471" t="s">
        <v>321</v>
      </c>
      <c r="H1999" s="453"/>
      <c r="I1999" s="1259"/>
    </row>
    <row r="2000" spans="1:9" ht="14.55" customHeight="1" x14ac:dyDescent="0.3">
      <c r="A2000" s="1258" t="s">
        <v>322</v>
      </c>
      <c r="B2000" s="468">
        <f>IF(B1895="Horizontal",0,(PI()*B1972*(((B1971/2)^2)-((B1970/2)^2))*7860)/1000000000)</f>
        <v>0</v>
      </c>
      <c r="C2000" s="460" t="s">
        <v>222</v>
      </c>
      <c r="D2000" s="472" t="s">
        <v>322</v>
      </c>
      <c r="E2000" s="468">
        <f>IF(B1895="Horizontal",0,((B1971*3.14*B1972)+(B1970*3.14*B1972)+(((((B1971/2)^2)*3.14)-(((B1970/2)^2)*3.14))*2))/1000000)</f>
        <v>0</v>
      </c>
      <c r="F2000" s="460" t="s">
        <v>228</v>
      </c>
      <c r="G2000" s="472" t="s">
        <v>189</v>
      </c>
      <c r="H2000" s="453">
        <f>SUM(B1920,D1920,F1920)</f>
        <v>0</v>
      </c>
      <c r="I2000" s="1259" t="s">
        <v>225</v>
      </c>
    </row>
    <row r="2001" spans="1:9" ht="14.55" customHeight="1" x14ac:dyDescent="0.3">
      <c r="A2001" s="1258" t="s">
        <v>323</v>
      </c>
      <c r="B2001" s="468">
        <f>IF(B1895="Horizontal",VLOOKUP(B1917,List!$AR:$AS,2,1)*2,0)</f>
        <v>0</v>
      </c>
      <c r="C2001" s="460" t="s">
        <v>222</v>
      </c>
      <c r="D2001" s="472" t="s">
        <v>323</v>
      </c>
      <c r="E2001" s="725"/>
      <c r="F2001" s="460" t="s">
        <v>228</v>
      </c>
      <c r="G2001" s="472" t="s">
        <v>317</v>
      </c>
      <c r="H2001" s="453" t="e">
        <f>SUM(B1929*B1932+D1929*D1932+F1929*F1932)</f>
        <v>#N/A</v>
      </c>
      <c r="I2001" s="1259" t="s">
        <v>225</v>
      </c>
    </row>
    <row r="2002" spans="1:9" ht="14.55" customHeight="1" x14ac:dyDescent="0.3">
      <c r="A2002" s="1258" t="s">
        <v>324</v>
      </c>
      <c r="B2002" s="468">
        <f>F1971*F1970</f>
        <v>0</v>
      </c>
      <c r="C2002" s="460" t="s">
        <v>222</v>
      </c>
      <c r="D2002" s="460"/>
      <c r="E2002" s="460"/>
      <c r="F2002" s="460"/>
      <c r="G2002" s="472" t="s">
        <v>318</v>
      </c>
      <c r="H2002" s="453">
        <f>SUM(B1944,D1944,F1944)</f>
        <v>0</v>
      </c>
      <c r="I2002" s="1259" t="s">
        <v>225</v>
      </c>
    </row>
    <row r="2003" spans="1:9" ht="14.55" customHeight="1" x14ac:dyDescent="0.3">
      <c r="A2003" s="1258" t="s">
        <v>325</v>
      </c>
      <c r="B2003" s="468">
        <f>B1992</f>
        <v>0</v>
      </c>
      <c r="C2003" s="460" t="s">
        <v>222</v>
      </c>
      <c r="D2003" s="460"/>
      <c r="E2003" s="460"/>
      <c r="F2003" s="460"/>
      <c r="G2003" s="472"/>
      <c r="H2003" s="453"/>
      <c r="I2003" s="1259"/>
    </row>
    <row r="2004" spans="1:9" ht="14.55" customHeight="1" x14ac:dyDescent="0.3">
      <c r="A2004" s="1258" t="s">
        <v>326</v>
      </c>
      <c r="B2004" s="725"/>
      <c r="C2004" s="460" t="s">
        <v>222</v>
      </c>
      <c r="D2004" s="460"/>
      <c r="E2004" s="460"/>
      <c r="F2004" s="460"/>
      <c r="G2004" s="460"/>
      <c r="H2004" s="460"/>
      <c r="I2004" s="1259"/>
    </row>
    <row r="2005" spans="1:9" ht="14.55" customHeight="1" x14ac:dyDescent="0.3">
      <c r="A2005" s="1264"/>
      <c r="B2005" s="460"/>
      <c r="C2005" s="460"/>
      <c r="D2005" s="460"/>
      <c r="E2005" s="460"/>
      <c r="F2005" s="460"/>
      <c r="G2005" s="460"/>
      <c r="H2005" s="460"/>
      <c r="I2005" s="1259"/>
    </row>
    <row r="2006" spans="1:9" ht="14.55" customHeight="1" x14ac:dyDescent="0.3">
      <c r="A2006" s="1258" t="s">
        <v>327</v>
      </c>
      <c r="B2006" s="453" t="e">
        <f>SUM(E1995:E2001)</f>
        <v>#N/A</v>
      </c>
      <c r="C2006" s="460" t="s">
        <v>228</v>
      </c>
      <c r="D2006" s="460"/>
      <c r="E2006" s="460"/>
      <c r="F2006" s="460"/>
      <c r="G2006" s="460"/>
      <c r="H2006" s="460"/>
      <c r="I2006" s="1259"/>
    </row>
    <row r="2007" spans="1:9" ht="14.55" customHeight="1" x14ac:dyDescent="0.3">
      <c r="A2007" s="1258" t="s">
        <v>328</v>
      </c>
      <c r="B2007" s="453" t="e">
        <f>IF(SUM(E1995:E1997)=SUM(H1995:H1997),"Not Insulated",SUM(H1995:H1997))</f>
        <v>#N/A</v>
      </c>
      <c r="C2007" s="460" t="e">
        <f>IF(B2006=SUM(H1995:H1997),"","m2")</f>
        <v>#N/A</v>
      </c>
      <c r="D2007" s="460"/>
      <c r="E2007" s="460"/>
      <c r="F2007" s="460"/>
      <c r="G2007" s="460"/>
      <c r="H2007" s="460"/>
      <c r="I2007" s="1259"/>
    </row>
    <row r="2008" spans="1:9" ht="14.55" customHeight="1" x14ac:dyDescent="0.3">
      <c r="A2008" s="1258" t="s">
        <v>329</v>
      </c>
      <c r="B2008" s="453" t="e">
        <f>SUM(H2000:H2002)</f>
        <v>#N/A</v>
      </c>
      <c r="C2008" s="460" t="s">
        <v>225</v>
      </c>
      <c r="D2008" s="460"/>
      <c r="E2008" s="460"/>
      <c r="F2008" s="460"/>
      <c r="G2008" s="460"/>
      <c r="H2008" s="460"/>
      <c r="I2008" s="1259"/>
    </row>
    <row r="2009" spans="1:9" ht="14.55" customHeight="1" x14ac:dyDescent="0.3">
      <c r="A2009" s="1258" t="s">
        <v>330</v>
      </c>
      <c r="B2009" s="453" t="e">
        <f>SUM(B1995:B2004)</f>
        <v>#N/A</v>
      </c>
      <c r="C2009" s="460" t="s">
        <v>222</v>
      </c>
      <c r="D2009" s="460"/>
      <c r="E2009" s="460"/>
      <c r="F2009" s="460"/>
      <c r="G2009" s="460"/>
      <c r="H2009" s="460"/>
      <c r="I2009" s="1259"/>
    </row>
    <row r="2010" spans="1:9" ht="14.55" customHeight="1" x14ac:dyDescent="0.3">
      <c r="A2010" s="1258" t="s">
        <v>331</v>
      </c>
      <c r="B2010" s="725"/>
      <c r="C2010" s="460" t="s">
        <v>222</v>
      </c>
      <c r="D2010" s="460"/>
      <c r="E2010" s="460"/>
      <c r="F2010" s="460"/>
      <c r="G2010" s="460"/>
      <c r="H2010" s="460"/>
      <c r="I2010" s="1259"/>
    </row>
    <row r="2011" spans="1:9" ht="15" customHeight="1" thickBot="1" x14ac:dyDescent="0.35">
      <c r="A2011" s="1258"/>
      <c r="B2011" s="473"/>
      <c r="C2011" s="459"/>
      <c r="D2011" s="460"/>
      <c r="E2011" s="460"/>
      <c r="F2011" s="460"/>
      <c r="G2011" s="460"/>
      <c r="H2011" s="460"/>
      <c r="I2011" s="1259"/>
    </row>
    <row r="2012" spans="1:9" ht="15" customHeight="1" thickBot="1" x14ac:dyDescent="0.35">
      <c r="A2012" s="474"/>
      <c r="B2012" s="1718" t="s">
        <v>332</v>
      </c>
      <c r="C2012" s="1718"/>
      <c r="D2012" s="1718"/>
      <c r="E2012" s="1718"/>
      <c r="F2012" s="1718"/>
      <c r="G2012" s="475"/>
      <c r="H2012" s="475"/>
      <c r="I2012" s="476"/>
    </row>
    <row r="2013" spans="1:9" ht="14.55" customHeight="1" x14ac:dyDescent="0.3">
      <c r="A2013" s="1264"/>
      <c r="B2013" s="1719" t="s">
        <v>333</v>
      </c>
      <c r="C2013" s="1381" t="s">
        <v>59</v>
      </c>
      <c r="D2013" s="1719" t="s">
        <v>114</v>
      </c>
      <c r="E2013" s="1719" t="s">
        <v>334</v>
      </c>
      <c r="F2013" s="1719" t="s">
        <v>292</v>
      </c>
      <c r="G2013" s="1719" t="s">
        <v>335</v>
      </c>
      <c r="H2013" s="1381" t="s">
        <v>184</v>
      </c>
      <c r="I2013" s="1346" t="s">
        <v>336</v>
      </c>
    </row>
    <row r="2014" spans="1:9" ht="14.55" customHeight="1" x14ac:dyDescent="0.3">
      <c r="A2014" s="1264"/>
      <c r="B2014" s="1720"/>
      <c r="C2014" s="1442" t="s">
        <v>214</v>
      </c>
      <c r="D2014" s="1720"/>
      <c r="E2014" s="1720"/>
      <c r="F2014" s="1720"/>
      <c r="G2014" s="1720"/>
      <c r="H2014" s="1442" t="s">
        <v>222</v>
      </c>
      <c r="I2014" s="1443" t="s">
        <v>228</v>
      </c>
    </row>
    <row r="2015" spans="1:9" ht="14.55" customHeight="1" x14ac:dyDescent="0.3">
      <c r="A2015" s="1264"/>
      <c r="B2015" s="1382" t="s">
        <v>337</v>
      </c>
      <c r="C2015" s="728"/>
      <c r="D2015" s="729"/>
      <c r="E2015" s="730"/>
      <c r="F2015" s="730"/>
      <c r="G2015" s="730"/>
      <c r="H2015" s="1465" t="str">
        <f>IFERROR(VLOOKUP($C2015&amp;"F"&amp;$D2015,'Flanges Chart'!$1:$1048576,MATCH($E2015&amp;"."&amp;H$123,'Flanges Chart'!$1:$1,0),0),"")</f>
        <v/>
      </c>
      <c r="I2015" s="1466" t="str">
        <f>IFERROR(VLOOKUP($C2015&amp;"F"&amp;$D2015,'Flanges Chart'!$1:$1048576,MATCH($E2015&amp;"."&amp;I$123,'Flanges Chart'!$1:$1,0),0),"")</f>
        <v/>
      </c>
    </row>
    <row r="2016" spans="1:9" ht="14.55" customHeight="1" x14ac:dyDescent="0.3">
      <c r="A2016" s="1264"/>
      <c r="B2016" s="1467" t="s">
        <v>340</v>
      </c>
      <c r="C2016" s="731"/>
      <c r="D2016" s="729"/>
      <c r="E2016" s="729"/>
      <c r="F2016" s="729"/>
      <c r="G2016" s="729"/>
      <c r="H2016" s="1465" t="str">
        <f>IFERROR(VLOOKUP($C2016&amp;"F"&amp;$D2016,'Flanges Chart'!$1:$1048576,MATCH($E2016&amp;"."&amp;H$123,'Flanges Chart'!$1:$1,0),0),"")</f>
        <v/>
      </c>
      <c r="I2016" s="1466" t="str">
        <f>IFERROR(VLOOKUP($C2016&amp;"F"&amp;$D2016,'Flanges Chart'!$1:$1048576,MATCH($E2016&amp;"."&amp;I$123,'Flanges Chart'!$1:$1,0),0),"")</f>
        <v/>
      </c>
    </row>
    <row r="2017" spans="1:13" ht="14.55" customHeight="1" x14ac:dyDescent="0.3">
      <c r="A2017" s="1264"/>
      <c r="B2017" s="1467" t="s">
        <v>342</v>
      </c>
      <c r="C2017" s="731"/>
      <c r="D2017" s="729"/>
      <c r="E2017" s="729"/>
      <c r="F2017" s="729"/>
      <c r="G2017" s="729"/>
      <c r="H2017" s="1465" t="str">
        <f>IFERROR(VLOOKUP($C2017&amp;"F"&amp;$D2017,'Flanges Chart'!$1:$1048576,MATCH($E2017&amp;"."&amp;H$123,'Flanges Chart'!$1:$1,0),0),"")</f>
        <v/>
      </c>
      <c r="I2017" s="1466" t="str">
        <f>IFERROR(VLOOKUP($C2017&amp;"F"&amp;$D2017,'Flanges Chart'!$1:$1048576,MATCH($E2017&amp;"."&amp;I$123,'Flanges Chart'!$1:$1,0),0),"")</f>
        <v/>
      </c>
    </row>
    <row r="2018" spans="1:13" ht="14.55" customHeight="1" x14ac:dyDescent="0.3">
      <c r="A2018" s="1264"/>
      <c r="B2018" s="1467" t="s">
        <v>344</v>
      </c>
      <c r="C2018" s="731"/>
      <c r="D2018" s="729"/>
      <c r="E2018" s="729"/>
      <c r="F2018" s="729"/>
      <c r="G2018" s="729"/>
      <c r="H2018" s="1465" t="str">
        <f>IFERROR(VLOOKUP($C2018&amp;"F"&amp;$D2018,'Flanges Chart'!$1:$1048576,MATCH($E2018&amp;"."&amp;H$123,'Flanges Chart'!$1:$1,0),0),"")</f>
        <v/>
      </c>
      <c r="I2018" s="1466" t="str">
        <f>IFERROR(VLOOKUP($C2018&amp;"F"&amp;$D2018,'Flanges Chart'!$1:$1048576,MATCH($E2018&amp;"."&amp;I$123,'Flanges Chart'!$1:$1,0),0),"")</f>
        <v/>
      </c>
    </row>
    <row r="2019" spans="1:13" ht="14.55" customHeight="1" x14ac:dyDescent="0.3">
      <c r="A2019" s="1264"/>
      <c r="B2019" s="1467" t="s">
        <v>347</v>
      </c>
      <c r="C2019" s="731"/>
      <c r="D2019" s="729"/>
      <c r="E2019" s="729"/>
      <c r="F2019" s="729"/>
      <c r="G2019" s="729"/>
      <c r="H2019" s="1465" t="str">
        <f>IFERROR(VLOOKUP($C2019&amp;"F"&amp;$D2019,'Flanges Chart'!$1:$1048576,MATCH($E2019&amp;"."&amp;H$123,'Flanges Chart'!$1:$1,0),0),"")</f>
        <v/>
      </c>
      <c r="I2019" s="1466" t="str">
        <f>IFERROR(VLOOKUP($C2019&amp;"F"&amp;$D2019,'Flanges Chart'!$1:$1048576,MATCH($E2019&amp;"."&amp;I$123,'Flanges Chart'!$1:$1,0),0),"")</f>
        <v/>
      </c>
    </row>
    <row r="2020" spans="1:13" ht="14.55" customHeight="1" x14ac:dyDescent="0.3">
      <c r="A2020" s="1264"/>
      <c r="B2020" s="1467" t="s">
        <v>349</v>
      </c>
      <c r="C2020" s="731"/>
      <c r="D2020" s="729"/>
      <c r="E2020" s="729"/>
      <c r="F2020" s="729"/>
      <c r="G2020" s="729"/>
      <c r="H2020" s="1465" t="str">
        <f>IFERROR(VLOOKUP($C2020&amp;"F"&amp;$D2020,'Flanges Chart'!$1:$1048576,MATCH($E2020&amp;"."&amp;H$123,'Flanges Chart'!$1:$1,0),0),"")</f>
        <v/>
      </c>
      <c r="I2020" s="1466" t="str">
        <f>IFERROR(VLOOKUP($C2020&amp;"F"&amp;$D2020,'Flanges Chart'!$1:$1048576,MATCH($E2020&amp;"."&amp;I$123,'Flanges Chart'!$1:$1,0),0),"")</f>
        <v/>
      </c>
    </row>
    <row r="2021" spans="1:13" ht="14.55" customHeight="1" x14ac:dyDescent="0.3">
      <c r="A2021" s="1264"/>
      <c r="B2021" s="1467" t="s">
        <v>350</v>
      </c>
      <c r="C2021" s="731"/>
      <c r="D2021" s="729"/>
      <c r="E2021" s="729"/>
      <c r="F2021" s="729"/>
      <c r="G2021" s="729"/>
      <c r="H2021" s="1465" t="str">
        <f>IFERROR(VLOOKUP($C2021&amp;"F"&amp;$D2021,'Flanges Chart'!$1:$1048576,MATCH($E2021&amp;"."&amp;H$123,'Flanges Chart'!$1:$1,0),0),"")</f>
        <v/>
      </c>
      <c r="I2021" s="1466" t="str">
        <f>IFERROR(VLOOKUP($C2021&amp;"F"&amp;$D2021,'Flanges Chart'!$1:$1048576,MATCH($E2021&amp;"."&amp;I$123,'Flanges Chart'!$1:$1,0),0),"")</f>
        <v/>
      </c>
    </row>
    <row r="2022" spans="1:13" ht="14.55" customHeight="1" x14ac:dyDescent="0.3">
      <c r="A2022" s="1264"/>
      <c r="B2022" s="1467" t="s">
        <v>351</v>
      </c>
      <c r="C2022" s="731"/>
      <c r="D2022" s="729"/>
      <c r="E2022" s="729"/>
      <c r="F2022" s="729"/>
      <c r="G2022" s="729"/>
      <c r="H2022" s="1465" t="str">
        <f>IFERROR(VLOOKUP($C2022&amp;"F"&amp;$D2022,'Flanges Chart'!$1:$1048576,MATCH($E2022&amp;"."&amp;H$123,'Flanges Chart'!$1:$1,0),0),"")</f>
        <v/>
      </c>
      <c r="I2022" s="1466" t="str">
        <f>IFERROR(VLOOKUP($C2022&amp;"F"&amp;$D2022,'Flanges Chart'!$1:$1048576,MATCH($E2022&amp;"."&amp;I$123,'Flanges Chart'!$1:$1,0),0),"")</f>
        <v/>
      </c>
    </row>
    <row r="2023" spans="1:13" ht="14.55" customHeight="1" x14ac:dyDescent="0.3">
      <c r="A2023" s="1264"/>
      <c r="B2023" s="1467" t="s">
        <v>352</v>
      </c>
      <c r="C2023" s="731"/>
      <c r="D2023" s="729"/>
      <c r="E2023" s="729"/>
      <c r="F2023" s="729"/>
      <c r="G2023" s="729"/>
      <c r="H2023" s="1465" t="str">
        <f>IFERROR(VLOOKUP($C2023&amp;"F"&amp;$D2023,'Flanges Chart'!$1:$1048576,MATCH($E2023&amp;"."&amp;H$123,'Flanges Chart'!$1:$1,0),0),"")</f>
        <v/>
      </c>
      <c r="I2023" s="1466" t="str">
        <f>IFERROR(VLOOKUP($C2023&amp;"F"&amp;$D2023,'Flanges Chart'!$1:$1048576,MATCH($E2023&amp;"."&amp;I$123,'Flanges Chart'!$1:$1,0),0),"")</f>
        <v/>
      </c>
    </row>
    <row r="2024" spans="1:13" ht="14.55" customHeight="1" x14ac:dyDescent="0.3">
      <c r="A2024" s="1264"/>
      <c r="B2024" s="1467" t="s">
        <v>353</v>
      </c>
      <c r="C2024" s="731"/>
      <c r="D2024" s="729"/>
      <c r="E2024" s="729"/>
      <c r="F2024" s="729"/>
      <c r="G2024" s="729"/>
      <c r="H2024" s="1465" t="str">
        <f>IFERROR(VLOOKUP($C2024&amp;"F"&amp;$D2024,'Flanges Chart'!$1:$1048576,MATCH($E2024&amp;"."&amp;H$123,'Flanges Chart'!$1:$1,0),0),"")</f>
        <v/>
      </c>
      <c r="I2024" s="1466" t="str">
        <f>IFERROR(VLOOKUP($C2024&amp;"F"&amp;$D2024,'Flanges Chart'!$1:$1048576,MATCH($E2024&amp;"."&amp;I$123,'Flanges Chart'!$1:$1,0),0),"")</f>
        <v/>
      </c>
    </row>
    <row r="2025" spans="1:13" ht="14.55" customHeight="1" x14ac:dyDescent="0.3">
      <c r="A2025" s="1264"/>
      <c r="B2025" s="1467" t="s">
        <v>354</v>
      </c>
      <c r="C2025" s="731"/>
      <c r="D2025" s="729"/>
      <c r="E2025" s="729"/>
      <c r="F2025" s="729"/>
      <c r="G2025" s="729"/>
      <c r="H2025" s="1465" t="str">
        <f>IFERROR(VLOOKUP($C2025&amp;"F"&amp;$D2025,'Flanges Chart'!$1:$1048576,MATCH($E2025&amp;"."&amp;H$123,'Flanges Chart'!$1:$1,0),0),"")</f>
        <v/>
      </c>
      <c r="I2025" s="1466" t="str">
        <f>IFERROR(VLOOKUP($C2025&amp;"F"&amp;$D2025,'Flanges Chart'!$1:$1048576,MATCH($E2025&amp;"."&amp;I$123,'Flanges Chart'!$1:$1,0),0),"")</f>
        <v/>
      </c>
    </row>
    <row r="2026" spans="1:13" ht="15" customHeight="1" thickBot="1" x14ac:dyDescent="0.35">
      <c r="A2026" s="1264"/>
      <c r="B2026" s="1468" t="s">
        <v>355</v>
      </c>
      <c r="C2026" s="732"/>
      <c r="D2026" s="733"/>
      <c r="E2026" s="733"/>
      <c r="F2026" s="733"/>
      <c r="G2026" s="733"/>
      <c r="H2026" s="1469" t="s">
        <v>356</v>
      </c>
      <c r="I2026" s="1470" t="str">
        <f>IFERROR(VLOOKUP($C2026&amp;"F"&amp;$D2026,'Flanges Chart'!$1:$1048576,MATCH($E2026&amp;"."&amp;I$123,'Flanges Chart'!$1:$1,0),0),"")</f>
        <v/>
      </c>
    </row>
    <row r="2027" spans="1:13" s="496" customFormat="1" ht="18.600000000000001" thickBot="1" x14ac:dyDescent="0.35">
      <c r="A2027" s="493" t="str">
        <f>"POS."&amp;K2027&amp;" "&amp;VLOOKUP(K2027,'Equip&amp;Mach List'!$1:$1048576,2,0)&amp;" "&amp;VLOOKUP(K2027,'Equip&amp;Mach List'!$1:$1048576,3,0)</f>
        <v xml:space="preserve">POS.16  </v>
      </c>
      <c r="B2027" s="511"/>
      <c r="C2027" s="494"/>
      <c r="D2027" s="495"/>
      <c r="E2027" s="495"/>
      <c r="F2027" s="497"/>
      <c r="G2027" s="495"/>
      <c r="H2027" s="495"/>
      <c r="I2027" s="1255" t="str">
        <f>IFERROR("Weight Calc./Selected = "&amp;ROUND(B2144,1)&amp;"/"&amp;B2145&amp;" kg - Øi ="&amp;IF(B2051=0,F2051,B2051)&amp;" mm"&amp;"T/T ="&amp;IF(B2052=0,F2052,B2052)&amp;" mm - Material "&amp;B2038&amp;"        ","")</f>
        <v/>
      </c>
      <c r="K2027" s="496">
        <v>16</v>
      </c>
      <c r="M2027" s="1254"/>
    </row>
    <row r="2028" spans="1:13" ht="14.55" customHeight="1" x14ac:dyDescent="0.3">
      <c r="A2028" s="1256"/>
      <c r="B2028" s="451"/>
      <c r="C2028" s="451"/>
      <c r="D2028" s="451"/>
      <c r="E2028" s="451"/>
      <c r="F2028" s="451"/>
      <c r="G2028" s="451"/>
      <c r="H2028" s="451"/>
      <c r="I2028" s="1257"/>
      <c r="K2028" s="477" t="s">
        <v>166</v>
      </c>
      <c r="L2028" s="477" t="str">
        <f>K2027&amp;"."&amp;K2028</f>
        <v>16.Design Code</v>
      </c>
      <c r="M2028" s="1252" t="str">
        <f>A2029&amp;" "&amp;B2029</f>
        <v xml:space="preserve">ASME VIII </v>
      </c>
    </row>
    <row r="2029" spans="1:13" ht="14.55" customHeight="1" x14ac:dyDescent="0.3">
      <c r="A2029" s="1258" t="s">
        <v>167</v>
      </c>
      <c r="B2029" s="718"/>
      <c r="C2029" s="459"/>
      <c r="D2029" s="460"/>
      <c r="E2029" s="460"/>
      <c r="F2029" s="460"/>
      <c r="G2029" s="460"/>
      <c r="H2029" s="460"/>
      <c r="I2029" s="1259"/>
      <c r="K2029" s="477" t="s">
        <v>169</v>
      </c>
      <c r="L2029" s="477" t="str">
        <f>K2027&amp;"."&amp;K2029</f>
        <v>16.Orientation</v>
      </c>
      <c r="M2029" s="1252">
        <f>B2030</f>
        <v>0</v>
      </c>
    </row>
    <row r="2030" spans="1:13" ht="14.55" customHeight="1" x14ac:dyDescent="0.3">
      <c r="A2030" s="1258" t="s">
        <v>170</v>
      </c>
      <c r="B2030" s="718"/>
      <c r="C2030" s="459"/>
      <c r="D2030" s="460"/>
      <c r="E2030" s="460"/>
      <c r="F2030" s="461"/>
      <c r="G2030" s="460"/>
      <c r="H2030" s="460"/>
      <c r="I2030" s="1259"/>
      <c r="K2030" s="477" t="s">
        <v>172</v>
      </c>
      <c r="L2030" s="477" t="str">
        <f>K2027&amp;"."&amp;K2030</f>
        <v>16.Design Temperature</v>
      </c>
      <c r="M2030" s="1252">
        <f>D2033</f>
        <v>0</v>
      </c>
    </row>
    <row r="2031" spans="1:13" ht="14.55" customHeight="1" x14ac:dyDescent="0.3">
      <c r="A2031" s="1258"/>
      <c r="B2031" s="459"/>
      <c r="C2031" s="459"/>
      <c r="D2031" s="460"/>
      <c r="E2031" s="460"/>
      <c r="F2031" s="462"/>
      <c r="G2031" s="460"/>
      <c r="H2031" s="460"/>
      <c r="I2031" s="1259"/>
      <c r="K2031" s="477" t="s">
        <v>173</v>
      </c>
      <c r="L2031" s="477" t="str">
        <f>K2027&amp;"."&amp;K2031</f>
        <v>16.Design Pressure</v>
      </c>
      <c r="M2031" s="1252">
        <f>D2034</f>
        <v>0</v>
      </c>
    </row>
    <row r="2032" spans="1:13" ht="14.55" customHeight="1" x14ac:dyDescent="0.3">
      <c r="A2032" s="1260" t="s">
        <v>174</v>
      </c>
      <c r="B2032" s="459"/>
      <c r="C2032" s="459"/>
      <c r="D2032" s="460"/>
      <c r="E2032" s="460"/>
      <c r="F2032" s="462"/>
      <c r="G2032" s="460"/>
      <c r="H2032" s="460"/>
      <c r="I2032" s="1259"/>
      <c r="K2032" s="477" t="s">
        <v>175</v>
      </c>
      <c r="L2032" s="477" t="str">
        <f>K2027&amp;"."&amp;K2032</f>
        <v>16.Material</v>
      </c>
      <c r="M2032" s="1252">
        <f>B2038</f>
        <v>0</v>
      </c>
    </row>
    <row r="2033" spans="1:13" ht="14.55" customHeight="1" x14ac:dyDescent="0.3">
      <c r="A2033" s="1258" t="s">
        <v>176</v>
      </c>
      <c r="B2033" s="719"/>
      <c r="C2033" s="720"/>
      <c r="D2033" s="464">
        <f>IF(C2033="°C",B2033,0)+IF(C2033="°F",(B2033-32)*5/9,0)</f>
        <v>0</v>
      </c>
      <c r="E2033" s="460" t="s">
        <v>177</v>
      </c>
      <c r="F2033" s="462"/>
      <c r="G2033" s="460"/>
      <c r="H2033" s="460"/>
      <c r="I2033" s="1259"/>
      <c r="K2033" s="477" t="s">
        <v>178</v>
      </c>
      <c r="L2033" s="477" t="str">
        <f>K2027&amp;"."&amp;K2033</f>
        <v>16.Inside Diameter</v>
      </c>
      <c r="M2033" s="1252">
        <f>IF(B2051=0,F2051,B2051)</f>
        <v>0</v>
      </c>
    </row>
    <row r="2034" spans="1:13" ht="14.55" customHeight="1" x14ac:dyDescent="0.3">
      <c r="A2034" s="1258" t="s">
        <v>179</v>
      </c>
      <c r="B2034" s="721"/>
      <c r="C2034" s="720"/>
      <c r="D2034" s="452">
        <f>IF(C2034="barg",B2034,0)+IF(C2034="psig",B2034*List!$AV$4,0)+IF(C2034="MPa",B2034*List!$AV$5,0)+IF(C2034="N/mm2",B2034*List!$AV$6,0)</f>
        <v>0</v>
      </c>
      <c r="E2034" s="460" t="s">
        <v>180</v>
      </c>
      <c r="F2034" s="460"/>
      <c r="G2034" s="460"/>
      <c r="H2034" s="460"/>
      <c r="I2034" s="1259"/>
      <c r="K2034" s="477" t="s">
        <v>181</v>
      </c>
      <c r="L2034" s="477" t="str">
        <f>K2027&amp;"."&amp;K2034</f>
        <v>16.Tan / Tan</v>
      </c>
      <c r="M2034" s="1252">
        <f>IF(B2053=0,F2053,B2053)</f>
        <v>0</v>
      </c>
    </row>
    <row r="2035" spans="1:13" ht="14.55" customHeight="1" x14ac:dyDescent="0.3">
      <c r="A2035" s="1258" t="s">
        <v>182</v>
      </c>
      <c r="B2035" s="721"/>
      <c r="C2035" s="720"/>
      <c r="D2035" s="452">
        <f>IF(C2035="barg",B2035,0)+IF(C2035="psig",B2035*List!$AV$4,0)+IF(C2035="MPa",B2035*List!$AV$5,0)+IF(C2035="N/mm2",B2035*List!$AV$6,0)</f>
        <v>0</v>
      </c>
      <c r="E2035" s="460" t="s">
        <v>180</v>
      </c>
      <c r="F2035" s="460"/>
      <c r="G2035" s="465"/>
      <c r="H2035" s="460"/>
      <c r="I2035" s="1259"/>
      <c r="K2035" s="477" t="s">
        <v>183</v>
      </c>
      <c r="L2035" s="477" t="str">
        <f>K2027&amp;"."&amp;K2035</f>
        <v>16.Thickness</v>
      </c>
      <c r="M2035" s="1252" t="e">
        <f>IF(B2092=0,F2096,B2092)</f>
        <v>#N/A</v>
      </c>
    </row>
    <row r="2036" spans="1:13" ht="14.55" customHeight="1" x14ac:dyDescent="0.3">
      <c r="A2036" s="1258"/>
      <c r="B2036" s="459"/>
      <c r="C2036" s="459"/>
      <c r="D2036" s="460"/>
      <c r="E2036" s="460"/>
      <c r="F2036" s="460"/>
      <c r="G2036" s="465"/>
      <c r="H2036" s="460"/>
      <c r="I2036" s="1259"/>
      <c r="K2036" s="477" t="s">
        <v>184</v>
      </c>
      <c r="L2036" s="477" t="str">
        <f>K2027&amp;"."&amp;K2036</f>
        <v>16.Unit Weight</v>
      </c>
      <c r="M2036" s="1252">
        <f>B2145</f>
        <v>0</v>
      </c>
    </row>
    <row r="2037" spans="1:13" ht="14.55" customHeight="1" x14ac:dyDescent="0.3">
      <c r="A2037" s="1260" t="s">
        <v>185</v>
      </c>
      <c r="B2037" s="459" t="s">
        <v>186</v>
      </c>
      <c r="C2037" s="459"/>
      <c r="D2037" s="460"/>
      <c r="E2037" s="460"/>
      <c r="F2037" s="460" t="s">
        <v>187</v>
      </c>
      <c r="G2037" s="465"/>
      <c r="H2037" s="460"/>
      <c r="I2037" s="1259"/>
      <c r="K2037" s="478" t="s">
        <v>188</v>
      </c>
      <c r="L2037" s="477" t="str">
        <f>K2027&amp;"."&amp;K2037</f>
        <v>16.Unit External Surface</v>
      </c>
      <c r="M2037" s="1252" t="e">
        <f>B2141</f>
        <v>#N/A</v>
      </c>
    </row>
    <row r="2038" spans="1:13" ht="14.55" customHeight="1" x14ac:dyDescent="0.3">
      <c r="A2038" s="1258" t="s">
        <v>189</v>
      </c>
      <c r="B2038" s="1716"/>
      <c r="C2038" s="1717"/>
      <c r="D2038" s="460"/>
      <c r="E2038" s="461"/>
      <c r="F2038" s="1716"/>
      <c r="G2038" s="1717"/>
      <c r="H2038" s="460"/>
      <c r="I2038" s="1259"/>
      <c r="K2038" s="477" t="s">
        <v>191</v>
      </c>
      <c r="L2038" s="477" t="str">
        <f>K2027&amp;"."&amp;K2038</f>
        <v>16.M1 DN</v>
      </c>
      <c r="M2038" s="1252">
        <f>C2159</f>
        <v>0</v>
      </c>
    </row>
    <row r="2039" spans="1:13" ht="14.55" customHeight="1" x14ac:dyDescent="0.3">
      <c r="A2039" s="1258" t="s">
        <v>192</v>
      </c>
      <c r="B2039" s="1716"/>
      <c r="C2039" s="1717"/>
      <c r="D2039" s="460"/>
      <c r="E2039" s="461"/>
      <c r="F2039" s="1716"/>
      <c r="G2039" s="1717"/>
      <c r="H2039" s="460"/>
      <c r="I2039" s="1259"/>
      <c r="K2039" s="477" t="s">
        <v>193</v>
      </c>
      <c r="L2039" s="477" t="str">
        <f>K2027&amp;"."&amp;K2039</f>
        <v>16.M1 Rating</v>
      </c>
      <c r="M2039" s="1252">
        <f>D2159</f>
        <v>0</v>
      </c>
    </row>
    <row r="2040" spans="1:13" ht="14.55" customHeight="1" x14ac:dyDescent="0.3">
      <c r="A2040" s="1258"/>
      <c r="B2040" s="466"/>
      <c r="C2040" s="466"/>
      <c r="D2040" s="460"/>
      <c r="E2040" s="460"/>
      <c r="F2040" s="460"/>
      <c r="G2040" s="460"/>
      <c r="H2040" s="460"/>
      <c r="I2040" s="1259"/>
      <c r="K2040" s="477" t="s">
        <v>194</v>
      </c>
      <c r="L2040" s="477" t="str">
        <f>K2027&amp;"."&amp;K2040</f>
        <v>16.M1 Type</v>
      </c>
      <c r="M2040" s="1252">
        <f>E2159</f>
        <v>0</v>
      </c>
    </row>
    <row r="2041" spans="1:13" ht="14.55" customHeight="1" x14ac:dyDescent="0.3">
      <c r="A2041" s="1258" t="s">
        <v>195</v>
      </c>
      <c r="B2041" s="460"/>
      <c r="C2041" s="460"/>
      <c r="D2041" s="460"/>
      <c r="E2041" s="460"/>
      <c r="F2041" s="460"/>
      <c r="G2041" s="460"/>
      <c r="H2041" s="460"/>
      <c r="I2041" s="1259"/>
      <c r="K2041" s="477" t="s">
        <v>196</v>
      </c>
      <c r="L2041" s="477" t="str">
        <f>K2027&amp;"."&amp;K2041</f>
        <v>16.M1 Quantity</v>
      </c>
      <c r="M2041" s="1252">
        <f>F2159</f>
        <v>0</v>
      </c>
    </row>
    <row r="2042" spans="1:13" ht="14.55" customHeight="1" x14ac:dyDescent="0.3">
      <c r="A2042" s="1258" t="s">
        <v>197</v>
      </c>
      <c r="B2042" s="464" t="e">
        <f>$D2033*(VLOOKUP($B2038,'ASME II Tab 1A'!$1:$1048576,MATCH($D2033,'ASME II Tab 1A'!$6:$6,1)+1,0)-VLOOKUP($B2038,'ASME II Tab 1A'!$1:$1048576,MATCH($D2033,'ASME II Tab 1A'!$6:$6,1),0))/(INDEX('ASME II Tab 1A'!$6:$6,MATCH($D2033,'ASME II Tab 1A'!$6:$6,1)+1)-INDEX('ASME II Tab 1A'!$6:$6,MATCH($D2033,'ASME II Tab 1A'!$6:$6,1)))+VLOOKUP($B2038,'ASME II Tab 1A'!$1:$1048576,MATCH($D2033,'ASME II Tab 1A'!$6:$6,1)+1,0)-INDEX('ASME II Tab 1A'!$6:$6,MATCH($D2033,'ASME II Tab 1A'!$6:$6,1)+1)*(VLOOKUP($B2038,'ASME II Tab 1A'!$1:$1048576,MATCH($D2033,'ASME II Tab 1A'!$6:$6,1)+1,0)-VLOOKUP($B2038,'ASME II Tab 1A'!$1:$1048576,MATCH($D2033,'ASME II Tab 1A'!$6:$6,1),0))/(INDEX('ASME II Tab 1A'!$6:$6,MATCH($D2033,'ASME II Tab 1A'!$6:$6,1)+1)-INDEX('ASME II Tab 1A'!$6:$6,MATCH($D2033,'ASME II Tab 1A'!$6:$6,1)))</f>
        <v>#N/A</v>
      </c>
      <c r="C2042" s="460" t="s">
        <v>198</v>
      </c>
      <c r="D2042" s="460"/>
      <c r="E2042" s="467"/>
      <c r="F2042" s="460" t="e">
        <f>$D2033*(VLOOKUP($F2038,'ASME II Tab 1A'!$1:$1048576,MATCH($D2033,'ASME II Tab 1A'!$6:$6,1)+1,0)-VLOOKUP($F2038,'ASME II Tab 1A'!$1:$1048576,MATCH($D2033,'ASME II Tab 1A'!$6:$6,1),0))/(INDEX('ASME II Tab 1A'!$6:$6,MATCH($D2033,'ASME II Tab 1A'!$6:$6,1)+1)-INDEX('ASME II Tab 1A'!$6:$6,MATCH($D2033,'ASME II Tab 1A'!$6:$6,1)))+VLOOKUP($F2038,'ASME II Tab 1A'!$1:$1048576,MATCH($D2033,'ASME II Tab 1A'!$6:$6,1)+1,0)-INDEX('ASME II Tab 1A'!$6:$6,MATCH($D2033,'ASME II Tab 1A'!$6:$6,1)+1)*(VLOOKUP($F2038,'ASME II Tab 1A'!$1:$1048576,MATCH($D2033,'ASME II Tab 1A'!$6:$6,1)+1,0)-VLOOKUP($F2038,'ASME II Tab 1A'!$1:$1048576,MATCH($D2033,'ASME II Tab 1A'!$6:$6,1),0))/(INDEX('ASME II Tab 1A'!$6:$6,MATCH($D2033,'ASME II Tab 1A'!$6:$6,1)+1)-INDEX('ASME II Tab 1A'!$6:$6,MATCH($D2033,'ASME II Tab 1A'!$6:$6,1)))</f>
        <v>#N/A</v>
      </c>
      <c r="G2042" s="460" t="s">
        <v>198</v>
      </c>
      <c r="H2042" s="460"/>
      <c r="I2042" s="1259"/>
      <c r="K2042" s="477" t="s">
        <v>199</v>
      </c>
      <c r="L2042" s="477" t="str">
        <f>K2027&amp;"."&amp;K2042</f>
        <v>16.M2 DN</v>
      </c>
      <c r="M2042" s="1252">
        <f>C2160</f>
        <v>0</v>
      </c>
    </row>
    <row r="2043" spans="1:13" ht="14.55" customHeight="1" x14ac:dyDescent="0.3">
      <c r="A2043" s="1258" t="s">
        <v>200</v>
      </c>
      <c r="B2043" s="464" t="e">
        <f>$D2033*(VLOOKUP($B2039,'ASME II Tab 1A'!$1:$1048576,MATCH($D2033,'ASME II Tab 1A'!$6:$6,1)+1,0)-VLOOKUP($B2039,'ASME II Tab 1A'!$1:$1048576,MATCH($D2033,'ASME II Tab 1A'!$6:$6,1),0))/(INDEX('ASME II Tab 1A'!$6:$6,MATCH($D2033,'ASME II Tab 1A'!$6:$6,1)+1)-INDEX('ASME II Tab 1A'!$6:$6,MATCH($D2033,'ASME II Tab 1A'!$6:$6,1)))+VLOOKUP($B2039,'ASME II Tab 1A'!$1:$1048576,MATCH($D2033,'ASME II Tab 1A'!$6:$6,1)+1,0)-INDEX('ASME II Tab 1A'!$6:$6,MATCH($D2033,'ASME II Tab 1A'!$6:$6,1)+1)*(VLOOKUP($B2039,'ASME II Tab 1A'!$1:$1048576,MATCH($D2033,'ASME II Tab 1A'!$6:$6,1)+1,0)-VLOOKUP($B2039,'ASME II Tab 1A'!$1:$1048576,MATCH($D2033,'ASME II Tab 1A'!$6:$6,1),0))/(INDEX('ASME II Tab 1A'!$6:$6,MATCH($D2033,'ASME II Tab 1A'!$6:$6,1)+1)-INDEX('ASME II Tab 1A'!$6:$6,MATCH($D2033,'ASME II Tab 1A'!$6:$6,1)))</f>
        <v>#N/A</v>
      </c>
      <c r="C2043" s="460" t="s">
        <v>198</v>
      </c>
      <c r="D2043" s="460"/>
      <c r="E2043" s="460"/>
      <c r="F2043" s="460" t="e">
        <f>$D2033*(VLOOKUP($F2039,'ASME II Tab 1A'!$1:$1048576,MATCH($D2033,'ASME II Tab 1A'!$6:$6,1)+1,0)-VLOOKUP($F2039,'ASME II Tab 1A'!$1:$1048576,MATCH($D2033,'ASME II Tab 1A'!$6:$6,1),0))/(INDEX('ASME II Tab 1A'!$6:$6,MATCH($D2033,'ASME II Tab 1A'!$6:$6,1)+1)-INDEX('ASME II Tab 1A'!$6:$6,MATCH($D2033,'ASME II Tab 1A'!$6:$6,1)))+VLOOKUP($F2039,'ASME II Tab 1A'!$1:$1048576,MATCH($D2033,'ASME II Tab 1A'!$6:$6,1)+1,0)-INDEX('ASME II Tab 1A'!$6:$6,MATCH($D2033,'ASME II Tab 1A'!$6:$6,1)+1)*(VLOOKUP($F2039,'ASME II Tab 1A'!$1:$1048576,MATCH($D2033,'ASME II Tab 1A'!$6:$6,1)+1,0)-VLOOKUP($F2039,'ASME II Tab 1A'!$1:$1048576,MATCH($D2033,'ASME II Tab 1A'!$6:$6,1),0))/(INDEX('ASME II Tab 1A'!$6:$6,MATCH($D2033,'ASME II Tab 1A'!$6:$6,1)+1)-INDEX('ASME II Tab 1A'!$6:$6,MATCH($D2033,'ASME II Tab 1A'!$6:$6,1)))</f>
        <v>#N/A</v>
      </c>
      <c r="G2043" s="460" t="s">
        <v>198</v>
      </c>
      <c r="H2043" s="460"/>
      <c r="I2043" s="1259"/>
      <c r="K2043" s="477" t="s">
        <v>201</v>
      </c>
      <c r="L2043" s="477" t="str">
        <f>K2027&amp;"."&amp;K2043</f>
        <v>16.M2 Rating</v>
      </c>
      <c r="M2043" s="1252">
        <f>D2160</f>
        <v>0</v>
      </c>
    </row>
    <row r="2044" spans="1:13" ht="14.55" customHeight="1" x14ac:dyDescent="0.3">
      <c r="A2044" s="1258" t="s">
        <v>202</v>
      </c>
      <c r="B2044" s="460"/>
      <c r="C2044" s="460"/>
      <c r="D2044" s="460"/>
      <c r="E2044" s="460"/>
      <c r="F2044" s="460"/>
      <c r="G2044" s="460"/>
      <c r="H2044" s="460"/>
      <c r="I2044" s="1259"/>
      <c r="K2044" s="477" t="s">
        <v>203</v>
      </c>
      <c r="L2044" s="477" t="str">
        <f>K2027&amp;"."&amp;K2044</f>
        <v>16.M2 Type</v>
      </c>
      <c r="M2044" s="1252">
        <f>E2160</f>
        <v>0</v>
      </c>
    </row>
    <row r="2045" spans="1:13" ht="14.55" customHeight="1" x14ac:dyDescent="0.3">
      <c r="A2045" s="1258" t="s">
        <v>197</v>
      </c>
      <c r="B2045" s="464" t="e">
        <f>$D2033*(VLOOKUP($B2038,'ASME II Tab 5A'!$1:$1048576,MATCH($D2033,'ASME II Tab 5A'!$5:$5,1)+1,0)-VLOOKUP($B2038,'ASME II Tab 5A'!$1:$1048576,MATCH($D2033,'ASME II Tab 5A'!$5:$5,1),0))/(INDEX('ASME II Tab 5A'!$5:$5,MATCH($D2033,'ASME II Tab 5A'!$5:$5,1)+1)-INDEX('ASME II Tab 5A'!$5:$5,MATCH($D2033,'ASME II Tab 5A'!$5:$5,1)))+VLOOKUP($B2038,'ASME II Tab 5A'!$1:$1048576,MATCH($D2033,'ASME II Tab 5A'!$5:$5,1)+1,0)-INDEX('ASME II Tab 5A'!$5:$5,MATCH($D2033,'ASME II Tab 5A'!$5:$5,1)+1)*(VLOOKUP($B2038,'ASME II Tab 5A'!$1:$1048576,MATCH($D2033,'ASME II Tab 5A'!$5:$5,1)+1,0)-VLOOKUP($B2038,'ASME II Tab 5A'!$1:$1048576,MATCH($D2033,'ASME II Tab 5A'!$5:$5,1),0))/(INDEX('ASME II Tab 5A'!$5:$5,MATCH($D2033,'ASME II Tab 5A'!$5:$5,1)+1)-INDEX('ASME II Tab 5A'!$5:$5,MATCH($D2033,'ASME II Tab 5A'!$5:$5,1)))</f>
        <v>#N/A</v>
      </c>
      <c r="C2045" s="460" t="s">
        <v>198</v>
      </c>
      <c r="D2045" s="460"/>
      <c r="E2045" s="460"/>
      <c r="F2045" s="460" t="e">
        <f>$D2033*(VLOOKUP($F2038,'ASME II Tab 5A'!$1:$1048576,MATCH($D2033,'ASME II Tab 5A'!$5:$5,1)+1,0)-VLOOKUP($F2038,'ASME II Tab 5A'!$1:$1048576,MATCH($D2033,'ASME II Tab 5A'!$5:$5,1),0))/(INDEX('ASME II Tab 5A'!$5:$5,MATCH($D2033,'ASME II Tab 5A'!$5:$5,1)+1)-INDEX('ASME II Tab 5A'!$5:$5,MATCH($D2033,'ASME II Tab 5A'!$5:$5,1)))+VLOOKUP($F2038,'ASME II Tab 5A'!$1:$1048576,MATCH($D2033,'ASME II Tab 5A'!$5:$5,1)+1,0)-INDEX('ASME II Tab 5A'!$5:$5,MATCH($D2033,'ASME II Tab 5A'!$5:$5,1)+1)*(VLOOKUP($F2038,'ASME II Tab 5A'!$1:$1048576,MATCH($D2033,'ASME II Tab 5A'!$5:$5,1)+1,0)-VLOOKUP($F2038,'ASME II Tab 5A'!$1:$1048576,MATCH($D2033,'ASME II Tab 5A'!$5:$5,1),0))/(INDEX('ASME II Tab 5A'!$5:$5,MATCH($D2033,'ASME II Tab 5A'!$5:$5,1)+1)-INDEX('ASME II Tab 5A'!$5:$5,MATCH($D2033,'ASME II Tab 5A'!$5:$5,1)))</f>
        <v>#N/A</v>
      </c>
      <c r="G2045" s="460" t="s">
        <v>198</v>
      </c>
      <c r="H2045" s="460"/>
      <c r="I2045" s="1259"/>
      <c r="K2045" s="477" t="s">
        <v>204</v>
      </c>
      <c r="L2045" s="477" t="str">
        <f>K2027&amp;"."&amp;K2045</f>
        <v>16.M2 Quantity</v>
      </c>
      <c r="M2045" s="1252">
        <f>F2160</f>
        <v>0</v>
      </c>
    </row>
    <row r="2046" spans="1:13" ht="14.55" customHeight="1" x14ac:dyDescent="0.3">
      <c r="A2046" s="1258" t="s">
        <v>200</v>
      </c>
      <c r="B2046" s="464" t="e">
        <f>$D2033*(VLOOKUP($B2039,'ASME II Tab 5A'!$1:$1048576,MATCH($D2033,'ASME II Tab 5A'!$5:$5,1)+1,0)-VLOOKUP($B2039,'ASME II Tab 5A'!$1:$1048576,MATCH($D2033,'ASME II Tab 5A'!$5:$5,1),0))/(INDEX('ASME II Tab 5A'!$5:$5,MATCH($D2033,'ASME II Tab 5A'!$5:$5,1)+1)-INDEX('ASME II Tab 5A'!$5:$5,MATCH($D2033,'ASME II Tab 5A'!$5:$5,1)))+VLOOKUP($B2039,'ASME II Tab 5A'!$1:$1048576,MATCH($D2033,'ASME II Tab 5A'!$5:$5,1)+1,0)-INDEX('ASME II Tab 5A'!$5:$5,MATCH($D2033,'ASME II Tab 5A'!$5:$5,1)+1)*(VLOOKUP($B2039,'ASME II Tab 5A'!$1:$1048576,MATCH($D2033,'ASME II Tab 5A'!$5:$5,1)+1,0)-VLOOKUP($B2039,'ASME II Tab 5A'!$1:$1048576,MATCH($D2033,'ASME II Tab 5A'!$5:$5,1),0))/(INDEX('ASME II Tab 5A'!$5:$5,MATCH($D2033,'ASME II Tab 5A'!$5:$5,1)+1)-INDEX('ASME II Tab 5A'!$5:$5,MATCH($D2033,'ASME II Tab 5A'!$5:$5,1)))</f>
        <v>#N/A</v>
      </c>
      <c r="C2046" s="460" t="s">
        <v>198</v>
      </c>
      <c r="D2046" s="460"/>
      <c r="E2046" s="460"/>
      <c r="F2046" s="460" t="e">
        <f>$D2033*(VLOOKUP($F2039,'ASME II Tab 5A'!$1:$1048576,MATCH($D2033,'ASME II Tab 5A'!$5:$5,1)+1,0)-VLOOKUP($F2039,'ASME II Tab 5A'!$1:$1048576,MATCH($D2033,'ASME II Tab 5A'!$5:$5,1),0))/(INDEX('ASME II Tab 5A'!$5:$5,MATCH($D2033,'ASME II Tab 5A'!$5:$5,1)+1)-INDEX('ASME II Tab 5A'!$5:$5,MATCH($D2033,'ASME II Tab 5A'!$5:$5,1)))+VLOOKUP($F2039,'ASME II Tab 5A'!$1:$1048576,MATCH($D2033,'ASME II Tab 5A'!$5:$5,1)+1,0)-INDEX('ASME II Tab 5A'!$5:$5,MATCH($D2033,'ASME II Tab 5A'!$5:$5,1)+1)*(VLOOKUP($F2039,'ASME II Tab 5A'!$1:$1048576,MATCH($D2033,'ASME II Tab 5A'!$5:$5,1)+1,0)-VLOOKUP($F2039,'ASME II Tab 5A'!$1:$1048576,MATCH($D2033,'ASME II Tab 5A'!$5:$5,1),0))/(INDEX('ASME II Tab 5A'!$5:$5,MATCH($D2033,'ASME II Tab 5A'!$5:$5,1)+1)-INDEX('ASME II Tab 5A'!$5:$5,MATCH($D2033,'ASME II Tab 5A'!$5:$5,1)))</f>
        <v>#N/A</v>
      </c>
      <c r="G2046" s="460" t="s">
        <v>198</v>
      </c>
      <c r="H2046" s="460"/>
      <c r="I2046" s="1259"/>
      <c r="K2046" s="477" t="s">
        <v>205</v>
      </c>
      <c r="L2046" s="477" t="str">
        <f>K2027&amp;"."&amp;K2046</f>
        <v>16.M3 DN</v>
      </c>
      <c r="M2046" s="1252">
        <f>C2161</f>
        <v>0</v>
      </c>
    </row>
    <row r="2047" spans="1:13" ht="14.55" customHeight="1" x14ac:dyDescent="0.3">
      <c r="A2047" s="1258"/>
      <c r="B2047" s="460"/>
      <c r="C2047" s="460"/>
      <c r="D2047" s="460"/>
      <c r="E2047" s="460"/>
      <c r="F2047" s="460"/>
      <c r="G2047" s="460"/>
      <c r="H2047" s="460"/>
      <c r="I2047" s="1259"/>
      <c r="K2047" s="477" t="s">
        <v>206</v>
      </c>
      <c r="L2047" s="477" t="str">
        <f>K2027&amp;"."&amp;K2047</f>
        <v>16.M3 Rating</v>
      </c>
      <c r="M2047" s="1252">
        <f>D2161</f>
        <v>0</v>
      </c>
    </row>
    <row r="2048" spans="1:13" ht="14.55" customHeight="1" x14ac:dyDescent="0.3">
      <c r="A2048" s="1260" t="s">
        <v>207</v>
      </c>
      <c r="B2048" s="453"/>
      <c r="C2048" s="460"/>
      <c r="D2048" s="453"/>
      <c r="E2048" s="460"/>
      <c r="F2048" s="453"/>
      <c r="G2048" s="460"/>
      <c r="H2048" s="460"/>
      <c r="I2048" s="1259"/>
      <c r="K2048" s="477" t="s">
        <v>208</v>
      </c>
      <c r="L2048" s="477" t="str">
        <f>K2027&amp;"."&amp;K2048</f>
        <v>16.M3 Type</v>
      </c>
      <c r="M2048" s="1252">
        <f>E2161</f>
        <v>0</v>
      </c>
    </row>
    <row r="2049" spans="1:13" ht="14.55" customHeight="1" x14ac:dyDescent="0.3">
      <c r="A2049" s="1260"/>
      <c r="B2049" s="305" t="s">
        <v>209</v>
      </c>
      <c r="C2049" s="460"/>
      <c r="D2049" s="305" t="s">
        <v>210</v>
      </c>
      <c r="E2049" s="460"/>
      <c r="F2049" s="305" t="s">
        <v>211</v>
      </c>
      <c r="G2049" s="460"/>
      <c r="H2049" s="460"/>
      <c r="I2049" s="1259"/>
      <c r="K2049" s="477" t="s">
        <v>212</v>
      </c>
      <c r="L2049" s="477" t="str">
        <f>K2027&amp;"."&amp;K2049</f>
        <v>16.M3 Quantity</v>
      </c>
      <c r="M2049" s="1252">
        <f>F2161</f>
        <v>0</v>
      </c>
    </row>
    <row r="2050" spans="1:13" ht="14.55" customHeight="1" x14ac:dyDescent="0.3">
      <c r="A2050" s="1258" t="s">
        <v>213</v>
      </c>
      <c r="B2050" s="305"/>
      <c r="C2050" s="460"/>
      <c r="D2050" s="305"/>
      <c r="E2050" s="460"/>
      <c r="F2050" s="723"/>
      <c r="G2050" s="460" t="s">
        <v>214</v>
      </c>
      <c r="H2050" s="460"/>
      <c r="I2050" s="1259"/>
      <c r="K2050" s="477" t="s">
        <v>215</v>
      </c>
      <c r="L2050" s="477" t="str">
        <f>K2027&amp;"."&amp;K2050</f>
        <v>16.Shell insulation thk 1</v>
      </c>
      <c r="M2050" s="1252">
        <f>B2098</f>
        <v>0</v>
      </c>
    </row>
    <row r="2051" spans="1:13" ht="14.55" customHeight="1" x14ac:dyDescent="0.3">
      <c r="A2051" s="1258" t="s">
        <v>216</v>
      </c>
      <c r="B2051" s="722"/>
      <c r="C2051" s="460" t="s">
        <v>93</v>
      </c>
      <c r="D2051" s="722"/>
      <c r="E2051" s="460" t="s">
        <v>93</v>
      </c>
      <c r="F2051" s="468">
        <f>F2052-2*F2096</f>
        <v>0</v>
      </c>
      <c r="G2051" s="460" t="s">
        <v>93</v>
      </c>
      <c r="H2051" s="460"/>
      <c r="I2051" s="1259"/>
      <c r="K2051" s="477" t="s">
        <v>217</v>
      </c>
      <c r="L2051" s="477" t="str">
        <f>K2027&amp;"."&amp;K2051</f>
        <v>16.Head insulation thk 1</v>
      </c>
      <c r="M2051" s="1252">
        <f>B2099</f>
        <v>0</v>
      </c>
    </row>
    <row r="2052" spans="1:13" ht="14.55" customHeight="1" x14ac:dyDescent="0.3">
      <c r="A2052" s="1258" t="s">
        <v>218</v>
      </c>
      <c r="B2052" s="468" t="e">
        <f>B2051+B2092*2</f>
        <v>#N/A</v>
      </c>
      <c r="C2052" s="460" t="s">
        <v>93</v>
      </c>
      <c r="D2052" s="468" t="e">
        <f>D2051+D2092*2</f>
        <v>#N/A</v>
      </c>
      <c r="E2052" s="460" t="s">
        <v>93</v>
      </c>
      <c r="F2052" s="468">
        <f>IFERROR(VLOOKUP(F2050,'Thickness Tab'!$1:$1048576,3,0),0)</f>
        <v>0</v>
      </c>
      <c r="G2052" s="460" t="s">
        <v>93</v>
      </c>
      <c r="H2052" s="469"/>
      <c r="I2052" s="1261"/>
      <c r="K2052" s="477" t="s">
        <v>219</v>
      </c>
      <c r="L2052" s="477" t="str">
        <f>K2027&amp;"."&amp;K2052</f>
        <v>16.Reducer insulation thk 1</v>
      </c>
      <c r="M2052" s="1252">
        <f>B2100</f>
        <v>0</v>
      </c>
    </row>
    <row r="2053" spans="1:13" ht="14.55" customHeight="1" x14ac:dyDescent="0.3">
      <c r="A2053" s="1258" t="s">
        <v>181</v>
      </c>
      <c r="B2053" s="722"/>
      <c r="C2053" s="460" t="s">
        <v>93</v>
      </c>
      <c r="D2053" s="722"/>
      <c r="E2053" s="460" t="s">
        <v>93</v>
      </c>
      <c r="F2053" s="722"/>
      <c r="G2053" s="460" t="s">
        <v>93</v>
      </c>
      <c r="H2053" s="460"/>
      <c r="I2053" s="1259"/>
      <c r="K2053" s="477" t="s">
        <v>220</v>
      </c>
      <c r="L2053" s="477" t="str">
        <f>K2027&amp;"."&amp;K2053</f>
        <v>16.Shell insulation area 1</v>
      </c>
      <c r="M2053" s="1252" t="e">
        <f>B2058</f>
        <v>#N/A</v>
      </c>
    </row>
    <row r="2054" spans="1:13" ht="14.55" customHeight="1" x14ac:dyDescent="0.3">
      <c r="A2054" s="1258" t="s">
        <v>221</v>
      </c>
      <c r="B2054" s="468" t="e">
        <f>(PI()*B2053*(((B2052/2)^2)-((B2051/2)^2))*7860)/1000000000*1.05</f>
        <v>#N/A</v>
      </c>
      <c r="C2054" s="460" t="s">
        <v>222</v>
      </c>
      <c r="D2054" s="468" t="e">
        <f>(PI()*D2053*(((D2052/2)^2)-((D2051/2)^2))*7860)/1000000000*1.05</f>
        <v>#N/A</v>
      </c>
      <c r="E2054" s="460" t="s">
        <v>222</v>
      </c>
      <c r="F2054" s="468">
        <f>(PI()*F2053*(((F2052/2)^2)-((F2051/2)^2))*7860)/1000000000*1.05</f>
        <v>0</v>
      </c>
      <c r="G2054" s="460" t="s">
        <v>222</v>
      </c>
      <c r="H2054" s="469"/>
      <c r="I2054" s="1261"/>
      <c r="K2054" s="477" t="s">
        <v>223</v>
      </c>
      <c r="L2054" s="477" t="str">
        <f>K2027&amp;"."&amp;K2054</f>
        <v>16.Head insulation area 1</v>
      </c>
      <c r="M2054" s="1252" t="e">
        <f>B2070</f>
        <v>#N/A</v>
      </c>
    </row>
    <row r="2055" spans="1:13" ht="14.55" customHeight="1" x14ac:dyDescent="0.3">
      <c r="A2055" s="1258" t="s">
        <v>224</v>
      </c>
      <c r="B2055" s="468">
        <f>(PI()*((B2051/2)^2)*B2053)/1000000000</f>
        <v>0</v>
      </c>
      <c r="C2055" s="460" t="s">
        <v>225</v>
      </c>
      <c r="D2055" s="468">
        <f>(PI()*((D2051/2)^2)*D2053)/1000000000</f>
        <v>0</v>
      </c>
      <c r="E2055" s="460" t="s">
        <v>225</v>
      </c>
      <c r="F2055" s="468">
        <f>(PI()*((F2051/2)^2)*F2053)/1000000000</f>
        <v>0</v>
      </c>
      <c r="G2055" s="460" t="s">
        <v>225</v>
      </c>
      <c r="H2055" s="469"/>
      <c r="I2055" s="1261"/>
      <c r="K2055" s="477" t="s">
        <v>226</v>
      </c>
      <c r="L2055" s="477" t="str">
        <f>K2027&amp;"."&amp;K2055</f>
        <v>16.Reducer insulation area 1</v>
      </c>
      <c r="M2055" s="1252" t="e">
        <f>B2083</f>
        <v>#N/A</v>
      </c>
    </row>
    <row r="2056" spans="1:13" ht="14.55" customHeight="1" x14ac:dyDescent="0.3">
      <c r="A2056" s="1258" t="s">
        <v>227</v>
      </c>
      <c r="B2056" s="468" t="e">
        <f>(B2052*3.14*B2053)/1000000</f>
        <v>#N/A</v>
      </c>
      <c r="C2056" s="460" t="s">
        <v>228</v>
      </c>
      <c r="D2056" s="468" t="e">
        <f>(D2052*3.14*D2053)/1000000</f>
        <v>#N/A</v>
      </c>
      <c r="E2056" s="460" t="s">
        <v>228</v>
      </c>
      <c r="F2056" s="468">
        <f>(F2052*3.14*F2053)/1000000</f>
        <v>0</v>
      </c>
      <c r="G2056" s="460" t="s">
        <v>228</v>
      </c>
      <c r="H2056" s="469"/>
      <c r="I2056" s="1261"/>
      <c r="K2056" s="477" t="s">
        <v>229</v>
      </c>
      <c r="L2056" s="477" t="str">
        <f>K2027&amp;"."&amp;K2056</f>
        <v>16.Shell insulation thk 2</v>
      </c>
      <c r="M2056" s="1252">
        <f>D2098</f>
        <v>0</v>
      </c>
    </row>
    <row r="2057" spans="1:13" ht="14.55" customHeight="1" x14ac:dyDescent="0.3">
      <c r="A2057" s="1258" t="s">
        <v>230</v>
      </c>
      <c r="B2057" s="468" t="e">
        <f>B2052+2*B2098</f>
        <v>#N/A</v>
      </c>
      <c r="C2057" s="460" t="s">
        <v>93</v>
      </c>
      <c r="D2057" s="468" t="e">
        <f>D2052+2*D2098</f>
        <v>#N/A</v>
      </c>
      <c r="E2057" s="460" t="s">
        <v>93</v>
      </c>
      <c r="F2057" s="468">
        <f>F2052+2*F2098</f>
        <v>0</v>
      </c>
      <c r="G2057" s="460" t="s">
        <v>93</v>
      </c>
      <c r="H2057" s="469"/>
      <c r="I2057" s="1261"/>
      <c r="K2057" s="477" t="s">
        <v>231</v>
      </c>
      <c r="L2057" s="477" t="str">
        <f>K2027&amp;"."&amp;K2057</f>
        <v>16.Head insulation thk 2</v>
      </c>
      <c r="M2057" s="1252">
        <f>D2099</f>
        <v>0</v>
      </c>
    </row>
    <row r="2058" spans="1:13" ht="14.55" customHeight="1" x14ac:dyDescent="0.3">
      <c r="A2058" s="1258" t="s">
        <v>232</v>
      </c>
      <c r="B2058" s="468" t="e">
        <f>(B2057*3.14*B2053)/1000000</f>
        <v>#N/A</v>
      </c>
      <c r="C2058" s="460" t="s">
        <v>228</v>
      </c>
      <c r="D2058" s="468" t="e">
        <f>(D2057*3.14*D2053)/1000000</f>
        <v>#N/A</v>
      </c>
      <c r="E2058" s="460" t="s">
        <v>228</v>
      </c>
      <c r="F2058" s="468">
        <f>(F2057*3.14*F2053)/1000000</f>
        <v>0</v>
      </c>
      <c r="G2058" s="460" t="s">
        <v>228</v>
      </c>
      <c r="H2058" s="469"/>
      <c r="I2058" s="1261"/>
      <c r="K2058" s="477" t="s">
        <v>233</v>
      </c>
      <c r="L2058" s="477" t="str">
        <f>K2027&amp;"."&amp;K2058</f>
        <v>16.Reducer insulation thk 2</v>
      </c>
      <c r="M2058" s="1252">
        <f>D2100</f>
        <v>0</v>
      </c>
    </row>
    <row r="2059" spans="1:13" ht="14.55" customHeight="1" x14ac:dyDescent="0.3">
      <c r="A2059" s="1258"/>
      <c r="B2059" s="468"/>
      <c r="C2059" s="460"/>
      <c r="D2059" s="468"/>
      <c r="E2059" s="460"/>
      <c r="F2059" s="468"/>
      <c r="G2059" s="460"/>
      <c r="H2059" s="469"/>
      <c r="I2059" s="1261"/>
      <c r="K2059" s="477" t="s">
        <v>234</v>
      </c>
      <c r="L2059" s="477" t="str">
        <f>K2027&amp;"."&amp;K2059</f>
        <v>16.Shell insulation area 2</v>
      </c>
      <c r="M2059" s="1252" t="e">
        <f>D2058</f>
        <v>#N/A</v>
      </c>
    </row>
    <row r="2060" spans="1:13" ht="14.55" customHeight="1" x14ac:dyDescent="0.3">
      <c r="A2060" s="1258"/>
      <c r="B2060" s="468" t="s">
        <v>235</v>
      </c>
      <c r="C2060" s="460"/>
      <c r="D2060" s="468" t="s">
        <v>236</v>
      </c>
      <c r="E2060" s="460"/>
      <c r="F2060" s="468" t="s">
        <v>237</v>
      </c>
      <c r="G2060" s="460"/>
      <c r="H2060" s="469"/>
      <c r="I2060" s="1261"/>
      <c r="K2060" s="477" t="s">
        <v>238</v>
      </c>
      <c r="L2060" s="477" t="str">
        <f>K2027&amp;"."&amp;K2060</f>
        <v>16.Head insulation area 2</v>
      </c>
      <c r="M2060" s="1252" t="e">
        <f>D2070</f>
        <v>#N/A</v>
      </c>
    </row>
    <row r="2061" spans="1:13" ht="14.55" customHeight="1" x14ac:dyDescent="0.3">
      <c r="A2061" s="1258" t="s">
        <v>239</v>
      </c>
      <c r="B2061" s="468">
        <f>B2051</f>
        <v>0</v>
      </c>
      <c r="C2061" s="460" t="s">
        <v>93</v>
      </c>
      <c r="D2061" s="468">
        <f>D2051</f>
        <v>0</v>
      </c>
      <c r="E2061" s="460" t="s">
        <v>93</v>
      </c>
      <c r="F2061" s="468">
        <f>F2051</f>
        <v>0</v>
      </c>
      <c r="G2061" s="460" t="s">
        <v>93</v>
      </c>
      <c r="H2061" s="469"/>
      <c r="I2061" s="1261"/>
      <c r="K2061" s="477" t="s">
        <v>240</v>
      </c>
      <c r="L2061" s="477" t="str">
        <f>K2027&amp;"."&amp;K2061</f>
        <v>16.Reducer insulation area 2</v>
      </c>
      <c r="M2061" s="1252">
        <f>D2083</f>
        <v>0</v>
      </c>
    </row>
    <row r="2062" spans="1:13" ht="14.55" customHeight="1" x14ac:dyDescent="0.3">
      <c r="A2062" s="1258" t="s">
        <v>241</v>
      </c>
      <c r="B2062" s="468" t="e">
        <f>B2061+2*B2093</f>
        <v>#N/A</v>
      </c>
      <c r="C2062" s="460" t="s">
        <v>93</v>
      </c>
      <c r="D2062" s="468" t="e">
        <f>D2061+2*D2093</f>
        <v>#N/A</v>
      </c>
      <c r="E2062" s="460" t="s">
        <v>93</v>
      </c>
      <c r="F2062" s="468">
        <f>F2061+2*F2096</f>
        <v>0</v>
      </c>
      <c r="G2062" s="460" t="s">
        <v>93</v>
      </c>
      <c r="H2062" s="469"/>
      <c r="I2062" s="1261"/>
      <c r="K2062" s="477" t="s">
        <v>242</v>
      </c>
      <c r="L2062" s="477" t="str">
        <f>K2027&amp;"."&amp;K2062</f>
        <v>16.Shell insulation thk 3</v>
      </c>
      <c r="M2062" s="1252">
        <f>F2098</f>
        <v>0</v>
      </c>
    </row>
    <row r="2063" spans="1:13" ht="14.55" customHeight="1" x14ac:dyDescent="0.3">
      <c r="A2063" s="1258" t="s">
        <v>243</v>
      </c>
      <c r="B2063" s="722"/>
      <c r="C2063" s="460" t="s">
        <v>93</v>
      </c>
      <c r="D2063" s="722"/>
      <c r="E2063" s="460" t="s">
        <v>93</v>
      </c>
      <c r="F2063" s="452"/>
      <c r="G2063" s="460"/>
      <c r="H2063" s="469"/>
      <c r="I2063" s="1261"/>
      <c r="K2063" s="477" t="s">
        <v>244</v>
      </c>
      <c r="L2063" s="477" t="str">
        <f>K2027&amp;"."&amp;K2063</f>
        <v>16.Head insulation thk 3</v>
      </c>
      <c r="M2063" s="1252">
        <f>F2099</f>
        <v>0</v>
      </c>
    </row>
    <row r="2064" spans="1:13" ht="14.55" customHeight="1" x14ac:dyDescent="0.3">
      <c r="A2064" s="1258" t="s">
        <v>245</v>
      </c>
      <c r="B2064" s="724"/>
      <c r="C2064" s="460"/>
      <c r="D2064" s="724"/>
      <c r="E2064" s="460"/>
      <c r="F2064" s="724"/>
      <c r="G2064" s="460"/>
      <c r="H2064" s="469"/>
      <c r="I2064" s="1261"/>
      <c r="K2064" s="477" t="s">
        <v>246</v>
      </c>
      <c r="L2064" s="477" t="str">
        <f>K2027&amp;"."&amp;K2064</f>
        <v>16.Reducer insulation thk 3</v>
      </c>
      <c r="M2064" s="1252">
        <f>F2100</f>
        <v>0</v>
      </c>
    </row>
    <row r="2065" spans="1:13" ht="14.55" customHeight="1" x14ac:dyDescent="0.3">
      <c r="A2065" s="1258" t="s">
        <v>247</v>
      </c>
      <c r="B2065" s="468">
        <v>0</v>
      </c>
      <c r="C2065" s="460" t="s">
        <v>93</v>
      </c>
      <c r="D2065" s="468">
        <v>0</v>
      </c>
      <c r="E2065" s="460" t="s">
        <v>93</v>
      </c>
      <c r="F2065" s="468">
        <v>0</v>
      </c>
      <c r="G2065" s="460" t="s">
        <v>93</v>
      </c>
      <c r="H2065" s="469"/>
      <c r="I2065" s="1261"/>
      <c r="K2065" s="477" t="s">
        <v>248</v>
      </c>
      <c r="L2065" s="477" t="str">
        <f>K2027&amp;"."&amp;K2065</f>
        <v>16.Shell insulation area 3</v>
      </c>
      <c r="M2065" s="1252">
        <f>F2058</f>
        <v>0</v>
      </c>
    </row>
    <row r="2066" spans="1:13" ht="14.55" customHeight="1" x14ac:dyDescent="0.3">
      <c r="A2066" s="1258" t="s">
        <v>249</v>
      </c>
      <c r="B2066" s="468" t="e">
        <f>((((POWER(((((B2061+B2094)*1.22)+(B2065*2))/100),2)*PI())/4)*(B2094/100))*7.86)</f>
        <v>#N/A</v>
      </c>
      <c r="C2066" s="460" t="s">
        <v>222</v>
      </c>
      <c r="D2066" s="468" t="e">
        <f>((((POWER(((((D2061+D2094)*1.22)+(D2065*2))/100),2)*PI())/4)*(D2094/100))*7.86)</f>
        <v>#N/A</v>
      </c>
      <c r="E2066" s="460" t="s">
        <v>222</v>
      </c>
      <c r="F2066" s="468">
        <f>IFERROR(VLOOKUP(F2050&amp;"."&amp;F2095,'Fitting Chart'!$1:$1048576,5,0),0)</f>
        <v>0</v>
      </c>
      <c r="G2066" s="460" t="s">
        <v>222</v>
      </c>
      <c r="H2066" s="469"/>
      <c r="I2066" s="1261"/>
      <c r="K2066" s="477" t="s">
        <v>250</v>
      </c>
      <c r="L2066" s="477" t="str">
        <f>K2027&amp;"."&amp;K2066</f>
        <v>16.Head insulation area 3</v>
      </c>
      <c r="M2066" s="1252">
        <f>F2069</f>
        <v>0</v>
      </c>
    </row>
    <row r="2067" spans="1:13" ht="14.55" customHeight="1" x14ac:dyDescent="0.3">
      <c r="A2067" s="1258" t="s">
        <v>251</v>
      </c>
      <c r="B2067" s="468" t="e">
        <f>(((0.131*(B2061^3)*10^-6)+((((B2061/2)^2)*PI()*(((B2061/4)+B2093)-B2093-(B2061/4)))))+((PI()*((B2061/2)^2)*B2065))/1000000)/1000</f>
        <v>#N/A</v>
      </c>
      <c r="C2067" s="460" t="s">
        <v>225</v>
      </c>
      <c r="D2067" s="468" t="e">
        <f>(((0.131*(D2061^3)*10^-6)+((((D2061/2)^2)*PI()*(((D2061/4)+D2093)-D2093-(D2061/4)))))+((PI()*((D2061/2)^2)*D2065))/1000000)/1000</f>
        <v>#N/A</v>
      </c>
      <c r="E2067" s="460" t="s">
        <v>225</v>
      </c>
      <c r="F2067" s="468">
        <f>(((0.131*(F2061^3)*10^-6)+((((F2061/2)^2)*PI()*(((F2061/4)+F2096)-F2096-(F2061/4)))))+((PI()*((F2061/2)^2)*F2065))/1000000)/1000</f>
        <v>0</v>
      </c>
      <c r="G2067" s="460" t="s">
        <v>225</v>
      </c>
      <c r="H2067" s="469"/>
      <c r="I2067" s="1261"/>
      <c r="K2067" s="477" t="s">
        <v>252</v>
      </c>
      <c r="L2067" s="477" t="str">
        <f>K2027&amp;"."&amp;K2067</f>
        <v>16.Reducer insulation area 3</v>
      </c>
      <c r="M2067" s="1252">
        <f>F2083</f>
        <v>0</v>
      </c>
    </row>
    <row r="2068" spans="1:13" ht="14.55" customHeight="1" x14ac:dyDescent="0.3">
      <c r="A2068" s="1258" t="s">
        <v>253</v>
      </c>
      <c r="B2068" s="468" t="e">
        <f>(((B2062*B2063*3.14)+(((B2062/2)^2)*3.14))/1000000)</f>
        <v>#N/A</v>
      </c>
      <c r="C2068" s="460" t="s">
        <v>228</v>
      </c>
      <c r="D2068" s="468" t="e">
        <f>(((D2062*D2063*3.14)+(((D2062/2)^2)*3.14))/1000000)</f>
        <v>#N/A</v>
      </c>
      <c r="E2068" s="460" t="s">
        <v>228</v>
      </c>
      <c r="F2068" s="468">
        <f>(((F2062*F2063*3.14)+(((F2062/2)^2)*3.14))/1000000)</f>
        <v>0</v>
      </c>
      <c r="G2068" s="460" t="s">
        <v>228</v>
      </c>
      <c r="H2068" s="469"/>
      <c r="I2068" s="1261"/>
    </row>
    <row r="2069" spans="1:13" ht="14.55" customHeight="1" x14ac:dyDescent="0.3">
      <c r="A2069" s="1258" t="s">
        <v>254</v>
      </c>
      <c r="B2069" s="468" t="e">
        <f>B2062+2*B2099</f>
        <v>#N/A</v>
      </c>
      <c r="C2069" s="460" t="s">
        <v>93</v>
      </c>
      <c r="D2069" s="468" t="e">
        <f>D2062+2*D2099</f>
        <v>#N/A</v>
      </c>
      <c r="E2069" s="460" t="s">
        <v>93</v>
      </c>
      <c r="F2069" s="468">
        <f>F2062+2*F2099</f>
        <v>0</v>
      </c>
      <c r="G2069" s="460" t="s">
        <v>93</v>
      </c>
      <c r="H2069" s="469"/>
      <c r="I2069" s="1261"/>
    </row>
    <row r="2070" spans="1:13" ht="14.55" customHeight="1" x14ac:dyDescent="0.3">
      <c r="A2070" s="1258" t="s">
        <v>255</v>
      </c>
      <c r="B2070" s="468" t="e">
        <f>(((B2069*B2063*3.14)+(((B2069/2)^2)*3.14))/1000000)</f>
        <v>#N/A</v>
      </c>
      <c r="C2070" s="460" t="s">
        <v>228</v>
      </c>
      <c r="D2070" s="468" t="e">
        <f>(((D2069*D2063*3.14)+(((D2069/2)^2)*3.14))/1000000)</f>
        <v>#N/A</v>
      </c>
      <c r="E2070" s="460" t="s">
        <v>228</v>
      </c>
      <c r="F2070" s="468">
        <f>(((F2069*F2063*3.14)+(((F2069/2)^2)*3.14))/1000000)</f>
        <v>0</v>
      </c>
      <c r="G2070" s="460" t="s">
        <v>228</v>
      </c>
      <c r="H2070" s="469"/>
      <c r="I2070" s="1261"/>
    </row>
    <row r="2071" spans="1:13" ht="14.55" customHeight="1" x14ac:dyDescent="0.3">
      <c r="A2071" s="1258"/>
      <c r="B2071" s="454"/>
      <c r="C2071" s="460"/>
      <c r="D2071" s="454"/>
      <c r="E2071" s="460"/>
      <c r="F2071" s="454"/>
      <c r="G2071" s="460"/>
      <c r="H2071" s="469"/>
      <c r="I2071" s="1261"/>
    </row>
    <row r="2072" spans="1:13" ht="14.55" customHeight="1" x14ac:dyDescent="0.3">
      <c r="A2072" s="1258"/>
      <c r="B2072" s="468" t="s">
        <v>256</v>
      </c>
      <c r="C2072" s="460"/>
      <c r="D2072" s="468" t="s">
        <v>257</v>
      </c>
      <c r="E2072" s="460"/>
      <c r="F2072" s="468" t="s">
        <v>258</v>
      </c>
      <c r="G2072" s="460"/>
      <c r="H2072" s="469"/>
      <c r="I2072" s="1261"/>
    </row>
    <row r="2073" spans="1:13" ht="14.55" customHeight="1" x14ac:dyDescent="0.3">
      <c r="A2073" s="1258" t="s">
        <v>259</v>
      </c>
      <c r="B2073" s="725"/>
      <c r="C2073" s="460" t="s">
        <v>93</v>
      </c>
      <c r="D2073" s="725"/>
      <c r="E2073" s="460" t="s">
        <v>93</v>
      </c>
      <c r="F2073" s="725"/>
      <c r="G2073" s="460" t="s">
        <v>93</v>
      </c>
      <c r="H2073" s="469"/>
      <c r="I2073" s="1261"/>
    </row>
    <row r="2074" spans="1:13" ht="14.55" customHeight="1" x14ac:dyDescent="0.3">
      <c r="A2074" s="1258" t="s">
        <v>260</v>
      </c>
      <c r="B2074" s="725"/>
      <c r="C2074" s="460" t="s">
        <v>93</v>
      </c>
      <c r="D2074" s="725"/>
      <c r="E2074" s="460" t="s">
        <v>93</v>
      </c>
      <c r="F2074" s="725"/>
      <c r="G2074" s="460" t="s">
        <v>93</v>
      </c>
      <c r="H2074" s="469"/>
      <c r="I2074" s="1261"/>
    </row>
    <row r="2075" spans="1:13" ht="14.55" customHeight="1" x14ac:dyDescent="0.3">
      <c r="A2075" s="1258" t="s">
        <v>261</v>
      </c>
      <c r="B2075" s="725"/>
      <c r="C2075" s="460" t="s">
        <v>93</v>
      </c>
      <c r="D2075" s="725"/>
      <c r="E2075" s="460" t="s">
        <v>93</v>
      </c>
      <c r="F2075" s="725"/>
      <c r="G2075" s="460" t="s">
        <v>93</v>
      </c>
      <c r="H2075" s="469"/>
      <c r="I2075" s="1261"/>
    </row>
    <row r="2076" spans="1:13" ht="14.55" customHeight="1" x14ac:dyDescent="0.3">
      <c r="A2076" s="1258" t="s">
        <v>262</v>
      </c>
      <c r="B2076" s="455" t="e">
        <f>B2073+2*B2094</f>
        <v>#N/A</v>
      </c>
      <c r="C2076" s="460" t="s">
        <v>93</v>
      </c>
      <c r="D2076" s="455" t="e">
        <f>D2073+2*D2094</f>
        <v>#N/A</v>
      </c>
      <c r="E2076" s="460" t="s">
        <v>93</v>
      </c>
      <c r="F2076" s="455">
        <f>F2073+2*F2096</f>
        <v>0</v>
      </c>
      <c r="G2076" s="460" t="s">
        <v>93</v>
      </c>
      <c r="H2076" s="469"/>
      <c r="I2076" s="1261"/>
    </row>
    <row r="2077" spans="1:13" ht="14.55" customHeight="1" x14ac:dyDescent="0.3">
      <c r="A2077" s="1258" t="s">
        <v>263</v>
      </c>
      <c r="B2077" s="455" t="e">
        <f>B2074+2*B2094</f>
        <v>#N/A</v>
      </c>
      <c r="C2077" s="460" t="s">
        <v>93</v>
      </c>
      <c r="D2077" s="455" t="e">
        <f>D2074+2*D2094</f>
        <v>#N/A</v>
      </c>
      <c r="E2077" s="460" t="s">
        <v>93</v>
      </c>
      <c r="F2077" s="455">
        <f>F2074+2*F2096</f>
        <v>0</v>
      </c>
      <c r="G2077" s="460" t="s">
        <v>93</v>
      </c>
      <c r="H2077" s="469"/>
      <c r="I2077" s="1261"/>
    </row>
    <row r="2078" spans="1:13" ht="14.55" customHeight="1" x14ac:dyDescent="0.3">
      <c r="A2078" s="1258" t="s">
        <v>264</v>
      </c>
      <c r="B2078" s="453" t="e">
        <f>(((((1/3*PI()*B2075))*((((B2076/2)^2)+(((B2076/2)*(B2077/2)))+((B2077/2)^2))))-(((1/3*PI()*B2075))*((((B2073/2)^2)+(((B2073/2)*(B2074/2)))+((B2074/2)^2)))))*7.86)/1000000</f>
        <v>#N/A</v>
      </c>
      <c r="C2078" s="460" t="s">
        <v>222</v>
      </c>
      <c r="D2078" s="453" t="e">
        <f>(((((1/3*PI()*D2075))*((((D2076/2)^2)+(((D2076/2)*(D2077/2)))+((D2077/2)^2))))-(((1/3*PI()*D2075))*((((D2073/2)^2)+(((D2073/2)*(D2074/2)))+((D2074/2)^2)))))*7.86)/1000000</f>
        <v>#N/A</v>
      </c>
      <c r="E2078" s="460" t="s">
        <v>222</v>
      </c>
      <c r="F2078" s="453">
        <f>(((((1/3*PI()*F2075))*((((F2076/2)^2)+(((F2076/2)*(F2077/2)))+((F2077/2)^2))))-(((1/3*PI()*F2075))*((((F2073/2)^2)+(((F2073/2)*(F2074/2)))+((F2074/2)^2)))))*7.86)/1000000</f>
        <v>0</v>
      </c>
      <c r="G2078" s="460" t="s">
        <v>222</v>
      </c>
      <c r="H2078" s="469"/>
      <c r="I2078" s="1261"/>
    </row>
    <row r="2079" spans="1:13" ht="14.55" customHeight="1" x14ac:dyDescent="0.3">
      <c r="A2079" s="1258" t="s">
        <v>265</v>
      </c>
      <c r="B2079" s="453">
        <f>((1/3*PI()*B2075))*((((B2073/2)^2)+(((B2073/2)*(B2074/2)))+((B2074/2)^2)))/1000000000</f>
        <v>0</v>
      </c>
      <c r="C2079" s="460" t="s">
        <v>225</v>
      </c>
      <c r="D2079" s="453">
        <f>((1/3*PI()*D2075))*((((D2073/2)^2)+(((D2073/2)*(D2074/2)))+((D2074/2)^2)))/1000000000</f>
        <v>0</v>
      </c>
      <c r="E2079" s="460" t="s">
        <v>225</v>
      </c>
      <c r="F2079" s="453">
        <f>((1/3*PI()*F2075))*((((F2073/2)^2)+(((F2073/2)*(F2074/2)))+((F2074/2)^2)))/1000000000</f>
        <v>0</v>
      </c>
      <c r="G2079" s="460" t="s">
        <v>225</v>
      </c>
      <c r="H2079" s="469"/>
      <c r="I2079" s="1261"/>
    </row>
    <row r="2080" spans="1:13" ht="14.55" customHeight="1" x14ac:dyDescent="0.3">
      <c r="A2080" s="1258" t="s">
        <v>266</v>
      </c>
      <c r="B2080" s="453" t="e">
        <f>PI()*(B2076+B2077)/2*SQRT(B2075^2+((B2076-B2077)/2)^2)/1000000</f>
        <v>#N/A</v>
      </c>
      <c r="C2080" s="460" t="s">
        <v>228</v>
      </c>
      <c r="D2080" s="453" t="e">
        <f>PI()*(D2076+D2077)/2*SQRT(D2075^2+((D2076-D2077)/2)^2)/1000000</f>
        <v>#N/A</v>
      </c>
      <c r="E2080" s="460" t="s">
        <v>228</v>
      </c>
      <c r="F2080" s="453">
        <f>PI()*(F2076+F2077)/2*SQRT(F2075^2+((F2076-F2077)/2)^2)/1000000</f>
        <v>0</v>
      </c>
      <c r="G2080" s="460" t="s">
        <v>228</v>
      </c>
      <c r="H2080" s="469"/>
      <c r="I2080" s="1261"/>
    </row>
    <row r="2081" spans="1:9" ht="14.55" customHeight="1" x14ac:dyDescent="0.3">
      <c r="A2081" s="1258" t="s">
        <v>267</v>
      </c>
      <c r="B2081" s="453" t="e">
        <f>B2076+2*B2100</f>
        <v>#N/A</v>
      </c>
      <c r="C2081" s="460" t="s">
        <v>93</v>
      </c>
      <c r="D2081" s="453">
        <f>D2073+2*D2100</f>
        <v>0</v>
      </c>
      <c r="E2081" s="460" t="s">
        <v>93</v>
      </c>
      <c r="F2081" s="453">
        <f>F2073+2*F2100</f>
        <v>0</v>
      </c>
      <c r="G2081" s="460" t="s">
        <v>93</v>
      </c>
      <c r="H2081" s="469"/>
      <c r="I2081" s="1261"/>
    </row>
    <row r="2082" spans="1:9" ht="14.55" customHeight="1" x14ac:dyDescent="0.3">
      <c r="A2082" s="1258" t="s">
        <v>268</v>
      </c>
      <c r="B2082" s="453" t="e">
        <f>B2077+2*B2100</f>
        <v>#N/A</v>
      </c>
      <c r="C2082" s="460" t="s">
        <v>93</v>
      </c>
      <c r="D2082" s="453">
        <f>D2074+2*D2100</f>
        <v>0</v>
      </c>
      <c r="E2082" s="460" t="s">
        <v>93</v>
      </c>
      <c r="F2082" s="453">
        <f>F2074+2*F2100</f>
        <v>0</v>
      </c>
      <c r="G2082" s="460" t="s">
        <v>93</v>
      </c>
      <c r="H2082" s="469"/>
      <c r="I2082" s="1261"/>
    </row>
    <row r="2083" spans="1:9" ht="14.55" customHeight="1" x14ac:dyDescent="0.3">
      <c r="A2083" s="1258" t="s">
        <v>269</v>
      </c>
      <c r="B2083" s="453" t="e">
        <f>PI()*(B2081+B2082)/2*SQRT(B2075^2+((B2081-B2082)/2)^2)/1000000</f>
        <v>#N/A</v>
      </c>
      <c r="C2083" s="460" t="s">
        <v>228</v>
      </c>
      <c r="D2083" s="453">
        <f>PI()*(D2081+D2082)/2*SQRT(D2075^2+((D2081-D2082)/2)^2)/1000000</f>
        <v>0</v>
      </c>
      <c r="E2083" s="460" t="s">
        <v>228</v>
      </c>
      <c r="F2083" s="453">
        <f>PI()*(F2081+F2082)/2*SQRT(F2075^2+((F2081-F2082)/2)^2)/1000000</f>
        <v>0</v>
      </c>
      <c r="G2083" s="460" t="s">
        <v>228</v>
      </c>
      <c r="H2083" s="469"/>
      <c r="I2083" s="1261"/>
    </row>
    <row r="2084" spans="1:9" ht="14.55" customHeight="1" x14ac:dyDescent="0.3">
      <c r="A2084" s="1258"/>
      <c r="B2084" s="453"/>
      <c r="C2084" s="460"/>
      <c r="D2084" s="453"/>
      <c r="E2084" s="460"/>
      <c r="F2084" s="453"/>
      <c r="G2084" s="460"/>
      <c r="H2084" s="460"/>
      <c r="I2084" s="1259"/>
    </row>
    <row r="2085" spans="1:9" ht="14.55" customHeight="1" x14ac:dyDescent="0.3">
      <c r="A2085" s="1258" t="s">
        <v>270</v>
      </c>
      <c r="B2085" s="725"/>
      <c r="C2085" s="460" t="s">
        <v>93</v>
      </c>
      <c r="D2085" s="725"/>
      <c r="E2085" s="460" t="s">
        <v>93</v>
      </c>
      <c r="F2085" s="725"/>
      <c r="G2085" s="460" t="s">
        <v>93</v>
      </c>
      <c r="H2085" s="460"/>
      <c r="I2085" s="1259"/>
    </row>
    <row r="2086" spans="1:9" ht="14.55" customHeight="1" x14ac:dyDescent="0.3">
      <c r="A2086" s="1258" t="s">
        <v>271</v>
      </c>
      <c r="B2086" s="453" t="e">
        <f>((D2034/10)*B2051/2)/(IF(B2029="div.1",B2042,B2045)-0.5*D2034/10)</f>
        <v>#N/A</v>
      </c>
      <c r="C2086" s="460" t="s">
        <v>93</v>
      </c>
      <c r="D2086" s="453" t="e">
        <f>((D2034/10)*D2051/2)/(IF(B2029="div.1",B2042,B2045)-0.5*D2034/10)</f>
        <v>#N/A</v>
      </c>
      <c r="E2086" s="460" t="s">
        <v>93</v>
      </c>
      <c r="F2086" s="453" t="e">
        <f>((D2034/10)*F2051/2)/(IF(B2029="div.1",F2042,F2045)-0.5*D2034/10)</f>
        <v>#N/A</v>
      </c>
      <c r="G2086" s="460" t="s">
        <v>93</v>
      </c>
      <c r="H2086" s="460"/>
      <c r="I2086" s="1259"/>
    </row>
    <row r="2087" spans="1:9" ht="14.55" customHeight="1" x14ac:dyDescent="0.3">
      <c r="A2087" s="1258" t="s">
        <v>272</v>
      </c>
      <c r="B2087" s="453" t="e">
        <f>B2061/2*(EXP(D2034/(10*IF(B2029="div.1",B2043,B2046)))-1)</f>
        <v>#N/A</v>
      </c>
      <c r="C2087" s="460" t="s">
        <v>93</v>
      </c>
      <c r="D2087" s="453" t="e">
        <f>D2061/2*(EXP(D2034/(10*IF(B2029="div.1",B2043,B2046)))-1)</f>
        <v>#N/A</v>
      </c>
      <c r="E2087" s="460" t="s">
        <v>93</v>
      </c>
      <c r="F2087" s="453" t="e">
        <f>F2061/2*(EXP(D2034/(10*IF(B2029="div.1",F2043,F2046)))-1)</f>
        <v>#N/A</v>
      </c>
      <c r="G2087" s="460" t="s">
        <v>93</v>
      </c>
      <c r="H2087" s="460"/>
      <c r="I2087" s="1259"/>
    </row>
    <row r="2088" spans="1:9" ht="14.55" customHeight="1" x14ac:dyDescent="0.3">
      <c r="A2088" s="1258" t="s">
        <v>273</v>
      </c>
      <c r="B2088" s="453" t="e">
        <f>B2073/2*(EXP(D2034/(10*IF(B2029="div.1",B2043,B2046)))-1)</f>
        <v>#N/A</v>
      </c>
      <c r="C2088" s="460" t="s">
        <v>93</v>
      </c>
      <c r="D2088" s="453" t="e">
        <f>D2073/2*(EXP(D2034/(10*IF(B2029="div.1",B2043,B2046)))-1)</f>
        <v>#N/A</v>
      </c>
      <c r="E2088" s="460" t="s">
        <v>93</v>
      </c>
      <c r="F2088" s="453" t="e">
        <f>F2073/2*(EXP(D2034/(10*IF(B2029="div.1",F2043,F2046)))-1)</f>
        <v>#N/A</v>
      </c>
      <c r="G2088" s="460" t="s">
        <v>93</v>
      </c>
      <c r="H2088" s="460"/>
      <c r="I2088" s="1259"/>
    </row>
    <row r="2089" spans="1:9" ht="14.55" customHeight="1" x14ac:dyDescent="0.3">
      <c r="A2089" s="1258" t="s">
        <v>274</v>
      </c>
      <c r="B2089" s="725"/>
      <c r="C2089" s="460" t="s">
        <v>93</v>
      </c>
      <c r="D2089" s="725"/>
      <c r="E2089" s="460" t="s">
        <v>93</v>
      </c>
      <c r="F2089" s="725"/>
      <c r="G2089" s="460" t="s">
        <v>93</v>
      </c>
      <c r="H2089" s="460"/>
      <c r="I2089" s="1259"/>
    </row>
    <row r="2090" spans="1:9" ht="14.55" customHeight="1" x14ac:dyDescent="0.3">
      <c r="A2090" s="1258" t="s">
        <v>275</v>
      </c>
      <c r="B2090" s="725"/>
      <c r="C2090" s="460" t="s">
        <v>93</v>
      </c>
      <c r="D2090" s="725"/>
      <c r="E2090" s="460" t="s">
        <v>93</v>
      </c>
      <c r="F2090" s="725"/>
      <c r="G2090" s="460" t="s">
        <v>93</v>
      </c>
      <c r="H2090" s="460"/>
      <c r="I2090" s="1259"/>
    </row>
    <row r="2091" spans="1:9" ht="14.55" customHeight="1" x14ac:dyDescent="0.3">
      <c r="A2091" s="1258" t="s">
        <v>276</v>
      </c>
      <c r="B2091" s="725"/>
      <c r="C2091" s="460" t="s">
        <v>93</v>
      </c>
      <c r="D2091" s="725"/>
      <c r="E2091" s="460" t="s">
        <v>93</v>
      </c>
      <c r="F2091" s="725"/>
      <c r="G2091" s="460" t="s">
        <v>93</v>
      </c>
      <c r="H2091" s="460"/>
      <c r="I2091" s="1259"/>
    </row>
    <row r="2092" spans="1:9" ht="14.55" customHeight="1" x14ac:dyDescent="0.3">
      <c r="A2092" s="1258" t="s">
        <v>277</v>
      </c>
      <c r="B2092" s="453" t="e">
        <f>IF((CEILING(B2086,1)+B2089)&lt;B2085,B2085,CEILING(B2086,1)+B2089)</f>
        <v>#N/A</v>
      </c>
      <c r="C2092" s="460" t="s">
        <v>93</v>
      </c>
      <c r="D2092" s="453" t="e">
        <f>IF((CEILING(D2086,1)+D2089)&lt;D2085,D2085,CEILING(D2086,1)+D2089)</f>
        <v>#N/A</v>
      </c>
      <c r="E2092" s="460" t="s">
        <v>93</v>
      </c>
      <c r="F2092" s="453" t="e">
        <f>IF((CEILING(F2086,1)+F2089)&lt;F2085,F2085,CEILING(F2086,1)+F2089)</f>
        <v>#N/A</v>
      </c>
      <c r="G2092" s="460" t="s">
        <v>93</v>
      </c>
      <c r="H2092" s="460"/>
      <c r="I2092" s="1259"/>
    </row>
    <row r="2093" spans="1:9" ht="14.55" customHeight="1" x14ac:dyDescent="0.3">
      <c r="A2093" s="1258" t="s">
        <v>278</v>
      </c>
      <c r="B2093" s="453" t="e">
        <f>IF((CEILING(B2087,1)+B2090)&lt;=B2085,B2085,CEILING(B2087,1)+B2090)</f>
        <v>#N/A</v>
      </c>
      <c r="C2093" s="460" t="s">
        <v>93</v>
      </c>
      <c r="D2093" s="453" t="e">
        <f>IF((CEILING(D2087,1)+D2090)&lt;=D2085,D2085,CEILING(D2087,1)+D2090)</f>
        <v>#N/A</v>
      </c>
      <c r="E2093" s="460" t="s">
        <v>93</v>
      </c>
      <c r="F2093" s="453" t="e">
        <f>IF((CEILING(F2087,1)+F2090)&lt;=F2085,F2085,CEILING(F2087,1)+F2090)</f>
        <v>#N/A</v>
      </c>
      <c r="G2093" s="460" t="s">
        <v>93</v>
      </c>
      <c r="H2093" s="460"/>
      <c r="I2093" s="1259"/>
    </row>
    <row r="2094" spans="1:9" ht="14.55" customHeight="1" x14ac:dyDescent="0.3">
      <c r="A2094" s="1258" t="s">
        <v>279</v>
      </c>
      <c r="B2094" s="453" t="e">
        <f>IF((CEILING(B2088,1)+B2091)&lt;=B2085,B2085,CEILING(B2088,1)+B2091)</f>
        <v>#N/A</v>
      </c>
      <c r="C2094" s="460" t="s">
        <v>93</v>
      </c>
      <c r="D2094" s="453" t="e">
        <f>IF((CEILING(D2088,1)+D2091)&lt;=D2085,D2085,CEILING(D2088,1)+D2091)</f>
        <v>#N/A</v>
      </c>
      <c r="E2094" s="460" t="s">
        <v>93</v>
      </c>
      <c r="F2094" s="453" t="e">
        <f>IF((CEILING(F2088,1)+F2091)&lt;=F2085,F2085,CEILING(F2088,1)+F2091)</f>
        <v>#N/A</v>
      </c>
      <c r="G2094" s="460" t="s">
        <v>93</v>
      </c>
      <c r="H2094" s="460"/>
      <c r="I2094" s="1259"/>
    </row>
    <row r="2095" spans="1:9" ht="14.55" customHeight="1" x14ac:dyDescent="0.3">
      <c r="A2095" s="1258" t="s">
        <v>280</v>
      </c>
      <c r="B2095" s="453"/>
      <c r="C2095" s="460"/>
      <c r="D2095" s="453"/>
      <c r="E2095" s="460"/>
      <c r="F2095" s="726"/>
      <c r="G2095" s="460"/>
      <c r="H2095" s="460"/>
      <c r="I2095" s="1259"/>
    </row>
    <row r="2096" spans="1:9" ht="14.55" customHeight="1" x14ac:dyDescent="0.3">
      <c r="A2096" s="1258" t="s">
        <v>281</v>
      </c>
      <c r="B2096" s="453"/>
      <c r="C2096" s="460"/>
      <c r="D2096" s="453"/>
      <c r="E2096" s="460"/>
      <c r="F2096" s="460">
        <f>IFERROR(VLOOKUP(F2050,'Thickness Tab'!$1:$1048576,MATCH(F2095,'Thickness Tab'!$1:$1,0),0),0)</f>
        <v>0</v>
      </c>
      <c r="G2096" s="460" t="s">
        <v>93</v>
      </c>
      <c r="H2096" s="460"/>
      <c r="I2096" s="1259"/>
    </row>
    <row r="2097" spans="1:9" ht="14.55" customHeight="1" x14ac:dyDescent="0.3">
      <c r="A2097" s="1258"/>
      <c r="B2097" s="464"/>
      <c r="C2097" s="460"/>
      <c r="D2097" s="460"/>
      <c r="E2097" s="460"/>
      <c r="F2097" s="460"/>
      <c r="G2097" s="460"/>
      <c r="H2097" s="460"/>
      <c r="I2097" s="1259"/>
    </row>
    <row r="2098" spans="1:9" ht="14.55" customHeight="1" x14ac:dyDescent="0.3">
      <c r="A2098" s="1258" t="s">
        <v>282</v>
      </c>
      <c r="B2098" s="725">
        <v>0</v>
      </c>
      <c r="C2098" s="460" t="s">
        <v>93</v>
      </c>
      <c r="D2098" s="725">
        <v>0</v>
      </c>
      <c r="E2098" s="460" t="s">
        <v>93</v>
      </c>
      <c r="F2098" s="725">
        <v>0</v>
      </c>
      <c r="G2098" s="460" t="s">
        <v>93</v>
      </c>
      <c r="H2098" s="460"/>
      <c r="I2098" s="1259"/>
    </row>
    <row r="2099" spans="1:9" ht="14.55" customHeight="1" x14ac:dyDescent="0.3">
      <c r="A2099" s="1258" t="s">
        <v>283</v>
      </c>
      <c r="B2099" s="725">
        <v>0</v>
      </c>
      <c r="C2099" s="460" t="s">
        <v>93</v>
      </c>
      <c r="D2099" s="725">
        <v>0</v>
      </c>
      <c r="E2099" s="460" t="s">
        <v>93</v>
      </c>
      <c r="F2099" s="725">
        <v>0</v>
      </c>
      <c r="G2099" s="460" t="s">
        <v>93</v>
      </c>
      <c r="H2099" s="460"/>
      <c r="I2099" s="1259"/>
    </row>
    <row r="2100" spans="1:9" ht="14.55" customHeight="1" x14ac:dyDescent="0.3">
      <c r="A2100" s="1258" t="s">
        <v>284</v>
      </c>
      <c r="B2100" s="725">
        <v>0</v>
      </c>
      <c r="C2100" s="460" t="s">
        <v>93</v>
      </c>
      <c r="D2100" s="725">
        <v>0</v>
      </c>
      <c r="E2100" s="460" t="s">
        <v>93</v>
      </c>
      <c r="F2100" s="725">
        <v>0</v>
      </c>
      <c r="G2100" s="460" t="s">
        <v>93</v>
      </c>
      <c r="H2100" s="460"/>
      <c r="I2100" s="1259"/>
    </row>
    <row r="2101" spans="1:9" ht="14.55" customHeight="1" x14ac:dyDescent="0.3">
      <c r="A2101" s="1258"/>
      <c r="B2101" s="464"/>
      <c r="C2101" s="460"/>
      <c r="D2101" s="460"/>
      <c r="E2101" s="460"/>
      <c r="F2101" s="460"/>
      <c r="G2101" s="460"/>
      <c r="H2101" s="460"/>
      <c r="I2101" s="1259"/>
    </row>
    <row r="2102" spans="1:9" ht="14.55" customHeight="1" x14ac:dyDescent="0.3">
      <c r="A2102" s="1260" t="s">
        <v>285</v>
      </c>
      <c r="B2102" s="470" t="str">
        <f>IF(B2030="Horizontal","No Skirt","")</f>
        <v/>
      </c>
      <c r="C2102" s="460"/>
      <c r="D2102" s="471"/>
      <c r="E2102" s="471" t="s">
        <v>286</v>
      </c>
      <c r="F2102" s="460"/>
      <c r="G2102" s="469"/>
      <c r="H2102" s="469"/>
      <c r="I2102" s="1261"/>
    </row>
    <row r="2103" spans="1:9" ht="14.55" customHeight="1" x14ac:dyDescent="0.3">
      <c r="A2103" s="1258" t="s">
        <v>287</v>
      </c>
      <c r="B2103" s="722"/>
      <c r="C2103" s="456" t="s">
        <v>93</v>
      </c>
      <c r="D2103" s="472"/>
      <c r="E2103" s="472" t="s">
        <v>288</v>
      </c>
      <c r="F2103" s="725"/>
      <c r="G2103" s="460" t="s">
        <v>93</v>
      </c>
      <c r="H2103" s="469"/>
      <c r="I2103" s="1261"/>
    </row>
    <row r="2104" spans="1:9" ht="14.55" customHeight="1" x14ac:dyDescent="0.3">
      <c r="A2104" s="1258" t="s">
        <v>289</v>
      </c>
      <c r="B2104" s="722"/>
      <c r="C2104" s="456" t="s">
        <v>93</v>
      </c>
      <c r="D2104" s="472"/>
      <c r="E2104" s="472" t="s">
        <v>290</v>
      </c>
      <c r="F2104" s="725"/>
      <c r="G2104" s="460" t="s">
        <v>93</v>
      </c>
      <c r="H2104" s="469"/>
      <c r="I2104" s="1261"/>
    </row>
    <row r="2105" spans="1:9" ht="14.55" customHeight="1" x14ac:dyDescent="0.3">
      <c r="A2105" s="1258" t="s">
        <v>291</v>
      </c>
      <c r="B2105" s="722"/>
      <c r="C2105" s="456" t="s">
        <v>93</v>
      </c>
      <c r="D2105" s="472"/>
      <c r="E2105" s="472" t="s">
        <v>292</v>
      </c>
      <c r="F2105" s="725"/>
      <c r="G2105" s="460"/>
      <c r="H2105" s="469"/>
      <c r="I2105" s="1261"/>
    </row>
    <row r="2106" spans="1:9" ht="14.55" customHeight="1" x14ac:dyDescent="0.3">
      <c r="A2106" s="1258" t="s">
        <v>293</v>
      </c>
      <c r="B2106" s="722"/>
      <c r="C2106" s="456" t="s">
        <v>93</v>
      </c>
      <c r="D2106" s="472"/>
      <c r="E2106" s="472" t="s">
        <v>184</v>
      </c>
      <c r="F2106" s="457">
        <f>(PI()*F2103^2)/4*F2104*(7800/1000000000)</f>
        <v>0</v>
      </c>
      <c r="G2106" s="460" t="s">
        <v>222</v>
      </c>
      <c r="H2106" s="460"/>
      <c r="I2106" s="1259"/>
    </row>
    <row r="2107" spans="1:9" ht="14.55" customHeight="1" x14ac:dyDescent="0.3">
      <c r="A2107" s="1258" t="s">
        <v>294</v>
      </c>
      <c r="B2107" s="722"/>
      <c r="C2107" s="456" t="s">
        <v>93</v>
      </c>
      <c r="D2107" s="460"/>
      <c r="E2107" s="460"/>
      <c r="F2107" s="460"/>
      <c r="G2107" s="460"/>
      <c r="H2107" s="460"/>
      <c r="I2107" s="1259"/>
    </row>
    <row r="2108" spans="1:9" ht="14.55" customHeight="1" x14ac:dyDescent="0.3">
      <c r="A2108" s="1258"/>
      <c r="B2108" s="407"/>
      <c r="C2108" s="460"/>
      <c r="D2108" s="460"/>
      <c r="E2108" s="460"/>
      <c r="F2108" s="460"/>
      <c r="G2108" s="460"/>
      <c r="H2108" s="460"/>
      <c r="I2108" s="1259"/>
    </row>
    <row r="2109" spans="1:9" ht="14.55" customHeight="1" x14ac:dyDescent="0.3">
      <c r="A2109" s="1262" t="s">
        <v>295</v>
      </c>
      <c r="B2109" s="480"/>
      <c r="C2109" s="59"/>
      <c r="D2109" s="59"/>
      <c r="E2109" s="59"/>
      <c r="F2109" s="460"/>
      <c r="G2109" s="460"/>
      <c r="H2109" s="460"/>
      <c r="I2109" s="1259"/>
    </row>
    <row r="2110" spans="1:9" ht="14.55" customHeight="1" x14ac:dyDescent="0.3">
      <c r="A2110" s="1263" t="s">
        <v>296</v>
      </c>
      <c r="B2110" s="722"/>
      <c r="C2110" s="59" t="s">
        <v>93</v>
      </c>
      <c r="D2110" s="59"/>
      <c r="E2110" s="59"/>
      <c r="F2110" s="460"/>
      <c r="G2110" s="460"/>
      <c r="H2110" s="460"/>
      <c r="I2110" s="1259"/>
    </row>
    <row r="2111" spans="1:9" ht="14.55" customHeight="1" x14ac:dyDescent="0.3">
      <c r="A2111" s="1263" t="s">
        <v>297</v>
      </c>
      <c r="B2111" s="722"/>
      <c r="C2111" s="59" t="s">
        <v>93</v>
      </c>
      <c r="D2111" s="59"/>
      <c r="E2111" s="59"/>
      <c r="F2111" s="460"/>
      <c r="G2111" s="460"/>
      <c r="H2111" s="460"/>
      <c r="I2111" s="1259"/>
    </row>
    <row r="2112" spans="1:9" ht="14.55" customHeight="1" x14ac:dyDescent="0.3">
      <c r="A2112" s="1263" t="s">
        <v>298</v>
      </c>
      <c r="B2112" s="480">
        <f>B2053</f>
        <v>0</v>
      </c>
      <c r="C2112" s="59" t="s">
        <v>93</v>
      </c>
      <c r="D2112" s="59"/>
      <c r="E2112" s="59"/>
      <c r="F2112" s="460"/>
      <c r="G2112" s="460"/>
      <c r="H2112" s="460"/>
      <c r="I2112" s="1259"/>
    </row>
    <row r="2113" spans="1:9" ht="14.55" customHeight="1" x14ac:dyDescent="0.3">
      <c r="A2113" s="1263" t="s">
        <v>299</v>
      </c>
      <c r="B2113" s="727"/>
      <c r="C2113" s="59"/>
      <c r="D2113" s="59"/>
      <c r="E2113" s="59"/>
      <c r="F2113" s="460"/>
      <c r="G2113" s="460"/>
      <c r="H2113" s="460"/>
      <c r="I2113" s="1259"/>
    </row>
    <row r="2114" spans="1:9" ht="14.55" customHeight="1" x14ac:dyDescent="0.3">
      <c r="A2114" s="1263" t="s">
        <v>300</v>
      </c>
      <c r="B2114" s="722"/>
      <c r="C2114" s="59" t="s">
        <v>301</v>
      </c>
      <c r="D2114" s="59"/>
      <c r="E2114" s="59"/>
      <c r="F2114" s="460"/>
      <c r="G2114" s="460"/>
      <c r="H2114" s="460"/>
      <c r="I2114" s="1259"/>
    </row>
    <row r="2115" spans="1:9" ht="14.55" customHeight="1" x14ac:dyDescent="0.3">
      <c r="A2115" s="1263" t="s">
        <v>302</v>
      </c>
      <c r="B2115" s="480">
        <f>IF(B2113="Straight",B2112,B2112*2)</f>
        <v>0</v>
      </c>
      <c r="C2115" s="59" t="s">
        <v>93</v>
      </c>
      <c r="D2115" s="480"/>
      <c r="E2115" s="59"/>
      <c r="F2115" s="460"/>
      <c r="G2115" s="460"/>
      <c r="H2115" s="460"/>
      <c r="I2115" s="1259"/>
    </row>
    <row r="2116" spans="1:9" ht="14.55" customHeight="1" x14ac:dyDescent="0.3">
      <c r="A2116" s="1263" t="s">
        <v>303</v>
      </c>
      <c r="B2116" s="480">
        <f>B2110*PI()*B2115/1000000*B2114</f>
        <v>0</v>
      </c>
      <c r="C2116" s="59" t="s">
        <v>228</v>
      </c>
      <c r="D2116" s="59"/>
      <c r="E2116" s="59"/>
      <c r="F2116" s="460"/>
      <c r="G2116" s="460"/>
      <c r="H2116" s="460"/>
      <c r="I2116" s="1259"/>
    </row>
    <row r="2117" spans="1:9" ht="14.55" customHeight="1" x14ac:dyDescent="0.3">
      <c r="A2117" s="1263" t="s">
        <v>304</v>
      </c>
      <c r="B2117" s="480">
        <v>7.86</v>
      </c>
      <c r="C2117" s="59" t="s">
        <v>305</v>
      </c>
      <c r="D2117" s="59"/>
      <c r="E2117" s="59"/>
      <c r="F2117" s="460"/>
      <c r="G2117" s="460"/>
      <c r="H2117" s="460"/>
      <c r="I2117" s="1259"/>
    </row>
    <row r="2118" spans="1:9" ht="14.55" customHeight="1" x14ac:dyDescent="0.3">
      <c r="A2118" s="1263" t="s">
        <v>306</v>
      </c>
      <c r="B2118" s="480">
        <f>PI()*B2111*(B2110-B2111)*B2117/1000</f>
        <v>0</v>
      </c>
      <c r="C2118" s="59" t="s">
        <v>307</v>
      </c>
      <c r="D2118" s="59"/>
      <c r="E2118" s="59"/>
      <c r="F2118" s="460"/>
      <c r="G2118" s="460"/>
      <c r="H2118" s="460"/>
      <c r="I2118" s="1259"/>
    </row>
    <row r="2119" spans="1:9" ht="14.55" customHeight="1" x14ac:dyDescent="0.3">
      <c r="A2119" s="1263" t="s">
        <v>308</v>
      </c>
      <c r="B2119" s="480">
        <f>B2118*B2115*B2114/1000</f>
        <v>0</v>
      </c>
      <c r="C2119" s="59" t="s">
        <v>222</v>
      </c>
      <c r="D2119" s="59"/>
      <c r="E2119" s="59"/>
      <c r="F2119" s="460"/>
      <c r="G2119" s="460"/>
      <c r="H2119" s="460"/>
      <c r="I2119" s="1259"/>
    </row>
    <row r="2120" spans="1:9" ht="14.55" customHeight="1" x14ac:dyDescent="0.3">
      <c r="A2120" s="1263"/>
      <c r="B2120" s="480"/>
      <c r="C2120" s="59"/>
      <c r="D2120" s="59"/>
      <c r="E2120" s="59"/>
      <c r="F2120" s="460"/>
      <c r="G2120" s="460"/>
      <c r="H2120" s="460"/>
      <c r="I2120" s="1259"/>
    </row>
    <row r="2121" spans="1:9" ht="14.55" customHeight="1" x14ac:dyDescent="0.3">
      <c r="A2121" s="1262" t="s">
        <v>309</v>
      </c>
      <c r="B2121" s="480"/>
      <c r="C2121" s="59"/>
      <c r="D2121" s="59"/>
      <c r="E2121" s="59"/>
      <c r="F2121" s="460"/>
      <c r="G2121" s="460"/>
      <c r="H2121" s="460"/>
      <c r="I2121" s="1259"/>
    </row>
    <row r="2122" spans="1:9" ht="14.55" customHeight="1" x14ac:dyDescent="0.3">
      <c r="A2122" s="1263" t="s">
        <v>310</v>
      </c>
      <c r="B2122" s="480">
        <f>B2051</f>
        <v>0</v>
      </c>
      <c r="C2122" s="59" t="s">
        <v>93</v>
      </c>
      <c r="D2122" s="59"/>
      <c r="E2122" s="59"/>
      <c r="F2122" s="460"/>
      <c r="G2122" s="460"/>
      <c r="H2122" s="460"/>
      <c r="I2122" s="1259"/>
    </row>
    <row r="2123" spans="1:9" ht="14.55" customHeight="1" x14ac:dyDescent="0.3">
      <c r="A2123" s="1263" t="s">
        <v>297</v>
      </c>
      <c r="B2123" s="480">
        <v>15</v>
      </c>
      <c r="C2123" s="59" t="s">
        <v>93</v>
      </c>
      <c r="D2123" s="59"/>
      <c r="E2123" s="59"/>
      <c r="F2123" s="460"/>
      <c r="G2123" s="460"/>
      <c r="H2123" s="460"/>
      <c r="I2123" s="1259"/>
    </row>
    <row r="2124" spans="1:9" ht="14.55" customHeight="1" x14ac:dyDescent="0.3">
      <c r="A2124" s="1263" t="s">
        <v>311</v>
      </c>
      <c r="B2124" s="480">
        <f>B2122^2*PI()/4/1000000</f>
        <v>0</v>
      </c>
      <c r="C2124" s="59" t="s">
        <v>228</v>
      </c>
      <c r="D2124" s="59"/>
      <c r="E2124" s="59"/>
      <c r="F2124" s="460"/>
      <c r="G2124" s="460"/>
      <c r="H2124" s="460"/>
      <c r="I2124" s="1259"/>
    </row>
    <row r="2125" spans="1:9" ht="14.55" customHeight="1" x14ac:dyDescent="0.3">
      <c r="A2125" s="1263" t="s">
        <v>312</v>
      </c>
      <c r="B2125" s="480">
        <f>B2124*B2123/1000*B2117*2/1000</f>
        <v>0</v>
      </c>
      <c r="C2125" s="59" t="s">
        <v>222</v>
      </c>
      <c r="D2125" s="59"/>
      <c r="E2125" s="59"/>
      <c r="F2125" s="460"/>
      <c r="G2125" s="460"/>
      <c r="H2125" s="460"/>
      <c r="I2125" s="1259"/>
    </row>
    <row r="2126" spans="1:9" ht="14.55" customHeight="1" x14ac:dyDescent="0.3">
      <c r="A2126" s="1263"/>
      <c r="B2126" s="480"/>
      <c r="C2126" s="59"/>
      <c r="D2126" s="59"/>
      <c r="E2126" s="59"/>
      <c r="F2126" s="460"/>
      <c r="G2126" s="460"/>
      <c r="H2126" s="460"/>
      <c r="I2126" s="1259"/>
    </row>
    <row r="2127" spans="1:9" ht="14.55" customHeight="1" x14ac:dyDescent="0.3">
      <c r="A2127" s="1263" t="s">
        <v>313</v>
      </c>
      <c r="B2127" s="480">
        <f>B2119+B2125*2</f>
        <v>0</v>
      </c>
      <c r="C2127" s="59" t="s">
        <v>222</v>
      </c>
      <c r="D2127" s="59"/>
      <c r="E2127" s="59"/>
      <c r="F2127" s="460"/>
      <c r="G2127" s="460"/>
      <c r="H2127" s="460"/>
      <c r="I2127" s="1259"/>
    </row>
    <row r="2128" spans="1:9" ht="14.55" customHeight="1" x14ac:dyDescent="0.3">
      <c r="A2128" s="1263"/>
      <c r="B2128" s="480"/>
      <c r="C2128" s="59"/>
      <c r="D2128" s="59"/>
      <c r="E2128" s="59"/>
      <c r="F2128" s="460"/>
      <c r="G2128" s="460"/>
      <c r="H2128" s="460"/>
      <c r="I2128" s="1259"/>
    </row>
    <row r="2129" spans="1:9" ht="14.55" customHeight="1" x14ac:dyDescent="0.3">
      <c r="A2129" s="1260" t="s">
        <v>314</v>
      </c>
      <c r="B2129" s="460"/>
      <c r="C2129" s="460"/>
      <c r="D2129" s="463" t="s">
        <v>315</v>
      </c>
      <c r="E2129" s="460"/>
      <c r="F2129" s="460"/>
      <c r="G2129" s="471" t="s">
        <v>316</v>
      </c>
      <c r="H2129" s="453"/>
      <c r="I2129" s="1259"/>
    </row>
    <row r="2130" spans="1:9" ht="14.55" customHeight="1" x14ac:dyDescent="0.3">
      <c r="A2130" s="1258" t="s">
        <v>189</v>
      </c>
      <c r="B2130" s="468" t="e">
        <f>SUM(B2054,D2054,F2054)</f>
        <v>#N/A</v>
      </c>
      <c r="C2130" s="460" t="s">
        <v>222</v>
      </c>
      <c r="D2130" s="472" t="s">
        <v>189</v>
      </c>
      <c r="E2130" s="468" t="e">
        <f>SUM(B2056,D2056,F2056)</f>
        <v>#N/A</v>
      </c>
      <c r="F2130" s="460" t="s">
        <v>228</v>
      </c>
      <c r="G2130" s="472" t="s">
        <v>189</v>
      </c>
      <c r="H2130" s="453" t="e">
        <f>SUM(B2058,D2058,F2058)</f>
        <v>#N/A</v>
      </c>
      <c r="I2130" s="1259" t="s">
        <v>228</v>
      </c>
    </row>
    <row r="2131" spans="1:9" ht="14.55" customHeight="1" x14ac:dyDescent="0.3">
      <c r="A2131" s="1258" t="s">
        <v>317</v>
      </c>
      <c r="B2131" s="468" t="e">
        <f>SUM(B2064*B2066,D2064*D2066,F2064*F2066)</f>
        <v>#N/A</v>
      </c>
      <c r="C2131" s="460" t="s">
        <v>222</v>
      </c>
      <c r="D2131" s="472" t="s">
        <v>317</v>
      </c>
      <c r="E2131" s="468" t="e">
        <f>SUM(B2064*B2068,D2064*D2068,F2064*F2068)</f>
        <v>#N/A</v>
      </c>
      <c r="F2131" s="460" t="s">
        <v>228</v>
      </c>
      <c r="G2131" s="472" t="s">
        <v>317</v>
      </c>
      <c r="H2131" s="453" t="e">
        <f>SUM(B2064*B2070,D2064*D2070,F2064*F2070)</f>
        <v>#N/A</v>
      </c>
      <c r="I2131" s="1259" t="s">
        <v>228</v>
      </c>
    </row>
    <row r="2132" spans="1:9" ht="14.55" customHeight="1" x14ac:dyDescent="0.3">
      <c r="A2132" s="1258" t="s">
        <v>318</v>
      </c>
      <c r="B2132" s="468" t="e">
        <f>SUM(B2078,D2078,F2078)</f>
        <v>#N/A</v>
      </c>
      <c r="C2132" s="460" t="s">
        <v>222</v>
      </c>
      <c r="D2132" s="472" t="s">
        <v>318</v>
      </c>
      <c r="E2132" s="468" t="e">
        <f>SUM(B2080,D2080,F2080)</f>
        <v>#N/A</v>
      </c>
      <c r="F2132" s="460" t="s">
        <v>228</v>
      </c>
      <c r="G2132" s="472" t="s">
        <v>318</v>
      </c>
      <c r="H2132" s="453" t="e">
        <f>SUM(B2083,D2083,F2083)</f>
        <v>#N/A</v>
      </c>
      <c r="I2132" s="1259" t="s">
        <v>228</v>
      </c>
    </row>
    <row r="2133" spans="1:9" ht="14.55" customHeight="1" x14ac:dyDescent="0.3">
      <c r="A2133" s="1258" t="s">
        <v>319</v>
      </c>
      <c r="B2133" s="468">
        <f>SUMPRODUCT(F2150:F2161,H2150:H2161)</f>
        <v>0</v>
      </c>
      <c r="C2133" s="460" t="s">
        <v>222</v>
      </c>
      <c r="D2133" s="472" t="s">
        <v>319</v>
      </c>
      <c r="E2133" s="468">
        <f>SUMPRODUCT(F2150:F2161,I2150:I2161)</f>
        <v>0</v>
      </c>
      <c r="F2133" s="460" t="s">
        <v>228</v>
      </c>
      <c r="G2133" s="460"/>
      <c r="H2133" s="453"/>
      <c r="I2133" s="1259"/>
    </row>
    <row r="2134" spans="1:9" ht="14.55" customHeight="1" x14ac:dyDescent="0.3">
      <c r="A2134" s="1258" t="s">
        <v>320</v>
      </c>
      <c r="B2134" s="468" t="e">
        <f>IF(B2030="Horizontal",0,(PI()*B2104*(((B2052/2)^2)-(((B2052-2*B2103)/2)^2))*7860)/1000000000)</f>
        <v>#N/A</v>
      </c>
      <c r="C2134" s="460" t="s">
        <v>222</v>
      </c>
      <c r="D2134" s="472" t="s">
        <v>320</v>
      </c>
      <c r="E2134" s="468" t="e">
        <f>IF(B2030="Horizontal",0,((B2052*B2104*PI())+((B2052-2*B2103)*B2104*PI()))/1000000)</f>
        <v>#N/A</v>
      </c>
      <c r="F2134" s="460" t="s">
        <v>228</v>
      </c>
      <c r="G2134" s="471" t="s">
        <v>321</v>
      </c>
      <c r="H2134" s="453"/>
      <c r="I2134" s="1259"/>
    </row>
    <row r="2135" spans="1:9" ht="14.55" customHeight="1" x14ac:dyDescent="0.3">
      <c r="A2135" s="1258" t="s">
        <v>322</v>
      </c>
      <c r="B2135" s="468">
        <f>IF(B2030="Horizontal",0,(PI()*B2107*(((B2106/2)^2)-((B2105/2)^2))*7860)/1000000000)</f>
        <v>0</v>
      </c>
      <c r="C2135" s="460" t="s">
        <v>222</v>
      </c>
      <c r="D2135" s="472" t="s">
        <v>322</v>
      </c>
      <c r="E2135" s="468">
        <f>IF(B2030="Horizontal",0,((B2106*3.14*B2107)+(B2105*3.14*B2107)+(((((B2106/2)^2)*3.14)-(((B2105/2)^2)*3.14))*2))/1000000)</f>
        <v>0</v>
      </c>
      <c r="F2135" s="460" t="s">
        <v>228</v>
      </c>
      <c r="G2135" s="472" t="s">
        <v>189</v>
      </c>
      <c r="H2135" s="453">
        <f>SUM(B2055,D2055,F2055)</f>
        <v>0</v>
      </c>
      <c r="I2135" s="1259" t="s">
        <v>225</v>
      </c>
    </row>
    <row r="2136" spans="1:9" ht="14.55" customHeight="1" x14ac:dyDescent="0.3">
      <c r="A2136" s="1258" t="s">
        <v>323</v>
      </c>
      <c r="B2136" s="468">
        <f>IF(B2030="Horizontal",VLOOKUP(B2052,List!$AR:$AS,2,1)*2,0)</f>
        <v>0</v>
      </c>
      <c r="C2136" s="460" t="s">
        <v>222</v>
      </c>
      <c r="D2136" s="472" t="s">
        <v>323</v>
      </c>
      <c r="E2136" s="725"/>
      <c r="F2136" s="460" t="s">
        <v>228</v>
      </c>
      <c r="G2136" s="472" t="s">
        <v>317</v>
      </c>
      <c r="H2136" s="453" t="e">
        <f>SUM(B2064*B2067+D2064*D2067+F2064*F2067)</f>
        <v>#N/A</v>
      </c>
      <c r="I2136" s="1259" t="s">
        <v>225</v>
      </c>
    </row>
    <row r="2137" spans="1:9" ht="14.55" customHeight="1" x14ac:dyDescent="0.3">
      <c r="A2137" s="1258" t="s">
        <v>324</v>
      </c>
      <c r="B2137" s="468">
        <f>F2106*F2105</f>
        <v>0</v>
      </c>
      <c r="C2137" s="460" t="s">
        <v>222</v>
      </c>
      <c r="D2137" s="460"/>
      <c r="E2137" s="460"/>
      <c r="F2137" s="460"/>
      <c r="G2137" s="472" t="s">
        <v>318</v>
      </c>
      <c r="H2137" s="453">
        <f>SUM(B2079,D2079,F2079)</f>
        <v>0</v>
      </c>
      <c r="I2137" s="1259" t="s">
        <v>225</v>
      </c>
    </row>
    <row r="2138" spans="1:9" ht="14.55" customHeight="1" x14ac:dyDescent="0.3">
      <c r="A2138" s="1258" t="s">
        <v>325</v>
      </c>
      <c r="B2138" s="468">
        <f>B2127</f>
        <v>0</v>
      </c>
      <c r="C2138" s="460" t="s">
        <v>222</v>
      </c>
      <c r="D2138" s="460"/>
      <c r="E2138" s="460"/>
      <c r="F2138" s="460"/>
      <c r="G2138" s="472"/>
      <c r="H2138" s="453"/>
      <c r="I2138" s="1259"/>
    </row>
    <row r="2139" spans="1:9" ht="14.55" customHeight="1" x14ac:dyDescent="0.3">
      <c r="A2139" s="1258" t="s">
        <v>326</v>
      </c>
      <c r="B2139" s="725"/>
      <c r="C2139" s="460" t="s">
        <v>222</v>
      </c>
      <c r="D2139" s="460"/>
      <c r="E2139" s="460"/>
      <c r="F2139" s="460"/>
      <c r="G2139" s="460"/>
      <c r="H2139" s="460"/>
      <c r="I2139" s="1259"/>
    </row>
    <row r="2140" spans="1:9" ht="14.55" customHeight="1" x14ac:dyDescent="0.3">
      <c r="A2140" s="1264"/>
      <c r="B2140" s="460"/>
      <c r="C2140" s="460"/>
      <c r="D2140" s="460"/>
      <c r="E2140" s="460"/>
      <c r="F2140" s="460"/>
      <c r="G2140" s="460"/>
      <c r="H2140" s="460"/>
      <c r="I2140" s="1259"/>
    </row>
    <row r="2141" spans="1:9" ht="14.55" customHeight="1" x14ac:dyDescent="0.3">
      <c r="A2141" s="1258" t="s">
        <v>327</v>
      </c>
      <c r="B2141" s="453" t="e">
        <f>SUM(E2130:E2136)</f>
        <v>#N/A</v>
      </c>
      <c r="C2141" s="460" t="s">
        <v>228</v>
      </c>
      <c r="D2141" s="460"/>
      <c r="E2141" s="460"/>
      <c r="F2141" s="460"/>
      <c r="G2141" s="460"/>
      <c r="H2141" s="460"/>
      <c r="I2141" s="1259"/>
    </row>
    <row r="2142" spans="1:9" ht="14.55" customHeight="1" x14ac:dyDescent="0.3">
      <c r="A2142" s="1258" t="s">
        <v>328</v>
      </c>
      <c r="B2142" s="453" t="e">
        <f>IF(SUM(E2130:E2132)=SUM(H2130:H2132),"Not Insulated",SUM(H2130:H2132))</f>
        <v>#N/A</v>
      </c>
      <c r="C2142" s="460" t="e">
        <f>IF(B2141=SUM(H2130:H2132),"","m2")</f>
        <v>#N/A</v>
      </c>
      <c r="D2142" s="460"/>
      <c r="E2142" s="460"/>
      <c r="F2142" s="460"/>
      <c r="G2142" s="460"/>
      <c r="H2142" s="460"/>
      <c r="I2142" s="1259"/>
    </row>
    <row r="2143" spans="1:9" ht="14.55" customHeight="1" x14ac:dyDescent="0.3">
      <c r="A2143" s="1258" t="s">
        <v>329</v>
      </c>
      <c r="B2143" s="453" t="e">
        <f>SUM(H2135:H2137)</f>
        <v>#N/A</v>
      </c>
      <c r="C2143" s="460" t="s">
        <v>225</v>
      </c>
      <c r="D2143" s="460"/>
      <c r="E2143" s="460"/>
      <c r="F2143" s="460"/>
      <c r="G2143" s="460"/>
      <c r="H2143" s="460"/>
      <c r="I2143" s="1259"/>
    </row>
    <row r="2144" spans="1:9" ht="14.55" customHeight="1" x14ac:dyDescent="0.3">
      <c r="A2144" s="1258" t="s">
        <v>330</v>
      </c>
      <c r="B2144" s="453" t="e">
        <f>SUM(B2130:B2139)</f>
        <v>#N/A</v>
      </c>
      <c r="C2144" s="460" t="s">
        <v>222</v>
      </c>
      <c r="D2144" s="460"/>
      <c r="E2144" s="460"/>
      <c r="F2144" s="460"/>
      <c r="G2144" s="460"/>
      <c r="H2144" s="460"/>
      <c r="I2144" s="1259"/>
    </row>
    <row r="2145" spans="1:9" ht="14.55" customHeight="1" x14ac:dyDescent="0.3">
      <c r="A2145" s="1258" t="s">
        <v>331</v>
      </c>
      <c r="B2145" s="725"/>
      <c r="C2145" s="460" t="s">
        <v>222</v>
      </c>
      <c r="D2145" s="460"/>
      <c r="E2145" s="460"/>
      <c r="F2145" s="460"/>
      <c r="G2145" s="460"/>
      <c r="H2145" s="460"/>
      <c r="I2145" s="1259"/>
    </row>
    <row r="2146" spans="1:9" ht="15" customHeight="1" thickBot="1" x14ac:dyDescent="0.35">
      <c r="A2146" s="1258"/>
      <c r="B2146" s="473"/>
      <c r="C2146" s="459"/>
      <c r="D2146" s="460"/>
      <c r="E2146" s="460"/>
      <c r="F2146" s="460"/>
      <c r="G2146" s="460"/>
      <c r="H2146" s="460"/>
      <c r="I2146" s="1259"/>
    </row>
    <row r="2147" spans="1:9" ht="15" customHeight="1" thickBot="1" x14ac:dyDescent="0.35">
      <c r="A2147" s="474"/>
      <c r="B2147" s="1718" t="s">
        <v>332</v>
      </c>
      <c r="C2147" s="1718"/>
      <c r="D2147" s="1718"/>
      <c r="E2147" s="1718"/>
      <c r="F2147" s="1718"/>
      <c r="G2147" s="475"/>
      <c r="H2147" s="475"/>
      <c r="I2147" s="476"/>
    </row>
    <row r="2148" spans="1:9" ht="14.55" customHeight="1" x14ac:dyDescent="0.3">
      <c r="A2148" s="1264"/>
      <c r="B2148" s="1719" t="s">
        <v>333</v>
      </c>
      <c r="C2148" s="1381" t="s">
        <v>59</v>
      </c>
      <c r="D2148" s="1719" t="s">
        <v>114</v>
      </c>
      <c r="E2148" s="1719" t="s">
        <v>334</v>
      </c>
      <c r="F2148" s="1719" t="s">
        <v>292</v>
      </c>
      <c r="G2148" s="1719" t="s">
        <v>335</v>
      </c>
      <c r="H2148" s="1381" t="s">
        <v>184</v>
      </c>
      <c r="I2148" s="1346" t="s">
        <v>336</v>
      </c>
    </row>
    <row r="2149" spans="1:9" ht="14.55" customHeight="1" x14ac:dyDescent="0.3">
      <c r="A2149" s="1264"/>
      <c r="B2149" s="1720"/>
      <c r="C2149" s="1442" t="s">
        <v>214</v>
      </c>
      <c r="D2149" s="1720"/>
      <c r="E2149" s="1720"/>
      <c r="F2149" s="1720"/>
      <c r="G2149" s="1720"/>
      <c r="H2149" s="1442" t="s">
        <v>222</v>
      </c>
      <c r="I2149" s="1443" t="s">
        <v>228</v>
      </c>
    </row>
    <row r="2150" spans="1:9" ht="14.55" customHeight="1" x14ac:dyDescent="0.3">
      <c r="A2150" s="1264"/>
      <c r="B2150" s="1382" t="s">
        <v>337</v>
      </c>
      <c r="C2150" s="728"/>
      <c r="D2150" s="729"/>
      <c r="E2150" s="730"/>
      <c r="F2150" s="730"/>
      <c r="G2150" s="730"/>
      <c r="H2150" s="1465" t="str">
        <f>IFERROR(VLOOKUP($C2150&amp;"F"&amp;$D2150,'Flanges Chart'!$1:$1048576,MATCH($E2150&amp;"."&amp;H$123,'Flanges Chart'!$1:$1,0),0),"")</f>
        <v/>
      </c>
      <c r="I2150" s="1466" t="str">
        <f>IFERROR(VLOOKUP($C2150&amp;"F"&amp;$D2150,'Flanges Chart'!$1:$1048576,MATCH($E2150&amp;"."&amp;I$123,'Flanges Chart'!$1:$1,0),0),"")</f>
        <v/>
      </c>
    </row>
    <row r="2151" spans="1:9" ht="14.55" customHeight="1" x14ac:dyDescent="0.3">
      <c r="A2151" s="1264"/>
      <c r="B2151" s="1467" t="s">
        <v>340</v>
      </c>
      <c r="C2151" s="731"/>
      <c r="D2151" s="729"/>
      <c r="E2151" s="729"/>
      <c r="F2151" s="729"/>
      <c r="G2151" s="729"/>
      <c r="H2151" s="1465" t="str">
        <f>IFERROR(VLOOKUP($C2151&amp;"F"&amp;$D2151,'Flanges Chart'!$1:$1048576,MATCH($E2151&amp;"."&amp;H$123,'Flanges Chart'!$1:$1,0),0),"")</f>
        <v/>
      </c>
      <c r="I2151" s="1466" t="str">
        <f>IFERROR(VLOOKUP($C2151&amp;"F"&amp;$D2151,'Flanges Chart'!$1:$1048576,MATCH($E2151&amp;"."&amp;I$123,'Flanges Chart'!$1:$1,0),0),"")</f>
        <v/>
      </c>
    </row>
    <row r="2152" spans="1:9" ht="14.55" customHeight="1" x14ac:dyDescent="0.3">
      <c r="A2152" s="1264"/>
      <c r="B2152" s="1467" t="s">
        <v>342</v>
      </c>
      <c r="C2152" s="731"/>
      <c r="D2152" s="729"/>
      <c r="E2152" s="729"/>
      <c r="F2152" s="729"/>
      <c r="G2152" s="729"/>
      <c r="H2152" s="1465" t="str">
        <f>IFERROR(VLOOKUP($C2152&amp;"F"&amp;$D2152,'Flanges Chart'!$1:$1048576,MATCH($E2152&amp;"."&amp;H$123,'Flanges Chart'!$1:$1,0),0),"")</f>
        <v/>
      </c>
      <c r="I2152" s="1466" t="str">
        <f>IFERROR(VLOOKUP($C2152&amp;"F"&amp;$D2152,'Flanges Chart'!$1:$1048576,MATCH($E2152&amp;"."&amp;I$123,'Flanges Chart'!$1:$1,0),0),"")</f>
        <v/>
      </c>
    </row>
    <row r="2153" spans="1:9" ht="14.55" customHeight="1" x14ac:dyDescent="0.3">
      <c r="A2153" s="1264"/>
      <c r="B2153" s="1467" t="s">
        <v>344</v>
      </c>
      <c r="C2153" s="731"/>
      <c r="D2153" s="729"/>
      <c r="E2153" s="729"/>
      <c r="F2153" s="729"/>
      <c r="G2153" s="729"/>
      <c r="H2153" s="1465" t="str">
        <f>IFERROR(VLOOKUP($C2153&amp;"F"&amp;$D2153,'Flanges Chart'!$1:$1048576,MATCH($E2153&amp;"."&amp;H$123,'Flanges Chart'!$1:$1,0),0),"")</f>
        <v/>
      </c>
      <c r="I2153" s="1466" t="str">
        <f>IFERROR(VLOOKUP($C2153&amp;"F"&amp;$D2153,'Flanges Chart'!$1:$1048576,MATCH($E2153&amp;"."&amp;I$123,'Flanges Chart'!$1:$1,0),0),"")</f>
        <v/>
      </c>
    </row>
    <row r="2154" spans="1:9" ht="14.55" customHeight="1" x14ac:dyDescent="0.3">
      <c r="A2154" s="1264"/>
      <c r="B2154" s="1467" t="s">
        <v>347</v>
      </c>
      <c r="C2154" s="731"/>
      <c r="D2154" s="729"/>
      <c r="E2154" s="729"/>
      <c r="F2154" s="729"/>
      <c r="G2154" s="729"/>
      <c r="H2154" s="1465" t="str">
        <f>IFERROR(VLOOKUP($C2154&amp;"F"&amp;$D2154,'Flanges Chart'!$1:$1048576,MATCH($E2154&amp;"."&amp;H$123,'Flanges Chart'!$1:$1,0),0),"")</f>
        <v/>
      </c>
      <c r="I2154" s="1466" t="str">
        <f>IFERROR(VLOOKUP($C2154&amp;"F"&amp;$D2154,'Flanges Chart'!$1:$1048576,MATCH($E2154&amp;"."&amp;I$123,'Flanges Chart'!$1:$1,0),0),"")</f>
        <v/>
      </c>
    </row>
    <row r="2155" spans="1:9" ht="14.55" customHeight="1" x14ac:dyDescent="0.3">
      <c r="A2155" s="1264"/>
      <c r="B2155" s="1467" t="s">
        <v>349</v>
      </c>
      <c r="C2155" s="731"/>
      <c r="D2155" s="729"/>
      <c r="E2155" s="729"/>
      <c r="F2155" s="729"/>
      <c r="G2155" s="729"/>
      <c r="H2155" s="1465" t="str">
        <f>IFERROR(VLOOKUP($C2155&amp;"F"&amp;$D2155,'Flanges Chart'!$1:$1048576,MATCH($E2155&amp;"."&amp;H$123,'Flanges Chart'!$1:$1,0),0),"")</f>
        <v/>
      </c>
      <c r="I2155" s="1466" t="str">
        <f>IFERROR(VLOOKUP($C2155&amp;"F"&amp;$D2155,'Flanges Chart'!$1:$1048576,MATCH($E2155&amp;"."&amp;I$123,'Flanges Chart'!$1:$1,0),0),"")</f>
        <v/>
      </c>
    </row>
    <row r="2156" spans="1:9" ht="14.55" customHeight="1" x14ac:dyDescent="0.3">
      <c r="A2156" s="1264"/>
      <c r="B2156" s="1467" t="s">
        <v>350</v>
      </c>
      <c r="C2156" s="731"/>
      <c r="D2156" s="729"/>
      <c r="E2156" s="729"/>
      <c r="F2156" s="729"/>
      <c r="G2156" s="729"/>
      <c r="H2156" s="1465" t="str">
        <f>IFERROR(VLOOKUP($C2156&amp;"F"&amp;$D2156,'Flanges Chart'!$1:$1048576,MATCH($E2156&amp;"."&amp;H$123,'Flanges Chart'!$1:$1,0),0),"")</f>
        <v/>
      </c>
      <c r="I2156" s="1466" t="str">
        <f>IFERROR(VLOOKUP($C2156&amp;"F"&amp;$D2156,'Flanges Chart'!$1:$1048576,MATCH($E2156&amp;"."&amp;I$123,'Flanges Chart'!$1:$1,0),0),"")</f>
        <v/>
      </c>
    </row>
    <row r="2157" spans="1:9" ht="14.55" customHeight="1" x14ac:dyDescent="0.3">
      <c r="A2157" s="1264"/>
      <c r="B2157" s="1467" t="s">
        <v>351</v>
      </c>
      <c r="C2157" s="731"/>
      <c r="D2157" s="729"/>
      <c r="E2157" s="729"/>
      <c r="F2157" s="729"/>
      <c r="G2157" s="729"/>
      <c r="H2157" s="1465" t="str">
        <f>IFERROR(VLOOKUP($C2157&amp;"F"&amp;$D2157,'Flanges Chart'!$1:$1048576,MATCH($E2157&amp;"."&amp;H$123,'Flanges Chart'!$1:$1,0),0),"")</f>
        <v/>
      </c>
      <c r="I2157" s="1466" t="str">
        <f>IFERROR(VLOOKUP($C2157&amp;"F"&amp;$D2157,'Flanges Chart'!$1:$1048576,MATCH($E2157&amp;"."&amp;I$123,'Flanges Chart'!$1:$1,0),0),"")</f>
        <v/>
      </c>
    </row>
    <row r="2158" spans="1:9" ht="14.55" customHeight="1" x14ac:dyDescent="0.3">
      <c r="A2158" s="1264"/>
      <c r="B2158" s="1467" t="s">
        <v>352</v>
      </c>
      <c r="C2158" s="731"/>
      <c r="D2158" s="729"/>
      <c r="E2158" s="729"/>
      <c r="F2158" s="729"/>
      <c r="G2158" s="729"/>
      <c r="H2158" s="1465" t="str">
        <f>IFERROR(VLOOKUP($C2158&amp;"F"&amp;$D2158,'Flanges Chart'!$1:$1048576,MATCH($E2158&amp;"."&amp;H$123,'Flanges Chart'!$1:$1,0),0),"")</f>
        <v/>
      </c>
      <c r="I2158" s="1466" t="str">
        <f>IFERROR(VLOOKUP($C2158&amp;"F"&amp;$D2158,'Flanges Chart'!$1:$1048576,MATCH($E2158&amp;"."&amp;I$123,'Flanges Chart'!$1:$1,0),0),"")</f>
        <v/>
      </c>
    </row>
    <row r="2159" spans="1:9" ht="14.55" customHeight="1" x14ac:dyDescent="0.3">
      <c r="A2159" s="1264"/>
      <c r="B2159" s="1467" t="s">
        <v>353</v>
      </c>
      <c r="C2159" s="731"/>
      <c r="D2159" s="729"/>
      <c r="E2159" s="729"/>
      <c r="F2159" s="729"/>
      <c r="G2159" s="729"/>
      <c r="H2159" s="1465" t="str">
        <f>IFERROR(VLOOKUP($C2159&amp;"F"&amp;$D2159,'Flanges Chart'!$1:$1048576,MATCH($E2159&amp;"."&amp;H$123,'Flanges Chart'!$1:$1,0),0),"")</f>
        <v/>
      </c>
      <c r="I2159" s="1466" t="str">
        <f>IFERROR(VLOOKUP($C2159&amp;"F"&amp;$D2159,'Flanges Chart'!$1:$1048576,MATCH($E2159&amp;"."&amp;I$123,'Flanges Chart'!$1:$1,0),0),"")</f>
        <v/>
      </c>
    </row>
    <row r="2160" spans="1:9" ht="14.55" customHeight="1" x14ac:dyDescent="0.3">
      <c r="A2160" s="1264"/>
      <c r="B2160" s="1467" t="s">
        <v>354</v>
      </c>
      <c r="C2160" s="731"/>
      <c r="D2160" s="729"/>
      <c r="E2160" s="729"/>
      <c r="F2160" s="729"/>
      <c r="G2160" s="729"/>
      <c r="H2160" s="1465" t="str">
        <f>IFERROR(VLOOKUP($C2160&amp;"F"&amp;$D2160,'Flanges Chart'!$1:$1048576,MATCH($E2160&amp;"."&amp;H$123,'Flanges Chart'!$1:$1,0),0),"")</f>
        <v/>
      </c>
      <c r="I2160" s="1466" t="str">
        <f>IFERROR(VLOOKUP($C2160&amp;"F"&amp;$D2160,'Flanges Chart'!$1:$1048576,MATCH($E2160&amp;"."&amp;I$123,'Flanges Chart'!$1:$1,0),0),"")</f>
        <v/>
      </c>
    </row>
    <row r="2161" spans="1:13" ht="15" customHeight="1" thickBot="1" x14ac:dyDescent="0.35">
      <c r="A2161" s="1264"/>
      <c r="B2161" s="1468" t="s">
        <v>355</v>
      </c>
      <c r="C2161" s="732"/>
      <c r="D2161" s="733"/>
      <c r="E2161" s="733"/>
      <c r="F2161" s="733"/>
      <c r="G2161" s="733"/>
      <c r="H2161" s="1469" t="s">
        <v>356</v>
      </c>
      <c r="I2161" s="1470" t="str">
        <f>IFERROR(VLOOKUP($C2161&amp;"F"&amp;$D2161,'Flanges Chart'!$1:$1048576,MATCH($E2161&amp;"."&amp;I$123,'Flanges Chart'!$1:$1,0),0),"")</f>
        <v/>
      </c>
    </row>
    <row r="2162" spans="1:13" s="496" customFormat="1" ht="18.600000000000001" thickBot="1" x14ac:dyDescent="0.35">
      <c r="A2162" s="493" t="str">
        <f>"POS."&amp;K2162&amp;" "&amp;VLOOKUP(K2162,'Equip&amp;Mach List'!$1:$1048576,2,0)&amp;" "&amp;VLOOKUP(K2162,'Equip&amp;Mach List'!$1:$1048576,3,0)</f>
        <v xml:space="preserve">POS.17  </v>
      </c>
      <c r="B2162" s="511"/>
      <c r="C2162" s="494"/>
      <c r="D2162" s="495"/>
      <c r="E2162" s="495"/>
      <c r="F2162" s="497"/>
      <c r="G2162" s="495"/>
      <c r="H2162" s="495"/>
      <c r="I2162" s="1255" t="str">
        <f>IFERROR("Weight Calc./Selected = "&amp;ROUND(B2279,1)&amp;"/"&amp;B2280&amp;" kg - Øi ="&amp;IF(B2186=0,F2186,B2186)&amp;" mm"&amp;"T/T ="&amp;IF(B2187=0,F2187,B2187)&amp;" mm - Material "&amp;B2173&amp;"        ","")</f>
        <v/>
      </c>
      <c r="K2162" s="496">
        <v>17</v>
      </c>
      <c r="M2162" s="1254"/>
    </row>
    <row r="2163" spans="1:13" ht="14.55" customHeight="1" x14ac:dyDescent="0.3">
      <c r="A2163" s="1256"/>
      <c r="B2163" s="451"/>
      <c r="C2163" s="451"/>
      <c r="D2163" s="451"/>
      <c r="E2163" s="451"/>
      <c r="F2163" s="451"/>
      <c r="G2163" s="451"/>
      <c r="H2163" s="451"/>
      <c r="I2163" s="1257"/>
      <c r="K2163" s="477" t="s">
        <v>166</v>
      </c>
      <c r="L2163" s="477" t="str">
        <f>K2162&amp;"."&amp;K2163</f>
        <v>17.Design Code</v>
      </c>
      <c r="M2163" s="1252" t="str">
        <f>A2164&amp;" "&amp;B2164</f>
        <v xml:space="preserve">ASME VIII </v>
      </c>
    </row>
    <row r="2164" spans="1:13" ht="14.55" customHeight="1" x14ac:dyDescent="0.3">
      <c r="A2164" s="1258" t="s">
        <v>167</v>
      </c>
      <c r="B2164" s="718"/>
      <c r="C2164" s="459"/>
      <c r="D2164" s="460"/>
      <c r="E2164" s="460"/>
      <c r="F2164" s="460"/>
      <c r="G2164" s="460"/>
      <c r="H2164" s="460"/>
      <c r="I2164" s="1259"/>
      <c r="K2164" s="477" t="s">
        <v>169</v>
      </c>
      <c r="L2164" s="477" t="str">
        <f>K2162&amp;"."&amp;K2164</f>
        <v>17.Orientation</v>
      </c>
      <c r="M2164" s="1252">
        <f>B2165</f>
        <v>0</v>
      </c>
    </row>
    <row r="2165" spans="1:13" ht="14.55" customHeight="1" x14ac:dyDescent="0.3">
      <c r="A2165" s="1258" t="s">
        <v>170</v>
      </c>
      <c r="B2165" s="718"/>
      <c r="C2165" s="459"/>
      <c r="D2165" s="460"/>
      <c r="E2165" s="460"/>
      <c r="F2165" s="461"/>
      <c r="G2165" s="460"/>
      <c r="H2165" s="460"/>
      <c r="I2165" s="1259"/>
      <c r="K2165" s="477" t="s">
        <v>172</v>
      </c>
      <c r="L2165" s="477" t="str">
        <f>K2162&amp;"."&amp;K2165</f>
        <v>17.Design Temperature</v>
      </c>
      <c r="M2165" s="1252">
        <f>D2168</f>
        <v>0</v>
      </c>
    </row>
    <row r="2166" spans="1:13" ht="14.55" customHeight="1" x14ac:dyDescent="0.3">
      <c r="A2166" s="1258"/>
      <c r="B2166" s="459"/>
      <c r="C2166" s="459"/>
      <c r="D2166" s="460"/>
      <c r="E2166" s="460"/>
      <c r="F2166" s="462"/>
      <c r="G2166" s="460"/>
      <c r="H2166" s="460"/>
      <c r="I2166" s="1259"/>
      <c r="K2166" s="477" t="s">
        <v>173</v>
      </c>
      <c r="L2166" s="477" t="str">
        <f>K2162&amp;"."&amp;K2166</f>
        <v>17.Design Pressure</v>
      </c>
      <c r="M2166" s="1252">
        <f>D2169</f>
        <v>0</v>
      </c>
    </row>
    <row r="2167" spans="1:13" ht="14.55" customHeight="1" x14ac:dyDescent="0.3">
      <c r="A2167" s="1260" t="s">
        <v>174</v>
      </c>
      <c r="B2167" s="459"/>
      <c r="C2167" s="459"/>
      <c r="D2167" s="460"/>
      <c r="E2167" s="460"/>
      <c r="F2167" s="462"/>
      <c r="G2167" s="460"/>
      <c r="H2167" s="460"/>
      <c r="I2167" s="1259"/>
      <c r="K2167" s="477" t="s">
        <v>175</v>
      </c>
      <c r="L2167" s="477" t="str">
        <f>K2162&amp;"."&amp;K2167</f>
        <v>17.Material</v>
      </c>
      <c r="M2167" s="1252">
        <f>B2173</f>
        <v>0</v>
      </c>
    </row>
    <row r="2168" spans="1:13" ht="14.55" customHeight="1" x14ac:dyDescent="0.3">
      <c r="A2168" s="1258" t="s">
        <v>176</v>
      </c>
      <c r="B2168" s="719"/>
      <c r="C2168" s="720"/>
      <c r="D2168" s="464">
        <f>IF(C2168="°C",B2168,0)+IF(C2168="°F",(B2168-32)*5/9,0)</f>
        <v>0</v>
      </c>
      <c r="E2168" s="460" t="s">
        <v>177</v>
      </c>
      <c r="F2168" s="462"/>
      <c r="G2168" s="460"/>
      <c r="H2168" s="460"/>
      <c r="I2168" s="1259"/>
      <c r="K2168" s="477" t="s">
        <v>178</v>
      </c>
      <c r="L2168" s="477" t="str">
        <f>K2162&amp;"."&amp;K2168</f>
        <v>17.Inside Diameter</v>
      </c>
      <c r="M2168" s="1252">
        <f>IF(B2186=0,F2186,B2186)</f>
        <v>0</v>
      </c>
    </row>
    <row r="2169" spans="1:13" ht="14.55" customHeight="1" x14ac:dyDescent="0.3">
      <c r="A2169" s="1258" t="s">
        <v>179</v>
      </c>
      <c r="B2169" s="721"/>
      <c r="C2169" s="720"/>
      <c r="D2169" s="452">
        <f>IF(C2169="barg",B2169,0)+IF(C2169="psig",B2169*List!$AV$4,0)+IF(C2169="MPa",B2169*List!$AV$5,0)+IF(C2169="N/mm2",B2169*List!$AV$6,0)</f>
        <v>0</v>
      </c>
      <c r="E2169" s="460" t="s">
        <v>180</v>
      </c>
      <c r="F2169" s="460"/>
      <c r="G2169" s="460"/>
      <c r="H2169" s="460"/>
      <c r="I2169" s="1259"/>
      <c r="K2169" s="477" t="s">
        <v>181</v>
      </c>
      <c r="L2169" s="477" t="str">
        <f>K2162&amp;"."&amp;K2169</f>
        <v>17.Tan / Tan</v>
      </c>
      <c r="M2169" s="1252">
        <f>IF(B2188=0,F2188,B2188)</f>
        <v>0</v>
      </c>
    </row>
    <row r="2170" spans="1:13" ht="14.55" customHeight="1" x14ac:dyDescent="0.3">
      <c r="A2170" s="1258" t="s">
        <v>182</v>
      </c>
      <c r="B2170" s="721"/>
      <c r="C2170" s="720"/>
      <c r="D2170" s="452">
        <f>IF(C2170="barg",B2170,0)+IF(C2170="psig",B2170*List!$AV$4,0)+IF(C2170="MPa",B2170*List!$AV$5,0)+IF(C2170="N/mm2",B2170*List!$AV$6,0)</f>
        <v>0</v>
      </c>
      <c r="E2170" s="460" t="s">
        <v>180</v>
      </c>
      <c r="F2170" s="460"/>
      <c r="G2170" s="465"/>
      <c r="H2170" s="460"/>
      <c r="I2170" s="1259"/>
      <c r="K2170" s="477" t="s">
        <v>183</v>
      </c>
      <c r="L2170" s="477" t="str">
        <f>K2162&amp;"."&amp;K2170</f>
        <v>17.Thickness</v>
      </c>
      <c r="M2170" s="1252" t="e">
        <f>IF(B2227=0,F2231,B2227)</f>
        <v>#N/A</v>
      </c>
    </row>
    <row r="2171" spans="1:13" ht="14.55" customHeight="1" x14ac:dyDescent="0.3">
      <c r="A2171" s="1258"/>
      <c r="B2171" s="459"/>
      <c r="C2171" s="459"/>
      <c r="D2171" s="460"/>
      <c r="E2171" s="460"/>
      <c r="F2171" s="460"/>
      <c r="G2171" s="465"/>
      <c r="H2171" s="460"/>
      <c r="I2171" s="1259"/>
      <c r="K2171" s="477" t="s">
        <v>184</v>
      </c>
      <c r="L2171" s="477" t="str">
        <f>K2162&amp;"."&amp;K2171</f>
        <v>17.Unit Weight</v>
      </c>
      <c r="M2171" s="1252">
        <f>B2280</f>
        <v>0</v>
      </c>
    </row>
    <row r="2172" spans="1:13" ht="14.55" customHeight="1" x14ac:dyDescent="0.3">
      <c r="A2172" s="1260" t="s">
        <v>185</v>
      </c>
      <c r="B2172" s="459" t="s">
        <v>186</v>
      </c>
      <c r="C2172" s="459"/>
      <c r="D2172" s="460"/>
      <c r="E2172" s="460"/>
      <c r="F2172" s="460" t="s">
        <v>187</v>
      </c>
      <c r="G2172" s="465"/>
      <c r="H2172" s="460"/>
      <c r="I2172" s="1259"/>
      <c r="K2172" s="478" t="s">
        <v>188</v>
      </c>
      <c r="L2172" s="477" t="str">
        <f>K2162&amp;"."&amp;K2172</f>
        <v>17.Unit External Surface</v>
      </c>
      <c r="M2172" s="1252" t="e">
        <f>B2276</f>
        <v>#N/A</v>
      </c>
    </row>
    <row r="2173" spans="1:13" ht="14.55" customHeight="1" x14ac:dyDescent="0.3">
      <c r="A2173" s="1258" t="s">
        <v>189</v>
      </c>
      <c r="B2173" s="1716"/>
      <c r="C2173" s="1717"/>
      <c r="D2173" s="460"/>
      <c r="E2173" s="461"/>
      <c r="F2173" s="1716"/>
      <c r="G2173" s="1717"/>
      <c r="H2173" s="460"/>
      <c r="I2173" s="1259"/>
      <c r="K2173" s="477" t="s">
        <v>191</v>
      </c>
      <c r="L2173" s="477" t="str">
        <f>K2162&amp;"."&amp;K2173</f>
        <v>17.M1 DN</v>
      </c>
      <c r="M2173" s="1252">
        <f>C2294</f>
        <v>0</v>
      </c>
    </row>
    <row r="2174" spans="1:13" ht="14.55" customHeight="1" x14ac:dyDescent="0.3">
      <c r="A2174" s="1258" t="s">
        <v>192</v>
      </c>
      <c r="B2174" s="1716"/>
      <c r="C2174" s="1717"/>
      <c r="D2174" s="460"/>
      <c r="E2174" s="461"/>
      <c r="F2174" s="1716"/>
      <c r="G2174" s="1717"/>
      <c r="H2174" s="460"/>
      <c r="I2174" s="1259"/>
      <c r="K2174" s="477" t="s">
        <v>193</v>
      </c>
      <c r="L2174" s="477" t="str">
        <f>K2162&amp;"."&amp;K2174</f>
        <v>17.M1 Rating</v>
      </c>
      <c r="M2174" s="1252">
        <f>D2294</f>
        <v>0</v>
      </c>
    </row>
    <row r="2175" spans="1:13" ht="14.55" customHeight="1" x14ac:dyDescent="0.3">
      <c r="A2175" s="1258"/>
      <c r="B2175" s="466"/>
      <c r="C2175" s="466"/>
      <c r="D2175" s="460"/>
      <c r="E2175" s="460"/>
      <c r="F2175" s="460"/>
      <c r="G2175" s="460"/>
      <c r="H2175" s="460"/>
      <c r="I2175" s="1259"/>
      <c r="K2175" s="477" t="s">
        <v>194</v>
      </c>
      <c r="L2175" s="477" t="str">
        <f>K2162&amp;"."&amp;K2175</f>
        <v>17.M1 Type</v>
      </c>
      <c r="M2175" s="1252">
        <f>E2294</f>
        <v>0</v>
      </c>
    </row>
    <row r="2176" spans="1:13" ht="14.55" customHeight="1" x14ac:dyDescent="0.3">
      <c r="A2176" s="1258" t="s">
        <v>195</v>
      </c>
      <c r="B2176" s="460"/>
      <c r="C2176" s="460"/>
      <c r="D2176" s="460"/>
      <c r="E2176" s="460"/>
      <c r="F2176" s="460"/>
      <c r="G2176" s="460"/>
      <c r="H2176" s="460"/>
      <c r="I2176" s="1259"/>
      <c r="K2176" s="477" t="s">
        <v>196</v>
      </c>
      <c r="L2176" s="477" t="str">
        <f>K2162&amp;"."&amp;K2176</f>
        <v>17.M1 Quantity</v>
      </c>
      <c r="M2176" s="1252">
        <f>F2294</f>
        <v>0</v>
      </c>
    </row>
    <row r="2177" spans="1:13" ht="14.55" customHeight="1" x14ac:dyDescent="0.3">
      <c r="A2177" s="1258" t="s">
        <v>197</v>
      </c>
      <c r="B2177" s="464" t="e">
        <f>$D2168*(VLOOKUP($B2173,'ASME II Tab 1A'!$1:$1048576,MATCH($D2168,'ASME II Tab 1A'!$6:$6,1)+1,0)-VLOOKUP($B2173,'ASME II Tab 1A'!$1:$1048576,MATCH($D2168,'ASME II Tab 1A'!$6:$6,1),0))/(INDEX('ASME II Tab 1A'!$6:$6,MATCH($D2168,'ASME II Tab 1A'!$6:$6,1)+1)-INDEX('ASME II Tab 1A'!$6:$6,MATCH($D2168,'ASME II Tab 1A'!$6:$6,1)))+VLOOKUP($B2173,'ASME II Tab 1A'!$1:$1048576,MATCH($D2168,'ASME II Tab 1A'!$6:$6,1)+1,0)-INDEX('ASME II Tab 1A'!$6:$6,MATCH($D2168,'ASME II Tab 1A'!$6:$6,1)+1)*(VLOOKUP($B2173,'ASME II Tab 1A'!$1:$1048576,MATCH($D2168,'ASME II Tab 1A'!$6:$6,1)+1,0)-VLOOKUP($B2173,'ASME II Tab 1A'!$1:$1048576,MATCH($D2168,'ASME II Tab 1A'!$6:$6,1),0))/(INDEX('ASME II Tab 1A'!$6:$6,MATCH($D2168,'ASME II Tab 1A'!$6:$6,1)+1)-INDEX('ASME II Tab 1A'!$6:$6,MATCH($D2168,'ASME II Tab 1A'!$6:$6,1)))</f>
        <v>#N/A</v>
      </c>
      <c r="C2177" s="460" t="s">
        <v>198</v>
      </c>
      <c r="D2177" s="460"/>
      <c r="E2177" s="467"/>
      <c r="F2177" s="460" t="e">
        <f>$D2168*(VLOOKUP($F2173,'ASME II Tab 1A'!$1:$1048576,MATCH($D2168,'ASME II Tab 1A'!$6:$6,1)+1,0)-VLOOKUP($F2173,'ASME II Tab 1A'!$1:$1048576,MATCH($D2168,'ASME II Tab 1A'!$6:$6,1),0))/(INDEX('ASME II Tab 1A'!$6:$6,MATCH($D2168,'ASME II Tab 1A'!$6:$6,1)+1)-INDEX('ASME II Tab 1A'!$6:$6,MATCH($D2168,'ASME II Tab 1A'!$6:$6,1)))+VLOOKUP($F2173,'ASME II Tab 1A'!$1:$1048576,MATCH($D2168,'ASME II Tab 1A'!$6:$6,1)+1,0)-INDEX('ASME II Tab 1A'!$6:$6,MATCH($D2168,'ASME II Tab 1A'!$6:$6,1)+1)*(VLOOKUP($F2173,'ASME II Tab 1A'!$1:$1048576,MATCH($D2168,'ASME II Tab 1A'!$6:$6,1)+1,0)-VLOOKUP($F2173,'ASME II Tab 1A'!$1:$1048576,MATCH($D2168,'ASME II Tab 1A'!$6:$6,1),0))/(INDEX('ASME II Tab 1A'!$6:$6,MATCH($D2168,'ASME II Tab 1A'!$6:$6,1)+1)-INDEX('ASME II Tab 1A'!$6:$6,MATCH($D2168,'ASME II Tab 1A'!$6:$6,1)))</f>
        <v>#N/A</v>
      </c>
      <c r="G2177" s="460" t="s">
        <v>198</v>
      </c>
      <c r="H2177" s="460"/>
      <c r="I2177" s="1259"/>
      <c r="K2177" s="477" t="s">
        <v>199</v>
      </c>
      <c r="L2177" s="477" t="str">
        <f>K2162&amp;"."&amp;K2177</f>
        <v>17.M2 DN</v>
      </c>
      <c r="M2177" s="1252">
        <f>C2295</f>
        <v>0</v>
      </c>
    </row>
    <row r="2178" spans="1:13" ht="14.55" customHeight="1" x14ac:dyDescent="0.3">
      <c r="A2178" s="1258" t="s">
        <v>200</v>
      </c>
      <c r="B2178" s="464" t="e">
        <f>$D2168*(VLOOKUP($B2174,'ASME II Tab 1A'!$1:$1048576,MATCH($D2168,'ASME II Tab 1A'!$6:$6,1)+1,0)-VLOOKUP($B2174,'ASME II Tab 1A'!$1:$1048576,MATCH($D2168,'ASME II Tab 1A'!$6:$6,1),0))/(INDEX('ASME II Tab 1A'!$6:$6,MATCH($D2168,'ASME II Tab 1A'!$6:$6,1)+1)-INDEX('ASME II Tab 1A'!$6:$6,MATCH($D2168,'ASME II Tab 1A'!$6:$6,1)))+VLOOKUP($B2174,'ASME II Tab 1A'!$1:$1048576,MATCH($D2168,'ASME II Tab 1A'!$6:$6,1)+1,0)-INDEX('ASME II Tab 1A'!$6:$6,MATCH($D2168,'ASME II Tab 1A'!$6:$6,1)+1)*(VLOOKUP($B2174,'ASME II Tab 1A'!$1:$1048576,MATCH($D2168,'ASME II Tab 1A'!$6:$6,1)+1,0)-VLOOKUP($B2174,'ASME II Tab 1A'!$1:$1048576,MATCH($D2168,'ASME II Tab 1A'!$6:$6,1),0))/(INDEX('ASME II Tab 1A'!$6:$6,MATCH($D2168,'ASME II Tab 1A'!$6:$6,1)+1)-INDEX('ASME II Tab 1A'!$6:$6,MATCH($D2168,'ASME II Tab 1A'!$6:$6,1)))</f>
        <v>#N/A</v>
      </c>
      <c r="C2178" s="460" t="s">
        <v>198</v>
      </c>
      <c r="D2178" s="460"/>
      <c r="E2178" s="460"/>
      <c r="F2178" s="460" t="e">
        <f>$D2168*(VLOOKUP($F2174,'ASME II Tab 1A'!$1:$1048576,MATCH($D2168,'ASME II Tab 1A'!$6:$6,1)+1,0)-VLOOKUP($F2174,'ASME II Tab 1A'!$1:$1048576,MATCH($D2168,'ASME II Tab 1A'!$6:$6,1),0))/(INDEX('ASME II Tab 1A'!$6:$6,MATCH($D2168,'ASME II Tab 1A'!$6:$6,1)+1)-INDEX('ASME II Tab 1A'!$6:$6,MATCH($D2168,'ASME II Tab 1A'!$6:$6,1)))+VLOOKUP($F2174,'ASME II Tab 1A'!$1:$1048576,MATCH($D2168,'ASME II Tab 1A'!$6:$6,1)+1,0)-INDEX('ASME II Tab 1A'!$6:$6,MATCH($D2168,'ASME II Tab 1A'!$6:$6,1)+1)*(VLOOKUP($F2174,'ASME II Tab 1A'!$1:$1048576,MATCH($D2168,'ASME II Tab 1A'!$6:$6,1)+1,0)-VLOOKUP($F2174,'ASME II Tab 1A'!$1:$1048576,MATCH($D2168,'ASME II Tab 1A'!$6:$6,1),0))/(INDEX('ASME II Tab 1A'!$6:$6,MATCH($D2168,'ASME II Tab 1A'!$6:$6,1)+1)-INDEX('ASME II Tab 1A'!$6:$6,MATCH($D2168,'ASME II Tab 1A'!$6:$6,1)))</f>
        <v>#N/A</v>
      </c>
      <c r="G2178" s="460" t="s">
        <v>198</v>
      </c>
      <c r="H2178" s="460"/>
      <c r="I2178" s="1259"/>
      <c r="K2178" s="477" t="s">
        <v>201</v>
      </c>
      <c r="L2178" s="477" t="str">
        <f>K2162&amp;"."&amp;K2178</f>
        <v>17.M2 Rating</v>
      </c>
      <c r="M2178" s="1252">
        <f>D2295</f>
        <v>0</v>
      </c>
    </row>
    <row r="2179" spans="1:13" ht="14.55" customHeight="1" x14ac:dyDescent="0.3">
      <c r="A2179" s="1258" t="s">
        <v>202</v>
      </c>
      <c r="B2179" s="460"/>
      <c r="C2179" s="460"/>
      <c r="D2179" s="460"/>
      <c r="E2179" s="460"/>
      <c r="F2179" s="460"/>
      <c r="G2179" s="460"/>
      <c r="H2179" s="460"/>
      <c r="I2179" s="1259"/>
      <c r="K2179" s="477" t="s">
        <v>203</v>
      </c>
      <c r="L2179" s="477" t="str">
        <f>K2162&amp;"."&amp;K2179</f>
        <v>17.M2 Type</v>
      </c>
      <c r="M2179" s="1252">
        <f>E2295</f>
        <v>0</v>
      </c>
    </row>
    <row r="2180" spans="1:13" ht="14.55" customHeight="1" x14ac:dyDescent="0.3">
      <c r="A2180" s="1258" t="s">
        <v>197</v>
      </c>
      <c r="B2180" s="464" t="e">
        <f>$D2168*(VLOOKUP($B2173,'ASME II Tab 5A'!$1:$1048576,MATCH($D2168,'ASME II Tab 5A'!$5:$5,1)+1,0)-VLOOKUP($B2173,'ASME II Tab 5A'!$1:$1048576,MATCH($D2168,'ASME II Tab 5A'!$5:$5,1),0))/(INDEX('ASME II Tab 5A'!$5:$5,MATCH($D2168,'ASME II Tab 5A'!$5:$5,1)+1)-INDEX('ASME II Tab 5A'!$5:$5,MATCH($D2168,'ASME II Tab 5A'!$5:$5,1)))+VLOOKUP($B2173,'ASME II Tab 5A'!$1:$1048576,MATCH($D2168,'ASME II Tab 5A'!$5:$5,1)+1,0)-INDEX('ASME II Tab 5A'!$5:$5,MATCH($D2168,'ASME II Tab 5A'!$5:$5,1)+1)*(VLOOKUP($B2173,'ASME II Tab 5A'!$1:$1048576,MATCH($D2168,'ASME II Tab 5A'!$5:$5,1)+1,0)-VLOOKUP($B2173,'ASME II Tab 5A'!$1:$1048576,MATCH($D2168,'ASME II Tab 5A'!$5:$5,1),0))/(INDEX('ASME II Tab 5A'!$5:$5,MATCH($D2168,'ASME II Tab 5A'!$5:$5,1)+1)-INDEX('ASME II Tab 5A'!$5:$5,MATCH($D2168,'ASME II Tab 5A'!$5:$5,1)))</f>
        <v>#N/A</v>
      </c>
      <c r="C2180" s="460" t="s">
        <v>198</v>
      </c>
      <c r="D2180" s="460"/>
      <c r="E2180" s="460"/>
      <c r="F2180" s="460" t="e">
        <f>$D2168*(VLOOKUP($F2173,'ASME II Tab 5A'!$1:$1048576,MATCH($D2168,'ASME II Tab 5A'!$5:$5,1)+1,0)-VLOOKUP($F2173,'ASME II Tab 5A'!$1:$1048576,MATCH($D2168,'ASME II Tab 5A'!$5:$5,1),0))/(INDEX('ASME II Tab 5A'!$5:$5,MATCH($D2168,'ASME II Tab 5A'!$5:$5,1)+1)-INDEX('ASME II Tab 5A'!$5:$5,MATCH($D2168,'ASME II Tab 5A'!$5:$5,1)))+VLOOKUP($F2173,'ASME II Tab 5A'!$1:$1048576,MATCH($D2168,'ASME II Tab 5A'!$5:$5,1)+1,0)-INDEX('ASME II Tab 5A'!$5:$5,MATCH($D2168,'ASME II Tab 5A'!$5:$5,1)+1)*(VLOOKUP($F2173,'ASME II Tab 5A'!$1:$1048576,MATCH($D2168,'ASME II Tab 5A'!$5:$5,1)+1,0)-VLOOKUP($F2173,'ASME II Tab 5A'!$1:$1048576,MATCH($D2168,'ASME II Tab 5A'!$5:$5,1),0))/(INDEX('ASME II Tab 5A'!$5:$5,MATCH($D2168,'ASME II Tab 5A'!$5:$5,1)+1)-INDEX('ASME II Tab 5A'!$5:$5,MATCH($D2168,'ASME II Tab 5A'!$5:$5,1)))</f>
        <v>#N/A</v>
      </c>
      <c r="G2180" s="460" t="s">
        <v>198</v>
      </c>
      <c r="H2180" s="460"/>
      <c r="I2180" s="1259"/>
      <c r="K2180" s="477" t="s">
        <v>204</v>
      </c>
      <c r="L2180" s="477" t="str">
        <f>K2162&amp;"."&amp;K2180</f>
        <v>17.M2 Quantity</v>
      </c>
      <c r="M2180" s="1252">
        <f>F2295</f>
        <v>0</v>
      </c>
    </row>
    <row r="2181" spans="1:13" ht="14.55" customHeight="1" x14ac:dyDescent="0.3">
      <c r="A2181" s="1258" t="s">
        <v>200</v>
      </c>
      <c r="B2181" s="464" t="e">
        <f>$D2168*(VLOOKUP($B2174,'ASME II Tab 5A'!$1:$1048576,MATCH($D2168,'ASME II Tab 5A'!$5:$5,1)+1,0)-VLOOKUP($B2174,'ASME II Tab 5A'!$1:$1048576,MATCH($D2168,'ASME II Tab 5A'!$5:$5,1),0))/(INDEX('ASME II Tab 5A'!$5:$5,MATCH($D2168,'ASME II Tab 5A'!$5:$5,1)+1)-INDEX('ASME II Tab 5A'!$5:$5,MATCH($D2168,'ASME II Tab 5A'!$5:$5,1)))+VLOOKUP($B2174,'ASME II Tab 5A'!$1:$1048576,MATCH($D2168,'ASME II Tab 5A'!$5:$5,1)+1,0)-INDEX('ASME II Tab 5A'!$5:$5,MATCH($D2168,'ASME II Tab 5A'!$5:$5,1)+1)*(VLOOKUP($B2174,'ASME II Tab 5A'!$1:$1048576,MATCH($D2168,'ASME II Tab 5A'!$5:$5,1)+1,0)-VLOOKUP($B2174,'ASME II Tab 5A'!$1:$1048576,MATCH($D2168,'ASME II Tab 5A'!$5:$5,1),0))/(INDEX('ASME II Tab 5A'!$5:$5,MATCH($D2168,'ASME II Tab 5A'!$5:$5,1)+1)-INDEX('ASME II Tab 5A'!$5:$5,MATCH($D2168,'ASME II Tab 5A'!$5:$5,1)))</f>
        <v>#N/A</v>
      </c>
      <c r="C2181" s="460" t="s">
        <v>198</v>
      </c>
      <c r="D2181" s="460"/>
      <c r="E2181" s="460"/>
      <c r="F2181" s="460" t="e">
        <f>$D2168*(VLOOKUP($F2174,'ASME II Tab 5A'!$1:$1048576,MATCH($D2168,'ASME II Tab 5A'!$5:$5,1)+1,0)-VLOOKUP($F2174,'ASME II Tab 5A'!$1:$1048576,MATCH($D2168,'ASME II Tab 5A'!$5:$5,1),0))/(INDEX('ASME II Tab 5A'!$5:$5,MATCH($D2168,'ASME II Tab 5A'!$5:$5,1)+1)-INDEX('ASME II Tab 5A'!$5:$5,MATCH($D2168,'ASME II Tab 5A'!$5:$5,1)))+VLOOKUP($F2174,'ASME II Tab 5A'!$1:$1048576,MATCH($D2168,'ASME II Tab 5A'!$5:$5,1)+1,0)-INDEX('ASME II Tab 5A'!$5:$5,MATCH($D2168,'ASME II Tab 5A'!$5:$5,1)+1)*(VLOOKUP($F2174,'ASME II Tab 5A'!$1:$1048576,MATCH($D2168,'ASME II Tab 5A'!$5:$5,1)+1,0)-VLOOKUP($F2174,'ASME II Tab 5A'!$1:$1048576,MATCH($D2168,'ASME II Tab 5A'!$5:$5,1),0))/(INDEX('ASME II Tab 5A'!$5:$5,MATCH($D2168,'ASME II Tab 5A'!$5:$5,1)+1)-INDEX('ASME II Tab 5A'!$5:$5,MATCH($D2168,'ASME II Tab 5A'!$5:$5,1)))</f>
        <v>#N/A</v>
      </c>
      <c r="G2181" s="460" t="s">
        <v>198</v>
      </c>
      <c r="H2181" s="460"/>
      <c r="I2181" s="1259"/>
      <c r="K2181" s="477" t="s">
        <v>205</v>
      </c>
      <c r="L2181" s="477" t="str">
        <f>K2162&amp;"."&amp;K2181</f>
        <v>17.M3 DN</v>
      </c>
      <c r="M2181" s="1252">
        <f>C2296</f>
        <v>0</v>
      </c>
    </row>
    <row r="2182" spans="1:13" ht="14.55" customHeight="1" x14ac:dyDescent="0.3">
      <c r="A2182" s="1258"/>
      <c r="B2182" s="460"/>
      <c r="C2182" s="460"/>
      <c r="D2182" s="460"/>
      <c r="E2182" s="460"/>
      <c r="F2182" s="460"/>
      <c r="G2182" s="460"/>
      <c r="H2182" s="460"/>
      <c r="I2182" s="1259"/>
      <c r="K2182" s="477" t="s">
        <v>206</v>
      </c>
      <c r="L2182" s="477" t="str">
        <f>K2162&amp;"."&amp;K2182</f>
        <v>17.M3 Rating</v>
      </c>
      <c r="M2182" s="1252">
        <f>D2296</f>
        <v>0</v>
      </c>
    </row>
    <row r="2183" spans="1:13" ht="14.55" customHeight="1" x14ac:dyDescent="0.3">
      <c r="A2183" s="1260" t="s">
        <v>207</v>
      </c>
      <c r="B2183" s="453"/>
      <c r="C2183" s="460"/>
      <c r="D2183" s="453"/>
      <c r="E2183" s="460"/>
      <c r="F2183" s="453"/>
      <c r="G2183" s="460"/>
      <c r="H2183" s="460"/>
      <c r="I2183" s="1259"/>
      <c r="K2183" s="477" t="s">
        <v>208</v>
      </c>
      <c r="L2183" s="477" t="str">
        <f>K2162&amp;"."&amp;K2183</f>
        <v>17.M3 Type</v>
      </c>
      <c r="M2183" s="1252">
        <f>E2296</f>
        <v>0</v>
      </c>
    </row>
    <row r="2184" spans="1:13" ht="14.55" customHeight="1" x14ac:dyDescent="0.3">
      <c r="A2184" s="1260"/>
      <c r="B2184" s="305" t="s">
        <v>209</v>
      </c>
      <c r="C2184" s="460"/>
      <c r="D2184" s="305" t="s">
        <v>210</v>
      </c>
      <c r="E2184" s="460"/>
      <c r="F2184" s="305" t="s">
        <v>211</v>
      </c>
      <c r="G2184" s="460"/>
      <c r="H2184" s="460"/>
      <c r="I2184" s="1259"/>
      <c r="K2184" s="477" t="s">
        <v>212</v>
      </c>
      <c r="L2184" s="477" t="str">
        <f>K2162&amp;"."&amp;K2184</f>
        <v>17.M3 Quantity</v>
      </c>
      <c r="M2184" s="1252">
        <f>F2296</f>
        <v>0</v>
      </c>
    </row>
    <row r="2185" spans="1:13" ht="14.55" customHeight="1" x14ac:dyDescent="0.3">
      <c r="A2185" s="1258" t="s">
        <v>213</v>
      </c>
      <c r="B2185" s="305"/>
      <c r="C2185" s="460"/>
      <c r="D2185" s="305"/>
      <c r="E2185" s="460"/>
      <c r="F2185" s="723"/>
      <c r="G2185" s="460" t="s">
        <v>214</v>
      </c>
      <c r="H2185" s="460"/>
      <c r="I2185" s="1259"/>
      <c r="K2185" s="477" t="s">
        <v>215</v>
      </c>
      <c r="L2185" s="477" t="str">
        <f>K2162&amp;"."&amp;K2185</f>
        <v>17.Shell insulation thk 1</v>
      </c>
      <c r="M2185" s="1252">
        <f>B2233</f>
        <v>0</v>
      </c>
    </row>
    <row r="2186" spans="1:13" ht="14.55" customHeight="1" x14ac:dyDescent="0.3">
      <c r="A2186" s="1258" t="s">
        <v>216</v>
      </c>
      <c r="B2186" s="722"/>
      <c r="C2186" s="460" t="s">
        <v>93</v>
      </c>
      <c r="D2186" s="722"/>
      <c r="E2186" s="460" t="s">
        <v>93</v>
      </c>
      <c r="F2186" s="468">
        <f>F2187-2*F2231</f>
        <v>0</v>
      </c>
      <c r="G2186" s="460" t="s">
        <v>93</v>
      </c>
      <c r="H2186" s="460"/>
      <c r="I2186" s="1259"/>
      <c r="K2186" s="477" t="s">
        <v>217</v>
      </c>
      <c r="L2186" s="477" t="str">
        <f>K2162&amp;"."&amp;K2186</f>
        <v>17.Head insulation thk 1</v>
      </c>
      <c r="M2186" s="1252">
        <f>B2234</f>
        <v>0</v>
      </c>
    </row>
    <row r="2187" spans="1:13" ht="14.55" customHeight="1" x14ac:dyDescent="0.3">
      <c r="A2187" s="1258" t="s">
        <v>218</v>
      </c>
      <c r="B2187" s="468" t="e">
        <f>B2186+B2227*2</f>
        <v>#N/A</v>
      </c>
      <c r="C2187" s="460" t="s">
        <v>93</v>
      </c>
      <c r="D2187" s="468" t="e">
        <f>D2186+D2227*2</f>
        <v>#N/A</v>
      </c>
      <c r="E2187" s="460" t="s">
        <v>93</v>
      </c>
      <c r="F2187" s="468">
        <f>IFERROR(VLOOKUP(F2185,'Thickness Tab'!$1:$1048576,3,0),0)</f>
        <v>0</v>
      </c>
      <c r="G2187" s="460" t="s">
        <v>93</v>
      </c>
      <c r="H2187" s="469"/>
      <c r="I2187" s="1261"/>
      <c r="K2187" s="477" t="s">
        <v>219</v>
      </c>
      <c r="L2187" s="477" t="str">
        <f>K2162&amp;"."&amp;K2187</f>
        <v>17.Reducer insulation thk 1</v>
      </c>
      <c r="M2187" s="1252">
        <f>B2235</f>
        <v>0</v>
      </c>
    </row>
    <row r="2188" spans="1:13" ht="14.55" customHeight="1" x14ac:dyDescent="0.3">
      <c r="A2188" s="1258" t="s">
        <v>181</v>
      </c>
      <c r="B2188" s="722"/>
      <c r="C2188" s="460" t="s">
        <v>93</v>
      </c>
      <c r="D2188" s="722"/>
      <c r="E2188" s="460" t="s">
        <v>93</v>
      </c>
      <c r="F2188" s="722"/>
      <c r="G2188" s="460" t="s">
        <v>93</v>
      </c>
      <c r="H2188" s="460"/>
      <c r="I2188" s="1259"/>
      <c r="K2188" s="477" t="s">
        <v>220</v>
      </c>
      <c r="L2188" s="477" t="str">
        <f>K2162&amp;"."&amp;K2188</f>
        <v>17.Shell insulation area 1</v>
      </c>
      <c r="M2188" s="1252" t="e">
        <f>B2193</f>
        <v>#N/A</v>
      </c>
    </row>
    <row r="2189" spans="1:13" ht="14.55" customHeight="1" x14ac:dyDescent="0.3">
      <c r="A2189" s="1258" t="s">
        <v>221</v>
      </c>
      <c r="B2189" s="468" t="e">
        <f>(PI()*B2188*(((B2187/2)^2)-((B2186/2)^2))*7860)/1000000000*1.05</f>
        <v>#N/A</v>
      </c>
      <c r="C2189" s="460" t="s">
        <v>222</v>
      </c>
      <c r="D2189" s="468" t="e">
        <f>(PI()*D2188*(((D2187/2)^2)-((D2186/2)^2))*7860)/1000000000*1.05</f>
        <v>#N/A</v>
      </c>
      <c r="E2189" s="460" t="s">
        <v>222</v>
      </c>
      <c r="F2189" s="468">
        <f>(PI()*F2188*(((F2187/2)^2)-((F2186/2)^2))*7860)/1000000000*1.05</f>
        <v>0</v>
      </c>
      <c r="G2189" s="460" t="s">
        <v>222</v>
      </c>
      <c r="H2189" s="469"/>
      <c r="I2189" s="1261"/>
      <c r="K2189" s="477" t="s">
        <v>223</v>
      </c>
      <c r="L2189" s="477" t="str">
        <f>K2162&amp;"."&amp;K2189</f>
        <v>17.Head insulation area 1</v>
      </c>
      <c r="M2189" s="1252" t="e">
        <f>B2205</f>
        <v>#N/A</v>
      </c>
    </row>
    <row r="2190" spans="1:13" ht="14.55" customHeight="1" x14ac:dyDescent="0.3">
      <c r="A2190" s="1258" t="s">
        <v>224</v>
      </c>
      <c r="B2190" s="468">
        <f>(PI()*((B2186/2)^2)*B2188)/1000000000</f>
        <v>0</v>
      </c>
      <c r="C2190" s="460" t="s">
        <v>225</v>
      </c>
      <c r="D2190" s="468">
        <f>(PI()*((D2186/2)^2)*D2188)/1000000000</f>
        <v>0</v>
      </c>
      <c r="E2190" s="460" t="s">
        <v>225</v>
      </c>
      <c r="F2190" s="468">
        <f>(PI()*((F2186/2)^2)*F2188)/1000000000</f>
        <v>0</v>
      </c>
      <c r="G2190" s="460" t="s">
        <v>225</v>
      </c>
      <c r="H2190" s="469"/>
      <c r="I2190" s="1261"/>
      <c r="K2190" s="477" t="s">
        <v>226</v>
      </c>
      <c r="L2190" s="477" t="str">
        <f>K2162&amp;"."&amp;K2190</f>
        <v>17.Reducer insulation area 1</v>
      </c>
      <c r="M2190" s="1252" t="e">
        <f>B2218</f>
        <v>#N/A</v>
      </c>
    </row>
    <row r="2191" spans="1:13" ht="14.55" customHeight="1" x14ac:dyDescent="0.3">
      <c r="A2191" s="1258" t="s">
        <v>227</v>
      </c>
      <c r="B2191" s="468" t="e">
        <f>(B2187*3.14*B2188)/1000000</f>
        <v>#N/A</v>
      </c>
      <c r="C2191" s="460" t="s">
        <v>228</v>
      </c>
      <c r="D2191" s="468" t="e">
        <f>(D2187*3.14*D2188)/1000000</f>
        <v>#N/A</v>
      </c>
      <c r="E2191" s="460" t="s">
        <v>228</v>
      </c>
      <c r="F2191" s="468">
        <f>(F2187*3.14*F2188)/1000000</f>
        <v>0</v>
      </c>
      <c r="G2191" s="460" t="s">
        <v>228</v>
      </c>
      <c r="H2191" s="469"/>
      <c r="I2191" s="1261"/>
      <c r="K2191" s="477" t="s">
        <v>229</v>
      </c>
      <c r="L2191" s="477" t="str">
        <f>K2162&amp;"."&amp;K2191</f>
        <v>17.Shell insulation thk 2</v>
      </c>
      <c r="M2191" s="1252">
        <f>D2233</f>
        <v>0</v>
      </c>
    </row>
    <row r="2192" spans="1:13" ht="14.55" customHeight="1" x14ac:dyDescent="0.3">
      <c r="A2192" s="1258" t="s">
        <v>230</v>
      </c>
      <c r="B2192" s="468" t="e">
        <f>B2187+2*B2233</f>
        <v>#N/A</v>
      </c>
      <c r="C2192" s="460" t="s">
        <v>93</v>
      </c>
      <c r="D2192" s="468" t="e">
        <f>D2187+2*D2233</f>
        <v>#N/A</v>
      </c>
      <c r="E2192" s="460" t="s">
        <v>93</v>
      </c>
      <c r="F2192" s="468">
        <f>F2187+2*F2233</f>
        <v>0</v>
      </c>
      <c r="G2192" s="460" t="s">
        <v>93</v>
      </c>
      <c r="H2192" s="469"/>
      <c r="I2192" s="1261"/>
      <c r="K2192" s="477" t="s">
        <v>231</v>
      </c>
      <c r="L2192" s="477" t="str">
        <f>K2162&amp;"."&amp;K2192</f>
        <v>17.Head insulation thk 2</v>
      </c>
      <c r="M2192" s="1252">
        <f>D2234</f>
        <v>0</v>
      </c>
    </row>
    <row r="2193" spans="1:13" ht="14.55" customHeight="1" x14ac:dyDescent="0.3">
      <c r="A2193" s="1258" t="s">
        <v>232</v>
      </c>
      <c r="B2193" s="468" t="e">
        <f>(B2192*3.14*B2188)/1000000</f>
        <v>#N/A</v>
      </c>
      <c r="C2193" s="460" t="s">
        <v>228</v>
      </c>
      <c r="D2193" s="468" t="e">
        <f>(D2192*3.14*D2188)/1000000</f>
        <v>#N/A</v>
      </c>
      <c r="E2193" s="460" t="s">
        <v>228</v>
      </c>
      <c r="F2193" s="468">
        <f>(F2192*3.14*F2188)/1000000</f>
        <v>0</v>
      </c>
      <c r="G2193" s="460" t="s">
        <v>228</v>
      </c>
      <c r="H2193" s="469"/>
      <c r="I2193" s="1261"/>
      <c r="K2193" s="477" t="s">
        <v>233</v>
      </c>
      <c r="L2193" s="477" t="str">
        <f>K2162&amp;"."&amp;K2193</f>
        <v>17.Reducer insulation thk 2</v>
      </c>
      <c r="M2193" s="1252">
        <f>D2235</f>
        <v>0</v>
      </c>
    </row>
    <row r="2194" spans="1:13" ht="14.55" customHeight="1" x14ac:dyDescent="0.3">
      <c r="A2194" s="1258"/>
      <c r="B2194" s="468"/>
      <c r="C2194" s="460"/>
      <c r="D2194" s="468"/>
      <c r="E2194" s="460"/>
      <c r="F2194" s="468"/>
      <c r="G2194" s="460"/>
      <c r="H2194" s="469"/>
      <c r="I2194" s="1261"/>
      <c r="K2194" s="477" t="s">
        <v>234</v>
      </c>
      <c r="L2194" s="477" t="str">
        <f>K2162&amp;"."&amp;K2194</f>
        <v>17.Shell insulation area 2</v>
      </c>
      <c r="M2194" s="1252" t="e">
        <f>D2193</f>
        <v>#N/A</v>
      </c>
    </row>
    <row r="2195" spans="1:13" ht="14.55" customHeight="1" x14ac:dyDescent="0.3">
      <c r="A2195" s="1258"/>
      <c r="B2195" s="468" t="s">
        <v>235</v>
      </c>
      <c r="C2195" s="460"/>
      <c r="D2195" s="468" t="s">
        <v>236</v>
      </c>
      <c r="E2195" s="460"/>
      <c r="F2195" s="468" t="s">
        <v>237</v>
      </c>
      <c r="G2195" s="460"/>
      <c r="H2195" s="469"/>
      <c r="I2195" s="1261"/>
      <c r="K2195" s="477" t="s">
        <v>238</v>
      </c>
      <c r="L2195" s="477" t="str">
        <f>K2162&amp;"."&amp;K2195</f>
        <v>17.Head insulation area 2</v>
      </c>
      <c r="M2195" s="1252" t="e">
        <f>D2205</f>
        <v>#N/A</v>
      </c>
    </row>
    <row r="2196" spans="1:13" ht="14.55" customHeight="1" x14ac:dyDescent="0.3">
      <c r="A2196" s="1258" t="s">
        <v>239</v>
      </c>
      <c r="B2196" s="468">
        <f>B2186</f>
        <v>0</v>
      </c>
      <c r="C2196" s="460" t="s">
        <v>93</v>
      </c>
      <c r="D2196" s="468">
        <f>D2186</f>
        <v>0</v>
      </c>
      <c r="E2196" s="460" t="s">
        <v>93</v>
      </c>
      <c r="F2196" s="468">
        <f>F2186</f>
        <v>0</v>
      </c>
      <c r="G2196" s="460" t="s">
        <v>93</v>
      </c>
      <c r="H2196" s="469"/>
      <c r="I2196" s="1261"/>
      <c r="K2196" s="477" t="s">
        <v>240</v>
      </c>
      <c r="L2196" s="477" t="str">
        <f>K2162&amp;"."&amp;K2196</f>
        <v>17.Reducer insulation area 2</v>
      </c>
      <c r="M2196" s="1252">
        <f>D2218</f>
        <v>0</v>
      </c>
    </row>
    <row r="2197" spans="1:13" ht="14.55" customHeight="1" x14ac:dyDescent="0.3">
      <c r="A2197" s="1258" t="s">
        <v>241</v>
      </c>
      <c r="B2197" s="468" t="e">
        <f>B2196+2*B2228</f>
        <v>#N/A</v>
      </c>
      <c r="C2197" s="460" t="s">
        <v>93</v>
      </c>
      <c r="D2197" s="468" t="e">
        <f>D2196+2*D2228</f>
        <v>#N/A</v>
      </c>
      <c r="E2197" s="460" t="s">
        <v>93</v>
      </c>
      <c r="F2197" s="468">
        <f>F2196+2*F2231</f>
        <v>0</v>
      </c>
      <c r="G2197" s="460" t="s">
        <v>93</v>
      </c>
      <c r="H2197" s="469"/>
      <c r="I2197" s="1261"/>
      <c r="K2197" s="477" t="s">
        <v>242</v>
      </c>
      <c r="L2197" s="477" t="str">
        <f>K2162&amp;"."&amp;K2197</f>
        <v>17.Shell insulation thk 3</v>
      </c>
      <c r="M2197" s="1252">
        <f>F2233</f>
        <v>0</v>
      </c>
    </row>
    <row r="2198" spans="1:13" ht="14.55" customHeight="1" x14ac:dyDescent="0.3">
      <c r="A2198" s="1258" t="s">
        <v>243</v>
      </c>
      <c r="B2198" s="722"/>
      <c r="C2198" s="460" t="s">
        <v>93</v>
      </c>
      <c r="D2198" s="722"/>
      <c r="E2198" s="460" t="s">
        <v>93</v>
      </c>
      <c r="F2198" s="452"/>
      <c r="G2198" s="460"/>
      <c r="H2198" s="469"/>
      <c r="I2198" s="1261"/>
      <c r="K2198" s="477" t="s">
        <v>244</v>
      </c>
      <c r="L2198" s="477" t="str">
        <f>K2162&amp;"."&amp;K2198</f>
        <v>17.Head insulation thk 3</v>
      </c>
      <c r="M2198" s="1252">
        <f>F2234</f>
        <v>0</v>
      </c>
    </row>
    <row r="2199" spans="1:13" ht="14.55" customHeight="1" x14ac:dyDescent="0.3">
      <c r="A2199" s="1258" t="s">
        <v>245</v>
      </c>
      <c r="B2199" s="724"/>
      <c r="C2199" s="460"/>
      <c r="D2199" s="724"/>
      <c r="E2199" s="460"/>
      <c r="F2199" s="724"/>
      <c r="G2199" s="460"/>
      <c r="H2199" s="469"/>
      <c r="I2199" s="1261"/>
      <c r="K2199" s="477" t="s">
        <v>246</v>
      </c>
      <c r="L2199" s="477" t="str">
        <f>K2162&amp;"."&amp;K2199</f>
        <v>17.Reducer insulation thk 3</v>
      </c>
      <c r="M2199" s="1252">
        <f>F2235</f>
        <v>0</v>
      </c>
    </row>
    <row r="2200" spans="1:13" ht="14.55" customHeight="1" x14ac:dyDescent="0.3">
      <c r="A2200" s="1258" t="s">
        <v>247</v>
      </c>
      <c r="B2200" s="468">
        <v>0</v>
      </c>
      <c r="C2200" s="460" t="s">
        <v>93</v>
      </c>
      <c r="D2200" s="468">
        <v>0</v>
      </c>
      <c r="E2200" s="460" t="s">
        <v>93</v>
      </c>
      <c r="F2200" s="468">
        <v>0</v>
      </c>
      <c r="G2200" s="460" t="s">
        <v>93</v>
      </c>
      <c r="H2200" s="469"/>
      <c r="I2200" s="1261"/>
      <c r="K2200" s="477" t="s">
        <v>248</v>
      </c>
      <c r="L2200" s="477" t="str">
        <f>K2162&amp;"."&amp;K2200</f>
        <v>17.Shell insulation area 3</v>
      </c>
      <c r="M2200" s="1252">
        <f>F2193</f>
        <v>0</v>
      </c>
    </row>
    <row r="2201" spans="1:13" ht="14.55" customHeight="1" x14ac:dyDescent="0.3">
      <c r="A2201" s="1258" t="s">
        <v>249</v>
      </c>
      <c r="B2201" s="468" t="e">
        <f>((((POWER(((((B2196+B2229)*1.22)+(B2200*2))/100),2)*PI())/4)*(B2229/100))*7.86)</f>
        <v>#N/A</v>
      </c>
      <c r="C2201" s="460" t="s">
        <v>222</v>
      </c>
      <c r="D2201" s="468" t="e">
        <f>((((POWER(((((D2196+D2229)*1.22)+(D2200*2))/100),2)*PI())/4)*(D2229/100))*7.86)</f>
        <v>#N/A</v>
      </c>
      <c r="E2201" s="460" t="s">
        <v>222</v>
      </c>
      <c r="F2201" s="468">
        <f>IFERROR(VLOOKUP(F2185&amp;"."&amp;F2230,'Fitting Chart'!$1:$1048576,5,0),0)</f>
        <v>0</v>
      </c>
      <c r="G2201" s="460" t="s">
        <v>222</v>
      </c>
      <c r="H2201" s="469"/>
      <c r="I2201" s="1261"/>
      <c r="K2201" s="477" t="s">
        <v>250</v>
      </c>
      <c r="L2201" s="477" t="str">
        <f>K2162&amp;"."&amp;K2201</f>
        <v>17.Head insulation area 3</v>
      </c>
      <c r="M2201" s="1252">
        <f>F2204</f>
        <v>0</v>
      </c>
    </row>
    <row r="2202" spans="1:13" ht="14.55" customHeight="1" x14ac:dyDescent="0.3">
      <c r="A2202" s="1258" t="s">
        <v>251</v>
      </c>
      <c r="B2202" s="468" t="e">
        <f>(((0.131*(B2196^3)*10^-6)+((((B2196/2)^2)*PI()*(((B2196/4)+B2228)-B2228-(B2196/4)))))+((PI()*((B2196/2)^2)*B2200))/1000000)/1000</f>
        <v>#N/A</v>
      </c>
      <c r="C2202" s="460" t="s">
        <v>225</v>
      </c>
      <c r="D2202" s="468" t="e">
        <f>(((0.131*(D2196^3)*10^-6)+((((D2196/2)^2)*PI()*(((D2196/4)+D2228)-D2228-(D2196/4)))))+((PI()*((D2196/2)^2)*D2200))/1000000)/1000</f>
        <v>#N/A</v>
      </c>
      <c r="E2202" s="460" t="s">
        <v>225</v>
      </c>
      <c r="F2202" s="468">
        <f>(((0.131*(F2196^3)*10^-6)+((((F2196/2)^2)*PI()*(((F2196/4)+F2231)-F2231-(F2196/4)))))+((PI()*((F2196/2)^2)*F2200))/1000000)/1000</f>
        <v>0</v>
      </c>
      <c r="G2202" s="460" t="s">
        <v>225</v>
      </c>
      <c r="H2202" s="469"/>
      <c r="I2202" s="1261"/>
      <c r="K2202" s="477" t="s">
        <v>252</v>
      </c>
      <c r="L2202" s="477" t="str">
        <f>K2162&amp;"."&amp;K2202</f>
        <v>17.Reducer insulation area 3</v>
      </c>
      <c r="M2202" s="1252">
        <f>F2218</f>
        <v>0</v>
      </c>
    </row>
    <row r="2203" spans="1:13" ht="14.55" customHeight="1" x14ac:dyDescent="0.3">
      <c r="A2203" s="1258" t="s">
        <v>253</v>
      </c>
      <c r="B2203" s="468" t="e">
        <f>(((B2197*B2198*3.14)+(((B2197/2)^2)*3.14))/1000000)</f>
        <v>#N/A</v>
      </c>
      <c r="C2203" s="460" t="s">
        <v>228</v>
      </c>
      <c r="D2203" s="468" t="e">
        <f>(((D2197*D2198*3.14)+(((D2197/2)^2)*3.14))/1000000)</f>
        <v>#N/A</v>
      </c>
      <c r="E2203" s="460" t="s">
        <v>228</v>
      </c>
      <c r="F2203" s="468">
        <f>(((F2197*F2198*3.14)+(((F2197/2)^2)*3.14))/1000000)</f>
        <v>0</v>
      </c>
      <c r="G2203" s="460" t="s">
        <v>228</v>
      </c>
      <c r="H2203" s="469"/>
      <c r="I2203" s="1261"/>
    </row>
    <row r="2204" spans="1:13" ht="14.55" customHeight="1" x14ac:dyDescent="0.3">
      <c r="A2204" s="1258" t="s">
        <v>254</v>
      </c>
      <c r="B2204" s="468" t="e">
        <f>B2197+2*B2234</f>
        <v>#N/A</v>
      </c>
      <c r="C2204" s="460" t="s">
        <v>93</v>
      </c>
      <c r="D2204" s="468" t="e">
        <f>D2197+2*D2234</f>
        <v>#N/A</v>
      </c>
      <c r="E2204" s="460" t="s">
        <v>93</v>
      </c>
      <c r="F2204" s="468">
        <f>F2197+2*F2234</f>
        <v>0</v>
      </c>
      <c r="G2204" s="460" t="s">
        <v>93</v>
      </c>
      <c r="H2204" s="469"/>
      <c r="I2204" s="1261"/>
    </row>
    <row r="2205" spans="1:13" ht="14.55" customHeight="1" x14ac:dyDescent="0.3">
      <c r="A2205" s="1258" t="s">
        <v>255</v>
      </c>
      <c r="B2205" s="468" t="e">
        <f>(((B2204*B2198*3.14)+(((B2204/2)^2)*3.14))/1000000)</f>
        <v>#N/A</v>
      </c>
      <c r="C2205" s="460" t="s">
        <v>228</v>
      </c>
      <c r="D2205" s="468" t="e">
        <f>(((D2204*D2198*3.14)+(((D2204/2)^2)*3.14))/1000000)</f>
        <v>#N/A</v>
      </c>
      <c r="E2205" s="460" t="s">
        <v>228</v>
      </c>
      <c r="F2205" s="468">
        <f>(((F2204*F2198*3.14)+(((F2204/2)^2)*3.14))/1000000)</f>
        <v>0</v>
      </c>
      <c r="G2205" s="460" t="s">
        <v>228</v>
      </c>
      <c r="H2205" s="469"/>
      <c r="I2205" s="1261"/>
    </row>
    <row r="2206" spans="1:13" ht="14.55" customHeight="1" x14ac:dyDescent="0.3">
      <c r="A2206" s="1258"/>
      <c r="B2206" s="454"/>
      <c r="C2206" s="460"/>
      <c r="D2206" s="454"/>
      <c r="E2206" s="460"/>
      <c r="F2206" s="454"/>
      <c r="G2206" s="460"/>
      <c r="H2206" s="469"/>
      <c r="I2206" s="1261"/>
    </row>
    <row r="2207" spans="1:13" ht="14.55" customHeight="1" x14ac:dyDescent="0.3">
      <c r="A2207" s="1258"/>
      <c r="B2207" s="468" t="s">
        <v>256</v>
      </c>
      <c r="C2207" s="460"/>
      <c r="D2207" s="468" t="s">
        <v>257</v>
      </c>
      <c r="E2207" s="460"/>
      <c r="F2207" s="468" t="s">
        <v>258</v>
      </c>
      <c r="G2207" s="460"/>
      <c r="H2207" s="469"/>
      <c r="I2207" s="1261"/>
    </row>
    <row r="2208" spans="1:13" ht="14.55" customHeight="1" x14ac:dyDescent="0.3">
      <c r="A2208" s="1258" t="s">
        <v>259</v>
      </c>
      <c r="B2208" s="725"/>
      <c r="C2208" s="460" t="s">
        <v>93</v>
      </c>
      <c r="D2208" s="725"/>
      <c r="E2208" s="460" t="s">
        <v>93</v>
      </c>
      <c r="F2208" s="725"/>
      <c r="G2208" s="460" t="s">
        <v>93</v>
      </c>
      <c r="H2208" s="469"/>
      <c r="I2208" s="1261"/>
    </row>
    <row r="2209" spans="1:9" ht="14.55" customHeight="1" x14ac:dyDescent="0.3">
      <c r="A2209" s="1258" t="s">
        <v>260</v>
      </c>
      <c r="B2209" s="725"/>
      <c r="C2209" s="460" t="s">
        <v>93</v>
      </c>
      <c r="D2209" s="725"/>
      <c r="E2209" s="460" t="s">
        <v>93</v>
      </c>
      <c r="F2209" s="725"/>
      <c r="G2209" s="460" t="s">
        <v>93</v>
      </c>
      <c r="H2209" s="469"/>
      <c r="I2209" s="1261"/>
    </row>
    <row r="2210" spans="1:9" ht="14.55" customHeight="1" x14ac:dyDescent="0.3">
      <c r="A2210" s="1258" t="s">
        <v>261</v>
      </c>
      <c r="B2210" s="725"/>
      <c r="C2210" s="460" t="s">
        <v>93</v>
      </c>
      <c r="D2210" s="725"/>
      <c r="E2210" s="460" t="s">
        <v>93</v>
      </c>
      <c r="F2210" s="725"/>
      <c r="G2210" s="460" t="s">
        <v>93</v>
      </c>
      <c r="H2210" s="469"/>
      <c r="I2210" s="1261"/>
    </row>
    <row r="2211" spans="1:9" ht="14.55" customHeight="1" x14ac:dyDescent="0.3">
      <c r="A2211" s="1258" t="s">
        <v>262</v>
      </c>
      <c r="B2211" s="455" t="e">
        <f>B2208+2*B2229</f>
        <v>#N/A</v>
      </c>
      <c r="C2211" s="460" t="s">
        <v>93</v>
      </c>
      <c r="D2211" s="455" t="e">
        <f>D2208+2*D2229</f>
        <v>#N/A</v>
      </c>
      <c r="E2211" s="460" t="s">
        <v>93</v>
      </c>
      <c r="F2211" s="455">
        <f>F2208+2*F2231</f>
        <v>0</v>
      </c>
      <c r="G2211" s="460" t="s">
        <v>93</v>
      </c>
      <c r="H2211" s="469"/>
      <c r="I2211" s="1261"/>
    </row>
    <row r="2212" spans="1:9" ht="14.55" customHeight="1" x14ac:dyDescent="0.3">
      <c r="A2212" s="1258" t="s">
        <v>263</v>
      </c>
      <c r="B2212" s="455" t="e">
        <f>B2209+2*B2229</f>
        <v>#N/A</v>
      </c>
      <c r="C2212" s="460" t="s">
        <v>93</v>
      </c>
      <c r="D2212" s="455" t="e">
        <f>D2209+2*D2229</f>
        <v>#N/A</v>
      </c>
      <c r="E2212" s="460" t="s">
        <v>93</v>
      </c>
      <c r="F2212" s="455">
        <f>F2209+2*F2231</f>
        <v>0</v>
      </c>
      <c r="G2212" s="460" t="s">
        <v>93</v>
      </c>
      <c r="H2212" s="469"/>
      <c r="I2212" s="1261"/>
    </row>
    <row r="2213" spans="1:9" ht="14.55" customHeight="1" x14ac:dyDescent="0.3">
      <c r="A2213" s="1258" t="s">
        <v>264</v>
      </c>
      <c r="B2213" s="453" t="e">
        <f>(((((1/3*PI()*B2210))*((((B2211/2)^2)+(((B2211/2)*(B2212/2)))+((B2212/2)^2))))-(((1/3*PI()*B2210))*((((B2208/2)^2)+(((B2208/2)*(B2209/2)))+((B2209/2)^2)))))*7.86)/1000000</f>
        <v>#N/A</v>
      </c>
      <c r="C2213" s="460" t="s">
        <v>222</v>
      </c>
      <c r="D2213" s="453" t="e">
        <f>(((((1/3*PI()*D2210))*((((D2211/2)^2)+(((D2211/2)*(D2212/2)))+((D2212/2)^2))))-(((1/3*PI()*D2210))*((((D2208/2)^2)+(((D2208/2)*(D2209/2)))+((D2209/2)^2)))))*7.86)/1000000</f>
        <v>#N/A</v>
      </c>
      <c r="E2213" s="460" t="s">
        <v>222</v>
      </c>
      <c r="F2213" s="453">
        <f>(((((1/3*PI()*F2210))*((((F2211/2)^2)+(((F2211/2)*(F2212/2)))+((F2212/2)^2))))-(((1/3*PI()*F2210))*((((F2208/2)^2)+(((F2208/2)*(F2209/2)))+((F2209/2)^2)))))*7.86)/1000000</f>
        <v>0</v>
      </c>
      <c r="G2213" s="460" t="s">
        <v>222</v>
      </c>
      <c r="H2213" s="469"/>
      <c r="I2213" s="1261"/>
    </row>
    <row r="2214" spans="1:9" ht="14.55" customHeight="1" x14ac:dyDescent="0.3">
      <c r="A2214" s="1258" t="s">
        <v>265</v>
      </c>
      <c r="B2214" s="453">
        <f>((1/3*PI()*B2210))*((((B2208/2)^2)+(((B2208/2)*(B2209/2)))+((B2209/2)^2)))/1000000000</f>
        <v>0</v>
      </c>
      <c r="C2214" s="460" t="s">
        <v>225</v>
      </c>
      <c r="D2214" s="453">
        <f>((1/3*PI()*D2210))*((((D2208/2)^2)+(((D2208/2)*(D2209/2)))+((D2209/2)^2)))/1000000000</f>
        <v>0</v>
      </c>
      <c r="E2214" s="460" t="s">
        <v>225</v>
      </c>
      <c r="F2214" s="453">
        <f>((1/3*PI()*F2210))*((((F2208/2)^2)+(((F2208/2)*(F2209/2)))+((F2209/2)^2)))/1000000000</f>
        <v>0</v>
      </c>
      <c r="G2214" s="460" t="s">
        <v>225</v>
      </c>
      <c r="H2214" s="469"/>
      <c r="I2214" s="1261"/>
    </row>
    <row r="2215" spans="1:9" ht="14.55" customHeight="1" x14ac:dyDescent="0.3">
      <c r="A2215" s="1258" t="s">
        <v>266</v>
      </c>
      <c r="B2215" s="453" t="e">
        <f>PI()*(B2211+B2212)/2*SQRT(B2210^2+((B2211-B2212)/2)^2)/1000000</f>
        <v>#N/A</v>
      </c>
      <c r="C2215" s="460" t="s">
        <v>228</v>
      </c>
      <c r="D2215" s="453" t="e">
        <f>PI()*(D2211+D2212)/2*SQRT(D2210^2+((D2211-D2212)/2)^2)/1000000</f>
        <v>#N/A</v>
      </c>
      <c r="E2215" s="460" t="s">
        <v>228</v>
      </c>
      <c r="F2215" s="453">
        <f>PI()*(F2211+F2212)/2*SQRT(F2210^2+((F2211-F2212)/2)^2)/1000000</f>
        <v>0</v>
      </c>
      <c r="G2215" s="460" t="s">
        <v>228</v>
      </c>
      <c r="H2215" s="469"/>
      <c r="I2215" s="1261"/>
    </row>
    <row r="2216" spans="1:9" ht="14.55" customHeight="1" x14ac:dyDescent="0.3">
      <c r="A2216" s="1258" t="s">
        <v>267</v>
      </c>
      <c r="B2216" s="453" t="e">
        <f>B2211+2*B2235</f>
        <v>#N/A</v>
      </c>
      <c r="C2216" s="460" t="s">
        <v>93</v>
      </c>
      <c r="D2216" s="453">
        <f>D2208+2*D2235</f>
        <v>0</v>
      </c>
      <c r="E2216" s="460" t="s">
        <v>93</v>
      </c>
      <c r="F2216" s="453">
        <f>F2208+2*F2235</f>
        <v>0</v>
      </c>
      <c r="G2216" s="460" t="s">
        <v>93</v>
      </c>
      <c r="H2216" s="469"/>
      <c r="I2216" s="1261"/>
    </row>
    <row r="2217" spans="1:9" ht="14.55" customHeight="1" x14ac:dyDescent="0.3">
      <c r="A2217" s="1258" t="s">
        <v>268</v>
      </c>
      <c r="B2217" s="453" t="e">
        <f>B2212+2*B2235</f>
        <v>#N/A</v>
      </c>
      <c r="C2217" s="460" t="s">
        <v>93</v>
      </c>
      <c r="D2217" s="453">
        <f>D2209+2*D2235</f>
        <v>0</v>
      </c>
      <c r="E2217" s="460" t="s">
        <v>93</v>
      </c>
      <c r="F2217" s="453">
        <f>F2209+2*F2235</f>
        <v>0</v>
      </c>
      <c r="G2217" s="460" t="s">
        <v>93</v>
      </c>
      <c r="H2217" s="469"/>
      <c r="I2217" s="1261"/>
    </row>
    <row r="2218" spans="1:9" ht="14.55" customHeight="1" x14ac:dyDescent="0.3">
      <c r="A2218" s="1258" t="s">
        <v>269</v>
      </c>
      <c r="B2218" s="453" t="e">
        <f>PI()*(B2216+B2217)/2*SQRT(B2210^2+((B2216-B2217)/2)^2)/1000000</f>
        <v>#N/A</v>
      </c>
      <c r="C2218" s="460" t="s">
        <v>228</v>
      </c>
      <c r="D2218" s="453">
        <f>PI()*(D2216+D2217)/2*SQRT(D2210^2+((D2216-D2217)/2)^2)/1000000</f>
        <v>0</v>
      </c>
      <c r="E2218" s="460" t="s">
        <v>228</v>
      </c>
      <c r="F2218" s="453">
        <f>PI()*(F2216+F2217)/2*SQRT(F2210^2+((F2216-F2217)/2)^2)/1000000</f>
        <v>0</v>
      </c>
      <c r="G2218" s="460" t="s">
        <v>228</v>
      </c>
      <c r="H2218" s="469"/>
      <c r="I2218" s="1261"/>
    </row>
    <row r="2219" spans="1:9" ht="14.55" customHeight="1" x14ac:dyDescent="0.3">
      <c r="A2219" s="1258"/>
      <c r="B2219" s="453"/>
      <c r="C2219" s="460"/>
      <c r="D2219" s="453"/>
      <c r="E2219" s="460"/>
      <c r="F2219" s="453"/>
      <c r="G2219" s="460"/>
      <c r="H2219" s="460"/>
      <c r="I2219" s="1259"/>
    </row>
    <row r="2220" spans="1:9" ht="14.55" customHeight="1" x14ac:dyDescent="0.3">
      <c r="A2220" s="1258" t="s">
        <v>270</v>
      </c>
      <c r="B2220" s="725"/>
      <c r="C2220" s="460" t="s">
        <v>93</v>
      </c>
      <c r="D2220" s="725"/>
      <c r="E2220" s="460" t="s">
        <v>93</v>
      </c>
      <c r="F2220" s="725"/>
      <c r="G2220" s="460" t="s">
        <v>93</v>
      </c>
      <c r="H2220" s="460"/>
      <c r="I2220" s="1259"/>
    </row>
    <row r="2221" spans="1:9" ht="14.55" customHeight="1" x14ac:dyDescent="0.3">
      <c r="A2221" s="1258" t="s">
        <v>271</v>
      </c>
      <c r="B2221" s="453" t="e">
        <f>((D2169/10)*B2186/2)/(IF(B2164="div.1",B2177,B2180)-0.5*D2169/10)</f>
        <v>#N/A</v>
      </c>
      <c r="C2221" s="460" t="s">
        <v>93</v>
      </c>
      <c r="D2221" s="453" t="e">
        <f>((D2169/10)*D2186/2)/(IF(B2164="div.1",B2177,B2180)-0.5*D2169/10)</f>
        <v>#N/A</v>
      </c>
      <c r="E2221" s="460" t="s">
        <v>93</v>
      </c>
      <c r="F2221" s="453" t="e">
        <f>((D2169/10)*F2186/2)/(IF(B2164="div.1",F2177,F2180)-0.5*D2169/10)</f>
        <v>#N/A</v>
      </c>
      <c r="G2221" s="460" t="s">
        <v>93</v>
      </c>
      <c r="H2221" s="460"/>
      <c r="I2221" s="1259"/>
    </row>
    <row r="2222" spans="1:9" ht="14.55" customHeight="1" x14ac:dyDescent="0.3">
      <c r="A2222" s="1258" t="s">
        <v>272</v>
      </c>
      <c r="B2222" s="453" t="e">
        <f>B2196/2*(EXP(D2169/(10*IF(B2164="div.1",B2178,B2181)))-1)</f>
        <v>#N/A</v>
      </c>
      <c r="C2222" s="460" t="s">
        <v>93</v>
      </c>
      <c r="D2222" s="453" t="e">
        <f>D2196/2*(EXP(D2169/(10*IF(B2164="div.1",B2178,B2181)))-1)</f>
        <v>#N/A</v>
      </c>
      <c r="E2222" s="460" t="s">
        <v>93</v>
      </c>
      <c r="F2222" s="453" t="e">
        <f>F2196/2*(EXP(D2169/(10*IF(B2164="div.1",F2178,F2181)))-1)</f>
        <v>#N/A</v>
      </c>
      <c r="G2222" s="460" t="s">
        <v>93</v>
      </c>
      <c r="H2222" s="460"/>
      <c r="I2222" s="1259"/>
    </row>
    <row r="2223" spans="1:9" ht="14.55" customHeight="1" x14ac:dyDescent="0.3">
      <c r="A2223" s="1258" t="s">
        <v>273</v>
      </c>
      <c r="B2223" s="453" t="e">
        <f>B2208/2*(EXP(D2169/(10*IF(B2164="div.1",B2178,B2181)))-1)</f>
        <v>#N/A</v>
      </c>
      <c r="C2223" s="460" t="s">
        <v>93</v>
      </c>
      <c r="D2223" s="453" t="e">
        <f>D2208/2*(EXP(D2169/(10*IF(B2164="div.1",B2178,B2181)))-1)</f>
        <v>#N/A</v>
      </c>
      <c r="E2223" s="460" t="s">
        <v>93</v>
      </c>
      <c r="F2223" s="453" t="e">
        <f>F2208/2*(EXP(D2169/(10*IF(B2164="div.1",F2178,F2181)))-1)</f>
        <v>#N/A</v>
      </c>
      <c r="G2223" s="460" t="s">
        <v>93</v>
      </c>
      <c r="H2223" s="460"/>
      <c r="I2223" s="1259"/>
    </row>
    <row r="2224" spans="1:9" ht="14.55" customHeight="1" x14ac:dyDescent="0.3">
      <c r="A2224" s="1258" t="s">
        <v>274</v>
      </c>
      <c r="B2224" s="725"/>
      <c r="C2224" s="460" t="s">
        <v>93</v>
      </c>
      <c r="D2224" s="725"/>
      <c r="E2224" s="460" t="s">
        <v>93</v>
      </c>
      <c r="F2224" s="725"/>
      <c r="G2224" s="460" t="s">
        <v>93</v>
      </c>
      <c r="H2224" s="460"/>
      <c r="I2224" s="1259"/>
    </row>
    <row r="2225" spans="1:9" ht="14.55" customHeight="1" x14ac:dyDescent="0.3">
      <c r="A2225" s="1258" t="s">
        <v>275</v>
      </c>
      <c r="B2225" s="725"/>
      <c r="C2225" s="460" t="s">
        <v>93</v>
      </c>
      <c r="D2225" s="725"/>
      <c r="E2225" s="460" t="s">
        <v>93</v>
      </c>
      <c r="F2225" s="725"/>
      <c r="G2225" s="460" t="s">
        <v>93</v>
      </c>
      <c r="H2225" s="460"/>
      <c r="I2225" s="1259"/>
    </row>
    <row r="2226" spans="1:9" ht="14.55" customHeight="1" x14ac:dyDescent="0.3">
      <c r="A2226" s="1258" t="s">
        <v>276</v>
      </c>
      <c r="B2226" s="725"/>
      <c r="C2226" s="460" t="s">
        <v>93</v>
      </c>
      <c r="D2226" s="725"/>
      <c r="E2226" s="460" t="s">
        <v>93</v>
      </c>
      <c r="F2226" s="725"/>
      <c r="G2226" s="460" t="s">
        <v>93</v>
      </c>
      <c r="H2226" s="460"/>
      <c r="I2226" s="1259"/>
    </row>
    <row r="2227" spans="1:9" ht="14.55" customHeight="1" x14ac:dyDescent="0.3">
      <c r="A2227" s="1258" t="s">
        <v>277</v>
      </c>
      <c r="B2227" s="453" t="e">
        <f>IF((CEILING(B2221,1)+B2224)&lt;B2220,B2220,CEILING(B2221,1)+B2224)</f>
        <v>#N/A</v>
      </c>
      <c r="C2227" s="460" t="s">
        <v>93</v>
      </c>
      <c r="D2227" s="453" t="e">
        <f>IF((CEILING(D2221,1)+D2224)&lt;D2220,D2220,CEILING(D2221,1)+D2224)</f>
        <v>#N/A</v>
      </c>
      <c r="E2227" s="460" t="s">
        <v>93</v>
      </c>
      <c r="F2227" s="453" t="e">
        <f>IF((CEILING(F2221,1)+F2224)&lt;F2220,F2220,CEILING(F2221,1)+F2224)</f>
        <v>#N/A</v>
      </c>
      <c r="G2227" s="460" t="s">
        <v>93</v>
      </c>
      <c r="H2227" s="460"/>
      <c r="I2227" s="1259"/>
    </row>
    <row r="2228" spans="1:9" ht="14.55" customHeight="1" x14ac:dyDescent="0.3">
      <c r="A2228" s="1258" t="s">
        <v>278</v>
      </c>
      <c r="B2228" s="453" t="e">
        <f>IF((CEILING(B2222,1)+B2225)&lt;=B2220,B2220,CEILING(B2222,1)+B2225)</f>
        <v>#N/A</v>
      </c>
      <c r="C2228" s="460" t="s">
        <v>93</v>
      </c>
      <c r="D2228" s="453" t="e">
        <f>IF((CEILING(D2222,1)+D2225)&lt;=D2220,D2220,CEILING(D2222,1)+D2225)</f>
        <v>#N/A</v>
      </c>
      <c r="E2228" s="460" t="s">
        <v>93</v>
      </c>
      <c r="F2228" s="453" t="e">
        <f>IF((CEILING(F2222,1)+F2225)&lt;=F2220,F2220,CEILING(F2222,1)+F2225)</f>
        <v>#N/A</v>
      </c>
      <c r="G2228" s="460" t="s">
        <v>93</v>
      </c>
      <c r="H2228" s="460"/>
      <c r="I2228" s="1259"/>
    </row>
    <row r="2229" spans="1:9" ht="14.55" customHeight="1" x14ac:dyDescent="0.3">
      <c r="A2229" s="1258" t="s">
        <v>279</v>
      </c>
      <c r="B2229" s="453" t="e">
        <f>IF((CEILING(B2223,1)+B2226)&lt;=B2220,B2220,CEILING(B2223,1)+B2226)</f>
        <v>#N/A</v>
      </c>
      <c r="C2229" s="460" t="s">
        <v>93</v>
      </c>
      <c r="D2229" s="453" t="e">
        <f>IF((CEILING(D2223,1)+D2226)&lt;=D2220,D2220,CEILING(D2223,1)+D2226)</f>
        <v>#N/A</v>
      </c>
      <c r="E2229" s="460" t="s">
        <v>93</v>
      </c>
      <c r="F2229" s="453" t="e">
        <f>IF((CEILING(F2223,1)+F2226)&lt;=F2220,F2220,CEILING(F2223,1)+F2226)</f>
        <v>#N/A</v>
      </c>
      <c r="G2229" s="460" t="s">
        <v>93</v>
      </c>
      <c r="H2229" s="460"/>
      <c r="I2229" s="1259"/>
    </row>
    <row r="2230" spans="1:9" ht="14.55" customHeight="1" x14ac:dyDescent="0.3">
      <c r="A2230" s="1258" t="s">
        <v>280</v>
      </c>
      <c r="B2230" s="453"/>
      <c r="C2230" s="460"/>
      <c r="D2230" s="453"/>
      <c r="E2230" s="460"/>
      <c r="F2230" s="726"/>
      <c r="G2230" s="460"/>
      <c r="H2230" s="460"/>
      <c r="I2230" s="1259"/>
    </row>
    <row r="2231" spans="1:9" ht="14.55" customHeight="1" x14ac:dyDescent="0.3">
      <c r="A2231" s="1258" t="s">
        <v>281</v>
      </c>
      <c r="B2231" s="453"/>
      <c r="C2231" s="460"/>
      <c r="D2231" s="453"/>
      <c r="E2231" s="460"/>
      <c r="F2231" s="460">
        <f>IFERROR(VLOOKUP(F2185,'Thickness Tab'!$1:$1048576,MATCH(F2230,'Thickness Tab'!$1:$1,0),0),0)</f>
        <v>0</v>
      </c>
      <c r="G2231" s="460" t="s">
        <v>93</v>
      </c>
      <c r="H2231" s="460"/>
      <c r="I2231" s="1259"/>
    </row>
    <row r="2232" spans="1:9" ht="14.55" customHeight="1" x14ac:dyDescent="0.3">
      <c r="A2232" s="1258"/>
      <c r="B2232" s="464"/>
      <c r="C2232" s="460"/>
      <c r="D2232" s="460"/>
      <c r="E2232" s="460"/>
      <c r="F2232" s="460"/>
      <c r="G2232" s="460"/>
      <c r="H2232" s="460"/>
      <c r="I2232" s="1259"/>
    </row>
    <row r="2233" spans="1:9" ht="14.55" customHeight="1" x14ac:dyDescent="0.3">
      <c r="A2233" s="1258" t="s">
        <v>282</v>
      </c>
      <c r="B2233" s="725">
        <v>0</v>
      </c>
      <c r="C2233" s="460" t="s">
        <v>93</v>
      </c>
      <c r="D2233" s="725">
        <v>0</v>
      </c>
      <c r="E2233" s="460" t="s">
        <v>93</v>
      </c>
      <c r="F2233" s="725">
        <v>0</v>
      </c>
      <c r="G2233" s="460" t="s">
        <v>93</v>
      </c>
      <c r="H2233" s="460"/>
      <c r="I2233" s="1259"/>
    </row>
    <row r="2234" spans="1:9" ht="14.55" customHeight="1" x14ac:dyDescent="0.3">
      <c r="A2234" s="1258" t="s">
        <v>283</v>
      </c>
      <c r="B2234" s="725">
        <v>0</v>
      </c>
      <c r="C2234" s="460" t="s">
        <v>93</v>
      </c>
      <c r="D2234" s="725">
        <v>0</v>
      </c>
      <c r="E2234" s="460" t="s">
        <v>93</v>
      </c>
      <c r="F2234" s="725">
        <v>0</v>
      </c>
      <c r="G2234" s="460" t="s">
        <v>93</v>
      </c>
      <c r="H2234" s="460"/>
      <c r="I2234" s="1259"/>
    </row>
    <row r="2235" spans="1:9" ht="14.55" customHeight="1" x14ac:dyDescent="0.3">
      <c r="A2235" s="1258" t="s">
        <v>284</v>
      </c>
      <c r="B2235" s="725">
        <v>0</v>
      </c>
      <c r="C2235" s="460" t="s">
        <v>93</v>
      </c>
      <c r="D2235" s="725">
        <v>0</v>
      </c>
      <c r="E2235" s="460" t="s">
        <v>93</v>
      </c>
      <c r="F2235" s="725">
        <v>0</v>
      </c>
      <c r="G2235" s="460" t="s">
        <v>93</v>
      </c>
      <c r="H2235" s="460"/>
      <c r="I2235" s="1259"/>
    </row>
    <row r="2236" spans="1:9" ht="14.55" customHeight="1" x14ac:dyDescent="0.3">
      <c r="A2236" s="1258"/>
      <c r="B2236" s="464"/>
      <c r="C2236" s="460"/>
      <c r="D2236" s="460"/>
      <c r="E2236" s="460"/>
      <c r="F2236" s="460"/>
      <c r="G2236" s="460"/>
      <c r="H2236" s="460"/>
      <c r="I2236" s="1259"/>
    </row>
    <row r="2237" spans="1:9" ht="14.55" customHeight="1" x14ac:dyDescent="0.3">
      <c r="A2237" s="1260" t="s">
        <v>285</v>
      </c>
      <c r="B2237" s="470" t="str">
        <f>IF(B2165="Horizontal","No Skirt","")</f>
        <v/>
      </c>
      <c r="C2237" s="460"/>
      <c r="D2237" s="471"/>
      <c r="E2237" s="471" t="s">
        <v>286</v>
      </c>
      <c r="F2237" s="460"/>
      <c r="G2237" s="469"/>
      <c r="H2237" s="469"/>
      <c r="I2237" s="1261"/>
    </row>
    <row r="2238" spans="1:9" ht="14.55" customHeight="1" x14ac:dyDescent="0.3">
      <c r="A2238" s="1258" t="s">
        <v>287</v>
      </c>
      <c r="B2238" s="722"/>
      <c r="C2238" s="456" t="s">
        <v>93</v>
      </c>
      <c r="D2238" s="472"/>
      <c r="E2238" s="472" t="s">
        <v>288</v>
      </c>
      <c r="F2238" s="725"/>
      <c r="G2238" s="460" t="s">
        <v>93</v>
      </c>
      <c r="H2238" s="469"/>
      <c r="I2238" s="1261"/>
    </row>
    <row r="2239" spans="1:9" ht="14.55" customHeight="1" x14ac:dyDescent="0.3">
      <c r="A2239" s="1258" t="s">
        <v>289</v>
      </c>
      <c r="B2239" s="722"/>
      <c r="C2239" s="456" t="s">
        <v>93</v>
      </c>
      <c r="D2239" s="472"/>
      <c r="E2239" s="472" t="s">
        <v>290</v>
      </c>
      <c r="F2239" s="725"/>
      <c r="G2239" s="460" t="s">
        <v>93</v>
      </c>
      <c r="H2239" s="469"/>
      <c r="I2239" s="1261"/>
    </row>
    <row r="2240" spans="1:9" ht="14.55" customHeight="1" x14ac:dyDescent="0.3">
      <c r="A2240" s="1258" t="s">
        <v>291</v>
      </c>
      <c r="B2240" s="722"/>
      <c r="C2240" s="456" t="s">
        <v>93</v>
      </c>
      <c r="D2240" s="472"/>
      <c r="E2240" s="472" t="s">
        <v>292</v>
      </c>
      <c r="F2240" s="725"/>
      <c r="G2240" s="460"/>
      <c r="H2240" s="469"/>
      <c r="I2240" s="1261"/>
    </row>
    <row r="2241" spans="1:9" ht="14.55" customHeight="1" x14ac:dyDescent="0.3">
      <c r="A2241" s="1258" t="s">
        <v>293</v>
      </c>
      <c r="B2241" s="722"/>
      <c r="C2241" s="456" t="s">
        <v>93</v>
      </c>
      <c r="D2241" s="472"/>
      <c r="E2241" s="472" t="s">
        <v>184</v>
      </c>
      <c r="F2241" s="457">
        <f>(PI()*F2238^2)/4*F2239*(7800/1000000000)</f>
        <v>0</v>
      </c>
      <c r="G2241" s="460" t="s">
        <v>222</v>
      </c>
      <c r="H2241" s="460"/>
      <c r="I2241" s="1259"/>
    </row>
    <row r="2242" spans="1:9" ht="14.55" customHeight="1" x14ac:dyDescent="0.3">
      <c r="A2242" s="1258" t="s">
        <v>294</v>
      </c>
      <c r="B2242" s="722"/>
      <c r="C2242" s="456" t="s">
        <v>93</v>
      </c>
      <c r="D2242" s="460"/>
      <c r="E2242" s="460"/>
      <c r="F2242" s="460"/>
      <c r="G2242" s="460"/>
      <c r="H2242" s="460"/>
      <c r="I2242" s="1259"/>
    </row>
    <row r="2243" spans="1:9" ht="14.55" customHeight="1" x14ac:dyDescent="0.3">
      <c r="A2243" s="1258"/>
      <c r="B2243" s="407"/>
      <c r="C2243" s="460"/>
      <c r="D2243" s="460"/>
      <c r="E2243" s="460"/>
      <c r="F2243" s="460"/>
      <c r="G2243" s="460"/>
      <c r="H2243" s="460"/>
      <c r="I2243" s="1259"/>
    </row>
    <row r="2244" spans="1:9" ht="14.55" customHeight="1" x14ac:dyDescent="0.3">
      <c r="A2244" s="1262" t="s">
        <v>295</v>
      </c>
      <c r="B2244" s="480"/>
      <c r="C2244" s="59"/>
      <c r="D2244" s="59"/>
      <c r="E2244" s="59"/>
      <c r="F2244" s="460"/>
      <c r="G2244" s="460"/>
      <c r="H2244" s="460"/>
      <c r="I2244" s="1259"/>
    </row>
    <row r="2245" spans="1:9" ht="14.55" customHeight="1" x14ac:dyDescent="0.3">
      <c r="A2245" s="1263" t="s">
        <v>296</v>
      </c>
      <c r="B2245" s="722"/>
      <c r="C2245" s="59" t="s">
        <v>93</v>
      </c>
      <c r="D2245" s="59"/>
      <c r="E2245" s="59"/>
      <c r="F2245" s="460"/>
      <c r="G2245" s="460"/>
      <c r="H2245" s="460"/>
      <c r="I2245" s="1259"/>
    </row>
    <row r="2246" spans="1:9" ht="14.55" customHeight="1" x14ac:dyDescent="0.3">
      <c r="A2246" s="1263" t="s">
        <v>297</v>
      </c>
      <c r="B2246" s="722"/>
      <c r="C2246" s="59" t="s">
        <v>93</v>
      </c>
      <c r="D2246" s="59"/>
      <c r="E2246" s="59"/>
      <c r="F2246" s="460"/>
      <c r="G2246" s="460"/>
      <c r="H2246" s="460"/>
      <c r="I2246" s="1259"/>
    </row>
    <row r="2247" spans="1:9" ht="14.55" customHeight="1" x14ac:dyDescent="0.3">
      <c r="A2247" s="1263" t="s">
        <v>298</v>
      </c>
      <c r="B2247" s="480">
        <f>B2188</f>
        <v>0</v>
      </c>
      <c r="C2247" s="59" t="s">
        <v>93</v>
      </c>
      <c r="D2247" s="59"/>
      <c r="E2247" s="59"/>
      <c r="F2247" s="460"/>
      <c r="G2247" s="460"/>
      <c r="H2247" s="460"/>
      <c r="I2247" s="1259"/>
    </row>
    <row r="2248" spans="1:9" ht="14.55" customHeight="1" x14ac:dyDescent="0.3">
      <c r="A2248" s="1263" t="s">
        <v>299</v>
      </c>
      <c r="B2248" s="727"/>
      <c r="C2248" s="59"/>
      <c r="D2248" s="59"/>
      <c r="E2248" s="59"/>
      <c r="F2248" s="460"/>
      <c r="G2248" s="460"/>
      <c r="H2248" s="460"/>
      <c r="I2248" s="1259"/>
    </row>
    <row r="2249" spans="1:9" ht="14.55" customHeight="1" x14ac:dyDescent="0.3">
      <c r="A2249" s="1263" t="s">
        <v>300</v>
      </c>
      <c r="B2249" s="722"/>
      <c r="C2249" s="59" t="s">
        <v>301</v>
      </c>
      <c r="D2249" s="59"/>
      <c r="E2249" s="59"/>
      <c r="F2249" s="460"/>
      <c r="G2249" s="460"/>
      <c r="H2249" s="460"/>
      <c r="I2249" s="1259"/>
    </row>
    <row r="2250" spans="1:9" ht="14.55" customHeight="1" x14ac:dyDescent="0.3">
      <c r="A2250" s="1263" t="s">
        <v>302</v>
      </c>
      <c r="B2250" s="480">
        <f>IF(B2248="Straight",B2247,B2247*2)</f>
        <v>0</v>
      </c>
      <c r="C2250" s="59" t="s">
        <v>93</v>
      </c>
      <c r="D2250" s="480"/>
      <c r="E2250" s="59"/>
      <c r="F2250" s="460"/>
      <c r="G2250" s="460"/>
      <c r="H2250" s="460"/>
      <c r="I2250" s="1259"/>
    </row>
    <row r="2251" spans="1:9" ht="14.55" customHeight="1" x14ac:dyDescent="0.3">
      <c r="A2251" s="1263" t="s">
        <v>303</v>
      </c>
      <c r="B2251" s="480">
        <f>B2245*PI()*B2250/1000000*B2249</f>
        <v>0</v>
      </c>
      <c r="C2251" s="59" t="s">
        <v>228</v>
      </c>
      <c r="D2251" s="59"/>
      <c r="E2251" s="59"/>
      <c r="F2251" s="460"/>
      <c r="G2251" s="460"/>
      <c r="H2251" s="460"/>
      <c r="I2251" s="1259"/>
    </row>
    <row r="2252" spans="1:9" ht="14.55" customHeight="1" x14ac:dyDescent="0.3">
      <c r="A2252" s="1263" t="s">
        <v>304</v>
      </c>
      <c r="B2252" s="480">
        <v>7.86</v>
      </c>
      <c r="C2252" s="59" t="s">
        <v>305</v>
      </c>
      <c r="D2252" s="59"/>
      <c r="E2252" s="59"/>
      <c r="F2252" s="460"/>
      <c r="G2252" s="460"/>
      <c r="H2252" s="460"/>
      <c r="I2252" s="1259"/>
    </row>
    <row r="2253" spans="1:9" ht="14.55" customHeight="1" x14ac:dyDescent="0.3">
      <c r="A2253" s="1263" t="s">
        <v>306</v>
      </c>
      <c r="B2253" s="480">
        <f>PI()*B2246*(B2245-B2246)*B2252/1000</f>
        <v>0</v>
      </c>
      <c r="C2253" s="59" t="s">
        <v>307</v>
      </c>
      <c r="D2253" s="59"/>
      <c r="E2253" s="59"/>
      <c r="F2253" s="460"/>
      <c r="G2253" s="460"/>
      <c r="H2253" s="460"/>
      <c r="I2253" s="1259"/>
    </row>
    <row r="2254" spans="1:9" ht="14.55" customHeight="1" x14ac:dyDescent="0.3">
      <c r="A2254" s="1263" t="s">
        <v>308</v>
      </c>
      <c r="B2254" s="480">
        <f>B2253*B2250*B2249/1000</f>
        <v>0</v>
      </c>
      <c r="C2254" s="59" t="s">
        <v>222</v>
      </c>
      <c r="D2254" s="59"/>
      <c r="E2254" s="59"/>
      <c r="F2254" s="460"/>
      <c r="G2254" s="460"/>
      <c r="H2254" s="460"/>
      <c r="I2254" s="1259"/>
    </row>
    <row r="2255" spans="1:9" ht="14.55" customHeight="1" x14ac:dyDescent="0.3">
      <c r="A2255" s="1263"/>
      <c r="B2255" s="480"/>
      <c r="C2255" s="59"/>
      <c r="D2255" s="59"/>
      <c r="E2255" s="59"/>
      <c r="F2255" s="460"/>
      <c r="G2255" s="460"/>
      <c r="H2255" s="460"/>
      <c r="I2255" s="1259"/>
    </row>
    <row r="2256" spans="1:9" ht="14.55" customHeight="1" x14ac:dyDescent="0.3">
      <c r="A2256" s="1262" t="s">
        <v>309</v>
      </c>
      <c r="B2256" s="480"/>
      <c r="C2256" s="59"/>
      <c r="D2256" s="59"/>
      <c r="E2256" s="59"/>
      <c r="F2256" s="460"/>
      <c r="G2256" s="460"/>
      <c r="H2256" s="460"/>
      <c r="I2256" s="1259"/>
    </row>
    <row r="2257" spans="1:9" ht="14.55" customHeight="1" x14ac:dyDescent="0.3">
      <c r="A2257" s="1263" t="s">
        <v>310</v>
      </c>
      <c r="B2257" s="480">
        <f>B2186</f>
        <v>0</v>
      </c>
      <c r="C2257" s="59" t="s">
        <v>93</v>
      </c>
      <c r="D2257" s="59"/>
      <c r="E2257" s="59"/>
      <c r="F2257" s="460"/>
      <c r="G2257" s="460"/>
      <c r="H2257" s="460"/>
      <c r="I2257" s="1259"/>
    </row>
    <row r="2258" spans="1:9" ht="14.55" customHeight="1" x14ac:dyDescent="0.3">
      <c r="A2258" s="1263" t="s">
        <v>297</v>
      </c>
      <c r="B2258" s="480">
        <v>15</v>
      </c>
      <c r="C2258" s="59" t="s">
        <v>93</v>
      </c>
      <c r="D2258" s="59"/>
      <c r="E2258" s="59"/>
      <c r="F2258" s="460"/>
      <c r="G2258" s="460"/>
      <c r="H2258" s="460"/>
      <c r="I2258" s="1259"/>
    </row>
    <row r="2259" spans="1:9" ht="14.55" customHeight="1" x14ac:dyDescent="0.3">
      <c r="A2259" s="1263" t="s">
        <v>311</v>
      </c>
      <c r="B2259" s="480">
        <f>B2257^2*PI()/4/1000000</f>
        <v>0</v>
      </c>
      <c r="C2259" s="59" t="s">
        <v>228</v>
      </c>
      <c r="D2259" s="59"/>
      <c r="E2259" s="59"/>
      <c r="F2259" s="460"/>
      <c r="G2259" s="460"/>
      <c r="H2259" s="460"/>
      <c r="I2259" s="1259"/>
    </row>
    <row r="2260" spans="1:9" ht="14.55" customHeight="1" x14ac:dyDescent="0.3">
      <c r="A2260" s="1263" t="s">
        <v>312</v>
      </c>
      <c r="B2260" s="480">
        <f>B2259*B2258/1000*B2252*2/1000</f>
        <v>0</v>
      </c>
      <c r="C2260" s="59" t="s">
        <v>222</v>
      </c>
      <c r="D2260" s="59"/>
      <c r="E2260" s="59"/>
      <c r="F2260" s="460"/>
      <c r="G2260" s="460"/>
      <c r="H2260" s="460"/>
      <c r="I2260" s="1259"/>
    </row>
    <row r="2261" spans="1:9" ht="14.55" customHeight="1" x14ac:dyDescent="0.3">
      <c r="A2261" s="1263"/>
      <c r="B2261" s="480"/>
      <c r="C2261" s="59"/>
      <c r="D2261" s="59"/>
      <c r="E2261" s="59"/>
      <c r="F2261" s="460"/>
      <c r="G2261" s="460"/>
      <c r="H2261" s="460"/>
      <c r="I2261" s="1259"/>
    </row>
    <row r="2262" spans="1:9" ht="14.55" customHeight="1" x14ac:dyDescent="0.3">
      <c r="A2262" s="1263" t="s">
        <v>313</v>
      </c>
      <c r="B2262" s="480">
        <f>B2254+B2260*2</f>
        <v>0</v>
      </c>
      <c r="C2262" s="59" t="s">
        <v>222</v>
      </c>
      <c r="D2262" s="59"/>
      <c r="E2262" s="59"/>
      <c r="F2262" s="460"/>
      <c r="G2262" s="460"/>
      <c r="H2262" s="460"/>
      <c r="I2262" s="1259"/>
    </row>
    <row r="2263" spans="1:9" ht="14.55" customHeight="1" x14ac:dyDescent="0.3">
      <c r="A2263" s="1263"/>
      <c r="B2263" s="480"/>
      <c r="C2263" s="59"/>
      <c r="D2263" s="59"/>
      <c r="E2263" s="59"/>
      <c r="F2263" s="460"/>
      <c r="G2263" s="460"/>
      <c r="H2263" s="460"/>
      <c r="I2263" s="1259"/>
    </row>
    <row r="2264" spans="1:9" ht="14.55" customHeight="1" x14ac:dyDescent="0.3">
      <c r="A2264" s="1260" t="s">
        <v>314</v>
      </c>
      <c r="B2264" s="460"/>
      <c r="C2264" s="460"/>
      <c r="D2264" s="463" t="s">
        <v>315</v>
      </c>
      <c r="E2264" s="460"/>
      <c r="F2264" s="460"/>
      <c r="G2264" s="471" t="s">
        <v>316</v>
      </c>
      <c r="H2264" s="453"/>
      <c r="I2264" s="1259"/>
    </row>
    <row r="2265" spans="1:9" ht="14.55" customHeight="1" x14ac:dyDescent="0.3">
      <c r="A2265" s="1258" t="s">
        <v>189</v>
      </c>
      <c r="B2265" s="468" t="e">
        <f>SUM(B2189,D2189,F2189)</f>
        <v>#N/A</v>
      </c>
      <c r="C2265" s="460" t="s">
        <v>222</v>
      </c>
      <c r="D2265" s="472" t="s">
        <v>189</v>
      </c>
      <c r="E2265" s="468" t="e">
        <f>SUM(B2191,D2191,F2191)</f>
        <v>#N/A</v>
      </c>
      <c r="F2265" s="460" t="s">
        <v>228</v>
      </c>
      <c r="G2265" s="472" t="s">
        <v>189</v>
      </c>
      <c r="H2265" s="453" t="e">
        <f>SUM(B2193,D2193,F2193)</f>
        <v>#N/A</v>
      </c>
      <c r="I2265" s="1259" t="s">
        <v>228</v>
      </c>
    </row>
    <row r="2266" spans="1:9" ht="14.55" customHeight="1" x14ac:dyDescent="0.3">
      <c r="A2266" s="1258" t="s">
        <v>317</v>
      </c>
      <c r="B2266" s="468" t="e">
        <f>SUM(B2199*B2201,D2199*D2201,F2199*F2201)</f>
        <v>#N/A</v>
      </c>
      <c r="C2266" s="460" t="s">
        <v>222</v>
      </c>
      <c r="D2266" s="472" t="s">
        <v>317</v>
      </c>
      <c r="E2266" s="468" t="e">
        <f>SUM(B2199*B2203,D2199*D2203,F2199*F2203)</f>
        <v>#N/A</v>
      </c>
      <c r="F2266" s="460" t="s">
        <v>228</v>
      </c>
      <c r="G2266" s="472" t="s">
        <v>317</v>
      </c>
      <c r="H2266" s="453" t="e">
        <f>SUM(B2199*B2205,D2199*D2205,F2199*F2205)</f>
        <v>#N/A</v>
      </c>
      <c r="I2266" s="1259" t="s">
        <v>228</v>
      </c>
    </row>
    <row r="2267" spans="1:9" ht="14.55" customHeight="1" x14ac:dyDescent="0.3">
      <c r="A2267" s="1258" t="s">
        <v>318</v>
      </c>
      <c r="B2267" s="468" t="e">
        <f>SUM(B2213,D2213,F2213)</f>
        <v>#N/A</v>
      </c>
      <c r="C2267" s="460" t="s">
        <v>222</v>
      </c>
      <c r="D2267" s="472" t="s">
        <v>318</v>
      </c>
      <c r="E2267" s="468" t="e">
        <f>SUM(B2215,D2215,F2215)</f>
        <v>#N/A</v>
      </c>
      <c r="F2267" s="460" t="s">
        <v>228</v>
      </c>
      <c r="G2267" s="472" t="s">
        <v>318</v>
      </c>
      <c r="H2267" s="453" t="e">
        <f>SUM(B2218,D2218,F2218)</f>
        <v>#N/A</v>
      </c>
      <c r="I2267" s="1259" t="s">
        <v>228</v>
      </c>
    </row>
    <row r="2268" spans="1:9" ht="14.55" customHeight="1" x14ac:dyDescent="0.3">
      <c r="A2268" s="1258" t="s">
        <v>319</v>
      </c>
      <c r="B2268" s="468">
        <f>SUMPRODUCT(F2285:F2296,H2285:H2296)</f>
        <v>0</v>
      </c>
      <c r="C2268" s="460" t="s">
        <v>222</v>
      </c>
      <c r="D2268" s="472" t="s">
        <v>319</v>
      </c>
      <c r="E2268" s="468">
        <f>SUMPRODUCT(F2285:F2296,I2285:I2296)</f>
        <v>0</v>
      </c>
      <c r="F2268" s="460" t="s">
        <v>228</v>
      </c>
      <c r="G2268" s="460"/>
      <c r="H2268" s="453"/>
      <c r="I2268" s="1259"/>
    </row>
    <row r="2269" spans="1:9" ht="14.55" customHeight="1" x14ac:dyDescent="0.3">
      <c r="A2269" s="1258" t="s">
        <v>320</v>
      </c>
      <c r="B2269" s="468" t="e">
        <f>IF(B2165="Horizontal",0,(PI()*B2239*(((B2187/2)^2)-(((B2187-2*B2238)/2)^2))*7860)/1000000000)</f>
        <v>#N/A</v>
      </c>
      <c r="C2269" s="460" t="s">
        <v>222</v>
      </c>
      <c r="D2269" s="472" t="s">
        <v>320</v>
      </c>
      <c r="E2269" s="468" t="e">
        <f>IF(B2165="Horizontal",0,((B2187*B2239*PI())+((B2187-2*B2238)*B2239*PI()))/1000000)</f>
        <v>#N/A</v>
      </c>
      <c r="F2269" s="460" t="s">
        <v>228</v>
      </c>
      <c r="G2269" s="471" t="s">
        <v>321</v>
      </c>
      <c r="H2269" s="453"/>
      <c r="I2269" s="1259"/>
    </row>
    <row r="2270" spans="1:9" ht="14.55" customHeight="1" x14ac:dyDescent="0.3">
      <c r="A2270" s="1258" t="s">
        <v>322</v>
      </c>
      <c r="B2270" s="468">
        <f>IF(B2165="Horizontal",0,(PI()*B2242*(((B2241/2)^2)-((B2240/2)^2))*7860)/1000000000)</f>
        <v>0</v>
      </c>
      <c r="C2270" s="460" t="s">
        <v>222</v>
      </c>
      <c r="D2270" s="472" t="s">
        <v>322</v>
      </c>
      <c r="E2270" s="468">
        <f>IF(B2165="Horizontal",0,((B2241*3.14*B2242)+(B2240*3.14*B2242)+(((((B2241/2)^2)*3.14)-(((B2240/2)^2)*3.14))*2))/1000000)</f>
        <v>0</v>
      </c>
      <c r="F2270" s="460" t="s">
        <v>228</v>
      </c>
      <c r="G2270" s="472" t="s">
        <v>189</v>
      </c>
      <c r="H2270" s="453">
        <f>SUM(B2190,D2190,F2190)</f>
        <v>0</v>
      </c>
      <c r="I2270" s="1259" t="s">
        <v>225</v>
      </c>
    </row>
    <row r="2271" spans="1:9" ht="14.55" customHeight="1" x14ac:dyDescent="0.3">
      <c r="A2271" s="1258" t="s">
        <v>323</v>
      </c>
      <c r="B2271" s="468">
        <f>IF(B2165="Horizontal",VLOOKUP(B2187,List!$AR:$AS,2,1)*2,0)</f>
        <v>0</v>
      </c>
      <c r="C2271" s="460" t="s">
        <v>222</v>
      </c>
      <c r="D2271" s="472" t="s">
        <v>323</v>
      </c>
      <c r="E2271" s="725"/>
      <c r="F2271" s="460" t="s">
        <v>228</v>
      </c>
      <c r="G2271" s="472" t="s">
        <v>317</v>
      </c>
      <c r="H2271" s="453" t="e">
        <f>SUM(B2199*B2202+D2199*D2202+F2199*F2202)</f>
        <v>#N/A</v>
      </c>
      <c r="I2271" s="1259" t="s">
        <v>225</v>
      </c>
    </row>
    <row r="2272" spans="1:9" ht="14.55" customHeight="1" x14ac:dyDescent="0.3">
      <c r="A2272" s="1258" t="s">
        <v>324</v>
      </c>
      <c r="B2272" s="468">
        <f>F2241*F2240</f>
        <v>0</v>
      </c>
      <c r="C2272" s="460" t="s">
        <v>222</v>
      </c>
      <c r="D2272" s="460"/>
      <c r="E2272" s="460"/>
      <c r="F2272" s="460"/>
      <c r="G2272" s="472" t="s">
        <v>318</v>
      </c>
      <c r="H2272" s="453">
        <f>SUM(B2214,D2214,F2214)</f>
        <v>0</v>
      </c>
      <c r="I2272" s="1259" t="s">
        <v>225</v>
      </c>
    </row>
    <row r="2273" spans="1:9" ht="14.55" customHeight="1" x14ac:dyDescent="0.3">
      <c r="A2273" s="1258" t="s">
        <v>325</v>
      </c>
      <c r="B2273" s="468">
        <f>B2262</f>
        <v>0</v>
      </c>
      <c r="C2273" s="460" t="s">
        <v>222</v>
      </c>
      <c r="D2273" s="460"/>
      <c r="E2273" s="460"/>
      <c r="F2273" s="460"/>
      <c r="G2273" s="472"/>
      <c r="H2273" s="453"/>
      <c r="I2273" s="1259"/>
    </row>
    <row r="2274" spans="1:9" ht="14.55" customHeight="1" x14ac:dyDescent="0.3">
      <c r="A2274" s="1258" t="s">
        <v>326</v>
      </c>
      <c r="B2274" s="725"/>
      <c r="C2274" s="460" t="s">
        <v>222</v>
      </c>
      <c r="D2274" s="460"/>
      <c r="E2274" s="460"/>
      <c r="F2274" s="460"/>
      <c r="G2274" s="460"/>
      <c r="H2274" s="460"/>
      <c r="I2274" s="1259"/>
    </row>
    <row r="2275" spans="1:9" ht="14.55" customHeight="1" x14ac:dyDescent="0.3">
      <c r="A2275" s="1264"/>
      <c r="B2275" s="460"/>
      <c r="C2275" s="460"/>
      <c r="D2275" s="460"/>
      <c r="E2275" s="460"/>
      <c r="F2275" s="460"/>
      <c r="G2275" s="460"/>
      <c r="H2275" s="460"/>
      <c r="I2275" s="1259"/>
    </row>
    <row r="2276" spans="1:9" ht="14.55" customHeight="1" x14ac:dyDescent="0.3">
      <c r="A2276" s="1258" t="s">
        <v>327</v>
      </c>
      <c r="B2276" s="453" t="e">
        <f>SUM(E2265:E2271)</f>
        <v>#N/A</v>
      </c>
      <c r="C2276" s="460" t="s">
        <v>228</v>
      </c>
      <c r="D2276" s="460"/>
      <c r="E2276" s="460"/>
      <c r="F2276" s="460"/>
      <c r="G2276" s="460"/>
      <c r="H2276" s="460"/>
      <c r="I2276" s="1259"/>
    </row>
    <row r="2277" spans="1:9" ht="14.55" customHeight="1" x14ac:dyDescent="0.3">
      <c r="A2277" s="1258" t="s">
        <v>328</v>
      </c>
      <c r="B2277" s="453" t="e">
        <f>IF(SUM(E2265:E2267)=SUM(H2265:H2267),"Not Insulated",SUM(H2265:H2267))</f>
        <v>#N/A</v>
      </c>
      <c r="C2277" s="460" t="e">
        <f>IF(B2276=SUM(H2265:H2267),"","m2")</f>
        <v>#N/A</v>
      </c>
      <c r="D2277" s="460"/>
      <c r="E2277" s="460"/>
      <c r="F2277" s="460"/>
      <c r="G2277" s="460"/>
      <c r="H2277" s="460"/>
      <c r="I2277" s="1259"/>
    </row>
    <row r="2278" spans="1:9" ht="14.55" customHeight="1" x14ac:dyDescent="0.3">
      <c r="A2278" s="1258" t="s">
        <v>329</v>
      </c>
      <c r="B2278" s="453" t="e">
        <f>SUM(H2270:H2272)</f>
        <v>#N/A</v>
      </c>
      <c r="C2278" s="460" t="s">
        <v>225</v>
      </c>
      <c r="D2278" s="460"/>
      <c r="E2278" s="460"/>
      <c r="F2278" s="460"/>
      <c r="G2278" s="460"/>
      <c r="H2278" s="460"/>
      <c r="I2278" s="1259"/>
    </row>
    <row r="2279" spans="1:9" ht="14.55" customHeight="1" x14ac:dyDescent="0.3">
      <c r="A2279" s="1258" t="s">
        <v>330</v>
      </c>
      <c r="B2279" s="453" t="e">
        <f>SUM(B2265:B2274)</f>
        <v>#N/A</v>
      </c>
      <c r="C2279" s="460" t="s">
        <v>222</v>
      </c>
      <c r="D2279" s="460"/>
      <c r="E2279" s="460"/>
      <c r="F2279" s="460"/>
      <c r="G2279" s="460"/>
      <c r="H2279" s="460"/>
      <c r="I2279" s="1259"/>
    </row>
    <row r="2280" spans="1:9" ht="14.55" customHeight="1" x14ac:dyDescent="0.3">
      <c r="A2280" s="1258" t="s">
        <v>331</v>
      </c>
      <c r="B2280" s="725"/>
      <c r="C2280" s="460" t="s">
        <v>222</v>
      </c>
      <c r="D2280" s="460"/>
      <c r="E2280" s="460"/>
      <c r="F2280" s="460"/>
      <c r="G2280" s="460"/>
      <c r="H2280" s="460"/>
      <c r="I2280" s="1259"/>
    </row>
    <row r="2281" spans="1:9" ht="15" customHeight="1" thickBot="1" x14ac:dyDescent="0.35">
      <c r="A2281" s="1258"/>
      <c r="B2281" s="473"/>
      <c r="C2281" s="459"/>
      <c r="D2281" s="460"/>
      <c r="E2281" s="460"/>
      <c r="F2281" s="460"/>
      <c r="G2281" s="460"/>
      <c r="H2281" s="460"/>
      <c r="I2281" s="1259"/>
    </row>
    <row r="2282" spans="1:9" ht="15" customHeight="1" thickBot="1" x14ac:dyDescent="0.35">
      <c r="A2282" s="474"/>
      <c r="B2282" s="1718" t="s">
        <v>332</v>
      </c>
      <c r="C2282" s="1718"/>
      <c r="D2282" s="1718"/>
      <c r="E2282" s="1718"/>
      <c r="F2282" s="1718"/>
      <c r="G2282" s="475"/>
      <c r="H2282" s="475"/>
      <c r="I2282" s="476"/>
    </row>
    <row r="2283" spans="1:9" ht="14.55" customHeight="1" x14ac:dyDescent="0.3">
      <c r="A2283" s="1264"/>
      <c r="B2283" s="1719" t="s">
        <v>333</v>
      </c>
      <c r="C2283" s="1381" t="s">
        <v>59</v>
      </c>
      <c r="D2283" s="1719" t="s">
        <v>114</v>
      </c>
      <c r="E2283" s="1719" t="s">
        <v>334</v>
      </c>
      <c r="F2283" s="1719" t="s">
        <v>292</v>
      </c>
      <c r="G2283" s="1719" t="s">
        <v>335</v>
      </c>
      <c r="H2283" s="1381" t="s">
        <v>184</v>
      </c>
      <c r="I2283" s="1346" t="s">
        <v>336</v>
      </c>
    </row>
    <row r="2284" spans="1:9" ht="14.55" customHeight="1" x14ac:dyDescent="0.3">
      <c r="A2284" s="1264"/>
      <c r="B2284" s="1720"/>
      <c r="C2284" s="1442" t="s">
        <v>214</v>
      </c>
      <c r="D2284" s="1720"/>
      <c r="E2284" s="1720"/>
      <c r="F2284" s="1720"/>
      <c r="G2284" s="1720"/>
      <c r="H2284" s="1442" t="s">
        <v>222</v>
      </c>
      <c r="I2284" s="1443" t="s">
        <v>228</v>
      </c>
    </row>
    <row r="2285" spans="1:9" ht="14.55" customHeight="1" x14ac:dyDescent="0.3">
      <c r="A2285" s="1264"/>
      <c r="B2285" s="1382" t="s">
        <v>337</v>
      </c>
      <c r="C2285" s="728"/>
      <c r="D2285" s="729"/>
      <c r="E2285" s="730"/>
      <c r="F2285" s="730"/>
      <c r="G2285" s="730"/>
      <c r="H2285" s="1465" t="str">
        <f>IFERROR(VLOOKUP($C2285&amp;"F"&amp;$D2285,'Flanges Chart'!$1:$1048576,MATCH($E2285&amp;"."&amp;H$123,'Flanges Chart'!$1:$1,0),0),"")</f>
        <v/>
      </c>
      <c r="I2285" s="1466" t="str">
        <f>IFERROR(VLOOKUP($C2285&amp;"F"&amp;$D2285,'Flanges Chart'!$1:$1048576,MATCH($E2285&amp;"."&amp;I$123,'Flanges Chart'!$1:$1,0),0),"")</f>
        <v/>
      </c>
    </row>
    <row r="2286" spans="1:9" ht="14.55" customHeight="1" x14ac:dyDescent="0.3">
      <c r="A2286" s="1264"/>
      <c r="B2286" s="1467" t="s">
        <v>340</v>
      </c>
      <c r="C2286" s="731"/>
      <c r="D2286" s="729"/>
      <c r="E2286" s="729"/>
      <c r="F2286" s="729"/>
      <c r="G2286" s="729"/>
      <c r="H2286" s="1465" t="str">
        <f>IFERROR(VLOOKUP($C2286&amp;"F"&amp;$D2286,'Flanges Chart'!$1:$1048576,MATCH($E2286&amp;"."&amp;H$123,'Flanges Chart'!$1:$1,0),0),"")</f>
        <v/>
      </c>
      <c r="I2286" s="1466" t="str">
        <f>IFERROR(VLOOKUP($C2286&amp;"F"&amp;$D2286,'Flanges Chart'!$1:$1048576,MATCH($E2286&amp;"."&amp;I$123,'Flanges Chart'!$1:$1,0),0),"")</f>
        <v/>
      </c>
    </row>
    <row r="2287" spans="1:9" ht="14.55" customHeight="1" x14ac:dyDescent="0.3">
      <c r="A2287" s="1264"/>
      <c r="B2287" s="1467" t="s">
        <v>342</v>
      </c>
      <c r="C2287" s="731"/>
      <c r="D2287" s="729"/>
      <c r="E2287" s="729"/>
      <c r="F2287" s="729"/>
      <c r="G2287" s="729"/>
      <c r="H2287" s="1465" t="str">
        <f>IFERROR(VLOOKUP($C2287&amp;"F"&amp;$D2287,'Flanges Chart'!$1:$1048576,MATCH($E2287&amp;"."&amp;H$123,'Flanges Chart'!$1:$1,0),0),"")</f>
        <v/>
      </c>
      <c r="I2287" s="1466" t="str">
        <f>IFERROR(VLOOKUP($C2287&amp;"F"&amp;$D2287,'Flanges Chart'!$1:$1048576,MATCH($E2287&amp;"."&amp;I$123,'Flanges Chart'!$1:$1,0),0),"")</f>
        <v/>
      </c>
    </row>
    <row r="2288" spans="1:9" ht="14.55" customHeight="1" x14ac:dyDescent="0.3">
      <c r="A2288" s="1264"/>
      <c r="B2288" s="1467" t="s">
        <v>344</v>
      </c>
      <c r="C2288" s="731"/>
      <c r="D2288" s="729"/>
      <c r="E2288" s="729"/>
      <c r="F2288" s="729"/>
      <c r="G2288" s="729"/>
      <c r="H2288" s="1465" t="str">
        <f>IFERROR(VLOOKUP($C2288&amp;"F"&amp;$D2288,'Flanges Chart'!$1:$1048576,MATCH($E2288&amp;"."&amp;H$123,'Flanges Chart'!$1:$1,0),0),"")</f>
        <v/>
      </c>
      <c r="I2288" s="1466" t="str">
        <f>IFERROR(VLOOKUP($C2288&amp;"F"&amp;$D2288,'Flanges Chart'!$1:$1048576,MATCH($E2288&amp;"."&amp;I$123,'Flanges Chart'!$1:$1,0),0),"")</f>
        <v/>
      </c>
    </row>
    <row r="2289" spans="1:13" ht="14.55" customHeight="1" x14ac:dyDescent="0.3">
      <c r="A2289" s="1264"/>
      <c r="B2289" s="1467" t="s">
        <v>347</v>
      </c>
      <c r="C2289" s="731"/>
      <c r="D2289" s="729"/>
      <c r="E2289" s="729"/>
      <c r="F2289" s="729"/>
      <c r="G2289" s="729"/>
      <c r="H2289" s="1465" t="str">
        <f>IFERROR(VLOOKUP($C2289&amp;"F"&amp;$D2289,'Flanges Chart'!$1:$1048576,MATCH($E2289&amp;"."&amp;H$123,'Flanges Chart'!$1:$1,0),0),"")</f>
        <v/>
      </c>
      <c r="I2289" s="1466" t="str">
        <f>IFERROR(VLOOKUP($C2289&amp;"F"&amp;$D2289,'Flanges Chart'!$1:$1048576,MATCH($E2289&amp;"."&amp;I$123,'Flanges Chart'!$1:$1,0),0),"")</f>
        <v/>
      </c>
    </row>
    <row r="2290" spans="1:13" ht="14.55" customHeight="1" x14ac:dyDescent="0.3">
      <c r="A2290" s="1264"/>
      <c r="B2290" s="1467" t="s">
        <v>349</v>
      </c>
      <c r="C2290" s="731"/>
      <c r="D2290" s="729"/>
      <c r="E2290" s="729"/>
      <c r="F2290" s="729"/>
      <c r="G2290" s="729"/>
      <c r="H2290" s="1465" t="str">
        <f>IFERROR(VLOOKUP($C2290&amp;"F"&amp;$D2290,'Flanges Chart'!$1:$1048576,MATCH($E2290&amp;"."&amp;H$123,'Flanges Chart'!$1:$1,0),0),"")</f>
        <v/>
      </c>
      <c r="I2290" s="1466" t="str">
        <f>IFERROR(VLOOKUP($C2290&amp;"F"&amp;$D2290,'Flanges Chart'!$1:$1048576,MATCH($E2290&amp;"."&amp;I$123,'Flanges Chart'!$1:$1,0),0),"")</f>
        <v/>
      </c>
    </row>
    <row r="2291" spans="1:13" ht="14.55" customHeight="1" x14ac:dyDescent="0.3">
      <c r="A2291" s="1264"/>
      <c r="B2291" s="1467" t="s">
        <v>350</v>
      </c>
      <c r="C2291" s="731"/>
      <c r="D2291" s="729"/>
      <c r="E2291" s="729"/>
      <c r="F2291" s="729"/>
      <c r="G2291" s="729"/>
      <c r="H2291" s="1465" t="str">
        <f>IFERROR(VLOOKUP($C2291&amp;"F"&amp;$D2291,'Flanges Chart'!$1:$1048576,MATCH($E2291&amp;"."&amp;H$123,'Flanges Chart'!$1:$1,0),0),"")</f>
        <v/>
      </c>
      <c r="I2291" s="1466" t="str">
        <f>IFERROR(VLOOKUP($C2291&amp;"F"&amp;$D2291,'Flanges Chart'!$1:$1048576,MATCH($E2291&amp;"."&amp;I$123,'Flanges Chart'!$1:$1,0),0),"")</f>
        <v/>
      </c>
    </row>
    <row r="2292" spans="1:13" ht="14.55" customHeight="1" x14ac:dyDescent="0.3">
      <c r="A2292" s="1264"/>
      <c r="B2292" s="1467" t="s">
        <v>351</v>
      </c>
      <c r="C2292" s="731"/>
      <c r="D2292" s="729"/>
      <c r="E2292" s="729"/>
      <c r="F2292" s="729"/>
      <c r="G2292" s="729"/>
      <c r="H2292" s="1465" t="str">
        <f>IFERROR(VLOOKUP($C2292&amp;"F"&amp;$D2292,'Flanges Chart'!$1:$1048576,MATCH($E2292&amp;"."&amp;H$123,'Flanges Chart'!$1:$1,0),0),"")</f>
        <v/>
      </c>
      <c r="I2292" s="1466" t="str">
        <f>IFERROR(VLOOKUP($C2292&amp;"F"&amp;$D2292,'Flanges Chart'!$1:$1048576,MATCH($E2292&amp;"."&amp;I$123,'Flanges Chart'!$1:$1,0),0),"")</f>
        <v/>
      </c>
    </row>
    <row r="2293" spans="1:13" ht="14.55" customHeight="1" x14ac:dyDescent="0.3">
      <c r="A2293" s="1264"/>
      <c r="B2293" s="1467" t="s">
        <v>352</v>
      </c>
      <c r="C2293" s="731"/>
      <c r="D2293" s="729"/>
      <c r="E2293" s="729"/>
      <c r="F2293" s="729"/>
      <c r="G2293" s="729"/>
      <c r="H2293" s="1465" t="str">
        <f>IFERROR(VLOOKUP($C2293&amp;"F"&amp;$D2293,'Flanges Chart'!$1:$1048576,MATCH($E2293&amp;"."&amp;H$123,'Flanges Chart'!$1:$1,0),0),"")</f>
        <v/>
      </c>
      <c r="I2293" s="1466" t="str">
        <f>IFERROR(VLOOKUP($C2293&amp;"F"&amp;$D2293,'Flanges Chart'!$1:$1048576,MATCH($E2293&amp;"."&amp;I$123,'Flanges Chart'!$1:$1,0),0),"")</f>
        <v/>
      </c>
    </row>
    <row r="2294" spans="1:13" ht="14.55" customHeight="1" x14ac:dyDescent="0.3">
      <c r="A2294" s="1264"/>
      <c r="B2294" s="1467" t="s">
        <v>353</v>
      </c>
      <c r="C2294" s="731"/>
      <c r="D2294" s="729"/>
      <c r="E2294" s="729"/>
      <c r="F2294" s="729"/>
      <c r="G2294" s="729"/>
      <c r="H2294" s="1465" t="str">
        <f>IFERROR(VLOOKUP($C2294&amp;"F"&amp;$D2294,'Flanges Chart'!$1:$1048576,MATCH($E2294&amp;"."&amp;H$123,'Flanges Chart'!$1:$1,0),0),"")</f>
        <v/>
      </c>
      <c r="I2294" s="1466" t="str">
        <f>IFERROR(VLOOKUP($C2294&amp;"F"&amp;$D2294,'Flanges Chart'!$1:$1048576,MATCH($E2294&amp;"."&amp;I$123,'Flanges Chart'!$1:$1,0),0),"")</f>
        <v/>
      </c>
    </row>
    <row r="2295" spans="1:13" ht="14.55" customHeight="1" x14ac:dyDescent="0.3">
      <c r="A2295" s="1264"/>
      <c r="B2295" s="1467" t="s">
        <v>354</v>
      </c>
      <c r="C2295" s="731"/>
      <c r="D2295" s="729"/>
      <c r="E2295" s="729"/>
      <c r="F2295" s="729"/>
      <c r="G2295" s="729"/>
      <c r="H2295" s="1465" t="str">
        <f>IFERROR(VLOOKUP($C2295&amp;"F"&amp;$D2295,'Flanges Chart'!$1:$1048576,MATCH($E2295&amp;"."&amp;H$123,'Flanges Chart'!$1:$1,0),0),"")</f>
        <v/>
      </c>
      <c r="I2295" s="1466" t="str">
        <f>IFERROR(VLOOKUP($C2295&amp;"F"&amp;$D2295,'Flanges Chart'!$1:$1048576,MATCH($E2295&amp;"."&amp;I$123,'Flanges Chart'!$1:$1,0),0),"")</f>
        <v/>
      </c>
    </row>
    <row r="2296" spans="1:13" ht="15" customHeight="1" thickBot="1" x14ac:dyDescent="0.35">
      <c r="A2296" s="1264"/>
      <c r="B2296" s="1468" t="s">
        <v>355</v>
      </c>
      <c r="C2296" s="732"/>
      <c r="D2296" s="733"/>
      <c r="E2296" s="733"/>
      <c r="F2296" s="733"/>
      <c r="G2296" s="733"/>
      <c r="H2296" s="1469" t="s">
        <v>356</v>
      </c>
      <c r="I2296" s="1470" t="str">
        <f>IFERROR(VLOOKUP($C2296&amp;"F"&amp;$D2296,'Flanges Chart'!$1:$1048576,MATCH($E2296&amp;"."&amp;I$123,'Flanges Chart'!$1:$1,0),0),"")</f>
        <v/>
      </c>
    </row>
    <row r="2297" spans="1:13" s="496" customFormat="1" ht="18.600000000000001" thickBot="1" x14ac:dyDescent="0.35">
      <c r="A2297" s="493" t="str">
        <f>"POS."&amp;K2297&amp;" "&amp;VLOOKUP(K2297,'Equip&amp;Mach List'!$1:$1048576,2,0)&amp;" "&amp;VLOOKUP(K2297,'Equip&amp;Mach List'!$1:$1048576,3,0)</f>
        <v xml:space="preserve">POS.18  </v>
      </c>
      <c r="B2297" s="511"/>
      <c r="C2297" s="494"/>
      <c r="D2297" s="495"/>
      <c r="E2297" s="495"/>
      <c r="F2297" s="497"/>
      <c r="G2297" s="495"/>
      <c r="H2297" s="495"/>
      <c r="I2297" s="1255" t="str">
        <f>IFERROR("Weight Calc./Selected = "&amp;ROUND(B2414,1)&amp;"/"&amp;B2415&amp;" kg - Øi ="&amp;IF(B2321=0,F2321,B2321)&amp;" mm"&amp;"T/T ="&amp;IF(B2322=0,F2322,B2322)&amp;" mm - Material "&amp;B2308&amp;"        ","")</f>
        <v/>
      </c>
      <c r="K2297" s="496">
        <v>18</v>
      </c>
      <c r="M2297" s="1254"/>
    </row>
    <row r="2298" spans="1:13" ht="14.55" customHeight="1" x14ac:dyDescent="0.3">
      <c r="A2298" s="1256"/>
      <c r="B2298" s="451"/>
      <c r="C2298" s="451"/>
      <c r="D2298" s="451"/>
      <c r="E2298" s="451"/>
      <c r="F2298" s="451"/>
      <c r="G2298" s="451"/>
      <c r="H2298" s="451"/>
      <c r="I2298" s="1257"/>
      <c r="K2298" s="477" t="s">
        <v>166</v>
      </c>
      <c r="L2298" s="477" t="str">
        <f>K2297&amp;"."&amp;K2298</f>
        <v>18.Design Code</v>
      </c>
      <c r="M2298" s="1252" t="str">
        <f>A2299&amp;" "&amp;B2299</f>
        <v xml:space="preserve">ASME VIII </v>
      </c>
    </row>
    <row r="2299" spans="1:13" ht="14.55" customHeight="1" x14ac:dyDescent="0.3">
      <c r="A2299" s="1258" t="s">
        <v>167</v>
      </c>
      <c r="B2299" s="718"/>
      <c r="C2299" s="459"/>
      <c r="D2299" s="460"/>
      <c r="E2299" s="460"/>
      <c r="F2299" s="460"/>
      <c r="G2299" s="460"/>
      <c r="H2299" s="460"/>
      <c r="I2299" s="1259"/>
      <c r="K2299" s="477" t="s">
        <v>169</v>
      </c>
      <c r="L2299" s="477" t="str">
        <f>K2297&amp;"."&amp;K2299</f>
        <v>18.Orientation</v>
      </c>
      <c r="M2299" s="1252">
        <f>B2300</f>
        <v>0</v>
      </c>
    </row>
    <row r="2300" spans="1:13" ht="14.55" customHeight="1" x14ac:dyDescent="0.3">
      <c r="A2300" s="1258" t="s">
        <v>170</v>
      </c>
      <c r="B2300" s="718"/>
      <c r="C2300" s="459"/>
      <c r="D2300" s="460"/>
      <c r="E2300" s="460"/>
      <c r="F2300" s="461"/>
      <c r="G2300" s="460"/>
      <c r="H2300" s="460"/>
      <c r="I2300" s="1259"/>
      <c r="K2300" s="477" t="s">
        <v>172</v>
      </c>
      <c r="L2300" s="477" t="str">
        <f>K2297&amp;"."&amp;K2300</f>
        <v>18.Design Temperature</v>
      </c>
      <c r="M2300" s="1252">
        <f>D2303</f>
        <v>0</v>
      </c>
    </row>
    <row r="2301" spans="1:13" ht="14.55" customHeight="1" x14ac:dyDescent="0.3">
      <c r="A2301" s="1258"/>
      <c r="B2301" s="459"/>
      <c r="C2301" s="459"/>
      <c r="D2301" s="460"/>
      <c r="E2301" s="460"/>
      <c r="F2301" s="462"/>
      <c r="G2301" s="460"/>
      <c r="H2301" s="460"/>
      <c r="I2301" s="1259"/>
      <c r="K2301" s="477" t="s">
        <v>173</v>
      </c>
      <c r="L2301" s="477" t="str">
        <f>K2297&amp;"."&amp;K2301</f>
        <v>18.Design Pressure</v>
      </c>
      <c r="M2301" s="1252">
        <f>D2304</f>
        <v>0</v>
      </c>
    </row>
    <row r="2302" spans="1:13" ht="14.55" customHeight="1" x14ac:dyDescent="0.3">
      <c r="A2302" s="1260" t="s">
        <v>174</v>
      </c>
      <c r="B2302" s="459"/>
      <c r="C2302" s="459"/>
      <c r="D2302" s="460"/>
      <c r="E2302" s="460"/>
      <c r="F2302" s="462"/>
      <c r="G2302" s="460"/>
      <c r="H2302" s="460"/>
      <c r="I2302" s="1259"/>
      <c r="K2302" s="477" t="s">
        <v>175</v>
      </c>
      <c r="L2302" s="477" t="str">
        <f>K2297&amp;"."&amp;K2302</f>
        <v>18.Material</v>
      </c>
      <c r="M2302" s="1252">
        <f>B2308</f>
        <v>0</v>
      </c>
    </row>
    <row r="2303" spans="1:13" ht="14.55" customHeight="1" x14ac:dyDescent="0.3">
      <c r="A2303" s="1258" t="s">
        <v>176</v>
      </c>
      <c r="B2303" s="719"/>
      <c r="C2303" s="720" t="s">
        <v>177</v>
      </c>
      <c r="D2303" s="464">
        <f>IF(C2303="°C",B2303,0)+IF(C2303="°F",(B2303-32)*5/9,0)</f>
        <v>0</v>
      </c>
      <c r="E2303" s="460" t="s">
        <v>177</v>
      </c>
      <c r="F2303" s="462"/>
      <c r="G2303" s="460"/>
      <c r="H2303" s="460"/>
      <c r="I2303" s="1259"/>
      <c r="K2303" s="477" t="s">
        <v>178</v>
      </c>
      <c r="L2303" s="477" t="str">
        <f>K2297&amp;"."&amp;K2303</f>
        <v>18.Inside Diameter</v>
      </c>
      <c r="M2303" s="1252">
        <f>IF(B2321=0,F2321,B2321)</f>
        <v>0</v>
      </c>
    </row>
    <row r="2304" spans="1:13" ht="14.55" customHeight="1" x14ac:dyDescent="0.3">
      <c r="A2304" s="1258" t="s">
        <v>179</v>
      </c>
      <c r="B2304" s="721"/>
      <c r="C2304" s="720" t="s">
        <v>180</v>
      </c>
      <c r="D2304" s="452">
        <f>IF(C2304="barg",B2304,0)+IF(C2304="psig",B2304*List!$AV$4,0)+IF(C2304="MPa",B2304*List!$AV$5,0)+IF(C2304="N/mm2",B2304*List!$AV$6,0)</f>
        <v>0</v>
      </c>
      <c r="E2304" s="460" t="s">
        <v>180</v>
      </c>
      <c r="F2304" s="460"/>
      <c r="G2304" s="460"/>
      <c r="H2304" s="460"/>
      <c r="I2304" s="1259"/>
      <c r="K2304" s="477" t="s">
        <v>181</v>
      </c>
      <c r="L2304" s="477" t="str">
        <f>K2297&amp;"."&amp;K2304</f>
        <v>18.Tan / Tan</v>
      </c>
      <c r="M2304" s="1252">
        <f>IF(B2323=0,F2323,B2323)</f>
        <v>0</v>
      </c>
    </row>
    <row r="2305" spans="1:13" ht="14.55" customHeight="1" x14ac:dyDescent="0.3">
      <c r="A2305" s="1258" t="s">
        <v>182</v>
      </c>
      <c r="B2305" s="721"/>
      <c r="C2305" s="720" t="s">
        <v>180</v>
      </c>
      <c r="D2305" s="452">
        <f>IF(C2305="barg",B2305,0)+IF(C2305="psig",B2305*List!$AV$4,0)+IF(C2305="MPa",B2305*List!$AV$5,0)+IF(C2305="N/mm2",B2305*List!$AV$6,0)</f>
        <v>0</v>
      </c>
      <c r="E2305" s="460" t="s">
        <v>180</v>
      </c>
      <c r="F2305" s="460"/>
      <c r="G2305" s="465"/>
      <c r="H2305" s="460"/>
      <c r="I2305" s="1259"/>
      <c r="K2305" s="477" t="s">
        <v>183</v>
      </c>
      <c r="L2305" s="477" t="str">
        <f>K2297&amp;"."&amp;K2305</f>
        <v>18.Thickness</v>
      </c>
      <c r="M2305" s="1252" t="e">
        <f>IF(B2362=0,F2366,B2362)</f>
        <v>#N/A</v>
      </c>
    </row>
    <row r="2306" spans="1:13" ht="14.55" customHeight="1" x14ac:dyDescent="0.3">
      <c r="A2306" s="1258"/>
      <c r="B2306" s="459"/>
      <c r="C2306" s="459"/>
      <c r="D2306" s="460"/>
      <c r="E2306" s="460"/>
      <c r="F2306" s="460"/>
      <c r="G2306" s="465"/>
      <c r="H2306" s="460"/>
      <c r="I2306" s="1259"/>
      <c r="K2306" s="477" t="s">
        <v>184</v>
      </c>
      <c r="L2306" s="477" t="str">
        <f>K2297&amp;"."&amp;K2306</f>
        <v>18.Unit Weight</v>
      </c>
      <c r="M2306" s="1252">
        <f>B2415</f>
        <v>0</v>
      </c>
    </row>
    <row r="2307" spans="1:13" ht="14.55" customHeight="1" x14ac:dyDescent="0.3">
      <c r="A2307" s="1260" t="s">
        <v>185</v>
      </c>
      <c r="B2307" s="459" t="s">
        <v>186</v>
      </c>
      <c r="C2307" s="459"/>
      <c r="D2307" s="460"/>
      <c r="E2307" s="460"/>
      <c r="F2307" s="460" t="s">
        <v>187</v>
      </c>
      <c r="G2307" s="465"/>
      <c r="H2307" s="460"/>
      <c r="I2307" s="1259"/>
      <c r="K2307" s="478" t="s">
        <v>188</v>
      </c>
      <c r="L2307" s="477" t="str">
        <f>K2297&amp;"."&amp;K2307</f>
        <v>18.Unit External Surface</v>
      </c>
      <c r="M2307" s="1252" t="e">
        <f>B2411</f>
        <v>#N/A</v>
      </c>
    </row>
    <row r="2308" spans="1:13" ht="14.55" customHeight="1" x14ac:dyDescent="0.3">
      <c r="A2308" s="1258" t="s">
        <v>189</v>
      </c>
      <c r="B2308" s="1716"/>
      <c r="C2308" s="1717"/>
      <c r="D2308" s="460"/>
      <c r="E2308" s="461"/>
      <c r="F2308" s="1716"/>
      <c r="G2308" s="1717"/>
      <c r="H2308" s="460"/>
      <c r="I2308" s="1259"/>
      <c r="K2308" s="477" t="s">
        <v>191</v>
      </c>
      <c r="L2308" s="477" t="str">
        <f>K2297&amp;"."&amp;K2308</f>
        <v>18.M1 DN</v>
      </c>
      <c r="M2308" s="1252">
        <f>C2429</f>
        <v>0</v>
      </c>
    </row>
    <row r="2309" spans="1:13" ht="14.55" customHeight="1" x14ac:dyDescent="0.3">
      <c r="A2309" s="1258" t="s">
        <v>192</v>
      </c>
      <c r="B2309" s="1716"/>
      <c r="C2309" s="1717"/>
      <c r="D2309" s="460"/>
      <c r="E2309" s="461"/>
      <c r="F2309" s="1716"/>
      <c r="G2309" s="1717"/>
      <c r="H2309" s="460"/>
      <c r="I2309" s="1259"/>
      <c r="K2309" s="477" t="s">
        <v>193</v>
      </c>
      <c r="L2309" s="477" t="str">
        <f>K2297&amp;"."&amp;K2309</f>
        <v>18.M1 Rating</v>
      </c>
      <c r="M2309" s="1252">
        <f>D2429</f>
        <v>0</v>
      </c>
    </row>
    <row r="2310" spans="1:13" ht="14.55" customHeight="1" x14ac:dyDescent="0.3">
      <c r="A2310" s="1258"/>
      <c r="B2310" s="466"/>
      <c r="C2310" s="466"/>
      <c r="D2310" s="460"/>
      <c r="E2310" s="460"/>
      <c r="F2310" s="460"/>
      <c r="G2310" s="460"/>
      <c r="H2310" s="460"/>
      <c r="I2310" s="1259"/>
      <c r="K2310" s="477" t="s">
        <v>194</v>
      </c>
      <c r="L2310" s="477" t="str">
        <f>K2297&amp;"."&amp;K2310</f>
        <v>18.M1 Type</v>
      </c>
      <c r="M2310" s="1252">
        <f>E2429</f>
        <v>0</v>
      </c>
    </row>
    <row r="2311" spans="1:13" ht="14.55" customHeight="1" x14ac:dyDescent="0.3">
      <c r="A2311" s="1258" t="s">
        <v>195</v>
      </c>
      <c r="B2311" s="460"/>
      <c r="C2311" s="460"/>
      <c r="D2311" s="460"/>
      <c r="E2311" s="460"/>
      <c r="F2311" s="460"/>
      <c r="G2311" s="460"/>
      <c r="H2311" s="460"/>
      <c r="I2311" s="1259"/>
      <c r="K2311" s="477" t="s">
        <v>196</v>
      </c>
      <c r="L2311" s="477" t="str">
        <f>K2297&amp;"."&amp;K2311</f>
        <v>18.M1 Quantity</v>
      </c>
      <c r="M2311" s="1252">
        <f>F2429</f>
        <v>0</v>
      </c>
    </row>
    <row r="2312" spans="1:13" ht="14.55" customHeight="1" x14ac:dyDescent="0.3">
      <c r="A2312" s="1258" t="s">
        <v>197</v>
      </c>
      <c r="B2312" s="464" t="e">
        <f>$D2303*(VLOOKUP($B2308,'ASME II Tab 1A'!$1:$1048576,MATCH($D2303,'ASME II Tab 1A'!$6:$6,1)+1,0)-VLOOKUP($B2308,'ASME II Tab 1A'!$1:$1048576,MATCH($D2303,'ASME II Tab 1A'!$6:$6,1),0))/(INDEX('ASME II Tab 1A'!$6:$6,MATCH($D2303,'ASME II Tab 1A'!$6:$6,1)+1)-INDEX('ASME II Tab 1A'!$6:$6,MATCH($D2303,'ASME II Tab 1A'!$6:$6,1)))+VLOOKUP($B2308,'ASME II Tab 1A'!$1:$1048576,MATCH($D2303,'ASME II Tab 1A'!$6:$6,1)+1,0)-INDEX('ASME II Tab 1A'!$6:$6,MATCH($D2303,'ASME II Tab 1A'!$6:$6,1)+1)*(VLOOKUP($B2308,'ASME II Tab 1A'!$1:$1048576,MATCH($D2303,'ASME II Tab 1A'!$6:$6,1)+1,0)-VLOOKUP($B2308,'ASME II Tab 1A'!$1:$1048576,MATCH($D2303,'ASME II Tab 1A'!$6:$6,1),0))/(INDEX('ASME II Tab 1A'!$6:$6,MATCH($D2303,'ASME II Tab 1A'!$6:$6,1)+1)-INDEX('ASME II Tab 1A'!$6:$6,MATCH($D2303,'ASME II Tab 1A'!$6:$6,1)))</f>
        <v>#N/A</v>
      </c>
      <c r="C2312" s="460" t="s">
        <v>198</v>
      </c>
      <c r="D2312" s="460"/>
      <c r="E2312" s="467"/>
      <c r="F2312" s="460" t="e">
        <f>$D2303*(VLOOKUP($F2308,'ASME II Tab 1A'!$1:$1048576,MATCH($D2303,'ASME II Tab 1A'!$6:$6,1)+1,0)-VLOOKUP($F2308,'ASME II Tab 1A'!$1:$1048576,MATCH($D2303,'ASME II Tab 1A'!$6:$6,1),0))/(INDEX('ASME II Tab 1A'!$6:$6,MATCH($D2303,'ASME II Tab 1A'!$6:$6,1)+1)-INDEX('ASME II Tab 1A'!$6:$6,MATCH($D2303,'ASME II Tab 1A'!$6:$6,1)))+VLOOKUP($F2308,'ASME II Tab 1A'!$1:$1048576,MATCH($D2303,'ASME II Tab 1A'!$6:$6,1)+1,0)-INDEX('ASME II Tab 1A'!$6:$6,MATCH($D2303,'ASME II Tab 1A'!$6:$6,1)+1)*(VLOOKUP($F2308,'ASME II Tab 1A'!$1:$1048576,MATCH($D2303,'ASME II Tab 1A'!$6:$6,1)+1,0)-VLOOKUP($F2308,'ASME II Tab 1A'!$1:$1048576,MATCH($D2303,'ASME II Tab 1A'!$6:$6,1),0))/(INDEX('ASME II Tab 1A'!$6:$6,MATCH($D2303,'ASME II Tab 1A'!$6:$6,1)+1)-INDEX('ASME II Tab 1A'!$6:$6,MATCH($D2303,'ASME II Tab 1A'!$6:$6,1)))</f>
        <v>#N/A</v>
      </c>
      <c r="G2312" s="460" t="s">
        <v>198</v>
      </c>
      <c r="H2312" s="460"/>
      <c r="I2312" s="1259"/>
      <c r="K2312" s="477" t="s">
        <v>199</v>
      </c>
      <c r="L2312" s="477" t="str">
        <f>K2297&amp;"."&amp;K2312</f>
        <v>18.M2 DN</v>
      </c>
      <c r="M2312" s="1252">
        <f>C2430</f>
        <v>0</v>
      </c>
    </row>
    <row r="2313" spans="1:13" ht="14.55" customHeight="1" x14ac:dyDescent="0.3">
      <c r="A2313" s="1258" t="s">
        <v>200</v>
      </c>
      <c r="B2313" s="464" t="e">
        <f>$D2303*(VLOOKUP($B2309,'ASME II Tab 1A'!$1:$1048576,MATCH($D2303,'ASME II Tab 1A'!$6:$6,1)+1,0)-VLOOKUP($B2309,'ASME II Tab 1A'!$1:$1048576,MATCH($D2303,'ASME II Tab 1A'!$6:$6,1),0))/(INDEX('ASME II Tab 1A'!$6:$6,MATCH($D2303,'ASME II Tab 1A'!$6:$6,1)+1)-INDEX('ASME II Tab 1A'!$6:$6,MATCH($D2303,'ASME II Tab 1A'!$6:$6,1)))+VLOOKUP($B2309,'ASME II Tab 1A'!$1:$1048576,MATCH($D2303,'ASME II Tab 1A'!$6:$6,1)+1,0)-INDEX('ASME II Tab 1A'!$6:$6,MATCH($D2303,'ASME II Tab 1A'!$6:$6,1)+1)*(VLOOKUP($B2309,'ASME II Tab 1A'!$1:$1048576,MATCH($D2303,'ASME II Tab 1A'!$6:$6,1)+1,0)-VLOOKUP($B2309,'ASME II Tab 1A'!$1:$1048576,MATCH($D2303,'ASME II Tab 1A'!$6:$6,1),0))/(INDEX('ASME II Tab 1A'!$6:$6,MATCH($D2303,'ASME II Tab 1A'!$6:$6,1)+1)-INDEX('ASME II Tab 1A'!$6:$6,MATCH($D2303,'ASME II Tab 1A'!$6:$6,1)))</f>
        <v>#N/A</v>
      </c>
      <c r="C2313" s="460" t="s">
        <v>198</v>
      </c>
      <c r="D2313" s="460"/>
      <c r="E2313" s="460"/>
      <c r="F2313" s="460" t="e">
        <f>$D2303*(VLOOKUP($F2309,'ASME II Tab 1A'!$1:$1048576,MATCH($D2303,'ASME II Tab 1A'!$6:$6,1)+1,0)-VLOOKUP($F2309,'ASME II Tab 1A'!$1:$1048576,MATCH($D2303,'ASME II Tab 1A'!$6:$6,1),0))/(INDEX('ASME II Tab 1A'!$6:$6,MATCH($D2303,'ASME II Tab 1A'!$6:$6,1)+1)-INDEX('ASME II Tab 1A'!$6:$6,MATCH($D2303,'ASME II Tab 1A'!$6:$6,1)))+VLOOKUP($F2309,'ASME II Tab 1A'!$1:$1048576,MATCH($D2303,'ASME II Tab 1A'!$6:$6,1)+1,0)-INDEX('ASME II Tab 1A'!$6:$6,MATCH($D2303,'ASME II Tab 1A'!$6:$6,1)+1)*(VLOOKUP($F2309,'ASME II Tab 1A'!$1:$1048576,MATCH($D2303,'ASME II Tab 1A'!$6:$6,1)+1,0)-VLOOKUP($F2309,'ASME II Tab 1A'!$1:$1048576,MATCH($D2303,'ASME II Tab 1A'!$6:$6,1),0))/(INDEX('ASME II Tab 1A'!$6:$6,MATCH($D2303,'ASME II Tab 1A'!$6:$6,1)+1)-INDEX('ASME II Tab 1A'!$6:$6,MATCH($D2303,'ASME II Tab 1A'!$6:$6,1)))</f>
        <v>#N/A</v>
      </c>
      <c r="G2313" s="460" t="s">
        <v>198</v>
      </c>
      <c r="H2313" s="460"/>
      <c r="I2313" s="1259"/>
      <c r="K2313" s="477" t="s">
        <v>201</v>
      </c>
      <c r="L2313" s="477" t="str">
        <f>K2297&amp;"."&amp;K2313</f>
        <v>18.M2 Rating</v>
      </c>
      <c r="M2313" s="1252">
        <f>D2430</f>
        <v>0</v>
      </c>
    </row>
    <row r="2314" spans="1:13" ht="14.55" customHeight="1" x14ac:dyDescent="0.3">
      <c r="A2314" s="1258" t="s">
        <v>202</v>
      </c>
      <c r="B2314" s="460"/>
      <c r="C2314" s="460"/>
      <c r="D2314" s="460"/>
      <c r="E2314" s="460"/>
      <c r="F2314" s="460"/>
      <c r="G2314" s="460"/>
      <c r="H2314" s="460"/>
      <c r="I2314" s="1259"/>
      <c r="K2314" s="477" t="s">
        <v>203</v>
      </c>
      <c r="L2314" s="477" t="str">
        <f>K2297&amp;"."&amp;K2314</f>
        <v>18.M2 Type</v>
      </c>
      <c r="M2314" s="1252">
        <f>E2430</f>
        <v>0</v>
      </c>
    </row>
    <row r="2315" spans="1:13" ht="14.55" customHeight="1" x14ac:dyDescent="0.3">
      <c r="A2315" s="1258" t="s">
        <v>197</v>
      </c>
      <c r="B2315" s="464" t="e">
        <f>$D2303*(VLOOKUP($B2308,'ASME II Tab 5A'!$1:$1048576,MATCH($D2303,'ASME II Tab 5A'!$5:$5,1)+1,0)-VLOOKUP($B2308,'ASME II Tab 5A'!$1:$1048576,MATCH($D2303,'ASME II Tab 5A'!$5:$5,1),0))/(INDEX('ASME II Tab 5A'!$5:$5,MATCH($D2303,'ASME II Tab 5A'!$5:$5,1)+1)-INDEX('ASME II Tab 5A'!$5:$5,MATCH($D2303,'ASME II Tab 5A'!$5:$5,1)))+VLOOKUP($B2308,'ASME II Tab 5A'!$1:$1048576,MATCH($D2303,'ASME II Tab 5A'!$5:$5,1)+1,0)-INDEX('ASME II Tab 5A'!$5:$5,MATCH($D2303,'ASME II Tab 5A'!$5:$5,1)+1)*(VLOOKUP($B2308,'ASME II Tab 5A'!$1:$1048576,MATCH($D2303,'ASME II Tab 5A'!$5:$5,1)+1,0)-VLOOKUP($B2308,'ASME II Tab 5A'!$1:$1048576,MATCH($D2303,'ASME II Tab 5A'!$5:$5,1),0))/(INDEX('ASME II Tab 5A'!$5:$5,MATCH($D2303,'ASME II Tab 5A'!$5:$5,1)+1)-INDEX('ASME II Tab 5A'!$5:$5,MATCH($D2303,'ASME II Tab 5A'!$5:$5,1)))</f>
        <v>#N/A</v>
      </c>
      <c r="C2315" s="460" t="s">
        <v>198</v>
      </c>
      <c r="D2315" s="460"/>
      <c r="E2315" s="460"/>
      <c r="F2315" s="460" t="e">
        <f>$D2303*(VLOOKUP($F2308,'ASME II Tab 5A'!$1:$1048576,MATCH($D2303,'ASME II Tab 5A'!$5:$5,1)+1,0)-VLOOKUP($F2308,'ASME II Tab 5A'!$1:$1048576,MATCH($D2303,'ASME II Tab 5A'!$5:$5,1),0))/(INDEX('ASME II Tab 5A'!$5:$5,MATCH($D2303,'ASME II Tab 5A'!$5:$5,1)+1)-INDEX('ASME II Tab 5A'!$5:$5,MATCH($D2303,'ASME II Tab 5A'!$5:$5,1)))+VLOOKUP($F2308,'ASME II Tab 5A'!$1:$1048576,MATCH($D2303,'ASME II Tab 5A'!$5:$5,1)+1,0)-INDEX('ASME II Tab 5A'!$5:$5,MATCH($D2303,'ASME II Tab 5A'!$5:$5,1)+1)*(VLOOKUP($F2308,'ASME II Tab 5A'!$1:$1048576,MATCH($D2303,'ASME II Tab 5A'!$5:$5,1)+1,0)-VLOOKUP($F2308,'ASME II Tab 5A'!$1:$1048576,MATCH($D2303,'ASME II Tab 5A'!$5:$5,1),0))/(INDEX('ASME II Tab 5A'!$5:$5,MATCH($D2303,'ASME II Tab 5A'!$5:$5,1)+1)-INDEX('ASME II Tab 5A'!$5:$5,MATCH($D2303,'ASME II Tab 5A'!$5:$5,1)))</f>
        <v>#N/A</v>
      </c>
      <c r="G2315" s="460" t="s">
        <v>198</v>
      </c>
      <c r="H2315" s="460"/>
      <c r="I2315" s="1259"/>
      <c r="K2315" s="477" t="s">
        <v>204</v>
      </c>
      <c r="L2315" s="477" t="str">
        <f>K2297&amp;"."&amp;K2315</f>
        <v>18.M2 Quantity</v>
      </c>
      <c r="M2315" s="1252">
        <f>F2430</f>
        <v>0</v>
      </c>
    </row>
    <row r="2316" spans="1:13" ht="14.55" customHeight="1" x14ac:dyDescent="0.3">
      <c r="A2316" s="1258" t="s">
        <v>200</v>
      </c>
      <c r="B2316" s="464" t="e">
        <f>$D2303*(VLOOKUP($B2309,'ASME II Tab 5A'!$1:$1048576,MATCH($D2303,'ASME II Tab 5A'!$5:$5,1)+1,0)-VLOOKUP($B2309,'ASME II Tab 5A'!$1:$1048576,MATCH($D2303,'ASME II Tab 5A'!$5:$5,1),0))/(INDEX('ASME II Tab 5A'!$5:$5,MATCH($D2303,'ASME II Tab 5A'!$5:$5,1)+1)-INDEX('ASME II Tab 5A'!$5:$5,MATCH($D2303,'ASME II Tab 5A'!$5:$5,1)))+VLOOKUP($B2309,'ASME II Tab 5A'!$1:$1048576,MATCH($D2303,'ASME II Tab 5A'!$5:$5,1)+1,0)-INDEX('ASME II Tab 5A'!$5:$5,MATCH($D2303,'ASME II Tab 5A'!$5:$5,1)+1)*(VLOOKUP($B2309,'ASME II Tab 5A'!$1:$1048576,MATCH($D2303,'ASME II Tab 5A'!$5:$5,1)+1,0)-VLOOKUP($B2309,'ASME II Tab 5A'!$1:$1048576,MATCH($D2303,'ASME II Tab 5A'!$5:$5,1),0))/(INDEX('ASME II Tab 5A'!$5:$5,MATCH($D2303,'ASME II Tab 5A'!$5:$5,1)+1)-INDEX('ASME II Tab 5A'!$5:$5,MATCH($D2303,'ASME II Tab 5A'!$5:$5,1)))</f>
        <v>#N/A</v>
      </c>
      <c r="C2316" s="460" t="s">
        <v>198</v>
      </c>
      <c r="D2316" s="460"/>
      <c r="E2316" s="460"/>
      <c r="F2316" s="460" t="e">
        <f>$D2303*(VLOOKUP($F2309,'ASME II Tab 5A'!$1:$1048576,MATCH($D2303,'ASME II Tab 5A'!$5:$5,1)+1,0)-VLOOKUP($F2309,'ASME II Tab 5A'!$1:$1048576,MATCH($D2303,'ASME II Tab 5A'!$5:$5,1),0))/(INDEX('ASME II Tab 5A'!$5:$5,MATCH($D2303,'ASME II Tab 5A'!$5:$5,1)+1)-INDEX('ASME II Tab 5A'!$5:$5,MATCH($D2303,'ASME II Tab 5A'!$5:$5,1)))+VLOOKUP($F2309,'ASME II Tab 5A'!$1:$1048576,MATCH($D2303,'ASME II Tab 5A'!$5:$5,1)+1,0)-INDEX('ASME II Tab 5A'!$5:$5,MATCH($D2303,'ASME II Tab 5A'!$5:$5,1)+1)*(VLOOKUP($F2309,'ASME II Tab 5A'!$1:$1048576,MATCH($D2303,'ASME II Tab 5A'!$5:$5,1)+1,0)-VLOOKUP($F2309,'ASME II Tab 5A'!$1:$1048576,MATCH($D2303,'ASME II Tab 5A'!$5:$5,1),0))/(INDEX('ASME II Tab 5A'!$5:$5,MATCH($D2303,'ASME II Tab 5A'!$5:$5,1)+1)-INDEX('ASME II Tab 5A'!$5:$5,MATCH($D2303,'ASME II Tab 5A'!$5:$5,1)))</f>
        <v>#N/A</v>
      </c>
      <c r="G2316" s="460" t="s">
        <v>198</v>
      </c>
      <c r="H2316" s="460"/>
      <c r="I2316" s="1259"/>
      <c r="K2316" s="477" t="s">
        <v>205</v>
      </c>
      <c r="L2316" s="477" t="str">
        <f>K2297&amp;"."&amp;K2316</f>
        <v>18.M3 DN</v>
      </c>
      <c r="M2316" s="1252">
        <f>C2431</f>
        <v>0</v>
      </c>
    </row>
    <row r="2317" spans="1:13" ht="14.55" customHeight="1" x14ac:dyDescent="0.3">
      <c r="A2317" s="1258"/>
      <c r="B2317" s="460"/>
      <c r="C2317" s="460"/>
      <c r="D2317" s="460"/>
      <c r="E2317" s="460"/>
      <c r="F2317" s="460"/>
      <c r="G2317" s="460"/>
      <c r="H2317" s="460"/>
      <c r="I2317" s="1259"/>
      <c r="K2317" s="477" t="s">
        <v>206</v>
      </c>
      <c r="L2317" s="477" t="str">
        <f>K2297&amp;"."&amp;K2317</f>
        <v>18.M3 Rating</v>
      </c>
      <c r="M2317" s="1252">
        <f>D2431</f>
        <v>0</v>
      </c>
    </row>
    <row r="2318" spans="1:13" ht="14.55" customHeight="1" x14ac:dyDescent="0.3">
      <c r="A2318" s="1260" t="s">
        <v>207</v>
      </c>
      <c r="B2318" s="453"/>
      <c r="C2318" s="460"/>
      <c r="D2318" s="453"/>
      <c r="E2318" s="460"/>
      <c r="F2318" s="453"/>
      <c r="G2318" s="460"/>
      <c r="H2318" s="460"/>
      <c r="I2318" s="1259"/>
      <c r="K2318" s="477" t="s">
        <v>208</v>
      </c>
      <c r="L2318" s="477" t="str">
        <f>K2297&amp;"."&amp;K2318</f>
        <v>18.M3 Type</v>
      </c>
      <c r="M2318" s="1252">
        <f>E2431</f>
        <v>0</v>
      </c>
    </row>
    <row r="2319" spans="1:13" ht="14.55" customHeight="1" x14ac:dyDescent="0.3">
      <c r="A2319" s="1260"/>
      <c r="B2319" s="305" t="s">
        <v>209</v>
      </c>
      <c r="C2319" s="460"/>
      <c r="D2319" s="305" t="s">
        <v>210</v>
      </c>
      <c r="E2319" s="460"/>
      <c r="F2319" s="305" t="s">
        <v>211</v>
      </c>
      <c r="G2319" s="460"/>
      <c r="H2319" s="460"/>
      <c r="I2319" s="1259"/>
      <c r="K2319" s="477" t="s">
        <v>212</v>
      </c>
      <c r="L2319" s="477" t="str">
        <f>K2297&amp;"."&amp;K2319</f>
        <v>18.M3 Quantity</v>
      </c>
      <c r="M2319" s="1252">
        <f>F2431</f>
        <v>0</v>
      </c>
    </row>
    <row r="2320" spans="1:13" ht="14.55" customHeight="1" x14ac:dyDescent="0.3">
      <c r="A2320" s="1258" t="s">
        <v>213</v>
      </c>
      <c r="B2320" s="305"/>
      <c r="C2320" s="460"/>
      <c r="D2320" s="305"/>
      <c r="E2320" s="460"/>
      <c r="F2320" s="723"/>
      <c r="G2320" s="460" t="s">
        <v>214</v>
      </c>
      <c r="H2320" s="460"/>
      <c r="I2320" s="1259"/>
      <c r="K2320" s="477" t="s">
        <v>215</v>
      </c>
      <c r="L2320" s="477" t="str">
        <f>K2297&amp;"."&amp;K2320</f>
        <v>18.Shell insulation thk 1</v>
      </c>
      <c r="M2320" s="1252">
        <f>B2368</f>
        <v>0</v>
      </c>
    </row>
    <row r="2321" spans="1:13" ht="14.55" customHeight="1" x14ac:dyDescent="0.3">
      <c r="A2321" s="1258" t="s">
        <v>216</v>
      </c>
      <c r="B2321" s="722"/>
      <c r="C2321" s="460" t="s">
        <v>93</v>
      </c>
      <c r="D2321" s="722"/>
      <c r="E2321" s="460" t="s">
        <v>93</v>
      </c>
      <c r="F2321" s="468">
        <f>F2322-2*F2366</f>
        <v>0</v>
      </c>
      <c r="G2321" s="460" t="s">
        <v>93</v>
      </c>
      <c r="H2321" s="460"/>
      <c r="I2321" s="1259"/>
      <c r="K2321" s="477" t="s">
        <v>217</v>
      </c>
      <c r="L2321" s="477" t="str">
        <f>K2297&amp;"."&amp;K2321</f>
        <v>18.Head insulation thk 1</v>
      </c>
      <c r="M2321" s="1252">
        <f>B2369</f>
        <v>0</v>
      </c>
    </row>
    <row r="2322" spans="1:13" ht="14.55" customHeight="1" x14ac:dyDescent="0.3">
      <c r="A2322" s="1258" t="s">
        <v>218</v>
      </c>
      <c r="B2322" s="468" t="e">
        <f>B2321+B2362*2</f>
        <v>#N/A</v>
      </c>
      <c r="C2322" s="460" t="s">
        <v>93</v>
      </c>
      <c r="D2322" s="468" t="e">
        <f>D2321+D2362*2</f>
        <v>#N/A</v>
      </c>
      <c r="E2322" s="460" t="s">
        <v>93</v>
      </c>
      <c r="F2322" s="468">
        <f>IFERROR(VLOOKUP(F2320,'Thickness Tab'!$1:$1048576,3,0),0)</f>
        <v>0</v>
      </c>
      <c r="G2322" s="460" t="s">
        <v>93</v>
      </c>
      <c r="H2322" s="469"/>
      <c r="I2322" s="1261"/>
      <c r="K2322" s="477" t="s">
        <v>219</v>
      </c>
      <c r="L2322" s="477" t="str">
        <f>K2297&amp;"."&amp;K2322</f>
        <v>18.Reducer insulation thk 1</v>
      </c>
      <c r="M2322" s="1252">
        <f>B2370</f>
        <v>0</v>
      </c>
    </row>
    <row r="2323" spans="1:13" ht="14.55" customHeight="1" x14ac:dyDescent="0.3">
      <c r="A2323" s="1258" t="s">
        <v>181</v>
      </c>
      <c r="B2323" s="722"/>
      <c r="C2323" s="460" t="s">
        <v>93</v>
      </c>
      <c r="D2323" s="722"/>
      <c r="E2323" s="460" t="s">
        <v>93</v>
      </c>
      <c r="F2323" s="722"/>
      <c r="G2323" s="460" t="s">
        <v>93</v>
      </c>
      <c r="H2323" s="460"/>
      <c r="I2323" s="1259"/>
      <c r="K2323" s="477" t="s">
        <v>220</v>
      </c>
      <c r="L2323" s="477" t="str">
        <f>K2297&amp;"."&amp;K2323</f>
        <v>18.Shell insulation area 1</v>
      </c>
      <c r="M2323" s="1252" t="e">
        <f>B2328</f>
        <v>#N/A</v>
      </c>
    </row>
    <row r="2324" spans="1:13" ht="14.55" customHeight="1" x14ac:dyDescent="0.3">
      <c r="A2324" s="1258" t="s">
        <v>221</v>
      </c>
      <c r="B2324" s="468" t="e">
        <f>(PI()*B2323*(((B2322/2)^2)-((B2321/2)^2))*7860)/1000000000*1.05</f>
        <v>#N/A</v>
      </c>
      <c r="C2324" s="460" t="s">
        <v>222</v>
      </c>
      <c r="D2324" s="468" t="e">
        <f>(PI()*D2323*(((D2322/2)^2)-((D2321/2)^2))*7860)/1000000000*1.05</f>
        <v>#N/A</v>
      </c>
      <c r="E2324" s="460" t="s">
        <v>222</v>
      </c>
      <c r="F2324" s="468">
        <f>(PI()*F2323*(((F2322/2)^2)-((F2321/2)^2))*7860)/1000000000*1.05</f>
        <v>0</v>
      </c>
      <c r="G2324" s="460" t="s">
        <v>222</v>
      </c>
      <c r="H2324" s="469"/>
      <c r="I2324" s="1261"/>
      <c r="K2324" s="477" t="s">
        <v>223</v>
      </c>
      <c r="L2324" s="477" t="str">
        <f>K2297&amp;"."&amp;K2324</f>
        <v>18.Head insulation area 1</v>
      </c>
      <c r="M2324" s="1252" t="e">
        <f>B2340</f>
        <v>#N/A</v>
      </c>
    </row>
    <row r="2325" spans="1:13" ht="14.55" customHeight="1" x14ac:dyDescent="0.3">
      <c r="A2325" s="1258" t="s">
        <v>224</v>
      </c>
      <c r="B2325" s="468">
        <f>(PI()*((B2321/2)^2)*B2323)/1000000000</f>
        <v>0</v>
      </c>
      <c r="C2325" s="460" t="s">
        <v>225</v>
      </c>
      <c r="D2325" s="468">
        <f>(PI()*((D2321/2)^2)*D2323)/1000000000</f>
        <v>0</v>
      </c>
      <c r="E2325" s="460" t="s">
        <v>225</v>
      </c>
      <c r="F2325" s="468">
        <f>(PI()*((F2321/2)^2)*F2323)/1000000000</f>
        <v>0</v>
      </c>
      <c r="G2325" s="460" t="s">
        <v>225</v>
      </c>
      <c r="H2325" s="469"/>
      <c r="I2325" s="1261"/>
      <c r="K2325" s="477" t="s">
        <v>226</v>
      </c>
      <c r="L2325" s="477" t="str">
        <f>K2297&amp;"."&amp;K2325</f>
        <v>18.Reducer insulation area 1</v>
      </c>
      <c r="M2325" s="1252" t="e">
        <f>B2353</f>
        <v>#N/A</v>
      </c>
    </row>
    <row r="2326" spans="1:13" ht="14.55" customHeight="1" x14ac:dyDescent="0.3">
      <c r="A2326" s="1258" t="s">
        <v>227</v>
      </c>
      <c r="B2326" s="468" t="e">
        <f>(B2322*3.14*B2323)/1000000</f>
        <v>#N/A</v>
      </c>
      <c r="C2326" s="460" t="s">
        <v>228</v>
      </c>
      <c r="D2326" s="468" t="e">
        <f>(D2322*3.14*D2323)/1000000</f>
        <v>#N/A</v>
      </c>
      <c r="E2326" s="460" t="s">
        <v>228</v>
      </c>
      <c r="F2326" s="468">
        <f>(F2322*3.14*F2323)/1000000</f>
        <v>0</v>
      </c>
      <c r="G2326" s="460" t="s">
        <v>228</v>
      </c>
      <c r="H2326" s="469"/>
      <c r="I2326" s="1261"/>
      <c r="K2326" s="477" t="s">
        <v>229</v>
      </c>
      <c r="L2326" s="477" t="str">
        <f>K2297&amp;"."&amp;K2326</f>
        <v>18.Shell insulation thk 2</v>
      </c>
      <c r="M2326" s="1252">
        <f>D2368</f>
        <v>0</v>
      </c>
    </row>
    <row r="2327" spans="1:13" ht="14.55" customHeight="1" x14ac:dyDescent="0.3">
      <c r="A2327" s="1258" t="s">
        <v>230</v>
      </c>
      <c r="B2327" s="468" t="e">
        <f>B2322+2*B2368</f>
        <v>#N/A</v>
      </c>
      <c r="C2327" s="460" t="s">
        <v>93</v>
      </c>
      <c r="D2327" s="468" t="e">
        <f>D2322+2*D2368</f>
        <v>#N/A</v>
      </c>
      <c r="E2327" s="460" t="s">
        <v>93</v>
      </c>
      <c r="F2327" s="468">
        <f>F2322+2*F2368</f>
        <v>0</v>
      </c>
      <c r="G2327" s="460" t="s">
        <v>93</v>
      </c>
      <c r="H2327" s="469"/>
      <c r="I2327" s="1261"/>
      <c r="K2327" s="477" t="s">
        <v>231</v>
      </c>
      <c r="L2327" s="477" t="str">
        <f>K2297&amp;"."&amp;K2327</f>
        <v>18.Head insulation thk 2</v>
      </c>
      <c r="M2327" s="1252">
        <f>D2369</f>
        <v>0</v>
      </c>
    </row>
    <row r="2328" spans="1:13" ht="14.55" customHeight="1" x14ac:dyDescent="0.3">
      <c r="A2328" s="1258" t="s">
        <v>232</v>
      </c>
      <c r="B2328" s="468" t="e">
        <f>(B2327*3.14*B2323)/1000000</f>
        <v>#N/A</v>
      </c>
      <c r="C2328" s="460" t="s">
        <v>228</v>
      </c>
      <c r="D2328" s="468" t="e">
        <f>(D2327*3.14*D2323)/1000000</f>
        <v>#N/A</v>
      </c>
      <c r="E2328" s="460" t="s">
        <v>228</v>
      </c>
      <c r="F2328" s="468">
        <f>(F2327*3.14*F2323)/1000000</f>
        <v>0</v>
      </c>
      <c r="G2328" s="460" t="s">
        <v>228</v>
      </c>
      <c r="H2328" s="469"/>
      <c r="I2328" s="1261"/>
      <c r="K2328" s="477" t="s">
        <v>233</v>
      </c>
      <c r="L2328" s="477" t="str">
        <f>K2297&amp;"."&amp;K2328</f>
        <v>18.Reducer insulation thk 2</v>
      </c>
      <c r="M2328" s="1252">
        <f>D2370</f>
        <v>0</v>
      </c>
    </row>
    <row r="2329" spans="1:13" ht="14.55" customHeight="1" x14ac:dyDescent="0.3">
      <c r="A2329" s="1258"/>
      <c r="B2329" s="468"/>
      <c r="C2329" s="460"/>
      <c r="D2329" s="468"/>
      <c r="E2329" s="460"/>
      <c r="F2329" s="468"/>
      <c r="G2329" s="460"/>
      <c r="H2329" s="469"/>
      <c r="I2329" s="1261"/>
      <c r="K2329" s="477" t="s">
        <v>234</v>
      </c>
      <c r="L2329" s="477" t="str">
        <f>K2297&amp;"."&amp;K2329</f>
        <v>18.Shell insulation area 2</v>
      </c>
      <c r="M2329" s="1252" t="e">
        <f>D2328</f>
        <v>#N/A</v>
      </c>
    </row>
    <row r="2330" spans="1:13" ht="14.55" customHeight="1" x14ac:dyDescent="0.3">
      <c r="A2330" s="1258"/>
      <c r="B2330" s="468" t="s">
        <v>235</v>
      </c>
      <c r="C2330" s="460"/>
      <c r="D2330" s="468" t="s">
        <v>236</v>
      </c>
      <c r="E2330" s="460"/>
      <c r="F2330" s="468" t="s">
        <v>237</v>
      </c>
      <c r="G2330" s="460"/>
      <c r="H2330" s="469"/>
      <c r="I2330" s="1261"/>
      <c r="K2330" s="477" t="s">
        <v>238</v>
      </c>
      <c r="L2330" s="477" t="str">
        <f>K2297&amp;"."&amp;K2330</f>
        <v>18.Head insulation area 2</v>
      </c>
      <c r="M2330" s="1252" t="e">
        <f>D2340</f>
        <v>#N/A</v>
      </c>
    </row>
    <row r="2331" spans="1:13" ht="14.55" customHeight="1" x14ac:dyDescent="0.3">
      <c r="A2331" s="1258" t="s">
        <v>239</v>
      </c>
      <c r="B2331" s="468">
        <f>B2321</f>
        <v>0</v>
      </c>
      <c r="C2331" s="460" t="s">
        <v>93</v>
      </c>
      <c r="D2331" s="468">
        <f>D2321</f>
        <v>0</v>
      </c>
      <c r="E2331" s="460" t="s">
        <v>93</v>
      </c>
      <c r="F2331" s="468">
        <f>F2321</f>
        <v>0</v>
      </c>
      <c r="G2331" s="460" t="s">
        <v>93</v>
      </c>
      <c r="H2331" s="469"/>
      <c r="I2331" s="1261"/>
      <c r="K2331" s="477" t="s">
        <v>240</v>
      </c>
      <c r="L2331" s="477" t="str">
        <f>K2297&amp;"."&amp;K2331</f>
        <v>18.Reducer insulation area 2</v>
      </c>
      <c r="M2331" s="1252">
        <f>D2353</f>
        <v>0</v>
      </c>
    </row>
    <row r="2332" spans="1:13" ht="14.55" customHeight="1" x14ac:dyDescent="0.3">
      <c r="A2332" s="1258" t="s">
        <v>241</v>
      </c>
      <c r="B2332" s="468" t="e">
        <f>B2331+2*B2363</f>
        <v>#N/A</v>
      </c>
      <c r="C2332" s="460" t="s">
        <v>93</v>
      </c>
      <c r="D2332" s="468" t="e">
        <f>D2331+2*D2363</f>
        <v>#N/A</v>
      </c>
      <c r="E2332" s="460" t="s">
        <v>93</v>
      </c>
      <c r="F2332" s="468">
        <f>F2331+2*F2366</f>
        <v>0</v>
      </c>
      <c r="G2332" s="460" t="s">
        <v>93</v>
      </c>
      <c r="H2332" s="469"/>
      <c r="I2332" s="1261"/>
      <c r="K2332" s="477" t="s">
        <v>242</v>
      </c>
      <c r="L2332" s="477" t="str">
        <f>K2297&amp;"."&amp;K2332</f>
        <v>18.Shell insulation thk 3</v>
      </c>
      <c r="M2332" s="1252">
        <f>F2368</f>
        <v>0</v>
      </c>
    </row>
    <row r="2333" spans="1:13" ht="14.55" customHeight="1" x14ac:dyDescent="0.3">
      <c r="A2333" s="1258" t="s">
        <v>243</v>
      </c>
      <c r="B2333" s="722"/>
      <c r="C2333" s="460" t="s">
        <v>93</v>
      </c>
      <c r="D2333" s="722"/>
      <c r="E2333" s="460" t="s">
        <v>93</v>
      </c>
      <c r="F2333" s="452"/>
      <c r="G2333" s="460"/>
      <c r="H2333" s="469"/>
      <c r="I2333" s="1261"/>
      <c r="K2333" s="477" t="s">
        <v>244</v>
      </c>
      <c r="L2333" s="477" t="str">
        <f>K2297&amp;"."&amp;K2333</f>
        <v>18.Head insulation thk 3</v>
      </c>
      <c r="M2333" s="1252">
        <f>F2369</f>
        <v>0</v>
      </c>
    </row>
    <row r="2334" spans="1:13" ht="14.55" customHeight="1" x14ac:dyDescent="0.3">
      <c r="A2334" s="1258" t="s">
        <v>245</v>
      </c>
      <c r="B2334" s="724"/>
      <c r="C2334" s="460"/>
      <c r="D2334" s="724"/>
      <c r="E2334" s="460"/>
      <c r="F2334" s="724"/>
      <c r="G2334" s="460"/>
      <c r="H2334" s="469"/>
      <c r="I2334" s="1261"/>
      <c r="K2334" s="477" t="s">
        <v>246</v>
      </c>
      <c r="L2334" s="477" t="str">
        <f>K2297&amp;"."&amp;K2334</f>
        <v>18.Reducer insulation thk 3</v>
      </c>
      <c r="M2334" s="1252">
        <f>F2370</f>
        <v>0</v>
      </c>
    </row>
    <row r="2335" spans="1:13" ht="14.55" customHeight="1" x14ac:dyDescent="0.3">
      <c r="A2335" s="1258" t="s">
        <v>247</v>
      </c>
      <c r="B2335" s="468">
        <v>0</v>
      </c>
      <c r="C2335" s="460" t="s">
        <v>93</v>
      </c>
      <c r="D2335" s="468">
        <v>0</v>
      </c>
      <c r="E2335" s="460" t="s">
        <v>93</v>
      </c>
      <c r="F2335" s="468">
        <v>0</v>
      </c>
      <c r="G2335" s="460" t="s">
        <v>93</v>
      </c>
      <c r="H2335" s="469"/>
      <c r="I2335" s="1261"/>
      <c r="K2335" s="477" t="s">
        <v>248</v>
      </c>
      <c r="L2335" s="477" t="str">
        <f>K2297&amp;"."&amp;K2335</f>
        <v>18.Shell insulation area 3</v>
      </c>
      <c r="M2335" s="1252">
        <f>F2328</f>
        <v>0</v>
      </c>
    </row>
    <row r="2336" spans="1:13" ht="14.55" customHeight="1" x14ac:dyDescent="0.3">
      <c r="A2336" s="1258" t="s">
        <v>249</v>
      </c>
      <c r="B2336" s="468" t="e">
        <f>((((POWER(((((B2331+B2364)*1.22)+(B2335*2))/100),2)*PI())/4)*(B2364/100))*7.86)</f>
        <v>#N/A</v>
      </c>
      <c r="C2336" s="460" t="s">
        <v>222</v>
      </c>
      <c r="D2336" s="468" t="e">
        <f>((((POWER(((((D2331+D2364)*1.22)+(D2335*2))/100),2)*PI())/4)*(D2364/100))*7.86)</f>
        <v>#N/A</v>
      </c>
      <c r="E2336" s="460" t="s">
        <v>222</v>
      </c>
      <c r="F2336" s="468">
        <f>IFERROR(VLOOKUP(F2320&amp;"."&amp;F2365,'Fitting Chart'!$1:$1048576,5,0),0)</f>
        <v>0</v>
      </c>
      <c r="G2336" s="460" t="s">
        <v>222</v>
      </c>
      <c r="H2336" s="469"/>
      <c r="I2336" s="1261"/>
      <c r="K2336" s="477" t="s">
        <v>250</v>
      </c>
      <c r="L2336" s="477" t="str">
        <f>K2297&amp;"."&amp;K2336</f>
        <v>18.Head insulation area 3</v>
      </c>
      <c r="M2336" s="1252">
        <f>F2339</f>
        <v>0</v>
      </c>
    </row>
    <row r="2337" spans="1:13" ht="14.55" customHeight="1" x14ac:dyDescent="0.3">
      <c r="A2337" s="1258" t="s">
        <v>251</v>
      </c>
      <c r="B2337" s="468" t="e">
        <f>(((0.131*(B2331^3)*10^-6)+((((B2331/2)^2)*PI()*(((B2331/4)+B2363)-B2363-(B2331/4)))))+((PI()*((B2331/2)^2)*B2335))/1000000)/1000</f>
        <v>#N/A</v>
      </c>
      <c r="C2337" s="460" t="s">
        <v>225</v>
      </c>
      <c r="D2337" s="468" t="e">
        <f>(((0.131*(D2331^3)*10^-6)+((((D2331/2)^2)*PI()*(((D2331/4)+D2363)-D2363-(D2331/4)))))+((PI()*((D2331/2)^2)*D2335))/1000000)/1000</f>
        <v>#N/A</v>
      </c>
      <c r="E2337" s="460" t="s">
        <v>225</v>
      </c>
      <c r="F2337" s="468">
        <f>(((0.131*(F2331^3)*10^-6)+((((F2331/2)^2)*PI()*(((F2331/4)+F2366)-F2366-(F2331/4)))))+((PI()*((F2331/2)^2)*F2335))/1000000)/1000</f>
        <v>0</v>
      </c>
      <c r="G2337" s="460" t="s">
        <v>225</v>
      </c>
      <c r="H2337" s="469"/>
      <c r="I2337" s="1261"/>
      <c r="K2337" s="477" t="s">
        <v>252</v>
      </c>
      <c r="L2337" s="477" t="str">
        <f>K2297&amp;"."&amp;K2337</f>
        <v>18.Reducer insulation area 3</v>
      </c>
      <c r="M2337" s="1252">
        <f>F2353</f>
        <v>0</v>
      </c>
    </row>
    <row r="2338" spans="1:13" ht="14.55" customHeight="1" x14ac:dyDescent="0.3">
      <c r="A2338" s="1258" t="s">
        <v>253</v>
      </c>
      <c r="B2338" s="468" t="e">
        <f>(((B2332*B2333*3.14)+(((B2332/2)^2)*3.14))/1000000)</f>
        <v>#N/A</v>
      </c>
      <c r="C2338" s="460" t="s">
        <v>228</v>
      </c>
      <c r="D2338" s="468" t="e">
        <f>(((D2332*D2333*3.14)+(((D2332/2)^2)*3.14))/1000000)</f>
        <v>#N/A</v>
      </c>
      <c r="E2338" s="460" t="s">
        <v>228</v>
      </c>
      <c r="F2338" s="468">
        <f>(((F2332*F2333*3.14)+(((F2332/2)^2)*3.14))/1000000)</f>
        <v>0</v>
      </c>
      <c r="G2338" s="460" t="s">
        <v>228</v>
      </c>
      <c r="H2338" s="469"/>
      <c r="I2338" s="1261"/>
    </row>
    <row r="2339" spans="1:13" ht="14.55" customHeight="1" x14ac:dyDescent="0.3">
      <c r="A2339" s="1258" t="s">
        <v>254</v>
      </c>
      <c r="B2339" s="468" t="e">
        <f>B2332+2*B2369</f>
        <v>#N/A</v>
      </c>
      <c r="C2339" s="460" t="s">
        <v>93</v>
      </c>
      <c r="D2339" s="468" t="e">
        <f>D2332+2*D2369</f>
        <v>#N/A</v>
      </c>
      <c r="E2339" s="460" t="s">
        <v>93</v>
      </c>
      <c r="F2339" s="468">
        <f>F2332+2*F2369</f>
        <v>0</v>
      </c>
      <c r="G2339" s="460" t="s">
        <v>93</v>
      </c>
      <c r="H2339" s="469"/>
      <c r="I2339" s="1261"/>
    </row>
    <row r="2340" spans="1:13" ht="14.55" customHeight="1" x14ac:dyDescent="0.3">
      <c r="A2340" s="1258" t="s">
        <v>255</v>
      </c>
      <c r="B2340" s="468" t="e">
        <f>(((B2339*B2333*3.14)+(((B2339/2)^2)*3.14))/1000000)</f>
        <v>#N/A</v>
      </c>
      <c r="C2340" s="460" t="s">
        <v>228</v>
      </c>
      <c r="D2340" s="468" t="e">
        <f>(((D2339*D2333*3.14)+(((D2339/2)^2)*3.14))/1000000)</f>
        <v>#N/A</v>
      </c>
      <c r="E2340" s="460" t="s">
        <v>228</v>
      </c>
      <c r="F2340" s="468">
        <f>(((F2339*F2333*3.14)+(((F2339/2)^2)*3.14))/1000000)</f>
        <v>0</v>
      </c>
      <c r="G2340" s="460" t="s">
        <v>228</v>
      </c>
      <c r="H2340" s="469"/>
      <c r="I2340" s="1261"/>
    </row>
    <row r="2341" spans="1:13" ht="14.55" customHeight="1" x14ac:dyDescent="0.3">
      <c r="A2341" s="1258"/>
      <c r="B2341" s="454"/>
      <c r="C2341" s="460"/>
      <c r="D2341" s="454"/>
      <c r="E2341" s="460"/>
      <c r="F2341" s="454"/>
      <c r="G2341" s="460"/>
      <c r="H2341" s="469"/>
      <c r="I2341" s="1261"/>
    </row>
    <row r="2342" spans="1:13" ht="14.55" customHeight="1" x14ac:dyDescent="0.3">
      <c r="A2342" s="1258"/>
      <c r="B2342" s="468" t="s">
        <v>256</v>
      </c>
      <c r="C2342" s="460"/>
      <c r="D2342" s="468" t="s">
        <v>257</v>
      </c>
      <c r="E2342" s="460"/>
      <c r="F2342" s="468" t="s">
        <v>258</v>
      </c>
      <c r="G2342" s="460"/>
      <c r="H2342" s="469"/>
      <c r="I2342" s="1261"/>
    </row>
    <row r="2343" spans="1:13" ht="14.55" customHeight="1" x14ac:dyDescent="0.3">
      <c r="A2343" s="1258" t="s">
        <v>259</v>
      </c>
      <c r="B2343" s="725"/>
      <c r="C2343" s="460" t="s">
        <v>93</v>
      </c>
      <c r="D2343" s="725"/>
      <c r="E2343" s="460" t="s">
        <v>93</v>
      </c>
      <c r="F2343" s="725"/>
      <c r="G2343" s="460" t="s">
        <v>93</v>
      </c>
      <c r="H2343" s="469"/>
      <c r="I2343" s="1261"/>
    </row>
    <row r="2344" spans="1:13" ht="14.55" customHeight="1" x14ac:dyDescent="0.3">
      <c r="A2344" s="1258" t="s">
        <v>260</v>
      </c>
      <c r="B2344" s="725"/>
      <c r="C2344" s="460" t="s">
        <v>93</v>
      </c>
      <c r="D2344" s="725"/>
      <c r="E2344" s="460" t="s">
        <v>93</v>
      </c>
      <c r="F2344" s="725"/>
      <c r="G2344" s="460" t="s">
        <v>93</v>
      </c>
      <c r="H2344" s="469"/>
      <c r="I2344" s="1261"/>
    </row>
    <row r="2345" spans="1:13" ht="14.55" customHeight="1" x14ac:dyDescent="0.3">
      <c r="A2345" s="1258" t="s">
        <v>261</v>
      </c>
      <c r="B2345" s="725"/>
      <c r="C2345" s="460" t="s">
        <v>93</v>
      </c>
      <c r="D2345" s="725"/>
      <c r="E2345" s="460" t="s">
        <v>93</v>
      </c>
      <c r="F2345" s="725"/>
      <c r="G2345" s="460" t="s">
        <v>93</v>
      </c>
      <c r="H2345" s="469"/>
      <c r="I2345" s="1261"/>
    </row>
    <row r="2346" spans="1:13" ht="14.55" customHeight="1" x14ac:dyDescent="0.3">
      <c r="A2346" s="1258" t="s">
        <v>262</v>
      </c>
      <c r="B2346" s="455" t="e">
        <f>B2343+2*B2364</f>
        <v>#N/A</v>
      </c>
      <c r="C2346" s="460" t="s">
        <v>93</v>
      </c>
      <c r="D2346" s="455" t="e">
        <f>D2343+2*D2364</f>
        <v>#N/A</v>
      </c>
      <c r="E2346" s="460" t="s">
        <v>93</v>
      </c>
      <c r="F2346" s="455">
        <f>F2343+2*F2366</f>
        <v>0</v>
      </c>
      <c r="G2346" s="460" t="s">
        <v>93</v>
      </c>
      <c r="H2346" s="469"/>
      <c r="I2346" s="1261"/>
    </row>
    <row r="2347" spans="1:13" ht="14.55" customHeight="1" x14ac:dyDescent="0.3">
      <c r="A2347" s="1258" t="s">
        <v>263</v>
      </c>
      <c r="B2347" s="455" t="e">
        <f>B2344+2*B2364</f>
        <v>#N/A</v>
      </c>
      <c r="C2347" s="460" t="s">
        <v>93</v>
      </c>
      <c r="D2347" s="455" t="e">
        <f>D2344+2*D2364</f>
        <v>#N/A</v>
      </c>
      <c r="E2347" s="460" t="s">
        <v>93</v>
      </c>
      <c r="F2347" s="455">
        <f>F2344+2*F2366</f>
        <v>0</v>
      </c>
      <c r="G2347" s="460" t="s">
        <v>93</v>
      </c>
      <c r="H2347" s="469"/>
      <c r="I2347" s="1261"/>
    </row>
    <row r="2348" spans="1:13" ht="14.55" customHeight="1" x14ac:dyDescent="0.3">
      <c r="A2348" s="1258" t="s">
        <v>264</v>
      </c>
      <c r="B2348" s="453" t="e">
        <f>(((((1/3*PI()*B2345))*((((B2346/2)^2)+(((B2346/2)*(B2347/2)))+((B2347/2)^2))))-(((1/3*PI()*B2345))*((((B2343/2)^2)+(((B2343/2)*(B2344/2)))+((B2344/2)^2)))))*7.86)/1000000</f>
        <v>#N/A</v>
      </c>
      <c r="C2348" s="460" t="s">
        <v>222</v>
      </c>
      <c r="D2348" s="453" t="e">
        <f>(((((1/3*PI()*D2345))*((((D2346/2)^2)+(((D2346/2)*(D2347/2)))+((D2347/2)^2))))-(((1/3*PI()*D2345))*((((D2343/2)^2)+(((D2343/2)*(D2344/2)))+((D2344/2)^2)))))*7.86)/1000000</f>
        <v>#N/A</v>
      </c>
      <c r="E2348" s="460" t="s">
        <v>222</v>
      </c>
      <c r="F2348" s="453">
        <f>(((((1/3*PI()*F2345))*((((F2346/2)^2)+(((F2346/2)*(F2347/2)))+((F2347/2)^2))))-(((1/3*PI()*F2345))*((((F2343/2)^2)+(((F2343/2)*(F2344/2)))+((F2344/2)^2)))))*7.86)/1000000</f>
        <v>0</v>
      </c>
      <c r="G2348" s="460" t="s">
        <v>222</v>
      </c>
      <c r="H2348" s="469"/>
      <c r="I2348" s="1261"/>
    </row>
    <row r="2349" spans="1:13" ht="14.55" customHeight="1" x14ac:dyDescent="0.3">
      <c r="A2349" s="1258" t="s">
        <v>265</v>
      </c>
      <c r="B2349" s="453">
        <f>((1/3*PI()*B2345))*((((B2343/2)^2)+(((B2343/2)*(B2344/2)))+((B2344/2)^2)))/1000000000</f>
        <v>0</v>
      </c>
      <c r="C2349" s="460" t="s">
        <v>225</v>
      </c>
      <c r="D2349" s="453">
        <f>((1/3*PI()*D2345))*((((D2343/2)^2)+(((D2343/2)*(D2344/2)))+((D2344/2)^2)))/1000000000</f>
        <v>0</v>
      </c>
      <c r="E2349" s="460" t="s">
        <v>225</v>
      </c>
      <c r="F2349" s="453">
        <f>((1/3*PI()*F2345))*((((F2343/2)^2)+(((F2343/2)*(F2344/2)))+((F2344/2)^2)))/1000000000</f>
        <v>0</v>
      </c>
      <c r="G2349" s="460" t="s">
        <v>225</v>
      </c>
      <c r="H2349" s="469"/>
      <c r="I2349" s="1261"/>
    </row>
    <row r="2350" spans="1:13" ht="14.55" customHeight="1" x14ac:dyDescent="0.3">
      <c r="A2350" s="1258" t="s">
        <v>266</v>
      </c>
      <c r="B2350" s="453" t="e">
        <f>PI()*(B2346+B2347)/2*SQRT(B2345^2+((B2346-B2347)/2)^2)/1000000</f>
        <v>#N/A</v>
      </c>
      <c r="C2350" s="460" t="s">
        <v>228</v>
      </c>
      <c r="D2350" s="453" t="e">
        <f>PI()*(D2346+D2347)/2*SQRT(D2345^2+((D2346-D2347)/2)^2)/1000000</f>
        <v>#N/A</v>
      </c>
      <c r="E2350" s="460" t="s">
        <v>228</v>
      </c>
      <c r="F2350" s="453">
        <f>PI()*(F2346+F2347)/2*SQRT(F2345^2+((F2346-F2347)/2)^2)/1000000</f>
        <v>0</v>
      </c>
      <c r="G2350" s="460" t="s">
        <v>228</v>
      </c>
      <c r="H2350" s="469"/>
      <c r="I2350" s="1261"/>
    </row>
    <row r="2351" spans="1:13" ht="14.55" customHeight="1" x14ac:dyDescent="0.3">
      <c r="A2351" s="1258" t="s">
        <v>267</v>
      </c>
      <c r="B2351" s="453" t="e">
        <f>B2346+2*B2370</f>
        <v>#N/A</v>
      </c>
      <c r="C2351" s="460" t="s">
        <v>93</v>
      </c>
      <c r="D2351" s="453">
        <f>D2343+2*D2370</f>
        <v>0</v>
      </c>
      <c r="E2351" s="460" t="s">
        <v>93</v>
      </c>
      <c r="F2351" s="453">
        <f>F2343+2*F2370</f>
        <v>0</v>
      </c>
      <c r="G2351" s="460" t="s">
        <v>93</v>
      </c>
      <c r="H2351" s="469"/>
      <c r="I2351" s="1261"/>
    </row>
    <row r="2352" spans="1:13" ht="14.55" customHeight="1" x14ac:dyDescent="0.3">
      <c r="A2352" s="1258" t="s">
        <v>268</v>
      </c>
      <c r="B2352" s="453" t="e">
        <f>B2347+2*B2370</f>
        <v>#N/A</v>
      </c>
      <c r="C2352" s="460" t="s">
        <v>93</v>
      </c>
      <c r="D2352" s="453">
        <f>D2344+2*D2370</f>
        <v>0</v>
      </c>
      <c r="E2352" s="460" t="s">
        <v>93</v>
      </c>
      <c r="F2352" s="453">
        <f>F2344+2*F2370</f>
        <v>0</v>
      </c>
      <c r="G2352" s="460" t="s">
        <v>93</v>
      </c>
      <c r="H2352" s="469"/>
      <c r="I2352" s="1261"/>
    </row>
    <row r="2353" spans="1:9" ht="14.55" customHeight="1" x14ac:dyDescent="0.3">
      <c r="A2353" s="1258" t="s">
        <v>269</v>
      </c>
      <c r="B2353" s="453" t="e">
        <f>PI()*(B2351+B2352)/2*SQRT(B2345^2+((B2351-B2352)/2)^2)/1000000</f>
        <v>#N/A</v>
      </c>
      <c r="C2353" s="460" t="s">
        <v>228</v>
      </c>
      <c r="D2353" s="453">
        <f>PI()*(D2351+D2352)/2*SQRT(D2345^2+((D2351-D2352)/2)^2)/1000000</f>
        <v>0</v>
      </c>
      <c r="E2353" s="460" t="s">
        <v>228</v>
      </c>
      <c r="F2353" s="453">
        <f>PI()*(F2351+F2352)/2*SQRT(F2345^2+((F2351-F2352)/2)^2)/1000000</f>
        <v>0</v>
      </c>
      <c r="G2353" s="460" t="s">
        <v>228</v>
      </c>
      <c r="H2353" s="469"/>
      <c r="I2353" s="1261"/>
    </row>
    <row r="2354" spans="1:9" ht="14.55" customHeight="1" x14ac:dyDescent="0.3">
      <c r="A2354" s="1258"/>
      <c r="B2354" s="453"/>
      <c r="C2354" s="460"/>
      <c r="D2354" s="453"/>
      <c r="E2354" s="460"/>
      <c r="F2354" s="453"/>
      <c r="G2354" s="460"/>
      <c r="H2354" s="460"/>
      <c r="I2354" s="1259"/>
    </row>
    <row r="2355" spans="1:9" ht="14.55" customHeight="1" x14ac:dyDescent="0.3">
      <c r="A2355" s="1258" t="s">
        <v>270</v>
      </c>
      <c r="B2355" s="725"/>
      <c r="C2355" s="460" t="s">
        <v>93</v>
      </c>
      <c r="D2355" s="725"/>
      <c r="E2355" s="460" t="s">
        <v>93</v>
      </c>
      <c r="F2355" s="725"/>
      <c r="G2355" s="460" t="s">
        <v>93</v>
      </c>
      <c r="H2355" s="460"/>
      <c r="I2355" s="1259"/>
    </row>
    <row r="2356" spans="1:9" ht="14.55" customHeight="1" x14ac:dyDescent="0.3">
      <c r="A2356" s="1258" t="s">
        <v>271</v>
      </c>
      <c r="B2356" s="453" t="e">
        <f>((D2304/10)*B2321/2)/(IF(B2299="div.1",B2312,B2315)-0.5*D2304/10)</f>
        <v>#N/A</v>
      </c>
      <c r="C2356" s="460" t="s">
        <v>93</v>
      </c>
      <c r="D2356" s="453" t="e">
        <f>((D2304/10)*D2321/2)/(IF(B2299="div.1",B2312,B2315)-0.5*D2304/10)</f>
        <v>#N/A</v>
      </c>
      <c r="E2356" s="460" t="s">
        <v>93</v>
      </c>
      <c r="F2356" s="453" t="e">
        <f>((D2304/10)*F2321/2)/(IF(B2299="div.1",F2312,F2315)-0.5*D2304/10)</f>
        <v>#N/A</v>
      </c>
      <c r="G2356" s="460" t="s">
        <v>93</v>
      </c>
      <c r="H2356" s="460"/>
      <c r="I2356" s="1259"/>
    </row>
    <row r="2357" spans="1:9" ht="14.55" customHeight="1" x14ac:dyDescent="0.3">
      <c r="A2357" s="1258" t="s">
        <v>272</v>
      </c>
      <c r="B2357" s="453" t="e">
        <f>B2331/2*(EXP(D2304/(10*IF(B2299="div.1",B2313,B2316)))-1)</f>
        <v>#N/A</v>
      </c>
      <c r="C2357" s="460" t="s">
        <v>93</v>
      </c>
      <c r="D2357" s="453" t="e">
        <f>D2331/2*(EXP(D2304/(10*IF(B2299="div.1",B2313,B2316)))-1)</f>
        <v>#N/A</v>
      </c>
      <c r="E2357" s="460" t="s">
        <v>93</v>
      </c>
      <c r="F2357" s="453" t="e">
        <f>F2331/2*(EXP(D2304/(10*IF(B2299="div.1",F2313,F2316)))-1)</f>
        <v>#N/A</v>
      </c>
      <c r="G2357" s="460" t="s">
        <v>93</v>
      </c>
      <c r="H2357" s="460"/>
      <c r="I2357" s="1259"/>
    </row>
    <row r="2358" spans="1:9" ht="14.55" customHeight="1" x14ac:dyDescent="0.3">
      <c r="A2358" s="1258" t="s">
        <v>273</v>
      </c>
      <c r="B2358" s="453" t="e">
        <f>B2343/2*(EXP(D2304/(10*IF(B2299="div.1",B2313,B2316)))-1)</f>
        <v>#N/A</v>
      </c>
      <c r="C2358" s="460" t="s">
        <v>93</v>
      </c>
      <c r="D2358" s="453" t="e">
        <f>D2343/2*(EXP(D2304/(10*IF(B2299="div.1",B2313,B2316)))-1)</f>
        <v>#N/A</v>
      </c>
      <c r="E2358" s="460" t="s">
        <v>93</v>
      </c>
      <c r="F2358" s="453" t="e">
        <f>F2343/2*(EXP(D2304/(10*IF(B2299="div.1",F2313,F2316)))-1)</f>
        <v>#N/A</v>
      </c>
      <c r="G2358" s="460" t="s">
        <v>93</v>
      </c>
      <c r="H2358" s="460"/>
      <c r="I2358" s="1259"/>
    </row>
    <row r="2359" spans="1:9" ht="14.55" customHeight="1" x14ac:dyDescent="0.3">
      <c r="A2359" s="1258" t="s">
        <v>274</v>
      </c>
      <c r="B2359" s="725"/>
      <c r="C2359" s="460" t="s">
        <v>93</v>
      </c>
      <c r="D2359" s="725"/>
      <c r="E2359" s="460" t="s">
        <v>93</v>
      </c>
      <c r="F2359" s="725"/>
      <c r="G2359" s="460" t="s">
        <v>93</v>
      </c>
      <c r="H2359" s="460"/>
      <c r="I2359" s="1259"/>
    </row>
    <row r="2360" spans="1:9" ht="14.55" customHeight="1" x14ac:dyDescent="0.3">
      <c r="A2360" s="1258" t="s">
        <v>275</v>
      </c>
      <c r="B2360" s="725"/>
      <c r="C2360" s="460" t="s">
        <v>93</v>
      </c>
      <c r="D2360" s="725"/>
      <c r="E2360" s="460" t="s">
        <v>93</v>
      </c>
      <c r="F2360" s="725"/>
      <c r="G2360" s="460" t="s">
        <v>93</v>
      </c>
      <c r="H2360" s="460"/>
      <c r="I2360" s="1259"/>
    </row>
    <row r="2361" spans="1:9" ht="14.55" customHeight="1" x14ac:dyDescent="0.3">
      <c r="A2361" s="1258" t="s">
        <v>276</v>
      </c>
      <c r="B2361" s="725"/>
      <c r="C2361" s="460" t="s">
        <v>93</v>
      </c>
      <c r="D2361" s="725"/>
      <c r="E2361" s="460" t="s">
        <v>93</v>
      </c>
      <c r="F2361" s="725"/>
      <c r="G2361" s="460" t="s">
        <v>93</v>
      </c>
      <c r="H2361" s="460"/>
      <c r="I2361" s="1259"/>
    </row>
    <row r="2362" spans="1:9" ht="14.55" customHeight="1" x14ac:dyDescent="0.3">
      <c r="A2362" s="1258" t="s">
        <v>277</v>
      </c>
      <c r="B2362" s="453" t="e">
        <f>IF((CEILING(B2356,1)+B2359)&lt;B2355,B2355,CEILING(B2356,1)+B2359)</f>
        <v>#N/A</v>
      </c>
      <c r="C2362" s="460" t="s">
        <v>93</v>
      </c>
      <c r="D2362" s="453" t="e">
        <f>IF((CEILING(D2356,1)+D2359)&lt;D2355,D2355,CEILING(D2356,1)+D2359)</f>
        <v>#N/A</v>
      </c>
      <c r="E2362" s="460" t="s">
        <v>93</v>
      </c>
      <c r="F2362" s="453" t="e">
        <f>IF((CEILING(F2356,1)+F2359)&lt;F2355,F2355,CEILING(F2356,1)+F2359)</f>
        <v>#N/A</v>
      </c>
      <c r="G2362" s="460" t="s">
        <v>93</v>
      </c>
      <c r="H2362" s="460"/>
      <c r="I2362" s="1259"/>
    </row>
    <row r="2363" spans="1:9" ht="14.55" customHeight="1" x14ac:dyDescent="0.3">
      <c r="A2363" s="1258" t="s">
        <v>278</v>
      </c>
      <c r="B2363" s="453" t="e">
        <f>IF((CEILING(B2357,1)+B2360)&lt;=B2355,B2355,CEILING(B2357,1)+B2360)</f>
        <v>#N/A</v>
      </c>
      <c r="C2363" s="460" t="s">
        <v>93</v>
      </c>
      <c r="D2363" s="453" t="e">
        <f>IF((CEILING(D2357,1)+D2360)&lt;=D2355,D2355,CEILING(D2357,1)+D2360)</f>
        <v>#N/A</v>
      </c>
      <c r="E2363" s="460" t="s">
        <v>93</v>
      </c>
      <c r="F2363" s="453" t="e">
        <f>IF((CEILING(F2357,1)+F2360)&lt;=F2355,F2355,CEILING(F2357,1)+F2360)</f>
        <v>#N/A</v>
      </c>
      <c r="G2363" s="460" t="s">
        <v>93</v>
      </c>
      <c r="H2363" s="460"/>
      <c r="I2363" s="1259"/>
    </row>
    <row r="2364" spans="1:9" ht="14.55" customHeight="1" x14ac:dyDescent="0.3">
      <c r="A2364" s="1258" t="s">
        <v>279</v>
      </c>
      <c r="B2364" s="453" t="e">
        <f>IF((CEILING(B2358,1)+B2361)&lt;=B2355,B2355,CEILING(B2358,1)+B2361)</f>
        <v>#N/A</v>
      </c>
      <c r="C2364" s="460" t="s">
        <v>93</v>
      </c>
      <c r="D2364" s="453" t="e">
        <f>IF((CEILING(D2358,1)+D2361)&lt;=D2355,D2355,CEILING(D2358,1)+D2361)</f>
        <v>#N/A</v>
      </c>
      <c r="E2364" s="460" t="s">
        <v>93</v>
      </c>
      <c r="F2364" s="453" t="e">
        <f>IF((CEILING(F2358,1)+F2361)&lt;=F2355,F2355,CEILING(F2358,1)+F2361)</f>
        <v>#N/A</v>
      </c>
      <c r="G2364" s="460" t="s">
        <v>93</v>
      </c>
      <c r="H2364" s="460"/>
      <c r="I2364" s="1259"/>
    </row>
    <row r="2365" spans="1:9" ht="14.55" customHeight="1" x14ac:dyDescent="0.3">
      <c r="A2365" s="1258" t="s">
        <v>280</v>
      </c>
      <c r="B2365" s="453"/>
      <c r="C2365" s="460"/>
      <c r="D2365" s="453"/>
      <c r="E2365" s="460"/>
      <c r="F2365" s="726"/>
      <c r="G2365" s="460"/>
      <c r="H2365" s="460"/>
      <c r="I2365" s="1259"/>
    </row>
    <row r="2366" spans="1:9" ht="14.55" customHeight="1" x14ac:dyDescent="0.3">
      <c r="A2366" s="1258" t="s">
        <v>281</v>
      </c>
      <c r="B2366" s="453"/>
      <c r="C2366" s="460"/>
      <c r="D2366" s="453"/>
      <c r="E2366" s="460"/>
      <c r="F2366" s="460">
        <f>IFERROR(VLOOKUP(F2320,'Thickness Tab'!$1:$1048576,MATCH(F2365,'Thickness Tab'!$1:$1,0),0),0)</f>
        <v>0</v>
      </c>
      <c r="G2366" s="460" t="s">
        <v>93</v>
      </c>
      <c r="H2366" s="460"/>
      <c r="I2366" s="1259"/>
    </row>
    <row r="2367" spans="1:9" ht="14.55" customHeight="1" x14ac:dyDescent="0.3">
      <c r="A2367" s="1258"/>
      <c r="B2367" s="464"/>
      <c r="C2367" s="460"/>
      <c r="D2367" s="460"/>
      <c r="E2367" s="460"/>
      <c r="F2367" s="460"/>
      <c r="G2367" s="460"/>
      <c r="H2367" s="460"/>
      <c r="I2367" s="1259"/>
    </row>
    <row r="2368" spans="1:9" ht="14.55" customHeight="1" x14ac:dyDescent="0.3">
      <c r="A2368" s="1258" t="s">
        <v>282</v>
      </c>
      <c r="B2368" s="725">
        <v>0</v>
      </c>
      <c r="C2368" s="460" t="s">
        <v>93</v>
      </c>
      <c r="D2368" s="725">
        <v>0</v>
      </c>
      <c r="E2368" s="460" t="s">
        <v>93</v>
      </c>
      <c r="F2368" s="725">
        <v>0</v>
      </c>
      <c r="G2368" s="460" t="s">
        <v>93</v>
      </c>
      <c r="H2368" s="460"/>
      <c r="I2368" s="1259"/>
    </row>
    <row r="2369" spans="1:9" ht="14.55" customHeight="1" x14ac:dyDescent="0.3">
      <c r="A2369" s="1258" t="s">
        <v>283</v>
      </c>
      <c r="B2369" s="725">
        <v>0</v>
      </c>
      <c r="C2369" s="460" t="s">
        <v>93</v>
      </c>
      <c r="D2369" s="725">
        <v>0</v>
      </c>
      <c r="E2369" s="460" t="s">
        <v>93</v>
      </c>
      <c r="F2369" s="725">
        <v>0</v>
      </c>
      <c r="G2369" s="460" t="s">
        <v>93</v>
      </c>
      <c r="H2369" s="460"/>
      <c r="I2369" s="1259"/>
    </row>
    <row r="2370" spans="1:9" ht="14.55" customHeight="1" x14ac:dyDescent="0.3">
      <c r="A2370" s="1258" t="s">
        <v>284</v>
      </c>
      <c r="B2370" s="725">
        <v>0</v>
      </c>
      <c r="C2370" s="460" t="s">
        <v>93</v>
      </c>
      <c r="D2370" s="725">
        <v>0</v>
      </c>
      <c r="E2370" s="460" t="s">
        <v>93</v>
      </c>
      <c r="F2370" s="725">
        <v>0</v>
      </c>
      <c r="G2370" s="460" t="s">
        <v>93</v>
      </c>
      <c r="H2370" s="460"/>
      <c r="I2370" s="1259"/>
    </row>
    <row r="2371" spans="1:9" ht="14.55" customHeight="1" x14ac:dyDescent="0.3">
      <c r="A2371" s="1258"/>
      <c r="B2371" s="464"/>
      <c r="C2371" s="460"/>
      <c r="D2371" s="460"/>
      <c r="E2371" s="460"/>
      <c r="F2371" s="460"/>
      <c r="G2371" s="460"/>
      <c r="H2371" s="460"/>
      <c r="I2371" s="1259"/>
    </row>
    <row r="2372" spans="1:9" ht="14.55" customHeight="1" x14ac:dyDescent="0.3">
      <c r="A2372" s="1260" t="s">
        <v>285</v>
      </c>
      <c r="B2372" s="470" t="str">
        <f>IF(B2300="Horizontal","No Skirt","")</f>
        <v/>
      </c>
      <c r="C2372" s="460"/>
      <c r="D2372" s="471"/>
      <c r="E2372" s="471" t="s">
        <v>286</v>
      </c>
      <c r="F2372" s="460"/>
      <c r="G2372" s="469"/>
      <c r="H2372" s="469"/>
      <c r="I2372" s="1261"/>
    </row>
    <row r="2373" spans="1:9" ht="14.55" customHeight="1" x14ac:dyDescent="0.3">
      <c r="A2373" s="1258" t="s">
        <v>287</v>
      </c>
      <c r="B2373" s="722"/>
      <c r="C2373" s="456" t="s">
        <v>93</v>
      </c>
      <c r="D2373" s="472"/>
      <c r="E2373" s="472" t="s">
        <v>288</v>
      </c>
      <c r="F2373" s="725"/>
      <c r="G2373" s="460" t="s">
        <v>93</v>
      </c>
      <c r="H2373" s="469"/>
      <c r="I2373" s="1261"/>
    </row>
    <row r="2374" spans="1:9" ht="14.55" customHeight="1" x14ac:dyDescent="0.3">
      <c r="A2374" s="1258" t="s">
        <v>289</v>
      </c>
      <c r="B2374" s="722"/>
      <c r="C2374" s="456" t="s">
        <v>93</v>
      </c>
      <c r="D2374" s="472"/>
      <c r="E2374" s="472" t="s">
        <v>290</v>
      </c>
      <c r="F2374" s="725"/>
      <c r="G2374" s="460" t="s">
        <v>93</v>
      </c>
      <c r="H2374" s="469"/>
      <c r="I2374" s="1261"/>
    </row>
    <row r="2375" spans="1:9" ht="14.55" customHeight="1" x14ac:dyDescent="0.3">
      <c r="A2375" s="1258" t="s">
        <v>291</v>
      </c>
      <c r="B2375" s="722"/>
      <c r="C2375" s="456" t="s">
        <v>93</v>
      </c>
      <c r="D2375" s="472"/>
      <c r="E2375" s="472" t="s">
        <v>292</v>
      </c>
      <c r="F2375" s="725"/>
      <c r="G2375" s="460"/>
      <c r="H2375" s="469"/>
      <c r="I2375" s="1261"/>
    </row>
    <row r="2376" spans="1:9" ht="14.55" customHeight="1" x14ac:dyDescent="0.3">
      <c r="A2376" s="1258" t="s">
        <v>293</v>
      </c>
      <c r="B2376" s="722"/>
      <c r="C2376" s="456" t="s">
        <v>93</v>
      </c>
      <c r="D2376" s="472"/>
      <c r="E2376" s="472" t="s">
        <v>184</v>
      </c>
      <c r="F2376" s="457">
        <f>(PI()*F2373^2)/4*F2374*(7800/1000000000)</f>
        <v>0</v>
      </c>
      <c r="G2376" s="460" t="s">
        <v>222</v>
      </c>
      <c r="H2376" s="460"/>
      <c r="I2376" s="1259"/>
    </row>
    <row r="2377" spans="1:9" ht="14.55" customHeight="1" x14ac:dyDescent="0.3">
      <c r="A2377" s="1258" t="s">
        <v>294</v>
      </c>
      <c r="B2377" s="722"/>
      <c r="C2377" s="456" t="s">
        <v>93</v>
      </c>
      <c r="D2377" s="460"/>
      <c r="E2377" s="460"/>
      <c r="F2377" s="460"/>
      <c r="G2377" s="460"/>
      <c r="H2377" s="460"/>
      <c r="I2377" s="1259"/>
    </row>
    <row r="2378" spans="1:9" ht="14.55" customHeight="1" x14ac:dyDescent="0.3">
      <c r="A2378" s="1258"/>
      <c r="B2378" s="407"/>
      <c r="C2378" s="460"/>
      <c r="D2378" s="460"/>
      <c r="E2378" s="460"/>
      <c r="F2378" s="460"/>
      <c r="G2378" s="460"/>
      <c r="H2378" s="460"/>
      <c r="I2378" s="1259"/>
    </row>
    <row r="2379" spans="1:9" ht="14.55" customHeight="1" x14ac:dyDescent="0.3">
      <c r="A2379" s="1262" t="s">
        <v>295</v>
      </c>
      <c r="B2379" s="480"/>
      <c r="C2379" s="59"/>
      <c r="D2379" s="59"/>
      <c r="E2379" s="59"/>
      <c r="F2379" s="460"/>
      <c r="G2379" s="460"/>
      <c r="H2379" s="460"/>
      <c r="I2379" s="1259"/>
    </row>
    <row r="2380" spans="1:9" ht="14.55" customHeight="1" x14ac:dyDescent="0.3">
      <c r="A2380" s="1263" t="s">
        <v>296</v>
      </c>
      <c r="B2380" s="722"/>
      <c r="C2380" s="59" t="s">
        <v>93</v>
      </c>
      <c r="D2380" s="59"/>
      <c r="E2380" s="59"/>
      <c r="F2380" s="460"/>
      <c r="G2380" s="460"/>
      <c r="H2380" s="460"/>
      <c r="I2380" s="1259"/>
    </row>
    <row r="2381" spans="1:9" ht="14.55" customHeight="1" x14ac:dyDescent="0.3">
      <c r="A2381" s="1263" t="s">
        <v>297</v>
      </c>
      <c r="B2381" s="722"/>
      <c r="C2381" s="59" t="s">
        <v>93</v>
      </c>
      <c r="D2381" s="59"/>
      <c r="E2381" s="59"/>
      <c r="F2381" s="460"/>
      <c r="G2381" s="460"/>
      <c r="H2381" s="460"/>
      <c r="I2381" s="1259"/>
    </row>
    <row r="2382" spans="1:9" ht="14.55" customHeight="1" x14ac:dyDescent="0.3">
      <c r="A2382" s="1263" t="s">
        <v>298</v>
      </c>
      <c r="B2382" s="480">
        <f>B2323</f>
        <v>0</v>
      </c>
      <c r="C2382" s="59" t="s">
        <v>93</v>
      </c>
      <c r="D2382" s="59"/>
      <c r="E2382" s="59"/>
      <c r="F2382" s="460"/>
      <c r="G2382" s="460"/>
      <c r="H2382" s="460"/>
      <c r="I2382" s="1259"/>
    </row>
    <row r="2383" spans="1:9" ht="14.55" customHeight="1" x14ac:dyDescent="0.3">
      <c r="A2383" s="1263" t="s">
        <v>299</v>
      </c>
      <c r="B2383" s="727"/>
      <c r="C2383" s="59"/>
      <c r="D2383" s="59"/>
      <c r="E2383" s="59"/>
      <c r="F2383" s="460"/>
      <c r="G2383" s="460"/>
      <c r="H2383" s="460"/>
      <c r="I2383" s="1259"/>
    </row>
    <row r="2384" spans="1:9" ht="14.55" customHeight="1" x14ac:dyDescent="0.3">
      <c r="A2384" s="1263" t="s">
        <v>300</v>
      </c>
      <c r="B2384" s="722"/>
      <c r="C2384" s="59" t="s">
        <v>301</v>
      </c>
      <c r="D2384" s="59"/>
      <c r="E2384" s="59"/>
      <c r="F2384" s="460"/>
      <c r="G2384" s="460"/>
      <c r="H2384" s="460"/>
      <c r="I2384" s="1259"/>
    </row>
    <row r="2385" spans="1:9" ht="14.55" customHeight="1" x14ac:dyDescent="0.3">
      <c r="A2385" s="1263" t="s">
        <v>302</v>
      </c>
      <c r="B2385" s="480">
        <f>IF(B2383="Straight",B2382,B2382*2)</f>
        <v>0</v>
      </c>
      <c r="C2385" s="59" t="s">
        <v>93</v>
      </c>
      <c r="D2385" s="480"/>
      <c r="E2385" s="59"/>
      <c r="F2385" s="460"/>
      <c r="G2385" s="460"/>
      <c r="H2385" s="460"/>
      <c r="I2385" s="1259"/>
    </row>
    <row r="2386" spans="1:9" ht="14.55" customHeight="1" x14ac:dyDescent="0.3">
      <c r="A2386" s="1263" t="s">
        <v>303</v>
      </c>
      <c r="B2386" s="480">
        <f>B2380*PI()*B2385/1000000*B2384</f>
        <v>0</v>
      </c>
      <c r="C2386" s="59" t="s">
        <v>228</v>
      </c>
      <c r="D2386" s="59"/>
      <c r="E2386" s="59"/>
      <c r="F2386" s="460"/>
      <c r="G2386" s="460"/>
      <c r="H2386" s="460"/>
      <c r="I2386" s="1259"/>
    </row>
    <row r="2387" spans="1:9" ht="14.55" customHeight="1" x14ac:dyDescent="0.3">
      <c r="A2387" s="1263" t="s">
        <v>304</v>
      </c>
      <c r="B2387" s="480">
        <v>7.86</v>
      </c>
      <c r="C2387" s="59" t="s">
        <v>305</v>
      </c>
      <c r="D2387" s="59"/>
      <c r="E2387" s="59"/>
      <c r="F2387" s="460"/>
      <c r="G2387" s="460"/>
      <c r="H2387" s="460"/>
      <c r="I2387" s="1259"/>
    </row>
    <row r="2388" spans="1:9" ht="14.55" customHeight="1" x14ac:dyDescent="0.3">
      <c r="A2388" s="1263" t="s">
        <v>306</v>
      </c>
      <c r="B2388" s="480">
        <f>PI()*B2381*(B2380-B2381)*B2387/1000</f>
        <v>0</v>
      </c>
      <c r="C2388" s="59" t="s">
        <v>307</v>
      </c>
      <c r="D2388" s="59"/>
      <c r="E2388" s="59"/>
      <c r="F2388" s="460"/>
      <c r="G2388" s="460"/>
      <c r="H2388" s="460"/>
      <c r="I2388" s="1259"/>
    </row>
    <row r="2389" spans="1:9" ht="14.55" customHeight="1" x14ac:dyDescent="0.3">
      <c r="A2389" s="1263" t="s">
        <v>308</v>
      </c>
      <c r="B2389" s="480">
        <f>B2388*B2385*B2384/1000</f>
        <v>0</v>
      </c>
      <c r="C2389" s="59" t="s">
        <v>222</v>
      </c>
      <c r="D2389" s="59"/>
      <c r="E2389" s="59"/>
      <c r="F2389" s="460"/>
      <c r="G2389" s="460"/>
      <c r="H2389" s="460"/>
      <c r="I2389" s="1259"/>
    </row>
    <row r="2390" spans="1:9" ht="14.55" customHeight="1" x14ac:dyDescent="0.3">
      <c r="A2390" s="1263"/>
      <c r="B2390" s="480"/>
      <c r="C2390" s="59"/>
      <c r="D2390" s="59"/>
      <c r="E2390" s="59"/>
      <c r="F2390" s="460"/>
      <c r="G2390" s="460"/>
      <c r="H2390" s="460"/>
      <c r="I2390" s="1259"/>
    </row>
    <row r="2391" spans="1:9" ht="14.55" customHeight="1" x14ac:dyDescent="0.3">
      <c r="A2391" s="1262" t="s">
        <v>309</v>
      </c>
      <c r="B2391" s="480"/>
      <c r="C2391" s="59"/>
      <c r="D2391" s="59"/>
      <c r="E2391" s="59"/>
      <c r="F2391" s="460"/>
      <c r="G2391" s="460"/>
      <c r="H2391" s="460"/>
      <c r="I2391" s="1259"/>
    </row>
    <row r="2392" spans="1:9" ht="14.55" customHeight="1" x14ac:dyDescent="0.3">
      <c r="A2392" s="1263" t="s">
        <v>310</v>
      </c>
      <c r="B2392" s="480">
        <f>B2321</f>
        <v>0</v>
      </c>
      <c r="C2392" s="59" t="s">
        <v>93</v>
      </c>
      <c r="D2392" s="59"/>
      <c r="E2392" s="59"/>
      <c r="F2392" s="460"/>
      <c r="G2392" s="460"/>
      <c r="H2392" s="460"/>
      <c r="I2392" s="1259"/>
    </row>
    <row r="2393" spans="1:9" ht="14.55" customHeight="1" x14ac:dyDescent="0.3">
      <c r="A2393" s="1263" t="s">
        <v>297</v>
      </c>
      <c r="B2393" s="480">
        <v>15</v>
      </c>
      <c r="C2393" s="59" t="s">
        <v>93</v>
      </c>
      <c r="D2393" s="59"/>
      <c r="E2393" s="59"/>
      <c r="F2393" s="460"/>
      <c r="G2393" s="460"/>
      <c r="H2393" s="460"/>
      <c r="I2393" s="1259"/>
    </row>
    <row r="2394" spans="1:9" ht="14.55" customHeight="1" x14ac:dyDescent="0.3">
      <c r="A2394" s="1263" t="s">
        <v>311</v>
      </c>
      <c r="B2394" s="480">
        <f>B2392^2*PI()/4/1000000</f>
        <v>0</v>
      </c>
      <c r="C2394" s="59" t="s">
        <v>228</v>
      </c>
      <c r="D2394" s="59"/>
      <c r="E2394" s="59"/>
      <c r="F2394" s="460"/>
      <c r="G2394" s="460"/>
      <c r="H2394" s="460"/>
      <c r="I2394" s="1259"/>
    </row>
    <row r="2395" spans="1:9" ht="14.55" customHeight="1" x14ac:dyDescent="0.3">
      <c r="A2395" s="1263" t="s">
        <v>312</v>
      </c>
      <c r="B2395" s="480">
        <f>B2394*B2393/1000*B2387*2/1000</f>
        <v>0</v>
      </c>
      <c r="C2395" s="59" t="s">
        <v>222</v>
      </c>
      <c r="D2395" s="59"/>
      <c r="E2395" s="59"/>
      <c r="F2395" s="460"/>
      <c r="G2395" s="460"/>
      <c r="H2395" s="460"/>
      <c r="I2395" s="1259"/>
    </row>
    <row r="2396" spans="1:9" ht="14.55" customHeight="1" x14ac:dyDescent="0.3">
      <c r="A2396" s="1263"/>
      <c r="B2396" s="480"/>
      <c r="C2396" s="59"/>
      <c r="D2396" s="59"/>
      <c r="E2396" s="59"/>
      <c r="F2396" s="460"/>
      <c r="G2396" s="460"/>
      <c r="H2396" s="460"/>
      <c r="I2396" s="1259"/>
    </row>
    <row r="2397" spans="1:9" ht="14.55" customHeight="1" x14ac:dyDescent="0.3">
      <c r="A2397" s="1263" t="s">
        <v>313</v>
      </c>
      <c r="B2397" s="480">
        <f>B2389+B2395*2</f>
        <v>0</v>
      </c>
      <c r="C2397" s="59" t="s">
        <v>222</v>
      </c>
      <c r="D2397" s="59"/>
      <c r="E2397" s="59"/>
      <c r="F2397" s="460"/>
      <c r="G2397" s="460"/>
      <c r="H2397" s="460"/>
      <c r="I2397" s="1259"/>
    </row>
    <row r="2398" spans="1:9" ht="14.55" customHeight="1" x14ac:dyDescent="0.3">
      <c r="A2398" s="1263"/>
      <c r="B2398" s="480"/>
      <c r="C2398" s="59"/>
      <c r="D2398" s="59"/>
      <c r="E2398" s="59"/>
      <c r="F2398" s="460"/>
      <c r="G2398" s="460"/>
      <c r="H2398" s="460"/>
      <c r="I2398" s="1259"/>
    </row>
    <row r="2399" spans="1:9" ht="14.55" customHeight="1" x14ac:dyDescent="0.3">
      <c r="A2399" s="1260" t="s">
        <v>314</v>
      </c>
      <c r="B2399" s="460"/>
      <c r="C2399" s="460"/>
      <c r="D2399" s="463" t="s">
        <v>315</v>
      </c>
      <c r="E2399" s="460"/>
      <c r="F2399" s="460"/>
      <c r="G2399" s="471" t="s">
        <v>316</v>
      </c>
      <c r="H2399" s="453"/>
      <c r="I2399" s="1259"/>
    </row>
    <row r="2400" spans="1:9" ht="14.55" customHeight="1" x14ac:dyDescent="0.3">
      <c r="A2400" s="1258" t="s">
        <v>189</v>
      </c>
      <c r="B2400" s="468" t="e">
        <f>SUM(B2324,D2324,F2324)</f>
        <v>#N/A</v>
      </c>
      <c r="C2400" s="460" t="s">
        <v>222</v>
      </c>
      <c r="D2400" s="472" t="s">
        <v>189</v>
      </c>
      <c r="E2400" s="468" t="e">
        <f>SUM(B2326,D2326,F2326)</f>
        <v>#N/A</v>
      </c>
      <c r="F2400" s="460" t="s">
        <v>228</v>
      </c>
      <c r="G2400" s="472" t="s">
        <v>189</v>
      </c>
      <c r="H2400" s="453" t="e">
        <f>SUM(B2328,D2328,F2328)</f>
        <v>#N/A</v>
      </c>
      <c r="I2400" s="1259" t="s">
        <v>228</v>
      </c>
    </row>
    <row r="2401" spans="1:9" ht="14.55" customHeight="1" x14ac:dyDescent="0.3">
      <c r="A2401" s="1258" t="s">
        <v>317</v>
      </c>
      <c r="B2401" s="468" t="e">
        <f>SUM(B2334*B2336,D2334*D2336,F2334*F2336)</f>
        <v>#N/A</v>
      </c>
      <c r="C2401" s="460" t="s">
        <v>222</v>
      </c>
      <c r="D2401" s="472" t="s">
        <v>317</v>
      </c>
      <c r="E2401" s="468" t="e">
        <f>SUM(B2334*B2338,D2334*D2338,F2334*F2338)</f>
        <v>#N/A</v>
      </c>
      <c r="F2401" s="460" t="s">
        <v>228</v>
      </c>
      <c r="G2401" s="472" t="s">
        <v>317</v>
      </c>
      <c r="H2401" s="453" t="e">
        <f>SUM(B2334*B2340,D2334*D2340,F2334*F2340)</f>
        <v>#N/A</v>
      </c>
      <c r="I2401" s="1259" t="s">
        <v>228</v>
      </c>
    </row>
    <row r="2402" spans="1:9" ht="14.55" customHeight="1" x14ac:dyDescent="0.3">
      <c r="A2402" s="1258" t="s">
        <v>318</v>
      </c>
      <c r="B2402" s="468" t="e">
        <f>SUM(B2348,D2348,F2348)</f>
        <v>#N/A</v>
      </c>
      <c r="C2402" s="460" t="s">
        <v>222</v>
      </c>
      <c r="D2402" s="472" t="s">
        <v>318</v>
      </c>
      <c r="E2402" s="468" t="e">
        <f>SUM(B2350,D2350,F2350)</f>
        <v>#N/A</v>
      </c>
      <c r="F2402" s="460" t="s">
        <v>228</v>
      </c>
      <c r="G2402" s="472" t="s">
        <v>318</v>
      </c>
      <c r="H2402" s="453" t="e">
        <f>SUM(B2353,D2353,F2353)</f>
        <v>#N/A</v>
      </c>
      <c r="I2402" s="1259" t="s">
        <v>228</v>
      </c>
    </row>
    <row r="2403" spans="1:9" ht="14.55" customHeight="1" x14ac:dyDescent="0.3">
      <c r="A2403" s="1258" t="s">
        <v>319</v>
      </c>
      <c r="B2403" s="468">
        <f>SUMPRODUCT(F2420:F2431,H2420:H2431)</f>
        <v>0</v>
      </c>
      <c r="C2403" s="460" t="s">
        <v>222</v>
      </c>
      <c r="D2403" s="472" t="s">
        <v>319</v>
      </c>
      <c r="E2403" s="468">
        <f>SUMPRODUCT(F2420:F2431,I2420:I2431)</f>
        <v>0</v>
      </c>
      <c r="F2403" s="460" t="s">
        <v>228</v>
      </c>
      <c r="G2403" s="460"/>
      <c r="H2403" s="453"/>
      <c r="I2403" s="1259"/>
    </row>
    <row r="2404" spans="1:9" ht="14.55" customHeight="1" x14ac:dyDescent="0.3">
      <c r="A2404" s="1258" t="s">
        <v>320</v>
      </c>
      <c r="B2404" s="468" t="e">
        <f>IF(B2300="Horizontal",0,(PI()*B2374*(((B2322/2)^2)-(((B2322-2*B2373)/2)^2))*7860)/1000000000)</f>
        <v>#N/A</v>
      </c>
      <c r="C2404" s="460" t="s">
        <v>222</v>
      </c>
      <c r="D2404" s="472" t="s">
        <v>320</v>
      </c>
      <c r="E2404" s="468" t="e">
        <f>IF(B2300="Horizontal",0,((B2322*B2374*PI())+((B2322-2*B2373)*B2374*PI()))/1000000)</f>
        <v>#N/A</v>
      </c>
      <c r="F2404" s="460" t="s">
        <v>228</v>
      </c>
      <c r="G2404" s="471" t="s">
        <v>321</v>
      </c>
      <c r="H2404" s="453"/>
      <c r="I2404" s="1259"/>
    </row>
    <row r="2405" spans="1:9" ht="14.55" customHeight="1" x14ac:dyDescent="0.3">
      <c r="A2405" s="1258" t="s">
        <v>322</v>
      </c>
      <c r="B2405" s="468">
        <f>IF(B2300="Horizontal",0,(PI()*B2377*(((B2376/2)^2)-((B2375/2)^2))*7860)/1000000000)</f>
        <v>0</v>
      </c>
      <c r="C2405" s="460" t="s">
        <v>222</v>
      </c>
      <c r="D2405" s="472" t="s">
        <v>322</v>
      </c>
      <c r="E2405" s="468">
        <f>IF(B2300="Horizontal",0,((B2376*3.14*B2377)+(B2375*3.14*B2377)+(((((B2376/2)^2)*3.14)-(((B2375/2)^2)*3.14))*2))/1000000)</f>
        <v>0</v>
      </c>
      <c r="F2405" s="460" t="s">
        <v>228</v>
      </c>
      <c r="G2405" s="472" t="s">
        <v>189</v>
      </c>
      <c r="H2405" s="453">
        <f>SUM(B2325,D2325,F2325)</f>
        <v>0</v>
      </c>
      <c r="I2405" s="1259" t="s">
        <v>225</v>
      </c>
    </row>
    <row r="2406" spans="1:9" ht="14.55" customHeight="1" x14ac:dyDescent="0.3">
      <c r="A2406" s="1258" t="s">
        <v>323</v>
      </c>
      <c r="B2406" s="468">
        <f>IF(B2300="Horizontal",VLOOKUP(B2322,List!$AR:$AS,2,1)*2,0)</f>
        <v>0</v>
      </c>
      <c r="C2406" s="460" t="s">
        <v>222</v>
      </c>
      <c r="D2406" s="472" t="s">
        <v>323</v>
      </c>
      <c r="E2406" s="725"/>
      <c r="F2406" s="460" t="s">
        <v>228</v>
      </c>
      <c r="G2406" s="472" t="s">
        <v>317</v>
      </c>
      <c r="H2406" s="453" t="e">
        <f>SUM(B2334*B2337+D2334*D2337+F2334*F2337)</f>
        <v>#N/A</v>
      </c>
      <c r="I2406" s="1259" t="s">
        <v>225</v>
      </c>
    </row>
    <row r="2407" spans="1:9" ht="14.55" customHeight="1" x14ac:dyDescent="0.3">
      <c r="A2407" s="1258" t="s">
        <v>324</v>
      </c>
      <c r="B2407" s="468">
        <f>F2376*F2375</f>
        <v>0</v>
      </c>
      <c r="C2407" s="460" t="s">
        <v>222</v>
      </c>
      <c r="D2407" s="460"/>
      <c r="E2407" s="460"/>
      <c r="F2407" s="460"/>
      <c r="G2407" s="472" t="s">
        <v>318</v>
      </c>
      <c r="H2407" s="453">
        <f>SUM(B2349,D2349,F2349)</f>
        <v>0</v>
      </c>
      <c r="I2407" s="1259" t="s">
        <v>225</v>
      </c>
    </row>
    <row r="2408" spans="1:9" ht="14.55" customHeight="1" x14ac:dyDescent="0.3">
      <c r="A2408" s="1258" t="s">
        <v>325</v>
      </c>
      <c r="B2408" s="468">
        <f>B2397</f>
        <v>0</v>
      </c>
      <c r="C2408" s="460" t="s">
        <v>222</v>
      </c>
      <c r="D2408" s="460"/>
      <c r="E2408" s="460"/>
      <c r="F2408" s="460"/>
      <c r="G2408" s="472"/>
      <c r="H2408" s="453"/>
      <c r="I2408" s="1259"/>
    </row>
    <row r="2409" spans="1:9" ht="14.55" customHeight="1" x14ac:dyDescent="0.3">
      <c r="A2409" s="1258" t="s">
        <v>326</v>
      </c>
      <c r="B2409" s="725"/>
      <c r="C2409" s="460" t="s">
        <v>222</v>
      </c>
      <c r="D2409" s="460"/>
      <c r="E2409" s="460"/>
      <c r="F2409" s="460"/>
      <c r="G2409" s="460"/>
      <c r="H2409" s="460"/>
      <c r="I2409" s="1259"/>
    </row>
    <row r="2410" spans="1:9" ht="14.55" customHeight="1" x14ac:dyDescent="0.3">
      <c r="A2410" s="1264"/>
      <c r="B2410" s="460"/>
      <c r="C2410" s="460"/>
      <c r="D2410" s="460"/>
      <c r="E2410" s="460"/>
      <c r="F2410" s="460"/>
      <c r="G2410" s="460"/>
      <c r="H2410" s="460"/>
      <c r="I2410" s="1259"/>
    </row>
    <row r="2411" spans="1:9" ht="14.55" customHeight="1" x14ac:dyDescent="0.3">
      <c r="A2411" s="1258" t="s">
        <v>327</v>
      </c>
      <c r="B2411" s="453" t="e">
        <f>SUM(E2400:E2406)</f>
        <v>#N/A</v>
      </c>
      <c r="C2411" s="460" t="s">
        <v>228</v>
      </c>
      <c r="D2411" s="460"/>
      <c r="E2411" s="460"/>
      <c r="F2411" s="460"/>
      <c r="G2411" s="460"/>
      <c r="H2411" s="460"/>
      <c r="I2411" s="1259"/>
    </row>
    <row r="2412" spans="1:9" ht="14.55" customHeight="1" x14ac:dyDescent="0.3">
      <c r="A2412" s="1258" t="s">
        <v>328</v>
      </c>
      <c r="B2412" s="453" t="e">
        <f>IF(SUM(E2400:E2402)=SUM(H2400:H2402),"Not Insulated",SUM(H2400:H2402))</f>
        <v>#N/A</v>
      </c>
      <c r="C2412" s="460" t="e">
        <f>IF(B2411=SUM(H2400:H2402),"","m2")</f>
        <v>#N/A</v>
      </c>
      <c r="D2412" s="460"/>
      <c r="E2412" s="460"/>
      <c r="F2412" s="460"/>
      <c r="G2412" s="460"/>
      <c r="H2412" s="460"/>
      <c r="I2412" s="1259"/>
    </row>
    <row r="2413" spans="1:9" ht="14.55" customHeight="1" x14ac:dyDescent="0.3">
      <c r="A2413" s="1258" t="s">
        <v>329</v>
      </c>
      <c r="B2413" s="453" t="e">
        <f>SUM(H2405:H2407)</f>
        <v>#N/A</v>
      </c>
      <c r="C2413" s="460" t="s">
        <v>225</v>
      </c>
      <c r="D2413" s="460"/>
      <c r="E2413" s="460"/>
      <c r="F2413" s="460"/>
      <c r="G2413" s="460"/>
      <c r="H2413" s="460"/>
      <c r="I2413" s="1259"/>
    </row>
    <row r="2414" spans="1:9" ht="14.55" customHeight="1" x14ac:dyDescent="0.3">
      <c r="A2414" s="1258" t="s">
        <v>330</v>
      </c>
      <c r="B2414" s="453" t="e">
        <f>SUM(B2400:B2409)</f>
        <v>#N/A</v>
      </c>
      <c r="C2414" s="460" t="s">
        <v>222</v>
      </c>
      <c r="D2414" s="460"/>
      <c r="E2414" s="460"/>
      <c r="F2414" s="460"/>
      <c r="G2414" s="460"/>
      <c r="H2414" s="460"/>
      <c r="I2414" s="1259"/>
    </row>
    <row r="2415" spans="1:9" ht="14.55" customHeight="1" x14ac:dyDescent="0.3">
      <c r="A2415" s="1258" t="s">
        <v>331</v>
      </c>
      <c r="B2415" s="725"/>
      <c r="C2415" s="460" t="s">
        <v>222</v>
      </c>
      <c r="D2415" s="460"/>
      <c r="E2415" s="460"/>
      <c r="F2415" s="460"/>
      <c r="G2415" s="460"/>
      <c r="H2415" s="460"/>
      <c r="I2415" s="1259"/>
    </row>
    <row r="2416" spans="1:9" ht="15" customHeight="1" thickBot="1" x14ac:dyDescent="0.35">
      <c r="A2416" s="1258"/>
      <c r="B2416" s="473"/>
      <c r="C2416" s="459"/>
      <c r="D2416" s="460"/>
      <c r="E2416" s="460"/>
      <c r="F2416" s="460"/>
      <c r="G2416" s="460"/>
      <c r="H2416" s="460"/>
      <c r="I2416" s="1259"/>
    </row>
    <row r="2417" spans="1:13" ht="15" customHeight="1" thickBot="1" x14ac:dyDescent="0.35">
      <c r="A2417" s="474"/>
      <c r="B2417" s="1718" t="s">
        <v>332</v>
      </c>
      <c r="C2417" s="1718"/>
      <c r="D2417" s="1718"/>
      <c r="E2417" s="1718"/>
      <c r="F2417" s="1718"/>
      <c r="G2417" s="475"/>
      <c r="H2417" s="475"/>
      <c r="I2417" s="476"/>
    </row>
    <row r="2418" spans="1:13" ht="14.55" customHeight="1" x14ac:dyDescent="0.3">
      <c r="A2418" s="1264"/>
      <c r="B2418" s="1719" t="s">
        <v>333</v>
      </c>
      <c r="C2418" s="1381" t="s">
        <v>59</v>
      </c>
      <c r="D2418" s="1719" t="s">
        <v>114</v>
      </c>
      <c r="E2418" s="1719" t="s">
        <v>334</v>
      </c>
      <c r="F2418" s="1719" t="s">
        <v>292</v>
      </c>
      <c r="G2418" s="1719" t="s">
        <v>335</v>
      </c>
      <c r="H2418" s="1381" t="s">
        <v>184</v>
      </c>
      <c r="I2418" s="1346" t="s">
        <v>336</v>
      </c>
    </row>
    <row r="2419" spans="1:13" ht="14.55" customHeight="1" x14ac:dyDescent="0.3">
      <c r="A2419" s="1264"/>
      <c r="B2419" s="1720"/>
      <c r="C2419" s="1442" t="s">
        <v>214</v>
      </c>
      <c r="D2419" s="1720"/>
      <c r="E2419" s="1720"/>
      <c r="F2419" s="1720"/>
      <c r="G2419" s="1720"/>
      <c r="H2419" s="1442" t="s">
        <v>222</v>
      </c>
      <c r="I2419" s="1443" t="s">
        <v>228</v>
      </c>
    </row>
    <row r="2420" spans="1:13" ht="14.55" customHeight="1" x14ac:dyDescent="0.3">
      <c r="A2420" s="1264"/>
      <c r="B2420" s="1382" t="s">
        <v>337</v>
      </c>
      <c r="C2420" s="728"/>
      <c r="D2420" s="729"/>
      <c r="E2420" s="730"/>
      <c r="F2420" s="730"/>
      <c r="G2420" s="730"/>
      <c r="H2420" s="1465" t="str">
        <f>IFERROR(VLOOKUP($C2420&amp;"F"&amp;$D2420,'Flanges Chart'!$1:$1048576,MATCH($E2420&amp;"."&amp;H$123,'Flanges Chart'!$1:$1,0),0),"")</f>
        <v/>
      </c>
      <c r="I2420" s="1466" t="str">
        <f>IFERROR(VLOOKUP($C2420&amp;"F"&amp;$D2420,'Flanges Chart'!$1:$1048576,MATCH($E2420&amp;"."&amp;I$123,'Flanges Chart'!$1:$1,0),0),"")</f>
        <v/>
      </c>
    </row>
    <row r="2421" spans="1:13" ht="14.55" customHeight="1" x14ac:dyDescent="0.3">
      <c r="A2421" s="1264"/>
      <c r="B2421" s="1467" t="s">
        <v>340</v>
      </c>
      <c r="C2421" s="731"/>
      <c r="D2421" s="729"/>
      <c r="E2421" s="729"/>
      <c r="F2421" s="729"/>
      <c r="G2421" s="729"/>
      <c r="H2421" s="1465" t="str">
        <f>IFERROR(VLOOKUP($C2421&amp;"F"&amp;$D2421,'Flanges Chart'!$1:$1048576,MATCH($E2421&amp;"."&amp;H$123,'Flanges Chart'!$1:$1,0),0),"")</f>
        <v/>
      </c>
      <c r="I2421" s="1466" t="str">
        <f>IFERROR(VLOOKUP($C2421&amp;"F"&amp;$D2421,'Flanges Chart'!$1:$1048576,MATCH($E2421&amp;"."&amp;I$123,'Flanges Chart'!$1:$1,0),0),"")</f>
        <v/>
      </c>
    </row>
    <row r="2422" spans="1:13" ht="14.55" customHeight="1" x14ac:dyDescent="0.3">
      <c r="A2422" s="1264"/>
      <c r="B2422" s="1467" t="s">
        <v>342</v>
      </c>
      <c r="C2422" s="731"/>
      <c r="D2422" s="729"/>
      <c r="E2422" s="729"/>
      <c r="F2422" s="729"/>
      <c r="G2422" s="729"/>
      <c r="H2422" s="1465" t="str">
        <f>IFERROR(VLOOKUP($C2422&amp;"F"&amp;$D2422,'Flanges Chart'!$1:$1048576,MATCH($E2422&amp;"."&amp;H$123,'Flanges Chart'!$1:$1,0),0),"")</f>
        <v/>
      </c>
      <c r="I2422" s="1466" t="str">
        <f>IFERROR(VLOOKUP($C2422&amp;"F"&amp;$D2422,'Flanges Chart'!$1:$1048576,MATCH($E2422&amp;"."&amp;I$123,'Flanges Chart'!$1:$1,0),0),"")</f>
        <v/>
      </c>
    </row>
    <row r="2423" spans="1:13" ht="14.55" customHeight="1" x14ac:dyDescent="0.3">
      <c r="A2423" s="1264"/>
      <c r="B2423" s="1467" t="s">
        <v>344</v>
      </c>
      <c r="C2423" s="731"/>
      <c r="D2423" s="729"/>
      <c r="E2423" s="729"/>
      <c r="F2423" s="729"/>
      <c r="G2423" s="729"/>
      <c r="H2423" s="1465" t="str">
        <f>IFERROR(VLOOKUP($C2423&amp;"F"&amp;$D2423,'Flanges Chart'!$1:$1048576,MATCH($E2423&amp;"."&amp;H$123,'Flanges Chart'!$1:$1,0),0),"")</f>
        <v/>
      </c>
      <c r="I2423" s="1466" t="str">
        <f>IFERROR(VLOOKUP($C2423&amp;"F"&amp;$D2423,'Flanges Chart'!$1:$1048576,MATCH($E2423&amp;"."&amp;I$123,'Flanges Chart'!$1:$1,0),0),"")</f>
        <v/>
      </c>
    </row>
    <row r="2424" spans="1:13" ht="14.55" customHeight="1" x14ac:dyDescent="0.3">
      <c r="A2424" s="1264"/>
      <c r="B2424" s="1467" t="s">
        <v>347</v>
      </c>
      <c r="C2424" s="731"/>
      <c r="D2424" s="729"/>
      <c r="E2424" s="729"/>
      <c r="F2424" s="729"/>
      <c r="G2424" s="729"/>
      <c r="H2424" s="1465" t="str">
        <f>IFERROR(VLOOKUP($C2424&amp;"F"&amp;$D2424,'Flanges Chart'!$1:$1048576,MATCH($E2424&amp;"."&amp;H$123,'Flanges Chart'!$1:$1,0),0),"")</f>
        <v/>
      </c>
      <c r="I2424" s="1466" t="str">
        <f>IFERROR(VLOOKUP($C2424&amp;"F"&amp;$D2424,'Flanges Chart'!$1:$1048576,MATCH($E2424&amp;"."&amp;I$123,'Flanges Chart'!$1:$1,0),0),"")</f>
        <v/>
      </c>
    </row>
    <row r="2425" spans="1:13" ht="14.55" customHeight="1" x14ac:dyDescent="0.3">
      <c r="A2425" s="1264"/>
      <c r="B2425" s="1467" t="s">
        <v>349</v>
      </c>
      <c r="C2425" s="731"/>
      <c r="D2425" s="729"/>
      <c r="E2425" s="729"/>
      <c r="F2425" s="729"/>
      <c r="G2425" s="729"/>
      <c r="H2425" s="1465" t="str">
        <f>IFERROR(VLOOKUP($C2425&amp;"F"&amp;$D2425,'Flanges Chart'!$1:$1048576,MATCH($E2425&amp;"."&amp;H$123,'Flanges Chart'!$1:$1,0),0),"")</f>
        <v/>
      </c>
      <c r="I2425" s="1466" t="str">
        <f>IFERROR(VLOOKUP($C2425&amp;"F"&amp;$D2425,'Flanges Chart'!$1:$1048576,MATCH($E2425&amp;"."&amp;I$123,'Flanges Chart'!$1:$1,0),0),"")</f>
        <v/>
      </c>
    </row>
    <row r="2426" spans="1:13" ht="14.55" customHeight="1" x14ac:dyDescent="0.3">
      <c r="A2426" s="1264"/>
      <c r="B2426" s="1467" t="s">
        <v>350</v>
      </c>
      <c r="C2426" s="731"/>
      <c r="D2426" s="729"/>
      <c r="E2426" s="729"/>
      <c r="F2426" s="729"/>
      <c r="G2426" s="729"/>
      <c r="H2426" s="1465" t="str">
        <f>IFERROR(VLOOKUP($C2426&amp;"F"&amp;$D2426,'Flanges Chart'!$1:$1048576,MATCH($E2426&amp;"."&amp;H$123,'Flanges Chart'!$1:$1,0),0),"")</f>
        <v/>
      </c>
      <c r="I2426" s="1466" t="str">
        <f>IFERROR(VLOOKUP($C2426&amp;"F"&amp;$D2426,'Flanges Chart'!$1:$1048576,MATCH($E2426&amp;"."&amp;I$123,'Flanges Chart'!$1:$1,0),0),"")</f>
        <v/>
      </c>
    </row>
    <row r="2427" spans="1:13" ht="14.55" customHeight="1" x14ac:dyDescent="0.3">
      <c r="A2427" s="1264"/>
      <c r="B2427" s="1467" t="s">
        <v>351</v>
      </c>
      <c r="C2427" s="731"/>
      <c r="D2427" s="729"/>
      <c r="E2427" s="729"/>
      <c r="F2427" s="729"/>
      <c r="G2427" s="729"/>
      <c r="H2427" s="1465" t="str">
        <f>IFERROR(VLOOKUP($C2427&amp;"F"&amp;$D2427,'Flanges Chart'!$1:$1048576,MATCH($E2427&amp;"."&amp;H$123,'Flanges Chart'!$1:$1,0),0),"")</f>
        <v/>
      </c>
      <c r="I2427" s="1466" t="str">
        <f>IFERROR(VLOOKUP($C2427&amp;"F"&amp;$D2427,'Flanges Chart'!$1:$1048576,MATCH($E2427&amp;"."&amp;I$123,'Flanges Chart'!$1:$1,0),0),"")</f>
        <v/>
      </c>
    </row>
    <row r="2428" spans="1:13" ht="14.55" customHeight="1" x14ac:dyDescent="0.3">
      <c r="A2428" s="1264"/>
      <c r="B2428" s="1467" t="s">
        <v>352</v>
      </c>
      <c r="C2428" s="731"/>
      <c r="D2428" s="729"/>
      <c r="E2428" s="729"/>
      <c r="F2428" s="729"/>
      <c r="G2428" s="729"/>
      <c r="H2428" s="1465" t="str">
        <f>IFERROR(VLOOKUP($C2428&amp;"F"&amp;$D2428,'Flanges Chart'!$1:$1048576,MATCH($E2428&amp;"."&amp;H$123,'Flanges Chart'!$1:$1,0),0),"")</f>
        <v/>
      </c>
      <c r="I2428" s="1466" t="str">
        <f>IFERROR(VLOOKUP($C2428&amp;"F"&amp;$D2428,'Flanges Chart'!$1:$1048576,MATCH($E2428&amp;"."&amp;I$123,'Flanges Chart'!$1:$1,0),0),"")</f>
        <v/>
      </c>
    </row>
    <row r="2429" spans="1:13" ht="14.55" customHeight="1" x14ac:dyDescent="0.3">
      <c r="A2429" s="1264"/>
      <c r="B2429" s="1467" t="s">
        <v>353</v>
      </c>
      <c r="C2429" s="731"/>
      <c r="D2429" s="729"/>
      <c r="E2429" s="729"/>
      <c r="F2429" s="729"/>
      <c r="G2429" s="729"/>
      <c r="H2429" s="1465" t="str">
        <f>IFERROR(VLOOKUP($C2429&amp;"F"&amp;$D2429,'Flanges Chart'!$1:$1048576,MATCH($E2429&amp;"."&amp;H$123,'Flanges Chart'!$1:$1,0),0),"")</f>
        <v/>
      </c>
      <c r="I2429" s="1466" t="str">
        <f>IFERROR(VLOOKUP($C2429&amp;"F"&amp;$D2429,'Flanges Chart'!$1:$1048576,MATCH($E2429&amp;"."&amp;I$123,'Flanges Chart'!$1:$1,0),0),"")</f>
        <v/>
      </c>
    </row>
    <row r="2430" spans="1:13" ht="14.55" customHeight="1" x14ac:dyDescent="0.3">
      <c r="A2430" s="1264"/>
      <c r="B2430" s="1467" t="s">
        <v>354</v>
      </c>
      <c r="C2430" s="731"/>
      <c r="D2430" s="729"/>
      <c r="E2430" s="729"/>
      <c r="F2430" s="729"/>
      <c r="G2430" s="729"/>
      <c r="H2430" s="1465" t="str">
        <f>IFERROR(VLOOKUP($C2430&amp;"F"&amp;$D2430,'Flanges Chart'!$1:$1048576,MATCH($E2430&amp;"."&amp;H$123,'Flanges Chart'!$1:$1,0),0),"")</f>
        <v/>
      </c>
      <c r="I2430" s="1466" t="str">
        <f>IFERROR(VLOOKUP($C2430&amp;"F"&amp;$D2430,'Flanges Chart'!$1:$1048576,MATCH($E2430&amp;"."&amp;I$123,'Flanges Chart'!$1:$1,0),0),"")</f>
        <v/>
      </c>
    </row>
    <row r="2431" spans="1:13" ht="15" customHeight="1" thickBot="1" x14ac:dyDescent="0.35">
      <c r="A2431" s="1264"/>
      <c r="B2431" s="1468" t="s">
        <v>355</v>
      </c>
      <c r="C2431" s="732"/>
      <c r="D2431" s="733"/>
      <c r="E2431" s="733"/>
      <c r="F2431" s="733"/>
      <c r="G2431" s="733"/>
      <c r="H2431" s="1469" t="s">
        <v>356</v>
      </c>
      <c r="I2431" s="1470" t="str">
        <f>IFERROR(VLOOKUP($C2431&amp;"F"&amp;$D2431,'Flanges Chart'!$1:$1048576,MATCH($E2431&amp;"."&amp;I$123,'Flanges Chart'!$1:$1,0),0),"")</f>
        <v/>
      </c>
    </row>
    <row r="2432" spans="1:13" s="496" customFormat="1" ht="18.600000000000001" thickBot="1" x14ac:dyDescent="0.35">
      <c r="A2432" s="493" t="str">
        <f>"POS."&amp;K2432&amp;" "&amp;VLOOKUP(K2432,'Equip&amp;Mach List'!$1:$1048576,2,0)&amp;" "&amp;VLOOKUP(K2432,'Equip&amp;Mach List'!$1:$1048576,3,0)</f>
        <v>POS.19  4</v>
      </c>
      <c r="B2432" s="511"/>
      <c r="C2432" s="494"/>
      <c r="D2432" s="495"/>
      <c r="E2432" s="495"/>
      <c r="F2432" s="497"/>
      <c r="G2432" s="495"/>
      <c r="H2432" s="495"/>
      <c r="I2432" s="1255" t="str">
        <f>IFERROR("Weight Calc./Selected = "&amp;ROUND(B2549,1)&amp;"/"&amp;B2550&amp;" kg - Øi ="&amp;IF(B2456=0,F2456,B2456)&amp;" mm"&amp;"T/T ="&amp;IF(B2457=0,F2457,B2457)&amp;" mm - Material "&amp;B2443&amp;"        ","")</f>
        <v/>
      </c>
      <c r="K2432" s="496">
        <v>19</v>
      </c>
      <c r="M2432" s="1254"/>
    </row>
    <row r="2433" spans="1:13" ht="14.55" customHeight="1" x14ac:dyDescent="0.3">
      <c r="A2433" s="1256"/>
      <c r="B2433" s="451"/>
      <c r="C2433" s="451"/>
      <c r="D2433" s="451"/>
      <c r="E2433" s="451"/>
      <c r="F2433" s="451"/>
      <c r="G2433" s="451"/>
      <c r="H2433" s="451"/>
      <c r="I2433" s="1257"/>
      <c r="K2433" s="477" t="s">
        <v>166</v>
      </c>
      <c r="L2433" s="477" t="str">
        <f>K2432&amp;"."&amp;K2433</f>
        <v>19.Design Code</v>
      </c>
      <c r="M2433" s="1252" t="str">
        <f>A2434&amp;" "&amp;B2434</f>
        <v xml:space="preserve">ASME VIII </v>
      </c>
    </row>
    <row r="2434" spans="1:13" ht="14.55" customHeight="1" x14ac:dyDescent="0.3">
      <c r="A2434" s="1258" t="s">
        <v>167</v>
      </c>
      <c r="B2434" s="718"/>
      <c r="C2434" s="459"/>
      <c r="D2434" s="460"/>
      <c r="E2434" s="460"/>
      <c r="F2434" s="460"/>
      <c r="G2434" s="460"/>
      <c r="H2434" s="460"/>
      <c r="I2434" s="1259"/>
      <c r="K2434" s="477" t="s">
        <v>169</v>
      </c>
      <c r="L2434" s="477" t="str">
        <f>K2432&amp;"."&amp;K2434</f>
        <v>19.Orientation</v>
      </c>
      <c r="M2434" s="1252">
        <f>B2435</f>
        <v>0</v>
      </c>
    </row>
    <row r="2435" spans="1:13" ht="14.55" customHeight="1" x14ac:dyDescent="0.3">
      <c r="A2435" s="1258" t="s">
        <v>170</v>
      </c>
      <c r="B2435" s="718"/>
      <c r="C2435" s="459"/>
      <c r="D2435" s="460"/>
      <c r="E2435" s="460"/>
      <c r="F2435" s="461"/>
      <c r="G2435" s="460"/>
      <c r="H2435" s="460"/>
      <c r="I2435" s="1259"/>
      <c r="K2435" s="477" t="s">
        <v>172</v>
      </c>
      <c r="L2435" s="477" t="str">
        <f>K2432&amp;"."&amp;K2435</f>
        <v>19.Design Temperature</v>
      </c>
      <c r="M2435" s="1252">
        <f>D2438</f>
        <v>0</v>
      </c>
    </row>
    <row r="2436" spans="1:13" ht="14.55" customHeight="1" x14ac:dyDescent="0.3">
      <c r="A2436" s="1258"/>
      <c r="B2436" s="459"/>
      <c r="C2436" s="459"/>
      <c r="D2436" s="460"/>
      <c r="E2436" s="460"/>
      <c r="F2436" s="462"/>
      <c r="G2436" s="460"/>
      <c r="H2436" s="460"/>
      <c r="I2436" s="1259"/>
      <c r="K2436" s="477" t="s">
        <v>173</v>
      </c>
      <c r="L2436" s="477" t="str">
        <f>K2432&amp;"."&amp;K2436</f>
        <v>19.Design Pressure</v>
      </c>
      <c r="M2436" s="1252">
        <f>D2439</f>
        <v>0</v>
      </c>
    </row>
    <row r="2437" spans="1:13" ht="14.55" customHeight="1" x14ac:dyDescent="0.3">
      <c r="A2437" s="1260" t="s">
        <v>174</v>
      </c>
      <c r="B2437" s="459"/>
      <c r="C2437" s="459"/>
      <c r="D2437" s="460"/>
      <c r="E2437" s="460"/>
      <c r="F2437" s="462"/>
      <c r="G2437" s="460"/>
      <c r="H2437" s="460"/>
      <c r="I2437" s="1259"/>
      <c r="K2437" s="477" t="s">
        <v>175</v>
      </c>
      <c r="L2437" s="477" t="str">
        <f>K2432&amp;"."&amp;K2437</f>
        <v>19.Material</v>
      </c>
      <c r="M2437" s="1252">
        <f>B2443</f>
        <v>0</v>
      </c>
    </row>
    <row r="2438" spans="1:13" ht="14.55" customHeight="1" x14ac:dyDescent="0.3">
      <c r="A2438" s="1258" t="s">
        <v>176</v>
      </c>
      <c r="B2438" s="719"/>
      <c r="C2438" s="720"/>
      <c r="D2438" s="464">
        <f>IF(C2438="°C",B2438,0)+IF(C2438="°F",(B2438-32)*5/9,0)</f>
        <v>0</v>
      </c>
      <c r="E2438" s="460" t="s">
        <v>177</v>
      </c>
      <c r="F2438" s="462"/>
      <c r="G2438" s="460"/>
      <c r="H2438" s="460"/>
      <c r="I2438" s="1259"/>
      <c r="K2438" s="477" t="s">
        <v>178</v>
      </c>
      <c r="L2438" s="477" t="str">
        <f>K2432&amp;"."&amp;K2438</f>
        <v>19.Inside Diameter</v>
      </c>
      <c r="M2438" s="1252">
        <f>IF(B2456=0,F2456,B2456)</f>
        <v>0</v>
      </c>
    </row>
    <row r="2439" spans="1:13" ht="14.55" customHeight="1" x14ac:dyDescent="0.3">
      <c r="A2439" s="1258" t="s">
        <v>179</v>
      </c>
      <c r="B2439" s="721"/>
      <c r="C2439" s="720"/>
      <c r="D2439" s="452">
        <f>IF(C2439="barg",B2439,0)+IF(C2439="psig",B2439*List!$AV$4,0)+IF(C2439="MPa",B2439*List!$AV$5,0)+IF(C2439="N/mm2",B2439*List!$AV$6,0)</f>
        <v>0</v>
      </c>
      <c r="E2439" s="460" t="s">
        <v>180</v>
      </c>
      <c r="F2439" s="460"/>
      <c r="G2439" s="460"/>
      <c r="H2439" s="460"/>
      <c r="I2439" s="1259"/>
      <c r="K2439" s="477" t="s">
        <v>181</v>
      </c>
      <c r="L2439" s="477" t="str">
        <f>K2432&amp;"."&amp;K2439</f>
        <v>19.Tan / Tan</v>
      </c>
      <c r="M2439" s="1252">
        <f>IF(B2458=0,F2458,B2458)</f>
        <v>0</v>
      </c>
    </row>
    <row r="2440" spans="1:13" ht="14.55" customHeight="1" x14ac:dyDescent="0.3">
      <c r="A2440" s="1258" t="s">
        <v>182</v>
      </c>
      <c r="B2440" s="721"/>
      <c r="C2440" s="720"/>
      <c r="D2440" s="452">
        <f>IF(C2440="barg",B2440,0)+IF(C2440="psig",B2440*List!$AV$4,0)+IF(C2440="MPa",B2440*List!$AV$5,0)+IF(C2440="N/mm2",B2440*List!$AV$6,0)</f>
        <v>0</v>
      </c>
      <c r="E2440" s="460" t="s">
        <v>180</v>
      </c>
      <c r="F2440" s="460"/>
      <c r="G2440" s="465"/>
      <c r="H2440" s="460"/>
      <c r="I2440" s="1259"/>
      <c r="K2440" s="477" t="s">
        <v>183</v>
      </c>
      <c r="L2440" s="477" t="str">
        <f>K2432&amp;"."&amp;K2440</f>
        <v>19.Thickness</v>
      </c>
      <c r="M2440" s="1252" t="e">
        <f>IF(B2497=0,F2501,B2497)</f>
        <v>#N/A</v>
      </c>
    </row>
    <row r="2441" spans="1:13" ht="14.55" customHeight="1" x14ac:dyDescent="0.3">
      <c r="A2441" s="1258"/>
      <c r="B2441" s="459"/>
      <c r="C2441" s="459"/>
      <c r="D2441" s="460"/>
      <c r="E2441" s="460"/>
      <c r="F2441" s="460"/>
      <c r="G2441" s="465"/>
      <c r="H2441" s="460"/>
      <c r="I2441" s="1259"/>
      <c r="K2441" s="477" t="s">
        <v>184</v>
      </c>
      <c r="L2441" s="477" t="str">
        <f>K2432&amp;"."&amp;K2441</f>
        <v>19.Unit Weight</v>
      </c>
      <c r="M2441" s="1252">
        <f>B2550</f>
        <v>0</v>
      </c>
    </row>
    <row r="2442" spans="1:13" ht="14.55" customHeight="1" x14ac:dyDescent="0.3">
      <c r="A2442" s="1260" t="s">
        <v>185</v>
      </c>
      <c r="B2442" s="459" t="s">
        <v>186</v>
      </c>
      <c r="C2442" s="459"/>
      <c r="D2442" s="460"/>
      <c r="E2442" s="460"/>
      <c r="F2442" s="460" t="s">
        <v>187</v>
      </c>
      <c r="G2442" s="465"/>
      <c r="H2442" s="460"/>
      <c r="I2442" s="1259"/>
      <c r="K2442" s="478" t="s">
        <v>188</v>
      </c>
      <c r="L2442" s="477" t="str">
        <f>K2432&amp;"."&amp;K2442</f>
        <v>19.Unit External Surface</v>
      </c>
      <c r="M2442" s="1252" t="e">
        <f>B2546</f>
        <v>#N/A</v>
      </c>
    </row>
    <row r="2443" spans="1:13" ht="14.55" customHeight="1" x14ac:dyDescent="0.3">
      <c r="A2443" s="1258" t="s">
        <v>189</v>
      </c>
      <c r="B2443" s="1716"/>
      <c r="C2443" s="1717"/>
      <c r="D2443" s="460"/>
      <c r="E2443" s="461"/>
      <c r="F2443" s="1716"/>
      <c r="G2443" s="1717"/>
      <c r="H2443" s="460"/>
      <c r="I2443" s="1259"/>
      <c r="K2443" s="477" t="s">
        <v>191</v>
      </c>
      <c r="L2443" s="477" t="str">
        <f>K2432&amp;"."&amp;K2443</f>
        <v>19.M1 DN</v>
      </c>
      <c r="M2443" s="1252">
        <f>C2564</f>
        <v>0</v>
      </c>
    </row>
    <row r="2444" spans="1:13" ht="14.55" customHeight="1" x14ac:dyDescent="0.3">
      <c r="A2444" s="1258" t="s">
        <v>192</v>
      </c>
      <c r="B2444" s="1716"/>
      <c r="C2444" s="1717"/>
      <c r="D2444" s="460"/>
      <c r="E2444" s="461"/>
      <c r="F2444" s="1716"/>
      <c r="G2444" s="1717"/>
      <c r="H2444" s="460"/>
      <c r="I2444" s="1259"/>
      <c r="K2444" s="477" t="s">
        <v>193</v>
      </c>
      <c r="L2444" s="477" t="str">
        <f>K2432&amp;"."&amp;K2444</f>
        <v>19.M1 Rating</v>
      </c>
      <c r="M2444" s="1252">
        <f>D2564</f>
        <v>0</v>
      </c>
    </row>
    <row r="2445" spans="1:13" ht="14.55" customHeight="1" x14ac:dyDescent="0.3">
      <c r="A2445" s="1258"/>
      <c r="B2445" s="466"/>
      <c r="C2445" s="466"/>
      <c r="D2445" s="460"/>
      <c r="E2445" s="460"/>
      <c r="F2445" s="460"/>
      <c r="G2445" s="460"/>
      <c r="H2445" s="460"/>
      <c r="I2445" s="1259"/>
      <c r="K2445" s="477" t="s">
        <v>194</v>
      </c>
      <c r="L2445" s="477" t="str">
        <f>K2432&amp;"."&amp;K2445</f>
        <v>19.M1 Type</v>
      </c>
      <c r="M2445" s="1252">
        <f>E2564</f>
        <v>0</v>
      </c>
    </row>
    <row r="2446" spans="1:13" ht="14.55" customHeight="1" x14ac:dyDescent="0.3">
      <c r="A2446" s="1258" t="s">
        <v>195</v>
      </c>
      <c r="B2446" s="460"/>
      <c r="C2446" s="460"/>
      <c r="D2446" s="460"/>
      <c r="E2446" s="460"/>
      <c r="F2446" s="460"/>
      <c r="G2446" s="460"/>
      <c r="H2446" s="460"/>
      <c r="I2446" s="1259"/>
      <c r="K2446" s="477" t="s">
        <v>196</v>
      </c>
      <c r="L2446" s="477" t="str">
        <f>K2432&amp;"."&amp;K2446</f>
        <v>19.M1 Quantity</v>
      </c>
      <c r="M2446" s="1252">
        <f>F2564</f>
        <v>0</v>
      </c>
    </row>
    <row r="2447" spans="1:13" ht="14.55" customHeight="1" x14ac:dyDescent="0.3">
      <c r="A2447" s="1258" t="s">
        <v>197</v>
      </c>
      <c r="B2447" s="464" t="e">
        <f>$D2438*(VLOOKUP($B2443,'ASME II Tab 1A'!$1:$1048576,MATCH($D2438,'ASME II Tab 1A'!$6:$6,1)+1,0)-VLOOKUP($B2443,'ASME II Tab 1A'!$1:$1048576,MATCH($D2438,'ASME II Tab 1A'!$6:$6,1),0))/(INDEX('ASME II Tab 1A'!$6:$6,MATCH($D2438,'ASME II Tab 1A'!$6:$6,1)+1)-INDEX('ASME II Tab 1A'!$6:$6,MATCH($D2438,'ASME II Tab 1A'!$6:$6,1)))+VLOOKUP($B2443,'ASME II Tab 1A'!$1:$1048576,MATCH($D2438,'ASME II Tab 1A'!$6:$6,1)+1,0)-INDEX('ASME II Tab 1A'!$6:$6,MATCH($D2438,'ASME II Tab 1A'!$6:$6,1)+1)*(VLOOKUP($B2443,'ASME II Tab 1A'!$1:$1048576,MATCH($D2438,'ASME II Tab 1A'!$6:$6,1)+1,0)-VLOOKUP($B2443,'ASME II Tab 1A'!$1:$1048576,MATCH($D2438,'ASME II Tab 1A'!$6:$6,1),0))/(INDEX('ASME II Tab 1A'!$6:$6,MATCH($D2438,'ASME II Tab 1A'!$6:$6,1)+1)-INDEX('ASME II Tab 1A'!$6:$6,MATCH($D2438,'ASME II Tab 1A'!$6:$6,1)))</f>
        <v>#N/A</v>
      </c>
      <c r="C2447" s="460" t="s">
        <v>198</v>
      </c>
      <c r="D2447" s="460"/>
      <c r="E2447" s="467"/>
      <c r="F2447" s="460" t="e">
        <f>$D2438*(VLOOKUP($F2443,'ASME II Tab 1A'!$1:$1048576,MATCH($D2438,'ASME II Tab 1A'!$6:$6,1)+1,0)-VLOOKUP($F2443,'ASME II Tab 1A'!$1:$1048576,MATCH($D2438,'ASME II Tab 1A'!$6:$6,1),0))/(INDEX('ASME II Tab 1A'!$6:$6,MATCH($D2438,'ASME II Tab 1A'!$6:$6,1)+1)-INDEX('ASME II Tab 1A'!$6:$6,MATCH($D2438,'ASME II Tab 1A'!$6:$6,1)))+VLOOKUP($F2443,'ASME II Tab 1A'!$1:$1048576,MATCH($D2438,'ASME II Tab 1A'!$6:$6,1)+1,0)-INDEX('ASME II Tab 1A'!$6:$6,MATCH($D2438,'ASME II Tab 1A'!$6:$6,1)+1)*(VLOOKUP($F2443,'ASME II Tab 1A'!$1:$1048576,MATCH($D2438,'ASME II Tab 1A'!$6:$6,1)+1,0)-VLOOKUP($F2443,'ASME II Tab 1A'!$1:$1048576,MATCH($D2438,'ASME II Tab 1A'!$6:$6,1),0))/(INDEX('ASME II Tab 1A'!$6:$6,MATCH($D2438,'ASME II Tab 1A'!$6:$6,1)+1)-INDEX('ASME II Tab 1A'!$6:$6,MATCH($D2438,'ASME II Tab 1A'!$6:$6,1)))</f>
        <v>#N/A</v>
      </c>
      <c r="G2447" s="460" t="s">
        <v>198</v>
      </c>
      <c r="H2447" s="460"/>
      <c r="I2447" s="1259"/>
      <c r="K2447" s="477" t="s">
        <v>199</v>
      </c>
      <c r="L2447" s="477" t="str">
        <f>K2432&amp;"."&amp;K2447</f>
        <v>19.M2 DN</v>
      </c>
      <c r="M2447" s="1252">
        <f>C2565</f>
        <v>0</v>
      </c>
    </row>
    <row r="2448" spans="1:13" ht="14.55" customHeight="1" x14ac:dyDescent="0.3">
      <c r="A2448" s="1258" t="s">
        <v>200</v>
      </c>
      <c r="B2448" s="464" t="e">
        <f>$D2438*(VLOOKUP($B2444,'ASME II Tab 1A'!$1:$1048576,MATCH($D2438,'ASME II Tab 1A'!$6:$6,1)+1,0)-VLOOKUP($B2444,'ASME II Tab 1A'!$1:$1048576,MATCH($D2438,'ASME II Tab 1A'!$6:$6,1),0))/(INDEX('ASME II Tab 1A'!$6:$6,MATCH($D2438,'ASME II Tab 1A'!$6:$6,1)+1)-INDEX('ASME II Tab 1A'!$6:$6,MATCH($D2438,'ASME II Tab 1A'!$6:$6,1)))+VLOOKUP($B2444,'ASME II Tab 1A'!$1:$1048576,MATCH($D2438,'ASME II Tab 1A'!$6:$6,1)+1,0)-INDEX('ASME II Tab 1A'!$6:$6,MATCH($D2438,'ASME II Tab 1A'!$6:$6,1)+1)*(VLOOKUP($B2444,'ASME II Tab 1A'!$1:$1048576,MATCH($D2438,'ASME II Tab 1A'!$6:$6,1)+1,0)-VLOOKUP($B2444,'ASME II Tab 1A'!$1:$1048576,MATCH($D2438,'ASME II Tab 1A'!$6:$6,1),0))/(INDEX('ASME II Tab 1A'!$6:$6,MATCH($D2438,'ASME II Tab 1A'!$6:$6,1)+1)-INDEX('ASME II Tab 1A'!$6:$6,MATCH($D2438,'ASME II Tab 1A'!$6:$6,1)))</f>
        <v>#N/A</v>
      </c>
      <c r="C2448" s="460" t="s">
        <v>198</v>
      </c>
      <c r="D2448" s="460"/>
      <c r="E2448" s="460"/>
      <c r="F2448" s="460" t="e">
        <f>$D2438*(VLOOKUP($F2444,'ASME II Tab 1A'!$1:$1048576,MATCH($D2438,'ASME II Tab 1A'!$6:$6,1)+1,0)-VLOOKUP($F2444,'ASME II Tab 1A'!$1:$1048576,MATCH($D2438,'ASME II Tab 1A'!$6:$6,1),0))/(INDEX('ASME II Tab 1A'!$6:$6,MATCH($D2438,'ASME II Tab 1A'!$6:$6,1)+1)-INDEX('ASME II Tab 1A'!$6:$6,MATCH($D2438,'ASME II Tab 1A'!$6:$6,1)))+VLOOKUP($F2444,'ASME II Tab 1A'!$1:$1048576,MATCH($D2438,'ASME II Tab 1A'!$6:$6,1)+1,0)-INDEX('ASME II Tab 1A'!$6:$6,MATCH($D2438,'ASME II Tab 1A'!$6:$6,1)+1)*(VLOOKUP($F2444,'ASME II Tab 1A'!$1:$1048576,MATCH($D2438,'ASME II Tab 1A'!$6:$6,1)+1,0)-VLOOKUP($F2444,'ASME II Tab 1A'!$1:$1048576,MATCH($D2438,'ASME II Tab 1A'!$6:$6,1),0))/(INDEX('ASME II Tab 1A'!$6:$6,MATCH($D2438,'ASME II Tab 1A'!$6:$6,1)+1)-INDEX('ASME II Tab 1A'!$6:$6,MATCH($D2438,'ASME II Tab 1A'!$6:$6,1)))</f>
        <v>#N/A</v>
      </c>
      <c r="G2448" s="460" t="s">
        <v>198</v>
      </c>
      <c r="H2448" s="460"/>
      <c r="I2448" s="1259"/>
      <c r="K2448" s="477" t="s">
        <v>201</v>
      </c>
      <c r="L2448" s="477" t="str">
        <f>K2432&amp;"."&amp;K2448</f>
        <v>19.M2 Rating</v>
      </c>
      <c r="M2448" s="1252">
        <f>D2565</f>
        <v>0</v>
      </c>
    </row>
    <row r="2449" spans="1:13" ht="14.55" customHeight="1" x14ac:dyDescent="0.3">
      <c r="A2449" s="1258" t="s">
        <v>202</v>
      </c>
      <c r="B2449" s="460"/>
      <c r="C2449" s="460"/>
      <c r="D2449" s="460"/>
      <c r="E2449" s="460"/>
      <c r="F2449" s="460"/>
      <c r="G2449" s="460"/>
      <c r="H2449" s="460"/>
      <c r="I2449" s="1259"/>
      <c r="K2449" s="477" t="s">
        <v>203</v>
      </c>
      <c r="L2449" s="477" t="str">
        <f>K2432&amp;"."&amp;K2449</f>
        <v>19.M2 Type</v>
      </c>
      <c r="M2449" s="1252">
        <f>E2565</f>
        <v>0</v>
      </c>
    </row>
    <row r="2450" spans="1:13" ht="14.55" customHeight="1" x14ac:dyDescent="0.3">
      <c r="A2450" s="1258" t="s">
        <v>197</v>
      </c>
      <c r="B2450" s="464" t="e">
        <f>$D2438*(VLOOKUP($B2443,'ASME II Tab 5A'!$1:$1048576,MATCH($D2438,'ASME II Tab 5A'!$5:$5,1)+1,0)-VLOOKUP($B2443,'ASME II Tab 5A'!$1:$1048576,MATCH($D2438,'ASME II Tab 5A'!$5:$5,1),0))/(INDEX('ASME II Tab 5A'!$5:$5,MATCH($D2438,'ASME II Tab 5A'!$5:$5,1)+1)-INDEX('ASME II Tab 5A'!$5:$5,MATCH($D2438,'ASME II Tab 5A'!$5:$5,1)))+VLOOKUP($B2443,'ASME II Tab 5A'!$1:$1048576,MATCH($D2438,'ASME II Tab 5A'!$5:$5,1)+1,0)-INDEX('ASME II Tab 5A'!$5:$5,MATCH($D2438,'ASME II Tab 5A'!$5:$5,1)+1)*(VLOOKUP($B2443,'ASME II Tab 5A'!$1:$1048576,MATCH($D2438,'ASME II Tab 5A'!$5:$5,1)+1,0)-VLOOKUP($B2443,'ASME II Tab 5A'!$1:$1048576,MATCH($D2438,'ASME II Tab 5A'!$5:$5,1),0))/(INDEX('ASME II Tab 5A'!$5:$5,MATCH($D2438,'ASME II Tab 5A'!$5:$5,1)+1)-INDEX('ASME II Tab 5A'!$5:$5,MATCH($D2438,'ASME II Tab 5A'!$5:$5,1)))</f>
        <v>#N/A</v>
      </c>
      <c r="C2450" s="460" t="s">
        <v>198</v>
      </c>
      <c r="D2450" s="460"/>
      <c r="E2450" s="460"/>
      <c r="F2450" s="460" t="e">
        <f>$D2438*(VLOOKUP($F2443,'ASME II Tab 5A'!$1:$1048576,MATCH($D2438,'ASME II Tab 5A'!$5:$5,1)+1,0)-VLOOKUP($F2443,'ASME II Tab 5A'!$1:$1048576,MATCH($D2438,'ASME II Tab 5A'!$5:$5,1),0))/(INDEX('ASME II Tab 5A'!$5:$5,MATCH($D2438,'ASME II Tab 5A'!$5:$5,1)+1)-INDEX('ASME II Tab 5A'!$5:$5,MATCH($D2438,'ASME II Tab 5A'!$5:$5,1)))+VLOOKUP($F2443,'ASME II Tab 5A'!$1:$1048576,MATCH($D2438,'ASME II Tab 5A'!$5:$5,1)+1,0)-INDEX('ASME II Tab 5A'!$5:$5,MATCH($D2438,'ASME II Tab 5A'!$5:$5,1)+1)*(VLOOKUP($F2443,'ASME II Tab 5A'!$1:$1048576,MATCH($D2438,'ASME II Tab 5A'!$5:$5,1)+1,0)-VLOOKUP($F2443,'ASME II Tab 5A'!$1:$1048576,MATCH($D2438,'ASME II Tab 5A'!$5:$5,1),0))/(INDEX('ASME II Tab 5A'!$5:$5,MATCH($D2438,'ASME II Tab 5A'!$5:$5,1)+1)-INDEX('ASME II Tab 5A'!$5:$5,MATCH($D2438,'ASME II Tab 5A'!$5:$5,1)))</f>
        <v>#N/A</v>
      </c>
      <c r="G2450" s="460" t="s">
        <v>198</v>
      </c>
      <c r="H2450" s="460"/>
      <c r="I2450" s="1259"/>
      <c r="K2450" s="477" t="s">
        <v>204</v>
      </c>
      <c r="L2450" s="477" t="str">
        <f>K2432&amp;"."&amp;K2450</f>
        <v>19.M2 Quantity</v>
      </c>
      <c r="M2450" s="1252">
        <f>F2565</f>
        <v>0</v>
      </c>
    </row>
    <row r="2451" spans="1:13" ht="14.55" customHeight="1" x14ac:dyDescent="0.3">
      <c r="A2451" s="1258" t="s">
        <v>200</v>
      </c>
      <c r="B2451" s="464" t="e">
        <f>$D2438*(VLOOKUP($B2444,'ASME II Tab 5A'!$1:$1048576,MATCH($D2438,'ASME II Tab 5A'!$5:$5,1)+1,0)-VLOOKUP($B2444,'ASME II Tab 5A'!$1:$1048576,MATCH($D2438,'ASME II Tab 5A'!$5:$5,1),0))/(INDEX('ASME II Tab 5A'!$5:$5,MATCH($D2438,'ASME II Tab 5A'!$5:$5,1)+1)-INDEX('ASME II Tab 5A'!$5:$5,MATCH($D2438,'ASME II Tab 5A'!$5:$5,1)))+VLOOKUP($B2444,'ASME II Tab 5A'!$1:$1048576,MATCH($D2438,'ASME II Tab 5A'!$5:$5,1)+1,0)-INDEX('ASME II Tab 5A'!$5:$5,MATCH($D2438,'ASME II Tab 5A'!$5:$5,1)+1)*(VLOOKUP($B2444,'ASME II Tab 5A'!$1:$1048576,MATCH($D2438,'ASME II Tab 5A'!$5:$5,1)+1,0)-VLOOKUP($B2444,'ASME II Tab 5A'!$1:$1048576,MATCH($D2438,'ASME II Tab 5A'!$5:$5,1),0))/(INDEX('ASME II Tab 5A'!$5:$5,MATCH($D2438,'ASME II Tab 5A'!$5:$5,1)+1)-INDEX('ASME II Tab 5A'!$5:$5,MATCH($D2438,'ASME II Tab 5A'!$5:$5,1)))</f>
        <v>#N/A</v>
      </c>
      <c r="C2451" s="460" t="s">
        <v>198</v>
      </c>
      <c r="D2451" s="460"/>
      <c r="E2451" s="460"/>
      <c r="F2451" s="460" t="e">
        <f>$D2438*(VLOOKUP($F2444,'ASME II Tab 5A'!$1:$1048576,MATCH($D2438,'ASME II Tab 5A'!$5:$5,1)+1,0)-VLOOKUP($F2444,'ASME II Tab 5A'!$1:$1048576,MATCH($D2438,'ASME II Tab 5A'!$5:$5,1),0))/(INDEX('ASME II Tab 5A'!$5:$5,MATCH($D2438,'ASME II Tab 5A'!$5:$5,1)+1)-INDEX('ASME II Tab 5A'!$5:$5,MATCH($D2438,'ASME II Tab 5A'!$5:$5,1)))+VLOOKUP($F2444,'ASME II Tab 5A'!$1:$1048576,MATCH($D2438,'ASME II Tab 5A'!$5:$5,1)+1,0)-INDEX('ASME II Tab 5A'!$5:$5,MATCH($D2438,'ASME II Tab 5A'!$5:$5,1)+1)*(VLOOKUP($F2444,'ASME II Tab 5A'!$1:$1048576,MATCH($D2438,'ASME II Tab 5A'!$5:$5,1)+1,0)-VLOOKUP($F2444,'ASME II Tab 5A'!$1:$1048576,MATCH($D2438,'ASME II Tab 5A'!$5:$5,1),0))/(INDEX('ASME II Tab 5A'!$5:$5,MATCH($D2438,'ASME II Tab 5A'!$5:$5,1)+1)-INDEX('ASME II Tab 5A'!$5:$5,MATCH($D2438,'ASME II Tab 5A'!$5:$5,1)))</f>
        <v>#N/A</v>
      </c>
      <c r="G2451" s="460" t="s">
        <v>198</v>
      </c>
      <c r="H2451" s="460"/>
      <c r="I2451" s="1259"/>
      <c r="K2451" s="477" t="s">
        <v>205</v>
      </c>
      <c r="L2451" s="477" t="str">
        <f>K2432&amp;"."&amp;K2451</f>
        <v>19.M3 DN</v>
      </c>
      <c r="M2451" s="1252">
        <f>C2566</f>
        <v>0</v>
      </c>
    </row>
    <row r="2452" spans="1:13" ht="14.55" customHeight="1" x14ac:dyDescent="0.3">
      <c r="A2452" s="1258"/>
      <c r="B2452" s="460"/>
      <c r="C2452" s="460"/>
      <c r="D2452" s="460"/>
      <c r="E2452" s="460"/>
      <c r="F2452" s="460"/>
      <c r="G2452" s="460"/>
      <c r="H2452" s="460"/>
      <c r="I2452" s="1259"/>
      <c r="K2452" s="477" t="s">
        <v>206</v>
      </c>
      <c r="L2452" s="477" t="str">
        <f>K2432&amp;"."&amp;K2452</f>
        <v>19.M3 Rating</v>
      </c>
      <c r="M2452" s="1252">
        <f>D2566</f>
        <v>0</v>
      </c>
    </row>
    <row r="2453" spans="1:13" ht="14.55" customHeight="1" x14ac:dyDescent="0.3">
      <c r="A2453" s="1260" t="s">
        <v>207</v>
      </c>
      <c r="B2453" s="453"/>
      <c r="C2453" s="460"/>
      <c r="D2453" s="453"/>
      <c r="E2453" s="460"/>
      <c r="F2453" s="453"/>
      <c r="G2453" s="460"/>
      <c r="H2453" s="460"/>
      <c r="I2453" s="1259"/>
      <c r="K2453" s="477" t="s">
        <v>208</v>
      </c>
      <c r="L2453" s="477" t="str">
        <f>K2432&amp;"."&amp;K2453</f>
        <v>19.M3 Type</v>
      </c>
      <c r="M2453" s="1252">
        <f>E2566</f>
        <v>0</v>
      </c>
    </row>
    <row r="2454" spans="1:13" ht="14.55" customHeight="1" x14ac:dyDescent="0.3">
      <c r="A2454" s="1260"/>
      <c r="B2454" s="305" t="s">
        <v>209</v>
      </c>
      <c r="C2454" s="460"/>
      <c r="D2454" s="305" t="s">
        <v>210</v>
      </c>
      <c r="E2454" s="460"/>
      <c r="F2454" s="305" t="s">
        <v>211</v>
      </c>
      <c r="G2454" s="460"/>
      <c r="H2454" s="460"/>
      <c r="I2454" s="1259"/>
      <c r="K2454" s="477" t="s">
        <v>212</v>
      </c>
      <c r="L2454" s="477" t="str">
        <f>K2432&amp;"."&amp;K2454</f>
        <v>19.M3 Quantity</v>
      </c>
      <c r="M2454" s="1252">
        <f>F2566</f>
        <v>0</v>
      </c>
    </row>
    <row r="2455" spans="1:13" ht="14.55" customHeight="1" x14ac:dyDescent="0.3">
      <c r="A2455" s="1258" t="s">
        <v>213</v>
      </c>
      <c r="B2455" s="305"/>
      <c r="C2455" s="460"/>
      <c r="D2455" s="305"/>
      <c r="E2455" s="460"/>
      <c r="F2455" s="723"/>
      <c r="G2455" s="460" t="s">
        <v>214</v>
      </c>
      <c r="H2455" s="460"/>
      <c r="I2455" s="1259"/>
      <c r="K2455" s="477" t="s">
        <v>215</v>
      </c>
      <c r="L2455" s="477" t="str">
        <f>K2432&amp;"."&amp;K2455</f>
        <v>19.Shell insulation thk 1</v>
      </c>
      <c r="M2455" s="1252">
        <f>B2503</f>
        <v>0</v>
      </c>
    </row>
    <row r="2456" spans="1:13" ht="14.55" customHeight="1" x14ac:dyDescent="0.3">
      <c r="A2456" s="1258" t="s">
        <v>216</v>
      </c>
      <c r="B2456" s="722"/>
      <c r="C2456" s="460" t="s">
        <v>93</v>
      </c>
      <c r="D2456" s="722"/>
      <c r="E2456" s="460" t="s">
        <v>93</v>
      </c>
      <c r="F2456" s="468">
        <f>F2457-2*F2501</f>
        <v>0</v>
      </c>
      <c r="G2456" s="460" t="s">
        <v>93</v>
      </c>
      <c r="H2456" s="460"/>
      <c r="I2456" s="1259"/>
      <c r="K2456" s="477" t="s">
        <v>217</v>
      </c>
      <c r="L2456" s="477" t="str">
        <f>K2432&amp;"."&amp;K2456</f>
        <v>19.Head insulation thk 1</v>
      </c>
      <c r="M2456" s="1252">
        <f>B2504</f>
        <v>0</v>
      </c>
    </row>
    <row r="2457" spans="1:13" ht="14.55" customHeight="1" x14ac:dyDescent="0.3">
      <c r="A2457" s="1258" t="s">
        <v>218</v>
      </c>
      <c r="B2457" s="468" t="e">
        <f>B2456+B2497*2</f>
        <v>#N/A</v>
      </c>
      <c r="C2457" s="460" t="s">
        <v>93</v>
      </c>
      <c r="D2457" s="468" t="e">
        <f>D2456+D2497*2</f>
        <v>#N/A</v>
      </c>
      <c r="E2457" s="460" t="s">
        <v>93</v>
      </c>
      <c r="F2457" s="468">
        <f>IFERROR(VLOOKUP(F2455,'Thickness Tab'!$1:$1048576,3,0),0)</f>
        <v>0</v>
      </c>
      <c r="G2457" s="460" t="s">
        <v>93</v>
      </c>
      <c r="H2457" s="469"/>
      <c r="I2457" s="1261"/>
      <c r="K2457" s="477" t="s">
        <v>219</v>
      </c>
      <c r="L2457" s="477" t="str">
        <f>K2432&amp;"."&amp;K2457</f>
        <v>19.Reducer insulation thk 1</v>
      </c>
      <c r="M2457" s="1252">
        <f>B2505</f>
        <v>0</v>
      </c>
    </row>
    <row r="2458" spans="1:13" ht="14.55" customHeight="1" x14ac:dyDescent="0.3">
      <c r="A2458" s="1258" t="s">
        <v>181</v>
      </c>
      <c r="B2458" s="722"/>
      <c r="C2458" s="460" t="s">
        <v>93</v>
      </c>
      <c r="D2458" s="722"/>
      <c r="E2458" s="460" t="s">
        <v>93</v>
      </c>
      <c r="F2458" s="722"/>
      <c r="G2458" s="460" t="s">
        <v>93</v>
      </c>
      <c r="H2458" s="460"/>
      <c r="I2458" s="1259"/>
      <c r="K2458" s="477" t="s">
        <v>220</v>
      </c>
      <c r="L2458" s="477" t="str">
        <f>K2432&amp;"."&amp;K2458</f>
        <v>19.Shell insulation area 1</v>
      </c>
      <c r="M2458" s="1252" t="e">
        <f>B2463</f>
        <v>#N/A</v>
      </c>
    </row>
    <row r="2459" spans="1:13" ht="14.55" customHeight="1" x14ac:dyDescent="0.3">
      <c r="A2459" s="1258" t="s">
        <v>221</v>
      </c>
      <c r="B2459" s="468" t="e">
        <f>(PI()*B2458*(((B2457/2)^2)-((B2456/2)^2))*7860)/1000000000*1.05</f>
        <v>#N/A</v>
      </c>
      <c r="C2459" s="460" t="s">
        <v>222</v>
      </c>
      <c r="D2459" s="468" t="e">
        <f>(PI()*D2458*(((D2457/2)^2)-((D2456/2)^2))*7860)/1000000000*1.05</f>
        <v>#N/A</v>
      </c>
      <c r="E2459" s="460" t="s">
        <v>222</v>
      </c>
      <c r="F2459" s="468">
        <f>(PI()*F2458*(((F2457/2)^2)-((F2456/2)^2))*7860)/1000000000*1.05</f>
        <v>0</v>
      </c>
      <c r="G2459" s="460" t="s">
        <v>222</v>
      </c>
      <c r="H2459" s="469"/>
      <c r="I2459" s="1261"/>
      <c r="K2459" s="477" t="s">
        <v>223</v>
      </c>
      <c r="L2459" s="477" t="str">
        <f>K2432&amp;"."&amp;K2459</f>
        <v>19.Head insulation area 1</v>
      </c>
      <c r="M2459" s="1252" t="e">
        <f>B2475</f>
        <v>#N/A</v>
      </c>
    </row>
    <row r="2460" spans="1:13" ht="14.55" customHeight="1" x14ac:dyDescent="0.3">
      <c r="A2460" s="1258" t="s">
        <v>224</v>
      </c>
      <c r="B2460" s="468">
        <f>(PI()*((B2456/2)^2)*B2458)/1000000000</f>
        <v>0</v>
      </c>
      <c r="C2460" s="460" t="s">
        <v>225</v>
      </c>
      <c r="D2460" s="468">
        <f>(PI()*((D2456/2)^2)*D2458)/1000000000</f>
        <v>0</v>
      </c>
      <c r="E2460" s="460" t="s">
        <v>225</v>
      </c>
      <c r="F2460" s="468">
        <f>(PI()*((F2456/2)^2)*F2458)/1000000000</f>
        <v>0</v>
      </c>
      <c r="G2460" s="460" t="s">
        <v>225</v>
      </c>
      <c r="H2460" s="469"/>
      <c r="I2460" s="1261"/>
      <c r="K2460" s="477" t="s">
        <v>226</v>
      </c>
      <c r="L2460" s="477" t="str">
        <f>K2432&amp;"."&amp;K2460</f>
        <v>19.Reducer insulation area 1</v>
      </c>
      <c r="M2460" s="1252" t="e">
        <f>B2488</f>
        <v>#N/A</v>
      </c>
    </row>
    <row r="2461" spans="1:13" ht="14.55" customHeight="1" x14ac:dyDescent="0.3">
      <c r="A2461" s="1258" t="s">
        <v>227</v>
      </c>
      <c r="B2461" s="468" t="e">
        <f>(B2457*3.14*B2458)/1000000</f>
        <v>#N/A</v>
      </c>
      <c r="C2461" s="460" t="s">
        <v>228</v>
      </c>
      <c r="D2461" s="468" t="e">
        <f>(D2457*3.14*D2458)/1000000</f>
        <v>#N/A</v>
      </c>
      <c r="E2461" s="460" t="s">
        <v>228</v>
      </c>
      <c r="F2461" s="468">
        <f>(F2457*3.14*F2458)/1000000</f>
        <v>0</v>
      </c>
      <c r="G2461" s="460" t="s">
        <v>228</v>
      </c>
      <c r="H2461" s="469"/>
      <c r="I2461" s="1261"/>
      <c r="K2461" s="477" t="s">
        <v>229</v>
      </c>
      <c r="L2461" s="477" t="str">
        <f>K2432&amp;"."&amp;K2461</f>
        <v>19.Shell insulation thk 2</v>
      </c>
      <c r="M2461" s="1252">
        <f>D2503</f>
        <v>0</v>
      </c>
    </row>
    <row r="2462" spans="1:13" ht="14.55" customHeight="1" x14ac:dyDescent="0.3">
      <c r="A2462" s="1258" t="s">
        <v>230</v>
      </c>
      <c r="B2462" s="468" t="e">
        <f>B2457+2*B2503</f>
        <v>#N/A</v>
      </c>
      <c r="C2462" s="460" t="s">
        <v>93</v>
      </c>
      <c r="D2462" s="468" t="e">
        <f>D2457+2*D2503</f>
        <v>#N/A</v>
      </c>
      <c r="E2462" s="460" t="s">
        <v>93</v>
      </c>
      <c r="F2462" s="468">
        <f>F2457+2*F2503</f>
        <v>0</v>
      </c>
      <c r="G2462" s="460" t="s">
        <v>93</v>
      </c>
      <c r="H2462" s="469"/>
      <c r="I2462" s="1261"/>
      <c r="K2462" s="477" t="s">
        <v>231</v>
      </c>
      <c r="L2462" s="477" t="str">
        <f>K2432&amp;"."&amp;K2462</f>
        <v>19.Head insulation thk 2</v>
      </c>
      <c r="M2462" s="1252">
        <f>D2504</f>
        <v>0</v>
      </c>
    </row>
    <row r="2463" spans="1:13" ht="14.55" customHeight="1" x14ac:dyDescent="0.3">
      <c r="A2463" s="1258" t="s">
        <v>232</v>
      </c>
      <c r="B2463" s="468" t="e">
        <f>(B2462*3.14*B2458)/1000000</f>
        <v>#N/A</v>
      </c>
      <c r="C2463" s="460" t="s">
        <v>228</v>
      </c>
      <c r="D2463" s="468" t="e">
        <f>(D2462*3.14*D2458)/1000000</f>
        <v>#N/A</v>
      </c>
      <c r="E2463" s="460" t="s">
        <v>228</v>
      </c>
      <c r="F2463" s="468">
        <f>(F2462*3.14*F2458)/1000000</f>
        <v>0</v>
      </c>
      <c r="G2463" s="460" t="s">
        <v>228</v>
      </c>
      <c r="H2463" s="469"/>
      <c r="I2463" s="1261"/>
      <c r="K2463" s="477" t="s">
        <v>233</v>
      </c>
      <c r="L2463" s="477" t="str">
        <f>K2432&amp;"."&amp;K2463</f>
        <v>19.Reducer insulation thk 2</v>
      </c>
      <c r="M2463" s="1252">
        <f>D2505</f>
        <v>0</v>
      </c>
    </row>
    <row r="2464" spans="1:13" ht="14.55" customHeight="1" x14ac:dyDescent="0.3">
      <c r="A2464" s="1258"/>
      <c r="B2464" s="468"/>
      <c r="C2464" s="460"/>
      <c r="D2464" s="468"/>
      <c r="E2464" s="460"/>
      <c r="F2464" s="468"/>
      <c r="G2464" s="460"/>
      <c r="H2464" s="469"/>
      <c r="I2464" s="1261"/>
      <c r="K2464" s="477" t="s">
        <v>234</v>
      </c>
      <c r="L2464" s="477" t="str">
        <f>K2432&amp;"."&amp;K2464</f>
        <v>19.Shell insulation area 2</v>
      </c>
      <c r="M2464" s="1252" t="e">
        <f>D2463</f>
        <v>#N/A</v>
      </c>
    </row>
    <row r="2465" spans="1:13" ht="14.55" customHeight="1" x14ac:dyDescent="0.3">
      <c r="A2465" s="1258"/>
      <c r="B2465" s="468" t="s">
        <v>235</v>
      </c>
      <c r="C2465" s="460"/>
      <c r="D2465" s="468" t="s">
        <v>236</v>
      </c>
      <c r="E2465" s="460"/>
      <c r="F2465" s="468" t="s">
        <v>237</v>
      </c>
      <c r="G2465" s="460"/>
      <c r="H2465" s="469"/>
      <c r="I2465" s="1261"/>
      <c r="K2465" s="477" t="s">
        <v>238</v>
      </c>
      <c r="L2465" s="477" t="str">
        <f>K2432&amp;"."&amp;K2465</f>
        <v>19.Head insulation area 2</v>
      </c>
      <c r="M2465" s="1252" t="e">
        <f>D2475</f>
        <v>#N/A</v>
      </c>
    </row>
    <row r="2466" spans="1:13" ht="14.55" customHeight="1" x14ac:dyDescent="0.3">
      <c r="A2466" s="1258" t="s">
        <v>239</v>
      </c>
      <c r="B2466" s="468">
        <f>B2456</f>
        <v>0</v>
      </c>
      <c r="C2466" s="460" t="s">
        <v>93</v>
      </c>
      <c r="D2466" s="468">
        <f>D2456</f>
        <v>0</v>
      </c>
      <c r="E2466" s="460" t="s">
        <v>93</v>
      </c>
      <c r="F2466" s="468">
        <f>F2456</f>
        <v>0</v>
      </c>
      <c r="G2466" s="460" t="s">
        <v>93</v>
      </c>
      <c r="H2466" s="469"/>
      <c r="I2466" s="1261"/>
      <c r="K2466" s="477" t="s">
        <v>240</v>
      </c>
      <c r="L2466" s="477" t="str">
        <f>K2432&amp;"."&amp;K2466</f>
        <v>19.Reducer insulation area 2</v>
      </c>
      <c r="M2466" s="1252">
        <f>D2488</f>
        <v>0</v>
      </c>
    </row>
    <row r="2467" spans="1:13" ht="14.55" customHeight="1" x14ac:dyDescent="0.3">
      <c r="A2467" s="1258" t="s">
        <v>241</v>
      </c>
      <c r="B2467" s="468" t="e">
        <f>B2466+2*B2498</f>
        <v>#N/A</v>
      </c>
      <c r="C2467" s="460" t="s">
        <v>93</v>
      </c>
      <c r="D2467" s="468" t="e">
        <f>D2466+2*D2498</f>
        <v>#N/A</v>
      </c>
      <c r="E2467" s="460" t="s">
        <v>93</v>
      </c>
      <c r="F2467" s="468">
        <f>F2466+2*F2501</f>
        <v>0</v>
      </c>
      <c r="G2467" s="460" t="s">
        <v>93</v>
      </c>
      <c r="H2467" s="469"/>
      <c r="I2467" s="1261"/>
      <c r="K2467" s="477" t="s">
        <v>242</v>
      </c>
      <c r="L2467" s="477" t="str">
        <f>K2432&amp;"."&amp;K2467</f>
        <v>19.Shell insulation thk 3</v>
      </c>
      <c r="M2467" s="1252">
        <f>F2503</f>
        <v>0</v>
      </c>
    </row>
    <row r="2468" spans="1:13" ht="14.55" customHeight="1" x14ac:dyDescent="0.3">
      <c r="A2468" s="1258" t="s">
        <v>243</v>
      </c>
      <c r="B2468" s="722"/>
      <c r="C2468" s="460" t="s">
        <v>93</v>
      </c>
      <c r="D2468" s="722"/>
      <c r="E2468" s="460" t="s">
        <v>93</v>
      </c>
      <c r="F2468" s="452"/>
      <c r="G2468" s="460"/>
      <c r="H2468" s="469"/>
      <c r="I2468" s="1261"/>
      <c r="K2468" s="477" t="s">
        <v>244</v>
      </c>
      <c r="L2468" s="477" t="str">
        <f>K2432&amp;"."&amp;K2468</f>
        <v>19.Head insulation thk 3</v>
      </c>
      <c r="M2468" s="1252">
        <f>F2504</f>
        <v>0</v>
      </c>
    </row>
    <row r="2469" spans="1:13" ht="14.55" customHeight="1" x14ac:dyDescent="0.3">
      <c r="A2469" s="1258" t="s">
        <v>245</v>
      </c>
      <c r="B2469" s="724"/>
      <c r="C2469" s="460"/>
      <c r="D2469" s="724"/>
      <c r="E2469" s="460"/>
      <c r="F2469" s="724"/>
      <c r="G2469" s="460"/>
      <c r="H2469" s="469"/>
      <c r="I2469" s="1261"/>
      <c r="K2469" s="477" t="s">
        <v>246</v>
      </c>
      <c r="L2469" s="477" t="str">
        <f>K2432&amp;"."&amp;K2469</f>
        <v>19.Reducer insulation thk 3</v>
      </c>
      <c r="M2469" s="1252">
        <f>F2505</f>
        <v>0</v>
      </c>
    </row>
    <row r="2470" spans="1:13" ht="14.55" customHeight="1" x14ac:dyDescent="0.3">
      <c r="A2470" s="1258" t="s">
        <v>247</v>
      </c>
      <c r="B2470" s="468">
        <v>0</v>
      </c>
      <c r="C2470" s="460" t="s">
        <v>93</v>
      </c>
      <c r="D2470" s="468">
        <v>0</v>
      </c>
      <c r="E2470" s="460" t="s">
        <v>93</v>
      </c>
      <c r="F2470" s="468">
        <v>0</v>
      </c>
      <c r="G2470" s="460" t="s">
        <v>93</v>
      </c>
      <c r="H2470" s="469"/>
      <c r="I2470" s="1261"/>
      <c r="K2470" s="477" t="s">
        <v>248</v>
      </c>
      <c r="L2470" s="477" t="str">
        <f>K2432&amp;"."&amp;K2470</f>
        <v>19.Shell insulation area 3</v>
      </c>
      <c r="M2470" s="1252">
        <f>F2463</f>
        <v>0</v>
      </c>
    </row>
    <row r="2471" spans="1:13" ht="14.55" customHeight="1" x14ac:dyDescent="0.3">
      <c r="A2471" s="1258" t="s">
        <v>249</v>
      </c>
      <c r="B2471" s="468" t="e">
        <f>((((POWER(((((B2466+B2499)*1.22)+(B2470*2))/100),2)*PI())/4)*(B2499/100))*7.86)</f>
        <v>#N/A</v>
      </c>
      <c r="C2471" s="460" t="s">
        <v>222</v>
      </c>
      <c r="D2471" s="468" t="e">
        <f>((((POWER(((((D2466+D2499)*1.22)+(D2470*2))/100),2)*PI())/4)*(D2499/100))*7.86)</f>
        <v>#N/A</v>
      </c>
      <c r="E2471" s="460" t="s">
        <v>222</v>
      </c>
      <c r="F2471" s="468">
        <f>IFERROR(VLOOKUP(F2455&amp;"."&amp;F2500,'Fitting Chart'!$1:$1048576,5,0),0)</f>
        <v>0</v>
      </c>
      <c r="G2471" s="460" t="s">
        <v>222</v>
      </c>
      <c r="H2471" s="469"/>
      <c r="I2471" s="1261"/>
      <c r="K2471" s="477" t="s">
        <v>250</v>
      </c>
      <c r="L2471" s="477" t="str">
        <f>K2432&amp;"."&amp;K2471</f>
        <v>19.Head insulation area 3</v>
      </c>
      <c r="M2471" s="1252">
        <f>F2474</f>
        <v>0</v>
      </c>
    </row>
    <row r="2472" spans="1:13" ht="14.55" customHeight="1" x14ac:dyDescent="0.3">
      <c r="A2472" s="1258" t="s">
        <v>251</v>
      </c>
      <c r="B2472" s="468" t="e">
        <f>(((0.131*(B2466^3)*10^-6)+((((B2466/2)^2)*PI()*(((B2466/4)+B2498)-B2498-(B2466/4)))))+((PI()*((B2466/2)^2)*B2470))/1000000)/1000</f>
        <v>#N/A</v>
      </c>
      <c r="C2472" s="460" t="s">
        <v>225</v>
      </c>
      <c r="D2472" s="468" t="e">
        <f>(((0.131*(D2466^3)*10^-6)+((((D2466/2)^2)*PI()*(((D2466/4)+D2498)-D2498-(D2466/4)))))+((PI()*((D2466/2)^2)*D2470))/1000000)/1000</f>
        <v>#N/A</v>
      </c>
      <c r="E2472" s="460" t="s">
        <v>225</v>
      </c>
      <c r="F2472" s="468">
        <f>(((0.131*(F2466^3)*10^-6)+((((F2466/2)^2)*PI()*(((F2466/4)+F2501)-F2501-(F2466/4)))))+((PI()*((F2466/2)^2)*F2470))/1000000)/1000</f>
        <v>0</v>
      </c>
      <c r="G2472" s="460" t="s">
        <v>225</v>
      </c>
      <c r="H2472" s="469"/>
      <c r="I2472" s="1261"/>
      <c r="K2472" s="477" t="s">
        <v>252</v>
      </c>
      <c r="L2472" s="477" t="str">
        <f>K2432&amp;"."&amp;K2472</f>
        <v>19.Reducer insulation area 3</v>
      </c>
      <c r="M2472" s="1252">
        <f>F2488</f>
        <v>0</v>
      </c>
    </row>
    <row r="2473" spans="1:13" ht="14.55" customHeight="1" x14ac:dyDescent="0.3">
      <c r="A2473" s="1258" t="s">
        <v>253</v>
      </c>
      <c r="B2473" s="468" t="e">
        <f>(((B2467*B2468*3.14)+(((B2467/2)^2)*3.14))/1000000)</f>
        <v>#N/A</v>
      </c>
      <c r="C2473" s="460" t="s">
        <v>228</v>
      </c>
      <c r="D2473" s="468" t="e">
        <f>(((D2467*D2468*3.14)+(((D2467/2)^2)*3.14))/1000000)</f>
        <v>#N/A</v>
      </c>
      <c r="E2473" s="460" t="s">
        <v>228</v>
      </c>
      <c r="F2473" s="468">
        <f>(((F2467*F2468*3.14)+(((F2467/2)^2)*3.14))/1000000)</f>
        <v>0</v>
      </c>
      <c r="G2473" s="460" t="s">
        <v>228</v>
      </c>
      <c r="H2473" s="469"/>
      <c r="I2473" s="1261"/>
    </row>
    <row r="2474" spans="1:13" ht="14.55" customHeight="1" x14ac:dyDescent="0.3">
      <c r="A2474" s="1258" t="s">
        <v>254</v>
      </c>
      <c r="B2474" s="468" t="e">
        <f>B2467+2*B2504</f>
        <v>#N/A</v>
      </c>
      <c r="C2474" s="460" t="s">
        <v>93</v>
      </c>
      <c r="D2474" s="468" t="e">
        <f>D2467+2*D2504</f>
        <v>#N/A</v>
      </c>
      <c r="E2474" s="460" t="s">
        <v>93</v>
      </c>
      <c r="F2474" s="468">
        <f>F2467+2*F2504</f>
        <v>0</v>
      </c>
      <c r="G2474" s="460" t="s">
        <v>93</v>
      </c>
      <c r="H2474" s="469"/>
      <c r="I2474" s="1261"/>
    </row>
    <row r="2475" spans="1:13" ht="14.55" customHeight="1" x14ac:dyDescent="0.3">
      <c r="A2475" s="1258" t="s">
        <v>255</v>
      </c>
      <c r="B2475" s="468" t="e">
        <f>(((B2474*B2468*3.14)+(((B2474/2)^2)*3.14))/1000000)</f>
        <v>#N/A</v>
      </c>
      <c r="C2475" s="460" t="s">
        <v>228</v>
      </c>
      <c r="D2475" s="468" t="e">
        <f>(((D2474*D2468*3.14)+(((D2474/2)^2)*3.14))/1000000)</f>
        <v>#N/A</v>
      </c>
      <c r="E2475" s="460" t="s">
        <v>228</v>
      </c>
      <c r="F2475" s="468">
        <f>(((F2474*F2468*3.14)+(((F2474/2)^2)*3.14))/1000000)</f>
        <v>0</v>
      </c>
      <c r="G2475" s="460" t="s">
        <v>228</v>
      </c>
      <c r="H2475" s="469"/>
      <c r="I2475" s="1261"/>
    </row>
    <row r="2476" spans="1:13" ht="14.55" customHeight="1" x14ac:dyDescent="0.3">
      <c r="A2476" s="1258"/>
      <c r="B2476" s="454"/>
      <c r="C2476" s="460"/>
      <c r="D2476" s="454"/>
      <c r="E2476" s="460"/>
      <c r="F2476" s="454"/>
      <c r="G2476" s="460"/>
      <c r="H2476" s="469"/>
      <c r="I2476" s="1261"/>
    </row>
    <row r="2477" spans="1:13" ht="14.55" customHeight="1" x14ac:dyDescent="0.3">
      <c r="A2477" s="1258"/>
      <c r="B2477" s="468" t="s">
        <v>256</v>
      </c>
      <c r="C2477" s="460"/>
      <c r="D2477" s="468" t="s">
        <v>257</v>
      </c>
      <c r="E2477" s="460"/>
      <c r="F2477" s="468" t="s">
        <v>258</v>
      </c>
      <c r="G2477" s="460"/>
      <c r="H2477" s="469"/>
      <c r="I2477" s="1261"/>
    </row>
    <row r="2478" spans="1:13" ht="14.55" customHeight="1" x14ac:dyDescent="0.3">
      <c r="A2478" s="1258" t="s">
        <v>259</v>
      </c>
      <c r="B2478" s="725"/>
      <c r="C2478" s="460" t="s">
        <v>93</v>
      </c>
      <c r="D2478" s="725"/>
      <c r="E2478" s="460" t="s">
        <v>93</v>
      </c>
      <c r="F2478" s="725"/>
      <c r="G2478" s="460" t="s">
        <v>93</v>
      </c>
      <c r="H2478" s="469"/>
      <c r="I2478" s="1261"/>
    </row>
    <row r="2479" spans="1:13" ht="14.55" customHeight="1" x14ac:dyDescent="0.3">
      <c r="A2479" s="1258" t="s">
        <v>260</v>
      </c>
      <c r="B2479" s="725"/>
      <c r="C2479" s="460" t="s">
        <v>93</v>
      </c>
      <c r="D2479" s="725"/>
      <c r="E2479" s="460" t="s">
        <v>93</v>
      </c>
      <c r="F2479" s="725"/>
      <c r="G2479" s="460" t="s">
        <v>93</v>
      </c>
      <c r="H2479" s="469"/>
      <c r="I2479" s="1261"/>
    </row>
    <row r="2480" spans="1:13" ht="14.55" customHeight="1" x14ac:dyDescent="0.3">
      <c r="A2480" s="1258" t="s">
        <v>261</v>
      </c>
      <c r="B2480" s="725"/>
      <c r="C2480" s="460" t="s">
        <v>93</v>
      </c>
      <c r="D2480" s="725"/>
      <c r="E2480" s="460" t="s">
        <v>93</v>
      </c>
      <c r="F2480" s="725"/>
      <c r="G2480" s="460" t="s">
        <v>93</v>
      </c>
      <c r="H2480" s="469"/>
      <c r="I2480" s="1261"/>
    </row>
    <row r="2481" spans="1:9" ht="14.55" customHeight="1" x14ac:dyDescent="0.3">
      <c r="A2481" s="1258" t="s">
        <v>262</v>
      </c>
      <c r="B2481" s="455" t="e">
        <f>B2478+2*B2499</f>
        <v>#N/A</v>
      </c>
      <c r="C2481" s="460" t="s">
        <v>93</v>
      </c>
      <c r="D2481" s="455" t="e">
        <f>D2478+2*D2499</f>
        <v>#N/A</v>
      </c>
      <c r="E2481" s="460" t="s">
        <v>93</v>
      </c>
      <c r="F2481" s="455">
        <f>F2478+2*F2501</f>
        <v>0</v>
      </c>
      <c r="G2481" s="460" t="s">
        <v>93</v>
      </c>
      <c r="H2481" s="469"/>
      <c r="I2481" s="1261"/>
    </row>
    <row r="2482" spans="1:9" ht="14.55" customHeight="1" x14ac:dyDescent="0.3">
      <c r="A2482" s="1258" t="s">
        <v>263</v>
      </c>
      <c r="B2482" s="455" t="e">
        <f>B2479+2*B2499</f>
        <v>#N/A</v>
      </c>
      <c r="C2482" s="460" t="s">
        <v>93</v>
      </c>
      <c r="D2482" s="455" t="e">
        <f>D2479+2*D2499</f>
        <v>#N/A</v>
      </c>
      <c r="E2482" s="460" t="s">
        <v>93</v>
      </c>
      <c r="F2482" s="455">
        <f>F2479+2*F2501</f>
        <v>0</v>
      </c>
      <c r="G2482" s="460" t="s">
        <v>93</v>
      </c>
      <c r="H2482" s="469"/>
      <c r="I2482" s="1261"/>
    </row>
    <row r="2483" spans="1:9" ht="14.55" customHeight="1" x14ac:dyDescent="0.3">
      <c r="A2483" s="1258" t="s">
        <v>264</v>
      </c>
      <c r="B2483" s="453" t="e">
        <f>(((((1/3*PI()*B2480))*((((B2481/2)^2)+(((B2481/2)*(B2482/2)))+((B2482/2)^2))))-(((1/3*PI()*B2480))*((((B2478/2)^2)+(((B2478/2)*(B2479/2)))+((B2479/2)^2)))))*7.86)/1000000</f>
        <v>#N/A</v>
      </c>
      <c r="C2483" s="460" t="s">
        <v>222</v>
      </c>
      <c r="D2483" s="453" t="e">
        <f>(((((1/3*PI()*D2480))*((((D2481/2)^2)+(((D2481/2)*(D2482/2)))+((D2482/2)^2))))-(((1/3*PI()*D2480))*((((D2478/2)^2)+(((D2478/2)*(D2479/2)))+((D2479/2)^2)))))*7.86)/1000000</f>
        <v>#N/A</v>
      </c>
      <c r="E2483" s="460" t="s">
        <v>222</v>
      </c>
      <c r="F2483" s="453">
        <f>(((((1/3*PI()*F2480))*((((F2481/2)^2)+(((F2481/2)*(F2482/2)))+((F2482/2)^2))))-(((1/3*PI()*F2480))*((((F2478/2)^2)+(((F2478/2)*(F2479/2)))+((F2479/2)^2)))))*7.86)/1000000</f>
        <v>0</v>
      </c>
      <c r="G2483" s="460" t="s">
        <v>222</v>
      </c>
      <c r="H2483" s="469"/>
      <c r="I2483" s="1261"/>
    </row>
    <row r="2484" spans="1:9" ht="14.55" customHeight="1" x14ac:dyDescent="0.3">
      <c r="A2484" s="1258" t="s">
        <v>265</v>
      </c>
      <c r="B2484" s="453">
        <f>((1/3*PI()*B2480))*((((B2478/2)^2)+(((B2478/2)*(B2479/2)))+((B2479/2)^2)))/1000000000</f>
        <v>0</v>
      </c>
      <c r="C2484" s="460" t="s">
        <v>225</v>
      </c>
      <c r="D2484" s="453">
        <f>((1/3*PI()*D2480))*((((D2478/2)^2)+(((D2478/2)*(D2479/2)))+((D2479/2)^2)))/1000000000</f>
        <v>0</v>
      </c>
      <c r="E2484" s="460" t="s">
        <v>225</v>
      </c>
      <c r="F2484" s="453">
        <f>((1/3*PI()*F2480))*((((F2478/2)^2)+(((F2478/2)*(F2479/2)))+((F2479/2)^2)))/1000000000</f>
        <v>0</v>
      </c>
      <c r="G2484" s="460" t="s">
        <v>225</v>
      </c>
      <c r="H2484" s="469"/>
      <c r="I2484" s="1261"/>
    </row>
    <row r="2485" spans="1:9" ht="14.55" customHeight="1" x14ac:dyDescent="0.3">
      <c r="A2485" s="1258" t="s">
        <v>266</v>
      </c>
      <c r="B2485" s="453" t="e">
        <f>PI()*(B2481+B2482)/2*SQRT(B2480^2+((B2481-B2482)/2)^2)/1000000</f>
        <v>#N/A</v>
      </c>
      <c r="C2485" s="460" t="s">
        <v>228</v>
      </c>
      <c r="D2485" s="453" t="e">
        <f>PI()*(D2481+D2482)/2*SQRT(D2480^2+((D2481-D2482)/2)^2)/1000000</f>
        <v>#N/A</v>
      </c>
      <c r="E2485" s="460" t="s">
        <v>228</v>
      </c>
      <c r="F2485" s="453">
        <f>PI()*(F2481+F2482)/2*SQRT(F2480^2+((F2481-F2482)/2)^2)/1000000</f>
        <v>0</v>
      </c>
      <c r="G2485" s="460" t="s">
        <v>228</v>
      </c>
      <c r="H2485" s="469"/>
      <c r="I2485" s="1261"/>
    </row>
    <row r="2486" spans="1:9" ht="14.55" customHeight="1" x14ac:dyDescent="0.3">
      <c r="A2486" s="1258" t="s">
        <v>267</v>
      </c>
      <c r="B2486" s="453" t="e">
        <f>B2481+2*B2505</f>
        <v>#N/A</v>
      </c>
      <c r="C2486" s="460" t="s">
        <v>93</v>
      </c>
      <c r="D2486" s="453">
        <f>D2478+2*D2505</f>
        <v>0</v>
      </c>
      <c r="E2486" s="460" t="s">
        <v>93</v>
      </c>
      <c r="F2486" s="453">
        <f>F2478+2*F2505</f>
        <v>0</v>
      </c>
      <c r="G2486" s="460" t="s">
        <v>93</v>
      </c>
      <c r="H2486" s="469"/>
      <c r="I2486" s="1261"/>
    </row>
    <row r="2487" spans="1:9" ht="14.55" customHeight="1" x14ac:dyDescent="0.3">
      <c r="A2487" s="1258" t="s">
        <v>268</v>
      </c>
      <c r="B2487" s="453" t="e">
        <f>B2482+2*B2505</f>
        <v>#N/A</v>
      </c>
      <c r="C2487" s="460" t="s">
        <v>93</v>
      </c>
      <c r="D2487" s="453">
        <f>D2479+2*D2505</f>
        <v>0</v>
      </c>
      <c r="E2487" s="460" t="s">
        <v>93</v>
      </c>
      <c r="F2487" s="453">
        <f>F2479+2*F2505</f>
        <v>0</v>
      </c>
      <c r="G2487" s="460" t="s">
        <v>93</v>
      </c>
      <c r="H2487" s="469"/>
      <c r="I2487" s="1261"/>
    </row>
    <row r="2488" spans="1:9" ht="14.55" customHeight="1" x14ac:dyDescent="0.3">
      <c r="A2488" s="1258" t="s">
        <v>269</v>
      </c>
      <c r="B2488" s="453" t="e">
        <f>PI()*(B2486+B2487)/2*SQRT(B2480^2+((B2486-B2487)/2)^2)/1000000</f>
        <v>#N/A</v>
      </c>
      <c r="C2488" s="460" t="s">
        <v>228</v>
      </c>
      <c r="D2488" s="453">
        <f>PI()*(D2486+D2487)/2*SQRT(D2480^2+((D2486-D2487)/2)^2)/1000000</f>
        <v>0</v>
      </c>
      <c r="E2488" s="460" t="s">
        <v>228</v>
      </c>
      <c r="F2488" s="453">
        <f>PI()*(F2486+F2487)/2*SQRT(F2480^2+((F2486-F2487)/2)^2)/1000000</f>
        <v>0</v>
      </c>
      <c r="G2488" s="460" t="s">
        <v>228</v>
      </c>
      <c r="H2488" s="469"/>
      <c r="I2488" s="1261"/>
    </row>
    <row r="2489" spans="1:9" ht="14.55" customHeight="1" x14ac:dyDescent="0.3">
      <c r="A2489" s="1258"/>
      <c r="B2489" s="453"/>
      <c r="C2489" s="460"/>
      <c r="D2489" s="453"/>
      <c r="E2489" s="460"/>
      <c r="F2489" s="453"/>
      <c r="G2489" s="460"/>
      <c r="H2489" s="460"/>
      <c r="I2489" s="1259"/>
    </row>
    <row r="2490" spans="1:9" ht="14.55" customHeight="1" x14ac:dyDescent="0.3">
      <c r="A2490" s="1258" t="s">
        <v>270</v>
      </c>
      <c r="B2490" s="725"/>
      <c r="C2490" s="460" t="s">
        <v>93</v>
      </c>
      <c r="D2490" s="725"/>
      <c r="E2490" s="460" t="s">
        <v>93</v>
      </c>
      <c r="F2490" s="725"/>
      <c r="G2490" s="460" t="s">
        <v>93</v>
      </c>
      <c r="H2490" s="460"/>
      <c r="I2490" s="1259"/>
    </row>
    <row r="2491" spans="1:9" ht="14.55" customHeight="1" x14ac:dyDescent="0.3">
      <c r="A2491" s="1258" t="s">
        <v>271</v>
      </c>
      <c r="B2491" s="453" t="e">
        <f>((D2439/10)*B2456/2)/(IF(B2434="div.1",B2447,B2450)-0.5*D2439/10)</f>
        <v>#N/A</v>
      </c>
      <c r="C2491" s="460" t="s">
        <v>93</v>
      </c>
      <c r="D2491" s="453" t="e">
        <f>((D2439/10)*D2456/2)/(IF(B2434="div.1",B2447,B2450)-0.5*D2439/10)</f>
        <v>#N/A</v>
      </c>
      <c r="E2491" s="460" t="s">
        <v>93</v>
      </c>
      <c r="F2491" s="453" t="e">
        <f>((D2439/10)*F2456/2)/(IF(B2434="div.1",F2447,F2450)-0.5*D2439/10)</f>
        <v>#N/A</v>
      </c>
      <c r="G2491" s="460" t="s">
        <v>93</v>
      </c>
      <c r="H2491" s="460"/>
      <c r="I2491" s="1259"/>
    </row>
    <row r="2492" spans="1:9" ht="14.55" customHeight="1" x14ac:dyDescent="0.3">
      <c r="A2492" s="1258" t="s">
        <v>272</v>
      </c>
      <c r="B2492" s="453" t="e">
        <f>B2466/2*(EXP(D2439/(10*IF(B2434="div.1",B2448,B2451)))-1)</f>
        <v>#N/A</v>
      </c>
      <c r="C2492" s="460" t="s">
        <v>93</v>
      </c>
      <c r="D2492" s="453" t="e">
        <f>D2466/2*(EXP(D2439/(10*IF(B2434="div.1",B2448,B2451)))-1)</f>
        <v>#N/A</v>
      </c>
      <c r="E2492" s="460" t="s">
        <v>93</v>
      </c>
      <c r="F2492" s="453" t="e">
        <f>F2466/2*(EXP(D2439/(10*IF(B2434="div.1",F2448,F2451)))-1)</f>
        <v>#N/A</v>
      </c>
      <c r="G2492" s="460" t="s">
        <v>93</v>
      </c>
      <c r="H2492" s="460"/>
      <c r="I2492" s="1259"/>
    </row>
    <row r="2493" spans="1:9" ht="14.55" customHeight="1" x14ac:dyDescent="0.3">
      <c r="A2493" s="1258" t="s">
        <v>273</v>
      </c>
      <c r="B2493" s="453" t="e">
        <f>B2478/2*(EXP(D2439/(10*IF(B2434="div.1",B2448,B2451)))-1)</f>
        <v>#N/A</v>
      </c>
      <c r="C2493" s="460" t="s">
        <v>93</v>
      </c>
      <c r="D2493" s="453" t="e">
        <f>D2478/2*(EXP(D2439/(10*IF(B2434="div.1",B2448,B2451)))-1)</f>
        <v>#N/A</v>
      </c>
      <c r="E2493" s="460" t="s">
        <v>93</v>
      </c>
      <c r="F2493" s="453" t="e">
        <f>F2478/2*(EXP(D2439/(10*IF(B2434="div.1",F2448,F2451)))-1)</f>
        <v>#N/A</v>
      </c>
      <c r="G2493" s="460" t="s">
        <v>93</v>
      </c>
      <c r="H2493" s="460"/>
      <c r="I2493" s="1259"/>
    </row>
    <row r="2494" spans="1:9" ht="14.55" customHeight="1" x14ac:dyDescent="0.3">
      <c r="A2494" s="1258" t="s">
        <v>274</v>
      </c>
      <c r="B2494" s="725"/>
      <c r="C2494" s="460" t="s">
        <v>93</v>
      </c>
      <c r="D2494" s="725"/>
      <c r="E2494" s="460" t="s">
        <v>93</v>
      </c>
      <c r="F2494" s="725"/>
      <c r="G2494" s="460" t="s">
        <v>93</v>
      </c>
      <c r="H2494" s="460"/>
      <c r="I2494" s="1259"/>
    </row>
    <row r="2495" spans="1:9" ht="14.55" customHeight="1" x14ac:dyDescent="0.3">
      <c r="A2495" s="1258" t="s">
        <v>275</v>
      </c>
      <c r="B2495" s="725"/>
      <c r="C2495" s="460" t="s">
        <v>93</v>
      </c>
      <c r="D2495" s="725"/>
      <c r="E2495" s="460" t="s">
        <v>93</v>
      </c>
      <c r="F2495" s="725"/>
      <c r="G2495" s="460" t="s">
        <v>93</v>
      </c>
      <c r="H2495" s="460"/>
      <c r="I2495" s="1259"/>
    </row>
    <row r="2496" spans="1:9" ht="14.55" customHeight="1" x14ac:dyDescent="0.3">
      <c r="A2496" s="1258" t="s">
        <v>276</v>
      </c>
      <c r="B2496" s="725"/>
      <c r="C2496" s="460" t="s">
        <v>93</v>
      </c>
      <c r="D2496" s="725"/>
      <c r="E2496" s="460" t="s">
        <v>93</v>
      </c>
      <c r="F2496" s="725"/>
      <c r="G2496" s="460" t="s">
        <v>93</v>
      </c>
      <c r="H2496" s="460"/>
      <c r="I2496" s="1259"/>
    </row>
    <row r="2497" spans="1:9" ht="14.55" customHeight="1" x14ac:dyDescent="0.3">
      <c r="A2497" s="1258" t="s">
        <v>277</v>
      </c>
      <c r="B2497" s="453" t="e">
        <f>IF((CEILING(B2491,1)+B2494)&lt;B2490,B2490,CEILING(B2491,1)+B2494)</f>
        <v>#N/A</v>
      </c>
      <c r="C2497" s="460" t="s">
        <v>93</v>
      </c>
      <c r="D2497" s="453" t="e">
        <f>IF((CEILING(D2491,1)+D2494)&lt;D2490,D2490,CEILING(D2491,1)+D2494)</f>
        <v>#N/A</v>
      </c>
      <c r="E2497" s="460" t="s">
        <v>93</v>
      </c>
      <c r="F2497" s="453" t="e">
        <f>IF((CEILING(F2491,1)+F2494)&lt;F2490,F2490,CEILING(F2491,1)+F2494)</f>
        <v>#N/A</v>
      </c>
      <c r="G2497" s="460" t="s">
        <v>93</v>
      </c>
      <c r="H2497" s="460"/>
      <c r="I2497" s="1259"/>
    </row>
    <row r="2498" spans="1:9" ht="14.55" customHeight="1" x14ac:dyDescent="0.3">
      <c r="A2498" s="1258" t="s">
        <v>278</v>
      </c>
      <c r="B2498" s="453" t="e">
        <f>IF((CEILING(B2492,1)+B2495)&lt;=B2490,B2490,CEILING(B2492,1)+B2495)</f>
        <v>#N/A</v>
      </c>
      <c r="C2498" s="460" t="s">
        <v>93</v>
      </c>
      <c r="D2498" s="453" t="e">
        <f>IF((CEILING(D2492,1)+D2495)&lt;=D2490,D2490,CEILING(D2492,1)+D2495)</f>
        <v>#N/A</v>
      </c>
      <c r="E2498" s="460" t="s">
        <v>93</v>
      </c>
      <c r="F2498" s="453" t="e">
        <f>IF((CEILING(F2492,1)+F2495)&lt;=F2490,F2490,CEILING(F2492,1)+F2495)</f>
        <v>#N/A</v>
      </c>
      <c r="G2498" s="460" t="s">
        <v>93</v>
      </c>
      <c r="H2498" s="460"/>
      <c r="I2498" s="1259"/>
    </row>
    <row r="2499" spans="1:9" ht="14.55" customHeight="1" x14ac:dyDescent="0.3">
      <c r="A2499" s="1258" t="s">
        <v>279</v>
      </c>
      <c r="B2499" s="453" t="e">
        <f>IF((CEILING(B2493,1)+B2496)&lt;=B2490,B2490,CEILING(B2493,1)+B2496)</f>
        <v>#N/A</v>
      </c>
      <c r="C2499" s="460" t="s">
        <v>93</v>
      </c>
      <c r="D2499" s="453" t="e">
        <f>IF((CEILING(D2493,1)+D2496)&lt;=D2490,D2490,CEILING(D2493,1)+D2496)</f>
        <v>#N/A</v>
      </c>
      <c r="E2499" s="460" t="s">
        <v>93</v>
      </c>
      <c r="F2499" s="453" t="e">
        <f>IF((CEILING(F2493,1)+F2496)&lt;=F2490,F2490,CEILING(F2493,1)+F2496)</f>
        <v>#N/A</v>
      </c>
      <c r="G2499" s="460" t="s">
        <v>93</v>
      </c>
      <c r="H2499" s="460"/>
      <c r="I2499" s="1259"/>
    </row>
    <row r="2500" spans="1:9" ht="14.55" customHeight="1" x14ac:dyDescent="0.3">
      <c r="A2500" s="1258" t="s">
        <v>280</v>
      </c>
      <c r="B2500" s="453"/>
      <c r="C2500" s="460"/>
      <c r="D2500" s="453"/>
      <c r="E2500" s="460"/>
      <c r="F2500" s="726"/>
      <c r="G2500" s="460"/>
      <c r="H2500" s="460"/>
      <c r="I2500" s="1259"/>
    </row>
    <row r="2501" spans="1:9" ht="14.55" customHeight="1" x14ac:dyDescent="0.3">
      <c r="A2501" s="1258" t="s">
        <v>281</v>
      </c>
      <c r="B2501" s="453"/>
      <c r="C2501" s="460"/>
      <c r="D2501" s="453"/>
      <c r="E2501" s="460"/>
      <c r="F2501" s="460">
        <f>IFERROR(VLOOKUP(F2455,'Thickness Tab'!$1:$1048576,MATCH(F2500,'Thickness Tab'!$1:$1,0),0),0)</f>
        <v>0</v>
      </c>
      <c r="G2501" s="460" t="s">
        <v>93</v>
      </c>
      <c r="H2501" s="460"/>
      <c r="I2501" s="1259"/>
    </row>
    <row r="2502" spans="1:9" ht="14.55" customHeight="1" x14ac:dyDescent="0.3">
      <c r="A2502" s="1258"/>
      <c r="B2502" s="464"/>
      <c r="C2502" s="460"/>
      <c r="D2502" s="460"/>
      <c r="E2502" s="460"/>
      <c r="F2502" s="460"/>
      <c r="G2502" s="460"/>
      <c r="H2502" s="460"/>
      <c r="I2502" s="1259"/>
    </row>
    <row r="2503" spans="1:9" ht="14.55" customHeight="1" x14ac:dyDescent="0.3">
      <c r="A2503" s="1258" t="s">
        <v>282</v>
      </c>
      <c r="B2503" s="725">
        <v>0</v>
      </c>
      <c r="C2503" s="460" t="s">
        <v>93</v>
      </c>
      <c r="D2503" s="725">
        <v>0</v>
      </c>
      <c r="E2503" s="460" t="s">
        <v>93</v>
      </c>
      <c r="F2503" s="725">
        <v>0</v>
      </c>
      <c r="G2503" s="460" t="s">
        <v>93</v>
      </c>
      <c r="H2503" s="460"/>
      <c r="I2503" s="1259"/>
    </row>
    <row r="2504" spans="1:9" ht="14.55" customHeight="1" x14ac:dyDescent="0.3">
      <c r="A2504" s="1258" t="s">
        <v>283</v>
      </c>
      <c r="B2504" s="725">
        <v>0</v>
      </c>
      <c r="C2504" s="460" t="s">
        <v>93</v>
      </c>
      <c r="D2504" s="725">
        <v>0</v>
      </c>
      <c r="E2504" s="460" t="s">
        <v>93</v>
      </c>
      <c r="F2504" s="725">
        <v>0</v>
      </c>
      <c r="G2504" s="460" t="s">
        <v>93</v>
      </c>
      <c r="H2504" s="460"/>
      <c r="I2504" s="1259"/>
    </row>
    <row r="2505" spans="1:9" ht="14.55" customHeight="1" x14ac:dyDescent="0.3">
      <c r="A2505" s="1258" t="s">
        <v>284</v>
      </c>
      <c r="B2505" s="725">
        <v>0</v>
      </c>
      <c r="C2505" s="460" t="s">
        <v>93</v>
      </c>
      <c r="D2505" s="725">
        <v>0</v>
      </c>
      <c r="E2505" s="460" t="s">
        <v>93</v>
      </c>
      <c r="F2505" s="725">
        <v>0</v>
      </c>
      <c r="G2505" s="460" t="s">
        <v>93</v>
      </c>
      <c r="H2505" s="460"/>
      <c r="I2505" s="1259"/>
    </row>
    <row r="2506" spans="1:9" ht="14.55" customHeight="1" x14ac:dyDescent="0.3">
      <c r="A2506" s="1258"/>
      <c r="B2506" s="464"/>
      <c r="C2506" s="460"/>
      <c r="D2506" s="460"/>
      <c r="E2506" s="460"/>
      <c r="F2506" s="460"/>
      <c r="G2506" s="460"/>
      <c r="H2506" s="460"/>
      <c r="I2506" s="1259"/>
    </row>
    <row r="2507" spans="1:9" ht="14.55" customHeight="1" x14ac:dyDescent="0.3">
      <c r="A2507" s="1260" t="s">
        <v>285</v>
      </c>
      <c r="B2507" s="470" t="str">
        <f>IF(B2435="Horizontal","No Skirt","")</f>
        <v/>
      </c>
      <c r="C2507" s="460"/>
      <c r="D2507" s="471"/>
      <c r="E2507" s="471" t="s">
        <v>286</v>
      </c>
      <c r="F2507" s="460"/>
      <c r="G2507" s="469"/>
      <c r="H2507" s="469"/>
      <c r="I2507" s="1261"/>
    </row>
    <row r="2508" spans="1:9" ht="14.55" customHeight="1" x14ac:dyDescent="0.3">
      <c r="A2508" s="1258" t="s">
        <v>287</v>
      </c>
      <c r="B2508" s="722"/>
      <c r="C2508" s="456" t="s">
        <v>93</v>
      </c>
      <c r="D2508" s="472"/>
      <c r="E2508" s="472" t="s">
        <v>288</v>
      </c>
      <c r="F2508" s="725"/>
      <c r="G2508" s="460" t="s">
        <v>93</v>
      </c>
      <c r="H2508" s="469"/>
      <c r="I2508" s="1261"/>
    </row>
    <row r="2509" spans="1:9" ht="14.55" customHeight="1" x14ac:dyDescent="0.3">
      <c r="A2509" s="1258" t="s">
        <v>289</v>
      </c>
      <c r="B2509" s="722"/>
      <c r="C2509" s="456" t="s">
        <v>93</v>
      </c>
      <c r="D2509" s="472"/>
      <c r="E2509" s="472" t="s">
        <v>290</v>
      </c>
      <c r="F2509" s="725"/>
      <c r="G2509" s="460" t="s">
        <v>93</v>
      </c>
      <c r="H2509" s="469"/>
      <c r="I2509" s="1261"/>
    </row>
    <row r="2510" spans="1:9" ht="14.55" customHeight="1" x14ac:dyDescent="0.3">
      <c r="A2510" s="1258" t="s">
        <v>291</v>
      </c>
      <c r="B2510" s="722"/>
      <c r="C2510" s="456" t="s">
        <v>93</v>
      </c>
      <c r="D2510" s="472"/>
      <c r="E2510" s="472" t="s">
        <v>292</v>
      </c>
      <c r="F2510" s="725"/>
      <c r="G2510" s="460"/>
      <c r="H2510" s="469"/>
      <c r="I2510" s="1261"/>
    </row>
    <row r="2511" spans="1:9" ht="14.55" customHeight="1" x14ac:dyDescent="0.3">
      <c r="A2511" s="1258" t="s">
        <v>293</v>
      </c>
      <c r="B2511" s="722"/>
      <c r="C2511" s="456" t="s">
        <v>93</v>
      </c>
      <c r="D2511" s="472"/>
      <c r="E2511" s="472" t="s">
        <v>184</v>
      </c>
      <c r="F2511" s="457">
        <f>(PI()*F2508^2)/4*F2509*(7800/1000000000)</f>
        <v>0</v>
      </c>
      <c r="G2511" s="460" t="s">
        <v>222</v>
      </c>
      <c r="H2511" s="460"/>
      <c r="I2511" s="1259"/>
    </row>
    <row r="2512" spans="1:9" ht="14.55" customHeight="1" x14ac:dyDescent="0.3">
      <c r="A2512" s="1258" t="s">
        <v>294</v>
      </c>
      <c r="B2512" s="722"/>
      <c r="C2512" s="456" t="s">
        <v>93</v>
      </c>
      <c r="D2512" s="460"/>
      <c r="E2512" s="460"/>
      <c r="F2512" s="460"/>
      <c r="G2512" s="460"/>
      <c r="H2512" s="460"/>
      <c r="I2512" s="1259"/>
    </row>
    <row r="2513" spans="1:9" ht="14.55" customHeight="1" x14ac:dyDescent="0.3">
      <c r="A2513" s="1258"/>
      <c r="B2513" s="407"/>
      <c r="C2513" s="460"/>
      <c r="D2513" s="460"/>
      <c r="E2513" s="460"/>
      <c r="F2513" s="460"/>
      <c r="G2513" s="460"/>
      <c r="H2513" s="460"/>
      <c r="I2513" s="1259"/>
    </row>
    <row r="2514" spans="1:9" ht="14.55" customHeight="1" x14ac:dyDescent="0.3">
      <c r="A2514" s="1262" t="s">
        <v>295</v>
      </c>
      <c r="B2514" s="480"/>
      <c r="C2514" s="59"/>
      <c r="D2514" s="59"/>
      <c r="E2514" s="59"/>
      <c r="F2514" s="460"/>
      <c r="G2514" s="460"/>
      <c r="H2514" s="460"/>
      <c r="I2514" s="1259"/>
    </row>
    <row r="2515" spans="1:9" ht="14.55" customHeight="1" x14ac:dyDescent="0.3">
      <c r="A2515" s="1263" t="s">
        <v>296</v>
      </c>
      <c r="B2515" s="722"/>
      <c r="C2515" s="59" t="s">
        <v>93</v>
      </c>
      <c r="D2515" s="59"/>
      <c r="E2515" s="59"/>
      <c r="F2515" s="460"/>
      <c r="G2515" s="460"/>
      <c r="H2515" s="460"/>
      <c r="I2515" s="1259"/>
    </row>
    <row r="2516" spans="1:9" ht="14.55" customHeight="1" x14ac:dyDescent="0.3">
      <c r="A2516" s="1263" t="s">
        <v>297</v>
      </c>
      <c r="B2516" s="722"/>
      <c r="C2516" s="59" t="s">
        <v>93</v>
      </c>
      <c r="D2516" s="59"/>
      <c r="E2516" s="59"/>
      <c r="F2516" s="460"/>
      <c r="G2516" s="460"/>
      <c r="H2516" s="460"/>
      <c r="I2516" s="1259"/>
    </row>
    <row r="2517" spans="1:9" ht="14.55" customHeight="1" x14ac:dyDescent="0.3">
      <c r="A2517" s="1263" t="s">
        <v>298</v>
      </c>
      <c r="B2517" s="480">
        <f>B2458</f>
        <v>0</v>
      </c>
      <c r="C2517" s="59" t="s">
        <v>93</v>
      </c>
      <c r="D2517" s="59"/>
      <c r="E2517" s="59"/>
      <c r="F2517" s="460"/>
      <c r="G2517" s="460"/>
      <c r="H2517" s="460"/>
      <c r="I2517" s="1259"/>
    </row>
    <row r="2518" spans="1:9" ht="14.55" customHeight="1" x14ac:dyDescent="0.3">
      <c r="A2518" s="1263" t="s">
        <v>299</v>
      </c>
      <c r="B2518" s="727"/>
      <c r="C2518" s="59"/>
      <c r="D2518" s="59"/>
      <c r="E2518" s="59"/>
      <c r="F2518" s="460"/>
      <c r="G2518" s="460"/>
      <c r="H2518" s="460"/>
      <c r="I2518" s="1259"/>
    </row>
    <row r="2519" spans="1:9" ht="14.55" customHeight="1" x14ac:dyDescent="0.3">
      <c r="A2519" s="1263" t="s">
        <v>300</v>
      </c>
      <c r="B2519" s="722"/>
      <c r="C2519" s="59" t="s">
        <v>301</v>
      </c>
      <c r="D2519" s="59"/>
      <c r="E2519" s="59"/>
      <c r="F2519" s="460"/>
      <c r="G2519" s="460"/>
      <c r="H2519" s="460"/>
      <c r="I2519" s="1259"/>
    </row>
    <row r="2520" spans="1:9" ht="14.55" customHeight="1" x14ac:dyDescent="0.3">
      <c r="A2520" s="1263" t="s">
        <v>302</v>
      </c>
      <c r="B2520" s="480">
        <f>IF(B2518="Straight",B2517,B2517*2)</f>
        <v>0</v>
      </c>
      <c r="C2520" s="59" t="s">
        <v>93</v>
      </c>
      <c r="D2520" s="480"/>
      <c r="E2520" s="59"/>
      <c r="F2520" s="460"/>
      <c r="G2520" s="460"/>
      <c r="H2520" s="460"/>
      <c r="I2520" s="1259"/>
    </row>
    <row r="2521" spans="1:9" ht="14.55" customHeight="1" x14ac:dyDescent="0.3">
      <c r="A2521" s="1263" t="s">
        <v>303</v>
      </c>
      <c r="B2521" s="480">
        <f>B2515*PI()*B2520/1000000*B2519</f>
        <v>0</v>
      </c>
      <c r="C2521" s="59" t="s">
        <v>228</v>
      </c>
      <c r="D2521" s="59"/>
      <c r="E2521" s="59"/>
      <c r="F2521" s="460"/>
      <c r="G2521" s="460"/>
      <c r="H2521" s="460"/>
      <c r="I2521" s="1259"/>
    </row>
    <row r="2522" spans="1:9" ht="14.55" customHeight="1" x14ac:dyDescent="0.3">
      <c r="A2522" s="1263" t="s">
        <v>304</v>
      </c>
      <c r="B2522" s="480">
        <v>7.86</v>
      </c>
      <c r="C2522" s="59" t="s">
        <v>305</v>
      </c>
      <c r="D2522" s="59"/>
      <c r="E2522" s="59"/>
      <c r="F2522" s="460"/>
      <c r="G2522" s="460"/>
      <c r="H2522" s="460"/>
      <c r="I2522" s="1259"/>
    </row>
    <row r="2523" spans="1:9" ht="14.55" customHeight="1" x14ac:dyDescent="0.3">
      <c r="A2523" s="1263" t="s">
        <v>306</v>
      </c>
      <c r="B2523" s="480">
        <f>PI()*B2516*(B2515-B2516)*B2522/1000</f>
        <v>0</v>
      </c>
      <c r="C2523" s="59" t="s">
        <v>307</v>
      </c>
      <c r="D2523" s="59"/>
      <c r="E2523" s="59"/>
      <c r="F2523" s="460"/>
      <c r="G2523" s="460"/>
      <c r="H2523" s="460"/>
      <c r="I2523" s="1259"/>
    </row>
    <row r="2524" spans="1:9" ht="14.55" customHeight="1" x14ac:dyDescent="0.3">
      <c r="A2524" s="1263" t="s">
        <v>308</v>
      </c>
      <c r="B2524" s="480">
        <f>B2523*B2520*B2519/1000</f>
        <v>0</v>
      </c>
      <c r="C2524" s="59" t="s">
        <v>222</v>
      </c>
      <c r="D2524" s="59"/>
      <c r="E2524" s="59"/>
      <c r="F2524" s="460"/>
      <c r="G2524" s="460"/>
      <c r="H2524" s="460"/>
      <c r="I2524" s="1259"/>
    </row>
    <row r="2525" spans="1:9" ht="14.55" customHeight="1" x14ac:dyDescent="0.3">
      <c r="A2525" s="1263"/>
      <c r="B2525" s="480"/>
      <c r="C2525" s="59"/>
      <c r="D2525" s="59"/>
      <c r="E2525" s="59"/>
      <c r="F2525" s="460"/>
      <c r="G2525" s="460"/>
      <c r="H2525" s="460"/>
      <c r="I2525" s="1259"/>
    </row>
    <row r="2526" spans="1:9" ht="14.55" customHeight="1" x14ac:dyDescent="0.3">
      <c r="A2526" s="1262" t="s">
        <v>309</v>
      </c>
      <c r="B2526" s="480"/>
      <c r="C2526" s="59"/>
      <c r="D2526" s="59"/>
      <c r="E2526" s="59"/>
      <c r="F2526" s="460"/>
      <c r="G2526" s="460"/>
      <c r="H2526" s="460"/>
      <c r="I2526" s="1259"/>
    </row>
    <row r="2527" spans="1:9" ht="14.55" customHeight="1" x14ac:dyDescent="0.3">
      <c r="A2527" s="1263" t="s">
        <v>310</v>
      </c>
      <c r="B2527" s="480">
        <f>B2456</f>
        <v>0</v>
      </c>
      <c r="C2527" s="59" t="s">
        <v>93</v>
      </c>
      <c r="D2527" s="59"/>
      <c r="E2527" s="59"/>
      <c r="F2527" s="460"/>
      <c r="G2527" s="460"/>
      <c r="H2527" s="460"/>
      <c r="I2527" s="1259"/>
    </row>
    <row r="2528" spans="1:9" ht="14.55" customHeight="1" x14ac:dyDescent="0.3">
      <c r="A2528" s="1263" t="s">
        <v>297</v>
      </c>
      <c r="B2528" s="480">
        <v>15</v>
      </c>
      <c r="C2528" s="59" t="s">
        <v>93</v>
      </c>
      <c r="D2528" s="59"/>
      <c r="E2528" s="59"/>
      <c r="F2528" s="460"/>
      <c r="G2528" s="460"/>
      <c r="H2528" s="460"/>
      <c r="I2528" s="1259"/>
    </row>
    <row r="2529" spans="1:9" ht="14.55" customHeight="1" x14ac:dyDescent="0.3">
      <c r="A2529" s="1263" t="s">
        <v>311</v>
      </c>
      <c r="B2529" s="480">
        <f>B2527^2*PI()/4/1000000</f>
        <v>0</v>
      </c>
      <c r="C2529" s="59" t="s">
        <v>228</v>
      </c>
      <c r="D2529" s="59"/>
      <c r="E2529" s="59"/>
      <c r="F2529" s="460"/>
      <c r="G2529" s="460"/>
      <c r="H2529" s="460"/>
      <c r="I2529" s="1259"/>
    </row>
    <row r="2530" spans="1:9" ht="14.55" customHeight="1" x14ac:dyDescent="0.3">
      <c r="A2530" s="1263" t="s">
        <v>312</v>
      </c>
      <c r="B2530" s="480">
        <f>B2529*B2528/1000*B2522*2/1000</f>
        <v>0</v>
      </c>
      <c r="C2530" s="59" t="s">
        <v>222</v>
      </c>
      <c r="D2530" s="59"/>
      <c r="E2530" s="59"/>
      <c r="F2530" s="460"/>
      <c r="G2530" s="460"/>
      <c r="H2530" s="460"/>
      <c r="I2530" s="1259"/>
    </row>
    <row r="2531" spans="1:9" ht="14.55" customHeight="1" x14ac:dyDescent="0.3">
      <c r="A2531" s="1263"/>
      <c r="B2531" s="480"/>
      <c r="C2531" s="59"/>
      <c r="D2531" s="59"/>
      <c r="E2531" s="59"/>
      <c r="F2531" s="460"/>
      <c r="G2531" s="460"/>
      <c r="H2531" s="460"/>
      <c r="I2531" s="1259"/>
    </row>
    <row r="2532" spans="1:9" ht="14.55" customHeight="1" x14ac:dyDescent="0.3">
      <c r="A2532" s="1263" t="s">
        <v>313</v>
      </c>
      <c r="B2532" s="480">
        <f>B2524+B2530*2</f>
        <v>0</v>
      </c>
      <c r="C2532" s="59" t="s">
        <v>222</v>
      </c>
      <c r="D2532" s="59"/>
      <c r="E2532" s="59"/>
      <c r="F2532" s="460"/>
      <c r="G2532" s="460"/>
      <c r="H2532" s="460"/>
      <c r="I2532" s="1259"/>
    </row>
    <row r="2533" spans="1:9" ht="14.55" customHeight="1" x14ac:dyDescent="0.3">
      <c r="A2533" s="1263"/>
      <c r="B2533" s="480"/>
      <c r="C2533" s="59"/>
      <c r="D2533" s="59"/>
      <c r="E2533" s="59"/>
      <c r="F2533" s="460"/>
      <c r="G2533" s="460"/>
      <c r="H2533" s="460"/>
      <c r="I2533" s="1259"/>
    </row>
    <row r="2534" spans="1:9" ht="14.55" customHeight="1" x14ac:dyDescent="0.3">
      <c r="A2534" s="1260" t="s">
        <v>314</v>
      </c>
      <c r="B2534" s="460"/>
      <c r="C2534" s="460"/>
      <c r="D2534" s="463" t="s">
        <v>315</v>
      </c>
      <c r="E2534" s="460"/>
      <c r="F2534" s="460"/>
      <c r="G2534" s="471" t="s">
        <v>316</v>
      </c>
      <c r="H2534" s="453"/>
      <c r="I2534" s="1259"/>
    </row>
    <row r="2535" spans="1:9" ht="14.55" customHeight="1" x14ac:dyDescent="0.3">
      <c r="A2535" s="1258" t="s">
        <v>189</v>
      </c>
      <c r="B2535" s="468" t="e">
        <f>SUM(B2459,D2459,F2459)</f>
        <v>#N/A</v>
      </c>
      <c r="C2535" s="460" t="s">
        <v>222</v>
      </c>
      <c r="D2535" s="472" t="s">
        <v>189</v>
      </c>
      <c r="E2535" s="468" t="e">
        <f>SUM(B2461,D2461,F2461)</f>
        <v>#N/A</v>
      </c>
      <c r="F2535" s="460" t="s">
        <v>228</v>
      </c>
      <c r="G2535" s="472" t="s">
        <v>189</v>
      </c>
      <c r="H2535" s="453" t="e">
        <f>SUM(B2463,D2463,F2463)</f>
        <v>#N/A</v>
      </c>
      <c r="I2535" s="1259" t="s">
        <v>228</v>
      </c>
    </row>
    <row r="2536" spans="1:9" ht="14.55" customHeight="1" x14ac:dyDescent="0.3">
      <c r="A2536" s="1258" t="s">
        <v>317</v>
      </c>
      <c r="B2536" s="468" t="e">
        <f>SUM(B2469*B2471,D2469*D2471,F2469*F2471)</f>
        <v>#N/A</v>
      </c>
      <c r="C2536" s="460" t="s">
        <v>222</v>
      </c>
      <c r="D2536" s="472" t="s">
        <v>317</v>
      </c>
      <c r="E2536" s="468" t="e">
        <f>SUM(B2469*B2473,D2469*D2473,F2469*F2473)</f>
        <v>#N/A</v>
      </c>
      <c r="F2536" s="460" t="s">
        <v>228</v>
      </c>
      <c r="G2536" s="472" t="s">
        <v>317</v>
      </c>
      <c r="H2536" s="453" t="e">
        <f>SUM(B2469*B2475,D2469*D2475,F2469*F2475)</f>
        <v>#N/A</v>
      </c>
      <c r="I2536" s="1259" t="s">
        <v>228</v>
      </c>
    </row>
    <row r="2537" spans="1:9" ht="14.55" customHeight="1" x14ac:dyDescent="0.3">
      <c r="A2537" s="1258" t="s">
        <v>318</v>
      </c>
      <c r="B2537" s="468" t="e">
        <f>SUM(B2483,D2483,F2483)</f>
        <v>#N/A</v>
      </c>
      <c r="C2537" s="460" t="s">
        <v>222</v>
      </c>
      <c r="D2537" s="472" t="s">
        <v>318</v>
      </c>
      <c r="E2537" s="468" t="e">
        <f>SUM(B2485,D2485,F2485)</f>
        <v>#N/A</v>
      </c>
      <c r="F2537" s="460" t="s">
        <v>228</v>
      </c>
      <c r="G2537" s="472" t="s">
        <v>318</v>
      </c>
      <c r="H2537" s="453" t="e">
        <f>SUM(B2488,D2488,F2488)</f>
        <v>#N/A</v>
      </c>
      <c r="I2537" s="1259" t="s">
        <v>228</v>
      </c>
    </row>
    <row r="2538" spans="1:9" ht="14.55" customHeight="1" x14ac:dyDescent="0.3">
      <c r="A2538" s="1258" t="s">
        <v>319</v>
      </c>
      <c r="B2538" s="468">
        <f>SUMPRODUCT(F2555:F2566,H2555:H2566)</f>
        <v>0</v>
      </c>
      <c r="C2538" s="460" t="s">
        <v>222</v>
      </c>
      <c r="D2538" s="472" t="s">
        <v>319</v>
      </c>
      <c r="E2538" s="468">
        <f>SUMPRODUCT(F2555:F2566,I2555:I2566)</f>
        <v>0</v>
      </c>
      <c r="F2538" s="460" t="s">
        <v>228</v>
      </c>
      <c r="G2538" s="460"/>
      <c r="H2538" s="453"/>
      <c r="I2538" s="1259"/>
    </row>
    <row r="2539" spans="1:9" ht="14.55" customHeight="1" x14ac:dyDescent="0.3">
      <c r="A2539" s="1258" t="s">
        <v>320</v>
      </c>
      <c r="B2539" s="468" t="e">
        <f>IF(B2435="Horizontal",0,(PI()*B2509*(((B2457/2)^2)-(((B2457-2*B2508)/2)^2))*7860)/1000000000)</f>
        <v>#N/A</v>
      </c>
      <c r="C2539" s="460" t="s">
        <v>222</v>
      </c>
      <c r="D2539" s="472" t="s">
        <v>320</v>
      </c>
      <c r="E2539" s="468" t="e">
        <f>IF(B2435="Horizontal",0,((B2457*B2509*PI())+((B2457-2*B2508)*B2509*PI()))/1000000)</f>
        <v>#N/A</v>
      </c>
      <c r="F2539" s="460" t="s">
        <v>228</v>
      </c>
      <c r="G2539" s="471" t="s">
        <v>321</v>
      </c>
      <c r="H2539" s="453"/>
      <c r="I2539" s="1259"/>
    </row>
    <row r="2540" spans="1:9" ht="14.55" customHeight="1" x14ac:dyDescent="0.3">
      <c r="A2540" s="1258" t="s">
        <v>322</v>
      </c>
      <c r="B2540" s="468">
        <f>IF(B2435="Horizontal",0,(PI()*B2512*(((B2511/2)^2)-((B2510/2)^2))*7860)/1000000000)</f>
        <v>0</v>
      </c>
      <c r="C2540" s="460" t="s">
        <v>222</v>
      </c>
      <c r="D2540" s="472" t="s">
        <v>322</v>
      </c>
      <c r="E2540" s="468">
        <f>IF(B2435="Horizontal",0,((B2511*3.14*B2512)+(B2510*3.14*B2512)+(((((B2511/2)^2)*3.14)-(((B2510/2)^2)*3.14))*2))/1000000)</f>
        <v>0</v>
      </c>
      <c r="F2540" s="460" t="s">
        <v>228</v>
      </c>
      <c r="G2540" s="472" t="s">
        <v>189</v>
      </c>
      <c r="H2540" s="453">
        <f>SUM(B2460,D2460,F2460)</f>
        <v>0</v>
      </c>
      <c r="I2540" s="1259" t="s">
        <v>225</v>
      </c>
    </row>
    <row r="2541" spans="1:9" ht="14.55" customHeight="1" x14ac:dyDescent="0.3">
      <c r="A2541" s="1258" t="s">
        <v>323</v>
      </c>
      <c r="B2541" s="468">
        <f>IF(B2435="Horizontal",VLOOKUP(B2457,List!$AR:$AS,2,1)*2,0)</f>
        <v>0</v>
      </c>
      <c r="C2541" s="460" t="s">
        <v>222</v>
      </c>
      <c r="D2541" s="472" t="s">
        <v>323</v>
      </c>
      <c r="E2541" s="725"/>
      <c r="F2541" s="460" t="s">
        <v>228</v>
      </c>
      <c r="G2541" s="472" t="s">
        <v>317</v>
      </c>
      <c r="H2541" s="453" t="e">
        <f>SUM(B2469*B2472+D2469*D2472+F2469*F2472)</f>
        <v>#N/A</v>
      </c>
      <c r="I2541" s="1259" t="s">
        <v>225</v>
      </c>
    </row>
    <row r="2542" spans="1:9" ht="14.55" customHeight="1" x14ac:dyDescent="0.3">
      <c r="A2542" s="1258" t="s">
        <v>324</v>
      </c>
      <c r="B2542" s="468">
        <f>F2511*F2510</f>
        <v>0</v>
      </c>
      <c r="C2542" s="460" t="s">
        <v>222</v>
      </c>
      <c r="D2542" s="460"/>
      <c r="E2542" s="460"/>
      <c r="F2542" s="460"/>
      <c r="G2542" s="472" t="s">
        <v>318</v>
      </c>
      <c r="H2542" s="453">
        <f>SUM(B2484,D2484,F2484)</f>
        <v>0</v>
      </c>
      <c r="I2542" s="1259" t="s">
        <v>225</v>
      </c>
    </row>
    <row r="2543" spans="1:9" ht="14.55" customHeight="1" x14ac:dyDescent="0.3">
      <c r="A2543" s="1258" t="s">
        <v>325</v>
      </c>
      <c r="B2543" s="468">
        <f>B2532</f>
        <v>0</v>
      </c>
      <c r="C2543" s="460" t="s">
        <v>222</v>
      </c>
      <c r="D2543" s="460"/>
      <c r="E2543" s="460"/>
      <c r="F2543" s="460"/>
      <c r="G2543" s="472"/>
      <c r="H2543" s="453"/>
      <c r="I2543" s="1259"/>
    </row>
    <row r="2544" spans="1:9" ht="14.55" customHeight="1" x14ac:dyDescent="0.3">
      <c r="A2544" s="1258" t="s">
        <v>326</v>
      </c>
      <c r="B2544" s="725"/>
      <c r="C2544" s="460" t="s">
        <v>222</v>
      </c>
      <c r="D2544" s="460"/>
      <c r="E2544" s="460"/>
      <c r="F2544" s="460"/>
      <c r="G2544" s="460"/>
      <c r="H2544" s="460"/>
      <c r="I2544" s="1259"/>
    </row>
    <row r="2545" spans="1:9" ht="14.55" customHeight="1" x14ac:dyDescent="0.3">
      <c r="A2545" s="1264"/>
      <c r="B2545" s="460"/>
      <c r="C2545" s="460"/>
      <c r="D2545" s="460"/>
      <c r="E2545" s="460"/>
      <c r="F2545" s="460"/>
      <c r="G2545" s="460"/>
      <c r="H2545" s="460"/>
      <c r="I2545" s="1259"/>
    </row>
    <row r="2546" spans="1:9" ht="14.55" customHeight="1" x14ac:dyDescent="0.3">
      <c r="A2546" s="1258" t="s">
        <v>327</v>
      </c>
      <c r="B2546" s="453" t="e">
        <f>SUM(E2535:E2541)</f>
        <v>#N/A</v>
      </c>
      <c r="C2546" s="460" t="s">
        <v>228</v>
      </c>
      <c r="D2546" s="460"/>
      <c r="E2546" s="460"/>
      <c r="F2546" s="460"/>
      <c r="G2546" s="460"/>
      <c r="H2546" s="460"/>
      <c r="I2546" s="1259"/>
    </row>
    <row r="2547" spans="1:9" ht="14.55" customHeight="1" x14ac:dyDescent="0.3">
      <c r="A2547" s="1258" t="s">
        <v>328</v>
      </c>
      <c r="B2547" s="453" t="e">
        <f>IF(SUM(E2535:E2537)=SUM(H2535:H2537),"Not Insulated",SUM(H2535:H2537))</f>
        <v>#N/A</v>
      </c>
      <c r="C2547" s="460" t="e">
        <f>IF(B2546=SUM(H2535:H2537),"","m2")</f>
        <v>#N/A</v>
      </c>
      <c r="D2547" s="460"/>
      <c r="E2547" s="460"/>
      <c r="F2547" s="460"/>
      <c r="G2547" s="460"/>
      <c r="H2547" s="460"/>
      <c r="I2547" s="1259"/>
    </row>
    <row r="2548" spans="1:9" ht="14.55" customHeight="1" x14ac:dyDescent="0.3">
      <c r="A2548" s="1258" t="s">
        <v>329</v>
      </c>
      <c r="B2548" s="453" t="e">
        <f>SUM(H2540:H2542)</f>
        <v>#N/A</v>
      </c>
      <c r="C2548" s="460" t="s">
        <v>225</v>
      </c>
      <c r="D2548" s="460"/>
      <c r="E2548" s="460"/>
      <c r="F2548" s="460"/>
      <c r="G2548" s="460"/>
      <c r="H2548" s="460"/>
      <c r="I2548" s="1259"/>
    </row>
    <row r="2549" spans="1:9" ht="14.55" customHeight="1" x14ac:dyDescent="0.3">
      <c r="A2549" s="1258" t="s">
        <v>330</v>
      </c>
      <c r="B2549" s="453" t="e">
        <f>SUM(B2535:B2544)</f>
        <v>#N/A</v>
      </c>
      <c r="C2549" s="460" t="s">
        <v>222</v>
      </c>
      <c r="D2549" s="460"/>
      <c r="E2549" s="460"/>
      <c r="F2549" s="460"/>
      <c r="G2549" s="460"/>
      <c r="H2549" s="460"/>
      <c r="I2549" s="1259"/>
    </row>
    <row r="2550" spans="1:9" ht="14.55" customHeight="1" x14ac:dyDescent="0.3">
      <c r="A2550" s="1258" t="s">
        <v>331</v>
      </c>
      <c r="B2550" s="725"/>
      <c r="C2550" s="460" t="s">
        <v>222</v>
      </c>
      <c r="D2550" s="460"/>
      <c r="E2550" s="460"/>
      <c r="F2550" s="460"/>
      <c r="G2550" s="460"/>
      <c r="H2550" s="460"/>
      <c r="I2550" s="1259"/>
    </row>
    <row r="2551" spans="1:9" ht="15" customHeight="1" thickBot="1" x14ac:dyDescent="0.35">
      <c r="A2551" s="1258"/>
      <c r="B2551" s="473"/>
      <c r="C2551" s="459"/>
      <c r="D2551" s="460"/>
      <c r="E2551" s="460"/>
      <c r="F2551" s="460"/>
      <c r="G2551" s="460"/>
      <c r="H2551" s="460"/>
      <c r="I2551" s="1259"/>
    </row>
    <row r="2552" spans="1:9" ht="15" customHeight="1" thickBot="1" x14ac:dyDescent="0.35">
      <c r="A2552" s="474"/>
      <c r="B2552" s="1718" t="s">
        <v>332</v>
      </c>
      <c r="C2552" s="1718"/>
      <c r="D2552" s="1718"/>
      <c r="E2552" s="1718"/>
      <c r="F2552" s="1718"/>
      <c r="G2552" s="475"/>
      <c r="H2552" s="475"/>
      <c r="I2552" s="476"/>
    </row>
    <row r="2553" spans="1:9" ht="14.55" customHeight="1" x14ac:dyDescent="0.3">
      <c r="A2553" s="1264"/>
      <c r="B2553" s="1719" t="s">
        <v>333</v>
      </c>
      <c r="C2553" s="1381" t="s">
        <v>59</v>
      </c>
      <c r="D2553" s="1719" t="s">
        <v>114</v>
      </c>
      <c r="E2553" s="1719" t="s">
        <v>334</v>
      </c>
      <c r="F2553" s="1719" t="s">
        <v>292</v>
      </c>
      <c r="G2553" s="1719" t="s">
        <v>335</v>
      </c>
      <c r="H2553" s="1381" t="s">
        <v>184</v>
      </c>
      <c r="I2553" s="1346" t="s">
        <v>336</v>
      </c>
    </row>
    <row r="2554" spans="1:9" ht="14.55" customHeight="1" x14ac:dyDescent="0.3">
      <c r="A2554" s="1264"/>
      <c r="B2554" s="1720"/>
      <c r="C2554" s="1442" t="s">
        <v>214</v>
      </c>
      <c r="D2554" s="1720"/>
      <c r="E2554" s="1720"/>
      <c r="F2554" s="1720"/>
      <c r="G2554" s="1720"/>
      <c r="H2554" s="1442" t="s">
        <v>222</v>
      </c>
      <c r="I2554" s="1443" t="s">
        <v>228</v>
      </c>
    </row>
    <row r="2555" spans="1:9" ht="14.55" customHeight="1" x14ac:dyDescent="0.3">
      <c r="A2555" s="1264"/>
      <c r="B2555" s="1382" t="s">
        <v>337</v>
      </c>
      <c r="C2555" s="728"/>
      <c r="D2555" s="729"/>
      <c r="E2555" s="730"/>
      <c r="F2555" s="730"/>
      <c r="G2555" s="730"/>
      <c r="H2555" s="1465" t="str">
        <f>IFERROR(VLOOKUP($C2555&amp;"F"&amp;$D2555,'Flanges Chart'!$1:$1048576,MATCH($E2555&amp;"."&amp;H$123,'Flanges Chart'!$1:$1,0),0),"")</f>
        <v/>
      </c>
      <c r="I2555" s="1466" t="str">
        <f>IFERROR(VLOOKUP($C2555&amp;"F"&amp;$D2555,'Flanges Chart'!$1:$1048576,MATCH($E2555&amp;"."&amp;I$123,'Flanges Chart'!$1:$1,0),0),"")</f>
        <v/>
      </c>
    </row>
    <row r="2556" spans="1:9" ht="14.55" customHeight="1" x14ac:dyDescent="0.3">
      <c r="A2556" s="1264"/>
      <c r="B2556" s="1467" t="s">
        <v>340</v>
      </c>
      <c r="C2556" s="731"/>
      <c r="D2556" s="729"/>
      <c r="E2556" s="729"/>
      <c r="F2556" s="729"/>
      <c r="G2556" s="729"/>
      <c r="H2556" s="1465" t="str">
        <f>IFERROR(VLOOKUP($C2556&amp;"F"&amp;$D2556,'Flanges Chart'!$1:$1048576,MATCH($E2556&amp;"."&amp;H$123,'Flanges Chart'!$1:$1,0),0),"")</f>
        <v/>
      </c>
      <c r="I2556" s="1466" t="str">
        <f>IFERROR(VLOOKUP($C2556&amp;"F"&amp;$D2556,'Flanges Chart'!$1:$1048576,MATCH($E2556&amp;"."&amp;I$123,'Flanges Chart'!$1:$1,0),0),"")</f>
        <v/>
      </c>
    </row>
    <row r="2557" spans="1:9" ht="14.55" customHeight="1" x14ac:dyDescent="0.3">
      <c r="A2557" s="1264"/>
      <c r="B2557" s="1467" t="s">
        <v>342</v>
      </c>
      <c r="C2557" s="731"/>
      <c r="D2557" s="729"/>
      <c r="E2557" s="729"/>
      <c r="F2557" s="729"/>
      <c r="G2557" s="729"/>
      <c r="H2557" s="1465" t="str">
        <f>IFERROR(VLOOKUP($C2557&amp;"F"&amp;$D2557,'Flanges Chart'!$1:$1048576,MATCH($E2557&amp;"."&amp;H$123,'Flanges Chart'!$1:$1,0),0),"")</f>
        <v/>
      </c>
      <c r="I2557" s="1466" t="str">
        <f>IFERROR(VLOOKUP($C2557&amp;"F"&amp;$D2557,'Flanges Chart'!$1:$1048576,MATCH($E2557&amp;"."&amp;I$123,'Flanges Chart'!$1:$1,0),0),"")</f>
        <v/>
      </c>
    </row>
    <row r="2558" spans="1:9" ht="14.55" customHeight="1" x14ac:dyDescent="0.3">
      <c r="A2558" s="1264"/>
      <c r="B2558" s="1467" t="s">
        <v>344</v>
      </c>
      <c r="C2558" s="731"/>
      <c r="D2558" s="729"/>
      <c r="E2558" s="729"/>
      <c r="F2558" s="729"/>
      <c r="G2558" s="729"/>
      <c r="H2558" s="1465" t="str">
        <f>IFERROR(VLOOKUP($C2558&amp;"F"&amp;$D2558,'Flanges Chart'!$1:$1048576,MATCH($E2558&amp;"."&amp;H$123,'Flanges Chart'!$1:$1,0),0),"")</f>
        <v/>
      </c>
      <c r="I2558" s="1466" t="str">
        <f>IFERROR(VLOOKUP($C2558&amp;"F"&amp;$D2558,'Flanges Chart'!$1:$1048576,MATCH($E2558&amp;"."&amp;I$123,'Flanges Chart'!$1:$1,0),0),"")</f>
        <v/>
      </c>
    </row>
    <row r="2559" spans="1:9" ht="14.55" customHeight="1" x14ac:dyDescent="0.3">
      <c r="A2559" s="1264"/>
      <c r="B2559" s="1467" t="s">
        <v>347</v>
      </c>
      <c r="C2559" s="731"/>
      <c r="D2559" s="729"/>
      <c r="E2559" s="729"/>
      <c r="F2559" s="729"/>
      <c r="G2559" s="729"/>
      <c r="H2559" s="1465" t="str">
        <f>IFERROR(VLOOKUP($C2559&amp;"F"&amp;$D2559,'Flanges Chart'!$1:$1048576,MATCH($E2559&amp;"."&amp;H$123,'Flanges Chart'!$1:$1,0),0),"")</f>
        <v/>
      </c>
      <c r="I2559" s="1466" t="str">
        <f>IFERROR(VLOOKUP($C2559&amp;"F"&amp;$D2559,'Flanges Chart'!$1:$1048576,MATCH($E2559&amp;"."&amp;I$123,'Flanges Chart'!$1:$1,0),0),"")</f>
        <v/>
      </c>
    </row>
    <row r="2560" spans="1:9" ht="14.55" customHeight="1" x14ac:dyDescent="0.3">
      <c r="A2560" s="1264"/>
      <c r="B2560" s="1467" t="s">
        <v>349</v>
      </c>
      <c r="C2560" s="731"/>
      <c r="D2560" s="729"/>
      <c r="E2560" s="729"/>
      <c r="F2560" s="729"/>
      <c r="G2560" s="729"/>
      <c r="H2560" s="1465" t="str">
        <f>IFERROR(VLOOKUP($C2560&amp;"F"&amp;$D2560,'Flanges Chart'!$1:$1048576,MATCH($E2560&amp;"."&amp;H$123,'Flanges Chart'!$1:$1,0),0),"")</f>
        <v/>
      </c>
      <c r="I2560" s="1466" t="str">
        <f>IFERROR(VLOOKUP($C2560&amp;"F"&amp;$D2560,'Flanges Chart'!$1:$1048576,MATCH($E2560&amp;"."&amp;I$123,'Flanges Chart'!$1:$1,0),0),"")</f>
        <v/>
      </c>
    </row>
    <row r="2561" spans="1:13" ht="14.55" customHeight="1" x14ac:dyDescent="0.3">
      <c r="A2561" s="1264"/>
      <c r="B2561" s="1467" t="s">
        <v>350</v>
      </c>
      <c r="C2561" s="731"/>
      <c r="D2561" s="729"/>
      <c r="E2561" s="729"/>
      <c r="F2561" s="729"/>
      <c r="G2561" s="729"/>
      <c r="H2561" s="1465" t="str">
        <f>IFERROR(VLOOKUP($C2561&amp;"F"&amp;$D2561,'Flanges Chart'!$1:$1048576,MATCH($E2561&amp;"."&amp;H$123,'Flanges Chart'!$1:$1,0),0),"")</f>
        <v/>
      </c>
      <c r="I2561" s="1466" t="str">
        <f>IFERROR(VLOOKUP($C2561&amp;"F"&amp;$D2561,'Flanges Chart'!$1:$1048576,MATCH($E2561&amp;"."&amp;I$123,'Flanges Chart'!$1:$1,0),0),"")</f>
        <v/>
      </c>
    </row>
    <row r="2562" spans="1:13" ht="14.55" customHeight="1" x14ac:dyDescent="0.3">
      <c r="A2562" s="1264"/>
      <c r="B2562" s="1467" t="s">
        <v>351</v>
      </c>
      <c r="C2562" s="731"/>
      <c r="D2562" s="729"/>
      <c r="E2562" s="729"/>
      <c r="F2562" s="729"/>
      <c r="G2562" s="729"/>
      <c r="H2562" s="1465" t="str">
        <f>IFERROR(VLOOKUP($C2562&amp;"F"&amp;$D2562,'Flanges Chart'!$1:$1048576,MATCH($E2562&amp;"."&amp;H$123,'Flanges Chart'!$1:$1,0),0),"")</f>
        <v/>
      </c>
      <c r="I2562" s="1466" t="str">
        <f>IFERROR(VLOOKUP($C2562&amp;"F"&amp;$D2562,'Flanges Chart'!$1:$1048576,MATCH($E2562&amp;"."&amp;I$123,'Flanges Chart'!$1:$1,0),0),"")</f>
        <v/>
      </c>
    </row>
    <row r="2563" spans="1:13" ht="14.55" customHeight="1" x14ac:dyDescent="0.3">
      <c r="A2563" s="1264"/>
      <c r="B2563" s="1467" t="s">
        <v>352</v>
      </c>
      <c r="C2563" s="731"/>
      <c r="D2563" s="729"/>
      <c r="E2563" s="729"/>
      <c r="F2563" s="729"/>
      <c r="G2563" s="729"/>
      <c r="H2563" s="1465" t="str">
        <f>IFERROR(VLOOKUP($C2563&amp;"F"&amp;$D2563,'Flanges Chart'!$1:$1048576,MATCH($E2563&amp;"."&amp;H$123,'Flanges Chart'!$1:$1,0),0),"")</f>
        <v/>
      </c>
      <c r="I2563" s="1466" t="str">
        <f>IFERROR(VLOOKUP($C2563&amp;"F"&amp;$D2563,'Flanges Chart'!$1:$1048576,MATCH($E2563&amp;"."&amp;I$123,'Flanges Chart'!$1:$1,0),0),"")</f>
        <v/>
      </c>
    </row>
    <row r="2564" spans="1:13" ht="14.55" customHeight="1" x14ac:dyDescent="0.3">
      <c r="A2564" s="1264"/>
      <c r="B2564" s="1467" t="s">
        <v>353</v>
      </c>
      <c r="C2564" s="731"/>
      <c r="D2564" s="729"/>
      <c r="E2564" s="729"/>
      <c r="F2564" s="729"/>
      <c r="G2564" s="729"/>
      <c r="H2564" s="1465" t="str">
        <f>IFERROR(VLOOKUP($C2564&amp;"F"&amp;$D2564,'Flanges Chart'!$1:$1048576,MATCH($E2564&amp;"."&amp;H$123,'Flanges Chart'!$1:$1,0),0),"")</f>
        <v/>
      </c>
      <c r="I2564" s="1466" t="str">
        <f>IFERROR(VLOOKUP($C2564&amp;"F"&amp;$D2564,'Flanges Chart'!$1:$1048576,MATCH($E2564&amp;"."&amp;I$123,'Flanges Chart'!$1:$1,0),0),"")</f>
        <v/>
      </c>
    </row>
    <row r="2565" spans="1:13" ht="14.55" customHeight="1" x14ac:dyDescent="0.3">
      <c r="A2565" s="1264"/>
      <c r="B2565" s="1467" t="s">
        <v>354</v>
      </c>
      <c r="C2565" s="731"/>
      <c r="D2565" s="729"/>
      <c r="E2565" s="729"/>
      <c r="F2565" s="729"/>
      <c r="G2565" s="729"/>
      <c r="H2565" s="1465" t="str">
        <f>IFERROR(VLOOKUP($C2565&amp;"F"&amp;$D2565,'Flanges Chart'!$1:$1048576,MATCH($E2565&amp;"."&amp;H$123,'Flanges Chart'!$1:$1,0),0),"")</f>
        <v/>
      </c>
      <c r="I2565" s="1466" t="str">
        <f>IFERROR(VLOOKUP($C2565&amp;"F"&amp;$D2565,'Flanges Chart'!$1:$1048576,MATCH($E2565&amp;"."&amp;I$123,'Flanges Chart'!$1:$1,0),0),"")</f>
        <v/>
      </c>
    </row>
    <row r="2566" spans="1:13" ht="15" customHeight="1" thickBot="1" x14ac:dyDescent="0.35">
      <c r="A2566" s="1264"/>
      <c r="B2566" s="1468" t="s">
        <v>355</v>
      </c>
      <c r="C2566" s="732"/>
      <c r="D2566" s="733"/>
      <c r="E2566" s="733"/>
      <c r="F2566" s="733"/>
      <c r="G2566" s="733"/>
      <c r="H2566" s="1469" t="s">
        <v>356</v>
      </c>
      <c r="I2566" s="1470" t="str">
        <f>IFERROR(VLOOKUP($C2566&amp;"F"&amp;$D2566,'Flanges Chart'!$1:$1048576,MATCH($E2566&amp;"."&amp;I$123,'Flanges Chart'!$1:$1,0),0),"")</f>
        <v/>
      </c>
    </row>
    <row r="2567" spans="1:13" s="496" customFormat="1" ht="18.600000000000001" thickBot="1" x14ac:dyDescent="0.35">
      <c r="A2567" s="493" t="str">
        <f>"POS."&amp;K2567&amp;" "&amp;VLOOKUP(K2567,'Equip&amp;Mach List'!$1:$1048576,2,0)&amp;" "&amp;VLOOKUP(K2567,'Equip&amp;Mach List'!$1:$1048576,3,0)</f>
        <v xml:space="preserve">POS.20  </v>
      </c>
      <c r="B2567" s="511"/>
      <c r="C2567" s="494"/>
      <c r="D2567" s="495"/>
      <c r="E2567" s="495"/>
      <c r="F2567" s="497"/>
      <c r="G2567" s="495"/>
      <c r="H2567" s="495"/>
      <c r="I2567" s="1255" t="str">
        <f>IFERROR("Weight Calc./Selected = "&amp;ROUND(B2684,1)&amp;"/"&amp;B2685&amp;" kg - Øi ="&amp;IF(B2591=0,F2591,B2591)&amp;" mm"&amp;"T/T ="&amp;IF(B2592=0,F2592,B2592)&amp;" mm - Material "&amp;B2578&amp;"        ","")</f>
        <v/>
      </c>
      <c r="K2567" s="496">
        <v>20</v>
      </c>
      <c r="M2567" s="1254"/>
    </row>
    <row r="2568" spans="1:13" ht="14.55" customHeight="1" x14ac:dyDescent="0.3">
      <c r="A2568" s="1256"/>
      <c r="B2568" s="451"/>
      <c r="C2568" s="451"/>
      <c r="D2568" s="451"/>
      <c r="E2568" s="451"/>
      <c r="F2568" s="451"/>
      <c r="G2568" s="451"/>
      <c r="H2568" s="451"/>
      <c r="I2568" s="1257"/>
      <c r="K2568" s="477" t="s">
        <v>166</v>
      </c>
      <c r="L2568" s="477" t="str">
        <f>K2567&amp;"."&amp;K2568</f>
        <v>20.Design Code</v>
      </c>
      <c r="M2568" s="1252" t="str">
        <f>A2569&amp;" "&amp;B2569</f>
        <v xml:space="preserve">ASME VIII </v>
      </c>
    </row>
    <row r="2569" spans="1:13" ht="14.55" customHeight="1" x14ac:dyDescent="0.3">
      <c r="A2569" s="1258" t="s">
        <v>167</v>
      </c>
      <c r="B2569" s="718"/>
      <c r="C2569" s="459"/>
      <c r="D2569" s="460"/>
      <c r="E2569" s="460"/>
      <c r="F2569" s="460"/>
      <c r="G2569" s="460"/>
      <c r="H2569" s="460"/>
      <c r="I2569" s="1259"/>
      <c r="K2569" s="477" t="s">
        <v>169</v>
      </c>
      <c r="L2569" s="477" t="str">
        <f>K2567&amp;"."&amp;K2569</f>
        <v>20.Orientation</v>
      </c>
      <c r="M2569" s="1252">
        <f>B2570</f>
        <v>0</v>
      </c>
    </row>
    <row r="2570" spans="1:13" ht="14.55" customHeight="1" x14ac:dyDescent="0.3">
      <c r="A2570" s="1258" t="s">
        <v>170</v>
      </c>
      <c r="B2570" s="718"/>
      <c r="C2570" s="459"/>
      <c r="D2570" s="460"/>
      <c r="E2570" s="460"/>
      <c r="F2570" s="461"/>
      <c r="G2570" s="460"/>
      <c r="H2570" s="460"/>
      <c r="I2570" s="1259"/>
      <c r="K2570" s="477" t="s">
        <v>172</v>
      </c>
      <c r="L2570" s="477" t="str">
        <f>K2567&amp;"."&amp;K2570</f>
        <v>20.Design Temperature</v>
      </c>
      <c r="M2570" s="1252">
        <f>D2573</f>
        <v>0</v>
      </c>
    </row>
    <row r="2571" spans="1:13" ht="14.55" customHeight="1" x14ac:dyDescent="0.3">
      <c r="A2571" s="1258"/>
      <c r="B2571" s="459"/>
      <c r="C2571" s="459"/>
      <c r="D2571" s="460"/>
      <c r="E2571" s="460"/>
      <c r="F2571" s="462"/>
      <c r="G2571" s="460"/>
      <c r="H2571" s="460"/>
      <c r="I2571" s="1259"/>
      <c r="K2571" s="477" t="s">
        <v>173</v>
      </c>
      <c r="L2571" s="477" t="str">
        <f>K2567&amp;"."&amp;K2571</f>
        <v>20.Design Pressure</v>
      </c>
      <c r="M2571" s="1252">
        <f>D2574</f>
        <v>0</v>
      </c>
    </row>
    <row r="2572" spans="1:13" ht="14.55" customHeight="1" x14ac:dyDescent="0.3">
      <c r="A2572" s="1260" t="s">
        <v>174</v>
      </c>
      <c r="B2572" s="459"/>
      <c r="C2572" s="459"/>
      <c r="D2572" s="460"/>
      <c r="E2572" s="460"/>
      <c r="F2572" s="462"/>
      <c r="G2572" s="460"/>
      <c r="H2572" s="460"/>
      <c r="I2572" s="1259"/>
      <c r="K2572" s="477" t="s">
        <v>175</v>
      </c>
      <c r="L2572" s="477" t="str">
        <f>K2567&amp;"."&amp;K2572</f>
        <v>20.Material</v>
      </c>
      <c r="M2572" s="1252">
        <f>B2578</f>
        <v>0</v>
      </c>
    </row>
    <row r="2573" spans="1:13" ht="14.55" customHeight="1" x14ac:dyDescent="0.3">
      <c r="A2573" s="1258" t="s">
        <v>176</v>
      </c>
      <c r="B2573" s="719"/>
      <c r="C2573" s="720" t="s">
        <v>177</v>
      </c>
      <c r="D2573" s="464">
        <f>IF(C2573="°C",B2573,0)+IF(C2573="°F",(B2573-32)*5/9,0)</f>
        <v>0</v>
      </c>
      <c r="E2573" s="460" t="s">
        <v>177</v>
      </c>
      <c r="F2573" s="462"/>
      <c r="G2573" s="460"/>
      <c r="H2573" s="460"/>
      <c r="I2573" s="1259"/>
      <c r="K2573" s="477" t="s">
        <v>178</v>
      </c>
      <c r="L2573" s="477" t="str">
        <f>K2567&amp;"."&amp;K2573</f>
        <v>20.Inside Diameter</v>
      </c>
      <c r="M2573" s="1252">
        <f>IF(B2591=0,F2591,B2591)</f>
        <v>0</v>
      </c>
    </row>
    <row r="2574" spans="1:13" ht="14.55" customHeight="1" x14ac:dyDescent="0.3">
      <c r="A2574" s="1258" t="s">
        <v>179</v>
      </c>
      <c r="B2574" s="721"/>
      <c r="C2574" s="720" t="s">
        <v>180</v>
      </c>
      <c r="D2574" s="452">
        <f>IF(C2574="barg",B2574,0)+IF(C2574="psig",B2574*List!$AV$4,0)+IF(C2574="MPa",B2574*List!$AV$5,0)+IF(C2574="N/mm2",B2574*List!$AV$6,0)</f>
        <v>0</v>
      </c>
      <c r="E2574" s="460" t="s">
        <v>180</v>
      </c>
      <c r="F2574" s="460"/>
      <c r="G2574" s="460"/>
      <c r="H2574" s="460"/>
      <c r="I2574" s="1259"/>
      <c r="K2574" s="477" t="s">
        <v>181</v>
      </c>
      <c r="L2574" s="477" t="str">
        <f>K2567&amp;"."&amp;K2574</f>
        <v>20.Tan / Tan</v>
      </c>
      <c r="M2574" s="1252">
        <f>IF(B2593=0,F2593,B2593)</f>
        <v>0</v>
      </c>
    </row>
    <row r="2575" spans="1:13" ht="14.55" customHeight="1" x14ac:dyDescent="0.3">
      <c r="A2575" s="1258" t="s">
        <v>182</v>
      </c>
      <c r="B2575" s="721"/>
      <c r="C2575" s="720" t="s">
        <v>180</v>
      </c>
      <c r="D2575" s="452">
        <f>IF(C2575="barg",B2575,0)+IF(C2575="psig",B2575*List!$AV$4,0)+IF(C2575="MPa",B2575*List!$AV$5,0)+IF(C2575="N/mm2",B2575*List!$AV$6,0)</f>
        <v>0</v>
      </c>
      <c r="E2575" s="460" t="s">
        <v>180</v>
      </c>
      <c r="F2575" s="460"/>
      <c r="G2575" s="465"/>
      <c r="H2575" s="460"/>
      <c r="I2575" s="1259"/>
      <c r="K2575" s="477" t="s">
        <v>183</v>
      </c>
      <c r="L2575" s="477" t="str">
        <f>K2567&amp;"."&amp;K2575</f>
        <v>20.Thickness</v>
      </c>
      <c r="M2575" s="1252" t="e">
        <f>IF(B2632=0,F2636,B2632)</f>
        <v>#N/A</v>
      </c>
    </row>
    <row r="2576" spans="1:13" ht="14.55" customHeight="1" x14ac:dyDescent="0.3">
      <c r="A2576" s="1258"/>
      <c r="B2576" s="459"/>
      <c r="C2576" s="459"/>
      <c r="D2576" s="460"/>
      <c r="E2576" s="460"/>
      <c r="F2576" s="460"/>
      <c r="G2576" s="465"/>
      <c r="H2576" s="460"/>
      <c r="I2576" s="1259"/>
      <c r="K2576" s="477" t="s">
        <v>184</v>
      </c>
      <c r="L2576" s="477" t="str">
        <f>K2567&amp;"."&amp;K2576</f>
        <v>20.Unit Weight</v>
      </c>
      <c r="M2576" s="1252">
        <f>B2685</f>
        <v>0</v>
      </c>
    </row>
    <row r="2577" spans="1:13" ht="14.55" customHeight="1" x14ac:dyDescent="0.3">
      <c r="A2577" s="1260" t="s">
        <v>185</v>
      </c>
      <c r="B2577" s="459" t="s">
        <v>186</v>
      </c>
      <c r="C2577" s="459"/>
      <c r="D2577" s="460"/>
      <c r="E2577" s="460"/>
      <c r="F2577" s="460" t="s">
        <v>187</v>
      </c>
      <c r="G2577" s="465"/>
      <c r="H2577" s="460"/>
      <c r="I2577" s="1259"/>
      <c r="K2577" s="478" t="s">
        <v>188</v>
      </c>
      <c r="L2577" s="477" t="str">
        <f>K2567&amp;"."&amp;K2577</f>
        <v>20.Unit External Surface</v>
      </c>
      <c r="M2577" s="1252" t="e">
        <f>B2681</f>
        <v>#N/A</v>
      </c>
    </row>
    <row r="2578" spans="1:13" ht="14.55" customHeight="1" x14ac:dyDescent="0.3">
      <c r="A2578" s="1258" t="s">
        <v>189</v>
      </c>
      <c r="B2578" s="1716"/>
      <c r="C2578" s="1717"/>
      <c r="D2578" s="460"/>
      <c r="E2578" s="461"/>
      <c r="F2578" s="1716"/>
      <c r="G2578" s="1717"/>
      <c r="H2578" s="460"/>
      <c r="I2578" s="1259"/>
      <c r="K2578" s="477" t="s">
        <v>191</v>
      </c>
      <c r="L2578" s="477" t="str">
        <f>K2567&amp;"."&amp;K2578</f>
        <v>20.M1 DN</v>
      </c>
      <c r="M2578" s="1252">
        <f>C2699</f>
        <v>0</v>
      </c>
    </row>
    <row r="2579" spans="1:13" ht="14.55" customHeight="1" x14ac:dyDescent="0.3">
      <c r="A2579" s="1258" t="s">
        <v>192</v>
      </c>
      <c r="B2579" s="1716"/>
      <c r="C2579" s="1717"/>
      <c r="D2579" s="460"/>
      <c r="E2579" s="461"/>
      <c r="F2579" s="1716"/>
      <c r="G2579" s="1717"/>
      <c r="H2579" s="460"/>
      <c r="I2579" s="1259"/>
      <c r="K2579" s="477" t="s">
        <v>193</v>
      </c>
      <c r="L2579" s="477" t="str">
        <f>K2567&amp;"."&amp;K2579</f>
        <v>20.M1 Rating</v>
      </c>
      <c r="M2579" s="1252">
        <f>D2699</f>
        <v>0</v>
      </c>
    </row>
    <row r="2580" spans="1:13" ht="14.55" customHeight="1" x14ac:dyDescent="0.3">
      <c r="A2580" s="1258"/>
      <c r="B2580" s="466"/>
      <c r="C2580" s="466"/>
      <c r="D2580" s="460"/>
      <c r="E2580" s="460"/>
      <c r="F2580" s="460"/>
      <c r="G2580" s="460"/>
      <c r="H2580" s="460"/>
      <c r="I2580" s="1259"/>
      <c r="K2580" s="477" t="s">
        <v>194</v>
      </c>
      <c r="L2580" s="477" t="str">
        <f>K2567&amp;"."&amp;K2580</f>
        <v>20.M1 Type</v>
      </c>
      <c r="M2580" s="1252">
        <f>E2699</f>
        <v>0</v>
      </c>
    </row>
    <row r="2581" spans="1:13" ht="14.55" customHeight="1" x14ac:dyDescent="0.3">
      <c r="A2581" s="1258" t="s">
        <v>195</v>
      </c>
      <c r="B2581" s="460"/>
      <c r="C2581" s="460"/>
      <c r="D2581" s="460"/>
      <c r="E2581" s="460"/>
      <c r="F2581" s="460"/>
      <c r="G2581" s="460"/>
      <c r="H2581" s="460"/>
      <c r="I2581" s="1259"/>
      <c r="K2581" s="477" t="s">
        <v>196</v>
      </c>
      <c r="L2581" s="477" t="str">
        <f>K2567&amp;"."&amp;K2581</f>
        <v>20.M1 Quantity</v>
      </c>
      <c r="M2581" s="1252">
        <f>F2699</f>
        <v>0</v>
      </c>
    </row>
    <row r="2582" spans="1:13" ht="14.55" customHeight="1" x14ac:dyDescent="0.3">
      <c r="A2582" s="1258" t="s">
        <v>197</v>
      </c>
      <c r="B2582" s="464" t="e">
        <f>$D2573*(VLOOKUP($B2578,'ASME II Tab 1A'!$1:$1048576,MATCH($D2573,'ASME II Tab 1A'!$6:$6,1)+1,0)-VLOOKUP($B2578,'ASME II Tab 1A'!$1:$1048576,MATCH($D2573,'ASME II Tab 1A'!$6:$6,1),0))/(INDEX('ASME II Tab 1A'!$6:$6,MATCH($D2573,'ASME II Tab 1A'!$6:$6,1)+1)-INDEX('ASME II Tab 1A'!$6:$6,MATCH($D2573,'ASME II Tab 1A'!$6:$6,1)))+VLOOKUP($B2578,'ASME II Tab 1A'!$1:$1048576,MATCH($D2573,'ASME II Tab 1A'!$6:$6,1)+1,0)-INDEX('ASME II Tab 1A'!$6:$6,MATCH($D2573,'ASME II Tab 1A'!$6:$6,1)+1)*(VLOOKUP($B2578,'ASME II Tab 1A'!$1:$1048576,MATCH($D2573,'ASME II Tab 1A'!$6:$6,1)+1,0)-VLOOKUP($B2578,'ASME II Tab 1A'!$1:$1048576,MATCH($D2573,'ASME II Tab 1A'!$6:$6,1),0))/(INDEX('ASME II Tab 1A'!$6:$6,MATCH($D2573,'ASME II Tab 1A'!$6:$6,1)+1)-INDEX('ASME II Tab 1A'!$6:$6,MATCH($D2573,'ASME II Tab 1A'!$6:$6,1)))</f>
        <v>#N/A</v>
      </c>
      <c r="C2582" s="460" t="s">
        <v>198</v>
      </c>
      <c r="D2582" s="460"/>
      <c r="E2582" s="467"/>
      <c r="F2582" s="460" t="e">
        <f>$D2573*(VLOOKUP($F2578,'ASME II Tab 1A'!$1:$1048576,MATCH($D2573,'ASME II Tab 1A'!$6:$6,1)+1,0)-VLOOKUP($F2578,'ASME II Tab 1A'!$1:$1048576,MATCH($D2573,'ASME II Tab 1A'!$6:$6,1),0))/(INDEX('ASME II Tab 1A'!$6:$6,MATCH($D2573,'ASME II Tab 1A'!$6:$6,1)+1)-INDEX('ASME II Tab 1A'!$6:$6,MATCH($D2573,'ASME II Tab 1A'!$6:$6,1)))+VLOOKUP($F2578,'ASME II Tab 1A'!$1:$1048576,MATCH($D2573,'ASME II Tab 1A'!$6:$6,1)+1,0)-INDEX('ASME II Tab 1A'!$6:$6,MATCH($D2573,'ASME II Tab 1A'!$6:$6,1)+1)*(VLOOKUP($F2578,'ASME II Tab 1A'!$1:$1048576,MATCH($D2573,'ASME II Tab 1A'!$6:$6,1)+1,0)-VLOOKUP($F2578,'ASME II Tab 1A'!$1:$1048576,MATCH($D2573,'ASME II Tab 1A'!$6:$6,1),0))/(INDEX('ASME II Tab 1A'!$6:$6,MATCH($D2573,'ASME II Tab 1A'!$6:$6,1)+1)-INDEX('ASME II Tab 1A'!$6:$6,MATCH($D2573,'ASME II Tab 1A'!$6:$6,1)))</f>
        <v>#N/A</v>
      </c>
      <c r="G2582" s="460" t="s">
        <v>198</v>
      </c>
      <c r="H2582" s="460"/>
      <c r="I2582" s="1259"/>
      <c r="K2582" s="477" t="s">
        <v>199</v>
      </c>
      <c r="L2582" s="477" t="str">
        <f>K2567&amp;"."&amp;K2582</f>
        <v>20.M2 DN</v>
      </c>
      <c r="M2582" s="1252">
        <f>C2700</f>
        <v>0</v>
      </c>
    </row>
    <row r="2583" spans="1:13" ht="14.55" customHeight="1" x14ac:dyDescent="0.3">
      <c r="A2583" s="1258" t="s">
        <v>200</v>
      </c>
      <c r="B2583" s="464" t="e">
        <f>$D2573*(VLOOKUP($B2579,'ASME II Tab 1A'!$1:$1048576,MATCH($D2573,'ASME II Tab 1A'!$6:$6,1)+1,0)-VLOOKUP($B2579,'ASME II Tab 1A'!$1:$1048576,MATCH($D2573,'ASME II Tab 1A'!$6:$6,1),0))/(INDEX('ASME II Tab 1A'!$6:$6,MATCH($D2573,'ASME II Tab 1A'!$6:$6,1)+1)-INDEX('ASME II Tab 1A'!$6:$6,MATCH($D2573,'ASME II Tab 1A'!$6:$6,1)))+VLOOKUP($B2579,'ASME II Tab 1A'!$1:$1048576,MATCH($D2573,'ASME II Tab 1A'!$6:$6,1)+1,0)-INDEX('ASME II Tab 1A'!$6:$6,MATCH($D2573,'ASME II Tab 1A'!$6:$6,1)+1)*(VLOOKUP($B2579,'ASME II Tab 1A'!$1:$1048576,MATCH($D2573,'ASME II Tab 1A'!$6:$6,1)+1,0)-VLOOKUP($B2579,'ASME II Tab 1A'!$1:$1048576,MATCH($D2573,'ASME II Tab 1A'!$6:$6,1),0))/(INDEX('ASME II Tab 1A'!$6:$6,MATCH($D2573,'ASME II Tab 1A'!$6:$6,1)+1)-INDEX('ASME II Tab 1A'!$6:$6,MATCH($D2573,'ASME II Tab 1A'!$6:$6,1)))</f>
        <v>#N/A</v>
      </c>
      <c r="C2583" s="460" t="s">
        <v>198</v>
      </c>
      <c r="D2583" s="460"/>
      <c r="E2583" s="460"/>
      <c r="F2583" s="460" t="e">
        <f>$D2573*(VLOOKUP($F2579,'ASME II Tab 1A'!$1:$1048576,MATCH($D2573,'ASME II Tab 1A'!$6:$6,1)+1,0)-VLOOKUP($F2579,'ASME II Tab 1A'!$1:$1048576,MATCH($D2573,'ASME II Tab 1A'!$6:$6,1),0))/(INDEX('ASME II Tab 1A'!$6:$6,MATCH($D2573,'ASME II Tab 1A'!$6:$6,1)+1)-INDEX('ASME II Tab 1A'!$6:$6,MATCH($D2573,'ASME II Tab 1A'!$6:$6,1)))+VLOOKUP($F2579,'ASME II Tab 1A'!$1:$1048576,MATCH($D2573,'ASME II Tab 1A'!$6:$6,1)+1,0)-INDEX('ASME II Tab 1A'!$6:$6,MATCH($D2573,'ASME II Tab 1A'!$6:$6,1)+1)*(VLOOKUP($F2579,'ASME II Tab 1A'!$1:$1048576,MATCH($D2573,'ASME II Tab 1A'!$6:$6,1)+1,0)-VLOOKUP($F2579,'ASME II Tab 1A'!$1:$1048576,MATCH($D2573,'ASME II Tab 1A'!$6:$6,1),0))/(INDEX('ASME II Tab 1A'!$6:$6,MATCH($D2573,'ASME II Tab 1A'!$6:$6,1)+1)-INDEX('ASME II Tab 1A'!$6:$6,MATCH($D2573,'ASME II Tab 1A'!$6:$6,1)))</f>
        <v>#N/A</v>
      </c>
      <c r="G2583" s="460" t="s">
        <v>198</v>
      </c>
      <c r="H2583" s="460"/>
      <c r="I2583" s="1259"/>
      <c r="K2583" s="477" t="s">
        <v>201</v>
      </c>
      <c r="L2583" s="477" t="str">
        <f>K2567&amp;"."&amp;K2583</f>
        <v>20.M2 Rating</v>
      </c>
      <c r="M2583" s="1252">
        <f>D2700</f>
        <v>0</v>
      </c>
    </row>
    <row r="2584" spans="1:13" ht="14.55" customHeight="1" x14ac:dyDescent="0.3">
      <c r="A2584" s="1258" t="s">
        <v>202</v>
      </c>
      <c r="B2584" s="460"/>
      <c r="C2584" s="460"/>
      <c r="D2584" s="460"/>
      <c r="E2584" s="460"/>
      <c r="F2584" s="460"/>
      <c r="G2584" s="460"/>
      <c r="H2584" s="460"/>
      <c r="I2584" s="1259"/>
      <c r="K2584" s="477" t="s">
        <v>203</v>
      </c>
      <c r="L2584" s="477" t="str">
        <f>K2567&amp;"."&amp;K2584</f>
        <v>20.M2 Type</v>
      </c>
      <c r="M2584" s="1252">
        <f>E2700</f>
        <v>0</v>
      </c>
    </row>
    <row r="2585" spans="1:13" ht="14.55" customHeight="1" x14ac:dyDescent="0.3">
      <c r="A2585" s="1258" t="s">
        <v>197</v>
      </c>
      <c r="B2585" s="464" t="e">
        <f>$D2573*(VLOOKUP($B2578,'ASME II Tab 5A'!$1:$1048576,MATCH($D2573,'ASME II Tab 5A'!$5:$5,1)+1,0)-VLOOKUP($B2578,'ASME II Tab 5A'!$1:$1048576,MATCH($D2573,'ASME II Tab 5A'!$5:$5,1),0))/(INDEX('ASME II Tab 5A'!$5:$5,MATCH($D2573,'ASME II Tab 5A'!$5:$5,1)+1)-INDEX('ASME II Tab 5A'!$5:$5,MATCH($D2573,'ASME II Tab 5A'!$5:$5,1)))+VLOOKUP($B2578,'ASME II Tab 5A'!$1:$1048576,MATCH($D2573,'ASME II Tab 5A'!$5:$5,1)+1,0)-INDEX('ASME II Tab 5A'!$5:$5,MATCH($D2573,'ASME II Tab 5A'!$5:$5,1)+1)*(VLOOKUP($B2578,'ASME II Tab 5A'!$1:$1048576,MATCH($D2573,'ASME II Tab 5A'!$5:$5,1)+1,0)-VLOOKUP($B2578,'ASME II Tab 5A'!$1:$1048576,MATCH($D2573,'ASME II Tab 5A'!$5:$5,1),0))/(INDEX('ASME II Tab 5A'!$5:$5,MATCH($D2573,'ASME II Tab 5A'!$5:$5,1)+1)-INDEX('ASME II Tab 5A'!$5:$5,MATCH($D2573,'ASME II Tab 5A'!$5:$5,1)))</f>
        <v>#N/A</v>
      </c>
      <c r="C2585" s="460" t="s">
        <v>198</v>
      </c>
      <c r="D2585" s="460"/>
      <c r="E2585" s="460"/>
      <c r="F2585" s="460" t="e">
        <f>$D2573*(VLOOKUP($F2578,'ASME II Tab 5A'!$1:$1048576,MATCH($D2573,'ASME II Tab 5A'!$5:$5,1)+1,0)-VLOOKUP($F2578,'ASME II Tab 5A'!$1:$1048576,MATCH($D2573,'ASME II Tab 5A'!$5:$5,1),0))/(INDEX('ASME II Tab 5A'!$5:$5,MATCH($D2573,'ASME II Tab 5A'!$5:$5,1)+1)-INDEX('ASME II Tab 5A'!$5:$5,MATCH($D2573,'ASME II Tab 5A'!$5:$5,1)))+VLOOKUP($F2578,'ASME II Tab 5A'!$1:$1048576,MATCH($D2573,'ASME II Tab 5A'!$5:$5,1)+1,0)-INDEX('ASME II Tab 5A'!$5:$5,MATCH($D2573,'ASME II Tab 5A'!$5:$5,1)+1)*(VLOOKUP($F2578,'ASME II Tab 5A'!$1:$1048576,MATCH($D2573,'ASME II Tab 5A'!$5:$5,1)+1,0)-VLOOKUP($F2578,'ASME II Tab 5A'!$1:$1048576,MATCH($D2573,'ASME II Tab 5A'!$5:$5,1),0))/(INDEX('ASME II Tab 5A'!$5:$5,MATCH($D2573,'ASME II Tab 5A'!$5:$5,1)+1)-INDEX('ASME II Tab 5A'!$5:$5,MATCH($D2573,'ASME II Tab 5A'!$5:$5,1)))</f>
        <v>#N/A</v>
      </c>
      <c r="G2585" s="460" t="s">
        <v>198</v>
      </c>
      <c r="H2585" s="460"/>
      <c r="I2585" s="1259"/>
      <c r="K2585" s="477" t="s">
        <v>204</v>
      </c>
      <c r="L2585" s="477" t="str">
        <f>K2567&amp;"."&amp;K2585</f>
        <v>20.M2 Quantity</v>
      </c>
      <c r="M2585" s="1252">
        <f>F2700</f>
        <v>0</v>
      </c>
    </row>
    <row r="2586" spans="1:13" ht="14.55" customHeight="1" x14ac:dyDescent="0.3">
      <c r="A2586" s="1258" t="s">
        <v>200</v>
      </c>
      <c r="B2586" s="464" t="e">
        <f>$D2573*(VLOOKUP($B2579,'ASME II Tab 5A'!$1:$1048576,MATCH($D2573,'ASME II Tab 5A'!$5:$5,1)+1,0)-VLOOKUP($B2579,'ASME II Tab 5A'!$1:$1048576,MATCH($D2573,'ASME II Tab 5A'!$5:$5,1),0))/(INDEX('ASME II Tab 5A'!$5:$5,MATCH($D2573,'ASME II Tab 5A'!$5:$5,1)+1)-INDEX('ASME II Tab 5A'!$5:$5,MATCH($D2573,'ASME II Tab 5A'!$5:$5,1)))+VLOOKUP($B2579,'ASME II Tab 5A'!$1:$1048576,MATCH($D2573,'ASME II Tab 5A'!$5:$5,1)+1,0)-INDEX('ASME II Tab 5A'!$5:$5,MATCH($D2573,'ASME II Tab 5A'!$5:$5,1)+1)*(VLOOKUP($B2579,'ASME II Tab 5A'!$1:$1048576,MATCH($D2573,'ASME II Tab 5A'!$5:$5,1)+1,0)-VLOOKUP($B2579,'ASME II Tab 5A'!$1:$1048576,MATCH($D2573,'ASME II Tab 5A'!$5:$5,1),0))/(INDEX('ASME II Tab 5A'!$5:$5,MATCH($D2573,'ASME II Tab 5A'!$5:$5,1)+1)-INDEX('ASME II Tab 5A'!$5:$5,MATCH($D2573,'ASME II Tab 5A'!$5:$5,1)))</f>
        <v>#N/A</v>
      </c>
      <c r="C2586" s="460" t="s">
        <v>198</v>
      </c>
      <c r="D2586" s="460"/>
      <c r="E2586" s="460"/>
      <c r="F2586" s="460" t="e">
        <f>$D2573*(VLOOKUP($F2579,'ASME II Tab 5A'!$1:$1048576,MATCH($D2573,'ASME II Tab 5A'!$5:$5,1)+1,0)-VLOOKUP($F2579,'ASME II Tab 5A'!$1:$1048576,MATCH($D2573,'ASME II Tab 5A'!$5:$5,1),0))/(INDEX('ASME II Tab 5A'!$5:$5,MATCH($D2573,'ASME II Tab 5A'!$5:$5,1)+1)-INDEX('ASME II Tab 5A'!$5:$5,MATCH($D2573,'ASME II Tab 5A'!$5:$5,1)))+VLOOKUP($F2579,'ASME II Tab 5A'!$1:$1048576,MATCH($D2573,'ASME II Tab 5A'!$5:$5,1)+1,0)-INDEX('ASME II Tab 5A'!$5:$5,MATCH($D2573,'ASME II Tab 5A'!$5:$5,1)+1)*(VLOOKUP($F2579,'ASME II Tab 5A'!$1:$1048576,MATCH($D2573,'ASME II Tab 5A'!$5:$5,1)+1,0)-VLOOKUP($F2579,'ASME II Tab 5A'!$1:$1048576,MATCH($D2573,'ASME II Tab 5A'!$5:$5,1),0))/(INDEX('ASME II Tab 5A'!$5:$5,MATCH($D2573,'ASME II Tab 5A'!$5:$5,1)+1)-INDEX('ASME II Tab 5A'!$5:$5,MATCH($D2573,'ASME II Tab 5A'!$5:$5,1)))</f>
        <v>#N/A</v>
      </c>
      <c r="G2586" s="460" t="s">
        <v>198</v>
      </c>
      <c r="H2586" s="460"/>
      <c r="I2586" s="1259"/>
      <c r="K2586" s="477" t="s">
        <v>205</v>
      </c>
      <c r="L2586" s="477" t="str">
        <f>K2567&amp;"."&amp;K2586</f>
        <v>20.M3 DN</v>
      </c>
      <c r="M2586" s="1252">
        <f>C2701</f>
        <v>0</v>
      </c>
    </row>
    <row r="2587" spans="1:13" ht="14.55" customHeight="1" x14ac:dyDescent="0.3">
      <c r="A2587" s="1258"/>
      <c r="B2587" s="460"/>
      <c r="C2587" s="460"/>
      <c r="D2587" s="460"/>
      <c r="E2587" s="460"/>
      <c r="F2587" s="460"/>
      <c r="G2587" s="460"/>
      <c r="H2587" s="460"/>
      <c r="I2587" s="1259"/>
      <c r="K2587" s="477" t="s">
        <v>206</v>
      </c>
      <c r="L2587" s="477" t="str">
        <f>K2567&amp;"."&amp;K2587</f>
        <v>20.M3 Rating</v>
      </c>
      <c r="M2587" s="1252">
        <f>D2701</f>
        <v>0</v>
      </c>
    </row>
    <row r="2588" spans="1:13" ht="14.55" customHeight="1" x14ac:dyDescent="0.3">
      <c r="A2588" s="1260" t="s">
        <v>207</v>
      </c>
      <c r="B2588" s="453"/>
      <c r="C2588" s="460"/>
      <c r="D2588" s="453"/>
      <c r="E2588" s="460"/>
      <c r="F2588" s="453"/>
      <c r="G2588" s="460"/>
      <c r="H2588" s="460"/>
      <c r="I2588" s="1259"/>
      <c r="K2588" s="477" t="s">
        <v>208</v>
      </c>
      <c r="L2588" s="477" t="str">
        <f>K2567&amp;"."&amp;K2588</f>
        <v>20.M3 Type</v>
      </c>
      <c r="M2588" s="1252">
        <f>E2701</f>
        <v>0</v>
      </c>
    </row>
    <row r="2589" spans="1:13" ht="14.55" customHeight="1" x14ac:dyDescent="0.3">
      <c r="A2589" s="1260"/>
      <c r="B2589" s="305" t="s">
        <v>209</v>
      </c>
      <c r="C2589" s="460"/>
      <c r="D2589" s="305" t="s">
        <v>210</v>
      </c>
      <c r="E2589" s="460"/>
      <c r="F2589" s="305" t="s">
        <v>211</v>
      </c>
      <c r="G2589" s="460"/>
      <c r="H2589" s="460"/>
      <c r="I2589" s="1259"/>
      <c r="K2589" s="477" t="s">
        <v>212</v>
      </c>
      <c r="L2589" s="477" t="str">
        <f>K2567&amp;"."&amp;K2589</f>
        <v>20.M3 Quantity</v>
      </c>
      <c r="M2589" s="1252">
        <f>F2701</f>
        <v>0</v>
      </c>
    </row>
    <row r="2590" spans="1:13" ht="14.55" customHeight="1" x14ac:dyDescent="0.3">
      <c r="A2590" s="1258" t="s">
        <v>213</v>
      </c>
      <c r="B2590" s="305"/>
      <c r="C2590" s="460"/>
      <c r="D2590" s="305"/>
      <c r="E2590" s="460"/>
      <c r="F2590" s="723"/>
      <c r="G2590" s="460" t="s">
        <v>214</v>
      </c>
      <c r="H2590" s="460"/>
      <c r="I2590" s="1259"/>
      <c r="K2590" s="477" t="s">
        <v>215</v>
      </c>
      <c r="L2590" s="477" t="str">
        <f>K2567&amp;"."&amp;K2590</f>
        <v>20.Shell insulation thk 1</v>
      </c>
      <c r="M2590" s="1252">
        <f>B2638</f>
        <v>0</v>
      </c>
    </row>
    <row r="2591" spans="1:13" ht="14.55" customHeight="1" x14ac:dyDescent="0.3">
      <c r="A2591" s="1258" t="s">
        <v>216</v>
      </c>
      <c r="B2591" s="722"/>
      <c r="C2591" s="460" t="s">
        <v>93</v>
      </c>
      <c r="D2591" s="722"/>
      <c r="E2591" s="460" t="s">
        <v>93</v>
      </c>
      <c r="F2591" s="468">
        <f>F2592-2*F2636</f>
        <v>0</v>
      </c>
      <c r="G2591" s="460" t="s">
        <v>93</v>
      </c>
      <c r="H2591" s="460"/>
      <c r="I2591" s="1259"/>
      <c r="K2591" s="477" t="s">
        <v>217</v>
      </c>
      <c r="L2591" s="477" t="str">
        <f>K2567&amp;"."&amp;K2591</f>
        <v>20.Head insulation thk 1</v>
      </c>
      <c r="M2591" s="1252">
        <f>B2639</f>
        <v>0</v>
      </c>
    </row>
    <row r="2592" spans="1:13" ht="14.55" customHeight="1" x14ac:dyDescent="0.3">
      <c r="A2592" s="1258" t="s">
        <v>218</v>
      </c>
      <c r="B2592" s="468" t="e">
        <f>B2591+B2632*2</f>
        <v>#N/A</v>
      </c>
      <c r="C2592" s="460" t="s">
        <v>93</v>
      </c>
      <c r="D2592" s="468" t="e">
        <f>D2591+D2632*2</f>
        <v>#N/A</v>
      </c>
      <c r="E2592" s="460" t="s">
        <v>93</v>
      </c>
      <c r="F2592" s="468">
        <f>IFERROR(VLOOKUP(F2590,'Thickness Tab'!$1:$1048576,3,0),0)</f>
        <v>0</v>
      </c>
      <c r="G2592" s="460" t="s">
        <v>93</v>
      </c>
      <c r="H2592" s="469"/>
      <c r="I2592" s="1261"/>
      <c r="K2592" s="477" t="s">
        <v>219</v>
      </c>
      <c r="L2592" s="477" t="str">
        <f>K2567&amp;"."&amp;K2592</f>
        <v>20.Reducer insulation thk 1</v>
      </c>
      <c r="M2592" s="1252">
        <f>B2640</f>
        <v>0</v>
      </c>
    </row>
    <row r="2593" spans="1:13" ht="14.55" customHeight="1" x14ac:dyDescent="0.3">
      <c r="A2593" s="1258" t="s">
        <v>181</v>
      </c>
      <c r="B2593" s="722"/>
      <c r="C2593" s="460" t="s">
        <v>93</v>
      </c>
      <c r="D2593" s="722"/>
      <c r="E2593" s="460" t="s">
        <v>93</v>
      </c>
      <c r="F2593" s="722"/>
      <c r="G2593" s="460" t="s">
        <v>93</v>
      </c>
      <c r="H2593" s="460"/>
      <c r="I2593" s="1259"/>
      <c r="K2593" s="477" t="s">
        <v>220</v>
      </c>
      <c r="L2593" s="477" t="str">
        <f>K2567&amp;"."&amp;K2593</f>
        <v>20.Shell insulation area 1</v>
      </c>
      <c r="M2593" s="1252" t="e">
        <f>B2598</f>
        <v>#N/A</v>
      </c>
    </row>
    <row r="2594" spans="1:13" ht="14.55" customHeight="1" x14ac:dyDescent="0.3">
      <c r="A2594" s="1258" t="s">
        <v>221</v>
      </c>
      <c r="B2594" s="468" t="e">
        <f>(PI()*B2593*(((B2592/2)^2)-((B2591/2)^2))*7860)/1000000000*1.05</f>
        <v>#N/A</v>
      </c>
      <c r="C2594" s="460" t="s">
        <v>222</v>
      </c>
      <c r="D2594" s="468" t="e">
        <f>(PI()*D2593*(((D2592/2)^2)-((D2591/2)^2))*7860)/1000000000*1.05</f>
        <v>#N/A</v>
      </c>
      <c r="E2594" s="460" t="s">
        <v>222</v>
      </c>
      <c r="F2594" s="468">
        <f>(PI()*F2593*(((F2592/2)^2)-((F2591/2)^2))*7860)/1000000000*1.05</f>
        <v>0</v>
      </c>
      <c r="G2594" s="460" t="s">
        <v>222</v>
      </c>
      <c r="H2594" s="469"/>
      <c r="I2594" s="1261"/>
      <c r="K2594" s="477" t="s">
        <v>223</v>
      </c>
      <c r="L2594" s="477" t="str">
        <f>K2567&amp;"."&amp;K2594</f>
        <v>20.Head insulation area 1</v>
      </c>
      <c r="M2594" s="1252" t="e">
        <f>B2610</f>
        <v>#N/A</v>
      </c>
    </row>
    <row r="2595" spans="1:13" ht="14.55" customHeight="1" x14ac:dyDescent="0.3">
      <c r="A2595" s="1258" t="s">
        <v>224</v>
      </c>
      <c r="B2595" s="468">
        <f>(PI()*((B2591/2)^2)*B2593)/1000000000</f>
        <v>0</v>
      </c>
      <c r="C2595" s="460" t="s">
        <v>225</v>
      </c>
      <c r="D2595" s="468">
        <f>(PI()*((D2591/2)^2)*D2593)/1000000000</f>
        <v>0</v>
      </c>
      <c r="E2595" s="460" t="s">
        <v>225</v>
      </c>
      <c r="F2595" s="468">
        <f>(PI()*((F2591/2)^2)*F2593)/1000000000</f>
        <v>0</v>
      </c>
      <c r="G2595" s="460" t="s">
        <v>225</v>
      </c>
      <c r="H2595" s="469"/>
      <c r="I2595" s="1261"/>
      <c r="K2595" s="477" t="s">
        <v>226</v>
      </c>
      <c r="L2595" s="477" t="str">
        <f>K2567&amp;"."&amp;K2595</f>
        <v>20.Reducer insulation area 1</v>
      </c>
      <c r="M2595" s="1252" t="e">
        <f>B2623</f>
        <v>#N/A</v>
      </c>
    </row>
    <row r="2596" spans="1:13" ht="14.55" customHeight="1" x14ac:dyDescent="0.3">
      <c r="A2596" s="1258" t="s">
        <v>227</v>
      </c>
      <c r="B2596" s="468" t="e">
        <f>(B2592*3.14*B2593)/1000000</f>
        <v>#N/A</v>
      </c>
      <c r="C2596" s="460" t="s">
        <v>228</v>
      </c>
      <c r="D2596" s="468" t="e">
        <f>(D2592*3.14*D2593)/1000000</f>
        <v>#N/A</v>
      </c>
      <c r="E2596" s="460" t="s">
        <v>228</v>
      </c>
      <c r="F2596" s="468">
        <f>(F2592*3.14*F2593)/1000000</f>
        <v>0</v>
      </c>
      <c r="G2596" s="460" t="s">
        <v>228</v>
      </c>
      <c r="H2596" s="469"/>
      <c r="I2596" s="1261"/>
      <c r="K2596" s="477" t="s">
        <v>229</v>
      </c>
      <c r="L2596" s="477" t="str">
        <f>K2567&amp;"."&amp;K2596</f>
        <v>20.Shell insulation thk 2</v>
      </c>
      <c r="M2596" s="1252">
        <f>D2638</f>
        <v>0</v>
      </c>
    </row>
    <row r="2597" spans="1:13" ht="14.55" customHeight="1" x14ac:dyDescent="0.3">
      <c r="A2597" s="1258" t="s">
        <v>230</v>
      </c>
      <c r="B2597" s="468" t="e">
        <f>B2592+2*B2638</f>
        <v>#N/A</v>
      </c>
      <c r="C2597" s="460" t="s">
        <v>93</v>
      </c>
      <c r="D2597" s="468" t="e">
        <f>D2592+2*D2638</f>
        <v>#N/A</v>
      </c>
      <c r="E2597" s="460" t="s">
        <v>93</v>
      </c>
      <c r="F2597" s="468">
        <f>F2592+2*F2638</f>
        <v>0</v>
      </c>
      <c r="G2597" s="460" t="s">
        <v>93</v>
      </c>
      <c r="H2597" s="469"/>
      <c r="I2597" s="1261"/>
      <c r="K2597" s="477" t="s">
        <v>231</v>
      </c>
      <c r="L2597" s="477" t="str">
        <f>K2567&amp;"."&amp;K2597</f>
        <v>20.Head insulation thk 2</v>
      </c>
      <c r="M2597" s="1252">
        <f>D2639</f>
        <v>0</v>
      </c>
    </row>
    <row r="2598" spans="1:13" ht="14.55" customHeight="1" x14ac:dyDescent="0.3">
      <c r="A2598" s="1258" t="s">
        <v>232</v>
      </c>
      <c r="B2598" s="468" t="e">
        <f>(B2597*3.14*B2593)/1000000</f>
        <v>#N/A</v>
      </c>
      <c r="C2598" s="460" t="s">
        <v>228</v>
      </c>
      <c r="D2598" s="468" t="e">
        <f>(D2597*3.14*D2593)/1000000</f>
        <v>#N/A</v>
      </c>
      <c r="E2598" s="460" t="s">
        <v>228</v>
      </c>
      <c r="F2598" s="468">
        <f>(F2597*3.14*F2593)/1000000</f>
        <v>0</v>
      </c>
      <c r="G2598" s="460" t="s">
        <v>228</v>
      </c>
      <c r="H2598" s="469"/>
      <c r="I2598" s="1261"/>
      <c r="K2598" s="477" t="s">
        <v>233</v>
      </c>
      <c r="L2598" s="477" t="str">
        <f>K2567&amp;"."&amp;K2598</f>
        <v>20.Reducer insulation thk 2</v>
      </c>
      <c r="M2598" s="1252">
        <f>D2640</f>
        <v>0</v>
      </c>
    </row>
    <row r="2599" spans="1:13" ht="14.55" customHeight="1" x14ac:dyDescent="0.3">
      <c r="A2599" s="1258"/>
      <c r="B2599" s="468"/>
      <c r="C2599" s="460"/>
      <c r="D2599" s="468"/>
      <c r="E2599" s="460"/>
      <c r="F2599" s="468"/>
      <c r="G2599" s="460"/>
      <c r="H2599" s="469"/>
      <c r="I2599" s="1261"/>
      <c r="K2599" s="477" t="s">
        <v>234</v>
      </c>
      <c r="L2599" s="477" t="str">
        <f>K2567&amp;"."&amp;K2599</f>
        <v>20.Shell insulation area 2</v>
      </c>
      <c r="M2599" s="1252" t="e">
        <f>D2598</f>
        <v>#N/A</v>
      </c>
    </row>
    <row r="2600" spans="1:13" ht="14.55" customHeight="1" x14ac:dyDescent="0.3">
      <c r="A2600" s="1258"/>
      <c r="B2600" s="468" t="s">
        <v>235</v>
      </c>
      <c r="C2600" s="460"/>
      <c r="D2600" s="468" t="s">
        <v>236</v>
      </c>
      <c r="E2600" s="460"/>
      <c r="F2600" s="468" t="s">
        <v>237</v>
      </c>
      <c r="G2600" s="460"/>
      <c r="H2600" s="469"/>
      <c r="I2600" s="1261"/>
      <c r="K2600" s="477" t="s">
        <v>238</v>
      </c>
      <c r="L2600" s="477" t="str">
        <f>K2567&amp;"."&amp;K2600</f>
        <v>20.Head insulation area 2</v>
      </c>
      <c r="M2600" s="1252" t="e">
        <f>D2610</f>
        <v>#N/A</v>
      </c>
    </row>
    <row r="2601" spans="1:13" ht="14.55" customHeight="1" x14ac:dyDescent="0.3">
      <c r="A2601" s="1258" t="s">
        <v>239</v>
      </c>
      <c r="B2601" s="468">
        <f>B2591</f>
        <v>0</v>
      </c>
      <c r="C2601" s="460" t="s">
        <v>93</v>
      </c>
      <c r="D2601" s="468">
        <f>D2591</f>
        <v>0</v>
      </c>
      <c r="E2601" s="460" t="s">
        <v>93</v>
      </c>
      <c r="F2601" s="468">
        <f>F2591</f>
        <v>0</v>
      </c>
      <c r="G2601" s="460" t="s">
        <v>93</v>
      </c>
      <c r="H2601" s="469"/>
      <c r="I2601" s="1261"/>
      <c r="K2601" s="477" t="s">
        <v>240</v>
      </c>
      <c r="L2601" s="477" t="str">
        <f>K2567&amp;"."&amp;K2601</f>
        <v>20.Reducer insulation area 2</v>
      </c>
      <c r="M2601" s="1252">
        <f>D2623</f>
        <v>0</v>
      </c>
    </row>
    <row r="2602" spans="1:13" ht="14.55" customHeight="1" x14ac:dyDescent="0.3">
      <c r="A2602" s="1258" t="s">
        <v>241</v>
      </c>
      <c r="B2602" s="468" t="e">
        <f>B2601+2*B2633</f>
        <v>#N/A</v>
      </c>
      <c r="C2602" s="460" t="s">
        <v>93</v>
      </c>
      <c r="D2602" s="468" t="e">
        <f>D2601+2*D2633</f>
        <v>#N/A</v>
      </c>
      <c r="E2602" s="460" t="s">
        <v>93</v>
      </c>
      <c r="F2602" s="468">
        <f>F2601+2*F2636</f>
        <v>0</v>
      </c>
      <c r="G2602" s="460" t="s">
        <v>93</v>
      </c>
      <c r="H2602" s="469"/>
      <c r="I2602" s="1261"/>
      <c r="K2602" s="477" t="s">
        <v>242</v>
      </c>
      <c r="L2602" s="477" t="str">
        <f>K2567&amp;"."&amp;K2602</f>
        <v>20.Shell insulation thk 3</v>
      </c>
      <c r="M2602" s="1252">
        <f>F2638</f>
        <v>0</v>
      </c>
    </row>
    <row r="2603" spans="1:13" ht="14.55" customHeight="1" x14ac:dyDescent="0.3">
      <c r="A2603" s="1258" t="s">
        <v>243</v>
      </c>
      <c r="B2603" s="722"/>
      <c r="C2603" s="460" t="s">
        <v>93</v>
      </c>
      <c r="D2603" s="722"/>
      <c r="E2603" s="460" t="s">
        <v>93</v>
      </c>
      <c r="F2603" s="452"/>
      <c r="G2603" s="460"/>
      <c r="H2603" s="469"/>
      <c r="I2603" s="1261"/>
      <c r="K2603" s="477" t="s">
        <v>244</v>
      </c>
      <c r="L2603" s="477" t="str">
        <f>K2567&amp;"."&amp;K2603</f>
        <v>20.Head insulation thk 3</v>
      </c>
      <c r="M2603" s="1252">
        <f>F2639</f>
        <v>0</v>
      </c>
    </row>
    <row r="2604" spans="1:13" ht="14.55" customHeight="1" x14ac:dyDescent="0.3">
      <c r="A2604" s="1258" t="s">
        <v>245</v>
      </c>
      <c r="B2604" s="724"/>
      <c r="C2604" s="460"/>
      <c r="D2604" s="724"/>
      <c r="E2604" s="460"/>
      <c r="F2604" s="724"/>
      <c r="G2604" s="460"/>
      <c r="H2604" s="469"/>
      <c r="I2604" s="1261"/>
      <c r="K2604" s="477" t="s">
        <v>246</v>
      </c>
      <c r="L2604" s="477" t="str">
        <f>K2567&amp;"."&amp;K2604</f>
        <v>20.Reducer insulation thk 3</v>
      </c>
      <c r="M2604" s="1252">
        <f>F2640</f>
        <v>0</v>
      </c>
    </row>
    <row r="2605" spans="1:13" ht="14.55" customHeight="1" x14ac:dyDescent="0.3">
      <c r="A2605" s="1258" t="s">
        <v>247</v>
      </c>
      <c r="B2605" s="468">
        <v>0</v>
      </c>
      <c r="C2605" s="460" t="s">
        <v>93</v>
      </c>
      <c r="D2605" s="468">
        <v>0</v>
      </c>
      <c r="E2605" s="460" t="s">
        <v>93</v>
      </c>
      <c r="F2605" s="468">
        <v>0</v>
      </c>
      <c r="G2605" s="460" t="s">
        <v>93</v>
      </c>
      <c r="H2605" s="469"/>
      <c r="I2605" s="1261"/>
      <c r="K2605" s="477" t="s">
        <v>248</v>
      </c>
      <c r="L2605" s="477" t="str">
        <f>K2567&amp;"."&amp;K2605</f>
        <v>20.Shell insulation area 3</v>
      </c>
      <c r="M2605" s="1252">
        <f>F2598</f>
        <v>0</v>
      </c>
    </row>
    <row r="2606" spans="1:13" ht="14.55" customHeight="1" x14ac:dyDescent="0.3">
      <c r="A2606" s="1258" t="s">
        <v>249</v>
      </c>
      <c r="B2606" s="468" t="e">
        <f>((((POWER(((((B2601+B2634)*1.22)+(B2605*2))/100),2)*PI())/4)*(B2634/100))*7.86)</f>
        <v>#N/A</v>
      </c>
      <c r="C2606" s="460" t="s">
        <v>222</v>
      </c>
      <c r="D2606" s="468" t="e">
        <f>((((POWER(((((D2601+D2634)*1.22)+(D2605*2))/100),2)*PI())/4)*(D2634/100))*7.86)</f>
        <v>#N/A</v>
      </c>
      <c r="E2606" s="460" t="s">
        <v>222</v>
      </c>
      <c r="F2606" s="468">
        <f>IFERROR(VLOOKUP(F2590&amp;"."&amp;F2635,'Fitting Chart'!$1:$1048576,5,0),0)</f>
        <v>0</v>
      </c>
      <c r="G2606" s="460" t="s">
        <v>222</v>
      </c>
      <c r="H2606" s="469"/>
      <c r="I2606" s="1261"/>
      <c r="K2606" s="477" t="s">
        <v>250</v>
      </c>
      <c r="L2606" s="477" t="str">
        <f>K2567&amp;"."&amp;K2606</f>
        <v>20.Head insulation area 3</v>
      </c>
      <c r="M2606" s="1252">
        <f>F2609</f>
        <v>0</v>
      </c>
    </row>
    <row r="2607" spans="1:13" ht="14.55" customHeight="1" x14ac:dyDescent="0.3">
      <c r="A2607" s="1258" t="s">
        <v>251</v>
      </c>
      <c r="B2607" s="468" t="e">
        <f>(((0.131*(B2601^3)*10^-6)+((((B2601/2)^2)*PI()*(((B2601/4)+B2633)-B2633-(B2601/4)))))+((PI()*((B2601/2)^2)*B2605))/1000000)/1000</f>
        <v>#N/A</v>
      </c>
      <c r="C2607" s="460" t="s">
        <v>225</v>
      </c>
      <c r="D2607" s="468" t="e">
        <f>(((0.131*(D2601^3)*10^-6)+((((D2601/2)^2)*PI()*(((D2601/4)+D2633)-D2633-(D2601/4)))))+((PI()*((D2601/2)^2)*D2605))/1000000)/1000</f>
        <v>#N/A</v>
      </c>
      <c r="E2607" s="460" t="s">
        <v>225</v>
      </c>
      <c r="F2607" s="468">
        <f>(((0.131*(F2601^3)*10^-6)+((((F2601/2)^2)*PI()*(((F2601/4)+F2636)-F2636-(F2601/4)))))+((PI()*((F2601/2)^2)*F2605))/1000000)/1000</f>
        <v>0</v>
      </c>
      <c r="G2607" s="460" t="s">
        <v>225</v>
      </c>
      <c r="H2607" s="469"/>
      <c r="I2607" s="1261"/>
      <c r="K2607" s="477" t="s">
        <v>252</v>
      </c>
      <c r="L2607" s="477" t="str">
        <f>K2567&amp;"."&amp;K2607</f>
        <v>20.Reducer insulation area 3</v>
      </c>
      <c r="M2607" s="1252">
        <f>F2623</f>
        <v>0</v>
      </c>
    </row>
    <row r="2608" spans="1:13" ht="14.55" customHeight="1" x14ac:dyDescent="0.3">
      <c r="A2608" s="1258" t="s">
        <v>253</v>
      </c>
      <c r="B2608" s="468" t="e">
        <f>(((B2602*B2603*3.14)+(((B2602/2)^2)*3.14))/1000000)</f>
        <v>#N/A</v>
      </c>
      <c r="C2608" s="460" t="s">
        <v>228</v>
      </c>
      <c r="D2608" s="468" t="e">
        <f>(((D2602*D2603*3.14)+(((D2602/2)^2)*3.14))/1000000)</f>
        <v>#N/A</v>
      </c>
      <c r="E2608" s="460" t="s">
        <v>228</v>
      </c>
      <c r="F2608" s="468">
        <f>(((F2602*F2603*3.14)+(((F2602/2)^2)*3.14))/1000000)</f>
        <v>0</v>
      </c>
      <c r="G2608" s="460" t="s">
        <v>228</v>
      </c>
      <c r="H2608" s="469"/>
      <c r="I2608" s="1261"/>
    </row>
    <row r="2609" spans="1:9" ht="14.55" customHeight="1" x14ac:dyDescent="0.3">
      <c r="A2609" s="1258" t="s">
        <v>254</v>
      </c>
      <c r="B2609" s="468" t="e">
        <f>B2602+2*B2639</f>
        <v>#N/A</v>
      </c>
      <c r="C2609" s="460" t="s">
        <v>93</v>
      </c>
      <c r="D2609" s="468" t="e">
        <f>D2602+2*D2639</f>
        <v>#N/A</v>
      </c>
      <c r="E2609" s="460" t="s">
        <v>93</v>
      </c>
      <c r="F2609" s="468">
        <f>F2602+2*F2639</f>
        <v>0</v>
      </c>
      <c r="G2609" s="460" t="s">
        <v>93</v>
      </c>
      <c r="H2609" s="469"/>
      <c r="I2609" s="1261"/>
    </row>
    <row r="2610" spans="1:9" ht="14.55" customHeight="1" x14ac:dyDescent="0.3">
      <c r="A2610" s="1258" t="s">
        <v>255</v>
      </c>
      <c r="B2610" s="468" t="e">
        <f>(((B2609*B2603*3.14)+(((B2609/2)^2)*3.14))/1000000)</f>
        <v>#N/A</v>
      </c>
      <c r="C2610" s="460" t="s">
        <v>228</v>
      </c>
      <c r="D2610" s="468" t="e">
        <f>(((D2609*D2603*3.14)+(((D2609/2)^2)*3.14))/1000000)</f>
        <v>#N/A</v>
      </c>
      <c r="E2610" s="460" t="s">
        <v>228</v>
      </c>
      <c r="F2610" s="468">
        <f>(((F2609*F2603*3.14)+(((F2609/2)^2)*3.14))/1000000)</f>
        <v>0</v>
      </c>
      <c r="G2610" s="460" t="s">
        <v>228</v>
      </c>
      <c r="H2610" s="469"/>
      <c r="I2610" s="1261"/>
    </row>
    <row r="2611" spans="1:9" ht="14.55" customHeight="1" x14ac:dyDescent="0.3">
      <c r="A2611" s="1258"/>
      <c r="B2611" s="454"/>
      <c r="C2611" s="460"/>
      <c r="D2611" s="454"/>
      <c r="E2611" s="460"/>
      <c r="F2611" s="454"/>
      <c r="G2611" s="460"/>
      <c r="H2611" s="469"/>
      <c r="I2611" s="1261"/>
    </row>
    <row r="2612" spans="1:9" ht="14.55" customHeight="1" x14ac:dyDescent="0.3">
      <c r="A2612" s="1258"/>
      <c r="B2612" s="468" t="s">
        <v>256</v>
      </c>
      <c r="C2612" s="460"/>
      <c r="D2612" s="468" t="s">
        <v>257</v>
      </c>
      <c r="E2612" s="460"/>
      <c r="F2612" s="468" t="s">
        <v>258</v>
      </c>
      <c r="G2612" s="460"/>
      <c r="H2612" s="469"/>
      <c r="I2612" s="1261"/>
    </row>
    <row r="2613" spans="1:9" ht="14.55" customHeight="1" x14ac:dyDescent="0.3">
      <c r="A2613" s="1258" t="s">
        <v>259</v>
      </c>
      <c r="B2613" s="725"/>
      <c r="C2613" s="460" t="s">
        <v>93</v>
      </c>
      <c r="D2613" s="725"/>
      <c r="E2613" s="460" t="s">
        <v>93</v>
      </c>
      <c r="F2613" s="725"/>
      <c r="G2613" s="460" t="s">
        <v>93</v>
      </c>
      <c r="H2613" s="469"/>
      <c r="I2613" s="1261"/>
    </row>
    <row r="2614" spans="1:9" ht="14.55" customHeight="1" x14ac:dyDescent="0.3">
      <c r="A2614" s="1258" t="s">
        <v>260</v>
      </c>
      <c r="B2614" s="725"/>
      <c r="C2614" s="460" t="s">
        <v>93</v>
      </c>
      <c r="D2614" s="725"/>
      <c r="E2614" s="460" t="s">
        <v>93</v>
      </c>
      <c r="F2614" s="725"/>
      <c r="G2614" s="460" t="s">
        <v>93</v>
      </c>
      <c r="H2614" s="469"/>
      <c r="I2614" s="1261"/>
    </row>
    <row r="2615" spans="1:9" ht="14.55" customHeight="1" x14ac:dyDescent="0.3">
      <c r="A2615" s="1258" t="s">
        <v>261</v>
      </c>
      <c r="B2615" s="725"/>
      <c r="C2615" s="460" t="s">
        <v>93</v>
      </c>
      <c r="D2615" s="725"/>
      <c r="E2615" s="460" t="s">
        <v>93</v>
      </c>
      <c r="F2615" s="725"/>
      <c r="G2615" s="460" t="s">
        <v>93</v>
      </c>
      <c r="H2615" s="469"/>
      <c r="I2615" s="1261"/>
    </row>
    <row r="2616" spans="1:9" ht="14.55" customHeight="1" x14ac:dyDescent="0.3">
      <c r="A2616" s="1258" t="s">
        <v>262</v>
      </c>
      <c r="B2616" s="455" t="e">
        <f>B2613+2*B2634</f>
        <v>#N/A</v>
      </c>
      <c r="C2616" s="460" t="s">
        <v>93</v>
      </c>
      <c r="D2616" s="455" t="e">
        <f>D2613+2*D2634</f>
        <v>#N/A</v>
      </c>
      <c r="E2616" s="460" t="s">
        <v>93</v>
      </c>
      <c r="F2616" s="455">
        <f>F2613+2*F2636</f>
        <v>0</v>
      </c>
      <c r="G2616" s="460" t="s">
        <v>93</v>
      </c>
      <c r="H2616" s="469"/>
      <c r="I2616" s="1261"/>
    </row>
    <row r="2617" spans="1:9" ht="14.55" customHeight="1" x14ac:dyDescent="0.3">
      <c r="A2617" s="1258" t="s">
        <v>263</v>
      </c>
      <c r="B2617" s="455" t="e">
        <f>B2614+2*B2634</f>
        <v>#N/A</v>
      </c>
      <c r="C2617" s="460" t="s">
        <v>93</v>
      </c>
      <c r="D2617" s="455" t="e">
        <f>D2614+2*D2634</f>
        <v>#N/A</v>
      </c>
      <c r="E2617" s="460" t="s">
        <v>93</v>
      </c>
      <c r="F2617" s="455">
        <f>F2614+2*F2636</f>
        <v>0</v>
      </c>
      <c r="G2617" s="460" t="s">
        <v>93</v>
      </c>
      <c r="H2617" s="469"/>
      <c r="I2617" s="1261"/>
    </row>
    <row r="2618" spans="1:9" ht="14.55" customHeight="1" x14ac:dyDescent="0.3">
      <c r="A2618" s="1258" t="s">
        <v>264</v>
      </c>
      <c r="B2618" s="453" t="e">
        <f>(((((1/3*PI()*B2615))*((((B2616/2)^2)+(((B2616/2)*(B2617/2)))+((B2617/2)^2))))-(((1/3*PI()*B2615))*((((B2613/2)^2)+(((B2613/2)*(B2614/2)))+((B2614/2)^2)))))*7.86)/1000000</f>
        <v>#N/A</v>
      </c>
      <c r="C2618" s="460" t="s">
        <v>222</v>
      </c>
      <c r="D2618" s="453" t="e">
        <f>(((((1/3*PI()*D2615))*((((D2616/2)^2)+(((D2616/2)*(D2617/2)))+((D2617/2)^2))))-(((1/3*PI()*D2615))*((((D2613/2)^2)+(((D2613/2)*(D2614/2)))+((D2614/2)^2)))))*7.86)/1000000</f>
        <v>#N/A</v>
      </c>
      <c r="E2618" s="460" t="s">
        <v>222</v>
      </c>
      <c r="F2618" s="453">
        <f>(((((1/3*PI()*F2615))*((((F2616/2)^2)+(((F2616/2)*(F2617/2)))+((F2617/2)^2))))-(((1/3*PI()*F2615))*((((F2613/2)^2)+(((F2613/2)*(F2614/2)))+((F2614/2)^2)))))*7.86)/1000000</f>
        <v>0</v>
      </c>
      <c r="G2618" s="460" t="s">
        <v>222</v>
      </c>
      <c r="H2618" s="469"/>
      <c r="I2618" s="1261"/>
    </row>
    <row r="2619" spans="1:9" ht="14.55" customHeight="1" x14ac:dyDescent="0.3">
      <c r="A2619" s="1258" t="s">
        <v>265</v>
      </c>
      <c r="B2619" s="453">
        <f>((1/3*PI()*B2615))*((((B2613/2)^2)+(((B2613/2)*(B2614/2)))+((B2614/2)^2)))/1000000000</f>
        <v>0</v>
      </c>
      <c r="C2619" s="460" t="s">
        <v>225</v>
      </c>
      <c r="D2619" s="453">
        <f>((1/3*PI()*D2615))*((((D2613/2)^2)+(((D2613/2)*(D2614/2)))+((D2614/2)^2)))/1000000000</f>
        <v>0</v>
      </c>
      <c r="E2619" s="460" t="s">
        <v>225</v>
      </c>
      <c r="F2619" s="453">
        <f>((1/3*PI()*F2615))*((((F2613/2)^2)+(((F2613/2)*(F2614/2)))+((F2614/2)^2)))/1000000000</f>
        <v>0</v>
      </c>
      <c r="G2619" s="460" t="s">
        <v>225</v>
      </c>
      <c r="H2619" s="469"/>
      <c r="I2619" s="1261"/>
    </row>
    <row r="2620" spans="1:9" ht="14.55" customHeight="1" x14ac:dyDescent="0.3">
      <c r="A2620" s="1258" t="s">
        <v>266</v>
      </c>
      <c r="B2620" s="453" t="e">
        <f>PI()*(B2616+B2617)/2*SQRT(B2615^2+((B2616-B2617)/2)^2)/1000000</f>
        <v>#N/A</v>
      </c>
      <c r="C2620" s="460" t="s">
        <v>228</v>
      </c>
      <c r="D2620" s="453" t="e">
        <f>PI()*(D2616+D2617)/2*SQRT(D2615^2+((D2616-D2617)/2)^2)/1000000</f>
        <v>#N/A</v>
      </c>
      <c r="E2620" s="460" t="s">
        <v>228</v>
      </c>
      <c r="F2620" s="453">
        <f>PI()*(F2616+F2617)/2*SQRT(F2615^2+((F2616-F2617)/2)^2)/1000000</f>
        <v>0</v>
      </c>
      <c r="G2620" s="460" t="s">
        <v>228</v>
      </c>
      <c r="H2620" s="469"/>
      <c r="I2620" s="1261"/>
    </row>
    <row r="2621" spans="1:9" ht="14.55" customHeight="1" x14ac:dyDescent="0.3">
      <c r="A2621" s="1258" t="s">
        <v>267</v>
      </c>
      <c r="B2621" s="453" t="e">
        <f>B2616+2*B2640</f>
        <v>#N/A</v>
      </c>
      <c r="C2621" s="460" t="s">
        <v>93</v>
      </c>
      <c r="D2621" s="453">
        <f>D2613+2*D2640</f>
        <v>0</v>
      </c>
      <c r="E2621" s="460" t="s">
        <v>93</v>
      </c>
      <c r="F2621" s="453">
        <f>F2613+2*F2640</f>
        <v>0</v>
      </c>
      <c r="G2621" s="460" t="s">
        <v>93</v>
      </c>
      <c r="H2621" s="469"/>
      <c r="I2621" s="1261"/>
    </row>
    <row r="2622" spans="1:9" ht="14.55" customHeight="1" x14ac:dyDescent="0.3">
      <c r="A2622" s="1258" t="s">
        <v>268</v>
      </c>
      <c r="B2622" s="453" t="e">
        <f>B2617+2*B2640</f>
        <v>#N/A</v>
      </c>
      <c r="C2622" s="460" t="s">
        <v>93</v>
      </c>
      <c r="D2622" s="453">
        <f>D2614+2*D2640</f>
        <v>0</v>
      </c>
      <c r="E2622" s="460" t="s">
        <v>93</v>
      </c>
      <c r="F2622" s="453">
        <f>F2614+2*F2640</f>
        <v>0</v>
      </c>
      <c r="G2622" s="460" t="s">
        <v>93</v>
      </c>
      <c r="H2622" s="469"/>
      <c r="I2622" s="1261"/>
    </row>
    <row r="2623" spans="1:9" ht="14.55" customHeight="1" x14ac:dyDescent="0.3">
      <c r="A2623" s="1258" t="s">
        <v>269</v>
      </c>
      <c r="B2623" s="453" t="e">
        <f>PI()*(B2621+B2622)/2*SQRT(B2615^2+((B2621-B2622)/2)^2)/1000000</f>
        <v>#N/A</v>
      </c>
      <c r="C2623" s="460" t="s">
        <v>228</v>
      </c>
      <c r="D2623" s="453">
        <f>PI()*(D2621+D2622)/2*SQRT(D2615^2+((D2621-D2622)/2)^2)/1000000</f>
        <v>0</v>
      </c>
      <c r="E2623" s="460" t="s">
        <v>228</v>
      </c>
      <c r="F2623" s="453">
        <f>PI()*(F2621+F2622)/2*SQRT(F2615^2+((F2621-F2622)/2)^2)/1000000</f>
        <v>0</v>
      </c>
      <c r="G2623" s="460" t="s">
        <v>228</v>
      </c>
      <c r="H2623" s="469"/>
      <c r="I2623" s="1261"/>
    </row>
    <row r="2624" spans="1:9" ht="14.55" customHeight="1" x14ac:dyDescent="0.3">
      <c r="A2624" s="1258"/>
      <c r="B2624" s="453"/>
      <c r="C2624" s="460"/>
      <c r="D2624" s="453"/>
      <c r="E2624" s="460"/>
      <c r="F2624" s="453"/>
      <c r="G2624" s="460"/>
      <c r="H2624" s="460"/>
      <c r="I2624" s="1259"/>
    </row>
    <row r="2625" spans="1:9" ht="14.55" customHeight="1" x14ac:dyDescent="0.3">
      <c r="A2625" s="1258" t="s">
        <v>270</v>
      </c>
      <c r="B2625" s="725"/>
      <c r="C2625" s="460" t="s">
        <v>93</v>
      </c>
      <c r="D2625" s="725"/>
      <c r="E2625" s="460" t="s">
        <v>93</v>
      </c>
      <c r="F2625" s="725"/>
      <c r="G2625" s="460" t="s">
        <v>93</v>
      </c>
      <c r="H2625" s="460"/>
      <c r="I2625" s="1259"/>
    </row>
    <row r="2626" spans="1:9" ht="14.55" customHeight="1" x14ac:dyDescent="0.3">
      <c r="A2626" s="1258" t="s">
        <v>271</v>
      </c>
      <c r="B2626" s="453" t="e">
        <f>((D2574/10)*B2591/2)/(IF(B2569="div.1",B2582,B2585)-0.5*D2574/10)</f>
        <v>#N/A</v>
      </c>
      <c r="C2626" s="460" t="s">
        <v>93</v>
      </c>
      <c r="D2626" s="453" t="e">
        <f>((D2574/10)*D2591/2)/(IF(B2569="div.1",B2582,B2585)-0.5*D2574/10)</f>
        <v>#N/A</v>
      </c>
      <c r="E2626" s="460" t="s">
        <v>93</v>
      </c>
      <c r="F2626" s="453" t="e">
        <f>((D2574/10)*F2591/2)/(IF(B2569="div.1",F2582,F2585)-0.5*D2574/10)</f>
        <v>#N/A</v>
      </c>
      <c r="G2626" s="460" t="s">
        <v>93</v>
      </c>
      <c r="H2626" s="460"/>
      <c r="I2626" s="1259"/>
    </row>
    <row r="2627" spans="1:9" ht="14.55" customHeight="1" x14ac:dyDescent="0.3">
      <c r="A2627" s="1258" t="s">
        <v>272</v>
      </c>
      <c r="B2627" s="453" t="e">
        <f>B2601/2*(EXP(D2574/(10*IF(B2569="div.1",B2583,B2586)))-1)</f>
        <v>#N/A</v>
      </c>
      <c r="C2627" s="460" t="s">
        <v>93</v>
      </c>
      <c r="D2627" s="453" t="e">
        <f>D2601/2*(EXP(D2574/(10*IF(B2569="div.1",B2583,B2586)))-1)</f>
        <v>#N/A</v>
      </c>
      <c r="E2627" s="460" t="s">
        <v>93</v>
      </c>
      <c r="F2627" s="453" t="e">
        <f>F2601/2*(EXP(D2574/(10*IF(B2569="div.1",F2583,F2586)))-1)</f>
        <v>#N/A</v>
      </c>
      <c r="G2627" s="460" t="s">
        <v>93</v>
      </c>
      <c r="H2627" s="460"/>
      <c r="I2627" s="1259"/>
    </row>
    <row r="2628" spans="1:9" ht="14.55" customHeight="1" x14ac:dyDescent="0.3">
      <c r="A2628" s="1258" t="s">
        <v>273</v>
      </c>
      <c r="B2628" s="453" t="e">
        <f>B2613/2*(EXP(D2574/(10*IF(B2569="div.1",B2583,B2586)))-1)</f>
        <v>#N/A</v>
      </c>
      <c r="C2628" s="460" t="s">
        <v>93</v>
      </c>
      <c r="D2628" s="453" t="e">
        <f>D2613/2*(EXP(D2574/(10*IF(B2569="div.1",B2583,B2586)))-1)</f>
        <v>#N/A</v>
      </c>
      <c r="E2628" s="460" t="s">
        <v>93</v>
      </c>
      <c r="F2628" s="453" t="e">
        <f>F2613/2*(EXP(D2574/(10*IF(B2569="div.1",F2583,F2586)))-1)</f>
        <v>#N/A</v>
      </c>
      <c r="G2628" s="460" t="s">
        <v>93</v>
      </c>
      <c r="H2628" s="460"/>
      <c r="I2628" s="1259"/>
    </row>
    <row r="2629" spans="1:9" ht="14.55" customHeight="1" x14ac:dyDescent="0.3">
      <c r="A2629" s="1258" t="s">
        <v>274</v>
      </c>
      <c r="B2629" s="725"/>
      <c r="C2629" s="460" t="s">
        <v>93</v>
      </c>
      <c r="D2629" s="725"/>
      <c r="E2629" s="460" t="s">
        <v>93</v>
      </c>
      <c r="F2629" s="725"/>
      <c r="G2629" s="460" t="s">
        <v>93</v>
      </c>
      <c r="H2629" s="460"/>
      <c r="I2629" s="1259"/>
    </row>
    <row r="2630" spans="1:9" ht="14.55" customHeight="1" x14ac:dyDescent="0.3">
      <c r="A2630" s="1258" t="s">
        <v>275</v>
      </c>
      <c r="B2630" s="725"/>
      <c r="C2630" s="460" t="s">
        <v>93</v>
      </c>
      <c r="D2630" s="725"/>
      <c r="E2630" s="460" t="s">
        <v>93</v>
      </c>
      <c r="F2630" s="725"/>
      <c r="G2630" s="460" t="s">
        <v>93</v>
      </c>
      <c r="H2630" s="460"/>
      <c r="I2630" s="1259"/>
    </row>
    <row r="2631" spans="1:9" ht="14.55" customHeight="1" x14ac:dyDescent="0.3">
      <c r="A2631" s="1258" t="s">
        <v>276</v>
      </c>
      <c r="B2631" s="725"/>
      <c r="C2631" s="460" t="s">
        <v>93</v>
      </c>
      <c r="D2631" s="725"/>
      <c r="E2631" s="460" t="s">
        <v>93</v>
      </c>
      <c r="F2631" s="725"/>
      <c r="G2631" s="460" t="s">
        <v>93</v>
      </c>
      <c r="H2631" s="460"/>
      <c r="I2631" s="1259"/>
    </row>
    <row r="2632" spans="1:9" ht="14.55" customHeight="1" x14ac:dyDescent="0.3">
      <c r="A2632" s="1258" t="s">
        <v>277</v>
      </c>
      <c r="B2632" s="453" t="e">
        <f>IF((CEILING(B2626,1)+B2629)&lt;B2625,B2625,CEILING(B2626,1)+B2629)</f>
        <v>#N/A</v>
      </c>
      <c r="C2632" s="460" t="s">
        <v>93</v>
      </c>
      <c r="D2632" s="453" t="e">
        <f>IF((CEILING(D2626,1)+D2629)&lt;D2625,D2625,CEILING(D2626,1)+D2629)</f>
        <v>#N/A</v>
      </c>
      <c r="E2632" s="460" t="s">
        <v>93</v>
      </c>
      <c r="F2632" s="453" t="e">
        <f>IF((CEILING(F2626,1)+F2629)&lt;F2625,F2625,CEILING(F2626,1)+F2629)</f>
        <v>#N/A</v>
      </c>
      <c r="G2632" s="460" t="s">
        <v>93</v>
      </c>
      <c r="H2632" s="460"/>
      <c r="I2632" s="1259"/>
    </row>
    <row r="2633" spans="1:9" ht="14.55" customHeight="1" x14ac:dyDescent="0.3">
      <c r="A2633" s="1258" t="s">
        <v>278</v>
      </c>
      <c r="B2633" s="453" t="e">
        <f>IF((CEILING(B2627,1)+B2630)&lt;=B2625,B2625,CEILING(B2627,1)+B2630)</f>
        <v>#N/A</v>
      </c>
      <c r="C2633" s="460" t="s">
        <v>93</v>
      </c>
      <c r="D2633" s="453" t="e">
        <f>IF((CEILING(D2627,1)+D2630)&lt;=D2625,D2625,CEILING(D2627,1)+D2630)</f>
        <v>#N/A</v>
      </c>
      <c r="E2633" s="460" t="s">
        <v>93</v>
      </c>
      <c r="F2633" s="453" t="e">
        <f>IF((CEILING(F2627,1)+F2630)&lt;=F2625,F2625,CEILING(F2627,1)+F2630)</f>
        <v>#N/A</v>
      </c>
      <c r="G2633" s="460" t="s">
        <v>93</v>
      </c>
      <c r="H2633" s="460"/>
      <c r="I2633" s="1259"/>
    </row>
    <row r="2634" spans="1:9" ht="14.55" customHeight="1" x14ac:dyDescent="0.3">
      <c r="A2634" s="1258" t="s">
        <v>279</v>
      </c>
      <c r="B2634" s="453" t="e">
        <f>IF((CEILING(B2628,1)+B2631)&lt;=B2625,B2625,CEILING(B2628,1)+B2631)</f>
        <v>#N/A</v>
      </c>
      <c r="C2634" s="460" t="s">
        <v>93</v>
      </c>
      <c r="D2634" s="453" t="e">
        <f>IF((CEILING(D2628,1)+D2631)&lt;=D2625,D2625,CEILING(D2628,1)+D2631)</f>
        <v>#N/A</v>
      </c>
      <c r="E2634" s="460" t="s">
        <v>93</v>
      </c>
      <c r="F2634" s="453" t="e">
        <f>IF((CEILING(F2628,1)+F2631)&lt;=F2625,F2625,CEILING(F2628,1)+F2631)</f>
        <v>#N/A</v>
      </c>
      <c r="G2634" s="460" t="s">
        <v>93</v>
      </c>
      <c r="H2634" s="460"/>
      <c r="I2634" s="1259"/>
    </row>
    <row r="2635" spans="1:9" ht="14.55" customHeight="1" x14ac:dyDescent="0.3">
      <c r="A2635" s="1258" t="s">
        <v>280</v>
      </c>
      <c r="B2635" s="453"/>
      <c r="C2635" s="460"/>
      <c r="D2635" s="453"/>
      <c r="E2635" s="460"/>
      <c r="F2635" s="726"/>
      <c r="G2635" s="460"/>
      <c r="H2635" s="460"/>
      <c r="I2635" s="1259"/>
    </row>
    <row r="2636" spans="1:9" ht="14.55" customHeight="1" x14ac:dyDescent="0.3">
      <c r="A2636" s="1258" t="s">
        <v>281</v>
      </c>
      <c r="B2636" s="453"/>
      <c r="C2636" s="460"/>
      <c r="D2636" s="453"/>
      <c r="E2636" s="460"/>
      <c r="F2636" s="460">
        <f>IFERROR(VLOOKUP(F2590,'Thickness Tab'!$1:$1048576,MATCH(F2635,'Thickness Tab'!$1:$1,0),0),0)</f>
        <v>0</v>
      </c>
      <c r="G2636" s="460" t="s">
        <v>93</v>
      </c>
      <c r="H2636" s="460"/>
      <c r="I2636" s="1259"/>
    </row>
    <row r="2637" spans="1:9" ht="14.55" customHeight="1" x14ac:dyDescent="0.3">
      <c r="A2637" s="1258"/>
      <c r="B2637" s="464"/>
      <c r="C2637" s="460"/>
      <c r="D2637" s="460"/>
      <c r="E2637" s="460"/>
      <c r="F2637" s="460"/>
      <c r="G2637" s="460"/>
      <c r="H2637" s="460"/>
      <c r="I2637" s="1259"/>
    </row>
    <row r="2638" spans="1:9" ht="14.55" customHeight="1" x14ac:dyDescent="0.3">
      <c r="A2638" s="1258" t="s">
        <v>282</v>
      </c>
      <c r="B2638" s="725">
        <v>0</v>
      </c>
      <c r="C2638" s="460" t="s">
        <v>93</v>
      </c>
      <c r="D2638" s="725">
        <v>0</v>
      </c>
      <c r="E2638" s="460" t="s">
        <v>93</v>
      </c>
      <c r="F2638" s="725">
        <v>0</v>
      </c>
      <c r="G2638" s="460" t="s">
        <v>93</v>
      </c>
      <c r="H2638" s="460"/>
      <c r="I2638" s="1259"/>
    </row>
    <row r="2639" spans="1:9" ht="14.55" customHeight="1" x14ac:dyDescent="0.3">
      <c r="A2639" s="1258" t="s">
        <v>283</v>
      </c>
      <c r="B2639" s="725">
        <v>0</v>
      </c>
      <c r="C2639" s="460" t="s">
        <v>93</v>
      </c>
      <c r="D2639" s="725">
        <v>0</v>
      </c>
      <c r="E2639" s="460" t="s">
        <v>93</v>
      </c>
      <c r="F2639" s="725">
        <v>0</v>
      </c>
      <c r="G2639" s="460" t="s">
        <v>93</v>
      </c>
      <c r="H2639" s="460"/>
      <c r="I2639" s="1259"/>
    </row>
    <row r="2640" spans="1:9" ht="14.55" customHeight="1" x14ac:dyDescent="0.3">
      <c r="A2640" s="1258" t="s">
        <v>284</v>
      </c>
      <c r="B2640" s="725">
        <v>0</v>
      </c>
      <c r="C2640" s="460" t="s">
        <v>93</v>
      </c>
      <c r="D2640" s="725">
        <v>0</v>
      </c>
      <c r="E2640" s="460" t="s">
        <v>93</v>
      </c>
      <c r="F2640" s="725">
        <v>0</v>
      </c>
      <c r="G2640" s="460" t="s">
        <v>93</v>
      </c>
      <c r="H2640" s="460"/>
      <c r="I2640" s="1259"/>
    </row>
    <row r="2641" spans="1:9" ht="14.55" customHeight="1" x14ac:dyDescent="0.3">
      <c r="A2641" s="1258"/>
      <c r="B2641" s="464"/>
      <c r="C2641" s="460"/>
      <c r="D2641" s="460"/>
      <c r="E2641" s="460"/>
      <c r="F2641" s="460"/>
      <c r="G2641" s="460"/>
      <c r="H2641" s="460"/>
      <c r="I2641" s="1259"/>
    </row>
    <row r="2642" spans="1:9" ht="14.55" customHeight="1" x14ac:dyDescent="0.3">
      <c r="A2642" s="1260" t="s">
        <v>285</v>
      </c>
      <c r="B2642" s="470" t="str">
        <f>IF(B2570="Horizontal","No Skirt","")</f>
        <v/>
      </c>
      <c r="C2642" s="460"/>
      <c r="D2642" s="471"/>
      <c r="E2642" s="471" t="s">
        <v>286</v>
      </c>
      <c r="F2642" s="460"/>
      <c r="G2642" s="469"/>
      <c r="H2642" s="469"/>
      <c r="I2642" s="1261"/>
    </row>
    <row r="2643" spans="1:9" ht="14.55" customHeight="1" x14ac:dyDescent="0.3">
      <c r="A2643" s="1258" t="s">
        <v>287</v>
      </c>
      <c r="B2643" s="722"/>
      <c r="C2643" s="456" t="s">
        <v>93</v>
      </c>
      <c r="D2643" s="472"/>
      <c r="E2643" s="472" t="s">
        <v>288</v>
      </c>
      <c r="F2643" s="725"/>
      <c r="G2643" s="460" t="s">
        <v>93</v>
      </c>
      <c r="H2643" s="469"/>
      <c r="I2643" s="1261"/>
    </row>
    <row r="2644" spans="1:9" ht="14.55" customHeight="1" x14ac:dyDescent="0.3">
      <c r="A2644" s="1258" t="s">
        <v>289</v>
      </c>
      <c r="B2644" s="722"/>
      <c r="C2644" s="456" t="s">
        <v>93</v>
      </c>
      <c r="D2644" s="472"/>
      <c r="E2644" s="472" t="s">
        <v>290</v>
      </c>
      <c r="F2644" s="725"/>
      <c r="G2644" s="460" t="s">
        <v>93</v>
      </c>
      <c r="H2644" s="469"/>
      <c r="I2644" s="1261"/>
    </row>
    <row r="2645" spans="1:9" ht="14.55" customHeight="1" x14ac:dyDescent="0.3">
      <c r="A2645" s="1258" t="s">
        <v>291</v>
      </c>
      <c r="B2645" s="722"/>
      <c r="C2645" s="456" t="s">
        <v>93</v>
      </c>
      <c r="D2645" s="472"/>
      <c r="E2645" s="472" t="s">
        <v>292</v>
      </c>
      <c r="F2645" s="725"/>
      <c r="G2645" s="460"/>
      <c r="H2645" s="469"/>
      <c r="I2645" s="1261"/>
    </row>
    <row r="2646" spans="1:9" ht="14.55" customHeight="1" x14ac:dyDescent="0.3">
      <c r="A2646" s="1258" t="s">
        <v>293</v>
      </c>
      <c r="B2646" s="722"/>
      <c r="C2646" s="456" t="s">
        <v>93</v>
      </c>
      <c r="D2646" s="472"/>
      <c r="E2646" s="472" t="s">
        <v>184</v>
      </c>
      <c r="F2646" s="457">
        <f>(PI()*F2643^2)/4*F2644*(7800/1000000000)</f>
        <v>0</v>
      </c>
      <c r="G2646" s="460" t="s">
        <v>222</v>
      </c>
      <c r="H2646" s="460"/>
      <c r="I2646" s="1259"/>
    </row>
    <row r="2647" spans="1:9" ht="14.55" customHeight="1" x14ac:dyDescent="0.3">
      <c r="A2647" s="1258" t="s">
        <v>294</v>
      </c>
      <c r="B2647" s="722"/>
      <c r="C2647" s="456" t="s">
        <v>93</v>
      </c>
      <c r="D2647" s="460"/>
      <c r="E2647" s="460"/>
      <c r="F2647" s="460"/>
      <c r="G2647" s="460"/>
      <c r="H2647" s="460"/>
      <c r="I2647" s="1259"/>
    </row>
    <row r="2648" spans="1:9" ht="14.55" customHeight="1" x14ac:dyDescent="0.3">
      <c r="A2648" s="1258"/>
      <c r="B2648" s="407"/>
      <c r="C2648" s="460"/>
      <c r="D2648" s="460"/>
      <c r="E2648" s="460"/>
      <c r="F2648" s="460"/>
      <c r="G2648" s="460"/>
      <c r="H2648" s="460"/>
      <c r="I2648" s="1259"/>
    </row>
    <row r="2649" spans="1:9" ht="14.55" customHeight="1" x14ac:dyDescent="0.3">
      <c r="A2649" s="1262" t="s">
        <v>295</v>
      </c>
      <c r="B2649" s="480"/>
      <c r="C2649" s="59"/>
      <c r="D2649" s="59"/>
      <c r="E2649" s="59"/>
      <c r="F2649" s="460"/>
      <c r="G2649" s="460"/>
      <c r="H2649" s="460"/>
      <c r="I2649" s="1259"/>
    </row>
    <row r="2650" spans="1:9" ht="14.55" customHeight="1" x14ac:dyDescent="0.3">
      <c r="A2650" s="1263" t="s">
        <v>296</v>
      </c>
      <c r="B2650" s="722"/>
      <c r="C2650" s="59" t="s">
        <v>93</v>
      </c>
      <c r="D2650" s="59"/>
      <c r="E2650" s="59"/>
      <c r="F2650" s="460"/>
      <c r="G2650" s="460"/>
      <c r="H2650" s="460"/>
      <c r="I2650" s="1259"/>
    </row>
    <row r="2651" spans="1:9" ht="14.55" customHeight="1" x14ac:dyDescent="0.3">
      <c r="A2651" s="1263" t="s">
        <v>297</v>
      </c>
      <c r="B2651" s="722"/>
      <c r="C2651" s="59" t="s">
        <v>93</v>
      </c>
      <c r="D2651" s="59"/>
      <c r="E2651" s="59"/>
      <c r="F2651" s="460"/>
      <c r="G2651" s="460"/>
      <c r="H2651" s="460"/>
      <c r="I2651" s="1259"/>
    </row>
    <row r="2652" spans="1:9" ht="14.55" customHeight="1" x14ac:dyDescent="0.3">
      <c r="A2652" s="1263" t="s">
        <v>298</v>
      </c>
      <c r="B2652" s="480">
        <f>B2593</f>
        <v>0</v>
      </c>
      <c r="C2652" s="59" t="s">
        <v>93</v>
      </c>
      <c r="D2652" s="59"/>
      <c r="E2652" s="59"/>
      <c r="F2652" s="460"/>
      <c r="G2652" s="460"/>
      <c r="H2652" s="460"/>
      <c r="I2652" s="1259"/>
    </row>
    <row r="2653" spans="1:9" ht="14.55" customHeight="1" x14ac:dyDescent="0.3">
      <c r="A2653" s="1263" t="s">
        <v>299</v>
      </c>
      <c r="B2653" s="727"/>
      <c r="C2653" s="59"/>
      <c r="D2653" s="59"/>
      <c r="E2653" s="59"/>
      <c r="F2653" s="460"/>
      <c r="G2653" s="460"/>
      <c r="H2653" s="460"/>
      <c r="I2653" s="1259"/>
    </row>
    <row r="2654" spans="1:9" ht="14.55" customHeight="1" x14ac:dyDescent="0.3">
      <c r="A2654" s="1263" t="s">
        <v>300</v>
      </c>
      <c r="B2654" s="722"/>
      <c r="C2654" s="59" t="s">
        <v>301</v>
      </c>
      <c r="D2654" s="59"/>
      <c r="E2654" s="59"/>
      <c r="F2654" s="460"/>
      <c r="G2654" s="460"/>
      <c r="H2654" s="460"/>
      <c r="I2654" s="1259"/>
    </row>
    <row r="2655" spans="1:9" ht="14.55" customHeight="1" x14ac:dyDescent="0.3">
      <c r="A2655" s="1263" t="s">
        <v>302</v>
      </c>
      <c r="B2655" s="480">
        <f>IF(B2653="Straight",B2652,B2652*2)</f>
        <v>0</v>
      </c>
      <c r="C2655" s="59" t="s">
        <v>93</v>
      </c>
      <c r="D2655" s="480"/>
      <c r="E2655" s="59"/>
      <c r="F2655" s="460"/>
      <c r="G2655" s="460"/>
      <c r="H2655" s="460"/>
      <c r="I2655" s="1259"/>
    </row>
    <row r="2656" spans="1:9" ht="14.55" customHeight="1" x14ac:dyDescent="0.3">
      <c r="A2656" s="1263" t="s">
        <v>303</v>
      </c>
      <c r="B2656" s="480">
        <f>B2650*PI()*B2655/1000000*B2654</f>
        <v>0</v>
      </c>
      <c r="C2656" s="59" t="s">
        <v>228</v>
      </c>
      <c r="D2656" s="59"/>
      <c r="E2656" s="59"/>
      <c r="F2656" s="460"/>
      <c r="G2656" s="460"/>
      <c r="H2656" s="460"/>
      <c r="I2656" s="1259"/>
    </row>
    <row r="2657" spans="1:9" ht="14.55" customHeight="1" x14ac:dyDescent="0.3">
      <c r="A2657" s="1263" t="s">
        <v>304</v>
      </c>
      <c r="B2657" s="480">
        <v>7.86</v>
      </c>
      <c r="C2657" s="59" t="s">
        <v>305</v>
      </c>
      <c r="D2657" s="59"/>
      <c r="E2657" s="59"/>
      <c r="F2657" s="460"/>
      <c r="G2657" s="460"/>
      <c r="H2657" s="460"/>
      <c r="I2657" s="1259"/>
    </row>
    <row r="2658" spans="1:9" ht="14.55" customHeight="1" x14ac:dyDescent="0.3">
      <c r="A2658" s="1263" t="s">
        <v>306</v>
      </c>
      <c r="B2658" s="480">
        <f>PI()*B2651*(B2650-B2651)*B2657/1000</f>
        <v>0</v>
      </c>
      <c r="C2658" s="59" t="s">
        <v>307</v>
      </c>
      <c r="D2658" s="59"/>
      <c r="E2658" s="59"/>
      <c r="F2658" s="460"/>
      <c r="G2658" s="460"/>
      <c r="H2658" s="460"/>
      <c r="I2658" s="1259"/>
    </row>
    <row r="2659" spans="1:9" ht="14.55" customHeight="1" x14ac:dyDescent="0.3">
      <c r="A2659" s="1263" t="s">
        <v>308</v>
      </c>
      <c r="B2659" s="480">
        <f>B2658*B2655*B2654/1000</f>
        <v>0</v>
      </c>
      <c r="C2659" s="59" t="s">
        <v>222</v>
      </c>
      <c r="D2659" s="59"/>
      <c r="E2659" s="59"/>
      <c r="F2659" s="460"/>
      <c r="G2659" s="460"/>
      <c r="H2659" s="460"/>
      <c r="I2659" s="1259"/>
    </row>
    <row r="2660" spans="1:9" ht="14.55" customHeight="1" x14ac:dyDescent="0.3">
      <c r="A2660" s="1263"/>
      <c r="B2660" s="480"/>
      <c r="C2660" s="59"/>
      <c r="D2660" s="59"/>
      <c r="E2660" s="59"/>
      <c r="F2660" s="460"/>
      <c r="G2660" s="460"/>
      <c r="H2660" s="460"/>
      <c r="I2660" s="1259"/>
    </row>
    <row r="2661" spans="1:9" ht="14.55" customHeight="1" x14ac:dyDescent="0.3">
      <c r="A2661" s="1262" t="s">
        <v>309</v>
      </c>
      <c r="B2661" s="480"/>
      <c r="C2661" s="59"/>
      <c r="D2661" s="59"/>
      <c r="E2661" s="59"/>
      <c r="F2661" s="460"/>
      <c r="G2661" s="460"/>
      <c r="H2661" s="460"/>
      <c r="I2661" s="1259"/>
    </row>
    <row r="2662" spans="1:9" ht="14.55" customHeight="1" x14ac:dyDescent="0.3">
      <c r="A2662" s="1263" t="s">
        <v>310</v>
      </c>
      <c r="B2662" s="480">
        <f>B2591</f>
        <v>0</v>
      </c>
      <c r="C2662" s="59" t="s">
        <v>93</v>
      </c>
      <c r="D2662" s="59"/>
      <c r="E2662" s="59"/>
      <c r="F2662" s="460"/>
      <c r="G2662" s="460"/>
      <c r="H2662" s="460"/>
      <c r="I2662" s="1259"/>
    </row>
    <row r="2663" spans="1:9" ht="14.55" customHeight="1" x14ac:dyDescent="0.3">
      <c r="A2663" s="1263" t="s">
        <v>297</v>
      </c>
      <c r="B2663" s="480">
        <v>15</v>
      </c>
      <c r="C2663" s="59" t="s">
        <v>93</v>
      </c>
      <c r="D2663" s="59"/>
      <c r="E2663" s="59"/>
      <c r="F2663" s="460"/>
      <c r="G2663" s="460"/>
      <c r="H2663" s="460"/>
      <c r="I2663" s="1259"/>
    </row>
    <row r="2664" spans="1:9" ht="14.55" customHeight="1" x14ac:dyDescent="0.3">
      <c r="A2664" s="1263" t="s">
        <v>311</v>
      </c>
      <c r="B2664" s="480">
        <f>B2662^2*PI()/4/1000000</f>
        <v>0</v>
      </c>
      <c r="C2664" s="59" t="s">
        <v>228</v>
      </c>
      <c r="D2664" s="59"/>
      <c r="E2664" s="59"/>
      <c r="F2664" s="460"/>
      <c r="G2664" s="460"/>
      <c r="H2664" s="460"/>
      <c r="I2664" s="1259"/>
    </row>
    <row r="2665" spans="1:9" ht="14.55" customHeight="1" x14ac:dyDescent="0.3">
      <c r="A2665" s="1263" t="s">
        <v>312</v>
      </c>
      <c r="B2665" s="480">
        <f>B2664*B2663/1000*B2657*2/1000</f>
        <v>0</v>
      </c>
      <c r="C2665" s="59" t="s">
        <v>222</v>
      </c>
      <c r="D2665" s="59"/>
      <c r="E2665" s="59"/>
      <c r="F2665" s="460"/>
      <c r="G2665" s="460"/>
      <c r="H2665" s="460"/>
      <c r="I2665" s="1259"/>
    </row>
    <row r="2666" spans="1:9" ht="14.55" customHeight="1" x14ac:dyDescent="0.3">
      <c r="A2666" s="1263"/>
      <c r="B2666" s="480"/>
      <c r="C2666" s="59"/>
      <c r="D2666" s="59"/>
      <c r="E2666" s="59"/>
      <c r="F2666" s="460"/>
      <c r="G2666" s="460"/>
      <c r="H2666" s="460"/>
      <c r="I2666" s="1259"/>
    </row>
    <row r="2667" spans="1:9" ht="14.55" customHeight="1" x14ac:dyDescent="0.3">
      <c r="A2667" s="1263" t="s">
        <v>313</v>
      </c>
      <c r="B2667" s="480">
        <f>B2659+B2665*2</f>
        <v>0</v>
      </c>
      <c r="C2667" s="59" t="s">
        <v>222</v>
      </c>
      <c r="D2667" s="59"/>
      <c r="E2667" s="59"/>
      <c r="F2667" s="460"/>
      <c r="G2667" s="460"/>
      <c r="H2667" s="460"/>
      <c r="I2667" s="1259"/>
    </row>
    <row r="2668" spans="1:9" ht="14.55" customHeight="1" x14ac:dyDescent="0.3">
      <c r="A2668" s="1263"/>
      <c r="B2668" s="480"/>
      <c r="C2668" s="59"/>
      <c r="D2668" s="59"/>
      <c r="E2668" s="59"/>
      <c r="F2668" s="460"/>
      <c r="G2668" s="460"/>
      <c r="H2668" s="460"/>
      <c r="I2668" s="1259"/>
    </row>
    <row r="2669" spans="1:9" ht="14.55" customHeight="1" x14ac:dyDescent="0.3">
      <c r="A2669" s="1260" t="s">
        <v>314</v>
      </c>
      <c r="B2669" s="460"/>
      <c r="C2669" s="460"/>
      <c r="D2669" s="463" t="s">
        <v>315</v>
      </c>
      <c r="E2669" s="460"/>
      <c r="F2669" s="460"/>
      <c r="G2669" s="471" t="s">
        <v>316</v>
      </c>
      <c r="H2669" s="453"/>
      <c r="I2669" s="1259"/>
    </row>
    <row r="2670" spans="1:9" ht="14.55" customHeight="1" x14ac:dyDescent="0.3">
      <c r="A2670" s="1258" t="s">
        <v>189</v>
      </c>
      <c r="B2670" s="468" t="e">
        <f>SUM(B2594,D2594,F2594)</f>
        <v>#N/A</v>
      </c>
      <c r="C2670" s="460" t="s">
        <v>222</v>
      </c>
      <c r="D2670" s="472" t="s">
        <v>189</v>
      </c>
      <c r="E2670" s="468" t="e">
        <f>SUM(B2596,D2596,F2596)</f>
        <v>#N/A</v>
      </c>
      <c r="F2670" s="460" t="s">
        <v>228</v>
      </c>
      <c r="G2670" s="472" t="s">
        <v>189</v>
      </c>
      <c r="H2670" s="453" t="e">
        <f>SUM(B2598,D2598,F2598)</f>
        <v>#N/A</v>
      </c>
      <c r="I2670" s="1259" t="s">
        <v>228</v>
      </c>
    </row>
    <row r="2671" spans="1:9" ht="14.55" customHeight="1" x14ac:dyDescent="0.3">
      <c r="A2671" s="1258" t="s">
        <v>317</v>
      </c>
      <c r="B2671" s="468" t="e">
        <f>SUM(B2604*B2606,D2604*D2606,F2604*F2606)</f>
        <v>#N/A</v>
      </c>
      <c r="C2671" s="460" t="s">
        <v>222</v>
      </c>
      <c r="D2671" s="472" t="s">
        <v>317</v>
      </c>
      <c r="E2671" s="468" t="e">
        <f>SUM(B2604*B2608,D2604*D2608,F2604*F2608)</f>
        <v>#N/A</v>
      </c>
      <c r="F2671" s="460" t="s">
        <v>228</v>
      </c>
      <c r="G2671" s="472" t="s">
        <v>317</v>
      </c>
      <c r="H2671" s="453" t="e">
        <f>SUM(B2604*B2610,D2604*D2610,F2604*F2610)</f>
        <v>#N/A</v>
      </c>
      <c r="I2671" s="1259" t="s">
        <v>228</v>
      </c>
    </row>
    <row r="2672" spans="1:9" ht="14.55" customHeight="1" x14ac:dyDescent="0.3">
      <c r="A2672" s="1258" t="s">
        <v>318</v>
      </c>
      <c r="B2672" s="468" t="e">
        <f>SUM(B2618,D2618,F2618)</f>
        <v>#N/A</v>
      </c>
      <c r="C2672" s="460" t="s">
        <v>222</v>
      </c>
      <c r="D2672" s="472" t="s">
        <v>318</v>
      </c>
      <c r="E2672" s="468" t="e">
        <f>SUM(B2620,D2620,F2620)</f>
        <v>#N/A</v>
      </c>
      <c r="F2672" s="460" t="s">
        <v>228</v>
      </c>
      <c r="G2672" s="472" t="s">
        <v>318</v>
      </c>
      <c r="H2672" s="453" t="e">
        <f>SUM(B2623,D2623,F2623)</f>
        <v>#N/A</v>
      </c>
      <c r="I2672" s="1259" t="s">
        <v>228</v>
      </c>
    </row>
    <row r="2673" spans="1:9" ht="14.55" customHeight="1" x14ac:dyDescent="0.3">
      <c r="A2673" s="1258" t="s">
        <v>319</v>
      </c>
      <c r="B2673" s="468">
        <f>SUMPRODUCT(F2690:F2701,H2690:H2701)</f>
        <v>0</v>
      </c>
      <c r="C2673" s="460" t="s">
        <v>222</v>
      </c>
      <c r="D2673" s="472" t="s">
        <v>319</v>
      </c>
      <c r="E2673" s="468">
        <f>SUMPRODUCT(F2690:F2701,I2690:I2701)</f>
        <v>0</v>
      </c>
      <c r="F2673" s="460" t="s">
        <v>228</v>
      </c>
      <c r="G2673" s="460"/>
      <c r="H2673" s="453"/>
      <c r="I2673" s="1259"/>
    </row>
    <row r="2674" spans="1:9" ht="14.55" customHeight="1" x14ac:dyDescent="0.3">
      <c r="A2674" s="1258" t="s">
        <v>320</v>
      </c>
      <c r="B2674" s="468" t="e">
        <f>IF(B2570="Horizontal",0,(PI()*B2644*(((B2592/2)^2)-(((B2592-2*B2643)/2)^2))*7860)/1000000000)</f>
        <v>#N/A</v>
      </c>
      <c r="C2674" s="460" t="s">
        <v>222</v>
      </c>
      <c r="D2674" s="472" t="s">
        <v>320</v>
      </c>
      <c r="E2674" s="468" t="e">
        <f>IF(B2570="Horizontal",0,((B2592*B2644*PI())+((B2592-2*B2643)*B2644*PI()))/1000000)</f>
        <v>#N/A</v>
      </c>
      <c r="F2674" s="460" t="s">
        <v>228</v>
      </c>
      <c r="G2674" s="471" t="s">
        <v>321</v>
      </c>
      <c r="H2674" s="453"/>
      <c r="I2674" s="1259"/>
    </row>
    <row r="2675" spans="1:9" ht="14.55" customHeight="1" x14ac:dyDescent="0.3">
      <c r="A2675" s="1258" t="s">
        <v>322</v>
      </c>
      <c r="B2675" s="468">
        <f>IF(B2570="Horizontal",0,(PI()*B2647*(((B2646/2)^2)-((B2645/2)^2))*7860)/1000000000)</f>
        <v>0</v>
      </c>
      <c r="C2675" s="460" t="s">
        <v>222</v>
      </c>
      <c r="D2675" s="472" t="s">
        <v>322</v>
      </c>
      <c r="E2675" s="468">
        <f>IF(B2570="Horizontal",0,((B2646*3.14*B2647)+(B2645*3.14*B2647)+(((((B2646/2)^2)*3.14)-(((B2645/2)^2)*3.14))*2))/1000000)</f>
        <v>0</v>
      </c>
      <c r="F2675" s="460" t="s">
        <v>228</v>
      </c>
      <c r="G2675" s="472" t="s">
        <v>189</v>
      </c>
      <c r="H2675" s="453">
        <f>SUM(B2595,D2595,F2595)</f>
        <v>0</v>
      </c>
      <c r="I2675" s="1259" t="s">
        <v>225</v>
      </c>
    </row>
    <row r="2676" spans="1:9" ht="14.55" customHeight="1" x14ac:dyDescent="0.3">
      <c r="A2676" s="1258" t="s">
        <v>323</v>
      </c>
      <c r="B2676" s="468">
        <f>IF(B2570="Horizontal",VLOOKUP(B2592,List!$AR:$AS,2,1)*2,0)</f>
        <v>0</v>
      </c>
      <c r="C2676" s="460" t="s">
        <v>222</v>
      </c>
      <c r="D2676" s="472" t="s">
        <v>323</v>
      </c>
      <c r="E2676" s="725"/>
      <c r="F2676" s="460" t="s">
        <v>228</v>
      </c>
      <c r="G2676" s="472" t="s">
        <v>317</v>
      </c>
      <c r="H2676" s="453" t="e">
        <f>SUM(B2604*B2607+D2604*D2607+F2604*F2607)</f>
        <v>#N/A</v>
      </c>
      <c r="I2676" s="1259" t="s">
        <v>225</v>
      </c>
    </row>
    <row r="2677" spans="1:9" ht="14.55" customHeight="1" x14ac:dyDescent="0.3">
      <c r="A2677" s="1258" t="s">
        <v>324</v>
      </c>
      <c r="B2677" s="468">
        <f>F2646*F2645</f>
        <v>0</v>
      </c>
      <c r="C2677" s="460" t="s">
        <v>222</v>
      </c>
      <c r="D2677" s="460"/>
      <c r="E2677" s="460"/>
      <c r="F2677" s="460"/>
      <c r="G2677" s="472" t="s">
        <v>318</v>
      </c>
      <c r="H2677" s="453">
        <f>SUM(B2619,D2619,F2619)</f>
        <v>0</v>
      </c>
      <c r="I2677" s="1259" t="s">
        <v>225</v>
      </c>
    </row>
    <row r="2678" spans="1:9" ht="14.55" customHeight="1" x14ac:dyDescent="0.3">
      <c r="A2678" s="1258" t="s">
        <v>325</v>
      </c>
      <c r="B2678" s="468">
        <f>B2667</f>
        <v>0</v>
      </c>
      <c r="C2678" s="460" t="s">
        <v>222</v>
      </c>
      <c r="D2678" s="460"/>
      <c r="E2678" s="460"/>
      <c r="F2678" s="460"/>
      <c r="G2678" s="472"/>
      <c r="H2678" s="453"/>
      <c r="I2678" s="1259"/>
    </row>
    <row r="2679" spans="1:9" ht="14.55" customHeight="1" x14ac:dyDescent="0.3">
      <c r="A2679" s="1258" t="s">
        <v>326</v>
      </c>
      <c r="B2679" s="725"/>
      <c r="C2679" s="460" t="s">
        <v>222</v>
      </c>
      <c r="D2679" s="460"/>
      <c r="E2679" s="460"/>
      <c r="F2679" s="460"/>
      <c r="G2679" s="460"/>
      <c r="H2679" s="460"/>
      <c r="I2679" s="1259"/>
    </row>
    <row r="2680" spans="1:9" ht="14.55" customHeight="1" x14ac:dyDescent="0.3">
      <c r="A2680" s="1264"/>
      <c r="B2680" s="460"/>
      <c r="C2680" s="460"/>
      <c r="D2680" s="460"/>
      <c r="E2680" s="460"/>
      <c r="F2680" s="460"/>
      <c r="G2680" s="460"/>
      <c r="H2680" s="460"/>
      <c r="I2680" s="1259"/>
    </row>
    <row r="2681" spans="1:9" ht="14.55" customHeight="1" x14ac:dyDescent="0.3">
      <c r="A2681" s="1258" t="s">
        <v>327</v>
      </c>
      <c r="B2681" s="453" t="e">
        <f>SUM(E2670:E2676)</f>
        <v>#N/A</v>
      </c>
      <c r="C2681" s="460" t="s">
        <v>228</v>
      </c>
      <c r="D2681" s="460"/>
      <c r="E2681" s="460"/>
      <c r="F2681" s="460"/>
      <c r="G2681" s="460"/>
      <c r="H2681" s="460"/>
      <c r="I2681" s="1259"/>
    </row>
    <row r="2682" spans="1:9" ht="14.55" customHeight="1" x14ac:dyDescent="0.3">
      <c r="A2682" s="1258" t="s">
        <v>328</v>
      </c>
      <c r="B2682" s="453" t="e">
        <f>IF(SUM(E2670:E2672)=SUM(H2670:H2672),"Not Insulated",SUM(H2670:H2672))</f>
        <v>#N/A</v>
      </c>
      <c r="C2682" s="460" t="e">
        <f>IF(B2681=SUM(H2670:H2672),"","m2")</f>
        <v>#N/A</v>
      </c>
      <c r="D2682" s="460"/>
      <c r="E2682" s="460"/>
      <c r="F2682" s="460"/>
      <c r="G2682" s="460"/>
      <c r="H2682" s="460"/>
      <c r="I2682" s="1259"/>
    </row>
    <row r="2683" spans="1:9" ht="14.55" customHeight="1" x14ac:dyDescent="0.3">
      <c r="A2683" s="1258" t="s">
        <v>329</v>
      </c>
      <c r="B2683" s="453" t="e">
        <f>SUM(H2675:H2677)</f>
        <v>#N/A</v>
      </c>
      <c r="C2683" s="460" t="s">
        <v>225</v>
      </c>
      <c r="D2683" s="460"/>
      <c r="E2683" s="460"/>
      <c r="F2683" s="460"/>
      <c r="G2683" s="460"/>
      <c r="H2683" s="460"/>
      <c r="I2683" s="1259"/>
    </row>
    <row r="2684" spans="1:9" ht="14.55" customHeight="1" x14ac:dyDescent="0.3">
      <c r="A2684" s="1258" t="s">
        <v>330</v>
      </c>
      <c r="B2684" s="453" t="e">
        <f>SUM(B2670:B2679)</f>
        <v>#N/A</v>
      </c>
      <c r="C2684" s="460" t="s">
        <v>222</v>
      </c>
      <c r="D2684" s="460"/>
      <c r="E2684" s="460"/>
      <c r="F2684" s="460"/>
      <c r="G2684" s="460"/>
      <c r="H2684" s="460"/>
      <c r="I2684" s="1259"/>
    </row>
    <row r="2685" spans="1:9" ht="14.55" customHeight="1" x14ac:dyDescent="0.3">
      <c r="A2685" s="1258" t="s">
        <v>331</v>
      </c>
      <c r="B2685" s="725"/>
      <c r="C2685" s="460" t="s">
        <v>222</v>
      </c>
      <c r="D2685" s="460"/>
      <c r="E2685" s="460"/>
      <c r="F2685" s="460"/>
      <c r="G2685" s="460"/>
      <c r="H2685" s="460"/>
      <c r="I2685" s="1259"/>
    </row>
    <row r="2686" spans="1:9" ht="15" customHeight="1" thickBot="1" x14ac:dyDescent="0.35">
      <c r="A2686" s="1258"/>
      <c r="B2686" s="473"/>
      <c r="C2686" s="459"/>
      <c r="D2686" s="460"/>
      <c r="E2686" s="460"/>
      <c r="F2686" s="460"/>
      <c r="G2686" s="460"/>
      <c r="H2686" s="460"/>
      <c r="I2686" s="1259"/>
    </row>
    <row r="2687" spans="1:9" ht="15" customHeight="1" thickBot="1" x14ac:dyDescent="0.35">
      <c r="A2687" s="474"/>
      <c r="B2687" s="1718" t="s">
        <v>332</v>
      </c>
      <c r="C2687" s="1718"/>
      <c r="D2687" s="1718"/>
      <c r="E2687" s="1718"/>
      <c r="F2687" s="1718"/>
      <c r="G2687" s="475"/>
      <c r="H2687" s="475"/>
      <c r="I2687" s="476"/>
    </row>
    <row r="2688" spans="1:9" ht="14.55" customHeight="1" x14ac:dyDescent="0.3">
      <c r="A2688" s="1264"/>
      <c r="B2688" s="1719" t="s">
        <v>333</v>
      </c>
      <c r="C2688" s="1381" t="s">
        <v>59</v>
      </c>
      <c r="D2688" s="1719" t="s">
        <v>114</v>
      </c>
      <c r="E2688" s="1719" t="s">
        <v>334</v>
      </c>
      <c r="F2688" s="1719" t="s">
        <v>292</v>
      </c>
      <c r="G2688" s="1719" t="s">
        <v>335</v>
      </c>
      <c r="H2688" s="1381" t="s">
        <v>184</v>
      </c>
      <c r="I2688" s="1346" t="s">
        <v>336</v>
      </c>
    </row>
    <row r="2689" spans="1:13" ht="14.55" customHeight="1" x14ac:dyDescent="0.3">
      <c r="A2689" s="1264"/>
      <c r="B2689" s="1720"/>
      <c r="C2689" s="1442" t="s">
        <v>214</v>
      </c>
      <c r="D2689" s="1720"/>
      <c r="E2689" s="1720"/>
      <c r="F2689" s="1720"/>
      <c r="G2689" s="1720"/>
      <c r="H2689" s="1442" t="s">
        <v>222</v>
      </c>
      <c r="I2689" s="1443" t="s">
        <v>228</v>
      </c>
    </row>
    <row r="2690" spans="1:13" ht="14.55" customHeight="1" x14ac:dyDescent="0.3">
      <c r="A2690" s="1264"/>
      <c r="B2690" s="1382" t="s">
        <v>337</v>
      </c>
      <c r="C2690" s="728"/>
      <c r="D2690" s="729"/>
      <c r="E2690" s="730"/>
      <c r="F2690" s="730"/>
      <c r="G2690" s="730"/>
      <c r="H2690" s="1465" t="str">
        <f>IFERROR(VLOOKUP($C2690&amp;"F"&amp;$D2690,'Flanges Chart'!$1:$1048576,MATCH($E2690&amp;"."&amp;H$123,'Flanges Chart'!$1:$1,0),0),"")</f>
        <v/>
      </c>
      <c r="I2690" s="1466" t="str">
        <f>IFERROR(VLOOKUP($C2690&amp;"F"&amp;$D2690,'Flanges Chart'!$1:$1048576,MATCH($E2690&amp;"."&amp;I$123,'Flanges Chart'!$1:$1,0),0),"")</f>
        <v/>
      </c>
    </row>
    <row r="2691" spans="1:13" ht="14.55" customHeight="1" x14ac:dyDescent="0.3">
      <c r="A2691" s="1264"/>
      <c r="B2691" s="1467" t="s">
        <v>340</v>
      </c>
      <c r="C2691" s="731"/>
      <c r="D2691" s="729"/>
      <c r="E2691" s="729"/>
      <c r="F2691" s="729"/>
      <c r="G2691" s="729"/>
      <c r="H2691" s="1465" t="str">
        <f>IFERROR(VLOOKUP($C2691&amp;"F"&amp;$D2691,'Flanges Chart'!$1:$1048576,MATCH($E2691&amp;"."&amp;H$123,'Flanges Chart'!$1:$1,0),0),"")</f>
        <v/>
      </c>
      <c r="I2691" s="1466" t="str">
        <f>IFERROR(VLOOKUP($C2691&amp;"F"&amp;$D2691,'Flanges Chart'!$1:$1048576,MATCH($E2691&amp;"."&amp;I$123,'Flanges Chart'!$1:$1,0),0),"")</f>
        <v/>
      </c>
    </row>
    <row r="2692" spans="1:13" ht="14.55" customHeight="1" x14ac:dyDescent="0.3">
      <c r="A2692" s="1264"/>
      <c r="B2692" s="1467" t="s">
        <v>342</v>
      </c>
      <c r="C2692" s="731"/>
      <c r="D2692" s="729"/>
      <c r="E2692" s="729"/>
      <c r="F2692" s="729"/>
      <c r="G2692" s="729"/>
      <c r="H2692" s="1465" t="str">
        <f>IFERROR(VLOOKUP($C2692&amp;"F"&amp;$D2692,'Flanges Chart'!$1:$1048576,MATCH($E2692&amp;"."&amp;H$123,'Flanges Chart'!$1:$1,0),0),"")</f>
        <v/>
      </c>
      <c r="I2692" s="1466" t="str">
        <f>IFERROR(VLOOKUP($C2692&amp;"F"&amp;$D2692,'Flanges Chart'!$1:$1048576,MATCH($E2692&amp;"."&amp;I$123,'Flanges Chart'!$1:$1,0),0),"")</f>
        <v/>
      </c>
    </row>
    <row r="2693" spans="1:13" ht="14.55" customHeight="1" x14ac:dyDescent="0.3">
      <c r="A2693" s="1264"/>
      <c r="B2693" s="1467" t="s">
        <v>344</v>
      </c>
      <c r="C2693" s="731"/>
      <c r="D2693" s="729"/>
      <c r="E2693" s="729"/>
      <c r="F2693" s="729"/>
      <c r="G2693" s="729"/>
      <c r="H2693" s="1465" t="str">
        <f>IFERROR(VLOOKUP($C2693&amp;"F"&amp;$D2693,'Flanges Chart'!$1:$1048576,MATCH($E2693&amp;"."&amp;H$123,'Flanges Chart'!$1:$1,0),0),"")</f>
        <v/>
      </c>
      <c r="I2693" s="1466" t="str">
        <f>IFERROR(VLOOKUP($C2693&amp;"F"&amp;$D2693,'Flanges Chart'!$1:$1048576,MATCH($E2693&amp;"."&amp;I$123,'Flanges Chart'!$1:$1,0),0),"")</f>
        <v/>
      </c>
    </row>
    <row r="2694" spans="1:13" ht="14.55" customHeight="1" x14ac:dyDescent="0.3">
      <c r="A2694" s="1264"/>
      <c r="B2694" s="1467" t="s">
        <v>347</v>
      </c>
      <c r="C2694" s="731"/>
      <c r="D2694" s="729"/>
      <c r="E2694" s="729"/>
      <c r="F2694" s="729"/>
      <c r="G2694" s="729"/>
      <c r="H2694" s="1465" t="str">
        <f>IFERROR(VLOOKUP($C2694&amp;"F"&amp;$D2694,'Flanges Chart'!$1:$1048576,MATCH($E2694&amp;"."&amp;H$123,'Flanges Chart'!$1:$1,0),0),"")</f>
        <v/>
      </c>
      <c r="I2694" s="1466" t="str">
        <f>IFERROR(VLOOKUP($C2694&amp;"F"&amp;$D2694,'Flanges Chart'!$1:$1048576,MATCH($E2694&amp;"."&amp;I$123,'Flanges Chart'!$1:$1,0),0),"")</f>
        <v/>
      </c>
    </row>
    <row r="2695" spans="1:13" ht="14.55" customHeight="1" x14ac:dyDescent="0.3">
      <c r="A2695" s="1264"/>
      <c r="B2695" s="1467" t="s">
        <v>349</v>
      </c>
      <c r="C2695" s="731"/>
      <c r="D2695" s="729"/>
      <c r="E2695" s="729"/>
      <c r="F2695" s="729"/>
      <c r="G2695" s="729"/>
      <c r="H2695" s="1465" t="str">
        <f>IFERROR(VLOOKUP($C2695&amp;"F"&amp;$D2695,'Flanges Chart'!$1:$1048576,MATCH($E2695&amp;"."&amp;H$123,'Flanges Chart'!$1:$1,0),0),"")</f>
        <v/>
      </c>
      <c r="I2695" s="1466" t="str">
        <f>IFERROR(VLOOKUP($C2695&amp;"F"&amp;$D2695,'Flanges Chart'!$1:$1048576,MATCH($E2695&amp;"."&amp;I$123,'Flanges Chart'!$1:$1,0),0),"")</f>
        <v/>
      </c>
    </row>
    <row r="2696" spans="1:13" ht="14.55" customHeight="1" x14ac:dyDescent="0.3">
      <c r="A2696" s="1264"/>
      <c r="B2696" s="1467" t="s">
        <v>350</v>
      </c>
      <c r="C2696" s="731"/>
      <c r="D2696" s="729"/>
      <c r="E2696" s="729"/>
      <c r="F2696" s="729"/>
      <c r="G2696" s="729"/>
      <c r="H2696" s="1465" t="str">
        <f>IFERROR(VLOOKUP($C2696&amp;"F"&amp;$D2696,'Flanges Chart'!$1:$1048576,MATCH($E2696&amp;"."&amp;H$123,'Flanges Chart'!$1:$1,0),0),"")</f>
        <v/>
      </c>
      <c r="I2696" s="1466" t="str">
        <f>IFERROR(VLOOKUP($C2696&amp;"F"&amp;$D2696,'Flanges Chart'!$1:$1048576,MATCH($E2696&amp;"."&amp;I$123,'Flanges Chart'!$1:$1,0),0),"")</f>
        <v/>
      </c>
    </row>
    <row r="2697" spans="1:13" ht="14.55" customHeight="1" x14ac:dyDescent="0.3">
      <c r="A2697" s="1264"/>
      <c r="B2697" s="1467" t="s">
        <v>351</v>
      </c>
      <c r="C2697" s="731"/>
      <c r="D2697" s="729"/>
      <c r="E2697" s="729"/>
      <c r="F2697" s="729"/>
      <c r="G2697" s="729"/>
      <c r="H2697" s="1465" t="str">
        <f>IFERROR(VLOOKUP($C2697&amp;"F"&amp;$D2697,'Flanges Chart'!$1:$1048576,MATCH($E2697&amp;"."&amp;H$123,'Flanges Chart'!$1:$1,0),0),"")</f>
        <v/>
      </c>
      <c r="I2697" s="1466" t="str">
        <f>IFERROR(VLOOKUP($C2697&amp;"F"&amp;$D2697,'Flanges Chart'!$1:$1048576,MATCH($E2697&amp;"."&amp;I$123,'Flanges Chart'!$1:$1,0),0),"")</f>
        <v/>
      </c>
    </row>
    <row r="2698" spans="1:13" ht="14.55" customHeight="1" x14ac:dyDescent="0.3">
      <c r="A2698" s="1264"/>
      <c r="B2698" s="1467" t="s">
        <v>352</v>
      </c>
      <c r="C2698" s="731"/>
      <c r="D2698" s="729"/>
      <c r="E2698" s="729"/>
      <c r="F2698" s="729"/>
      <c r="G2698" s="729"/>
      <c r="H2698" s="1465" t="str">
        <f>IFERROR(VLOOKUP($C2698&amp;"F"&amp;$D2698,'Flanges Chart'!$1:$1048576,MATCH($E2698&amp;"."&amp;H$123,'Flanges Chart'!$1:$1,0),0),"")</f>
        <v/>
      </c>
      <c r="I2698" s="1466" t="str">
        <f>IFERROR(VLOOKUP($C2698&amp;"F"&amp;$D2698,'Flanges Chart'!$1:$1048576,MATCH($E2698&amp;"."&amp;I$123,'Flanges Chart'!$1:$1,0),0),"")</f>
        <v/>
      </c>
    </row>
    <row r="2699" spans="1:13" ht="14.55" customHeight="1" x14ac:dyDescent="0.3">
      <c r="A2699" s="1264"/>
      <c r="B2699" s="1467" t="s">
        <v>353</v>
      </c>
      <c r="C2699" s="731"/>
      <c r="D2699" s="729"/>
      <c r="E2699" s="729"/>
      <c r="F2699" s="729"/>
      <c r="G2699" s="729"/>
      <c r="H2699" s="1465" t="str">
        <f>IFERROR(VLOOKUP($C2699&amp;"F"&amp;$D2699,'Flanges Chart'!$1:$1048576,MATCH($E2699&amp;"."&amp;H$123,'Flanges Chart'!$1:$1,0),0),"")</f>
        <v/>
      </c>
      <c r="I2699" s="1466" t="str">
        <f>IFERROR(VLOOKUP($C2699&amp;"F"&amp;$D2699,'Flanges Chart'!$1:$1048576,MATCH($E2699&amp;"."&amp;I$123,'Flanges Chart'!$1:$1,0),0),"")</f>
        <v/>
      </c>
    </row>
    <row r="2700" spans="1:13" ht="14.55" customHeight="1" x14ac:dyDescent="0.3">
      <c r="A2700" s="1264"/>
      <c r="B2700" s="1467" t="s">
        <v>354</v>
      </c>
      <c r="C2700" s="731"/>
      <c r="D2700" s="729"/>
      <c r="E2700" s="729"/>
      <c r="F2700" s="729"/>
      <c r="G2700" s="729"/>
      <c r="H2700" s="1465" t="str">
        <f>IFERROR(VLOOKUP($C2700&amp;"F"&amp;$D2700,'Flanges Chart'!$1:$1048576,MATCH($E2700&amp;"."&amp;H$123,'Flanges Chart'!$1:$1,0),0),"")</f>
        <v/>
      </c>
      <c r="I2700" s="1466" t="str">
        <f>IFERROR(VLOOKUP($C2700&amp;"F"&amp;$D2700,'Flanges Chart'!$1:$1048576,MATCH($E2700&amp;"."&amp;I$123,'Flanges Chart'!$1:$1,0),0),"")</f>
        <v/>
      </c>
    </row>
    <row r="2701" spans="1:13" ht="15" customHeight="1" thickBot="1" x14ac:dyDescent="0.35">
      <c r="A2701" s="1264"/>
      <c r="B2701" s="1468" t="s">
        <v>355</v>
      </c>
      <c r="C2701" s="732"/>
      <c r="D2701" s="733"/>
      <c r="E2701" s="733"/>
      <c r="F2701" s="733"/>
      <c r="G2701" s="733"/>
      <c r="H2701" s="1469" t="s">
        <v>356</v>
      </c>
      <c r="I2701" s="1470" t="str">
        <f>IFERROR(VLOOKUP($C2701&amp;"F"&amp;$D2701,'Flanges Chart'!$1:$1048576,MATCH($E2701&amp;"."&amp;I$123,'Flanges Chart'!$1:$1,0),0),"")</f>
        <v/>
      </c>
    </row>
    <row r="2702" spans="1:13" s="496" customFormat="1" ht="18.600000000000001" thickBot="1" x14ac:dyDescent="0.35">
      <c r="A2702" s="493" t="str">
        <f>"POS."&amp;K2702&amp;" "&amp;VLOOKUP(K2702,'Equip&amp;Mach List'!$1:$1048576,2,0)&amp;" "&amp;VLOOKUP(K2702,'Equip&amp;Mach List'!$1:$1048576,3,0)</f>
        <v xml:space="preserve">POS.21  </v>
      </c>
      <c r="B2702" s="511"/>
      <c r="C2702" s="494"/>
      <c r="D2702" s="495"/>
      <c r="E2702" s="495"/>
      <c r="F2702" s="497"/>
      <c r="G2702" s="495"/>
      <c r="H2702" s="495"/>
      <c r="I2702" s="1255" t="str">
        <f>IFERROR("Weight Calc./Selected = "&amp;ROUND(B2819,1)&amp;"/"&amp;B2820&amp;" kg - Øi ="&amp;IF(B2726=0,F2726,B2726)&amp;" mm"&amp;"T/T ="&amp;IF(B2727=0,F2727,B2727)&amp;" mm - Material "&amp;B2713&amp;"        ","")</f>
        <v/>
      </c>
      <c r="K2702" s="496">
        <v>21</v>
      </c>
      <c r="M2702" s="1254"/>
    </row>
    <row r="2703" spans="1:13" ht="14.55" customHeight="1" x14ac:dyDescent="0.3">
      <c r="A2703" s="1256"/>
      <c r="B2703" s="451"/>
      <c r="C2703" s="451"/>
      <c r="D2703" s="451"/>
      <c r="E2703" s="451"/>
      <c r="F2703" s="451"/>
      <c r="G2703" s="451"/>
      <c r="H2703" s="451"/>
      <c r="I2703" s="1257"/>
      <c r="K2703" s="477" t="s">
        <v>166</v>
      </c>
      <c r="L2703" s="477" t="str">
        <f>K2702&amp;"."&amp;K2703</f>
        <v>21.Design Code</v>
      </c>
      <c r="M2703" s="1252" t="str">
        <f>A2704&amp;" "&amp;B2704</f>
        <v xml:space="preserve">ASME VIII </v>
      </c>
    </row>
    <row r="2704" spans="1:13" ht="14.55" customHeight="1" x14ac:dyDescent="0.3">
      <c r="A2704" s="1258" t="s">
        <v>167</v>
      </c>
      <c r="B2704" s="718"/>
      <c r="C2704" s="459"/>
      <c r="D2704" s="460"/>
      <c r="E2704" s="460"/>
      <c r="F2704" s="460"/>
      <c r="G2704" s="460"/>
      <c r="H2704" s="460"/>
      <c r="I2704" s="1259"/>
      <c r="K2704" s="477" t="s">
        <v>169</v>
      </c>
      <c r="L2704" s="477" t="str">
        <f>K2702&amp;"."&amp;K2704</f>
        <v>21.Orientation</v>
      </c>
      <c r="M2704" s="1252">
        <f>B2705</f>
        <v>0</v>
      </c>
    </row>
    <row r="2705" spans="1:13" ht="14.55" customHeight="1" x14ac:dyDescent="0.3">
      <c r="A2705" s="1258" t="s">
        <v>170</v>
      </c>
      <c r="B2705" s="718"/>
      <c r="C2705" s="459"/>
      <c r="D2705" s="460"/>
      <c r="E2705" s="460"/>
      <c r="F2705" s="461"/>
      <c r="G2705" s="460"/>
      <c r="H2705" s="460"/>
      <c r="I2705" s="1259"/>
      <c r="K2705" s="477" t="s">
        <v>172</v>
      </c>
      <c r="L2705" s="477" t="str">
        <f>K2702&amp;"."&amp;K2705</f>
        <v>21.Design Temperature</v>
      </c>
      <c r="M2705" s="1252">
        <f>D2708</f>
        <v>0</v>
      </c>
    </row>
    <row r="2706" spans="1:13" ht="14.55" customHeight="1" x14ac:dyDescent="0.3">
      <c r="A2706" s="1258"/>
      <c r="B2706" s="459"/>
      <c r="C2706" s="459"/>
      <c r="D2706" s="460"/>
      <c r="E2706" s="460"/>
      <c r="F2706" s="462"/>
      <c r="G2706" s="460"/>
      <c r="H2706" s="460"/>
      <c r="I2706" s="1259"/>
      <c r="K2706" s="477" t="s">
        <v>173</v>
      </c>
      <c r="L2706" s="477" t="str">
        <f>K2702&amp;"."&amp;K2706</f>
        <v>21.Design Pressure</v>
      </c>
      <c r="M2706" s="1252">
        <f>D2709</f>
        <v>0</v>
      </c>
    </row>
    <row r="2707" spans="1:13" ht="14.55" customHeight="1" x14ac:dyDescent="0.3">
      <c r="A2707" s="1260" t="s">
        <v>174</v>
      </c>
      <c r="B2707" s="459"/>
      <c r="C2707" s="459"/>
      <c r="D2707" s="460"/>
      <c r="E2707" s="460"/>
      <c r="F2707" s="462"/>
      <c r="G2707" s="460"/>
      <c r="H2707" s="460"/>
      <c r="I2707" s="1259"/>
      <c r="K2707" s="477" t="s">
        <v>175</v>
      </c>
      <c r="L2707" s="477" t="str">
        <f>K2702&amp;"."&amp;K2707</f>
        <v>21.Material</v>
      </c>
      <c r="M2707" s="1252">
        <f>B2713</f>
        <v>0</v>
      </c>
    </row>
    <row r="2708" spans="1:13" ht="14.55" customHeight="1" x14ac:dyDescent="0.3">
      <c r="A2708" s="1258" t="s">
        <v>176</v>
      </c>
      <c r="B2708" s="719"/>
      <c r="C2708" s="720" t="s">
        <v>177</v>
      </c>
      <c r="D2708" s="464">
        <f>IF(C2708="°C",B2708,0)+IF(C2708="°F",(B2708-32)*5/9,0)</f>
        <v>0</v>
      </c>
      <c r="E2708" s="460" t="s">
        <v>177</v>
      </c>
      <c r="F2708" s="462"/>
      <c r="G2708" s="460"/>
      <c r="H2708" s="460"/>
      <c r="I2708" s="1259"/>
      <c r="K2708" s="477" t="s">
        <v>178</v>
      </c>
      <c r="L2708" s="477" t="str">
        <f>K2702&amp;"."&amp;K2708</f>
        <v>21.Inside Diameter</v>
      </c>
      <c r="M2708" s="1252">
        <f>IF(B2726=0,F2726,B2726)</f>
        <v>0</v>
      </c>
    </row>
    <row r="2709" spans="1:13" ht="14.55" customHeight="1" x14ac:dyDescent="0.3">
      <c r="A2709" s="1258" t="s">
        <v>179</v>
      </c>
      <c r="B2709" s="721"/>
      <c r="C2709" s="720" t="s">
        <v>180</v>
      </c>
      <c r="D2709" s="452">
        <f>IF(C2709="barg",B2709,0)+IF(C2709="psig",B2709*List!$AV$4,0)+IF(C2709="MPa",B2709*List!$AV$5,0)+IF(C2709="N/mm2",B2709*List!$AV$6,0)</f>
        <v>0</v>
      </c>
      <c r="E2709" s="460" t="s">
        <v>180</v>
      </c>
      <c r="F2709" s="460"/>
      <c r="G2709" s="460"/>
      <c r="H2709" s="460"/>
      <c r="I2709" s="1259"/>
      <c r="K2709" s="477" t="s">
        <v>181</v>
      </c>
      <c r="L2709" s="477" t="str">
        <f>K2702&amp;"."&amp;K2709</f>
        <v>21.Tan / Tan</v>
      </c>
      <c r="M2709" s="1252">
        <f>IF(B2728=0,F2728,B2728)</f>
        <v>0</v>
      </c>
    </row>
    <row r="2710" spans="1:13" ht="14.55" customHeight="1" x14ac:dyDescent="0.3">
      <c r="A2710" s="1258" t="s">
        <v>182</v>
      </c>
      <c r="B2710" s="721"/>
      <c r="C2710" s="720" t="s">
        <v>180</v>
      </c>
      <c r="D2710" s="452">
        <f>IF(C2710="barg",B2710,0)+IF(C2710="psig",B2710*List!$AV$4,0)+IF(C2710="MPa",B2710*List!$AV$5,0)+IF(C2710="N/mm2",B2710*List!$AV$6,0)</f>
        <v>0</v>
      </c>
      <c r="E2710" s="460" t="s">
        <v>180</v>
      </c>
      <c r="F2710" s="460"/>
      <c r="G2710" s="465"/>
      <c r="H2710" s="460"/>
      <c r="I2710" s="1259"/>
      <c r="K2710" s="477" t="s">
        <v>183</v>
      </c>
      <c r="L2710" s="477" t="str">
        <f>K2702&amp;"."&amp;K2710</f>
        <v>21.Thickness</v>
      </c>
      <c r="M2710" s="1252" t="e">
        <f>IF(B2767=0,F2771,B2767)</f>
        <v>#N/A</v>
      </c>
    </row>
    <row r="2711" spans="1:13" ht="14.55" customHeight="1" x14ac:dyDescent="0.3">
      <c r="A2711" s="1258"/>
      <c r="B2711" s="459"/>
      <c r="C2711" s="459"/>
      <c r="D2711" s="460"/>
      <c r="E2711" s="460"/>
      <c r="F2711" s="460"/>
      <c r="G2711" s="465"/>
      <c r="H2711" s="460"/>
      <c r="I2711" s="1259"/>
      <c r="K2711" s="477" t="s">
        <v>184</v>
      </c>
      <c r="L2711" s="477" t="str">
        <f>K2702&amp;"."&amp;K2711</f>
        <v>21.Unit Weight</v>
      </c>
      <c r="M2711" s="1252">
        <f>B2820</f>
        <v>0</v>
      </c>
    </row>
    <row r="2712" spans="1:13" ht="14.55" customHeight="1" x14ac:dyDescent="0.3">
      <c r="A2712" s="1260" t="s">
        <v>185</v>
      </c>
      <c r="B2712" s="459" t="s">
        <v>186</v>
      </c>
      <c r="C2712" s="459"/>
      <c r="D2712" s="460"/>
      <c r="E2712" s="460"/>
      <c r="F2712" s="460" t="s">
        <v>187</v>
      </c>
      <c r="G2712" s="465"/>
      <c r="H2712" s="460"/>
      <c r="I2712" s="1259"/>
      <c r="K2712" s="478" t="s">
        <v>188</v>
      </c>
      <c r="L2712" s="477" t="str">
        <f>K2702&amp;"."&amp;K2712</f>
        <v>21.Unit External Surface</v>
      </c>
      <c r="M2712" s="1252" t="e">
        <f>B2816</f>
        <v>#N/A</v>
      </c>
    </row>
    <row r="2713" spans="1:13" ht="14.55" customHeight="1" x14ac:dyDescent="0.3">
      <c r="A2713" s="1258" t="s">
        <v>189</v>
      </c>
      <c r="B2713" s="1716"/>
      <c r="C2713" s="1717"/>
      <c r="D2713" s="460"/>
      <c r="E2713" s="461"/>
      <c r="F2713" s="1716"/>
      <c r="G2713" s="1717"/>
      <c r="H2713" s="460"/>
      <c r="I2713" s="1259"/>
      <c r="K2713" s="477" t="s">
        <v>191</v>
      </c>
      <c r="L2713" s="477" t="str">
        <f>K2702&amp;"."&amp;K2713</f>
        <v>21.M1 DN</v>
      </c>
      <c r="M2713" s="1252">
        <f>C2834</f>
        <v>0</v>
      </c>
    </row>
    <row r="2714" spans="1:13" ht="14.55" customHeight="1" x14ac:dyDescent="0.3">
      <c r="A2714" s="1258" t="s">
        <v>192</v>
      </c>
      <c r="B2714" s="1716"/>
      <c r="C2714" s="1717"/>
      <c r="D2714" s="460"/>
      <c r="E2714" s="461"/>
      <c r="F2714" s="1716"/>
      <c r="G2714" s="1717"/>
      <c r="H2714" s="460"/>
      <c r="I2714" s="1259"/>
      <c r="K2714" s="477" t="s">
        <v>193</v>
      </c>
      <c r="L2714" s="477" t="str">
        <f>K2702&amp;"."&amp;K2714</f>
        <v>21.M1 Rating</v>
      </c>
      <c r="M2714" s="1252">
        <f>D2834</f>
        <v>0</v>
      </c>
    </row>
    <row r="2715" spans="1:13" ht="14.55" customHeight="1" x14ac:dyDescent="0.3">
      <c r="A2715" s="1258"/>
      <c r="B2715" s="466"/>
      <c r="C2715" s="466"/>
      <c r="D2715" s="460"/>
      <c r="E2715" s="460"/>
      <c r="F2715" s="460"/>
      <c r="G2715" s="460"/>
      <c r="H2715" s="460"/>
      <c r="I2715" s="1259"/>
      <c r="K2715" s="477" t="s">
        <v>194</v>
      </c>
      <c r="L2715" s="477" t="str">
        <f>K2702&amp;"."&amp;K2715</f>
        <v>21.M1 Type</v>
      </c>
      <c r="M2715" s="1252">
        <f>E2834</f>
        <v>0</v>
      </c>
    </row>
    <row r="2716" spans="1:13" ht="14.55" customHeight="1" x14ac:dyDescent="0.3">
      <c r="A2716" s="1258" t="s">
        <v>195</v>
      </c>
      <c r="B2716" s="460"/>
      <c r="C2716" s="460"/>
      <c r="D2716" s="460"/>
      <c r="E2716" s="460"/>
      <c r="F2716" s="460"/>
      <c r="G2716" s="460"/>
      <c r="H2716" s="460"/>
      <c r="I2716" s="1259"/>
      <c r="K2716" s="477" t="s">
        <v>196</v>
      </c>
      <c r="L2716" s="477" t="str">
        <f>K2702&amp;"."&amp;K2716</f>
        <v>21.M1 Quantity</v>
      </c>
      <c r="M2716" s="1252">
        <f>F2834</f>
        <v>0</v>
      </c>
    </row>
    <row r="2717" spans="1:13" ht="14.55" customHeight="1" x14ac:dyDescent="0.3">
      <c r="A2717" s="1258" t="s">
        <v>197</v>
      </c>
      <c r="B2717" s="464" t="e">
        <f>$D2708*(VLOOKUP($B2713,'ASME II Tab 1A'!$1:$1048576,MATCH($D2708,'ASME II Tab 1A'!$6:$6,1)+1,0)-VLOOKUP($B2713,'ASME II Tab 1A'!$1:$1048576,MATCH($D2708,'ASME II Tab 1A'!$6:$6,1),0))/(INDEX('ASME II Tab 1A'!$6:$6,MATCH($D2708,'ASME II Tab 1A'!$6:$6,1)+1)-INDEX('ASME II Tab 1A'!$6:$6,MATCH($D2708,'ASME II Tab 1A'!$6:$6,1)))+VLOOKUP($B2713,'ASME II Tab 1A'!$1:$1048576,MATCH($D2708,'ASME II Tab 1A'!$6:$6,1)+1,0)-INDEX('ASME II Tab 1A'!$6:$6,MATCH($D2708,'ASME II Tab 1A'!$6:$6,1)+1)*(VLOOKUP($B2713,'ASME II Tab 1A'!$1:$1048576,MATCH($D2708,'ASME II Tab 1A'!$6:$6,1)+1,0)-VLOOKUP($B2713,'ASME II Tab 1A'!$1:$1048576,MATCH($D2708,'ASME II Tab 1A'!$6:$6,1),0))/(INDEX('ASME II Tab 1A'!$6:$6,MATCH($D2708,'ASME II Tab 1A'!$6:$6,1)+1)-INDEX('ASME II Tab 1A'!$6:$6,MATCH($D2708,'ASME II Tab 1A'!$6:$6,1)))</f>
        <v>#N/A</v>
      </c>
      <c r="C2717" s="460" t="s">
        <v>198</v>
      </c>
      <c r="D2717" s="460"/>
      <c r="E2717" s="467"/>
      <c r="F2717" s="460" t="e">
        <f>$D2708*(VLOOKUP($F2713,'ASME II Tab 1A'!$1:$1048576,MATCH($D2708,'ASME II Tab 1A'!$6:$6,1)+1,0)-VLOOKUP($F2713,'ASME II Tab 1A'!$1:$1048576,MATCH($D2708,'ASME II Tab 1A'!$6:$6,1),0))/(INDEX('ASME II Tab 1A'!$6:$6,MATCH($D2708,'ASME II Tab 1A'!$6:$6,1)+1)-INDEX('ASME II Tab 1A'!$6:$6,MATCH($D2708,'ASME II Tab 1A'!$6:$6,1)))+VLOOKUP($F2713,'ASME II Tab 1A'!$1:$1048576,MATCH($D2708,'ASME II Tab 1A'!$6:$6,1)+1,0)-INDEX('ASME II Tab 1A'!$6:$6,MATCH($D2708,'ASME II Tab 1A'!$6:$6,1)+1)*(VLOOKUP($F2713,'ASME II Tab 1A'!$1:$1048576,MATCH($D2708,'ASME II Tab 1A'!$6:$6,1)+1,0)-VLOOKUP($F2713,'ASME II Tab 1A'!$1:$1048576,MATCH($D2708,'ASME II Tab 1A'!$6:$6,1),0))/(INDEX('ASME II Tab 1A'!$6:$6,MATCH($D2708,'ASME II Tab 1A'!$6:$6,1)+1)-INDEX('ASME II Tab 1A'!$6:$6,MATCH($D2708,'ASME II Tab 1A'!$6:$6,1)))</f>
        <v>#N/A</v>
      </c>
      <c r="G2717" s="460" t="s">
        <v>198</v>
      </c>
      <c r="H2717" s="460"/>
      <c r="I2717" s="1259"/>
      <c r="K2717" s="477" t="s">
        <v>199</v>
      </c>
      <c r="L2717" s="477" t="str">
        <f>K2702&amp;"."&amp;K2717</f>
        <v>21.M2 DN</v>
      </c>
      <c r="M2717" s="1252">
        <f>C2835</f>
        <v>0</v>
      </c>
    </row>
    <row r="2718" spans="1:13" ht="14.55" customHeight="1" x14ac:dyDescent="0.3">
      <c r="A2718" s="1258" t="s">
        <v>200</v>
      </c>
      <c r="B2718" s="464" t="e">
        <f>$D2708*(VLOOKUP($B2714,'ASME II Tab 1A'!$1:$1048576,MATCH($D2708,'ASME II Tab 1A'!$6:$6,1)+1,0)-VLOOKUP($B2714,'ASME II Tab 1A'!$1:$1048576,MATCH($D2708,'ASME II Tab 1A'!$6:$6,1),0))/(INDEX('ASME II Tab 1A'!$6:$6,MATCH($D2708,'ASME II Tab 1A'!$6:$6,1)+1)-INDEX('ASME II Tab 1A'!$6:$6,MATCH($D2708,'ASME II Tab 1A'!$6:$6,1)))+VLOOKUP($B2714,'ASME II Tab 1A'!$1:$1048576,MATCH($D2708,'ASME II Tab 1A'!$6:$6,1)+1,0)-INDEX('ASME II Tab 1A'!$6:$6,MATCH($D2708,'ASME II Tab 1A'!$6:$6,1)+1)*(VLOOKUP($B2714,'ASME II Tab 1A'!$1:$1048576,MATCH($D2708,'ASME II Tab 1A'!$6:$6,1)+1,0)-VLOOKUP($B2714,'ASME II Tab 1A'!$1:$1048576,MATCH($D2708,'ASME II Tab 1A'!$6:$6,1),0))/(INDEX('ASME II Tab 1A'!$6:$6,MATCH($D2708,'ASME II Tab 1A'!$6:$6,1)+1)-INDEX('ASME II Tab 1A'!$6:$6,MATCH($D2708,'ASME II Tab 1A'!$6:$6,1)))</f>
        <v>#N/A</v>
      </c>
      <c r="C2718" s="460" t="s">
        <v>198</v>
      </c>
      <c r="D2718" s="460"/>
      <c r="E2718" s="460"/>
      <c r="F2718" s="460" t="e">
        <f>$D2708*(VLOOKUP($F2714,'ASME II Tab 1A'!$1:$1048576,MATCH($D2708,'ASME II Tab 1A'!$6:$6,1)+1,0)-VLOOKUP($F2714,'ASME II Tab 1A'!$1:$1048576,MATCH($D2708,'ASME II Tab 1A'!$6:$6,1),0))/(INDEX('ASME II Tab 1A'!$6:$6,MATCH($D2708,'ASME II Tab 1A'!$6:$6,1)+1)-INDEX('ASME II Tab 1A'!$6:$6,MATCH($D2708,'ASME II Tab 1A'!$6:$6,1)))+VLOOKUP($F2714,'ASME II Tab 1A'!$1:$1048576,MATCH($D2708,'ASME II Tab 1A'!$6:$6,1)+1,0)-INDEX('ASME II Tab 1A'!$6:$6,MATCH($D2708,'ASME II Tab 1A'!$6:$6,1)+1)*(VLOOKUP($F2714,'ASME II Tab 1A'!$1:$1048576,MATCH($D2708,'ASME II Tab 1A'!$6:$6,1)+1,0)-VLOOKUP($F2714,'ASME II Tab 1A'!$1:$1048576,MATCH($D2708,'ASME II Tab 1A'!$6:$6,1),0))/(INDEX('ASME II Tab 1A'!$6:$6,MATCH($D2708,'ASME II Tab 1A'!$6:$6,1)+1)-INDEX('ASME II Tab 1A'!$6:$6,MATCH($D2708,'ASME II Tab 1A'!$6:$6,1)))</f>
        <v>#N/A</v>
      </c>
      <c r="G2718" s="460" t="s">
        <v>198</v>
      </c>
      <c r="H2718" s="460"/>
      <c r="I2718" s="1259"/>
      <c r="K2718" s="477" t="s">
        <v>201</v>
      </c>
      <c r="L2718" s="477" t="str">
        <f>K2702&amp;"."&amp;K2718</f>
        <v>21.M2 Rating</v>
      </c>
      <c r="M2718" s="1252">
        <f>D2835</f>
        <v>0</v>
      </c>
    </row>
    <row r="2719" spans="1:13" ht="14.55" customHeight="1" x14ac:dyDescent="0.3">
      <c r="A2719" s="1258" t="s">
        <v>202</v>
      </c>
      <c r="B2719" s="460"/>
      <c r="C2719" s="460"/>
      <c r="D2719" s="460"/>
      <c r="E2719" s="460"/>
      <c r="F2719" s="460"/>
      <c r="G2719" s="460"/>
      <c r="H2719" s="460"/>
      <c r="I2719" s="1259"/>
      <c r="K2719" s="477" t="s">
        <v>203</v>
      </c>
      <c r="L2719" s="477" t="str">
        <f>K2702&amp;"."&amp;K2719</f>
        <v>21.M2 Type</v>
      </c>
      <c r="M2719" s="1252">
        <f>E2835</f>
        <v>0</v>
      </c>
    </row>
    <row r="2720" spans="1:13" ht="14.55" customHeight="1" x14ac:dyDescent="0.3">
      <c r="A2720" s="1258" t="s">
        <v>197</v>
      </c>
      <c r="B2720" s="464" t="e">
        <f>$D2708*(VLOOKUP($B2713,'ASME II Tab 5A'!$1:$1048576,MATCH($D2708,'ASME II Tab 5A'!$5:$5,1)+1,0)-VLOOKUP($B2713,'ASME II Tab 5A'!$1:$1048576,MATCH($D2708,'ASME II Tab 5A'!$5:$5,1),0))/(INDEX('ASME II Tab 5A'!$5:$5,MATCH($D2708,'ASME II Tab 5A'!$5:$5,1)+1)-INDEX('ASME II Tab 5A'!$5:$5,MATCH($D2708,'ASME II Tab 5A'!$5:$5,1)))+VLOOKUP($B2713,'ASME II Tab 5A'!$1:$1048576,MATCH($D2708,'ASME II Tab 5A'!$5:$5,1)+1,0)-INDEX('ASME II Tab 5A'!$5:$5,MATCH($D2708,'ASME II Tab 5A'!$5:$5,1)+1)*(VLOOKUP($B2713,'ASME II Tab 5A'!$1:$1048576,MATCH($D2708,'ASME II Tab 5A'!$5:$5,1)+1,0)-VLOOKUP($B2713,'ASME II Tab 5A'!$1:$1048576,MATCH($D2708,'ASME II Tab 5A'!$5:$5,1),0))/(INDEX('ASME II Tab 5A'!$5:$5,MATCH($D2708,'ASME II Tab 5A'!$5:$5,1)+1)-INDEX('ASME II Tab 5A'!$5:$5,MATCH($D2708,'ASME II Tab 5A'!$5:$5,1)))</f>
        <v>#N/A</v>
      </c>
      <c r="C2720" s="460" t="s">
        <v>198</v>
      </c>
      <c r="D2720" s="460"/>
      <c r="E2720" s="460"/>
      <c r="F2720" s="460" t="e">
        <f>$D2708*(VLOOKUP($F2713,'ASME II Tab 5A'!$1:$1048576,MATCH($D2708,'ASME II Tab 5A'!$5:$5,1)+1,0)-VLOOKUP($F2713,'ASME II Tab 5A'!$1:$1048576,MATCH($D2708,'ASME II Tab 5A'!$5:$5,1),0))/(INDEX('ASME II Tab 5A'!$5:$5,MATCH($D2708,'ASME II Tab 5A'!$5:$5,1)+1)-INDEX('ASME II Tab 5A'!$5:$5,MATCH($D2708,'ASME II Tab 5A'!$5:$5,1)))+VLOOKUP($F2713,'ASME II Tab 5A'!$1:$1048576,MATCH($D2708,'ASME II Tab 5A'!$5:$5,1)+1,0)-INDEX('ASME II Tab 5A'!$5:$5,MATCH($D2708,'ASME II Tab 5A'!$5:$5,1)+1)*(VLOOKUP($F2713,'ASME II Tab 5A'!$1:$1048576,MATCH($D2708,'ASME II Tab 5A'!$5:$5,1)+1,0)-VLOOKUP($F2713,'ASME II Tab 5A'!$1:$1048576,MATCH($D2708,'ASME II Tab 5A'!$5:$5,1),0))/(INDEX('ASME II Tab 5A'!$5:$5,MATCH($D2708,'ASME II Tab 5A'!$5:$5,1)+1)-INDEX('ASME II Tab 5A'!$5:$5,MATCH($D2708,'ASME II Tab 5A'!$5:$5,1)))</f>
        <v>#N/A</v>
      </c>
      <c r="G2720" s="460" t="s">
        <v>198</v>
      </c>
      <c r="H2720" s="460"/>
      <c r="I2720" s="1259"/>
      <c r="K2720" s="477" t="s">
        <v>204</v>
      </c>
      <c r="L2720" s="477" t="str">
        <f>K2702&amp;"."&amp;K2720</f>
        <v>21.M2 Quantity</v>
      </c>
      <c r="M2720" s="1252">
        <f>F2835</f>
        <v>0</v>
      </c>
    </row>
    <row r="2721" spans="1:13" ht="14.55" customHeight="1" x14ac:dyDescent="0.3">
      <c r="A2721" s="1258" t="s">
        <v>200</v>
      </c>
      <c r="B2721" s="464" t="e">
        <f>$D2708*(VLOOKUP($B2714,'ASME II Tab 5A'!$1:$1048576,MATCH($D2708,'ASME II Tab 5A'!$5:$5,1)+1,0)-VLOOKUP($B2714,'ASME II Tab 5A'!$1:$1048576,MATCH($D2708,'ASME II Tab 5A'!$5:$5,1),0))/(INDEX('ASME II Tab 5A'!$5:$5,MATCH($D2708,'ASME II Tab 5A'!$5:$5,1)+1)-INDEX('ASME II Tab 5A'!$5:$5,MATCH($D2708,'ASME II Tab 5A'!$5:$5,1)))+VLOOKUP($B2714,'ASME II Tab 5A'!$1:$1048576,MATCH($D2708,'ASME II Tab 5A'!$5:$5,1)+1,0)-INDEX('ASME II Tab 5A'!$5:$5,MATCH($D2708,'ASME II Tab 5A'!$5:$5,1)+1)*(VLOOKUP($B2714,'ASME II Tab 5A'!$1:$1048576,MATCH($D2708,'ASME II Tab 5A'!$5:$5,1)+1,0)-VLOOKUP($B2714,'ASME II Tab 5A'!$1:$1048576,MATCH($D2708,'ASME II Tab 5A'!$5:$5,1),0))/(INDEX('ASME II Tab 5A'!$5:$5,MATCH($D2708,'ASME II Tab 5A'!$5:$5,1)+1)-INDEX('ASME II Tab 5A'!$5:$5,MATCH($D2708,'ASME II Tab 5A'!$5:$5,1)))</f>
        <v>#N/A</v>
      </c>
      <c r="C2721" s="460" t="s">
        <v>198</v>
      </c>
      <c r="D2721" s="460"/>
      <c r="E2721" s="460"/>
      <c r="F2721" s="460" t="e">
        <f>$D2708*(VLOOKUP($F2714,'ASME II Tab 5A'!$1:$1048576,MATCH($D2708,'ASME II Tab 5A'!$5:$5,1)+1,0)-VLOOKUP($F2714,'ASME II Tab 5A'!$1:$1048576,MATCH($D2708,'ASME II Tab 5A'!$5:$5,1),0))/(INDEX('ASME II Tab 5A'!$5:$5,MATCH($D2708,'ASME II Tab 5A'!$5:$5,1)+1)-INDEX('ASME II Tab 5A'!$5:$5,MATCH($D2708,'ASME II Tab 5A'!$5:$5,1)))+VLOOKUP($F2714,'ASME II Tab 5A'!$1:$1048576,MATCH($D2708,'ASME II Tab 5A'!$5:$5,1)+1,0)-INDEX('ASME II Tab 5A'!$5:$5,MATCH($D2708,'ASME II Tab 5A'!$5:$5,1)+1)*(VLOOKUP($F2714,'ASME II Tab 5A'!$1:$1048576,MATCH($D2708,'ASME II Tab 5A'!$5:$5,1)+1,0)-VLOOKUP($F2714,'ASME II Tab 5A'!$1:$1048576,MATCH($D2708,'ASME II Tab 5A'!$5:$5,1),0))/(INDEX('ASME II Tab 5A'!$5:$5,MATCH($D2708,'ASME II Tab 5A'!$5:$5,1)+1)-INDEX('ASME II Tab 5A'!$5:$5,MATCH($D2708,'ASME II Tab 5A'!$5:$5,1)))</f>
        <v>#N/A</v>
      </c>
      <c r="G2721" s="460" t="s">
        <v>198</v>
      </c>
      <c r="H2721" s="460"/>
      <c r="I2721" s="1259"/>
      <c r="K2721" s="477" t="s">
        <v>205</v>
      </c>
      <c r="L2721" s="477" t="str">
        <f>K2702&amp;"."&amp;K2721</f>
        <v>21.M3 DN</v>
      </c>
      <c r="M2721" s="1252">
        <f>C2836</f>
        <v>0</v>
      </c>
    </row>
    <row r="2722" spans="1:13" ht="14.55" customHeight="1" x14ac:dyDescent="0.3">
      <c r="A2722" s="1258"/>
      <c r="B2722" s="460"/>
      <c r="C2722" s="460"/>
      <c r="D2722" s="460"/>
      <c r="E2722" s="460"/>
      <c r="F2722" s="460"/>
      <c r="G2722" s="460"/>
      <c r="H2722" s="460"/>
      <c r="I2722" s="1259"/>
      <c r="K2722" s="477" t="s">
        <v>206</v>
      </c>
      <c r="L2722" s="477" t="str">
        <f>K2702&amp;"."&amp;K2722</f>
        <v>21.M3 Rating</v>
      </c>
      <c r="M2722" s="1252">
        <f>D2836</f>
        <v>0</v>
      </c>
    </row>
    <row r="2723" spans="1:13" ht="14.55" customHeight="1" x14ac:dyDescent="0.3">
      <c r="A2723" s="1260" t="s">
        <v>207</v>
      </c>
      <c r="B2723" s="453"/>
      <c r="C2723" s="460"/>
      <c r="D2723" s="453"/>
      <c r="E2723" s="460"/>
      <c r="F2723" s="453"/>
      <c r="G2723" s="460"/>
      <c r="H2723" s="460"/>
      <c r="I2723" s="1259"/>
      <c r="K2723" s="477" t="s">
        <v>208</v>
      </c>
      <c r="L2723" s="477" t="str">
        <f>K2702&amp;"."&amp;K2723</f>
        <v>21.M3 Type</v>
      </c>
      <c r="M2723" s="1252">
        <f>E2836</f>
        <v>0</v>
      </c>
    </row>
    <row r="2724" spans="1:13" ht="14.55" customHeight="1" x14ac:dyDescent="0.3">
      <c r="A2724" s="1260"/>
      <c r="B2724" s="305" t="s">
        <v>209</v>
      </c>
      <c r="C2724" s="460"/>
      <c r="D2724" s="305" t="s">
        <v>210</v>
      </c>
      <c r="E2724" s="460"/>
      <c r="F2724" s="305" t="s">
        <v>211</v>
      </c>
      <c r="G2724" s="460"/>
      <c r="H2724" s="460"/>
      <c r="I2724" s="1259"/>
      <c r="K2724" s="477" t="s">
        <v>212</v>
      </c>
      <c r="L2724" s="477" t="str">
        <f>K2702&amp;"."&amp;K2724</f>
        <v>21.M3 Quantity</v>
      </c>
      <c r="M2724" s="1252">
        <f>F2836</f>
        <v>0</v>
      </c>
    </row>
    <row r="2725" spans="1:13" ht="14.55" customHeight="1" x14ac:dyDescent="0.3">
      <c r="A2725" s="1258" t="s">
        <v>213</v>
      </c>
      <c r="B2725" s="305"/>
      <c r="C2725" s="460"/>
      <c r="D2725" s="305"/>
      <c r="E2725" s="460"/>
      <c r="F2725" s="723"/>
      <c r="G2725" s="460" t="s">
        <v>214</v>
      </c>
      <c r="H2725" s="460"/>
      <c r="I2725" s="1259"/>
      <c r="K2725" s="477" t="s">
        <v>215</v>
      </c>
      <c r="L2725" s="477" t="str">
        <f>K2702&amp;"."&amp;K2725</f>
        <v>21.Shell insulation thk 1</v>
      </c>
      <c r="M2725" s="1252">
        <f>B2773</f>
        <v>0</v>
      </c>
    </row>
    <row r="2726" spans="1:13" ht="14.55" customHeight="1" x14ac:dyDescent="0.3">
      <c r="A2726" s="1258" t="s">
        <v>216</v>
      </c>
      <c r="B2726" s="722"/>
      <c r="C2726" s="460" t="s">
        <v>93</v>
      </c>
      <c r="D2726" s="722"/>
      <c r="E2726" s="460" t="s">
        <v>93</v>
      </c>
      <c r="F2726" s="468">
        <f>F2727-2*F2771</f>
        <v>0</v>
      </c>
      <c r="G2726" s="460" t="s">
        <v>93</v>
      </c>
      <c r="H2726" s="460"/>
      <c r="I2726" s="1259"/>
      <c r="K2726" s="477" t="s">
        <v>217</v>
      </c>
      <c r="L2726" s="477" t="str">
        <f>K2702&amp;"."&amp;K2726</f>
        <v>21.Head insulation thk 1</v>
      </c>
      <c r="M2726" s="1252">
        <f>B2774</f>
        <v>0</v>
      </c>
    </row>
    <row r="2727" spans="1:13" ht="14.55" customHeight="1" x14ac:dyDescent="0.3">
      <c r="A2727" s="1258" t="s">
        <v>218</v>
      </c>
      <c r="B2727" s="468" t="e">
        <f>B2726+B2767*2</f>
        <v>#N/A</v>
      </c>
      <c r="C2727" s="460" t="s">
        <v>93</v>
      </c>
      <c r="D2727" s="468" t="e">
        <f>D2726+D2767*2</f>
        <v>#N/A</v>
      </c>
      <c r="E2727" s="460" t="s">
        <v>93</v>
      </c>
      <c r="F2727" s="468">
        <f>IFERROR(VLOOKUP(F2725,'Thickness Tab'!$1:$1048576,3,0),0)</f>
        <v>0</v>
      </c>
      <c r="G2727" s="460" t="s">
        <v>93</v>
      </c>
      <c r="H2727" s="469"/>
      <c r="I2727" s="1261"/>
      <c r="K2727" s="477" t="s">
        <v>219</v>
      </c>
      <c r="L2727" s="477" t="str">
        <f>K2702&amp;"."&amp;K2727</f>
        <v>21.Reducer insulation thk 1</v>
      </c>
      <c r="M2727" s="1252">
        <f>B2775</f>
        <v>0</v>
      </c>
    </row>
    <row r="2728" spans="1:13" ht="14.55" customHeight="1" x14ac:dyDescent="0.3">
      <c r="A2728" s="1258" t="s">
        <v>181</v>
      </c>
      <c r="B2728" s="722"/>
      <c r="C2728" s="460" t="s">
        <v>93</v>
      </c>
      <c r="D2728" s="722"/>
      <c r="E2728" s="460" t="s">
        <v>93</v>
      </c>
      <c r="F2728" s="722"/>
      <c r="G2728" s="460" t="s">
        <v>93</v>
      </c>
      <c r="H2728" s="460"/>
      <c r="I2728" s="1259"/>
      <c r="K2728" s="477" t="s">
        <v>220</v>
      </c>
      <c r="L2728" s="477" t="str">
        <f>K2702&amp;"."&amp;K2728</f>
        <v>21.Shell insulation area 1</v>
      </c>
      <c r="M2728" s="1252" t="e">
        <f>B2733</f>
        <v>#N/A</v>
      </c>
    </row>
    <row r="2729" spans="1:13" ht="14.55" customHeight="1" x14ac:dyDescent="0.3">
      <c r="A2729" s="1258" t="s">
        <v>221</v>
      </c>
      <c r="B2729" s="468" t="e">
        <f>(PI()*B2728*(((B2727/2)^2)-((B2726/2)^2))*7860)/1000000000*1.05</f>
        <v>#N/A</v>
      </c>
      <c r="C2729" s="460" t="s">
        <v>222</v>
      </c>
      <c r="D2729" s="468" t="e">
        <f>(PI()*D2728*(((D2727/2)^2)-((D2726/2)^2))*7860)/1000000000*1.05</f>
        <v>#N/A</v>
      </c>
      <c r="E2729" s="460" t="s">
        <v>222</v>
      </c>
      <c r="F2729" s="468">
        <f>(PI()*F2728*(((F2727/2)^2)-((F2726/2)^2))*7860)/1000000000*1.05</f>
        <v>0</v>
      </c>
      <c r="G2729" s="460" t="s">
        <v>222</v>
      </c>
      <c r="H2729" s="469"/>
      <c r="I2729" s="1261"/>
      <c r="K2729" s="477" t="s">
        <v>223</v>
      </c>
      <c r="L2729" s="477" t="str">
        <f>K2702&amp;"."&amp;K2729</f>
        <v>21.Head insulation area 1</v>
      </c>
      <c r="M2729" s="1252" t="e">
        <f>B2745</f>
        <v>#N/A</v>
      </c>
    </row>
    <row r="2730" spans="1:13" ht="14.55" customHeight="1" x14ac:dyDescent="0.3">
      <c r="A2730" s="1258" t="s">
        <v>224</v>
      </c>
      <c r="B2730" s="468">
        <f>(PI()*((B2726/2)^2)*B2728)/1000000000</f>
        <v>0</v>
      </c>
      <c r="C2730" s="460" t="s">
        <v>225</v>
      </c>
      <c r="D2730" s="468">
        <f>(PI()*((D2726/2)^2)*D2728)/1000000000</f>
        <v>0</v>
      </c>
      <c r="E2730" s="460" t="s">
        <v>225</v>
      </c>
      <c r="F2730" s="468">
        <f>(PI()*((F2726/2)^2)*F2728)/1000000000</f>
        <v>0</v>
      </c>
      <c r="G2730" s="460" t="s">
        <v>225</v>
      </c>
      <c r="H2730" s="469"/>
      <c r="I2730" s="1261"/>
      <c r="K2730" s="477" t="s">
        <v>226</v>
      </c>
      <c r="L2730" s="477" t="str">
        <f>K2702&amp;"."&amp;K2730</f>
        <v>21.Reducer insulation area 1</v>
      </c>
      <c r="M2730" s="1252" t="e">
        <f>B2758</f>
        <v>#N/A</v>
      </c>
    </row>
    <row r="2731" spans="1:13" ht="14.55" customHeight="1" x14ac:dyDescent="0.3">
      <c r="A2731" s="1258" t="s">
        <v>227</v>
      </c>
      <c r="B2731" s="468" t="e">
        <f>(B2727*3.14*B2728)/1000000</f>
        <v>#N/A</v>
      </c>
      <c r="C2731" s="460" t="s">
        <v>228</v>
      </c>
      <c r="D2731" s="468" t="e">
        <f>(D2727*3.14*D2728)/1000000</f>
        <v>#N/A</v>
      </c>
      <c r="E2731" s="460" t="s">
        <v>228</v>
      </c>
      <c r="F2731" s="468">
        <f>(F2727*3.14*F2728)/1000000</f>
        <v>0</v>
      </c>
      <c r="G2731" s="460" t="s">
        <v>228</v>
      </c>
      <c r="H2731" s="469"/>
      <c r="I2731" s="1261"/>
      <c r="K2731" s="477" t="s">
        <v>229</v>
      </c>
      <c r="L2731" s="477" t="str">
        <f>K2702&amp;"."&amp;K2731</f>
        <v>21.Shell insulation thk 2</v>
      </c>
      <c r="M2731" s="1252">
        <f>D2773</f>
        <v>0</v>
      </c>
    </row>
    <row r="2732" spans="1:13" ht="14.55" customHeight="1" x14ac:dyDescent="0.3">
      <c r="A2732" s="1258" t="s">
        <v>230</v>
      </c>
      <c r="B2732" s="468" t="e">
        <f>B2727+2*B2773</f>
        <v>#N/A</v>
      </c>
      <c r="C2732" s="460" t="s">
        <v>93</v>
      </c>
      <c r="D2732" s="468" t="e">
        <f>D2727+2*D2773</f>
        <v>#N/A</v>
      </c>
      <c r="E2732" s="460" t="s">
        <v>93</v>
      </c>
      <c r="F2732" s="468">
        <f>F2727+2*F2773</f>
        <v>0</v>
      </c>
      <c r="G2732" s="460" t="s">
        <v>93</v>
      </c>
      <c r="H2732" s="469"/>
      <c r="I2732" s="1261"/>
      <c r="K2732" s="477" t="s">
        <v>231</v>
      </c>
      <c r="L2732" s="477" t="str">
        <f>K2702&amp;"."&amp;K2732</f>
        <v>21.Head insulation thk 2</v>
      </c>
      <c r="M2732" s="1252">
        <f>D2774</f>
        <v>0</v>
      </c>
    </row>
    <row r="2733" spans="1:13" ht="14.55" customHeight="1" x14ac:dyDescent="0.3">
      <c r="A2733" s="1258" t="s">
        <v>232</v>
      </c>
      <c r="B2733" s="468" t="e">
        <f>(B2732*3.14*B2728)/1000000</f>
        <v>#N/A</v>
      </c>
      <c r="C2733" s="460" t="s">
        <v>228</v>
      </c>
      <c r="D2733" s="468" t="e">
        <f>(D2732*3.14*D2728)/1000000</f>
        <v>#N/A</v>
      </c>
      <c r="E2733" s="460" t="s">
        <v>228</v>
      </c>
      <c r="F2733" s="468">
        <f>(F2732*3.14*F2728)/1000000</f>
        <v>0</v>
      </c>
      <c r="G2733" s="460" t="s">
        <v>228</v>
      </c>
      <c r="H2733" s="469"/>
      <c r="I2733" s="1261"/>
      <c r="K2733" s="477" t="s">
        <v>233</v>
      </c>
      <c r="L2733" s="477" t="str">
        <f>K2702&amp;"."&amp;K2733</f>
        <v>21.Reducer insulation thk 2</v>
      </c>
      <c r="M2733" s="1252">
        <f>D2775</f>
        <v>0</v>
      </c>
    </row>
    <row r="2734" spans="1:13" ht="14.55" customHeight="1" x14ac:dyDescent="0.3">
      <c r="A2734" s="1258"/>
      <c r="B2734" s="468"/>
      <c r="C2734" s="460"/>
      <c r="D2734" s="468"/>
      <c r="E2734" s="460"/>
      <c r="F2734" s="468"/>
      <c r="G2734" s="460"/>
      <c r="H2734" s="469"/>
      <c r="I2734" s="1261"/>
      <c r="K2734" s="477" t="s">
        <v>234</v>
      </c>
      <c r="L2734" s="477" t="str">
        <f>K2702&amp;"."&amp;K2734</f>
        <v>21.Shell insulation area 2</v>
      </c>
      <c r="M2734" s="1252" t="e">
        <f>D2733</f>
        <v>#N/A</v>
      </c>
    </row>
    <row r="2735" spans="1:13" ht="14.55" customHeight="1" x14ac:dyDescent="0.3">
      <c r="A2735" s="1258"/>
      <c r="B2735" s="468" t="s">
        <v>235</v>
      </c>
      <c r="C2735" s="460"/>
      <c r="D2735" s="468" t="s">
        <v>236</v>
      </c>
      <c r="E2735" s="460"/>
      <c r="F2735" s="468" t="s">
        <v>237</v>
      </c>
      <c r="G2735" s="460"/>
      <c r="H2735" s="469"/>
      <c r="I2735" s="1261"/>
      <c r="K2735" s="477" t="s">
        <v>238</v>
      </c>
      <c r="L2735" s="477" t="str">
        <f>K2702&amp;"."&amp;K2735</f>
        <v>21.Head insulation area 2</v>
      </c>
      <c r="M2735" s="1252" t="e">
        <f>D2745</f>
        <v>#N/A</v>
      </c>
    </row>
    <row r="2736" spans="1:13" ht="14.55" customHeight="1" x14ac:dyDescent="0.3">
      <c r="A2736" s="1258" t="s">
        <v>239</v>
      </c>
      <c r="B2736" s="468">
        <f>B2726</f>
        <v>0</v>
      </c>
      <c r="C2736" s="460" t="s">
        <v>93</v>
      </c>
      <c r="D2736" s="468">
        <f>D2726</f>
        <v>0</v>
      </c>
      <c r="E2736" s="460" t="s">
        <v>93</v>
      </c>
      <c r="F2736" s="468">
        <f>F2726</f>
        <v>0</v>
      </c>
      <c r="G2736" s="460" t="s">
        <v>93</v>
      </c>
      <c r="H2736" s="469"/>
      <c r="I2736" s="1261"/>
      <c r="K2736" s="477" t="s">
        <v>240</v>
      </c>
      <c r="L2736" s="477" t="str">
        <f>K2702&amp;"."&amp;K2736</f>
        <v>21.Reducer insulation area 2</v>
      </c>
      <c r="M2736" s="1252">
        <f>D2758</f>
        <v>0</v>
      </c>
    </row>
    <row r="2737" spans="1:13" ht="14.55" customHeight="1" x14ac:dyDescent="0.3">
      <c r="A2737" s="1258" t="s">
        <v>241</v>
      </c>
      <c r="B2737" s="468" t="e">
        <f>B2736+2*B2768</f>
        <v>#N/A</v>
      </c>
      <c r="C2737" s="460" t="s">
        <v>93</v>
      </c>
      <c r="D2737" s="468" t="e">
        <f>D2736+2*D2768</f>
        <v>#N/A</v>
      </c>
      <c r="E2737" s="460" t="s">
        <v>93</v>
      </c>
      <c r="F2737" s="468">
        <f>F2736+2*F2771</f>
        <v>0</v>
      </c>
      <c r="G2737" s="460" t="s">
        <v>93</v>
      </c>
      <c r="H2737" s="469"/>
      <c r="I2737" s="1261"/>
      <c r="K2737" s="477" t="s">
        <v>242</v>
      </c>
      <c r="L2737" s="477" t="str">
        <f>K2702&amp;"."&amp;K2737</f>
        <v>21.Shell insulation thk 3</v>
      </c>
      <c r="M2737" s="1252">
        <f>F2773</f>
        <v>0</v>
      </c>
    </row>
    <row r="2738" spans="1:13" ht="14.55" customHeight="1" x14ac:dyDescent="0.3">
      <c r="A2738" s="1258" t="s">
        <v>243</v>
      </c>
      <c r="B2738" s="722"/>
      <c r="C2738" s="460" t="s">
        <v>93</v>
      </c>
      <c r="D2738" s="722"/>
      <c r="E2738" s="460" t="s">
        <v>93</v>
      </c>
      <c r="F2738" s="452"/>
      <c r="G2738" s="460"/>
      <c r="H2738" s="469"/>
      <c r="I2738" s="1261"/>
      <c r="K2738" s="477" t="s">
        <v>244</v>
      </c>
      <c r="L2738" s="477" t="str">
        <f>K2702&amp;"."&amp;K2738</f>
        <v>21.Head insulation thk 3</v>
      </c>
      <c r="M2738" s="1252">
        <f>F2774</f>
        <v>0</v>
      </c>
    </row>
    <row r="2739" spans="1:13" ht="14.55" customHeight="1" x14ac:dyDescent="0.3">
      <c r="A2739" s="1258" t="s">
        <v>245</v>
      </c>
      <c r="B2739" s="724"/>
      <c r="C2739" s="460"/>
      <c r="D2739" s="724"/>
      <c r="E2739" s="460"/>
      <c r="F2739" s="724"/>
      <c r="G2739" s="460"/>
      <c r="H2739" s="469"/>
      <c r="I2739" s="1261"/>
      <c r="K2739" s="477" t="s">
        <v>246</v>
      </c>
      <c r="L2739" s="477" t="str">
        <f>K2702&amp;"."&amp;K2739</f>
        <v>21.Reducer insulation thk 3</v>
      </c>
      <c r="M2739" s="1252">
        <f>F2775</f>
        <v>0</v>
      </c>
    </row>
    <row r="2740" spans="1:13" ht="14.55" customHeight="1" x14ac:dyDescent="0.3">
      <c r="A2740" s="1258" t="s">
        <v>247</v>
      </c>
      <c r="B2740" s="468">
        <v>0</v>
      </c>
      <c r="C2740" s="460" t="s">
        <v>93</v>
      </c>
      <c r="D2740" s="468">
        <v>0</v>
      </c>
      <c r="E2740" s="460" t="s">
        <v>93</v>
      </c>
      <c r="F2740" s="468">
        <v>0</v>
      </c>
      <c r="G2740" s="460" t="s">
        <v>93</v>
      </c>
      <c r="H2740" s="469"/>
      <c r="I2740" s="1261"/>
      <c r="K2740" s="477" t="s">
        <v>248</v>
      </c>
      <c r="L2740" s="477" t="str">
        <f>K2702&amp;"."&amp;K2740</f>
        <v>21.Shell insulation area 3</v>
      </c>
      <c r="M2740" s="1252">
        <f>F2733</f>
        <v>0</v>
      </c>
    </row>
    <row r="2741" spans="1:13" ht="14.55" customHeight="1" x14ac:dyDescent="0.3">
      <c r="A2741" s="1258" t="s">
        <v>249</v>
      </c>
      <c r="B2741" s="468" t="e">
        <f>((((POWER(((((B2736+B2769)*1.22)+(B2740*2))/100),2)*PI())/4)*(B2769/100))*7.86)</f>
        <v>#N/A</v>
      </c>
      <c r="C2741" s="460" t="s">
        <v>222</v>
      </c>
      <c r="D2741" s="468" t="e">
        <f>((((POWER(((((D2736+D2769)*1.22)+(D2740*2))/100),2)*PI())/4)*(D2769/100))*7.86)</f>
        <v>#N/A</v>
      </c>
      <c r="E2741" s="460" t="s">
        <v>222</v>
      </c>
      <c r="F2741" s="468">
        <f>IFERROR(VLOOKUP(F2725&amp;"."&amp;F2770,'Fitting Chart'!$1:$1048576,5,0),0)</f>
        <v>0</v>
      </c>
      <c r="G2741" s="460" t="s">
        <v>222</v>
      </c>
      <c r="H2741" s="469"/>
      <c r="I2741" s="1261"/>
      <c r="K2741" s="477" t="s">
        <v>250</v>
      </c>
      <c r="L2741" s="477" t="str">
        <f>K2702&amp;"."&amp;K2741</f>
        <v>21.Head insulation area 3</v>
      </c>
      <c r="M2741" s="1252">
        <f>F2744</f>
        <v>0</v>
      </c>
    </row>
    <row r="2742" spans="1:13" ht="14.55" customHeight="1" x14ac:dyDescent="0.3">
      <c r="A2742" s="1258" t="s">
        <v>251</v>
      </c>
      <c r="B2742" s="468" t="e">
        <f>(((0.131*(B2736^3)*10^-6)+((((B2736/2)^2)*PI()*(((B2736/4)+B2768)-B2768-(B2736/4)))))+((PI()*((B2736/2)^2)*B2740))/1000000)/1000</f>
        <v>#N/A</v>
      </c>
      <c r="C2742" s="460" t="s">
        <v>225</v>
      </c>
      <c r="D2742" s="468" t="e">
        <f>(((0.131*(D2736^3)*10^-6)+((((D2736/2)^2)*PI()*(((D2736/4)+D2768)-D2768-(D2736/4)))))+((PI()*((D2736/2)^2)*D2740))/1000000)/1000</f>
        <v>#N/A</v>
      </c>
      <c r="E2742" s="460" t="s">
        <v>225</v>
      </c>
      <c r="F2742" s="468">
        <f>(((0.131*(F2736^3)*10^-6)+((((F2736/2)^2)*PI()*(((F2736/4)+F2771)-F2771-(F2736/4)))))+((PI()*((F2736/2)^2)*F2740))/1000000)/1000</f>
        <v>0</v>
      </c>
      <c r="G2742" s="460" t="s">
        <v>225</v>
      </c>
      <c r="H2742" s="469"/>
      <c r="I2742" s="1261"/>
      <c r="K2742" s="477" t="s">
        <v>252</v>
      </c>
      <c r="L2742" s="477" t="str">
        <f>K2702&amp;"."&amp;K2742</f>
        <v>21.Reducer insulation area 3</v>
      </c>
      <c r="M2742" s="1252">
        <f>F2758</f>
        <v>0</v>
      </c>
    </row>
    <row r="2743" spans="1:13" ht="14.55" customHeight="1" x14ac:dyDescent="0.3">
      <c r="A2743" s="1258" t="s">
        <v>253</v>
      </c>
      <c r="B2743" s="468" t="e">
        <f>(((B2737*B2738*3.14)+(((B2737/2)^2)*3.14))/1000000)</f>
        <v>#N/A</v>
      </c>
      <c r="C2743" s="460" t="s">
        <v>228</v>
      </c>
      <c r="D2743" s="468" t="e">
        <f>(((D2737*D2738*3.14)+(((D2737/2)^2)*3.14))/1000000)</f>
        <v>#N/A</v>
      </c>
      <c r="E2743" s="460" t="s">
        <v>228</v>
      </c>
      <c r="F2743" s="468">
        <f>(((F2737*F2738*3.14)+(((F2737/2)^2)*3.14))/1000000)</f>
        <v>0</v>
      </c>
      <c r="G2743" s="460" t="s">
        <v>228</v>
      </c>
      <c r="H2743" s="469"/>
      <c r="I2743" s="1261"/>
    </row>
    <row r="2744" spans="1:13" ht="14.55" customHeight="1" x14ac:dyDescent="0.3">
      <c r="A2744" s="1258" t="s">
        <v>254</v>
      </c>
      <c r="B2744" s="468" t="e">
        <f>B2737+2*B2774</f>
        <v>#N/A</v>
      </c>
      <c r="C2744" s="460" t="s">
        <v>93</v>
      </c>
      <c r="D2744" s="468" t="e">
        <f>D2737+2*D2774</f>
        <v>#N/A</v>
      </c>
      <c r="E2744" s="460" t="s">
        <v>93</v>
      </c>
      <c r="F2744" s="468">
        <f>F2737+2*F2774</f>
        <v>0</v>
      </c>
      <c r="G2744" s="460" t="s">
        <v>93</v>
      </c>
      <c r="H2744" s="469"/>
      <c r="I2744" s="1261"/>
    </row>
    <row r="2745" spans="1:13" ht="14.55" customHeight="1" x14ac:dyDescent="0.3">
      <c r="A2745" s="1258" t="s">
        <v>255</v>
      </c>
      <c r="B2745" s="468" t="e">
        <f>(((B2744*B2738*3.14)+(((B2744/2)^2)*3.14))/1000000)</f>
        <v>#N/A</v>
      </c>
      <c r="C2745" s="460" t="s">
        <v>228</v>
      </c>
      <c r="D2745" s="468" t="e">
        <f>(((D2744*D2738*3.14)+(((D2744/2)^2)*3.14))/1000000)</f>
        <v>#N/A</v>
      </c>
      <c r="E2745" s="460" t="s">
        <v>228</v>
      </c>
      <c r="F2745" s="468">
        <f>(((F2744*F2738*3.14)+(((F2744/2)^2)*3.14))/1000000)</f>
        <v>0</v>
      </c>
      <c r="G2745" s="460" t="s">
        <v>228</v>
      </c>
      <c r="H2745" s="469"/>
      <c r="I2745" s="1261"/>
    </row>
    <row r="2746" spans="1:13" ht="14.55" customHeight="1" x14ac:dyDescent="0.3">
      <c r="A2746" s="1258"/>
      <c r="B2746" s="454"/>
      <c r="C2746" s="460"/>
      <c r="D2746" s="454"/>
      <c r="E2746" s="460"/>
      <c r="F2746" s="454"/>
      <c r="G2746" s="460"/>
      <c r="H2746" s="469"/>
      <c r="I2746" s="1261"/>
    </row>
    <row r="2747" spans="1:13" ht="14.55" customHeight="1" x14ac:dyDescent="0.3">
      <c r="A2747" s="1258"/>
      <c r="B2747" s="468" t="s">
        <v>256</v>
      </c>
      <c r="C2747" s="460"/>
      <c r="D2747" s="468" t="s">
        <v>257</v>
      </c>
      <c r="E2747" s="460"/>
      <c r="F2747" s="468" t="s">
        <v>258</v>
      </c>
      <c r="G2747" s="460"/>
      <c r="H2747" s="469"/>
      <c r="I2747" s="1261"/>
    </row>
    <row r="2748" spans="1:13" ht="14.55" customHeight="1" x14ac:dyDescent="0.3">
      <c r="A2748" s="1258" t="s">
        <v>259</v>
      </c>
      <c r="B2748" s="725"/>
      <c r="C2748" s="460" t="s">
        <v>93</v>
      </c>
      <c r="D2748" s="725"/>
      <c r="E2748" s="460" t="s">
        <v>93</v>
      </c>
      <c r="F2748" s="725"/>
      <c r="G2748" s="460" t="s">
        <v>93</v>
      </c>
      <c r="H2748" s="469"/>
      <c r="I2748" s="1261"/>
    </row>
    <row r="2749" spans="1:13" ht="14.55" customHeight="1" x14ac:dyDescent="0.3">
      <c r="A2749" s="1258" t="s">
        <v>260</v>
      </c>
      <c r="B2749" s="725"/>
      <c r="C2749" s="460" t="s">
        <v>93</v>
      </c>
      <c r="D2749" s="725"/>
      <c r="E2749" s="460" t="s">
        <v>93</v>
      </c>
      <c r="F2749" s="725"/>
      <c r="G2749" s="460" t="s">
        <v>93</v>
      </c>
      <c r="H2749" s="469"/>
      <c r="I2749" s="1261"/>
    </row>
    <row r="2750" spans="1:13" ht="14.55" customHeight="1" x14ac:dyDescent="0.3">
      <c r="A2750" s="1258" t="s">
        <v>261</v>
      </c>
      <c r="B2750" s="725"/>
      <c r="C2750" s="460" t="s">
        <v>93</v>
      </c>
      <c r="D2750" s="725"/>
      <c r="E2750" s="460" t="s">
        <v>93</v>
      </c>
      <c r="F2750" s="725"/>
      <c r="G2750" s="460" t="s">
        <v>93</v>
      </c>
      <c r="H2750" s="469"/>
      <c r="I2750" s="1261"/>
    </row>
    <row r="2751" spans="1:13" ht="14.55" customHeight="1" x14ac:dyDescent="0.3">
      <c r="A2751" s="1258" t="s">
        <v>262</v>
      </c>
      <c r="B2751" s="455" t="e">
        <f>B2748+2*B2769</f>
        <v>#N/A</v>
      </c>
      <c r="C2751" s="460" t="s">
        <v>93</v>
      </c>
      <c r="D2751" s="455" t="e">
        <f>D2748+2*D2769</f>
        <v>#N/A</v>
      </c>
      <c r="E2751" s="460" t="s">
        <v>93</v>
      </c>
      <c r="F2751" s="455">
        <f>F2748+2*F2771</f>
        <v>0</v>
      </c>
      <c r="G2751" s="460" t="s">
        <v>93</v>
      </c>
      <c r="H2751" s="469"/>
      <c r="I2751" s="1261"/>
    </row>
    <row r="2752" spans="1:13" ht="14.55" customHeight="1" x14ac:dyDescent="0.3">
      <c r="A2752" s="1258" t="s">
        <v>263</v>
      </c>
      <c r="B2752" s="455" t="e">
        <f>B2749+2*B2769</f>
        <v>#N/A</v>
      </c>
      <c r="C2752" s="460" t="s">
        <v>93</v>
      </c>
      <c r="D2752" s="455" t="e">
        <f>D2749+2*D2769</f>
        <v>#N/A</v>
      </c>
      <c r="E2752" s="460" t="s">
        <v>93</v>
      </c>
      <c r="F2752" s="455">
        <f>F2749+2*F2771</f>
        <v>0</v>
      </c>
      <c r="G2752" s="460" t="s">
        <v>93</v>
      </c>
      <c r="H2752" s="469"/>
      <c r="I2752" s="1261"/>
    </row>
    <row r="2753" spans="1:9" ht="14.55" customHeight="1" x14ac:dyDescent="0.3">
      <c r="A2753" s="1258" t="s">
        <v>264</v>
      </c>
      <c r="B2753" s="453" t="e">
        <f>(((((1/3*PI()*B2750))*((((B2751/2)^2)+(((B2751/2)*(B2752/2)))+((B2752/2)^2))))-(((1/3*PI()*B2750))*((((B2748/2)^2)+(((B2748/2)*(B2749/2)))+((B2749/2)^2)))))*7.86)/1000000</f>
        <v>#N/A</v>
      </c>
      <c r="C2753" s="460" t="s">
        <v>222</v>
      </c>
      <c r="D2753" s="453" t="e">
        <f>(((((1/3*PI()*D2750))*((((D2751/2)^2)+(((D2751/2)*(D2752/2)))+((D2752/2)^2))))-(((1/3*PI()*D2750))*((((D2748/2)^2)+(((D2748/2)*(D2749/2)))+((D2749/2)^2)))))*7.86)/1000000</f>
        <v>#N/A</v>
      </c>
      <c r="E2753" s="460" t="s">
        <v>222</v>
      </c>
      <c r="F2753" s="453">
        <f>(((((1/3*PI()*F2750))*((((F2751/2)^2)+(((F2751/2)*(F2752/2)))+((F2752/2)^2))))-(((1/3*PI()*F2750))*((((F2748/2)^2)+(((F2748/2)*(F2749/2)))+((F2749/2)^2)))))*7.86)/1000000</f>
        <v>0</v>
      </c>
      <c r="G2753" s="460" t="s">
        <v>222</v>
      </c>
      <c r="H2753" s="469"/>
      <c r="I2753" s="1261"/>
    </row>
    <row r="2754" spans="1:9" ht="14.55" customHeight="1" x14ac:dyDescent="0.3">
      <c r="A2754" s="1258" t="s">
        <v>265</v>
      </c>
      <c r="B2754" s="453">
        <f>((1/3*PI()*B2750))*((((B2748/2)^2)+(((B2748/2)*(B2749/2)))+((B2749/2)^2)))/1000000000</f>
        <v>0</v>
      </c>
      <c r="C2754" s="460" t="s">
        <v>225</v>
      </c>
      <c r="D2754" s="453">
        <f>((1/3*PI()*D2750))*((((D2748/2)^2)+(((D2748/2)*(D2749/2)))+((D2749/2)^2)))/1000000000</f>
        <v>0</v>
      </c>
      <c r="E2754" s="460" t="s">
        <v>225</v>
      </c>
      <c r="F2754" s="453">
        <f>((1/3*PI()*F2750))*((((F2748/2)^2)+(((F2748/2)*(F2749/2)))+((F2749/2)^2)))/1000000000</f>
        <v>0</v>
      </c>
      <c r="G2754" s="460" t="s">
        <v>225</v>
      </c>
      <c r="H2754" s="469"/>
      <c r="I2754" s="1261"/>
    </row>
    <row r="2755" spans="1:9" ht="14.55" customHeight="1" x14ac:dyDescent="0.3">
      <c r="A2755" s="1258" t="s">
        <v>266</v>
      </c>
      <c r="B2755" s="453" t="e">
        <f>PI()*(B2751+B2752)/2*SQRT(B2750^2+((B2751-B2752)/2)^2)/1000000</f>
        <v>#N/A</v>
      </c>
      <c r="C2755" s="460" t="s">
        <v>228</v>
      </c>
      <c r="D2755" s="453" t="e">
        <f>PI()*(D2751+D2752)/2*SQRT(D2750^2+((D2751-D2752)/2)^2)/1000000</f>
        <v>#N/A</v>
      </c>
      <c r="E2755" s="460" t="s">
        <v>228</v>
      </c>
      <c r="F2755" s="453">
        <f>PI()*(F2751+F2752)/2*SQRT(F2750^2+((F2751-F2752)/2)^2)/1000000</f>
        <v>0</v>
      </c>
      <c r="G2755" s="460" t="s">
        <v>228</v>
      </c>
      <c r="H2755" s="469"/>
      <c r="I2755" s="1261"/>
    </row>
    <row r="2756" spans="1:9" ht="14.55" customHeight="1" x14ac:dyDescent="0.3">
      <c r="A2756" s="1258" t="s">
        <v>267</v>
      </c>
      <c r="B2756" s="453" t="e">
        <f>B2751+2*B2775</f>
        <v>#N/A</v>
      </c>
      <c r="C2756" s="460" t="s">
        <v>93</v>
      </c>
      <c r="D2756" s="453">
        <f>D2748+2*D2775</f>
        <v>0</v>
      </c>
      <c r="E2756" s="460" t="s">
        <v>93</v>
      </c>
      <c r="F2756" s="453">
        <f>F2748+2*F2775</f>
        <v>0</v>
      </c>
      <c r="G2756" s="460" t="s">
        <v>93</v>
      </c>
      <c r="H2756" s="469"/>
      <c r="I2756" s="1261"/>
    </row>
    <row r="2757" spans="1:9" ht="14.55" customHeight="1" x14ac:dyDescent="0.3">
      <c r="A2757" s="1258" t="s">
        <v>268</v>
      </c>
      <c r="B2757" s="453" t="e">
        <f>B2752+2*B2775</f>
        <v>#N/A</v>
      </c>
      <c r="C2757" s="460" t="s">
        <v>93</v>
      </c>
      <c r="D2757" s="453">
        <f>D2749+2*D2775</f>
        <v>0</v>
      </c>
      <c r="E2757" s="460" t="s">
        <v>93</v>
      </c>
      <c r="F2757" s="453">
        <f>F2749+2*F2775</f>
        <v>0</v>
      </c>
      <c r="G2757" s="460" t="s">
        <v>93</v>
      </c>
      <c r="H2757" s="469"/>
      <c r="I2757" s="1261"/>
    </row>
    <row r="2758" spans="1:9" ht="14.55" customHeight="1" x14ac:dyDescent="0.3">
      <c r="A2758" s="1258" t="s">
        <v>269</v>
      </c>
      <c r="B2758" s="453" t="e">
        <f>PI()*(B2756+B2757)/2*SQRT(B2750^2+((B2756-B2757)/2)^2)/1000000</f>
        <v>#N/A</v>
      </c>
      <c r="C2758" s="460" t="s">
        <v>228</v>
      </c>
      <c r="D2758" s="453">
        <f>PI()*(D2756+D2757)/2*SQRT(D2750^2+((D2756-D2757)/2)^2)/1000000</f>
        <v>0</v>
      </c>
      <c r="E2758" s="460" t="s">
        <v>228</v>
      </c>
      <c r="F2758" s="453">
        <f>PI()*(F2756+F2757)/2*SQRT(F2750^2+((F2756-F2757)/2)^2)/1000000</f>
        <v>0</v>
      </c>
      <c r="G2758" s="460" t="s">
        <v>228</v>
      </c>
      <c r="H2758" s="469"/>
      <c r="I2758" s="1261"/>
    </row>
    <row r="2759" spans="1:9" ht="14.55" customHeight="1" x14ac:dyDescent="0.3">
      <c r="A2759" s="1258"/>
      <c r="B2759" s="453"/>
      <c r="C2759" s="460"/>
      <c r="D2759" s="453"/>
      <c r="E2759" s="460"/>
      <c r="F2759" s="453"/>
      <c r="G2759" s="460"/>
      <c r="H2759" s="460"/>
      <c r="I2759" s="1259"/>
    </row>
    <row r="2760" spans="1:9" ht="14.55" customHeight="1" x14ac:dyDescent="0.3">
      <c r="A2760" s="1258" t="s">
        <v>270</v>
      </c>
      <c r="B2760" s="725"/>
      <c r="C2760" s="460" t="s">
        <v>93</v>
      </c>
      <c r="D2760" s="725"/>
      <c r="E2760" s="460" t="s">
        <v>93</v>
      </c>
      <c r="F2760" s="725"/>
      <c r="G2760" s="460" t="s">
        <v>93</v>
      </c>
      <c r="H2760" s="460"/>
      <c r="I2760" s="1259"/>
    </row>
    <row r="2761" spans="1:9" ht="14.55" customHeight="1" x14ac:dyDescent="0.3">
      <c r="A2761" s="1258" t="s">
        <v>271</v>
      </c>
      <c r="B2761" s="453" t="e">
        <f>((D2709/10)*B2726/2)/(IF(B2704="div.1",B2717,B2720)-0.5*D2709/10)</f>
        <v>#N/A</v>
      </c>
      <c r="C2761" s="460" t="s">
        <v>93</v>
      </c>
      <c r="D2761" s="453" t="e">
        <f>((D2709/10)*D2726/2)/(IF(B2704="div.1",B2717,B2720)-0.5*D2709/10)</f>
        <v>#N/A</v>
      </c>
      <c r="E2761" s="460" t="s">
        <v>93</v>
      </c>
      <c r="F2761" s="453" t="e">
        <f>((D2709/10)*F2726/2)/(IF(B2704="div.1",F2717,F2720)-0.5*D2709/10)</f>
        <v>#N/A</v>
      </c>
      <c r="G2761" s="460" t="s">
        <v>93</v>
      </c>
      <c r="H2761" s="460"/>
      <c r="I2761" s="1259"/>
    </row>
    <row r="2762" spans="1:9" ht="14.55" customHeight="1" x14ac:dyDescent="0.3">
      <c r="A2762" s="1258" t="s">
        <v>272</v>
      </c>
      <c r="B2762" s="453" t="e">
        <f>B2736/2*(EXP(D2709/(10*IF(B2704="div.1",B2718,B2721)))-1)</f>
        <v>#N/A</v>
      </c>
      <c r="C2762" s="460" t="s">
        <v>93</v>
      </c>
      <c r="D2762" s="453" t="e">
        <f>D2736/2*(EXP(D2709/(10*IF(B2704="div.1",B2718,B2721)))-1)</f>
        <v>#N/A</v>
      </c>
      <c r="E2762" s="460" t="s">
        <v>93</v>
      </c>
      <c r="F2762" s="453" t="e">
        <f>F2736/2*(EXP(D2709/(10*IF(B2704="div.1",F2718,F2721)))-1)</f>
        <v>#N/A</v>
      </c>
      <c r="G2762" s="460" t="s">
        <v>93</v>
      </c>
      <c r="H2762" s="460"/>
      <c r="I2762" s="1259"/>
    </row>
    <row r="2763" spans="1:9" ht="14.55" customHeight="1" x14ac:dyDescent="0.3">
      <c r="A2763" s="1258" t="s">
        <v>273</v>
      </c>
      <c r="B2763" s="453" t="e">
        <f>B2748/2*(EXP(D2709/(10*IF(B2704="div.1",B2718,B2721)))-1)</f>
        <v>#N/A</v>
      </c>
      <c r="C2763" s="460" t="s">
        <v>93</v>
      </c>
      <c r="D2763" s="453" t="e">
        <f>D2748/2*(EXP(D2709/(10*IF(B2704="div.1",B2718,B2721)))-1)</f>
        <v>#N/A</v>
      </c>
      <c r="E2763" s="460" t="s">
        <v>93</v>
      </c>
      <c r="F2763" s="453" t="e">
        <f>F2748/2*(EXP(D2709/(10*IF(B2704="div.1",F2718,F2721)))-1)</f>
        <v>#N/A</v>
      </c>
      <c r="G2763" s="460" t="s">
        <v>93</v>
      </c>
      <c r="H2763" s="460"/>
      <c r="I2763" s="1259"/>
    </row>
    <row r="2764" spans="1:9" ht="14.55" customHeight="1" x14ac:dyDescent="0.3">
      <c r="A2764" s="1258" t="s">
        <v>274</v>
      </c>
      <c r="B2764" s="725"/>
      <c r="C2764" s="460" t="s">
        <v>93</v>
      </c>
      <c r="D2764" s="725"/>
      <c r="E2764" s="460" t="s">
        <v>93</v>
      </c>
      <c r="F2764" s="725"/>
      <c r="G2764" s="460" t="s">
        <v>93</v>
      </c>
      <c r="H2764" s="460"/>
      <c r="I2764" s="1259"/>
    </row>
    <row r="2765" spans="1:9" ht="14.55" customHeight="1" x14ac:dyDescent="0.3">
      <c r="A2765" s="1258" t="s">
        <v>275</v>
      </c>
      <c r="B2765" s="725"/>
      <c r="C2765" s="460" t="s">
        <v>93</v>
      </c>
      <c r="D2765" s="725"/>
      <c r="E2765" s="460" t="s">
        <v>93</v>
      </c>
      <c r="F2765" s="725"/>
      <c r="G2765" s="460" t="s">
        <v>93</v>
      </c>
      <c r="H2765" s="460"/>
      <c r="I2765" s="1259"/>
    </row>
    <row r="2766" spans="1:9" ht="14.55" customHeight="1" x14ac:dyDescent="0.3">
      <c r="A2766" s="1258" t="s">
        <v>276</v>
      </c>
      <c r="B2766" s="725"/>
      <c r="C2766" s="460" t="s">
        <v>93</v>
      </c>
      <c r="D2766" s="725"/>
      <c r="E2766" s="460" t="s">
        <v>93</v>
      </c>
      <c r="F2766" s="725"/>
      <c r="G2766" s="460" t="s">
        <v>93</v>
      </c>
      <c r="H2766" s="460"/>
      <c r="I2766" s="1259"/>
    </row>
    <row r="2767" spans="1:9" ht="14.55" customHeight="1" x14ac:dyDescent="0.3">
      <c r="A2767" s="1258" t="s">
        <v>277</v>
      </c>
      <c r="B2767" s="453" t="e">
        <f>IF((CEILING(B2761,1)+B2764)&lt;B2760,B2760,CEILING(B2761,1)+B2764)</f>
        <v>#N/A</v>
      </c>
      <c r="C2767" s="460" t="s">
        <v>93</v>
      </c>
      <c r="D2767" s="453" t="e">
        <f>IF((CEILING(D2761,1)+D2764)&lt;D2760,D2760,CEILING(D2761,1)+D2764)</f>
        <v>#N/A</v>
      </c>
      <c r="E2767" s="460" t="s">
        <v>93</v>
      </c>
      <c r="F2767" s="453" t="e">
        <f>IF((CEILING(F2761,1)+F2764)&lt;F2760,F2760,CEILING(F2761,1)+F2764)</f>
        <v>#N/A</v>
      </c>
      <c r="G2767" s="460" t="s">
        <v>93</v>
      </c>
      <c r="H2767" s="460"/>
      <c r="I2767" s="1259"/>
    </row>
    <row r="2768" spans="1:9" ht="14.55" customHeight="1" x14ac:dyDescent="0.3">
      <c r="A2768" s="1258" t="s">
        <v>278</v>
      </c>
      <c r="B2768" s="453" t="e">
        <f>IF((CEILING(B2762,1)+B2765)&lt;=B2760,B2760,CEILING(B2762,1)+B2765)</f>
        <v>#N/A</v>
      </c>
      <c r="C2768" s="460" t="s">
        <v>93</v>
      </c>
      <c r="D2768" s="453" t="e">
        <f>IF((CEILING(D2762,1)+D2765)&lt;=D2760,D2760,CEILING(D2762,1)+D2765)</f>
        <v>#N/A</v>
      </c>
      <c r="E2768" s="460" t="s">
        <v>93</v>
      </c>
      <c r="F2768" s="453" t="e">
        <f>IF((CEILING(F2762,1)+F2765)&lt;=F2760,F2760,CEILING(F2762,1)+F2765)</f>
        <v>#N/A</v>
      </c>
      <c r="G2768" s="460" t="s">
        <v>93</v>
      </c>
      <c r="H2768" s="460"/>
      <c r="I2768" s="1259"/>
    </row>
    <row r="2769" spans="1:9" ht="14.55" customHeight="1" x14ac:dyDescent="0.3">
      <c r="A2769" s="1258" t="s">
        <v>279</v>
      </c>
      <c r="B2769" s="453" t="e">
        <f>IF((CEILING(B2763,1)+B2766)&lt;=B2760,B2760,CEILING(B2763,1)+B2766)</f>
        <v>#N/A</v>
      </c>
      <c r="C2769" s="460" t="s">
        <v>93</v>
      </c>
      <c r="D2769" s="453" t="e">
        <f>IF((CEILING(D2763,1)+D2766)&lt;=D2760,D2760,CEILING(D2763,1)+D2766)</f>
        <v>#N/A</v>
      </c>
      <c r="E2769" s="460" t="s">
        <v>93</v>
      </c>
      <c r="F2769" s="453" t="e">
        <f>IF((CEILING(F2763,1)+F2766)&lt;=F2760,F2760,CEILING(F2763,1)+F2766)</f>
        <v>#N/A</v>
      </c>
      <c r="G2769" s="460" t="s">
        <v>93</v>
      </c>
      <c r="H2769" s="460"/>
      <c r="I2769" s="1259"/>
    </row>
    <row r="2770" spans="1:9" ht="14.55" customHeight="1" x14ac:dyDescent="0.3">
      <c r="A2770" s="1258" t="s">
        <v>280</v>
      </c>
      <c r="B2770" s="453"/>
      <c r="C2770" s="460"/>
      <c r="D2770" s="453"/>
      <c r="E2770" s="460"/>
      <c r="F2770" s="726"/>
      <c r="G2770" s="460"/>
      <c r="H2770" s="460"/>
      <c r="I2770" s="1259"/>
    </row>
    <row r="2771" spans="1:9" ht="14.55" customHeight="1" x14ac:dyDescent="0.3">
      <c r="A2771" s="1258" t="s">
        <v>281</v>
      </c>
      <c r="B2771" s="453"/>
      <c r="C2771" s="460"/>
      <c r="D2771" s="453"/>
      <c r="E2771" s="460"/>
      <c r="F2771" s="460">
        <f>IFERROR(VLOOKUP(F2725,'Thickness Tab'!$1:$1048576,MATCH(F2770,'Thickness Tab'!$1:$1,0),0),0)</f>
        <v>0</v>
      </c>
      <c r="G2771" s="460" t="s">
        <v>93</v>
      </c>
      <c r="H2771" s="460"/>
      <c r="I2771" s="1259"/>
    </row>
    <row r="2772" spans="1:9" ht="14.55" customHeight="1" x14ac:dyDescent="0.3">
      <c r="A2772" s="1258"/>
      <c r="B2772" s="464"/>
      <c r="C2772" s="460"/>
      <c r="D2772" s="460"/>
      <c r="E2772" s="460"/>
      <c r="F2772" s="460"/>
      <c r="G2772" s="460"/>
      <c r="H2772" s="460"/>
      <c r="I2772" s="1259"/>
    </row>
    <row r="2773" spans="1:9" ht="14.55" customHeight="1" x14ac:dyDescent="0.3">
      <c r="A2773" s="1258" t="s">
        <v>282</v>
      </c>
      <c r="B2773" s="725">
        <v>0</v>
      </c>
      <c r="C2773" s="460" t="s">
        <v>93</v>
      </c>
      <c r="D2773" s="725">
        <v>0</v>
      </c>
      <c r="E2773" s="460" t="s">
        <v>93</v>
      </c>
      <c r="F2773" s="725">
        <v>0</v>
      </c>
      <c r="G2773" s="460" t="s">
        <v>93</v>
      </c>
      <c r="H2773" s="460"/>
      <c r="I2773" s="1259"/>
    </row>
    <row r="2774" spans="1:9" ht="14.55" customHeight="1" x14ac:dyDescent="0.3">
      <c r="A2774" s="1258" t="s">
        <v>283</v>
      </c>
      <c r="B2774" s="725">
        <v>0</v>
      </c>
      <c r="C2774" s="460" t="s">
        <v>93</v>
      </c>
      <c r="D2774" s="725">
        <v>0</v>
      </c>
      <c r="E2774" s="460" t="s">
        <v>93</v>
      </c>
      <c r="F2774" s="725">
        <v>0</v>
      </c>
      <c r="G2774" s="460" t="s">
        <v>93</v>
      </c>
      <c r="H2774" s="460"/>
      <c r="I2774" s="1259"/>
    </row>
    <row r="2775" spans="1:9" ht="14.55" customHeight="1" x14ac:dyDescent="0.3">
      <c r="A2775" s="1258" t="s">
        <v>284</v>
      </c>
      <c r="B2775" s="725">
        <v>0</v>
      </c>
      <c r="C2775" s="460" t="s">
        <v>93</v>
      </c>
      <c r="D2775" s="725">
        <v>0</v>
      </c>
      <c r="E2775" s="460" t="s">
        <v>93</v>
      </c>
      <c r="F2775" s="725">
        <v>0</v>
      </c>
      <c r="G2775" s="460" t="s">
        <v>93</v>
      </c>
      <c r="H2775" s="460"/>
      <c r="I2775" s="1259"/>
    </row>
    <row r="2776" spans="1:9" ht="14.55" customHeight="1" x14ac:dyDescent="0.3">
      <c r="A2776" s="1258"/>
      <c r="B2776" s="464"/>
      <c r="C2776" s="460"/>
      <c r="D2776" s="460"/>
      <c r="E2776" s="460"/>
      <c r="F2776" s="460"/>
      <c r="G2776" s="460"/>
      <c r="H2776" s="460"/>
      <c r="I2776" s="1259"/>
    </row>
    <row r="2777" spans="1:9" ht="14.55" customHeight="1" x14ac:dyDescent="0.3">
      <c r="A2777" s="1260" t="s">
        <v>285</v>
      </c>
      <c r="B2777" s="470" t="str">
        <f>IF(B2705="Horizontal","No Skirt","")</f>
        <v/>
      </c>
      <c r="C2777" s="460"/>
      <c r="D2777" s="471"/>
      <c r="E2777" s="471" t="s">
        <v>286</v>
      </c>
      <c r="F2777" s="460"/>
      <c r="G2777" s="469"/>
      <c r="H2777" s="469"/>
      <c r="I2777" s="1261"/>
    </row>
    <row r="2778" spans="1:9" ht="14.55" customHeight="1" x14ac:dyDescent="0.3">
      <c r="A2778" s="1258" t="s">
        <v>287</v>
      </c>
      <c r="B2778" s="722"/>
      <c r="C2778" s="456" t="s">
        <v>93</v>
      </c>
      <c r="D2778" s="472"/>
      <c r="E2778" s="472" t="s">
        <v>288</v>
      </c>
      <c r="F2778" s="725"/>
      <c r="G2778" s="460" t="s">
        <v>93</v>
      </c>
      <c r="H2778" s="469"/>
      <c r="I2778" s="1261"/>
    </row>
    <row r="2779" spans="1:9" ht="14.55" customHeight="1" x14ac:dyDescent="0.3">
      <c r="A2779" s="1258" t="s">
        <v>289</v>
      </c>
      <c r="B2779" s="722"/>
      <c r="C2779" s="456" t="s">
        <v>93</v>
      </c>
      <c r="D2779" s="472"/>
      <c r="E2779" s="472" t="s">
        <v>290</v>
      </c>
      <c r="F2779" s="725"/>
      <c r="G2779" s="460" t="s">
        <v>93</v>
      </c>
      <c r="H2779" s="469"/>
      <c r="I2779" s="1261"/>
    </row>
    <row r="2780" spans="1:9" ht="14.55" customHeight="1" x14ac:dyDescent="0.3">
      <c r="A2780" s="1258" t="s">
        <v>291</v>
      </c>
      <c r="B2780" s="722"/>
      <c r="C2780" s="456" t="s">
        <v>93</v>
      </c>
      <c r="D2780" s="472"/>
      <c r="E2780" s="472" t="s">
        <v>292</v>
      </c>
      <c r="F2780" s="725"/>
      <c r="G2780" s="460"/>
      <c r="H2780" s="469"/>
      <c r="I2780" s="1261"/>
    </row>
    <row r="2781" spans="1:9" ht="14.55" customHeight="1" x14ac:dyDescent="0.3">
      <c r="A2781" s="1258" t="s">
        <v>293</v>
      </c>
      <c r="B2781" s="722"/>
      <c r="C2781" s="456" t="s">
        <v>93</v>
      </c>
      <c r="D2781" s="472"/>
      <c r="E2781" s="472" t="s">
        <v>184</v>
      </c>
      <c r="F2781" s="457">
        <f>(PI()*F2778^2)/4*F2779*(7800/1000000000)</f>
        <v>0</v>
      </c>
      <c r="G2781" s="460" t="s">
        <v>222</v>
      </c>
      <c r="H2781" s="460"/>
      <c r="I2781" s="1259"/>
    </row>
    <row r="2782" spans="1:9" ht="14.55" customHeight="1" x14ac:dyDescent="0.3">
      <c r="A2782" s="1258" t="s">
        <v>294</v>
      </c>
      <c r="B2782" s="722"/>
      <c r="C2782" s="456" t="s">
        <v>93</v>
      </c>
      <c r="D2782" s="460"/>
      <c r="E2782" s="460"/>
      <c r="F2782" s="460"/>
      <c r="G2782" s="460"/>
      <c r="H2782" s="460"/>
      <c r="I2782" s="1259"/>
    </row>
    <row r="2783" spans="1:9" ht="14.55" customHeight="1" x14ac:dyDescent="0.3">
      <c r="A2783" s="1258"/>
      <c r="B2783" s="407"/>
      <c r="C2783" s="460"/>
      <c r="D2783" s="460"/>
      <c r="E2783" s="460"/>
      <c r="F2783" s="460"/>
      <c r="G2783" s="460"/>
      <c r="H2783" s="460"/>
      <c r="I2783" s="1259"/>
    </row>
    <row r="2784" spans="1:9" ht="14.55" customHeight="1" x14ac:dyDescent="0.3">
      <c r="A2784" s="1262" t="s">
        <v>295</v>
      </c>
      <c r="B2784" s="480"/>
      <c r="C2784" s="59"/>
      <c r="D2784" s="59"/>
      <c r="E2784" s="59"/>
      <c r="F2784" s="460"/>
      <c r="G2784" s="460"/>
      <c r="H2784" s="460"/>
      <c r="I2784" s="1259"/>
    </row>
    <row r="2785" spans="1:9" ht="14.55" customHeight="1" x14ac:dyDescent="0.3">
      <c r="A2785" s="1263" t="s">
        <v>296</v>
      </c>
      <c r="B2785" s="722"/>
      <c r="C2785" s="59" t="s">
        <v>93</v>
      </c>
      <c r="D2785" s="59"/>
      <c r="E2785" s="59"/>
      <c r="F2785" s="460"/>
      <c r="G2785" s="460"/>
      <c r="H2785" s="460"/>
      <c r="I2785" s="1259"/>
    </row>
    <row r="2786" spans="1:9" ht="14.55" customHeight="1" x14ac:dyDescent="0.3">
      <c r="A2786" s="1263" t="s">
        <v>297</v>
      </c>
      <c r="B2786" s="722"/>
      <c r="C2786" s="59" t="s">
        <v>93</v>
      </c>
      <c r="D2786" s="59"/>
      <c r="E2786" s="59"/>
      <c r="F2786" s="460"/>
      <c r="G2786" s="460"/>
      <c r="H2786" s="460"/>
      <c r="I2786" s="1259"/>
    </row>
    <row r="2787" spans="1:9" ht="14.55" customHeight="1" x14ac:dyDescent="0.3">
      <c r="A2787" s="1263" t="s">
        <v>298</v>
      </c>
      <c r="B2787" s="480">
        <f>B2728</f>
        <v>0</v>
      </c>
      <c r="C2787" s="59" t="s">
        <v>93</v>
      </c>
      <c r="D2787" s="59"/>
      <c r="E2787" s="59"/>
      <c r="F2787" s="460"/>
      <c r="G2787" s="460"/>
      <c r="H2787" s="460"/>
      <c r="I2787" s="1259"/>
    </row>
    <row r="2788" spans="1:9" ht="14.55" customHeight="1" x14ac:dyDescent="0.3">
      <c r="A2788" s="1263" t="s">
        <v>299</v>
      </c>
      <c r="B2788" s="727"/>
      <c r="C2788" s="59"/>
      <c r="D2788" s="59"/>
      <c r="E2788" s="59"/>
      <c r="F2788" s="460"/>
      <c r="G2788" s="460"/>
      <c r="H2788" s="460"/>
      <c r="I2788" s="1259"/>
    </row>
    <row r="2789" spans="1:9" ht="14.55" customHeight="1" x14ac:dyDescent="0.3">
      <c r="A2789" s="1263" t="s">
        <v>300</v>
      </c>
      <c r="B2789" s="722"/>
      <c r="C2789" s="59" t="s">
        <v>301</v>
      </c>
      <c r="D2789" s="59"/>
      <c r="E2789" s="59"/>
      <c r="F2789" s="460"/>
      <c r="G2789" s="460"/>
      <c r="H2789" s="460"/>
      <c r="I2789" s="1259"/>
    </row>
    <row r="2790" spans="1:9" ht="14.55" customHeight="1" x14ac:dyDescent="0.3">
      <c r="A2790" s="1263" t="s">
        <v>302</v>
      </c>
      <c r="B2790" s="480">
        <f>IF(B2788="Straight",B2787,B2787*2)</f>
        <v>0</v>
      </c>
      <c r="C2790" s="59" t="s">
        <v>93</v>
      </c>
      <c r="D2790" s="480"/>
      <c r="E2790" s="59"/>
      <c r="F2790" s="460"/>
      <c r="G2790" s="460"/>
      <c r="H2790" s="460"/>
      <c r="I2790" s="1259"/>
    </row>
    <row r="2791" spans="1:9" ht="14.55" customHeight="1" x14ac:dyDescent="0.3">
      <c r="A2791" s="1263" t="s">
        <v>303</v>
      </c>
      <c r="B2791" s="480">
        <f>B2785*PI()*B2790/1000000*B2789</f>
        <v>0</v>
      </c>
      <c r="C2791" s="59" t="s">
        <v>228</v>
      </c>
      <c r="D2791" s="59"/>
      <c r="E2791" s="59"/>
      <c r="F2791" s="460"/>
      <c r="G2791" s="460"/>
      <c r="H2791" s="460"/>
      <c r="I2791" s="1259"/>
    </row>
    <row r="2792" spans="1:9" ht="14.55" customHeight="1" x14ac:dyDescent="0.3">
      <c r="A2792" s="1263" t="s">
        <v>304</v>
      </c>
      <c r="B2792" s="480">
        <v>7.86</v>
      </c>
      <c r="C2792" s="59" t="s">
        <v>305</v>
      </c>
      <c r="D2792" s="59"/>
      <c r="E2792" s="59"/>
      <c r="F2792" s="460"/>
      <c r="G2792" s="460"/>
      <c r="H2792" s="460"/>
      <c r="I2792" s="1259"/>
    </row>
    <row r="2793" spans="1:9" ht="14.55" customHeight="1" x14ac:dyDescent="0.3">
      <c r="A2793" s="1263" t="s">
        <v>306</v>
      </c>
      <c r="B2793" s="480">
        <f>PI()*B2786*(B2785-B2786)*B2792/1000</f>
        <v>0</v>
      </c>
      <c r="C2793" s="59" t="s">
        <v>307</v>
      </c>
      <c r="D2793" s="59"/>
      <c r="E2793" s="59"/>
      <c r="F2793" s="460"/>
      <c r="G2793" s="460"/>
      <c r="H2793" s="460"/>
      <c r="I2793" s="1259"/>
    </row>
    <row r="2794" spans="1:9" ht="14.55" customHeight="1" x14ac:dyDescent="0.3">
      <c r="A2794" s="1263" t="s">
        <v>308</v>
      </c>
      <c r="B2794" s="480">
        <f>B2793*B2790*B2789/1000</f>
        <v>0</v>
      </c>
      <c r="C2794" s="59" t="s">
        <v>222</v>
      </c>
      <c r="D2794" s="59"/>
      <c r="E2794" s="59"/>
      <c r="F2794" s="460"/>
      <c r="G2794" s="460"/>
      <c r="H2794" s="460"/>
      <c r="I2794" s="1259"/>
    </row>
    <row r="2795" spans="1:9" ht="14.55" customHeight="1" x14ac:dyDescent="0.3">
      <c r="A2795" s="1263"/>
      <c r="B2795" s="480"/>
      <c r="C2795" s="59"/>
      <c r="D2795" s="59"/>
      <c r="E2795" s="59"/>
      <c r="F2795" s="460"/>
      <c r="G2795" s="460"/>
      <c r="H2795" s="460"/>
      <c r="I2795" s="1259"/>
    </row>
    <row r="2796" spans="1:9" ht="14.55" customHeight="1" x14ac:dyDescent="0.3">
      <c r="A2796" s="1262" t="s">
        <v>309</v>
      </c>
      <c r="B2796" s="480"/>
      <c r="C2796" s="59"/>
      <c r="D2796" s="59"/>
      <c r="E2796" s="59"/>
      <c r="F2796" s="460"/>
      <c r="G2796" s="460"/>
      <c r="H2796" s="460"/>
      <c r="I2796" s="1259"/>
    </row>
    <row r="2797" spans="1:9" ht="14.55" customHeight="1" x14ac:dyDescent="0.3">
      <c r="A2797" s="1263" t="s">
        <v>310</v>
      </c>
      <c r="B2797" s="480">
        <f>B2726</f>
        <v>0</v>
      </c>
      <c r="C2797" s="59" t="s">
        <v>93</v>
      </c>
      <c r="D2797" s="59"/>
      <c r="E2797" s="59"/>
      <c r="F2797" s="460"/>
      <c r="G2797" s="460"/>
      <c r="H2797" s="460"/>
      <c r="I2797" s="1259"/>
    </row>
    <row r="2798" spans="1:9" ht="14.55" customHeight="1" x14ac:dyDescent="0.3">
      <c r="A2798" s="1263" t="s">
        <v>297</v>
      </c>
      <c r="B2798" s="480">
        <v>15</v>
      </c>
      <c r="C2798" s="59" t="s">
        <v>93</v>
      </c>
      <c r="D2798" s="59"/>
      <c r="E2798" s="59"/>
      <c r="F2798" s="460"/>
      <c r="G2798" s="460"/>
      <c r="H2798" s="460"/>
      <c r="I2798" s="1259"/>
    </row>
    <row r="2799" spans="1:9" ht="14.55" customHeight="1" x14ac:dyDescent="0.3">
      <c r="A2799" s="1263" t="s">
        <v>311</v>
      </c>
      <c r="B2799" s="480">
        <f>B2797^2*PI()/4/1000000</f>
        <v>0</v>
      </c>
      <c r="C2799" s="59" t="s">
        <v>228</v>
      </c>
      <c r="D2799" s="59"/>
      <c r="E2799" s="59"/>
      <c r="F2799" s="460"/>
      <c r="G2799" s="460"/>
      <c r="H2799" s="460"/>
      <c r="I2799" s="1259"/>
    </row>
    <row r="2800" spans="1:9" ht="14.55" customHeight="1" x14ac:dyDescent="0.3">
      <c r="A2800" s="1263" t="s">
        <v>312</v>
      </c>
      <c r="B2800" s="480">
        <f>B2799*B2798/1000*B2792*2/1000</f>
        <v>0</v>
      </c>
      <c r="C2800" s="59" t="s">
        <v>222</v>
      </c>
      <c r="D2800" s="59"/>
      <c r="E2800" s="59"/>
      <c r="F2800" s="460"/>
      <c r="G2800" s="460"/>
      <c r="H2800" s="460"/>
      <c r="I2800" s="1259"/>
    </row>
    <row r="2801" spans="1:9" ht="14.55" customHeight="1" x14ac:dyDescent="0.3">
      <c r="A2801" s="1263"/>
      <c r="B2801" s="480"/>
      <c r="C2801" s="59"/>
      <c r="D2801" s="59"/>
      <c r="E2801" s="59"/>
      <c r="F2801" s="460"/>
      <c r="G2801" s="460"/>
      <c r="H2801" s="460"/>
      <c r="I2801" s="1259"/>
    </row>
    <row r="2802" spans="1:9" ht="14.55" customHeight="1" x14ac:dyDescent="0.3">
      <c r="A2802" s="1263" t="s">
        <v>313</v>
      </c>
      <c r="B2802" s="480">
        <f>B2794+B2800*2</f>
        <v>0</v>
      </c>
      <c r="C2802" s="59" t="s">
        <v>222</v>
      </c>
      <c r="D2802" s="59"/>
      <c r="E2802" s="59"/>
      <c r="F2802" s="460"/>
      <c r="G2802" s="460"/>
      <c r="H2802" s="460"/>
      <c r="I2802" s="1259"/>
    </row>
    <row r="2803" spans="1:9" ht="14.55" customHeight="1" x14ac:dyDescent="0.3">
      <c r="A2803" s="1263"/>
      <c r="B2803" s="480"/>
      <c r="C2803" s="59"/>
      <c r="D2803" s="59"/>
      <c r="E2803" s="59"/>
      <c r="F2803" s="460"/>
      <c r="G2803" s="460"/>
      <c r="H2803" s="460"/>
      <c r="I2803" s="1259"/>
    </row>
    <row r="2804" spans="1:9" ht="14.55" customHeight="1" x14ac:dyDescent="0.3">
      <c r="A2804" s="1260" t="s">
        <v>314</v>
      </c>
      <c r="B2804" s="460"/>
      <c r="C2804" s="460"/>
      <c r="D2804" s="463" t="s">
        <v>315</v>
      </c>
      <c r="E2804" s="460"/>
      <c r="F2804" s="460"/>
      <c r="G2804" s="471" t="s">
        <v>316</v>
      </c>
      <c r="H2804" s="453"/>
      <c r="I2804" s="1259"/>
    </row>
    <row r="2805" spans="1:9" ht="14.55" customHeight="1" x14ac:dyDescent="0.3">
      <c r="A2805" s="1258" t="s">
        <v>189</v>
      </c>
      <c r="B2805" s="468" t="e">
        <f>SUM(B2729,D2729,F2729)</f>
        <v>#N/A</v>
      </c>
      <c r="C2805" s="460" t="s">
        <v>222</v>
      </c>
      <c r="D2805" s="472" t="s">
        <v>189</v>
      </c>
      <c r="E2805" s="468" t="e">
        <f>SUM(B2731,D2731,F2731)</f>
        <v>#N/A</v>
      </c>
      <c r="F2805" s="460" t="s">
        <v>228</v>
      </c>
      <c r="G2805" s="472" t="s">
        <v>189</v>
      </c>
      <c r="H2805" s="453" t="e">
        <f>SUM(B2733,D2733,F2733)</f>
        <v>#N/A</v>
      </c>
      <c r="I2805" s="1259" t="s">
        <v>228</v>
      </c>
    </row>
    <row r="2806" spans="1:9" ht="14.55" customHeight="1" x14ac:dyDescent="0.3">
      <c r="A2806" s="1258" t="s">
        <v>317</v>
      </c>
      <c r="B2806" s="468" t="e">
        <f>SUM(B2739*B2741,D2739*D2741,F2739*F2741)</f>
        <v>#N/A</v>
      </c>
      <c r="C2806" s="460" t="s">
        <v>222</v>
      </c>
      <c r="D2806" s="472" t="s">
        <v>317</v>
      </c>
      <c r="E2806" s="468" t="e">
        <f>SUM(B2739*B2743,D2739*D2743,F2739*F2743)</f>
        <v>#N/A</v>
      </c>
      <c r="F2806" s="460" t="s">
        <v>228</v>
      </c>
      <c r="G2806" s="472" t="s">
        <v>317</v>
      </c>
      <c r="H2806" s="453" t="e">
        <f>SUM(B2739*B2745,D2739*D2745,F2739*F2745)</f>
        <v>#N/A</v>
      </c>
      <c r="I2806" s="1259" t="s">
        <v>228</v>
      </c>
    </row>
    <row r="2807" spans="1:9" ht="14.55" customHeight="1" x14ac:dyDescent="0.3">
      <c r="A2807" s="1258" t="s">
        <v>318</v>
      </c>
      <c r="B2807" s="468" t="e">
        <f>SUM(B2753,D2753,F2753)</f>
        <v>#N/A</v>
      </c>
      <c r="C2807" s="460" t="s">
        <v>222</v>
      </c>
      <c r="D2807" s="472" t="s">
        <v>318</v>
      </c>
      <c r="E2807" s="468" t="e">
        <f>SUM(B2755,D2755,F2755)</f>
        <v>#N/A</v>
      </c>
      <c r="F2807" s="460" t="s">
        <v>228</v>
      </c>
      <c r="G2807" s="472" t="s">
        <v>318</v>
      </c>
      <c r="H2807" s="453" t="e">
        <f>SUM(B2758,D2758,F2758)</f>
        <v>#N/A</v>
      </c>
      <c r="I2807" s="1259" t="s">
        <v>228</v>
      </c>
    </row>
    <row r="2808" spans="1:9" ht="14.55" customHeight="1" x14ac:dyDescent="0.3">
      <c r="A2808" s="1258" t="s">
        <v>319</v>
      </c>
      <c r="B2808" s="468">
        <f>SUMPRODUCT(F2825:F2836,H2825:H2836)</f>
        <v>0</v>
      </c>
      <c r="C2808" s="460" t="s">
        <v>222</v>
      </c>
      <c r="D2808" s="472" t="s">
        <v>319</v>
      </c>
      <c r="E2808" s="468">
        <f>SUMPRODUCT(F2825:F2836,I2825:I2836)</f>
        <v>0</v>
      </c>
      <c r="F2808" s="460" t="s">
        <v>228</v>
      </c>
      <c r="G2808" s="460"/>
      <c r="H2808" s="453"/>
      <c r="I2808" s="1259"/>
    </row>
    <row r="2809" spans="1:9" ht="14.55" customHeight="1" x14ac:dyDescent="0.3">
      <c r="A2809" s="1258" t="s">
        <v>320</v>
      </c>
      <c r="B2809" s="468" t="e">
        <f>IF(B2705="Horizontal",0,(PI()*B2779*(((B2727/2)^2)-(((B2727-2*B2778)/2)^2))*7860)/1000000000)</f>
        <v>#N/A</v>
      </c>
      <c r="C2809" s="460" t="s">
        <v>222</v>
      </c>
      <c r="D2809" s="472" t="s">
        <v>320</v>
      </c>
      <c r="E2809" s="468" t="e">
        <f>IF(B2705="Horizontal",0,((B2727*B2779*PI())+((B2727-2*B2778)*B2779*PI()))/1000000)</f>
        <v>#N/A</v>
      </c>
      <c r="F2809" s="460" t="s">
        <v>228</v>
      </c>
      <c r="G2809" s="471" t="s">
        <v>321</v>
      </c>
      <c r="H2809" s="453"/>
      <c r="I2809" s="1259"/>
    </row>
    <row r="2810" spans="1:9" ht="14.55" customHeight="1" x14ac:dyDescent="0.3">
      <c r="A2810" s="1258" t="s">
        <v>322</v>
      </c>
      <c r="B2810" s="468">
        <f>IF(B2705="Horizontal",0,(PI()*B2782*(((B2781/2)^2)-((B2780/2)^2))*7860)/1000000000)</f>
        <v>0</v>
      </c>
      <c r="C2810" s="460" t="s">
        <v>222</v>
      </c>
      <c r="D2810" s="472" t="s">
        <v>322</v>
      </c>
      <c r="E2810" s="468">
        <f>IF(B2705="Horizontal",0,((B2781*3.14*B2782)+(B2780*3.14*B2782)+(((((B2781/2)^2)*3.14)-(((B2780/2)^2)*3.14))*2))/1000000)</f>
        <v>0</v>
      </c>
      <c r="F2810" s="460" t="s">
        <v>228</v>
      </c>
      <c r="G2810" s="472" t="s">
        <v>189</v>
      </c>
      <c r="H2810" s="453">
        <f>SUM(B2730,D2730,F2730)</f>
        <v>0</v>
      </c>
      <c r="I2810" s="1259" t="s">
        <v>225</v>
      </c>
    </row>
    <row r="2811" spans="1:9" ht="14.55" customHeight="1" x14ac:dyDescent="0.3">
      <c r="A2811" s="1258" t="s">
        <v>323</v>
      </c>
      <c r="B2811" s="468">
        <f>IF(B2705="Horizontal",VLOOKUP(B2727,List!$AR:$AS,2,1)*2,0)</f>
        <v>0</v>
      </c>
      <c r="C2811" s="460" t="s">
        <v>222</v>
      </c>
      <c r="D2811" s="472" t="s">
        <v>323</v>
      </c>
      <c r="E2811" s="725"/>
      <c r="F2811" s="460" t="s">
        <v>228</v>
      </c>
      <c r="G2811" s="472" t="s">
        <v>317</v>
      </c>
      <c r="H2811" s="453" t="e">
        <f>SUM(B2739*B2742+D2739*D2742+F2739*F2742)</f>
        <v>#N/A</v>
      </c>
      <c r="I2811" s="1259" t="s">
        <v>225</v>
      </c>
    </row>
    <row r="2812" spans="1:9" ht="14.55" customHeight="1" x14ac:dyDescent="0.3">
      <c r="A2812" s="1258" t="s">
        <v>324</v>
      </c>
      <c r="B2812" s="468">
        <f>F2781*F2780</f>
        <v>0</v>
      </c>
      <c r="C2812" s="460" t="s">
        <v>222</v>
      </c>
      <c r="D2812" s="460"/>
      <c r="E2812" s="460"/>
      <c r="F2812" s="460"/>
      <c r="G2812" s="472" t="s">
        <v>318</v>
      </c>
      <c r="H2812" s="453">
        <f>SUM(B2754,D2754,F2754)</f>
        <v>0</v>
      </c>
      <c r="I2812" s="1259" t="s">
        <v>225</v>
      </c>
    </row>
    <row r="2813" spans="1:9" ht="14.55" customHeight="1" x14ac:dyDescent="0.3">
      <c r="A2813" s="1258" t="s">
        <v>325</v>
      </c>
      <c r="B2813" s="468">
        <f>B2802</f>
        <v>0</v>
      </c>
      <c r="C2813" s="460" t="s">
        <v>222</v>
      </c>
      <c r="D2813" s="460"/>
      <c r="E2813" s="460"/>
      <c r="F2813" s="460"/>
      <c r="G2813" s="472"/>
      <c r="H2813" s="453"/>
      <c r="I2813" s="1259"/>
    </row>
    <row r="2814" spans="1:9" ht="14.55" customHeight="1" x14ac:dyDescent="0.3">
      <c r="A2814" s="1258" t="s">
        <v>326</v>
      </c>
      <c r="B2814" s="725"/>
      <c r="C2814" s="460" t="s">
        <v>222</v>
      </c>
      <c r="D2814" s="460"/>
      <c r="E2814" s="460"/>
      <c r="F2814" s="460"/>
      <c r="G2814" s="460"/>
      <c r="H2814" s="460"/>
      <c r="I2814" s="1259"/>
    </row>
    <row r="2815" spans="1:9" ht="14.55" customHeight="1" x14ac:dyDescent="0.3">
      <c r="A2815" s="1264"/>
      <c r="B2815" s="460"/>
      <c r="C2815" s="460"/>
      <c r="D2815" s="460"/>
      <c r="E2815" s="460"/>
      <c r="F2815" s="460"/>
      <c r="G2815" s="460"/>
      <c r="H2815" s="460"/>
      <c r="I2815" s="1259"/>
    </row>
    <row r="2816" spans="1:9" ht="14.55" customHeight="1" x14ac:dyDescent="0.3">
      <c r="A2816" s="1258" t="s">
        <v>327</v>
      </c>
      <c r="B2816" s="453" t="e">
        <f>SUM(E2805:E2811)</f>
        <v>#N/A</v>
      </c>
      <c r="C2816" s="460" t="s">
        <v>228</v>
      </c>
      <c r="D2816" s="460"/>
      <c r="E2816" s="460"/>
      <c r="F2816" s="460"/>
      <c r="G2816" s="460"/>
      <c r="H2816" s="460"/>
      <c r="I2816" s="1259"/>
    </row>
    <row r="2817" spans="1:9" ht="14.55" customHeight="1" x14ac:dyDescent="0.3">
      <c r="A2817" s="1258" t="s">
        <v>328</v>
      </c>
      <c r="B2817" s="453" t="e">
        <f>IF(SUM(E2805:E2807)=SUM(H2805:H2807),"Not Insulated",SUM(H2805:H2807))</f>
        <v>#N/A</v>
      </c>
      <c r="C2817" s="460" t="e">
        <f>IF(B2816=SUM(H2805:H2807),"","m2")</f>
        <v>#N/A</v>
      </c>
      <c r="D2817" s="460"/>
      <c r="E2817" s="460"/>
      <c r="F2817" s="460"/>
      <c r="G2817" s="460"/>
      <c r="H2817" s="460"/>
      <c r="I2817" s="1259"/>
    </row>
    <row r="2818" spans="1:9" ht="14.55" customHeight="1" x14ac:dyDescent="0.3">
      <c r="A2818" s="1258" t="s">
        <v>329</v>
      </c>
      <c r="B2818" s="453" t="e">
        <f>SUM(H2810:H2812)</f>
        <v>#N/A</v>
      </c>
      <c r="C2818" s="460" t="s">
        <v>225</v>
      </c>
      <c r="D2818" s="460"/>
      <c r="E2818" s="460"/>
      <c r="F2818" s="460"/>
      <c r="G2818" s="460"/>
      <c r="H2818" s="460"/>
      <c r="I2818" s="1259"/>
    </row>
    <row r="2819" spans="1:9" ht="14.55" customHeight="1" x14ac:dyDescent="0.3">
      <c r="A2819" s="1258" t="s">
        <v>330</v>
      </c>
      <c r="B2819" s="453" t="e">
        <f>SUM(B2805:B2814)</f>
        <v>#N/A</v>
      </c>
      <c r="C2819" s="460" t="s">
        <v>222</v>
      </c>
      <c r="D2819" s="460"/>
      <c r="E2819" s="460"/>
      <c r="F2819" s="460"/>
      <c r="G2819" s="460"/>
      <c r="H2819" s="460"/>
      <c r="I2819" s="1259"/>
    </row>
    <row r="2820" spans="1:9" ht="14.55" customHeight="1" x14ac:dyDescent="0.3">
      <c r="A2820" s="1258" t="s">
        <v>331</v>
      </c>
      <c r="B2820" s="725"/>
      <c r="C2820" s="460" t="s">
        <v>222</v>
      </c>
      <c r="D2820" s="460"/>
      <c r="E2820" s="460"/>
      <c r="F2820" s="460"/>
      <c r="G2820" s="460"/>
      <c r="H2820" s="460"/>
      <c r="I2820" s="1259"/>
    </row>
    <row r="2821" spans="1:9" ht="15" customHeight="1" thickBot="1" x14ac:dyDescent="0.35">
      <c r="A2821" s="1258"/>
      <c r="B2821" s="473"/>
      <c r="C2821" s="459"/>
      <c r="D2821" s="460"/>
      <c r="E2821" s="460"/>
      <c r="F2821" s="460"/>
      <c r="G2821" s="460"/>
      <c r="H2821" s="460"/>
      <c r="I2821" s="1259"/>
    </row>
    <row r="2822" spans="1:9" ht="15" customHeight="1" thickBot="1" x14ac:dyDescent="0.35">
      <c r="A2822" s="474"/>
      <c r="B2822" s="1718" t="s">
        <v>332</v>
      </c>
      <c r="C2822" s="1718"/>
      <c r="D2822" s="1718"/>
      <c r="E2822" s="1718"/>
      <c r="F2822" s="1718"/>
      <c r="G2822" s="475"/>
      <c r="H2822" s="475"/>
      <c r="I2822" s="476"/>
    </row>
    <row r="2823" spans="1:9" ht="14.55" customHeight="1" x14ac:dyDescent="0.3">
      <c r="A2823" s="1264"/>
      <c r="B2823" s="1719" t="s">
        <v>333</v>
      </c>
      <c r="C2823" s="1381" t="s">
        <v>59</v>
      </c>
      <c r="D2823" s="1719" t="s">
        <v>114</v>
      </c>
      <c r="E2823" s="1719" t="s">
        <v>334</v>
      </c>
      <c r="F2823" s="1719" t="s">
        <v>292</v>
      </c>
      <c r="G2823" s="1719" t="s">
        <v>335</v>
      </c>
      <c r="H2823" s="1381" t="s">
        <v>184</v>
      </c>
      <c r="I2823" s="1346" t="s">
        <v>336</v>
      </c>
    </row>
    <row r="2824" spans="1:9" ht="14.55" customHeight="1" x14ac:dyDescent="0.3">
      <c r="A2824" s="1264"/>
      <c r="B2824" s="1720"/>
      <c r="C2824" s="1442" t="s">
        <v>214</v>
      </c>
      <c r="D2824" s="1720"/>
      <c r="E2824" s="1720"/>
      <c r="F2824" s="1720"/>
      <c r="G2824" s="1720"/>
      <c r="H2824" s="1442" t="s">
        <v>222</v>
      </c>
      <c r="I2824" s="1443" t="s">
        <v>228</v>
      </c>
    </row>
    <row r="2825" spans="1:9" ht="14.55" customHeight="1" x14ac:dyDescent="0.3">
      <c r="A2825" s="1264"/>
      <c r="B2825" s="1382" t="s">
        <v>337</v>
      </c>
      <c r="C2825" s="728"/>
      <c r="D2825" s="729"/>
      <c r="E2825" s="730"/>
      <c r="F2825" s="730"/>
      <c r="G2825" s="730"/>
      <c r="H2825" s="1465" t="str">
        <f>IFERROR(VLOOKUP($C2825&amp;"F"&amp;$D2825,'Flanges Chart'!$1:$1048576,MATCH($E2825&amp;"."&amp;H$123,'Flanges Chart'!$1:$1,0),0),"")</f>
        <v/>
      </c>
      <c r="I2825" s="1466" t="str">
        <f>IFERROR(VLOOKUP($C2825&amp;"F"&amp;$D2825,'Flanges Chart'!$1:$1048576,MATCH($E2825&amp;"."&amp;I$123,'Flanges Chart'!$1:$1,0),0),"")</f>
        <v/>
      </c>
    </row>
    <row r="2826" spans="1:9" ht="14.55" customHeight="1" x14ac:dyDescent="0.3">
      <c r="A2826" s="1264"/>
      <c r="B2826" s="1467" t="s">
        <v>340</v>
      </c>
      <c r="C2826" s="731"/>
      <c r="D2826" s="729"/>
      <c r="E2826" s="729"/>
      <c r="F2826" s="729"/>
      <c r="G2826" s="729"/>
      <c r="H2826" s="1465" t="str">
        <f>IFERROR(VLOOKUP($C2826&amp;"F"&amp;$D2826,'Flanges Chart'!$1:$1048576,MATCH($E2826&amp;"."&amp;H$123,'Flanges Chart'!$1:$1,0),0),"")</f>
        <v/>
      </c>
      <c r="I2826" s="1466" t="str">
        <f>IFERROR(VLOOKUP($C2826&amp;"F"&amp;$D2826,'Flanges Chart'!$1:$1048576,MATCH($E2826&amp;"."&amp;I$123,'Flanges Chart'!$1:$1,0),0),"")</f>
        <v/>
      </c>
    </row>
    <row r="2827" spans="1:9" ht="14.55" customHeight="1" x14ac:dyDescent="0.3">
      <c r="A2827" s="1264"/>
      <c r="B2827" s="1467" t="s">
        <v>342</v>
      </c>
      <c r="C2827" s="731"/>
      <c r="D2827" s="729"/>
      <c r="E2827" s="729"/>
      <c r="F2827" s="729"/>
      <c r="G2827" s="729"/>
      <c r="H2827" s="1465" t="str">
        <f>IFERROR(VLOOKUP($C2827&amp;"F"&amp;$D2827,'Flanges Chart'!$1:$1048576,MATCH($E2827&amp;"."&amp;H$123,'Flanges Chart'!$1:$1,0),0),"")</f>
        <v/>
      </c>
      <c r="I2827" s="1466" t="str">
        <f>IFERROR(VLOOKUP($C2827&amp;"F"&amp;$D2827,'Flanges Chart'!$1:$1048576,MATCH($E2827&amp;"."&amp;I$123,'Flanges Chart'!$1:$1,0),0),"")</f>
        <v/>
      </c>
    </row>
    <row r="2828" spans="1:9" ht="14.55" customHeight="1" x14ac:dyDescent="0.3">
      <c r="A2828" s="1264"/>
      <c r="B2828" s="1467" t="s">
        <v>344</v>
      </c>
      <c r="C2828" s="731"/>
      <c r="D2828" s="729"/>
      <c r="E2828" s="729"/>
      <c r="F2828" s="729"/>
      <c r="G2828" s="729"/>
      <c r="H2828" s="1465" t="str">
        <f>IFERROR(VLOOKUP($C2828&amp;"F"&amp;$D2828,'Flanges Chart'!$1:$1048576,MATCH($E2828&amp;"."&amp;H$123,'Flanges Chart'!$1:$1,0),0),"")</f>
        <v/>
      </c>
      <c r="I2828" s="1466" t="str">
        <f>IFERROR(VLOOKUP($C2828&amp;"F"&amp;$D2828,'Flanges Chart'!$1:$1048576,MATCH($E2828&amp;"."&amp;I$123,'Flanges Chart'!$1:$1,0),0),"")</f>
        <v/>
      </c>
    </row>
    <row r="2829" spans="1:9" ht="14.55" customHeight="1" x14ac:dyDescent="0.3">
      <c r="A2829" s="1264"/>
      <c r="B2829" s="1467" t="s">
        <v>347</v>
      </c>
      <c r="C2829" s="731"/>
      <c r="D2829" s="729"/>
      <c r="E2829" s="729"/>
      <c r="F2829" s="729"/>
      <c r="G2829" s="729"/>
      <c r="H2829" s="1465" t="str">
        <f>IFERROR(VLOOKUP($C2829&amp;"F"&amp;$D2829,'Flanges Chart'!$1:$1048576,MATCH($E2829&amp;"."&amp;H$123,'Flanges Chart'!$1:$1,0),0),"")</f>
        <v/>
      </c>
      <c r="I2829" s="1466" t="str">
        <f>IFERROR(VLOOKUP($C2829&amp;"F"&amp;$D2829,'Flanges Chart'!$1:$1048576,MATCH($E2829&amp;"."&amp;I$123,'Flanges Chart'!$1:$1,0),0),"")</f>
        <v/>
      </c>
    </row>
    <row r="2830" spans="1:9" ht="14.55" customHeight="1" x14ac:dyDescent="0.3">
      <c r="A2830" s="1264"/>
      <c r="B2830" s="1467" t="s">
        <v>349</v>
      </c>
      <c r="C2830" s="731"/>
      <c r="D2830" s="729"/>
      <c r="E2830" s="729"/>
      <c r="F2830" s="729"/>
      <c r="G2830" s="729"/>
      <c r="H2830" s="1465" t="str">
        <f>IFERROR(VLOOKUP($C2830&amp;"F"&amp;$D2830,'Flanges Chart'!$1:$1048576,MATCH($E2830&amp;"."&amp;H$123,'Flanges Chart'!$1:$1,0),0),"")</f>
        <v/>
      </c>
      <c r="I2830" s="1466" t="str">
        <f>IFERROR(VLOOKUP($C2830&amp;"F"&amp;$D2830,'Flanges Chart'!$1:$1048576,MATCH($E2830&amp;"."&amp;I$123,'Flanges Chart'!$1:$1,0),0),"")</f>
        <v/>
      </c>
    </row>
    <row r="2831" spans="1:9" ht="14.55" customHeight="1" x14ac:dyDescent="0.3">
      <c r="A2831" s="1264"/>
      <c r="B2831" s="1467" t="s">
        <v>350</v>
      </c>
      <c r="C2831" s="731"/>
      <c r="D2831" s="729"/>
      <c r="E2831" s="729"/>
      <c r="F2831" s="729"/>
      <c r="G2831" s="729"/>
      <c r="H2831" s="1465" t="str">
        <f>IFERROR(VLOOKUP($C2831&amp;"F"&amp;$D2831,'Flanges Chart'!$1:$1048576,MATCH($E2831&amp;"."&amp;H$123,'Flanges Chart'!$1:$1,0),0),"")</f>
        <v/>
      </c>
      <c r="I2831" s="1466" t="str">
        <f>IFERROR(VLOOKUP($C2831&amp;"F"&amp;$D2831,'Flanges Chart'!$1:$1048576,MATCH($E2831&amp;"."&amp;I$123,'Flanges Chart'!$1:$1,0),0),"")</f>
        <v/>
      </c>
    </row>
    <row r="2832" spans="1:9" ht="14.55" customHeight="1" x14ac:dyDescent="0.3">
      <c r="A2832" s="1264"/>
      <c r="B2832" s="1467" t="s">
        <v>351</v>
      </c>
      <c r="C2832" s="731"/>
      <c r="D2832" s="729"/>
      <c r="E2832" s="729"/>
      <c r="F2832" s="729"/>
      <c r="G2832" s="729"/>
      <c r="H2832" s="1465" t="str">
        <f>IFERROR(VLOOKUP($C2832&amp;"F"&amp;$D2832,'Flanges Chart'!$1:$1048576,MATCH($E2832&amp;"."&amp;H$123,'Flanges Chart'!$1:$1,0),0),"")</f>
        <v/>
      </c>
      <c r="I2832" s="1466" t="str">
        <f>IFERROR(VLOOKUP($C2832&amp;"F"&amp;$D2832,'Flanges Chart'!$1:$1048576,MATCH($E2832&amp;"."&amp;I$123,'Flanges Chart'!$1:$1,0),0),"")</f>
        <v/>
      </c>
    </row>
    <row r="2833" spans="1:13" ht="14.55" customHeight="1" x14ac:dyDescent="0.3">
      <c r="A2833" s="1264"/>
      <c r="B2833" s="1467" t="s">
        <v>352</v>
      </c>
      <c r="C2833" s="731"/>
      <c r="D2833" s="729"/>
      <c r="E2833" s="729"/>
      <c r="F2833" s="729"/>
      <c r="G2833" s="729"/>
      <c r="H2833" s="1465" t="str">
        <f>IFERROR(VLOOKUP($C2833&amp;"F"&amp;$D2833,'Flanges Chart'!$1:$1048576,MATCH($E2833&amp;"."&amp;H$123,'Flanges Chart'!$1:$1,0),0),"")</f>
        <v/>
      </c>
      <c r="I2833" s="1466" t="str">
        <f>IFERROR(VLOOKUP($C2833&amp;"F"&amp;$D2833,'Flanges Chart'!$1:$1048576,MATCH($E2833&amp;"."&amp;I$123,'Flanges Chart'!$1:$1,0),0),"")</f>
        <v/>
      </c>
    </row>
    <row r="2834" spans="1:13" ht="14.55" customHeight="1" x14ac:dyDescent="0.3">
      <c r="A2834" s="1264"/>
      <c r="B2834" s="1467" t="s">
        <v>353</v>
      </c>
      <c r="C2834" s="731"/>
      <c r="D2834" s="729"/>
      <c r="E2834" s="729"/>
      <c r="F2834" s="729"/>
      <c r="G2834" s="729"/>
      <c r="H2834" s="1465" t="str">
        <f>IFERROR(VLOOKUP($C2834&amp;"F"&amp;$D2834,'Flanges Chart'!$1:$1048576,MATCH($E2834&amp;"."&amp;H$123,'Flanges Chart'!$1:$1,0),0),"")</f>
        <v/>
      </c>
      <c r="I2834" s="1466" t="str">
        <f>IFERROR(VLOOKUP($C2834&amp;"F"&amp;$D2834,'Flanges Chart'!$1:$1048576,MATCH($E2834&amp;"."&amp;I$123,'Flanges Chart'!$1:$1,0),0),"")</f>
        <v/>
      </c>
    </row>
    <row r="2835" spans="1:13" ht="14.55" customHeight="1" x14ac:dyDescent="0.3">
      <c r="A2835" s="1264"/>
      <c r="B2835" s="1467" t="s">
        <v>354</v>
      </c>
      <c r="C2835" s="731"/>
      <c r="D2835" s="729"/>
      <c r="E2835" s="729"/>
      <c r="F2835" s="729"/>
      <c r="G2835" s="729"/>
      <c r="H2835" s="1465" t="str">
        <f>IFERROR(VLOOKUP($C2835&amp;"F"&amp;$D2835,'Flanges Chart'!$1:$1048576,MATCH($E2835&amp;"."&amp;H$123,'Flanges Chart'!$1:$1,0),0),"")</f>
        <v/>
      </c>
      <c r="I2835" s="1466" t="str">
        <f>IFERROR(VLOOKUP($C2835&amp;"F"&amp;$D2835,'Flanges Chart'!$1:$1048576,MATCH($E2835&amp;"."&amp;I$123,'Flanges Chart'!$1:$1,0),0),"")</f>
        <v/>
      </c>
    </row>
    <row r="2836" spans="1:13" ht="15" customHeight="1" thickBot="1" x14ac:dyDescent="0.35">
      <c r="A2836" s="1264"/>
      <c r="B2836" s="1468" t="s">
        <v>355</v>
      </c>
      <c r="C2836" s="732"/>
      <c r="D2836" s="733"/>
      <c r="E2836" s="733"/>
      <c r="F2836" s="733"/>
      <c r="G2836" s="733"/>
      <c r="H2836" s="1469" t="s">
        <v>356</v>
      </c>
      <c r="I2836" s="1470" t="str">
        <f>IFERROR(VLOOKUP($C2836&amp;"F"&amp;$D2836,'Flanges Chart'!$1:$1048576,MATCH($E2836&amp;"."&amp;I$123,'Flanges Chart'!$1:$1,0),0),"")</f>
        <v/>
      </c>
    </row>
    <row r="2837" spans="1:13" s="496" customFormat="1" ht="18.600000000000001" thickBot="1" x14ac:dyDescent="0.35">
      <c r="A2837" s="493" t="str">
        <f>"POS."&amp;K2837&amp;" "&amp;VLOOKUP(K2837,'Equip&amp;Mach List'!$1:$1048576,2,0)&amp;" "&amp;VLOOKUP(K2837,'Equip&amp;Mach List'!$1:$1048576,3,0)</f>
        <v xml:space="preserve">POS.22  </v>
      </c>
      <c r="B2837" s="511"/>
      <c r="C2837" s="494"/>
      <c r="D2837" s="495"/>
      <c r="E2837" s="495"/>
      <c r="F2837" s="497"/>
      <c r="G2837" s="495"/>
      <c r="H2837" s="495"/>
      <c r="I2837" s="1255" t="str">
        <f>IFERROR("Weight Calc./Selected = "&amp;ROUND(B2954,1)&amp;"/"&amp;B2955&amp;" kg - Øi ="&amp;IF(B2861=0,F2861,B2861)&amp;" mm"&amp;"T/T ="&amp;IF(B2862=0,F2862,B2862)&amp;" mm - Material "&amp;B2848&amp;"        ","")</f>
        <v/>
      </c>
      <c r="K2837" s="496">
        <v>22</v>
      </c>
      <c r="M2837" s="1254"/>
    </row>
    <row r="2838" spans="1:13" ht="14.55" customHeight="1" x14ac:dyDescent="0.3">
      <c r="A2838" s="1256"/>
      <c r="B2838" s="451"/>
      <c r="C2838" s="451"/>
      <c r="D2838" s="451"/>
      <c r="E2838" s="451"/>
      <c r="F2838" s="451"/>
      <c r="G2838" s="451"/>
      <c r="H2838" s="451"/>
      <c r="I2838" s="1257"/>
      <c r="K2838" s="477" t="s">
        <v>166</v>
      </c>
      <c r="L2838" s="477" t="str">
        <f>K2837&amp;"."&amp;K2838</f>
        <v>22.Design Code</v>
      </c>
      <c r="M2838" s="1252" t="str">
        <f>A2839&amp;" "&amp;B2839</f>
        <v xml:space="preserve">ASME VIII </v>
      </c>
    </row>
    <row r="2839" spans="1:13" ht="14.55" customHeight="1" x14ac:dyDescent="0.3">
      <c r="A2839" s="1258" t="s">
        <v>167</v>
      </c>
      <c r="B2839" s="718"/>
      <c r="C2839" s="459"/>
      <c r="D2839" s="460"/>
      <c r="E2839" s="460"/>
      <c r="F2839" s="460"/>
      <c r="G2839" s="460"/>
      <c r="H2839" s="460"/>
      <c r="I2839" s="1259"/>
      <c r="K2839" s="477" t="s">
        <v>169</v>
      </c>
      <c r="L2839" s="477" t="str">
        <f>K2837&amp;"."&amp;K2839</f>
        <v>22.Orientation</v>
      </c>
      <c r="M2839" s="1252">
        <f>B2840</f>
        <v>0</v>
      </c>
    </row>
    <row r="2840" spans="1:13" ht="14.55" customHeight="1" x14ac:dyDescent="0.3">
      <c r="A2840" s="1258" t="s">
        <v>170</v>
      </c>
      <c r="B2840" s="718"/>
      <c r="C2840" s="459"/>
      <c r="D2840" s="460"/>
      <c r="E2840" s="460"/>
      <c r="F2840" s="461"/>
      <c r="G2840" s="460"/>
      <c r="H2840" s="460"/>
      <c r="I2840" s="1259"/>
      <c r="K2840" s="477" t="s">
        <v>172</v>
      </c>
      <c r="L2840" s="477" t="str">
        <f>K2837&amp;"."&amp;K2840</f>
        <v>22.Design Temperature</v>
      </c>
      <c r="M2840" s="1252">
        <f>D2843</f>
        <v>0</v>
      </c>
    </row>
    <row r="2841" spans="1:13" ht="14.55" customHeight="1" x14ac:dyDescent="0.3">
      <c r="A2841" s="1258"/>
      <c r="B2841" s="459"/>
      <c r="C2841" s="459"/>
      <c r="D2841" s="460"/>
      <c r="E2841" s="460"/>
      <c r="F2841" s="462"/>
      <c r="G2841" s="460"/>
      <c r="H2841" s="460"/>
      <c r="I2841" s="1259"/>
      <c r="K2841" s="477" t="s">
        <v>173</v>
      </c>
      <c r="L2841" s="477" t="str">
        <f>K2837&amp;"."&amp;K2841</f>
        <v>22.Design Pressure</v>
      </c>
      <c r="M2841" s="1252">
        <f>D2844</f>
        <v>0</v>
      </c>
    </row>
    <row r="2842" spans="1:13" ht="14.55" customHeight="1" x14ac:dyDescent="0.3">
      <c r="A2842" s="1260" t="s">
        <v>174</v>
      </c>
      <c r="B2842" s="459"/>
      <c r="C2842" s="459"/>
      <c r="D2842" s="460"/>
      <c r="E2842" s="460"/>
      <c r="F2842" s="462"/>
      <c r="G2842" s="460"/>
      <c r="H2842" s="460"/>
      <c r="I2842" s="1259"/>
      <c r="K2842" s="477" t="s">
        <v>175</v>
      </c>
      <c r="L2842" s="477" t="str">
        <f>K2837&amp;"."&amp;K2842</f>
        <v>22.Material</v>
      </c>
      <c r="M2842" s="1252">
        <f>B2848</f>
        <v>0</v>
      </c>
    </row>
    <row r="2843" spans="1:13" ht="14.55" customHeight="1" x14ac:dyDescent="0.3">
      <c r="A2843" s="1258" t="s">
        <v>176</v>
      </c>
      <c r="B2843" s="719"/>
      <c r="C2843" s="720" t="s">
        <v>177</v>
      </c>
      <c r="D2843" s="464">
        <f>IF(C2843="°C",B2843,0)+IF(C2843="°F",(B2843-32)*5/9,0)</f>
        <v>0</v>
      </c>
      <c r="E2843" s="460" t="s">
        <v>177</v>
      </c>
      <c r="F2843" s="462"/>
      <c r="G2843" s="460"/>
      <c r="H2843" s="460"/>
      <c r="I2843" s="1259"/>
      <c r="K2843" s="477" t="s">
        <v>178</v>
      </c>
      <c r="L2843" s="477" t="str">
        <f>K2837&amp;"."&amp;K2843</f>
        <v>22.Inside Diameter</v>
      </c>
      <c r="M2843" s="1252">
        <f>IF(B2861=0,F2861,B2861)</f>
        <v>0</v>
      </c>
    </row>
    <row r="2844" spans="1:13" ht="14.55" customHeight="1" x14ac:dyDescent="0.3">
      <c r="A2844" s="1258" t="s">
        <v>179</v>
      </c>
      <c r="B2844" s="721"/>
      <c r="C2844" s="720" t="s">
        <v>180</v>
      </c>
      <c r="D2844" s="452">
        <f>IF(C2844="barg",B2844,0)+IF(C2844="psig",B2844*List!$AV$4,0)+IF(C2844="MPa",B2844*List!$AV$5,0)+IF(C2844="N/mm2",B2844*List!$AV$6,0)</f>
        <v>0</v>
      </c>
      <c r="E2844" s="460" t="s">
        <v>180</v>
      </c>
      <c r="F2844" s="460"/>
      <c r="G2844" s="460"/>
      <c r="H2844" s="460"/>
      <c r="I2844" s="1259"/>
      <c r="K2844" s="477" t="s">
        <v>181</v>
      </c>
      <c r="L2844" s="477" t="str">
        <f>K2837&amp;"."&amp;K2844</f>
        <v>22.Tan / Tan</v>
      </c>
      <c r="M2844" s="1252">
        <f>IF(B2863=0,F2863,B2863)</f>
        <v>0</v>
      </c>
    </row>
    <row r="2845" spans="1:13" ht="14.55" customHeight="1" x14ac:dyDescent="0.3">
      <c r="A2845" s="1258" t="s">
        <v>182</v>
      </c>
      <c r="B2845" s="721"/>
      <c r="C2845" s="720" t="s">
        <v>180</v>
      </c>
      <c r="D2845" s="452">
        <f>IF(C2845="barg",B2845,0)+IF(C2845="psig",B2845*List!$AV$4,0)+IF(C2845="MPa",B2845*List!$AV$5,0)+IF(C2845="N/mm2",B2845*List!$AV$6,0)</f>
        <v>0</v>
      </c>
      <c r="E2845" s="460" t="s">
        <v>180</v>
      </c>
      <c r="F2845" s="460"/>
      <c r="G2845" s="465"/>
      <c r="H2845" s="460"/>
      <c r="I2845" s="1259"/>
      <c r="K2845" s="477" t="s">
        <v>183</v>
      </c>
      <c r="L2845" s="477" t="str">
        <f>K2837&amp;"."&amp;K2845</f>
        <v>22.Thickness</v>
      </c>
      <c r="M2845" s="1252" t="e">
        <f>IF(B2902=0,F2906,B2902)</f>
        <v>#N/A</v>
      </c>
    </row>
    <row r="2846" spans="1:13" ht="14.55" customHeight="1" x14ac:dyDescent="0.3">
      <c r="A2846" s="1258"/>
      <c r="B2846" s="459"/>
      <c r="C2846" s="459"/>
      <c r="D2846" s="460"/>
      <c r="E2846" s="460"/>
      <c r="F2846" s="460"/>
      <c r="G2846" s="465"/>
      <c r="H2846" s="460"/>
      <c r="I2846" s="1259"/>
      <c r="K2846" s="477" t="s">
        <v>184</v>
      </c>
      <c r="L2846" s="477" t="str">
        <f>K2837&amp;"."&amp;K2846</f>
        <v>22.Unit Weight</v>
      </c>
      <c r="M2846" s="1252">
        <f>B2955</f>
        <v>0</v>
      </c>
    </row>
    <row r="2847" spans="1:13" ht="14.55" customHeight="1" x14ac:dyDescent="0.3">
      <c r="A2847" s="1260" t="s">
        <v>185</v>
      </c>
      <c r="B2847" s="459" t="s">
        <v>186</v>
      </c>
      <c r="C2847" s="459"/>
      <c r="D2847" s="460"/>
      <c r="E2847" s="460"/>
      <c r="F2847" s="460" t="s">
        <v>187</v>
      </c>
      <c r="G2847" s="465"/>
      <c r="H2847" s="460"/>
      <c r="I2847" s="1259"/>
      <c r="K2847" s="478" t="s">
        <v>188</v>
      </c>
      <c r="L2847" s="477" t="str">
        <f>K2837&amp;"."&amp;K2847</f>
        <v>22.Unit External Surface</v>
      </c>
      <c r="M2847" s="1252" t="e">
        <f>B2951</f>
        <v>#N/A</v>
      </c>
    </row>
    <row r="2848" spans="1:13" ht="14.55" customHeight="1" x14ac:dyDescent="0.3">
      <c r="A2848" s="1258" t="s">
        <v>189</v>
      </c>
      <c r="B2848" s="1716"/>
      <c r="C2848" s="1717"/>
      <c r="D2848" s="460"/>
      <c r="E2848" s="461"/>
      <c r="F2848" s="1716"/>
      <c r="G2848" s="1717"/>
      <c r="H2848" s="460"/>
      <c r="I2848" s="1259"/>
      <c r="K2848" s="477" t="s">
        <v>191</v>
      </c>
      <c r="L2848" s="477" t="str">
        <f>K2837&amp;"."&amp;K2848</f>
        <v>22.M1 DN</v>
      </c>
      <c r="M2848" s="1252">
        <f>C2969</f>
        <v>0</v>
      </c>
    </row>
    <row r="2849" spans="1:13" ht="14.55" customHeight="1" x14ac:dyDescent="0.3">
      <c r="A2849" s="1258" t="s">
        <v>192</v>
      </c>
      <c r="B2849" s="1716"/>
      <c r="C2849" s="1717"/>
      <c r="D2849" s="460"/>
      <c r="E2849" s="461"/>
      <c r="F2849" s="1716"/>
      <c r="G2849" s="1717"/>
      <c r="H2849" s="460"/>
      <c r="I2849" s="1259"/>
      <c r="K2849" s="477" t="s">
        <v>193</v>
      </c>
      <c r="L2849" s="477" t="str">
        <f>K2837&amp;"."&amp;K2849</f>
        <v>22.M1 Rating</v>
      </c>
      <c r="M2849" s="1252">
        <f>D2969</f>
        <v>0</v>
      </c>
    </row>
    <row r="2850" spans="1:13" ht="14.55" customHeight="1" x14ac:dyDescent="0.3">
      <c r="A2850" s="1258"/>
      <c r="B2850" s="466"/>
      <c r="C2850" s="466"/>
      <c r="D2850" s="460"/>
      <c r="E2850" s="460"/>
      <c r="F2850" s="460"/>
      <c r="G2850" s="460"/>
      <c r="H2850" s="460"/>
      <c r="I2850" s="1259"/>
      <c r="K2850" s="477" t="s">
        <v>194</v>
      </c>
      <c r="L2850" s="477" t="str">
        <f>K2837&amp;"."&amp;K2850</f>
        <v>22.M1 Type</v>
      </c>
      <c r="M2850" s="1252">
        <f>E2969</f>
        <v>0</v>
      </c>
    </row>
    <row r="2851" spans="1:13" ht="14.55" customHeight="1" x14ac:dyDescent="0.3">
      <c r="A2851" s="1258" t="s">
        <v>195</v>
      </c>
      <c r="B2851" s="460"/>
      <c r="C2851" s="460"/>
      <c r="D2851" s="460"/>
      <c r="E2851" s="460"/>
      <c r="F2851" s="460"/>
      <c r="G2851" s="460"/>
      <c r="H2851" s="460"/>
      <c r="I2851" s="1259"/>
      <c r="K2851" s="477" t="s">
        <v>196</v>
      </c>
      <c r="L2851" s="477" t="str">
        <f>K2837&amp;"."&amp;K2851</f>
        <v>22.M1 Quantity</v>
      </c>
      <c r="M2851" s="1252">
        <f>F2969</f>
        <v>0</v>
      </c>
    </row>
    <row r="2852" spans="1:13" ht="14.55" customHeight="1" x14ac:dyDescent="0.3">
      <c r="A2852" s="1258" t="s">
        <v>197</v>
      </c>
      <c r="B2852" s="464" t="e">
        <f>$D2843*(VLOOKUP($B2848,'ASME II Tab 1A'!$1:$1048576,MATCH($D2843,'ASME II Tab 1A'!$6:$6,1)+1,0)-VLOOKUP($B2848,'ASME II Tab 1A'!$1:$1048576,MATCH($D2843,'ASME II Tab 1A'!$6:$6,1),0))/(INDEX('ASME II Tab 1A'!$6:$6,MATCH($D2843,'ASME II Tab 1A'!$6:$6,1)+1)-INDEX('ASME II Tab 1A'!$6:$6,MATCH($D2843,'ASME II Tab 1A'!$6:$6,1)))+VLOOKUP($B2848,'ASME II Tab 1A'!$1:$1048576,MATCH($D2843,'ASME II Tab 1A'!$6:$6,1)+1,0)-INDEX('ASME II Tab 1A'!$6:$6,MATCH($D2843,'ASME II Tab 1A'!$6:$6,1)+1)*(VLOOKUP($B2848,'ASME II Tab 1A'!$1:$1048576,MATCH($D2843,'ASME II Tab 1A'!$6:$6,1)+1,0)-VLOOKUP($B2848,'ASME II Tab 1A'!$1:$1048576,MATCH($D2843,'ASME II Tab 1A'!$6:$6,1),0))/(INDEX('ASME II Tab 1A'!$6:$6,MATCH($D2843,'ASME II Tab 1A'!$6:$6,1)+1)-INDEX('ASME II Tab 1A'!$6:$6,MATCH($D2843,'ASME II Tab 1A'!$6:$6,1)))</f>
        <v>#N/A</v>
      </c>
      <c r="C2852" s="460" t="s">
        <v>198</v>
      </c>
      <c r="D2852" s="460"/>
      <c r="E2852" s="467"/>
      <c r="F2852" s="460" t="e">
        <f>$D2843*(VLOOKUP($F2848,'ASME II Tab 1A'!$1:$1048576,MATCH($D2843,'ASME II Tab 1A'!$6:$6,1)+1,0)-VLOOKUP($F2848,'ASME II Tab 1A'!$1:$1048576,MATCH($D2843,'ASME II Tab 1A'!$6:$6,1),0))/(INDEX('ASME II Tab 1A'!$6:$6,MATCH($D2843,'ASME II Tab 1A'!$6:$6,1)+1)-INDEX('ASME II Tab 1A'!$6:$6,MATCH($D2843,'ASME II Tab 1A'!$6:$6,1)))+VLOOKUP($F2848,'ASME II Tab 1A'!$1:$1048576,MATCH($D2843,'ASME II Tab 1A'!$6:$6,1)+1,0)-INDEX('ASME II Tab 1A'!$6:$6,MATCH($D2843,'ASME II Tab 1A'!$6:$6,1)+1)*(VLOOKUP($F2848,'ASME II Tab 1A'!$1:$1048576,MATCH($D2843,'ASME II Tab 1A'!$6:$6,1)+1,0)-VLOOKUP($F2848,'ASME II Tab 1A'!$1:$1048576,MATCH($D2843,'ASME II Tab 1A'!$6:$6,1),0))/(INDEX('ASME II Tab 1A'!$6:$6,MATCH($D2843,'ASME II Tab 1A'!$6:$6,1)+1)-INDEX('ASME II Tab 1A'!$6:$6,MATCH($D2843,'ASME II Tab 1A'!$6:$6,1)))</f>
        <v>#N/A</v>
      </c>
      <c r="G2852" s="460" t="s">
        <v>198</v>
      </c>
      <c r="H2852" s="460"/>
      <c r="I2852" s="1259"/>
      <c r="K2852" s="477" t="s">
        <v>199</v>
      </c>
      <c r="L2852" s="477" t="str">
        <f>K2837&amp;"."&amp;K2852</f>
        <v>22.M2 DN</v>
      </c>
      <c r="M2852" s="1252">
        <f>C2970</f>
        <v>0</v>
      </c>
    </row>
    <row r="2853" spans="1:13" ht="14.55" customHeight="1" x14ac:dyDescent="0.3">
      <c r="A2853" s="1258" t="s">
        <v>200</v>
      </c>
      <c r="B2853" s="464" t="e">
        <f>$D2843*(VLOOKUP($B2849,'ASME II Tab 1A'!$1:$1048576,MATCH($D2843,'ASME II Tab 1A'!$6:$6,1)+1,0)-VLOOKUP($B2849,'ASME II Tab 1A'!$1:$1048576,MATCH($D2843,'ASME II Tab 1A'!$6:$6,1),0))/(INDEX('ASME II Tab 1A'!$6:$6,MATCH($D2843,'ASME II Tab 1A'!$6:$6,1)+1)-INDEX('ASME II Tab 1A'!$6:$6,MATCH($D2843,'ASME II Tab 1A'!$6:$6,1)))+VLOOKUP($B2849,'ASME II Tab 1A'!$1:$1048576,MATCH($D2843,'ASME II Tab 1A'!$6:$6,1)+1,0)-INDEX('ASME II Tab 1A'!$6:$6,MATCH($D2843,'ASME II Tab 1A'!$6:$6,1)+1)*(VLOOKUP($B2849,'ASME II Tab 1A'!$1:$1048576,MATCH($D2843,'ASME II Tab 1A'!$6:$6,1)+1,0)-VLOOKUP($B2849,'ASME II Tab 1A'!$1:$1048576,MATCH($D2843,'ASME II Tab 1A'!$6:$6,1),0))/(INDEX('ASME II Tab 1A'!$6:$6,MATCH($D2843,'ASME II Tab 1A'!$6:$6,1)+1)-INDEX('ASME II Tab 1A'!$6:$6,MATCH($D2843,'ASME II Tab 1A'!$6:$6,1)))</f>
        <v>#N/A</v>
      </c>
      <c r="C2853" s="460" t="s">
        <v>198</v>
      </c>
      <c r="D2853" s="460"/>
      <c r="E2853" s="460"/>
      <c r="F2853" s="460" t="e">
        <f>$D2843*(VLOOKUP($F2849,'ASME II Tab 1A'!$1:$1048576,MATCH($D2843,'ASME II Tab 1A'!$6:$6,1)+1,0)-VLOOKUP($F2849,'ASME II Tab 1A'!$1:$1048576,MATCH($D2843,'ASME II Tab 1A'!$6:$6,1),0))/(INDEX('ASME II Tab 1A'!$6:$6,MATCH($D2843,'ASME II Tab 1A'!$6:$6,1)+1)-INDEX('ASME II Tab 1A'!$6:$6,MATCH($D2843,'ASME II Tab 1A'!$6:$6,1)))+VLOOKUP($F2849,'ASME II Tab 1A'!$1:$1048576,MATCH($D2843,'ASME II Tab 1A'!$6:$6,1)+1,0)-INDEX('ASME II Tab 1A'!$6:$6,MATCH($D2843,'ASME II Tab 1A'!$6:$6,1)+1)*(VLOOKUP($F2849,'ASME II Tab 1A'!$1:$1048576,MATCH($D2843,'ASME II Tab 1A'!$6:$6,1)+1,0)-VLOOKUP($F2849,'ASME II Tab 1A'!$1:$1048576,MATCH($D2843,'ASME II Tab 1A'!$6:$6,1),0))/(INDEX('ASME II Tab 1A'!$6:$6,MATCH($D2843,'ASME II Tab 1A'!$6:$6,1)+1)-INDEX('ASME II Tab 1A'!$6:$6,MATCH($D2843,'ASME II Tab 1A'!$6:$6,1)))</f>
        <v>#N/A</v>
      </c>
      <c r="G2853" s="460" t="s">
        <v>198</v>
      </c>
      <c r="H2853" s="460"/>
      <c r="I2853" s="1259"/>
      <c r="K2853" s="477" t="s">
        <v>201</v>
      </c>
      <c r="L2853" s="477" t="str">
        <f>K2837&amp;"."&amp;K2853</f>
        <v>22.M2 Rating</v>
      </c>
      <c r="M2853" s="1252">
        <f>D2970</f>
        <v>0</v>
      </c>
    </row>
    <row r="2854" spans="1:13" ht="14.55" customHeight="1" x14ac:dyDescent="0.3">
      <c r="A2854" s="1258" t="s">
        <v>202</v>
      </c>
      <c r="B2854" s="460"/>
      <c r="C2854" s="460"/>
      <c r="D2854" s="460"/>
      <c r="E2854" s="460"/>
      <c r="F2854" s="460"/>
      <c r="G2854" s="460"/>
      <c r="H2854" s="460"/>
      <c r="I2854" s="1259"/>
      <c r="K2854" s="477" t="s">
        <v>203</v>
      </c>
      <c r="L2854" s="477" t="str">
        <f>K2837&amp;"."&amp;K2854</f>
        <v>22.M2 Type</v>
      </c>
      <c r="M2854" s="1252">
        <f>E2970</f>
        <v>0</v>
      </c>
    </row>
    <row r="2855" spans="1:13" ht="14.55" customHeight="1" x14ac:dyDescent="0.3">
      <c r="A2855" s="1258" t="s">
        <v>197</v>
      </c>
      <c r="B2855" s="464" t="e">
        <f>$D2843*(VLOOKUP($B2848,'ASME II Tab 5A'!$1:$1048576,MATCH($D2843,'ASME II Tab 5A'!$5:$5,1)+1,0)-VLOOKUP($B2848,'ASME II Tab 5A'!$1:$1048576,MATCH($D2843,'ASME II Tab 5A'!$5:$5,1),0))/(INDEX('ASME II Tab 5A'!$5:$5,MATCH($D2843,'ASME II Tab 5A'!$5:$5,1)+1)-INDEX('ASME II Tab 5A'!$5:$5,MATCH($D2843,'ASME II Tab 5A'!$5:$5,1)))+VLOOKUP($B2848,'ASME II Tab 5A'!$1:$1048576,MATCH($D2843,'ASME II Tab 5A'!$5:$5,1)+1,0)-INDEX('ASME II Tab 5A'!$5:$5,MATCH($D2843,'ASME II Tab 5A'!$5:$5,1)+1)*(VLOOKUP($B2848,'ASME II Tab 5A'!$1:$1048576,MATCH($D2843,'ASME II Tab 5A'!$5:$5,1)+1,0)-VLOOKUP($B2848,'ASME II Tab 5A'!$1:$1048576,MATCH($D2843,'ASME II Tab 5A'!$5:$5,1),0))/(INDEX('ASME II Tab 5A'!$5:$5,MATCH($D2843,'ASME II Tab 5A'!$5:$5,1)+1)-INDEX('ASME II Tab 5A'!$5:$5,MATCH($D2843,'ASME II Tab 5A'!$5:$5,1)))</f>
        <v>#N/A</v>
      </c>
      <c r="C2855" s="460" t="s">
        <v>198</v>
      </c>
      <c r="D2855" s="460"/>
      <c r="E2855" s="460"/>
      <c r="F2855" s="460" t="e">
        <f>$D2843*(VLOOKUP($F2848,'ASME II Tab 5A'!$1:$1048576,MATCH($D2843,'ASME II Tab 5A'!$5:$5,1)+1,0)-VLOOKUP($F2848,'ASME II Tab 5A'!$1:$1048576,MATCH($D2843,'ASME II Tab 5A'!$5:$5,1),0))/(INDEX('ASME II Tab 5A'!$5:$5,MATCH($D2843,'ASME II Tab 5A'!$5:$5,1)+1)-INDEX('ASME II Tab 5A'!$5:$5,MATCH($D2843,'ASME II Tab 5A'!$5:$5,1)))+VLOOKUP($F2848,'ASME II Tab 5A'!$1:$1048576,MATCH($D2843,'ASME II Tab 5A'!$5:$5,1)+1,0)-INDEX('ASME II Tab 5A'!$5:$5,MATCH($D2843,'ASME II Tab 5A'!$5:$5,1)+1)*(VLOOKUP($F2848,'ASME II Tab 5A'!$1:$1048576,MATCH($D2843,'ASME II Tab 5A'!$5:$5,1)+1,0)-VLOOKUP($F2848,'ASME II Tab 5A'!$1:$1048576,MATCH($D2843,'ASME II Tab 5A'!$5:$5,1),0))/(INDEX('ASME II Tab 5A'!$5:$5,MATCH($D2843,'ASME II Tab 5A'!$5:$5,1)+1)-INDEX('ASME II Tab 5A'!$5:$5,MATCH($D2843,'ASME II Tab 5A'!$5:$5,1)))</f>
        <v>#N/A</v>
      </c>
      <c r="G2855" s="460" t="s">
        <v>198</v>
      </c>
      <c r="H2855" s="460"/>
      <c r="I2855" s="1259"/>
      <c r="K2855" s="477" t="s">
        <v>204</v>
      </c>
      <c r="L2855" s="477" t="str">
        <f>K2837&amp;"."&amp;K2855</f>
        <v>22.M2 Quantity</v>
      </c>
      <c r="M2855" s="1252">
        <f>F2970</f>
        <v>0</v>
      </c>
    </row>
    <row r="2856" spans="1:13" ht="14.55" customHeight="1" x14ac:dyDescent="0.3">
      <c r="A2856" s="1258" t="s">
        <v>200</v>
      </c>
      <c r="B2856" s="464" t="e">
        <f>$D2843*(VLOOKUP($B2849,'ASME II Tab 5A'!$1:$1048576,MATCH($D2843,'ASME II Tab 5A'!$5:$5,1)+1,0)-VLOOKUP($B2849,'ASME II Tab 5A'!$1:$1048576,MATCH($D2843,'ASME II Tab 5A'!$5:$5,1),0))/(INDEX('ASME II Tab 5A'!$5:$5,MATCH($D2843,'ASME II Tab 5A'!$5:$5,1)+1)-INDEX('ASME II Tab 5A'!$5:$5,MATCH($D2843,'ASME II Tab 5A'!$5:$5,1)))+VLOOKUP($B2849,'ASME II Tab 5A'!$1:$1048576,MATCH($D2843,'ASME II Tab 5A'!$5:$5,1)+1,0)-INDEX('ASME II Tab 5A'!$5:$5,MATCH($D2843,'ASME II Tab 5A'!$5:$5,1)+1)*(VLOOKUP($B2849,'ASME II Tab 5A'!$1:$1048576,MATCH($D2843,'ASME II Tab 5A'!$5:$5,1)+1,0)-VLOOKUP($B2849,'ASME II Tab 5A'!$1:$1048576,MATCH($D2843,'ASME II Tab 5A'!$5:$5,1),0))/(INDEX('ASME II Tab 5A'!$5:$5,MATCH($D2843,'ASME II Tab 5A'!$5:$5,1)+1)-INDEX('ASME II Tab 5A'!$5:$5,MATCH($D2843,'ASME II Tab 5A'!$5:$5,1)))</f>
        <v>#N/A</v>
      </c>
      <c r="C2856" s="460" t="s">
        <v>198</v>
      </c>
      <c r="D2856" s="460"/>
      <c r="E2856" s="460"/>
      <c r="F2856" s="460" t="e">
        <f>$D2843*(VLOOKUP($F2849,'ASME II Tab 5A'!$1:$1048576,MATCH($D2843,'ASME II Tab 5A'!$5:$5,1)+1,0)-VLOOKUP($F2849,'ASME II Tab 5A'!$1:$1048576,MATCH($D2843,'ASME II Tab 5A'!$5:$5,1),0))/(INDEX('ASME II Tab 5A'!$5:$5,MATCH($D2843,'ASME II Tab 5A'!$5:$5,1)+1)-INDEX('ASME II Tab 5A'!$5:$5,MATCH($D2843,'ASME II Tab 5A'!$5:$5,1)))+VLOOKUP($F2849,'ASME II Tab 5A'!$1:$1048576,MATCH($D2843,'ASME II Tab 5A'!$5:$5,1)+1,0)-INDEX('ASME II Tab 5A'!$5:$5,MATCH($D2843,'ASME II Tab 5A'!$5:$5,1)+1)*(VLOOKUP($F2849,'ASME II Tab 5A'!$1:$1048576,MATCH($D2843,'ASME II Tab 5A'!$5:$5,1)+1,0)-VLOOKUP($F2849,'ASME II Tab 5A'!$1:$1048576,MATCH($D2843,'ASME II Tab 5A'!$5:$5,1),0))/(INDEX('ASME II Tab 5A'!$5:$5,MATCH($D2843,'ASME II Tab 5A'!$5:$5,1)+1)-INDEX('ASME II Tab 5A'!$5:$5,MATCH($D2843,'ASME II Tab 5A'!$5:$5,1)))</f>
        <v>#N/A</v>
      </c>
      <c r="G2856" s="460" t="s">
        <v>198</v>
      </c>
      <c r="H2856" s="460"/>
      <c r="I2856" s="1259"/>
      <c r="K2856" s="477" t="s">
        <v>205</v>
      </c>
      <c r="L2856" s="477" t="str">
        <f>K2837&amp;"."&amp;K2856</f>
        <v>22.M3 DN</v>
      </c>
      <c r="M2856" s="1252">
        <f>C2971</f>
        <v>0</v>
      </c>
    </row>
    <row r="2857" spans="1:13" ht="14.55" customHeight="1" x14ac:dyDescent="0.3">
      <c r="A2857" s="1258"/>
      <c r="B2857" s="460"/>
      <c r="C2857" s="460"/>
      <c r="D2857" s="460"/>
      <c r="E2857" s="460"/>
      <c r="F2857" s="460"/>
      <c r="G2857" s="460"/>
      <c r="H2857" s="460"/>
      <c r="I2857" s="1259"/>
      <c r="K2857" s="477" t="s">
        <v>206</v>
      </c>
      <c r="L2857" s="477" t="str">
        <f>K2837&amp;"."&amp;K2857</f>
        <v>22.M3 Rating</v>
      </c>
      <c r="M2857" s="1252">
        <f>D2971</f>
        <v>0</v>
      </c>
    </row>
    <row r="2858" spans="1:13" ht="14.55" customHeight="1" x14ac:dyDescent="0.3">
      <c r="A2858" s="1260" t="s">
        <v>207</v>
      </c>
      <c r="B2858" s="453"/>
      <c r="C2858" s="460"/>
      <c r="D2858" s="453"/>
      <c r="E2858" s="460"/>
      <c r="F2858" s="453"/>
      <c r="G2858" s="460"/>
      <c r="H2858" s="460"/>
      <c r="I2858" s="1259"/>
      <c r="K2858" s="477" t="s">
        <v>208</v>
      </c>
      <c r="L2858" s="477" t="str">
        <f>K2837&amp;"."&amp;K2858</f>
        <v>22.M3 Type</v>
      </c>
      <c r="M2858" s="1252">
        <f>E2971</f>
        <v>0</v>
      </c>
    </row>
    <row r="2859" spans="1:13" ht="14.55" customHeight="1" x14ac:dyDescent="0.3">
      <c r="A2859" s="1260"/>
      <c r="B2859" s="305" t="s">
        <v>209</v>
      </c>
      <c r="C2859" s="460"/>
      <c r="D2859" s="305" t="s">
        <v>210</v>
      </c>
      <c r="E2859" s="460"/>
      <c r="F2859" s="305" t="s">
        <v>211</v>
      </c>
      <c r="G2859" s="460"/>
      <c r="H2859" s="460"/>
      <c r="I2859" s="1259"/>
      <c r="K2859" s="477" t="s">
        <v>212</v>
      </c>
      <c r="L2859" s="477" t="str">
        <f>K2837&amp;"."&amp;K2859</f>
        <v>22.M3 Quantity</v>
      </c>
      <c r="M2859" s="1252">
        <f>F2971</f>
        <v>0</v>
      </c>
    </row>
    <row r="2860" spans="1:13" ht="14.55" customHeight="1" x14ac:dyDescent="0.3">
      <c r="A2860" s="1258" t="s">
        <v>213</v>
      </c>
      <c r="B2860" s="305"/>
      <c r="C2860" s="460"/>
      <c r="D2860" s="305"/>
      <c r="E2860" s="460"/>
      <c r="F2860" s="723"/>
      <c r="G2860" s="460" t="s">
        <v>214</v>
      </c>
      <c r="H2860" s="460"/>
      <c r="I2860" s="1259"/>
      <c r="K2860" s="477" t="s">
        <v>215</v>
      </c>
      <c r="L2860" s="477" t="str">
        <f>K2837&amp;"."&amp;K2860</f>
        <v>22.Shell insulation thk 1</v>
      </c>
      <c r="M2860" s="1252">
        <f>B2908</f>
        <v>0</v>
      </c>
    </row>
    <row r="2861" spans="1:13" ht="14.55" customHeight="1" x14ac:dyDescent="0.3">
      <c r="A2861" s="1258" t="s">
        <v>216</v>
      </c>
      <c r="B2861" s="722"/>
      <c r="C2861" s="460" t="s">
        <v>93</v>
      </c>
      <c r="D2861" s="722"/>
      <c r="E2861" s="460" t="s">
        <v>93</v>
      </c>
      <c r="F2861" s="468">
        <f>F2862-2*F2906</f>
        <v>0</v>
      </c>
      <c r="G2861" s="460" t="s">
        <v>93</v>
      </c>
      <c r="H2861" s="460"/>
      <c r="I2861" s="1259"/>
      <c r="K2861" s="477" t="s">
        <v>217</v>
      </c>
      <c r="L2861" s="477" t="str">
        <f>K2837&amp;"."&amp;K2861</f>
        <v>22.Head insulation thk 1</v>
      </c>
      <c r="M2861" s="1252">
        <f>B2909</f>
        <v>0</v>
      </c>
    </row>
    <row r="2862" spans="1:13" ht="14.55" customHeight="1" x14ac:dyDescent="0.3">
      <c r="A2862" s="1258" t="s">
        <v>218</v>
      </c>
      <c r="B2862" s="468" t="e">
        <f>B2861+B2902*2</f>
        <v>#N/A</v>
      </c>
      <c r="C2862" s="460" t="s">
        <v>93</v>
      </c>
      <c r="D2862" s="468" t="e">
        <f>D2861+D2902*2</f>
        <v>#N/A</v>
      </c>
      <c r="E2862" s="460" t="s">
        <v>93</v>
      </c>
      <c r="F2862" s="468">
        <f>IFERROR(VLOOKUP(F2860,'Thickness Tab'!$1:$1048576,3,0),0)</f>
        <v>0</v>
      </c>
      <c r="G2862" s="460" t="s">
        <v>93</v>
      </c>
      <c r="H2862" s="469"/>
      <c r="I2862" s="1261"/>
      <c r="K2862" s="477" t="s">
        <v>219</v>
      </c>
      <c r="L2862" s="477" t="str">
        <f>K2837&amp;"."&amp;K2862</f>
        <v>22.Reducer insulation thk 1</v>
      </c>
      <c r="M2862" s="1252">
        <f>B2910</f>
        <v>0</v>
      </c>
    </row>
    <row r="2863" spans="1:13" ht="14.55" customHeight="1" x14ac:dyDescent="0.3">
      <c r="A2863" s="1258" t="s">
        <v>181</v>
      </c>
      <c r="B2863" s="722"/>
      <c r="C2863" s="460" t="s">
        <v>93</v>
      </c>
      <c r="D2863" s="722"/>
      <c r="E2863" s="460" t="s">
        <v>93</v>
      </c>
      <c r="F2863" s="722"/>
      <c r="G2863" s="460" t="s">
        <v>93</v>
      </c>
      <c r="H2863" s="460"/>
      <c r="I2863" s="1259"/>
      <c r="K2863" s="477" t="s">
        <v>220</v>
      </c>
      <c r="L2863" s="477" t="str">
        <f>K2837&amp;"."&amp;K2863</f>
        <v>22.Shell insulation area 1</v>
      </c>
      <c r="M2863" s="1252" t="e">
        <f>B2868</f>
        <v>#N/A</v>
      </c>
    </row>
    <row r="2864" spans="1:13" ht="14.55" customHeight="1" x14ac:dyDescent="0.3">
      <c r="A2864" s="1258" t="s">
        <v>221</v>
      </c>
      <c r="B2864" s="468" t="e">
        <f>(PI()*B2863*(((B2862/2)^2)-((B2861/2)^2))*7860)/1000000000*1.05</f>
        <v>#N/A</v>
      </c>
      <c r="C2864" s="460" t="s">
        <v>222</v>
      </c>
      <c r="D2864" s="468" t="e">
        <f>(PI()*D2863*(((D2862/2)^2)-((D2861/2)^2))*7860)/1000000000*1.05</f>
        <v>#N/A</v>
      </c>
      <c r="E2864" s="460" t="s">
        <v>222</v>
      </c>
      <c r="F2864" s="468">
        <f>(PI()*F2863*(((F2862/2)^2)-((F2861/2)^2))*7860)/1000000000*1.05</f>
        <v>0</v>
      </c>
      <c r="G2864" s="460" t="s">
        <v>222</v>
      </c>
      <c r="H2864" s="469"/>
      <c r="I2864" s="1261"/>
      <c r="K2864" s="477" t="s">
        <v>223</v>
      </c>
      <c r="L2864" s="477" t="str">
        <f>K2837&amp;"."&amp;K2864</f>
        <v>22.Head insulation area 1</v>
      </c>
      <c r="M2864" s="1252" t="e">
        <f>B2880</f>
        <v>#N/A</v>
      </c>
    </row>
    <row r="2865" spans="1:13" ht="14.55" customHeight="1" x14ac:dyDescent="0.3">
      <c r="A2865" s="1258" t="s">
        <v>224</v>
      </c>
      <c r="B2865" s="468">
        <f>(PI()*((B2861/2)^2)*B2863)/1000000000</f>
        <v>0</v>
      </c>
      <c r="C2865" s="460" t="s">
        <v>225</v>
      </c>
      <c r="D2865" s="468">
        <f>(PI()*((D2861/2)^2)*D2863)/1000000000</f>
        <v>0</v>
      </c>
      <c r="E2865" s="460" t="s">
        <v>225</v>
      </c>
      <c r="F2865" s="468">
        <f>(PI()*((F2861/2)^2)*F2863)/1000000000</f>
        <v>0</v>
      </c>
      <c r="G2865" s="460" t="s">
        <v>225</v>
      </c>
      <c r="H2865" s="469"/>
      <c r="I2865" s="1261"/>
      <c r="K2865" s="477" t="s">
        <v>226</v>
      </c>
      <c r="L2865" s="477" t="str">
        <f>K2837&amp;"."&amp;K2865</f>
        <v>22.Reducer insulation area 1</v>
      </c>
      <c r="M2865" s="1252" t="e">
        <f>B2893</f>
        <v>#N/A</v>
      </c>
    </row>
    <row r="2866" spans="1:13" ht="14.55" customHeight="1" x14ac:dyDescent="0.3">
      <c r="A2866" s="1258" t="s">
        <v>227</v>
      </c>
      <c r="B2866" s="468" t="e">
        <f>(B2862*3.14*B2863)/1000000</f>
        <v>#N/A</v>
      </c>
      <c r="C2866" s="460" t="s">
        <v>228</v>
      </c>
      <c r="D2866" s="468" t="e">
        <f>(D2862*3.14*D2863)/1000000</f>
        <v>#N/A</v>
      </c>
      <c r="E2866" s="460" t="s">
        <v>228</v>
      </c>
      <c r="F2866" s="468">
        <f>(F2862*3.14*F2863)/1000000</f>
        <v>0</v>
      </c>
      <c r="G2866" s="460" t="s">
        <v>228</v>
      </c>
      <c r="H2866" s="469"/>
      <c r="I2866" s="1261"/>
      <c r="K2866" s="477" t="s">
        <v>229</v>
      </c>
      <c r="L2866" s="477" t="str">
        <f>K2837&amp;"."&amp;K2866</f>
        <v>22.Shell insulation thk 2</v>
      </c>
      <c r="M2866" s="1252">
        <f>D2908</f>
        <v>0</v>
      </c>
    </row>
    <row r="2867" spans="1:13" ht="14.55" customHeight="1" x14ac:dyDescent="0.3">
      <c r="A2867" s="1258" t="s">
        <v>230</v>
      </c>
      <c r="B2867" s="468" t="e">
        <f>B2862+2*B2908</f>
        <v>#N/A</v>
      </c>
      <c r="C2867" s="460" t="s">
        <v>93</v>
      </c>
      <c r="D2867" s="468" t="e">
        <f>D2862+2*D2908</f>
        <v>#N/A</v>
      </c>
      <c r="E2867" s="460" t="s">
        <v>93</v>
      </c>
      <c r="F2867" s="468">
        <f>F2862+2*F2908</f>
        <v>0</v>
      </c>
      <c r="G2867" s="460" t="s">
        <v>93</v>
      </c>
      <c r="H2867" s="469"/>
      <c r="I2867" s="1261"/>
      <c r="K2867" s="477" t="s">
        <v>231</v>
      </c>
      <c r="L2867" s="477" t="str">
        <f>K2837&amp;"."&amp;K2867</f>
        <v>22.Head insulation thk 2</v>
      </c>
      <c r="M2867" s="1252">
        <f>D2909</f>
        <v>0</v>
      </c>
    </row>
    <row r="2868" spans="1:13" ht="14.55" customHeight="1" x14ac:dyDescent="0.3">
      <c r="A2868" s="1258" t="s">
        <v>232</v>
      </c>
      <c r="B2868" s="468" t="e">
        <f>(B2867*3.14*B2863)/1000000</f>
        <v>#N/A</v>
      </c>
      <c r="C2868" s="460" t="s">
        <v>228</v>
      </c>
      <c r="D2868" s="468" t="e">
        <f>(D2867*3.14*D2863)/1000000</f>
        <v>#N/A</v>
      </c>
      <c r="E2868" s="460" t="s">
        <v>228</v>
      </c>
      <c r="F2868" s="468">
        <f>(F2867*3.14*F2863)/1000000</f>
        <v>0</v>
      </c>
      <c r="G2868" s="460" t="s">
        <v>228</v>
      </c>
      <c r="H2868" s="469"/>
      <c r="I2868" s="1261"/>
      <c r="K2868" s="477" t="s">
        <v>233</v>
      </c>
      <c r="L2868" s="477" t="str">
        <f>K2837&amp;"."&amp;K2868</f>
        <v>22.Reducer insulation thk 2</v>
      </c>
      <c r="M2868" s="1252">
        <f>D2910</f>
        <v>0</v>
      </c>
    </row>
    <row r="2869" spans="1:13" ht="14.55" customHeight="1" x14ac:dyDescent="0.3">
      <c r="A2869" s="1258"/>
      <c r="B2869" s="468"/>
      <c r="C2869" s="460"/>
      <c r="D2869" s="468"/>
      <c r="E2869" s="460"/>
      <c r="F2869" s="468"/>
      <c r="G2869" s="460"/>
      <c r="H2869" s="469"/>
      <c r="I2869" s="1261"/>
      <c r="K2869" s="477" t="s">
        <v>234</v>
      </c>
      <c r="L2869" s="477" t="str">
        <f>K2837&amp;"."&amp;K2869</f>
        <v>22.Shell insulation area 2</v>
      </c>
      <c r="M2869" s="1252" t="e">
        <f>D2868</f>
        <v>#N/A</v>
      </c>
    </row>
    <row r="2870" spans="1:13" ht="14.55" customHeight="1" x14ac:dyDescent="0.3">
      <c r="A2870" s="1258"/>
      <c r="B2870" s="468" t="s">
        <v>235</v>
      </c>
      <c r="C2870" s="460"/>
      <c r="D2870" s="468" t="s">
        <v>236</v>
      </c>
      <c r="E2870" s="460"/>
      <c r="F2870" s="468" t="s">
        <v>237</v>
      </c>
      <c r="G2870" s="460"/>
      <c r="H2870" s="469"/>
      <c r="I2870" s="1261"/>
      <c r="K2870" s="477" t="s">
        <v>238</v>
      </c>
      <c r="L2870" s="477" t="str">
        <f>K2837&amp;"."&amp;K2870</f>
        <v>22.Head insulation area 2</v>
      </c>
      <c r="M2870" s="1252" t="e">
        <f>D2880</f>
        <v>#N/A</v>
      </c>
    </row>
    <row r="2871" spans="1:13" ht="14.55" customHeight="1" x14ac:dyDescent="0.3">
      <c r="A2871" s="1258" t="s">
        <v>239</v>
      </c>
      <c r="B2871" s="468">
        <f>B2861</f>
        <v>0</v>
      </c>
      <c r="C2871" s="460" t="s">
        <v>93</v>
      </c>
      <c r="D2871" s="468">
        <f>D2861</f>
        <v>0</v>
      </c>
      <c r="E2871" s="460" t="s">
        <v>93</v>
      </c>
      <c r="F2871" s="468">
        <f>F2861</f>
        <v>0</v>
      </c>
      <c r="G2871" s="460" t="s">
        <v>93</v>
      </c>
      <c r="H2871" s="469"/>
      <c r="I2871" s="1261"/>
      <c r="K2871" s="477" t="s">
        <v>240</v>
      </c>
      <c r="L2871" s="477" t="str">
        <f>K2837&amp;"."&amp;K2871</f>
        <v>22.Reducer insulation area 2</v>
      </c>
      <c r="M2871" s="1252">
        <f>D2893</f>
        <v>0</v>
      </c>
    </row>
    <row r="2872" spans="1:13" ht="14.55" customHeight="1" x14ac:dyDescent="0.3">
      <c r="A2872" s="1258" t="s">
        <v>241</v>
      </c>
      <c r="B2872" s="468" t="e">
        <f>B2871+2*B2903</f>
        <v>#N/A</v>
      </c>
      <c r="C2872" s="460" t="s">
        <v>93</v>
      </c>
      <c r="D2872" s="468" t="e">
        <f>D2871+2*D2903</f>
        <v>#N/A</v>
      </c>
      <c r="E2872" s="460" t="s">
        <v>93</v>
      </c>
      <c r="F2872" s="468">
        <f>F2871+2*F2906</f>
        <v>0</v>
      </c>
      <c r="G2872" s="460" t="s">
        <v>93</v>
      </c>
      <c r="H2872" s="469"/>
      <c r="I2872" s="1261"/>
      <c r="K2872" s="477" t="s">
        <v>242</v>
      </c>
      <c r="L2872" s="477" t="str">
        <f>K2837&amp;"."&amp;K2872</f>
        <v>22.Shell insulation thk 3</v>
      </c>
      <c r="M2872" s="1252">
        <f>F2908</f>
        <v>0</v>
      </c>
    </row>
    <row r="2873" spans="1:13" ht="14.55" customHeight="1" x14ac:dyDescent="0.3">
      <c r="A2873" s="1258" t="s">
        <v>243</v>
      </c>
      <c r="B2873" s="722"/>
      <c r="C2873" s="460" t="s">
        <v>93</v>
      </c>
      <c r="D2873" s="722"/>
      <c r="E2873" s="460" t="s">
        <v>93</v>
      </c>
      <c r="F2873" s="452"/>
      <c r="G2873" s="460"/>
      <c r="H2873" s="469"/>
      <c r="I2873" s="1261"/>
      <c r="K2873" s="477" t="s">
        <v>244</v>
      </c>
      <c r="L2873" s="477" t="str">
        <f>K2837&amp;"."&amp;K2873</f>
        <v>22.Head insulation thk 3</v>
      </c>
      <c r="M2873" s="1252">
        <f>F2909</f>
        <v>0</v>
      </c>
    </row>
    <row r="2874" spans="1:13" ht="14.55" customHeight="1" x14ac:dyDescent="0.3">
      <c r="A2874" s="1258" t="s">
        <v>245</v>
      </c>
      <c r="B2874" s="724"/>
      <c r="C2874" s="460"/>
      <c r="D2874" s="724"/>
      <c r="E2874" s="460"/>
      <c r="F2874" s="724"/>
      <c r="G2874" s="460"/>
      <c r="H2874" s="469"/>
      <c r="I2874" s="1261"/>
      <c r="K2874" s="477" t="s">
        <v>246</v>
      </c>
      <c r="L2874" s="477" t="str">
        <f>K2837&amp;"."&amp;K2874</f>
        <v>22.Reducer insulation thk 3</v>
      </c>
      <c r="M2874" s="1252">
        <f>F2910</f>
        <v>0</v>
      </c>
    </row>
    <row r="2875" spans="1:13" ht="14.55" customHeight="1" x14ac:dyDescent="0.3">
      <c r="A2875" s="1258" t="s">
        <v>247</v>
      </c>
      <c r="B2875" s="468">
        <v>0</v>
      </c>
      <c r="C2875" s="460" t="s">
        <v>93</v>
      </c>
      <c r="D2875" s="468">
        <v>0</v>
      </c>
      <c r="E2875" s="460" t="s">
        <v>93</v>
      </c>
      <c r="F2875" s="468">
        <v>0</v>
      </c>
      <c r="G2875" s="460" t="s">
        <v>93</v>
      </c>
      <c r="H2875" s="469"/>
      <c r="I2875" s="1261"/>
      <c r="K2875" s="477" t="s">
        <v>248</v>
      </c>
      <c r="L2875" s="477" t="str">
        <f>K2837&amp;"."&amp;K2875</f>
        <v>22.Shell insulation area 3</v>
      </c>
      <c r="M2875" s="1252">
        <f>F2868</f>
        <v>0</v>
      </c>
    </row>
    <row r="2876" spans="1:13" ht="14.55" customHeight="1" x14ac:dyDescent="0.3">
      <c r="A2876" s="1258" t="s">
        <v>249</v>
      </c>
      <c r="B2876" s="468" t="e">
        <f>((((POWER(((((B2871+B2904)*1.22)+(B2875*2))/100),2)*PI())/4)*(B2904/100))*7.86)</f>
        <v>#N/A</v>
      </c>
      <c r="C2876" s="460" t="s">
        <v>222</v>
      </c>
      <c r="D2876" s="468" t="e">
        <f>((((POWER(((((D2871+D2904)*1.22)+(D2875*2))/100),2)*PI())/4)*(D2904/100))*7.86)</f>
        <v>#N/A</v>
      </c>
      <c r="E2876" s="460" t="s">
        <v>222</v>
      </c>
      <c r="F2876" s="468">
        <f>IFERROR(VLOOKUP(F2860&amp;"."&amp;F2905,'Fitting Chart'!$1:$1048576,5,0),0)</f>
        <v>0</v>
      </c>
      <c r="G2876" s="460" t="s">
        <v>222</v>
      </c>
      <c r="H2876" s="469"/>
      <c r="I2876" s="1261"/>
      <c r="K2876" s="477" t="s">
        <v>250</v>
      </c>
      <c r="L2876" s="477" t="str">
        <f>K2837&amp;"."&amp;K2876</f>
        <v>22.Head insulation area 3</v>
      </c>
      <c r="M2876" s="1252">
        <f>F2879</f>
        <v>0</v>
      </c>
    </row>
    <row r="2877" spans="1:13" ht="14.55" customHeight="1" x14ac:dyDescent="0.3">
      <c r="A2877" s="1258" t="s">
        <v>251</v>
      </c>
      <c r="B2877" s="468" t="e">
        <f>(((0.131*(B2871^3)*10^-6)+((((B2871/2)^2)*PI()*(((B2871/4)+B2903)-B2903-(B2871/4)))))+((PI()*((B2871/2)^2)*B2875))/1000000)/1000</f>
        <v>#N/A</v>
      </c>
      <c r="C2877" s="460" t="s">
        <v>225</v>
      </c>
      <c r="D2877" s="468" t="e">
        <f>(((0.131*(D2871^3)*10^-6)+((((D2871/2)^2)*PI()*(((D2871/4)+D2903)-D2903-(D2871/4)))))+((PI()*((D2871/2)^2)*D2875))/1000000)/1000</f>
        <v>#N/A</v>
      </c>
      <c r="E2877" s="460" t="s">
        <v>225</v>
      </c>
      <c r="F2877" s="468">
        <f>(((0.131*(F2871^3)*10^-6)+((((F2871/2)^2)*PI()*(((F2871/4)+F2906)-F2906-(F2871/4)))))+((PI()*((F2871/2)^2)*F2875))/1000000)/1000</f>
        <v>0</v>
      </c>
      <c r="G2877" s="460" t="s">
        <v>225</v>
      </c>
      <c r="H2877" s="469"/>
      <c r="I2877" s="1261"/>
      <c r="K2877" s="477" t="s">
        <v>252</v>
      </c>
      <c r="L2877" s="477" t="str">
        <f>K2837&amp;"."&amp;K2877</f>
        <v>22.Reducer insulation area 3</v>
      </c>
      <c r="M2877" s="1252">
        <f>F2893</f>
        <v>0</v>
      </c>
    </row>
    <row r="2878" spans="1:13" ht="14.55" customHeight="1" x14ac:dyDescent="0.3">
      <c r="A2878" s="1258" t="s">
        <v>253</v>
      </c>
      <c r="B2878" s="468" t="e">
        <f>(((B2872*B2873*3.14)+(((B2872/2)^2)*3.14))/1000000)</f>
        <v>#N/A</v>
      </c>
      <c r="C2878" s="460" t="s">
        <v>228</v>
      </c>
      <c r="D2878" s="468" t="e">
        <f>(((D2872*D2873*3.14)+(((D2872/2)^2)*3.14))/1000000)</f>
        <v>#N/A</v>
      </c>
      <c r="E2878" s="460" t="s">
        <v>228</v>
      </c>
      <c r="F2878" s="468">
        <f>(((F2872*F2873*3.14)+(((F2872/2)^2)*3.14))/1000000)</f>
        <v>0</v>
      </c>
      <c r="G2878" s="460" t="s">
        <v>228</v>
      </c>
      <c r="H2878" s="469"/>
      <c r="I2878" s="1261"/>
    </row>
    <row r="2879" spans="1:13" ht="14.55" customHeight="1" x14ac:dyDescent="0.3">
      <c r="A2879" s="1258" t="s">
        <v>254</v>
      </c>
      <c r="B2879" s="468" t="e">
        <f>B2872+2*B2909</f>
        <v>#N/A</v>
      </c>
      <c r="C2879" s="460" t="s">
        <v>93</v>
      </c>
      <c r="D2879" s="468" t="e">
        <f>D2872+2*D2909</f>
        <v>#N/A</v>
      </c>
      <c r="E2879" s="460" t="s">
        <v>93</v>
      </c>
      <c r="F2879" s="468">
        <f>F2872+2*F2909</f>
        <v>0</v>
      </c>
      <c r="G2879" s="460" t="s">
        <v>93</v>
      </c>
      <c r="H2879" s="469"/>
      <c r="I2879" s="1261"/>
    </row>
    <row r="2880" spans="1:13" ht="14.55" customHeight="1" x14ac:dyDescent="0.3">
      <c r="A2880" s="1258" t="s">
        <v>255</v>
      </c>
      <c r="B2880" s="468" t="e">
        <f>(((B2879*B2873*3.14)+(((B2879/2)^2)*3.14))/1000000)</f>
        <v>#N/A</v>
      </c>
      <c r="C2880" s="460" t="s">
        <v>228</v>
      </c>
      <c r="D2880" s="468" t="e">
        <f>(((D2879*D2873*3.14)+(((D2879/2)^2)*3.14))/1000000)</f>
        <v>#N/A</v>
      </c>
      <c r="E2880" s="460" t="s">
        <v>228</v>
      </c>
      <c r="F2880" s="468">
        <f>(((F2879*F2873*3.14)+(((F2879/2)^2)*3.14))/1000000)</f>
        <v>0</v>
      </c>
      <c r="G2880" s="460" t="s">
        <v>228</v>
      </c>
      <c r="H2880" s="469"/>
      <c r="I2880" s="1261"/>
    </row>
    <row r="2881" spans="1:9" ht="14.55" customHeight="1" x14ac:dyDescent="0.3">
      <c r="A2881" s="1258"/>
      <c r="B2881" s="454"/>
      <c r="C2881" s="460"/>
      <c r="D2881" s="454"/>
      <c r="E2881" s="460"/>
      <c r="F2881" s="454"/>
      <c r="G2881" s="460"/>
      <c r="H2881" s="469"/>
      <c r="I2881" s="1261"/>
    </row>
    <row r="2882" spans="1:9" ht="14.55" customHeight="1" x14ac:dyDescent="0.3">
      <c r="A2882" s="1258"/>
      <c r="B2882" s="468" t="s">
        <v>256</v>
      </c>
      <c r="C2882" s="460"/>
      <c r="D2882" s="468" t="s">
        <v>257</v>
      </c>
      <c r="E2882" s="460"/>
      <c r="F2882" s="468" t="s">
        <v>258</v>
      </c>
      <c r="G2882" s="460"/>
      <c r="H2882" s="469"/>
      <c r="I2882" s="1261"/>
    </row>
    <row r="2883" spans="1:9" ht="14.55" customHeight="1" x14ac:dyDescent="0.3">
      <c r="A2883" s="1258" t="s">
        <v>259</v>
      </c>
      <c r="B2883" s="725"/>
      <c r="C2883" s="460" t="s">
        <v>93</v>
      </c>
      <c r="D2883" s="725"/>
      <c r="E2883" s="460" t="s">
        <v>93</v>
      </c>
      <c r="F2883" s="725"/>
      <c r="G2883" s="460" t="s">
        <v>93</v>
      </c>
      <c r="H2883" s="469"/>
      <c r="I2883" s="1261"/>
    </row>
    <row r="2884" spans="1:9" ht="14.55" customHeight="1" x14ac:dyDescent="0.3">
      <c r="A2884" s="1258" t="s">
        <v>260</v>
      </c>
      <c r="B2884" s="725"/>
      <c r="C2884" s="460" t="s">
        <v>93</v>
      </c>
      <c r="D2884" s="725"/>
      <c r="E2884" s="460" t="s">
        <v>93</v>
      </c>
      <c r="F2884" s="725"/>
      <c r="G2884" s="460" t="s">
        <v>93</v>
      </c>
      <c r="H2884" s="469"/>
      <c r="I2884" s="1261"/>
    </row>
    <row r="2885" spans="1:9" ht="14.55" customHeight="1" x14ac:dyDescent="0.3">
      <c r="A2885" s="1258" t="s">
        <v>261</v>
      </c>
      <c r="B2885" s="725"/>
      <c r="C2885" s="460" t="s">
        <v>93</v>
      </c>
      <c r="D2885" s="725"/>
      <c r="E2885" s="460" t="s">
        <v>93</v>
      </c>
      <c r="F2885" s="725"/>
      <c r="G2885" s="460" t="s">
        <v>93</v>
      </c>
      <c r="H2885" s="469"/>
      <c r="I2885" s="1261"/>
    </row>
    <row r="2886" spans="1:9" ht="14.55" customHeight="1" x14ac:dyDescent="0.3">
      <c r="A2886" s="1258" t="s">
        <v>262</v>
      </c>
      <c r="B2886" s="455" t="e">
        <f>B2883+2*B2904</f>
        <v>#N/A</v>
      </c>
      <c r="C2886" s="460" t="s">
        <v>93</v>
      </c>
      <c r="D2886" s="455" t="e">
        <f>D2883+2*D2904</f>
        <v>#N/A</v>
      </c>
      <c r="E2886" s="460" t="s">
        <v>93</v>
      </c>
      <c r="F2886" s="455">
        <f>F2883+2*F2906</f>
        <v>0</v>
      </c>
      <c r="G2886" s="460" t="s">
        <v>93</v>
      </c>
      <c r="H2886" s="469"/>
      <c r="I2886" s="1261"/>
    </row>
    <row r="2887" spans="1:9" ht="14.55" customHeight="1" x14ac:dyDescent="0.3">
      <c r="A2887" s="1258" t="s">
        <v>263</v>
      </c>
      <c r="B2887" s="455" t="e">
        <f>B2884+2*B2904</f>
        <v>#N/A</v>
      </c>
      <c r="C2887" s="460" t="s">
        <v>93</v>
      </c>
      <c r="D2887" s="455" t="e">
        <f>D2884+2*D2904</f>
        <v>#N/A</v>
      </c>
      <c r="E2887" s="460" t="s">
        <v>93</v>
      </c>
      <c r="F2887" s="455">
        <f>F2884+2*F2906</f>
        <v>0</v>
      </c>
      <c r="G2887" s="460" t="s">
        <v>93</v>
      </c>
      <c r="H2887" s="469"/>
      <c r="I2887" s="1261"/>
    </row>
    <row r="2888" spans="1:9" ht="14.55" customHeight="1" x14ac:dyDescent="0.3">
      <c r="A2888" s="1258" t="s">
        <v>264</v>
      </c>
      <c r="B2888" s="453" t="e">
        <f>(((((1/3*PI()*B2885))*((((B2886/2)^2)+(((B2886/2)*(B2887/2)))+((B2887/2)^2))))-(((1/3*PI()*B2885))*((((B2883/2)^2)+(((B2883/2)*(B2884/2)))+((B2884/2)^2)))))*7.86)/1000000</f>
        <v>#N/A</v>
      </c>
      <c r="C2888" s="460" t="s">
        <v>222</v>
      </c>
      <c r="D2888" s="453" t="e">
        <f>(((((1/3*PI()*D2885))*((((D2886/2)^2)+(((D2886/2)*(D2887/2)))+((D2887/2)^2))))-(((1/3*PI()*D2885))*((((D2883/2)^2)+(((D2883/2)*(D2884/2)))+((D2884/2)^2)))))*7.86)/1000000</f>
        <v>#N/A</v>
      </c>
      <c r="E2888" s="460" t="s">
        <v>222</v>
      </c>
      <c r="F2888" s="453">
        <f>(((((1/3*PI()*F2885))*((((F2886/2)^2)+(((F2886/2)*(F2887/2)))+((F2887/2)^2))))-(((1/3*PI()*F2885))*((((F2883/2)^2)+(((F2883/2)*(F2884/2)))+((F2884/2)^2)))))*7.86)/1000000</f>
        <v>0</v>
      </c>
      <c r="G2888" s="460" t="s">
        <v>222</v>
      </c>
      <c r="H2888" s="469"/>
      <c r="I2888" s="1261"/>
    </row>
    <row r="2889" spans="1:9" ht="14.55" customHeight="1" x14ac:dyDescent="0.3">
      <c r="A2889" s="1258" t="s">
        <v>265</v>
      </c>
      <c r="B2889" s="453">
        <f>((1/3*PI()*B2885))*((((B2883/2)^2)+(((B2883/2)*(B2884/2)))+((B2884/2)^2)))/1000000000</f>
        <v>0</v>
      </c>
      <c r="C2889" s="460" t="s">
        <v>225</v>
      </c>
      <c r="D2889" s="453">
        <f>((1/3*PI()*D2885))*((((D2883/2)^2)+(((D2883/2)*(D2884/2)))+((D2884/2)^2)))/1000000000</f>
        <v>0</v>
      </c>
      <c r="E2889" s="460" t="s">
        <v>225</v>
      </c>
      <c r="F2889" s="453">
        <f>((1/3*PI()*F2885))*((((F2883/2)^2)+(((F2883/2)*(F2884/2)))+((F2884/2)^2)))/1000000000</f>
        <v>0</v>
      </c>
      <c r="G2889" s="460" t="s">
        <v>225</v>
      </c>
      <c r="H2889" s="469"/>
      <c r="I2889" s="1261"/>
    </row>
    <row r="2890" spans="1:9" ht="14.55" customHeight="1" x14ac:dyDescent="0.3">
      <c r="A2890" s="1258" t="s">
        <v>266</v>
      </c>
      <c r="B2890" s="453" t="e">
        <f>PI()*(B2886+B2887)/2*SQRT(B2885^2+((B2886-B2887)/2)^2)/1000000</f>
        <v>#N/A</v>
      </c>
      <c r="C2890" s="460" t="s">
        <v>228</v>
      </c>
      <c r="D2890" s="453" t="e">
        <f>PI()*(D2886+D2887)/2*SQRT(D2885^2+((D2886-D2887)/2)^2)/1000000</f>
        <v>#N/A</v>
      </c>
      <c r="E2890" s="460" t="s">
        <v>228</v>
      </c>
      <c r="F2890" s="453">
        <f>PI()*(F2886+F2887)/2*SQRT(F2885^2+((F2886-F2887)/2)^2)/1000000</f>
        <v>0</v>
      </c>
      <c r="G2890" s="460" t="s">
        <v>228</v>
      </c>
      <c r="H2890" s="469"/>
      <c r="I2890" s="1261"/>
    </row>
    <row r="2891" spans="1:9" ht="14.55" customHeight="1" x14ac:dyDescent="0.3">
      <c r="A2891" s="1258" t="s">
        <v>267</v>
      </c>
      <c r="B2891" s="453" t="e">
        <f>B2886+2*B2910</f>
        <v>#N/A</v>
      </c>
      <c r="C2891" s="460" t="s">
        <v>93</v>
      </c>
      <c r="D2891" s="453">
        <f>D2883+2*D2910</f>
        <v>0</v>
      </c>
      <c r="E2891" s="460" t="s">
        <v>93</v>
      </c>
      <c r="F2891" s="453">
        <f>F2883+2*F2910</f>
        <v>0</v>
      </c>
      <c r="G2891" s="460" t="s">
        <v>93</v>
      </c>
      <c r="H2891" s="469"/>
      <c r="I2891" s="1261"/>
    </row>
    <row r="2892" spans="1:9" ht="14.55" customHeight="1" x14ac:dyDescent="0.3">
      <c r="A2892" s="1258" t="s">
        <v>268</v>
      </c>
      <c r="B2892" s="453" t="e">
        <f>B2887+2*B2910</f>
        <v>#N/A</v>
      </c>
      <c r="C2892" s="460" t="s">
        <v>93</v>
      </c>
      <c r="D2892" s="453">
        <f>D2884+2*D2910</f>
        <v>0</v>
      </c>
      <c r="E2892" s="460" t="s">
        <v>93</v>
      </c>
      <c r="F2892" s="453">
        <f>F2884+2*F2910</f>
        <v>0</v>
      </c>
      <c r="G2892" s="460" t="s">
        <v>93</v>
      </c>
      <c r="H2892" s="469"/>
      <c r="I2892" s="1261"/>
    </row>
    <row r="2893" spans="1:9" ht="14.55" customHeight="1" x14ac:dyDescent="0.3">
      <c r="A2893" s="1258" t="s">
        <v>269</v>
      </c>
      <c r="B2893" s="453" t="e">
        <f>PI()*(B2891+B2892)/2*SQRT(B2885^2+((B2891-B2892)/2)^2)/1000000</f>
        <v>#N/A</v>
      </c>
      <c r="C2893" s="460" t="s">
        <v>228</v>
      </c>
      <c r="D2893" s="453">
        <f>PI()*(D2891+D2892)/2*SQRT(D2885^2+((D2891-D2892)/2)^2)/1000000</f>
        <v>0</v>
      </c>
      <c r="E2893" s="460" t="s">
        <v>228</v>
      </c>
      <c r="F2893" s="453">
        <f>PI()*(F2891+F2892)/2*SQRT(F2885^2+((F2891-F2892)/2)^2)/1000000</f>
        <v>0</v>
      </c>
      <c r="G2893" s="460" t="s">
        <v>228</v>
      </c>
      <c r="H2893" s="469"/>
      <c r="I2893" s="1261"/>
    </row>
    <row r="2894" spans="1:9" ht="14.55" customHeight="1" x14ac:dyDescent="0.3">
      <c r="A2894" s="1258"/>
      <c r="B2894" s="453"/>
      <c r="C2894" s="460"/>
      <c r="D2894" s="453"/>
      <c r="E2894" s="460"/>
      <c r="F2894" s="453"/>
      <c r="G2894" s="460"/>
      <c r="H2894" s="460"/>
      <c r="I2894" s="1259"/>
    </row>
    <row r="2895" spans="1:9" ht="14.55" customHeight="1" x14ac:dyDescent="0.3">
      <c r="A2895" s="1258" t="s">
        <v>270</v>
      </c>
      <c r="B2895" s="725"/>
      <c r="C2895" s="460" t="s">
        <v>93</v>
      </c>
      <c r="D2895" s="725"/>
      <c r="E2895" s="460" t="s">
        <v>93</v>
      </c>
      <c r="F2895" s="725"/>
      <c r="G2895" s="460" t="s">
        <v>93</v>
      </c>
      <c r="H2895" s="460"/>
      <c r="I2895" s="1259"/>
    </row>
    <row r="2896" spans="1:9" ht="14.55" customHeight="1" x14ac:dyDescent="0.3">
      <c r="A2896" s="1258" t="s">
        <v>271</v>
      </c>
      <c r="B2896" s="453" t="e">
        <f>((D2844/10)*B2861/2)/(IF(B2839="div.1",B2852,B2855)-0.5*D2844/10)</f>
        <v>#N/A</v>
      </c>
      <c r="C2896" s="460" t="s">
        <v>93</v>
      </c>
      <c r="D2896" s="453" t="e">
        <f>((D2844/10)*D2861/2)/(IF(B2839="div.1",B2852,B2855)-0.5*D2844/10)</f>
        <v>#N/A</v>
      </c>
      <c r="E2896" s="460" t="s">
        <v>93</v>
      </c>
      <c r="F2896" s="453" t="e">
        <f>((D2844/10)*F2861/2)/(IF(B2839="div.1",F2852,F2855)-0.5*D2844/10)</f>
        <v>#N/A</v>
      </c>
      <c r="G2896" s="460" t="s">
        <v>93</v>
      </c>
      <c r="H2896" s="460"/>
      <c r="I2896" s="1259"/>
    </row>
    <row r="2897" spans="1:9" ht="14.55" customHeight="1" x14ac:dyDescent="0.3">
      <c r="A2897" s="1258" t="s">
        <v>272</v>
      </c>
      <c r="B2897" s="453" t="e">
        <f>B2871/2*(EXP(D2844/(10*IF(B2839="div.1",B2853,B2856)))-1)</f>
        <v>#N/A</v>
      </c>
      <c r="C2897" s="460" t="s">
        <v>93</v>
      </c>
      <c r="D2897" s="453" t="e">
        <f>D2871/2*(EXP(D2844/(10*IF(B2839="div.1",B2853,B2856)))-1)</f>
        <v>#N/A</v>
      </c>
      <c r="E2897" s="460" t="s">
        <v>93</v>
      </c>
      <c r="F2897" s="453" t="e">
        <f>F2871/2*(EXP(D2844/(10*IF(B2839="div.1",F2853,F2856)))-1)</f>
        <v>#N/A</v>
      </c>
      <c r="G2897" s="460" t="s">
        <v>93</v>
      </c>
      <c r="H2897" s="460"/>
      <c r="I2897" s="1259"/>
    </row>
    <row r="2898" spans="1:9" ht="14.55" customHeight="1" x14ac:dyDescent="0.3">
      <c r="A2898" s="1258" t="s">
        <v>273</v>
      </c>
      <c r="B2898" s="453" t="e">
        <f>B2883/2*(EXP(D2844/(10*IF(B2839="div.1",B2853,B2856)))-1)</f>
        <v>#N/A</v>
      </c>
      <c r="C2898" s="460" t="s">
        <v>93</v>
      </c>
      <c r="D2898" s="453" t="e">
        <f>D2883/2*(EXP(D2844/(10*IF(B2839="div.1",B2853,B2856)))-1)</f>
        <v>#N/A</v>
      </c>
      <c r="E2898" s="460" t="s">
        <v>93</v>
      </c>
      <c r="F2898" s="453" t="e">
        <f>F2883/2*(EXP(D2844/(10*IF(B2839="div.1",F2853,F2856)))-1)</f>
        <v>#N/A</v>
      </c>
      <c r="G2898" s="460" t="s">
        <v>93</v>
      </c>
      <c r="H2898" s="460"/>
      <c r="I2898" s="1259"/>
    </row>
    <row r="2899" spans="1:9" ht="14.55" customHeight="1" x14ac:dyDescent="0.3">
      <c r="A2899" s="1258" t="s">
        <v>274</v>
      </c>
      <c r="B2899" s="725"/>
      <c r="C2899" s="460" t="s">
        <v>93</v>
      </c>
      <c r="D2899" s="725"/>
      <c r="E2899" s="460" t="s">
        <v>93</v>
      </c>
      <c r="F2899" s="725"/>
      <c r="G2899" s="460" t="s">
        <v>93</v>
      </c>
      <c r="H2899" s="460"/>
      <c r="I2899" s="1259"/>
    </row>
    <row r="2900" spans="1:9" ht="14.55" customHeight="1" x14ac:dyDescent="0.3">
      <c r="A2900" s="1258" t="s">
        <v>275</v>
      </c>
      <c r="B2900" s="725"/>
      <c r="C2900" s="460" t="s">
        <v>93</v>
      </c>
      <c r="D2900" s="725"/>
      <c r="E2900" s="460" t="s">
        <v>93</v>
      </c>
      <c r="F2900" s="725"/>
      <c r="G2900" s="460" t="s">
        <v>93</v>
      </c>
      <c r="H2900" s="460"/>
      <c r="I2900" s="1259"/>
    </row>
    <row r="2901" spans="1:9" ht="14.55" customHeight="1" x14ac:dyDescent="0.3">
      <c r="A2901" s="1258" t="s">
        <v>276</v>
      </c>
      <c r="B2901" s="725"/>
      <c r="C2901" s="460" t="s">
        <v>93</v>
      </c>
      <c r="D2901" s="725"/>
      <c r="E2901" s="460" t="s">
        <v>93</v>
      </c>
      <c r="F2901" s="725"/>
      <c r="G2901" s="460" t="s">
        <v>93</v>
      </c>
      <c r="H2901" s="460"/>
      <c r="I2901" s="1259"/>
    </row>
    <row r="2902" spans="1:9" ht="14.55" customHeight="1" x14ac:dyDescent="0.3">
      <c r="A2902" s="1258" t="s">
        <v>277</v>
      </c>
      <c r="B2902" s="453" t="e">
        <f>IF((CEILING(B2896,1)+B2899)&lt;B2895,B2895,CEILING(B2896,1)+B2899)</f>
        <v>#N/A</v>
      </c>
      <c r="C2902" s="460" t="s">
        <v>93</v>
      </c>
      <c r="D2902" s="453" t="e">
        <f>IF((CEILING(D2896,1)+D2899)&lt;D2895,D2895,CEILING(D2896,1)+D2899)</f>
        <v>#N/A</v>
      </c>
      <c r="E2902" s="460" t="s">
        <v>93</v>
      </c>
      <c r="F2902" s="453" t="e">
        <f>IF((CEILING(F2896,1)+F2899)&lt;F2895,F2895,CEILING(F2896,1)+F2899)</f>
        <v>#N/A</v>
      </c>
      <c r="G2902" s="460" t="s">
        <v>93</v>
      </c>
      <c r="H2902" s="460"/>
      <c r="I2902" s="1259"/>
    </row>
    <row r="2903" spans="1:9" ht="14.55" customHeight="1" x14ac:dyDescent="0.3">
      <c r="A2903" s="1258" t="s">
        <v>278</v>
      </c>
      <c r="B2903" s="453" t="e">
        <f>IF((CEILING(B2897,1)+B2900)&lt;=B2895,B2895,CEILING(B2897,1)+B2900)</f>
        <v>#N/A</v>
      </c>
      <c r="C2903" s="460" t="s">
        <v>93</v>
      </c>
      <c r="D2903" s="453" t="e">
        <f>IF((CEILING(D2897,1)+D2900)&lt;=D2895,D2895,CEILING(D2897,1)+D2900)</f>
        <v>#N/A</v>
      </c>
      <c r="E2903" s="460" t="s">
        <v>93</v>
      </c>
      <c r="F2903" s="453" t="e">
        <f>IF((CEILING(F2897,1)+F2900)&lt;=F2895,F2895,CEILING(F2897,1)+F2900)</f>
        <v>#N/A</v>
      </c>
      <c r="G2903" s="460" t="s">
        <v>93</v>
      </c>
      <c r="H2903" s="460"/>
      <c r="I2903" s="1259"/>
    </row>
    <row r="2904" spans="1:9" ht="14.55" customHeight="1" x14ac:dyDescent="0.3">
      <c r="A2904" s="1258" t="s">
        <v>279</v>
      </c>
      <c r="B2904" s="453" t="e">
        <f>IF((CEILING(B2898,1)+B2901)&lt;=B2895,B2895,CEILING(B2898,1)+B2901)</f>
        <v>#N/A</v>
      </c>
      <c r="C2904" s="460" t="s">
        <v>93</v>
      </c>
      <c r="D2904" s="453" t="e">
        <f>IF((CEILING(D2898,1)+D2901)&lt;=D2895,D2895,CEILING(D2898,1)+D2901)</f>
        <v>#N/A</v>
      </c>
      <c r="E2904" s="460" t="s">
        <v>93</v>
      </c>
      <c r="F2904" s="453" t="e">
        <f>IF((CEILING(F2898,1)+F2901)&lt;=F2895,F2895,CEILING(F2898,1)+F2901)</f>
        <v>#N/A</v>
      </c>
      <c r="G2904" s="460" t="s">
        <v>93</v>
      </c>
      <c r="H2904" s="460"/>
      <c r="I2904" s="1259"/>
    </row>
    <row r="2905" spans="1:9" ht="14.55" customHeight="1" x14ac:dyDescent="0.3">
      <c r="A2905" s="1258" t="s">
        <v>280</v>
      </c>
      <c r="B2905" s="453"/>
      <c r="C2905" s="460"/>
      <c r="D2905" s="453"/>
      <c r="E2905" s="460"/>
      <c r="F2905" s="726"/>
      <c r="G2905" s="460"/>
      <c r="H2905" s="460"/>
      <c r="I2905" s="1259"/>
    </row>
    <row r="2906" spans="1:9" ht="14.55" customHeight="1" x14ac:dyDescent="0.3">
      <c r="A2906" s="1258" t="s">
        <v>281</v>
      </c>
      <c r="B2906" s="453"/>
      <c r="C2906" s="460"/>
      <c r="D2906" s="453"/>
      <c r="E2906" s="460"/>
      <c r="F2906" s="460">
        <f>IFERROR(VLOOKUP(F2860,'Thickness Tab'!$1:$1048576,MATCH(F2905,'Thickness Tab'!$1:$1,0),0),0)</f>
        <v>0</v>
      </c>
      <c r="G2906" s="460" t="s">
        <v>93</v>
      </c>
      <c r="H2906" s="460"/>
      <c r="I2906" s="1259"/>
    </row>
    <row r="2907" spans="1:9" ht="14.55" customHeight="1" x14ac:dyDescent="0.3">
      <c r="A2907" s="1258"/>
      <c r="B2907" s="464"/>
      <c r="C2907" s="460"/>
      <c r="D2907" s="460"/>
      <c r="E2907" s="460"/>
      <c r="F2907" s="460"/>
      <c r="G2907" s="460"/>
      <c r="H2907" s="460"/>
      <c r="I2907" s="1259"/>
    </row>
    <row r="2908" spans="1:9" ht="14.55" customHeight="1" x14ac:dyDescent="0.3">
      <c r="A2908" s="1258" t="s">
        <v>282</v>
      </c>
      <c r="B2908" s="725">
        <v>0</v>
      </c>
      <c r="C2908" s="460" t="s">
        <v>93</v>
      </c>
      <c r="D2908" s="725">
        <v>0</v>
      </c>
      <c r="E2908" s="460" t="s">
        <v>93</v>
      </c>
      <c r="F2908" s="725">
        <v>0</v>
      </c>
      <c r="G2908" s="460" t="s">
        <v>93</v>
      </c>
      <c r="H2908" s="460"/>
      <c r="I2908" s="1259"/>
    </row>
    <row r="2909" spans="1:9" ht="14.55" customHeight="1" x14ac:dyDescent="0.3">
      <c r="A2909" s="1258" t="s">
        <v>283</v>
      </c>
      <c r="B2909" s="725">
        <v>0</v>
      </c>
      <c r="C2909" s="460" t="s">
        <v>93</v>
      </c>
      <c r="D2909" s="725">
        <v>0</v>
      </c>
      <c r="E2909" s="460" t="s">
        <v>93</v>
      </c>
      <c r="F2909" s="725">
        <v>0</v>
      </c>
      <c r="G2909" s="460" t="s">
        <v>93</v>
      </c>
      <c r="H2909" s="460"/>
      <c r="I2909" s="1259"/>
    </row>
    <row r="2910" spans="1:9" ht="14.55" customHeight="1" x14ac:dyDescent="0.3">
      <c r="A2910" s="1258" t="s">
        <v>284</v>
      </c>
      <c r="B2910" s="725">
        <v>0</v>
      </c>
      <c r="C2910" s="460" t="s">
        <v>93</v>
      </c>
      <c r="D2910" s="725">
        <v>0</v>
      </c>
      <c r="E2910" s="460" t="s">
        <v>93</v>
      </c>
      <c r="F2910" s="725">
        <v>0</v>
      </c>
      <c r="G2910" s="460" t="s">
        <v>93</v>
      </c>
      <c r="H2910" s="460"/>
      <c r="I2910" s="1259"/>
    </row>
    <row r="2911" spans="1:9" ht="14.55" customHeight="1" x14ac:dyDescent="0.3">
      <c r="A2911" s="1258"/>
      <c r="B2911" s="464"/>
      <c r="C2911" s="460"/>
      <c r="D2911" s="460"/>
      <c r="E2911" s="460"/>
      <c r="F2911" s="460"/>
      <c r="G2911" s="460"/>
      <c r="H2911" s="460"/>
      <c r="I2911" s="1259"/>
    </row>
    <row r="2912" spans="1:9" ht="14.55" customHeight="1" x14ac:dyDescent="0.3">
      <c r="A2912" s="1260" t="s">
        <v>285</v>
      </c>
      <c r="B2912" s="470" t="str">
        <f>IF(B2840="Horizontal","No Skirt","")</f>
        <v/>
      </c>
      <c r="C2912" s="460"/>
      <c r="D2912" s="471"/>
      <c r="E2912" s="471" t="s">
        <v>286</v>
      </c>
      <c r="F2912" s="460"/>
      <c r="G2912" s="469"/>
      <c r="H2912" s="469"/>
      <c r="I2912" s="1261"/>
    </row>
    <row r="2913" spans="1:9" ht="14.55" customHeight="1" x14ac:dyDescent="0.3">
      <c r="A2913" s="1258" t="s">
        <v>287</v>
      </c>
      <c r="B2913" s="722"/>
      <c r="C2913" s="456" t="s">
        <v>93</v>
      </c>
      <c r="D2913" s="472"/>
      <c r="E2913" s="472" t="s">
        <v>288</v>
      </c>
      <c r="F2913" s="725"/>
      <c r="G2913" s="460" t="s">
        <v>93</v>
      </c>
      <c r="H2913" s="469"/>
      <c r="I2913" s="1261"/>
    </row>
    <row r="2914" spans="1:9" ht="14.55" customHeight="1" x14ac:dyDescent="0.3">
      <c r="A2914" s="1258" t="s">
        <v>289</v>
      </c>
      <c r="B2914" s="722"/>
      <c r="C2914" s="456" t="s">
        <v>93</v>
      </c>
      <c r="D2914" s="472"/>
      <c r="E2914" s="472" t="s">
        <v>290</v>
      </c>
      <c r="F2914" s="725"/>
      <c r="G2914" s="460" t="s">
        <v>93</v>
      </c>
      <c r="H2914" s="469"/>
      <c r="I2914" s="1261"/>
    </row>
    <row r="2915" spans="1:9" ht="14.55" customHeight="1" x14ac:dyDescent="0.3">
      <c r="A2915" s="1258" t="s">
        <v>291</v>
      </c>
      <c r="B2915" s="722"/>
      <c r="C2915" s="456" t="s">
        <v>93</v>
      </c>
      <c r="D2915" s="472"/>
      <c r="E2915" s="472" t="s">
        <v>292</v>
      </c>
      <c r="F2915" s="725"/>
      <c r="G2915" s="460"/>
      <c r="H2915" s="469"/>
      <c r="I2915" s="1261"/>
    </row>
    <row r="2916" spans="1:9" ht="14.55" customHeight="1" x14ac:dyDescent="0.3">
      <c r="A2916" s="1258" t="s">
        <v>293</v>
      </c>
      <c r="B2916" s="722"/>
      <c r="C2916" s="456" t="s">
        <v>93</v>
      </c>
      <c r="D2916" s="472"/>
      <c r="E2916" s="472" t="s">
        <v>184</v>
      </c>
      <c r="F2916" s="457">
        <f>(PI()*F2913^2)/4*F2914*(7800/1000000000)</f>
        <v>0</v>
      </c>
      <c r="G2916" s="460" t="s">
        <v>222</v>
      </c>
      <c r="H2916" s="460"/>
      <c r="I2916" s="1259"/>
    </row>
    <row r="2917" spans="1:9" ht="14.55" customHeight="1" x14ac:dyDescent="0.3">
      <c r="A2917" s="1258" t="s">
        <v>294</v>
      </c>
      <c r="B2917" s="722"/>
      <c r="C2917" s="456" t="s">
        <v>93</v>
      </c>
      <c r="D2917" s="460"/>
      <c r="E2917" s="460"/>
      <c r="F2917" s="460"/>
      <c r="G2917" s="460"/>
      <c r="H2917" s="460"/>
      <c r="I2917" s="1259"/>
    </row>
    <row r="2918" spans="1:9" ht="14.55" customHeight="1" x14ac:dyDescent="0.3">
      <c r="A2918" s="1258"/>
      <c r="B2918" s="407"/>
      <c r="C2918" s="460"/>
      <c r="D2918" s="460"/>
      <c r="E2918" s="460"/>
      <c r="F2918" s="460"/>
      <c r="G2918" s="460"/>
      <c r="H2918" s="460"/>
      <c r="I2918" s="1259"/>
    </row>
    <row r="2919" spans="1:9" ht="14.55" customHeight="1" x14ac:dyDescent="0.3">
      <c r="A2919" s="1262" t="s">
        <v>295</v>
      </c>
      <c r="B2919" s="480"/>
      <c r="C2919" s="59"/>
      <c r="D2919" s="59"/>
      <c r="E2919" s="59"/>
      <c r="F2919" s="460"/>
      <c r="G2919" s="460"/>
      <c r="H2919" s="460"/>
      <c r="I2919" s="1259"/>
    </row>
    <row r="2920" spans="1:9" ht="14.55" customHeight="1" x14ac:dyDescent="0.3">
      <c r="A2920" s="1263" t="s">
        <v>296</v>
      </c>
      <c r="B2920" s="722"/>
      <c r="C2920" s="59" t="s">
        <v>93</v>
      </c>
      <c r="D2920" s="59"/>
      <c r="E2920" s="59"/>
      <c r="F2920" s="460"/>
      <c r="G2920" s="460"/>
      <c r="H2920" s="460"/>
      <c r="I2920" s="1259"/>
    </row>
    <row r="2921" spans="1:9" ht="14.55" customHeight="1" x14ac:dyDescent="0.3">
      <c r="A2921" s="1263" t="s">
        <v>297</v>
      </c>
      <c r="B2921" s="722"/>
      <c r="C2921" s="59" t="s">
        <v>93</v>
      </c>
      <c r="D2921" s="59"/>
      <c r="E2921" s="59"/>
      <c r="F2921" s="460"/>
      <c r="G2921" s="460"/>
      <c r="H2921" s="460"/>
      <c r="I2921" s="1259"/>
    </row>
    <row r="2922" spans="1:9" ht="14.55" customHeight="1" x14ac:dyDescent="0.3">
      <c r="A2922" s="1263" t="s">
        <v>298</v>
      </c>
      <c r="B2922" s="480">
        <f>B2863</f>
        <v>0</v>
      </c>
      <c r="C2922" s="59" t="s">
        <v>93</v>
      </c>
      <c r="D2922" s="59"/>
      <c r="E2922" s="59"/>
      <c r="F2922" s="460"/>
      <c r="G2922" s="460"/>
      <c r="H2922" s="460"/>
      <c r="I2922" s="1259"/>
    </row>
    <row r="2923" spans="1:9" ht="14.55" customHeight="1" x14ac:dyDescent="0.3">
      <c r="A2923" s="1263" t="s">
        <v>299</v>
      </c>
      <c r="B2923" s="727"/>
      <c r="C2923" s="59"/>
      <c r="D2923" s="59"/>
      <c r="E2923" s="59"/>
      <c r="F2923" s="460"/>
      <c r="G2923" s="460"/>
      <c r="H2923" s="460"/>
      <c r="I2923" s="1259"/>
    </row>
    <row r="2924" spans="1:9" ht="14.55" customHeight="1" x14ac:dyDescent="0.3">
      <c r="A2924" s="1263" t="s">
        <v>300</v>
      </c>
      <c r="B2924" s="722"/>
      <c r="C2924" s="59" t="s">
        <v>301</v>
      </c>
      <c r="D2924" s="59"/>
      <c r="E2924" s="59"/>
      <c r="F2924" s="460"/>
      <c r="G2924" s="460"/>
      <c r="H2924" s="460"/>
      <c r="I2924" s="1259"/>
    </row>
    <row r="2925" spans="1:9" ht="14.55" customHeight="1" x14ac:dyDescent="0.3">
      <c r="A2925" s="1263" t="s">
        <v>302</v>
      </c>
      <c r="B2925" s="480">
        <f>IF(B2923="Straight",B2922,B2922*2)</f>
        <v>0</v>
      </c>
      <c r="C2925" s="59" t="s">
        <v>93</v>
      </c>
      <c r="D2925" s="480"/>
      <c r="E2925" s="59"/>
      <c r="F2925" s="460"/>
      <c r="G2925" s="460"/>
      <c r="H2925" s="460"/>
      <c r="I2925" s="1259"/>
    </row>
    <row r="2926" spans="1:9" ht="14.55" customHeight="1" x14ac:dyDescent="0.3">
      <c r="A2926" s="1263" t="s">
        <v>303</v>
      </c>
      <c r="B2926" s="480">
        <f>B2920*PI()*B2925/1000000*B2924</f>
        <v>0</v>
      </c>
      <c r="C2926" s="59" t="s">
        <v>228</v>
      </c>
      <c r="D2926" s="59"/>
      <c r="E2926" s="59"/>
      <c r="F2926" s="460"/>
      <c r="G2926" s="460"/>
      <c r="H2926" s="460"/>
      <c r="I2926" s="1259"/>
    </row>
    <row r="2927" spans="1:9" ht="14.55" customHeight="1" x14ac:dyDescent="0.3">
      <c r="A2927" s="1263" t="s">
        <v>304</v>
      </c>
      <c r="B2927" s="480">
        <v>7.86</v>
      </c>
      <c r="C2927" s="59" t="s">
        <v>305</v>
      </c>
      <c r="D2927" s="59"/>
      <c r="E2927" s="59"/>
      <c r="F2927" s="460"/>
      <c r="G2927" s="460"/>
      <c r="H2927" s="460"/>
      <c r="I2927" s="1259"/>
    </row>
    <row r="2928" spans="1:9" ht="14.55" customHeight="1" x14ac:dyDescent="0.3">
      <c r="A2928" s="1263" t="s">
        <v>306</v>
      </c>
      <c r="B2928" s="480">
        <f>PI()*B2921*(B2920-B2921)*B2927/1000</f>
        <v>0</v>
      </c>
      <c r="C2928" s="59" t="s">
        <v>307</v>
      </c>
      <c r="D2928" s="59"/>
      <c r="E2928" s="59"/>
      <c r="F2928" s="460"/>
      <c r="G2928" s="460"/>
      <c r="H2928" s="460"/>
      <c r="I2928" s="1259"/>
    </row>
    <row r="2929" spans="1:9" ht="14.55" customHeight="1" x14ac:dyDescent="0.3">
      <c r="A2929" s="1263" t="s">
        <v>308</v>
      </c>
      <c r="B2929" s="480">
        <f>B2928*B2925*B2924/1000</f>
        <v>0</v>
      </c>
      <c r="C2929" s="59" t="s">
        <v>222</v>
      </c>
      <c r="D2929" s="59"/>
      <c r="E2929" s="59"/>
      <c r="F2929" s="460"/>
      <c r="G2929" s="460"/>
      <c r="H2929" s="460"/>
      <c r="I2929" s="1259"/>
    </row>
    <row r="2930" spans="1:9" ht="14.55" customHeight="1" x14ac:dyDescent="0.3">
      <c r="A2930" s="1263"/>
      <c r="B2930" s="480"/>
      <c r="C2930" s="59"/>
      <c r="D2930" s="59"/>
      <c r="E2930" s="59"/>
      <c r="F2930" s="460"/>
      <c r="G2930" s="460"/>
      <c r="H2930" s="460"/>
      <c r="I2930" s="1259"/>
    </row>
    <row r="2931" spans="1:9" ht="14.55" customHeight="1" x14ac:dyDescent="0.3">
      <c r="A2931" s="1262" t="s">
        <v>309</v>
      </c>
      <c r="B2931" s="480"/>
      <c r="C2931" s="59"/>
      <c r="D2931" s="59"/>
      <c r="E2931" s="59"/>
      <c r="F2931" s="460"/>
      <c r="G2931" s="460"/>
      <c r="H2931" s="460"/>
      <c r="I2931" s="1259"/>
    </row>
    <row r="2932" spans="1:9" ht="14.55" customHeight="1" x14ac:dyDescent="0.3">
      <c r="A2932" s="1263" t="s">
        <v>310</v>
      </c>
      <c r="B2932" s="480">
        <f>B2861</f>
        <v>0</v>
      </c>
      <c r="C2932" s="59" t="s">
        <v>93</v>
      </c>
      <c r="D2932" s="59"/>
      <c r="E2932" s="59"/>
      <c r="F2932" s="460"/>
      <c r="G2932" s="460"/>
      <c r="H2932" s="460"/>
      <c r="I2932" s="1259"/>
    </row>
    <row r="2933" spans="1:9" ht="14.55" customHeight="1" x14ac:dyDescent="0.3">
      <c r="A2933" s="1263" t="s">
        <v>297</v>
      </c>
      <c r="B2933" s="480">
        <v>15</v>
      </c>
      <c r="C2933" s="59" t="s">
        <v>93</v>
      </c>
      <c r="D2933" s="59"/>
      <c r="E2933" s="59"/>
      <c r="F2933" s="460"/>
      <c r="G2933" s="460"/>
      <c r="H2933" s="460"/>
      <c r="I2933" s="1259"/>
    </row>
    <row r="2934" spans="1:9" ht="14.55" customHeight="1" x14ac:dyDescent="0.3">
      <c r="A2934" s="1263" t="s">
        <v>311</v>
      </c>
      <c r="B2934" s="480">
        <f>B2932^2*PI()/4/1000000</f>
        <v>0</v>
      </c>
      <c r="C2934" s="59" t="s">
        <v>228</v>
      </c>
      <c r="D2934" s="59"/>
      <c r="E2934" s="59"/>
      <c r="F2934" s="460"/>
      <c r="G2934" s="460"/>
      <c r="H2934" s="460"/>
      <c r="I2934" s="1259"/>
    </row>
    <row r="2935" spans="1:9" ht="14.55" customHeight="1" x14ac:dyDescent="0.3">
      <c r="A2935" s="1263" t="s">
        <v>312</v>
      </c>
      <c r="B2935" s="480">
        <f>B2934*B2933/1000*B2927*2/1000</f>
        <v>0</v>
      </c>
      <c r="C2935" s="59" t="s">
        <v>222</v>
      </c>
      <c r="D2935" s="59"/>
      <c r="E2935" s="59"/>
      <c r="F2935" s="460"/>
      <c r="G2935" s="460"/>
      <c r="H2935" s="460"/>
      <c r="I2935" s="1259"/>
    </row>
    <row r="2936" spans="1:9" ht="14.55" customHeight="1" x14ac:dyDescent="0.3">
      <c r="A2936" s="1263"/>
      <c r="B2936" s="480"/>
      <c r="C2936" s="59"/>
      <c r="D2936" s="59"/>
      <c r="E2936" s="59"/>
      <c r="F2936" s="460"/>
      <c r="G2936" s="460"/>
      <c r="H2936" s="460"/>
      <c r="I2936" s="1259"/>
    </row>
    <row r="2937" spans="1:9" ht="14.55" customHeight="1" x14ac:dyDescent="0.3">
      <c r="A2937" s="1263" t="s">
        <v>313</v>
      </c>
      <c r="B2937" s="480">
        <f>B2929+B2935*2</f>
        <v>0</v>
      </c>
      <c r="C2937" s="59" t="s">
        <v>222</v>
      </c>
      <c r="D2937" s="59"/>
      <c r="E2937" s="59"/>
      <c r="F2937" s="460"/>
      <c r="G2937" s="460"/>
      <c r="H2937" s="460"/>
      <c r="I2937" s="1259"/>
    </row>
    <row r="2938" spans="1:9" ht="14.55" customHeight="1" x14ac:dyDescent="0.3">
      <c r="A2938" s="1263"/>
      <c r="B2938" s="480"/>
      <c r="C2938" s="59"/>
      <c r="D2938" s="59"/>
      <c r="E2938" s="59"/>
      <c r="F2938" s="460"/>
      <c r="G2938" s="460"/>
      <c r="H2938" s="460"/>
      <c r="I2938" s="1259"/>
    </row>
    <row r="2939" spans="1:9" ht="14.55" customHeight="1" x14ac:dyDescent="0.3">
      <c r="A2939" s="1260" t="s">
        <v>314</v>
      </c>
      <c r="B2939" s="460"/>
      <c r="C2939" s="460"/>
      <c r="D2939" s="463" t="s">
        <v>315</v>
      </c>
      <c r="E2939" s="460"/>
      <c r="F2939" s="460"/>
      <c r="G2939" s="471" t="s">
        <v>316</v>
      </c>
      <c r="H2939" s="453"/>
      <c r="I2939" s="1259"/>
    </row>
    <row r="2940" spans="1:9" ht="14.55" customHeight="1" x14ac:dyDescent="0.3">
      <c r="A2940" s="1258" t="s">
        <v>189</v>
      </c>
      <c r="B2940" s="468" t="e">
        <f>SUM(B2864,D2864,F2864)</f>
        <v>#N/A</v>
      </c>
      <c r="C2940" s="460" t="s">
        <v>222</v>
      </c>
      <c r="D2940" s="472" t="s">
        <v>189</v>
      </c>
      <c r="E2940" s="468" t="e">
        <f>SUM(B2866,D2866,F2866)</f>
        <v>#N/A</v>
      </c>
      <c r="F2940" s="460" t="s">
        <v>228</v>
      </c>
      <c r="G2940" s="472" t="s">
        <v>189</v>
      </c>
      <c r="H2940" s="453" t="e">
        <f>SUM(B2868,D2868,F2868)</f>
        <v>#N/A</v>
      </c>
      <c r="I2940" s="1259" t="s">
        <v>228</v>
      </c>
    </row>
    <row r="2941" spans="1:9" ht="14.55" customHeight="1" x14ac:dyDescent="0.3">
      <c r="A2941" s="1258" t="s">
        <v>317</v>
      </c>
      <c r="B2941" s="468" t="e">
        <f>SUM(B2874*B2876,D2874*D2876,F2874*F2876)</f>
        <v>#N/A</v>
      </c>
      <c r="C2941" s="460" t="s">
        <v>222</v>
      </c>
      <c r="D2941" s="472" t="s">
        <v>317</v>
      </c>
      <c r="E2941" s="468" t="e">
        <f>SUM(B2874*B2878,D2874*D2878,F2874*F2878)</f>
        <v>#N/A</v>
      </c>
      <c r="F2941" s="460" t="s">
        <v>228</v>
      </c>
      <c r="G2941" s="472" t="s">
        <v>317</v>
      </c>
      <c r="H2941" s="453" t="e">
        <f>SUM(B2874*B2880,D2874*D2880,F2874*F2880)</f>
        <v>#N/A</v>
      </c>
      <c r="I2941" s="1259" t="s">
        <v>228</v>
      </c>
    </row>
    <row r="2942" spans="1:9" ht="14.55" customHeight="1" x14ac:dyDescent="0.3">
      <c r="A2942" s="1258" t="s">
        <v>318</v>
      </c>
      <c r="B2942" s="468" t="e">
        <f>SUM(B2888,D2888,F2888)</f>
        <v>#N/A</v>
      </c>
      <c r="C2942" s="460" t="s">
        <v>222</v>
      </c>
      <c r="D2942" s="472" t="s">
        <v>318</v>
      </c>
      <c r="E2942" s="468" t="e">
        <f>SUM(B2890,D2890,F2890)</f>
        <v>#N/A</v>
      </c>
      <c r="F2942" s="460" t="s">
        <v>228</v>
      </c>
      <c r="G2942" s="472" t="s">
        <v>318</v>
      </c>
      <c r="H2942" s="453" t="e">
        <f>SUM(B2893,D2893,F2893)</f>
        <v>#N/A</v>
      </c>
      <c r="I2942" s="1259" t="s">
        <v>228</v>
      </c>
    </row>
    <row r="2943" spans="1:9" ht="14.55" customHeight="1" x14ac:dyDescent="0.3">
      <c r="A2943" s="1258" t="s">
        <v>319</v>
      </c>
      <c r="B2943" s="468">
        <f>SUMPRODUCT(F2960:F2971,H2960:H2971)</f>
        <v>0</v>
      </c>
      <c r="C2943" s="460" t="s">
        <v>222</v>
      </c>
      <c r="D2943" s="472" t="s">
        <v>319</v>
      </c>
      <c r="E2943" s="468">
        <f>SUMPRODUCT(F2960:F2971,I2960:I2971)</f>
        <v>0</v>
      </c>
      <c r="F2943" s="460" t="s">
        <v>228</v>
      </c>
      <c r="G2943" s="460"/>
      <c r="H2943" s="453"/>
      <c r="I2943" s="1259"/>
    </row>
    <row r="2944" spans="1:9" ht="14.55" customHeight="1" x14ac:dyDescent="0.3">
      <c r="A2944" s="1258" t="s">
        <v>320</v>
      </c>
      <c r="B2944" s="468" t="e">
        <f>IF(B2840="Horizontal",0,(PI()*B2914*(((B2862/2)^2)-(((B2862-2*B2913)/2)^2))*7860)/1000000000)</f>
        <v>#N/A</v>
      </c>
      <c r="C2944" s="460" t="s">
        <v>222</v>
      </c>
      <c r="D2944" s="472" t="s">
        <v>320</v>
      </c>
      <c r="E2944" s="468" t="e">
        <f>IF(B2840="Horizontal",0,((B2862*B2914*PI())+((B2862-2*B2913)*B2914*PI()))/1000000)</f>
        <v>#N/A</v>
      </c>
      <c r="F2944" s="460" t="s">
        <v>228</v>
      </c>
      <c r="G2944" s="471" t="s">
        <v>321</v>
      </c>
      <c r="H2944" s="453"/>
      <c r="I2944" s="1259"/>
    </row>
    <row r="2945" spans="1:9" ht="14.55" customHeight="1" x14ac:dyDescent="0.3">
      <c r="A2945" s="1258" t="s">
        <v>322</v>
      </c>
      <c r="B2945" s="468">
        <f>IF(B2840="Horizontal",0,(PI()*B2917*(((B2916/2)^2)-((B2915/2)^2))*7860)/1000000000)</f>
        <v>0</v>
      </c>
      <c r="C2945" s="460" t="s">
        <v>222</v>
      </c>
      <c r="D2945" s="472" t="s">
        <v>322</v>
      </c>
      <c r="E2945" s="468">
        <f>IF(B2840="Horizontal",0,((B2916*3.14*B2917)+(B2915*3.14*B2917)+(((((B2916/2)^2)*3.14)-(((B2915/2)^2)*3.14))*2))/1000000)</f>
        <v>0</v>
      </c>
      <c r="F2945" s="460" t="s">
        <v>228</v>
      </c>
      <c r="G2945" s="472" t="s">
        <v>189</v>
      </c>
      <c r="H2945" s="453">
        <f>SUM(B2865,D2865,F2865)</f>
        <v>0</v>
      </c>
      <c r="I2945" s="1259" t="s">
        <v>225</v>
      </c>
    </row>
    <row r="2946" spans="1:9" ht="14.55" customHeight="1" x14ac:dyDescent="0.3">
      <c r="A2946" s="1258" t="s">
        <v>323</v>
      </c>
      <c r="B2946" s="468">
        <f>IF(B2840="Horizontal",VLOOKUP(B2862,List!$AR:$AS,2,1)*2,0)</f>
        <v>0</v>
      </c>
      <c r="C2946" s="460" t="s">
        <v>222</v>
      </c>
      <c r="D2946" s="472" t="s">
        <v>323</v>
      </c>
      <c r="E2946" s="725"/>
      <c r="F2946" s="460" t="s">
        <v>228</v>
      </c>
      <c r="G2946" s="472" t="s">
        <v>317</v>
      </c>
      <c r="H2946" s="453" t="e">
        <f>SUM(B2874*B2877+D2874*D2877+F2874*F2877)</f>
        <v>#N/A</v>
      </c>
      <c r="I2946" s="1259" t="s">
        <v>225</v>
      </c>
    </row>
    <row r="2947" spans="1:9" ht="14.55" customHeight="1" x14ac:dyDescent="0.3">
      <c r="A2947" s="1258" t="s">
        <v>324</v>
      </c>
      <c r="B2947" s="468">
        <f>F2916*F2915</f>
        <v>0</v>
      </c>
      <c r="C2947" s="460" t="s">
        <v>222</v>
      </c>
      <c r="D2947" s="460"/>
      <c r="E2947" s="460"/>
      <c r="F2947" s="460"/>
      <c r="G2947" s="472" t="s">
        <v>318</v>
      </c>
      <c r="H2947" s="453">
        <f>SUM(B2889,D2889,F2889)</f>
        <v>0</v>
      </c>
      <c r="I2947" s="1259" t="s">
        <v>225</v>
      </c>
    </row>
    <row r="2948" spans="1:9" ht="14.55" customHeight="1" x14ac:dyDescent="0.3">
      <c r="A2948" s="1258" t="s">
        <v>325</v>
      </c>
      <c r="B2948" s="468">
        <f>B2937</f>
        <v>0</v>
      </c>
      <c r="C2948" s="460" t="s">
        <v>222</v>
      </c>
      <c r="D2948" s="460"/>
      <c r="E2948" s="460"/>
      <c r="F2948" s="460"/>
      <c r="G2948" s="472"/>
      <c r="H2948" s="453"/>
      <c r="I2948" s="1259"/>
    </row>
    <row r="2949" spans="1:9" ht="14.55" customHeight="1" x14ac:dyDescent="0.3">
      <c r="A2949" s="1258" t="s">
        <v>326</v>
      </c>
      <c r="B2949" s="725"/>
      <c r="C2949" s="460" t="s">
        <v>222</v>
      </c>
      <c r="D2949" s="460"/>
      <c r="E2949" s="460"/>
      <c r="F2949" s="460"/>
      <c r="G2949" s="460"/>
      <c r="H2949" s="460"/>
      <c r="I2949" s="1259"/>
    </row>
    <row r="2950" spans="1:9" ht="14.55" customHeight="1" x14ac:dyDescent="0.3">
      <c r="A2950" s="1264"/>
      <c r="B2950" s="460"/>
      <c r="C2950" s="460"/>
      <c r="D2950" s="460"/>
      <c r="E2950" s="460"/>
      <c r="F2950" s="460"/>
      <c r="G2950" s="460"/>
      <c r="H2950" s="460"/>
      <c r="I2950" s="1259"/>
    </row>
    <row r="2951" spans="1:9" ht="14.55" customHeight="1" x14ac:dyDescent="0.3">
      <c r="A2951" s="1258" t="s">
        <v>327</v>
      </c>
      <c r="B2951" s="453" t="e">
        <f>SUM(E2940:E2946)</f>
        <v>#N/A</v>
      </c>
      <c r="C2951" s="460" t="s">
        <v>228</v>
      </c>
      <c r="D2951" s="460"/>
      <c r="E2951" s="460"/>
      <c r="F2951" s="460"/>
      <c r="G2951" s="460"/>
      <c r="H2951" s="460"/>
      <c r="I2951" s="1259"/>
    </row>
    <row r="2952" spans="1:9" ht="14.55" customHeight="1" x14ac:dyDescent="0.3">
      <c r="A2952" s="1258" t="s">
        <v>328</v>
      </c>
      <c r="B2952" s="453" t="e">
        <f>IF(SUM(E2940:E2942)=SUM(H2940:H2942),"Not Insulated",SUM(H2940:H2942))</f>
        <v>#N/A</v>
      </c>
      <c r="C2952" s="460" t="e">
        <f>IF(B2951=SUM(H2940:H2942),"","m2")</f>
        <v>#N/A</v>
      </c>
      <c r="D2952" s="460"/>
      <c r="E2952" s="460"/>
      <c r="F2952" s="460"/>
      <c r="G2952" s="460"/>
      <c r="H2952" s="460"/>
      <c r="I2952" s="1259"/>
    </row>
    <row r="2953" spans="1:9" ht="14.55" customHeight="1" x14ac:dyDescent="0.3">
      <c r="A2953" s="1258" t="s">
        <v>329</v>
      </c>
      <c r="B2953" s="453" t="e">
        <f>SUM(H2945:H2947)</f>
        <v>#N/A</v>
      </c>
      <c r="C2953" s="460" t="s">
        <v>225</v>
      </c>
      <c r="D2953" s="460"/>
      <c r="E2953" s="460"/>
      <c r="F2953" s="460"/>
      <c r="G2953" s="460"/>
      <c r="H2953" s="460"/>
      <c r="I2953" s="1259"/>
    </row>
    <row r="2954" spans="1:9" ht="14.55" customHeight="1" x14ac:dyDescent="0.3">
      <c r="A2954" s="1258" t="s">
        <v>330</v>
      </c>
      <c r="B2954" s="453" t="e">
        <f>SUM(B2940:B2949)</f>
        <v>#N/A</v>
      </c>
      <c r="C2954" s="460" t="s">
        <v>222</v>
      </c>
      <c r="D2954" s="460"/>
      <c r="E2954" s="460"/>
      <c r="F2954" s="460"/>
      <c r="G2954" s="460"/>
      <c r="H2954" s="460"/>
      <c r="I2954" s="1259"/>
    </row>
    <row r="2955" spans="1:9" ht="14.55" customHeight="1" x14ac:dyDescent="0.3">
      <c r="A2955" s="1258" t="s">
        <v>331</v>
      </c>
      <c r="B2955" s="725"/>
      <c r="C2955" s="460" t="s">
        <v>222</v>
      </c>
      <c r="D2955" s="460"/>
      <c r="E2955" s="460"/>
      <c r="F2955" s="460"/>
      <c r="G2955" s="460"/>
      <c r="H2955" s="460"/>
      <c r="I2955" s="1259"/>
    </row>
    <row r="2956" spans="1:9" ht="15" customHeight="1" thickBot="1" x14ac:dyDescent="0.35">
      <c r="A2956" s="1258"/>
      <c r="B2956" s="473"/>
      <c r="C2956" s="459"/>
      <c r="D2956" s="460"/>
      <c r="E2956" s="460"/>
      <c r="F2956" s="460"/>
      <c r="G2956" s="460"/>
      <c r="H2956" s="460"/>
      <c r="I2956" s="1259"/>
    </row>
    <row r="2957" spans="1:9" ht="15" customHeight="1" thickBot="1" x14ac:dyDescent="0.35">
      <c r="A2957" s="474"/>
      <c r="B2957" s="1718" t="s">
        <v>332</v>
      </c>
      <c r="C2957" s="1718"/>
      <c r="D2957" s="1718"/>
      <c r="E2957" s="1718"/>
      <c r="F2957" s="1718"/>
      <c r="G2957" s="475"/>
      <c r="H2957" s="475"/>
      <c r="I2957" s="476"/>
    </row>
    <row r="2958" spans="1:9" ht="14.55" customHeight="1" x14ac:dyDescent="0.3">
      <c r="A2958" s="1264"/>
      <c r="B2958" s="1719" t="s">
        <v>333</v>
      </c>
      <c r="C2958" s="1381" t="s">
        <v>59</v>
      </c>
      <c r="D2958" s="1719" t="s">
        <v>114</v>
      </c>
      <c r="E2958" s="1719" t="s">
        <v>334</v>
      </c>
      <c r="F2958" s="1719" t="s">
        <v>292</v>
      </c>
      <c r="G2958" s="1719" t="s">
        <v>335</v>
      </c>
      <c r="H2958" s="1381" t="s">
        <v>184</v>
      </c>
      <c r="I2958" s="1346" t="s">
        <v>336</v>
      </c>
    </row>
    <row r="2959" spans="1:9" ht="14.55" customHeight="1" x14ac:dyDescent="0.3">
      <c r="A2959" s="1264"/>
      <c r="B2959" s="1720"/>
      <c r="C2959" s="1442" t="s">
        <v>214</v>
      </c>
      <c r="D2959" s="1720"/>
      <c r="E2959" s="1720"/>
      <c r="F2959" s="1720"/>
      <c r="G2959" s="1720"/>
      <c r="H2959" s="1442" t="s">
        <v>222</v>
      </c>
      <c r="I2959" s="1443" t="s">
        <v>228</v>
      </c>
    </row>
    <row r="2960" spans="1:9" ht="14.55" customHeight="1" x14ac:dyDescent="0.3">
      <c r="A2960" s="1264"/>
      <c r="B2960" s="1382" t="s">
        <v>337</v>
      </c>
      <c r="C2960" s="728"/>
      <c r="D2960" s="729"/>
      <c r="E2960" s="730"/>
      <c r="F2960" s="730"/>
      <c r="G2960" s="730"/>
      <c r="H2960" s="1465" t="str">
        <f>IFERROR(VLOOKUP($C2960&amp;"F"&amp;$D2960,'Flanges Chart'!$1:$1048576,MATCH($E2960&amp;"."&amp;H$123,'Flanges Chart'!$1:$1,0),0),"")</f>
        <v/>
      </c>
      <c r="I2960" s="1466" t="str">
        <f>IFERROR(VLOOKUP($C2960&amp;"F"&amp;$D2960,'Flanges Chart'!$1:$1048576,MATCH($E2960&amp;"."&amp;I$123,'Flanges Chart'!$1:$1,0),0),"")</f>
        <v/>
      </c>
    </row>
    <row r="2961" spans="1:13" ht="14.55" customHeight="1" x14ac:dyDescent="0.3">
      <c r="A2961" s="1264"/>
      <c r="B2961" s="1467" t="s">
        <v>340</v>
      </c>
      <c r="C2961" s="731"/>
      <c r="D2961" s="729"/>
      <c r="E2961" s="729"/>
      <c r="F2961" s="729"/>
      <c r="G2961" s="729"/>
      <c r="H2961" s="1465" t="str">
        <f>IFERROR(VLOOKUP($C2961&amp;"F"&amp;$D2961,'Flanges Chart'!$1:$1048576,MATCH($E2961&amp;"."&amp;H$123,'Flanges Chart'!$1:$1,0),0),"")</f>
        <v/>
      </c>
      <c r="I2961" s="1466" t="str">
        <f>IFERROR(VLOOKUP($C2961&amp;"F"&amp;$D2961,'Flanges Chart'!$1:$1048576,MATCH($E2961&amp;"."&amp;I$123,'Flanges Chart'!$1:$1,0),0),"")</f>
        <v/>
      </c>
    </row>
    <row r="2962" spans="1:13" ht="14.55" customHeight="1" x14ac:dyDescent="0.3">
      <c r="A2962" s="1264"/>
      <c r="B2962" s="1467" t="s">
        <v>342</v>
      </c>
      <c r="C2962" s="731"/>
      <c r="D2962" s="729"/>
      <c r="E2962" s="729"/>
      <c r="F2962" s="729"/>
      <c r="G2962" s="729"/>
      <c r="H2962" s="1465" t="str">
        <f>IFERROR(VLOOKUP($C2962&amp;"F"&amp;$D2962,'Flanges Chart'!$1:$1048576,MATCH($E2962&amp;"."&amp;H$123,'Flanges Chart'!$1:$1,0),0),"")</f>
        <v/>
      </c>
      <c r="I2962" s="1466" t="str">
        <f>IFERROR(VLOOKUP($C2962&amp;"F"&amp;$D2962,'Flanges Chart'!$1:$1048576,MATCH($E2962&amp;"."&amp;I$123,'Flanges Chart'!$1:$1,0),0),"")</f>
        <v/>
      </c>
    </row>
    <row r="2963" spans="1:13" ht="14.55" customHeight="1" x14ac:dyDescent="0.3">
      <c r="A2963" s="1264"/>
      <c r="B2963" s="1467" t="s">
        <v>344</v>
      </c>
      <c r="C2963" s="731"/>
      <c r="D2963" s="729"/>
      <c r="E2963" s="729"/>
      <c r="F2963" s="729"/>
      <c r="G2963" s="729"/>
      <c r="H2963" s="1465" t="str">
        <f>IFERROR(VLOOKUP($C2963&amp;"F"&amp;$D2963,'Flanges Chart'!$1:$1048576,MATCH($E2963&amp;"."&amp;H$123,'Flanges Chart'!$1:$1,0),0),"")</f>
        <v/>
      </c>
      <c r="I2963" s="1466" t="str">
        <f>IFERROR(VLOOKUP($C2963&amp;"F"&amp;$D2963,'Flanges Chart'!$1:$1048576,MATCH($E2963&amp;"."&amp;I$123,'Flanges Chart'!$1:$1,0),0),"")</f>
        <v/>
      </c>
    </row>
    <row r="2964" spans="1:13" ht="14.55" customHeight="1" x14ac:dyDescent="0.3">
      <c r="A2964" s="1264"/>
      <c r="B2964" s="1467" t="s">
        <v>347</v>
      </c>
      <c r="C2964" s="731"/>
      <c r="D2964" s="729"/>
      <c r="E2964" s="729"/>
      <c r="F2964" s="729"/>
      <c r="G2964" s="729"/>
      <c r="H2964" s="1465" t="str">
        <f>IFERROR(VLOOKUP($C2964&amp;"F"&amp;$D2964,'Flanges Chart'!$1:$1048576,MATCH($E2964&amp;"."&amp;H$123,'Flanges Chart'!$1:$1,0),0),"")</f>
        <v/>
      </c>
      <c r="I2964" s="1466" t="str">
        <f>IFERROR(VLOOKUP($C2964&amp;"F"&amp;$D2964,'Flanges Chart'!$1:$1048576,MATCH($E2964&amp;"."&amp;I$123,'Flanges Chart'!$1:$1,0),0),"")</f>
        <v/>
      </c>
    </row>
    <row r="2965" spans="1:13" ht="14.55" customHeight="1" x14ac:dyDescent="0.3">
      <c r="A2965" s="1264"/>
      <c r="B2965" s="1467" t="s">
        <v>349</v>
      </c>
      <c r="C2965" s="731"/>
      <c r="D2965" s="729"/>
      <c r="E2965" s="729"/>
      <c r="F2965" s="729"/>
      <c r="G2965" s="729"/>
      <c r="H2965" s="1465" t="str">
        <f>IFERROR(VLOOKUP($C2965&amp;"F"&amp;$D2965,'Flanges Chart'!$1:$1048576,MATCH($E2965&amp;"."&amp;H$123,'Flanges Chart'!$1:$1,0),0),"")</f>
        <v/>
      </c>
      <c r="I2965" s="1466" t="str">
        <f>IFERROR(VLOOKUP($C2965&amp;"F"&amp;$D2965,'Flanges Chart'!$1:$1048576,MATCH($E2965&amp;"."&amp;I$123,'Flanges Chart'!$1:$1,0),0),"")</f>
        <v/>
      </c>
    </row>
    <row r="2966" spans="1:13" ht="14.55" customHeight="1" x14ac:dyDescent="0.3">
      <c r="A2966" s="1264"/>
      <c r="B2966" s="1467" t="s">
        <v>350</v>
      </c>
      <c r="C2966" s="731"/>
      <c r="D2966" s="729"/>
      <c r="E2966" s="729"/>
      <c r="F2966" s="729"/>
      <c r="G2966" s="729"/>
      <c r="H2966" s="1465" t="str">
        <f>IFERROR(VLOOKUP($C2966&amp;"F"&amp;$D2966,'Flanges Chart'!$1:$1048576,MATCH($E2966&amp;"."&amp;H$123,'Flanges Chart'!$1:$1,0),0),"")</f>
        <v/>
      </c>
      <c r="I2966" s="1466" t="str">
        <f>IFERROR(VLOOKUP($C2966&amp;"F"&amp;$D2966,'Flanges Chart'!$1:$1048576,MATCH($E2966&amp;"."&amp;I$123,'Flanges Chart'!$1:$1,0),0),"")</f>
        <v/>
      </c>
    </row>
    <row r="2967" spans="1:13" ht="14.55" customHeight="1" x14ac:dyDescent="0.3">
      <c r="A2967" s="1264"/>
      <c r="B2967" s="1467" t="s">
        <v>351</v>
      </c>
      <c r="C2967" s="731"/>
      <c r="D2967" s="729"/>
      <c r="E2967" s="729"/>
      <c r="F2967" s="729"/>
      <c r="G2967" s="729"/>
      <c r="H2967" s="1465" t="str">
        <f>IFERROR(VLOOKUP($C2967&amp;"F"&amp;$D2967,'Flanges Chart'!$1:$1048576,MATCH($E2967&amp;"."&amp;H$123,'Flanges Chart'!$1:$1,0),0),"")</f>
        <v/>
      </c>
      <c r="I2967" s="1466" t="str">
        <f>IFERROR(VLOOKUP($C2967&amp;"F"&amp;$D2967,'Flanges Chart'!$1:$1048576,MATCH($E2967&amp;"."&amp;I$123,'Flanges Chart'!$1:$1,0),0),"")</f>
        <v/>
      </c>
    </row>
    <row r="2968" spans="1:13" ht="14.55" customHeight="1" x14ac:dyDescent="0.3">
      <c r="A2968" s="1264"/>
      <c r="B2968" s="1467" t="s">
        <v>352</v>
      </c>
      <c r="C2968" s="731"/>
      <c r="D2968" s="729"/>
      <c r="E2968" s="729"/>
      <c r="F2968" s="729"/>
      <c r="G2968" s="729"/>
      <c r="H2968" s="1465" t="str">
        <f>IFERROR(VLOOKUP($C2968&amp;"F"&amp;$D2968,'Flanges Chart'!$1:$1048576,MATCH($E2968&amp;"."&amp;H$123,'Flanges Chart'!$1:$1,0),0),"")</f>
        <v/>
      </c>
      <c r="I2968" s="1466" t="str">
        <f>IFERROR(VLOOKUP($C2968&amp;"F"&amp;$D2968,'Flanges Chart'!$1:$1048576,MATCH($E2968&amp;"."&amp;I$123,'Flanges Chart'!$1:$1,0),0),"")</f>
        <v/>
      </c>
    </row>
    <row r="2969" spans="1:13" ht="14.55" customHeight="1" x14ac:dyDescent="0.3">
      <c r="A2969" s="1264"/>
      <c r="B2969" s="1467" t="s">
        <v>353</v>
      </c>
      <c r="C2969" s="731"/>
      <c r="D2969" s="729"/>
      <c r="E2969" s="729"/>
      <c r="F2969" s="729"/>
      <c r="G2969" s="729"/>
      <c r="H2969" s="1465" t="str">
        <f>IFERROR(VLOOKUP($C2969&amp;"F"&amp;$D2969,'Flanges Chart'!$1:$1048576,MATCH($E2969&amp;"."&amp;H$123,'Flanges Chart'!$1:$1,0),0),"")</f>
        <v/>
      </c>
      <c r="I2969" s="1466" t="str">
        <f>IFERROR(VLOOKUP($C2969&amp;"F"&amp;$D2969,'Flanges Chart'!$1:$1048576,MATCH($E2969&amp;"."&amp;I$123,'Flanges Chart'!$1:$1,0),0),"")</f>
        <v/>
      </c>
    </row>
    <row r="2970" spans="1:13" ht="14.55" customHeight="1" x14ac:dyDescent="0.3">
      <c r="A2970" s="1264"/>
      <c r="B2970" s="1467" t="s">
        <v>354</v>
      </c>
      <c r="C2970" s="731"/>
      <c r="D2970" s="729"/>
      <c r="E2970" s="729"/>
      <c r="F2970" s="729"/>
      <c r="G2970" s="729"/>
      <c r="H2970" s="1465" t="str">
        <f>IFERROR(VLOOKUP($C2970&amp;"F"&amp;$D2970,'Flanges Chart'!$1:$1048576,MATCH($E2970&amp;"."&amp;H$123,'Flanges Chart'!$1:$1,0),0),"")</f>
        <v/>
      </c>
      <c r="I2970" s="1466" t="str">
        <f>IFERROR(VLOOKUP($C2970&amp;"F"&amp;$D2970,'Flanges Chart'!$1:$1048576,MATCH($E2970&amp;"."&amp;I$123,'Flanges Chart'!$1:$1,0),0),"")</f>
        <v/>
      </c>
    </row>
    <row r="2971" spans="1:13" ht="15" customHeight="1" thickBot="1" x14ac:dyDescent="0.35">
      <c r="A2971" s="1264"/>
      <c r="B2971" s="1468" t="s">
        <v>355</v>
      </c>
      <c r="C2971" s="732"/>
      <c r="D2971" s="733"/>
      <c r="E2971" s="733"/>
      <c r="F2971" s="733"/>
      <c r="G2971" s="733"/>
      <c r="H2971" s="1469" t="s">
        <v>356</v>
      </c>
      <c r="I2971" s="1470" t="str">
        <f>IFERROR(VLOOKUP($C2971&amp;"F"&amp;$D2971,'Flanges Chart'!$1:$1048576,MATCH($E2971&amp;"."&amp;I$123,'Flanges Chart'!$1:$1,0),0),"")</f>
        <v/>
      </c>
    </row>
    <row r="2972" spans="1:13" s="496" customFormat="1" ht="18.600000000000001" thickBot="1" x14ac:dyDescent="0.35">
      <c r="A2972" s="493" t="str">
        <f>"POS."&amp;K2972&amp;" "&amp;VLOOKUP(K2972,'Equip&amp;Mach List'!$1:$1048576,2,0)&amp;" "&amp;VLOOKUP(K2972,'Equip&amp;Mach List'!$1:$1048576,3,0)</f>
        <v xml:space="preserve">POS.23  </v>
      </c>
      <c r="B2972" s="511"/>
      <c r="C2972" s="494"/>
      <c r="D2972" s="495"/>
      <c r="E2972" s="495"/>
      <c r="F2972" s="497"/>
      <c r="G2972" s="495"/>
      <c r="H2972" s="495"/>
      <c r="I2972" s="1255" t="str">
        <f>IFERROR("Weight Calc./Selected = "&amp;ROUND(B3089,1)&amp;"/"&amp;B3090&amp;" kg - Øi ="&amp;IF(B2996=0,F2996,B2996)&amp;" mm"&amp;"T/T ="&amp;IF(B2997=0,F2997,B2997)&amp;" mm - Material "&amp;B2983&amp;"        ","")</f>
        <v/>
      </c>
      <c r="K2972" s="496">
        <v>23</v>
      </c>
      <c r="M2972" s="1254"/>
    </row>
    <row r="2973" spans="1:13" ht="14.55" customHeight="1" x14ac:dyDescent="0.3">
      <c r="A2973" s="1256"/>
      <c r="B2973" s="451"/>
      <c r="C2973" s="451"/>
      <c r="D2973" s="451"/>
      <c r="E2973" s="451"/>
      <c r="F2973" s="451"/>
      <c r="G2973" s="451"/>
      <c r="H2973" s="451"/>
      <c r="I2973" s="1257"/>
      <c r="K2973" s="477" t="s">
        <v>166</v>
      </c>
      <c r="L2973" s="477" t="str">
        <f>K2972&amp;"."&amp;K2973</f>
        <v>23.Design Code</v>
      </c>
      <c r="M2973" s="1252" t="str">
        <f>A2974&amp;" "&amp;B2974</f>
        <v xml:space="preserve">ASME VIII </v>
      </c>
    </row>
    <row r="2974" spans="1:13" ht="14.55" customHeight="1" x14ac:dyDescent="0.3">
      <c r="A2974" s="1258" t="s">
        <v>167</v>
      </c>
      <c r="B2974" s="718"/>
      <c r="C2974" s="459"/>
      <c r="D2974" s="460"/>
      <c r="E2974" s="460"/>
      <c r="F2974" s="460"/>
      <c r="G2974" s="460"/>
      <c r="H2974" s="460"/>
      <c r="I2974" s="1259"/>
      <c r="K2974" s="477" t="s">
        <v>169</v>
      </c>
      <c r="L2974" s="477" t="str">
        <f>K2972&amp;"."&amp;K2974</f>
        <v>23.Orientation</v>
      </c>
      <c r="M2974" s="1252">
        <f>B2975</f>
        <v>0</v>
      </c>
    </row>
    <row r="2975" spans="1:13" ht="14.55" customHeight="1" x14ac:dyDescent="0.3">
      <c r="A2975" s="1258" t="s">
        <v>170</v>
      </c>
      <c r="B2975" s="718"/>
      <c r="C2975" s="459"/>
      <c r="D2975" s="460"/>
      <c r="E2975" s="460"/>
      <c r="F2975" s="461"/>
      <c r="G2975" s="460"/>
      <c r="H2975" s="460"/>
      <c r="I2975" s="1259"/>
      <c r="K2975" s="477" t="s">
        <v>172</v>
      </c>
      <c r="L2975" s="477" t="str">
        <f>K2972&amp;"."&amp;K2975</f>
        <v>23.Design Temperature</v>
      </c>
      <c r="M2975" s="1252">
        <f>D2978</f>
        <v>0</v>
      </c>
    </row>
    <row r="2976" spans="1:13" ht="14.55" customHeight="1" x14ac:dyDescent="0.3">
      <c r="A2976" s="1258"/>
      <c r="B2976" s="459"/>
      <c r="C2976" s="459"/>
      <c r="D2976" s="460"/>
      <c r="E2976" s="460"/>
      <c r="F2976" s="462"/>
      <c r="G2976" s="460"/>
      <c r="H2976" s="460"/>
      <c r="I2976" s="1259"/>
      <c r="K2976" s="477" t="s">
        <v>173</v>
      </c>
      <c r="L2976" s="477" t="str">
        <f>K2972&amp;"."&amp;K2976</f>
        <v>23.Design Pressure</v>
      </c>
      <c r="M2976" s="1252">
        <f>D2979</f>
        <v>0</v>
      </c>
    </row>
    <row r="2977" spans="1:13" ht="14.55" customHeight="1" x14ac:dyDescent="0.3">
      <c r="A2977" s="1260" t="s">
        <v>174</v>
      </c>
      <c r="B2977" s="459"/>
      <c r="C2977" s="459"/>
      <c r="D2977" s="460"/>
      <c r="E2977" s="460"/>
      <c r="F2977" s="462"/>
      <c r="G2977" s="460"/>
      <c r="H2977" s="460"/>
      <c r="I2977" s="1259"/>
      <c r="K2977" s="477" t="s">
        <v>175</v>
      </c>
      <c r="L2977" s="477" t="str">
        <f>K2972&amp;"."&amp;K2977</f>
        <v>23.Material</v>
      </c>
      <c r="M2977" s="1252">
        <f>B2983</f>
        <v>0</v>
      </c>
    </row>
    <row r="2978" spans="1:13" ht="14.55" customHeight="1" x14ac:dyDescent="0.3">
      <c r="A2978" s="1258" t="s">
        <v>176</v>
      </c>
      <c r="B2978" s="719"/>
      <c r="C2978" s="720" t="s">
        <v>177</v>
      </c>
      <c r="D2978" s="464">
        <f>IF(C2978="°C",B2978,0)+IF(C2978="°F",(B2978-32)*5/9,0)</f>
        <v>0</v>
      </c>
      <c r="E2978" s="460" t="s">
        <v>177</v>
      </c>
      <c r="F2978" s="462"/>
      <c r="G2978" s="460"/>
      <c r="H2978" s="460"/>
      <c r="I2978" s="1259"/>
      <c r="K2978" s="477" t="s">
        <v>178</v>
      </c>
      <c r="L2978" s="477" t="str">
        <f>K2972&amp;"."&amp;K2978</f>
        <v>23.Inside Diameter</v>
      </c>
      <c r="M2978" s="1252">
        <f>IF(B2996=0,F2996,B2996)</f>
        <v>0</v>
      </c>
    </row>
    <row r="2979" spans="1:13" ht="14.55" customHeight="1" x14ac:dyDescent="0.3">
      <c r="A2979" s="1258" t="s">
        <v>179</v>
      </c>
      <c r="B2979" s="721"/>
      <c r="C2979" s="720" t="s">
        <v>180</v>
      </c>
      <c r="D2979" s="452">
        <f>IF(C2979="barg",B2979,0)+IF(C2979="psig",B2979*List!$AV$4,0)+IF(C2979="MPa",B2979*List!$AV$5,0)+IF(C2979="N/mm2",B2979*List!$AV$6,0)</f>
        <v>0</v>
      </c>
      <c r="E2979" s="460" t="s">
        <v>180</v>
      </c>
      <c r="F2979" s="460"/>
      <c r="G2979" s="460"/>
      <c r="H2979" s="460"/>
      <c r="I2979" s="1259"/>
      <c r="K2979" s="477" t="s">
        <v>181</v>
      </c>
      <c r="L2979" s="477" t="str">
        <f>K2972&amp;"."&amp;K2979</f>
        <v>23.Tan / Tan</v>
      </c>
      <c r="M2979" s="1252">
        <f>IF(B2998=0,F2998,B2998)</f>
        <v>0</v>
      </c>
    </row>
    <row r="2980" spans="1:13" ht="14.55" customHeight="1" x14ac:dyDescent="0.3">
      <c r="A2980" s="1258" t="s">
        <v>182</v>
      </c>
      <c r="B2980" s="721"/>
      <c r="C2980" s="720" t="s">
        <v>180</v>
      </c>
      <c r="D2980" s="452">
        <f>IF(C2980="barg",B2980,0)+IF(C2980="psig",B2980*List!$AV$4,0)+IF(C2980="MPa",B2980*List!$AV$5,0)+IF(C2980="N/mm2",B2980*List!$AV$6,0)</f>
        <v>0</v>
      </c>
      <c r="E2980" s="460" t="s">
        <v>180</v>
      </c>
      <c r="F2980" s="460"/>
      <c r="G2980" s="465"/>
      <c r="H2980" s="460"/>
      <c r="I2980" s="1259"/>
      <c r="K2980" s="477" t="s">
        <v>183</v>
      </c>
      <c r="L2980" s="477" t="str">
        <f>K2972&amp;"."&amp;K2980</f>
        <v>23.Thickness</v>
      </c>
      <c r="M2980" s="1252" t="e">
        <f>IF(B3037=0,F3041,B3037)</f>
        <v>#N/A</v>
      </c>
    </row>
    <row r="2981" spans="1:13" ht="14.55" customHeight="1" x14ac:dyDescent="0.3">
      <c r="A2981" s="1258"/>
      <c r="B2981" s="459"/>
      <c r="C2981" s="459"/>
      <c r="D2981" s="460"/>
      <c r="E2981" s="460"/>
      <c r="F2981" s="460"/>
      <c r="G2981" s="465"/>
      <c r="H2981" s="460"/>
      <c r="I2981" s="1259"/>
      <c r="K2981" s="477" t="s">
        <v>184</v>
      </c>
      <c r="L2981" s="477" t="str">
        <f>K2972&amp;"."&amp;K2981</f>
        <v>23.Unit Weight</v>
      </c>
      <c r="M2981" s="1252">
        <f>B3090</f>
        <v>0</v>
      </c>
    </row>
    <row r="2982" spans="1:13" ht="14.55" customHeight="1" x14ac:dyDescent="0.3">
      <c r="A2982" s="1260" t="s">
        <v>185</v>
      </c>
      <c r="B2982" s="459" t="s">
        <v>186</v>
      </c>
      <c r="C2982" s="459"/>
      <c r="D2982" s="460"/>
      <c r="E2982" s="460"/>
      <c r="F2982" s="460" t="s">
        <v>187</v>
      </c>
      <c r="G2982" s="465"/>
      <c r="H2982" s="460"/>
      <c r="I2982" s="1259"/>
      <c r="K2982" s="478" t="s">
        <v>188</v>
      </c>
      <c r="L2982" s="477" t="str">
        <f>K2972&amp;"."&amp;K2982</f>
        <v>23.Unit External Surface</v>
      </c>
      <c r="M2982" s="1252" t="e">
        <f>B3086</f>
        <v>#N/A</v>
      </c>
    </row>
    <row r="2983" spans="1:13" ht="14.55" customHeight="1" x14ac:dyDescent="0.3">
      <c r="A2983" s="1258" t="s">
        <v>189</v>
      </c>
      <c r="B2983" s="1716"/>
      <c r="C2983" s="1717"/>
      <c r="D2983" s="460"/>
      <c r="E2983" s="461"/>
      <c r="F2983" s="1716"/>
      <c r="G2983" s="1717"/>
      <c r="H2983" s="460"/>
      <c r="I2983" s="1259"/>
      <c r="K2983" s="477" t="s">
        <v>191</v>
      </c>
      <c r="L2983" s="477" t="str">
        <f>K2972&amp;"."&amp;K2983</f>
        <v>23.M1 DN</v>
      </c>
      <c r="M2983" s="1252">
        <f>C3104</f>
        <v>0</v>
      </c>
    </row>
    <row r="2984" spans="1:13" ht="14.55" customHeight="1" x14ac:dyDescent="0.3">
      <c r="A2984" s="1258" t="s">
        <v>192</v>
      </c>
      <c r="B2984" s="1716"/>
      <c r="C2984" s="1717"/>
      <c r="D2984" s="460"/>
      <c r="E2984" s="461"/>
      <c r="F2984" s="1716"/>
      <c r="G2984" s="1717"/>
      <c r="H2984" s="460"/>
      <c r="I2984" s="1259"/>
      <c r="K2984" s="477" t="s">
        <v>193</v>
      </c>
      <c r="L2984" s="477" t="str">
        <f>K2972&amp;"."&amp;K2984</f>
        <v>23.M1 Rating</v>
      </c>
      <c r="M2984" s="1252">
        <f>D3104</f>
        <v>0</v>
      </c>
    </row>
    <row r="2985" spans="1:13" ht="14.55" customHeight="1" x14ac:dyDescent="0.3">
      <c r="A2985" s="1258"/>
      <c r="B2985" s="466"/>
      <c r="C2985" s="466"/>
      <c r="D2985" s="460"/>
      <c r="E2985" s="460"/>
      <c r="F2985" s="460"/>
      <c r="G2985" s="460"/>
      <c r="H2985" s="460"/>
      <c r="I2985" s="1259"/>
      <c r="K2985" s="477" t="s">
        <v>194</v>
      </c>
      <c r="L2985" s="477" t="str">
        <f>K2972&amp;"."&amp;K2985</f>
        <v>23.M1 Type</v>
      </c>
      <c r="M2985" s="1252">
        <f>E3104</f>
        <v>0</v>
      </c>
    </row>
    <row r="2986" spans="1:13" ht="14.55" customHeight="1" x14ac:dyDescent="0.3">
      <c r="A2986" s="1258" t="s">
        <v>195</v>
      </c>
      <c r="B2986" s="460"/>
      <c r="C2986" s="460"/>
      <c r="D2986" s="460"/>
      <c r="E2986" s="460"/>
      <c r="F2986" s="460"/>
      <c r="G2986" s="460"/>
      <c r="H2986" s="460"/>
      <c r="I2986" s="1259"/>
      <c r="K2986" s="477" t="s">
        <v>196</v>
      </c>
      <c r="L2986" s="477" t="str">
        <f>K2972&amp;"."&amp;K2986</f>
        <v>23.M1 Quantity</v>
      </c>
      <c r="M2986" s="1252">
        <f>F3104</f>
        <v>0</v>
      </c>
    </row>
    <row r="2987" spans="1:13" ht="14.55" customHeight="1" x14ac:dyDescent="0.3">
      <c r="A2987" s="1258" t="s">
        <v>197</v>
      </c>
      <c r="B2987" s="464" t="e">
        <f>$D2978*(VLOOKUP($B2983,'ASME II Tab 1A'!$1:$1048576,MATCH($D2978,'ASME II Tab 1A'!$6:$6,1)+1,0)-VLOOKUP($B2983,'ASME II Tab 1A'!$1:$1048576,MATCH($D2978,'ASME II Tab 1A'!$6:$6,1),0))/(INDEX('ASME II Tab 1A'!$6:$6,MATCH($D2978,'ASME II Tab 1A'!$6:$6,1)+1)-INDEX('ASME II Tab 1A'!$6:$6,MATCH($D2978,'ASME II Tab 1A'!$6:$6,1)))+VLOOKUP($B2983,'ASME II Tab 1A'!$1:$1048576,MATCH($D2978,'ASME II Tab 1A'!$6:$6,1)+1,0)-INDEX('ASME II Tab 1A'!$6:$6,MATCH($D2978,'ASME II Tab 1A'!$6:$6,1)+1)*(VLOOKUP($B2983,'ASME II Tab 1A'!$1:$1048576,MATCH($D2978,'ASME II Tab 1A'!$6:$6,1)+1,0)-VLOOKUP($B2983,'ASME II Tab 1A'!$1:$1048576,MATCH($D2978,'ASME II Tab 1A'!$6:$6,1),0))/(INDEX('ASME II Tab 1A'!$6:$6,MATCH($D2978,'ASME II Tab 1A'!$6:$6,1)+1)-INDEX('ASME II Tab 1A'!$6:$6,MATCH($D2978,'ASME II Tab 1A'!$6:$6,1)))</f>
        <v>#N/A</v>
      </c>
      <c r="C2987" s="460" t="s">
        <v>198</v>
      </c>
      <c r="D2987" s="460"/>
      <c r="E2987" s="467"/>
      <c r="F2987" s="460" t="e">
        <f>$D2978*(VLOOKUP($F2983,'ASME II Tab 1A'!$1:$1048576,MATCH($D2978,'ASME II Tab 1A'!$6:$6,1)+1,0)-VLOOKUP($F2983,'ASME II Tab 1A'!$1:$1048576,MATCH($D2978,'ASME II Tab 1A'!$6:$6,1),0))/(INDEX('ASME II Tab 1A'!$6:$6,MATCH($D2978,'ASME II Tab 1A'!$6:$6,1)+1)-INDEX('ASME II Tab 1A'!$6:$6,MATCH($D2978,'ASME II Tab 1A'!$6:$6,1)))+VLOOKUP($F2983,'ASME II Tab 1A'!$1:$1048576,MATCH($D2978,'ASME II Tab 1A'!$6:$6,1)+1,0)-INDEX('ASME II Tab 1A'!$6:$6,MATCH($D2978,'ASME II Tab 1A'!$6:$6,1)+1)*(VLOOKUP($F2983,'ASME II Tab 1A'!$1:$1048576,MATCH($D2978,'ASME II Tab 1A'!$6:$6,1)+1,0)-VLOOKUP($F2983,'ASME II Tab 1A'!$1:$1048576,MATCH($D2978,'ASME II Tab 1A'!$6:$6,1),0))/(INDEX('ASME II Tab 1A'!$6:$6,MATCH($D2978,'ASME II Tab 1A'!$6:$6,1)+1)-INDEX('ASME II Tab 1A'!$6:$6,MATCH($D2978,'ASME II Tab 1A'!$6:$6,1)))</f>
        <v>#N/A</v>
      </c>
      <c r="G2987" s="460" t="s">
        <v>198</v>
      </c>
      <c r="H2987" s="460"/>
      <c r="I2987" s="1259"/>
      <c r="K2987" s="477" t="s">
        <v>199</v>
      </c>
      <c r="L2987" s="477" t="str">
        <f>K2972&amp;"."&amp;K2987</f>
        <v>23.M2 DN</v>
      </c>
      <c r="M2987" s="1252">
        <f>C3105</f>
        <v>0</v>
      </c>
    </row>
    <row r="2988" spans="1:13" ht="14.55" customHeight="1" x14ac:dyDescent="0.3">
      <c r="A2988" s="1258" t="s">
        <v>200</v>
      </c>
      <c r="B2988" s="464" t="e">
        <f>$D2978*(VLOOKUP($B2984,'ASME II Tab 1A'!$1:$1048576,MATCH($D2978,'ASME II Tab 1A'!$6:$6,1)+1,0)-VLOOKUP($B2984,'ASME II Tab 1A'!$1:$1048576,MATCH($D2978,'ASME II Tab 1A'!$6:$6,1),0))/(INDEX('ASME II Tab 1A'!$6:$6,MATCH($D2978,'ASME II Tab 1A'!$6:$6,1)+1)-INDEX('ASME II Tab 1A'!$6:$6,MATCH($D2978,'ASME II Tab 1A'!$6:$6,1)))+VLOOKUP($B2984,'ASME II Tab 1A'!$1:$1048576,MATCH($D2978,'ASME II Tab 1A'!$6:$6,1)+1,0)-INDEX('ASME II Tab 1A'!$6:$6,MATCH($D2978,'ASME II Tab 1A'!$6:$6,1)+1)*(VLOOKUP($B2984,'ASME II Tab 1A'!$1:$1048576,MATCH($D2978,'ASME II Tab 1A'!$6:$6,1)+1,0)-VLOOKUP($B2984,'ASME II Tab 1A'!$1:$1048576,MATCH($D2978,'ASME II Tab 1A'!$6:$6,1),0))/(INDEX('ASME II Tab 1A'!$6:$6,MATCH($D2978,'ASME II Tab 1A'!$6:$6,1)+1)-INDEX('ASME II Tab 1A'!$6:$6,MATCH($D2978,'ASME II Tab 1A'!$6:$6,1)))</f>
        <v>#N/A</v>
      </c>
      <c r="C2988" s="460" t="s">
        <v>198</v>
      </c>
      <c r="D2988" s="460"/>
      <c r="E2988" s="460"/>
      <c r="F2988" s="460" t="e">
        <f>$D2978*(VLOOKUP($F2984,'ASME II Tab 1A'!$1:$1048576,MATCH($D2978,'ASME II Tab 1A'!$6:$6,1)+1,0)-VLOOKUP($F2984,'ASME II Tab 1A'!$1:$1048576,MATCH($D2978,'ASME II Tab 1A'!$6:$6,1),0))/(INDEX('ASME II Tab 1A'!$6:$6,MATCH($D2978,'ASME II Tab 1A'!$6:$6,1)+1)-INDEX('ASME II Tab 1A'!$6:$6,MATCH($D2978,'ASME II Tab 1A'!$6:$6,1)))+VLOOKUP($F2984,'ASME II Tab 1A'!$1:$1048576,MATCH($D2978,'ASME II Tab 1A'!$6:$6,1)+1,0)-INDEX('ASME II Tab 1A'!$6:$6,MATCH($D2978,'ASME II Tab 1A'!$6:$6,1)+1)*(VLOOKUP($F2984,'ASME II Tab 1A'!$1:$1048576,MATCH($D2978,'ASME II Tab 1A'!$6:$6,1)+1,0)-VLOOKUP($F2984,'ASME II Tab 1A'!$1:$1048576,MATCH($D2978,'ASME II Tab 1A'!$6:$6,1),0))/(INDEX('ASME II Tab 1A'!$6:$6,MATCH($D2978,'ASME II Tab 1A'!$6:$6,1)+1)-INDEX('ASME II Tab 1A'!$6:$6,MATCH($D2978,'ASME II Tab 1A'!$6:$6,1)))</f>
        <v>#N/A</v>
      </c>
      <c r="G2988" s="460" t="s">
        <v>198</v>
      </c>
      <c r="H2988" s="460"/>
      <c r="I2988" s="1259"/>
      <c r="K2988" s="477" t="s">
        <v>201</v>
      </c>
      <c r="L2988" s="477" t="str">
        <f>K2972&amp;"."&amp;K2988</f>
        <v>23.M2 Rating</v>
      </c>
      <c r="M2988" s="1252">
        <f>D3105</f>
        <v>0</v>
      </c>
    </row>
    <row r="2989" spans="1:13" ht="14.55" customHeight="1" x14ac:dyDescent="0.3">
      <c r="A2989" s="1258" t="s">
        <v>202</v>
      </c>
      <c r="B2989" s="460"/>
      <c r="C2989" s="460"/>
      <c r="D2989" s="460"/>
      <c r="E2989" s="460"/>
      <c r="F2989" s="460"/>
      <c r="G2989" s="460"/>
      <c r="H2989" s="460"/>
      <c r="I2989" s="1259"/>
      <c r="K2989" s="477" t="s">
        <v>203</v>
      </c>
      <c r="L2989" s="477" t="str">
        <f>K2972&amp;"."&amp;K2989</f>
        <v>23.M2 Type</v>
      </c>
      <c r="M2989" s="1252">
        <f>E3105</f>
        <v>0</v>
      </c>
    </row>
    <row r="2990" spans="1:13" ht="14.55" customHeight="1" x14ac:dyDescent="0.3">
      <c r="A2990" s="1258" t="s">
        <v>197</v>
      </c>
      <c r="B2990" s="464" t="e">
        <f>$D2978*(VLOOKUP($B2983,'ASME II Tab 5A'!$1:$1048576,MATCH($D2978,'ASME II Tab 5A'!$5:$5,1)+1,0)-VLOOKUP($B2983,'ASME II Tab 5A'!$1:$1048576,MATCH($D2978,'ASME II Tab 5A'!$5:$5,1),0))/(INDEX('ASME II Tab 5A'!$5:$5,MATCH($D2978,'ASME II Tab 5A'!$5:$5,1)+1)-INDEX('ASME II Tab 5A'!$5:$5,MATCH($D2978,'ASME II Tab 5A'!$5:$5,1)))+VLOOKUP($B2983,'ASME II Tab 5A'!$1:$1048576,MATCH($D2978,'ASME II Tab 5A'!$5:$5,1)+1,0)-INDEX('ASME II Tab 5A'!$5:$5,MATCH($D2978,'ASME II Tab 5A'!$5:$5,1)+1)*(VLOOKUP($B2983,'ASME II Tab 5A'!$1:$1048576,MATCH($D2978,'ASME II Tab 5A'!$5:$5,1)+1,0)-VLOOKUP($B2983,'ASME II Tab 5A'!$1:$1048576,MATCH($D2978,'ASME II Tab 5A'!$5:$5,1),0))/(INDEX('ASME II Tab 5A'!$5:$5,MATCH($D2978,'ASME II Tab 5A'!$5:$5,1)+1)-INDEX('ASME II Tab 5A'!$5:$5,MATCH($D2978,'ASME II Tab 5A'!$5:$5,1)))</f>
        <v>#N/A</v>
      </c>
      <c r="C2990" s="460" t="s">
        <v>198</v>
      </c>
      <c r="D2990" s="460"/>
      <c r="E2990" s="460"/>
      <c r="F2990" s="460" t="e">
        <f>$D2978*(VLOOKUP($F2983,'ASME II Tab 5A'!$1:$1048576,MATCH($D2978,'ASME II Tab 5A'!$5:$5,1)+1,0)-VLOOKUP($F2983,'ASME II Tab 5A'!$1:$1048576,MATCH($D2978,'ASME II Tab 5A'!$5:$5,1),0))/(INDEX('ASME II Tab 5A'!$5:$5,MATCH($D2978,'ASME II Tab 5A'!$5:$5,1)+1)-INDEX('ASME II Tab 5A'!$5:$5,MATCH($D2978,'ASME II Tab 5A'!$5:$5,1)))+VLOOKUP($F2983,'ASME II Tab 5A'!$1:$1048576,MATCH($D2978,'ASME II Tab 5A'!$5:$5,1)+1,0)-INDEX('ASME II Tab 5A'!$5:$5,MATCH($D2978,'ASME II Tab 5A'!$5:$5,1)+1)*(VLOOKUP($F2983,'ASME II Tab 5A'!$1:$1048576,MATCH($D2978,'ASME II Tab 5A'!$5:$5,1)+1,0)-VLOOKUP($F2983,'ASME II Tab 5A'!$1:$1048576,MATCH($D2978,'ASME II Tab 5A'!$5:$5,1),0))/(INDEX('ASME II Tab 5A'!$5:$5,MATCH($D2978,'ASME II Tab 5A'!$5:$5,1)+1)-INDEX('ASME II Tab 5A'!$5:$5,MATCH($D2978,'ASME II Tab 5A'!$5:$5,1)))</f>
        <v>#N/A</v>
      </c>
      <c r="G2990" s="460" t="s">
        <v>198</v>
      </c>
      <c r="H2990" s="460"/>
      <c r="I2990" s="1259"/>
      <c r="K2990" s="477" t="s">
        <v>204</v>
      </c>
      <c r="L2990" s="477" t="str">
        <f>K2972&amp;"."&amp;K2990</f>
        <v>23.M2 Quantity</v>
      </c>
      <c r="M2990" s="1252">
        <f>F3105</f>
        <v>0</v>
      </c>
    </row>
    <row r="2991" spans="1:13" ht="14.55" customHeight="1" x14ac:dyDescent="0.3">
      <c r="A2991" s="1258" t="s">
        <v>200</v>
      </c>
      <c r="B2991" s="464" t="e">
        <f>$D2978*(VLOOKUP($B2984,'ASME II Tab 5A'!$1:$1048576,MATCH($D2978,'ASME II Tab 5A'!$5:$5,1)+1,0)-VLOOKUP($B2984,'ASME II Tab 5A'!$1:$1048576,MATCH($D2978,'ASME II Tab 5A'!$5:$5,1),0))/(INDEX('ASME II Tab 5A'!$5:$5,MATCH($D2978,'ASME II Tab 5A'!$5:$5,1)+1)-INDEX('ASME II Tab 5A'!$5:$5,MATCH($D2978,'ASME II Tab 5A'!$5:$5,1)))+VLOOKUP($B2984,'ASME II Tab 5A'!$1:$1048576,MATCH($D2978,'ASME II Tab 5A'!$5:$5,1)+1,0)-INDEX('ASME II Tab 5A'!$5:$5,MATCH($D2978,'ASME II Tab 5A'!$5:$5,1)+1)*(VLOOKUP($B2984,'ASME II Tab 5A'!$1:$1048576,MATCH($D2978,'ASME II Tab 5A'!$5:$5,1)+1,0)-VLOOKUP($B2984,'ASME II Tab 5A'!$1:$1048576,MATCH($D2978,'ASME II Tab 5A'!$5:$5,1),0))/(INDEX('ASME II Tab 5A'!$5:$5,MATCH($D2978,'ASME II Tab 5A'!$5:$5,1)+1)-INDEX('ASME II Tab 5A'!$5:$5,MATCH($D2978,'ASME II Tab 5A'!$5:$5,1)))</f>
        <v>#N/A</v>
      </c>
      <c r="C2991" s="460" t="s">
        <v>198</v>
      </c>
      <c r="D2991" s="460"/>
      <c r="E2991" s="460"/>
      <c r="F2991" s="460" t="e">
        <f>$D2978*(VLOOKUP($F2984,'ASME II Tab 5A'!$1:$1048576,MATCH($D2978,'ASME II Tab 5A'!$5:$5,1)+1,0)-VLOOKUP($F2984,'ASME II Tab 5A'!$1:$1048576,MATCH($D2978,'ASME II Tab 5A'!$5:$5,1),0))/(INDEX('ASME II Tab 5A'!$5:$5,MATCH($D2978,'ASME II Tab 5A'!$5:$5,1)+1)-INDEX('ASME II Tab 5A'!$5:$5,MATCH($D2978,'ASME II Tab 5A'!$5:$5,1)))+VLOOKUP($F2984,'ASME II Tab 5A'!$1:$1048576,MATCH($D2978,'ASME II Tab 5A'!$5:$5,1)+1,0)-INDEX('ASME II Tab 5A'!$5:$5,MATCH($D2978,'ASME II Tab 5A'!$5:$5,1)+1)*(VLOOKUP($F2984,'ASME II Tab 5A'!$1:$1048576,MATCH($D2978,'ASME II Tab 5A'!$5:$5,1)+1,0)-VLOOKUP($F2984,'ASME II Tab 5A'!$1:$1048576,MATCH($D2978,'ASME II Tab 5A'!$5:$5,1),0))/(INDEX('ASME II Tab 5A'!$5:$5,MATCH($D2978,'ASME II Tab 5A'!$5:$5,1)+1)-INDEX('ASME II Tab 5A'!$5:$5,MATCH($D2978,'ASME II Tab 5A'!$5:$5,1)))</f>
        <v>#N/A</v>
      </c>
      <c r="G2991" s="460" t="s">
        <v>198</v>
      </c>
      <c r="H2991" s="460"/>
      <c r="I2991" s="1259"/>
      <c r="K2991" s="477" t="s">
        <v>205</v>
      </c>
      <c r="L2991" s="477" t="str">
        <f>K2972&amp;"."&amp;K2991</f>
        <v>23.M3 DN</v>
      </c>
      <c r="M2991" s="1252">
        <f>C3106</f>
        <v>0</v>
      </c>
    </row>
    <row r="2992" spans="1:13" ht="14.55" customHeight="1" x14ac:dyDescent="0.3">
      <c r="A2992" s="1258"/>
      <c r="B2992" s="460"/>
      <c r="C2992" s="460"/>
      <c r="D2992" s="460"/>
      <c r="E2992" s="460"/>
      <c r="F2992" s="460"/>
      <c r="G2992" s="460"/>
      <c r="H2992" s="460"/>
      <c r="I2992" s="1259"/>
      <c r="K2992" s="477" t="s">
        <v>206</v>
      </c>
      <c r="L2992" s="477" t="str">
        <f>K2972&amp;"."&amp;K2992</f>
        <v>23.M3 Rating</v>
      </c>
      <c r="M2992" s="1252">
        <f>D3106</f>
        <v>0</v>
      </c>
    </row>
    <row r="2993" spans="1:13" ht="14.55" customHeight="1" x14ac:dyDescent="0.3">
      <c r="A2993" s="1260" t="s">
        <v>207</v>
      </c>
      <c r="B2993" s="453"/>
      <c r="C2993" s="460"/>
      <c r="D2993" s="453"/>
      <c r="E2993" s="460"/>
      <c r="F2993" s="453"/>
      <c r="G2993" s="460"/>
      <c r="H2993" s="460"/>
      <c r="I2993" s="1259"/>
      <c r="K2993" s="477" t="s">
        <v>208</v>
      </c>
      <c r="L2993" s="477" t="str">
        <f>K2972&amp;"."&amp;K2993</f>
        <v>23.M3 Type</v>
      </c>
      <c r="M2993" s="1252">
        <f>E3106</f>
        <v>0</v>
      </c>
    </row>
    <row r="2994" spans="1:13" ht="14.55" customHeight="1" x14ac:dyDescent="0.3">
      <c r="A2994" s="1260"/>
      <c r="B2994" s="305" t="s">
        <v>209</v>
      </c>
      <c r="C2994" s="460"/>
      <c r="D2994" s="305" t="s">
        <v>210</v>
      </c>
      <c r="E2994" s="460"/>
      <c r="F2994" s="305" t="s">
        <v>211</v>
      </c>
      <c r="G2994" s="460"/>
      <c r="H2994" s="460"/>
      <c r="I2994" s="1259"/>
      <c r="K2994" s="477" t="s">
        <v>212</v>
      </c>
      <c r="L2994" s="477" t="str">
        <f>K2972&amp;"."&amp;K2994</f>
        <v>23.M3 Quantity</v>
      </c>
      <c r="M2994" s="1252">
        <f>F3106</f>
        <v>0</v>
      </c>
    </row>
    <row r="2995" spans="1:13" ht="14.55" customHeight="1" x14ac:dyDescent="0.3">
      <c r="A2995" s="1258" t="s">
        <v>213</v>
      </c>
      <c r="B2995" s="305"/>
      <c r="C2995" s="460"/>
      <c r="D2995" s="305"/>
      <c r="E2995" s="460"/>
      <c r="F2995" s="723"/>
      <c r="G2995" s="460" t="s">
        <v>214</v>
      </c>
      <c r="H2995" s="460"/>
      <c r="I2995" s="1259"/>
      <c r="K2995" s="477" t="s">
        <v>215</v>
      </c>
      <c r="L2995" s="477" t="str">
        <f>K2972&amp;"."&amp;K2995</f>
        <v>23.Shell insulation thk 1</v>
      </c>
      <c r="M2995" s="1252">
        <f>B3043</f>
        <v>0</v>
      </c>
    </row>
    <row r="2996" spans="1:13" ht="14.55" customHeight="1" x14ac:dyDescent="0.3">
      <c r="A2996" s="1258" t="s">
        <v>216</v>
      </c>
      <c r="B2996" s="722"/>
      <c r="C2996" s="460" t="s">
        <v>93</v>
      </c>
      <c r="D2996" s="722"/>
      <c r="E2996" s="460" t="s">
        <v>93</v>
      </c>
      <c r="F2996" s="468">
        <f>F2997-2*F3041</f>
        <v>0</v>
      </c>
      <c r="G2996" s="460" t="s">
        <v>93</v>
      </c>
      <c r="H2996" s="460"/>
      <c r="I2996" s="1259"/>
      <c r="K2996" s="477" t="s">
        <v>217</v>
      </c>
      <c r="L2996" s="477" t="str">
        <f>K2972&amp;"."&amp;K2996</f>
        <v>23.Head insulation thk 1</v>
      </c>
      <c r="M2996" s="1252">
        <f>B3044</f>
        <v>0</v>
      </c>
    </row>
    <row r="2997" spans="1:13" ht="14.55" customHeight="1" x14ac:dyDescent="0.3">
      <c r="A2997" s="1258" t="s">
        <v>218</v>
      </c>
      <c r="B2997" s="468" t="e">
        <f>B2996+B3037*2</f>
        <v>#N/A</v>
      </c>
      <c r="C2997" s="460" t="s">
        <v>93</v>
      </c>
      <c r="D2997" s="468" t="e">
        <f>D2996+D3037*2</f>
        <v>#N/A</v>
      </c>
      <c r="E2997" s="460" t="s">
        <v>93</v>
      </c>
      <c r="F2997" s="468">
        <f>IFERROR(VLOOKUP(F2995,'Thickness Tab'!$1:$1048576,3,0),0)</f>
        <v>0</v>
      </c>
      <c r="G2997" s="460" t="s">
        <v>93</v>
      </c>
      <c r="H2997" s="469"/>
      <c r="I2997" s="1261"/>
      <c r="K2997" s="477" t="s">
        <v>219</v>
      </c>
      <c r="L2997" s="477" t="str">
        <f>K2972&amp;"."&amp;K2997</f>
        <v>23.Reducer insulation thk 1</v>
      </c>
      <c r="M2997" s="1252">
        <f>B3045</f>
        <v>0</v>
      </c>
    </row>
    <row r="2998" spans="1:13" ht="14.55" customHeight="1" x14ac:dyDescent="0.3">
      <c r="A2998" s="1258" t="s">
        <v>181</v>
      </c>
      <c r="B2998" s="722"/>
      <c r="C2998" s="460" t="s">
        <v>93</v>
      </c>
      <c r="D2998" s="722"/>
      <c r="E2998" s="460" t="s">
        <v>93</v>
      </c>
      <c r="F2998" s="722"/>
      <c r="G2998" s="460" t="s">
        <v>93</v>
      </c>
      <c r="H2998" s="460"/>
      <c r="I2998" s="1259"/>
      <c r="K2998" s="477" t="s">
        <v>220</v>
      </c>
      <c r="L2998" s="477" t="str">
        <f>K2972&amp;"."&amp;K2998</f>
        <v>23.Shell insulation area 1</v>
      </c>
      <c r="M2998" s="1252" t="e">
        <f>B3003</f>
        <v>#N/A</v>
      </c>
    </row>
    <row r="2999" spans="1:13" ht="14.55" customHeight="1" x14ac:dyDescent="0.3">
      <c r="A2999" s="1258" t="s">
        <v>221</v>
      </c>
      <c r="B2999" s="468" t="e">
        <f>(PI()*B2998*(((B2997/2)^2)-((B2996/2)^2))*7860)/1000000000*1.05</f>
        <v>#N/A</v>
      </c>
      <c r="C2999" s="460" t="s">
        <v>222</v>
      </c>
      <c r="D2999" s="468" t="e">
        <f>(PI()*D2998*(((D2997/2)^2)-((D2996/2)^2))*7860)/1000000000*1.05</f>
        <v>#N/A</v>
      </c>
      <c r="E2999" s="460" t="s">
        <v>222</v>
      </c>
      <c r="F2999" s="468">
        <f>(PI()*F2998*(((F2997/2)^2)-((F2996/2)^2))*7860)/1000000000*1.05</f>
        <v>0</v>
      </c>
      <c r="G2999" s="460" t="s">
        <v>222</v>
      </c>
      <c r="H2999" s="469"/>
      <c r="I2999" s="1261"/>
      <c r="K2999" s="477" t="s">
        <v>223</v>
      </c>
      <c r="L2999" s="477" t="str">
        <f>K2972&amp;"."&amp;K2999</f>
        <v>23.Head insulation area 1</v>
      </c>
      <c r="M2999" s="1252" t="e">
        <f>B3015</f>
        <v>#N/A</v>
      </c>
    </row>
    <row r="3000" spans="1:13" ht="14.55" customHeight="1" x14ac:dyDescent="0.3">
      <c r="A3000" s="1258" t="s">
        <v>224</v>
      </c>
      <c r="B3000" s="468">
        <f>(PI()*((B2996/2)^2)*B2998)/1000000000</f>
        <v>0</v>
      </c>
      <c r="C3000" s="460" t="s">
        <v>225</v>
      </c>
      <c r="D3000" s="468">
        <f>(PI()*((D2996/2)^2)*D2998)/1000000000</f>
        <v>0</v>
      </c>
      <c r="E3000" s="460" t="s">
        <v>225</v>
      </c>
      <c r="F3000" s="468">
        <f>(PI()*((F2996/2)^2)*F2998)/1000000000</f>
        <v>0</v>
      </c>
      <c r="G3000" s="460" t="s">
        <v>225</v>
      </c>
      <c r="H3000" s="469"/>
      <c r="I3000" s="1261"/>
      <c r="K3000" s="477" t="s">
        <v>226</v>
      </c>
      <c r="L3000" s="477" t="str">
        <f>K2972&amp;"."&amp;K3000</f>
        <v>23.Reducer insulation area 1</v>
      </c>
      <c r="M3000" s="1252" t="e">
        <f>B3028</f>
        <v>#N/A</v>
      </c>
    </row>
    <row r="3001" spans="1:13" ht="14.55" customHeight="1" x14ac:dyDescent="0.3">
      <c r="A3001" s="1258" t="s">
        <v>227</v>
      </c>
      <c r="B3001" s="468" t="e">
        <f>(B2997*3.14*B2998)/1000000</f>
        <v>#N/A</v>
      </c>
      <c r="C3001" s="460" t="s">
        <v>228</v>
      </c>
      <c r="D3001" s="468" t="e">
        <f>(D2997*3.14*D2998)/1000000</f>
        <v>#N/A</v>
      </c>
      <c r="E3001" s="460" t="s">
        <v>228</v>
      </c>
      <c r="F3001" s="468">
        <f>(F2997*3.14*F2998)/1000000</f>
        <v>0</v>
      </c>
      <c r="G3001" s="460" t="s">
        <v>228</v>
      </c>
      <c r="H3001" s="469"/>
      <c r="I3001" s="1261"/>
      <c r="K3001" s="477" t="s">
        <v>229</v>
      </c>
      <c r="L3001" s="477" t="str">
        <f>K2972&amp;"."&amp;K3001</f>
        <v>23.Shell insulation thk 2</v>
      </c>
      <c r="M3001" s="1252">
        <f>D3043</f>
        <v>0</v>
      </c>
    </row>
    <row r="3002" spans="1:13" ht="14.55" customHeight="1" x14ac:dyDescent="0.3">
      <c r="A3002" s="1258" t="s">
        <v>230</v>
      </c>
      <c r="B3002" s="468" t="e">
        <f>B2997+2*B3043</f>
        <v>#N/A</v>
      </c>
      <c r="C3002" s="460" t="s">
        <v>93</v>
      </c>
      <c r="D3002" s="468" t="e">
        <f>D2997+2*D3043</f>
        <v>#N/A</v>
      </c>
      <c r="E3002" s="460" t="s">
        <v>93</v>
      </c>
      <c r="F3002" s="468">
        <f>F2997+2*F3043</f>
        <v>0</v>
      </c>
      <c r="G3002" s="460" t="s">
        <v>93</v>
      </c>
      <c r="H3002" s="469"/>
      <c r="I3002" s="1261"/>
      <c r="K3002" s="477" t="s">
        <v>231</v>
      </c>
      <c r="L3002" s="477" t="str">
        <f>K2972&amp;"."&amp;K3002</f>
        <v>23.Head insulation thk 2</v>
      </c>
      <c r="M3002" s="1252">
        <f>D3044</f>
        <v>0</v>
      </c>
    </row>
    <row r="3003" spans="1:13" ht="14.55" customHeight="1" x14ac:dyDescent="0.3">
      <c r="A3003" s="1258" t="s">
        <v>232</v>
      </c>
      <c r="B3003" s="468" t="e">
        <f>(B3002*3.14*B2998)/1000000</f>
        <v>#N/A</v>
      </c>
      <c r="C3003" s="460" t="s">
        <v>228</v>
      </c>
      <c r="D3003" s="468" t="e">
        <f>(D3002*3.14*D2998)/1000000</f>
        <v>#N/A</v>
      </c>
      <c r="E3003" s="460" t="s">
        <v>228</v>
      </c>
      <c r="F3003" s="468">
        <f>(F3002*3.14*F2998)/1000000</f>
        <v>0</v>
      </c>
      <c r="G3003" s="460" t="s">
        <v>228</v>
      </c>
      <c r="H3003" s="469"/>
      <c r="I3003" s="1261"/>
      <c r="K3003" s="477" t="s">
        <v>233</v>
      </c>
      <c r="L3003" s="477" t="str">
        <f>K2972&amp;"."&amp;K3003</f>
        <v>23.Reducer insulation thk 2</v>
      </c>
      <c r="M3003" s="1252">
        <f>D3045</f>
        <v>0</v>
      </c>
    </row>
    <row r="3004" spans="1:13" ht="14.55" customHeight="1" x14ac:dyDescent="0.3">
      <c r="A3004" s="1258"/>
      <c r="B3004" s="468"/>
      <c r="C3004" s="460"/>
      <c r="D3004" s="468"/>
      <c r="E3004" s="460"/>
      <c r="F3004" s="468"/>
      <c r="G3004" s="460"/>
      <c r="H3004" s="469"/>
      <c r="I3004" s="1261"/>
      <c r="K3004" s="477" t="s">
        <v>234</v>
      </c>
      <c r="L3004" s="477" t="str">
        <f>K2972&amp;"."&amp;K3004</f>
        <v>23.Shell insulation area 2</v>
      </c>
      <c r="M3004" s="1252" t="e">
        <f>D3003</f>
        <v>#N/A</v>
      </c>
    </row>
    <row r="3005" spans="1:13" ht="14.55" customHeight="1" x14ac:dyDescent="0.3">
      <c r="A3005" s="1258"/>
      <c r="B3005" s="468" t="s">
        <v>235</v>
      </c>
      <c r="C3005" s="460"/>
      <c r="D3005" s="468" t="s">
        <v>236</v>
      </c>
      <c r="E3005" s="460"/>
      <c r="F3005" s="468" t="s">
        <v>237</v>
      </c>
      <c r="G3005" s="460"/>
      <c r="H3005" s="469"/>
      <c r="I3005" s="1261"/>
      <c r="K3005" s="477" t="s">
        <v>238</v>
      </c>
      <c r="L3005" s="477" t="str">
        <f>K2972&amp;"."&amp;K3005</f>
        <v>23.Head insulation area 2</v>
      </c>
      <c r="M3005" s="1252" t="e">
        <f>D3015</f>
        <v>#N/A</v>
      </c>
    </row>
    <row r="3006" spans="1:13" ht="14.55" customHeight="1" x14ac:dyDescent="0.3">
      <c r="A3006" s="1258" t="s">
        <v>239</v>
      </c>
      <c r="B3006" s="468">
        <f>B2996</f>
        <v>0</v>
      </c>
      <c r="C3006" s="460" t="s">
        <v>93</v>
      </c>
      <c r="D3006" s="468">
        <f>D2996</f>
        <v>0</v>
      </c>
      <c r="E3006" s="460" t="s">
        <v>93</v>
      </c>
      <c r="F3006" s="468">
        <f>F2996</f>
        <v>0</v>
      </c>
      <c r="G3006" s="460" t="s">
        <v>93</v>
      </c>
      <c r="H3006" s="469"/>
      <c r="I3006" s="1261"/>
      <c r="K3006" s="477" t="s">
        <v>240</v>
      </c>
      <c r="L3006" s="477" t="str">
        <f>K2972&amp;"."&amp;K3006</f>
        <v>23.Reducer insulation area 2</v>
      </c>
      <c r="M3006" s="1252">
        <f>D3028</f>
        <v>0</v>
      </c>
    </row>
    <row r="3007" spans="1:13" ht="14.55" customHeight="1" x14ac:dyDescent="0.3">
      <c r="A3007" s="1258" t="s">
        <v>241</v>
      </c>
      <c r="B3007" s="468" t="e">
        <f>B3006+2*B3038</f>
        <v>#N/A</v>
      </c>
      <c r="C3007" s="460" t="s">
        <v>93</v>
      </c>
      <c r="D3007" s="468" t="e">
        <f>D3006+2*D3038</f>
        <v>#N/A</v>
      </c>
      <c r="E3007" s="460" t="s">
        <v>93</v>
      </c>
      <c r="F3007" s="468">
        <f>F3006+2*F3041</f>
        <v>0</v>
      </c>
      <c r="G3007" s="460" t="s">
        <v>93</v>
      </c>
      <c r="H3007" s="469"/>
      <c r="I3007" s="1261"/>
      <c r="K3007" s="477" t="s">
        <v>242</v>
      </c>
      <c r="L3007" s="477" t="str">
        <f>K2972&amp;"."&amp;K3007</f>
        <v>23.Shell insulation thk 3</v>
      </c>
      <c r="M3007" s="1252">
        <f>F3043</f>
        <v>0</v>
      </c>
    </row>
    <row r="3008" spans="1:13" ht="14.55" customHeight="1" x14ac:dyDescent="0.3">
      <c r="A3008" s="1258" t="s">
        <v>243</v>
      </c>
      <c r="B3008" s="722"/>
      <c r="C3008" s="460" t="s">
        <v>93</v>
      </c>
      <c r="D3008" s="722"/>
      <c r="E3008" s="460" t="s">
        <v>93</v>
      </c>
      <c r="F3008" s="452"/>
      <c r="G3008" s="460"/>
      <c r="H3008" s="469"/>
      <c r="I3008" s="1261"/>
      <c r="K3008" s="477" t="s">
        <v>244</v>
      </c>
      <c r="L3008" s="477" t="str">
        <f>K2972&amp;"."&amp;K3008</f>
        <v>23.Head insulation thk 3</v>
      </c>
      <c r="M3008" s="1252">
        <f>F3044</f>
        <v>0</v>
      </c>
    </row>
    <row r="3009" spans="1:13" ht="14.55" customHeight="1" x14ac:dyDescent="0.3">
      <c r="A3009" s="1258" t="s">
        <v>245</v>
      </c>
      <c r="B3009" s="724"/>
      <c r="C3009" s="460"/>
      <c r="D3009" s="724"/>
      <c r="E3009" s="460"/>
      <c r="F3009" s="724"/>
      <c r="G3009" s="460"/>
      <c r="H3009" s="469"/>
      <c r="I3009" s="1261"/>
      <c r="K3009" s="477" t="s">
        <v>246</v>
      </c>
      <c r="L3009" s="477" t="str">
        <f>K2972&amp;"."&amp;K3009</f>
        <v>23.Reducer insulation thk 3</v>
      </c>
      <c r="M3009" s="1252">
        <f>F3045</f>
        <v>0</v>
      </c>
    </row>
    <row r="3010" spans="1:13" ht="14.55" customHeight="1" x14ac:dyDescent="0.3">
      <c r="A3010" s="1258" t="s">
        <v>247</v>
      </c>
      <c r="B3010" s="468">
        <v>0</v>
      </c>
      <c r="C3010" s="460" t="s">
        <v>93</v>
      </c>
      <c r="D3010" s="468">
        <v>0</v>
      </c>
      <c r="E3010" s="460" t="s">
        <v>93</v>
      </c>
      <c r="F3010" s="468">
        <v>0</v>
      </c>
      <c r="G3010" s="460" t="s">
        <v>93</v>
      </c>
      <c r="H3010" s="469"/>
      <c r="I3010" s="1261"/>
      <c r="K3010" s="477" t="s">
        <v>248</v>
      </c>
      <c r="L3010" s="477" t="str">
        <f>K2972&amp;"."&amp;K3010</f>
        <v>23.Shell insulation area 3</v>
      </c>
      <c r="M3010" s="1252">
        <f>F3003</f>
        <v>0</v>
      </c>
    </row>
    <row r="3011" spans="1:13" ht="14.55" customHeight="1" x14ac:dyDescent="0.3">
      <c r="A3011" s="1258" t="s">
        <v>249</v>
      </c>
      <c r="B3011" s="468" t="e">
        <f>((((POWER(((((B3006+B3039)*1.22)+(B3010*2))/100),2)*PI())/4)*(B3039/100))*7.86)</f>
        <v>#N/A</v>
      </c>
      <c r="C3011" s="460" t="s">
        <v>222</v>
      </c>
      <c r="D3011" s="468" t="e">
        <f>((((POWER(((((D3006+D3039)*1.22)+(D3010*2))/100),2)*PI())/4)*(D3039/100))*7.86)</f>
        <v>#N/A</v>
      </c>
      <c r="E3011" s="460" t="s">
        <v>222</v>
      </c>
      <c r="F3011" s="468">
        <f>IFERROR(VLOOKUP(F2995&amp;"."&amp;F3040,'Fitting Chart'!$1:$1048576,5,0),0)</f>
        <v>0</v>
      </c>
      <c r="G3011" s="460" t="s">
        <v>222</v>
      </c>
      <c r="H3011" s="469"/>
      <c r="I3011" s="1261"/>
      <c r="K3011" s="477" t="s">
        <v>250</v>
      </c>
      <c r="L3011" s="477" t="str">
        <f>K2972&amp;"."&amp;K3011</f>
        <v>23.Head insulation area 3</v>
      </c>
      <c r="M3011" s="1252">
        <f>F3014</f>
        <v>0</v>
      </c>
    </row>
    <row r="3012" spans="1:13" ht="14.55" customHeight="1" x14ac:dyDescent="0.3">
      <c r="A3012" s="1258" t="s">
        <v>251</v>
      </c>
      <c r="B3012" s="468" t="e">
        <f>(((0.131*(B3006^3)*10^-6)+((((B3006/2)^2)*PI()*(((B3006/4)+B3038)-B3038-(B3006/4)))))+((PI()*((B3006/2)^2)*B3010))/1000000)/1000</f>
        <v>#N/A</v>
      </c>
      <c r="C3012" s="460" t="s">
        <v>225</v>
      </c>
      <c r="D3012" s="468" t="e">
        <f>(((0.131*(D3006^3)*10^-6)+((((D3006/2)^2)*PI()*(((D3006/4)+D3038)-D3038-(D3006/4)))))+((PI()*((D3006/2)^2)*D3010))/1000000)/1000</f>
        <v>#N/A</v>
      </c>
      <c r="E3012" s="460" t="s">
        <v>225</v>
      </c>
      <c r="F3012" s="468">
        <f>(((0.131*(F3006^3)*10^-6)+((((F3006/2)^2)*PI()*(((F3006/4)+F3041)-F3041-(F3006/4)))))+((PI()*((F3006/2)^2)*F3010))/1000000)/1000</f>
        <v>0</v>
      </c>
      <c r="G3012" s="460" t="s">
        <v>225</v>
      </c>
      <c r="H3012" s="469"/>
      <c r="I3012" s="1261"/>
      <c r="K3012" s="477" t="s">
        <v>252</v>
      </c>
      <c r="L3012" s="477" t="str">
        <f>K2972&amp;"."&amp;K3012</f>
        <v>23.Reducer insulation area 3</v>
      </c>
      <c r="M3012" s="1252">
        <f>F3028</f>
        <v>0</v>
      </c>
    </row>
    <row r="3013" spans="1:13" ht="14.55" customHeight="1" x14ac:dyDescent="0.3">
      <c r="A3013" s="1258" t="s">
        <v>253</v>
      </c>
      <c r="B3013" s="468" t="e">
        <f>(((B3007*B3008*3.14)+(((B3007/2)^2)*3.14))/1000000)</f>
        <v>#N/A</v>
      </c>
      <c r="C3013" s="460" t="s">
        <v>228</v>
      </c>
      <c r="D3013" s="468" t="e">
        <f>(((D3007*D3008*3.14)+(((D3007/2)^2)*3.14))/1000000)</f>
        <v>#N/A</v>
      </c>
      <c r="E3013" s="460" t="s">
        <v>228</v>
      </c>
      <c r="F3013" s="468">
        <f>(((F3007*F3008*3.14)+(((F3007/2)^2)*3.14))/1000000)</f>
        <v>0</v>
      </c>
      <c r="G3013" s="460" t="s">
        <v>228</v>
      </c>
      <c r="H3013" s="469"/>
      <c r="I3013" s="1261"/>
    </row>
    <row r="3014" spans="1:13" ht="14.55" customHeight="1" x14ac:dyDescent="0.3">
      <c r="A3014" s="1258" t="s">
        <v>254</v>
      </c>
      <c r="B3014" s="468" t="e">
        <f>B3007+2*B3044</f>
        <v>#N/A</v>
      </c>
      <c r="C3014" s="460" t="s">
        <v>93</v>
      </c>
      <c r="D3014" s="468" t="e">
        <f>D3007+2*D3044</f>
        <v>#N/A</v>
      </c>
      <c r="E3014" s="460" t="s">
        <v>93</v>
      </c>
      <c r="F3014" s="468">
        <f>F3007+2*F3044</f>
        <v>0</v>
      </c>
      <c r="G3014" s="460" t="s">
        <v>93</v>
      </c>
      <c r="H3014" s="469"/>
      <c r="I3014" s="1261"/>
    </row>
    <row r="3015" spans="1:13" ht="14.55" customHeight="1" x14ac:dyDescent="0.3">
      <c r="A3015" s="1258" t="s">
        <v>255</v>
      </c>
      <c r="B3015" s="468" t="e">
        <f>(((B3014*B3008*3.14)+(((B3014/2)^2)*3.14))/1000000)</f>
        <v>#N/A</v>
      </c>
      <c r="C3015" s="460" t="s">
        <v>228</v>
      </c>
      <c r="D3015" s="468" t="e">
        <f>(((D3014*D3008*3.14)+(((D3014/2)^2)*3.14))/1000000)</f>
        <v>#N/A</v>
      </c>
      <c r="E3015" s="460" t="s">
        <v>228</v>
      </c>
      <c r="F3015" s="468">
        <f>(((F3014*F3008*3.14)+(((F3014/2)^2)*3.14))/1000000)</f>
        <v>0</v>
      </c>
      <c r="G3015" s="460" t="s">
        <v>228</v>
      </c>
      <c r="H3015" s="469"/>
      <c r="I3015" s="1261"/>
    </row>
    <row r="3016" spans="1:13" ht="14.55" customHeight="1" x14ac:dyDescent="0.3">
      <c r="A3016" s="1258"/>
      <c r="B3016" s="454"/>
      <c r="C3016" s="460"/>
      <c r="D3016" s="454"/>
      <c r="E3016" s="460"/>
      <c r="F3016" s="454"/>
      <c r="G3016" s="460"/>
      <c r="H3016" s="469"/>
      <c r="I3016" s="1261"/>
    </row>
    <row r="3017" spans="1:13" ht="14.55" customHeight="1" x14ac:dyDescent="0.3">
      <c r="A3017" s="1258"/>
      <c r="B3017" s="468" t="s">
        <v>256</v>
      </c>
      <c r="C3017" s="460"/>
      <c r="D3017" s="468" t="s">
        <v>257</v>
      </c>
      <c r="E3017" s="460"/>
      <c r="F3017" s="468" t="s">
        <v>258</v>
      </c>
      <c r="G3017" s="460"/>
      <c r="H3017" s="469"/>
      <c r="I3017" s="1261"/>
    </row>
    <row r="3018" spans="1:13" ht="14.55" customHeight="1" x14ac:dyDescent="0.3">
      <c r="A3018" s="1258" t="s">
        <v>259</v>
      </c>
      <c r="B3018" s="725"/>
      <c r="C3018" s="460" t="s">
        <v>93</v>
      </c>
      <c r="D3018" s="725"/>
      <c r="E3018" s="460" t="s">
        <v>93</v>
      </c>
      <c r="F3018" s="725"/>
      <c r="G3018" s="460" t="s">
        <v>93</v>
      </c>
      <c r="H3018" s="469"/>
      <c r="I3018" s="1261"/>
    </row>
    <row r="3019" spans="1:13" ht="14.55" customHeight="1" x14ac:dyDescent="0.3">
      <c r="A3019" s="1258" t="s">
        <v>260</v>
      </c>
      <c r="B3019" s="725"/>
      <c r="C3019" s="460" t="s">
        <v>93</v>
      </c>
      <c r="D3019" s="725"/>
      <c r="E3019" s="460" t="s">
        <v>93</v>
      </c>
      <c r="F3019" s="725"/>
      <c r="G3019" s="460" t="s">
        <v>93</v>
      </c>
      <c r="H3019" s="469"/>
      <c r="I3019" s="1261"/>
    </row>
    <row r="3020" spans="1:13" ht="14.55" customHeight="1" x14ac:dyDescent="0.3">
      <c r="A3020" s="1258" t="s">
        <v>261</v>
      </c>
      <c r="B3020" s="725"/>
      <c r="C3020" s="460" t="s">
        <v>93</v>
      </c>
      <c r="D3020" s="725"/>
      <c r="E3020" s="460" t="s">
        <v>93</v>
      </c>
      <c r="F3020" s="725"/>
      <c r="G3020" s="460" t="s">
        <v>93</v>
      </c>
      <c r="H3020" s="469"/>
      <c r="I3020" s="1261"/>
    </row>
    <row r="3021" spans="1:13" ht="14.55" customHeight="1" x14ac:dyDescent="0.3">
      <c r="A3021" s="1258" t="s">
        <v>262</v>
      </c>
      <c r="B3021" s="455" t="e">
        <f>B3018+2*B3039</f>
        <v>#N/A</v>
      </c>
      <c r="C3021" s="460" t="s">
        <v>93</v>
      </c>
      <c r="D3021" s="455" t="e">
        <f>D3018+2*D3039</f>
        <v>#N/A</v>
      </c>
      <c r="E3021" s="460" t="s">
        <v>93</v>
      </c>
      <c r="F3021" s="455">
        <f>F3018+2*F3041</f>
        <v>0</v>
      </c>
      <c r="G3021" s="460" t="s">
        <v>93</v>
      </c>
      <c r="H3021" s="469"/>
      <c r="I3021" s="1261"/>
    </row>
    <row r="3022" spans="1:13" ht="14.55" customHeight="1" x14ac:dyDescent="0.3">
      <c r="A3022" s="1258" t="s">
        <v>263</v>
      </c>
      <c r="B3022" s="455" t="e">
        <f>B3019+2*B3039</f>
        <v>#N/A</v>
      </c>
      <c r="C3022" s="460" t="s">
        <v>93</v>
      </c>
      <c r="D3022" s="455" t="e">
        <f>D3019+2*D3039</f>
        <v>#N/A</v>
      </c>
      <c r="E3022" s="460" t="s">
        <v>93</v>
      </c>
      <c r="F3022" s="455">
        <f>F3019+2*F3041</f>
        <v>0</v>
      </c>
      <c r="G3022" s="460" t="s">
        <v>93</v>
      </c>
      <c r="H3022" s="469"/>
      <c r="I3022" s="1261"/>
    </row>
    <row r="3023" spans="1:13" ht="14.55" customHeight="1" x14ac:dyDescent="0.3">
      <c r="A3023" s="1258" t="s">
        <v>264</v>
      </c>
      <c r="B3023" s="453" t="e">
        <f>(((((1/3*PI()*B3020))*((((B3021/2)^2)+(((B3021/2)*(B3022/2)))+((B3022/2)^2))))-(((1/3*PI()*B3020))*((((B3018/2)^2)+(((B3018/2)*(B3019/2)))+((B3019/2)^2)))))*7.86)/1000000</f>
        <v>#N/A</v>
      </c>
      <c r="C3023" s="460" t="s">
        <v>222</v>
      </c>
      <c r="D3023" s="453" t="e">
        <f>(((((1/3*PI()*D3020))*((((D3021/2)^2)+(((D3021/2)*(D3022/2)))+((D3022/2)^2))))-(((1/3*PI()*D3020))*((((D3018/2)^2)+(((D3018/2)*(D3019/2)))+((D3019/2)^2)))))*7.86)/1000000</f>
        <v>#N/A</v>
      </c>
      <c r="E3023" s="460" t="s">
        <v>222</v>
      </c>
      <c r="F3023" s="453">
        <f>(((((1/3*PI()*F3020))*((((F3021/2)^2)+(((F3021/2)*(F3022/2)))+((F3022/2)^2))))-(((1/3*PI()*F3020))*((((F3018/2)^2)+(((F3018/2)*(F3019/2)))+((F3019/2)^2)))))*7.86)/1000000</f>
        <v>0</v>
      </c>
      <c r="G3023" s="460" t="s">
        <v>222</v>
      </c>
      <c r="H3023" s="469"/>
      <c r="I3023" s="1261"/>
    </row>
    <row r="3024" spans="1:13" ht="14.55" customHeight="1" x14ac:dyDescent="0.3">
      <c r="A3024" s="1258" t="s">
        <v>265</v>
      </c>
      <c r="B3024" s="453">
        <f>((1/3*PI()*B3020))*((((B3018/2)^2)+(((B3018/2)*(B3019/2)))+((B3019/2)^2)))/1000000000</f>
        <v>0</v>
      </c>
      <c r="C3024" s="460" t="s">
        <v>225</v>
      </c>
      <c r="D3024" s="453">
        <f>((1/3*PI()*D3020))*((((D3018/2)^2)+(((D3018/2)*(D3019/2)))+((D3019/2)^2)))/1000000000</f>
        <v>0</v>
      </c>
      <c r="E3024" s="460" t="s">
        <v>225</v>
      </c>
      <c r="F3024" s="453">
        <f>((1/3*PI()*F3020))*((((F3018/2)^2)+(((F3018/2)*(F3019/2)))+((F3019/2)^2)))/1000000000</f>
        <v>0</v>
      </c>
      <c r="G3024" s="460" t="s">
        <v>225</v>
      </c>
      <c r="H3024" s="469"/>
      <c r="I3024" s="1261"/>
    </row>
    <row r="3025" spans="1:9" ht="14.55" customHeight="1" x14ac:dyDescent="0.3">
      <c r="A3025" s="1258" t="s">
        <v>266</v>
      </c>
      <c r="B3025" s="453" t="e">
        <f>PI()*(B3021+B3022)/2*SQRT(B3020^2+((B3021-B3022)/2)^2)/1000000</f>
        <v>#N/A</v>
      </c>
      <c r="C3025" s="460" t="s">
        <v>228</v>
      </c>
      <c r="D3025" s="453" t="e">
        <f>PI()*(D3021+D3022)/2*SQRT(D3020^2+((D3021-D3022)/2)^2)/1000000</f>
        <v>#N/A</v>
      </c>
      <c r="E3025" s="460" t="s">
        <v>228</v>
      </c>
      <c r="F3025" s="453">
        <f>PI()*(F3021+F3022)/2*SQRT(F3020^2+((F3021-F3022)/2)^2)/1000000</f>
        <v>0</v>
      </c>
      <c r="G3025" s="460" t="s">
        <v>228</v>
      </c>
      <c r="H3025" s="469"/>
      <c r="I3025" s="1261"/>
    </row>
    <row r="3026" spans="1:9" ht="14.55" customHeight="1" x14ac:dyDescent="0.3">
      <c r="A3026" s="1258" t="s">
        <v>267</v>
      </c>
      <c r="B3026" s="453" t="e">
        <f>B3021+2*B3045</f>
        <v>#N/A</v>
      </c>
      <c r="C3026" s="460" t="s">
        <v>93</v>
      </c>
      <c r="D3026" s="453">
        <f>D3018+2*D3045</f>
        <v>0</v>
      </c>
      <c r="E3026" s="460" t="s">
        <v>93</v>
      </c>
      <c r="F3026" s="453">
        <f>F3018+2*F3045</f>
        <v>0</v>
      </c>
      <c r="G3026" s="460" t="s">
        <v>93</v>
      </c>
      <c r="H3026" s="469"/>
      <c r="I3026" s="1261"/>
    </row>
    <row r="3027" spans="1:9" ht="14.55" customHeight="1" x14ac:dyDescent="0.3">
      <c r="A3027" s="1258" t="s">
        <v>268</v>
      </c>
      <c r="B3027" s="453" t="e">
        <f>B3022+2*B3045</f>
        <v>#N/A</v>
      </c>
      <c r="C3027" s="460" t="s">
        <v>93</v>
      </c>
      <c r="D3027" s="453">
        <f>D3019+2*D3045</f>
        <v>0</v>
      </c>
      <c r="E3027" s="460" t="s">
        <v>93</v>
      </c>
      <c r="F3027" s="453">
        <f>F3019+2*F3045</f>
        <v>0</v>
      </c>
      <c r="G3027" s="460" t="s">
        <v>93</v>
      </c>
      <c r="H3027" s="469"/>
      <c r="I3027" s="1261"/>
    </row>
    <row r="3028" spans="1:9" ht="14.55" customHeight="1" x14ac:dyDescent="0.3">
      <c r="A3028" s="1258" t="s">
        <v>269</v>
      </c>
      <c r="B3028" s="453" t="e">
        <f>PI()*(B3026+B3027)/2*SQRT(B3020^2+((B3026-B3027)/2)^2)/1000000</f>
        <v>#N/A</v>
      </c>
      <c r="C3028" s="460" t="s">
        <v>228</v>
      </c>
      <c r="D3028" s="453">
        <f>PI()*(D3026+D3027)/2*SQRT(D3020^2+((D3026-D3027)/2)^2)/1000000</f>
        <v>0</v>
      </c>
      <c r="E3028" s="460" t="s">
        <v>228</v>
      </c>
      <c r="F3028" s="453">
        <f>PI()*(F3026+F3027)/2*SQRT(F3020^2+((F3026-F3027)/2)^2)/1000000</f>
        <v>0</v>
      </c>
      <c r="G3028" s="460" t="s">
        <v>228</v>
      </c>
      <c r="H3028" s="469"/>
      <c r="I3028" s="1261"/>
    </row>
    <row r="3029" spans="1:9" ht="14.55" customHeight="1" x14ac:dyDescent="0.3">
      <c r="A3029" s="1258"/>
      <c r="B3029" s="453"/>
      <c r="C3029" s="460"/>
      <c r="D3029" s="453"/>
      <c r="E3029" s="460"/>
      <c r="F3029" s="453"/>
      <c r="G3029" s="460"/>
      <c r="H3029" s="460"/>
      <c r="I3029" s="1259"/>
    </row>
    <row r="3030" spans="1:9" ht="14.55" customHeight="1" x14ac:dyDescent="0.3">
      <c r="A3030" s="1258" t="s">
        <v>270</v>
      </c>
      <c r="B3030" s="725"/>
      <c r="C3030" s="460" t="s">
        <v>93</v>
      </c>
      <c r="D3030" s="725"/>
      <c r="E3030" s="460" t="s">
        <v>93</v>
      </c>
      <c r="F3030" s="725"/>
      <c r="G3030" s="460" t="s">
        <v>93</v>
      </c>
      <c r="H3030" s="460"/>
      <c r="I3030" s="1259"/>
    </row>
    <row r="3031" spans="1:9" ht="14.55" customHeight="1" x14ac:dyDescent="0.3">
      <c r="A3031" s="1258" t="s">
        <v>271</v>
      </c>
      <c r="B3031" s="453" t="e">
        <f>((D2979/10)*B2996/2)/(IF(B2974="div.1",B2987,B2990)-0.5*D2979/10)</f>
        <v>#N/A</v>
      </c>
      <c r="C3031" s="460" t="s">
        <v>93</v>
      </c>
      <c r="D3031" s="453" t="e">
        <f>((D2979/10)*D2996/2)/(IF(B2974="div.1",B2987,B2990)-0.5*D2979/10)</f>
        <v>#N/A</v>
      </c>
      <c r="E3031" s="460" t="s">
        <v>93</v>
      </c>
      <c r="F3031" s="453" t="e">
        <f>((D2979/10)*F2996/2)/(IF(B2974="div.1",F2987,F2990)-0.5*D2979/10)</f>
        <v>#N/A</v>
      </c>
      <c r="G3031" s="460" t="s">
        <v>93</v>
      </c>
      <c r="H3031" s="460"/>
      <c r="I3031" s="1259"/>
    </row>
    <row r="3032" spans="1:9" ht="14.55" customHeight="1" x14ac:dyDescent="0.3">
      <c r="A3032" s="1258" t="s">
        <v>272</v>
      </c>
      <c r="B3032" s="453" t="e">
        <f>B3006/2*(EXP(D2979/(10*IF(B2974="div.1",B2988,B2991)))-1)</f>
        <v>#N/A</v>
      </c>
      <c r="C3032" s="460" t="s">
        <v>93</v>
      </c>
      <c r="D3032" s="453" t="e">
        <f>D3006/2*(EXP(D2979/(10*IF(B2974="div.1",B2988,B2991)))-1)</f>
        <v>#N/A</v>
      </c>
      <c r="E3032" s="460" t="s">
        <v>93</v>
      </c>
      <c r="F3032" s="453" t="e">
        <f>F3006/2*(EXP(D2979/(10*IF(B2974="div.1",F2988,F2991)))-1)</f>
        <v>#N/A</v>
      </c>
      <c r="G3032" s="460" t="s">
        <v>93</v>
      </c>
      <c r="H3032" s="460"/>
      <c r="I3032" s="1259"/>
    </row>
    <row r="3033" spans="1:9" ht="14.55" customHeight="1" x14ac:dyDescent="0.3">
      <c r="A3033" s="1258" t="s">
        <v>273</v>
      </c>
      <c r="B3033" s="453" t="e">
        <f>B3018/2*(EXP(D2979/(10*IF(B2974="div.1",B2988,B2991)))-1)</f>
        <v>#N/A</v>
      </c>
      <c r="C3033" s="460" t="s">
        <v>93</v>
      </c>
      <c r="D3033" s="453" t="e">
        <f>D3018/2*(EXP(D2979/(10*IF(B2974="div.1",B2988,B2991)))-1)</f>
        <v>#N/A</v>
      </c>
      <c r="E3033" s="460" t="s">
        <v>93</v>
      </c>
      <c r="F3033" s="453" t="e">
        <f>F3018/2*(EXP(D2979/(10*IF(B2974="div.1",F2988,F2991)))-1)</f>
        <v>#N/A</v>
      </c>
      <c r="G3033" s="460" t="s">
        <v>93</v>
      </c>
      <c r="H3033" s="460"/>
      <c r="I3033" s="1259"/>
    </row>
    <row r="3034" spans="1:9" ht="14.55" customHeight="1" x14ac:dyDescent="0.3">
      <c r="A3034" s="1258" t="s">
        <v>274</v>
      </c>
      <c r="B3034" s="725"/>
      <c r="C3034" s="460" t="s">
        <v>93</v>
      </c>
      <c r="D3034" s="725"/>
      <c r="E3034" s="460" t="s">
        <v>93</v>
      </c>
      <c r="F3034" s="725"/>
      <c r="G3034" s="460" t="s">
        <v>93</v>
      </c>
      <c r="H3034" s="460"/>
      <c r="I3034" s="1259"/>
    </row>
    <row r="3035" spans="1:9" ht="14.55" customHeight="1" x14ac:dyDescent="0.3">
      <c r="A3035" s="1258" t="s">
        <v>275</v>
      </c>
      <c r="B3035" s="725"/>
      <c r="C3035" s="460" t="s">
        <v>93</v>
      </c>
      <c r="D3035" s="725"/>
      <c r="E3035" s="460" t="s">
        <v>93</v>
      </c>
      <c r="F3035" s="725"/>
      <c r="G3035" s="460" t="s">
        <v>93</v>
      </c>
      <c r="H3035" s="460"/>
      <c r="I3035" s="1259"/>
    </row>
    <row r="3036" spans="1:9" ht="14.55" customHeight="1" x14ac:dyDescent="0.3">
      <c r="A3036" s="1258" t="s">
        <v>276</v>
      </c>
      <c r="B3036" s="725"/>
      <c r="C3036" s="460" t="s">
        <v>93</v>
      </c>
      <c r="D3036" s="725"/>
      <c r="E3036" s="460" t="s">
        <v>93</v>
      </c>
      <c r="F3036" s="725"/>
      <c r="G3036" s="460" t="s">
        <v>93</v>
      </c>
      <c r="H3036" s="460"/>
      <c r="I3036" s="1259"/>
    </row>
    <row r="3037" spans="1:9" ht="14.55" customHeight="1" x14ac:dyDescent="0.3">
      <c r="A3037" s="1258" t="s">
        <v>277</v>
      </c>
      <c r="B3037" s="453" t="e">
        <f>IF((CEILING(B3031,1)+B3034)&lt;B3030,B3030,CEILING(B3031,1)+B3034)</f>
        <v>#N/A</v>
      </c>
      <c r="C3037" s="460" t="s">
        <v>93</v>
      </c>
      <c r="D3037" s="453" t="e">
        <f>IF((CEILING(D3031,1)+D3034)&lt;D3030,D3030,CEILING(D3031,1)+D3034)</f>
        <v>#N/A</v>
      </c>
      <c r="E3037" s="460" t="s">
        <v>93</v>
      </c>
      <c r="F3037" s="453" t="e">
        <f>IF((CEILING(F3031,1)+F3034)&lt;F3030,F3030,CEILING(F3031,1)+F3034)</f>
        <v>#N/A</v>
      </c>
      <c r="G3037" s="460" t="s">
        <v>93</v>
      </c>
      <c r="H3037" s="460"/>
      <c r="I3037" s="1259"/>
    </row>
    <row r="3038" spans="1:9" ht="14.55" customHeight="1" x14ac:dyDescent="0.3">
      <c r="A3038" s="1258" t="s">
        <v>278</v>
      </c>
      <c r="B3038" s="453" t="e">
        <f>IF((CEILING(B3032,1)+B3035)&lt;=B3030,B3030,CEILING(B3032,1)+B3035)</f>
        <v>#N/A</v>
      </c>
      <c r="C3038" s="460" t="s">
        <v>93</v>
      </c>
      <c r="D3038" s="453" t="e">
        <f>IF((CEILING(D3032,1)+D3035)&lt;=D3030,D3030,CEILING(D3032,1)+D3035)</f>
        <v>#N/A</v>
      </c>
      <c r="E3038" s="460" t="s">
        <v>93</v>
      </c>
      <c r="F3038" s="453" t="e">
        <f>IF((CEILING(F3032,1)+F3035)&lt;=F3030,F3030,CEILING(F3032,1)+F3035)</f>
        <v>#N/A</v>
      </c>
      <c r="G3038" s="460" t="s">
        <v>93</v>
      </c>
      <c r="H3038" s="460"/>
      <c r="I3038" s="1259"/>
    </row>
    <row r="3039" spans="1:9" ht="14.55" customHeight="1" x14ac:dyDescent="0.3">
      <c r="A3039" s="1258" t="s">
        <v>279</v>
      </c>
      <c r="B3039" s="453" t="e">
        <f>IF((CEILING(B3033,1)+B3036)&lt;=B3030,B3030,CEILING(B3033,1)+B3036)</f>
        <v>#N/A</v>
      </c>
      <c r="C3039" s="460" t="s">
        <v>93</v>
      </c>
      <c r="D3039" s="453" t="e">
        <f>IF((CEILING(D3033,1)+D3036)&lt;=D3030,D3030,CEILING(D3033,1)+D3036)</f>
        <v>#N/A</v>
      </c>
      <c r="E3039" s="460" t="s">
        <v>93</v>
      </c>
      <c r="F3039" s="453" t="e">
        <f>IF((CEILING(F3033,1)+F3036)&lt;=F3030,F3030,CEILING(F3033,1)+F3036)</f>
        <v>#N/A</v>
      </c>
      <c r="G3039" s="460" t="s">
        <v>93</v>
      </c>
      <c r="H3039" s="460"/>
      <c r="I3039" s="1259"/>
    </row>
    <row r="3040" spans="1:9" ht="14.55" customHeight="1" x14ac:dyDescent="0.3">
      <c r="A3040" s="1258" t="s">
        <v>280</v>
      </c>
      <c r="B3040" s="453"/>
      <c r="C3040" s="460"/>
      <c r="D3040" s="453"/>
      <c r="E3040" s="460"/>
      <c r="F3040" s="726"/>
      <c r="G3040" s="460"/>
      <c r="H3040" s="460"/>
      <c r="I3040" s="1259"/>
    </row>
    <row r="3041" spans="1:9" ht="14.55" customHeight="1" x14ac:dyDescent="0.3">
      <c r="A3041" s="1258" t="s">
        <v>281</v>
      </c>
      <c r="B3041" s="453"/>
      <c r="C3041" s="460"/>
      <c r="D3041" s="453"/>
      <c r="E3041" s="460"/>
      <c r="F3041" s="460">
        <f>IFERROR(VLOOKUP(F2995,'Thickness Tab'!$1:$1048576,MATCH(F3040,'Thickness Tab'!$1:$1,0),0),0)</f>
        <v>0</v>
      </c>
      <c r="G3041" s="460" t="s">
        <v>93</v>
      </c>
      <c r="H3041" s="460"/>
      <c r="I3041" s="1259"/>
    </row>
    <row r="3042" spans="1:9" ht="14.55" customHeight="1" x14ac:dyDescent="0.3">
      <c r="A3042" s="1258"/>
      <c r="B3042" s="464"/>
      <c r="C3042" s="460"/>
      <c r="D3042" s="460"/>
      <c r="E3042" s="460"/>
      <c r="F3042" s="460"/>
      <c r="G3042" s="460"/>
      <c r="H3042" s="460"/>
      <c r="I3042" s="1259"/>
    </row>
    <row r="3043" spans="1:9" ht="14.55" customHeight="1" x14ac:dyDescent="0.3">
      <c r="A3043" s="1258" t="s">
        <v>282</v>
      </c>
      <c r="B3043" s="725">
        <v>0</v>
      </c>
      <c r="C3043" s="460" t="s">
        <v>93</v>
      </c>
      <c r="D3043" s="725">
        <v>0</v>
      </c>
      <c r="E3043" s="460" t="s">
        <v>93</v>
      </c>
      <c r="F3043" s="725">
        <v>0</v>
      </c>
      <c r="G3043" s="460" t="s">
        <v>93</v>
      </c>
      <c r="H3043" s="460"/>
      <c r="I3043" s="1259"/>
    </row>
    <row r="3044" spans="1:9" ht="14.55" customHeight="1" x14ac:dyDescent="0.3">
      <c r="A3044" s="1258" t="s">
        <v>283</v>
      </c>
      <c r="B3044" s="725">
        <v>0</v>
      </c>
      <c r="C3044" s="460" t="s">
        <v>93</v>
      </c>
      <c r="D3044" s="725">
        <v>0</v>
      </c>
      <c r="E3044" s="460" t="s">
        <v>93</v>
      </c>
      <c r="F3044" s="725">
        <v>0</v>
      </c>
      <c r="G3044" s="460" t="s">
        <v>93</v>
      </c>
      <c r="H3044" s="460"/>
      <c r="I3044" s="1259"/>
    </row>
    <row r="3045" spans="1:9" ht="14.55" customHeight="1" x14ac:dyDescent="0.3">
      <c r="A3045" s="1258" t="s">
        <v>284</v>
      </c>
      <c r="B3045" s="725">
        <v>0</v>
      </c>
      <c r="C3045" s="460" t="s">
        <v>93</v>
      </c>
      <c r="D3045" s="725">
        <v>0</v>
      </c>
      <c r="E3045" s="460" t="s">
        <v>93</v>
      </c>
      <c r="F3045" s="725">
        <v>0</v>
      </c>
      <c r="G3045" s="460" t="s">
        <v>93</v>
      </c>
      <c r="H3045" s="460"/>
      <c r="I3045" s="1259"/>
    </row>
    <row r="3046" spans="1:9" ht="14.55" customHeight="1" x14ac:dyDescent="0.3">
      <c r="A3046" s="1258"/>
      <c r="B3046" s="464"/>
      <c r="C3046" s="460"/>
      <c r="D3046" s="460"/>
      <c r="E3046" s="460"/>
      <c r="F3046" s="460"/>
      <c r="G3046" s="460"/>
      <c r="H3046" s="460"/>
      <c r="I3046" s="1259"/>
    </row>
    <row r="3047" spans="1:9" ht="14.55" customHeight="1" x14ac:dyDescent="0.3">
      <c r="A3047" s="1260" t="s">
        <v>285</v>
      </c>
      <c r="B3047" s="470" t="str">
        <f>IF(B2975="Horizontal","No Skirt","")</f>
        <v/>
      </c>
      <c r="C3047" s="460"/>
      <c r="D3047" s="471"/>
      <c r="E3047" s="471" t="s">
        <v>286</v>
      </c>
      <c r="F3047" s="460"/>
      <c r="G3047" s="469"/>
      <c r="H3047" s="469"/>
      <c r="I3047" s="1261"/>
    </row>
    <row r="3048" spans="1:9" ht="14.55" customHeight="1" x14ac:dyDescent="0.3">
      <c r="A3048" s="1258" t="s">
        <v>287</v>
      </c>
      <c r="B3048" s="722"/>
      <c r="C3048" s="456" t="s">
        <v>93</v>
      </c>
      <c r="D3048" s="472"/>
      <c r="E3048" s="472" t="s">
        <v>288</v>
      </c>
      <c r="F3048" s="725"/>
      <c r="G3048" s="460" t="s">
        <v>93</v>
      </c>
      <c r="H3048" s="469"/>
      <c r="I3048" s="1261"/>
    </row>
    <row r="3049" spans="1:9" ht="14.55" customHeight="1" x14ac:dyDescent="0.3">
      <c r="A3049" s="1258" t="s">
        <v>289</v>
      </c>
      <c r="B3049" s="722"/>
      <c r="C3049" s="456" t="s">
        <v>93</v>
      </c>
      <c r="D3049" s="472"/>
      <c r="E3049" s="472" t="s">
        <v>290</v>
      </c>
      <c r="F3049" s="725"/>
      <c r="G3049" s="460" t="s">
        <v>93</v>
      </c>
      <c r="H3049" s="469"/>
      <c r="I3049" s="1261"/>
    </row>
    <row r="3050" spans="1:9" ht="14.55" customHeight="1" x14ac:dyDescent="0.3">
      <c r="A3050" s="1258" t="s">
        <v>291</v>
      </c>
      <c r="B3050" s="722"/>
      <c r="C3050" s="456" t="s">
        <v>93</v>
      </c>
      <c r="D3050" s="472"/>
      <c r="E3050" s="472" t="s">
        <v>292</v>
      </c>
      <c r="F3050" s="725"/>
      <c r="G3050" s="460"/>
      <c r="H3050" s="469"/>
      <c r="I3050" s="1261"/>
    </row>
    <row r="3051" spans="1:9" ht="14.55" customHeight="1" x14ac:dyDescent="0.3">
      <c r="A3051" s="1258" t="s">
        <v>293</v>
      </c>
      <c r="B3051" s="722"/>
      <c r="C3051" s="456" t="s">
        <v>93</v>
      </c>
      <c r="D3051" s="472"/>
      <c r="E3051" s="472" t="s">
        <v>184</v>
      </c>
      <c r="F3051" s="457">
        <f>(PI()*F3048^2)/4*F3049*(7800/1000000000)</f>
        <v>0</v>
      </c>
      <c r="G3051" s="460" t="s">
        <v>222</v>
      </c>
      <c r="H3051" s="460"/>
      <c r="I3051" s="1259"/>
    </row>
    <row r="3052" spans="1:9" ht="14.55" customHeight="1" x14ac:dyDescent="0.3">
      <c r="A3052" s="1258" t="s">
        <v>294</v>
      </c>
      <c r="B3052" s="722"/>
      <c r="C3052" s="456" t="s">
        <v>93</v>
      </c>
      <c r="D3052" s="460"/>
      <c r="E3052" s="460"/>
      <c r="F3052" s="460"/>
      <c r="G3052" s="460"/>
      <c r="H3052" s="460"/>
      <c r="I3052" s="1259"/>
    </row>
    <row r="3053" spans="1:9" ht="14.55" customHeight="1" x14ac:dyDescent="0.3">
      <c r="A3053" s="1258"/>
      <c r="B3053" s="407"/>
      <c r="C3053" s="460"/>
      <c r="D3053" s="460"/>
      <c r="E3053" s="460"/>
      <c r="F3053" s="460"/>
      <c r="G3053" s="460"/>
      <c r="H3053" s="460"/>
      <c r="I3053" s="1259"/>
    </row>
    <row r="3054" spans="1:9" ht="14.55" customHeight="1" x14ac:dyDescent="0.3">
      <c r="A3054" s="1262" t="s">
        <v>295</v>
      </c>
      <c r="B3054" s="480"/>
      <c r="C3054" s="59"/>
      <c r="D3054" s="59"/>
      <c r="E3054" s="59"/>
      <c r="F3054" s="460"/>
      <c r="G3054" s="460"/>
      <c r="H3054" s="460"/>
      <c r="I3054" s="1259"/>
    </row>
    <row r="3055" spans="1:9" ht="14.55" customHeight="1" x14ac:dyDescent="0.3">
      <c r="A3055" s="1263" t="s">
        <v>296</v>
      </c>
      <c r="B3055" s="722"/>
      <c r="C3055" s="59" t="s">
        <v>93</v>
      </c>
      <c r="D3055" s="59"/>
      <c r="E3055" s="59"/>
      <c r="F3055" s="460"/>
      <c r="G3055" s="460"/>
      <c r="H3055" s="460"/>
      <c r="I3055" s="1259"/>
    </row>
    <row r="3056" spans="1:9" ht="14.55" customHeight="1" x14ac:dyDescent="0.3">
      <c r="A3056" s="1263" t="s">
        <v>297</v>
      </c>
      <c r="B3056" s="722"/>
      <c r="C3056" s="59" t="s">
        <v>93</v>
      </c>
      <c r="D3056" s="59"/>
      <c r="E3056" s="59"/>
      <c r="F3056" s="460"/>
      <c r="G3056" s="460"/>
      <c r="H3056" s="460"/>
      <c r="I3056" s="1259"/>
    </row>
    <row r="3057" spans="1:9" ht="14.55" customHeight="1" x14ac:dyDescent="0.3">
      <c r="A3057" s="1263" t="s">
        <v>298</v>
      </c>
      <c r="B3057" s="480">
        <f>B2998</f>
        <v>0</v>
      </c>
      <c r="C3057" s="59" t="s">
        <v>93</v>
      </c>
      <c r="D3057" s="59"/>
      <c r="E3057" s="59"/>
      <c r="F3057" s="460"/>
      <c r="G3057" s="460"/>
      <c r="H3057" s="460"/>
      <c r="I3057" s="1259"/>
    </row>
    <row r="3058" spans="1:9" ht="14.55" customHeight="1" x14ac:dyDescent="0.3">
      <c r="A3058" s="1263" t="s">
        <v>299</v>
      </c>
      <c r="B3058" s="727"/>
      <c r="C3058" s="59"/>
      <c r="D3058" s="59"/>
      <c r="E3058" s="59"/>
      <c r="F3058" s="460"/>
      <c r="G3058" s="460"/>
      <c r="H3058" s="460"/>
      <c r="I3058" s="1259"/>
    </row>
    <row r="3059" spans="1:9" ht="14.55" customHeight="1" x14ac:dyDescent="0.3">
      <c r="A3059" s="1263" t="s">
        <v>300</v>
      </c>
      <c r="B3059" s="722"/>
      <c r="C3059" s="59" t="s">
        <v>301</v>
      </c>
      <c r="D3059" s="59"/>
      <c r="E3059" s="59"/>
      <c r="F3059" s="460"/>
      <c r="G3059" s="460"/>
      <c r="H3059" s="460"/>
      <c r="I3059" s="1259"/>
    </row>
    <row r="3060" spans="1:9" ht="14.55" customHeight="1" x14ac:dyDescent="0.3">
      <c r="A3060" s="1263" t="s">
        <v>302</v>
      </c>
      <c r="B3060" s="480">
        <f>IF(B3058="Straight",B3057,B3057*2)</f>
        <v>0</v>
      </c>
      <c r="C3060" s="59" t="s">
        <v>93</v>
      </c>
      <c r="D3060" s="480"/>
      <c r="E3060" s="59"/>
      <c r="F3060" s="460"/>
      <c r="G3060" s="460"/>
      <c r="H3060" s="460"/>
      <c r="I3060" s="1259"/>
    </row>
    <row r="3061" spans="1:9" ht="14.55" customHeight="1" x14ac:dyDescent="0.3">
      <c r="A3061" s="1263" t="s">
        <v>303</v>
      </c>
      <c r="B3061" s="480">
        <f>B3055*PI()*B3060/1000000*B3059</f>
        <v>0</v>
      </c>
      <c r="C3061" s="59" t="s">
        <v>228</v>
      </c>
      <c r="D3061" s="59"/>
      <c r="E3061" s="59"/>
      <c r="F3061" s="460"/>
      <c r="G3061" s="460"/>
      <c r="H3061" s="460"/>
      <c r="I3061" s="1259"/>
    </row>
    <row r="3062" spans="1:9" ht="14.55" customHeight="1" x14ac:dyDescent="0.3">
      <c r="A3062" s="1263" t="s">
        <v>304</v>
      </c>
      <c r="B3062" s="480">
        <v>7.86</v>
      </c>
      <c r="C3062" s="59" t="s">
        <v>305</v>
      </c>
      <c r="D3062" s="59"/>
      <c r="E3062" s="59"/>
      <c r="F3062" s="460"/>
      <c r="G3062" s="460"/>
      <c r="H3062" s="460"/>
      <c r="I3062" s="1259"/>
    </row>
    <row r="3063" spans="1:9" ht="14.55" customHeight="1" x14ac:dyDescent="0.3">
      <c r="A3063" s="1263" t="s">
        <v>306</v>
      </c>
      <c r="B3063" s="480">
        <f>PI()*B3056*(B3055-B3056)*B3062/1000</f>
        <v>0</v>
      </c>
      <c r="C3063" s="59" t="s">
        <v>307</v>
      </c>
      <c r="D3063" s="59"/>
      <c r="E3063" s="59"/>
      <c r="F3063" s="460"/>
      <c r="G3063" s="460"/>
      <c r="H3063" s="460"/>
      <c r="I3063" s="1259"/>
    </row>
    <row r="3064" spans="1:9" ht="14.55" customHeight="1" x14ac:dyDescent="0.3">
      <c r="A3064" s="1263" t="s">
        <v>308</v>
      </c>
      <c r="B3064" s="480">
        <f>B3063*B3060*B3059/1000</f>
        <v>0</v>
      </c>
      <c r="C3064" s="59" t="s">
        <v>222</v>
      </c>
      <c r="D3064" s="59"/>
      <c r="E3064" s="59"/>
      <c r="F3064" s="460"/>
      <c r="G3064" s="460"/>
      <c r="H3064" s="460"/>
      <c r="I3064" s="1259"/>
    </row>
    <row r="3065" spans="1:9" ht="14.55" customHeight="1" x14ac:dyDescent="0.3">
      <c r="A3065" s="1263"/>
      <c r="B3065" s="480"/>
      <c r="C3065" s="59"/>
      <c r="D3065" s="59"/>
      <c r="E3065" s="59"/>
      <c r="F3065" s="460"/>
      <c r="G3065" s="460"/>
      <c r="H3065" s="460"/>
      <c r="I3065" s="1259"/>
    </row>
    <row r="3066" spans="1:9" ht="14.55" customHeight="1" x14ac:dyDescent="0.3">
      <c r="A3066" s="1262" t="s">
        <v>309</v>
      </c>
      <c r="B3066" s="480"/>
      <c r="C3066" s="59"/>
      <c r="D3066" s="59"/>
      <c r="E3066" s="59"/>
      <c r="F3066" s="460"/>
      <c r="G3066" s="460"/>
      <c r="H3066" s="460"/>
      <c r="I3066" s="1259"/>
    </row>
    <row r="3067" spans="1:9" ht="14.55" customHeight="1" x14ac:dyDescent="0.3">
      <c r="A3067" s="1263" t="s">
        <v>310</v>
      </c>
      <c r="B3067" s="480">
        <f>B2996</f>
        <v>0</v>
      </c>
      <c r="C3067" s="59" t="s">
        <v>93</v>
      </c>
      <c r="D3067" s="59"/>
      <c r="E3067" s="59"/>
      <c r="F3067" s="460"/>
      <c r="G3067" s="460"/>
      <c r="H3067" s="460"/>
      <c r="I3067" s="1259"/>
    </row>
    <row r="3068" spans="1:9" ht="14.55" customHeight="1" x14ac:dyDescent="0.3">
      <c r="A3068" s="1263" t="s">
        <v>297</v>
      </c>
      <c r="B3068" s="480">
        <v>15</v>
      </c>
      <c r="C3068" s="59" t="s">
        <v>93</v>
      </c>
      <c r="D3068" s="59"/>
      <c r="E3068" s="59"/>
      <c r="F3068" s="460"/>
      <c r="G3068" s="460"/>
      <c r="H3068" s="460"/>
      <c r="I3068" s="1259"/>
    </row>
    <row r="3069" spans="1:9" ht="14.55" customHeight="1" x14ac:dyDescent="0.3">
      <c r="A3069" s="1263" t="s">
        <v>311</v>
      </c>
      <c r="B3069" s="480">
        <f>B3067^2*PI()/4/1000000</f>
        <v>0</v>
      </c>
      <c r="C3069" s="59" t="s">
        <v>228</v>
      </c>
      <c r="D3069" s="59"/>
      <c r="E3069" s="59"/>
      <c r="F3069" s="460"/>
      <c r="G3069" s="460"/>
      <c r="H3069" s="460"/>
      <c r="I3069" s="1259"/>
    </row>
    <row r="3070" spans="1:9" ht="14.55" customHeight="1" x14ac:dyDescent="0.3">
      <c r="A3070" s="1263" t="s">
        <v>312</v>
      </c>
      <c r="B3070" s="480">
        <f>B3069*B3068/1000*B3062*2/1000</f>
        <v>0</v>
      </c>
      <c r="C3070" s="59" t="s">
        <v>222</v>
      </c>
      <c r="D3070" s="59"/>
      <c r="E3070" s="59"/>
      <c r="F3070" s="460"/>
      <c r="G3070" s="460"/>
      <c r="H3070" s="460"/>
      <c r="I3070" s="1259"/>
    </row>
    <row r="3071" spans="1:9" ht="14.55" customHeight="1" x14ac:dyDescent="0.3">
      <c r="A3071" s="1263"/>
      <c r="B3071" s="480"/>
      <c r="C3071" s="59"/>
      <c r="D3071" s="59"/>
      <c r="E3071" s="59"/>
      <c r="F3071" s="460"/>
      <c r="G3071" s="460"/>
      <c r="H3071" s="460"/>
      <c r="I3071" s="1259"/>
    </row>
    <row r="3072" spans="1:9" ht="14.55" customHeight="1" x14ac:dyDescent="0.3">
      <c r="A3072" s="1263" t="s">
        <v>313</v>
      </c>
      <c r="B3072" s="480">
        <f>B3064+B3070*2</f>
        <v>0</v>
      </c>
      <c r="C3072" s="59" t="s">
        <v>222</v>
      </c>
      <c r="D3072" s="59"/>
      <c r="E3072" s="59"/>
      <c r="F3072" s="460"/>
      <c r="G3072" s="460"/>
      <c r="H3072" s="460"/>
      <c r="I3072" s="1259"/>
    </row>
    <row r="3073" spans="1:9" ht="14.55" customHeight="1" x14ac:dyDescent="0.3">
      <c r="A3073" s="1263"/>
      <c r="B3073" s="480"/>
      <c r="C3073" s="59"/>
      <c r="D3073" s="59"/>
      <c r="E3073" s="59"/>
      <c r="F3073" s="460"/>
      <c r="G3073" s="460"/>
      <c r="H3073" s="460"/>
      <c r="I3073" s="1259"/>
    </row>
    <row r="3074" spans="1:9" ht="14.55" customHeight="1" x14ac:dyDescent="0.3">
      <c r="A3074" s="1260" t="s">
        <v>314</v>
      </c>
      <c r="B3074" s="460"/>
      <c r="C3074" s="460"/>
      <c r="D3074" s="463" t="s">
        <v>315</v>
      </c>
      <c r="E3074" s="460"/>
      <c r="F3074" s="460"/>
      <c r="G3074" s="471" t="s">
        <v>316</v>
      </c>
      <c r="H3074" s="453"/>
      <c r="I3074" s="1259"/>
    </row>
    <row r="3075" spans="1:9" ht="14.55" customHeight="1" x14ac:dyDescent="0.3">
      <c r="A3075" s="1258" t="s">
        <v>189</v>
      </c>
      <c r="B3075" s="468" t="e">
        <f>SUM(B2999,D2999,F2999)</f>
        <v>#N/A</v>
      </c>
      <c r="C3075" s="460" t="s">
        <v>222</v>
      </c>
      <c r="D3075" s="472" t="s">
        <v>189</v>
      </c>
      <c r="E3075" s="468" t="e">
        <f>SUM(B3001,D3001,F3001)</f>
        <v>#N/A</v>
      </c>
      <c r="F3075" s="460" t="s">
        <v>228</v>
      </c>
      <c r="G3075" s="472" t="s">
        <v>189</v>
      </c>
      <c r="H3075" s="453" t="e">
        <f>SUM(B3003,D3003,F3003)</f>
        <v>#N/A</v>
      </c>
      <c r="I3075" s="1259" t="s">
        <v>228</v>
      </c>
    </row>
    <row r="3076" spans="1:9" ht="14.55" customHeight="1" x14ac:dyDescent="0.3">
      <c r="A3076" s="1258" t="s">
        <v>317</v>
      </c>
      <c r="B3076" s="468" t="e">
        <f>SUM(B3009*B3011,D3009*D3011,F3009*F3011)</f>
        <v>#N/A</v>
      </c>
      <c r="C3076" s="460" t="s">
        <v>222</v>
      </c>
      <c r="D3076" s="472" t="s">
        <v>317</v>
      </c>
      <c r="E3076" s="468" t="e">
        <f>SUM(B3009*B3013,D3009*D3013,F3009*F3013)</f>
        <v>#N/A</v>
      </c>
      <c r="F3076" s="460" t="s">
        <v>228</v>
      </c>
      <c r="G3076" s="472" t="s">
        <v>317</v>
      </c>
      <c r="H3076" s="453" t="e">
        <f>SUM(B3009*B3015,D3009*D3015,F3009*F3015)</f>
        <v>#N/A</v>
      </c>
      <c r="I3076" s="1259" t="s">
        <v>228</v>
      </c>
    </row>
    <row r="3077" spans="1:9" ht="14.55" customHeight="1" x14ac:dyDescent="0.3">
      <c r="A3077" s="1258" t="s">
        <v>318</v>
      </c>
      <c r="B3077" s="468" t="e">
        <f>SUM(B3023,D3023,F3023)</f>
        <v>#N/A</v>
      </c>
      <c r="C3077" s="460" t="s">
        <v>222</v>
      </c>
      <c r="D3077" s="472" t="s">
        <v>318</v>
      </c>
      <c r="E3077" s="468" t="e">
        <f>SUM(B3025,D3025,F3025)</f>
        <v>#N/A</v>
      </c>
      <c r="F3077" s="460" t="s">
        <v>228</v>
      </c>
      <c r="G3077" s="472" t="s">
        <v>318</v>
      </c>
      <c r="H3077" s="453" t="e">
        <f>SUM(B3028,D3028,F3028)</f>
        <v>#N/A</v>
      </c>
      <c r="I3077" s="1259" t="s">
        <v>228</v>
      </c>
    </row>
    <row r="3078" spans="1:9" ht="14.55" customHeight="1" x14ac:dyDescent="0.3">
      <c r="A3078" s="1258" t="s">
        <v>319</v>
      </c>
      <c r="B3078" s="468">
        <f>SUMPRODUCT(F3095:F3106,H3095:H3106)</f>
        <v>0</v>
      </c>
      <c r="C3078" s="460" t="s">
        <v>222</v>
      </c>
      <c r="D3078" s="472" t="s">
        <v>319</v>
      </c>
      <c r="E3078" s="468">
        <f>SUMPRODUCT(F3095:F3106,I3095:I3106)</f>
        <v>0</v>
      </c>
      <c r="F3078" s="460" t="s">
        <v>228</v>
      </c>
      <c r="G3078" s="460"/>
      <c r="H3078" s="453"/>
      <c r="I3078" s="1259"/>
    </row>
    <row r="3079" spans="1:9" ht="14.55" customHeight="1" x14ac:dyDescent="0.3">
      <c r="A3079" s="1258" t="s">
        <v>320</v>
      </c>
      <c r="B3079" s="468" t="e">
        <f>IF(B2975="Horizontal",0,(PI()*B3049*(((B2997/2)^2)-(((B2997-2*B3048)/2)^2))*7860)/1000000000)</f>
        <v>#N/A</v>
      </c>
      <c r="C3079" s="460" t="s">
        <v>222</v>
      </c>
      <c r="D3079" s="472" t="s">
        <v>320</v>
      </c>
      <c r="E3079" s="468" t="e">
        <f>IF(B2975="Horizontal",0,((B2997*B3049*PI())+((B2997-2*B3048)*B3049*PI()))/1000000)</f>
        <v>#N/A</v>
      </c>
      <c r="F3079" s="460" t="s">
        <v>228</v>
      </c>
      <c r="G3079" s="471" t="s">
        <v>321</v>
      </c>
      <c r="H3079" s="453"/>
      <c r="I3079" s="1259"/>
    </row>
    <row r="3080" spans="1:9" ht="14.55" customHeight="1" x14ac:dyDescent="0.3">
      <c r="A3080" s="1258" t="s">
        <v>322</v>
      </c>
      <c r="B3080" s="468">
        <f>IF(B2975="Horizontal",0,(PI()*B3052*(((B3051/2)^2)-((B3050/2)^2))*7860)/1000000000)</f>
        <v>0</v>
      </c>
      <c r="C3080" s="460" t="s">
        <v>222</v>
      </c>
      <c r="D3080" s="472" t="s">
        <v>322</v>
      </c>
      <c r="E3080" s="468">
        <f>IF(B2975="Horizontal",0,((B3051*3.14*B3052)+(B3050*3.14*B3052)+(((((B3051/2)^2)*3.14)-(((B3050/2)^2)*3.14))*2))/1000000)</f>
        <v>0</v>
      </c>
      <c r="F3080" s="460" t="s">
        <v>228</v>
      </c>
      <c r="G3080" s="472" t="s">
        <v>189</v>
      </c>
      <c r="H3080" s="453">
        <f>SUM(B3000,D3000,F3000)</f>
        <v>0</v>
      </c>
      <c r="I3080" s="1259" t="s">
        <v>225</v>
      </c>
    </row>
    <row r="3081" spans="1:9" ht="14.55" customHeight="1" x14ac:dyDescent="0.3">
      <c r="A3081" s="1258" t="s">
        <v>323</v>
      </c>
      <c r="B3081" s="468">
        <f>IF(B2975="Horizontal",VLOOKUP(B2997,List!$AR:$AS,2,1)*2,0)</f>
        <v>0</v>
      </c>
      <c r="C3081" s="460" t="s">
        <v>222</v>
      </c>
      <c r="D3081" s="472" t="s">
        <v>323</v>
      </c>
      <c r="E3081" s="725"/>
      <c r="F3081" s="460" t="s">
        <v>228</v>
      </c>
      <c r="G3081" s="472" t="s">
        <v>317</v>
      </c>
      <c r="H3081" s="453" t="e">
        <f>SUM(B3009*B3012+D3009*D3012+F3009*F3012)</f>
        <v>#N/A</v>
      </c>
      <c r="I3081" s="1259" t="s">
        <v>225</v>
      </c>
    </row>
    <row r="3082" spans="1:9" ht="14.55" customHeight="1" x14ac:dyDescent="0.3">
      <c r="A3082" s="1258" t="s">
        <v>324</v>
      </c>
      <c r="B3082" s="468">
        <f>F3051*F3050</f>
        <v>0</v>
      </c>
      <c r="C3082" s="460" t="s">
        <v>222</v>
      </c>
      <c r="D3082" s="460"/>
      <c r="E3082" s="460"/>
      <c r="F3082" s="460"/>
      <c r="G3082" s="472" t="s">
        <v>318</v>
      </c>
      <c r="H3082" s="453">
        <f>SUM(B3024,D3024,F3024)</f>
        <v>0</v>
      </c>
      <c r="I3082" s="1259" t="s">
        <v>225</v>
      </c>
    </row>
    <row r="3083" spans="1:9" ht="14.55" customHeight="1" x14ac:dyDescent="0.3">
      <c r="A3083" s="1258" t="s">
        <v>325</v>
      </c>
      <c r="B3083" s="468">
        <f>B3072</f>
        <v>0</v>
      </c>
      <c r="C3083" s="460" t="s">
        <v>222</v>
      </c>
      <c r="D3083" s="460"/>
      <c r="E3083" s="460"/>
      <c r="F3083" s="460"/>
      <c r="G3083" s="472"/>
      <c r="H3083" s="453"/>
      <c r="I3083" s="1259"/>
    </row>
    <row r="3084" spans="1:9" ht="14.55" customHeight="1" x14ac:dyDescent="0.3">
      <c r="A3084" s="1258" t="s">
        <v>326</v>
      </c>
      <c r="B3084" s="725"/>
      <c r="C3084" s="460" t="s">
        <v>222</v>
      </c>
      <c r="D3084" s="460"/>
      <c r="E3084" s="460"/>
      <c r="F3084" s="460"/>
      <c r="G3084" s="460"/>
      <c r="H3084" s="460"/>
      <c r="I3084" s="1259"/>
    </row>
    <row r="3085" spans="1:9" ht="14.55" customHeight="1" x14ac:dyDescent="0.3">
      <c r="A3085" s="1264"/>
      <c r="B3085" s="460"/>
      <c r="C3085" s="460"/>
      <c r="D3085" s="460"/>
      <c r="E3085" s="460"/>
      <c r="F3085" s="460"/>
      <c r="G3085" s="460"/>
      <c r="H3085" s="460"/>
      <c r="I3085" s="1259"/>
    </row>
    <row r="3086" spans="1:9" ht="14.55" customHeight="1" x14ac:dyDescent="0.3">
      <c r="A3086" s="1258" t="s">
        <v>327</v>
      </c>
      <c r="B3086" s="453" t="e">
        <f>SUM(E3075:E3081)</f>
        <v>#N/A</v>
      </c>
      <c r="C3086" s="460" t="s">
        <v>228</v>
      </c>
      <c r="D3086" s="460"/>
      <c r="E3086" s="460"/>
      <c r="F3086" s="460"/>
      <c r="G3086" s="460"/>
      <c r="H3086" s="460"/>
      <c r="I3086" s="1259"/>
    </row>
    <row r="3087" spans="1:9" ht="14.55" customHeight="1" x14ac:dyDescent="0.3">
      <c r="A3087" s="1258" t="s">
        <v>328</v>
      </c>
      <c r="B3087" s="453" t="e">
        <f>IF(SUM(E3075:E3077)=SUM(H3075:H3077),"Not Insulated",SUM(H3075:H3077))</f>
        <v>#N/A</v>
      </c>
      <c r="C3087" s="460" t="e">
        <f>IF(B3086=SUM(H3075:H3077),"","m2")</f>
        <v>#N/A</v>
      </c>
      <c r="D3087" s="460"/>
      <c r="E3087" s="460"/>
      <c r="F3087" s="460"/>
      <c r="G3087" s="460"/>
      <c r="H3087" s="460"/>
      <c r="I3087" s="1259"/>
    </row>
    <row r="3088" spans="1:9" ht="14.55" customHeight="1" x14ac:dyDescent="0.3">
      <c r="A3088" s="1258" t="s">
        <v>329</v>
      </c>
      <c r="B3088" s="453" t="e">
        <f>SUM(H3080:H3082)</f>
        <v>#N/A</v>
      </c>
      <c r="C3088" s="460" t="s">
        <v>225</v>
      </c>
      <c r="D3088" s="460"/>
      <c r="E3088" s="460"/>
      <c r="F3088" s="460"/>
      <c r="G3088" s="460"/>
      <c r="H3088" s="460"/>
      <c r="I3088" s="1259"/>
    </row>
    <row r="3089" spans="1:9" ht="14.55" customHeight="1" x14ac:dyDescent="0.3">
      <c r="A3089" s="1258" t="s">
        <v>330</v>
      </c>
      <c r="B3089" s="453" t="e">
        <f>SUM(B3075:B3084)</f>
        <v>#N/A</v>
      </c>
      <c r="C3089" s="460" t="s">
        <v>222</v>
      </c>
      <c r="D3089" s="460"/>
      <c r="E3089" s="460"/>
      <c r="F3089" s="460"/>
      <c r="G3089" s="460"/>
      <c r="H3089" s="460"/>
      <c r="I3089" s="1259"/>
    </row>
    <row r="3090" spans="1:9" ht="14.55" customHeight="1" x14ac:dyDescent="0.3">
      <c r="A3090" s="1258" t="s">
        <v>331</v>
      </c>
      <c r="B3090" s="725"/>
      <c r="C3090" s="460" t="s">
        <v>222</v>
      </c>
      <c r="D3090" s="460"/>
      <c r="E3090" s="460"/>
      <c r="F3090" s="460"/>
      <c r="G3090" s="460"/>
      <c r="H3090" s="460"/>
      <c r="I3090" s="1259"/>
    </row>
    <row r="3091" spans="1:9" ht="15" customHeight="1" thickBot="1" x14ac:dyDescent="0.35">
      <c r="A3091" s="1258"/>
      <c r="B3091" s="473"/>
      <c r="C3091" s="459"/>
      <c r="D3091" s="460"/>
      <c r="E3091" s="460"/>
      <c r="F3091" s="460"/>
      <c r="G3091" s="460"/>
      <c r="H3091" s="460"/>
      <c r="I3091" s="1259"/>
    </row>
    <row r="3092" spans="1:9" ht="15" customHeight="1" thickBot="1" x14ac:dyDescent="0.35">
      <c r="A3092" s="474"/>
      <c r="B3092" s="1718" t="s">
        <v>332</v>
      </c>
      <c r="C3092" s="1718"/>
      <c r="D3092" s="1718"/>
      <c r="E3092" s="1718"/>
      <c r="F3092" s="1718"/>
      <c r="G3092" s="475"/>
      <c r="H3092" s="475"/>
      <c r="I3092" s="476"/>
    </row>
    <row r="3093" spans="1:9" ht="14.55" customHeight="1" x14ac:dyDescent="0.3">
      <c r="A3093" s="1264"/>
      <c r="B3093" s="1719" t="s">
        <v>333</v>
      </c>
      <c r="C3093" s="1381" t="s">
        <v>59</v>
      </c>
      <c r="D3093" s="1719" t="s">
        <v>114</v>
      </c>
      <c r="E3093" s="1719" t="s">
        <v>334</v>
      </c>
      <c r="F3093" s="1719" t="s">
        <v>292</v>
      </c>
      <c r="G3093" s="1719" t="s">
        <v>335</v>
      </c>
      <c r="H3093" s="1381" t="s">
        <v>184</v>
      </c>
      <c r="I3093" s="1346" t="s">
        <v>336</v>
      </c>
    </row>
    <row r="3094" spans="1:9" ht="14.55" customHeight="1" x14ac:dyDescent="0.3">
      <c r="A3094" s="1264"/>
      <c r="B3094" s="1720"/>
      <c r="C3094" s="1442" t="s">
        <v>214</v>
      </c>
      <c r="D3094" s="1720"/>
      <c r="E3094" s="1720"/>
      <c r="F3094" s="1720"/>
      <c r="G3094" s="1720"/>
      <c r="H3094" s="1442" t="s">
        <v>222</v>
      </c>
      <c r="I3094" s="1443" t="s">
        <v>228</v>
      </c>
    </row>
    <row r="3095" spans="1:9" ht="14.55" customHeight="1" x14ac:dyDescent="0.3">
      <c r="A3095" s="1264"/>
      <c r="B3095" s="1382" t="s">
        <v>337</v>
      </c>
      <c r="C3095" s="728"/>
      <c r="D3095" s="729"/>
      <c r="E3095" s="730"/>
      <c r="F3095" s="730"/>
      <c r="G3095" s="730"/>
      <c r="H3095" s="1465" t="str">
        <f>IFERROR(VLOOKUP($C3095&amp;"F"&amp;$D3095,'Flanges Chart'!$1:$1048576,MATCH($E3095&amp;"."&amp;H$123,'Flanges Chart'!$1:$1,0),0),"")</f>
        <v/>
      </c>
      <c r="I3095" s="1466" t="str">
        <f>IFERROR(VLOOKUP($C3095&amp;"F"&amp;$D3095,'Flanges Chart'!$1:$1048576,MATCH($E3095&amp;"."&amp;I$123,'Flanges Chart'!$1:$1,0),0),"")</f>
        <v/>
      </c>
    </row>
    <row r="3096" spans="1:9" ht="14.55" customHeight="1" x14ac:dyDescent="0.3">
      <c r="A3096" s="1264"/>
      <c r="B3096" s="1467" t="s">
        <v>340</v>
      </c>
      <c r="C3096" s="731"/>
      <c r="D3096" s="729"/>
      <c r="E3096" s="729"/>
      <c r="F3096" s="729"/>
      <c r="G3096" s="729"/>
      <c r="H3096" s="1465" t="str">
        <f>IFERROR(VLOOKUP($C3096&amp;"F"&amp;$D3096,'Flanges Chart'!$1:$1048576,MATCH($E3096&amp;"."&amp;H$123,'Flanges Chart'!$1:$1,0),0),"")</f>
        <v/>
      </c>
      <c r="I3096" s="1466" t="str">
        <f>IFERROR(VLOOKUP($C3096&amp;"F"&amp;$D3096,'Flanges Chart'!$1:$1048576,MATCH($E3096&amp;"."&amp;I$123,'Flanges Chart'!$1:$1,0),0),"")</f>
        <v/>
      </c>
    </row>
    <row r="3097" spans="1:9" ht="14.55" customHeight="1" x14ac:dyDescent="0.3">
      <c r="A3097" s="1264"/>
      <c r="B3097" s="1467" t="s">
        <v>342</v>
      </c>
      <c r="C3097" s="731"/>
      <c r="D3097" s="729"/>
      <c r="E3097" s="729"/>
      <c r="F3097" s="729"/>
      <c r="G3097" s="729"/>
      <c r="H3097" s="1465" t="str">
        <f>IFERROR(VLOOKUP($C3097&amp;"F"&amp;$D3097,'Flanges Chart'!$1:$1048576,MATCH($E3097&amp;"."&amp;H$123,'Flanges Chart'!$1:$1,0),0),"")</f>
        <v/>
      </c>
      <c r="I3097" s="1466" t="str">
        <f>IFERROR(VLOOKUP($C3097&amp;"F"&amp;$D3097,'Flanges Chart'!$1:$1048576,MATCH($E3097&amp;"."&amp;I$123,'Flanges Chart'!$1:$1,0),0),"")</f>
        <v/>
      </c>
    </row>
    <row r="3098" spans="1:9" ht="14.55" customHeight="1" x14ac:dyDescent="0.3">
      <c r="A3098" s="1264"/>
      <c r="B3098" s="1467" t="s">
        <v>344</v>
      </c>
      <c r="C3098" s="731"/>
      <c r="D3098" s="729"/>
      <c r="E3098" s="729"/>
      <c r="F3098" s="729"/>
      <c r="G3098" s="729"/>
      <c r="H3098" s="1465" t="str">
        <f>IFERROR(VLOOKUP($C3098&amp;"F"&amp;$D3098,'Flanges Chart'!$1:$1048576,MATCH($E3098&amp;"."&amp;H$123,'Flanges Chart'!$1:$1,0),0),"")</f>
        <v/>
      </c>
      <c r="I3098" s="1466" t="str">
        <f>IFERROR(VLOOKUP($C3098&amp;"F"&amp;$D3098,'Flanges Chart'!$1:$1048576,MATCH($E3098&amp;"."&amp;I$123,'Flanges Chart'!$1:$1,0),0),"")</f>
        <v/>
      </c>
    </row>
    <row r="3099" spans="1:9" ht="14.55" customHeight="1" x14ac:dyDescent="0.3">
      <c r="A3099" s="1264"/>
      <c r="B3099" s="1467" t="s">
        <v>347</v>
      </c>
      <c r="C3099" s="731"/>
      <c r="D3099" s="729"/>
      <c r="E3099" s="729"/>
      <c r="F3099" s="729"/>
      <c r="G3099" s="729"/>
      <c r="H3099" s="1465" t="str">
        <f>IFERROR(VLOOKUP($C3099&amp;"F"&amp;$D3099,'Flanges Chart'!$1:$1048576,MATCH($E3099&amp;"."&amp;H$123,'Flanges Chart'!$1:$1,0),0),"")</f>
        <v/>
      </c>
      <c r="I3099" s="1466" t="str">
        <f>IFERROR(VLOOKUP($C3099&amp;"F"&amp;$D3099,'Flanges Chart'!$1:$1048576,MATCH($E3099&amp;"."&amp;I$123,'Flanges Chart'!$1:$1,0),0),"")</f>
        <v/>
      </c>
    </row>
    <row r="3100" spans="1:9" ht="14.55" customHeight="1" x14ac:dyDescent="0.3">
      <c r="A3100" s="1264"/>
      <c r="B3100" s="1467" t="s">
        <v>349</v>
      </c>
      <c r="C3100" s="731"/>
      <c r="D3100" s="729"/>
      <c r="E3100" s="729"/>
      <c r="F3100" s="729"/>
      <c r="G3100" s="729"/>
      <c r="H3100" s="1465" t="str">
        <f>IFERROR(VLOOKUP($C3100&amp;"F"&amp;$D3100,'Flanges Chart'!$1:$1048576,MATCH($E3100&amp;"."&amp;H$123,'Flanges Chart'!$1:$1,0),0),"")</f>
        <v/>
      </c>
      <c r="I3100" s="1466" t="str">
        <f>IFERROR(VLOOKUP($C3100&amp;"F"&amp;$D3100,'Flanges Chart'!$1:$1048576,MATCH($E3100&amp;"."&amp;I$123,'Flanges Chart'!$1:$1,0),0),"")</f>
        <v/>
      </c>
    </row>
    <row r="3101" spans="1:9" ht="14.55" customHeight="1" x14ac:dyDescent="0.3">
      <c r="A3101" s="1264"/>
      <c r="B3101" s="1467" t="s">
        <v>350</v>
      </c>
      <c r="C3101" s="731"/>
      <c r="D3101" s="729"/>
      <c r="E3101" s="729"/>
      <c r="F3101" s="729"/>
      <c r="G3101" s="729"/>
      <c r="H3101" s="1465" t="str">
        <f>IFERROR(VLOOKUP($C3101&amp;"F"&amp;$D3101,'Flanges Chart'!$1:$1048576,MATCH($E3101&amp;"."&amp;H$123,'Flanges Chart'!$1:$1,0),0),"")</f>
        <v/>
      </c>
      <c r="I3101" s="1466" t="str">
        <f>IFERROR(VLOOKUP($C3101&amp;"F"&amp;$D3101,'Flanges Chart'!$1:$1048576,MATCH($E3101&amp;"."&amp;I$123,'Flanges Chart'!$1:$1,0),0),"")</f>
        <v/>
      </c>
    </row>
    <row r="3102" spans="1:9" ht="14.55" customHeight="1" x14ac:dyDescent="0.3">
      <c r="A3102" s="1264"/>
      <c r="B3102" s="1467" t="s">
        <v>351</v>
      </c>
      <c r="C3102" s="731"/>
      <c r="D3102" s="729"/>
      <c r="E3102" s="729"/>
      <c r="F3102" s="729"/>
      <c r="G3102" s="729"/>
      <c r="H3102" s="1465" t="str">
        <f>IFERROR(VLOOKUP($C3102&amp;"F"&amp;$D3102,'Flanges Chart'!$1:$1048576,MATCH($E3102&amp;"."&amp;H$123,'Flanges Chart'!$1:$1,0),0),"")</f>
        <v/>
      </c>
      <c r="I3102" s="1466" t="str">
        <f>IFERROR(VLOOKUP($C3102&amp;"F"&amp;$D3102,'Flanges Chart'!$1:$1048576,MATCH($E3102&amp;"."&amp;I$123,'Flanges Chart'!$1:$1,0),0),"")</f>
        <v/>
      </c>
    </row>
    <row r="3103" spans="1:9" ht="14.55" customHeight="1" x14ac:dyDescent="0.3">
      <c r="A3103" s="1264"/>
      <c r="B3103" s="1467" t="s">
        <v>352</v>
      </c>
      <c r="C3103" s="731"/>
      <c r="D3103" s="729"/>
      <c r="E3103" s="729"/>
      <c r="F3103" s="729"/>
      <c r="G3103" s="729"/>
      <c r="H3103" s="1465" t="str">
        <f>IFERROR(VLOOKUP($C3103&amp;"F"&amp;$D3103,'Flanges Chart'!$1:$1048576,MATCH($E3103&amp;"."&amp;H$123,'Flanges Chart'!$1:$1,0),0),"")</f>
        <v/>
      </c>
      <c r="I3103" s="1466" t="str">
        <f>IFERROR(VLOOKUP($C3103&amp;"F"&amp;$D3103,'Flanges Chart'!$1:$1048576,MATCH($E3103&amp;"."&amp;I$123,'Flanges Chart'!$1:$1,0),0),"")</f>
        <v/>
      </c>
    </row>
    <row r="3104" spans="1:9" ht="14.55" customHeight="1" x14ac:dyDescent="0.3">
      <c r="A3104" s="1264"/>
      <c r="B3104" s="1467" t="s">
        <v>353</v>
      </c>
      <c r="C3104" s="731"/>
      <c r="D3104" s="729"/>
      <c r="E3104" s="729"/>
      <c r="F3104" s="729"/>
      <c r="G3104" s="729"/>
      <c r="H3104" s="1465" t="str">
        <f>IFERROR(VLOOKUP($C3104&amp;"F"&amp;$D3104,'Flanges Chart'!$1:$1048576,MATCH($E3104&amp;"."&amp;H$123,'Flanges Chart'!$1:$1,0),0),"")</f>
        <v/>
      </c>
      <c r="I3104" s="1466" t="str">
        <f>IFERROR(VLOOKUP($C3104&amp;"F"&amp;$D3104,'Flanges Chart'!$1:$1048576,MATCH($E3104&amp;"."&amp;I$123,'Flanges Chart'!$1:$1,0),0),"")</f>
        <v/>
      </c>
    </row>
    <row r="3105" spans="1:13" ht="14.55" customHeight="1" x14ac:dyDescent="0.3">
      <c r="A3105" s="1264"/>
      <c r="B3105" s="1467" t="s">
        <v>354</v>
      </c>
      <c r="C3105" s="731"/>
      <c r="D3105" s="729"/>
      <c r="E3105" s="729"/>
      <c r="F3105" s="729"/>
      <c r="G3105" s="729"/>
      <c r="H3105" s="1465" t="str">
        <f>IFERROR(VLOOKUP($C3105&amp;"F"&amp;$D3105,'Flanges Chart'!$1:$1048576,MATCH($E3105&amp;"."&amp;H$123,'Flanges Chart'!$1:$1,0),0),"")</f>
        <v/>
      </c>
      <c r="I3105" s="1466" t="str">
        <f>IFERROR(VLOOKUP($C3105&amp;"F"&amp;$D3105,'Flanges Chart'!$1:$1048576,MATCH($E3105&amp;"."&amp;I$123,'Flanges Chart'!$1:$1,0),0),"")</f>
        <v/>
      </c>
    </row>
    <row r="3106" spans="1:13" ht="15" customHeight="1" thickBot="1" x14ac:dyDescent="0.35">
      <c r="A3106" s="1264"/>
      <c r="B3106" s="1468" t="s">
        <v>355</v>
      </c>
      <c r="C3106" s="732"/>
      <c r="D3106" s="733"/>
      <c r="E3106" s="733"/>
      <c r="F3106" s="733"/>
      <c r="G3106" s="733"/>
      <c r="H3106" s="1469" t="s">
        <v>356</v>
      </c>
      <c r="I3106" s="1470" t="str">
        <f>IFERROR(VLOOKUP($C3106&amp;"F"&amp;$D3106,'Flanges Chart'!$1:$1048576,MATCH($E3106&amp;"."&amp;I$123,'Flanges Chart'!$1:$1,0),0),"")</f>
        <v/>
      </c>
    </row>
    <row r="3107" spans="1:13" s="496" customFormat="1" ht="18.600000000000001" thickBot="1" x14ac:dyDescent="0.35">
      <c r="A3107" s="493" t="str">
        <f>"POS."&amp;K3107&amp;" "&amp;VLOOKUP(K3107,'Equip&amp;Mach List'!$1:$1048576,2,0)&amp;" "&amp;VLOOKUP(K3107,'Equip&amp;Mach List'!$1:$1048576,3,0)</f>
        <v xml:space="preserve">POS.24  </v>
      </c>
      <c r="B3107" s="511"/>
      <c r="C3107" s="494"/>
      <c r="D3107" s="495"/>
      <c r="E3107" s="495"/>
      <c r="F3107" s="497"/>
      <c r="G3107" s="495"/>
      <c r="H3107" s="495"/>
      <c r="I3107" s="1255" t="str">
        <f>IFERROR("Weight Calc./Selected = "&amp;ROUND(B3224,1)&amp;"/"&amp;B3225&amp;" kg - Øi ="&amp;IF(B3131=0,F3131,B3131)&amp;" mm"&amp;"T/T ="&amp;IF(B3132=0,F3132,B3132)&amp;" mm - Material "&amp;B3118&amp;"        ","")</f>
        <v/>
      </c>
      <c r="K3107" s="496">
        <v>24</v>
      </c>
      <c r="M3107" s="1254"/>
    </row>
    <row r="3108" spans="1:13" ht="14.55" customHeight="1" x14ac:dyDescent="0.3">
      <c r="A3108" s="1256"/>
      <c r="B3108" s="451"/>
      <c r="C3108" s="451"/>
      <c r="D3108" s="451"/>
      <c r="E3108" s="451"/>
      <c r="F3108" s="451"/>
      <c r="G3108" s="451"/>
      <c r="H3108" s="451"/>
      <c r="I3108" s="1257"/>
      <c r="K3108" s="477" t="s">
        <v>166</v>
      </c>
      <c r="L3108" s="477" t="str">
        <f>K3107&amp;"."&amp;K3108</f>
        <v>24.Design Code</v>
      </c>
      <c r="M3108" s="1252" t="str">
        <f>A3109&amp;" "&amp;B3109</f>
        <v xml:space="preserve">ASME VIII </v>
      </c>
    </row>
    <row r="3109" spans="1:13" ht="14.55" customHeight="1" x14ac:dyDescent="0.3">
      <c r="A3109" s="1258" t="s">
        <v>167</v>
      </c>
      <c r="B3109" s="718"/>
      <c r="C3109" s="459"/>
      <c r="D3109" s="460"/>
      <c r="E3109" s="460"/>
      <c r="F3109" s="460"/>
      <c r="G3109" s="460"/>
      <c r="H3109" s="460"/>
      <c r="I3109" s="1259"/>
      <c r="K3109" s="477" t="s">
        <v>169</v>
      </c>
      <c r="L3109" s="477" t="str">
        <f>K3107&amp;"."&amp;K3109</f>
        <v>24.Orientation</v>
      </c>
      <c r="M3109" s="1252">
        <f>B3110</f>
        <v>0</v>
      </c>
    </row>
    <row r="3110" spans="1:13" ht="14.55" customHeight="1" x14ac:dyDescent="0.3">
      <c r="A3110" s="1258" t="s">
        <v>170</v>
      </c>
      <c r="B3110" s="718"/>
      <c r="C3110" s="459"/>
      <c r="D3110" s="460"/>
      <c r="E3110" s="460"/>
      <c r="F3110" s="461"/>
      <c r="G3110" s="460"/>
      <c r="H3110" s="460"/>
      <c r="I3110" s="1259"/>
      <c r="K3110" s="477" t="s">
        <v>172</v>
      </c>
      <c r="L3110" s="477" t="str">
        <f>K3107&amp;"."&amp;K3110</f>
        <v>24.Design Temperature</v>
      </c>
      <c r="M3110" s="1252">
        <f>D3113</f>
        <v>0</v>
      </c>
    </row>
    <row r="3111" spans="1:13" ht="14.55" customHeight="1" x14ac:dyDescent="0.3">
      <c r="A3111" s="1258"/>
      <c r="B3111" s="459"/>
      <c r="C3111" s="459"/>
      <c r="D3111" s="460"/>
      <c r="E3111" s="460"/>
      <c r="F3111" s="462"/>
      <c r="G3111" s="460"/>
      <c r="H3111" s="460"/>
      <c r="I3111" s="1259"/>
      <c r="K3111" s="477" t="s">
        <v>173</v>
      </c>
      <c r="L3111" s="477" t="str">
        <f>K3107&amp;"."&amp;K3111</f>
        <v>24.Design Pressure</v>
      </c>
      <c r="M3111" s="1252">
        <f>D3114</f>
        <v>0</v>
      </c>
    </row>
    <row r="3112" spans="1:13" ht="14.55" customHeight="1" x14ac:dyDescent="0.3">
      <c r="A3112" s="1260" t="s">
        <v>174</v>
      </c>
      <c r="B3112" s="459"/>
      <c r="C3112" s="459"/>
      <c r="D3112" s="460"/>
      <c r="E3112" s="460"/>
      <c r="F3112" s="462"/>
      <c r="G3112" s="460"/>
      <c r="H3112" s="460"/>
      <c r="I3112" s="1259"/>
      <c r="K3112" s="477" t="s">
        <v>175</v>
      </c>
      <c r="L3112" s="477" t="str">
        <f>K3107&amp;"."&amp;K3112</f>
        <v>24.Material</v>
      </c>
      <c r="M3112" s="1252">
        <f>B3118</f>
        <v>0</v>
      </c>
    </row>
    <row r="3113" spans="1:13" ht="14.55" customHeight="1" x14ac:dyDescent="0.3">
      <c r="A3113" s="1258" t="s">
        <v>176</v>
      </c>
      <c r="B3113" s="719"/>
      <c r="C3113" s="720" t="s">
        <v>177</v>
      </c>
      <c r="D3113" s="464">
        <f>IF(C3113="°C",B3113,0)+IF(C3113="°F",(B3113-32)*5/9,0)</f>
        <v>0</v>
      </c>
      <c r="E3113" s="460" t="s">
        <v>177</v>
      </c>
      <c r="F3113" s="462"/>
      <c r="G3113" s="460"/>
      <c r="H3113" s="460"/>
      <c r="I3113" s="1259"/>
      <c r="K3113" s="477" t="s">
        <v>178</v>
      </c>
      <c r="L3113" s="477" t="str">
        <f>K3107&amp;"."&amp;K3113</f>
        <v>24.Inside Diameter</v>
      </c>
      <c r="M3113" s="1252">
        <f>IF(B3131=0,F3131,B3131)</f>
        <v>0</v>
      </c>
    </row>
    <row r="3114" spans="1:13" ht="14.55" customHeight="1" x14ac:dyDescent="0.3">
      <c r="A3114" s="1258" t="s">
        <v>179</v>
      </c>
      <c r="B3114" s="721"/>
      <c r="C3114" s="720" t="s">
        <v>180</v>
      </c>
      <c r="D3114" s="452">
        <f>IF(C3114="barg",B3114,0)+IF(C3114="psig",B3114*List!$AV$4,0)+IF(C3114="MPa",B3114*List!$AV$5,0)+IF(C3114="N/mm2",B3114*List!$AV$6,0)</f>
        <v>0</v>
      </c>
      <c r="E3114" s="460" t="s">
        <v>180</v>
      </c>
      <c r="F3114" s="460"/>
      <c r="G3114" s="460"/>
      <c r="H3114" s="460"/>
      <c r="I3114" s="1259"/>
      <c r="K3114" s="477" t="s">
        <v>181</v>
      </c>
      <c r="L3114" s="477" t="str">
        <f>K3107&amp;"."&amp;K3114</f>
        <v>24.Tan / Tan</v>
      </c>
      <c r="M3114" s="1252">
        <f>IF(B3133=0,F3133,B3133)</f>
        <v>0</v>
      </c>
    </row>
    <row r="3115" spans="1:13" ht="14.55" customHeight="1" x14ac:dyDescent="0.3">
      <c r="A3115" s="1258" t="s">
        <v>182</v>
      </c>
      <c r="B3115" s="721"/>
      <c r="C3115" s="720" t="s">
        <v>180</v>
      </c>
      <c r="D3115" s="452">
        <f>IF(C3115="barg",B3115,0)+IF(C3115="psig",B3115*List!$AV$4,0)+IF(C3115="MPa",B3115*List!$AV$5,0)+IF(C3115="N/mm2",B3115*List!$AV$6,0)</f>
        <v>0</v>
      </c>
      <c r="E3115" s="460" t="s">
        <v>180</v>
      </c>
      <c r="F3115" s="460"/>
      <c r="G3115" s="465"/>
      <c r="H3115" s="460"/>
      <c r="I3115" s="1259"/>
      <c r="K3115" s="477" t="s">
        <v>183</v>
      </c>
      <c r="L3115" s="477" t="str">
        <f>K3107&amp;"."&amp;K3115</f>
        <v>24.Thickness</v>
      </c>
      <c r="M3115" s="1252" t="e">
        <f>IF(B3172=0,F3176,B3172)</f>
        <v>#N/A</v>
      </c>
    </row>
    <row r="3116" spans="1:13" ht="14.55" customHeight="1" x14ac:dyDescent="0.3">
      <c r="A3116" s="1258"/>
      <c r="B3116" s="459"/>
      <c r="C3116" s="459"/>
      <c r="D3116" s="460"/>
      <c r="E3116" s="460"/>
      <c r="F3116" s="460"/>
      <c r="G3116" s="465"/>
      <c r="H3116" s="460"/>
      <c r="I3116" s="1259"/>
      <c r="K3116" s="477" t="s">
        <v>184</v>
      </c>
      <c r="L3116" s="477" t="str">
        <f>K3107&amp;"."&amp;K3116</f>
        <v>24.Unit Weight</v>
      </c>
      <c r="M3116" s="1252">
        <f>B3225</f>
        <v>0</v>
      </c>
    </row>
    <row r="3117" spans="1:13" ht="14.55" customHeight="1" x14ac:dyDescent="0.3">
      <c r="A3117" s="1260" t="s">
        <v>185</v>
      </c>
      <c r="B3117" s="459" t="s">
        <v>186</v>
      </c>
      <c r="C3117" s="459"/>
      <c r="D3117" s="460"/>
      <c r="E3117" s="460"/>
      <c r="F3117" s="460" t="s">
        <v>187</v>
      </c>
      <c r="G3117" s="465"/>
      <c r="H3117" s="460"/>
      <c r="I3117" s="1259"/>
      <c r="K3117" s="478" t="s">
        <v>188</v>
      </c>
      <c r="L3117" s="477" t="str">
        <f>K3107&amp;"."&amp;K3117</f>
        <v>24.Unit External Surface</v>
      </c>
      <c r="M3117" s="1252" t="e">
        <f>B3221</f>
        <v>#N/A</v>
      </c>
    </row>
    <row r="3118" spans="1:13" ht="14.55" customHeight="1" x14ac:dyDescent="0.3">
      <c r="A3118" s="1258" t="s">
        <v>189</v>
      </c>
      <c r="B3118" s="1716"/>
      <c r="C3118" s="1717"/>
      <c r="D3118" s="460"/>
      <c r="E3118" s="461"/>
      <c r="F3118" s="1716"/>
      <c r="G3118" s="1717"/>
      <c r="H3118" s="460"/>
      <c r="I3118" s="1259"/>
      <c r="K3118" s="477" t="s">
        <v>191</v>
      </c>
      <c r="L3118" s="477" t="str">
        <f>K3107&amp;"."&amp;K3118</f>
        <v>24.M1 DN</v>
      </c>
      <c r="M3118" s="1252">
        <f>C3239</f>
        <v>0</v>
      </c>
    </row>
    <row r="3119" spans="1:13" ht="14.55" customHeight="1" x14ac:dyDescent="0.3">
      <c r="A3119" s="1258" t="s">
        <v>192</v>
      </c>
      <c r="B3119" s="1716"/>
      <c r="C3119" s="1717"/>
      <c r="D3119" s="460"/>
      <c r="E3119" s="461"/>
      <c r="F3119" s="1716"/>
      <c r="G3119" s="1717"/>
      <c r="H3119" s="460"/>
      <c r="I3119" s="1259"/>
      <c r="K3119" s="477" t="s">
        <v>193</v>
      </c>
      <c r="L3119" s="477" t="str">
        <f>K3107&amp;"."&amp;K3119</f>
        <v>24.M1 Rating</v>
      </c>
      <c r="M3119" s="1252">
        <f>D3239</f>
        <v>0</v>
      </c>
    </row>
    <row r="3120" spans="1:13" ht="14.55" customHeight="1" x14ac:dyDescent="0.3">
      <c r="A3120" s="1258"/>
      <c r="B3120" s="466"/>
      <c r="C3120" s="466"/>
      <c r="D3120" s="460"/>
      <c r="E3120" s="460"/>
      <c r="F3120" s="460"/>
      <c r="G3120" s="460"/>
      <c r="H3120" s="460"/>
      <c r="I3120" s="1259"/>
      <c r="K3120" s="477" t="s">
        <v>194</v>
      </c>
      <c r="L3120" s="477" t="str">
        <f>K3107&amp;"."&amp;K3120</f>
        <v>24.M1 Type</v>
      </c>
      <c r="M3120" s="1252">
        <f>E3239</f>
        <v>0</v>
      </c>
    </row>
    <row r="3121" spans="1:13" ht="14.55" customHeight="1" x14ac:dyDescent="0.3">
      <c r="A3121" s="1258" t="s">
        <v>195</v>
      </c>
      <c r="B3121" s="460"/>
      <c r="C3121" s="460"/>
      <c r="D3121" s="460"/>
      <c r="E3121" s="460"/>
      <c r="F3121" s="460"/>
      <c r="G3121" s="460"/>
      <c r="H3121" s="460"/>
      <c r="I3121" s="1259"/>
      <c r="K3121" s="477" t="s">
        <v>196</v>
      </c>
      <c r="L3121" s="477" t="str">
        <f>K3107&amp;"."&amp;K3121</f>
        <v>24.M1 Quantity</v>
      </c>
      <c r="M3121" s="1252">
        <f>F3239</f>
        <v>0</v>
      </c>
    </row>
    <row r="3122" spans="1:13" ht="14.55" customHeight="1" x14ac:dyDescent="0.3">
      <c r="A3122" s="1258" t="s">
        <v>197</v>
      </c>
      <c r="B3122" s="464" t="e">
        <f>$D3113*(VLOOKUP($B3118,'ASME II Tab 1A'!$1:$1048576,MATCH($D3113,'ASME II Tab 1A'!$6:$6,1)+1,0)-VLOOKUP($B3118,'ASME II Tab 1A'!$1:$1048576,MATCH($D3113,'ASME II Tab 1A'!$6:$6,1),0))/(INDEX('ASME II Tab 1A'!$6:$6,MATCH($D3113,'ASME II Tab 1A'!$6:$6,1)+1)-INDEX('ASME II Tab 1A'!$6:$6,MATCH($D3113,'ASME II Tab 1A'!$6:$6,1)))+VLOOKUP($B3118,'ASME II Tab 1A'!$1:$1048576,MATCH($D3113,'ASME II Tab 1A'!$6:$6,1)+1,0)-INDEX('ASME II Tab 1A'!$6:$6,MATCH($D3113,'ASME II Tab 1A'!$6:$6,1)+1)*(VLOOKUP($B3118,'ASME II Tab 1A'!$1:$1048576,MATCH($D3113,'ASME II Tab 1A'!$6:$6,1)+1,0)-VLOOKUP($B3118,'ASME II Tab 1A'!$1:$1048576,MATCH($D3113,'ASME II Tab 1A'!$6:$6,1),0))/(INDEX('ASME II Tab 1A'!$6:$6,MATCH($D3113,'ASME II Tab 1A'!$6:$6,1)+1)-INDEX('ASME II Tab 1A'!$6:$6,MATCH($D3113,'ASME II Tab 1A'!$6:$6,1)))</f>
        <v>#N/A</v>
      </c>
      <c r="C3122" s="460" t="s">
        <v>198</v>
      </c>
      <c r="D3122" s="460"/>
      <c r="E3122" s="467"/>
      <c r="F3122" s="460" t="e">
        <f>$D3113*(VLOOKUP($F3118,'ASME II Tab 1A'!$1:$1048576,MATCH($D3113,'ASME II Tab 1A'!$6:$6,1)+1,0)-VLOOKUP($F3118,'ASME II Tab 1A'!$1:$1048576,MATCH($D3113,'ASME II Tab 1A'!$6:$6,1),0))/(INDEX('ASME II Tab 1A'!$6:$6,MATCH($D3113,'ASME II Tab 1A'!$6:$6,1)+1)-INDEX('ASME II Tab 1A'!$6:$6,MATCH($D3113,'ASME II Tab 1A'!$6:$6,1)))+VLOOKUP($F3118,'ASME II Tab 1A'!$1:$1048576,MATCH($D3113,'ASME II Tab 1A'!$6:$6,1)+1,0)-INDEX('ASME II Tab 1A'!$6:$6,MATCH($D3113,'ASME II Tab 1A'!$6:$6,1)+1)*(VLOOKUP($F3118,'ASME II Tab 1A'!$1:$1048576,MATCH($D3113,'ASME II Tab 1A'!$6:$6,1)+1,0)-VLOOKUP($F3118,'ASME II Tab 1A'!$1:$1048576,MATCH($D3113,'ASME II Tab 1A'!$6:$6,1),0))/(INDEX('ASME II Tab 1A'!$6:$6,MATCH($D3113,'ASME II Tab 1A'!$6:$6,1)+1)-INDEX('ASME II Tab 1A'!$6:$6,MATCH($D3113,'ASME II Tab 1A'!$6:$6,1)))</f>
        <v>#N/A</v>
      </c>
      <c r="G3122" s="460" t="s">
        <v>198</v>
      </c>
      <c r="H3122" s="460"/>
      <c r="I3122" s="1259"/>
      <c r="K3122" s="477" t="s">
        <v>199</v>
      </c>
      <c r="L3122" s="477" t="str">
        <f>K3107&amp;"."&amp;K3122</f>
        <v>24.M2 DN</v>
      </c>
      <c r="M3122" s="1252">
        <f>C3240</f>
        <v>0</v>
      </c>
    </row>
    <row r="3123" spans="1:13" ht="14.55" customHeight="1" x14ac:dyDescent="0.3">
      <c r="A3123" s="1258" t="s">
        <v>200</v>
      </c>
      <c r="B3123" s="464" t="e">
        <f>$D3113*(VLOOKUP($B3119,'ASME II Tab 1A'!$1:$1048576,MATCH($D3113,'ASME II Tab 1A'!$6:$6,1)+1,0)-VLOOKUP($B3119,'ASME II Tab 1A'!$1:$1048576,MATCH($D3113,'ASME II Tab 1A'!$6:$6,1),0))/(INDEX('ASME II Tab 1A'!$6:$6,MATCH($D3113,'ASME II Tab 1A'!$6:$6,1)+1)-INDEX('ASME II Tab 1A'!$6:$6,MATCH($D3113,'ASME II Tab 1A'!$6:$6,1)))+VLOOKUP($B3119,'ASME II Tab 1A'!$1:$1048576,MATCH($D3113,'ASME II Tab 1A'!$6:$6,1)+1,0)-INDEX('ASME II Tab 1A'!$6:$6,MATCH($D3113,'ASME II Tab 1A'!$6:$6,1)+1)*(VLOOKUP($B3119,'ASME II Tab 1A'!$1:$1048576,MATCH($D3113,'ASME II Tab 1A'!$6:$6,1)+1,0)-VLOOKUP($B3119,'ASME II Tab 1A'!$1:$1048576,MATCH($D3113,'ASME II Tab 1A'!$6:$6,1),0))/(INDEX('ASME II Tab 1A'!$6:$6,MATCH($D3113,'ASME II Tab 1A'!$6:$6,1)+1)-INDEX('ASME II Tab 1A'!$6:$6,MATCH($D3113,'ASME II Tab 1A'!$6:$6,1)))</f>
        <v>#N/A</v>
      </c>
      <c r="C3123" s="460" t="s">
        <v>198</v>
      </c>
      <c r="D3123" s="460"/>
      <c r="E3123" s="460"/>
      <c r="F3123" s="460" t="e">
        <f>$D3113*(VLOOKUP($F3119,'ASME II Tab 1A'!$1:$1048576,MATCH($D3113,'ASME II Tab 1A'!$6:$6,1)+1,0)-VLOOKUP($F3119,'ASME II Tab 1A'!$1:$1048576,MATCH($D3113,'ASME II Tab 1A'!$6:$6,1),0))/(INDEX('ASME II Tab 1A'!$6:$6,MATCH($D3113,'ASME II Tab 1A'!$6:$6,1)+1)-INDEX('ASME II Tab 1A'!$6:$6,MATCH($D3113,'ASME II Tab 1A'!$6:$6,1)))+VLOOKUP($F3119,'ASME II Tab 1A'!$1:$1048576,MATCH($D3113,'ASME II Tab 1A'!$6:$6,1)+1,0)-INDEX('ASME II Tab 1A'!$6:$6,MATCH($D3113,'ASME II Tab 1A'!$6:$6,1)+1)*(VLOOKUP($F3119,'ASME II Tab 1A'!$1:$1048576,MATCH($D3113,'ASME II Tab 1A'!$6:$6,1)+1,0)-VLOOKUP($F3119,'ASME II Tab 1A'!$1:$1048576,MATCH($D3113,'ASME II Tab 1A'!$6:$6,1),0))/(INDEX('ASME II Tab 1A'!$6:$6,MATCH($D3113,'ASME II Tab 1A'!$6:$6,1)+1)-INDEX('ASME II Tab 1A'!$6:$6,MATCH($D3113,'ASME II Tab 1A'!$6:$6,1)))</f>
        <v>#N/A</v>
      </c>
      <c r="G3123" s="460" t="s">
        <v>198</v>
      </c>
      <c r="H3123" s="460"/>
      <c r="I3123" s="1259"/>
      <c r="K3123" s="477" t="s">
        <v>201</v>
      </c>
      <c r="L3123" s="477" t="str">
        <f>K3107&amp;"."&amp;K3123</f>
        <v>24.M2 Rating</v>
      </c>
      <c r="M3123" s="1252">
        <f>D3240</f>
        <v>0</v>
      </c>
    </row>
    <row r="3124" spans="1:13" ht="14.55" customHeight="1" x14ac:dyDescent="0.3">
      <c r="A3124" s="1258" t="s">
        <v>202</v>
      </c>
      <c r="B3124" s="460"/>
      <c r="C3124" s="460"/>
      <c r="D3124" s="460"/>
      <c r="E3124" s="460"/>
      <c r="F3124" s="460"/>
      <c r="G3124" s="460"/>
      <c r="H3124" s="460"/>
      <c r="I3124" s="1259"/>
      <c r="K3124" s="477" t="s">
        <v>203</v>
      </c>
      <c r="L3124" s="477" t="str">
        <f>K3107&amp;"."&amp;K3124</f>
        <v>24.M2 Type</v>
      </c>
      <c r="M3124" s="1252">
        <f>E3240</f>
        <v>0</v>
      </c>
    </row>
    <row r="3125" spans="1:13" ht="14.55" customHeight="1" x14ac:dyDescent="0.3">
      <c r="A3125" s="1258" t="s">
        <v>197</v>
      </c>
      <c r="B3125" s="464" t="e">
        <f>$D3113*(VLOOKUP($B3118,'ASME II Tab 5A'!$1:$1048576,MATCH($D3113,'ASME II Tab 5A'!$5:$5,1)+1,0)-VLOOKUP($B3118,'ASME II Tab 5A'!$1:$1048576,MATCH($D3113,'ASME II Tab 5A'!$5:$5,1),0))/(INDEX('ASME II Tab 5A'!$5:$5,MATCH($D3113,'ASME II Tab 5A'!$5:$5,1)+1)-INDEX('ASME II Tab 5A'!$5:$5,MATCH($D3113,'ASME II Tab 5A'!$5:$5,1)))+VLOOKUP($B3118,'ASME II Tab 5A'!$1:$1048576,MATCH($D3113,'ASME II Tab 5A'!$5:$5,1)+1,0)-INDEX('ASME II Tab 5A'!$5:$5,MATCH($D3113,'ASME II Tab 5A'!$5:$5,1)+1)*(VLOOKUP($B3118,'ASME II Tab 5A'!$1:$1048576,MATCH($D3113,'ASME II Tab 5A'!$5:$5,1)+1,0)-VLOOKUP($B3118,'ASME II Tab 5A'!$1:$1048576,MATCH($D3113,'ASME II Tab 5A'!$5:$5,1),0))/(INDEX('ASME II Tab 5A'!$5:$5,MATCH($D3113,'ASME II Tab 5A'!$5:$5,1)+1)-INDEX('ASME II Tab 5A'!$5:$5,MATCH($D3113,'ASME II Tab 5A'!$5:$5,1)))</f>
        <v>#N/A</v>
      </c>
      <c r="C3125" s="460" t="s">
        <v>198</v>
      </c>
      <c r="D3125" s="460"/>
      <c r="E3125" s="460"/>
      <c r="F3125" s="460" t="e">
        <f>$D3113*(VLOOKUP($F3118,'ASME II Tab 5A'!$1:$1048576,MATCH($D3113,'ASME II Tab 5A'!$5:$5,1)+1,0)-VLOOKUP($F3118,'ASME II Tab 5A'!$1:$1048576,MATCH($D3113,'ASME II Tab 5A'!$5:$5,1),0))/(INDEX('ASME II Tab 5A'!$5:$5,MATCH($D3113,'ASME II Tab 5A'!$5:$5,1)+1)-INDEX('ASME II Tab 5A'!$5:$5,MATCH($D3113,'ASME II Tab 5A'!$5:$5,1)))+VLOOKUP($F3118,'ASME II Tab 5A'!$1:$1048576,MATCH($D3113,'ASME II Tab 5A'!$5:$5,1)+1,0)-INDEX('ASME II Tab 5A'!$5:$5,MATCH($D3113,'ASME II Tab 5A'!$5:$5,1)+1)*(VLOOKUP($F3118,'ASME II Tab 5A'!$1:$1048576,MATCH($D3113,'ASME II Tab 5A'!$5:$5,1)+1,0)-VLOOKUP($F3118,'ASME II Tab 5A'!$1:$1048576,MATCH($D3113,'ASME II Tab 5A'!$5:$5,1),0))/(INDEX('ASME II Tab 5A'!$5:$5,MATCH($D3113,'ASME II Tab 5A'!$5:$5,1)+1)-INDEX('ASME II Tab 5A'!$5:$5,MATCH($D3113,'ASME II Tab 5A'!$5:$5,1)))</f>
        <v>#N/A</v>
      </c>
      <c r="G3125" s="460" t="s">
        <v>198</v>
      </c>
      <c r="H3125" s="460"/>
      <c r="I3125" s="1259"/>
      <c r="K3125" s="477" t="s">
        <v>204</v>
      </c>
      <c r="L3125" s="477" t="str">
        <f>K3107&amp;"."&amp;K3125</f>
        <v>24.M2 Quantity</v>
      </c>
      <c r="M3125" s="1252">
        <f>F3240</f>
        <v>0</v>
      </c>
    </row>
    <row r="3126" spans="1:13" ht="14.55" customHeight="1" x14ac:dyDescent="0.3">
      <c r="A3126" s="1258" t="s">
        <v>200</v>
      </c>
      <c r="B3126" s="464" t="e">
        <f>$D3113*(VLOOKUP($B3119,'ASME II Tab 5A'!$1:$1048576,MATCH($D3113,'ASME II Tab 5A'!$5:$5,1)+1,0)-VLOOKUP($B3119,'ASME II Tab 5A'!$1:$1048576,MATCH($D3113,'ASME II Tab 5A'!$5:$5,1),0))/(INDEX('ASME II Tab 5A'!$5:$5,MATCH($D3113,'ASME II Tab 5A'!$5:$5,1)+1)-INDEX('ASME II Tab 5A'!$5:$5,MATCH($D3113,'ASME II Tab 5A'!$5:$5,1)))+VLOOKUP($B3119,'ASME II Tab 5A'!$1:$1048576,MATCH($D3113,'ASME II Tab 5A'!$5:$5,1)+1,0)-INDEX('ASME II Tab 5A'!$5:$5,MATCH($D3113,'ASME II Tab 5A'!$5:$5,1)+1)*(VLOOKUP($B3119,'ASME II Tab 5A'!$1:$1048576,MATCH($D3113,'ASME II Tab 5A'!$5:$5,1)+1,0)-VLOOKUP($B3119,'ASME II Tab 5A'!$1:$1048576,MATCH($D3113,'ASME II Tab 5A'!$5:$5,1),0))/(INDEX('ASME II Tab 5A'!$5:$5,MATCH($D3113,'ASME II Tab 5A'!$5:$5,1)+1)-INDEX('ASME II Tab 5A'!$5:$5,MATCH($D3113,'ASME II Tab 5A'!$5:$5,1)))</f>
        <v>#N/A</v>
      </c>
      <c r="C3126" s="460" t="s">
        <v>198</v>
      </c>
      <c r="D3126" s="460"/>
      <c r="E3126" s="460"/>
      <c r="F3126" s="460" t="e">
        <f>$D3113*(VLOOKUP($F3119,'ASME II Tab 5A'!$1:$1048576,MATCH($D3113,'ASME II Tab 5A'!$5:$5,1)+1,0)-VLOOKUP($F3119,'ASME II Tab 5A'!$1:$1048576,MATCH($D3113,'ASME II Tab 5A'!$5:$5,1),0))/(INDEX('ASME II Tab 5A'!$5:$5,MATCH($D3113,'ASME II Tab 5A'!$5:$5,1)+1)-INDEX('ASME II Tab 5A'!$5:$5,MATCH($D3113,'ASME II Tab 5A'!$5:$5,1)))+VLOOKUP($F3119,'ASME II Tab 5A'!$1:$1048576,MATCH($D3113,'ASME II Tab 5A'!$5:$5,1)+1,0)-INDEX('ASME II Tab 5A'!$5:$5,MATCH($D3113,'ASME II Tab 5A'!$5:$5,1)+1)*(VLOOKUP($F3119,'ASME II Tab 5A'!$1:$1048576,MATCH($D3113,'ASME II Tab 5A'!$5:$5,1)+1,0)-VLOOKUP($F3119,'ASME II Tab 5A'!$1:$1048576,MATCH($D3113,'ASME II Tab 5A'!$5:$5,1),0))/(INDEX('ASME II Tab 5A'!$5:$5,MATCH($D3113,'ASME II Tab 5A'!$5:$5,1)+1)-INDEX('ASME II Tab 5A'!$5:$5,MATCH($D3113,'ASME II Tab 5A'!$5:$5,1)))</f>
        <v>#N/A</v>
      </c>
      <c r="G3126" s="460" t="s">
        <v>198</v>
      </c>
      <c r="H3126" s="460"/>
      <c r="I3126" s="1259"/>
      <c r="K3126" s="477" t="s">
        <v>205</v>
      </c>
      <c r="L3126" s="477" t="str">
        <f>K3107&amp;"."&amp;K3126</f>
        <v>24.M3 DN</v>
      </c>
      <c r="M3126" s="1252">
        <f>C3241</f>
        <v>0</v>
      </c>
    </row>
    <row r="3127" spans="1:13" ht="14.55" customHeight="1" x14ac:dyDescent="0.3">
      <c r="A3127" s="1258"/>
      <c r="B3127" s="460"/>
      <c r="C3127" s="460"/>
      <c r="D3127" s="460"/>
      <c r="E3127" s="460"/>
      <c r="F3127" s="460"/>
      <c r="G3127" s="460"/>
      <c r="H3127" s="460"/>
      <c r="I3127" s="1259"/>
      <c r="K3127" s="477" t="s">
        <v>206</v>
      </c>
      <c r="L3127" s="477" t="str">
        <f>K3107&amp;"."&amp;K3127</f>
        <v>24.M3 Rating</v>
      </c>
      <c r="M3127" s="1252">
        <f>D3241</f>
        <v>0</v>
      </c>
    </row>
    <row r="3128" spans="1:13" ht="14.55" customHeight="1" x14ac:dyDescent="0.3">
      <c r="A3128" s="1260" t="s">
        <v>207</v>
      </c>
      <c r="B3128" s="453"/>
      <c r="C3128" s="460"/>
      <c r="D3128" s="453"/>
      <c r="E3128" s="460"/>
      <c r="F3128" s="453"/>
      <c r="G3128" s="460"/>
      <c r="H3128" s="460"/>
      <c r="I3128" s="1259"/>
      <c r="K3128" s="477" t="s">
        <v>208</v>
      </c>
      <c r="L3128" s="477" t="str">
        <f>K3107&amp;"."&amp;K3128</f>
        <v>24.M3 Type</v>
      </c>
      <c r="M3128" s="1252">
        <f>E3241</f>
        <v>0</v>
      </c>
    </row>
    <row r="3129" spans="1:13" ht="14.55" customHeight="1" x14ac:dyDescent="0.3">
      <c r="A3129" s="1260"/>
      <c r="B3129" s="305" t="s">
        <v>209</v>
      </c>
      <c r="C3129" s="460"/>
      <c r="D3129" s="305" t="s">
        <v>210</v>
      </c>
      <c r="E3129" s="460"/>
      <c r="F3129" s="305" t="s">
        <v>211</v>
      </c>
      <c r="G3129" s="460"/>
      <c r="H3129" s="460"/>
      <c r="I3129" s="1259"/>
      <c r="K3129" s="477" t="s">
        <v>212</v>
      </c>
      <c r="L3129" s="477" t="str">
        <f>K3107&amp;"."&amp;K3129</f>
        <v>24.M3 Quantity</v>
      </c>
      <c r="M3129" s="1252">
        <f>F3241</f>
        <v>0</v>
      </c>
    </row>
    <row r="3130" spans="1:13" ht="14.55" customHeight="1" x14ac:dyDescent="0.3">
      <c r="A3130" s="1258" t="s">
        <v>213</v>
      </c>
      <c r="B3130" s="305"/>
      <c r="C3130" s="460"/>
      <c r="D3130" s="305"/>
      <c r="E3130" s="460"/>
      <c r="F3130" s="723"/>
      <c r="G3130" s="460" t="s">
        <v>214</v>
      </c>
      <c r="H3130" s="460"/>
      <c r="I3130" s="1259"/>
      <c r="K3130" s="477" t="s">
        <v>215</v>
      </c>
      <c r="L3130" s="477" t="str">
        <f>K3107&amp;"."&amp;K3130</f>
        <v>24.Shell insulation thk 1</v>
      </c>
      <c r="M3130" s="1252">
        <f>B3178</f>
        <v>0</v>
      </c>
    </row>
    <row r="3131" spans="1:13" ht="14.55" customHeight="1" x14ac:dyDescent="0.3">
      <c r="A3131" s="1258" t="s">
        <v>216</v>
      </c>
      <c r="B3131" s="722"/>
      <c r="C3131" s="460" t="s">
        <v>93</v>
      </c>
      <c r="D3131" s="722"/>
      <c r="E3131" s="460" t="s">
        <v>93</v>
      </c>
      <c r="F3131" s="468">
        <f>F3132-2*F3176</f>
        <v>0</v>
      </c>
      <c r="G3131" s="460" t="s">
        <v>93</v>
      </c>
      <c r="H3131" s="460"/>
      <c r="I3131" s="1259"/>
      <c r="K3131" s="477" t="s">
        <v>217</v>
      </c>
      <c r="L3131" s="477" t="str">
        <f>K3107&amp;"."&amp;K3131</f>
        <v>24.Head insulation thk 1</v>
      </c>
      <c r="M3131" s="1252">
        <f>B3179</f>
        <v>0</v>
      </c>
    </row>
    <row r="3132" spans="1:13" ht="14.55" customHeight="1" x14ac:dyDescent="0.3">
      <c r="A3132" s="1258" t="s">
        <v>218</v>
      </c>
      <c r="B3132" s="468" t="e">
        <f>B3131+B3172*2</f>
        <v>#N/A</v>
      </c>
      <c r="C3132" s="460" t="s">
        <v>93</v>
      </c>
      <c r="D3132" s="468" t="e">
        <f>D3131+D3172*2</f>
        <v>#N/A</v>
      </c>
      <c r="E3132" s="460" t="s">
        <v>93</v>
      </c>
      <c r="F3132" s="468">
        <f>IFERROR(VLOOKUP(F3130,'Thickness Tab'!$1:$1048576,3,0),0)</f>
        <v>0</v>
      </c>
      <c r="G3132" s="460" t="s">
        <v>93</v>
      </c>
      <c r="H3132" s="469"/>
      <c r="I3132" s="1261"/>
      <c r="K3132" s="477" t="s">
        <v>219</v>
      </c>
      <c r="L3132" s="477" t="str">
        <f>K3107&amp;"."&amp;K3132</f>
        <v>24.Reducer insulation thk 1</v>
      </c>
      <c r="M3132" s="1252">
        <f>B3180</f>
        <v>0</v>
      </c>
    </row>
    <row r="3133" spans="1:13" ht="14.55" customHeight="1" x14ac:dyDescent="0.3">
      <c r="A3133" s="1258" t="s">
        <v>181</v>
      </c>
      <c r="B3133" s="722"/>
      <c r="C3133" s="460" t="s">
        <v>93</v>
      </c>
      <c r="D3133" s="722"/>
      <c r="E3133" s="460" t="s">
        <v>93</v>
      </c>
      <c r="F3133" s="722"/>
      <c r="G3133" s="460" t="s">
        <v>93</v>
      </c>
      <c r="H3133" s="460"/>
      <c r="I3133" s="1259"/>
      <c r="K3133" s="477" t="s">
        <v>220</v>
      </c>
      <c r="L3133" s="477" t="str">
        <f>K3107&amp;"."&amp;K3133</f>
        <v>24.Shell insulation area 1</v>
      </c>
      <c r="M3133" s="1252" t="e">
        <f>B3138</f>
        <v>#N/A</v>
      </c>
    </row>
    <row r="3134" spans="1:13" ht="14.55" customHeight="1" x14ac:dyDescent="0.3">
      <c r="A3134" s="1258" t="s">
        <v>221</v>
      </c>
      <c r="B3134" s="468" t="e">
        <f>(PI()*B3133*(((B3132/2)^2)-((B3131/2)^2))*7860)/1000000000*1.05</f>
        <v>#N/A</v>
      </c>
      <c r="C3134" s="460" t="s">
        <v>222</v>
      </c>
      <c r="D3134" s="468" t="e">
        <f>(PI()*D3133*(((D3132/2)^2)-((D3131/2)^2))*7860)/1000000000*1.05</f>
        <v>#N/A</v>
      </c>
      <c r="E3134" s="460" t="s">
        <v>222</v>
      </c>
      <c r="F3134" s="468">
        <f>(PI()*F3133*(((F3132/2)^2)-((F3131/2)^2))*7860)/1000000000*1.05</f>
        <v>0</v>
      </c>
      <c r="G3134" s="460" t="s">
        <v>222</v>
      </c>
      <c r="H3134" s="469"/>
      <c r="I3134" s="1261"/>
      <c r="K3134" s="477" t="s">
        <v>223</v>
      </c>
      <c r="L3134" s="477" t="str">
        <f>K3107&amp;"."&amp;K3134</f>
        <v>24.Head insulation area 1</v>
      </c>
      <c r="M3134" s="1252" t="e">
        <f>B3150</f>
        <v>#N/A</v>
      </c>
    </row>
    <row r="3135" spans="1:13" ht="14.55" customHeight="1" x14ac:dyDescent="0.3">
      <c r="A3135" s="1258" t="s">
        <v>224</v>
      </c>
      <c r="B3135" s="468">
        <f>(PI()*((B3131/2)^2)*B3133)/1000000000</f>
        <v>0</v>
      </c>
      <c r="C3135" s="460" t="s">
        <v>225</v>
      </c>
      <c r="D3135" s="468">
        <f>(PI()*((D3131/2)^2)*D3133)/1000000000</f>
        <v>0</v>
      </c>
      <c r="E3135" s="460" t="s">
        <v>225</v>
      </c>
      <c r="F3135" s="468">
        <f>(PI()*((F3131/2)^2)*F3133)/1000000000</f>
        <v>0</v>
      </c>
      <c r="G3135" s="460" t="s">
        <v>225</v>
      </c>
      <c r="H3135" s="469"/>
      <c r="I3135" s="1261"/>
      <c r="K3135" s="477" t="s">
        <v>226</v>
      </c>
      <c r="L3135" s="477" t="str">
        <f>K3107&amp;"."&amp;K3135</f>
        <v>24.Reducer insulation area 1</v>
      </c>
      <c r="M3135" s="1252" t="e">
        <f>B3163</f>
        <v>#N/A</v>
      </c>
    </row>
    <row r="3136" spans="1:13" ht="14.55" customHeight="1" x14ac:dyDescent="0.3">
      <c r="A3136" s="1258" t="s">
        <v>227</v>
      </c>
      <c r="B3136" s="468" t="e">
        <f>(B3132*3.14*B3133)/1000000</f>
        <v>#N/A</v>
      </c>
      <c r="C3136" s="460" t="s">
        <v>228</v>
      </c>
      <c r="D3136" s="468" t="e">
        <f>(D3132*3.14*D3133)/1000000</f>
        <v>#N/A</v>
      </c>
      <c r="E3136" s="460" t="s">
        <v>228</v>
      </c>
      <c r="F3136" s="468">
        <f>(F3132*3.14*F3133)/1000000</f>
        <v>0</v>
      </c>
      <c r="G3136" s="460" t="s">
        <v>228</v>
      </c>
      <c r="H3136" s="469"/>
      <c r="I3136" s="1261"/>
      <c r="K3136" s="477" t="s">
        <v>229</v>
      </c>
      <c r="L3136" s="477" t="str">
        <f>K3107&amp;"."&amp;K3136</f>
        <v>24.Shell insulation thk 2</v>
      </c>
      <c r="M3136" s="1252">
        <f>D3178</f>
        <v>0</v>
      </c>
    </row>
    <row r="3137" spans="1:13" ht="14.55" customHeight="1" x14ac:dyDescent="0.3">
      <c r="A3137" s="1258" t="s">
        <v>230</v>
      </c>
      <c r="B3137" s="468" t="e">
        <f>B3132+2*B3178</f>
        <v>#N/A</v>
      </c>
      <c r="C3137" s="460" t="s">
        <v>93</v>
      </c>
      <c r="D3137" s="468" t="e">
        <f>D3132+2*D3178</f>
        <v>#N/A</v>
      </c>
      <c r="E3137" s="460" t="s">
        <v>93</v>
      </c>
      <c r="F3137" s="468">
        <f>F3132+2*F3178</f>
        <v>0</v>
      </c>
      <c r="G3137" s="460" t="s">
        <v>93</v>
      </c>
      <c r="H3137" s="469"/>
      <c r="I3137" s="1261"/>
      <c r="K3137" s="477" t="s">
        <v>231</v>
      </c>
      <c r="L3137" s="477" t="str">
        <f>K3107&amp;"."&amp;K3137</f>
        <v>24.Head insulation thk 2</v>
      </c>
      <c r="M3137" s="1252">
        <f>D3179</f>
        <v>0</v>
      </c>
    </row>
    <row r="3138" spans="1:13" ht="14.55" customHeight="1" x14ac:dyDescent="0.3">
      <c r="A3138" s="1258" t="s">
        <v>232</v>
      </c>
      <c r="B3138" s="468" t="e">
        <f>(B3137*3.14*B3133)/1000000</f>
        <v>#N/A</v>
      </c>
      <c r="C3138" s="460" t="s">
        <v>228</v>
      </c>
      <c r="D3138" s="468" t="e">
        <f>(D3137*3.14*D3133)/1000000</f>
        <v>#N/A</v>
      </c>
      <c r="E3138" s="460" t="s">
        <v>228</v>
      </c>
      <c r="F3138" s="468">
        <f>(F3137*3.14*F3133)/1000000</f>
        <v>0</v>
      </c>
      <c r="G3138" s="460" t="s">
        <v>228</v>
      </c>
      <c r="H3138" s="469"/>
      <c r="I3138" s="1261"/>
      <c r="K3138" s="477" t="s">
        <v>233</v>
      </c>
      <c r="L3138" s="477" t="str">
        <f>K3107&amp;"."&amp;K3138</f>
        <v>24.Reducer insulation thk 2</v>
      </c>
      <c r="M3138" s="1252">
        <f>D3180</f>
        <v>0</v>
      </c>
    </row>
    <row r="3139" spans="1:13" ht="14.55" customHeight="1" x14ac:dyDescent="0.3">
      <c r="A3139" s="1258"/>
      <c r="B3139" s="468"/>
      <c r="C3139" s="460"/>
      <c r="D3139" s="468"/>
      <c r="E3139" s="460"/>
      <c r="F3139" s="468"/>
      <c r="G3139" s="460"/>
      <c r="H3139" s="469"/>
      <c r="I3139" s="1261"/>
      <c r="K3139" s="477" t="s">
        <v>234</v>
      </c>
      <c r="L3139" s="477" t="str">
        <f>K3107&amp;"."&amp;K3139</f>
        <v>24.Shell insulation area 2</v>
      </c>
      <c r="M3139" s="1252" t="e">
        <f>D3138</f>
        <v>#N/A</v>
      </c>
    </row>
    <row r="3140" spans="1:13" ht="14.55" customHeight="1" x14ac:dyDescent="0.3">
      <c r="A3140" s="1258"/>
      <c r="B3140" s="468" t="s">
        <v>235</v>
      </c>
      <c r="C3140" s="460"/>
      <c r="D3140" s="468" t="s">
        <v>236</v>
      </c>
      <c r="E3140" s="460"/>
      <c r="F3140" s="468" t="s">
        <v>237</v>
      </c>
      <c r="G3140" s="460"/>
      <c r="H3140" s="469"/>
      <c r="I3140" s="1261"/>
      <c r="K3140" s="477" t="s">
        <v>238</v>
      </c>
      <c r="L3140" s="477" t="str">
        <f>K3107&amp;"."&amp;K3140</f>
        <v>24.Head insulation area 2</v>
      </c>
      <c r="M3140" s="1252" t="e">
        <f>D3150</f>
        <v>#N/A</v>
      </c>
    </row>
    <row r="3141" spans="1:13" ht="14.55" customHeight="1" x14ac:dyDescent="0.3">
      <c r="A3141" s="1258" t="s">
        <v>239</v>
      </c>
      <c r="B3141" s="468">
        <f>B3131</f>
        <v>0</v>
      </c>
      <c r="C3141" s="460" t="s">
        <v>93</v>
      </c>
      <c r="D3141" s="468">
        <f>D3131</f>
        <v>0</v>
      </c>
      <c r="E3141" s="460" t="s">
        <v>93</v>
      </c>
      <c r="F3141" s="468">
        <f>F3131</f>
        <v>0</v>
      </c>
      <c r="G3141" s="460" t="s">
        <v>93</v>
      </c>
      <c r="H3141" s="469"/>
      <c r="I3141" s="1261"/>
      <c r="K3141" s="477" t="s">
        <v>240</v>
      </c>
      <c r="L3141" s="477" t="str">
        <f>K3107&amp;"."&amp;K3141</f>
        <v>24.Reducer insulation area 2</v>
      </c>
      <c r="M3141" s="1252">
        <f>D3163</f>
        <v>0</v>
      </c>
    </row>
    <row r="3142" spans="1:13" ht="14.55" customHeight="1" x14ac:dyDescent="0.3">
      <c r="A3142" s="1258" t="s">
        <v>241</v>
      </c>
      <c r="B3142" s="468" t="e">
        <f>B3141+2*B3173</f>
        <v>#N/A</v>
      </c>
      <c r="C3142" s="460" t="s">
        <v>93</v>
      </c>
      <c r="D3142" s="468" t="e">
        <f>D3141+2*D3173</f>
        <v>#N/A</v>
      </c>
      <c r="E3142" s="460" t="s">
        <v>93</v>
      </c>
      <c r="F3142" s="468">
        <f>F3141+2*F3176</f>
        <v>0</v>
      </c>
      <c r="G3142" s="460" t="s">
        <v>93</v>
      </c>
      <c r="H3142" s="469"/>
      <c r="I3142" s="1261"/>
      <c r="K3142" s="477" t="s">
        <v>242</v>
      </c>
      <c r="L3142" s="477" t="str">
        <f>K3107&amp;"."&amp;K3142</f>
        <v>24.Shell insulation thk 3</v>
      </c>
      <c r="M3142" s="1252">
        <f>F3178</f>
        <v>0</v>
      </c>
    </row>
    <row r="3143" spans="1:13" ht="14.55" customHeight="1" x14ac:dyDescent="0.3">
      <c r="A3143" s="1258" t="s">
        <v>243</v>
      </c>
      <c r="B3143" s="722"/>
      <c r="C3143" s="460" t="s">
        <v>93</v>
      </c>
      <c r="D3143" s="722"/>
      <c r="E3143" s="460" t="s">
        <v>93</v>
      </c>
      <c r="F3143" s="452"/>
      <c r="G3143" s="460"/>
      <c r="H3143" s="469"/>
      <c r="I3143" s="1261"/>
      <c r="K3143" s="477" t="s">
        <v>244</v>
      </c>
      <c r="L3143" s="477" t="str">
        <f>K3107&amp;"."&amp;K3143</f>
        <v>24.Head insulation thk 3</v>
      </c>
      <c r="M3143" s="1252">
        <f>F3179</f>
        <v>0</v>
      </c>
    </row>
    <row r="3144" spans="1:13" ht="14.55" customHeight="1" x14ac:dyDescent="0.3">
      <c r="A3144" s="1258" t="s">
        <v>245</v>
      </c>
      <c r="B3144" s="724"/>
      <c r="C3144" s="460"/>
      <c r="D3144" s="724"/>
      <c r="E3144" s="460"/>
      <c r="F3144" s="724"/>
      <c r="G3144" s="460"/>
      <c r="H3144" s="469"/>
      <c r="I3144" s="1261"/>
      <c r="K3144" s="477" t="s">
        <v>246</v>
      </c>
      <c r="L3144" s="477" t="str">
        <f>K3107&amp;"."&amp;K3144</f>
        <v>24.Reducer insulation thk 3</v>
      </c>
      <c r="M3144" s="1252">
        <f>F3180</f>
        <v>0</v>
      </c>
    </row>
    <row r="3145" spans="1:13" ht="14.55" customHeight="1" x14ac:dyDescent="0.3">
      <c r="A3145" s="1258" t="s">
        <v>247</v>
      </c>
      <c r="B3145" s="468">
        <v>0</v>
      </c>
      <c r="C3145" s="460" t="s">
        <v>93</v>
      </c>
      <c r="D3145" s="468">
        <v>0</v>
      </c>
      <c r="E3145" s="460" t="s">
        <v>93</v>
      </c>
      <c r="F3145" s="468">
        <v>0</v>
      </c>
      <c r="G3145" s="460" t="s">
        <v>93</v>
      </c>
      <c r="H3145" s="469"/>
      <c r="I3145" s="1261"/>
      <c r="K3145" s="477" t="s">
        <v>248</v>
      </c>
      <c r="L3145" s="477" t="str">
        <f>K3107&amp;"."&amp;K3145</f>
        <v>24.Shell insulation area 3</v>
      </c>
      <c r="M3145" s="1252">
        <f>F3138</f>
        <v>0</v>
      </c>
    </row>
    <row r="3146" spans="1:13" ht="14.55" customHeight="1" x14ac:dyDescent="0.3">
      <c r="A3146" s="1258" t="s">
        <v>249</v>
      </c>
      <c r="B3146" s="468" t="e">
        <f>((((POWER(((((B3141+B3174)*1.22)+(B3145*2))/100),2)*PI())/4)*(B3174/100))*7.86)</f>
        <v>#N/A</v>
      </c>
      <c r="C3146" s="460" t="s">
        <v>222</v>
      </c>
      <c r="D3146" s="468" t="e">
        <f>((((POWER(((((D3141+D3174)*1.22)+(D3145*2))/100),2)*PI())/4)*(D3174/100))*7.86)</f>
        <v>#N/A</v>
      </c>
      <c r="E3146" s="460" t="s">
        <v>222</v>
      </c>
      <c r="F3146" s="468">
        <f>IFERROR(VLOOKUP(F3130&amp;"."&amp;F3175,'Fitting Chart'!$1:$1048576,5,0),0)</f>
        <v>0</v>
      </c>
      <c r="G3146" s="460" t="s">
        <v>222</v>
      </c>
      <c r="H3146" s="469"/>
      <c r="I3146" s="1261"/>
      <c r="K3146" s="477" t="s">
        <v>250</v>
      </c>
      <c r="L3146" s="477" t="str">
        <f>K3107&amp;"."&amp;K3146</f>
        <v>24.Head insulation area 3</v>
      </c>
      <c r="M3146" s="1252">
        <f>F3149</f>
        <v>0</v>
      </c>
    </row>
    <row r="3147" spans="1:13" ht="14.55" customHeight="1" x14ac:dyDescent="0.3">
      <c r="A3147" s="1258" t="s">
        <v>251</v>
      </c>
      <c r="B3147" s="468" t="e">
        <f>(((0.131*(B3141^3)*10^-6)+((((B3141/2)^2)*PI()*(((B3141/4)+B3173)-B3173-(B3141/4)))))+((PI()*((B3141/2)^2)*B3145))/1000000)/1000</f>
        <v>#N/A</v>
      </c>
      <c r="C3147" s="460" t="s">
        <v>225</v>
      </c>
      <c r="D3147" s="468" t="e">
        <f>(((0.131*(D3141^3)*10^-6)+((((D3141/2)^2)*PI()*(((D3141/4)+D3173)-D3173-(D3141/4)))))+((PI()*((D3141/2)^2)*D3145))/1000000)/1000</f>
        <v>#N/A</v>
      </c>
      <c r="E3147" s="460" t="s">
        <v>225</v>
      </c>
      <c r="F3147" s="468">
        <f>(((0.131*(F3141^3)*10^-6)+((((F3141/2)^2)*PI()*(((F3141/4)+F3176)-F3176-(F3141/4)))))+((PI()*((F3141/2)^2)*F3145))/1000000)/1000</f>
        <v>0</v>
      </c>
      <c r="G3147" s="460" t="s">
        <v>225</v>
      </c>
      <c r="H3147" s="469"/>
      <c r="I3147" s="1261"/>
      <c r="K3147" s="477" t="s">
        <v>252</v>
      </c>
      <c r="L3147" s="477" t="str">
        <f>K3107&amp;"."&amp;K3147</f>
        <v>24.Reducer insulation area 3</v>
      </c>
      <c r="M3147" s="1252">
        <f>F3163</f>
        <v>0</v>
      </c>
    </row>
    <row r="3148" spans="1:13" ht="14.55" customHeight="1" x14ac:dyDescent="0.3">
      <c r="A3148" s="1258" t="s">
        <v>253</v>
      </c>
      <c r="B3148" s="468" t="e">
        <f>(((B3142*B3143*3.14)+(((B3142/2)^2)*3.14))/1000000)</f>
        <v>#N/A</v>
      </c>
      <c r="C3148" s="460" t="s">
        <v>228</v>
      </c>
      <c r="D3148" s="468" t="e">
        <f>(((D3142*D3143*3.14)+(((D3142/2)^2)*3.14))/1000000)</f>
        <v>#N/A</v>
      </c>
      <c r="E3148" s="460" t="s">
        <v>228</v>
      </c>
      <c r="F3148" s="468">
        <f>(((F3142*F3143*3.14)+(((F3142/2)^2)*3.14))/1000000)</f>
        <v>0</v>
      </c>
      <c r="G3148" s="460" t="s">
        <v>228</v>
      </c>
      <c r="H3148" s="469"/>
      <c r="I3148" s="1261"/>
    </row>
    <row r="3149" spans="1:13" ht="14.55" customHeight="1" x14ac:dyDescent="0.3">
      <c r="A3149" s="1258" t="s">
        <v>254</v>
      </c>
      <c r="B3149" s="468" t="e">
        <f>B3142+2*B3179</f>
        <v>#N/A</v>
      </c>
      <c r="C3149" s="460" t="s">
        <v>93</v>
      </c>
      <c r="D3149" s="468" t="e">
        <f>D3142+2*D3179</f>
        <v>#N/A</v>
      </c>
      <c r="E3149" s="460" t="s">
        <v>93</v>
      </c>
      <c r="F3149" s="468">
        <f>F3142+2*F3179</f>
        <v>0</v>
      </c>
      <c r="G3149" s="460" t="s">
        <v>93</v>
      </c>
      <c r="H3149" s="469"/>
      <c r="I3149" s="1261"/>
    </row>
    <row r="3150" spans="1:13" ht="14.55" customHeight="1" x14ac:dyDescent="0.3">
      <c r="A3150" s="1258" t="s">
        <v>255</v>
      </c>
      <c r="B3150" s="468" t="e">
        <f>(((B3149*B3143*3.14)+(((B3149/2)^2)*3.14))/1000000)</f>
        <v>#N/A</v>
      </c>
      <c r="C3150" s="460" t="s">
        <v>228</v>
      </c>
      <c r="D3150" s="468" t="e">
        <f>(((D3149*D3143*3.14)+(((D3149/2)^2)*3.14))/1000000)</f>
        <v>#N/A</v>
      </c>
      <c r="E3150" s="460" t="s">
        <v>228</v>
      </c>
      <c r="F3150" s="468">
        <f>(((F3149*F3143*3.14)+(((F3149/2)^2)*3.14))/1000000)</f>
        <v>0</v>
      </c>
      <c r="G3150" s="460" t="s">
        <v>228</v>
      </c>
      <c r="H3150" s="469"/>
      <c r="I3150" s="1261"/>
    </row>
    <row r="3151" spans="1:13" ht="14.55" customHeight="1" x14ac:dyDescent="0.3">
      <c r="A3151" s="1258"/>
      <c r="B3151" s="454"/>
      <c r="C3151" s="460"/>
      <c r="D3151" s="454"/>
      <c r="E3151" s="460"/>
      <c r="F3151" s="454"/>
      <c r="G3151" s="460"/>
      <c r="H3151" s="469"/>
      <c r="I3151" s="1261"/>
    </row>
    <row r="3152" spans="1:13" ht="14.55" customHeight="1" x14ac:dyDescent="0.3">
      <c r="A3152" s="1258"/>
      <c r="B3152" s="468" t="s">
        <v>256</v>
      </c>
      <c r="C3152" s="460"/>
      <c r="D3152" s="468" t="s">
        <v>257</v>
      </c>
      <c r="E3152" s="460"/>
      <c r="F3152" s="468" t="s">
        <v>258</v>
      </c>
      <c r="G3152" s="460"/>
      <c r="H3152" s="469"/>
      <c r="I3152" s="1261"/>
    </row>
    <row r="3153" spans="1:9" ht="14.55" customHeight="1" x14ac:dyDescent="0.3">
      <c r="A3153" s="1258" t="s">
        <v>259</v>
      </c>
      <c r="B3153" s="725"/>
      <c r="C3153" s="460" t="s">
        <v>93</v>
      </c>
      <c r="D3153" s="725"/>
      <c r="E3153" s="460" t="s">
        <v>93</v>
      </c>
      <c r="F3153" s="725"/>
      <c r="G3153" s="460" t="s">
        <v>93</v>
      </c>
      <c r="H3153" s="469"/>
      <c r="I3153" s="1261"/>
    </row>
    <row r="3154" spans="1:9" ht="14.55" customHeight="1" x14ac:dyDescent="0.3">
      <c r="A3154" s="1258" t="s">
        <v>260</v>
      </c>
      <c r="B3154" s="725"/>
      <c r="C3154" s="460" t="s">
        <v>93</v>
      </c>
      <c r="D3154" s="725"/>
      <c r="E3154" s="460" t="s">
        <v>93</v>
      </c>
      <c r="F3154" s="725"/>
      <c r="G3154" s="460" t="s">
        <v>93</v>
      </c>
      <c r="H3154" s="469"/>
      <c r="I3154" s="1261"/>
    </row>
    <row r="3155" spans="1:9" ht="14.55" customHeight="1" x14ac:dyDescent="0.3">
      <c r="A3155" s="1258" t="s">
        <v>261</v>
      </c>
      <c r="B3155" s="725"/>
      <c r="C3155" s="460" t="s">
        <v>93</v>
      </c>
      <c r="D3155" s="725"/>
      <c r="E3155" s="460" t="s">
        <v>93</v>
      </c>
      <c r="F3155" s="725"/>
      <c r="G3155" s="460" t="s">
        <v>93</v>
      </c>
      <c r="H3155" s="469"/>
      <c r="I3155" s="1261"/>
    </row>
    <row r="3156" spans="1:9" ht="14.55" customHeight="1" x14ac:dyDescent="0.3">
      <c r="A3156" s="1258" t="s">
        <v>262</v>
      </c>
      <c r="B3156" s="455" t="e">
        <f>B3153+2*B3174</f>
        <v>#N/A</v>
      </c>
      <c r="C3156" s="460" t="s">
        <v>93</v>
      </c>
      <c r="D3156" s="455" t="e">
        <f>D3153+2*D3174</f>
        <v>#N/A</v>
      </c>
      <c r="E3156" s="460" t="s">
        <v>93</v>
      </c>
      <c r="F3156" s="455">
        <f>F3153+2*F3176</f>
        <v>0</v>
      </c>
      <c r="G3156" s="460" t="s">
        <v>93</v>
      </c>
      <c r="H3156" s="469"/>
      <c r="I3156" s="1261"/>
    </row>
    <row r="3157" spans="1:9" ht="14.55" customHeight="1" x14ac:dyDescent="0.3">
      <c r="A3157" s="1258" t="s">
        <v>263</v>
      </c>
      <c r="B3157" s="455" t="e">
        <f>B3154+2*B3174</f>
        <v>#N/A</v>
      </c>
      <c r="C3157" s="460" t="s">
        <v>93</v>
      </c>
      <c r="D3157" s="455" t="e">
        <f>D3154+2*D3174</f>
        <v>#N/A</v>
      </c>
      <c r="E3157" s="460" t="s">
        <v>93</v>
      </c>
      <c r="F3157" s="455">
        <f>F3154+2*F3176</f>
        <v>0</v>
      </c>
      <c r="G3157" s="460" t="s">
        <v>93</v>
      </c>
      <c r="H3157" s="469"/>
      <c r="I3157" s="1261"/>
    </row>
    <row r="3158" spans="1:9" ht="14.55" customHeight="1" x14ac:dyDescent="0.3">
      <c r="A3158" s="1258" t="s">
        <v>264</v>
      </c>
      <c r="B3158" s="453" t="e">
        <f>(((((1/3*PI()*B3155))*((((B3156/2)^2)+(((B3156/2)*(B3157/2)))+((B3157/2)^2))))-(((1/3*PI()*B3155))*((((B3153/2)^2)+(((B3153/2)*(B3154/2)))+((B3154/2)^2)))))*7.86)/1000000</f>
        <v>#N/A</v>
      </c>
      <c r="C3158" s="460" t="s">
        <v>222</v>
      </c>
      <c r="D3158" s="453" t="e">
        <f>(((((1/3*PI()*D3155))*((((D3156/2)^2)+(((D3156/2)*(D3157/2)))+((D3157/2)^2))))-(((1/3*PI()*D3155))*((((D3153/2)^2)+(((D3153/2)*(D3154/2)))+((D3154/2)^2)))))*7.86)/1000000</f>
        <v>#N/A</v>
      </c>
      <c r="E3158" s="460" t="s">
        <v>222</v>
      </c>
      <c r="F3158" s="453">
        <f>(((((1/3*PI()*F3155))*((((F3156/2)^2)+(((F3156/2)*(F3157/2)))+((F3157/2)^2))))-(((1/3*PI()*F3155))*((((F3153/2)^2)+(((F3153/2)*(F3154/2)))+((F3154/2)^2)))))*7.86)/1000000</f>
        <v>0</v>
      </c>
      <c r="G3158" s="460" t="s">
        <v>222</v>
      </c>
      <c r="H3158" s="469"/>
      <c r="I3158" s="1261"/>
    </row>
    <row r="3159" spans="1:9" ht="14.55" customHeight="1" x14ac:dyDescent="0.3">
      <c r="A3159" s="1258" t="s">
        <v>265</v>
      </c>
      <c r="B3159" s="453">
        <f>((1/3*PI()*B3155))*((((B3153/2)^2)+(((B3153/2)*(B3154/2)))+((B3154/2)^2)))/1000000000</f>
        <v>0</v>
      </c>
      <c r="C3159" s="460" t="s">
        <v>225</v>
      </c>
      <c r="D3159" s="453">
        <f>((1/3*PI()*D3155))*((((D3153/2)^2)+(((D3153/2)*(D3154/2)))+((D3154/2)^2)))/1000000000</f>
        <v>0</v>
      </c>
      <c r="E3159" s="460" t="s">
        <v>225</v>
      </c>
      <c r="F3159" s="453">
        <f>((1/3*PI()*F3155))*((((F3153/2)^2)+(((F3153/2)*(F3154/2)))+((F3154/2)^2)))/1000000000</f>
        <v>0</v>
      </c>
      <c r="G3159" s="460" t="s">
        <v>225</v>
      </c>
      <c r="H3159" s="469"/>
      <c r="I3159" s="1261"/>
    </row>
    <row r="3160" spans="1:9" ht="14.55" customHeight="1" x14ac:dyDescent="0.3">
      <c r="A3160" s="1258" t="s">
        <v>266</v>
      </c>
      <c r="B3160" s="453" t="e">
        <f>PI()*(B3156+B3157)/2*SQRT(B3155^2+((B3156-B3157)/2)^2)/1000000</f>
        <v>#N/A</v>
      </c>
      <c r="C3160" s="460" t="s">
        <v>228</v>
      </c>
      <c r="D3160" s="453" t="e">
        <f>PI()*(D3156+D3157)/2*SQRT(D3155^2+((D3156-D3157)/2)^2)/1000000</f>
        <v>#N/A</v>
      </c>
      <c r="E3160" s="460" t="s">
        <v>228</v>
      </c>
      <c r="F3160" s="453">
        <f>PI()*(F3156+F3157)/2*SQRT(F3155^2+((F3156-F3157)/2)^2)/1000000</f>
        <v>0</v>
      </c>
      <c r="G3160" s="460" t="s">
        <v>228</v>
      </c>
      <c r="H3160" s="469"/>
      <c r="I3160" s="1261"/>
    </row>
    <row r="3161" spans="1:9" ht="14.55" customHeight="1" x14ac:dyDescent="0.3">
      <c r="A3161" s="1258" t="s">
        <v>267</v>
      </c>
      <c r="B3161" s="453" t="e">
        <f>B3156+2*B3180</f>
        <v>#N/A</v>
      </c>
      <c r="C3161" s="460" t="s">
        <v>93</v>
      </c>
      <c r="D3161" s="453">
        <f>D3153+2*D3180</f>
        <v>0</v>
      </c>
      <c r="E3161" s="460" t="s">
        <v>93</v>
      </c>
      <c r="F3161" s="453">
        <f>F3153+2*F3180</f>
        <v>0</v>
      </c>
      <c r="G3161" s="460" t="s">
        <v>93</v>
      </c>
      <c r="H3161" s="469"/>
      <c r="I3161" s="1261"/>
    </row>
    <row r="3162" spans="1:9" ht="14.55" customHeight="1" x14ac:dyDescent="0.3">
      <c r="A3162" s="1258" t="s">
        <v>268</v>
      </c>
      <c r="B3162" s="453" t="e">
        <f>B3157+2*B3180</f>
        <v>#N/A</v>
      </c>
      <c r="C3162" s="460" t="s">
        <v>93</v>
      </c>
      <c r="D3162" s="453">
        <f>D3154+2*D3180</f>
        <v>0</v>
      </c>
      <c r="E3162" s="460" t="s">
        <v>93</v>
      </c>
      <c r="F3162" s="453">
        <f>F3154+2*F3180</f>
        <v>0</v>
      </c>
      <c r="G3162" s="460" t="s">
        <v>93</v>
      </c>
      <c r="H3162" s="469"/>
      <c r="I3162" s="1261"/>
    </row>
    <row r="3163" spans="1:9" ht="14.55" customHeight="1" x14ac:dyDescent="0.3">
      <c r="A3163" s="1258" t="s">
        <v>269</v>
      </c>
      <c r="B3163" s="453" t="e">
        <f>PI()*(B3161+B3162)/2*SQRT(B3155^2+((B3161-B3162)/2)^2)/1000000</f>
        <v>#N/A</v>
      </c>
      <c r="C3163" s="460" t="s">
        <v>228</v>
      </c>
      <c r="D3163" s="453">
        <f>PI()*(D3161+D3162)/2*SQRT(D3155^2+((D3161-D3162)/2)^2)/1000000</f>
        <v>0</v>
      </c>
      <c r="E3163" s="460" t="s">
        <v>228</v>
      </c>
      <c r="F3163" s="453">
        <f>PI()*(F3161+F3162)/2*SQRT(F3155^2+((F3161-F3162)/2)^2)/1000000</f>
        <v>0</v>
      </c>
      <c r="G3163" s="460" t="s">
        <v>228</v>
      </c>
      <c r="H3163" s="469"/>
      <c r="I3163" s="1261"/>
    </row>
    <row r="3164" spans="1:9" ht="14.55" customHeight="1" x14ac:dyDescent="0.3">
      <c r="A3164" s="1258"/>
      <c r="B3164" s="453"/>
      <c r="C3164" s="460"/>
      <c r="D3164" s="453"/>
      <c r="E3164" s="460"/>
      <c r="F3164" s="453"/>
      <c r="G3164" s="460"/>
      <c r="H3164" s="460"/>
      <c r="I3164" s="1259"/>
    </row>
    <row r="3165" spans="1:9" ht="14.55" customHeight="1" x14ac:dyDescent="0.3">
      <c r="A3165" s="1258" t="s">
        <v>270</v>
      </c>
      <c r="B3165" s="725"/>
      <c r="C3165" s="460" t="s">
        <v>93</v>
      </c>
      <c r="D3165" s="725"/>
      <c r="E3165" s="460" t="s">
        <v>93</v>
      </c>
      <c r="F3165" s="725"/>
      <c r="G3165" s="460" t="s">
        <v>93</v>
      </c>
      <c r="H3165" s="460"/>
      <c r="I3165" s="1259"/>
    </row>
    <row r="3166" spans="1:9" ht="14.55" customHeight="1" x14ac:dyDescent="0.3">
      <c r="A3166" s="1258" t="s">
        <v>271</v>
      </c>
      <c r="B3166" s="453" t="e">
        <f>((D3114/10)*B3131/2)/(IF(B3109="div.1",B3122,B3125)-0.5*D3114/10)</f>
        <v>#N/A</v>
      </c>
      <c r="C3166" s="460" t="s">
        <v>93</v>
      </c>
      <c r="D3166" s="453" t="e">
        <f>((D3114/10)*D3131/2)/(IF(B3109="div.1",B3122,B3125)-0.5*D3114/10)</f>
        <v>#N/A</v>
      </c>
      <c r="E3166" s="460" t="s">
        <v>93</v>
      </c>
      <c r="F3166" s="453" t="e">
        <f>((D3114/10)*F3131/2)/(IF(B3109="div.1",F3122,F3125)-0.5*D3114/10)</f>
        <v>#N/A</v>
      </c>
      <c r="G3166" s="460" t="s">
        <v>93</v>
      </c>
      <c r="H3166" s="460"/>
      <c r="I3166" s="1259"/>
    </row>
    <row r="3167" spans="1:9" ht="14.55" customHeight="1" x14ac:dyDescent="0.3">
      <c r="A3167" s="1258" t="s">
        <v>272</v>
      </c>
      <c r="B3167" s="453" t="e">
        <f>B3141/2*(EXP(D3114/(10*IF(B3109="div.1",B3123,B3126)))-1)</f>
        <v>#N/A</v>
      </c>
      <c r="C3167" s="460" t="s">
        <v>93</v>
      </c>
      <c r="D3167" s="453" t="e">
        <f>D3141/2*(EXP(D3114/(10*IF(B3109="div.1",B3123,B3126)))-1)</f>
        <v>#N/A</v>
      </c>
      <c r="E3167" s="460" t="s">
        <v>93</v>
      </c>
      <c r="F3167" s="453" t="e">
        <f>F3141/2*(EXP(D3114/(10*IF(B3109="div.1",F3123,F3126)))-1)</f>
        <v>#N/A</v>
      </c>
      <c r="G3167" s="460" t="s">
        <v>93</v>
      </c>
      <c r="H3167" s="460"/>
      <c r="I3167" s="1259"/>
    </row>
    <row r="3168" spans="1:9" ht="14.55" customHeight="1" x14ac:dyDescent="0.3">
      <c r="A3168" s="1258" t="s">
        <v>273</v>
      </c>
      <c r="B3168" s="453" t="e">
        <f>B3153/2*(EXP(D3114/(10*IF(B3109="div.1",B3123,B3126)))-1)</f>
        <v>#N/A</v>
      </c>
      <c r="C3168" s="460" t="s">
        <v>93</v>
      </c>
      <c r="D3168" s="453" t="e">
        <f>D3153/2*(EXP(D3114/(10*IF(B3109="div.1",B3123,B3126)))-1)</f>
        <v>#N/A</v>
      </c>
      <c r="E3168" s="460" t="s">
        <v>93</v>
      </c>
      <c r="F3168" s="453" t="e">
        <f>F3153/2*(EXP(D3114/(10*IF(B3109="div.1",F3123,F3126)))-1)</f>
        <v>#N/A</v>
      </c>
      <c r="G3168" s="460" t="s">
        <v>93</v>
      </c>
      <c r="H3168" s="460"/>
      <c r="I3168" s="1259"/>
    </row>
    <row r="3169" spans="1:9" ht="14.55" customHeight="1" x14ac:dyDescent="0.3">
      <c r="A3169" s="1258" t="s">
        <v>274</v>
      </c>
      <c r="B3169" s="725"/>
      <c r="C3169" s="460" t="s">
        <v>93</v>
      </c>
      <c r="D3169" s="725"/>
      <c r="E3169" s="460" t="s">
        <v>93</v>
      </c>
      <c r="F3169" s="725"/>
      <c r="G3169" s="460" t="s">
        <v>93</v>
      </c>
      <c r="H3169" s="460"/>
      <c r="I3169" s="1259"/>
    </row>
    <row r="3170" spans="1:9" ht="14.55" customHeight="1" x14ac:dyDescent="0.3">
      <c r="A3170" s="1258" t="s">
        <v>275</v>
      </c>
      <c r="B3170" s="725"/>
      <c r="C3170" s="460" t="s">
        <v>93</v>
      </c>
      <c r="D3170" s="725"/>
      <c r="E3170" s="460" t="s">
        <v>93</v>
      </c>
      <c r="F3170" s="725"/>
      <c r="G3170" s="460" t="s">
        <v>93</v>
      </c>
      <c r="H3170" s="460"/>
      <c r="I3170" s="1259"/>
    </row>
    <row r="3171" spans="1:9" ht="14.55" customHeight="1" x14ac:dyDescent="0.3">
      <c r="A3171" s="1258" t="s">
        <v>276</v>
      </c>
      <c r="B3171" s="725"/>
      <c r="C3171" s="460" t="s">
        <v>93</v>
      </c>
      <c r="D3171" s="725"/>
      <c r="E3171" s="460" t="s">
        <v>93</v>
      </c>
      <c r="F3171" s="725"/>
      <c r="G3171" s="460" t="s">
        <v>93</v>
      </c>
      <c r="H3171" s="460"/>
      <c r="I3171" s="1259"/>
    </row>
    <row r="3172" spans="1:9" ht="14.55" customHeight="1" x14ac:dyDescent="0.3">
      <c r="A3172" s="1258" t="s">
        <v>277</v>
      </c>
      <c r="B3172" s="453" t="e">
        <f>IF((CEILING(B3166,1)+B3169)&lt;B3165,B3165,CEILING(B3166,1)+B3169)</f>
        <v>#N/A</v>
      </c>
      <c r="C3172" s="460" t="s">
        <v>93</v>
      </c>
      <c r="D3172" s="453" t="e">
        <f>IF((CEILING(D3166,1)+D3169)&lt;D3165,D3165,CEILING(D3166,1)+D3169)</f>
        <v>#N/A</v>
      </c>
      <c r="E3172" s="460" t="s">
        <v>93</v>
      </c>
      <c r="F3172" s="453" t="e">
        <f>IF((CEILING(F3166,1)+F3169)&lt;F3165,F3165,CEILING(F3166,1)+F3169)</f>
        <v>#N/A</v>
      </c>
      <c r="G3172" s="460" t="s">
        <v>93</v>
      </c>
      <c r="H3172" s="460"/>
      <c r="I3172" s="1259"/>
    </row>
    <row r="3173" spans="1:9" ht="14.55" customHeight="1" x14ac:dyDescent="0.3">
      <c r="A3173" s="1258" t="s">
        <v>278</v>
      </c>
      <c r="B3173" s="453" t="e">
        <f>IF((CEILING(B3167,1)+B3170)&lt;=B3165,B3165,CEILING(B3167,1)+B3170)</f>
        <v>#N/A</v>
      </c>
      <c r="C3173" s="460" t="s">
        <v>93</v>
      </c>
      <c r="D3173" s="453" t="e">
        <f>IF((CEILING(D3167,1)+D3170)&lt;=D3165,D3165,CEILING(D3167,1)+D3170)</f>
        <v>#N/A</v>
      </c>
      <c r="E3173" s="460" t="s">
        <v>93</v>
      </c>
      <c r="F3173" s="453" t="e">
        <f>IF((CEILING(F3167,1)+F3170)&lt;=F3165,F3165,CEILING(F3167,1)+F3170)</f>
        <v>#N/A</v>
      </c>
      <c r="G3173" s="460" t="s">
        <v>93</v>
      </c>
      <c r="H3173" s="460"/>
      <c r="I3173" s="1259"/>
    </row>
    <row r="3174" spans="1:9" ht="14.55" customHeight="1" x14ac:dyDescent="0.3">
      <c r="A3174" s="1258" t="s">
        <v>279</v>
      </c>
      <c r="B3174" s="453" t="e">
        <f>IF((CEILING(B3168,1)+B3171)&lt;=B3165,B3165,CEILING(B3168,1)+B3171)</f>
        <v>#N/A</v>
      </c>
      <c r="C3174" s="460" t="s">
        <v>93</v>
      </c>
      <c r="D3174" s="453" t="e">
        <f>IF((CEILING(D3168,1)+D3171)&lt;=D3165,D3165,CEILING(D3168,1)+D3171)</f>
        <v>#N/A</v>
      </c>
      <c r="E3174" s="460" t="s">
        <v>93</v>
      </c>
      <c r="F3174" s="453" t="e">
        <f>IF((CEILING(F3168,1)+F3171)&lt;=F3165,F3165,CEILING(F3168,1)+F3171)</f>
        <v>#N/A</v>
      </c>
      <c r="G3174" s="460" t="s">
        <v>93</v>
      </c>
      <c r="H3174" s="460"/>
      <c r="I3174" s="1259"/>
    </row>
    <row r="3175" spans="1:9" ht="14.55" customHeight="1" x14ac:dyDescent="0.3">
      <c r="A3175" s="1258" t="s">
        <v>280</v>
      </c>
      <c r="B3175" s="453"/>
      <c r="C3175" s="460"/>
      <c r="D3175" s="453"/>
      <c r="E3175" s="460"/>
      <c r="F3175" s="726"/>
      <c r="G3175" s="460"/>
      <c r="H3175" s="460"/>
      <c r="I3175" s="1259"/>
    </row>
    <row r="3176" spans="1:9" ht="14.55" customHeight="1" x14ac:dyDescent="0.3">
      <c r="A3176" s="1258" t="s">
        <v>281</v>
      </c>
      <c r="B3176" s="453"/>
      <c r="C3176" s="460"/>
      <c r="D3176" s="453"/>
      <c r="E3176" s="460"/>
      <c r="F3176" s="460">
        <f>IFERROR(VLOOKUP(F3130,'Thickness Tab'!$1:$1048576,MATCH(F3175,'Thickness Tab'!$1:$1,0),0),0)</f>
        <v>0</v>
      </c>
      <c r="G3176" s="460" t="s">
        <v>93</v>
      </c>
      <c r="H3176" s="460"/>
      <c r="I3176" s="1259"/>
    </row>
    <row r="3177" spans="1:9" ht="14.55" customHeight="1" x14ac:dyDescent="0.3">
      <c r="A3177" s="1258"/>
      <c r="B3177" s="464"/>
      <c r="C3177" s="460"/>
      <c r="D3177" s="460"/>
      <c r="E3177" s="460"/>
      <c r="F3177" s="460"/>
      <c r="G3177" s="460"/>
      <c r="H3177" s="460"/>
      <c r="I3177" s="1259"/>
    </row>
    <row r="3178" spans="1:9" ht="14.55" customHeight="1" x14ac:dyDescent="0.3">
      <c r="A3178" s="1258" t="s">
        <v>282</v>
      </c>
      <c r="B3178" s="725">
        <v>0</v>
      </c>
      <c r="C3178" s="460" t="s">
        <v>93</v>
      </c>
      <c r="D3178" s="725">
        <v>0</v>
      </c>
      <c r="E3178" s="460" t="s">
        <v>93</v>
      </c>
      <c r="F3178" s="725">
        <v>0</v>
      </c>
      <c r="G3178" s="460" t="s">
        <v>93</v>
      </c>
      <c r="H3178" s="460"/>
      <c r="I3178" s="1259"/>
    </row>
    <row r="3179" spans="1:9" ht="14.55" customHeight="1" x14ac:dyDescent="0.3">
      <c r="A3179" s="1258" t="s">
        <v>283</v>
      </c>
      <c r="B3179" s="725">
        <v>0</v>
      </c>
      <c r="C3179" s="460" t="s">
        <v>93</v>
      </c>
      <c r="D3179" s="725">
        <v>0</v>
      </c>
      <c r="E3179" s="460" t="s">
        <v>93</v>
      </c>
      <c r="F3179" s="725">
        <v>0</v>
      </c>
      <c r="G3179" s="460" t="s">
        <v>93</v>
      </c>
      <c r="H3179" s="460"/>
      <c r="I3179" s="1259"/>
    </row>
    <row r="3180" spans="1:9" ht="14.55" customHeight="1" x14ac:dyDescent="0.3">
      <c r="A3180" s="1258" t="s">
        <v>284</v>
      </c>
      <c r="B3180" s="725">
        <v>0</v>
      </c>
      <c r="C3180" s="460" t="s">
        <v>93</v>
      </c>
      <c r="D3180" s="725">
        <v>0</v>
      </c>
      <c r="E3180" s="460" t="s">
        <v>93</v>
      </c>
      <c r="F3180" s="725">
        <v>0</v>
      </c>
      <c r="G3180" s="460" t="s">
        <v>93</v>
      </c>
      <c r="H3180" s="460"/>
      <c r="I3180" s="1259"/>
    </row>
    <row r="3181" spans="1:9" ht="14.55" customHeight="1" x14ac:dyDescent="0.3">
      <c r="A3181" s="1258"/>
      <c r="B3181" s="464"/>
      <c r="C3181" s="460"/>
      <c r="D3181" s="460"/>
      <c r="E3181" s="460"/>
      <c r="F3181" s="460"/>
      <c r="G3181" s="460"/>
      <c r="H3181" s="460"/>
      <c r="I3181" s="1259"/>
    </row>
    <row r="3182" spans="1:9" ht="14.55" customHeight="1" x14ac:dyDescent="0.3">
      <c r="A3182" s="1260" t="s">
        <v>285</v>
      </c>
      <c r="B3182" s="470" t="str">
        <f>IF(B3110="Horizontal","No Skirt","")</f>
        <v/>
      </c>
      <c r="C3182" s="460"/>
      <c r="D3182" s="471"/>
      <c r="E3182" s="471" t="s">
        <v>286</v>
      </c>
      <c r="F3182" s="460"/>
      <c r="G3182" s="469"/>
      <c r="H3182" s="469"/>
      <c r="I3182" s="1261"/>
    </row>
    <row r="3183" spans="1:9" ht="14.55" customHeight="1" x14ac:dyDescent="0.3">
      <c r="A3183" s="1258" t="s">
        <v>287</v>
      </c>
      <c r="B3183" s="722"/>
      <c r="C3183" s="456" t="s">
        <v>93</v>
      </c>
      <c r="D3183" s="472"/>
      <c r="E3183" s="472" t="s">
        <v>288</v>
      </c>
      <c r="F3183" s="725"/>
      <c r="G3183" s="460" t="s">
        <v>93</v>
      </c>
      <c r="H3183" s="469"/>
      <c r="I3183" s="1261"/>
    </row>
    <row r="3184" spans="1:9" ht="14.55" customHeight="1" x14ac:dyDescent="0.3">
      <c r="A3184" s="1258" t="s">
        <v>289</v>
      </c>
      <c r="B3184" s="722"/>
      <c r="C3184" s="456" t="s">
        <v>93</v>
      </c>
      <c r="D3184" s="472"/>
      <c r="E3184" s="472" t="s">
        <v>290</v>
      </c>
      <c r="F3184" s="725"/>
      <c r="G3184" s="460" t="s">
        <v>93</v>
      </c>
      <c r="H3184" s="469"/>
      <c r="I3184" s="1261"/>
    </row>
    <row r="3185" spans="1:9" ht="14.55" customHeight="1" x14ac:dyDescent="0.3">
      <c r="A3185" s="1258" t="s">
        <v>291</v>
      </c>
      <c r="B3185" s="722"/>
      <c r="C3185" s="456" t="s">
        <v>93</v>
      </c>
      <c r="D3185" s="472"/>
      <c r="E3185" s="472" t="s">
        <v>292</v>
      </c>
      <c r="F3185" s="725"/>
      <c r="G3185" s="460"/>
      <c r="H3185" s="469"/>
      <c r="I3185" s="1261"/>
    </row>
    <row r="3186" spans="1:9" ht="14.55" customHeight="1" x14ac:dyDescent="0.3">
      <c r="A3186" s="1258" t="s">
        <v>293</v>
      </c>
      <c r="B3186" s="722"/>
      <c r="C3186" s="456" t="s">
        <v>93</v>
      </c>
      <c r="D3186" s="472"/>
      <c r="E3186" s="472" t="s">
        <v>184</v>
      </c>
      <c r="F3186" s="457">
        <f>(PI()*F3183^2)/4*F3184*(7800/1000000000)</f>
        <v>0</v>
      </c>
      <c r="G3186" s="460" t="s">
        <v>222</v>
      </c>
      <c r="H3186" s="460"/>
      <c r="I3186" s="1259"/>
    </row>
    <row r="3187" spans="1:9" ht="14.55" customHeight="1" x14ac:dyDescent="0.3">
      <c r="A3187" s="1258" t="s">
        <v>294</v>
      </c>
      <c r="B3187" s="722"/>
      <c r="C3187" s="456" t="s">
        <v>93</v>
      </c>
      <c r="D3187" s="460"/>
      <c r="E3187" s="460"/>
      <c r="F3187" s="460"/>
      <c r="G3187" s="460"/>
      <c r="H3187" s="460"/>
      <c r="I3187" s="1259"/>
    </row>
    <row r="3188" spans="1:9" ht="14.55" customHeight="1" x14ac:dyDescent="0.3">
      <c r="A3188" s="1258"/>
      <c r="B3188" s="407"/>
      <c r="C3188" s="460"/>
      <c r="D3188" s="460"/>
      <c r="E3188" s="460"/>
      <c r="F3188" s="460"/>
      <c r="G3188" s="460"/>
      <c r="H3188" s="460"/>
      <c r="I3188" s="1259"/>
    </row>
    <row r="3189" spans="1:9" ht="14.55" customHeight="1" x14ac:dyDescent="0.3">
      <c r="A3189" s="1262" t="s">
        <v>295</v>
      </c>
      <c r="B3189" s="480"/>
      <c r="C3189" s="59"/>
      <c r="D3189" s="59"/>
      <c r="E3189" s="59"/>
      <c r="F3189" s="460"/>
      <c r="G3189" s="460"/>
      <c r="H3189" s="460"/>
      <c r="I3189" s="1259"/>
    </row>
    <row r="3190" spans="1:9" ht="14.55" customHeight="1" x14ac:dyDescent="0.3">
      <c r="A3190" s="1263" t="s">
        <v>296</v>
      </c>
      <c r="B3190" s="722"/>
      <c r="C3190" s="59" t="s">
        <v>93</v>
      </c>
      <c r="D3190" s="59"/>
      <c r="E3190" s="59"/>
      <c r="F3190" s="460"/>
      <c r="G3190" s="460"/>
      <c r="H3190" s="460"/>
      <c r="I3190" s="1259"/>
    </row>
    <row r="3191" spans="1:9" ht="14.55" customHeight="1" x14ac:dyDescent="0.3">
      <c r="A3191" s="1263" t="s">
        <v>297</v>
      </c>
      <c r="B3191" s="722"/>
      <c r="C3191" s="59" t="s">
        <v>93</v>
      </c>
      <c r="D3191" s="59"/>
      <c r="E3191" s="59"/>
      <c r="F3191" s="460"/>
      <c r="G3191" s="460"/>
      <c r="H3191" s="460"/>
      <c r="I3191" s="1259"/>
    </row>
    <row r="3192" spans="1:9" ht="14.55" customHeight="1" x14ac:dyDescent="0.3">
      <c r="A3192" s="1263" t="s">
        <v>298</v>
      </c>
      <c r="B3192" s="480">
        <f>B3133</f>
        <v>0</v>
      </c>
      <c r="C3192" s="59" t="s">
        <v>93</v>
      </c>
      <c r="D3192" s="59"/>
      <c r="E3192" s="59"/>
      <c r="F3192" s="460"/>
      <c r="G3192" s="460"/>
      <c r="H3192" s="460"/>
      <c r="I3192" s="1259"/>
    </row>
    <row r="3193" spans="1:9" ht="14.55" customHeight="1" x14ac:dyDescent="0.3">
      <c r="A3193" s="1263" t="s">
        <v>299</v>
      </c>
      <c r="B3193" s="727"/>
      <c r="C3193" s="59"/>
      <c r="D3193" s="59"/>
      <c r="E3193" s="59"/>
      <c r="F3193" s="460"/>
      <c r="G3193" s="460"/>
      <c r="H3193" s="460"/>
      <c r="I3193" s="1259"/>
    </row>
    <row r="3194" spans="1:9" ht="14.55" customHeight="1" x14ac:dyDescent="0.3">
      <c r="A3194" s="1263" t="s">
        <v>300</v>
      </c>
      <c r="B3194" s="722"/>
      <c r="C3194" s="59" t="s">
        <v>301</v>
      </c>
      <c r="D3194" s="59"/>
      <c r="E3194" s="59"/>
      <c r="F3194" s="460"/>
      <c r="G3194" s="460"/>
      <c r="H3194" s="460"/>
      <c r="I3194" s="1259"/>
    </row>
    <row r="3195" spans="1:9" ht="14.55" customHeight="1" x14ac:dyDescent="0.3">
      <c r="A3195" s="1263" t="s">
        <v>302</v>
      </c>
      <c r="B3195" s="480">
        <f>IF(B3193="Straight",B3192,B3192*2)</f>
        <v>0</v>
      </c>
      <c r="C3195" s="59" t="s">
        <v>93</v>
      </c>
      <c r="D3195" s="480"/>
      <c r="E3195" s="59"/>
      <c r="F3195" s="460"/>
      <c r="G3195" s="460"/>
      <c r="H3195" s="460"/>
      <c r="I3195" s="1259"/>
    </row>
    <row r="3196" spans="1:9" ht="14.55" customHeight="1" x14ac:dyDescent="0.3">
      <c r="A3196" s="1263" t="s">
        <v>303</v>
      </c>
      <c r="B3196" s="480">
        <f>B3190*PI()*B3195/1000000*B3194</f>
        <v>0</v>
      </c>
      <c r="C3196" s="59" t="s">
        <v>228</v>
      </c>
      <c r="D3196" s="59"/>
      <c r="E3196" s="59"/>
      <c r="F3196" s="460"/>
      <c r="G3196" s="460"/>
      <c r="H3196" s="460"/>
      <c r="I3196" s="1259"/>
    </row>
    <row r="3197" spans="1:9" ht="14.55" customHeight="1" x14ac:dyDescent="0.3">
      <c r="A3197" s="1263" t="s">
        <v>304</v>
      </c>
      <c r="B3197" s="480">
        <v>7.86</v>
      </c>
      <c r="C3197" s="59" t="s">
        <v>305</v>
      </c>
      <c r="D3197" s="59"/>
      <c r="E3197" s="59"/>
      <c r="F3197" s="460"/>
      <c r="G3197" s="460"/>
      <c r="H3197" s="460"/>
      <c r="I3197" s="1259"/>
    </row>
    <row r="3198" spans="1:9" ht="14.55" customHeight="1" x14ac:dyDescent="0.3">
      <c r="A3198" s="1263" t="s">
        <v>306</v>
      </c>
      <c r="B3198" s="480">
        <f>PI()*B3191*(B3190-B3191)*B3197/1000</f>
        <v>0</v>
      </c>
      <c r="C3198" s="59" t="s">
        <v>307</v>
      </c>
      <c r="D3198" s="59"/>
      <c r="E3198" s="59"/>
      <c r="F3198" s="460"/>
      <c r="G3198" s="460"/>
      <c r="H3198" s="460"/>
      <c r="I3198" s="1259"/>
    </row>
    <row r="3199" spans="1:9" ht="14.55" customHeight="1" x14ac:dyDescent="0.3">
      <c r="A3199" s="1263" t="s">
        <v>308</v>
      </c>
      <c r="B3199" s="480">
        <f>B3198*B3195*B3194/1000</f>
        <v>0</v>
      </c>
      <c r="C3199" s="59" t="s">
        <v>222</v>
      </c>
      <c r="D3199" s="59"/>
      <c r="E3199" s="59"/>
      <c r="F3199" s="460"/>
      <c r="G3199" s="460"/>
      <c r="H3199" s="460"/>
      <c r="I3199" s="1259"/>
    </row>
    <row r="3200" spans="1:9" ht="14.55" customHeight="1" x14ac:dyDescent="0.3">
      <c r="A3200" s="1263"/>
      <c r="B3200" s="480"/>
      <c r="C3200" s="59"/>
      <c r="D3200" s="59"/>
      <c r="E3200" s="59"/>
      <c r="F3200" s="460"/>
      <c r="G3200" s="460"/>
      <c r="H3200" s="460"/>
      <c r="I3200" s="1259"/>
    </row>
    <row r="3201" spans="1:9" ht="14.55" customHeight="1" x14ac:dyDescent="0.3">
      <c r="A3201" s="1262" t="s">
        <v>309</v>
      </c>
      <c r="B3201" s="480"/>
      <c r="C3201" s="59"/>
      <c r="D3201" s="59"/>
      <c r="E3201" s="59"/>
      <c r="F3201" s="460"/>
      <c r="G3201" s="460"/>
      <c r="H3201" s="460"/>
      <c r="I3201" s="1259"/>
    </row>
    <row r="3202" spans="1:9" ht="14.55" customHeight="1" x14ac:dyDescent="0.3">
      <c r="A3202" s="1263" t="s">
        <v>310</v>
      </c>
      <c r="B3202" s="480">
        <f>B3131</f>
        <v>0</v>
      </c>
      <c r="C3202" s="59" t="s">
        <v>93</v>
      </c>
      <c r="D3202" s="59"/>
      <c r="E3202" s="59"/>
      <c r="F3202" s="460"/>
      <c r="G3202" s="460"/>
      <c r="H3202" s="460"/>
      <c r="I3202" s="1259"/>
    </row>
    <row r="3203" spans="1:9" ht="14.55" customHeight="1" x14ac:dyDescent="0.3">
      <c r="A3203" s="1263" t="s">
        <v>297</v>
      </c>
      <c r="B3203" s="480">
        <v>15</v>
      </c>
      <c r="C3203" s="59" t="s">
        <v>93</v>
      </c>
      <c r="D3203" s="59"/>
      <c r="E3203" s="59"/>
      <c r="F3203" s="460"/>
      <c r="G3203" s="460"/>
      <c r="H3203" s="460"/>
      <c r="I3203" s="1259"/>
    </row>
    <row r="3204" spans="1:9" ht="14.55" customHeight="1" x14ac:dyDescent="0.3">
      <c r="A3204" s="1263" t="s">
        <v>311</v>
      </c>
      <c r="B3204" s="480">
        <f>B3202^2*PI()/4/1000000</f>
        <v>0</v>
      </c>
      <c r="C3204" s="59" t="s">
        <v>228</v>
      </c>
      <c r="D3204" s="59"/>
      <c r="E3204" s="59"/>
      <c r="F3204" s="460"/>
      <c r="G3204" s="460"/>
      <c r="H3204" s="460"/>
      <c r="I3204" s="1259"/>
    </row>
    <row r="3205" spans="1:9" ht="14.55" customHeight="1" x14ac:dyDescent="0.3">
      <c r="A3205" s="1263" t="s">
        <v>312</v>
      </c>
      <c r="B3205" s="480">
        <f>B3204*B3203/1000*B3197*2/1000</f>
        <v>0</v>
      </c>
      <c r="C3205" s="59" t="s">
        <v>222</v>
      </c>
      <c r="D3205" s="59"/>
      <c r="E3205" s="59"/>
      <c r="F3205" s="460"/>
      <c r="G3205" s="460"/>
      <c r="H3205" s="460"/>
      <c r="I3205" s="1259"/>
    </row>
    <row r="3206" spans="1:9" ht="14.55" customHeight="1" x14ac:dyDescent="0.3">
      <c r="A3206" s="1263"/>
      <c r="B3206" s="480"/>
      <c r="C3206" s="59"/>
      <c r="D3206" s="59"/>
      <c r="E3206" s="59"/>
      <c r="F3206" s="460"/>
      <c r="G3206" s="460"/>
      <c r="H3206" s="460"/>
      <c r="I3206" s="1259"/>
    </row>
    <row r="3207" spans="1:9" ht="14.55" customHeight="1" x14ac:dyDescent="0.3">
      <c r="A3207" s="1263" t="s">
        <v>313</v>
      </c>
      <c r="B3207" s="480">
        <f>B3199+B3205*2</f>
        <v>0</v>
      </c>
      <c r="C3207" s="59" t="s">
        <v>222</v>
      </c>
      <c r="D3207" s="59"/>
      <c r="E3207" s="59"/>
      <c r="F3207" s="460"/>
      <c r="G3207" s="460"/>
      <c r="H3207" s="460"/>
      <c r="I3207" s="1259"/>
    </row>
    <row r="3208" spans="1:9" ht="14.55" customHeight="1" x14ac:dyDescent="0.3">
      <c r="A3208" s="1263"/>
      <c r="B3208" s="480"/>
      <c r="C3208" s="59"/>
      <c r="D3208" s="59"/>
      <c r="E3208" s="59"/>
      <c r="F3208" s="460"/>
      <c r="G3208" s="460"/>
      <c r="H3208" s="460"/>
      <c r="I3208" s="1259"/>
    </row>
    <row r="3209" spans="1:9" ht="14.55" customHeight="1" x14ac:dyDescent="0.3">
      <c r="A3209" s="1260" t="s">
        <v>314</v>
      </c>
      <c r="B3209" s="460"/>
      <c r="C3209" s="460"/>
      <c r="D3209" s="463" t="s">
        <v>315</v>
      </c>
      <c r="E3209" s="460"/>
      <c r="F3209" s="460"/>
      <c r="G3209" s="471" t="s">
        <v>316</v>
      </c>
      <c r="H3209" s="453"/>
      <c r="I3209" s="1259"/>
    </row>
    <row r="3210" spans="1:9" ht="14.55" customHeight="1" x14ac:dyDescent="0.3">
      <c r="A3210" s="1258" t="s">
        <v>189</v>
      </c>
      <c r="B3210" s="468" t="e">
        <f>SUM(B3134,D3134,F3134)</f>
        <v>#N/A</v>
      </c>
      <c r="C3210" s="460" t="s">
        <v>222</v>
      </c>
      <c r="D3210" s="472" t="s">
        <v>189</v>
      </c>
      <c r="E3210" s="468" t="e">
        <f>SUM(B3136,D3136,F3136)</f>
        <v>#N/A</v>
      </c>
      <c r="F3210" s="460" t="s">
        <v>228</v>
      </c>
      <c r="G3210" s="472" t="s">
        <v>189</v>
      </c>
      <c r="H3210" s="453" t="e">
        <f>SUM(B3138,D3138,F3138)</f>
        <v>#N/A</v>
      </c>
      <c r="I3210" s="1259" t="s">
        <v>228</v>
      </c>
    </row>
    <row r="3211" spans="1:9" ht="14.55" customHeight="1" x14ac:dyDescent="0.3">
      <c r="A3211" s="1258" t="s">
        <v>317</v>
      </c>
      <c r="B3211" s="468" t="e">
        <f>SUM(B3144*B3146,D3144*D3146,F3144*F3146)</f>
        <v>#N/A</v>
      </c>
      <c r="C3211" s="460" t="s">
        <v>222</v>
      </c>
      <c r="D3211" s="472" t="s">
        <v>317</v>
      </c>
      <c r="E3211" s="468" t="e">
        <f>SUM(B3144*B3148,D3144*D3148,F3144*F3148)</f>
        <v>#N/A</v>
      </c>
      <c r="F3211" s="460" t="s">
        <v>228</v>
      </c>
      <c r="G3211" s="472" t="s">
        <v>317</v>
      </c>
      <c r="H3211" s="453" t="e">
        <f>SUM(B3144*B3150,D3144*D3150,F3144*F3150)</f>
        <v>#N/A</v>
      </c>
      <c r="I3211" s="1259" t="s">
        <v>228</v>
      </c>
    </row>
    <row r="3212" spans="1:9" ht="14.55" customHeight="1" x14ac:dyDescent="0.3">
      <c r="A3212" s="1258" t="s">
        <v>318</v>
      </c>
      <c r="B3212" s="468" t="e">
        <f>SUM(B3158,D3158,F3158)</f>
        <v>#N/A</v>
      </c>
      <c r="C3212" s="460" t="s">
        <v>222</v>
      </c>
      <c r="D3212" s="472" t="s">
        <v>318</v>
      </c>
      <c r="E3212" s="468" t="e">
        <f>SUM(B3160,D3160,F3160)</f>
        <v>#N/A</v>
      </c>
      <c r="F3212" s="460" t="s">
        <v>228</v>
      </c>
      <c r="G3212" s="472" t="s">
        <v>318</v>
      </c>
      <c r="H3212" s="453" t="e">
        <f>SUM(B3163,D3163,F3163)</f>
        <v>#N/A</v>
      </c>
      <c r="I3212" s="1259" t="s">
        <v>228</v>
      </c>
    </row>
    <row r="3213" spans="1:9" ht="14.55" customHeight="1" x14ac:dyDescent="0.3">
      <c r="A3213" s="1258" t="s">
        <v>319</v>
      </c>
      <c r="B3213" s="468">
        <f>SUMPRODUCT(F3230:F3241,H3230:H3241)</f>
        <v>0</v>
      </c>
      <c r="C3213" s="460" t="s">
        <v>222</v>
      </c>
      <c r="D3213" s="472" t="s">
        <v>319</v>
      </c>
      <c r="E3213" s="468">
        <f>SUMPRODUCT(F3230:F3241,I3230:I3241)</f>
        <v>0</v>
      </c>
      <c r="F3213" s="460" t="s">
        <v>228</v>
      </c>
      <c r="G3213" s="460"/>
      <c r="H3213" s="453"/>
      <c r="I3213" s="1259"/>
    </row>
    <row r="3214" spans="1:9" ht="14.55" customHeight="1" x14ac:dyDescent="0.3">
      <c r="A3214" s="1258" t="s">
        <v>320</v>
      </c>
      <c r="B3214" s="468" t="e">
        <f>IF(B3110="Horizontal",0,(PI()*B3184*(((B3132/2)^2)-(((B3132-2*B3183)/2)^2))*7860)/1000000000)</f>
        <v>#N/A</v>
      </c>
      <c r="C3214" s="460" t="s">
        <v>222</v>
      </c>
      <c r="D3214" s="472" t="s">
        <v>320</v>
      </c>
      <c r="E3214" s="468" t="e">
        <f>IF(B3110="Horizontal",0,((B3132*B3184*PI())+((B3132-2*B3183)*B3184*PI()))/1000000)</f>
        <v>#N/A</v>
      </c>
      <c r="F3214" s="460" t="s">
        <v>228</v>
      </c>
      <c r="G3214" s="471" t="s">
        <v>321</v>
      </c>
      <c r="H3214" s="453"/>
      <c r="I3214" s="1259"/>
    </row>
    <row r="3215" spans="1:9" ht="14.55" customHeight="1" x14ac:dyDescent="0.3">
      <c r="A3215" s="1258" t="s">
        <v>322</v>
      </c>
      <c r="B3215" s="468">
        <f>IF(B3110="Horizontal",0,(PI()*B3187*(((B3186/2)^2)-((B3185/2)^2))*7860)/1000000000)</f>
        <v>0</v>
      </c>
      <c r="C3215" s="460" t="s">
        <v>222</v>
      </c>
      <c r="D3215" s="472" t="s">
        <v>322</v>
      </c>
      <c r="E3215" s="468">
        <f>IF(B3110="Horizontal",0,((B3186*3.14*B3187)+(B3185*3.14*B3187)+(((((B3186/2)^2)*3.14)-(((B3185/2)^2)*3.14))*2))/1000000)</f>
        <v>0</v>
      </c>
      <c r="F3215" s="460" t="s">
        <v>228</v>
      </c>
      <c r="G3215" s="472" t="s">
        <v>189</v>
      </c>
      <c r="H3215" s="453">
        <f>SUM(B3135,D3135,F3135)</f>
        <v>0</v>
      </c>
      <c r="I3215" s="1259" t="s">
        <v>225</v>
      </c>
    </row>
    <row r="3216" spans="1:9" ht="14.55" customHeight="1" x14ac:dyDescent="0.3">
      <c r="A3216" s="1258" t="s">
        <v>323</v>
      </c>
      <c r="B3216" s="468">
        <f>IF(B3110="Horizontal",VLOOKUP(B3132,List!$AR:$AS,2,1)*2,0)</f>
        <v>0</v>
      </c>
      <c r="C3216" s="460" t="s">
        <v>222</v>
      </c>
      <c r="D3216" s="472" t="s">
        <v>323</v>
      </c>
      <c r="E3216" s="725"/>
      <c r="F3216" s="460" t="s">
        <v>228</v>
      </c>
      <c r="G3216" s="472" t="s">
        <v>317</v>
      </c>
      <c r="H3216" s="453" t="e">
        <f>SUM(B3144*B3147+D3144*D3147+F3144*F3147)</f>
        <v>#N/A</v>
      </c>
      <c r="I3216" s="1259" t="s">
        <v>225</v>
      </c>
    </row>
    <row r="3217" spans="1:9" ht="14.55" customHeight="1" x14ac:dyDescent="0.3">
      <c r="A3217" s="1258" t="s">
        <v>324</v>
      </c>
      <c r="B3217" s="468">
        <f>F3186*F3185</f>
        <v>0</v>
      </c>
      <c r="C3217" s="460" t="s">
        <v>222</v>
      </c>
      <c r="D3217" s="460"/>
      <c r="E3217" s="460"/>
      <c r="F3217" s="460"/>
      <c r="G3217" s="472" t="s">
        <v>318</v>
      </c>
      <c r="H3217" s="453">
        <f>SUM(B3159,D3159,F3159)</f>
        <v>0</v>
      </c>
      <c r="I3217" s="1259" t="s">
        <v>225</v>
      </c>
    </row>
    <row r="3218" spans="1:9" ht="14.55" customHeight="1" x14ac:dyDescent="0.3">
      <c r="A3218" s="1258" t="s">
        <v>325</v>
      </c>
      <c r="B3218" s="468">
        <f>B3207</f>
        <v>0</v>
      </c>
      <c r="C3218" s="460" t="s">
        <v>222</v>
      </c>
      <c r="D3218" s="460"/>
      <c r="E3218" s="460"/>
      <c r="F3218" s="460"/>
      <c r="G3218" s="472"/>
      <c r="H3218" s="453"/>
      <c r="I3218" s="1259"/>
    </row>
    <row r="3219" spans="1:9" ht="14.55" customHeight="1" x14ac:dyDescent="0.3">
      <c r="A3219" s="1258" t="s">
        <v>326</v>
      </c>
      <c r="B3219" s="725"/>
      <c r="C3219" s="460" t="s">
        <v>222</v>
      </c>
      <c r="D3219" s="460"/>
      <c r="E3219" s="460"/>
      <c r="F3219" s="460"/>
      <c r="G3219" s="460"/>
      <c r="H3219" s="460"/>
      <c r="I3219" s="1259"/>
    </row>
    <row r="3220" spans="1:9" ht="14.55" customHeight="1" x14ac:dyDescent="0.3">
      <c r="A3220" s="1264"/>
      <c r="B3220" s="460"/>
      <c r="C3220" s="460"/>
      <c r="D3220" s="460"/>
      <c r="E3220" s="460"/>
      <c r="F3220" s="460"/>
      <c r="G3220" s="460"/>
      <c r="H3220" s="460"/>
      <c r="I3220" s="1259"/>
    </row>
    <row r="3221" spans="1:9" ht="14.55" customHeight="1" x14ac:dyDescent="0.3">
      <c r="A3221" s="1258" t="s">
        <v>327</v>
      </c>
      <c r="B3221" s="453" t="e">
        <f>SUM(E3210:E3216)</f>
        <v>#N/A</v>
      </c>
      <c r="C3221" s="460" t="s">
        <v>228</v>
      </c>
      <c r="D3221" s="460"/>
      <c r="E3221" s="460"/>
      <c r="F3221" s="460"/>
      <c r="G3221" s="460"/>
      <c r="H3221" s="460"/>
      <c r="I3221" s="1259"/>
    </row>
    <row r="3222" spans="1:9" ht="14.55" customHeight="1" x14ac:dyDescent="0.3">
      <c r="A3222" s="1258" t="s">
        <v>328</v>
      </c>
      <c r="B3222" s="453" t="e">
        <f>IF(SUM(E3210:E3212)=SUM(H3210:H3212),"Not Insulated",SUM(H3210:H3212))</f>
        <v>#N/A</v>
      </c>
      <c r="C3222" s="460" t="e">
        <f>IF(B3221=SUM(H3210:H3212),"","m2")</f>
        <v>#N/A</v>
      </c>
      <c r="D3222" s="460"/>
      <c r="E3222" s="460"/>
      <c r="F3222" s="460"/>
      <c r="G3222" s="460"/>
      <c r="H3222" s="460"/>
      <c r="I3222" s="1259"/>
    </row>
    <row r="3223" spans="1:9" ht="14.55" customHeight="1" x14ac:dyDescent="0.3">
      <c r="A3223" s="1258" t="s">
        <v>329</v>
      </c>
      <c r="B3223" s="453" t="e">
        <f>SUM(H3215:H3217)</f>
        <v>#N/A</v>
      </c>
      <c r="C3223" s="460" t="s">
        <v>225</v>
      </c>
      <c r="D3223" s="460"/>
      <c r="E3223" s="460"/>
      <c r="F3223" s="460"/>
      <c r="G3223" s="460"/>
      <c r="H3223" s="460"/>
      <c r="I3223" s="1259"/>
    </row>
    <row r="3224" spans="1:9" ht="14.55" customHeight="1" x14ac:dyDescent="0.3">
      <c r="A3224" s="1258" t="s">
        <v>330</v>
      </c>
      <c r="B3224" s="453" t="e">
        <f>SUM(B3210:B3219)</f>
        <v>#N/A</v>
      </c>
      <c r="C3224" s="460" t="s">
        <v>222</v>
      </c>
      <c r="D3224" s="460"/>
      <c r="E3224" s="460"/>
      <c r="F3224" s="460"/>
      <c r="G3224" s="460"/>
      <c r="H3224" s="460"/>
      <c r="I3224" s="1259"/>
    </row>
    <row r="3225" spans="1:9" ht="14.55" customHeight="1" x14ac:dyDescent="0.3">
      <c r="A3225" s="1258" t="s">
        <v>331</v>
      </c>
      <c r="B3225" s="725"/>
      <c r="C3225" s="460" t="s">
        <v>222</v>
      </c>
      <c r="D3225" s="460"/>
      <c r="E3225" s="460"/>
      <c r="F3225" s="460"/>
      <c r="G3225" s="460"/>
      <c r="H3225" s="460"/>
      <c r="I3225" s="1259"/>
    </row>
    <row r="3226" spans="1:9" ht="15" customHeight="1" thickBot="1" x14ac:dyDescent="0.35">
      <c r="A3226" s="1258"/>
      <c r="B3226" s="473"/>
      <c r="C3226" s="459"/>
      <c r="D3226" s="460"/>
      <c r="E3226" s="460"/>
      <c r="F3226" s="460"/>
      <c r="G3226" s="460"/>
      <c r="H3226" s="460"/>
      <c r="I3226" s="1259"/>
    </row>
    <row r="3227" spans="1:9" ht="15" customHeight="1" thickBot="1" x14ac:dyDescent="0.35">
      <c r="A3227" s="474"/>
      <c r="B3227" s="1718" t="s">
        <v>332</v>
      </c>
      <c r="C3227" s="1718"/>
      <c r="D3227" s="1718"/>
      <c r="E3227" s="1718"/>
      <c r="F3227" s="1718"/>
      <c r="G3227" s="475"/>
      <c r="H3227" s="475"/>
      <c r="I3227" s="476"/>
    </row>
    <row r="3228" spans="1:9" ht="14.55" customHeight="1" x14ac:dyDescent="0.3">
      <c r="A3228" s="1264"/>
      <c r="B3228" s="1719" t="s">
        <v>333</v>
      </c>
      <c r="C3228" s="1381" t="s">
        <v>59</v>
      </c>
      <c r="D3228" s="1719" t="s">
        <v>114</v>
      </c>
      <c r="E3228" s="1719" t="s">
        <v>334</v>
      </c>
      <c r="F3228" s="1719" t="s">
        <v>292</v>
      </c>
      <c r="G3228" s="1719" t="s">
        <v>335</v>
      </c>
      <c r="H3228" s="1381" t="s">
        <v>184</v>
      </c>
      <c r="I3228" s="1346" t="s">
        <v>336</v>
      </c>
    </row>
    <row r="3229" spans="1:9" ht="14.55" customHeight="1" x14ac:dyDescent="0.3">
      <c r="A3229" s="1264"/>
      <c r="B3229" s="1720"/>
      <c r="C3229" s="1442" t="s">
        <v>214</v>
      </c>
      <c r="D3229" s="1720"/>
      <c r="E3229" s="1720"/>
      <c r="F3229" s="1720"/>
      <c r="G3229" s="1720"/>
      <c r="H3229" s="1442" t="s">
        <v>222</v>
      </c>
      <c r="I3229" s="1443" t="s">
        <v>228</v>
      </c>
    </row>
    <row r="3230" spans="1:9" ht="14.55" customHeight="1" x14ac:dyDescent="0.3">
      <c r="A3230" s="1264"/>
      <c r="B3230" s="1382" t="s">
        <v>337</v>
      </c>
      <c r="C3230" s="728"/>
      <c r="D3230" s="729"/>
      <c r="E3230" s="730"/>
      <c r="F3230" s="730"/>
      <c r="G3230" s="730"/>
      <c r="H3230" s="1465" t="str">
        <f>IFERROR(VLOOKUP($C3230&amp;"F"&amp;$D3230,'Flanges Chart'!$1:$1048576,MATCH($E3230&amp;"."&amp;H$123,'Flanges Chart'!$1:$1,0),0),"")</f>
        <v/>
      </c>
      <c r="I3230" s="1466" t="str">
        <f>IFERROR(VLOOKUP($C3230&amp;"F"&amp;$D3230,'Flanges Chart'!$1:$1048576,MATCH($E3230&amp;"."&amp;I$123,'Flanges Chart'!$1:$1,0),0),"")</f>
        <v/>
      </c>
    </row>
    <row r="3231" spans="1:9" ht="14.55" customHeight="1" x14ac:dyDescent="0.3">
      <c r="A3231" s="1264"/>
      <c r="B3231" s="1467" t="s">
        <v>340</v>
      </c>
      <c r="C3231" s="731"/>
      <c r="D3231" s="729"/>
      <c r="E3231" s="729"/>
      <c r="F3231" s="729"/>
      <c r="G3231" s="729"/>
      <c r="H3231" s="1465" t="str">
        <f>IFERROR(VLOOKUP($C3231&amp;"F"&amp;$D3231,'Flanges Chart'!$1:$1048576,MATCH($E3231&amp;"."&amp;H$123,'Flanges Chart'!$1:$1,0),0),"")</f>
        <v/>
      </c>
      <c r="I3231" s="1466" t="str">
        <f>IFERROR(VLOOKUP($C3231&amp;"F"&amp;$D3231,'Flanges Chart'!$1:$1048576,MATCH($E3231&amp;"."&amp;I$123,'Flanges Chart'!$1:$1,0),0),"")</f>
        <v/>
      </c>
    </row>
    <row r="3232" spans="1:9" ht="14.55" customHeight="1" x14ac:dyDescent="0.3">
      <c r="A3232" s="1264"/>
      <c r="B3232" s="1467" t="s">
        <v>342</v>
      </c>
      <c r="C3232" s="731"/>
      <c r="D3232" s="729"/>
      <c r="E3232" s="729"/>
      <c r="F3232" s="729"/>
      <c r="G3232" s="729"/>
      <c r="H3232" s="1465" t="str">
        <f>IFERROR(VLOOKUP($C3232&amp;"F"&amp;$D3232,'Flanges Chart'!$1:$1048576,MATCH($E3232&amp;"."&amp;H$123,'Flanges Chart'!$1:$1,0),0),"")</f>
        <v/>
      </c>
      <c r="I3232" s="1466" t="str">
        <f>IFERROR(VLOOKUP($C3232&amp;"F"&amp;$D3232,'Flanges Chart'!$1:$1048576,MATCH($E3232&amp;"."&amp;I$123,'Flanges Chart'!$1:$1,0),0),"")</f>
        <v/>
      </c>
    </row>
    <row r="3233" spans="1:13" ht="14.55" customHeight="1" x14ac:dyDescent="0.3">
      <c r="A3233" s="1264"/>
      <c r="B3233" s="1467" t="s">
        <v>344</v>
      </c>
      <c r="C3233" s="731"/>
      <c r="D3233" s="729"/>
      <c r="E3233" s="729"/>
      <c r="F3233" s="729"/>
      <c r="G3233" s="729"/>
      <c r="H3233" s="1465" t="str">
        <f>IFERROR(VLOOKUP($C3233&amp;"F"&amp;$D3233,'Flanges Chart'!$1:$1048576,MATCH($E3233&amp;"."&amp;H$123,'Flanges Chart'!$1:$1,0),0),"")</f>
        <v/>
      </c>
      <c r="I3233" s="1466" t="str">
        <f>IFERROR(VLOOKUP($C3233&amp;"F"&amp;$D3233,'Flanges Chart'!$1:$1048576,MATCH($E3233&amp;"."&amp;I$123,'Flanges Chart'!$1:$1,0),0),"")</f>
        <v/>
      </c>
    </row>
    <row r="3234" spans="1:13" ht="14.55" customHeight="1" x14ac:dyDescent="0.3">
      <c r="A3234" s="1264"/>
      <c r="B3234" s="1467" t="s">
        <v>347</v>
      </c>
      <c r="C3234" s="731"/>
      <c r="D3234" s="729"/>
      <c r="E3234" s="729"/>
      <c r="F3234" s="729"/>
      <c r="G3234" s="729"/>
      <c r="H3234" s="1465" t="str">
        <f>IFERROR(VLOOKUP($C3234&amp;"F"&amp;$D3234,'Flanges Chart'!$1:$1048576,MATCH($E3234&amp;"."&amp;H$123,'Flanges Chart'!$1:$1,0),0),"")</f>
        <v/>
      </c>
      <c r="I3234" s="1466" t="str">
        <f>IFERROR(VLOOKUP($C3234&amp;"F"&amp;$D3234,'Flanges Chart'!$1:$1048576,MATCH($E3234&amp;"."&amp;I$123,'Flanges Chart'!$1:$1,0),0),"")</f>
        <v/>
      </c>
    </row>
    <row r="3235" spans="1:13" ht="14.55" customHeight="1" x14ac:dyDescent="0.3">
      <c r="A3235" s="1264"/>
      <c r="B3235" s="1467" t="s">
        <v>349</v>
      </c>
      <c r="C3235" s="731"/>
      <c r="D3235" s="729"/>
      <c r="E3235" s="729"/>
      <c r="F3235" s="729"/>
      <c r="G3235" s="729"/>
      <c r="H3235" s="1465" t="str">
        <f>IFERROR(VLOOKUP($C3235&amp;"F"&amp;$D3235,'Flanges Chart'!$1:$1048576,MATCH($E3235&amp;"."&amp;H$123,'Flanges Chart'!$1:$1,0),0),"")</f>
        <v/>
      </c>
      <c r="I3235" s="1466" t="str">
        <f>IFERROR(VLOOKUP($C3235&amp;"F"&amp;$D3235,'Flanges Chart'!$1:$1048576,MATCH($E3235&amp;"."&amp;I$123,'Flanges Chart'!$1:$1,0),0),"")</f>
        <v/>
      </c>
    </row>
    <row r="3236" spans="1:13" ht="14.55" customHeight="1" x14ac:dyDescent="0.3">
      <c r="A3236" s="1264"/>
      <c r="B3236" s="1467" t="s">
        <v>350</v>
      </c>
      <c r="C3236" s="731"/>
      <c r="D3236" s="729"/>
      <c r="E3236" s="729"/>
      <c r="F3236" s="729"/>
      <c r="G3236" s="729"/>
      <c r="H3236" s="1465" t="str">
        <f>IFERROR(VLOOKUP($C3236&amp;"F"&amp;$D3236,'Flanges Chart'!$1:$1048576,MATCH($E3236&amp;"."&amp;H$123,'Flanges Chart'!$1:$1,0),0),"")</f>
        <v/>
      </c>
      <c r="I3236" s="1466" t="str">
        <f>IFERROR(VLOOKUP($C3236&amp;"F"&amp;$D3236,'Flanges Chart'!$1:$1048576,MATCH($E3236&amp;"."&amp;I$123,'Flanges Chart'!$1:$1,0),0),"")</f>
        <v/>
      </c>
    </row>
    <row r="3237" spans="1:13" ht="14.55" customHeight="1" x14ac:dyDescent="0.3">
      <c r="A3237" s="1264"/>
      <c r="B3237" s="1467" t="s">
        <v>351</v>
      </c>
      <c r="C3237" s="731"/>
      <c r="D3237" s="729"/>
      <c r="E3237" s="729"/>
      <c r="F3237" s="729"/>
      <c r="G3237" s="729"/>
      <c r="H3237" s="1465" t="str">
        <f>IFERROR(VLOOKUP($C3237&amp;"F"&amp;$D3237,'Flanges Chart'!$1:$1048576,MATCH($E3237&amp;"."&amp;H$123,'Flanges Chart'!$1:$1,0),0),"")</f>
        <v/>
      </c>
      <c r="I3237" s="1466" t="str">
        <f>IFERROR(VLOOKUP($C3237&amp;"F"&amp;$D3237,'Flanges Chart'!$1:$1048576,MATCH($E3237&amp;"."&amp;I$123,'Flanges Chart'!$1:$1,0),0),"")</f>
        <v/>
      </c>
    </row>
    <row r="3238" spans="1:13" ht="14.55" customHeight="1" x14ac:dyDescent="0.3">
      <c r="A3238" s="1264"/>
      <c r="B3238" s="1467" t="s">
        <v>352</v>
      </c>
      <c r="C3238" s="731"/>
      <c r="D3238" s="729"/>
      <c r="E3238" s="729"/>
      <c r="F3238" s="729"/>
      <c r="G3238" s="729"/>
      <c r="H3238" s="1465" t="str">
        <f>IFERROR(VLOOKUP($C3238&amp;"F"&amp;$D3238,'Flanges Chart'!$1:$1048576,MATCH($E3238&amp;"."&amp;H$123,'Flanges Chart'!$1:$1,0),0),"")</f>
        <v/>
      </c>
      <c r="I3238" s="1466" t="str">
        <f>IFERROR(VLOOKUP($C3238&amp;"F"&amp;$D3238,'Flanges Chart'!$1:$1048576,MATCH($E3238&amp;"."&amp;I$123,'Flanges Chart'!$1:$1,0),0),"")</f>
        <v/>
      </c>
    </row>
    <row r="3239" spans="1:13" ht="14.55" customHeight="1" x14ac:dyDescent="0.3">
      <c r="A3239" s="1264"/>
      <c r="B3239" s="1467" t="s">
        <v>353</v>
      </c>
      <c r="C3239" s="731"/>
      <c r="D3239" s="729"/>
      <c r="E3239" s="729"/>
      <c r="F3239" s="729"/>
      <c r="G3239" s="729"/>
      <c r="H3239" s="1465" t="str">
        <f>IFERROR(VLOOKUP($C3239&amp;"F"&amp;$D3239,'Flanges Chart'!$1:$1048576,MATCH($E3239&amp;"."&amp;H$123,'Flanges Chart'!$1:$1,0),0),"")</f>
        <v/>
      </c>
      <c r="I3239" s="1466" t="str">
        <f>IFERROR(VLOOKUP($C3239&amp;"F"&amp;$D3239,'Flanges Chart'!$1:$1048576,MATCH($E3239&amp;"."&amp;I$123,'Flanges Chart'!$1:$1,0),0),"")</f>
        <v/>
      </c>
    </row>
    <row r="3240" spans="1:13" ht="14.55" customHeight="1" x14ac:dyDescent="0.3">
      <c r="A3240" s="1264"/>
      <c r="B3240" s="1467" t="s">
        <v>354</v>
      </c>
      <c r="C3240" s="731"/>
      <c r="D3240" s="729"/>
      <c r="E3240" s="729"/>
      <c r="F3240" s="729"/>
      <c r="G3240" s="729"/>
      <c r="H3240" s="1465" t="str">
        <f>IFERROR(VLOOKUP($C3240&amp;"F"&amp;$D3240,'Flanges Chart'!$1:$1048576,MATCH($E3240&amp;"."&amp;H$123,'Flanges Chart'!$1:$1,0),0),"")</f>
        <v/>
      </c>
      <c r="I3240" s="1466" t="str">
        <f>IFERROR(VLOOKUP($C3240&amp;"F"&amp;$D3240,'Flanges Chart'!$1:$1048576,MATCH($E3240&amp;"."&amp;I$123,'Flanges Chart'!$1:$1,0),0),"")</f>
        <v/>
      </c>
    </row>
    <row r="3241" spans="1:13" ht="15" customHeight="1" thickBot="1" x14ac:dyDescent="0.35">
      <c r="A3241" s="1264"/>
      <c r="B3241" s="1468" t="s">
        <v>355</v>
      </c>
      <c r="C3241" s="732"/>
      <c r="D3241" s="733"/>
      <c r="E3241" s="733"/>
      <c r="F3241" s="733"/>
      <c r="G3241" s="733"/>
      <c r="H3241" s="1469" t="s">
        <v>356</v>
      </c>
      <c r="I3241" s="1470" t="str">
        <f>IFERROR(VLOOKUP($C3241&amp;"F"&amp;$D3241,'Flanges Chart'!$1:$1048576,MATCH($E3241&amp;"."&amp;I$123,'Flanges Chart'!$1:$1,0),0),"")</f>
        <v/>
      </c>
    </row>
    <row r="3242" spans="1:13" s="496" customFormat="1" ht="18.600000000000001" thickBot="1" x14ac:dyDescent="0.35">
      <c r="A3242" s="493" t="str">
        <f>"POS."&amp;K3242&amp;" "&amp;VLOOKUP(K3242,'Equip&amp;Mach List'!$1:$1048576,2,0)&amp;" "&amp;VLOOKUP(K3242,'Equip&amp;Mach List'!$1:$1048576,3,0)</f>
        <v xml:space="preserve">POS.25  </v>
      </c>
      <c r="B3242" s="511"/>
      <c r="C3242" s="494"/>
      <c r="D3242" s="495"/>
      <c r="E3242" s="495"/>
      <c r="F3242" s="497"/>
      <c r="G3242" s="495"/>
      <c r="H3242" s="495"/>
      <c r="I3242" s="1255" t="str">
        <f>IFERROR("Weight Calc./Selected = "&amp;ROUND(B3359,1)&amp;"/"&amp;B3360&amp;" kg - Øi ="&amp;IF(B3266=0,F3266,B3266)&amp;" mm"&amp;"T/T ="&amp;IF(B3267=0,F3267,B3267)&amp;" mm - Material "&amp;B3253&amp;"        ","")</f>
        <v/>
      </c>
      <c r="K3242" s="496">
        <v>25</v>
      </c>
      <c r="M3242" s="1254"/>
    </row>
    <row r="3243" spans="1:13" ht="14.55" customHeight="1" x14ac:dyDescent="0.3">
      <c r="A3243" s="1256"/>
      <c r="B3243" s="451"/>
      <c r="C3243" s="451"/>
      <c r="D3243" s="451"/>
      <c r="E3243" s="451"/>
      <c r="F3243" s="451"/>
      <c r="G3243" s="451"/>
      <c r="H3243" s="451"/>
      <c r="I3243" s="1257"/>
      <c r="K3243" s="477" t="s">
        <v>166</v>
      </c>
      <c r="L3243" s="477" t="str">
        <f>K3242&amp;"."&amp;K3243</f>
        <v>25.Design Code</v>
      </c>
      <c r="M3243" s="1252" t="str">
        <f>A3244&amp;" "&amp;B3244</f>
        <v xml:space="preserve">ASME VIII </v>
      </c>
    </row>
    <row r="3244" spans="1:13" ht="14.55" customHeight="1" x14ac:dyDescent="0.3">
      <c r="A3244" s="1258" t="s">
        <v>167</v>
      </c>
      <c r="B3244" s="718"/>
      <c r="C3244" s="459"/>
      <c r="D3244" s="460"/>
      <c r="E3244" s="460"/>
      <c r="F3244" s="460"/>
      <c r="G3244" s="460"/>
      <c r="H3244" s="460"/>
      <c r="I3244" s="1259"/>
      <c r="K3244" s="477" t="s">
        <v>169</v>
      </c>
      <c r="L3244" s="477" t="str">
        <f>K3242&amp;"."&amp;K3244</f>
        <v>25.Orientation</v>
      </c>
      <c r="M3244" s="1252">
        <f>B3245</f>
        <v>0</v>
      </c>
    </row>
    <row r="3245" spans="1:13" ht="14.55" customHeight="1" x14ac:dyDescent="0.3">
      <c r="A3245" s="1258" t="s">
        <v>170</v>
      </c>
      <c r="B3245" s="718"/>
      <c r="C3245" s="459"/>
      <c r="D3245" s="460"/>
      <c r="E3245" s="460"/>
      <c r="F3245" s="461"/>
      <c r="G3245" s="460"/>
      <c r="H3245" s="460"/>
      <c r="I3245" s="1259"/>
      <c r="K3245" s="477" t="s">
        <v>172</v>
      </c>
      <c r="L3245" s="477" t="str">
        <f>K3242&amp;"."&amp;K3245</f>
        <v>25.Design Temperature</v>
      </c>
      <c r="M3245" s="1252">
        <f>D3248</f>
        <v>0</v>
      </c>
    </row>
    <row r="3246" spans="1:13" ht="14.55" customHeight="1" x14ac:dyDescent="0.3">
      <c r="A3246" s="1258"/>
      <c r="B3246" s="459"/>
      <c r="C3246" s="459"/>
      <c r="D3246" s="460"/>
      <c r="E3246" s="460"/>
      <c r="F3246" s="462"/>
      <c r="G3246" s="460"/>
      <c r="H3246" s="460"/>
      <c r="I3246" s="1259"/>
      <c r="K3246" s="477" t="s">
        <v>173</v>
      </c>
      <c r="L3246" s="477" t="str">
        <f>K3242&amp;"."&amp;K3246</f>
        <v>25.Design Pressure</v>
      </c>
      <c r="M3246" s="1252">
        <f>D3249</f>
        <v>0</v>
      </c>
    </row>
    <row r="3247" spans="1:13" ht="14.55" customHeight="1" x14ac:dyDescent="0.3">
      <c r="A3247" s="1260" t="s">
        <v>174</v>
      </c>
      <c r="B3247" s="459"/>
      <c r="C3247" s="459"/>
      <c r="D3247" s="460"/>
      <c r="E3247" s="460"/>
      <c r="F3247" s="462"/>
      <c r="G3247" s="460"/>
      <c r="H3247" s="460"/>
      <c r="I3247" s="1259"/>
      <c r="K3247" s="477" t="s">
        <v>175</v>
      </c>
      <c r="L3247" s="477" t="str">
        <f>K3242&amp;"."&amp;K3247</f>
        <v>25.Material</v>
      </c>
      <c r="M3247" s="1252">
        <f>B3253</f>
        <v>0</v>
      </c>
    </row>
    <row r="3248" spans="1:13" ht="14.55" customHeight="1" x14ac:dyDescent="0.3">
      <c r="A3248" s="1258" t="s">
        <v>176</v>
      </c>
      <c r="B3248" s="719"/>
      <c r="C3248" s="720" t="s">
        <v>177</v>
      </c>
      <c r="D3248" s="464">
        <f>IF(C3248="°C",B3248,0)+IF(C3248="°F",(B3248-32)*5/9,0)</f>
        <v>0</v>
      </c>
      <c r="E3248" s="460" t="s">
        <v>177</v>
      </c>
      <c r="F3248" s="462"/>
      <c r="G3248" s="460"/>
      <c r="H3248" s="460"/>
      <c r="I3248" s="1259"/>
      <c r="K3248" s="477" t="s">
        <v>178</v>
      </c>
      <c r="L3248" s="477" t="str">
        <f>K3242&amp;"."&amp;K3248</f>
        <v>25.Inside Diameter</v>
      </c>
      <c r="M3248" s="1252">
        <f>IF(B3266=0,F3266,B3266)</f>
        <v>0</v>
      </c>
    </row>
    <row r="3249" spans="1:13" ht="14.55" customHeight="1" x14ac:dyDescent="0.3">
      <c r="A3249" s="1258" t="s">
        <v>179</v>
      </c>
      <c r="B3249" s="721"/>
      <c r="C3249" s="720" t="s">
        <v>180</v>
      </c>
      <c r="D3249" s="452">
        <f>IF(C3249="barg",B3249,0)+IF(C3249="psig",B3249*List!$AV$4,0)+IF(C3249="MPa",B3249*List!$AV$5,0)+IF(C3249="N/mm2",B3249*List!$AV$6,0)</f>
        <v>0</v>
      </c>
      <c r="E3249" s="460" t="s">
        <v>180</v>
      </c>
      <c r="F3249" s="460"/>
      <c r="G3249" s="460"/>
      <c r="H3249" s="460"/>
      <c r="I3249" s="1259"/>
      <c r="K3249" s="477" t="s">
        <v>181</v>
      </c>
      <c r="L3249" s="477" t="str">
        <f>K3242&amp;"."&amp;K3249</f>
        <v>25.Tan / Tan</v>
      </c>
      <c r="M3249" s="1252">
        <f>IF(B3268=0,F3268,B3268)</f>
        <v>0</v>
      </c>
    </row>
    <row r="3250" spans="1:13" ht="14.55" customHeight="1" x14ac:dyDescent="0.3">
      <c r="A3250" s="1258" t="s">
        <v>182</v>
      </c>
      <c r="B3250" s="721"/>
      <c r="C3250" s="720" t="s">
        <v>180</v>
      </c>
      <c r="D3250" s="452">
        <f>IF(C3250="barg",B3250,0)+IF(C3250="psig",B3250*List!$AV$4,0)+IF(C3250="MPa",B3250*List!$AV$5,0)+IF(C3250="N/mm2",B3250*List!$AV$6,0)</f>
        <v>0</v>
      </c>
      <c r="E3250" s="460" t="s">
        <v>180</v>
      </c>
      <c r="F3250" s="460"/>
      <c r="G3250" s="465"/>
      <c r="H3250" s="460"/>
      <c r="I3250" s="1259"/>
      <c r="K3250" s="477" t="s">
        <v>183</v>
      </c>
      <c r="L3250" s="477" t="str">
        <f>K3242&amp;"."&amp;K3250</f>
        <v>25.Thickness</v>
      </c>
      <c r="M3250" s="1252" t="e">
        <f>IF(B3307=0,F3311,B3307)</f>
        <v>#N/A</v>
      </c>
    </row>
    <row r="3251" spans="1:13" ht="14.55" customHeight="1" x14ac:dyDescent="0.3">
      <c r="A3251" s="1258"/>
      <c r="B3251" s="459"/>
      <c r="C3251" s="459"/>
      <c r="D3251" s="460"/>
      <c r="E3251" s="460"/>
      <c r="F3251" s="460"/>
      <c r="G3251" s="465"/>
      <c r="H3251" s="460"/>
      <c r="I3251" s="1259"/>
      <c r="K3251" s="477" t="s">
        <v>184</v>
      </c>
      <c r="L3251" s="477" t="str">
        <f>K3242&amp;"."&amp;K3251</f>
        <v>25.Unit Weight</v>
      </c>
      <c r="M3251" s="1252">
        <f>B3360</f>
        <v>0</v>
      </c>
    </row>
    <row r="3252" spans="1:13" ht="14.55" customHeight="1" x14ac:dyDescent="0.3">
      <c r="A3252" s="1260" t="s">
        <v>185</v>
      </c>
      <c r="B3252" s="459" t="s">
        <v>186</v>
      </c>
      <c r="C3252" s="459"/>
      <c r="D3252" s="460"/>
      <c r="E3252" s="460"/>
      <c r="F3252" s="460" t="s">
        <v>187</v>
      </c>
      <c r="G3252" s="465"/>
      <c r="H3252" s="460"/>
      <c r="I3252" s="1259"/>
      <c r="K3252" s="478" t="s">
        <v>188</v>
      </c>
      <c r="L3252" s="477" t="str">
        <f>K3242&amp;"."&amp;K3252</f>
        <v>25.Unit External Surface</v>
      </c>
      <c r="M3252" s="1252" t="e">
        <f>B3356</f>
        <v>#N/A</v>
      </c>
    </row>
    <row r="3253" spans="1:13" ht="14.55" customHeight="1" x14ac:dyDescent="0.3">
      <c r="A3253" s="1258" t="s">
        <v>189</v>
      </c>
      <c r="B3253" s="1716"/>
      <c r="C3253" s="1717"/>
      <c r="D3253" s="460"/>
      <c r="E3253" s="461"/>
      <c r="F3253" s="1716"/>
      <c r="G3253" s="1717"/>
      <c r="H3253" s="460"/>
      <c r="I3253" s="1259"/>
      <c r="K3253" s="477" t="s">
        <v>191</v>
      </c>
      <c r="L3253" s="477" t="str">
        <f>K3242&amp;"."&amp;K3253</f>
        <v>25.M1 DN</v>
      </c>
      <c r="M3253" s="1252">
        <f>C3374</f>
        <v>0</v>
      </c>
    </row>
    <row r="3254" spans="1:13" ht="14.55" customHeight="1" x14ac:dyDescent="0.3">
      <c r="A3254" s="1258" t="s">
        <v>192</v>
      </c>
      <c r="B3254" s="1716"/>
      <c r="C3254" s="1717"/>
      <c r="D3254" s="460"/>
      <c r="E3254" s="461"/>
      <c r="F3254" s="1716"/>
      <c r="G3254" s="1717"/>
      <c r="H3254" s="460"/>
      <c r="I3254" s="1259"/>
      <c r="K3254" s="477" t="s">
        <v>193</v>
      </c>
      <c r="L3254" s="477" t="str">
        <f>K3242&amp;"."&amp;K3254</f>
        <v>25.M1 Rating</v>
      </c>
      <c r="M3254" s="1252">
        <f>D3374</f>
        <v>0</v>
      </c>
    </row>
    <row r="3255" spans="1:13" ht="14.55" customHeight="1" x14ac:dyDescent="0.3">
      <c r="A3255" s="1258"/>
      <c r="B3255" s="466"/>
      <c r="C3255" s="466"/>
      <c r="D3255" s="460"/>
      <c r="E3255" s="460"/>
      <c r="F3255" s="460"/>
      <c r="G3255" s="460"/>
      <c r="H3255" s="460"/>
      <c r="I3255" s="1259"/>
      <c r="K3255" s="477" t="s">
        <v>194</v>
      </c>
      <c r="L3255" s="477" t="str">
        <f>K3242&amp;"."&amp;K3255</f>
        <v>25.M1 Type</v>
      </c>
      <c r="M3255" s="1252">
        <f>E3374</f>
        <v>0</v>
      </c>
    </row>
    <row r="3256" spans="1:13" ht="14.55" customHeight="1" x14ac:dyDescent="0.3">
      <c r="A3256" s="1258" t="s">
        <v>195</v>
      </c>
      <c r="B3256" s="460"/>
      <c r="C3256" s="460"/>
      <c r="D3256" s="460"/>
      <c r="E3256" s="460"/>
      <c r="F3256" s="460"/>
      <c r="G3256" s="460"/>
      <c r="H3256" s="460"/>
      <c r="I3256" s="1259"/>
      <c r="K3256" s="477" t="s">
        <v>196</v>
      </c>
      <c r="L3256" s="477" t="str">
        <f>K3242&amp;"."&amp;K3256</f>
        <v>25.M1 Quantity</v>
      </c>
      <c r="M3256" s="1252">
        <f>F3374</f>
        <v>0</v>
      </c>
    </row>
    <row r="3257" spans="1:13" ht="14.55" customHeight="1" x14ac:dyDescent="0.3">
      <c r="A3257" s="1258" t="s">
        <v>197</v>
      </c>
      <c r="B3257" s="464" t="e">
        <f>$D3248*(VLOOKUP($B3253,'ASME II Tab 1A'!$1:$1048576,MATCH($D3248,'ASME II Tab 1A'!$6:$6,1)+1,0)-VLOOKUP($B3253,'ASME II Tab 1A'!$1:$1048576,MATCH($D3248,'ASME II Tab 1A'!$6:$6,1),0))/(INDEX('ASME II Tab 1A'!$6:$6,MATCH($D3248,'ASME II Tab 1A'!$6:$6,1)+1)-INDEX('ASME II Tab 1A'!$6:$6,MATCH($D3248,'ASME II Tab 1A'!$6:$6,1)))+VLOOKUP($B3253,'ASME II Tab 1A'!$1:$1048576,MATCH($D3248,'ASME II Tab 1A'!$6:$6,1)+1,0)-INDEX('ASME II Tab 1A'!$6:$6,MATCH($D3248,'ASME II Tab 1A'!$6:$6,1)+1)*(VLOOKUP($B3253,'ASME II Tab 1A'!$1:$1048576,MATCH($D3248,'ASME II Tab 1A'!$6:$6,1)+1,0)-VLOOKUP($B3253,'ASME II Tab 1A'!$1:$1048576,MATCH($D3248,'ASME II Tab 1A'!$6:$6,1),0))/(INDEX('ASME II Tab 1A'!$6:$6,MATCH($D3248,'ASME II Tab 1A'!$6:$6,1)+1)-INDEX('ASME II Tab 1A'!$6:$6,MATCH($D3248,'ASME II Tab 1A'!$6:$6,1)))</f>
        <v>#N/A</v>
      </c>
      <c r="C3257" s="460" t="s">
        <v>198</v>
      </c>
      <c r="D3257" s="460"/>
      <c r="E3257" s="467"/>
      <c r="F3257" s="460" t="e">
        <f>$D3248*(VLOOKUP($F3253,'ASME II Tab 1A'!$1:$1048576,MATCH($D3248,'ASME II Tab 1A'!$6:$6,1)+1,0)-VLOOKUP($F3253,'ASME II Tab 1A'!$1:$1048576,MATCH($D3248,'ASME II Tab 1A'!$6:$6,1),0))/(INDEX('ASME II Tab 1A'!$6:$6,MATCH($D3248,'ASME II Tab 1A'!$6:$6,1)+1)-INDEX('ASME II Tab 1A'!$6:$6,MATCH($D3248,'ASME II Tab 1A'!$6:$6,1)))+VLOOKUP($F3253,'ASME II Tab 1A'!$1:$1048576,MATCH($D3248,'ASME II Tab 1A'!$6:$6,1)+1,0)-INDEX('ASME II Tab 1A'!$6:$6,MATCH($D3248,'ASME II Tab 1A'!$6:$6,1)+1)*(VLOOKUP($F3253,'ASME II Tab 1A'!$1:$1048576,MATCH($D3248,'ASME II Tab 1A'!$6:$6,1)+1,0)-VLOOKUP($F3253,'ASME II Tab 1A'!$1:$1048576,MATCH($D3248,'ASME II Tab 1A'!$6:$6,1),0))/(INDEX('ASME II Tab 1A'!$6:$6,MATCH($D3248,'ASME II Tab 1A'!$6:$6,1)+1)-INDEX('ASME II Tab 1A'!$6:$6,MATCH($D3248,'ASME II Tab 1A'!$6:$6,1)))</f>
        <v>#N/A</v>
      </c>
      <c r="G3257" s="460" t="s">
        <v>198</v>
      </c>
      <c r="H3257" s="460"/>
      <c r="I3257" s="1259"/>
      <c r="K3257" s="477" t="s">
        <v>199</v>
      </c>
      <c r="L3257" s="477" t="str">
        <f>K3242&amp;"."&amp;K3257</f>
        <v>25.M2 DN</v>
      </c>
      <c r="M3257" s="1252">
        <f>C3375</f>
        <v>0</v>
      </c>
    </row>
    <row r="3258" spans="1:13" ht="14.55" customHeight="1" x14ac:dyDescent="0.3">
      <c r="A3258" s="1258" t="s">
        <v>200</v>
      </c>
      <c r="B3258" s="464" t="e">
        <f>$D3248*(VLOOKUP($B3254,'ASME II Tab 1A'!$1:$1048576,MATCH($D3248,'ASME II Tab 1A'!$6:$6,1)+1,0)-VLOOKUP($B3254,'ASME II Tab 1A'!$1:$1048576,MATCH($D3248,'ASME II Tab 1A'!$6:$6,1),0))/(INDEX('ASME II Tab 1A'!$6:$6,MATCH($D3248,'ASME II Tab 1A'!$6:$6,1)+1)-INDEX('ASME II Tab 1A'!$6:$6,MATCH($D3248,'ASME II Tab 1A'!$6:$6,1)))+VLOOKUP($B3254,'ASME II Tab 1A'!$1:$1048576,MATCH($D3248,'ASME II Tab 1A'!$6:$6,1)+1,0)-INDEX('ASME II Tab 1A'!$6:$6,MATCH($D3248,'ASME II Tab 1A'!$6:$6,1)+1)*(VLOOKUP($B3254,'ASME II Tab 1A'!$1:$1048576,MATCH($D3248,'ASME II Tab 1A'!$6:$6,1)+1,0)-VLOOKUP($B3254,'ASME II Tab 1A'!$1:$1048576,MATCH($D3248,'ASME II Tab 1A'!$6:$6,1),0))/(INDEX('ASME II Tab 1A'!$6:$6,MATCH($D3248,'ASME II Tab 1A'!$6:$6,1)+1)-INDEX('ASME II Tab 1A'!$6:$6,MATCH($D3248,'ASME II Tab 1A'!$6:$6,1)))</f>
        <v>#N/A</v>
      </c>
      <c r="C3258" s="460" t="s">
        <v>198</v>
      </c>
      <c r="D3258" s="460"/>
      <c r="E3258" s="460"/>
      <c r="F3258" s="460" t="e">
        <f>$D3248*(VLOOKUP($F3254,'ASME II Tab 1A'!$1:$1048576,MATCH($D3248,'ASME II Tab 1A'!$6:$6,1)+1,0)-VLOOKUP($F3254,'ASME II Tab 1A'!$1:$1048576,MATCH($D3248,'ASME II Tab 1A'!$6:$6,1),0))/(INDEX('ASME II Tab 1A'!$6:$6,MATCH($D3248,'ASME II Tab 1A'!$6:$6,1)+1)-INDEX('ASME II Tab 1A'!$6:$6,MATCH($D3248,'ASME II Tab 1A'!$6:$6,1)))+VLOOKUP($F3254,'ASME II Tab 1A'!$1:$1048576,MATCH($D3248,'ASME II Tab 1A'!$6:$6,1)+1,0)-INDEX('ASME II Tab 1A'!$6:$6,MATCH($D3248,'ASME II Tab 1A'!$6:$6,1)+1)*(VLOOKUP($F3254,'ASME II Tab 1A'!$1:$1048576,MATCH($D3248,'ASME II Tab 1A'!$6:$6,1)+1,0)-VLOOKUP($F3254,'ASME II Tab 1A'!$1:$1048576,MATCH($D3248,'ASME II Tab 1A'!$6:$6,1),0))/(INDEX('ASME II Tab 1A'!$6:$6,MATCH($D3248,'ASME II Tab 1A'!$6:$6,1)+1)-INDEX('ASME II Tab 1A'!$6:$6,MATCH($D3248,'ASME II Tab 1A'!$6:$6,1)))</f>
        <v>#N/A</v>
      </c>
      <c r="G3258" s="460" t="s">
        <v>198</v>
      </c>
      <c r="H3258" s="460"/>
      <c r="I3258" s="1259"/>
      <c r="K3258" s="477" t="s">
        <v>201</v>
      </c>
      <c r="L3258" s="477" t="str">
        <f>K3242&amp;"."&amp;K3258</f>
        <v>25.M2 Rating</v>
      </c>
      <c r="M3258" s="1252">
        <f>D3375</f>
        <v>0</v>
      </c>
    </row>
    <row r="3259" spans="1:13" ht="14.55" customHeight="1" x14ac:dyDescent="0.3">
      <c r="A3259" s="1258" t="s">
        <v>202</v>
      </c>
      <c r="B3259" s="460"/>
      <c r="C3259" s="460"/>
      <c r="D3259" s="460"/>
      <c r="E3259" s="460"/>
      <c r="F3259" s="460"/>
      <c r="G3259" s="460"/>
      <c r="H3259" s="460"/>
      <c r="I3259" s="1259"/>
      <c r="K3259" s="477" t="s">
        <v>203</v>
      </c>
      <c r="L3259" s="477" t="str">
        <f>K3242&amp;"."&amp;K3259</f>
        <v>25.M2 Type</v>
      </c>
      <c r="M3259" s="1252">
        <f>E3375</f>
        <v>0</v>
      </c>
    </row>
    <row r="3260" spans="1:13" ht="14.55" customHeight="1" x14ac:dyDescent="0.3">
      <c r="A3260" s="1258" t="s">
        <v>197</v>
      </c>
      <c r="B3260" s="464" t="e">
        <f>$D3248*(VLOOKUP($B3253,'ASME II Tab 5A'!$1:$1048576,MATCH($D3248,'ASME II Tab 5A'!$5:$5,1)+1,0)-VLOOKUP($B3253,'ASME II Tab 5A'!$1:$1048576,MATCH($D3248,'ASME II Tab 5A'!$5:$5,1),0))/(INDEX('ASME II Tab 5A'!$5:$5,MATCH($D3248,'ASME II Tab 5A'!$5:$5,1)+1)-INDEX('ASME II Tab 5A'!$5:$5,MATCH($D3248,'ASME II Tab 5A'!$5:$5,1)))+VLOOKUP($B3253,'ASME II Tab 5A'!$1:$1048576,MATCH($D3248,'ASME II Tab 5A'!$5:$5,1)+1,0)-INDEX('ASME II Tab 5A'!$5:$5,MATCH($D3248,'ASME II Tab 5A'!$5:$5,1)+1)*(VLOOKUP($B3253,'ASME II Tab 5A'!$1:$1048576,MATCH($D3248,'ASME II Tab 5A'!$5:$5,1)+1,0)-VLOOKUP($B3253,'ASME II Tab 5A'!$1:$1048576,MATCH($D3248,'ASME II Tab 5A'!$5:$5,1),0))/(INDEX('ASME II Tab 5A'!$5:$5,MATCH($D3248,'ASME II Tab 5A'!$5:$5,1)+1)-INDEX('ASME II Tab 5A'!$5:$5,MATCH($D3248,'ASME II Tab 5A'!$5:$5,1)))</f>
        <v>#N/A</v>
      </c>
      <c r="C3260" s="460" t="s">
        <v>198</v>
      </c>
      <c r="D3260" s="460"/>
      <c r="E3260" s="460"/>
      <c r="F3260" s="460" t="e">
        <f>$D3248*(VLOOKUP($F3253,'ASME II Tab 5A'!$1:$1048576,MATCH($D3248,'ASME II Tab 5A'!$5:$5,1)+1,0)-VLOOKUP($F3253,'ASME II Tab 5A'!$1:$1048576,MATCH($D3248,'ASME II Tab 5A'!$5:$5,1),0))/(INDEX('ASME II Tab 5A'!$5:$5,MATCH($D3248,'ASME II Tab 5A'!$5:$5,1)+1)-INDEX('ASME II Tab 5A'!$5:$5,MATCH($D3248,'ASME II Tab 5A'!$5:$5,1)))+VLOOKUP($F3253,'ASME II Tab 5A'!$1:$1048576,MATCH($D3248,'ASME II Tab 5A'!$5:$5,1)+1,0)-INDEX('ASME II Tab 5A'!$5:$5,MATCH($D3248,'ASME II Tab 5A'!$5:$5,1)+1)*(VLOOKUP($F3253,'ASME II Tab 5A'!$1:$1048576,MATCH($D3248,'ASME II Tab 5A'!$5:$5,1)+1,0)-VLOOKUP($F3253,'ASME II Tab 5A'!$1:$1048576,MATCH($D3248,'ASME II Tab 5A'!$5:$5,1),0))/(INDEX('ASME II Tab 5A'!$5:$5,MATCH($D3248,'ASME II Tab 5A'!$5:$5,1)+1)-INDEX('ASME II Tab 5A'!$5:$5,MATCH($D3248,'ASME II Tab 5A'!$5:$5,1)))</f>
        <v>#N/A</v>
      </c>
      <c r="G3260" s="460" t="s">
        <v>198</v>
      </c>
      <c r="H3260" s="460"/>
      <c r="I3260" s="1259"/>
      <c r="K3260" s="477" t="s">
        <v>204</v>
      </c>
      <c r="L3260" s="477" t="str">
        <f>K3242&amp;"."&amp;K3260</f>
        <v>25.M2 Quantity</v>
      </c>
      <c r="M3260" s="1252">
        <f>F3375</f>
        <v>0</v>
      </c>
    </row>
    <row r="3261" spans="1:13" ht="14.55" customHeight="1" x14ac:dyDescent="0.3">
      <c r="A3261" s="1258" t="s">
        <v>200</v>
      </c>
      <c r="B3261" s="464" t="e">
        <f>$D3248*(VLOOKUP($B3254,'ASME II Tab 5A'!$1:$1048576,MATCH($D3248,'ASME II Tab 5A'!$5:$5,1)+1,0)-VLOOKUP($B3254,'ASME II Tab 5A'!$1:$1048576,MATCH($D3248,'ASME II Tab 5A'!$5:$5,1),0))/(INDEX('ASME II Tab 5A'!$5:$5,MATCH($D3248,'ASME II Tab 5A'!$5:$5,1)+1)-INDEX('ASME II Tab 5A'!$5:$5,MATCH($D3248,'ASME II Tab 5A'!$5:$5,1)))+VLOOKUP($B3254,'ASME II Tab 5A'!$1:$1048576,MATCH($D3248,'ASME II Tab 5A'!$5:$5,1)+1,0)-INDEX('ASME II Tab 5A'!$5:$5,MATCH($D3248,'ASME II Tab 5A'!$5:$5,1)+1)*(VLOOKUP($B3254,'ASME II Tab 5A'!$1:$1048576,MATCH($D3248,'ASME II Tab 5A'!$5:$5,1)+1,0)-VLOOKUP($B3254,'ASME II Tab 5A'!$1:$1048576,MATCH($D3248,'ASME II Tab 5A'!$5:$5,1),0))/(INDEX('ASME II Tab 5A'!$5:$5,MATCH($D3248,'ASME II Tab 5A'!$5:$5,1)+1)-INDEX('ASME II Tab 5A'!$5:$5,MATCH($D3248,'ASME II Tab 5A'!$5:$5,1)))</f>
        <v>#N/A</v>
      </c>
      <c r="C3261" s="460" t="s">
        <v>198</v>
      </c>
      <c r="D3261" s="460"/>
      <c r="E3261" s="460"/>
      <c r="F3261" s="460" t="e">
        <f>$D3248*(VLOOKUP($F3254,'ASME II Tab 5A'!$1:$1048576,MATCH($D3248,'ASME II Tab 5A'!$5:$5,1)+1,0)-VLOOKUP($F3254,'ASME II Tab 5A'!$1:$1048576,MATCH($D3248,'ASME II Tab 5A'!$5:$5,1),0))/(INDEX('ASME II Tab 5A'!$5:$5,MATCH($D3248,'ASME II Tab 5A'!$5:$5,1)+1)-INDEX('ASME II Tab 5A'!$5:$5,MATCH($D3248,'ASME II Tab 5A'!$5:$5,1)))+VLOOKUP($F3254,'ASME II Tab 5A'!$1:$1048576,MATCH($D3248,'ASME II Tab 5A'!$5:$5,1)+1,0)-INDEX('ASME II Tab 5A'!$5:$5,MATCH($D3248,'ASME II Tab 5A'!$5:$5,1)+1)*(VLOOKUP($F3254,'ASME II Tab 5A'!$1:$1048576,MATCH($D3248,'ASME II Tab 5A'!$5:$5,1)+1,0)-VLOOKUP($F3254,'ASME II Tab 5A'!$1:$1048576,MATCH($D3248,'ASME II Tab 5A'!$5:$5,1),0))/(INDEX('ASME II Tab 5A'!$5:$5,MATCH($D3248,'ASME II Tab 5A'!$5:$5,1)+1)-INDEX('ASME II Tab 5A'!$5:$5,MATCH($D3248,'ASME II Tab 5A'!$5:$5,1)))</f>
        <v>#N/A</v>
      </c>
      <c r="G3261" s="460" t="s">
        <v>198</v>
      </c>
      <c r="H3261" s="460"/>
      <c r="I3261" s="1259"/>
      <c r="K3261" s="477" t="s">
        <v>205</v>
      </c>
      <c r="L3261" s="477" t="str">
        <f>K3242&amp;"."&amp;K3261</f>
        <v>25.M3 DN</v>
      </c>
      <c r="M3261" s="1252">
        <f>C3376</f>
        <v>0</v>
      </c>
    </row>
    <row r="3262" spans="1:13" ht="14.55" customHeight="1" x14ac:dyDescent="0.3">
      <c r="A3262" s="1258"/>
      <c r="B3262" s="460"/>
      <c r="C3262" s="460"/>
      <c r="D3262" s="460"/>
      <c r="E3262" s="460"/>
      <c r="F3262" s="460"/>
      <c r="G3262" s="460"/>
      <c r="H3262" s="460"/>
      <c r="I3262" s="1259"/>
      <c r="K3262" s="477" t="s">
        <v>206</v>
      </c>
      <c r="L3262" s="477" t="str">
        <f>K3242&amp;"."&amp;K3262</f>
        <v>25.M3 Rating</v>
      </c>
      <c r="M3262" s="1252">
        <f>D3376</f>
        <v>0</v>
      </c>
    </row>
    <row r="3263" spans="1:13" ht="14.55" customHeight="1" x14ac:dyDescent="0.3">
      <c r="A3263" s="1260" t="s">
        <v>207</v>
      </c>
      <c r="B3263" s="453"/>
      <c r="C3263" s="460"/>
      <c r="D3263" s="453"/>
      <c r="E3263" s="460"/>
      <c r="F3263" s="453"/>
      <c r="G3263" s="460"/>
      <c r="H3263" s="460"/>
      <c r="I3263" s="1259"/>
      <c r="K3263" s="477" t="s">
        <v>208</v>
      </c>
      <c r="L3263" s="477" t="str">
        <f>K3242&amp;"."&amp;K3263</f>
        <v>25.M3 Type</v>
      </c>
      <c r="M3263" s="1252">
        <f>E3376</f>
        <v>0</v>
      </c>
    </row>
    <row r="3264" spans="1:13" ht="14.55" customHeight="1" x14ac:dyDescent="0.3">
      <c r="A3264" s="1260"/>
      <c r="B3264" s="305" t="s">
        <v>209</v>
      </c>
      <c r="C3264" s="460"/>
      <c r="D3264" s="305" t="s">
        <v>210</v>
      </c>
      <c r="E3264" s="460"/>
      <c r="F3264" s="305" t="s">
        <v>211</v>
      </c>
      <c r="G3264" s="460"/>
      <c r="H3264" s="460"/>
      <c r="I3264" s="1259"/>
      <c r="K3264" s="477" t="s">
        <v>212</v>
      </c>
      <c r="L3264" s="477" t="str">
        <f>K3242&amp;"."&amp;K3264</f>
        <v>25.M3 Quantity</v>
      </c>
      <c r="M3264" s="1252">
        <f>F3376</f>
        <v>0</v>
      </c>
    </row>
    <row r="3265" spans="1:13" ht="14.55" customHeight="1" x14ac:dyDescent="0.3">
      <c r="A3265" s="1258" t="s">
        <v>213</v>
      </c>
      <c r="B3265" s="305"/>
      <c r="C3265" s="460"/>
      <c r="D3265" s="305"/>
      <c r="E3265" s="460"/>
      <c r="F3265" s="723"/>
      <c r="G3265" s="460" t="s">
        <v>214</v>
      </c>
      <c r="H3265" s="460"/>
      <c r="I3265" s="1259"/>
      <c r="K3265" s="477" t="s">
        <v>215</v>
      </c>
      <c r="L3265" s="477" t="str">
        <f>K3242&amp;"."&amp;K3265</f>
        <v>25.Shell insulation thk 1</v>
      </c>
      <c r="M3265" s="1252">
        <f>B3313</f>
        <v>0</v>
      </c>
    </row>
    <row r="3266" spans="1:13" ht="14.55" customHeight="1" x14ac:dyDescent="0.3">
      <c r="A3266" s="1258" t="s">
        <v>216</v>
      </c>
      <c r="B3266" s="722"/>
      <c r="C3266" s="460" t="s">
        <v>93</v>
      </c>
      <c r="D3266" s="722"/>
      <c r="E3266" s="460" t="s">
        <v>93</v>
      </c>
      <c r="F3266" s="468">
        <f>F3267-2*F3311</f>
        <v>0</v>
      </c>
      <c r="G3266" s="460" t="s">
        <v>93</v>
      </c>
      <c r="H3266" s="460"/>
      <c r="I3266" s="1259"/>
      <c r="K3266" s="477" t="s">
        <v>217</v>
      </c>
      <c r="L3266" s="477" t="str">
        <f>K3242&amp;"."&amp;K3266</f>
        <v>25.Head insulation thk 1</v>
      </c>
      <c r="M3266" s="1252">
        <f>B3314</f>
        <v>0</v>
      </c>
    </row>
    <row r="3267" spans="1:13" ht="14.55" customHeight="1" x14ac:dyDescent="0.3">
      <c r="A3267" s="1258" t="s">
        <v>218</v>
      </c>
      <c r="B3267" s="468" t="e">
        <f>B3266+B3307*2</f>
        <v>#N/A</v>
      </c>
      <c r="C3267" s="460" t="s">
        <v>93</v>
      </c>
      <c r="D3267" s="468" t="e">
        <f>D3266+D3307*2</f>
        <v>#N/A</v>
      </c>
      <c r="E3267" s="460" t="s">
        <v>93</v>
      </c>
      <c r="F3267" s="468">
        <f>IFERROR(VLOOKUP(F3265,'Thickness Tab'!$1:$1048576,3,0),0)</f>
        <v>0</v>
      </c>
      <c r="G3267" s="460" t="s">
        <v>93</v>
      </c>
      <c r="H3267" s="469"/>
      <c r="I3267" s="1261"/>
      <c r="K3267" s="477" t="s">
        <v>219</v>
      </c>
      <c r="L3267" s="477" t="str">
        <f>K3242&amp;"."&amp;K3267</f>
        <v>25.Reducer insulation thk 1</v>
      </c>
      <c r="M3267" s="1252">
        <f>B3315</f>
        <v>0</v>
      </c>
    </row>
    <row r="3268" spans="1:13" ht="14.55" customHeight="1" x14ac:dyDescent="0.3">
      <c r="A3268" s="1258" t="s">
        <v>181</v>
      </c>
      <c r="B3268" s="722"/>
      <c r="C3268" s="460" t="s">
        <v>93</v>
      </c>
      <c r="D3268" s="722"/>
      <c r="E3268" s="460" t="s">
        <v>93</v>
      </c>
      <c r="F3268" s="722"/>
      <c r="G3268" s="460" t="s">
        <v>93</v>
      </c>
      <c r="H3268" s="460"/>
      <c r="I3268" s="1259"/>
      <c r="K3268" s="477" t="s">
        <v>220</v>
      </c>
      <c r="L3268" s="477" t="str">
        <f>K3242&amp;"."&amp;K3268</f>
        <v>25.Shell insulation area 1</v>
      </c>
      <c r="M3268" s="1252" t="e">
        <f>B3273</f>
        <v>#N/A</v>
      </c>
    </row>
    <row r="3269" spans="1:13" ht="14.55" customHeight="1" x14ac:dyDescent="0.3">
      <c r="A3269" s="1258" t="s">
        <v>221</v>
      </c>
      <c r="B3269" s="468" t="e">
        <f>(PI()*B3268*(((B3267/2)^2)-((B3266/2)^2))*7860)/1000000000*1.05</f>
        <v>#N/A</v>
      </c>
      <c r="C3269" s="460" t="s">
        <v>222</v>
      </c>
      <c r="D3269" s="468" t="e">
        <f>(PI()*D3268*(((D3267/2)^2)-((D3266/2)^2))*7860)/1000000000*1.05</f>
        <v>#N/A</v>
      </c>
      <c r="E3269" s="460" t="s">
        <v>222</v>
      </c>
      <c r="F3269" s="468">
        <f>(PI()*F3268*(((F3267/2)^2)-((F3266/2)^2))*7860)/1000000000*1.05</f>
        <v>0</v>
      </c>
      <c r="G3269" s="460" t="s">
        <v>222</v>
      </c>
      <c r="H3269" s="469"/>
      <c r="I3269" s="1261"/>
      <c r="K3269" s="477" t="s">
        <v>223</v>
      </c>
      <c r="L3269" s="477" t="str">
        <f>K3242&amp;"."&amp;K3269</f>
        <v>25.Head insulation area 1</v>
      </c>
      <c r="M3269" s="1252" t="e">
        <f>B3285</f>
        <v>#N/A</v>
      </c>
    </row>
    <row r="3270" spans="1:13" ht="14.55" customHeight="1" x14ac:dyDescent="0.3">
      <c r="A3270" s="1258" t="s">
        <v>224</v>
      </c>
      <c r="B3270" s="468">
        <f>(PI()*((B3266/2)^2)*B3268)/1000000000</f>
        <v>0</v>
      </c>
      <c r="C3270" s="460" t="s">
        <v>225</v>
      </c>
      <c r="D3270" s="468">
        <f>(PI()*((D3266/2)^2)*D3268)/1000000000</f>
        <v>0</v>
      </c>
      <c r="E3270" s="460" t="s">
        <v>225</v>
      </c>
      <c r="F3270" s="468">
        <f>(PI()*((F3266/2)^2)*F3268)/1000000000</f>
        <v>0</v>
      </c>
      <c r="G3270" s="460" t="s">
        <v>225</v>
      </c>
      <c r="H3270" s="469"/>
      <c r="I3270" s="1261"/>
      <c r="K3270" s="477" t="s">
        <v>226</v>
      </c>
      <c r="L3270" s="477" t="str">
        <f>K3242&amp;"."&amp;K3270</f>
        <v>25.Reducer insulation area 1</v>
      </c>
      <c r="M3270" s="1252" t="e">
        <f>B3298</f>
        <v>#N/A</v>
      </c>
    </row>
    <row r="3271" spans="1:13" ht="14.55" customHeight="1" x14ac:dyDescent="0.3">
      <c r="A3271" s="1258" t="s">
        <v>227</v>
      </c>
      <c r="B3271" s="468" t="e">
        <f>(B3267*3.14*B3268)/1000000</f>
        <v>#N/A</v>
      </c>
      <c r="C3271" s="460" t="s">
        <v>228</v>
      </c>
      <c r="D3271" s="468" t="e">
        <f>(D3267*3.14*D3268)/1000000</f>
        <v>#N/A</v>
      </c>
      <c r="E3271" s="460" t="s">
        <v>228</v>
      </c>
      <c r="F3271" s="468">
        <f>(F3267*3.14*F3268)/1000000</f>
        <v>0</v>
      </c>
      <c r="G3271" s="460" t="s">
        <v>228</v>
      </c>
      <c r="H3271" s="469"/>
      <c r="I3271" s="1261"/>
      <c r="K3271" s="477" t="s">
        <v>229</v>
      </c>
      <c r="L3271" s="477" t="str">
        <f>K3242&amp;"."&amp;K3271</f>
        <v>25.Shell insulation thk 2</v>
      </c>
      <c r="M3271" s="1252">
        <f>D3313</f>
        <v>0</v>
      </c>
    </row>
    <row r="3272" spans="1:13" ht="14.55" customHeight="1" x14ac:dyDescent="0.3">
      <c r="A3272" s="1258" t="s">
        <v>230</v>
      </c>
      <c r="B3272" s="468" t="e">
        <f>B3267+2*B3313</f>
        <v>#N/A</v>
      </c>
      <c r="C3272" s="460" t="s">
        <v>93</v>
      </c>
      <c r="D3272" s="468" t="e">
        <f>D3267+2*D3313</f>
        <v>#N/A</v>
      </c>
      <c r="E3272" s="460" t="s">
        <v>93</v>
      </c>
      <c r="F3272" s="468">
        <f>F3267+2*F3313</f>
        <v>0</v>
      </c>
      <c r="G3272" s="460" t="s">
        <v>93</v>
      </c>
      <c r="H3272" s="469"/>
      <c r="I3272" s="1261"/>
      <c r="K3272" s="477" t="s">
        <v>231</v>
      </c>
      <c r="L3272" s="477" t="str">
        <f>K3242&amp;"."&amp;K3272</f>
        <v>25.Head insulation thk 2</v>
      </c>
      <c r="M3272" s="1252">
        <f>D3314</f>
        <v>0</v>
      </c>
    </row>
    <row r="3273" spans="1:13" ht="14.55" customHeight="1" x14ac:dyDescent="0.3">
      <c r="A3273" s="1258" t="s">
        <v>232</v>
      </c>
      <c r="B3273" s="468" t="e">
        <f>(B3272*3.14*B3268)/1000000</f>
        <v>#N/A</v>
      </c>
      <c r="C3273" s="460" t="s">
        <v>228</v>
      </c>
      <c r="D3273" s="468" t="e">
        <f>(D3272*3.14*D3268)/1000000</f>
        <v>#N/A</v>
      </c>
      <c r="E3273" s="460" t="s">
        <v>228</v>
      </c>
      <c r="F3273" s="468">
        <f>(F3272*3.14*F3268)/1000000</f>
        <v>0</v>
      </c>
      <c r="G3273" s="460" t="s">
        <v>228</v>
      </c>
      <c r="H3273" s="469"/>
      <c r="I3273" s="1261"/>
      <c r="K3273" s="477" t="s">
        <v>233</v>
      </c>
      <c r="L3273" s="477" t="str">
        <f>K3242&amp;"."&amp;K3273</f>
        <v>25.Reducer insulation thk 2</v>
      </c>
      <c r="M3273" s="1252">
        <f>D3315</f>
        <v>0</v>
      </c>
    </row>
    <row r="3274" spans="1:13" ht="14.55" customHeight="1" x14ac:dyDescent="0.3">
      <c r="A3274" s="1258"/>
      <c r="B3274" s="468"/>
      <c r="C3274" s="460"/>
      <c r="D3274" s="468"/>
      <c r="E3274" s="460"/>
      <c r="F3274" s="468"/>
      <c r="G3274" s="460"/>
      <c r="H3274" s="469"/>
      <c r="I3274" s="1261"/>
      <c r="K3274" s="477" t="s">
        <v>234</v>
      </c>
      <c r="L3274" s="477" t="str">
        <f>K3242&amp;"."&amp;K3274</f>
        <v>25.Shell insulation area 2</v>
      </c>
      <c r="M3274" s="1252" t="e">
        <f>D3273</f>
        <v>#N/A</v>
      </c>
    </row>
    <row r="3275" spans="1:13" ht="14.55" customHeight="1" x14ac:dyDescent="0.3">
      <c r="A3275" s="1258"/>
      <c r="B3275" s="468" t="s">
        <v>235</v>
      </c>
      <c r="C3275" s="460"/>
      <c r="D3275" s="468" t="s">
        <v>236</v>
      </c>
      <c r="E3275" s="460"/>
      <c r="F3275" s="468" t="s">
        <v>237</v>
      </c>
      <c r="G3275" s="460"/>
      <c r="H3275" s="469"/>
      <c r="I3275" s="1261"/>
      <c r="K3275" s="477" t="s">
        <v>238</v>
      </c>
      <c r="L3275" s="477" t="str">
        <f>K3242&amp;"."&amp;K3275</f>
        <v>25.Head insulation area 2</v>
      </c>
      <c r="M3275" s="1252" t="e">
        <f>D3285</f>
        <v>#N/A</v>
      </c>
    </row>
    <row r="3276" spans="1:13" ht="14.55" customHeight="1" x14ac:dyDescent="0.3">
      <c r="A3276" s="1258" t="s">
        <v>239</v>
      </c>
      <c r="B3276" s="468">
        <f>B3266</f>
        <v>0</v>
      </c>
      <c r="C3276" s="460" t="s">
        <v>93</v>
      </c>
      <c r="D3276" s="468">
        <f>D3266</f>
        <v>0</v>
      </c>
      <c r="E3276" s="460" t="s">
        <v>93</v>
      </c>
      <c r="F3276" s="468">
        <f>F3266</f>
        <v>0</v>
      </c>
      <c r="G3276" s="460" t="s">
        <v>93</v>
      </c>
      <c r="H3276" s="469"/>
      <c r="I3276" s="1261"/>
      <c r="K3276" s="477" t="s">
        <v>240</v>
      </c>
      <c r="L3276" s="477" t="str">
        <f>K3242&amp;"."&amp;K3276</f>
        <v>25.Reducer insulation area 2</v>
      </c>
      <c r="M3276" s="1252">
        <f>D3298</f>
        <v>0</v>
      </c>
    </row>
    <row r="3277" spans="1:13" ht="14.55" customHeight="1" x14ac:dyDescent="0.3">
      <c r="A3277" s="1258" t="s">
        <v>241</v>
      </c>
      <c r="B3277" s="468" t="e">
        <f>B3276+2*B3308</f>
        <v>#N/A</v>
      </c>
      <c r="C3277" s="460" t="s">
        <v>93</v>
      </c>
      <c r="D3277" s="468" t="e">
        <f>D3276+2*D3308</f>
        <v>#N/A</v>
      </c>
      <c r="E3277" s="460" t="s">
        <v>93</v>
      </c>
      <c r="F3277" s="468">
        <f>F3276+2*F3311</f>
        <v>0</v>
      </c>
      <c r="G3277" s="460" t="s">
        <v>93</v>
      </c>
      <c r="H3277" s="469"/>
      <c r="I3277" s="1261"/>
      <c r="K3277" s="477" t="s">
        <v>242</v>
      </c>
      <c r="L3277" s="477" t="str">
        <f>K3242&amp;"."&amp;K3277</f>
        <v>25.Shell insulation thk 3</v>
      </c>
      <c r="M3277" s="1252">
        <f>F3313</f>
        <v>0</v>
      </c>
    </row>
    <row r="3278" spans="1:13" ht="14.55" customHeight="1" x14ac:dyDescent="0.3">
      <c r="A3278" s="1258" t="s">
        <v>243</v>
      </c>
      <c r="B3278" s="722"/>
      <c r="C3278" s="460" t="s">
        <v>93</v>
      </c>
      <c r="D3278" s="722"/>
      <c r="E3278" s="460" t="s">
        <v>93</v>
      </c>
      <c r="F3278" s="452"/>
      <c r="G3278" s="460"/>
      <c r="H3278" s="469"/>
      <c r="I3278" s="1261"/>
      <c r="K3278" s="477" t="s">
        <v>244</v>
      </c>
      <c r="L3278" s="477" t="str">
        <f>K3242&amp;"."&amp;K3278</f>
        <v>25.Head insulation thk 3</v>
      </c>
      <c r="M3278" s="1252">
        <f>F3314</f>
        <v>0</v>
      </c>
    </row>
    <row r="3279" spans="1:13" ht="14.55" customHeight="1" x14ac:dyDescent="0.3">
      <c r="A3279" s="1258" t="s">
        <v>245</v>
      </c>
      <c r="B3279" s="724"/>
      <c r="C3279" s="460"/>
      <c r="D3279" s="724"/>
      <c r="E3279" s="460"/>
      <c r="F3279" s="724"/>
      <c r="G3279" s="460"/>
      <c r="H3279" s="469"/>
      <c r="I3279" s="1261"/>
      <c r="K3279" s="477" t="s">
        <v>246</v>
      </c>
      <c r="L3279" s="477" t="str">
        <f>K3242&amp;"."&amp;K3279</f>
        <v>25.Reducer insulation thk 3</v>
      </c>
      <c r="M3279" s="1252">
        <f>F3315</f>
        <v>0</v>
      </c>
    </row>
    <row r="3280" spans="1:13" ht="14.55" customHeight="1" x14ac:dyDescent="0.3">
      <c r="A3280" s="1258" t="s">
        <v>247</v>
      </c>
      <c r="B3280" s="468">
        <v>0</v>
      </c>
      <c r="C3280" s="460" t="s">
        <v>93</v>
      </c>
      <c r="D3280" s="468">
        <v>0</v>
      </c>
      <c r="E3280" s="460" t="s">
        <v>93</v>
      </c>
      <c r="F3280" s="468">
        <v>0</v>
      </c>
      <c r="G3280" s="460" t="s">
        <v>93</v>
      </c>
      <c r="H3280" s="469"/>
      <c r="I3280" s="1261"/>
      <c r="K3280" s="477" t="s">
        <v>248</v>
      </c>
      <c r="L3280" s="477" t="str">
        <f>K3242&amp;"."&amp;K3280</f>
        <v>25.Shell insulation area 3</v>
      </c>
      <c r="M3280" s="1252">
        <f>F3273</f>
        <v>0</v>
      </c>
    </row>
    <row r="3281" spans="1:13" ht="14.55" customHeight="1" x14ac:dyDescent="0.3">
      <c r="A3281" s="1258" t="s">
        <v>249</v>
      </c>
      <c r="B3281" s="468" t="e">
        <f>((((POWER(((((B3276+B3309)*1.22)+(B3280*2))/100),2)*PI())/4)*(B3309/100))*7.86)</f>
        <v>#N/A</v>
      </c>
      <c r="C3281" s="460" t="s">
        <v>222</v>
      </c>
      <c r="D3281" s="468" t="e">
        <f>((((POWER(((((D3276+D3309)*1.22)+(D3280*2))/100),2)*PI())/4)*(D3309/100))*7.86)</f>
        <v>#N/A</v>
      </c>
      <c r="E3281" s="460" t="s">
        <v>222</v>
      </c>
      <c r="F3281" s="468">
        <f>IFERROR(VLOOKUP(F3265&amp;"."&amp;F3310,'Fitting Chart'!$1:$1048576,5,0),0)</f>
        <v>0</v>
      </c>
      <c r="G3281" s="460" t="s">
        <v>222</v>
      </c>
      <c r="H3281" s="469"/>
      <c r="I3281" s="1261"/>
      <c r="K3281" s="477" t="s">
        <v>250</v>
      </c>
      <c r="L3281" s="477" t="str">
        <f>K3242&amp;"."&amp;K3281</f>
        <v>25.Head insulation area 3</v>
      </c>
      <c r="M3281" s="1252">
        <f>F3284</f>
        <v>0</v>
      </c>
    </row>
    <row r="3282" spans="1:13" ht="14.55" customHeight="1" x14ac:dyDescent="0.3">
      <c r="A3282" s="1258" t="s">
        <v>251</v>
      </c>
      <c r="B3282" s="468" t="e">
        <f>(((0.131*(B3276^3)*10^-6)+((((B3276/2)^2)*PI()*(((B3276/4)+B3308)-B3308-(B3276/4)))))+((PI()*((B3276/2)^2)*B3280))/1000000)/1000</f>
        <v>#N/A</v>
      </c>
      <c r="C3282" s="460" t="s">
        <v>225</v>
      </c>
      <c r="D3282" s="468" t="e">
        <f>(((0.131*(D3276^3)*10^-6)+((((D3276/2)^2)*PI()*(((D3276/4)+D3308)-D3308-(D3276/4)))))+((PI()*((D3276/2)^2)*D3280))/1000000)/1000</f>
        <v>#N/A</v>
      </c>
      <c r="E3282" s="460" t="s">
        <v>225</v>
      </c>
      <c r="F3282" s="468">
        <f>(((0.131*(F3276^3)*10^-6)+((((F3276/2)^2)*PI()*(((F3276/4)+F3311)-F3311-(F3276/4)))))+((PI()*((F3276/2)^2)*F3280))/1000000)/1000</f>
        <v>0</v>
      </c>
      <c r="G3282" s="460" t="s">
        <v>225</v>
      </c>
      <c r="H3282" s="469"/>
      <c r="I3282" s="1261"/>
      <c r="K3282" s="477" t="s">
        <v>252</v>
      </c>
      <c r="L3282" s="477" t="str">
        <f>K3242&amp;"."&amp;K3282</f>
        <v>25.Reducer insulation area 3</v>
      </c>
      <c r="M3282" s="1252">
        <f>F3298</f>
        <v>0</v>
      </c>
    </row>
    <row r="3283" spans="1:13" ht="14.55" customHeight="1" x14ac:dyDescent="0.3">
      <c r="A3283" s="1258" t="s">
        <v>253</v>
      </c>
      <c r="B3283" s="468" t="e">
        <f>(((B3277*B3278*3.14)+(((B3277/2)^2)*3.14))/1000000)</f>
        <v>#N/A</v>
      </c>
      <c r="C3283" s="460" t="s">
        <v>228</v>
      </c>
      <c r="D3283" s="468" t="e">
        <f>(((D3277*D3278*3.14)+(((D3277/2)^2)*3.14))/1000000)</f>
        <v>#N/A</v>
      </c>
      <c r="E3283" s="460" t="s">
        <v>228</v>
      </c>
      <c r="F3283" s="468">
        <f>(((F3277*F3278*3.14)+(((F3277/2)^2)*3.14))/1000000)</f>
        <v>0</v>
      </c>
      <c r="G3283" s="460" t="s">
        <v>228</v>
      </c>
      <c r="H3283" s="469"/>
      <c r="I3283" s="1261"/>
    </row>
    <row r="3284" spans="1:13" ht="14.55" customHeight="1" x14ac:dyDescent="0.3">
      <c r="A3284" s="1258" t="s">
        <v>254</v>
      </c>
      <c r="B3284" s="468" t="e">
        <f>B3277+2*B3314</f>
        <v>#N/A</v>
      </c>
      <c r="C3284" s="460" t="s">
        <v>93</v>
      </c>
      <c r="D3284" s="468" t="e">
        <f>D3277+2*D3314</f>
        <v>#N/A</v>
      </c>
      <c r="E3284" s="460" t="s">
        <v>93</v>
      </c>
      <c r="F3284" s="468">
        <f>F3277+2*F3314</f>
        <v>0</v>
      </c>
      <c r="G3284" s="460" t="s">
        <v>93</v>
      </c>
      <c r="H3284" s="469"/>
      <c r="I3284" s="1261"/>
    </row>
    <row r="3285" spans="1:13" ht="14.55" customHeight="1" x14ac:dyDescent="0.3">
      <c r="A3285" s="1258" t="s">
        <v>255</v>
      </c>
      <c r="B3285" s="468" t="e">
        <f>(((B3284*B3278*3.14)+(((B3284/2)^2)*3.14))/1000000)</f>
        <v>#N/A</v>
      </c>
      <c r="C3285" s="460" t="s">
        <v>228</v>
      </c>
      <c r="D3285" s="468" t="e">
        <f>(((D3284*D3278*3.14)+(((D3284/2)^2)*3.14))/1000000)</f>
        <v>#N/A</v>
      </c>
      <c r="E3285" s="460" t="s">
        <v>228</v>
      </c>
      <c r="F3285" s="468">
        <f>(((F3284*F3278*3.14)+(((F3284/2)^2)*3.14))/1000000)</f>
        <v>0</v>
      </c>
      <c r="G3285" s="460" t="s">
        <v>228</v>
      </c>
      <c r="H3285" s="469"/>
      <c r="I3285" s="1261"/>
    </row>
    <row r="3286" spans="1:13" ht="14.55" customHeight="1" x14ac:dyDescent="0.3">
      <c r="A3286" s="1258"/>
      <c r="B3286" s="454"/>
      <c r="C3286" s="460"/>
      <c r="D3286" s="454"/>
      <c r="E3286" s="460"/>
      <c r="F3286" s="454"/>
      <c r="G3286" s="460"/>
      <c r="H3286" s="469"/>
      <c r="I3286" s="1261"/>
    </row>
    <row r="3287" spans="1:13" ht="14.55" customHeight="1" x14ac:dyDescent="0.3">
      <c r="A3287" s="1258"/>
      <c r="B3287" s="468" t="s">
        <v>256</v>
      </c>
      <c r="C3287" s="460"/>
      <c r="D3287" s="468" t="s">
        <v>257</v>
      </c>
      <c r="E3287" s="460"/>
      <c r="F3287" s="468" t="s">
        <v>258</v>
      </c>
      <c r="G3287" s="460"/>
      <c r="H3287" s="469"/>
      <c r="I3287" s="1261"/>
    </row>
    <row r="3288" spans="1:13" ht="14.55" customHeight="1" x14ac:dyDescent="0.3">
      <c r="A3288" s="1258" t="s">
        <v>259</v>
      </c>
      <c r="B3288" s="725"/>
      <c r="C3288" s="460" t="s">
        <v>93</v>
      </c>
      <c r="D3288" s="725"/>
      <c r="E3288" s="460" t="s">
        <v>93</v>
      </c>
      <c r="F3288" s="725"/>
      <c r="G3288" s="460" t="s">
        <v>93</v>
      </c>
      <c r="H3288" s="469"/>
      <c r="I3288" s="1261"/>
    </row>
    <row r="3289" spans="1:13" ht="14.55" customHeight="1" x14ac:dyDescent="0.3">
      <c r="A3289" s="1258" t="s">
        <v>260</v>
      </c>
      <c r="B3289" s="725"/>
      <c r="C3289" s="460" t="s">
        <v>93</v>
      </c>
      <c r="D3289" s="725"/>
      <c r="E3289" s="460" t="s">
        <v>93</v>
      </c>
      <c r="F3289" s="725"/>
      <c r="G3289" s="460" t="s">
        <v>93</v>
      </c>
      <c r="H3289" s="469"/>
      <c r="I3289" s="1261"/>
    </row>
    <row r="3290" spans="1:13" ht="14.55" customHeight="1" x14ac:dyDescent="0.3">
      <c r="A3290" s="1258" t="s">
        <v>261</v>
      </c>
      <c r="B3290" s="725"/>
      <c r="C3290" s="460" t="s">
        <v>93</v>
      </c>
      <c r="D3290" s="725"/>
      <c r="E3290" s="460" t="s">
        <v>93</v>
      </c>
      <c r="F3290" s="725"/>
      <c r="G3290" s="460" t="s">
        <v>93</v>
      </c>
      <c r="H3290" s="469"/>
      <c r="I3290" s="1261"/>
    </row>
    <row r="3291" spans="1:13" ht="14.55" customHeight="1" x14ac:dyDescent="0.3">
      <c r="A3291" s="1258" t="s">
        <v>262</v>
      </c>
      <c r="B3291" s="455" t="e">
        <f>B3288+2*B3309</f>
        <v>#N/A</v>
      </c>
      <c r="C3291" s="460" t="s">
        <v>93</v>
      </c>
      <c r="D3291" s="455" t="e">
        <f>D3288+2*D3309</f>
        <v>#N/A</v>
      </c>
      <c r="E3291" s="460" t="s">
        <v>93</v>
      </c>
      <c r="F3291" s="455">
        <f>F3288+2*F3311</f>
        <v>0</v>
      </c>
      <c r="G3291" s="460" t="s">
        <v>93</v>
      </c>
      <c r="H3291" s="469"/>
      <c r="I3291" s="1261"/>
    </row>
    <row r="3292" spans="1:13" ht="14.55" customHeight="1" x14ac:dyDescent="0.3">
      <c r="A3292" s="1258" t="s">
        <v>263</v>
      </c>
      <c r="B3292" s="455" t="e">
        <f>B3289+2*B3309</f>
        <v>#N/A</v>
      </c>
      <c r="C3292" s="460" t="s">
        <v>93</v>
      </c>
      <c r="D3292" s="455" t="e">
        <f>D3289+2*D3309</f>
        <v>#N/A</v>
      </c>
      <c r="E3292" s="460" t="s">
        <v>93</v>
      </c>
      <c r="F3292" s="455">
        <f>F3289+2*F3311</f>
        <v>0</v>
      </c>
      <c r="G3292" s="460" t="s">
        <v>93</v>
      </c>
      <c r="H3292" s="469"/>
      <c r="I3292" s="1261"/>
    </row>
    <row r="3293" spans="1:13" ht="14.55" customHeight="1" x14ac:dyDescent="0.3">
      <c r="A3293" s="1258" t="s">
        <v>264</v>
      </c>
      <c r="B3293" s="453" t="e">
        <f>(((((1/3*PI()*B3290))*((((B3291/2)^2)+(((B3291/2)*(B3292/2)))+((B3292/2)^2))))-(((1/3*PI()*B3290))*((((B3288/2)^2)+(((B3288/2)*(B3289/2)))+((B3289/2)^2)))))*7.86)/1000000</f>
        <v>#N/A</v>
      </c>
      <c r="C3293" s="460" t="s">
        <v>222</v>
      </c>
      <c r="D3293" s="453" t="e">
        <f>(((((1/3*PI()*D3290))*((((D3291/2)^2)+(((D3291/2)*(D3292/2)))+((D3292/2)^2))))-(((1/3*PI()*D3290))*((((D3288/2)^2)+(((D3288/2)*(D3289/2)))+((D3289/2)^2)))))*7.86)/1000000</f>
        <v>#N/A</v>
      </c>
      <c r="E3293" s="460" t="s">
        <v>222</v>
      </c>
      <c r="F3293" s="453">
        <f>(((((1/3*PI()*F3290))*((((F3291/2)^2)+(((F3291/2)*(F3292/2)))+((F3292/2)^2))))-(((1/3*PI()*F3290))*((((F3288/2)^2)+(((F3288/2)*(F3289/2)))+((F3289/2)^2)))))*7.86)/1000000</f>
        <v>0</v>
      </c>
      <c r="G3293" s="460" t="s">
        <v>222</v>
      </c>
      <c r="H3293" s="469"/>
      <c r="I3293" s="1261"/>
    </row>
    <row r="3294" spans="1:13" ht="14.55" customHeight="1" x14ac:dyDescent="0.3">
      <c r="A3294" s="1258" t="s">
        <v>265</v>
      </c>
      <c r="B3294" s="453">
        <f>((1/3*PI()*B3290))*((((B3288/2)^2)+(((B3288/2)*(B3289/2)))+((B3289/2)^2)))/1000000000</f>
        <v>0</v>
      </c>
      <c r="C3294" s="460" t="s">
        <v>225</v>
      </c>
      <c r="D3294" s="453">
        <f>((1/3*PI()*D3290))*((((D3288/2)^2)+(((D3288/2)*(D3289/2)))+((D3289/2)^2)))/1000000000</f>
        <v>0</v>
      </c>
      <c r="E3294" s="460" t="s">
        <v>225</v>
      </c>
      <c r="F3294" s="453">
        <f>((1/3*PI()*F3290))*((((F3288/2)^2)+(((F3288/2)*(F3289/2)))+((F3289/2)^2)))/1000000000</f>
        <v>0</v>
      </c>
      <c r="G3294" s="460" t="s">
        <v>225</v>
      </c>
      <c r="H3294" s="469"/>
      <c r="I3294" s="1261"/>
    </row>
    <row r="3295" spans="1:13" ht="14.55" customHeight="1" x14ac:dyDescent="0.3">
      <c r="A3295" s="1258" t="s">
        <v>266</v>
      </c>
      <c r="B3295" s="453" t="e">
        <f>PI()*(B3291+B3292)/2*SQRT(B3290^2+((B3291-B3292)/2)^2)/1000000</f>
        <v>#N/A</v>
      </c>
      <c r="C3295" s="460" t="s">
        <v>228</v>
      </c>
      <c r="D3295" s="453" t="e">
        <f>PI()*(D3291+D3292)/2*SQRT(D3290^2+((D3291-D3292)/2)^2)/1000000</f>
        <v>#N/A</v>
      </c>
      <c r="E3295" s="460" t="s">
        <v>228</v>
      </c>
      <c r="F3295" s="453">
        <f>PI()*(F3291+F3292)/2*SQRT(F3290^2+((F3291-F3292)/2)^2)/1000000</f>
        <v>0</v>
      </c>
      <c r="G3295" s="460" t="s">
        <v>228</v>
      </c>
      <c r="H3295" s="469"/>
      <c r="I3295" s="1261"/>
    </row>
    <row r="3296" spans="1:13" ht="14.55" customHeight="1" x14ac:dyDescent="0.3">
      <c r="A3296" s="1258" t="s">
        <v>267</v>
      </c>
      <c r="B3296" s="453" t="e">
        <f>B3291+2*B3315</f>
        <v>#N/A</v>
      </c>
      <c r="C3296" s="460" t="s">
        <v>93</v>
      </c>
      <c r="D3296" s="453">
        <f>D3288+2*D3315</f>
        <v>0</v>
      </c>
      <c r="E3296" s="460" t="s">
        <v>93</v>
      </c>
      <c r="F3296" s="453">
        <f>F3288+2*F3315</f>
        <v>0</v>
      </c>
      <c r="G3296" s="460" t="s">
        <v>93</v>
      </c>
      <c r="H3296" s="469"/>
      <c r="I3296" s="1261"/>
    </row>
    <row r="3297" spans="1:9" ht="14.55" customHeight="1" x14ac:dyDescent="0.3">
      <c r="A3297" s="1258" t="s">
        <v>268</v>
      </c>
      <c r="B3297" s="453" t="e">
        <f>B3292+2*B3315</f>
        <v>#N/A</v>
      </c>
      <c r="C3297" s="460" t="s">
        <v>93</v>
      </c>
      <c r="D3297" s="453">
        <f>D3289+2*D3315</f>
        <v>0</v>
      </c>
      <c r="E3297" s="460" t="s">
        <v>93</v>
      </c>
      <c r="F3297" s="453">
        <f>F3289+2*F3315</f>
        <v>0</v>
      </c>
      <c r="G3297" s="460" t="s">
        <v>93</v>
      </c>
      <c r="H3297" s="469"/>
      <c r="I3297" s="1261"/>
    </row>
    <row r="3298" spans="1:9" ht="14.55" customHeight="1" x14ac:dyDescent="0.3">
      <c r="A3298" s="1258" t="s">
        <v>269</v>
      </c>
      <c r="B3298" s="453" t="e">
        <f>PI()*(B3296+B3297)/2*SQRT(B3290^2+((B3296-B3297)/2)^2)/1000000</f>
        <v>#N/A</v>
      </c>
      <c r="C3298" s="460" t="s">
        <v>228</v>
      </c>
      <c r="D3298" s="453">
        <f>PI()*(D3296+D3297)/2*SQRT(D3290^2+((D3296-D3297)/2)^2)/1000000</f>
        <v>0</v>
      </c>
      <c r="E3298" s="460" t="s">
        <v>228</v>
      </c>
      <c r="F3298" s="453">
        <f>PI()*(F3296+F3297)/2*SQRT(F3290^2+((F3296-F3297)/2)^2)/1000000</f>
        <v>0</v>
      </c>
      <c r="G3298" s="460" t="s">
        <v>228</v>
      </c>
      <c r="H3298" s="469"/>
      <c r="I3298" s="1261"/>
    </row>
    <row r="3299" spans="1:9" ht="14.55" customHeight="1" x14ac:dyDescent="0.3">
      <c r="A3299" s="1258"/>
      <c r="B3299" s="453"/>
      <c r="C3299" s="460"/>
      <c r="D3299" s="453"/>
      <c r="E3299" s="460"/>
      <c r="F3299" s="453"/>
      <c r="G3299" s="460"/>
      <c r="H3299" s="460"/>
      <c r="I3299" s="1259"/>
    </row>
    <row r="3300" spans="1:9" ht="14.55" customHeight="1" x14ac:dyDescent="0.3">
      <c r="A3300" s="1258" t="s">
        <v>270</v>
      </c>
      <c r="B3300" s="725"/>
      <c r="C3300" s="460" t="s">
        <v>93</v>
      </c>
      <c r="D3300" s="725"/>
      <c r="E3300" s="460" t="s">
        <v>93</v>
      </c>
      <c r="F3300" s="725"/>
      <c r="G3300" s="460" t="s">
        <v>93</v>
      </c>
      <c r="H3300" s="460"/>
      <c r="I3300" s="1259"/>
    </row>
    <row r="3301" spans="1:9" ht="14.55" customHeight="1" x14ac:dyDescent="0.3">
      <c r="A3301" s="1258" t="s">
        <v>271</v>
      </c>
      <c r="B3301" s="453" t="e">
        <f>((D3249/10)*B3266/2)/(IF(B3244="div.1",B3257,B3260)-0.5*D3249/10)</f>
        <v>#N/A</v>
      </c>
      <c r="C3301" s="460" t="s">
        <v>93</v>
      </c>
      <c r="D3301" s="453" t="e">
        <f>((D3249/10)*D3266/2)/(IF(B3244="div.1",B3257,B3260)-0.5*D3249/10)</f>
        <v>#N/A</v>
      </c>
      <c r="E3301" s="460" t="s">
        <v>93</v>
      </c>
      <c r="F3301" s="453" t="e">
        <f>((D3249/10)*F3266/2)/(IF(B3244="div.1",F3257,F3260)-0.5*D3249/10)</f>
        <v>#N/A</v>
      </c>
      <c r="G3301" s="460" t="s">
        <v>93</v>
      </c>
      <c r="H3301" s="460"/>
      <c r="I3301" s="1259"/>
    </row>
    <row r="3302" spans="1:9" ht="14.55" customHeight="1" x14ac:dyDescent="0.3">
      <c r="A3302" s="1258" t="s">
        <v>272</v>
      </c>
      <c r="B3302" s="453" t="e">
        <f>B3276/2*(EXP(D3249/(10*IF(B3244="div.1",B3258,B3261)))-1)</f>
        <v>#N/A</v>
      </c>
      <c r="C3302" s="460" t="s">
        <v>93</v>
      </c>
      <c r="D3302" s="453" t="e">
        <f>D3276/2*(EXP(D3249/(10*IF(B3244="div.1",B3258,B3261)))-1)</f>
        <v>#N/A</v>
      </c>
      <c r="E3302" s="460" t="s">
        <v>93</v>
      </c>
      <c r="F3302" s="453" t="e">
        <f>F3276/2*(EXP(D3249/(10*IF(B3244="div.1",F3258,F3261)))-1)</f>
        <v>#N/A</v>
      </c>
      <c r="G3302" s="460" t="s">
        <v>93</v>
      </c>
      <c r="H3302" s="460"/>
      <c r="I3302" s="1259"/>
    </row>
    <row r="3303" spans="1:9" ht="14.55" customHeight="1" x14ac:dyDescent="0.3">
      <c r="A3303" s="1258" t="s">
        <v>273</v>
      </c>
      <c r="B3303" s="453" t="e">
        <f>B3288/2*(EXP(D3249/(10*IF(B3244="div.1",B3258,B3261)))-1)</f>
        <v>#N/A</v>
      </c>
      <c r="C3303" s="460" t="s">
        <v>93</v>
      </c>
      <c r="D3303" s="453" t="e">
        <f>D3288/2*(EXP(D3249/(10*IF(B3244="div.1",B3258,B3261)))-1)</f>
        <v>#N/A</v>
      </c>
      <c r="E3303" s="460" t="s">
        <v>93</v>
      </c>
      <c r="F3303" s="453" t="e">
        <f>F3288/2*(EXP(D3249/(10*IF(B3244="div.1",F3258,F3261)))-1)</f>
        <v>#N/A</v>
      </c>
      <c r="G3303" s="460" t="s">
        <v>93</v>
      </c>
      <c r="H3303" s="460"/>
      <c r="I3303" s="1259"/>
    </row>
    <row r="3304" spans="1:9" ht="14.55" customHeight="1" x14ac:dyDescent="0.3">
      <c r="A3304" s="1258" t="s">
        <v>274</v>
      </c>
      <c r="B3304" s="725"/>
      <c r="C3304" s="460" t="s">
        <v>93</v>
      </c>
      <c r="D3304" s="725"/>
      <c r="E3304" s="460" t="s">
        <v>93</v>
      </c>
      <c r="F3304" s="725"/>
      <c r="G3304" s="460" t="s">
        <v>93</v>
      </c>
      <c r="H3304" s="460"/>
      <c r="I3304" s="1259"/>
    </row>
    <row r="3305" spans="1:9" ht="14.55" customHeight="1" x14ac:dyDescent="0.3">
      <c r="A3305" s="1258" t="s">
        <v>275</v>
      </c>
      <c r="B3305" s="725"/>
      <c r="C3305" s="460" t="s">
        <v>93</v>
      </c>
      <c r="D3305" s="725"/>
      <c r="E3305" s="460" t="s">
        <v>93</v>
      </c>
      <c r="F3305" s="725"/>
      <c r="G3305" s="460" t="s">
        <v>93</v>
      </c>
      <c r="H3305" s="460"/>
      <c r="I3305" s="1259"/>
    </row>
    <row r="3306" spans="1:9" ht="14.55" customHeight="1" x14ac:dyDescent="0.3">
      <c r="A3306" s="1258" t="s">
        <v>276</v>
      </c>
      <c r="B3306" s="725"/>
      <c r="C3306" s="460" t="s">
        <v>93</v>
      </c>
      <c r="D3306" s="725"/>
      <c r="E3306" s="460" t="s">
        <v>93</v>
      </c>
      <c r="F3306" s="725"/>
      <c r="G3306" s="460" t="s">
        <v>93</v>
      </c>
      <c r="H3306" s="460"/>
      <c r="I3306" s="1259"/>
    </row>
    <row r="3307" spans="1:9" ht="14.55" customHeight="1" x14ac:dyDescent="0.3">
      <c r="A3307" s="1258" t="s">
        <v>277</v>
      </c>
      <c r="B3307" s="453" t="e">
        <f>IF((CEILING(B3301,1)+B3304)&lt;B3300,B3300,CEILING(B3301,1)+B3304)</f>
        <v>#N/A</v>
      </c>
      <c r="C3307" s="460" t="s">
        <v>93</v>
      </c>
      <c r="D3307" s="453" t="e">
        <f>IF((CEILING(D3301,1)+D3304)&lt;D3300,D3300,CEILING(D3301,1)+D3304)</f>
        <v>#N/A</v>
      </c>
      <c r="E3307" s="460" t="s">
        <v>93</v>
      </c>
      <c r="F3307" s="453" t="e">
        <f>IF((CEILING(F3301,1)+F3304)&lt;F3300,F3300,CEILING(F3301,1)+F3304)</f>
        <v>#N/A</v>
      </c>
      <c r="G3307" s="460" t="s">
        <v>93</v>
      </c>
      <c r="H3307" s="460"/>
      <c r="I3307" s="1259"/>
    </row>
    <row r="3308" spans="1:9" ht="14.55" customHeight="1" x14ac:dyDescent="0.3">
      <c r="A3308" s="1258" t="s">
        <v>278</v>
      </c>
      <c r="B3308" s="453" t="e">
        <f>IF((CEILING(B3302,1)+B3305)&lt;=B3300,B3300,CEILING(B3302,1)+B3305)</f>
        <v>#N/A</v>
      </c>
      <c r="C3308" s="460" t="s">
        <v>93</v>
      </c>
      <c r="D3308" s="453" t="e">
        <f>IF((CEILING(D3302,1)+D3305)&lt;=D3300,D3300,CEILING(D3302,1)+D3305)</f>
        <v>#N/A</v>
      </c>
      <c r="E3308" s="460" t="s">
        <v>93</v>
      </c>
      <c r="F3308" s="453" t="e">
        <f>IF((CEILING(F3302,1)+F3305)&lt;=F3300,F3300,CEILING(F3302,1)+F3305)</f>
        <v>#N/A</v>
      </c>
      <c r="G3308" s="460" t="s">
        <v>93</v>
      </c>
      <c r="H3308" s="460"/>
      <c r="I3308" s="1259"/>
    </row>
    <row r="3309" spans="1:9" ht="14.55" customHeight="1" x14ac:dyDescent="0.3">
      <c r="A3309" s="1258" t="s">
        <v>279</v>
      </c>
      <c r="B3309" s="453" t="e">
        <f>IF((CEILING(B3303,1)+B3306)&lt;=B3300,B3300,CEILING(B3303,1)+B3306)</f>
        <v>#N/A</v>
      </c>
      <c r="C3309" s="460" t="s">
        <v>93</v>
      </c>
      <c r="D3309" s="453" t="e">
        <f>IF((CEILING(D3303,1)+D3306)&lt;=D3300,D3300,CEILING(D3303,1)+D3306)</f>
        <v>#N/A</v>
      </c>
      <c r="E3309" s="460" t="s">
        <v>93</v>
      </c>
      <c r="F3309" s="453" t="e">
        <f>IF((CEILING(F3303,1)+F3306)&lt;=F3300,F3300,CEILING(F3303,1)+F3306)</f>
        <v>#N/A</v>
      </c>
      <c r="G3309" s="460" t="s">
        <v>93</v>
      </c>
      <c r="H3309" s="460"/>
      <c r="I3309" s="1259"/>
    </row>
    <row r="3310" spans="1:9" ht="14.55" customHeight="1" x14ac:dyDescent="0.3">
      <c r="A3310" s="1258" t="s">
        <v>280</v>
      </c>
      <c r="B3310" s="453"/>
      <c r="C3310" s="460"/>
      <c r="D3310" s="453"/>
      <c r="E3310" s="460"/>
      <c r="F3310" s="726"/>
      <c r="G3310" s="460"/>
      <c r="H3310" s="460"/>
      <c r="I3310" s="1259"/>
    </row>
    <row r="3311" spans="1:9" ht="14.55" customHeight="1" x14ac:dyDescent="0.3">
      <c r="A3311" s="1258" t="s">
        <v>281</v>
      </c>
      <c r="B3311" s="453"/>
      <c r="C3311" s="460"/>
      <c r="D3311" s="453"/>
      <c r="E3311" s="460"/>
      <c r="F3311" s="460">
        <f>IFERROR(VLOOKUP(F3265,'Thickness Tab'!$1:$1048576,MATCH(F3310,'Thickness Tab'!$1:$1,0),0),0)</f>
        <v>0</v>
      </c>
      <c r="G3311" s="460" t="s">
        <v>93</v>
      </c>
      <c r="H3311" s="460"/>
      <c r="I3311" s="1259"/>
    </row>
    <row r="3312" spans="1:9" ht="14.55" customHeight="1" x14ac:dyDescent="0.3">
      <c r="A3312" s="1258"/>
      <c r="B3312" s="464"/>
      <c r="C3312" s="460"/>
      <c r="D3312" s="460"/>
      <c r="E3312" s="460"/>
      <c r="F3312" s="460"/>
      <c r="G3312" s="460"/>
      <c r="H3312" s="460"/>
      <c r="I3312" s="1259"/>
    </row>
    <row r="3313" spans="1:9" ht="14.55" customHeight="1" x14ac:dyDescent="0.3">
      <c r="A3313" s="1258" t="s">
        <v>282</v>
      </c>
      <c r="B3313" s="725">
        <v>0</v>
      </c>
      <c r="C3313" s="460" t="s">
        <v>93</v>
      </c>
      <c r="D3313" s="725">
        <v>0</v>
      </c>
      <c r="E3313" s="460" t="s">
        <v>93</v>
      </c>
      <c r="F3313" s="725">
        <v>0</v>
      </c>
      <c r="G3313" s="460" t="s">
        <v>93</v>
      </c>
      <c r="H3313" s="460"/>
      <c r="I3313" s="1259"/>
    </row>
    <row r="3314" spans="1:9" ht="14.55" customHeight="1" x14ac:dyDescent="0.3">
      <c r="A3314" s="1258" t="s">
        <v>283</v>
      </c>
      <c r="B3314" s="725">
        <v>0</v>
      </c>
      <c r="C3314" s="460" t="s">
        <v>93</v>
      </c>
      <c r="D3314" s="725">
        <v>0</v>
      </c>
      <c r="E3314" s="460" t="s">
        <v>93</v>
      </c>
      <c r="F3314" s="725">
        <v>0</v>
      </c>
      <c r="G3314" s="460" t="s">
        <v>93</v>
      </c>
      <c r="H3314" s="460"/>
      <c r="I3314" s="1259"/>
    </row>
    <row r="3315" spans="1:9" ht="14.55" customHeight="1" x14ac:dyDescent="0.3">
      <c r="A3315" s="1258" t="s">
        <v>284</v>
      </c>
      <c r="B3315" s="725">
        <v>0</v>
      </c>
      <c r="C3315" s="460" t="s">
        <v>93</v>
      </c>
      <c r="D3315" s="725">
        <v>0</v>
      </c>
      <c r="E3315" s="460" t="s">
        <v>93</v>
      </c>
      <c r="F3315" s="725">
        <v>0</v>
      </c>
      <c r="G3315" s="460" t="s">
        <v>93</v>
      </c>
      <c r="H3315" s="460"/>
      <c r="I3315" s="1259"/>
    </row>
    <row r="3316" spans="1:9" ht="14.55" customHeight="1" x14ac:dyDescent="0.3">
      <c r="A3316" s="1258"/>
      <c r="B3316" s="464"/>
      <c r="C3316" s="460"/>
      <c r="D3316" s="460"/>
      <c r="E3316" s="460"/>
      <c r="F3316" s="460"/>
      <c r="G3316" s="460"/>
      <c r="H3316" s="460"/>
      <c r="I3316" s="1259"/>
    </row>
    <row r="3317" spans="1:9" ht="14.55" customHeight="1" x14ac:dyDescent="0.3">
      <c r="A3317" s="1260" t="s">
        <v>285</v>
      </c>
      <c r="B3317" s="470" t="str">
        <f>IF(B3245="Horizontal","No Skirt","")</f>
        <v/>
      </c>
      <c r="C3317" s="460"/>
      <c r="D3317" s="471"/>
      <c r="E3317" s="471" t="s">
        <v>286</v>
      </c>
      <c r="F3317" s="460"/>
      <c r="G3317" s="469"/>
      <c r="H3317" s="469"/>
      <c r="I3317" s="1261"/>
    </row>
    <row r="3318" spans="1:9" ht="14.55" customHeight="1" x14ac:dyDescent="0.3">
      <c r="A3318" s="1258" t="s">
        <v>287</v>
      </c>
      <c r="B3318" s="722"/>
      <c r="C3318" s="456" t="s">
        <v>93</v>
      </c>
      <c r="D3318" s="472"/>
      <c r="E3318" s="472" t="s">
        <v>288</v>
      </c>
      <c r="F3318" s="725"/>
      <c r="G3318" s="460" t="s">
        <v>93</v>
      </c>
      <c r="H3318" s="469"/>
      <c r="I3318" s="1261"/>
    </row>
    <row r="3319" spans="1:9" ht="14.55" customHeight="1" x14ac:dyDescent="0.3">
      <c r="A3319" s="1258" t="s">
        <v>289</v>
      </c>
      <c r="B3319" s="722"/>
      <c r="C3319" s="456" t="s">
        <v>93</v>
      </c>
      <c r="D3319" s="472"/>
      <c r="E3319" s="472" t="s">
        <v>290</v>
      </c>
      <c r="F3319" s="725"/>
      <c r="G3319" s="460" t="s">
        <v>93</v>
      </c>
      <c r="H3319" s="469"/>
      <c r="I3319" s="1261"/>
    </row>
    <row r="3320" spans="1:9" ht="14.55" customHeight="1" x14ac:dyDescent="0.3">
      <c r="A3320" s="1258" t="s">
        <v>291</v>
      </c>
      <c r="B3320" s="722"/>
      <c r="C3320" s="456" t="s">
        <v>93</v>
      </c>
      <c r="D3320" s="472"/>
      <c r="E3320" s="472" t="s">
        <v>292</v>
      </c>
      <c r="F3320" s="725"/>
      <c r="G3320" s="460"/>
      <c r="H3320" s="469"/>
      <c r="I3320" s="1261"/>
    </row>
    <row r="3321" spans="1:9" ht="14.55" customHeight="1" x14ac:dyDescent="0.3">
      <c r="A3321" s="1258" t="s">
        <v>293</v>
      </c>
      <c r="B3321" s="722"/>
      <c r="C3321" s="456" t="s">
        <v>93</v>
      </c>
      <c r="D3321" s="472"/>
      <c r="E3321" s="472" t="s">
        <v>184</v>
      </c>
      <c r="F3321" s="457">
        <f>(PI()*F3318^2)/4*F3319*(7800/1000000000)</f>
        <v>0</v>
      </c>
      <c r="G3321" s="460" t="s">
        <v>222</v>
      </c>
      <c r="H3321" s="460"/>
      <c r="I3321" s="1259"/>
    </row>
    <row r="3322" spans="1:9" ht="14.55" customHeight="1" x14ac:dyDescent="0.3">
      <c r="A3322" s="1258" t="s">
        <v>294</v>
      </c>
      <c r="B3322" s="722"/>
      <c r="C3322" s="456" t="s">
        <v>93</v>
      </c>
      <c r="D3322" s="460"/>
      <c r="E3322" s="460"/>
      <c r="F3322" s="460"/>
      <c r="G3322" s="460"/>
      <c r="H3322" s="460"/>
      <c r="I3322" s="1259"/>
    </row>
    <row r="3323" spans="1:9" ht="14.55" customHeight="1" x14ac:dyDescent="0.3">
      <c r="A3323" s="1258"/>
      <c r="B3323" s="407"/>
      <c r="C3323" s="460"/>
      <c r="D3323" s="460"/>
      <c r="E3323" s="460"/>
      <c r="F3323" s="460"/>
      <c r="G3323" s="460"/>
      <c r="H3323" s="460"/>
      <c r="I3323" s="1259"/>
    </row>
    <row r="3324" spans="1:9" ht="14.55" customHeight="1" x14ac:dyDescent="0.3">
      <c r="A3324" s="1262" t="s">
        <v>295</v>
      </c>
      <c r="B3324" s="480"/>
      <c r="C3324" s="59"/>
      <c r="D3324" s="59"/>
      <c r="E3324" s="59"/>
      <c r="F3324" s="460"/>
      <c r="G3324" s="460"/>
      <c r="H3324" s="460"/>
      <c r="I3324" s="1259"/>
    </row>
    <row r="3325" spans="1:9" ht="14.55" customHeight="1" x14ac:dyDescent="0.3">
      <c r="A3325" s="1263" t="s">
        <v>296</v>
      </c>
      <c r="B3325" s="722"/>
      <c r="C3325" s="59" t="s">
        <v>93</v>
      </c>
      <c r="D3325" s="59"/>
      <c r="E3325" s="59"/>
      <c r="F3325" s="460"/>
      <c r="G3325" s="460"/>
      <c r="H3325" s="460"/>
      <c r="I3325" s="1259"/>
    </row>
    <row r="3326" spans="1:9" ht="14.55" customHeight="1" x14ac:dyDescent="0.3">
      <c r="A3326" s="1263" t="s">
        <v>297</v>
      </c>
      <c r="B3326" s="722"/>
      <c r="C3326" s="59" t="s">
        <v>93</v>
      </c>
      <c r="D3326" s="59"/>
      <c r="E3326" s="59"/>
      <c r="F3326" s="460"/>
      <c r="G3326" s="460"/>
      <c r="H3326" s="460"/>
      <c r="I3326" s="1259"/>
    </row>
    <row r="3327" spans="1:9" ht="14.55" customHeight="1" x14ac:dyDescent="0.3">
      <c r="A3327" s="1263" t="s">
        <v>298</v>
      </c>
      <c r="B3327" s="480">
        <f>B3268</f>
        <v>0</v>
      </c>
      <c r="C3327" s="59" t="s">
        <v>93</v>
      </c>
      <c r="D3327" s="59"/>
      <c r="E3327" s="59"/>
      <c r="F3327" s="460"/>
      <c r="G3327" s="460"/>
      <c r="H3327" s="460"/>
      <c r="I3327" s="1259"/>
    </row>
    <row r="3328" spans="1:9" ht="14.55" customHeight="1" x14ac:dyDescent="0.3">
      <c r="A3328" s="1263" t="s">
        <v>299</v>
      </c>
      <c r="B3328" s="727"/>
      <c r="C3328" s="59"/>
      <c r="D3328" s="59"/>
      <c r="E3328" s="59"/>
      <c r="F3328" s="460"/>
      <c r="G3328" s="460"/>
      <c r="H3328" s="460"/>
      <c r="I3328" s="1259"/>
    </row>
    <row r="3329" spans="1:9" ht="14.55" customHeight="1" x14ac:dyDescent="0.3">
      <c r="A3329" s="1263" t="s">
        <v>300</v>
      </c>
      <c r="B3329" s="722"/>
      <c r="C3329" s="59" t="s">
        <v>301</v>
      </c>
      <c r="D3329" s="59"/>
      <c r="E3329" s="59"/>
      <c r="F3329" s="460"/>
      <c r="G3329" s="460"/>
      <c r="H3329" s="460"/>
      <c r="I3329" s="1259"/>
    </row>
    <row r="3330" spans="1:9" ht="14.55" customHeight="1" x14ac:dyDescent="0.3">
      <c r="A3330" s="1263" t="s">
        <v>302</v>
      </c>
      <c r="B3330" s="480">
        <f>IF(B3328="Straight",B3327,B3327*2)</f>
        <v>0</v>
      </c>
      <c r="C3330" s="59" t="s">
        <v>93</v>
      </c>
      <c r="D3330" s="480"/>
      <c r="E3330" s="59"/>
      <c r="F3330" s="460"/>
      <c r="G3330" s="460"/>
      <c r="H3330" s="460"/>
      <c r="I3330" s="1259"/>
    </row>
    <row r="3331" spans="1:9" ht="14.55" customHeight="1" x14ac:dyDescent="0.3">
      <c r="A3331" s="1263" t="s">
        <v>303</v>
      </c>
      <c r="B3331" s="480">
        <f>B3325*PI()*B3330/1000000*B3329</f>
        <v>0</v>
      </c>
      <c r="C3331" s="59" t="s">
        <v>228</v>
      </c>
      <c r="D3331" s="59"/>
      <c r="E3331" s="59"/>
      <c r="F3331" s="460"/>
      <c r="G3331" s="460"/>
      <c r="H3331" s="460"/>
      <c r="I3331" s="1259"/>
    </row>
    <row r="3332" spans="1:9" ht="14.55" customHeight="1" x14ac:dyDescent="0.3">
      <c r="A3332" s="1263" t="s">
        <v>304</v>
      </c>
      <c r="B3332" s="480">
        <v>7.86</v>
      </c>
      <c r="C3332" s="59" t="s">
        <v>305</v>
      </c>
      <c r="D3332" s="59"/>
      <c r="E3332" s="59"/>
      <c r="F3332" s="460"/>
      <c r="G3332" s="460"/>
      <c r="H3332" s="460"/>
      <c r="I3332" s="1259"/>
    </row>
    <row r="3333" spans="1:9" ht="14.55" customHeight="1" x14ac:dyDescent="0.3">
      <c r="A3333" s="1263" t="s">
        <v>306</v>
      </c>
      <c r="B3333" s="480">
        <f>PI()*B3326*(B3325-B3326)*B3332/1000</f>
        <v>0</v>
      </c>
      <c r="C3333" s="59" t="s">
        <v>307</v>
      </c>
      <c r="D3333" s="59"/>
      <c r="E3333" s="59"/>
      <c r="F3333" s="460"/>
      <c r="G3333" s="460"/>
      <c r="H3333" s="460"/>
      <c r="I3333" s="1259"/>
    </row>
    <row r="3334" spans="1:9" ht="14.55" customHeight="1" x14ac:dyDescent="0.3">
      <c r="A3334" s="1263" t="s">
        <v>308</v>
      </c>
      <c r="B3334" s="480">
        <f>B3333*B3330*B3329/1000</f>
        <v>0</v>
      </c>
      <c r="C3334" s="59" t="s">
        <v>222</v>
      </c>
      <c r="D3334" s="59"/>
      <c r="E3334" s="59"/>
      <c r="F3334" s="460"/>
      <c r="G3334" s="460"/>
      <c r="H3334" s="460"/>
      <c r="I3334" s="1259"/>
    </row>
    <row r="3335" spans="1:9" ht="14.55" customHeight="1" x14ac:dyDescent="0.3">
      <c r="A3335" s="1263"/>
      <c r="B3335" s="480"/>
      <c r="C3335" s="59"/>
      <c r="D3335" s="59"/>
      <c r="E3335" s="59"/>
      <c r="F3335" s="460"/>
      <c r="G3335" s="460"/>
      <c r="H3335" s="460"/>
      <c r="I3335" s="1259"/>
    </row>
    <row r="3336" spans="1:9" ht="14.55" customHeight="1" x14ac:dyDescent="0.3">
      <c r="A3336" s="1262" t="s">
        <v>309</v>
      </c>
      <c r="B3336" s="480"/>
      <c r="C3336" s="59"/>
      <c r="D3336" s="59"/>
      <c r="E3336" s="59"/>
      <c r="F3336" s="460"/>
      <c r="G3336" s="460"/>
      <c r="H3336" s="460"/>
      <c r="I3336" s="1259"/>
    </row>
    <row r="3337" spans="1:9" ht="14.55" customHeight="1" x14ac:dyDescent="0.3">
      <c r="A3337" s="1263" t="s">
        <v>310</v>
      </c>
      <c r="B3337" s="480">
        <f>B3266</f>
        <v>0</v>
      </c>
      <c r="C3337" s="59" t="s">
        <v>93</v>
      </c>
      <c r="D3337" s="59"/>
      <c r="E3337" s="59"/>
      <c r="F3337" s="460"/>
      <c r="G3337" s="460"/>
      <c r="H3337" s="460"/>
      <c r="I3337" s="1259"/>
    </row>
    <row r="3338" spans="1:9" ht="14.55" customHeight="1" x14ac:dyDescent="0.3">
      <c r="A3338" s="1263" t="s">
        <v>297</v>
      </c>
      <c r="B3338" s="480">
        <v>15</v>
      </c>
      <c r="C3338" s="59" t="s">
        <v>93</v>
      </c>
      <c r="D3338" s="59"/>
      <c r="E3338" s="59"/>
      <c r="F3338" s="460"/>
      <c r="G3338" s="460"/>
      <c r="H3338" s="460"/>
      <c r="I3338" s="1259"/>
    </row>
    <row r="3339" spans="1:9" ht="14.55" customHeight="1" x14ac:dyDescent="0.3">
      <c r="A3339" s="1263" t="s">
        <v>311</v>
      </c>
      <c r="B3339" s="480">
        <f>B3337^2*PI()/4/1000000</f>
        <v>0</v>
      </c>
      <c r="C3339" s="59" t="s">
        <v>228</v>
      </c>
      <c r="D3339" s="59"/>
      <c r="E3339" s="59"/>
      <c r="F3339" s="460"/>
      <c r="G3339" s="460"/>
      <c r="H3339" s="460"/>
      <c r="I3339" s="1259"/>
    </row>
    <row r="3340" spans="1:9" ht="14.55" customHeight="1" x14ac:dyDescent="0.3">
      <c r="A3340" s="1263" t="s">
        <v>312</v>
      </c>
      <c r="B3340" s="480">
        <f>B3339*B3338/1000*B3332*2/1000</f>
        <v>0</v>
      </c>
      <c r="C3340" s="59" t="s">
        <v>222</v>
      </c>
      <c r="D3340" s="59"/>
      <c r="E3340" s="59"/>
      <c r="F3340" s="460"/>
      <c r="G3340" s="460"/>
      <c r="H3340" s="460"/>
      <c r="I3340" s="1259"/>
    </row>
    <row r="3341" spans="1:9" ht="14.55" customHeight="1" x14ac:dyDescent="0.3">
      <c r="A3341" s="1263"/>
      <c r="B3341" s="480"/>
      <c r="C3341" s="59"/>
      <c r="D3341" s="59"/>
      <c r="E3341" s="59"/>
      <c r="F3341" s="460"/>
      <c r="G3341" s="460"/>
      <c r="H3341" s="460"/>
      <c r="I3341" s="1259"/>
    </row>
    <row r="3342" spans="1:9" ht="14.55" customHeight="1" x14ac:dyDescent="0.3">
      <c r="A3342" s="1263" t="s">
        <v>313</v>
      </c>
      <c r="B3342" s="480">
        <f>B3334+B3340*2</f>
        <v>0</v>
      </c>
      <c r="C3342" s="59" t="s">
        <v>222</v>
      </c>
      <c r="D3342" s="59"/>
      <c r="E3342" s="59"/>
      <c r="F3342" s="460"/>
      <c r="G3342" s="460"/>
      <c r="H3342" s="460"/>
      <c r="I3342" s="1259"/>
    </row>
    <row r="3343" spans="1:9" ht="14.55" customHeight="1" x14ac:dyDescent="0.3">
      <c r="A3343" s="1263"/>
      <c r="B3343" s="480"/>
      <c r="C3343" s="59"/>
      <c r="D3343" s="59"/>
      <c r="E3343" s="59"/>
      <c r="F3343" s="460"/>
      <c r="G3343" s="460"/>
      <c r="H3343" s="460"/>
      <c r="I3343" s="1259"/>
    </row>
    <row r="3344" spans="1:9" ht="14.55" customHeight="1" x14ac:dyDescent="0.3">
      <c r="A3344" s="1260" t="s">
        <v>314</v>
      </c>
      <c r="B3344" s="460"/>
      <c r="C3344" s="460"/>
      <c r="D3344" s="463" t="s">
        <v>315</v>
      </c>
      <c r="E3344" s="460"/>
      <c r="F3344" s="460"/>
      <c r="G3344" s="471" t="s">
        <v>316</v>
      </c>
      <c r="H3344" s="453"/>
      <c r="I3344" s="1259"/>
    </row>
    <row r="3345" spans="1:9" ht="14.55" customHeight="1" x14ac:dyDescent="0.3">
      <c r="A3345" s="1258" t="s">
        <v>189</v>
      </c>
      <c r="B3345" s="468" t="e">
        <f>SUM(B3269,D3269,F3269)</f>
        <v>#N/A</v>
      </c>
      <c r="C3345" s="460" t="s">
        <v>222</v>
      </c>
      <c r="D3345" s="472" t="s">
        <v>189</v>
      </c>
      <c r="E3345" s="468" t="e">
        <f>SUM(B3271,D3271,F3271)</f>
        <v>#N/A</v>
      </c>
      <c r="F3345" s="460" t="s">
        <v>228</v>
      </c>
      <c r="G3345" s="472" t="s">
        <v>189</v>
      </c>
      <c r="H3345" s="453" t="e">
        <f>SUM(B3273,D3273,F3273)</f>
        <v>#N/A</v>
      </c>
      <c r="I3345" s="1259" t="s">
        <v>228</v>
      </c>
    </row>
    <row r="3346" spans="1:9" ht="14.55" customHeight="1" x14ac:dyDescent="0.3">
      <c r="A3346" s="1258" t="s">
        <v>317</v>
      </c>
      <c r="B3346" s="468" t="e">
        <f>SUM(B3279*B3281,D3279*D3281,F3279*F3281)</f>
        <v>#N/A</v>
      </c>
      <c r="C3346" s="460" t="s">
        <v>222</v>
      </c>
      <c r="D3346" s="472" t="s">
        <v>317</v>
      </c>
      <c r="E3346" s="468" t="e">
        <f>SUM(B3279*B3283,D3279*D3283,F3279*F3283)</f>
        <v>#N/A</v>
      </c>
      <c r="F3346" s="460" t="s">
        <v>228</v>
      </c>
      <c r="G3346" s="472" t="s">
        <v>317</v>
      </c>
      <c r="H3346" s="453" t="e">
        <f>SUM(B3279*B3285,D3279*D3285,F3279*F3285)</f>
        <v>#N/A</v>
      </c>
      <c r="I3346" s="1259" t="s">
        <v>228</v>
      </c>
    </row>
    <row r="3347" spans="1:9" ht="14.55" customHeight="1" x14ac:dyDescent="0.3">
      <c r="A3347" s="1258" t="s">
        <v>318</v>
      </c>
      <c r="B3347" s="468" t="e">
        <f>SUM(B3293,D3293,F3293)</f>
        <v>#N/A</v>
      </c>
      <c r="C3347" s="460" t="s">
        <v>222</v>
      </c>
      <c r="D3347" s="472" t="s">
        <v>318</v>
      </c>
      <c r="E3347" s="468" t="e">
        <f>SUM(B3295,D3295,F3295)</f>
        <v>#N/A</v>
      </c>
      <c r="F3347" s="460" t="s">
        <v>228</v>
      </c>
      <c r="G3347" s="472" t="s">
        <v>318</v>
      </c>
      <c r="H3347" s="453" t="e">
        <f>SUM(B3298,D3298,F3298)</f>
        <v>#N/A</v>
      </c>
      <c r="I3347" s="1259" t="s">
        <v>228</v>
      </c>
    </row>
    <row r="3348" spans="1:9" ht="14.55" customHeight="1" x14ac:dyDescent="0.3">
      <c r="A3348" s="1258" t="s">
        <v>319</v>
      </c>
      <c r="B3348" s="468">
        <f>SUMPRODUCT(F3365:F3376,H3365:H3376)</f>
        <v>0</v>
      </c>
      <c r="C3348" s="460" t="s">
        <v>222</v>
      </c>
      <c r="D3348" s="472" t="s">
        <v>319</v>
      </c>
      <c r="E3348" s="468">
        <f>SUMPRODUCT(F3365:F3376,I3365:I3376)</f>
        <v>0</v>
      </c>
      <c r="F3348" s="460" t="s">
        <v>228</v>
      </c>
      <c r="G3348" s="460"/>
      <c r="H3348" s="453"/>
      <c r="I3348" s="1259"/>
    </row>
    <row r="3349" spans="1:9" ht="14.55" customHeight="1" x14ac:dyDescent="0.3">
      <c r="A3349" s="1258" t="s">
        <v>320</v>
      </c>
      <c r="B3349" s="468" t="e">
        <f>IF(B3245="Horizontal",0,(PI()*B3319*(((B3267/2)^2)-(((B3267-2*B3318)/2)^2))*7860)/1000000000)</f>
        <v>#N/A</v>
      </c>
      <c r="C3349" s="460" t="s">
        <v>222</v>
      </c>
      <c r="D3349" s="472" t="s">
        <v>320</v>
      </c>
      <c r="E3349" s="468" t="e">
        <f>IF(B3245="Horizontal",0,((B3267*B3319*PI())+((B3267-2*B3318)*B3319*PI()))/1000000)</f>
        <v>#N/A</v>
      </c>
      <c r="F3349" s="460" t="s">
        <v>228</v>
      </c>
      <c r="G3349" s="471" t="s">
        <v>321</v>
      </c>
      <c r="H3349" s="453"/>
      <c r="I3349" s="1259"/>
    </row>
    <row r="3350" spans="1:9" ht="14.55" customHeight="1" x14ac:dyDescent="0.3">
      <c r="A3350" s="1258" t="s">
        <v>322</v>
      </c>
      <c r="B3350" s="468">
        <f>IF(B3245="Horizontal",0,(PI()*B3322*(((B3321/2)^2)-((B3320/2)^2))*7860)/1000000000)</f>
        <v>0</v>
      </c>
      <c r="C3350" s="460" t="s">
        <v>222</v>
      </c>
      <c r="D3350" s="472" t="s">
        <v>322</v>
      </c>
      <c r="E3350" s="468">
        <f>IF(B3245="Horizontal",0,((B3321*3.14*B3322)+(B3320*3.14*B3322)+(((((B3321/2)^2)*3.14)-(((B3320/2)^2)*3.14))*2))/1000000)</f>
        <v>0</v>
      </c>
      <c r="F3350" s="460" t="s">
        <v>228</v>
      </c>
      <c r="G3350" s="472" t="s">
        <v>189</v>
      </c>
      <c r="H3350" s="453">
        <f>SUM(B3270,D3270,F3270)</f>
        <v>0</v>
      </c>
      <c r="I3350" s="1259" t="s">
        <v>225</v>
      </c>
    </row>
    <row r="3351" spans="1:9" ht="14.55" customHeight="1" x14ac:dyDescent="0.3">
      <c r="A3351" s="1258" t="s">
        <v>323</v>
      </c>
      <c r="B3351" s="468">
        <f>IF(B3245="Horizontal",VLOOKUP(B3267,List!$AR:$AS,2,1)*2,0)</f>
        <v>0</v>
      </c>
      <c r="C3351" s="460" t="s">
        <v>222</v>
      </c>
      <c r="D3351" s="472" t="s">
        <v>323</v>
      </c>
      <c r="E3351" s="725"/>
      <c r="F3351" s="460" t="s">
        <v>228</v>
      </c>
      <c r="G3351" s="472" t="s">
        <v>317</v>
      </c>
      <c r="H3351" s="453" t="e">
        <f>SUM(B3279*B3282+D3279*D3282+F3279*F3282)</f>
        <v>#N/A</v>
      </c>
      <c r="I3351" s="1259" t="s">
        <v>225</v>
      </c>
    </row>
    <row r="3352" spans="1:9" ht="14.55" customHeight="1" x14ac:dyDescent="0.3">
      <c r="A3352" s="1258" t="s">
        <v>324</v>
      </c>
      <c r="B3352" s="468">
        <f>F3321*F3320</f>
        <v>0</v>
      </c>
      <c r="C3352" s="460" t="s">
        <v>222</v>
      </c>
      <c r="D3352" s="460"/>
      <c r="E3352" s="460"/>
      <c r="F3352" s="460"/>
      <c r="G3352" s="472" t="s">
        <v>318</v>
      </c>
      <c r="H3352" s="453">
        <f>SUM(B3294,D3294,F3294)</f>
        <v>0</v>
      </c>
      <c r="I3352" s="1259" t="s">
        <v>225</v>
      </c>
    </row>
    <row r="3353" spans="1:9" ht="14.55" customHeight="1" x14ac:dyDescent="0.3">
      <c r="A3353" s="1258" t="s">
        <v>325</v>
      </c>
      <c r="B3353" s="468">
        <f>B3342</f>
        <v>0</v>
      </c>
      <c r="C3353" s="460" t="s">
        <v>222</v>
      </c>
      <c r="D3353" s="460"/>
      <c r="E3353" s="460"/>
      <c r="F3353" s="460"/>
      <c r="G3353" s="472"/>
      <c r="H3353" s="453"/>
      <c r="I3353" s="1259"/>
    </row>
    <row r="3354" spans="1:9" ht="14.55" customHeight="1" x14ac:dyDescent="0.3">
      <c r="A3354" s="1258" t="s">
        <v>326</v>
      </c>
      <c r="B3354" s="725"/>
      <c r="C3354" s="460" t="s">
        <v>222</v>
      </c>
      <c r="D3354" s="460"/>
      <c r="E3354" s="460"/>
      <c r="F3354" s="460"/>
      <c r="G3354" s="460"/>
      <c r="H3354" s="460"/>
      <c r="I3354" s="1259"/>
    </row>
    <row r="3355" spans="1:9" ht="14.55" customHeight="1" x14ac:dyDescent="0.3">
      <c r="A3355" s="1264"/>
      <c r="B3355" s="460"/>
      <c r="C3355" s="460"/>
      <c r="D3355" s="460"/>
      <c r="E3355" s="460"/>
      <c r="F3355" s="460"/>
      <c r="G3355" s="460"/>
      <c r="H3355" s="460"/>
      <c r="I3355" s="1259"/>
    </row>
    <row r="3356" spans="1:9" ht="14.55" customHeight="1" x14ac:dyDescent="0.3">
      <c r="A3356" s="1258" t="s">
        <v>327</v>
      </c>
      <c r="B3356" s="453" t="e">
        <f>SUM(E3345:E3351)</f>
        <v>#N/A</v>
      </c>
      <c r="C3356" s="460" t="s">
        <v>228</v>
      </c>
      <c r="D3356" s="460"/>
      <c r="E3356" s="460"/>
      <c r="F3356" s="460"/>
      <c r="G3356" s="460"/>
      <c r="H3356" s="460"/>
      <c r="I3356" s="1259"/>
    </row>
    <row r="3357" spans="1:9" ht="14.55" customHeight="1" x14ac:dyDescent="0.3">
      <c r="A3357" s="1258" t="s">
        <v>328</v>
      </c>
      <c r="B3357" s="453" t="e">
        <f>IF(SUM(E3345:E3347)=SUM(H3345:H3347),"Not Insulated",SUM(H3345:H3347))</f>
        <v>#N/A</v>
      </c>
      <c r="C3357" s="460" t="e">
        <f>IF(B3356=SUM(H3345:H3347),"","m2")</f>
        <v>#N/A</v>
      </c>
      <c r="D3357" s="460"/>
      <c r="E3357" s="460"/>
      <c r="F3357" s="460"/>
      <c r="G3357" s="460"/>
      <c r="H3357" s="460"/>
      <c r="I3357" s="1259"/>
    </row>
    <row r="3358" spans="1:9" ht="14.55" customHeight="1" x14ac:dyDescent="0.3">
      <c r="A3358" s="1258" t="s">
        <v>329</v>
      </c>
      <c r="B3358" s="453" t="e">
        <f>SUM(H3350:H3352)</f>
        <v>#N/A</v>
      </c>
      <c r="C3358" s="460" t="s">
        <v>225</v>
      </c>
      <c r="D3358" s="460"/>
      <c r="E3358" s="460"/>
      <c r="F3358" s="460"/>
      <c r="G3358" s="460"/>
      <c r="H3358" s="460"/>
      <c r="I3358" s="1259"/>
    </row>
    <row r="3359" spans="1:9" ht="14.55" customHeight="1" x14ac:dyDescent="0.3">
      <c r="A3359" s="1258" t="s">
        <v>330</v>
      </c>
      <c r="B3359" s="453" t="e">
        <f>SUM(B3345:B3354)</f>
        <v>#N/A</v>
      </c>
      <c r="C3359" s="460" t="s">
        <v>222</v>
      </c>
      <c r="D3359" s="460"/>
      <c r="E3359" s="460"/>
      <c r="F3359" s="460"/>
      <c r="G3359" s="460"/>
      <c r="H3359" s="460"/>
      <c r="I3359" s="1259"/>
    </row>
    <row r="3360" spans="1:9" ht="14.55" customHeight="1" x14ac:dyDescent="0.3">
      <c r="A3360" s="1258" t="s">
        <v>331</v>
      </c>
      <c r="B3360" s="725"/>
      <c r="C3360" s="460" t="s">
        <v>222</v>
      </c>
      <c r="D3360" s="460"/>
      <c r="E3360" s="460"/>
      <c r="F3360" s="460"/>
      <c r="G3360" s="460"/>
      <c r="H3360" s="460"/>
      <c r="I3360" s="1259"/>
    </row>
    <row r="3361" spans="1:9" ht="15" customHeight="1" thickBot="1" x14ac:dyDescent="0.35">
      <c r="A3361" s="1258"/>
      <c r="B3361" s="473"/>
      <c r="C3361" s="459"/>
      <c r="D3361" s="460"/>
      <c r="E3361" s="460"/>
      <c r="F3361" s="460"/>
      <c r="G3361" s="460"/>
      <c r="H3361" s="460"/>
      <c r="I3361" s="1259"/>
    </row>
    <row r="3362" spans="1:9" ht="15" customHeight="1" thickBot="1" x14ac:dyDescent="0.35">
      <c r="A3362" s="474"/>
      <c r="B3362" s="1718" t="s">
        <v>332</v>
      </c>
      <c r="C3362" s="1718"/>
      <c r="D3362" s="1718"/>
      <c r="E3362" s="1718"/>
      <c r="F3362" s="1718"/>
      <c r="G3362" s="475"/>
      <c r="H3362" s="475"/>
      <c r="I3362" s="476"/>
    </row>
    <row r="3363" spans="1:9" ht="14.55" customHeight="1" x14ac:dyDescent="0.3">
      <c r="A3363" s="1264"/>
      <c r="B3363" s="1719" t="s">
        <v>333</v>
      </c>
      <c r="C3363" s="1381" t="s">
        <v>59</v>
      </c>
      <c r="D3363" s="1719" t="s">
        <v>114</v>
      </c>
      <c r="E3363" s="1719" t="s">
        <v>334</v>
      </c>
      <c r="F3363" s="1719" t="s">
        <v>292</v>
      </c>
      <c r="G3363" s="1719" t="s">
        <v>335</v>
      </c>
      <c r="H3363" s="1381" t="s">
        <v>184</v>
      </c>
      <c r="I3363" s="1346" t="s">
        <v>336</v>
      </c>
    </row>
    <row r="3364" spans="1:9" ht="14.55" customHeight="1" x14ac:dyDescent="0.3">
      <c r="A3364" s="1264"/>
      <c r="B3364" s="1720"/>
      <c r="C3364" s="1442" t="s">
        <v>214</v>
      </c>
      <c r="D3364" s="1720"/>
      <c r="E3364" s="1720"/>
      <c r="F3364" s="1720"/>
      <c r="G3364" s="1720"/>
      <c r="H3364" s="1442" t="s">
        <v>222</v>
      </c>
      <c r="I3364" s="1443" t="s">
        <v>228</v>
      </c>
    </row>
    <row r="3365" spans="1:9" ht="14.55" customHeight="1" x14ac:dyDescent="0.3">
      <c r="A3365" s="1264"/>
      <c r="B3365" s="1382" t="s">
        <v>337</v>
      </c>
      <c r="C3365" s="728"/>
      <c r="D3365" s="729"/>
      <c r="E3365" s="730"/>
      <c r="F3365" s="730"/>
      <c r="G3365" s="730"/>
      <c r="H3365" s="1465" t="str">
        <f>IFERROR(VLOOKUP($C3365&amp;"F"&amp;$D3365,'Flanges Chart'!$1:$1048576,MATCH($E3365&amp;"."&amp;H$123,'Flanges Chart'!$1:$1,0),0),"")</f>
        <v/>
      </c>
      <c r="I3365" s="1466" t="str">
        <f>IFERROR(VLOOKUP($C3365&amp;"F"&amp;$D3365,'Flanges Chart'!$1:$1048576,MATCH($E3365&amp;"."&amp;I$123,'Flanges Chart'!$1:$1,0),0),"")</f>
        <v/>
      </c>
    </row>
    <row r="3366" spans="1:9" ht="14.55" customHeight="1" x14ac:dyDescent="0.3">
      <c r="A3366" s="1264"/>
      <c r="B3366" s="1467" t="s">
        <v>340</v>
      </c>
      <c r="C3366" s="731"/>
      <c r="D3366" s="729"/>
      <c r="E3366" s="729"/>
      <c r="F3366" s="729"/>
      <c r="G3366" s="729"/>
      <c r="H3366" s="1465" t="str">
        <f>IFERROR(VLOOKUP($C3366&amp;"F"&amp;$D3366,'Flanges Chart'!$1:$1048576,MATCH($E3366&amp;"."&amp;H$123,'Flanges Chart'!$1:$1,0),0),"")</f>
        <v/>
      </c>
      <c r="I3366" s="1466" t="str">
        <f>IFERROR(VLOOKUP($C3366&amp;"F"&amp;$D3366,'Flanges Chart'!$1:$1048576,MATCH($E3366&amp;"."&amp;I$123,'Flanges Chart'!$1:$1,0),0),"")</f>
        <v/>
      </c>
    </row>
    <row r="3367" spans="1:9" ht="14.55" customHeight="1" x14ac:dyDescent="0.3">
      <c r="A3367" s="1264"/>
      <c r="B3367" s="1467" t="s">
        <v>342</v>
      </c>
      <c r="C3367" s="731"/>
      <c r="D3367" s="729"/>
      <c r="E3367" s="729"/>
      <c r="F3367" s="729"/>
      <c r="G3367" s="729"/>
      <c r="H3367" s="1465" t="str">
        <f>IFERROR(VLOOKUP($C3367&amp;"F"&amp;$D3367,'Flanges Chart'!$1:$1048576,MATCH($E3367&amp;"."&amp;H$123,'Flanges Chart'!$1:$1,0),0),"")</f>
        <v/>
      </c>
      <c r="I3367" s="1466" t="str">
        <f>IFERROR(VLOOKUP($C3367&amp;"F"&amp;$D3367,'Flanges Chart'!$1:$1048576,MATCH($E3367&amp;"."&amp;I$123,'Flanges Chart'!$1:$1,0),0),"")</f>
        <v/>
      </c>
    </row>
    <row r="3368" spans="1:9" ht="14.55" customHeight="1" x14ac:dyDescent="0.3">
      <c r="A3368" s="1264"/>
      <c r="B3368" s="1467" t="s">
        <v>344</v>
      </c>
      <c r="C3368" s="731"/>
      <c r="D3368" s="729"/>
      <c r="E3368" s="729"/>
      <c r="F3368" s="729"/>
      <c r="G3368" s="729"/>
      <c r="H3368" s="1465" t="str">
        <f>IFERROR(VLOOKUP($C3368&amp;"F"&amp;$D3368,'Flanges Chart'!$1:$1048576,MATCH($E3368&amp;"."&amp;H$123,'Flanges Chart'!$1:$1,0),0),"")</f>
        <v/>
      </c>
      <c r="I3368" s="1466" t="str">
        <f>IFERROR(VLOOKUP($C3368&amp;"F"&amp;$D3368,'Flanges Chart'!$1:$1048576,MATCH($E3368&amp;"."&amp;I$123,'Flanges Chart'!$1:$1,0),0),"")</f>
        <v/>
      </c>
    </row>
    <row r="3369" spans="1:9" ht="14.55" customHeight="1" x14ac:dyDescent="0.3">
      <c r="A3369" s="1264"/>
      <c r="B3369" s="1467" t="s">
        <v>347</v>
      </c>
      <c r="C3369" s="731"/>
      <c r="D3369" s="729"/>
      <c r="E3369" s="729"/>
      <c r="F3369" s="729"/>
      <c r="G3369" s="729"/>
      <c r="H3369" s="1465" t="str">
        <f>IFERROR(VLOOKUP($C3369&amp;"F"&amp;$D3369,'Flanges Chart'!$1:$1048576,MATCH($E3369&amp;"."&amp;H$123,'Flanges Chart'!$1:$1,0),0),"")</f>
        <v/>
      </c>
      <c r="I3369" s="1466" t="str">
        <f>IFERROR(VLOOKUP($C3369&amp;"F"&amp;$D3369,'Flanges Chart'!$1:$1048576,MATCH($E3369&amp;"."&amp;I$123,'Flanges Chart'!$1:$1,0),0),"")</f>
        <v/>
      </c>
    </row>
    <row r="3370" spans="1:9" ht="14.55" customHeight="1" x14ac:dyDescent="0.3">
      <c r="A3370" s="1264"/>
      <c r="B3370" s="1467" t="s">
        <v>349</v>
      </c>
      <c r="C3370" s="731"/>
      <c r="D3370" s="729"/>
      <c r="E3370" s="729"/>
      <c r="F3370" s="729"/>
      <c r="G3370" s="729"/>
      <c r="H3370" s="1465" t="str">
        <f>IFERROR(VLOOKUP($C3370&amp;"F"&amp;$D3370,'Flanges Chart'!$1:$1048576,MATCH($E3370&amp;"."&amp;H$123,'Flanges Chart'!$1:$1,0),0),"")</f>
        <v/>
      </c>
      <c r="I3370" s="1466" t="str">
        <f>IFERROR(VLOOKUP($C3370&amp;"F"&amp;$D3370,'Flanges Chart'!$1:$1048576,MATCH($E3370&amp;"."&amp;I$123,'Flanges Chart'!$1:$1,0),0),"")</f>
        <v/>
      </c>
    </row>
    <row r="3371" spans="1:9" ht="14.55" customHeight="1" x14ac:dyDescent="0.3">
      <c r="A3371" s="1264"/>
      <c r="B3371" s="1467" t="s">
        <v>350</v>
      </c>
      <c r="C3371" s="731"/>
      <c r="D3371" s="729"/>
      <c r="E3371" s="729"/>
      <c r="F3371" s="729"/>
      <c r="G3371" s="729"/>
      <c r="H3371" s="1465" t="str">
        <f>IFERROR(VLOOKUP($C3371&amp;"F"&amp;$D3371,'Flanges Chart'!$1:$1048576,MATCH($E3371&amp;"."&amp;H$123,'Flanges Chart'!$1:$1,0),0),"")</f>
        <v/>
      </c>
      <c r="I3371" s="1466" t="str">
        <f>IFERROR(VLOOKUP($C3371&amp;"F"&amp;$D3371,'Flanges Chart'!$1:$1048576,MATCH($E3371&amp;"."&amp;I$123,'Flanges Chart'!$1:$1,0),0),"")</f>
        <v/>
      </c>
    </row>
    <row r="3372" spans="1:9" ht="14.55" customHeight="1" x14ac:dyDescent="0.3">
      <c r="A3372" s="1264"/>
      <c r="B3372" s="1467" t="s">
        <v>351</v>
      </c>
      <c r="C3372" s="731"/>
      <c r="D3372" s="729"/>
      <c r="E3372" s="729"/>
      <c r="F3372" s="729"/>
      <c r="G3372" s="729"/>
      <c r="H3372" s="1465" t="str">
        <f>IFERROR(VLOOKUP($C3372&amp;"F"&amp;$D3372,'Flanges Chart'!$1:$1048576,MATCH($E3372&amp;"."&amp;H$123,'Flanges Chart'!$1:$1,0),0),"")</f>
        <v/>
      </c>
      <c r="I3372" s="1466" t="str">
        <f>IFERROR(VLOOKUP($C3372&amp;"F"&amp;$D3372,'Flanges Chart'!$1:$1048576,MATCH($E3372&amp;"."&amp;I$123,'Flanges Chart'!$1:$1,0),0),"")</f>
        <v/>
      </c>
    </row>
    <row r="3373" spans="1:9" ht="14.55" customHeight="1" x14ac:dyDescent="0.3">
      <c r="A3373" s="1264"/>
      <c r="B3373" s="1467" t="s">
        <v>352</v>
      </c>
      <c r="C3373" s="731"/>
      <c r="D3373" s="729"/>
      <c r="E3373" s="729"/>
      <c r="F3373" s="729"/>
      <c r="G3373" s="729"/>
      <c r="H3373" s="1465" t="str">
        <f>IFERROR(VLOOKUP($C3373&amp;"F"&amp;$D3373,'Flanges Chart'!$1:$1048576,MATCH($E3373&amp;"."&amp;H$123,'Flanges Chart'!$1:$1,0),0),"")</f>
        <v/>
      </c>
      <c r="I3373" s="1466" t="str">
        <f>IFERROR(VLOOKUP($C3373&amp;"F"&amp;$D3373,'Flanges Chart'!$1:$1048576,MATCH($E3373&amp;"."&amp;I$123,'Flanges Chart'!$1:$1,0),0),"")</f>
        <v/>
      </c>
    </row>
    <row r="3374" spans="1:9" ht="14.55" customHeight="1" x14ac:dyDescent="0.3">
      <c r="A3374" s="1264"/>
      <c r="B3374" s="1467" t="s">
        <v>353</v>
      </c>
      <c r="C3374" s="731"/>
      <c r="D3374" s="729"/>
      <c r="E3374" s="729"/>
      <c r="F3374" s="729"/>
      <c r="G3374" s="729"/>
      <c r="H3374" s="1465" t="str">
        <f>IFERROR(VLOOKUP($C3374&amp;"F"&amp;$D3374,'Flanges Chart'!$1:$1048576,MATCH($E3374&amp;"."&amp;H$123,'Flanges Chart'!$1:$1,0),0),"")</f>
        <v/>
      </c>
      <c r="I3374" s="1466" t="str">
        <f>IFERROR(VLOOKUP($C3374&amp;"F"&amp;$D3374,'Flanges Chart'!$1:$1048576,MATCH($E3374&amp;"."&amp;I$123,'Flanges Chart'!$1:$1,0),0),"")</f>
        <v/>
      </c>
    </row>
    <row r="3375" spans="1:9" ht="14.55" customHeight="1" x14ac:dyDescent="0.3">
      <c r="A3375" s="1264"/>
      <c r="B3375" s="1467" t="s">
        <v>354</v>
      </c>
      <c r="C3375" s="731"/>
      <c r="D3375" s="729"/>
      <c r="E3375" s="729"/>
      <c r="F3375" s="729"/>
      <c r="G3375" s="729"/>
      <c r="H3375" s="1465" t="str">
        <f>IFERROR(VLOOKUP($C3375&amp;"F"&amp;$D3375,'Flanges Chart'!$1:$1048576,MATCH($E3375&amp;"."&amp;H$123,'Flanges Chart'!$1:$1,0),0),"")</f>
        <v/>
      </c>
      <c r="I3375" s="1466" t="str">
        <f>IFERROR(VLOOKUP($C3375&amp;"F"&amp;$D3375,'Flanges Chart'!$1:$1048576,MATCH($E3375&amp;"."&amp;I$123,'Flanges Chart'!$1:$1,0),0),"")</f>
        <v/>
      </c>
    </row>
    <row r="3376" spans="1:9" ht="15" customHeight="1" thickBot="1" x14ac:dyDescent="0.35">
      <c r="A3376" s="1264"/>
      <c r="B3376" s="1468" t="s">
        <v>355</v>
      </c>
      <c r="C3376" s="732"/>
      <c r="D3376" s="733"/>
      <c r="E3376" s="733"/>
      <c r="F3376" s="733"/>
      <c r="G3376" s="733"/>
      <c r="H3376" s="1469" t="s">
        <v>356</v>
      </c>
      <c r="I3376" s="1470" t="str">
        <f>IFERROR(VLOOKUP($C3376&amp;"F"&amp;$D3376,'Flanges Chart'!$1:$1048576,MATCH($E3376&amp;"."&amp;I$123,'Flanges Chart'!$1:$1,0),0),"")</f>
        <v/>
      </c>
    </row>
    <row r="3377" spans="1:13" s="496" customFormat="1" ht="18.600000000000001" thickBot="1" x14ac:dyDescent="0.35">
      <c r="A3377" s="493" t="str">
        <f>"POS."&amp;K3377&amp;" "&amp;VLOOKUP(K3377,'Equip&amp;Mach List'!$1:$1048576,2,0)&amp;" "&amp;VLOOKUP(K3377,'Equip&amp;Mach List'!$1:$1048576,3,0)</f>
        <v xml:space="preserve">POS.26  </v>
      </c>
      <c r="B3377" s="511"/>
      <c r="C3377" s="494"/>
      <c r="D3377" s="495"/>
      <c r="E3377" s="495"/>
      <c r="F3377" s="497"/>
      <c r="G3377" s="495"/>
      <c r="H3377" s="495"/>
      <c r="I3377" s="1255" t="str">
        <f>IFERROR("Weight Calc./Selected = "&amp;ROUND(B3494,1)&amp;"/"&amp;B3495&amp;" kg - Øi ="&amp;IF(B3401=0,F3401,B3401)&amp;" mm"&amp;"T/T ="&amp;IF(B3402=0,F3402,B3402)&amp;" mm - Material "&amp;B3388&amp;"        ","")</f>
        <v/>
      </c>
      <c r="K3377" s="496">
        <v>26</v>
      </c>
      <c r="M3377" s="1254"/>
    </row>
    <row r="3378" spans="1:13" ht="14.55" customHeight="1" x14ac:dyDescent="0.3">
      <c r="A3378" s="1256"/>
      <c r="B3378" s="451"/>
      <c r="C3378" s="451"/>
      <c r="D3378" s="451"/>
      <c r="E3378" s="451"/>
      <c r="F3378" s="451"/>
      <c r="G3378" s="451"/>
      <c r="H3378" s="451"/>
      <c r="I3378" s="1257"/>
      <c r="K3378" s="477" t="s">
        <v>166</v>
      </c>
      <c r="L3378" s="477" t="str">
        <f>K3377&amp;"."&amp;K3378</f>
        <v>26.Design Code</v>
      </c>
      <c r="M3378" s="1252" t="str">
        <f>A3379&amp;" "&amp;B3379</f>
        <v xml:space="preserve">ASME VIII </v>
      </c>
    </row>
    <row r="3379" spans="1:13" ht="14.55" customHeight="1" x14ac:dyDescent="0.3">
      <c r="A3379" s="1258" t="s">
        <v>167</v>
      </c>
      <c r="B3379" s="718"/>
      <c r="C3379" s="459"/>
      <c r="D3379" s="460"/>
      <c r="E3379" s="460"/>
      <c r="F3379" s="460"/>
      <c r="G3379" s="460"/>
      <c r="H3379" s="460"/>
      <c r="I3379" s="1259"/>
      <c r="K3379" s="477" t="s">
        <v>169</v>
      </c>
      <c r="L3379" s="477" t="str">
        <f>K3377&amp;"."&amp;K3379</f>
        <v>26.Orientation</v>
      </c>
      <c r="M3379" s="1252">
        <f>B3380</f>
        <v>0</v>
      </c>
    </row>
    <row r="3380" spans="1:13" ht="14.55" customHeight="1" x14ac:dyDescent="0.3">
      <c r="A3380" s="1258" t="s">
        <v>170</v>
      </c>
      <c r="B3380" s="718"/>
      <c r="C3380" s="459"/>
      <c r="D3380" s="460"/>
      <c r="E3380" s="460"/>
      <c r="F3380" s="461"/>
      <c r="G3380" s="460"/>
      <c r="H3380" s="460"/>
      <c r="I3380" s="1259"/>
      <c r="K3380" s="477" t="s">
        <v>172</v>
      </c>
      <c r="L3380" s="477" t="str">
        <f>K3377&amp;"."&amp;K3380</f>
        <v>26.Design Temperature</v>
      </c>
      <c r="M3380" s="1252">
        <f>D3383</f>
        <v>0</v>
      </c>
    </row>
    <row r="3381" spans="1:13" ht="14.55" customHeight="1" x14ac:dyDescent="0.3">
      <c r="A3381" s="1258"/>
      <c r="B3381" s="459"/>
      <c r="C3381" s="459"/>
      <c r="D3381" s="460"/>
      <c r="E3381" s="460"/>
      <c r="F3381" s="462"/>
      <c r="G3381" s="460"/>
      <c r="H3381" s="460"/>
      <c r="I3381" s="1259"/>
      <c r="K3381" s="477" t="s">
        <v>173</v>
      </c>
      <c r="L3381" s="477" t="str">
        <f>K3377&amp;"."&amp;K3381</f>
        <v>26.Design Pressure</v>
      </c>
      <c r="M3381" s="1252">
        <f>D3384</f>
        <v>0</v>
      </c>
    </row>
    <row r="3382" spans="1:13" ht="14.55" customHeight="1" x14ac:dyDescent="0.3">
      <c r="A3382" s="1260" t="s">
        <v>174</v>
      </c>
      <c r="B3382" s="459"/>
      <c r="C3382" s="459"/>
      <c r="D3382" s="460"/>
      <c r="E3382" s="460"/>
      <c r="F3382" s="462"/>
      <c r="G3382" s="460"/>
      <c r="H3382" s="460"/>
      <c r="I3382" s="1259"/>
      <c r="K3382" s="477" t="s">
        <v>175</v>
      </c>
      <c r="L3382" s="477" t="str">
        <f>K3377&amp;"."&amp;K3382</f>
        <v>26.Material</v>
      </c>
      <c r="M3382" s="1252">
        <f>B3388</f>
        <v>0</v>
      </c>
    </row>
    <row r="3383" spans="1:13" ht="14.55" customHeight="1" x14ac:dyDescent="0.3">
      <c r="A3383" s="1258" t="s">
        <v>176</v>
      </c>
      <c r="B3383" s="719"/>
      <c r="C3383" s="720" t="s">
        <v>177</v>
      </c>
      <c r="D3383" s="464">
        <f>IF(C3383="°C",B3383,0)+IF(C3383="°F",(B3383-32)*5/9,0)</f>
        <v>0</v>
      </c>
      <c r="E3383" s="460" t="s">
        <v>177</v>
      </c>
      <c r="F3383" s="462"/>
      <c r="G3383" s="460"/>
      <c r="H3383" s="460"/>
      <c r="I3383" s="1259"/>
      <c r="K3383" s="477" t="s">
        <v>178</v>
      </c>
      <c r="L3383" s="477" t="str">
        <f>K3377&amp;"."&amp;K3383</f>
        <v>26.Inside Diameter</v>
      </c>
      <c r="M3383" s="1252">
        <f>IF(B3401=0,F3401,B3401)</f>
        <v>0</v>
      </c>
    </row>
    <row r="3384" spans="1:13" ht="14.55" customHeight="1" x14ac:dyDescent="0.3">
      <c r="A3384" s="1258" t="s">
        <v>179</v>
      </c>
      <c r="B3384" s="721"/>
      <c r="C3384" s="720" t="s">
        <v>180</v>
      </c>
      <c r="D3384" s="452">
        <f>IF(C3384="barg",B3384,0)+IF(C3384="psig",B3384*List!$AV$4,0)+IF(C3384="MPa",B3384*List!$AV$5,0)+IF(C3384="N/mm2",B3384*List!$AV$6,0)</f>
        <v>0</v>
      </c>
      <c r="E3384" s="460" t="s">
        <v>180</v>
      </c>
      <c r="F3384" s="460"/>
      <c r="G3384" s="460"/>
      <c r="H3384" s="460"/>
      <c r="I3384" s="1259"/>
      <c r="K3384" s="477" t="s">
        <v>181</v>
      </c>
      <c r="L3384" s="477" t="str">
        <f>K3377&amp;"."&amp;K3384</f>
        <v>26.Tan / Tan</v>
      </c>
      <c r="M3384" s="1252">
        <f>IF(B3403=0,F3403,B3403)</f>
        <v>0</v>
      </c>
    </row>
    <row r="3385" spans="1:13" ht="14.55" customHeight="1" x14ac:dyDescent="0.3">
      <c r="A3385" s="1258" t="s">
        <v>182</v>
      </c>
      <c r="B3385" s="721"/>
      <c r="C3385" s="720" t="s">
        <v>180</v>
      </c>
      <c r="D3385" s="452">
        <f>IF(C3385="barg",B3385,0)+IF(C3385="psig",B3385*List!$AV$4,0)+IF(C3385="MPa",B3385*List!$AV$5,0)+IF(C3385="N/mm2",B3385*List!$AV$6,0)</f>
        <v>0</v>
      </c>
      <c r="E3385" s="460" t="s">
        <v>180</v>
      </c>
      <c r="F3385" s="460"/>
      <c r="G3385" s="465"/>
      <c r="H3385" s="460"/>
      <c r="I3385" s="1259"/>
      <c r="K3385" s="477" t="s">
        <v>183</v>
      </c>
      <c r="L3385" s="477" t="str">
        <f>K3377&amp;"."&amp;K3385</f>
        <v>26.Thickness</v>
      </c>
      <c r="M3385" s="1252" t="e">
        <f>IF(B3442=0,F3446,B3442)</f>
        <v>#N/A</v>
      </c>
    </row>
    <row r="3386" spans="1:13" ht="14.55" customHeight="1" x14ac:dyDescent="0.3">
      <c r="A3386" s="1258"/>
      <c r="B3386" s="459"/>
      <c r="C3386" s="459"/>
      <c r="D3386" s="460"/>
      <c r="E3386" s="460"/>
      <c r="F3386" s="460"/>
      <c r="G3386" s="465"/>
      <c r="H3386" s="460"/>
      <c r="I3386" s="1259"/>
      <c r="K3386" s="477" t="s">
        <v>184</v>
      </c>
      <c r="L3386" s="477" t="str">
        <f>K3377&amp;"."&amp;K3386</f>
        <v>26.Unit Weight</v>
      </c>
      <c r="M3386" s="1252">
        <f>B3495</f>
        <v>0</v>
      </c>
    </row>
    <row r="3387" spans="1:13" ht="14.55" customHeight="1" x14ac:dyDescent="0.3">
      <c r="A3387" s="1260" t="s">
        <v>185</v>
      </c>
      <c r="B3387" s="459" t="s">
        <v>186</v>
      </c>
      <c r="C3387" s="459"/>
      <c r="D3387" s="460"/>
      <c r="E3387" s="460"/>
      <c r="F3387" s="460" t="s">
        <v>187</v>
      </c>
      <c r="G3387" s="465"/>
      <c r="H3387" s="460"/>
      <c r="I3387" s="1259"/>
      <c r="K3387" s="478" t="s">
        <v>188</v>
      </c>
      <c r="L3387" s="477" t="str">
        <f>K3377&amp;"."&amp;K3387</f>
        <v>26.Unit External Surface</v>
      </c>
      <c r="M3387" s="1252" t="e">
        <f>B3491</f>
        <v>#N/A</v>
      </c>
    </row>
    <row r="3388" spans="1:13" ht="14.55" customHeight="1" x14ac:dyDescent="0.3">
      <c r="A3388" s="1258" t="s">
        <v>189</v>
      </c>
      <c r="B3388" s="1716"/>
      <c r="C3388" s="1717"/>
      <c r="D3388" s="460"/>
      <c r="E3388" s="461"/>
      <c r="F3388" s="1716"/>
      <c r="G3388" s="1717"/>
      <c r="H3388" s="460"/>
      <c r="I3388" s="1259"/>
      <c r="K3388" s="477" t="s">
        <v>191</v>
      </c>
      <c r="L3388" s="477" t="str">
        <f>K3377&amp;"."&amp;K3388</f>
        <v>26.M1 DN</v>
      </c>
      <c r="M3388" s="1252">
        <f>C3509</f>
        <v>0</v>
      </c>
    </row>
    <row r="3389" spans="1:13" ht="14.55" customHeight="1" x14ac:dyDescent="0.3">
      <c r="A3389" s="1258" t="s">
        <v>192</v>
      </c>
      <c r="B3389" s="1716"/>
      <c r="C3389" s="1717"/>
      <c r="D3389" s="460"/>
      <c r="E3389" s="461"/>
      <c r="F3389" s="1716"/>
      <c r="G3389" s="1717"/>
      <c r="H3389" s="460"/>
      <c r="I3389" s="1259"/>
      <c r="K3389" s="477" t="s">
        <v>193</v>
      </c>
      <c r="L3389" s="477" t="str">
        <f>K3377&amp;"."&amp;K3389</f>
        <v>26.M1 Rating</v>
      </c>
      <c r="M3389" s="1252">
        <f>D3509</f>
        <v>0</v>
      </c>
    </row>
    <row r="3390" spans="1:13" ht="14.55" customHeight="1" x14ac:dyDescent="0.3">
      <c r="A3390" s="1258"/>
      <c r="B3390" s="466"/>
      <c r="C3390" s="466"/>
      <c r="D3390" s="460"/>
      <c r="E3390" s="460"/>
      <c r="F3390" s="460"/>
      <c r="G3390" s="460"/>
      <c r="H3390" s="460"/>
      <c r="I3390" s="1259"/>
      <c r="K3390" s="477" t="s">
        <v>194</v>
      </c>
      <c r="L3390" s="477" t="str">
        <f>K3377&amp;"."&amp;K3390</f>
        <v>26.M1 Type</v>
      </c>
      <c r="M3390" s="1252">
        <f>E3509</f>
        <v>0</v>
      </c>
    </row>
    <row r="3391" spans="1:13" ht="14.55" customHeight="1" x14ac:dyDescent="0.3">
      <c r="A3391" s="1258" t="s">
        <v>195</v>
      </c>
      <c r="B3391" s="460"/>
      <c r="C3391" s="460"/>
      <c r="D3391" s="460"/>
      <c r="E3391" s="460"/>
      <c r="F3391" s="460"/>
      <c r="G3391" s="460"/>
      <c r="H3391" s="460"/>
      <c r="I3391" s="1259"/>
      <c r="K3391" s="477" t="s">
        <v>196</v>
      </c>
      <c r="L3391" s="477" t="str">
        <f>K3377&amp;"."&amp;K3391</f>
        <v>26.M1 Quantity</v>
      </c>
      <c r="M3391" s="1252">
        <f>F3509</f>
        <v>0</v>
      </c>
    </row>
    <row r="3392" spans="1:13" ht="14.55" customHeight="1" x14ac:dyDescent="0.3">
      <c r="A3392" s="1258" t="s">
        <v>197</v>
      </c>
      <c r="B3392" s="464" t="e">
        <f>$D3383*(VLOOKUP($B3388,'ASME II Tab 1A'!$1:$1048576,MATCH($D3383,'ASME II Tab 1A'!$6:$6,1)+1,0)-VLOOKUP($B3388,'ASME II Tab 1A'!$1:$1048576,MATCH($D3383,'ASME II Tab 1A'!$6:$6,1),0))/(INDEX('ASME II Tab 1A'!$6:$6,MATCH($D3383,'ASME II Tab 1A'!$6:$6,1)+1)-INDEX('ASME II Tab 1A'!$6:$6,MATCH($D3383,'ASME II Tab 1A'!$6:$6,1)))+VLOOKUP($B3388,'ASME II Tab 1A'!$1:$1048576,MATCH($D3383,'ASME II Tab 1A'!$6:$6,1)+1,0)-INDEX('ASME II Tab 1A'!$6:$6,MATCH($D3383,'ASME II Tab 1A'!$6:$6,1)+1)*(VLOOKUP($B3388,'ASME II Tab 1A'!$1:$1048576,MATCH($D3383,'ASME II Tab 1A'!$6:$6,1)+1,0)-VLOOKUP($B3388,'ASME II Tab 1A'!$1:$1048576,MATCH($D3383,'ASME II Tab 1A'!$6:$6,1),0))/(INDEX('ASME II Tab 1A'!$6:$6,MATCH($D3383,'ASME II Tab 1A'!$6:$6,1)+1)-INDEX('ASME II Tab 1A'!$6:$6,MATCH($D3383,'ASME II Tab 1A'!$6:$6,1)))</f>
        <v>#N/A</v>
      </c>
      <c r="C3392" s="460" t="s">
        <v>198</v>
      </c>
      <c r="D3392" s="460"/>
      <c r="E3392" s="467"/>
      <c r="F3392" s="460" t="e">
        <f>$D3383*(VLOOKUP($F3388,'ASME II Tab 1A'!$1:$1048576,MATCH($D3383,'ASME II Tab 1A'!$6:$6,1)+1,0)-VLOOKUP($F3388,'ASME II Tab 1A'!$1:$1048576,MATCH($D3383,'ASME II Tab 1A'!$6:$6,1),0))/(INDEX('ASME II Tab 1A'!$6:$6,MATCH($D3383,'ASME II Tab 1A'!$6:$6,1)+1)-INDEX('ASME II Tab 1A'!$6:$6,MATCH($D3383,'ASME II Tab 1A'!$6:$6,1)))+VLOOKUP($F3388,'ASME II Tab 1A'!$1:$1048576,MATCH($D3383,'ASME II Tab 1A'!$6:$6,1)+1,0)-INDEX('ASME II Tab 1A'!$6:$6,MATCH($D3383,'ASME II Tab 1A'!$6:$6,1)+1)*(VLOOKUP($F3388,'ASME II Tab 1A'!$1:$1048576,MATCH($D3383,'ASME II Tab 1A'!$6:$6,1)+1,0)-VLOOKUP($F3388,'ASME II Tab 1A'!$1:$1048576,MATCH($D3383,'ASME II Tab 1A'!$6:$6,1),0))/(INDEX('ASME II Tab 1A'!$6:$6,MATCH($D3383,'ASME II Tab 1A'!$6:$6,1)+1)-INDEX('ASME II Tab 1A'!$6:$6,MATCH($D3383,'ASME II Tab 1A'!$6:$6,1)))</f>
        <v>#N/A</v>
      </c>
      <c r="G3392" s="460" t="s">
        <v>198</v>
      </c>
      <c r="H3392" s="460"/>
      <c r="I3392" s="1259"/>
      <c r="K3392" s="477" t="s">
        <v>199</v>
      </c>
      <c r="L3392" s="477" t="str">
        <f>K3377&amp;"."&amp;K3392</f>
        <v>26.M2 DN</v>
      </c>
      <c r="M3392" s="1252">
        <f>C3510</f>
        <v>0</v>
      </c>
    </row>
    <row r="3393" spans="1:13" ht="14.55" customHeight="1" x14ac:dyDescent="0.3">
      <c r="A3393" s="1258" t="s">
        <v>200</v>
      </c>
      <c r="B3393" s="464" t="e">
        <f>$D3383*(VLOOKUP($B3389,'ASME II Tab 1A'!$1:$1048576,MATCH($D3383,'ASME II Tab 1A'!$6:$6,1)+1,0)-VLOOKUP($B3389,'ASME II Tab 1A'!$1:$1048576,MATCH($D3383,'ASME II Tab 1A'!$6:$6,1),0))/(INDEX('ASME II Tab 1A'!$6:$6,MATCH($D3383,'ASME II Tab 1A'!$6:$6,1)+1)-INDEX('ASME II Tab 1A'!$6:$6,MATCH($D3383,'ASME II Tab 1A'!$6:$6,1)))+VLOOKUP($B3389,'ASME II Tab 1A'!$1:$1048576,MATCH($D3383,'ASME II Tab 1A'!$6:$6,1)+1,0)-INDEX('ASME II Tab 1A'!$6:$6,MATCH($D3383,'ASME II Tab 1A'!$6:$6,1)+1)*(VLOOKUP($B3389,'ASME II Tab 1A'!$1:$1048576,MATCH($D3383,'ASME II Tab 1A'!$6:$6,1)+1,0)-VLOOKUP($B3389,'ASME II Tab 1A'!$1:$1048576,MATCH($D3383,'ASME II Tab 1A'!$6:$6,1),0))/(INDEX('ASME II Tab 1A'!$6:$6,MATCH($D3383,'ASME II Tab 1A'!$6:$6,1)+1)-INDEX('ASME II Tab 1A'!$6:$6,MATCH($D3383,'ASME II Tab 1A'!$6:$6,1)))</f>
        <v>#N/A</v>
      </c>
      <c r="C3393" s="460" t="s">
        <v>198</v>
      </c>
      <c r="D3393" s="460"/>
      <c r="E3393" s="460"/>
      <c r="F3393" s="460" t="e">
        <f>$D3383*(VLOOKUP($F3389,'ASME II Tab 1A'!$1:$1048576,MATCH($D3383,'ASME II Tab 1A'!$6:$6,1)+1,0)-VLOOKUP($F3389,'ASME II Tab 1A'!$1:$1048576,MATCH($D3383,'ASME II Tab 1A'!$6:$6,1),0))/(INDEX('ASME II Tab 1A'!$6:$6,MATCH($D3383,'ASME II Tab 1A'!$6:$6,1)+1)-INDEX('ASME II Tab 1A'!$6:$6,MATCH($D3383,'ASME II Tab 1A'!$6:$6,1)))+VLOOKUP($F3389,'ASME II Tab 1A'!$1:$1048576,MATCH($D3383,'ASME II Tab 1A'!$6:$6,1)+1,0)-INDEX('ASME II Tab 1A'!$6:$6,MATCH($D3383,'ASME II Tab 1A'!$6:$6,1)+1)*(VLOOKUP($F3389,'ASME II Tab 1A'!$1:$1048576,MATCH($D3383,'ASME II Tab 1A'!$6:$6,1)+1,0)-VLOOKUP($F3389,'ASME II Tab 1A'!$1:$1048576,MATCH($D3383,'ASME II Tab 1A'!$6:$6,1),0))/(INDEX('ASME II Tab 1A'!$6:$6,MATCH($D3383,'ASME II Tab 1A'!$6:$6,1)+1)-INDEX('ASME II Tab 1A'!$6:$6,MATCH($D3383,'ASME II Tab 1A'!$6:$6,1)))</f>
        <v>#N/A</v>
      </c>
      <c r="G3393" s="460" t="s">
        <v>198</v>
      </c>
      <c r="H3393" s="460"/>
      <c r="I3393" s="1259"/>
      <c r="K3393" s="477" t="s">
        <v>201</v>
      </c>
      <c r="L3393" s="477" t="str">
        <f>K3377&amp;"."&amp;K3393</f>
        <v>26.M2 Rating</v>
      </c>
      <c r="M3393" s="1252">
        <f>D3510</f>
        <v>0</v>
      </c>
    </row>
    <row r="3394" spans="1:13" ht="14.55" customHeight="1" x14ac:dyDescent="0.3">
      <c r="A3394" s="1258" t="s">
        <v>202</v>
      </c>
      <c r="B3394" s="460"/>
      <c r="C3394" s="460"/>
      <c r="D3394" s="460"/>
      <c r="E3394" s="460"/>
      <c r="F3394" s="460"/>
      <c r="G3394" s="460"/>
      <c r="H3394" s="460"/>
      <c r="I3394" s="1259"/>
      <c r="K3394" s="477" t="s">
        <v>203</v>
      </c>
      <c r="L3394" s="477" t="str">
        <f>K3377&amp;"."&amp;K3394</f>
        <v>26.M2 Type</v>
      </c>
      <c r="M3394" s="1252">
        <f>E3510</f>
        <v>0</v>
      </c>
    </row>
    <row r="3395" spans="1:13" ht="14.55" customHeight="1" x14ac:dyDescent="0.3">
      <c r="A3395" s="1258" t="s">
        <v>197</v>
      </c>
      <c r="B3395" s="464" t="e">
        <f>$D3383*(VLOOKUP($B3388,'ASME II Tab 5A'!$1:$1048576,MATCH($D3383,'ASME II Tab 5A'!$5:$5,1)+1,0)-VLOOKUP($B3388,'ASME II Tab 5A'!$1:$1048576,MATCH($D3383,'ASME II Tab 5A'!$5:$5,1),0))/(INDEX('ASME II Tab 5A'!$5:$5,MATCH($D3383,'ASME II Tab 5A'!$5:$5,1)+1)-INDEX('ASME II Tab 5A'!$5:$5,MATCH($D3383,'ASME II Tab 5A'!$5:$5,1)))+VLOOKUP($B3388,'ASME II Tab 5A'!$1:$1048576,MATCH($D3383,'ASME II Tab 5A'!$5:$5,1)+1,0)-INDEX('ASME II Tab 5A'!$5:$5,MATCH($D3383,'ASME II Tab 5A'!$5:$5,1)+1)*(VLOOKUP($B3388,'ASME II Tab 5A'!$1:$1048576,MATCH($D3383,'ASME II Tab 5A'!$5:$5,1)+1,0)-VLOOKUP($B3388,'ASME II Tab 5A'!$1:$1048576,MATCH($D3383,'ASME II Tab 5A'!$5:$5,1),0))/(INDEX('ASME II Tab 5A'!$5:$5,MATCH($D3383,'ASME II Tab 5A'!$5:$5,1)+1)-INDEX('ASME II Tab 5A'!$5:$5,MATCH($D3383,'ASME II Tab 5A'!$5:$5,1)))</f>
        <v>#N/A</v>
      </c>
      <c r="C3395" s="460" t="s">
        <v>198</v>
      </c>
      <c r="D3395" s="460"/>
      <c r="E3395" s="460"/>
      <c r="F3395" s="460" t="e">
        <f>$D3383*(VLOOKUP($F3388,'ASME II Tab 5A'!$1:$1048576,MATCH($D3383,'ASME II Tab 5A'!$5:$5,1)+1,0)-VLOOKUP($F3388,'ASME II Tab 5A'!$1:$1048576,MATCH($D3383,'ASME II Tab 5A'!$5:$5,1),0))/(INDEX('ASME II Tab 5A'!$5:$5,MATCH($D3383,'ASME II Tab 5A'!$5:$5,1)+1)-INDEX('ASME II Tab 5A'!$5:$5,MATCH($D3383,'ASME II Tab 5A'!$5:$5,1)))+VLOOKUP($F3388,'ASME II Tab 5A'!$1:$1048576,MATCH($D3383,'ASME II Tab 5A'!$5:$5,1)+1,0)-INDEX('ASME II Tab 5A'!$5:$5,MATCH($D3383,'ASME II Tab 5A'!$5:$5,1)+1)*(VLOOKUP($F3388,'ASME II Tab 5A'!$1:$1048576,MATCH($D3383,'ASME II Tab 5A'!$5:$5,1)+1,0)-VLOOKUP($F3388,'ASME II Tab 5A'!$1:$1048576,MATCH($D3383,'ASME II Tab 5A'!$5:$5,1),0))/(INDEX('ASME II Tab 5A'!$5:$5,MATCH($D3383,'ASME II Tab 5A'!$5:$5,1)+1)-INDEX('ASME II Tab 5A'!$5:$5,MATCH($D3383,'ASME II Tab 5A'!$5:$5,1)))</f>
        <v>#N/A</v>
      </c>
      <c r="G3395" s="460" t="s">
        <v>198</v>
      </c>
      <c r="H3395" s="460"/>
      <c r="I3395" s="1259"/>
      <c r="K3395" s="477" t="s">
        <v>204</v>
      </c>
      <c r="L3395" s="477" t="str">
        <f>K3377&amp;"."&amp;K3395</f>
        <v>26.M2 Quantity</v>
      </c>
      <c r="M3395" s="1252">
        <f>F3510</f>
        <v>0</v>
      </c>
    </row>
    <row r="3396" spans="1:13" ht="14.55" customHeight="1" x14ac:dyDescent="0.3">
      <c r="A3396" s="1258" t="s">
        <v>200</v>
      </c>
      <c r="B3396" s="464" t="e">
        <f>$D3383*(VLOOKUP($B3389,'ASME II Tab 5A'!$1:$1048576,MATCH($D3383,'ASME II Tab 5A'!$5:$5,1)+1,0)-VLOOKUP($B3389,'ASME II Tab 5A'!$1:$1048576,MATCH($D3383,'ASME II Tab 5A'!$5:$5,1),0))/(INDEX('ASME II Tab 5A'!$5:$5,MATCH($D3383,'ASME II Tab 5A'!$5:$5,1)+1)-INDEX('ASME II Tab 5A'!$5:$5,MATCH($D3383,'ASME II Tab 5A'!$5:$5,1)))+VLOOKUP($B3389,'ASME II Tab 5A'!$1:$1048576,MATCH($D3383,'ASME II Tab 5A'!$5:$5,1)+1,0)-INDEX('ASME II Tab 5A'!$5:$5,MATCH($D3383,'ASME II Tab 5A'!$5:$5,1)+1)*(VLOOKUP($B3389,'ASME II Tab 5A'!$1:$1048576,MATCH($D3383,'ASME II Tab 5A'!$5:$5,1)+1,0)-VLOOKUP($B3389,'ASME II Tab 5A'!$1:$1048576,MATCH($D3383,'ASME II Tab 5A'!$5:$5,1),0))/(INDEX('ASME II Tab 5A'!$5:$5,MATCH($D3383,'ASME II Tab 5A'!$5:$5,1)+1)-INDEX('ASME II Tab 5A'!$5:$5,MATCH($D3383,'ASME II Tab 5A'!$5:$5,1)))</f>
        <v>#N/A</v>
      </c>
      <c r="C3396" s="460" t="s">
        <v>198</v>
      </c>
      <c r="D3396" s="460"/>
      <c r="E3396" s="460"/>
      <c r="F3396" s="460" t="e">
        <f>$D3383*(VLOOKUP($F3389,'ASME II Tab 5A'!$1:$1048576,MATCH($D3383,'ASME II Tab 5A'!$5:$5,1)+1,0)-VLOOKUP($F3389,'ASME II Tab 5A'!$1:$1048576,MATCH($D3383,'ASME II Tab 5A'!$5:$5,1),0))/(INDEX('ASME II Tab 5A'!$5:$5,MATCH($D3383,'ASME II Tab 5A'!$5:$5,1)+1)-INDEX('ASME II Tab 5A'!$5:$5,MATCH($D3383,'ASME II Tab 5A'!$5:$5,1)))+VLOOKUP($F3389,'ASME II Tab 5A'!$1:$1048576,MATCH($D3383,'ASME II Tab 5A'!$5:$5,1)+1,0)-INDEX('ASME II Tab 5A'!$5:$5,MATCH($D3383,'ASME II Tab 5A'!$5:$5,1)+1)*(VLOOKUP($F3389,'ASME II Tab 5A'!$1:$1048576,MATCH($D3383,'ASME II Tab 5A'!$5:$5,1)+1,0)-VLOOKUP($F3389,'ASME II Tab 5A'!$1:$1048576,MATCH($D3383,'ASME II Tab 5A'!$5:$5,1),0))/(INDEX('ASME II Tab 5A'!$5:$5,MATCH($D3383,'ASME II Tab 5A'!$5:$5,1)+1)-INDEX('ASME II Tab 5A'!$5:$5,MATCH($D3383,'ASME II Tab 5A'!$5:$5,1)))</f>
        <v>#N/A</v>
      </c>
      <c r="G3396" s="460" t="s">
        <v>198</v>
      </c>
      <c r="H3396" s="460"/>
      <c r="I3396" s="1259"/>
      <c r="K3396" s="477" t="s">
        <v>205</v>
      </c>
      <c r="L3396" s="477" t="str">
        <f>K3377&amp;"."&amp;K3396</f>
        <v>26.M3 DN</v>
      </c>
      <c r="M3396" s="1252">
        <f>C3511</f>
        <v>0</v>
      </c>
    </row>
    <row r="3397" spans="1:13" ht="14.55" customHeight="1" x14ac:dyDescent="0.3">
      <c r="A3397" s="1258"/>
      <c r="B3397" s="460"/>
      <c r="C3397" s="460"/>
      <c r="D3397" s="460"/>
      <c r="E3397" s="460"/>
      <c r="F3397" s="460"/>
      <c r="G3397" s="460"/>
      <c r="H3397" s="460"/>
      <c r="I3397" s="1259"/>
      <c r="K3397" s="477" t="s">
        <v>206</v>
      </c>
      <c r="L3397" s="477" t="str">
        <f>K3377&amp;"."&amp;K3397</f>
        <v>26.M3 Rating</v>
      </c>
      <c r="M3397" s="1252">
        <f>D3511</f>
        <v>0</v>
      </c>
    </row>
    <row r="3398" spans="1:13" ht="14.55" customHeight="1" x14ac:dyDescent="0.3">
      <c r="A3398" s="1260" t="s">
        <v>207</v>
      </c>
      <c r="B3398" s="453"/>
      <c r="C3398" s="460"/>
      <c r="D3398" s="453"/>
      <c r="E3398" s="460"/>
      <c r="F3398" s="453"/>
      <c r="G3398" s="460"/>
      <c r="H3398" s="460"/>
      <c r="I3398" s="1259"/>
      <c r="K3398" s="477" t="s">
        <v>208</v>
      </c>
      <c r="L3398" s="477" t="str">
        <f>K3377&amp;"."&amp;K3398</f>
        <v>26.M3 Type</v>
      </c>
      <c r="M3398" s="1252">
        <f>E3511</f>
        <v>0</v>
      </c>
    </row>
    <row r="3399" spans="1:13" ht="14.55" customHeight="1" x14ac:dyDescent="0.3">
      <c r="A3399" s="1260"/>
      <c r="B3399" s="305" t="s">
        <v>209</v>
      </c>
      <c r="C3399" s="460"/>
      <c r="D3399" s="305" t="s">
        <v>210</v>
      </c>
      <c r="E3399" s="460"/>
      <c r="F3399" s="305" t="s">
        <v>211</v>
      </c>
      <c r="G3399" s="460"/>
      <c r="H3399" s="460"/>
      <c r="I3399" s="1259"/>
      <c r="K3399" s="477" t="s">
        <v>212</v>
      </c>
      <c r="L3399" s="477" t="str">
        <f>K3377&amp;"."&amp;K3399</f>
        <v>26.M3 Quantity</v>
      </c>
      <c r="M3399" s="1252">
        <f>F3511</f>
        <v>0</v>
      </c>
    </row>
    <row r="3400" spans="1:13" ht="14.55" customHeight="1" x14ac:dyDescent="0.3">
      <c r="A3400" s="1258" t="s">
        <v>213</v>
      </c>
      <c r="B3400" s="305"/>
      <c r="C3400" s="460"/>
      <c r="D3400" s="305"/>
      <c r="E3400" s="460"/>
      <c r="F3400" s="723"/>
      <c r="G3400" s="460" t="s">
        <v>214</v>
      </c>
      <c r="H3400" s="460"/>
      <c r="I3400" s="1259"/>
      <c r="K3400" s="477" t="s">
        <v>215</v>
      </c>
      <c r="L3400" s="477" t="str">
        <f>K3377&amp;"."&amp;K3400</f>
        <v>26.Shell insulation thk 1</v>
      </c>
      <c r="M3400" s="1252">
        <f>B3448</f>
        <v>0</v>
      </c>
    </row>
    <row r="3401" spans="1:13" ht="14.55" customHeight="1" x14ac:dyDescent="0.3">
      <c r="A3401" s="1258" t="s">
        <v>216</v>
      </c>
      <c r="B3401" s="722"/>
      <c r="C3401" s="460" t="s">
        <v>93</v>
      </c>
      <c r="D3401" s="722"/>
      <c r="E3401" s="460" t="s">
        <v>93</v>
      </c>
      <c r="F3401" s="468">
        <f>F3402-2*F3446</f>
        <v>0</v>
      </c>
      <c r="G3401" s="460" t="s">
        <v>93</v>
      </c>
      <c r="H3401" s="460"/>
      <c r="I3401" s="1259"/>
      <c r="K3401" s="477" t="s">
        <v>217</v>
      </c>
      <c r="L3401" s="477" t="str">
        <f>K3377&amp;"."&amp;K3401</f>
        <v>26.Head insulation thk 1</v>
      </c>
      <c r="M3401" s="1252">
        <f>B3449</f>
        <v>0</v>
      </c>
    </row>
    <row r="3402" spans="1:13" ht="14.55" customHeight="1" x14ac:dyDescent="0.3">
      <c r="A3402" s="1258" t="s">
        <v>218</v>
      </c>
      <c r="B3402" s="468" t="e">
        <f>B3401+B3442*2</f>
        <v>#N/A</v>
      </c>
      <c r="C3402" s="460" t="s">
        <v>93</v>
      </c>
      <c r="D3402" s="468" t="e">
        <f>D3401+D3442*2</f>
        <v>#N/A</v>
      </c>
      <c r="E3402" s="460" t="s">
        <v>93</v>
      </c>
      <c r="F3402" s="468">
        <f>IFERROR(VLOOKUP(F3400,'Thickness Tab'!$1:$1048576,3,0),0)</f>
        <v>0</v>
      </c>
      <c r="G3402" s="460" t="s">
        <v>93</v>
      </c>
      <c r="H3402" s="469"/>
      <c r="I3402" s="1261"/>
      <c r="K3402" s="477" t="s">
        <v>219</v>
      </c>
      <c r="L3402" s="477" t="str">
        <f>K3377&amp;"."&amp;K3402</f>
        <v>26.Reducer insulation thk 1</v>
      </c>
      <c r="M3402" s="1252">
        <f>B3450</f>
        <v>0</v>
      </c>
    </row>
    <row r="3403" spans="1:13" ht="14.55" customHeight="1" x14ac:dyDescent="0.3">
      <c r="A3403" s="1258" t="s">
        <v>181</v>
      </c>
      <c r="B3403" s="722"/>
      <c r="C3403" s="460" t="s">
        <v>93</v>
      </c>
      <c r="D3403" s="722"/>
      <c r="E3403" s="460" t="s">
        <v>93</v>
      </c>
      <c r="F3403" s="722"/>
      <c r="G3403" s="460" t="s">
        <v>93</v>
      </c>
      <c r="H3403" s="460"/>
      <c r="I3403" s="1259"/>
      <c r="K3403" s="477" t="s">
        <v>220</v>
      </c>
      <c r="L3403" s="477" t="str">
        <f>K3377&amp;"."&amp;K3403</f>
        <v>26.Shell insulation area 1</v>
      </c>
      <c r="M3403" s="1252" t="e">
        <f>B3408</f>
        <v>#N/A</v>
      </c>
    </row>
    <row r="3404" spans="1:13" ht="14.55" customHeight="1" x14ac:dyDescent="0.3">
      <c r="A3404" s="1258" t="s">
        <v>221</v>
      </c>
      <c r="B3404" s="468" t="e">
        <f>(PI()*B3403*(((B3402/2)^2)-((B3401/2)^2))*7860)/1000000000*1.05</f>
        <v>#N/A</v>
      </c>
      <c r="C3404" s="460" t="s">
        <v>222</v>
      </c>
      <c r="D3404" s="468" t="e">
        <f>(PI()*D3403*(((D3402/2)^2)-((D3401/2)^2))*7860)/1000000000*1.05</f>
        <v>#N/A</v>
      </c>
      <c r="E3404" s="460" t="s">
        <v>222</v>
      </c>
      <c r="F3404" s="468">
        <f>(PI()*F3403*(((F3402/2)^2)-((F3401/2)^2))*7860)/1000000000*1.05</f>
        <v>0</v>
      </c>
      <c r="G3404" s="460" t="s">
        <v>222</v>
      </c>
      <c r="H3404" s="469"/>
      <c r="I3404" s="1261"/>
      <c r="K3404" s="477" t="s">
        <v>223</v>
      </c>
      <c r="L3404" s="477" t="str">
        <f>K3377&amp;"."&amp;K3404</f>
        <v>26.Head insulation area 1</v>
      </c>
      <c r="M3404" s="1252" t="e">
        <f>B3420</f>
        <v>#N/A</v>
      </c>
    </row>
    <row r="3405" spans="1:13" ht="14.55" customHeight="1" x14ac:dyDescent="0.3">
      <c r="A3405" s="1258" t="s">
        <v>224</v>
      </c>
      <c r="B3405" s="468">
        <f>(PI()*((B3401/2)^2)*B3403)/1000000000</f>
        <v>0</v>
      </c>
      <c r="C3405" s="460" t="s">
        <v>225</v>
      </c>
      <c r="D3405" s="468">
        <f>(PI()*((D3401/2)^2)*D3403)/1000000000</f>
        <v>0</v>
      </c>
      <c r="E3405" s="460" t="s">
        <v>225</v>
      </c>
      <c r="F3405" s="468">
        <f>(PI()*((F3401/2)^2)*F3403)/1000000000</f>
        <v>0</v>
      </c>
      <c r="G3405" s="460" t="s">
        <v>225</v>
      </c>
      <c r="H3405" s="469"/>
      <c r="I3405" s="1261"/>
      <c r="K3405" s="477" t="s">
        <v>226</v>
      </c>
      <c r="L3405" s="477" t="str">
        <f>K3377&amp;"."&amp;K3405</f>
        <v>26.Reducer insulation area 1</v>
      </c>
      <c r="M3405" s="1252" t="e">
        <f>B3433</f>
        <v>#N/A</v>
      </c>
    </row>
    <row r="3406" spans="1:13" ht="14.55" customHeight="1" x14ac:dyDescent="0.3">
      <c r="A3406" s="1258" t="s">
        <v>227</v>
      </c>
      <c r="B3406" s="468" t="e">
        <f>(B3402*3.14*B3403)/1000000</f>
        <v>#N/A</v>
      </c>
      <c r="C3406" s="460" t="s">
        <v>228</v>
      </c>
      <c r="D3406" s="468" t="e">
        <f>(D3402*3.14*D3403)/1000000</f>
        <v>#N/A</v>
      </c>
      <c r="E3406" s="460" t="s">
        <v>228</v>
      </c>
      <c r="F3406" s="468">
        <f>(F3402*3.14*F3403)/1000000</f>
        <v>0</v>
      </c>
      <c r="G3406" s="460" t="s">
        <v>228</v>
      </c>
      <c r="H3406" s="469"/>
      <c r="I3406" s="1261"/>
      <c r="K3406" s="477" t="s">
        <v>229</v>
      </c>
      <c r="L3406" s="477" t="str">
        <f>K3377&amp;"."&amp;K3406</f>
        <v>26.Shell insulation thk 2</v>
      </c>
      <c r="M3406" s="1252">
        <f>D3448</f>
        <v>0</v>
      </c>
    </row>
    <row r="3407" spans="1:13" ht="14.55" customHeight="1" x14ac:dyDescent="0.3">
      <c r="A3407" s="1258" t="s">
        <v>230</v>
      </c>
      <c r="B3407" s="468" t="e">
        <f>B3402+2*B3448</f>
        <v>#N/A</v>
      </c>
      <c r="C3407" s="460" t="s">
        <v>93</v>
      </c>
      <c r="D3407" s="468" t="e">
        <f>D3402+2*D3448</f>
        <v>#N/A</v>
      </c>
      <c r="E3407" s="460" t="s">
        <v>93</v>
      </c>
      <c r="F3407" s="468">
        <f>F3402+2*F3448</f>
        <v>0</v>
      </c>
      <c r="G3407" s="460" t="s">
        <v>93</v>
      </c>
      <c r="H3407" s="469"/>
      <c r="I3407" s="1261"/>
      <c r="K3407" s="477" t="s">
        <v>231</v>
      </c>
      <c r="L3407" s="477" t="str">
        <f>K3377&amp;"."&amp;K3407</f>
        <v>26.Head insulation thk 2</v>
      </c>
      <c r="M3407" s="1252">
        <f>D3449</f>
        <v>0</v>
      </c>
    </row>
    <row r="3408" spans="1:13" ht="14.55" customHeight="1" x14ac:dyDescent="0.3">
      <c r="A3408" s="1258" t="s">
        <v>232</v>
      </c>
      <c r="B3408" s="468" t="e">
        <f>(B3407*3.14*B3403)/1000000</f>
        <v>#N/A</v>
      </c>
      <c r="C3408" s="460" t="s">
        <v>228</v>
      </c>
      <c r="D3408" s="468" t="e">
        <f>(D3407*3.14*D3403)/1000000</f>
        <v>#N/A</v>
      </c>
      <c r="E3408" s="460" t="s">
        <v>228</v>
      </c>
      <c r="F3408" s="468">
        <f>(F3407*3.14*F3403)/1000000</f>
        <v>0</v>
      </c>
      <c r="G3408" s="460" t="s">
        <v>228</v>
      </c>
      <c r="H3408" s="469"/>
      <c r="I3408" s="1261"/>
      <c r="K3408" s="477" t="s">
        <v>233</v>
      </c>
      <c r="L3408" s="477" t="str">
        <f>K3377&amp;"."&amp;K3408</f>
        <v>26.Reducer insulation thk 2</v>
      </c>
      <c r="M3408" s="1252">
        <f>D3450</f>
        <v>0</v>
      </c>
    </row>
    <row r="3409" spans="1:13" ht="14.55" customHeight="1" x14ac:dyDescent="0.3">
      <c r="A3409" s="1258"/>
      <c r="B3409" s="468"/>
      <c r="C3409" s="460"/>
      <c r="D3409" s="468"/>
      <c r="E3409" s="460"/>
      <c r="F3409" s="468"/>
      <c r="G3409" s="460"/>
      <c r="H3409" s="469"/>
      <c r="I3409" s="1261"/>
      <c r="K3409" s="477" t="s">
        <v>234</v>
      </c>
      <c r="L3409" s="477" t="str">
        <f>K3377&amp;"."&amp;K3409</f>
        <v>26.Shell insulation area 2</v>
      </c>
      <c r="M3409" s="1252" t="e">
        <f>D3408</f>
        <v>#N/A</v>
      </c>
    </row>
    <row r="3410" spans="1:13" ht="14.55" customHeight="1" x14ac:dyDescent="0.3">
      <c r="A3410" s="1258"/>
      <c r="B3410" s="468" t="s">
        <v>235</v>
      </c>
      <c r="C3410" s="460"/>
      <c r="D3410" s="468" t="s">
        <v>236</v>
      </c>
      <c r="E3410" s="460"/>
      <c r="F3410" s="468" t="s">
        <v>237</v>
      </c>
      <c r="G3410" s="460"/>
      <c r="H3410" s="469"/>
      <c r="I3410" s="1261"/>
      <c r="K3410" s="477" t="s">
        <v>238</v>
      </c>
      <c r="L3410" s="477" t="str">
        <f>K3377&amp;"."&amp;K3410</f>
        <v>26.Head insulation area 2</v>
      </c>
      <c r="M3410" s="1252" t="e">
        <f>D3420</f>
        <v>#N/A</v>
      </c>
    </row>
    <row r="3411" spans="1:13" ht="14.55" customHeight="1" x14ac:dyDescent="0.3">
      <c r="A3411" s="1258" t="s">
        <v>239</v>
      </c>
      <c r="B3411" s="468">
        <f>B3401</f>
        <v>0</v>
      </c>
      <c r="C3411" s="460" t="s">
        <v>93</v>
      </c>
      <c r="D3411" s="468">
        <f>D3401</f>
        <v>0</v>
      </c>
      <c r="E3411" s="460" t="s">
        <v>93</v>
      </c>
      <c r="F3411" s="468">
        <f>F3401</f>
        <v>0</v>
      </c>
      <c r="G3411" s="460" t="s">
        <v>93</v>
      </c>
      <c r="H3411" s="469"/>
      <c r="I3411" s="1261"/>
      <c r="K3411" s="477" t="s">
        <v>240</v>
      </c>
      <c r="L3411" s="477" t="str">
        <f>K3377&amp;"."&amp;K3411</f>
        <v>26.Reducer insulation area 2</v>
      </c>
      <c r="M3411" s="1252">
        <f>D3433</f>
        <v>0</v>
      </c>
    </row>
    <row r="3412" spans="1:13" ht="14.55" customHeight="1" x14ac:dyDescent="0.3">
      <c r="A3412" s="1258" t="s">
        <v>241</v>
      </c>
      <c r="B3412" s="468" t="e">
        <f>B3411+2*B3443</f>
        <v>#N/A</v>
      </c>
      <c r="C3412" s="460" t="s">
        <v>93</v>
      </c>
      <c r="D3412" s="468" t="e">
        <f>D3411+2*D3443</f>
        <v>#N/A</v>
      </c>
      <c r="E3412" s="460" t="s">
        <v>93</v>
      </c>
      <c r="F3412" s="468">
        <f>F3411+2*F3446</f>
        <v>0</v>
      </c>
      <c r="G3412" s="460" t="s">
        <v>93</v>
      </c>
      <c r="H3412" s="469"/>
      <c r="I3412" s="1261"/>
      <c r="K3412" s="477" t="s">
        <v>242</v>
      </c>
      <c r="L3412" s="477" t="str">
        <f>K3377&amp;"."&amp;K3412</f>
        <v>26.Shell insulation thk 3</v>
      </c>
      <c r="M3412" s="1252">
        <f>F3448</f>
        <v>0</v>
      </c>
    </row>
    <row r="3413" spans="1:13" ht="14.55" customHeight="1" x14ac:dyDescent="0.3">
      <c r="A3413" s="1258" t="s">
        <v>243</v>
      </c>
      <c r="B3413" s="722"/>
      <c r="C3413" s="460" t="s">
        <v>93</v>
      </c>
      <c r="D3413" s="722"/>
      <c r="E3413" s="460" t="s">
        <v>93</v>
      </c>
      <c r="F3413" s="452"/>
      <c r="G3413" s="460"/>
      <c r="H3413" s="469"/>
      <c r="I3413" s="1261"/>
      <c r="K3413" s="477" t="s">
        <v>244</v>
      </c>
      <c r="L3413" s="477" t="str">
        <f>K3377&amp;"."&amp;K3413</f>
        <v>26.Head insulation thk 3</v>
      </c>
      <c r="M3413" s="1252">
        <f>F3449</f>
        <v>0</v>
      </c>
    </row>
    <row r="3414" spans="1:13" ht="14.55" customHeight="1" x14ac:dyDescent="0.3">
      <c r="A3414" s="1258" t="s">
        <v>245</v>
      </c>
      <c r="B3414" s="724"/>
      <c r="C3414" s="460"/>
      <c r="D3414" s="724"/>
      <c r="E3414" s="460"/>
      <c r="F3414" s="724"/>
      <c r="G3414" s="460"/>
      <c r="H3414" s="469"/>
      <c r="I3414" s="1261"/>
      <c r="K3414" s="477" t="s">
        <v>246</v>
      </c>
      <c r="L3414" s="477" t="str">
        <f>K3377&amp;"."&amp;K3414</f>
        <v>26.Reducer insulation thk 3</v>
      </c>
      <c r="M3414" s="1252">
        <f>F3450</f>
        <v>0</v>
      </c>
    </row>
    <row r="3415" spans="1:13" ht="14.55" customHeight="1" x14ac:dyDescent="0.3">
      <c r="A3415" s="1258" t="s">
        <v>247</v>
      </c>
      <c r="B3415" s="468">
        <v>0</v>
      </c>
      <c r="C3415" s="460" t="s">
        <v>93</v>
      </c>
      <c r="D3415" s="468">
        <v>0</v>
      </c>
      <c r="E3415" s="460" t="s">
        <v>93</v>
      </c>
      <c r="F3415" s="468">
        <v>0</v>
      </c>
      <c r="G3415" s="460" t="s">
        <v>93</v>
      </c>
      <c r="H3415" s="469"/>
      <c r="I3415" s="1261"/>
      <c r="K3415" s="477" t="s">
        <v>248</v>
      </c>
      <c r="L3415" s="477" t="str">
        <f>K3377&amp;"."&amp;K3415</f>
        <v>26.Shell insulation area 3</v>
      </c>
      <c r="M3415" s="1252">
        <f>F3408</f>
        <v>0</v>
      </c>
    </row>
    <row r="3416" spans="1:13" ht="14.55" customHeight="1" x14ac:dyDescent="0.3">
      <c r="A3416" s="1258" t="s">
        <v>249</v>
      </c>
      <c r="B3416" s="468" t="e">
        <f>((((POWER(((((B3411+B3444)*1.22)+(B3415*2))/100),2)*PI())/4)*(B3444/100))*7.86)</f>
        <v>#N/A</v>
      </c>
      <c r="C3416" s="460" t="s">
        <v>222</v>
      </c>
      <c r="D3416" s="468" t="e">
        <f>((((POWER(((((D3411+D3444)*1.22)+(D3415*2))/100),2)*PI())/4)*(D3444/100))*7.86)</f>
        <v>#N/A</v>
      </c>
      <c r="E3416" s="460" t="s">
        <v>222</v>
      </c>
      <c r="F3416" s="468">
        <f>IFERROR(VLOOKUP(F3400&amp;"."&amp;F3445,'Fitting Chart'!$1:$1048576,5,0),0)</f>
        <v>0</v>
      </c>
      <c r="G3416" s="460" t="s">
        <v>222</v>
      </c>
      <c r="H3416" s="469"/>
      <c r="I3416" s="1261"/>
      <c r="K3416" s="477" t="s">
        <v>250</v>
      </c>
      <c r="L3416" s="477" t="str">
        <f>K3377&amp;"."&amp;K3416</f>
        <v>26.Head insulation area 3</v>
      </c>
      <c r="M3416" s="1252">
        <f>F3419</f>
        <v>0</v>
      </c>
    </row>
    <row r="3417" spans="1:13" ht="14.55" customHeight="1" x14ac:dyDescent="0.3">
      <c r="A3417" s="1258" t="s">
        <v>251</v>
      </c>
      <c r="B3417" s="468" t="e">
        <f>(((0.131*(B3411^3)*10^-6)+((((B3411/2)^2)*PI()*(((B3411/4)+B3443)-B3443-(B3411/4)))))+((PI()*((B3411/2)^2)*B3415))/1000000)/1000</f>
        <v>#N/A</v>
      </c>
      <c r="C3417" s="460" t="s">
        <v>225</v>
      </c>
      <c r="D3417" s="468" t="e">
        <f>(((0.131*(D3411^3)*10^-6)+((((D3411/2)^2)*PI()*(((D3411/4)+D3443)-D3443-(D3411/4)))))+((PI()*((D3411/2)^2)*D3415))/1000000)/1000</f>
        <v>#N/A</v>
      </c>
      <c r="E3417" s="460" t="s">
        <v>225</v>
      </c>
      <c r="F3417" s="468">
        <f>(((0.131*(F3411^3)*10^-6)+((((F3411/2)^2)*PI()*(((F3411/4)+F3446)-F3446-(F3411/4)))))+((PI()*((F3411/2)^2)*F3415))/1000000)/1000</f>
        <v>0</v>
      </c>
      <c r="G3417" s="460" t="s">
        <v>225</v>
      </c>
      <c r="H3417" s="469"/>
      <c r="I3417" s="1261"/>
      <c r="K3417" s="477" t="s">
        <v>252</v>
      </c>
      <c r="L3417" s="477" t="str">
        <f>K3377&amp;"."&amp;K3417</f>
        <v>26.Reducer insulation area 3</v>
      </c>
      <c r="M3417" s="1252">
        <f>F3433</f>
        <v>0</v>
      </c>
    </row>
    <row r="3418" spans="1:13" ht="14.55" customHeight="1" x14ac:dyDescent="0.3">
      <c r="A3418" s="1258" t="s">
        <v>253</v>
      </c>
      <c r="B3418" s="468" t="e">
        <f>(((B3412*B3413*3.14)+(((B3412/2)^2)*3.14))/1000000)</f>
        <v>#N/A</v>
      </c>
      <c r="C3418" s="460" t="s">
        <v>228</v>
      </c>
      <c r="D3418" s="468" t="e">
        <f>(((D3412*D3413*3.14)+(((D3412/2)^2)*3.14))/1000000)</f>
        <v>#N/A</v>
      </c>
      <c r="E3418" s="460" t="s">
        <v>228</v>
      </c>
      <c r="F3418" s="468">
        <f>(((F3412*F3413*3.14)+(((F3412/2)^2)*3.14))/1000000)</f>
        <v>0</v>
      </c>
      <c r="G3418" s="460" t="s">
        <v>228</v>
      </c>
      <c r="H3418" s="469"/>
      <c r="I3418" s="1261"/>
    </row>
    <row r="3419" spans="1:13" ht="14.55" customHeight="1" x14ac:dyDescent="0.3">
      <c r="A3419" s="1258" t="s">
        <v>254</v>
      </c>
      <c r="B3419" s="468" t="e">
        <f>B3412+2*B3449</f>
        <v>#N/A</v>
      </c>
      <c r="C3419" s="460" t="s">
        <v>93</v>
      </c>
      <c r="D3419" s="468" t="e">
        <f>D3412+2*D3449</f>
        <v>#N/A</v>
      </c>
      <c r="E3419" s="460" t="s">
        <v>93</v>
      </c>
      <c r="F3419" s="468">
        <f>F3412+2*F3449</f>
        <v>0</v>
      </c>
      <c r="G3419" s="460" t="s">
        <v>93</v>
      </c>
      <c r="H3419" s="469"/>
      <c r="I3419" s="1261"/>
    </row>
    <row r="3420" spans="1:13" ht="14.55" customHeight="1" x14ac:dyDescent="0.3">
      <c r="A3420" s="1258" t="s">
        <v>255</v>
      </c>
      <c r="B3420" s="468" t="e">
        <f>(((B3419*B3413*3.14)+(((B3419/2)^2)*3.14))/1000000)</f>
        <v>#N/A</v>
      </c>
      <c r="C3420" s="460" t="s">
        <v>228</v>
      </c>
      <c r="D3420" s="468" t="e">
        <f>(((D3419*D3413*3.14)+(((D3419/2)^2)*3.14))/1000000)</f>
        <v>#N/A</v>
      </c>
      <c r="E3420" s="460" t="s">
        <v>228</v>
      </c>
      <c r="F3420" s="468">
        <f>(((F3419*F3413*3.14)+(((F3419/2)^2)*3.14))/1000000)</f>
        <v>0</v>
      </c>
      <c r="G3420" s="460" t="s">
        <v>228</v>
      </c>
      <c r="H3420" s="469"/>
      <c r="I3420" s="1261"/>
    </row>
    <row r="3421" spans="1:13" ht="14.55" customHeight="1" x14ac:dyDescent="0.3">
      <c r="A3421" s="1258"/>
      <c r="B3421" s="454"/>
      <c r="C3421" s="460"/>
      <c r="D3421" s="454"/>
      <c r="E3421" s="460"/>
      <c r="F3421" s="454"/>
      <c r="G3421" s="460"/>
      <c r="H3421" s="469"/>
      <c r="I3421" s="1261"/>
    </row>
    <row r="3422" spans="1:13" ht="14.55" customHeight="1" x14ac:dyDescent="0.3">
      <c r="A3422" s="1258"/>
      <c r="B3422" s="468" t="s">
        <v>256</v>
      </c>
      <c r="C3422" s="460"/>
      <c r="D3422" s="468" t="s">
        <v>257</v>
      </c>
      <c r="E3422" s="460"/>
      <c r="F3422" s="468" t="s">
        <v>258</v>
      </c>
      <c r="G3422" s="460"/>
      <c r="H3422" s="469"/>
      <c r="I3422" s="1261"/>
    </row>
    <row r="3423" spans="1:13" ht="14.55" customHeight="1" x14ac:dyDescent="0.3">
      <c r="A3423" s="1258" t="s">
        <v>259</v>
      </c>
      <c r="B3423" s="725"/>
      <c r="C3423" s="460" t="s">
        <v>93</v>
      </c>
      <c r="D3423" s="725"/>
      <c r="E3423" s="460" t="s">
        <v>93</v>
      </c>
      <c r="F3423" s="725"/>
      <c r="G3423" s="460" t="s">
        <v>93</v>
      </c>
      <c r="H3423" s="469"/>
      <c r="I3423" s="1261"/>
    </row>
    <row r="3424" spans="1:13" ht="14.55" customHeight="1" x14ac:dyDescent="0.3">
      <c r="A3424" s="1258" t="s">
        <v>260</v>
      </c>
      <c r="B3424" s="725"/>
      <c r="C3424" s="460" t="s">
        <v>93</v>
      </c>
      <c r="D3424" s="725"/>
      <c r="E3424" s="460" t="s">
        <v>93</v>
      </c>
      <c r="F3424" s="725"/>
      <c r="G3424" s="460" t="s">
        <v>93</v>
      </c>
      <c r="H3424" s="469"/>
      <c r="I3424" s="1261"/>
    </row>
    <row r="3425" spans="1:9" ht="14.55" customHeight="1" x14ac:dyDescent="0.3">
      <c r="A3425" s="1258" t="s">
        <v>261</v>
      </c>
      <c r="B3425" s="725"/>
      <c r="C3425" s="460" t="s">
        <v>93</v>
      </c>
      <c r="D3425" s="725"/>
      <c r="E3425" s="460" t="s">
        <v>93</v>
      </c>
      <c r="F3425" s="725"/>
      <c r="G3425" s="460" t="s">
        <v>93</v>
      </c>
      <c r="H3425" s="469"/>
      <c r="I3425" s="1261"/>
    </row>
    <row r="3426" spans="1:9" ht="14.55" customHeight="1" x14ac:dyDescent="0.3">
      <c r="A3426" s="1258" t="s">
        <v>262</v>
      </c>
      <c r="B3426" s="455" t="e">
        <f>B3423+2*B3444</f>
        <v>#N/A</v>
      </c>
      <c r="C3426" s="460" t="s">
        <v>93</v>
      </c>
      <c r="D3426" s="455" t="e">
        <f>D3423+2*D3444</f>
        <v>#N/A</v>
      </c>
      <c r="E3426" s="460" t="s">
        <v>93</v>
      </c>
      <c r="F3426" s="455">
        <f>F3423+2*F3446</f>
        <v>0</v>
      </c>
      <c r="G3426" s="460" t="s">
        <v>93</v>
      </c>
      <c r="H3426" s="469"/>
      <c r="I3426" s="1261"/>
    </row>
    <row r="3427" spans="1:9" ht="14.55" customHeight="1" x14ac:dyDescent="0.3">
      <c r="A3427" s="1258" t="s">
        <v>263</v>
      </c>
      <c r="B3427" s="455" t="e">
        <f>B3424+2*B3444</f>
        <v>#N/A</v>
      </c>
      <c r="C3427" s="460" t="s">
        <v>93</v>
      </c>
      <c r="D3427" s="455" t="e">
        <f>D3424+2*D3444</f>
        <v>#N/A</v>
      </c>
      <c r="E3427" s="460" t="s">
        <v>93</v>
      </c>
      <c r="F3427" s="455">
        <f>F3424+2*F3446</f>
        <v>0</v>
      </c>
      <c r="G3427" s="460" t="s">
        <v>93</v>
      </c>
      <c r="H3427" s="469"/>
      <c r="I3427" s="1261"/>
    </row>
    <row r="3428" spans="1:9" ht="14.55" customHeight="1" x14ac:dyDescent="0.3">
      <c r="A3428" s="1258" t="s">
        <v>264</v>
      </c>
      <c r="B3428" s="453" t="e">
        <f>(((((1/3*PI()*B3425))*((((B3426/2)^2)+(((B3426/2)*(B3427/2)))+((B3427/2)^2))))-(((1/3*PI()*B3425))*((((B3423/2)^2)+(((B3423/2)*(B3424/2)))+((B3424/2)^2)))))*7.86)/1000000</f>
        <v>#N/A</v>
      </c>
      <c r="C3428" s="460" t="s">
        <v>222</v>
      </c>
      <c r="D3428" s="453" t="e">
        <f>(((((1/3*PI()*D3425))*((((D3426/2)^2)+(((D3426/2)*(D3427/2)))+((D3427/2)^2))))-(((1/3*PI()*D3425))*((((D3423/2)^2)+(((D3423/2)*(D3424/2)))+((D3424/2)^2)))))*7.86)/1000000</f>
        <v>#N/A</v>
      </c>
      <c r="E3428" s="460" t="s">
        <v>222</v>
      </c>
      <c r="F3428" s="453">
        <f>(((((1/3*PI()*F3425))*((((F3426/2)^2)+(((F3426/2)*(F3427/2)))+((F3427/2)^2))))-(((1/3*PI()*F3425))*((((F3423/2)^2)+(((F3423/2)*(F3424/2)))+((F3424/2)^2)))))*7.86)/1000000</f>
        <v>0</v>
      </c>
      <c r="G3428" s="460" t="s">
        <v>222</v>
      </c>
      <c r="H3428" s="469"/>
      <c r="I3428" s="1261"/>
    </row>
    <row r="3429" spans="1:9" ht="14.55" customHeight="1" x14ac:dyDescent="0.3">
      <c r="A3429" s="1258" t="s">
        <v>265</v>
      </c>
      <c r="B3429" s="453">
        <f>((1/3*PI()*B3425))*((((B3423/2)^2)+(((B3423/2)*(B3424/2)))+((B3424/2)^2)))/1000000000</f>
        <v>0</v>
      </c>
      <c r="C3429" s="460" t="s">
        <v>225</v>
      </c>
      <c r="D3429" s="453">
        <f>((1/3*PI()*D3425))*((((D3423/2)^2)+(((D3423/2)*(D3424/2)))+((D3424/2)^2)))/1000000000</f>
        <v>0</v>
      </c>
      <c r="E3429" s="460" t="s">
        <v>225</v>
      </c>
      <c r="F3429" s="453">
        <f>((1/3*PI()*F3425))*((((F3423/2)^2)+(((F3423/2)*(F3424/2)))+((F3424/2)^2)))/1000000000</f>
        <v>0</v>
      </c>
      <c r="G3429" s="460" t="s">
        <v>225</v>
      </c>
      <c r="H3429" s="469"/>
      <c r="I3429" s="1261"/>
    </row>
    <row r="3430" spans="1:9" ht="14.55" customHeight="1" x14ac:dyDescent="0.3">
      <c r="A3430" s="1258" t="s">
        <v>266</v>
      </c>
      <c r="B3430" s="453" t="e">
        <f>PI()*(B3426+B3427)/2*SQRT(B3425^2+((B3426-B3427)/2)^2)/1000000</f>
        <v>#N/A</v>
      </c>
      <c r="C3430" s="460" t="s">
        <v>228</v>
      </c>
      <c r="D3430" s="453" t="e">
        <f>PI()*(D3426+D3427)/2*SQRT(D3425^2+((D3426-D3427)/2)^2)/1000000</f>
        <v>#N/A</v>
      </c>
      <c r="E3430" s="460" t="s">
        <v>228</v>
      </c>
      <c r="F3430" s="453">
        <f>PI()*(F3426+F3427)/2*SQRT(F3425^2+((F3426-F3427)/2)^2)/1000000</f>
        <v>0</v>
      </c>
      <c r="G3430" s="460" t="s">
        <v>228</v>
      </c>
      <c r="H3430" s="469"/>
      <c r="I3430" s="1261"/>
    </row>
    <row r="3431" spans="1:9" ht="14.55" customHeight="1" x14ac:dyDescent="0.3">
      <c r="A3431" s="1258" t="s">
        <v>267</v>
      </c>
      <c r="B3431" s="453" t="e">
        <f>B3426+2*B3450</f>
        <v>#N/A</v>
      </c>
      <c r="C3431" s="460" t="s">
        <v>93</v>
      </c>
      <c r="D3431" s="453">
        <f>D3423+2*D3450</f>
        <v>0</v>
      </c>
      <c r="E3431" s="460" t="s">
        <v>93</v>
      </c>
      <c r="F3431" s="453">
        <f>F3423+2*F3450</f>
        <v>0</v>
      </c>
      <c r="G3431" s="460" t="s">
        <v>93</v>
      </c>
      <c r="H3431" s="469"/>
      <c r="I3431" s="1261"/>
    </row>
    <row r="3432" spans="1:9" ht="14.55" customHeight="1" x14ac:dyDescent="0.3">
      <c r="A3432" s="1258" t="s">
        <v>268</v>
      </c>
      <c r="B3432" s="453" t="e">
        <f>B3427+2*B3450</f>
        <v>#N/A</v>
      </c>
      <c r="C3432" s="460" t="s">
        <v>93</v>
      </c>
      <c r="D3432" s="453">
        <f>D3424+2*D3450</f>
        <v>0</v>
      </c>
      <c r="E3432" s="460" t="s">
        <v>93</v>
      </c>
      <c r="F3432" s="453">
        <f>F3424+2*F3450</f>
        <v>0</v>
      </c>
      <c r="G3432" s="460" t="s">
        <v>93</v>
      </c>
      <c r="H3432" s="469"/>
      <c r="I3432" s="1261"/>
    </row>
    <row r="3433" spans="1:9" ht="14.55" customHeight="1" x14ac:dyDescent="0.3">
      <c r="A3433" s="1258" t="s">
        <v>269</v>
      </c>
      <c r="B3433" s="453" t="e">
        <f>PI()*(B3431+B3432)/2*SQRT(B3425^2+((B3431-B3432)/2)^2)/1000000</f>
        <v>#N/A</v>
      </c>
      <c r="C3433" s="460" t="s">
        <v>228</v>
      </c>
      <c r="D3433" s="453">
        <f>PI()*(D3431+D3432)/2*SQRT(D3425^2+((D3431-D3432)/2)^2)/1000000</f>
        <v>0</v>
      </c>
      <c r="E3433" s="460" t="s">
        <v>228</v>
      </c>
      <c r="F3433" s="453">
        <f>PI()*(F3431+F3432)/2*SQRT(F3425^2+((F3431-F3432)/2)^2)/1000000</f>
        <v>0</v>
      </c>
      <c r="G3433" s="460" t="s">
        <v>228</v>
      </c>
      <c r="H3433" s="469"/>
      <c r="I3433" s="1261"/>
    </row>
    <row r="3434" spans="1:9" ht="14.55" customHeight="1" x14ac:dyDescent="0.3">
      <c r="A3434" s="1258"/>
      <c r="B3434" s="453"/>
      <c r="C3434" s="460"/>
      <c r="D3434" s="453"/>
      <c r="E3434" s="460"/>
      <c r="F3434" s="453"/>
      <c r="G3434" s="460"/>
      <c r="H3434" s="460"/>
      <c r="I3434" s="1259"/>
    </row>
    <row r="3435" spans="1:9" ht="14.55" customHeight="1" x14ac:dyDescent="0.3">
      <c r="A3435" s="1258" t="s">
        <v>270</v>
      </c>
      <c r="B3435" s="725"/>
      <c r="C3435" s="460" t="s">
        <v>93</v>
      </c>
      <c r="D3435" s="725"/>
      <c r="E3435" s="460" t="s">
        <v>93</v>
      </c>
      <c r="F3435" s="725"/>
      <c r="G3435" s="460" t="s">
        <v>93</v>
      </c>
      <c r="H3435" s="460"/>
      <c r="I3435" s="1259"/>
    </row>
    <row r="3436" spans="1:9" ht="14.55" customHeight="1" x14ac:dyDescent="0.3">
      <c r="A3436" s="1258" t="s">
        <v>271</v>
      </c>
      <c r="B3436" s="453" t="e">
        <f>((D3384/10)*B3401/2)/(IF(B3379="div.1",B3392,B3395)-0.5*D3384/10)</f>
        <v>#N/A</v>
      </c>
      <c r="C3436" s="460" t="s">
        <v>93</v>
      </c>
      <c r="D3436" s="453" t="e">
        <f>((D3384/10)*D3401/2)/(IF(B3379="div.1",B3392,B3395)-0.5*D3384/10)</f>
        <v>#N/A</v>
      </c>
      <c r="E3436" s="460" t="s">
        <v>93</v>
      </c>
      <c r="F3436" s="453" t="e">
        <f>((D3384/10)*F3401/2)/(IF(B3379="div.1",F3392,F3395)-0.5*D3384/10)</f>
        <v>#N/A</v>
      </c>
      <c r="G3436" s="460" t="s">
        <v>93</v>
      </c>
      <c r="H3436" s="460"/>
      <c r="I3436" s="1259"/>
    </row>
    <row r="3437" spans="1:9" ht="14.55" customHeight="1" x14ac:dyDescent="0.3">
      <c r="A3437" s="1258" t="s">
        <v>272</v>
      </c>
      <c r="B3437" s="453" t="e">
        <f>B3411/2*(EXP(D3384/(10*IF(B3379="div.1",B3393,B3396)))-1)</f>
        <v>#N/A</v>
      </c>
      <c r="C3437" s="460" t="s">
        <v>93</v>
      </c>
      <c r="D3437" s="453" t="e">
        <f>D3411/2*(EXP(D3384/(10*IF(B3379="div.1",B3393,B3396)))-1)</f>
        <v>#N/A</v>
      </c>
      <c r="E3437" s="460" t="s">
        <v>93</v>
      </c>
      <c r="F3437" s="453" t="e">
        <f>F3411/2*(EXP(D3384/(10*IF(B3379="div.1",F3393,F3396)))-1)</f>
        <v>#N/A</v>
      </c>
      <c r="G3437" s="460" t="s">
        <v>93</v>
      </c>
      <c r="H3437" s="460"/>
      <c r="I3437" s="1259"/>
    </row>
    <row r="3438" spans="1:9" ht="14.55" customHeight="1" x14ac:dyDescent="0.3">
      <c r="A3438" s="1258" t="s">
        <v>273</v>
      </c>
      <c r="B3438" s="453" t="e">
        <f>B3423/2*(EXP(D3384/(10*IF(B3379="div.1",B3393,B3396)))-1)</f>
        <v>#N/A</v>
      </c>
      <c r="C3438" s="460" t="s">
        <v>93</v>
      </c>
      <c r="D3438" s="453" t="e">
        <f>D3423/2*(EXP(D3384/(10*IF(B3379="div.1",B3393,B3396)))-1)</f>
        <v>#N/A</v>
      </c>
      <c r="E3438" s="460" t="s">
        <v>93</v>
      </c>
      <c r="F3438" s="453" t="e">
        <f>F3423/2*(EXP(D3384/(10*IF(B3379="div.1",F3393,F3396)))-1)</f>
        <v>#N/A</v>
      </c>
      <c r="G3438" s="460" t="s">
        <v>93</v>
      </c>
      <c r="H3438" s="460"/>
      <c r="I3438" s="1259"/>
    </row>
    <row r="3439" spans="1:9" ht="14.55" customHeight="1" x14ac:dyDescent="0.3">
      <c r="A3439" s="1258" t="s">
        <v>274</v>
      </c>
      <c r="B3439" s="725"/>
      <c r="C3439" s="460" t="s">
        <v>93</v>
      </c>
      <c r="D3439" s="725"/>
      <c r="E3439" s="460" t="s">
        <v>93</v>
      </c>
      <c r="F3439" s="725"/>
      <c r="G3439" s="460" t="s">
        <v>93</v>
      </c>
      <c r="H3439" s="460"/>
      <c r="I3439" s="1259"/>
    </row>
    <row r="3440" spans="1:9" ht="14.55" customHeight="1" x14ac:dyDescent="0.3">
      <c r="A3440" s="1258" t="s">
        <v>275</v>
      </c>
      <c r="B3440" s="725"/>
      <c r="C3440" s="460" t="s">
        <v>93</v>
      </c>
      <c r="D3440" s="725"/>
      <c r="E3440" s="460" t="s">
        <v>93</v>
      </c>
      <c r="F3440" s="725"/>
      <c r="G3440" s="460" t="s">
        <v>93</v>
      </c>
      <c r="H3440" s="460"/>
      <c r="I3440" s="1259"/>
    </row>
    <row r="3441" spans="1:9" ht="14.55" customHeight="1" x14ac:dyDescent="0.3">
      <c r="A3441" s="1258" t="s">
        <v>276</v>
      </c>
      <c r="B3441" s="725"/>
      <c r="C3441" s="460" t="s">
        <v>93</v>
      </c>
      <c r="D3441" s="725"/>
      <c r="E3441" s="460" t="s">
        <v>93</v>
      </c>
      <c r="F3441" s="725"/>
      <c r="G3441" s="460" t="s">
        <v>93</v>
      </c>
      <c r="H3441" s="460"/>
      <c r="I3441" s="1259"/>
    </row>
    <row r="3442" spans="1:9" ht="14.55" customHeight="1" x14ac:dyDescent="0.3">
      <c r="A3442" s="1258" t="s">
        <v>277</v>
      </c>
      <c r="B3442" s="453" t="e">
        <f>IF((CEILING(B3436,1)+B3439)&lt;B3435,B3435,CEILING(B3436,1)+B3439)</f>
        <v>#N/A</v>
      </c>
      <c r="C3442" s="460" t="s">
        <v>93</v>
      </c>
      <c r="D3442" s="453" t="e">
        <f>IF((CEILING(D3436,1)+D3439)&lt;D3435,D3435,CEILING(D3436,1)+D3439)</f>
        <v>#N/A</v>
      </c>
      <c r="E3442" s="460" t="s">
        <v>93</v>
      </c>
      <c r="F3442" s="453" t="e">
        <f>IF((CEILING(F3436,1)+F3439)&lt;F3435,F3435,CEILING(F3436,1)+F3439)</f>
        <v>#N/A</v>
      </c>
      <c r="G3442" s="460" t="s">
        <v>93</v>
      </c>
      <c r="H3442" s="460"/>
      <c r="I3442" s="1259"/>
    </row>
    <row r="3443" spans="1:9" ht="14.55" customHeight="1" x14ac:dyDescent="0.3">
      <c r="A3443" s="1258" t="s">
        <v>278</v>
      </c>
      <c r="B3443" s="453" t="e">
        <f>IF((CEILING(B3437,1)+B3440)&lt;=B3435,B3435,CEILING(B3437,1)+B3440)</f>
        <v>#N/A</v>
      </c>
      <c r="C3443" s="460" t="s">
        <v>93</v>
      </c>
      <c r="D3443" s="453" t="e">
        <f>IF((CEILING(D3437,1)+D3440)&lt;=D3435,D3435,CEILING(D3437,1)+D3440)</f>
        <v>#N/A</v>
      </c>
      <c r="E3443" s="460" t="s">
        <v>93</v>
      </c>
      <c r="F3443" s="453" t="e">
        <f>IF((CEILING(F3437,1)+F3440)&lt;=F3435,F3435,CEILING(F3437,1)+F3440)</f>
        <v>#N/A</v>
      </c>
      <c r="G3443" s="460" t="s">
        <v>93</v>
      </c>
      <c r="H3443" s="460"/>
      <c r="I3443" s="1259"/>
    </row>
    <row r="3444" spans="1:9" ht="14.55" customHeight="1" x14ac:dyDescent="0.3">
      <c r="A3444" s="1258" t="s">
        <v>279</v>
      </c>
      <c r="B3444" s="453" t="e">
        <f>IF((CEILING(B3438,1)+B3441)&lt;=B3435,B3435,CEILING(B3438,1)+B3441)</f>
        <v>#N/A</v>
      </c>
      <c r="C3444" s="460" t="s">
        <v>93</v>
      </c>
      <c r="D3444" s="453" t="e">
        <f>IF((CEILING(D3438,1)+D3441)&lt;=D3435,D3435,CEILING(D3438,1)+D3441)</f>
        <v>#N/A</v>
      </c>
      <c r="E3444" s="460" t="s">
        <v>93</v>
      </c>
      <c r="F3444" s="453" t="e">
        <f>IF((CEILING(F3438,1)+F3441)&lt;=F3435,F3435,CEILING(F3438,1)+F3441)</f>
        <v>#N/A</v>
      </c>
      <c r="G3444" s="460" t="s">
        <v>93</v>
      </c>
      <c r="H3444" s="460"/>
      <c r="I3444" s="1259"/>
    </row>
    <row r="3445" spans="1:9" ht="14.55" customHeight="1" x14ac:dyDescent="0.3">
      <c r="A3445" s="1258" t="s">
        <v>280</v>
      </c>
      <c r="B3445" s="453"/>
      <c r="C3445" s="460"/>
      <c r="D3445" s="453"/>
      <c r="E3445" s="460"/>
      <c r="F3445" s="726"/>
      <c r="G3445" s="460"/>
      <c r="H3445" s="460"/>
      <c r="I3445" s="1259"/>
    </row>
    <row r="3446" spans="1:9" ht="14.55" customHeight="1" x14ac:dyDescent="0.3">
      <c r="A3446" s="1258" t="s">
        <v>281</v>
      </c>
      <c r="B3446" s="453"/>
      <c r="C3446" s="460"/>
      <c r="D3446" s="453"/>
      <c r="E3446" s="460"/>
      <c r="F3446" s="460">
        <f>IFERROR(VLOOKUP(F3400,'Thickness Tab'!$1:$1048576,MATCH(F3445,'Thickness Tab'!$1:$1,0),0),0)</f>
        <v>0</v>
      </c>
      <c r="G3446" s="460" t="s">
        <v>93</v>
      </c>
      <c r="H3446" s="460"/>
      <c r="I3446" s="1259"/>
    </row>
    <row r="3447" spans="1:9" ht="14.55" customHeight="1" x14ac:dyDescent="0.3">
      <c r="A3447" s="1258"/>
      <c r="B3447" s="464"/>
      <c r="C3447" s="460"/>
      <c r="D3447" s="460"/>
      <c r="E3447" s="460"/>
      <c r="F3447" s="460"/>
      <c r="G3447" s="460"/>
      <c r="H3447" s="460"/>
      <c r="I3447" s="1259"/>
    </row>
    <row r="3448" spans="1:9" ht="14.55" customHeight="1" x14ac:dyDescent="0.3">
      <c r="A3448" s="1258" t="s">
        <v>282</v>
      </c>
      <c r="B3448" s="725">
        <v>0</v>
      </c>
      <c r="C3448" s="460" t="s">
        <v>93</v>
      </c>
      <c r="D3448" s="725">
        <v>0</v>
      </c>
      <c r="E3448" s="460" t="s">
        <v>93</v>
      </c>
      <c r="F3448" s="725">
        <v>0</v>
      </c>
      <c r="G3448" s="460" t="s">
        <v>93</v>
      </c>
      <c r="H3448" s="460"/>
      <c r="I3448" s="1259"/>
    </row>
    <row r="3449" spans="1:9" ht="14.55" customHeight="1" x14ac:dyDescent="0.3">
      <c r="A3449" s="1258" t="s">
        <v>283</v>
      </c>
      <c r="B3449" s="725">
        <v>0</v>
      </c>
      <c r="C3449" s="460" t="s">
        <v>93</v>
      </c>
      <c r="D3449" s="725">
        <v>0</v>
      </c>
      <c r="E3449" s="460" t="s">
        <v>93</v>
      </c>
      <c r="F3449" s="725">
        <v>0</v>
      </c>
      <c r="G3449" s="460" t="s">
        <v>93</v>
      </c>
      <c r="H3449" s="460"/>
      <c r="I3449" s="1259"/>
    </row>
    <row r="3450" spans="1:9" ht="14.55" customHeight="1" x14ac:dyDescent="0.3">
      <c r="A3450" s="1258" t="s">
        <v>284</v>
      </c>
      <c r="B3450" s="725">
        <v>0</v>
      </c>
      <c r="C3450" s="460" t="s">
        <v>93</v>
      </c>
      <c r="D3450" s="725">
        <v>0</v>
      </c>
      <c r="E3450" s="460" t="s">
        <v>93</v>
      </c>
      <c r="F3450" s="725">
        <v>0</v>
      </c>
      <c r="G3450" s="460" t="s">
        <v>93</v>
      </c>
      <c r="H3450" s="460"/>
      <c r="I3450" s="1259"/>
    </row>
    <row r="3451" spans="1:9" ht="14.55" customHeight="1" x14ac:dyDescent="0.3">
      <c r="A3451" s="1258"/>
      <c r="B3451" s="464"/>
      <c r="C3451" s="460"/>
      <c r="D3451" s="460"/>
      <c r="E3451" s="460"/>
      <c r="F3451" s="460"/>
      <c r="G3451" s="460"/>
      <c r="H3451" s="460"/>
      <c r="I3451" s="1259"/>
    </row>
    <row r="3452" spans="1:9" ht="14.55" customHeight="1" x14ac:dyDescent="0.3">
      <c r="A3452" s="1260" t="s">
        <v>285</v>
      </c>
      <c r="B3452" s="470" t="str">
        <f>IF(B3380="Horizontal","No Skirt","")</f>
        <v/>
      </c>
      <c r="C3452" s="460"/>
      <c r="D3452" s="471"/>
      <c r="E3452" s="471" t="s">
        <v>286</v>
      </c>
      <c r="F3452" s="460"/>
      <c r="G3452" s="469"/>
      <c r="H3452" s="469"/>
      <c r="I3452" s="1261"/>
    </row>
    <row r="3453" spans="1:9" ht="14.55" customHeight="1" x14ac:dyDescent="0.3">
      <c r="A3453" s="1258" t="s">
        <v>287</v>
      </c>
      <c r="B3453" s="722"/>
      <c r="C3453" s="456" t="s">
        <v>93</v>
      </c>
      <c r="D3453" s="472"/>
      <c r="E3453" s="472" t="s">
        <v>288</v>
      </c>
      <c r="F3453" s="725"/>
      <c r="G3453" s="460" t="s">
        <v>93</v>
      </c>
      <c r="H3453" s="469"/>
      <c r="I3453" s="1261"/>
    </row>
    <row r="3454" spans="1:9" ht="14.55" customHeight="1" x14ac:dyDescent="0.3">
      <c r="A3454" s="1258" t="s">
        <v>289</v>
      </c>
      <c r="B3454" s="722"/>
      <c r="C3454" s="456" t="s">
        <v>93</v>
      </c>
      <c r="D3454" s="472"/>
      <c r="E3454" s="472" t="s">
        <v>290</v>
      </c>
      <c r="F3454" s="725"/>
      <c r="G3454" s="460" t="s">
        <v>93</v>
      </c>
      <c r="H3454" s="469"/>
      <c r="I3454" s="1261"/>
    </row>
    <row r="3455" spans="1:9" ht="14.55" customHeight="1" x14ac:dyDescent="0.3">
      <c r="A3455" s="1258" t="s">
        <v>291</v>
      </c>
      <c r="B3455" s="722"/>
      <c r="C3455" s="456" t="s">
        <v>93</v>
      </c>
      <c r="D3455" s="472"/>
      <c r="E3455" s="472" t="s">
        <v>292</v>
      </c>
      <c r="F3455" s="725"/>
      <c r="G3455" s="460"/>
      <c r="H3455" s="469"/>
      <c r="I3455" s="1261"/>
    </row>
    <row r="3456" spans="1:9" ht="14.55" customHeight="1" x14ac:dyDescent="0.3">
      <c r="A3456" s="1258" t="s">
        <v>293</v>
      </c>
      <c r="B3456" s="722"/>
      <c r="C3456" s="456" t="s">
        <v>93</v>
      </c>
      <c r="D3456" s="472"/>
      <c r="E3456" s="472" t="s">
        <v>184</v>
      </c>
      <c r="F3456" s="457">
        <f>(PI()*F3453^2)/4*F3454*(7800/1000000000)</f>
        <v>0</v>
      </c>
      <c r="G3456" s="460" t="s">
        <v>222</v>
      </c>
      <c r="H3456" s="460"/>
      <c r="I3456" s="1259"/>
    </row>
    <row r="3457" spans="1:9" ht="14.55" customHeight="1" x14ac:dyDescent="0.3">
      <c r="A3457" s="1258" t="s">
        <v>294</v>
      </c>
      <c r="B3457" s="722"/>
      <c r="C3457" s="456" t="s">
        <v>93</v>
      </c>
      <c r="D3457" s="460"/>
      <c r="E3457" s="460"/>
      <c r="F3457" s="460"/>
      <c r="G3457" s="460"/>
      <c r="H3457" s="460"/>
      <c r="I3457" s="1259"/>
    </row>
    <row r="3458" spans="1:9" ht="14.55" customHeight="1" x14ac:dyDescent="0.3">
      <c r="A3458" s="1258"/>
      <c r="B3458" s="407"/>
      <c r="C3458" s="460"/>
      <c r="D3458" s="460"/>
      <c r="E3458" s="460"/>
      <c r="F3458" s="460"/>
      <c r="G3458" s="460"/>
      <c r="H3458" s="460"/>
      <c r="I3458" s="1259"/>
    </row>
    <row r="3459" spans="1:9" ht="14.55" customHeight="1" x14ac:dyDescent="0.3">
      <c r="A3459" s="1262" t="s">
        <v>295</v>
      </c>
      <c r="B3459" s="480"/>
      <c r="C3459" s="59"/>
      <c r="D3459" s="59"/>
      <c r="E3459" s="59"/>
      <c r="F3459" s="460"/>
      <c r="G3459" s="460"/>
      <c r="H3459" s="460"/>
      <c r="I3459" s="1259"/>
    </row>
    <row r="3460" spans="1:9" ht="14.55" customHeight="1" x14ac:dyDescent="0.3">
      <c r="A3460" s="1263" t="s">
        <v>296</v>
      </c>
      <c r="B3460" s="722"/>
      <c r="C3460" s="59" t="s">
        <v>93</v>
      </c>
      <c r="D3460" s="59"/>
      <c r="E3460" s="59"/>
      <c r="F3460" s="460"/>
      <c r="G3460" s="460"/>
      <c r="H3460" s="460"/>
      <c r="I3460" s="1259"/>
    </row>
    <row r="3461" spans="1:9" ht="14.55" customHeight="1" x14ac:dyDescent="0.3">
      <c r="A3461" s="1263" t="s">
        <v>297</v>
      </c>
      <c r="B3461" s="722"/>
      <c r="C3461" s="59" t="s">
        <v>93</v>
      </c>
      <c r="D3461" s="59"/>
      <c r="E3461" s="59"/>
      <c r="F3461" s="460"/>
      <c r="G3461" s="460"/>
      <c r="H3461" s="460"/>
      <c r="I3461" s="1259"/>
    </row>
    <row r="3462" spans="1:9" ht="14.55" customHeight="1" x14ac:dyDescent="0.3">
      <c r="A3462" s="1263" t="s">
        <v>298</v>
      </c>
      <c r="B3462" s="480">
        <f>B3403</f>
        <v>0</v>
      </c>
      <c r="C3462" s="59" t="s">
        <v>93</v>
      </c>
      <c r="D3462" s="59"/>
      <c r="E3462" s="59"/>
      <c r="F3462" s="460"/>
      <c r="G3462" s="460"/>
      <c r="H3462" s="460"/>
      <c r="I3462" s="1259"/>
    </row>
    <row r="3463" spans="1:9" ht="14.55" customHeight="1" x14ac:dyDescent="0.3">
      <c r="A3463" s="1263" t="s">
        <v>299</v>
      </c>
      <c r="B3463" s="727"/>
      <c r="C3463" s="59"/>
      <c r="D3463" s="59"/>
      <c r="E3463" s="59"/>
      <c r="F3463" s="460"/>
      <c r="G3463" s="460"/>
      <c r="H3463" s="460"/>
      <c r="I3463" s="1259"/>
    </row>
    <row r="3464" spans="1:9" ht="14.55" customHeight="1" x14ac:dyDescent="0.3">
      <c r="A3464" s="1263" t="s">
        <v>300</v>
      </c>
      <c r="B3464" s="722"/>
      <c r="C3464" s="59" t="s">
        <v>301</v>
      </c>
      <c r="D3464" s="59"/>
      <c r="E3464" s="59"/>
      <c r="F3464" s="460"/>
      <c r="G3464" s="460"/>
      <c r="H3464" s="460"/>
      <c r="I3464" s="1259"/>
    </row>
    <row r="3465" spans="1:9" ht="14.55" customHeight="1" x14ac:dyDescent="0.3">
      <c r="A3465" s="1263" t="s">
        <v>302</v>
      </c>
      <c r="B3465" s="480">
        <f>IF(B3463="Straight",B3462,B3462*2)</f>
        <v>0</v>
      </c>
      <c r="C3465" s="59" t="s">
        <v>93</v>
      </c>
      <c r="D3465" s="480"/>
      <c r="E3465" s="59"/>
      <c r="F3465" s="460"/>
      <c r="G3465" s="460"/>
      <c r="H3465" s="460"/>
      <c r="I3465" s="1259"/>
    </row>
    <row r="3466" spans="1:9" ht="14.55" customHeight="1" x14ac:dyDescent="0.3">
      <c r="A3466" s="1263" t="s">
        <v>303</v>
      </c>
      <c r="B3466" s="480">
        <f>B3460*PI()*B3465/1000000*B3464</f>
        <v>0</v>
      </c>
      <c r="C3466" s="59" t="s">
        <v>228</v>
      </c>
      <c r="D3466" s="59"/>
      <c r="E3466" s="59"/>
      <c r="F3466" s="460"/>
      <c r="G3466" s="460"/>
      <c r="H3466" s="460"/>
      <c r="I3466" s="1259"/>
    </row>
    <row r="3467" spans="1:9" ht="14.55" customHeight="1" x14ac:dyDescent="0.3">
      <c r="A3467" s="1263" t="s">
        <v>304</v>
      </c>
      <c r="B3467" s="480">
        <v>7.86</v>
      </c>
      <c r="C3467" s="59" t="s">
        <v>305</v>
      </c>
      <c r="D3467" s="59"/>
      <c r="E3467" s="59"/>
      <c r="F3467" s="460"/>
      <c r="G3467" s="460"/>
      <c r="H3467" s="460"/>
      <c r="I3467" s="1259"/>
    </row>
    <row r="3468" spans="1:9" ht="14.55" customHeight="1" x14ac:dyDescent="0.3">
      <c r="A3468" s="1263" t="s">
        <v>306</v>
      </c>
      <c r="B3468" s="480">
        <f>PI()*B3461*(B3460-B3461)*B3467/1000</f>
        <v>0</v>
      </c>
      <c r="C3468" s="59" t="s">
        <v>307</v>
      </c>
      <c r="D3468" s="59"/>
      <c r="E3468" s="59"/>
      <c r="F3468" s="460"/>
      <c r="G3468" s="460"/>
      <c r="H3468" s="460"/>
      <c r="I3468" s="1259"/>
    </row>
    <row r="3469" spans="1:9" ht="14.55" customHeight="1" x14ac:dyDescent="0.3">
      <c r="A3469" s="1263" t="s">
        <v>308</v>
      </c>
      <c r="B3469" s="480">
        <f>B3468*B3465*B3464/1000</f>
        <v>0</v>
      </c>
      <c r="C3469" s="59" t="s">
        <v>222</v>
      </c>
      <c r="D3469" s="59"/>
      <c r="E3469" s="59"/>
      <c r="F3469" s="460"/>
      <c r="G3469" s="460"/>
      <c r="H3469" s="460"/>
      <c r="I3469" s="1259"/>
    </row>
    <row r="3470" spans="1:9" ht="14.55" customHeight="1" x14ac:dyDescent="0.3">
      <c r="A3470" s="1263"/>
      <c r="B3470" s="480"/>
      <c r="C3470" s="59"/>
      <c r="D3470" s="59"/>
      <c r="E3470" s="59"/>
      <c r="F3470" s="460"/>
      <c r="G3470" s="460"/>
      <c r="H3470" s="460"/>
      <c r="I3470" s="1259"/>
    </row>
    <row r="3471" spans="1:9" ht="14.55" customHeight="1" x14ac:dyDescent="0.3">
      <c r="A3471" s="1262" t="s">
        <v>309</v>
      </c>
      <c r="B3471" s="480"/>
      <c r="C3471" s="59"/>
      <c r="D3471" s="59"/>
      <c r="E3471" s="59"/>
      <c r="F3471" s="460"/>
      <c r="G3471" s="460"/>
      <c r="H3471" s="460"/>
      <c r="I3471" s="1259"/>
    </row>
    <row r="3472" spans="1:9" ht="14.55" customHeight="1" x14ac:dyDescent="0.3">
      <c r="A3472" s="1263" t="s">
        <v>310</v>
      </c>
      <c r="B3472" s="480">
        <f>B3401</f>
        <v>0</v>
      </c>
      <c r="C3472" s="59" t="s">
        <v>93</v>
      </c>
      <c r="D3472" s="59"/>
      <c r="E3472" s="59"/>
      <c r="F3472" s="460"/>
      <c r="G3472" s="460"/>
      <c r="H3472" s="460"/>
      <c r="I3472" s="1259"/>
    </row>
    <row r="3473" spans="1:9" ht="14.55" customHeight="1" x14ac:dyDescent="0.3">
      <c r="A3473" s="1263" t="s">
        <v>297</v>
      </c>
      <c r="B3473" s="480">
        <v>15</v>
      </c>
      <c r="C3473" s="59" t="s">
        <v>93</v>
      </c>
      <c r="D3473" s="59"/>
      <c r="E3473" s="59"/>
      <c r="F3473" s="460"/>
      <c r="G3473" s="460"/>
      <c r="H3473" s="460"/>
      <c r="I3473" s="1259"/>
    </row>
    <row r="3474" spans="1:9" ht="14.55" customHeight="1" x14ac:dyDescent="0.3">
      <c r="A3474" s="1263" t="s">
        <v>311</v>
      </c>
      <c r="B3474" s="480">
        <f>B3472^2*PI()/4/1000000</f>
        <v>0</v>
      </c>
      <c r="C3474" s="59" t="s">
        <v>228</v>
      </c>
      <c r="D3474" s="59"/>
      <c r="E3474" s="59"/>
      <c r="F3474" s="460"/>
      <c r="G3474" s="460"/>
      <c r="H3474" s="460"/>
      <c r="I3474" s="1259"/>
    </row>
    <row r="3475" spans="1:9" ht="14.55" customHeight="1" x14ac:dyDescent="0.3">
      <c r="A3475" s="1263" t="s">
        <v>312</v>
      </c>
      <c r="B3475" s="480">
        <f>B3474*B3473/1000*B3467*2/1000</f>
        <v>0</v>
      </c>
      <c r="C3475" s="59" t="s">
        <v>222</v>
      </c>
      <c r="D3475" s="59"/>
      <c r="E3475" s="59"/>
      <c r="F3475" s="460"/>
      <c r="G3475" s="460"/>
      <c r="H3475" s="460"/>
      <c r="I3475" s="1259"/>
    </row>
    <row r="3476" spans="1:9" ht="14.55" customHeight="1" x14ac:dyDescent="0.3">
      <c r="A3476" s="1263"/>
      <c r="B3476" s="480"/>
      <c r="C3476" s="59"/>
      <c r="D3476" s="59"/>
      <c r="E3476" s="59"/>
      <c r="F3476" s="460"/>
      <c r="G3476" s="460"/>
      <c r="H3476" s="460"/>
      <c r="I3476" s="1259"/>
    </row>
    <row r="3477" spans="1:9" ht="14.55" customHeight="1" x14ac:dyDescent="0.3">
      <c r="A3477" s="1263" t="s">
        <v>313</v>
      </c>
      <c r="B3477" s="480">
        <f>B3469+B3475*2</f>
        <v>0</v>
      </c>
      <c r="C3477" s="59" t="s">
        <v>222</v>
      </c>
      <c r="D3477" s="59"/>
      <c r="E3477" s="59"/>
      <c r="F3477" s="460"/>
      <c r="G3477" s="460"/>
      <c r="H3477" s="460"/>
      <c r="I3477" s="1259"/>
    </row>
    <row r="3478" spans="1:9" ht="14.55" customHeight="1" x14ac:dyDescent="0.3">
      <c r="A3478" s="1263"/>
      <c r="B3478" s="480"/>
      <c r="C3478" s="59"/>
      <c r="D3478" s="59"/>
      <c r="E3478" s="59"/>
      <c r="F3478" s="460"/>
      <c r="G3478" s="460"/>
      <c r="H3478" s="460"/>
      <c r="I3478" s="1259"/>
    </row>
    <row r="3479" spans="1:9" ht="14.55" customHeight="1" x14ac:dyDescent="0.3">
      <c r="A3479" s="1260" t="s">
        <v>314</v>
      </c>
      <c r="B3479" s="460"/>
      <c r="C3479" s="460"/>
      <c r="D3479" s="463" t="s">
        <v>315</v>
      </c>
      <c r="E3479" s="460"/>
      <c r="F3479" s="460"/>
      <c r="G3479" s="471" t="s">
        <v>316</v>
      </c>
      <c r="H3479" s="453"/>
      <c r="I3479" s="1259"/>
    </row>
    <row r="3480" spans="1:9" ht="14.55" customHeight="1" x14ac:dyDescent="0.3">
      <c r="A3480" s="1258" t="s">
        <v>189</v>
      </c>
      <c r="B3480" s="468" t="e">
        <f>SUM(B3404,D3404,F3404)</f>
        <v>#N/A</v>
      </c>
      <c r="C3480" s="460" t="s">
        <v>222</v>
      </c>
      <c r="D3480" s="472" t="s">
        <v>189</v>
      </c>
      <c r="E3480" s="468" t="e">
        <f>SUM(B3406,D3406,F3406)</f>
        <v>#N/A</v>
      </c>
      <c r="F3480" s="460" t="s">
        <v>228</v>
      </c>
      <c r="G3480" s="472" t="s">
        <v>189</v>
      </c>
      <c r="H3480" s="453" t="e">
        <f>SUM(B3408,D3408,F3408)</f>
        <v>#N/A</v>
      </c>
      <c r="I3480" s="1259" t="s">
        <v>228</v>
      </c>
    </row>
    <row r="3481" spans="1:9" ht="14.55" customHeight="1" x14ac:dyDescent="0.3">
      <c r="A3481" s="1258" t="s">
        <v>317</v>
      </c>
      <c r="B3481" s="468" t="e">
        <f>SUM(B3414*B3416,D3414*D3416,F3414*F3416)</f>
        <v>#N/A</v>
      </c>
      <c r="C3481" s="460" t="s">
        <v>222</v>
      </c>
      <c r="D3481" s="472" t="s">
        <v>317</v>
      </c>
      <c r="E3481" s="468" t="e">
        <f>SUM(B3414*B3418,D3414*D3418,F3414*F3418)</f>
        <v>#N/A</v>
      </c>
      <c r="F3481" s="460" t="s">
        <v>228</v>
      </c>
      <c r="G3481" s="472" t="s">
        <v>317</v>
      </c>
      <c r="H3481" s="453" t="e">
        <f>SUM(B3414*B3420,D3414*D3420,F3414*F3420)</f>
        <v>#N/A</v>
      </c>
      <c r="I3481" s="1259" t="s">
        <v>228</v>
      </c>
    </row>
    <row r="3482" spans="1:9" ht="14.55" customHeight="1" x14ac:dyDescent="0.3">
      <c r="A3482" s="1258" t="s">
        <v>318</v>
      </c>
      <c r="B3482" s="468" t="e">
        <f>SUM(B3428,D3428,F3428)</f>
        <v>#N/A</v>
      </c>
      <c r="C3482" s="460" t="s">
        <v>222</v>
      </c>
      <c r="D3482" s="472" t="s">
        <v>318</v>
      </c>
      <c r="E3482" s="468" t="e">
        <f>SUM(B3430,D3430,F3430)</f>
        <v>#N/A</v>
      </c>
      <c r="F3482" s="460" t="s">
        <v>228</v>
      </c>
      <c r="G3482" s="472" t="s">
        <v>318</v>
      </c>
      <c r="H3482" s="453" t="e">
        <f>SUM(B3433,D3433,F3433)</f>
        <v>#N/A</v>
      </c>
      <c r="I3482" s="1259" t="s">
        <v>228</v>
      </c>
    </row>
    <row r="3483" spans="1:9" ht="14.55" customHeight="1" x14ac:dyDescent="0.3">
      <c r="A3483" s="1258" t="s">
        <v>319</v>
      </c>
      <c r="B3483" s="468">
        <f>SUMPRODUCT(F3500:F3511,H3500:H3511)</f>
        <v>0</v>
      </c>
      <c r="C3483" s="460" t="s">
        <v>222</v>
      </c>
      <c r="D3483" s="472" t="s">
        <v>319</v>
      </c>
      <c r="E3483" s="468">
        <f>SUMPRODUCT(F3500:F3511,I3500:I3511)</f>
        <v>0</v>
      </c>
      <c r="F3483" s="460" t="s">
        <v>228</v>
      </c>
      <c r="G3483" s="460"/>
      <c r="H3483" s="453"/>
      <c r="I3483" s="1259"/>
    </row>
    <row r="3484" spans="1:9" ht="14.55" customHeight="1" x14ac:dyDescent="0.3">
      <c r="A3484" s="1258" t="s">
        <v>320</v>
      </c>
      <c r="B3484" s="468" t="e">
        <f>IF(B3380="Horizontal",0,(PI()*B3454*(((B3402/2)^2)-(((B3402-2*B3453)/2)^2))*7860)/1000000000)</f>
        <v>#N/A</v>
      </c>
      <c r="C3484" s="460" t="s">
        <v>222</v>
      </c>
      <c r="D3484" s="472" t="s">
        <v>320</v>
      </c>
      <c r="E3484" s="468" t="e">
        <f>IF(B3380="Horizontal",0,((B3402*B3454*PI())+((B3402-2*B3453)*B3454*PI()))/1000000)</f>
        <v>#N/A</v>
      </c>
      <c r="F3484" s="460" t="s">
        <v>228</v>
      </c>
      <c r="G3484" s="471" t="s">
        <v>321</v>
      </c>
      <c r="H3484" s="453"/>
      <c r="I3484" s="1259"/>
    </row>
    <row r="3485" spans="1:9" ht="14.55" customHeight="1" x14ac:dyDescent="0.3">
      <c r="A3485" s="1258" t="s">
        <v>322</v>
      </c>
      <c r="B3485" s="468">
        <f>IF(B3380="Horizontal",0,(PI()*B3457*(((B3456/2)^2)-((B3455/2)^2))*7860)/1000000000)</f>
        <v>0</v>
      </c>
      <c r="C3485" s="460" t="s">
        <v>222</v>
      </c>
      <c r="D3485" s="472" t="s">
        <v>322</v>
      </c>
      <c r="E3485" s="468">
        <f>IF(B3380="Horizontal",0,((B3456*3.14*B3457)+(B3455*3.14*B3457)+(((((B3456/2)^2)*3.14)-(((B3455/2)^2)*3.14))*2))/1000000)</f>
        <v>0</v>
      </c>
      <c r="F3485" s="460" t="s">
        <v>228</v>
      </c>
      <c r="G3485" s="472" t="s">
        <v>189</v>
      </c>
      <c r="H3485" s="453">
        <f>SUM(B3405,D3405,F3405)</f>
        <v>0</v>
      </c>
      <c r="I3485" s="1259" t="s">
        <v>225</v>
      </c>
    </row>
    <row r="3486" spans="1:9" ht="14.55" customHeight="1" x14ac:dyDescent="0.3">
      <c r="A3486" s="1258" t="s">
        <v>323</v>
      </c>
      <c r="B3486" s="468">
        <f>IF(B3380="Horizontal",VLOOKUP(B3402,List!$AR:$AS,2,1)*2,0)</f>
        <v>0</v>
      </c>
      <c r="C3486" s="460" t="s">
        <v>222</v>
      </c>
      <c r="D3486" s="472" t="s">
        <v>323</v>
      </c>
      <c r="E3486" s="725"/>
      <c r="F3486" s="460" t="s">
        <v>228</v>
      </c>
      <c r="G3486" s="472" t="s">
        <v>317</v>
      </c>
      <c r="H3486" s="453" t="e">
        <f>SUM(B3414*B3417+D3414*D3417+F3414*F3417)</f>
        <v>#N/A</v>
      </c>
      <c r="I3486" s="1259" t="s">
        <v>225</v>
      </c>
    </row>
    <row r="3487" spans="1:9" ht="14.55" customHeight="1" x14ac:dyDescent="0.3">
      <c r="A3487" s="1258" t="s">
        <v>324</v>
      </c>
      <c r="B3487" s="468">
        <f>F3456*F3455</f>
        <v>0</v>
      </c>
      <c r="C3487" s="460" t="s">
        <v>222</v>
      </c>
      <c r="D3487" s="460"/>
      <c r="E3487" s="460"/>
      <c r="F3487" s="460"/>
      <c r="G3487" s="472" t="s">
        <v>318</v>
      </c>
      <c r="H3487" s="453">
        <f>SUM(B3429,D3429,F3429)</f>
        <v>0</v>
      </c>
      <c r="I3487" s="1259" t="s">
        <v>225</v>
      </c>
    </row>
    <row r="3488" spans="1:9" ht="14.55" customHeight="1" x14ac:dyDescent="0.3">
      <c r="A3488" s="1258" t="s">
        <v>325</v>
      </c>
      <c r="B3488" s="468">
        <f>B3477</f>
        <v>0</v>
      </c>
      <c r="C3488" s="460" t="s">
        <v>222</v>
      </c>
      <c r="D3488" s="460"/>
      <c r="E3488" s="460"/>
      <c r="F3488" s="460"/>
      <c r="G3488" s="472"/>
      <c r="H3488" s="453"/>
      <c r="I3488" s="1259"/>
    </row>
    <row r="3489" spans="1:9" ht="14.55" customHeight="1" x14ac:dyDescent="0.3">
      <c r="A3489" s="1258" t="s">
        <v>326</v>
      </c>
      <c r="B3489" s="725"/>
      <c r="C3489" s="460" t="s">
        <v>222</v>
      </c>
      <c r="D3489" s="460"/>
      <c r="E3489" s="460"/>
      <c r="F3489" s="460"/>
      <c r="G3489" s="460"/>
      <c r="H3489" s="460"/>
      <c r="I3489" s="1259"/>
    </row>
    <row r="3490" spans="1:9" ht="14.55" customHeight="1" x14ac:dyDescent="0.3">
      <c r="A3490" s="1264"/>
      <c r="B3490" s="460"/>
      <c r="C3490" s="460"/>
      <c r="D3490" s="460"/>
      <c r="E3490" s="460"/>
      <c r="F3490" s="460"/>
      <c r="G3490" s="460"/>
      <c r="H3490" s="460"/>
      <c r="I3490" s="1259"/>
    </row>
    <row r="3491" spans="1:9" ht="14.55" customHeight="1" x14ac:dyDescent="0.3">
      <c r="A3491" s="1258" t="s">
        <v>327</v>
      </c>
      <c r="B3491" s="453" t="e">
        <f>SUM(E3480:E3486)</f>
        <v>#N/A</v>
      </c>
      <c r="C3491" s="460" t="s">
        <v>228</v>
      </c>
      <c r="D3491" s="460"/>
      <c r="E3491" s="460"/>
      <c r="F3491" s="460"/>
      <c r="G3491" s="460"/>
      <c r="H3491" s="460"/>
      <c r="I3491" s="1259"/>
    </row>
    <row r="3492" spans="1:9" ht="14.55" customHeight="1" x14ac:dyDescent="0.3">
      <c r="A3492" s="1258" t="s">
        <v>328</v>
      </c>
      <c r="B3492" s="453" t="e">
        <f>IF(SUM(E3480:E3482)=SUM(H3480:H3482),"Not Insulated",SUM(H3480:H3482))</f>
        <v>#N/A</v>
      </c>
      <c r="C3492" s="460" t="e">
        <f>IF(B3491=SUM(H3480:H3482),"","m2")</f>
        <v>#N/A</v>
      </c>
      <c r="D3492" s="460"/>
      <c r="E3492" s="460"/>
      <c r="F3492" s="460"/>
      <c r="G3492" s="460"/>
      <c r="H3492" s="460"/>
      <c r="I3492" s="1259"/>
    </row>
    <row r="3493" spans="1:9" ht="14.55" customHeight="1" x14ac:dyDescent="0.3">
      <c r="A3493" s="1258" t="s">
        <v>329</v>
      </c>
      <c r="B3493" s="453" t="e">
        <f>SUM(H3485:H3487)</f>
        <v>#N/A</v>
      </c>
      <c r="C3493" s="460" t="s">
        <v>225</v>
      </c>
      <c r="D3493" s="460"/>
      <c r="E3493" s="460"/>
      <c r="F3493" s="460"/>
      <c r="G3493" s="460"/>
      <c r="H3493" s="460"/>
      <c r="I3493" s="1259"/>
    </row>
    <row r="3494" spans="1:9" ht="14.55" customHeight="1" x14ac:dyDescent="0.3">
      <c r="A3494" s="1258" t="s">
        <v>330</v>
      </c>
      <c r="B3494" s="453" t="e">
        <f>SUM(B3480:B3489)</f>
        <v>#N/A</v>
      </c>
      <c r="C3494" s="460" t="s">
        <v>222</v>
      </c>
      <c r="D3494" s="460"/>
      <c r="E3494" s="460"/>
      <c r="F3494" s="460"/>
      <c r="G3494" s="460"/>
      <c r="H3494" s="460"/>
      <c r="I3494" s="1259"/>
    </row>
    <row r="3495" spans="1:9" ht="14.55" customHeight="1" x14ac:dyDescent="0.3">
      <c r="A3495" s="1258" t="s">
        <v>331</v>
      </c>
      <c r="B3495" s="725"/>
      <c r="C3495" s="460" t="s">
        <v>222</v>
      </c>
      <c r="D3495" s="460"/>
      <c r="E3495" s="460"/>
      <c r="F3495" s="460"/>
      <c r="G3495" s="460"/>
      <c r="H3495" s="460"/>
      <c r="I3495" s="1259"/>
    </row>
    <row r="3496" spans="1:9" ht="15" customHeight="1" thickBot="1" x14ac:dyDescent="0.35">
      <c r="A3496" s="1258"/>
      <c r="B3496" s="473"/>
      <c r="C3496" s="459"/>
      <c r="D3496" s="460"/>
      <c r="E3496" s="460"/>
      <c r="F3496" s="460"/>
      <c r="G3496" s="460"/>
      <c r="H3496" s="460"/>
      <c r="I3496" s="1259"/>
    </row>
    <row r="3497" spans="1:9" ht="15" customHeight="1" thickBot="1" x14ac:dyDescent="0.35">
      <c r="A3497" s="474"/>
      <c r="B3497" s="1718" t="s">
        <v>332</v>
      </c>
      <c r="C3497" s="1718"/>
      <c r="D3497" s="1718"/>
      <c r="E3497" s="1718"/>
      <c r="F3497" s="1718"/>
      <c r="G3497" s="475"/>
      <c r="H3497" s="475"/>
      <c r="I3497" s="476"/>
    </row>
    <row r="3498" spans="1:9" ht="14.55" customHeight="1" x14ac:dyDescent="0.3">
      <c r="A3498" s="1264"/>
      <c r="B3498" s="1719" t="s">
        <v>333</v>
      </c>
      <c r="C3498" s="1381" t="s">
        <v>59</v>
      </c>
      <c r="D3498" s="1719" t="s">
        <v>114</v>
      </c>
      <c r="E3498" s="1719" t="s">
        <v>334</v>
      </c>
      <c r="F3498" s="1719" t="s">
        <v>292</v>
      </c>
      <c r="G3498" s="1719" t="s">
        <v>335</v>
      </c>
      <c r="H3498" s="1381" t="s">
        <v>184</v>
      </c>
      <c r="I3498" s="1346" t="s">
        <v>336</v>
      </c>
    </row>
    <row r="3499" spans="1:9" ht="14.55" customHeight="1" x14ac:dyDescent="0.3">
      <c r="A3499" s="1264"/>
      <c r="B3499" s="1720"/>
      <c r="C3499" s="1442" t="s">
        <v>214</v>
      </c>
      <c r="D3499" s="1720"/>
      <c r="E3499" s="1720"/>
      <c r="F3499" s="1720"/>
      <c r="G3499" s="1720"/>
      <c r="H3499" s="1442" t="s">
        <v>222</v>
      </c>
      <c r="I3499" s="1443" t="s">
        <v>228</v>
      </c>
    </row>
    <row r="3500" spans="1:9" ht="14.55" customHeight="1" x14ac:dyDescent="0.3">
      <c r="A3500" s="1264"/>
      <c r="B3500" s="1382" t="s">
        <v>337</v>
      </c>
      <c r="C3500" s="728"/>
      <c r="D3500" s="729"/>
      <c r="E3500" s="730"/>
      <c r="F3500" s="730"/>
      <c r="G3500" s="730"/>
      <c r="H3500" s="1465" t="str">
        <f>IFERROR(VLOOKUP($C3500&amp;"F"&amp;$D3500,'Flanges Chart'!$1:$1048576,MATCH($E3500&amp;"."&amp;H$123,'Flanges Chart'!$1:$1,0),0),"")</f>
        <v/>
      </c>
      <c r="I3500" s="1466" t="str">
        <f>IFERROR(VLOOKUP($C3500&amp;"F"&amp;$D3500,'Flanges Chart'!$1:$1048576,MATCH($E3500&amp;"."&amp;I$123,'Flanges Chart'!$1:$1,0),0),"")</f>
        <v/>
      </c>
    </row>
    <row r="3501" spans="1:9" ht="14.55" customHeight="1" x14ac:dyDescent="0.3">
      <c r="A3501" s="1264"/>
      <c r="B3501" s="1467" t="s">
        <v>340</v>
      </c>
      <c r="C3501" s="731"/>
      <c r="D3501" s="729"/>
      <c r="E3501" s="729"/>
      <c r="F3501" s="729"/>
      <c r="G3501" s="729"/>
      <c r="H3501" s="1465" t="str">
        <f>IFERROR(VLOOKUP($C3501&amp;"F"&amp;$D3501,'Flanges Chart'!$1:$1048576,MATCH($E3501&amp;"."&amp;H$123,'Flanges Chart'!$1:$1,0),0),"")</f>
        <v/>
      </c>
      <c r="I3501" s="1466" t="str">
        <f>IFERROR(VLOOKUP($C3501&amp;"F"&amp;$D3501,'Flanges Chart'!$1:$1048576,MATCH($E3501&amp;"."&amp;I$123,'Flanges Chart'!$1:$1,0),0),"")</f>
        <v/>
      </c>
    </row>
    <row r="3502" spans="1:9" ht="14.55" customHeight="1" x14ac:dyDescent="0.3">
      <c r="A3502" s="1264"/>
      <c r="B3502" s="1467" t="s">
        <v>342</v>
      </c>
      <c r="C3502" s="731"/>
      <c r="D3502" s="729"/>
      <c r="E3502" s="729"/>
      <c r="F3502" s="729"/>
      <c r="G3502" s="729"/>
      <c r="H3502" s="1465" t="str">
        <f>IFERROR(VLOOKUP($C3502&amp;"F"&amp;$D3502,'Flanges Chart'!$1:$1048576,MATCH($E3502&amp;"."&amp;H$123,'Flanges Chart'!$1:$1,0),0),"")</f>
        <v/>
      </c>
      <c r="I3502" s="1466" t="str">
        <f>IFERROR(VLOOKUP($C3502&amp;"F"&amp;$D3502,'Flanges Chart'!$1:$1048576,MATCH($E3502&amp;"."&amp;I$123,'Flanges Chart'!$1:$1,0),0),"")</f>
        <v/>
      </c>
    </row>
    <row r="3503" spans="1:9" ht="14.55" customHeight="1" x14ac:dyDescent="0.3">
      <c r="A3503" s="1264"/>
      <c r="B3503" s="1467" t="s">
        <v>344</v>
      </c>
      <c r="C3503" s="731"/>
      <c r="D3503" s="729"/>
      <c r="E3503" s="729"/>
      <c r="F3503" s="729"/>
      <c r="G3503" s="729"/>
      <c r="H3503" s="1465" t="str">
        <f>IFERROR(VLOOKUP($C3503&amp;"F"&amp;$D3503,'Flanges Chart'!$1:$1048576,MATCH($E3503&amp;"."&amp;H$123,'Flanges Chart'!$1:$1,0),0),"")</f>
        <v/>
      </c>
      <c r="I3503" s="1466" t="str">
        <f>IFERROR(VLOOKUP($C3503&amp;"F"&amp;$D3503,'Flanges Chart'!$1:$1048576,MATCH($E3503&amp;"."&amp;I$123,'Flanges Chart'!$1:$1,0),0),"")</f>
        <v/>
      </c>
    </row>
    <row r="3504" spans="1:9" ht="14.55" customHeight="1" x14ac:dyDescent="0.3">
      <c r="A3504" s="1264"/>
      <c r="B3504" s="1467" t="s">
        <v>347</v>
      </c>
      <c r="C3504" s="731"/>
      <c r="D3504" s="729"/>
      <c r="E3504" s="729"/>
      <c r="F3504" s="729"/>
      <c r="G3504" s="729"/>
      <c r="H3504" s="1465" t="str">
        <f>IFERROR(VLOOKUP($C3504&amp;"F"&amp;$D3504,'Flanges Chart'!$1:$1048576,MATCH($E3504&amp;"."&amp;H$123,'Flanges Chart'!$1:$1,0),0),"")</f>
        <v/>
      </c>
      <c r="I3504" s="1466" t="str">
        <f>IFERROR(VLOOKUP($C3504&amp;"F"&amp;$D3504,'Flanges Chart'!$1:$1048576,MATCH($E3504&amp;"."&amp;I$123,'Flanges Chart'!$1:$1,0),0),"")</f>
        <v/>
      </c>
    </row>
    <row r="3505" spans="1:9" ht="14.55" customHeight="1" x14ac:dyDescent="0.3">
      <c r="A3505" s="1264"/>
      <c r="B3505" s="1467" t="s">
        <v>349</v>
      </c>
      <c r="C3505" s="731"/>
      <c r="D3505" s="729"/>
      <c r="E3505" s="729"/>
      <c r="F3505" s="729"/>
      <c r="G3505" s="729"/>
      <c r="H3505" s="1465" t="str">
        <f>IFERROR(VLOOKUP($C3505&amp;"F"&amp;$D3505,'Flanges Chart'!$1:$1048576,MATCH($E3505&amp;"."&amp;H$123,'Flanges Chart'!$1:$1,0),0),"")</f>
        <v/>
      </c>
      <c r="I3505" s="1466" t="str">
        <f>IFERROR(VLOOKUP($C3505&amp;"F"&amp;$D3505,'Flanges Chart'!$1:$1048576,MATCH($E3505&amp;"."&amp;I$123,'Flanges Chart'!$1:$1,0),0),"")</f>
        <v/>
      </c>
    </row>
    <row r="3506" spans="1:9" ht="14.55" customHeight="1" x14ac:dyDescent="0.3">
      <c r="A3506" s="1264"/>
      <c r="B3506" s="1467" t="s">
        <v>350</v>
      </c>
      <c r="C3506" s="731"/>
      <c r="D3506" s="729"/>
      <c r="E3506" s="729"/>
      <c r="F3506" s="729"/>
      <c r="G3506" s="729"/>
      <c r="H3506" s="1465" t="str">
        <f>IFERROR(VLOOKUP($C3506&amp;"F"&amp;$D3506,'Flanges Chart'!$1:$1048576,MATCH($E3506&amp;"."&amp;H$123,'Flanges Chart'!$1:$1,0),0),"")</f>
        <v/>
      </c>
      <c r="I3506" s="1466" t="str">
        <f>IFERROR(VLOOKUP($C3506&amp;"F"&amp;$D3506,'Flanges Chart'!$1:$1048576,MATCH($E3506&amp;"."&amp;I$123,'Flanges Chart'!$1:$1,0),0),"")</f>
        <v/>
      </c>
    </row>
    <row r="3507" spans="1:9" ht="14.55" customHeight="1" x14ac:dyDescent="0.3">
      <c r="A3507" s="1264"/>
      <c r="B3507" s="1467" t="s">
        <v>351</v>
      </c>
      <c r="C3507" s="731"/>
      <c r="D3507" s="729"/>
      <c r="E3507" s="729"/>
      <c r="F3507" s="729"/>
      <c r="G3507" s="729"/>
      <c r="H3507" s="1465" t="str">
        <f>IFERROR(VLOOKUP($C3507&amp;"F"&amp;$D3507,'Flanges Chart'!$1:$1048576,MATCH($E3507&amp;"."&amp;H$123,'Flanges Chart'!$1:$1,0),0),"")</f>
        <v/>
      </c>
      <c r="I3507" s="1466" t="str">
        <f>IFERROR(VLOOKUP($C3507&amp;"F"&amp;$D3507,'Flanges Chart'!$1:$1048576,MATCH($E3507&amp;"."&amp;I$123,'Flanges Chart'!$1:$1,0),0),"")</f>
        <v/>
      </c>
    </row>
    <row r="3508" spans="1:9" ht="14.55" customHeight="1" x14ac:dyDescent="0.3">
      <c r="A3508" s="1264"/>
      <c r="B3508" s="1467" t="s">
        <v>352</v>
      </c>
      <c r="C3508" s="731"/>
      <c r="D3508" s="729"/>
      <c r="E3508" s="729"/>
      <c r="F3508" s="729"/>
      <c r="G3508" s="729"/>
      <c r="H3508" s="1465" t="str">
        <f>IFERROR(VLOOKUP($C3508&amp;"F"&amp;$D3508,'Flanges Chart'!$1:$1048576,MATCH($E3508&amp;"."&amp;H$123,'Flanges Chart'!$1:$1,0),0),"")</f>
        <v/>
      </c>
      <c r="I3508" s="1466" t="str">
        <f>IFERROR(VLOOKUP($C3508&amp;"F"&amp;$D3508,'Flanges Chart'!$1:$1048576,MATCH($E3508&amp;"."&amp;I$123,'Flanges Chart'!$1:$1,0),0),"")</f>
        <v/>
      </c>
    </row>
    <row r="3509" spans="1:9" ht="14.55" customHeight="1" x14ac:dyDescent="0.3">
      <c r="A3509" s="1264"/>
      <c r="B3509" s="1467" t="s">
        <v>353</v>
      </c>
      <c r="C3509" s="731"/>
      <c r="D3509" s="729"/>
      <c r="E3509" s="729"/>
      <c r="F3509" s="729"/>
      <c r="G3509" s="729"/>
      <c r="H3509" s="1465" t="str">
        <f>IFERROR(VLOOKUP($C3509&amp;"F"&amp;$D3509,'Flanges Chart'!$1:$1048576,MATCH($E3509&amp;"."&amp;H$123,'Flanges Chart'!$1:$1,0),0),"")</f>
        <v/>
      </c>
      <c r="I3509" s="1466" t="str">
        <f>IFERROR(VLOOKUP($C3509&amp;"F"&amp;$D3509,'Flanges Chart'!$1:$1048576,MATCH($E3509&amp;"."&amp;I$123,'Flanges Chart'!$1:$1,0),0),"")</f>
        <v/>
      </c>
    </row>
    <row r="3510" spans="1:9" ht="14.55" customHeight="1" x14ac:dyDescent="0.3">
      <c r="A3510" s="1264"/>
      <c r="B3510" s="1467" t="s">
        <v>354</v>
      </c>
      <c r="C3510" s="731"/>
      <c r="D3510" s="729"/>
      <c r="E3510" s="729"/>
      <c r="F3510" s="729"/>
      <c r="G3510" s="729"/>
      <c r="H3510" s="1465" t="str">
        <f>IFERROR(VLOOKUP($C3510&amp;"F"&amp;$D3510,'Flanges Chart'!$1:$1048576,MATCH($E3510&amp;"."&amp;H$123,'Flanges Chart'!$1:$1,0),0),"")</f>
        <v/>
      </c>
      <c r="I3510" s="1466" t="str">
        <f>IFERROR(VLOOKUP($C3510&amp;"F"&amp;$D3510,'Flanges Chart'!$1:$1048576,MATCH($E3510&amp;"."&amp;I$123,'Flanges Chart'!$1:$1,0),0),"")</f>
        <v/>
      </c>
    </row>
    <row r="3511" spans="1:9" ht="15" customHeight="1" thickBot="1" x14ac:dyDescent="0.35">
      <c r="A3511" s="1332"/>
      <c r="B3511" s="1265" t="s">
        <v>355</v>
      </c>
      <c r="C3511" s="1266"/>
      <c r="D3511" s="1267"/>
      <c r="E3511" s="1267"/>
      <c r="F3511" s="1267"/>
      <c r="G3511" s="1267"/>
      <c r="H3511" s="1268" t="s">
        <v>356</v>
      </c>
      <c r="I3511" s="1269" t="str">
        <f>IFERROR(VLOOKUP($C3511&amp;"F"&amp;$D3511,'Flanges Chart'!$1:$1048576,MATCH($E3511&amp;"."&amp;I$123,'Flanges Chart'!$1:$1,0),0),"")</f>
        <v/>
      </c>
    </row>
  </sheetData>
  <sheetProtection algorithmName="SHA-512" hashValue="3KL8doD9P7ElcEIp9NFKn3W+kbpnp0+gT+Dl6AxvMlCpDq7YE1/azwUjQiHq7x2B2CBfhChqHACORcoTB/5A7A==" saltValue="G/Znfac4f1KkHm/z0uN4NA==" spinCount="100000" sheet="1" objects="1" scenarios="1"/>
  <dataConsolidate/>
  <mergeCells count="260">
    <mergeCell ref="F688:G688"/>
    <mergeCell ref="F689:G689"/>
    <mergeCell ref="F823:G823"/>
    <mergeCell ref="B392:F392"/>
    <mergeCell ref="B393:B394"/>
    <mergeCell ref="D393:D394"/>
    <mergeCell ref="E393:E394"/>
    <mergeCell ref="F393:F394"/>
    <mergeCell ref="G393:G394"/>
    <mergeCell ref="B418:C418"/>
    <mergeCell ref="B419:C419"/>
    <mergeCell ref="B527:F527"/>
    <mergeCell ref="B798:B799"/>
    <mergeCell ref="D798:D799"/>
    <mergeCell ref="E798:E799"/>
    <mergeCell ref="F798:F799"/>
    <mergeCell ref="G798:G799"/>
    <mergeCell ref="B688:C688"/>
    <mergeCell ref="B689:C689"/>
    <mergeCell ref="B797:F797"/>
    <mergeCell ref="B553:C553"/>
    <mergeCell ref="B554:C554"/>
    <mergeCell ref="B662:F662"/>
    <mergeCell ref="B663:B664"/>
    <mergeCell ref="B149:C149"/>
    <mergeCell ref="G123:G124"/>
    <mergeCell ref="B13:C13"/>
    <mergeCell ref="B14:C14"/>
    <mergeCell ref="B122:F122"/>
    <mergeCell ref="B123:B124"/>
    <mergeCell ref="D123:D124"/>
    <mergeCell ref="E123:E124"/>
    <mergeCell ref="F123:F124"/>
    <mergeCell ref="B148:C148"/>
    <mergeCell ref="F13:G13"/>
    <mergeCell ref="F14:G14"/>
    <mergeCell ref="F148:G148"/>
    <mergeCell ref="F149:G149"/>
    <mergeCell ref="B257:F257"/>
    <mergeCell ref="B258:B259"/>
    <mergeCell ref="D258:D259"/>
    <mergeCell ref="E258:E259"/>
    <mergeCell ref="F258:F259"/>
    <mergeCell ref="G258:G259"/>
    <mergeCell ref="B283:C283"/>
    <mergeCell ref="B284:C284"/>
    <mergeCell ref="B528:B529"/>
    <mergeCell ref="D528:D529"/>
    <mergeCell ref="E528:E529"/>
    <mergeCell ref="F528:F529"/>
    <mergeCell ref="G528:G529"/>
    <mergeCell ref="F418:G418"/>
    <mergeCell ref="F419:G419"/>
    <mergeCell ref="D663:D664"/>
    <mergeCell ref="E663:E664"/>
    <mergeCell ref="F663:F664"/>
    <mergeCell ref="G663:G664"/>
    <mergeCell ref="F283:G283"/>
    <mergeCell ref="F284:G284"/>
    <mergeCell ref="F553:G553"/>
    <mergeCell ref="F554:G554"/>
    <mergeCell ref="B1472:F1472"/>
    <mergeCell ref="B958:C958"/>
    <mergeCell ref="B959:C959"/>
    <mergeCell ref="B1067:F1067"/>
    <mergeCell ref="B1068:B1069"/>
    <mergeCell ref="D1068:D1069"/>
    <mergeCell ref="E1068:E1069"/>
    <mergeCell ref="F1068:F1069"/>
    <mergeCell ref="G1068:G1069"/>
    <mergeCell ref="B823:C823"/>
    <mergeCell ref="B824:C824"/>
    <mergeCell ref="B932:F932"/>
    <mergeCell ref="B933:B934"/>
    <mergeCell ref="D933:D934"/>
    <mergeCell ref="E933:E934"/>
    <mergeCell ref="F933:F934"/>
    <mergeCell ref="B1473:B1474"/>
    <mergeCell ref="D1473:D1474"/>
    <mergeCell ref="E1473:E1474"/>
    <mergeCell ref="F1473:F1474"/>
    <mergeCell ref="G1473:G1474"/>
    <mergeCell ref="B1498:C1498"/>
    <mergeCell ref="B1094:C1094"/>
    <mergeCell ref="B1202:F1202"/>
    <mergeCell ref="B1203:B1204"/>
    <mergeCell ref="D1203:D1204"/>
    <mergeCell ref="E1203:E1204"/>
    <mergeCell ref="F1203:F1204"/>
    <mergeCell ref="G1203:G1204"/>
    <mergeCell ref="B1228:C1228"/>
    <mergeCell ref="B1364:C1364"/>
    <mergeCell ref="F1094:G1094"/>
    <mergeCell ref="F1228:G1228"/>
    <mergeCell ref="F1229:G1229"/>
    <mergeCell ref="F1363:G1363"/>
    <mergeCell ref="F1364:G1364"/>
    <mergeCell ref="F1498:G1498"/>
    <mergeCell ref="B1363:C1363"/>
    <mergeCell ref="B1742:F1742"/>
    <mergeCell ref="B1743:B1744"/>
    <mergeCell ref="D1743:D1744"/>
    <mergeCell ref="E1743:E1744"/>
    <mergeCell ref="F1743:F1744"/>
    <mergeCell ref="G1743:G1744"/>
    <mergeCell ref="B1768:C1768"/>
    <mergeCell ref="B1769:C1769"/>
    <mergeCell ref="B1877:F1877"/>
    <mergeCell ref="F1768:G1768"/>
    <mergeCell ref="F1769:G1769"/>
    <mergeCell ref="G933:G934"/>
    <mergeCell ref="F824:G824"/>
    <mergeCell ref="F958:G958"/>
    <mergeCell ref="F959:G959"/>
    <mergeCell ref="B1093:C1093"/>
    <mergeCell ref="B1229:C1229"/>
    <mergeCell ref="B1337:F1337"/>
    <mergeCell ref="B1338:B1339"/>
    <mergeCell ref="D1338:D1339"/>
    <mergeCell ref="E1338:E1339"/>
    <mergeCell ref="F1338:F1339"/>
    <mergeCell ref="G1338:G1339"/>
    <mergeCell ref="F1093:G1093"/>
    <mergeCell ref="B1499:C1499"/>
    <mergeCell ref="B1607:F1607"/>
    <mergeCell ref="B1608:B1609"/>
    <mergeCell ref="D1608:D1609"/>
    <mergeCell ref="E1608:E1609"/>
    <mergeCell ref="F1608:F1609"/>
    <mergeCell ref="G1608:G1609"/>
    <mergeCell ref="B1633:C1633"/>
    <mergeCell ref="B1634:C1634"/>
    <mergeCell ref="F1499:G1499"/>
    <mergeCell ref="F1633:G1633"/>
    <mergeCell ref="F1634:G1634"/>
    <mergeCell ref="B1878:B1879"/>
    <mergeCell ref="D1878:D1879"/>
    <mergeCell ref="E1878:E1879"/>
    <mergeCell ref="F1878:F1879"/>
    <mergeCell ref="G1878:G1879"/>
    <mergeCell ref="B1903:C1903"/>
    <mergeCell ref="B1904:C1904"/>
    <mergeCell ref="B2012:F2012"/>
    <mergeCell ref="B2013:B2014"/>
    <mergeCell ref="D2013:D2014"/>
    <mergeCell ref="E2013:E2014"/>
    <mergeCell ref="F2013:F2014"/>
    <mergeCell ref="G2013:G2014"/>
    <mergeCell ref="F1903:G1903"/>
    <mergeCell ref="F1904:G1904"/>
    <mergeCell ref="B2038:C2038"/>
    <mergeCell ref="F2038:G2038"/>
    <mergeCell ref="B2039:C2039"/>
    <mergeCell ref="F2039:G2039"/>
    <mergeCell ref="B2147:F2147"/>
    <mergeCell ref="B2148:B2149"/>
    <mergeCell ref="D2148:D2149"/>
    <mergeCell ref="E2148:E2149"/>
    <mergeCell ref="F2148:F2149"/>
    <mergeCell ref="G2148:G2149"/>
    <mergeCell ref="B2173:C2173"/>
    <mergeCell ref="F2173:G2173"/>
    <mergeCell ref="B2174:C2174"/>
    <mergeCell ref="F2174:G2174"/>
    <mergeCell ref="B2282:F2282"/>
    <mergeCell ref="B2283:B2284"/>
    <mergeCell ref="D2283:D2284"/>
    <mergeCell ref="E2283:E2284"/>
    <mergeCell ref="F2283:F2284"/>
    <mergeCell ref="G2283:G2284"/>
    <mergeCell ref="B2308:C2308"/>
    <mergeCell ref="F2308:G2308"/>
    <mergeCell ref="B2309:C2309"/>
    <mergeCell ref="F2309:G2309"/>
    <mergeCell ref="B2417:F2417"/>
    <mergeCell ref="B2418:B2419"/>
    <mergeCell ref="D2418:D2419"/>
    <mergeCell ref="E2418:E2419"/>
    <mergeCell ref="F2418:F2419"/>
    <mergeCell ref="G2418:G2419"/>
    <mergeCell ref="B2443:C2443"/>
    <mergeCell ref="F2443:G2443"/>
    <mergeCell ref="B2444:C2444"/>
    <mergeCell ref="F2444:G2444"/>
    <mergeCell ref="B2552:F2552"/>
    <mergeCell ref="B2553:B2554"/>
    <mergeCell ref="D2553:D2554"/>
    <mergeCell ref="E2553:E2554"/>
    <mergeCell ref="F2553:F2554"/>
    <mergeCell ref="G2553:G2554"/>
    <mergeCell ref="B2578:C2578"/>
    <mergeCell ref="F2578:G2578"/>
    <mergeCell ref="B2579:C2579"/>
    <mergeCell ref="F2579:G2579"/>
    <mergeCell ref="B2687:F2687"/>
    <mergeCell ref="B2688:B2689"/>
    <mergeCell ref="D2688:D2689"/>
    <mergeCell ref="E2688:E2689"/>
    <mergeCell ref="F2688:F2689"/>
    <mergeCell ref="G2688:G2689"/>
    <mergeCell ref="B2713:C2713"/>
    <mergeCell ref="F2713:G2713"/>
    <mergeCell ref="B2714:C2714"/>
    <mergeCell ref="F2714:G2714"/>
    <mergeCell ref="B2822:F2822"/>
    <mergeCell ref="B2823:B2824"/>
    <mergeCell ref="D2823:D2824"/>
    <mergeCell ref="E2823:E2824"/>
    <mergeCell ref="F2823:F2824"/>
    <mergeCell ref="G2823:G2824"/>
    <mergeCell ref="B2848:C2848"/>
    <mergeCell ref="F2848:G2848"/>
    <mergeCell ref="B2849:C2849"/>
    <mergeCell ref="F2849:G2849"/>
    <mergeCell ref="B2957:F2957"/>
    <mergeCell ref="B2958:B2959"/>
    <mergeCell ref="D2958:D2959"/>
    <mergeCell ref="E2958:E2959"/>
    <mergeCell ref="F2958:F2959"/>
    <mergeCell ref="G2958:G2959"/>
    <mergeCell ref="B2983:C2983"/>
    <mergeCell ref="F2983:G2983"/>
    <mergeCell ref="B2984:C2984"/>
    <mergeCell ref="F2984:G2984"/>
    <mergeCell ref="B3092:F3092"/>
    <mergeCell ref="B3093:B3094"/>
    <mergeCell ref="D3093:D3094"/>
    <mergeCell ref="E3093:E3094"/>
    <mergeCell ref="F3093:F3094"/>
    <mergeCell ref="G3093:G3094"/>
    <mergeCell ref="B3118:C3118"/>
    <mergeCell ref="F3118:G3118"/>
    <mergeCell ref="B3119:C3119"/>
    <mergeCell ref="F3119:G3119"/>
    <mergeCell ref="B3227:F3227"/>
    <mergeCell ref="B3228:B3229"/>
    <mergeCell ref="D3228:D3229"/>
    <mergeCell ref="E3228:E3229"/>
    <mergeCell ref="F3228:F3229"/>
    <mergeCell ref="G3228:G3229"/>
    <mergeCell ref="B3253:C3253"/>
    <mergeCell ref="F3253:G3253"/>
    <mergeCell ref="B3254:C3254"/>
    <mergeCell ref="F3254:G3254"/>
    <mergeCell ref="B3362:F3362"/>
    <mergeCell ref="B3363:B3364"/>
    <mergeCell ref="D3363:D3364"/>
    <mergeCell ref="E3363:E3364"/>
    <mergeCell ref="F3363:F3364"/>
    <mergeCell ref="G3363:G3364"/>
    <mergeCell ref="B3388:C3388"/>
    <mergeCell ref="F3388:G3388"/>
    <mergeCell ref="B3389:C3389"/>
    <mergeCell ref="F3389:G3389"/>
    <mergeCell ref="B3497:F3497"/>
    <mergeCell ref="B3498:B3499"/>
    <mergeCell ref="D3498:D3499"/>
    <mergeCell ref="E3498:E3499"/>
    <mergeCell ref="F3498:F3499"/>
    <mergeCell ref="G3498:G3499"/>
  </mergeCells>
  <conditionalFormatting sqref="B4:B5">
    <cfRule type="colorScale" priority="1">
      <colorScale>
        <cfvo type="min"/>
        <cfvo type="percentile" val="50"/>
        <cfvo type="max"/>
        <color rgb="FFF8696B"/>
        <color rgb="FFFFEB84"/>
        <color rgb="FF63BE7B"/>
      </colorScale>
    </cfRule>
  </conditionalFormatting>
  <dataValidations xWindow="830" yWindow="437" count="13">
    <dataValidation type="list" allowBlank="1" showInputMessage="1" showErrorMessage="1" sqref="C8 C143 C278 C413 C548 C683 C818 C1763 C953 C1088 C1223 C1358 C1493 C1628 C1898 C2033 C2168 C2303 C2438 C2573 C2708 C2843 C2978 C3113 C3248 C3383 C1225" xr:uid="{00000000-0002-0000-1200-000000000000}">
      <formula1>Temperature_Units</formula1>
    </dataValidation>
    <dataValidation type="list" allowBlank="1" showInputMessage="1" showErrorMessage="1" sqref="C9:C10 C144 C279:C280 C414:C415 C549:C550 C684:C685 C819:C820 C1764:C1765 C954:C955 C1089:C1090 C1224 C1359:C1360 C1494:C1495 C1629:C1630 C1899:C1900 C2034:C2035 C2169:C2170 C2304:C2305 C2439:C2440 C2574 C2709 C2844 C2979 C3114 C3249 C3384" xr:uid="{00000000-0002-0000-1200-000001000000}">
      <formula1>Pressure_Units</formula1>
    </dataValidation>
    <dataValidation type="list" allowBlank="1" showInputMessage="1" showErrorMessage="1" promptTitle="Material" prompt="Select the Material from Short Material List" sqref="B13:C14 B1768:C1768 B1633:C1633 B1363:C1363 B1228:C1228 B958:C958 B823:C823 F823:G824 F958:G959 B1093:C1093 F1228:G1229 F1363:G1364 B1498:C1498 F1633:G1634 F1768:G1769 F13:G14 F148:G149 B148:C149 F1498:G1499 F1093:G1094 B1903:C1903 F1903:G1904 B2038:C2038 F2038:G2039 B2173:C2173 F2173:G2174 B2308:C2308 F2308:G2309 B2443:C2443 F2443:G2444 B2578:C2578 F2578:G2579 B2713:C2713 F2713:G2714 B2848:C2848 F2848:G2849 B2983:C2983 F2983:G2984 B3118:C3118 F3118:G3119 B3253:C3253 F3253:G3254 B3388:C3388 F3388:G3389" xr:uid="{00000000-0002-0000-1200-000002000000}">
      <formula1>Material_Code</formula1>
    </dataValidation>
    <dataValidation type="list" allowBlank="1" showInputMessage="1" showErrorMessage="1" sqref="D125:D136 D260:D271 D395:D406 D530:D541 D665:D676 D800:D811 D935:D946 D1880:D1891 D1070:D1081 D1205:D1216 D2015:D2026 D1475:D1486 D1610:D1621 D1745:D1756 D2150:D2161 D2285:D2296 D2420:D2431 D2555:D2566 D2690:D2701 D2825:D2836 D2960:D2971 D3095:D3106 D3230:D3241 D3365:D3376 D3500:D3511 D1340:D1351" xr:uid="{00000000-0002-0000-1200-000003000000}">
      <formula1>Nozzle_Rating</formula1>
    </dataValidation>
    <dataValidation type="list" allowBlank="1" showInputMessage="1" showErrorMessage="1" sqref="E125:E136 E260:E271 E395:E406 E530:E541 E665:E676 E800:E811 E935:E946 E1880:E1891 E1070:E1081 E1205:E1216 E1475:E1486 E1610:E1621 E1745:E1756 E2015:E2026 E2150:E2161 E2285:E2296 E2420:E2431 E2555:E2566 E2690:E2701 E2825:E2836 E2960:E2971 E3095:E3106 E3230:E3241 E3365:E3376 E3500:E3511 E1340:E1351" xr:uid="{00000000-0002-0000-1200-000004000000}">
      <formula1>Flange_Type</formula1>
    </dataValidation>
    <dataValidation type="list" allowBlank="1" showInputMessage="1" showErrorMessage="1" sqref="C125:C136 C260:C271 C395:C406 C530:C541 C665:C676 C800:C811 C935:C946 C1880:C1891 C1070:C1081 C1205:C1216 C1475:C1486 C1610:C1621 C1745:C1756 C2015:C2026 C2150:C2161 C2285:C2296 C2420:C2431 C2555:C2566 C2690:C2701 C2825:C2836 C2960:C2971 C3095:C3106 C3230:C3241 C3365:C3376 C3500:C3511 C1340:C1351" xr:uid="{00000000-0002-0000-1200-000005000000}">
      <formula1>Nozzle_DN</formula1>
    </dataValidation>
    <dataValidation type="list" allowBlank="1" showInputMessage="1" showErrorMessage="1" sqref="B5 B140 B275 B410 B545 B680 B815 B1760 B950 B1085 B1220 B1355 B1490 B1625 B1895 B2030 B2165 B2300 B2435 B2570 B2705 B2840 B2975 B3110 B3245 B3380" xr:uid="{00000000-0002-0000-1200-000006000000}">
      <formula1>Vessel_Orientation</formula1>
    </dataValidation>
    <dataValidation type="list" allowBlank="1" showInputMessage="1" showErrorMessage="1" sqref="B4 B139 B274 B409 B544 B679 B814 B1759 B949 B1084 B1219 B1354 B1489 B1624 B1894 B2029 B2164 B2299 B2434 B2569 B2704 B2839 B2974 B3109 B3244 B3379" xr:uid="{00000000-0002-0000-1200-000007000000}">
      <formula1>ASME_VIII_division</formula1>
    </dataValidation>
    <dataValidation type="list" allowBlank="1" showInputMessage="1" showErrorMessage="1" sqref="F418:G419 F688:G689 B150:C150 B283:C285 B15:C15 B553:C555 B824:C825 B688:C690 B959:C960 B1094:C1095 B1229:C1230 B1364:C1365 B1499:C1500 B1634:C1635 F553:G554 B1904:C1905 B1769:C1770 F283:G284 B418:C420 B2039:C2040 B2174:C2175 B2309:C2310 B2444:C2445 B2579:C2580 B2714:C2715 B2849:C2850 B2984:C2985 B3119:C3120 B3254:C3255 B3389:C3390" xr:uid="{00000000-0002-0000-1200-000008000000}">
      <formula1>Material_Code</formula1>
    </dataValidation>
    <dataValidation type="list" allowBlank="1" showInputMessage="1" showErrorMessage="1" sqref="B88 B223 B358 B493 B628 B763 B898 B1843 B1033 B1168 B1303 B1438 B1573 B1708 B1978 B2113 B2248 B2383 B2518 B2653 B2788 B2923 B3058 B3193 B3328 B3463" xr:uid="{00000000-0002-0000-1200-000009000000}">
      <formula1>Bundle_Type</formula1>
    </dataValidation>
    <dataValidation type="list" allowBlank="1" showInputMessage="1" showErrorMessage="1" sqref="F25 F1645 F160 F295 F430 F565 F700 F835 F1780 F970 F1105 F1240 F1375 F1510 F1915 F2050 F2185 F2320 F2455 F2590 F2725 F2860 F2995 F3130 F3265 F3400" xr:uid="{00000000-0002-0000-1200-00000A000000}">
      <formula1>DN</formula1>
    </dataValidation>
    <dataValidation type="list" allowBlank="1" showInputMessage="1" showErrorMessage="1" sqref="F70 F1690 F205 F340 F475 F610 F745 F880 F1825 F1015 F1150 F1285 F1420 F1555 F1960 F2095 F2230 F2365 F2500 F2635 F2770 F2905 F3040 F3175 F3310 F3445" xr:uid="{00000000-0002-0000-1200-00000B000000}">
      <formula1>SCH</formula1>
    </dataValidation>
    <dataValidation type="list" allowBlank="1" showInputMessage="1" showErrorMessage="1" sqref="B73:B75 D73:D75 F73:F75 B208:B210 D208:D210 F208:F210 B343:B345 D343:D345 F343:F345 B478:B480 D478:D480 F478:F480 B613:B615 D613:D615 F613:F615 B748:B750 D748:D750 F748:F750 B883:B885 D883:D885 F883:F885 B1018:B1020 D1018:D1020 F1018:F1020 B1153:B1155 D1153:D1155 F1153:F1155 B1288:B1290 D1288:D1290 F1288:F1290 B1423:B1425 D1423:D1425 F1423:F1425 B1558:B1560 D1558:D1560 F1558:F1560 B1693:B1695 D1693:D1695 F1693:F1695 B1828:B1830 D1828:D1830 F1828:F1830 B1963:B1965 D1963:D1965 F1963:F1965 B2098:B2100 D2098:D2100 F2098:F2100 B2233:B2235 D2233:D2235 F2233:F2235 B2368:B2370 D2368:D2370 F2368:F2370 B2503:B2505 D2503:D2505 F2503:F2505 B2638:B2640 D2638:D2640 F2638:F2640 B2773:B2775 D2773:D2775 F2773:F2775 B2908:B2910 D2908:D2910 F2908:F2910 B3043:B3045 D3043:D3045 F3043:F3045 B3178:B3180 D3178:D3180 F3178:F3180 B3313:B3315 D3313:D3315 F3313:F3315 B3448:B3450 D3448:D3450 F3448:F3450" xr:uid="{00000000-0002-0000-1200-00000C000000}">
      <formula1>Equipment_insulation</formula1>
    </dataValidation>
  </dataValidations>
  <pageMargins left="0.70866141732283472" right="0.70866141732283472" top="0.74803149606299213" bottom="0.74803149606299213" header="0.31496062992125984" footer="0.31496062992125984"/>
  <pageSetup scale="58" fitToHeight="0" orientation="portrait" r:id="rId1"/>
  <headerFooter>
    <oddHeader>&amp;LMCE Vers. 1.0&amp;C&amp;F&amp;R&amp;"Calibri,Normale"&amp;8 Document classified as: 2 - Company Confidential&amp;1#</oddHeader>
    <oddFooter>&amp;C&amp;A - &amp;P&amp;R&amp;D</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oglio3">
    <tabColor rgb="FFFFC000"/>
    <pageSetUpPr fitToPage="1"/>
  </sheetPr>
  <dimension ref="A1:Y115"/>
  <sheetViews>
    <sheetView tabSelected="1" view="pageBreakPreview" zoomScale="85" zoomScaleNormal="100" zoomScaleSheetLayoutView="85" workbookViewId="0">
      <selection activeCell="D35" sqref="D35"/>
    </sheetView>
  </sheetViews>
  <sheetFormatPr defaultRowHeight="14.4" x14ac:dyDescent="0.3"/>
  <cols>
    <col min="1" max="1" width="16.5546875" customWidth="1"/>
    <col min="2" max="2" width="36.5546875" customWidth="1"/>
    <col min="3" max="3" width="40.21875" customWidth="1"/>
    <col min="4" max="4" width="14.77734375" customWidth="1"/>
    <col min="5" max="5" width="14.77734375" style="479" customWidth="1"/>
    <col min="6" max="6" width="18.21875" customWidth="1"/>
    <col min="7" max="7" width="14.77734375" customWidth="1"/>
    <col min="8" max="8" width="17.21875" customWidth="1"/>
    <col min="9" max="9" width="32.21875" customWidth="1"/>
    <col min="11" max="11" width="12.21875" hidden="1" customWidth="1"/>
    <col min="12" max="26" width="0" hidden="1" customWidth="1"/>
  </cols>
  <sheetData>
    <row r="1" spans="1:25" ht="21.6" thickBot="1" x14ac:dyDescent="0.35">
      <c r="A1" s="1123" t="s">
        <v>365</v>
      </c>
      <c r="B1" s="1162"/>
      <c r="C1" s="403"/>
      <c r="D1" s="403"/>
      <c r="E1" s="750"/>
      <c r="F1" s="403"/>
      <c r="G1" s="403"/>
      <c r="H1" s="403"/>
      <c r="I1" s="1051"/>
    </row>
    <row r="2" spans="1:25" ht="14.55" customHeight="1" x14ac:dyDescent="0.3">
      <c r="A2" s="1725" t="s">
        <v>366</v>
      </c>
      <c r="B2" s="1727" t="s">
        <v>367</v>
      </c>
      <c r="C2" s="1727" t="s">
        <v>335</v>
      </c>
      <c r="D2" s="1727" t="s">
        <v>368</v>
      </c>
      <c r="E2" s="1727" t="s">
        <v>369</v>
      </c>
      <c r="F2" s="1383" t="s">
        <v>370</v>
      </c>
      <c r="G2" s="1383" t="s">
        <v>371</v>
      </c>
      <c r="H2" s="1383" t="s">
        <v>372</v>
      </c>
      <c r="I2" s="1723" t="s">
        <v>373</v>
      </c>
      <c r="K2" t="str">
        <f>List!$BJ$2</f>
        <v>ENGINEERING</v>
      </c>
      <c r="L2" t="str">
        <f>List!$BJ$3</f>
        <v>EQUIPMENT</v>
      </c>
      <c r="M2" t="str">
        <f>List!$BJ$4</f>
        <v>PACKAGES</v>
      </c>
      <c r="N2" t="str">
        <f>List!$BJ$5</f>
        <v>MACHINERY</v>
      </c>
      <c r="O2" t="str">
        <f>List!$BJ$6</f>
        <v>MANUAL VALVES</v>
      </c>
      <c r="P2" t="str">
        <f>List!$BJ$7</f>
        <v>INSTRUMENTATION</v>
      </c>
      <c r="Q2" t="str">
        <f>List!$BJ$8</f>
        <v>ELECTRICA EQUIPMENT</v>
      </c>
      <c r="R2" t="str">
        <f>List!$BJ$9</f>
        <v>PIPE &amp; FITTINGS</v>
      </c>
      <c r="S2" t="str">
        <f>List!$BJ$10</f>
        <v>STRUCTURES</v>
      </c>
      <c r="T2" t="str">
        <f>List!$BJ$11</f>
        <v>FABRICATION / ASSEMBLING /TESTS</v>
      </c>
      <c r="U2" t="str">
        <f>List!$BJ$12</f>
        <v>PACKING &amp; SHIPMENT</v>
      </c>
      <c r="V2" t="str">
        <f>List!$BJ$13</f>
        <v>SITE ACTIVITIES</v>
      </c>
      <c r="W2" t="str">
        <f>List!$BJ$14</f>
        <v>SPARE PARTS</v>
      </c>
      <c r="X2" t="str">
        <f>List!$BJ$15</f>
        <v>OTHER COSTS</v>
      </c>
      <c r="Y2" t="str">
        <f>List!$BJ$16</f>
        <v>CONTINGENCY</v>
      </c>
    </row>
    <row r="3" spans="1:25" ht="15" thickBot="1" x14ac:dyDescent="0.35">
      <c r="A3" s="1726"/>
      <c r="B3" s="1728"/>
      <c r="C3" s="1728"/>
      <c r="D3" s="1728"/>
      <c r="E3" s="1728"/>
      <c r="F3" s="1047" t="s">
        <v>374</v>
      </c>
      <c r="G3" s="1047" t="s">
        <v>95</v>
      </c>
      <c r="H3" s="1047" t="s">
        <v>375</v>
      </c>
      <c r="I3" s="1724"/>
    </row>
    <row r="4" spans="1:25" x14ac:dyDescent="0.3">
      <c r="A4" s="393">
        <v>1</v>
      </c>
      <c r="B4" s="1163" t="s">
        <v>376</v>
      </c>
      <c r="C4" s="391" t="s">
        <v>377</v>
      </c>
      <c r="D4" s="394" t="s">
        <v>222</v>
      </c>
      <c r="E4" s="751">
        <f>SUM('Module Fabrication Price List'!J4:J5,'Module Fabrication Price List'!J7:J13)</f>
        <v>14343.80717102722</v>
      </c>
      <c r="F4" s="404">
        <f>IFERROR(H4/E4,0)</f>
        <v>4.0760615863725826</v>
      </c>
      <c r="G4" s="765">
        <f t="shared" ref="G4:G9" si="0">IFERROR(H4/$I$42,0)</f>
        <v>4.8735984997341157E-2</v>
      </c>
      <c r="H4" s="766">
        <f>SUM('Module Fabrication Price List'!L4:L5,'Module Fabrication Price List'!L7:L13)</f>
        <v>58466.24141215963</v>
      </c>
      <c r="I4" s="1124"/>
      <c r="K4">
        <f>IF($B4=K$2,1,0)</f>
        <v>0</v>
      </c>
      <c r="L4">
        <f t="shared" ref="L4:Y19" si="1">IF($B4=L$2,1,0)</f>
        <v>0</v>
      </c>
      <c r="M4">
        <f t="shared" si="1"/>
        <v>0</v>
      </c>
      <c r="N4">
        <f t="shared" si="1"/>
        <v>0</v>
      </c>
      <c r="O4">
        <f t="shared" si="1"/>
        <v>0</v>
      </c>
      <c r="P4">
        <f t="shared" si="1"/>
        <v>0</v>
      </c>
      <c r="Q4">
        <f t="shared" si="1"/>
        <v>0</v>
      </c>
      <c r="R4">
        <f t="shared" si="1"/>
        <v>0</v>
      </c>
      <c r="S4">
        <f t="shared" si="1"/>
        <v>1</v>
      </c>
      <c r="T4">
        <f t="shared" si="1"/>
        <v>0</v>
      </c>
      <c r="U4">
        <f t="shared" si="1"/>
        <v>0</v>
      </c>
      <c r="V4">
        <f t="shared" si="1"/>
        <v>0</v>
      </c>
      <c r="W4">
        <f t="shared" si="1"/>
        <v>0</v>
      </c>
      <c r="X4">
        <f t="shared" si="1"/>
        <v>0</v>
      </c>
      <c r="Y4">
        <f t="shared" si="1"/>
        <v>0</v>
      </c>
    </row>
    <row r="5" spans="1:25" x14ac:dyDescent="0.3">
      <c r="A5" s="393">
        <v>2</v>
      </c>
      <c r="B5" s="1163" t="s">
        <v>376</v>
      </c>
      <c r="C5" s="391" t="s">
        <v>378</v>
      </c>
      <c r="D5" s="394" t="s">
        <v>222</v>
      </c>
      <c r="E5" s="751">
        <f>'Module Fabrication Price List'!J6</f>
        <v>0</v>
      </c>
      <c r="F5" s="404">
        <f t="shared" ref="F5:F28" si="2">IFERROR(H5/E5,0)</f>
        <v>0</v>
      </c>
      <c r="G5" s="765">
        <f t="shared" si="0"/>
        <v>0</v>
      </c>
      <c r="H5" s="766">
        <f>'Module Fabrication Price List'!L6</f>
        <v>0</v>
      </c>
      <c r="I5" s="1124"/>
      <c r="K5">
        <f t="shared" ref="K5:Y36" si="3">IF($B5=K$2,1,0)</f>
        <v>0</v>
      </c>
      <c r="L5">
        <f t="shared" si="1"/>
        <v>0</v>
      </c>
      <c r="M5">
        <f t="shared" si="1"/>
        <v>0</v>
      </c>
      <c r="N5">
        <f t="shared" si="1"/>
        <v>0</v>
      </c>
      <c r="O5">
        <f t="shared" si="1"/>
        <v>0</v>
      </c>
      <c r="P5">
        <f t="shared" si="1"/>
        <v>0</v>
      </c>
      <c r="Q5">
        <f t="shared" si="1"/>
        <v>0</v>
      </c>
      <c r="R5">
        <f t="shared" si="1"/>
        <v>0</v>
      </c>
      <c r="S5">
        <f t="shared" si="1"/>
        <v>1</v>
      </c>
      <c r="T5">
        <f t="shared" si="1"/>
        <v>0</v>
      </c>
      <c r="U5">
        <f t="shared" si="1"/>
        <v>0</v>
      </c>
      <c r="V5">
        <f t="shared" si="1"/>
        <v>0</v>
      </c>
      <c r="W5">
        <f t="shared" si="1"/>
        <v>0</v>
      </c>
      <c r="X5">
        <f t="shared" si="1"/>
        <v>0</v>
      </c>
      <c r="Y5">
        <f t="shared" si="1"/>
        <v>0</v>
      </c>
    </row>
    <row r="6" spans="1:25" x14ac:dyDescent="0.3">
      <c r="A6" s="393">
        <v>3</v>
      </c>
      <c r="B6" s="1163" t="s">
        <v>379</v>
      </c>
      <c r="C6" s="391" t="s">
        <v>380</v>
      </c>
      <c r="D6" s="394" t="s">
        <v>222</v>
      </c>
      <c r="E6" s="752">
        <f>E4</f>
        <v>14343.80717102722</v>
      </c>
      <c r="F6" s="404">
        <f t="shared" si="2"/>
        <v>3.8157839010007537</v>
      </c>
      <c r="G6" s="765">
        <f t="shared" si="0"/>
        <v>4.5623939435558362E-2</v>
      </c>
      <c r="H6" s="766">
        <f>SUM('Module Fabrication Price List'!L15:L16,'Module Fabrication Price List'!L18:L24)</f>
        <v>54732.868482264828</v>
      </c>
      <c r="I6" s="1124"/>
      <c r="K6">
        <f t="shared" si="3"/>
        <v>0</v>
      </c>
      <c r="L6">
        <f t="shared" si="1"/>
        <v>0</v>
      </c>
      <c r="M6">
        <f t="shared" si="1"/>
        <v>0</v>
      </c>
      <c r="N6">
        <f t="shared" si="1"/>
        <v>0</v>
      </c>
      <c r="O6">
        <f t="shared" si="1"/>
        <v>0</v>
      </c>
      <c r="P6">
        <f t="shared" si="1"/>
        <v>0</v>
      </c>
      <c r="Q6">
        <f t="shared" si="1"/>
        <v>0</v>
      </c>
      <c r="R6">
        <f t="shared" si="1"/>
        <v>0</v>
      </c>
      <c r="S6">
        <f t="shared" si="1"/>
        <v>0</v>
      </c>
      <c r="T6">
        <f t="shared" si="1"/>
        <v>1</v>
      </c>
      <c r="U6">
        <f t="shared" si="1"/>
        <v>0</v>
      </c>
      <c r="V6">
        <f t="shared" si="1"/>
        <v>0</v>
      </c>
      <c r="W6">
        <f t="shared" si="1"/>
        <v>0</v>
      </c>
      <c r="X6">
        <f t="shared" si="1"/>
        <v>0</v>
      </c>
      <c r="Y6">
        <f t="shared" si="1"/>
        <v>0</v>
      </c>
    </row>
    <row r="7" spans="1:25" x14ac:dyDescent="0.3">
      <c r="A7" s="393">
        <v>4</v>
      </c>
      <c r="B7" s="1163" t="s">
        <v>379</v>
      </c>
      <c r="C7" s="391" t="s">
        <v>381</v>
      </c>
      <c r="D7" s="394" t="s">
        <v>222</v>
      </c>
      <c r="E7" s="752">
        <f>E5</f>
        <v>0</v>
      </c>
      <c r="F7" s="404">
        <f t="shared" si="2"/>
        <v>0</v>
      </c>
      <c r="G7" s="765">
        <f t="shared" si="0"/>
        <v>0</v>
      </c>
      <c r="H7" s="766">
        <f>'Module Fabrication Price List'!L17</f>
        <v>0</v>
      </c>
      <c r="I7" s="1124"/>
      <c r="K7">
        <f t="shared" si="3"/>
        <v>0</v>
      </c>
      <c r="L7">
        <f t="shared" si="1"/>
        <v>0</v>
      </c>
      <c r="M7">
        <f t="shared" si="1"/>
        <v>0</v>
      </c>
      <c r="N7">
        <f t="shared" si="1"/>
        <v>0</v>
      </c>
      <c r="O7">
        <f t="shared" si="1"/>
        <v>0</v>
      </c>
      <c r="P7">
        <f t="shared" si="1"/>
        <v>0</v>
      </c>
      <c r="Q7">
        <f t="shared" si="1"/>
        <v>0</v>
      </c>
      <c r="R7">
        <f t="shared" si="1"/>
        <v>0</v>
      </c>
      <c r="S7">
        <f t="shared" si="1"/>
        <v>0</v>
      </c>
      <c r="T7">
        <f t="shared" si="1"/>
        <v>1</v>
      </c>
      <c r="U7">
        <f t="shared" si="1"/>
        <v>0</v>
      </c>
      <c r="V7">
        <f t="shared" si="1"/>
        <v>0</v>
      </c>
      <c r="W7">
        <f t="shared" si="1"/>
        <v>0</v>
      </c>
      <c r="X7">
        <f t="shared" si="1"/>
        <v>0</v>
      </c>
      <c r="Y7">
        <f t="shared" si="1"/>
        <v>0</v>
      </c>
    </row>
    <row r="8" spans="1:25" x14ac:dyDescent="0.3">
      <c r="A8" s="393">
        <v>5</v>
      </c>
      <c r="B8" s="1163" t="s">
        <v>382</v>
      </c>
      <c r="C8" s="391" t="s">
        <v>383</v>
      </c>
      <c r="D8" s="394" t="s">
        <v>222</v>
      </c>
      <c r="E8" s="752">
        <f>SUMPRODUCT('Piping Material List'!$U$3:$U$96,'Piping Material List'!$DI$3:$DI$96)</f>
        <v>495.66778802251542</v>
      </c>
      <c r="F8" s="404">
        <f t="shared" si="2"/>
        <v>3</v>
      </c>
      <c r="G8" s="765">
        <f t="shared" si="0"/>
        <v>1.2395285192237371E-3</v>
      </c>
      <c r="H8" s="766">
        <f>SUMPRODUCT('Piping Material List'!$W$3:$W$96,'Piping Material List'!$DI$3:$DI$96)</f>
        <v>1487.0033640675463</v>
      </c>
      <c r="I8" s="1124"/>
      <c r="K8">
        <f t="shared" si="3"/>
        <v>0</v>
      </c>
      <c r="L8">
        <f t="shared" si="1"/>
        <v>0</v>
      </c>
      <c r="M8">
        <f t="shared" si="1"/>
        <v>0</v>
      </c>
      <c r="N8">
        <f t="shared" si="1"/>
        <v>0</v>
      </c>
      <c r="O8">
        <f t="shared" si="1"/>
        <v>0</v>
      </c>
      <c r="P8">
        <f t="shared" si="1"/>
        <v>0</v>
      </c>
      <c r="Q8">
        <f t="shared" si="1"/>
        <v>0</v>
      </c>
      <c r="R8">
        <f t="shared" si="1"/>
        <v>1</v>
      </c>
      <c r="S8">
        <f t="shared" si="1"/>
        <v>0</v>
      </c>
      <c r="T8">
        <f t="shared" si="1"/>
        <v>0</v>
      </c>
      <c r="U8">
        <f t="shared" si="1"/>
        <v>0</v>
      </c>
      <c r="V8">
        <f t="shared" si="1"/>
        <v>0</v>
      </c>
      <c r="W8">
        <f t="shared" si="1"/>
        <v>0</v>
      </c>
      <c r="X8">
        <f t="shared" si="1"/>
        <v>0</v>
      </c>
      <c r="Y8">
        <f t="shared" si="1"/>
        <v>0</v>
      </c>
    </row>
    <row r="9" spans="1:25" x14ac:dyDescent="0.3">
      <c r="A9" s="393">
        <v>6</v>
      </c>
      <c r="B9" s="1163" t="s">
        <v>382</v>
      </c>
      <c r="C9" s="391" t="s">
        <v>384</v>
      </c>
      <c r="D9" s="394" t="s">
        <v>222</v>
      </c>
      <c r="E9" s="752">
        <f>SUMPRODUCT('Piping Material List'!$U$3:$U$96,'Piping Material List'!$DK$3:$DK$96)</f>
        <v>2842.7053843509311</v>
      </c>
      <c r="F9" s="404">
        <f t="shared" si="2"/>
        <v>15.000000000000002</v>
      </c>
      <c r="G9" s="765">
        <f t="shared" si="0"/>
        <v>3.5544113222602598E-2</v>
      </c>
      <c r="H9" s="766">
        <f>SUMPRODUCT('Piping Material List'!$W$3:$W$96,'Piping Material List'!$DK$3:$DK$96)</f>
        <v>42640.580765263971</v>
      </c>
      <c r="I9" s="1124"/>
      <c r="K9">
        <f t="shared" si="3"/>
        <v>0</v>
      </c>
      <c r="L9">
        <f t="shared" si="1"/>
        <v>0</v>
      </c>
      <c r="M9">
        <f t="shared" si="1"/>
        <v>0</v>
      </c>
      <c r="N9">
        <f t="shared" si="1"/>
        <v>0</v>
      </c>
      <c r="O9">
        <f t="shared" si="1"/>
        <v>0</v>
      </c>
      <c r="P9">
        <f t="shared" si="1"/>
        <v>0</v>
      </c>
      <c r="Q9">
        <f t="shared" si="1"/>
        <v>0</v>
      </c>
      <c r="R9">
        <f t="shared" si="1"/>
        <v>1</v>
      </c>
      <c r="S9">
        <f t="shared" si="1"/>
        <v>0</v>
      </c>
      <c r="T9">
        <f t="shared" si="1"/>
        <v>0</v>
      </c>
      <c r="U9">
        <f t="shared" si="1"/>
        <v>0</v>
      </c>
      <c r="V9">
        <f t="shared" si="1"/>
        <v>0</v>
      </c>
      <c r="W9">
        <f t="shared" si="1"/>
        <v>0</v>
      </c>
      <c r="X9">
        <f t="shared" si="1"/>
        <v>0</v>
      </c>
      <c r="Y9">
        <f t="shared" si="1"/>
        <v>0</v>
      </c>
    </row>
    <row r="10" spans="1:25" x14ac:dyDescent="0.3">
      <c r="A10" s="393">
        <v>7</v>
      </c>
      <c r="B10" s="1163" t="s">
        <v>382</v>
      </c>
      <c r="C10" s="391" t="s">
        <v>385</v>
      </c>
      <c r="D10" s="394" t="s">
        <v>222</v>
      </c>
      <c r="E10" s="752">
        <f>SUMPRODUCT('Piping Material List'!$U$3:$U$96,'Piping Material List'!$DL$3:$DL$96)</f>
        <v>0</v>
      </c>
      <c r="F10" s="404">
        <f t="shared" si="2"/>
        <v>0</v>
      </c>
      <c r="G10" s="765">
        <f>IFERROR(#REF!/$I$42,0)</f>
        <v>0</v>
      </c>
      <c r="H10" s="766">
        <f>SUMPRODUCT('Piping Material List'!$W$3:$W$96,'Piping Material List'!$DL$3:$DL$96)</f>
        <v>0</v>
      </c>
      <c r="I10" s="1124"/>
      <c r="K10">
        <f t="shared" si="3"/>
        <v>0</v>
      </c>
      <c r="L10">
        <f t="shared" si="1"/>
        <v>0</v>
      </c>
      <c r="M10">
        <f t="shared" si="1"/>
        <v>0</v>
      </c>
      <c r="N10">
        <f t="shared" si="1"/>
        <v>0</v>
      </c>
      <c r="O10">
        <f t="shared" si="1"/>
        <v>0</v>
      </c>
      <c r="P10">
        <f t="shared" si="1"/>
        <v>0</v>
      </c>
      <c r="Q10">
        <f t="shared" si="1"/>
        <v>0</v>
      </c>
      <c r="R10">
        <f t="shared" si="1"/>
        <v>1</v>
      </c>
      <c r="S10">
        <f t="shared" si="1"/>
        <v>0</v>
      </c>
      <c r="T10">
        <f t="shared" si="1"/>
        <v>0</v>
      </c>
      <c r="U10">
        <f t="shared" si="1"/>
        <v>0</v>
      </c>
      <c r="V10">
        <f t="shared" si="1"/>
        <v>0</v>
      </c>
      <c r="W10">
        <f t="shared" si="1"/>
        <v>0</v>
      </c>
      <c r="X10">
        <f t="shared" si="1"/>
        <v>0</v>
      </c>
      <c r="Y10">
        <f t="shared" si="1"/>
        <v>0</v>
      </c>
    </row>
    <row r="11" spans="1:25" x14ac:dyDescent="0.3">
      <c r="A11" s="393">
        <v>8</v>
      </c>
      <c r="B11" s="1163" t="s">
        <v>382</v>
      </c>
      <c r="C11" s="391" t="s">
        <v>386</v>
      </c>
      <c r="D11" s="394" t="s">
        <v>222</v>
      </c>
      <c r="E11" s="752">
        <f>SUMPRODUCT('Piping Material List'!$U$3:$U$96,'Piping Material List'!$DM$3:$DM$96)</f>
        <v>0</v>
      </c>
      <c r="F11" s="404">
        <f t="shared" si="2"/>
        <v>0</v>
      </c>
      <c r="G11" s="765">
        <f>IFERROR(#REF!/$I$42,0)</f>
        <v>0</v>
      </c>
      <c r="H11" s="766">
        <f>SUMPRODUCT('Piping Material List'!$W$3:$W$96,'Piping Material List'!$DM$3:$DM$96)</f>
        <v>0</v>
      </c>
      <c r="I11" s="1124"/>
      <c r="K11">
        <f t="shared" si="3"/>
        <v>0</v>
      </c>
      <c r="L11">
        <f t="shared" si="1"/>
        <v>0</v>
      </c>
      <c r="M11">
        <f t="shared" si="1"/>
        <v>0</v>
      </c>
      <c r="N11">
        <f t="shared" si="1"/>
        <v>0</v>
      </c>
      <c r="O11">
        <f t="shared" si="1"/>
        <v>0</v>
      </c>
      <c r="P11">
        <f t="shared" si="1"/>
        <v>0</v>
      </c>
      <c r="Q11">
        <f t="shared" si="1"/>
        <v>0</v>
      </c>
      <c r="R11">
        <f t="shared" si="1"/>
        <v>1</v>
      </c>
      <c r="S11">
        <f t="shared" si="1"/>
        <v>0</v>
      </c>
      <c r="T11">
        <f t="shared" si="1"/>
        <v>0</v>
      </c>
      <c r="U11">
        <f t="shared" si="1"/>
        <v>0</v>
      </c>
      <c r="V11">
        <f t="shared" si="1"/>
        <v>0</v>
      </c>
      <c r="W11">
        <f t="shared" si="1"/>
        <v>0</v>
      </c>
      <c r="X11">
        <f t="shared" si="1"/>
        <v>0</v>
      </c>
      <c r="Y11">
        <f t="shared" si="1"/>
        <v>0</v>
      </c>
    </row>
    <row r="12" spans="1:25" x14ac:dyDescent="0.3">
      <c r="A12" s="393">
        <v>9</v>
      </c>
      <c r="B12" s="1163" t="s">
        <v>379</v>
      </c>
      <c r="C12" s="391" t="s">
        <v>387</v>
      </c>
      <c r="D12" s="394" t="s">
        <v>388</v>
      </c>
      <c r="E12" s="753">
        <f>SUMPRODUCT('Piping Material List'!$AG$3:$AG$96,'Piping Material List'!$DI$3:$DI$96)</f>
        <v>284.8</v>
      </c>
      <c r="F12" s="404">
        <f t="shared" si="2"/>
        <v>15</v>
      </c>
      <c r="G12" s="765">
        <f t="shared" ref="G12:G41" si="4">IFERROR(H12/$I$42,0)</f>
        <v>3.5610315094642049E-3</v>
      </c>
      <c r="H12" s="766">
        <f>'Module Fabrication Price List'!$L$27</f>
        <v>4272</v>
      </c>
      <c r="I12" s="1124"/>
      <c r="K12">
        <f t="shared" si="3"/>
        <v>0</v>
      </c>
      <c r="L12">
        <f t="shared" si="1"/>
        <v>0</v>
      </c>
      <c r="M12">
        <f t="shared" si="1"/>
        <v>0</v>
      </c>
      <c r="N12">
        <f t="shared" si="1"/>
        <v>0</v>
      </c>
      <c r="O12">
        <f t="shared" si="1"/>
        <v>0</v>
      </c>
      <c r="P12">
        <f t="shared" si="1"/>
        <v>0</v>
      </c>
      <c r="Q12">
        <f t="shared" si="1"/>
        <v>0</v>
      </c>
      <c r="R12">
        <f t="shared" si="1"/>
        <v>0</v>
      </c>
      <c r="S12">
        <f t="shared" si="1"/>
        <v>0</v>
      </c>
      <c r="T12">
        <f t="shared" si="1"/>
        <v>1</v>
      </c>
      <c r="U12">
        <f t="shared" si="1"/>
        <v>0</v>
      </c>
      <c r="V12">
        <f t="shared" si="1"/>
        <v>0</v>
      </c>
      <c r="W12">
        <f t="shared" si="1"/>
        <v>0</v>
      </c>
      <c r="X12">
        <f t="shared" si="1"/>
        <v>0</v>
      </c>
      <c r="Y12">
        <f t="shared" si="1"/>
        <v>0</v>
      </c>
    </row>
    <row r="13" spans="1:25" x14ac:dyDescent="0.3">
      <c r="A13" s="393">
        <v>10</v>
      </c>
      <c r="B13" s="1163" t="s">
        <v>379</v>
      </c>
      <c r="C13" s="391" t="s">
        <v>389</v>
      </c>
      <c r="D13" s="394" t="s">
        <v>388</v>
      </c>
      <c r="E13" s="752">
        <f>SUMPRODUCT('Piping Material List'!$AG$3:$AG$96,'Piping Material List'!$DK$3:$DK$96)</f>
        <v>1372.8000000000002</v>
      </c>
      <c r="F13" s="404">
        <f t="shared" si="2"/>
        <v>19.999999999999996</v>
      </c>
      <c r="G13" s="765">
        <f t="shared" si="4"/>
        <v>2.2886629476556463E-2</v>
      </c>
      <c r="H13" s="766">
        <f>'Module Fabrication Price List'!$L$57</f>
        <v>27456</v>
      </c>
      <c r="I13" s="1124"/>
      <c r="K13">
        <f t="shared" si="3"/>
        <v>0</v>
      </c>
      <c r="L13">
        <f t="shared" si="1"/>
        <v>0</v>
      </c>
      <c r="M13">
        <f t="shared" si="1"/>
        <v>0</v>
      </c>
      <c r="N13">
        <f t="shared" si="1"/>
        <v>0</v>
      </c>
      <c r="O13">
        <f t="shared" si="1"/>
        <v>0</v>
      </c>
      <c r="P13">
        <f t="shared" si="1"/>
        <v>0</v>
      </c>
      <c r="Q13">
        <f t="shared" si="1"/>
        <v>0</v>
      </c>
      <c r="R13">
        <f t="shared" si="1"/>
        <v>0</v>
      </c>
      <c r="S13">
        <f t="shared" si="1"/>
        <v>0</v>
      </c>
      <c r="T13">
        <f t="shared" si="1"/>
        <v>1</v>
      </c>
      <c r="U13">
        <f t="shared" si="1"/>
        <v>0</v>
      </c>
      <c r="V13">
        <f t="shared" si="1"/>
        <v>0</v>
      </c>
      <c r="W13">
        <f t="shared" si="1"/>
        <v>0</v>
      </c>
      <c r="X13">
        <f t="shared" si="1"/>
        <v>0</v>
      </c>
      <c r="Y13">
        <f t="shared" si="1"/>
        <v>0</v>
      </c>
    </row>
    <row r="14" spans="1:25" x14ac:dyDescent="0.3">
      <c r="A14" s="393">
        <v>11</v>
      </c>
      <c r="B14" s="1163" t="s">
        <v>379</v>
      </c>
      <c r="C14" s="391" t="s">
        <v>390</v>
      </c>
      <c r="D14" s="394" t="s">
        <v>388</v>
      </c>
      <c r="E14" s="752">
        <f>SUMPRODUCT('Piping Material List'!$AG$3:$AG$96,'Piping Material List'!$DL$3:$DL$96)</f>
        <v>0</v>
      </c>
      <c r="F14" s="404">
        <f t="shared" si="2"/>
        <v>0</v>
      </c>
      <c r="G14" s="765">
        <f t="shared" si="4"/>
        <v>0</v>
      </c>
      <c r="H14" s="766">
        <f>'Module Fabrication Price List'!$L$87</f>
        <v>0</v>
      </c>
      <c r="I14" s="1124"/>
      <c r="K14">
        <f t="shared" si="3"/>
        <v>0</v>
      </c>
      <c r="L14">
        <f t="shared" si="1"/>
        <v>0</v>
      </c>
      <c r="M14">
        <f t="shared" si="1"/>
        <v>0</v>
      </c>
      <c r="N14">
        <f t="shared" si="1"/>
        <v>0</v>
      </c>
      <c r="O14">
        <f t="shared" si="1"/>
        <v>0</v>
      </c>
      <c r="P14">
        <f t="shared" si="1"/>
        <v>0</v>
      </c>
      <c r="Q14">
        <f t="shared" si="1"/>
        <v>0</v>
      </c>
      <c r="R14">
        <f t="shared" si="1"/>
        <v>0</v>
      </c>
      <c r="S14">
        <f t="shared" si="1"/>
        <v>0</v>
      </c>
      <c r="T14">
        <f t="shared" si="1"/>
        <v>1</v>
      </c>
      <c r="U14">
        <f t="shared" si="1"/>
        <v>0</v>
      </c>
      <c r="V14">
        <f t="shared" si="1"/>
        <v>0</v>
      </c>
      <c r="W14">
        <f t="shared" si="1"/>
        <v>0</v>
      </c>
      <c r="X14">
        <f t="shared" si="1"/>
        <v>0</v>
      </c>
      <c r="Y14">
        <f t="shared" si="1"/>
        <v>0</v>
      </c>
    </row>
    <row r="15" spans="1:25" x14ac:dyDescent="0.3">
      <c r="A15" s="393">
        <v>12</v>
      </c>
      <c r="B15" s="1163" t="s">
        <v>379</v>
      </c>
      <c r="C15" s="391" t="s">
        <v>391</v>
      </c>
      <c r="D15" s="394" t="s">
        <v>388</v>
      </c>
      <c r="E15" s="752">
        <f>SUMPRODUCT('Piping Material List'!$AG$3:$AG$96,'Piping Material List'!$DM$3:$DM$96)</f>
        <v>0</v>
      </c>
      <c r="F15" s="404">
        <f t="shared" si="2"/>
        <v>0</v>
      </c>
      <c r="G15" s="765">
        <f t="shared" si="4"/>
        <v>0</v>
      </c>
      <c r="H15" s="766">
        <f>'Module Fabrication Price List'!$L$117</f>
        <v>0</v>
      </c>
      <c r="I15" s="1124"/>
      <c r="K15">
        <f t="shared" si="3"/>
        <v>0</v>
      </c>
      <c r="L15">
        <f t="shared" si="1"/>
        <v>0</v>
      </c>
      <c r="M15">
        <f t="shared" si="1"/>
        <v>0</v>
      </c>
      <c r="N15">
        <f t="shared" si="1"/>
        <v>0</v>
      </c>
      <c r="O15">
        <f t="shared" si="1"/>
        <v>0</v>
      </c>
      <c r="P15">
        <f t="shared" si="1"/>
        <v>0</v>
      </c>
      <c r="Q15">
        <f t="shared" si="1"/>
        <v>0</v>
      </c>
      <c r="R15">
        <f t="shared" si="1"/>
        <v>0</v>
      </c>
      <c r="S15">
        <f t="shared" si="1"/>
        <v>0</v>
      </c>
      <c r="T15">
        <f t="shared" si="1"/>
        <v>1</v>
      </c>
      <c r="U15">
        <f t="shared" si="1"/>
        <v>0</v>
      </c>
      <c r="V15">
        <f t="shared" si="1"/>
        <v>0</v>
      </c>
      <c r="W15">
        <f t="shared" si="1"/>
        <v>0</v>
      </c>
      <c r="X15">
        <f t="shared" si="1"/>
        <v>0</v>
      </c>
      <c r="Y15">
        <f t="shared" si="1"/>
        <v>0</v>
      </c>
    </row>
    <row r="16" spans="1:25" x14ac:dyDescent="0.3">
      <c r="A16" s="393">
        <v>13</v>
      </c>
      <c r="B16" s="1163" t="s">
        <v>379</v>
      </c>
      <c r="C16" s="391" t="s">
        <v>392</v>
      </c>
      <c r="D16" s="394" t="s">
        <v>393</v>
      </c>
      <c r="E16" s="752">
        <v>1</v>
      </c>
      <c r="F16" s="404">
        <f t="shared" si="2"/>
        <v>10379.55975856017</v>
      </c>
      <c r="G16" s="765">
        <f t="shared" si="4"/>
        <v>8.6521393620317046E-3</v>
      </c>
      <c r="H16" s="766">
        <f>SUM('Module Fabrication Price List'!$L$148,'Module Fabrication Price List'!$L$176,'Module Fabrication Price List'!$L$204,'Module Fabrication Price List'!$L$232,'Module Fabrication Price List'!$L$260,'Module Fabrication Price List'!$L$262,'Module Fabrication Price List'!$L$265,'Module Fabrication Price List'!$L$270)</f>
        <v>10379.55975856017</v>
      </c>
      <c r="I16" s="1124"/>
      <c r="K16">
        <f t="shared" si="3"/>
        <v>0</v>
      </c>
      <c r="L16">
        <f t="shared" si="1"/>
        <v>0</v>
      </c>
      <c r="M16">
        <f t="shared" si="1"/>
        <v>0</v>
      </c>
      <c r="N16">
        <f t="shared" si="1"/>
        <v>0</v>
      </c>
      <c r="O16">
        <f t="shared" si="1"/>
        <v>0</v>
      </c>
      <c r="P16">
        <f t="shared" si="1"/>
        <v>0</v>
      </c>
      <c r="Q16">
        <f t="shared" si="1"/>
        <v>0</v>
      </c>
      <c r="R16">
        <f t="shared" si="1"/>
        <v>0</v>
      </c>
      <c r="S16">
        <f t="shared" si="1"/>
        <v>0</v>
      </c>
      <c r="T16">
        <f t="shared" si="1"/>
        <v>1</v>
      </c>
      <c r="U16">
        <f t="shared" si="1"/>
        <v>0</v>
      </c>
      <c r="V16">
        <f t="shared" si="1"/>
        <v>0</v>
      </c>
      <c r="W16">
        <f t="shared" si="1"/>
        <v>0</v>
      </c>
      <c r="X16">
        <f t="shared" si="1"/>
        <v>0</v>
      </c>
      <c r="Y16">
        <f t="shared" si="1"/>
        <v>0</v>
      </c>
    </row>
    <row r="17" spans="1:25" x14ac:dyDescent="0.3">
      <c r="A17" s="393">
        <v>14</v>
      </c>
      <c r="B17" s="1163" t="s">
        <v>394</v>
      </c>
      <c r="C17" s="391" t="s">
        <v>395</v>
      </c>
      <c r="D17" s="394" t="s">
        <v>301</v>
      </c>
      <c r="E17" s="752">
        <f>SUM('Valve List'!AV3:AV99)</f>
        <v>40</v>
      </c>
      <c r="F17" s="404">
        <f t="shared" si="2"/>
        <v>1578</v>
      </c>
      <c r="G17" s="765">
        <f t="shared" si="4"/>
        <v>5.2615240842083473E-2</v>
      </c>
      <c r="H17" s="766">
        <f>SUM('Valve List'!BA3:BA99)</f>
        <v>63120</v>
      </c>
      <c r="I17" s="1124"/>
      <c r="K17">
        <f t="shared" si="3"/>
        <v>0</v>
      </c>
      <c r="L17">
        <f t="shared" si="1"/>
        <v>0</v>
      </c>
      <c r="M17">
        <f t="shared" si="1"/>
        <v>0</v>
      </c>
      <c r="N17">
        <f t="shared" si="1"/>
        <v>0</v>
      </c>
      <c r="O17">
        <f t="shared" si="1"/>
        <v>1</v>
      </c>
      <c r="P17">
        <f t="shared" si="1"/>
        <v>0</v>
      </c>
      <c r="Q17">
        <f t="shared" si="1"/>
        <v>0</v>
      </c>
      <c r="R17">
        <f t="shared" si="1"/>
        <v>0</v>
      </c>
      <c r="S17">
        <f t="shared" si="1"/>
        <v>0</v>
      </c>
      <c r="T17">
        <f t="shared" si="1"/>
        <v>0</v>
      </c>
      <c r="U17">
        <f t="shared" si="1"/>
        <v>0</v>
      </c>
      <c r="V17">
        <f t="shared" si="1"/>
        <v>0</v>
      </c>
      <c r="W17">
        <f t="shared" si="1"/>
        <v>0</v>
      </c>
      <c r="X17">
        <f t="shared" si="1"/>
        <v>0</v>
      </c>
      <c r="Y17">
        <f t="shared" si="1"/>
        <v>0</v>
      </c>
    </row>
    <row r="18" spans="1:25" x14ac:dyDescent="0.3">
      <c r="A18" s="393">
        <v>15</v>
      </c>
      <c r="B18" s="1163" t="s">
        <v>396</v>
      </c>
      <c r="C18" s="391" t="s">
        <v>397</v>
      </c>
      <c r="D18" s="394" t="s">
        <v>393</v>
      </c>
      <c r="E18" s="752">
        <v>1</v>
      </c>
      <c r="F18" s="404">
        <f t="shared" si="2"/>
        <v>296402.8</v>
      </c>
      <c r="G18" s="765">
        <f t="shared" si="4"/>
        <v>0.24707390222224176</v>
      </c>
      <c r="H18" s="766">
        <f>SUM('Instrument List'!AG4:AG67)</f>
        <v>296402.8</v>
      </c>
      <c r="I18" s="1124"/>
      <c r="K18">
        <f t="shared" si="3"/>
        <v>0</v>
      </c>
      <c r="L18">
        <f t="shared" si="1"/>
        <v>0</v>
      </c>
      <c r="M18">
        <f t="shared" si="1"/>
        <v>0</v>
      </c>
      <c r="N18">
        <f t="shared" si="1"/>
        <v>0</v>
      </c>
      <c r="O18">
        <f t="shared" si="1"/>
        <v>0</v>
      </c>
      <c r="P18">
        <f t="shared" si="1"/>
        <v>1</v>
      </c>
      <c r="Q18">
        <f t="shared" si="1"/>
        <v>0</v>
      </c>
      <c r="R18">
        <f t="shared" si="1"/>
        <v>0</v>
      </c>
      <c r="S18">
        <f t="shared" si="1"/>
        <v>0</v>
      </c>
      <c r="T18">
        <f t="shared" si="1"/>
        <v>0</v>
      </c>
      <c r="U18">
        <f t="shared" si="1"/>
        <v>0</v>
      </c>
      <c r="V18">
        <f t="shared" si="1"/>
        <v>0</v>
      </c>
      <c r="W18">
        <f t="shared" si="1"/>
        <v>0</v>
      </c>
      <c r="X18">
        <f t="shared" si="1"/>
        <v>0</v>
      </c>
      <c r="Y18">
        <f t="shared" si="1"/>
        <v>0</v>
      </c>
    </row>
    <row r="19" spans="1:25" x14ac:dyDescent="0.3">
      <c r="A19" s="393">
        <v>16</v>
      </c>
      <c r="B19" s="1163" t="s">
        <v>398</v>
      </c>
      <c r="C19" s="391" t="s">
        <v>399</v>
      </c>
      <c r="D19" s="394" t="s">
        <v>393</v>
      </c>
      <c r="E19" s="752">
        <v>1</v>
      </c>
      <c r="F19" s="404">
        <f t="shared" si="2"/>
        <v>325800</v>
      </c>
      <c r="G19" s="765">
        <f t="shared" si="4"/>
        <v>0.27157866708413808</v>
      </c>
      <c r="H19" s="766">
        <f>'Equip&amp;Mach List'!V1</f>
        <v>325800</v>
      </c>
      <c r="I19" s="1124"/>
      <c r="K19">
        <f t="shared" si="3"/>
        <v>0</v>
      </c>
      <c r="L19">
        <f t="shared" si="1"/>
        <v>1</v>
      </c>
      <c r="M19">
        <f t="shared" si="1"/>
        <v>0</v>
      </c>
      <c r="N19">
        <f t="shared" si="1"/>
        <v>0</v>
      </c>
      <c r="O19">
        <f t="shared" si="1"/>
        <v>0</v>
      </c>
      <c r="P19">
        <f t="shared" si="1"/>
        <v>0</v>
      </c>
      <c r="Q19">
        <f t="shared" si="1"/>
        <v>0</v>
      </c>
      <c r="R19">
        <f t="shared" si="1"/>
        <v>0</v>
      </c>
      <c r="S19">
        <f t="shared" si="1"/>
        <v>0</v>
      </c>
      <c r="T19">
        <f t="shared" si="1"/>
        <v>0</v>
      </c>
      <c r="U19">
        <f t="shared" si="1"/>
        <v>0</v>
      </c>
      <c r="V19">
        <f t="shared" si="1"/>
        <v>0</v>
      </c>
      <c r="W19">
        <f t="shared" si="1"/>
        <v>0</v>
      </c>
      <c r="X19">
        <f t="shared" si="1"/>
        <v>0</v>
      </c>
      <c r="Y19">
        <f t="shared" si="1"/>
        <v>0</v>
      </c>
    </row>
    <row r="20" spans="1:25" x14ac:dyDescent="0.3">
      <c r="A20" s="393">
        <v>17</v>
      </c>
      <c r="B20" s="1163" t="s">
        <v>400</v>
      </c>
      <c r="C20" s="391" t="s">
        <v>401</v>
      </c>
      <c r="D20" s="394" t="s">
        <v>393</v>
      </c>
      <c r="E20" s="752">
        <v>1</v>
      </c>
      <c r="F20" s="404">
        <f t="shared" si="2"/>
        <v>163000</v>
      </c>
      <c r="G20" s="765">
        <f t="shared" si="4"/>
        <v>0.13587269102122318</v>
      </c>
      <c r="H20" s="766">
        <f>'Equip&amp;Mach List'!V30</f>
        <v>163000</v>
      </c>
      <c r="I20" s="1124"/>
      <c r="K20">
        <f t="shared" si="3"/>
        <v>0</v>
      </c>
      <c r="L20">
        <f t="shared" si="3"/>
        <v>0</v>
      </c>
      <c r="M20">
        <f t="shared" si="3"/>
        <v>0</v>
      </c>
      <c r="N20">
        <f t="shared" si="3"/>
        <v>1</v>
      </c>
      <c r="O20">
        <f t="shared" si="3"/>
        <v>0</v>
      </c>
      <c r="P20">
        <f t="shared" si="3"/>
        <v>0</v>
      </c>
      <c r="Q20">
        <f t="shared" si="3"/>
        <v>0</v>
      </c>
      <c r="R20">
        <f t="shared" si="3"/>
        <v>0</v>
      </c>
      <c r="S20">
        <f t="shared" si="3"/>
        <v>0</v>
      </c>
      <c r="T20">
        <f t="shared" si="3"/>
        <v>0</v>
      </c>
      <c r="U20">
        <f t="shared" si="3"/>
        <v>0</v>
      </c>
      <c r="V20">
        <f t="shared" si="3"/>
        <v>0</v>
      </c>
      <c r="W20">
        <f t="shared" si="3"/>
        <v>0</v>
      </c>
      <c r="X20">
        <f t="shared" si="3"/>
        <v>0</v>
      </c>
      <c r="Y20">
        <f t="shared" si="3"/>
        <v>0</v>
      </c>
    </row>
    <row r="21" spans="1:25" x14ac:dyDescent="0.3">
      <c r="A21" s="393">
        <v>18</v>
      </c>
      <c r="B21" s="1163" t="s">
        <v>402</v>
      </c>
      <c r="C21" s="391" t="s">
        <v>403</v>
      </c>
      <c r="D21" s="394" t="s">
        <v>393</v>
      </c>
      <c r="E21" s="752">
        <v>1</v>
      </c>
      <c r="F21" s="404">
        <f t="shared" si="2"/>
        <v>3000</v>
      </c>
      <c r="G21" s="765">
        <f t="shared" si="4"/>
        <v>2.5007243746237393E-3</v>
      </c>
      <c r="H21" s="766">
        <f>'Equip&amp;Mach List'!AA5</f>
        <v>3000</v>
      </c>
      <c r="I21" s="1124"/>
      <c r="K21">
        <f t="shared" si="3"/>
        <v>0</v>
      </c>
      <c r="L21">
        <f t="shared" si="3"/>
        <v>0</v>
      </c>
      <c r="M21">
        <f t="shared" si="3"/>
        <v>0</v>
      </c>
      <c r="N21">
        <f t="shared" si="3"/>
        <v>0</v>
      </c>
      <c r="O21">
        <f t="shared" si="3"/>
        <v>0</v>
      </c>
      <c r="P21">
        <f t="shared" si="3"/>
        <v>0</v>
      </c>
      <c r="Q21">
        <f t="shared" si="3"/>
        <v>0</v>
      </c>
      <c r="R21">
        <f t="shared" si="3"/>
        <v>0</v>
      </c>
      <c r="S21">
        <f t="shared" si="3"/>
        <v>0</v>
      </c>
      <c r="T21">
        <f t="shared" si="3"/>
        <v>0</v>
      </c>
      <c r="U21">
        <f t="shared" si="3"/>
        <v>0</v>
      </c>
      <c r="V21">
        <f t="shared" si="3"/>
        <v>0</v>
      </c>
      <c r="W21">
        <f t="shared" si="3"/>
        <v>0</v>
      </c>
      <c r="X21">
        <f t="shared" si="3"/>
        <v>1</v>
      </c>
      <c r="Y21">
        <f t="shared" si="3"/>
        <v>0</v>
      </c>
    </row>
    <row r="22" spans="1:25" x14ac:dyDescent="0.3">
      <c r="A22" s="393">
        <v>19</v>
      </c>
      <c r="B22" s="1163" t="s">
        <v>379</v>
      </c>
      <c r="C22" s="391" t="s">
        <v>404</v>
      </c>
      <c r="D22" s="394" t="s">
        <v>222</v>
      </c>
      <c r="E22" s="752">
        <f>E4</f>
        <v>14343.80717102722</v>
      </c>
      <c r="F22" s="404">
        <f t="shared" si="2"/>
        <v>0.45080803920557239</v>
      </c>
      <c r="G22" s="765">
        <f t="shared" si="4"/>
        <v>5.3901476633369215E-3</v>
      </c>
      <c r="H22" s="766">
        <f>'Module Fabrication Price List'!L274</f>
        <v>6466.3035855136095</v>
      </c>
      <c r="I22" s="1124"/>
      <c r="K22">
        <f t="shared" si="3"/>
        <v>0</v>
      </c>
      <c r="L22">
        <f t="shared" si="3"/>
        <v>0</v>
      </c>
      <c r="M22">
        <f t="shared" si="3"/>
        <v>0</v>
      </c>
      <c r="N22">
        <f t="shared" si="3"/>
        <v>0</v>
      </c>
      <c r="O22">
        <f t="shared" si="3"/>
        <v>0</v>
      </c>
      <c r="P22">
        <f t="shared" si="3"/>
        <v>0</v>
      </c>
      <c r="Q22">
        <f t="shared" si="3"/>
        <v>0</v>
      </c>
      <c r="R22">
        <f t="shared" si="3"/>
        <v>0</v>
      </c>
      <c r="S22">
        <f t="shared" si="3"/>
        <v>0</v>
      </c>
      <c r="T22">
        <f t="shared" si="3"/>
        <v>1</v>
      </c>
      <c r="U22">
        <f t="shared" si="3"/>
        <v>0</v>
      </c>
      <c r="V22">
        <f t="shared" si="3"/>
        <v>0</v>
      </c>
      <c r="W22">
        <f t="shared" si="3"/>
        <v>0</v>
      </c>
      <c r="X22">
        <f t="shared" si="3"/>
        <v>0</v>
      </c>
      <c r="Y22">
        <f t="shared" si="3"/>
        <v>0</v>
      </c>
    </row>
    <row r="23" spans="1:25" x14ac:dyDescent="0.3">
      <c r="A23" s="393">
        <v>20</v>
      </c>
      <c r="B23" s="1163" t="s">
        <v>379</v>
      </c>
      <c r="C23" s="391" t="s">
        <v>405</v>
      </c>
      <c r="D23" s="394" t="s">
        <v>222</v>
      </c>
      <c r="E23" s="752">
        <f>SUM('Module Fabrication Price List'!J281:J298)</f>
        <v>3338.3731723734468</v>
      </c>
      <c r="F23" s="404">
        <f t="shared" si="2"/>
        <v>0.5</v>
      </c>
      <c r="G23" s="765">
        <f t="shared" si="4"/>
        <v>1.3913918606240428E-3</v>
      </c>
      <c r="H23" s="766">
        <f>'Module Fabrication Price List'!L280</f>
        <v>1669.1865861867234</v>
      </c>
      <c r="I23" s="1124"/>
      <c r="K23">
        <f t="shared" si="3"/>
        <v>0</v>
      </c>
      <c r="L23">
        <f t="shared" si="3"/>
        <v>0</v>
      </c>
      <c r="M23">
        <f t="shared" si="3"/>
        <v>0</v>
      </c>
      <c r="N23">
        <f t="shared" si="3"/>
        <v>0</v>
      </c>
      <c r="O23">
        <f t="shared" si="3"/>
        <v>0</v>
      </c>
      <c r="P23">
        <f t="shared" si="3"/>
        <v>0</v>
      </c>
      <c r="Q23">
        <f t="shared" si="3"/>
        <v>0</v>
      </c>
      <c r="R23">
        <f t="shared" si="3"/>
        <v>0</v>
      </c>
      <c r="S23">
        <f t="shared" si="3"/>
        <v>0</v>
      </c>
      <c r="T23">
        <f t="shared" si="3"/>
        <v>1</v>
      </c>
      <c r="U23">
        <f t="shared" si="3"/>
        <v>0</v>
      </c>
      <c r="V23">
        <f t="shared" si="3"/>
        <v>0</v>
      </c>
      <c r="W23">
        <f t="shared" si="3"/>
        <v>0</v>
      </c>
      <c r="X23">
        <f t="shared" si="3"/>
        <v>0</v>
      </c>
      <c r="Y23">
        <f t="shared" si="3"/>
        <v>0</v>
      </c>
    </row>
    <row r="24" spans="1:25" x14ac:dyDescent="0.3">
      <c r="A24" s="393">
        <v>21</v>
      </c>
      <c r="B24" s="1163" t="s">
        <v>379</v>
      </c>
      <c r="C24" s="391" t="s">
        <v>406</v>
      </c>
      <c r="D24" s="394" t="s">
        <v>222</v>
      </c>
      <c r="E24" s="752">
        <f>SUM('Module Fabrication Price List'!J300:J317)</f>
        <v>2089.5</v>
      </c>
      <c r="F24" s="404">
        <f t="shared" si="2"/>
        <v>0.53374012921751612</v>
      </c>
      <c r="G24" s="765">
        <f t="shared" si="4"/>
        <v>9.2964428626637506E-4</v>
      </c>
      <c r="H24" s="766">
        <f>'Module Fabrication Price List'!L299</f>
        <v>1115.25</v>
      </c>
      <c r="I24" s="1124"/>
      <c r="K24">
        <f t="shared" si="3"/>
        <v>0</v>
      </c>
      <c r="L24">
        <f t="shared" si="3"/>
        <v>0</v>
      </c>
      <c r="M24">
        <f t="shared" si="3"/>
        <v>0</v>
      </c>
      <c r="N24">
        <f t="shared" si="3"/>
        <v>0</v>
      </c>
      <c r="O24">
        <f t="shared" si="3"/>
        <v>0</v>
      </c>
      <c r="P24">
        <f t="shared" si="3"/>
        <v>0</v>
      </c>
      <c r="Q24">
        <f t="shared" si="3"/>
        <v>0</v>
      </c>
      <c r="R24">
        <f t="shared" si="3"/>
        <v>0</v>
      </c>
      <c r="S24">
        <f t="shared" si="3"/>
        <v>0</v>
      </c>
      <c r="T24">
        <f t="shared" si="3"/>
        <v>1</v>
      </c>
      <c r="U24">
        <f t="shared" si="3"/>
        <v>0</v>
      </c>
      <c r="V24">
        <f t="shared" si="3"/>
        <v>0</v>
      </c>
      <c r="W24">
        <f t="shared" si="3"/>
        <v>0</v>
      </c>
      <c r="X24">
        <f t="shared" si="3"/>
        <v>0</v>
      </c>
      <c r="Y24">
        <f t="shared" si="3"/>
        <v>0</v>
      </c>
    </row>
    <row r="25" spans="1:25" x14ac:dyDescent="0.3">
      <c r="A25" s="393">
        <v>22</v>
      </c>
      <c r="B25" s="1163" t="s">
        <v>379</v>
      </c>
      <c r="C25" s="391" t="s">
        <v>407</v>
      </c>
      <c r="D25" s="394" t="s">
        <v>222</v>
      </c>
      <c r="E25" s="752">
        <f>SUM('Module Fabrication Price List'!J319:J338)</f>
        <v>14450</v>
      </c>
      <c r="F25" s="404">
        <f t="shared" si="2"/>
        <v>0.97664359861591699</v>
      </c>
      <c r="G25" s="765">
        <f t="shared" si="4"/>
        <v>1.176382424562584E-2</v>
      </c>
      <c r="H25" s="766">
        <f>'Module Fabrication Price List'!L318</f>
        <v>14112.5</v>
      </c>
      <c r="I25" s="1124"/>
      <c r="K25">
        <f t="shared" si="3"/>
        <v>0</v>
      </c>
      <c r="L25">
        <f t="shared" si="3"/>
        <v>0</v>
      </c>
      <c r="M25">
        <f t="shared" si="3"/>
        <v>0</v>
      </c>
      <c r="N25">
        <f t="shared" si="3"/>
        <v>0</v>
      </c>
      <c r="O25">
        <f t="shared" si="3"/>
        <v>0</v>
      </c>
      <c r="P25">
        <f t="shared" si="3"/>
        <v>0</v>
      </c>
      <c r="Q25">
        <f t="shared" si="3"/>
        <v>0</v>
      </c>
      <c r="R25">
        <f t="shared" si="3"/>
        <v>0</v>
      </c>
      <c r="S25">
        <f t="shared" si="3"/>
        <v>0</v>
      </c>
      <c r="T25">
        <f t="shared" si="3"/>
        <v>1</v>
      </c>
      <c r="U25">
        <f t="shared" si="3"/>
        <v>0</v>
      </c>
      <c r="V25">
        <f t="shared" si="3"/>
        <v>0</v>
      </c>
      <c r="W25">
        <f t="shared" si="3"/>
        <v>0</v>
      </c>
      <c r="X25">
        <f t="shared" si="3"/>
        <v>0</v>
      </c>
      <c r="Y25">
        <f t="shared" si="3"/>
        <v>0</v>
      </c>
    </row>
    <row r="26" spans="1:25" x14ac:dyDescent="0.3">
      <c r="A26" s="393">
        <v>23</v>
      </c>
      <c r="B26" s="1163" t="s">
        <v>379</v>
      </c>
      <c r="C26" s="391" t="s">
        <v>408</v>
      </c>
      <c r="D26" s="394" t="s">
        <v>222</v>
      </c>
      <c r="E26" s="752">
        <f>SUM('Module Fabrication Price List'!J340:J359)</f>
        <v>3650</v>
      </c>
      <c r="F26" s="404">
        <f t="shared" si="2"/>
        <v>0.82876712328767121</v>
      </c>
      <c r="G26" s="765">
        <f t="shared" si="4"/>
        <v>2.5215637444122706E-3</v>
      </c>
      <c r="H26" s="766">
        <f>'Module Fabrication Price List'!L339</f>
        <v>3025</v>
      </c>
      <c r="I26" s="1124"/>
      <c r="K26">
        <f t="shared" si="3"/>
        <v>0</v>
      </c>
      <c r="L26">
        <f t="shared" si="3"/>
        <v>0</v>
      </c>
      <c r="M26">
        <f t="shared" si="3"/>
        <v>0</v>
      </c>
      <c r="N26">
        <f t="shared" si="3"/>
        <v>0</v>
      </c>
      <c r="O26">
        <f t="shared" si="3"/>
        <v>0</v>
      </c>
      <c r="P26">
        <f t="shared" si="3"/>
        <v>0</v>
      </c>
      <c r="Q26">
        <f t="shared" si="3"/>
        <v>0</v>
      </c>
      <c r="R26">
        <f t="shared" si="3"/>
        <v>0</v>
      </c>
      <c r="S26">
        <f t="shared" si="3"/>
        <v>0</v>
      </c>
      <c r="T26">
        <f t="shared" si="3"/>
        <v>1</v>
      </c>
      <c r="U26">
        <f t="shared" si="3"/>
        <v>0</v>
      </c>
      <c r="V26">
        <f t="shared" si="3"/>
        <v>0</v>
      </c>
      <c r="W26">
        <f t="shared" si="3"/>
        <v>0</v>
      </c>
      <c r="X26">
        <f t="shared" si="3"/>
        <v>0</v>
      </c>
      <c r="Y26">
        <f t="shared" si="3"/>
        <v>0</v>
      </c>
    </row>
    <row r="27" spans="1:25" x14ac:dyDescent="0.3">
      <c r="A27" s="393">
        <v>24</v>
      </c>
      <c r="B27" s="1163" t="s">
        <v>379</v>
      </c>
      <c r="C27" s="391" t="s">
        <v>409</v>
      </c>
      <c r="D27" s="394" t="s">
        <v>301</v>
      </c>
      <c r="E27" s="752">
        <f>'Module Fabrication Price List'!J362</f>
        <v>1</v>
      </c>
      <c r="F27" s="404">
        <f t="shared" si="2"/>
        <v>0</v>
      </c>
      <c r="G27" s="765">
        <f t="shared" si="4"/>
        <v>0</v>
      </c>
      <c r="H27" s="766">
        <f>'Module Fabrication Price List'!L361</f>
        <v>0</v>
      </c>
      <c r="I27" s="1124"/>
      <c r="K27">
        <f t="shared" si="3"/>
        <v>0</v>
      </c>
      <c r="L27">
        <f t="shared" si="3"/>
        <v>0</v>
      </c>
      <c r="M27">
        <f t="shared" si="3"/>
        <v>0</v>
      </c>
      <c r="N27">
        <f t="shared" si="3"/>
        <v>0</v>
      </c>
      <c r="O27">
        <f t="shared" si="3"/>
        <v>0</v>
      </c>
      <c r="P27">
        <f t="shared" si="3"/>
        <v>0</v>
      </c>
      <c r="Q27">
        <f t="shared" si="3"/>
        <v>0</v>
      </c>
      <c r="R27">
        <f t="shared" si="3"/>
        <v>0</v>
      </c>
      <c r="S27">
        <f t="shared" si="3"/>
        <v>0</v>
      </c>
      <c r="T27">
        <f t="shared" si="3"/>
        <v>1</v>
      </c>
      <c r="U27">
        <f t="shared" si="3"/>
        <v>0</v>
      </c>
      <c r="V27">
        <f t="shared" si="3"/>
        <v>0</v>
      </c>
      <c r="W27">
        <f t="shared" si="3"/>
        <v>0</v>
      </c>
      <c r="X27">
        <f t="shared" si="3"/>
        <v>0</v>
      </c>
      <c r="Y27">
        <f t="shared" si="3"/>
        <v>0</v>
      </c>
    </row>
    <row r="28" spans="1:25" x14ac:dyDescent="0.3">
      <c r="A28" s="393">
        <v>25</v>
      </c>
      <c r="B28" s="1163" t="s">
        <v>410</v>
      </c>
      <c r="C28" s="391" t="s">
        <v>411</v>
      </c>
      <c r="D28" s="394" t="s">
        <v>225</v>
      </c>
      <c r="E28" s="1105">
        <f>SUM('Module Fabrication Price List'!J365:J439)</f>
        <v>245.79999999999998</v>
      </c>
      <c r="F28" s="1107">
        <f t="shared" si="2"/>
        <v>49.79658258746948</v>
      </c>
      <c r="G28" s="1108">
        <f t="shared" si="4"/>
        <v>1.0202955448464855E-2</v>
      </c>
      <c r="H28" s="1109">
        <f>'Module Fabrication Price List'!L363</f>
        <v>12239.999999999998</v>
      </c>
      <c r="I28" s="1124"/>
      <c r="K28">
        <f t="shared" si="3"/>
        <v>0</v>
      </c>
      <c r="L28">
        <f t="shared" si="3"/>
        <v>0</v>
      </c>
      <c r="M28">
        <f t="shared" si="3"/>
        <v>0</v>
      </c>
      <c r="N28">
        <f t="shared" si="3"/>
        <v>0</v>
      </c>
      <c r="O28">
        <f t="shared" si="3"/>
        <v>0</v>
      </c>
      <c r="P28">
        <f t="shared" si="3"/>
        <v>0</v>
      </c>
      <c r="Q28">
        <f t="shared" si="3"/>
        <v>0</v>
      </c>
      <c r="R28">
        <f t="shared" si="3"/>
        <v>0</v>
      </c>
      <c r="S28">
        <f t="shared" si="3"/>
        <v>0</v>
      </c>
      <c r="T28">
        <f t="shared" si="3"/>
        <v>0</v>
      </c>
      <c r="U28">
        <f t="shared" si="3"/>
        <v>1</v>
      </c>
      <c r="V28">
        <f t="shared" si="3"/>
        <v>0</v>
      </c>
      <c r="W28">
        <f t="shared" si="3"/>
        <v>0</v>
      </c>
      <c r="X28">
        <f t="shared" si="3"/>
        <v>0</v>
      </c>
      <c r="Y28">
        <f t="shared" si="3"/>
        <v>0</v>
      </c>
    </row>
    <row r="29" spans="1:25" x14ac:dyDescent="0.3">
      <c r="A29" s="393">
        <v>26</v>
      </c>
      <c r="B29" s="1163" t="s">
        <v>379</v>
      </c>
      <c r="C29" s="1106" t="s">
        <v>412</v>
      </c>
      <c r="D29" s="394" t="s">
        <v>393</v>
      </c>
      <c r="E29" s="1105">
        <v>1</v>
      </c>
      <c r="F29" s="862">
        <v>1500</v>
      </c>
      <c r="G29" s="1108">
        <f t="shared" si="4"/>
        <v>1.2503621873118697E-3</v>
      </c>
      <c r="H29" s="1110">
        <f>F29*E29</f>
        <v>1500</v>
      </c>
      <c r="I29" s="1125"/>
      <c r="K29">
        <f t="shared" si="3"/>
        <v>0</v>
      </c>
      <c r="L29">
        <f t="shared" si="3"/>
        <v>0</v>
      </c>
      <c r="M29">
        <f t="shared" si="3"/>
        <v>0</v>
      </c>
      <c r="N29">
        <f t="shared" si="3"/>
        <v>0</v>
      </c>
      <c r="O29">
        <f t="shared" si="3"/>
        <v>0</v>
      </c>
      <c r="P29">
        <f t="shared" si="3"/>
        <v>0</v>
      </c>
      <c r="Q29">
        <f t="shared" si="3"/>
        <v>0</v>
      </c>
      <c r="R29">
        <f t="shared" si="3"/>
        <v>0</v>
      </c>
      <c r="S29">
        <f t="shared" si="3"/>
        <v>0</v>
      </c>
      <c r="T29">
        <f t="shared" si="3"/>
        <v>1</v>
      </c>
      <c r="U29">
        <f t="shared" si="3"/>
        <v>0</v>
      </c>
      <c r="V29">
        <f t="shared" si="3"/>
        <v>0</v>
      </c>
      <c r="W29">
        <f t="shared" si="3"/>
        <v>0</v>
      </c>
      <c r="X29">
        <f t="shared" si="3"/>
        <v>0</v>
      </c>
      <c r="Y29">
        <f t="shared" si="3"/>
        <v>0</v>
      </c>
    </row>
    <row r="30" spans="1:25" x14ac:dyDescent="0.3">
      <c r="A30" s="393">
        <v>27</v>
      </c>
      <c r="B30" s="1163" t="s">
        <v>379</v>
      </c>
      <c r="C30" s="1106" t="s">
        <v>413</v>
      </c>
      <c r="D30" s="1105" t="s">
        <v>414</v>
      </c>
      <c r="E30" s="1105">
        <f>SUM('Instrument List'!$AC:$AC)</f>
        <v>272.5</v>
      </c>
      <c r="F30" s="862">
        <v>30</v>
      </c>
      <c r="G30" s="1108">
        <f t="shared" si="4"/>
        <v>6.8144739208496896E-3</v>
      </c>
      <c r="H30" s="1110">
        <f t="shared" ref="H30:H41" si="5">F30*E30</f>
        <v>8175</v>
      </c>
      <c r="I30" s="1125" t="s">
        <v>415</v>
      </c>
      <c r="K30">
        <f t="shared" si="3"/>
        <v>0</v>
      </c>
      <c r="L30">
        <f t="shared" si="3"/>
        <v>0</v>
      </c>
      <c r="M30">
        <f t="shared" si="3"/>
        <v>0</v>
      </c>
      <c r="N30">
        <f t="shared" si="3"/>
        <v>0</v>
      </c>
      <c r="O30">
        <f t="shared" si="3"/>
        <v>0</v>
      </c>
      <c r="P30">
        <f t="shared" si="3"/>
        <v>0</v>
      </c>
      <c r="Q30">
        <f t="shared" si="3"/>
        <v>0</v>
      </c>
      <c r="R30">
        <f t="shared" si="3"/>
        <v>0</v>
      </c>
      <c r="S30">
        <f t="shared" si="3"/>
        <v>0</v>
      </c>
      <c r="T30">
        <f t="shared" si="3"/>
        <v>1</v>
      </c>
      <c r="U30">
        <f t="shared" si="3"/>
        <v>0</v>
      </c>
      <c r="V30">
        <f t="shared" si="3"/>
        <v>0</v>
      </c>
      <c r="W30">
        <f t="shared" si="3"/>
        <v>0</v>
      </c>
      <c r="X30">
        <f t="shared" si="3"/>
        <v>0</v>
      </c>
      <c r="Y30">
        <f t="shared" si="3"/>
        <v>0</v>
      </c>
    </row>
    <row r="31" spans="1:25" x14ac:dyDescent="0.3">
      <c r="A31" s="393">
        <v>28</v>
      </c>
      <c r="B31" s="1164" t="s">
        <v>379</v>
      </c>
      <c r="C31" s="1106" t="s">
        <v>103</v>
      </c>
      <c r="D31" s="1105" t="s">
        <v>228</v>
      </c>
      <c r="E31" s="1105">
        <f>'Proposal Quantity Report'!$B$40</f>
        <v>567.3357326718625</v>
      </c>
      <c r="F31" s="1107">
        <f>IFERROR(H31/E31,0)</f>
        <v>43.757347746214855</v>
      </c>
      <c r="G31" s="1108">
        <f t="shared" si="4"/>
        <v>2.0693583345314029E-2</v>
      </c>
      <c r="H31" s="1110">
        <f>'Proposal Quantity Report'!$I$40</f>
        <v>24825.106943376275</v>
      </c>
      <c r="I31" s="1125" t="s">
        <v>416</v>
      </c>
      <c r="K31">
        <f t="shared" si="3"/>
        <v>0</v>
      </c>
      <c r="L31">
        <f t="shared" si="3"/>
        <v>0</v>
      </c>
      <c r="M31">
        <f t="shared" si="3"/>
        <v>0</v>
      </c>
      <c r="N31">
        <f t="shared" si="3"/>
        <v>0</v>
      </c>
      <c r="O31">
        <f t="shared" si="3"/>
        <v>0</v>
      </c>
      <c r="P31">
        <f t="shared" si="3"/>
        <v>0</v>
      </c>
      <c r="Q31">
        <f t="shared" si="3"/>
        <v>0</v>
      </c>
      <c r="R31">
        <f t="shared" si="3"/>
        <v>0</v>
      </c>
      <c r="S31">
        <f t="shared" si="3"/>
        <v>0</v>
      </c>
      <c r="T31">
        <f t="shared" si="3"/>
        <v>1</v>
      </c>
      <c r="U31">
        <f t="shared" si="3"/>
        <v>0</v>
      </c>
      <c r="V31">
        <f t="shared" si="3"/>
        <v>0</v>
      </c>
      <c r="W31">
        <f t="shared" si="3"/>
        <v>0</v>
      </c>
      <c r="X31">
        <f t="shared" si="3"/>
        <v>0</v>
      </c>
      <c r="Y31">
        <f t="shared" si="3"/>
        <v>0</v>
      </c>
    </row>
    <row r="32" spans="1:25" x14ac:dyDescent="0.3">
      <c r="A32" s="393">
        <v>29</v>
      </c>
      <c r="B32" s="1282" t="s">
        <v>379</v>
      </c>
      <c r="C32" s="1282" t="s">
        <v>417</v>
      </c>
      <c r="D32" s="1283" t="s">
        <v>228</v>
      </c>
      <c r="E32" s="1284"/>
      <c r="F32" s="1107">
        <v>16267</v>
      </c>
      <c r="G32" s="1108">
        <f t="shared" si="4"/>
        <v>1.3559761134001456E-2</v>
      </c>
      <c r="H32" s="1110">
        <v>16267</v>
      </c>
      <c r="I32" s="1125"/>
      <c r="K32">
        <f t="shared" si="3"/>
        <v>0</v>
      </c>
      <c r="L32">
        <f t="shared" si="3"/>
        <v>0</v>
      </c>
      <c r="M32">
        <f t="shared" si="3"/>
        <v>0</v>
      </c>
      <c r="N32">
        <f t="shared" si="3"/>
        <v>0</v>
      </c>
      <c r="O32">
        <f t="shared" si="3"/>
        <v>0</v>
      </c>
      <c r="P32">
        <f t="shared" si="3"/>
        <v>0</v>
      </c>
      <c r="Q32">
        <f t="shared" si="3"/>
        <v>0</v>
      </c>
      <c r="R32">
        <f t="shared" si="3"/>
        <v>0</v>
      </c>
      <c r="S32">
        <f t="shared" si="3"/>
        <v>0</v>
      </c>
      <c r="T32">
        <f t="shared" si="3"/>
        <v>1</v>
      </c>
      <c r="U32">
        <f t="shared" si="3"/>
        <v>0</v>
      </c>
      <c r="V32">
        <f t="shared" si="3"/>
        <v>0</v>
      </c>
      <c r="W32">
        <f t="shared" si="3"/>
        <v>0</v>
      </c>
      <c r="X32">
        <f t="shared" si="3"/>
        <v>0</v>
      </c>
      <c r="Y32">
        <f t="shared" si="3"/>
        <v>0</v>
      </c>
    </row>
    <row r="33" spans="1:25" x14ac:dyDescent="0.3">
      <c r="A33" s="393"/>
      <c r="B33" s="1282"/>
      <c r="C33" s="859" t="s">
        <v>4545</v>
      </c>
      <c r="D33" s="860" t="s">
        <v>393</v>
      </c>
      <c r="E33" s="861">
        <v>1</v>
      </c>
      <c r="F33" s="862">
        <v>3000</v>
      </c>
      <c r="G33" s="1108">
        <f t="shared" si="4"/>
        <v>2.5007243746237393E-3</v>
      </c>
      <c r="H33" s="1110">
        <f t="shared" si="5"/>
        <v>3000</v>
      </c>
      <c r="I33" s="1125"/>
    </row>
    <row r="34" spans="1:25" x14ac:dyDescent="0.3">
      <c r="A34" s="393">
        <v>30</v>
      </c>
      <c r="B34" s="859" t="s">
        <v>418</v>
      </c>
      <c r="C34" s="859" t="s">
        <v>419</v>
      </c>
      <c r="D34" s="860" t="s">
        <v>393</v>
      </c>
      <c r="E34" s="861">
        <v>1</v>
      </c>
      <c r="F34" s="862">
        <v>25000</v>
      </c>
      <c r="G34" s="1108">
        <f t="shared" si="4"/>
        <v>2.083936978853116E-2</v>
      </c>
      <c r="H34" s="1110">
        <f t="shared" si="5"/>
        <v>25000</v>
      </c>
      <c r="I34" s="1125" t="s">
        <v>4560</v>
      </c>
      <c r="K34">
        <f t="shared" si="3"/>
        <v>1</v>
      </c>
      <c r="L34">
        <f t="shared" si="3"/>
        <v>0</v>
      </c>
      <c r="M34">
        <f t="shared" si="3"/>
        <v>0</v>
      </c>
      <c r="N34">
        <f t="shared" si="3"/>
        <v>0</v>
      </c>
      <c r="O34">
        <f t="shared" si="3"/>
        <v>0</v>
      </c>
      <c r="P34">
        <f t="shared" si="3"/>
        <v>0</v>
      </c>
      <c r="Q34">
        <f t="shared" si="3"/>
        <v>0</v>
      </c>
      <c r="R34">
        <f t="shared" si="3"/>
        <v>0</v>
      </c>
      <c r="S34">
        <f t="shared" si="3"/>
        <v>0</v>
      </c>
      <c r="T34">
        <f t="shared" si="3"/>
        <v>0</v>
      </c>
      <c r="U34">
        <f t="shared" si="3"/>
        <v>0</v>
      </c>
      <c r="V34">
        <f t="shared" si="3"/>
        <v>0</v>
      </c>
      <c r="W34">
        <f t="shared" si="3"/>
        <v>0</v>
      </c>
      <c r="X34">
        <f t="shared" si="3"/>
        <v>0</v>
      </c>
      <c r="Y34">
        <f t="shared" si="3"/>
        <v>0</v>
      </c>
    </row>
    <row r="35" spans="1:25" x14ac:dyDescent="0.3">
      <c r="A35" s="393">
        <v>31</v>
      </c>
      <c r="B35" s="859" t="s">
        <v>402</v>
      </c>
      <c r="C35" s="859" t="s">
        <v>4540</v>
      </c>
      <c r="D35" s="860" t="s">
        <v>393</v>
      </c>
      <c r="E35" s="861">
        <v>1</v>
      </c>
      <c r="F35" s="862"/>
      <c r="G35" s="1108">
        <f t="shared" si="4"/>
        <v>0</v>
      </c>
      <c r="H35" s="1110">
        <f t="shared" si="5"/>
        <v>0</v>
      </c>
      <c r="I35" s="1125"/>
      <c r="K35">
        <f t="shared" si="3"/>
        <v>0</v>
      </c>
      <c r="L35">
        <f t="shared" si="3"/>
        <v>0</v>
      </c>
      <c r="M35">
        <f t="shared" si="3"/>
        <v>0</v>
      </c>
      <c r="N35">
        <f t="shared" si="3"/>
        <v>0</v>
      </c>
      <c r="O35">
        <f t="shared" si="3"/>
        <v>0</v>
      </c>
      <c r="P35">
        <f t="shared" si="3"/>
        <v>0</v>
      </c>
      <c r="Q35">
        <f t="shared" si="3"/>
        <v>0</v>
      </c>
      <c r="R35">
        <f t="shared" si="3"/>
        <v>0</v>
      </c>
      <c r="S35">
        <f t="shared" si="3"/>
        <v>0</v>
      </c>
      <c r="T35">
        <f t="shared" si="3"/>
        <v>0</v>
      </c>
      <c r="U35">
        <f t="shared" si="3"/>
        <v>0</v>
      </c>
      <c r="V35">
        <f t="shared" si="3"/>
        <v>0</v>
      </c>
      <c r="W35">
        <f t="shared" si="3"/>
        <v>0</v>
      </c>
      <c r="X35">
        <f t="shared" si="3"/>
        <v>1</v>
      </c>
      <c r="Y35">
        <f t="shared" si="3"/>
        <v>0</v>
      </c>
    </row>
    <row r="36" spans="1:25" ht="28.8" x14ac:dyDescent="0.3">
      <c r="A36" s="393">
        <v>32</v>
      </c>
      <c r="B36" s="859" t="s">
        <v>402</v>
      </c>
      <c r="C36" s="859" t="s">
        <v>420</v>
      </c>
      <c r="D36" s="860" t="s">
        <v>393</v>
      </c>
      <c r="E36" s="861">
        <v>6</v>
      </c>
      <c r="F36" s="1887"/>
      <c r="G36" s="1108">
        <f t="shared" si="4"/>
        <v>0</v>
      </c>
      <c r="H36" s="1110">
        <f t="shared" si="5"/>
        <v>0</v>
      </c>
      <c r="I36" s="1125" t="s">
        <v>4570</v>
      </c>
      <c r="K36">
        <f t="shared" si="3"/>
        <v>0</v>
      </c>
      <c r="L36">
        <f t="shared" si="3"/>
        <v>0</v>
      </c>
      <c r="M36">
        <f t="shared" si="3"/>
        <v>0</v>
      </c>
      <c r="N36">
        <f t="shared" si="3"/>
        <v>0</v>
      </c>
      <c r="O36">
        <f t="shared" si="3"/>
        <v>0</v>
      </c>
      <c r="P36">
        <f t="shared" si="3"/>
        <v>0</v>
      </c>
      <c r="Q36">
        <f t="shared" si="3"/>
        <v>0</v>
      </c>
      <c r="R36">
        <f t="shared" si="3"/>
        <v>0</v>
      </c>
      <c r="S36">
        <f t="shared" si="3"/>
        <v>0</v>
      </c>
      <c r="T36">
        <f t="shared" si="3"/>
        <v>0</v>
      </c>
      <c r="U36">
        <f t="shared" si="3"/>
        <v>0</v>
      </c>
      <c r="V36">
        <f t="shared" si="3"/>
        <v>0</v>
      </c>
      <c r="W36">
        <f t="shared" si="3"/>
        <v>0</v>
      </c>
      <c r="X36">
        <f t="shared" si="3"/>
        <v>1</v>
      </c>
      <c r="Y36">
        <f t="shared" si="3"/>
        <v>0</v>
      </c>
    </row>
    <row r="37" spans="1:25" x14ac:dyDescent="0.3">
      <c r="A37" s="393">
        <v>34</v>
      </c>
      <c r="B37" s="859"/>
      <c r="C37" s="859"/>
      <c r="D37" s="860"/>
      <c r="E37" s="861"/>
      <c r="F37" s="862"/>
      <c r="G37" s="1108">
        <f t="shared" si="4"/>
        <v>0</v>
      </c>
      <c r="H37" s="1110">
        <f t="shared" si="5"/>
        <v>0</v>
      </c>
      <c r="I37" s="1125" t="s">
        <v>4560</v>
      </c>
      <c r="K37">
        <f t="shared" ref="K37:Y41" si="6">IF($B37=K$2,1,0)</f>
        <v>0</v>
      </c>
      <c r="L37">
        <f t="shared" si="6"/>
        <v>0</v>
      </c>
      <c r="M37">
        <f t="shared" si="6"/>
        <v>0</v>
      </c>
      <c r="N37">
        <f t="shared" si="6"/>
        <v>0</v>
      </c>
      <c r="O37">
        <f t="shared" si="6"/>
        <v>0</v>
      </c>
      <c r="P37">
        <f t="shared" si="6"/>
        <v>0</v>
      </c>
      <c r="Q37">
        <f t="shared" si="6"/>
        <v>0</v>
      </c>
      <c r="R37">
        <f t="shared" si="6"/>
        <v>0</v>
      </c>
      <c r="S37">
        <f t="shared" si="6"/>
        <v>0</v>
      </c>
      <c r="T37">
        <f t="shared" si="6"/>
        <v>0</v>
      </c>
      <c r="U37">
        <f t="shared" si="6"/>
        <v>0</v>
      </c>
      <c r="V37">
        <f t="shared" si="6"/>
        <v>0</v>
      </c>
      <c r="W37">
        <f t="shared" si="6"/>
        <v>0</v>
      </c>
      <c r="X37">
        <f t="shared" si="6"/>
        <v>0</v>
      </c>
      <c r="Y37">
        <f t="shared" si="6"/>
        <v>0</v>
      </c>
    </row>
    <row r="38" spans="1:25" x14ac:dyDescent="0.3">
      <c r="A38" s="393">
        <v>35</v>
      </c>
      <c r="B38" s="859" t="s">
        <v>418</v>
      </c>
      <c r="C38" s="859" t="s">
        <v>421</v>
      </c>
      <c r="D38" s="860" t="s">
        <v>414</v>
      </c>
      <c r="E38" s="861">
        <v>600</v>
      </c>
      <c r="F38" s="862">
        <v>40</v>
      </c>
      <c r="G38" s="1108">
        <f t="shared" si="4"/>
        <v>2.0005794996989915E-2</v>
      </c>
      <c r="H38" s="1110">
        <f>E38*F38</f>
        <v>24000</v>
      </c>
      <c r="I38" s="1125" t="s">
        <v>4560</v>
      </c>
      <c r="K38">
        <f t="shared" si="6"/>
        <v>1</v>
      </c>
      <c r="L38">
        <f t="shared" si="6"/>
        <v>0</v>
      </c>
      <c r="M38">
        <f t="shared" si="6"/>
        <v>0</v>
      </c>
      <c r="N38">
        <f t="shared" si="6"/>
        <v>0</v>
      </c>
      <c r="O38">
        <f t="shared" si="6"/>
        <v>0</v>
      </c>
      <c r="P38">
        <f t="shared" si="6"/>
        <v>0</v>
      </c>
      <c r="Q38">
        <f t="shared" si="6"/>
        <v>0</v>
      </c>
      <c r="R38">
        <f t="shared" si="6"/>
        <v>0</v>
      </c>
      <c r="S38">
        <f t="shared" si="6"/>
        <v>0</v>
      </c>
      <c r="T38">
        <f t="shared" si="6"/>
        <v>0</v>
      </c>
      <c r="U38">
        <f t="shared" si="6"/>
        <v>0</v>
      </c>
      <c r="V38">
        <f t="shared" si="6"/>
        <v>0</v>
      </c>
      <c r="W38">
        <f t="shared" si="6"/>
        <v>0</v>
      </c>
      <c r="X38">
        <f t="shared" si="6"/>
        <v>0</v>
      </c>
      <c r="Y38">
        <f t="shared" si="6"/>
        <v>0</v>
      </c>
    </row>
    <row r="39" spans="1:25" x14ac:dyDescent="0.3">
      <c r="A39" s="393">
        <v>36</v>
      </c>
      <c r="B39" s="859" t="s">
        <v>418</v>
      </c>
      <c r="C39" s="859" t="s">
        <v>422</v>
      </c>
      <c r="D39" s="860" t="s">
        <v>414</v>
      </c>
      <c r="E39" s="861">
        <v>50</v>
      </c>
      <c r="F39" s="862">
        <v>45</v>
      </c>
      <c r="G39" s="1108">
        <f t="shared" si="4"/>
        <v>1.8755432809678045E-3</v>
      </c>
      <c r="H39" s="1110">
        <f>E39*F39</f>
        <v>2250</v>
      </c>
      <c r="I39" s="1125" t="s">
        <v>4560</v>
      </c>
      <c r="K39">
        <f t="shared" si="6"/>
        <v>1</v>
      </c>
      <c r="L39">
        <f t="shared" si="6"/>
        <v>0</v>
      </c>
      <c r="M39">
        <f t="shared" si="6"/>
        <v>0</v>
      </c>
      <c r="N39">
        <f t="shared" si="6"/>
        <v>0</v>
      </c>
      <c r="O39">
        <f t="shared" si="6"/>
        <v>0</v>
      </c>
      <c r="P39">
        <f t="shared" si="6"/>
        <v>0</v>
      </c>
      <c r="Q39">
        <f t="shared" si="6"/>
        <v>0</v>
      </c>
      <c r="R39">
        <f t="shared" si="6"/>
        <v>0</v>
      </c>
      <c r="S39">
        <f t="shared" si="6"/>
        <v>0</v>
      </c>
      <c r="T39">
        <f t="shared" si="6"/>
        <v>0</v>
      </c>
      <c r="U39">
        <f t="shared" si="6"/>
        <v>0</v>
      </c>
      <c r="V39">
        <f t="shared" si="6"/>
        <v>0</v>
      </c>
      <c r="W39">
        <f t="shared" si="6"/>
        <v>0</v>
      </c>
      <c r="X39">
        <f t="shared" si="6"/>
        <v>0</v>
      </c>
      <c r="Y39">
        <f t="shared" si="6"/>
        <v>0</v>
      </c>
    </row>
    <row r="40" spans="1:25" x14ac:dyDescent="0.3">
      <c r="A40" s="393">
        <v>37</v>
      </c>
      <c r="B40" s="859" t="s">
        <v>418</v>
      </c>
      <c r="C40" s="859" t="s">
        <v>423</v>
      </c>
      <c r="D40" s="860" t="s">
        <v>414</v>
      </c>
      <c r="E40" s="861">
        <v>50</v>
      </c>
      <c r="F40" s="862">
        <v>45</v>
      </c>
      <c r="G40" s="1108">
        <f t="shared" si="4"/>
        <v>1.8755432809678045E-3</v>
      </c>
      <c r="H40" s="1110">
        <f>E40*F40</f>
        <v>2250</v>
      </c>
      <c r="I40" s="1125" t="s">
        <v>4560</v>
      </c>
      <c r="K40">
        <f t="shared" si="6"/>
        <v>1</v>
      </c>
      <c r="L40">
        <f t="shared" si="6"/>
        <v>0</v>
      </c>
      <c r="M40">
        <f t="shared" si="6"/>
        <v>0</v>
      </c>
      <c r="N40">
        <f t="shared" si="6"/>
        <v>0</v>
      </c>
      <c r="O40">
        <f t="shared" si="6"/>
        <v>0</v>
      </c>
      <c r="P40">
        <f t="shared" si="6"/>
        <v>0</v>
      </c>
      <c r="Q40">
        <f t="shared" si="6"/>
        <v>0</v>
      </c>
      <c r="R40">
        <f t="shared" si="6"/>
        <v>0</v>
      </c>
      <c r="S40">
        <f t="shared" si="6"/>
        <v>0</v>
      </c>
      <c r="T40">
        <f t="shared" si="6"/>
        <v>0</v>
      </c>
      <c r="U40">
        <f t="shared" si="6"/>
        <v>0</v>
      </c>
      <c r="V40">
        <f t="shared" si="6"/>
        <v>0</v>
      </c>
      <c r="W40">
        <f t="shared" si="6"/>
        <v>0</v>
      </c>
      <c r="X40">
        <f t="shared" si="6"/>
        <v>0</v>
      </c>
      <c r="Y40">
        <f t="shared" si="6"/>
        <v>0</v>
      </c>
    </row>
    <row r="41" spans="1:25" x14ac:dyDescent="0.3">
      <c r="A41" s="393">
        <v>38</v>
      </c>
      <c r="B41" s="859" t="s">
        <v>418</v>
      </c>
      <c r="C41" s="859" t="s">
        <v>424</v>
      </c>
      <c r="D41" s="860" t="s">
        <v>393</v>
      </c>
      <c r="E41" s="861">
        <v>1</v>
      </c>
      <c r="F41" s="862">
        <v>3000</v>
      </c>
      <c r="G41" s="1108">
        <f t="shared" si="4"/>
        <v>2.5007243746237393E-3</v>
      </c>
      <c r="H41" s="1110">
        <f t="shared" si="5"/>
        <v>3000</v>
      </c>
      <c r="I41" s="1125" t="s">
        <v>4554</v>
      </c>
      <c r="K41">
        <f t="shared" si="6"/>
        <v>1</v>
      </c>
      <c r="L41">
        <f t="shared" si="6"/>
        <v>0</v>
      </c>
      <c r="M41">
        <f t="shared" si="6"/>
        <v>0</v>
      </c>
      <c r="N41">
        <f t="shared" si="6"/>
        <v>0</v>
      </c>
      <c r="O41">
        <f t="shared" si="6"/>
        <v>0</v>
      </c>
      <c r="P41">
        <f t="shared" si="6"/>
        <v>0</v>
      </c>
      <c r="Q41">
        <f t="shared" si="6"/>
        <v>0</v>
      </c>
      <c r="R41">
        <f t="shared" si="6"/>
        <v>0</v>
      </c>
      <c r="S41">
        <f t="shared" si="6"/>
        <v>0</v>
      </c>
      <c r="T41">
        <f t="shared" si="6"/>
        <v>0</v>
      </c>
      <c r="U41">
        <f t="shared" si="6"/>
        <v>0</v>
      </c>
      <c r="V41">
        <f t="shared" si="6"/>
        <v>0</v>
      </c>
      <c r="W41">
        <f t="shared" si="6"/>
        <v>0</v>
      </c>
      <c r="X41">
        <f t="shared" si="6"/>
        <v>0</v>
      </c>
      <c r="Y41">
        <f t="shared" si="6"/>
        <v>0</v>
      </c>
    </row>
    <row r="42" spans="1:25" ht="21.6" thickBot="1" x14ac:dyDescent="0.35">
      <c r="A42" s="787" t="s">
        <v>425</v>
      </c>
      <c r="B42" s="1165"/>
      <c r="C42" s="403"/>
      <c r="D42" s="403"/>
      <c r="E42" s="750"/>
      <c r="F42" s="403"/>
      <c r="G42" s="403"/>
      <c r="H42" s="403"/>
      <c r="I42" s="786">
        <f>SUM($H$4:$H$41)</f>
        <v>1199652.4008973928</v>
      </c>
    </row>
    <row r="43" spans="1:25" x14ac:dyDescent="0.3">
      <c r="A43" s="113"/>
      <c r="B43" s="114"/>
      <c r="C43" s="114"/>
      <c r="D43" s="114"/>
      <c r="E43" s="788"/>
      <c r="F43" s="114"/>
      <c r="G43" s="114"/>
      <c r="H43" s="114"/>
      <c r="I43" s="115"/>
    </row>
    <row r="44" spans="1:25" x14ac:dyDescent="0.3">
      <c r="A44" s="116"/>
      <c r="B44" s="59"/>
      <c r="C44" s="59"/>
      <c r="D44" s="59"/>
      <c r="E44" s="789"/>
      <c r="F44" s="59"/>
      <c r="G44" s="59"/>
      <c r="H44" s="59"/>
      <c r="I44" s="117"/>
    </row>
    <row r="45" spans="1:25" x14ac:dyDescent="0.3">
      <c r="A45" s="116"/>
      <c r="B45" s="59"/>
      <c r="C45" s="59"/>
      <c r="D45" s="59"/>
      <c r="E45" s="789"/>
      <c r="F45" s="59"/>
      <c r="G45" s="59"/>
      <c r="H45" s="59"/>
      <c r="I45" s="117"/>
    </row>
    <row r="46" spans="1:25" x14ac:dyDescent="0.3">
      <c r="A46" s="116"/>
      <c r="B46" s="59"/>
      <c r="C46" s="59"/>
      <c r="D46" s="59"/>
      <c r="E46" s="789"/>
      <c r="F46" s="59"/>
      <c r="G46" s="59"/>
      <c r="H46" s="59"/>
      <c r="I46" s="117"/>
    </row>
    <row r="47" spans="1:25" x14ac:dyDescent="0.3">
      <c r="A47" s="116"/>
      <c r="B47" s="59"/>
      <c r="C47" s="59"/>
      <c r="D47" s="59"/>
      <c r="E47" s="789"/>
      <c r="F47" s="59"/>
      <c r="G47" s="59"/>
      <c r="H47" s="59"/>
      <c r="I47" s="117"/>
    </row>
    <row r="48" spans="1:25" x14ac:dyDescent="0.3">
      <c r="A48" s="116"/>
      <c r="B48" s="59"/>
      <c r="C48" s="59"/>
      <c r="D48" s="59"/>
      <c r="E48" s="789"/>
      <c r="F48" s="59"/>
      <c r="G48" s="59"/>
      <c r="H48" s="59"/>
      <c r="I48" s="117"/>
    </row>
    <row r="49" spans="1:9" x14ac:dyDescent="0.3">
      <c r="A49" s="116"/>
      <c r="B49" s="59"/>
      <c r="C49" s="59"/>
      <c r="D49" s="59"/>
      <c r="E49" s="789"/>
      <c r="F49" s="59"/>
      <c r="G49" s="59"/>
      <c r="H49" s="59"/>
      <c r="I49" s="117"/>
    </row>
    <row r="50" spans="1:9" x14ac:dyDescent="0.3">
      <c r="A50" s="116"/>
      <c r="B50" s="59"/>
      <c r="C50" s="59"/>
      <c r="D50" s="59"/>
      <c r="E50" s="789"/>
      <c r="F50" s="59"/>
      <c r="G50" s="59"/>
      <c r="H50" s="59"/>
      <c r="I50" s="117"/>
    </row>
    <row r="51" spans="1:9" x14ac:dyDescent="0.3">
      <c r="A51" s="116"/>
      <c r="B51" s="59"/>
      <c r="C51" s="59"/>
      <c r="D51" s="59"/>
      <c r="E51" s="789"/>
      <c r="F51" s="59"/>
      <c r="G51" s="59"/>
      <c r="H51" s="59"/>
      <c r="I51" s="117"/>
    </row>
    <row r="52" spans="1:9" x14ac:dyDescent="0.3">
      <c r="A52" s="116"/>
      <c r="B52" s="59"/>
      <c r="C52" s="59"/>
      <c r="D52" s="59"/>
      <c r="E52" s="789"/>
      <c r="F52" s="59"/>
      <c r="G52" s="59"/>
      <c r="H52" s="59"/>
      <c r="I52" s="117"/>
    </row>
    <row r="53" spans="1:9" x14ac:dyDescent="0.3">
      <c r="A53" s="116"/>
      <c r="B53" s="59"/>
      <c r="C53" s="59"/>
      <c r="D53" s="59"/>
      <c r="E53" s="789"/>
      <c r="F53" s="59"/>
      <c r="G53" s="59"/>
      <c r="H53" s="59"/>
      <c r="I53" s="117"/>
    </row>
    <row r="54" spans="1:9" x14ac:dyDescent="0.3">
      <c r="A54" s="116"/>
      <c r="B54" s="59"/>
      <c r="C54" s="59"/>
      <c r="D54" s="59"/>
      <c r="E54" s="789"/>
      <c r="F54" s="59"/>
      <c r="G54" s="59"/>
      <c r="H54" s="59"/>
      <c r="I54" s="117"/>
    </row>
    <row r="55" spans="1:9" x14ac:dyDescent="0.3">
      <c r="A55" s="116"/>
      <c r="B55" s="59"/>
      <c r="C55" s="59"/>
      <c r="D55" s="59"/>
      <c r="E55" s="789"/>
      <c r="F55" s="59"/>
      <c r="G55" s="59"/>
      <c r="H55" s="59"/>
      <c r="I55" s="117"/>
    </row>
    <row r="56" spans="1:9" x14ac:dyDescent="0.3">
      <c r="A56" s="116"/>
      <c r="B56" s="59"/>
      <c r="C56" s="59"/>
      <c r="D56" s="59"/>
      <c r="E56" s="789"/>
      <c r="F56" s="59"/>
      <c r="G56" s="59"/>
      <c r="H56" s="59"/>
      <c r="I56" s="117"/>
    </row>
    <row r="57" spans="1:9" x14ac:dyDescent="0.3">
      <c r="A57" s="116"/>
      <c r="B57" s="59"/>
      <c r="C57" s="59"/>
      <c r="D57" s="59"/>
      <c r="E57" s="789"/>
      <c r="F57" s="59"/>
      <c r="G57" s="59"/>
      <c r="H57" s="59"/>
      <c r="I57" s="117"/>
    </row>
    <row r="58" spans="1:9" x14ac:dyDescent="0.3">
      <c r="A58" s="116"/>
      <c r="B58" s="59"/>
      <c r="C58" s="59"/>
      <c r="D58" s="59"/>
      <c r="E58" s="789"/>
      <c r="F58" s="59"/>
      <c r="G58" s="59"/>
      <c r="H58" s="59"/>
      <c r="I58" s="117"/>
    </row>
    <row r="59" spans="1:9" x14ac:dyDescent="0.3">
      <c r="A59" s="116"/>
      <c r="B59" s="59"/>
      <c r="C59" s="59"/>
      <c r="D59" s="59"/>
      <c r="E59" s="789"/>
      <c r="F59" s="59"/>
      <c r="G59" s="59"/>
      <c r="H59" s="59"/>
      <c r="I59" s="117"/>
    </row>
    <row r="60" spans="1:9" x14ac:dyDescent="0.3">
      <c r="A60" s="116"/>
      <c r="B60" s="59"/>
      <c r="C60" s="59"/>
      <c r="D60" s="59"/>
      <c r="E60" s="789"/>
      <c r="F60" s="59"/>
      <c r="G60" s="59"/>
      <c r="H60" s="59"/>
      <c r="I60" s="117"/>
    </row>
    <row r="61" spans="1:9" x14ac:dyDescent="0.3">
      <c r="A61" s="116"/>
      <c r="B61" s="59"/>
      <c r="C61" s="59"/>
      <c r="D61" s="59"/>
      <c r="E61" s="789"/>
      <c r="F61" s="59"/>
      <c r="G61" s="59"/>
      <c r="H61" s="59"/>
      <c r="I61" s="117"/>
    </row>
    <row r="62" spans="1:9" x14ac:dyDescent="0.3">
      <c r="A62" s="116"/>
      <c r="B62" s="59"/>
      <c r="C62" s="59"/>
      <c r="D62" s="59"/>
      <c r="E62" s="789"/>
      <c r="F62" s="59"/>
      <c r="G62" s="59"/>
      <c r="H62" s="59"/>
      <c r="I62" s="117"/>
    </row>
    <row r="63" spans="1:9" x14ac:dyDescent="0.3">
      <c r="A63" s="116"/>
      <c r="B63" s="59"/>
      <c r="C63" s="59"/>
      <c r="D63" s="59"/>
      <c r="E63" s="789"/>
      <c r="F63" s="59"/>
      <c r="G63" s="59"/>
      <c r="H63" s="59"/>
      <c r="I63" s="117"/>
    </row>
    <row r="64" spans="1:9" x14ac:dyDescent="0.3">
      <c r="A64" s="116"/>
      <c r="B64" s="59"/>
      <c r="C64" s="59"/>
      <c r="D64" s="59"/>
      <c r="E64" s="789"/>
      <c r="F64" s="59"/>
      <c r="G64" s="59"/>
      <c r="H64" s="59"/>
      <c r="I64" s="117"/>
    </row>
    <row r="65" spans="1:9" x14ac:dyDescent="0.3">
      <c r="A65" s="116"/>
      <c r="B65" s="59"/>
      <c r="C65" s="59"/>
      <c r="D65" s="59"/>
      <c r="E65" s="789"/>
      <c r="F65" s="59"/>
      <c r="G65" s="59"/>
      <c r="H65" s="59"/>
      <c r="I65" s="117"/>
    </row>
    <row r="66" spans="1:9" x14ac:dyDescent="0.3">
      <c r="A66" s="116"/>
      <c r="B66" s="59"/>
      <c r="C66" s="59"/>
      <c r="D66" s="59"/>
      <c r="E66" s="789"/>
      <c r="F66" s="59"/>
      <c r="G66" s="59"/>
      <c r="H66" s="59"/>
      <c r="I66" s="117"/>
    </row>
    <row r="67" spans="1:9" x14ac:dyDescent="0.3">
      <c r="A67" s="116"/>
      <c r="B67" s="59"/>
      <c r="C67" s="59"/>
      <c r="D67" s="59"/>
      <c r="E67" s="789"/>
      <c r="F67" s="59"/>
      <c r="G67" s="59"/>
      <c r="H67" s="59"/>
      <c r="I67" s="117"/>
    </row>
    <row r="68" spans="1:9" x14ac:dyDescent="0.3">
      <c r="A68" s="116"/>
      <c r="B68" s="59"/>
      <c r="C68" s="59"/>
      <c r="D68" s="59"/>
      <c r="E68" s="789"/>
      <c r="F68" s="59"/>
      <c r="G68" s="59"/>
      <c r="H68" s="59"/>
      <c r="I68" s="117"/>
    </row>
    <row r="69" spans="1:9" x14ac:dyDescent="0.3">
      <c r="A69" s="116"/>
      <c r="B69" s="59"/>
      <c r="C69" s="59"/>
      <c r="D69" s="59"/>
      <c r="E69" s="789"/>
      <c r="F69" s="59"/>
      <c r="G69" s="59"/>
      <c r="H69" s="59"/>
      <c r="I69" s="117"/>
    </row>
    <row r="70" spans="1:9" x14ac:dyDescent="0.3">
      <c r="A70" s="116"/>
      <c r="B70" s="59"/>
      <c r="C70" s="59"/>
      <c r="D70" s="59"/>
      <c r="E70" s="789"/>
      <c r="F70" s="59"/>
      <c r="G70" s="59"/>
      <c r="H70" s="59"/>
      <c r="I70" s="117"/>
    </row>
    <row r="71" spans="1:9" x14ac:dyDescent="0.3">
      <c r="A71" s="116"/>
      <c r="B71" s="59"/>
      <c r="C71" s="59"/>
      <c r="D71" s="59"/>
      <c r="E71" s="789"/>
      <c r="F71" s="59"/>
      <c r="G71" s="59"/>
      <c r="H71" s="59"/>
      <c r="I71" s="117"/>
    </row>
    <row r="72" spans="1:9" x14ac:dyDescent="0.3">
      <c r="A72" s="116"/>
      <c r="B72" s="59"/>
      <c r="C72" s="59"/>
      <c r="D72" s="59"/>
      <c r="E72" s="789"/>
      <c r="F72" s="59"/>
      <c r="G72" s="59"/>
      <c r="H72" s="59"/>
      <c r="I72" s="117"/>
    </row>
    <row r="73" spans="1:9" x14ac:dyDescent="0.3">
      <c r="A73" s="116"/>
      <c r="B73" s="59"/>
      <c r="C73" s="59"/>
      <c r="D73" s="59"/>
      <c r="E73" s="789"/>
      <c r="F73" s="59"/>
      <c r="G73" s="59"/>
      <c r="H73" s="59"/>
      <c r="I73" s="117"/>
    </row>
    <row r="74" spans="1:9" x14ac:dyDescent="0.3">
      <c r="A74" s="116"/>
      <c r="B74" s="59"/>
      <c r="C74" s="59"/>
      <c r="D74" s="59"/>
      <c r="E74" s="789"/>
      <c r="F74" s="59"/>
      <c r="G74" s="59"/>
      <c r="H74" s="59"/>
      <c r="I74" s="117"/>
    </row>
    <row r="75" spans="1:9" x14ac:dyDescent="0.3">
      <c r="A75" s="116"/>
      <c r="B75" s="59"/>
      <c r="C75" s="59"/>
      <c r="D75" s="59"/>
      <c r="E75" s="789"/>
      <c r="F75" s="59"/>
      <c r="G75" s="59"/>
      <c r="H75" s="59"/>
      <c r="I75" s="117"/>
    </row>
    <row r="76" spans="1:9" ht="15" thickBot="1" x14ac:dyDescent="0.35">
      <c r="A76" s="118"/>
      <c r="B76" s="119"/>
      <c r="C76" s="119"/>
      <c r="D76" s="119"/>
      <c r="E76" s="790"/>
      <c r="F76" s="119"/>
      <c r="G76" s="119"/>
      <c r="H76" s="119"/>
      <c r="I76" s="120"/>
    </row>
    <row r="77" spans="1:9" ht="21.6" thickBot="1" x14ac:dyDescent="0.35">
      <c r="A77" s="1123" t="s">
        <v>426</v>
      </c>
      <c r="B77" s="1162"/>
      <c r="C77" s="1166"/>
      <c r="D77" s="1166"/>
      <c r="E77" s="1167"/>
      <c r="F77" s="1166"/>
      <c r="G77" s="403"/>
      <c r="H77" s="403"/>
      <c r="I77" s="1051"/>
    </row>
    <row r="78" spans="1:9" x14ac:dyDescent="0.3">
      <c r="A78" s="1725" t="s">
        <v>366</v>
      </c>
      <c r="B78" s="1729" t="s">
        <v>367</v>
      </c>
      <c r="C78" s="1731"/>
      <c r="D78" s="1721"/>
      <c r="E78" s="1721"/>
      <c r="F78" s="74"/>
      <c r="G78" s="1384" t="s">
        <v>371</v>
      </c>
      <c r="H78" s="1383" t="s">
        <v>372</v>
      </c>
      <c r="I78" s="1723" t="s">
        <v>373</v>
      </c>
    </row>
    <row r="79" spans="1:9" ht="15" thickBot="1" x14ac:dyDescent="0.35">
      <c r="A79" s="1726"/>
      <c r="B79" s="1730"/>
      <c r="C79" s="1732"/>
      <c r="D79" s="1722"/>
      <c r="E79" s="1722"/>
      <c r="F79" s="77"/>
      <c r="G79" s="1333" t="s">
        <v>95</v>
      </c>
      <c r="H79" s="1047" t="s">
        <v>375</v>
      </c>
      <c r="I79" s="1724"/>
    </row>
    <row r="80" spans="1:9" x14ac:dyDescent="0.3">
      <c r="A80" s="393">
        <v>1</v>
      </c>
      <c r="B80" s="1168" t="str">
        <f>List!$BJ$2</f>
        <v>ENGINEERING</v>
      </c>
      <c r="C80" s="75"/>
      <c r="D80" s="1066"/>
      <c r="E80" s="1169"/>
      <c r="F80" s="1170"/>
      <c r="G80" s="1171">
        <f>H80/$I$95</f>
        <v>4.721504754231852E-2</v>
      </c>
      <c r="H80" s="1109">
        <f>SUMPRODUCT($H$4:$H$41,K$4:K$41)</f>
        <v>56500</v>
      </c>
      <c r="I80" s="1124"/>
    </row>
    <row r="81" spans="1:9" x14ac:dyDescent="0.3">
      <c r="A81" s="393">
        <v>2</v>
      </c>
      <c r="B81" s="1168" t="str">
        <f>List!$BJ$3</f>
        <v>EQUIPMENT</v>
      </c>
      <c r="C81" s="75"/>
      <c r="D81" s="1066"/>
      <c r="E81" s="1169"/>
      <c r="F81" s="1170"/>
      <c r="G81" s="1171">
        <f t="shared" ref="G81:G94" si="7">H81/$I$95</f>
        <v>0.27225951308473229</v>
      </c>
      <c r="H81" s="1109">
        <f>SUMPRODUCT($H$4:$H$41,L$4:L$41)</f>
        <v>325800</v>
      </c>
      <c r="I81" s="1124"/>
    </row>
    <row r="82" spans="1:9" x14ac:dyDescent="0.3">
      <c r="A82" s="393">
        <v>3</v>
      </c>
      <c r="B82" s="1168" t="str">
        <f>List!$BJ$4</f>
        <v>PACKAGES</v>
      </c>
      <c r="C82" s="75"/>
      <c r="D82" s="1066"/>
      <c r="E82" s="1169"/>
      <c r="F82" s="1170"/>
      <c r="G82" s="1171">
        <f t="shared" si="7"/>
        <v>0</v>
      </c>
      <c r="H82" s="1109">
        <f>SUMPRODUCT($H$4:$H$41,M$4:M$41)</f>
        <v>0</v>
      </c>
      <c r="I82" s="1124"/>
    </row>
    <row r="83" spans="1:9" x14ac:dyDescent="0.3">
      <c r="A83" s="393">
        <v>4</v>
      </c>
      <c r="B83" s="1168" t="str">
        <f>List!$BJ$5</f>
        <v>MACHINERY</v>
      </c>
      <c r="C83" s="75"/>
      <c r="D83" s="1066"/>
      <c r="E83" s="1169"/>
      <c r="F83" s="1170"/>
      <c r="G83" s="1171">
        <f t="shared" si="7"/>
        <v>0.13621332299819325</v>
      </c>
      <c r="H83" s="1109">
        <f>SUMPRODUCT($H$4:$H$41,N$4:N$41)</f>
        <v>163000</v>
      </c>
      <c r="I83" s="1124"/>
    </row>
    <row r="84" spans="1:9" x14ac:dyDescent="0.3">
      <c r="A84" s="393">
        <v>5</v>
      </c>
      <c r="B84" s="1168" t="str">
        <f>List!$BJ$6</f>
        <v>MANUAL VALVES</v>
      </c>
      <c r="C84" s="75"/>
      <c r="D84" s="1066"/>
      <c r="E84" s="1169"/>
      <c r="F84" s="1170"/>
      <c r="G84" s="1171">
        <f t="shared" si="7"/>
        <v>5.2747146918073362E-2</v>
      </c>
      <c r="H84" s="1109">
        <f>SUMPRODUCT($H$4:$H$41,O$4:O$41)</f>
        <v>63120</v>
      </c>
      <c r="I84" s="1124"/>
    </row>
    <row r="85" spans="1:9" x14ac:dyDescent="0.3">
      <c r="A85" s="393">
        <v>6</v>
      </c>
      <c r="B85" s="1168" t="str">
        <f>List!$BJ$7</f>
        <v>INSTRUMENTATION</v>
      </c>
      <c r="C85" s="75"/>
      <c r="D85" s="1066"/>
      <c r="E85" s="1169"/>
      <c r="F85" s="1170"/>
      <c r="G85" s="1171">
        <f t="shared" si="7"/>
        <v>0.24769331493232438</v>
      </c>
      <c r="H85" s="1109">
        <f>SUMPRODUCT($H$4:$H$41,P$4:P$41)</f>
        <v>296402.8</v>
      </c>
      <c r="I85" s="1124"/>
    </row>
    <row r="86" spans="1:9" x14ac:dyDescent="0.3">
      <c r="A86" s="393">
        <v>7</v>
      </c>
      <c r="B86" s="1168" t="str">
        <f>List!$BJ$8</f>
        <v>ELECTRICA EQUIPMENT</v>
      </c>
      <c r="C86" s="75"/>
      <c r="D86" s="1066"/>
      <c r="E86" s="1169"/>
      <c r="F86" s="1170"/>
      <c r="G86" s="1171">
        <f t="shared" si="7"/>
        <v>0</v>
      </c>
      <c r="H86" s="1109">
        <f>SUMPRODUCT($H$4:$H$41,Q$4:Q$41)</f>
        <v>0</v>
      </c>
      <c r="I86" s="1124"/>
    </row>
    <row r="87" spans="1:9" x14ac:dyDescent="0.3">
      <c r="A87" s="393">
        <v>8</v>
      </c>
      <c r="B87" s="1168" t="str">
        <f>List!$BJ$9</f>
        <v>PIPE &amp; FITTINGS</v>
      </c>
      <c r="C87" s="75"/>
      <c r="D87" s="1066"/>
      <c r="E87" s="1169"/>
      <c r="F87" s="1170"/>
      <c r="G87" s="1171">
        <f t="shared" si="7"/>
        <v>3.6875858099009694E-2</v>
      </c>
      <c r="H87" s="1109">
        <f>SUMPRODUCT($H$4:$H$41,R$4:R$41)</f>
        <v>44127.584129331517</v>
      </c>
      <c r="I87" s="1124"/>
    </row>
    <row r="88" spans="1:9" x14ac:dyDescent="0.3">
      <c r="A88" s="393">
        <v>9</v>
      </c>
      <c r="B88" s="1168" t="str">
        <f>List!$BJ$10</f>
        <v>STRUCTURES</v>
      </c>
      <c r="C88" s="75"/>
      <c r="D88" s="1066"/>
      <c r="E88" s="1169"/>
      <c r="F88" s="1170"/>
      <c r="G88" s="1171">
        <f t="shared" si="7"/>
        <v>4.8858165803465289E-2</v>
      </c>
      <c r="H88" s="1109">
        <f>SUMPRODUCT($H$4:$H$41,S$4:S$41)</f>
        <v>58466.24141215963</v>
      </c>
      <c r="I88" s="1124"/>
    </row>
    <row r="89" spans="1:9" x14ac:dyDescent="0.3">
      <c r="A89" s="393">
        <v>10</v>
      </c>
      <c r="B89" s="1168" t="str">
        <f>List!$BJ$11</f>
        <v>FABRICATION / ASSEMBLING /TESTS</v>
      </c>
      <c r="C89" s="75"/>
      <c r="D89" s="1066"/>
      <c r="E89" s="1169"/>
      <c r="F89" s="1170"/>
      <c r="G89" s="1171">
        <f t="shared" si="7"/>
        <v>0.14540210275383128</v>
      </c>
      <c r="H89" s="1109">
        <f>SUMPRODUCT($H$4:$H$41,T$4:T$41)</f>
        <v>173995.7753559016</v>
      </c>
      <c r="I89" s="1124"/>
    </row>
    <row r="90" spans="1:9" x14ac:dyDescent="0.3">
      <c r="A90" s="393">
        <v>11</v>
      </c>
      <c r="B90" s="1168" t="str">
        <f>List!$BJ$12</f>
        <v>PACKING &amp; SHIPMENT</v>
      </c>
      <c r="C90" s="75"/>
      <c r="D90" s="1066"/>
      <c r="E90" s="1169"/>
      <c r="F90" s="1170"/>
      <c r="G90" s="1171">
        <f t="shared" si="7"/>
        <v>1.022853419323856E-2</v>
      </c>
      <c r="H90" s="1109">
        <f>SUMPRODUCT($H$4:$H$41,U$4:U$41)</f>
        <v>12239.999999999998</v>
      </c>
      <c r="I90" s="1124"/>
    </row>
    <row r="91" spans="1:9" x14ac:dyDescent="0.3">
      <c r="A91" s="393">
        <v>12</v>
      </c>
      <c r="B91" s="1168" t="str">
        <f>List!$BJ$13</f>
        <v>SITE ACTIVITIES</v>
      </c>
      <c r="C91" s="75"/>
      <c r="D91" s="1066"/>
      <c r="E91" s="1169"/>
      <c r="F91" s="1170"/>
      <c r="G91" s="1171">
        <f t="shared" si="7"/>
        <v>0</v>
      </c>
      <c r="H91" s="1109">
        <f>SUMPRODUCT($H$4:$H$41,V$4:V$41)</f>
        <v>0</v>
      </c>
      <c r="I91" s="1124"/>
    </row>
    <row r="92" spans="1:9" x14ac:dyDescent="0.3">
      <c r="A92" s="393">
        <v>13</v>
      </c>
      <c r="B92" s="1168" t="str">
        <f>List!$BJ$14</f>
        <v>SPARE PARTS</v>
      </c>
      <c r="C92" s="75"/>
      <c r="D92" s="1066"/>
      <c r="E92" s="1169"/>
      <c r="F92" s="1170"/>
      <c r="G92" s="1171">
        <f t="shared" si="7"/>
        <v>0</v>
      </c>
      <c r="H92" s="1109">
        <f>SUMPRODUCT($H$4:$H$41,W$4:W$41)</f>
        <v>0</v>
      </c>
      <c r="I92" s="1124"/>
    </row>
    <row r="93" spans="1:9" x14ac:dyDescent="0.3">
      <c r="A93" s="393">
        <v>14</v>
      </c>
      <c r="B93" s="1168" t="str">
        <f>List!$BJ$15</f>
        <v>OTHER COSTS</v>
      </c>
      <c r="C93" s="75"/>
      <c r="D93" s="1066"/>
      <c r="E93" s="1169"/>
      <c r="F93" s="1170"/>
      <c r="G93" s="1171">
        <f t="shared" si="7"/>
        <v>2.5069936748133726E-3</v>
      </c>
      <c r="H93" s="1109">
        <f>SUMPRODUCT($H$4:$H$41,X$4:X$41)</f>
        <v>3000</v>
      </c>
      <c r="I93" s="1124"/>
    </row>
    <row r="94" spans="1:9" ht="15" thickBot="1" x14ac:dyDescent="0.35">
      <c r="A94" s="393">
        <v>15</v>
      </c>
      <c r="B94" s="1168" t="str">
        <f>List!$BJ$16</f>
        <v>CONTINGENCY</v>
      </c>
      <c r="C94" s="1334"/>
      <c r="D94" s="1335"/>
      <c r="E94" s="1336"/>
      <c r="F94" s="1337"/>
      <c r="G94" s="1171">
        <f t="shared" si="7"/>
        <v>0</v>
      </c>
      <c r="H94" s="1109">
        <f>SUMPRODUCT($H$4:$H$41,Y$4:Y$41)</f>
        <v>0</v>
      </c>
      <c r="I94" s="1124"/>
    </row>
    <row r="95" spans="1:9" ht="21.6" thickBot="1" x14ac:dyDescent="0.35">
      <c r="A95" s="787" t="s">
        <v>425</v>
      </c>
      <c r="B95" s="1165"/>
      <c r="C95" s="402"/>
      <c r="D95" s="402"/>
      <c r="E95" s="1338"/>
      <c r="F95" s="402"/>
      <c r="G95" s="403"/>
      <c r="H95" s="403"/>
      <c r="I95" s="1172">
        <f>SUM($H$80:$H$94)</f>
        <v>1196652.4008973928</v>
      </c>
    </row>
    <row r="96" spans="1:9" x14ac:dyDescent="0.3">
      <c r="A96" s="113"/>
      <c r="B96" s="114"/>
      <c r="C96" s="114"/>
      <c r="D96" s="114"/>
      <c r="E96" s="788"/>
      <c r="F96" s="114"/>
      <c r="G96" s="114"/>
      <c r="H96" s="114"/>
      <c r="I96" s="115"/>
    </row>
    <row r="97" spans="1:9" x14ac:dyDescent="0.3">
      <c r="A97" s="116"/>
      <c r="B97" s="59"/>
      <c r="C97" s="59"/>
      <c r="D97" s="59"/>
      <c r="E97" s="789"/>
      <c r="F97" s="59"/>
      <c r="G97" s="59"/>
      <c r="H97" s="59"/>
      <c r="I97" s="117"/>
    </row>
    <row r="98" spans="1:9" x14ac:dyDescent="0.3">
      <c r="A98" s="116"/>
      <c r="B98" s="59"/>
      <c r="C98" s="59"/>
      <c r="D98" s="59"/>
      <c r="E98" s="789"/>
      <c r="F98" s="59"/>
      <c r="G98" s="59"/>
      <c r="H98" s="59"/>
      <c r="I98" s="117"/>
    </row>
    <row r="99" spans="1:9" x14ac:dyDescent="0.3">
      <c r="A99" s="116"/>
      <c r="B99" s="59"/>
      <c r="C99" s="59"/>
      <c r="D99" s="59"/>
      <c r="E99" s="789"/>
      <c r="F99" s="59"/>
      <c r="G99" s="59"/>
      <c r="H99" s="59"/>
      <c r="I99" s="117"/>
    </row>
    <row r="100" spans="1:9" x14ac:dyDescent="0.3">
      <c r="A100" s="116"/>
      <c r="B100" s="59"/>
      <c r="C100" s="59"/>
      <c r="D100" s="59"/>
      <c r="E100" s="789"/>
      <c r="F100" s="59"/>
      <c r="G100" s="59"/>
      <c r="H100" s="59"/>
      <c r="I100" s="117"/>
    </row>
    <row r="101" spans="1:9" x14ac:dyDescent="0.3">
      <c r="A101" s="116"/>
      <c r="B101" s="59"/>
      <c r="C101" s="59"/>
      <c r="D101" s="59"/>
      <c r="E101" s="789"/>
      <c r="F101" s="59"/>
      <c r="G101" s="59"/>
      <c r="H101" s="59"/>
      <c r="I101" s="117"/>
    </row>
    <row r="102" spans="1:9" x14ac:dyDescent="0.3">
      <c r="A102" s="116"/>
      <c r="B102" s="59"/>
      <c r="C102" s="59"/>
      <c r="D102" s="59"/>
      <c r="E102" s="789"/>
      <c r="F102" s="59"/>
      <c r="G102" s="59"/>
      <c r="H102" s="59"/>
      <c r="I102" s="117"/>
    </row>
    <row r="103" spans="1:9" x14ac:dyDescent="0.3">
      <c r="A103" s="116"/>
      <c r="B103" s="59"/>
      <c r="C103" s="59"/>
      <c r="D103" s="59"/>
      <c r="E103" s="789"/>
      <c r="F103" s="59"/>
      <c r="G103" s="59"/>
      <c r="H103" s="59"/>
      <c r="I103" s="117"/>
    </row>
    <row r="104" spans="1:9" x14ac:dyDescent="0.3">
      <c r="A104" s="116"/>
      <c r="B104" s="59"/>
      <c r="C104" s="59"/>
      <c r="D104" s="59"/>
      <c r="E104" s="789"/>
      <c r="F104" s="59"/>
      <c r="G104" s="59"/>
      <c r="H104" s="59"/>
      <c r="I104" s="117"/>
    </row>
    <row r="105" spans="1:9" x14ac:dyDescent="0.3">
      <c r="A105" s="116"/>
      <c r="B105" s="59"/>
      <c r="C105" s="59"/>
      <c r="D105" s="59"/>
      <c r="E105" s="789"/>
      <c r="F105" s="59"/>
      <c r="G105" s="59"/>
      <c r="H105" s="59"/>
      <c r="I105" s="117"/>
    </row>
    <row r="106" spans="1:9" x14ac:dyDescent="0.3">
      <c r="A106" s="116"/>
      <c r="B106" s="59"/>
      <c r="C106" s="59"/>
      <c r="D106" s="59"/>
      <c r="E106" s="789"/>
      <c r="F106" s="59"/>
      <c r="G106" s="59"/>
      <c r="H106" s="59"/>
      <c r="I106" s="117"/>
    </row>
    <row r="107" spans="1:9" x14ac:dyDescent="0.3">
      <c r="A107" s="116"/>
      <c r="B107" s="59"/>
      <c r="C107" s="59"/>
      <c r="D107" s="59"/>
      <c r="E107" s="789"/>
      <c r="F107" s="59"/>
      <c r="G107" s="59"/>
      <c r="H107" s="59"/>
      <c r="I107" s="117"/>
    </row>
    <row r="108" spans="1:9" x14ac:dyDescent="0.3">
      <c r="A108" s="116"/>
      <c r="B108" s="59"/>
      <c r="C108" s="59"/>
      <c r="D108" s="59"/>
      <c r="E108" s="789"/>
      <c r="F108" s="59"/>
      <c r="G108" s="59"/>
      <c r="H108" s="59"/>
      <c r="I108" s="117"/>
    </row>
    <row r="109" spans="1:9" x14ac:dyDescent="0.3">
      <c r="A109" s="116"/>
      <c r="B109" s="59"/>
      <c r="C109" s="59"/>
      <c r="D109" s="59"/>
      <c r="E109" s="789"/>
      <c r="F109" s="59"/>
      <c r="G109" s="59"/>
      <c r="H109" s="59"/>
      <c r="I109" s="117"/>
    </row>
    <row r="110" spans="1:9" x14ac:dyDescent="0.3">
      <c r="A110" s="116"/>
      <c r="B110" s="59"/>
      <c r="C110" s="59"/>
      <c r="D110" s="59"/>
      <c r="E110" s="789"/>
      <c r="F110" s="59"/>
      <c r="G110" s="59"/>
      <c r="H110" s="59"/>
      <c r="I110" s="117"/>
    </row>
    <row r="111" spans="1:9" x14ac:dyDescent="0.3">
      <c r="A111" s="116"/>
      <c r="B111" s="59"/>
      <c r="C111" s="59"/>
      <c r="D111" s="59"/>
      <c r="E111" s="789"/>
      <c r="F111" s="59"/>
      <c r="G111" s="59"/>
      <c r="H111" s="59"/>
      <c r="I111" s="117"/>
    </row>
    <row r="112" spans="1:9" x14ac:dyDescent="0.3">
      <c r="A112" s="116"/>
      <c r="B112" s="59"/>
      <c r="C112" s="59"/>
      <c r="D112" s="59"/>
      <c r="E112" s="789"/>
      <c r="F112" s="59"/>
      <c r="G112" s="59"/>
      <c r="H112" s="59"/>
      <c r="I112" s="117"/>
    </row>
    <row r="113" spans="1:9" x14ac:dyDescent="0.3">
      <c r="A113" s="116"/>
      <c r="B113" s="59"/>
      <c r="C113" s="59"/>
      <c r="D113" s="59"/>
      <c r="E113" s="789"/>
      <c r="F113" s="59"/>
      <c r="G113" s="59"/>
      <c r="H113" s="59"/>
      <c r="I113" s="117"/>
    </row>
    <row r="114" spans="1:9" x14ac:dyDescent="0.3">
      <c r="A114" s="116"/>
      <c r="B114" s="59"/>
      <c r="C114" s="59"/>
      <c r="D114" s="59"/>
      <c r="E114" s="789"/>
      <c r="F114" s="59"/>
      <c r="G114" s="59"/>
      <c r="H114" s="59"/>
      <c r="I114" s="117"/>
    </row>
    <row r="115" spans="1:9" x14ac:dyDescent="0.3">
      <c r="A115" s="116"/>
      <c r="B115" s="59"/>
      <c r="C115" s="59"/>
      <c r="D115" s="59"/>
      <c r="E115" s="789"/>
      <c r="F115" s="59"/>
      <c r="G115" s="59"/>
      <c r="H115" s="59"/>
      <c r="I115" s="117"/>
    </row>
  </sheetData>
  <mergeCells count="12">
    <mergeCell ref="E78:E79"/>
    <mergeCell ref="I78:I79"/>
    <mergeCell ref="A2:A3"/>
    <mergeCell ref="C2:C3"/>
    <mergeCell ref="D2:D3"/>
    <mergeCell ref="E2:E3"/>
    <mergeCell ref="I2:I3"/>
    <mergeCell ref="A78:A79"/>
    <mergeCell ref="B2:B3"/>
    <mergeCell ref="B78:B79"/>
    <mergeCell ref="C78:C79"/>
    <mergeCell ref="D78:D79"/>
  </mergeCells>
  <conditionalFormatting sqref="A42:I78 A79 C79:H79">
    <cfRule type="cellIs" dxfId="346" priority="12" operator="equal">
      <formula>0</formula>
    </cfRule>
  </conditionalFormatting>
  <conditionalFormatting sqref="A95:XFD1048576">
    <cfRule type="cellIs" dxfId="345" priority="11" operator="equal">
      <formula>0</formula>
    </cfRule>
  </conditionalFormatting>
  <conditionalFormatting sqref="C29:F34">
    <cfRule type="cellIs" dxfId="344" priority="5" operator="equal">
      <formula>0</formula>
    </cfRule>
  </conditionalFormatting>
  <conditionalFormatting sqref="K2:XFD41 A22:B41 J32:J41 C33:I41">
    <cfRule type="cellIs" dxfId="343" priority="6" operator="equal">
      <formula>0</formula>
    </cfRule>
  </conditionalFormatting>
  <conditionalFormatting sqref="Z1:XFD1 A1:J2 A3 C3:H3 J3 A4:J21 C22:H28 I22:J31 G29:H31 G32:I32 J42:XFD79 A80:J80 Z80:XFD80 A81:XFD82 B83:XFD85 A83:A94 B86:J86 Q86:XFD86 B87:XFD94">
    <cfRule type="cellIs" dxfId="342" priority="62" operator="equal">
      <formula>0</formula>
    </cfRule>
  </conditionalFormatting>
  <dataValidations count="1">
    <dataValidation type="list" allowBlank="1" showInputMessage="1" showErrorMessage="1" sqref="B4:B41" xr:uid="{00000000-0002-0000-0300-000000000000}">
      <formula1>Category</formula1>
    </dataValidation>
  </dataValidations>
  <pageMargins left="0.70866141732283472" right="0.70866141732283472" top="0.74803149606299213" bottom="0.74803149606299213" header="0.31496062992125984" footer="0.31496062992125984"/>
  <pageSetup scale="43" fitToHeight="0" orientation="portrait" r:id="rId1"/>
  <headerFooter>
    <oddHeader>&amp;LMCE Vers. 1.0&amp;C&amp;F&amp;R&amp;"Calibri"&amp;8&amp;K000000Document classified as: 2 - Company Confidential&amp;1#</oddHeader>
    <oddFooter>&amp;C&amp;A - &amp;P&amp;R&amp;D</oddFooter>
  </headerFooter>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I209"/>
  <sheetViews>
    <sheetView topLeftCell="A2" workbookViewId="0">
      <selection activeCell="C76" sqref="C1:C1048576"/>
    </sheetView>
  </sheetViews>
  <sheetFormatPr defaultRowHeight="14.4" x14ac:dyDescent="0.3"/>
  <cols>
    <col min="1" max="1" width="10.5546875" customWidth="1"/>
    <col min="2" max="2" width="5.21875" bestFit="1" customWidth="1"/>
    <col min="3" max="3" width="31.21875" bestFit="1" customWidth="1"/>
    <col min="4" max="4" width="40" bestFit="1" customWidth="1"/>
    <col min="5" max="5" width="34.77734375" customWidth="1"/>
    <col min="6" max="6" width="38.5546875" bestFit="1" customWidth="1"/>
    <col min="8" max="8" width="13.77734375" bestFit="1" customWidth="1"/>
  </cols>
  <sheetData>
    <row r="1" spans="1:9" ht="15" thickBot="1" x14ac:dyDescent="0.35">
      <c r="A1" s="1140" t="s">
        <v>427</v>
      </c>
      <c r="B1" s="1140" t="s">
        <v>428</v>
      </c>
      <c r="C1" s="1140" t="s">
        <v>429</v>
      </c>
      <c r="D1" s="1161" t="s">
        <v>430</v>
      </c>
      <c r="E1" s="1141" t="s">
        <v>431</v>
      </c>
      <c r="F1" s="1141" t="s">
        <v>432</v>
      </c>
      <c r="G1" s="1733" t="s">
        <v>433</v>
      </c>
      <c r="H1" s="1734"/>
      <c r="I1" s="1735"/>
    </row>
    <row r="2" spans="1:9" x14ac:dyDescent="0.3">
      <c r="A2" s="1385" t="s">
        <v>434</v>
      </c>
      <c r="B2" s="1385" t="s">
        <v>435</v>
      </c>
      <c r="C2" s="1385" t="s">
        <v>418</v>
      </c>
      <c r="D2" s="1142" t="s">
        <v>436</v>
      </c>
      <c r="E2" s="1386" t="s">
        <v>437</v>
      </c>
      <c r="F2" s="1387" t="s">
        <v>438</v>
      </c>
      <c r="G2" s="1142"/>
      <c r="H2" s="1143"/>
      <c r="I2" s="1144"/>
    </row>
    <row r="3" spans="1:9" ht="43.2" x14ac:dyDescent="0.3">
      <c r="A3" s="1385" t="s">
        <v>439</v>
      </c>
      <c r="B3" s="1385" t="s">
        <v>435</v>
      </c>
      <c r="C3" s="1385" t="s">
        <v>418</v>
      </c>
      <c r="D3" s="1142" t="s">
        <v>440</v>
      </c>
      <c r="E3" s="1386" t="s">
        <v>441</v>
      </c>
      <c r="F3" s="1387" t="s">
        <v>442</v>
      </c>
      <c r="G3" s="1142"/>
      <c r="H3" s="1143"/>
      <c r="I3" s="1144"/>
    </row>
    <row r="4" spans="1:9" ht="43.2" x14ac:dyDescent="0.3">
      <c r="A4" s="1385" t="s">
        <v>443</v>
      </c>
      <c r="B4" s="1385" t="s">
        <v>435</v>
      </c>
      <c r="C4" s="1385" t="s">
        <v>418</v>
      </c>
      <c r="D4" s="1142" t="s">
        <v>444</v>
      </c>
      <c r="E4" s="1386" t="s">
        <v>445</v>
      </c>
      <c r="F4" s="1387" t="s">
        <v>446</v>
      </c>
      <c r="G4" s="1142"/>
      <c r="H4" s="1143"/>
      <c r="I4" s="1144"/>
    </row>
    <row r="5" spans="1:9" ht="28.8" x14ac:dyDescent="0.3">
      <c r="A5" s="1385" t="s">
        <v>447</v>
      </c>
      <c r="B5" s="1385" t="s">
        <v>435</v>
      </c>
      <c r="C5" s="1385" t="s">
        <v>418</v>
      </c>
      <c r="D5" s="1142" t="s">
        <v>448</v>
      </c>
      <c r="E5" s="1386" t="s">
        <v>449</v>
      </c>
      <c r="F5" s="1387" t="s">
        <v>450</v>
      </c>
      <c r="G5" s="1142"/>
      <c r="H5" s="1143"/>
      <c r="I5" s="1144"/>
    </row>
    <row r="6" spans="1:9" x14ac:dyDescent="0.3">
      <c r="A6" s="1385" t="s">
        <v>451</v>
      </c>
      <c r="B6" s="1385" t="s">
        <v>435</v>
      </c>
      <c r="C6" s="1385" t="s">
        <v>418</v>
      </c>
      <c r="D6" s="1142" t="s">
        <v>452</v>
      </c>
      <c r="E6" s="1386" t="s">
        <v>453</v>
      </c>
      <c r="F6" s="1387"/>
      <c r="G6" s="1142"/>
      <c r="H6" s="1143"/>
      <c r="I6" s="1144"/>
    </row>
    <row r="7" spans="1:9" x14ac:dyDescent="0.3">
      <c r="A7" s="1388" t="s">
        <v>454</v>
      </c>
      <c r="B7" s="1388" t="s">
        <v>435</v>
      </c>
      <c r="C7" s="1388" t="s">
        <v>418</v>
      </c>
      <c r="D7" s="1142" t="s">
        <v>455</v>
      </c>
      <c r="E7" s="1389" t="s">
        <v>456</v>
      </c>
      <c r="F7" s="1390"/>
      <c r="G7" s="1142"/>
      <c r="H7" s="1143"/>
      <c r="I7" s="1144"/>
    </row>
    <row r="8" spans="1:9" x14ac:dyDescent="0.3">
      <c r="A8" s="1388" t="s">
        <v>457</v>
      </c>
      <c r="B8" s="1388" t="s">
        <v>435</v>
      </c>
      <c r="C8" s="1388" t="s">
        <v>418</v>
      </c>
      <c r="D8" s="1142" t="s">
        <v>458</v>
      </c>
      <c r="E8" s="1389" t="s">
        <v>459</v>
      </c>
      <c r="F8" s="1390"/>
      <c r="G8" s="1142"/>
      <c r="H8" s="1143"/>
      <c r="I8" s="1144"/>
    </row>
    <row r="9" spans="1:9" x14ac:dyDescent="0.3">
      <c r="A9" s="1388" t="s">
        <v>460</v>
      </c>
      <c r="B9" s="1388" t="s">
        <v>435</v>
      </c>
      <c r="C9" s="1388" t="s">
        <v>418</v>
      </c>
      <c r="D9" s="1142" t="s">
        <v>461</v>
      </c>
      <c r="E9" s="1389" t="s">
        <v>462</v>
      </c>
      <c r="F9" s="1390"/>
      <c r="G9" s="1142"/>
      <c r="H9" s="1143"/>
      <c r="I9" s="1144"/>
    </row>
    <row r="10" spans="1:9" x14ac:dyDescent="0.3">
      <c r="A10" s="1388" t="s">
        <v>463</v>
      </c>
      <c r="B10" s="1388" t="s">
        <v>435</v>
      </c>
      <c r="C10" s="1388" t="s">
        <v>418</v>
      </c>
      <c r="D10" s="1142" t="s">
        <v>464</v>
      </c>
      <c r="E10" s="1389" t="s">
        <v>465</v>
      </c>
      <c r="F10" s="1390"/>
      <c r="G10" s="1142"/>
      <c r="H10" s="1143"/>
      <c r="I10" s="1144"/>
    </row>
    <row r="11" spans="1:9" ht="15" thickBot="1" x14ac:dyDescent="0.35">
      <c r="A11" s="1391" t="s">
        <v>466</v>
      </c>
      <c r="B11" s="1391" t="s">
        <v>435</v>
      </c>
      <c r="C11" s="1391" t="s">
        <v>418</v>
      </c>
      <c r="D11" s="1145" t="s">
        <v>467</v>
      </c>
      <c r="E11" s="1392"/>
      <c r="F11" s="1393"/>
      <c r="G11" s="1145"/>
      <c r="H11" s="1146"/>
      <c r="I11" s="1147"/>
    </row>
    <row r="12" spans="1:9" ht="43.2" x14ac:dyDescent="0.3">
      <c r="A12" s="1385" t="s">
        <v>468</v>
      </c>
      <c r="B12" s="1385" t="s">
        <v>469</v>
      </c>
      <c r="C12" s="1385" t="s">
        <v>398</v>
      </c>
      <c r="D12" s="1142" t="s">
        <v>470</v>
      </c>
      <c r="E12" s="1386" t="s">
        <v>471</v>
      </c>
      <c r="F12" s="1387" t="s">
        <v>472</v>
      </c>
      <c r="G12" s="1142"/>
      <c r="H12" s="1143"/>
      <c r="I12" s="1144"/>
    </row>
    <row r="13" spans="1:9" x14ac:dyDescent="0.3">
      <c r="A13" s="1385" t="s">
        <v>473</v>
      </c>
      <c r="B13" s="1385" t="s">
        <v>469</v>
      </c>
      <c r="C13" s="1385" t="s">
        <v>398</v>
      </c>
      <c r="D13" s="1142" t="s">
        <v>474</v>
      </c>
      <c r="E13" s="1386" t="s">
        <v>475</v>
      </c>
      <c r="F13" s="1386" t="s">
        <v>475</v>
      </c>
      <c r="G13" s="1142"/>
      <c r="H13" s="1143"/>
      <c r="I13" s="1144"/>
    </row>
    <row r="14" spans="1:9" x14ac:dyDescent="0.3">
      <c r="A14" s="1385" t="s">
        <v>476</v>
      </c>
      <c r="B14" s="1385" t="s">
        <v>469</v>
      </c>
      <c r="C14" s="1385" t="s">
        <v>398</v>
      </c>
      <c r="D14" s="1142" t="s">
        <v>477</v>
      </c>
      <c r="E14" s="1386" t="s">
        <v>475</v>
      </c>
      <c r="F14" s="1386" t="s">
        <v>475</v>
      </c>
      <c r="G14" s="1142"/>
      <c r="H14" s="1143"/>
      <c r="I14" s="1144"/>
    </row>
    <row r="15" spans="1:9" x14ac:dyDescent="0.3">
      <c r="A15" s="1385" t="s">
        <v>478</v>
      </c>
      <c r="B15" s="1385" t="s">
        <v>469</v>
      </c>
      <c r="C15" s="1385" t="s">
        <v>398</v>
      </c>
      <c r="D15" s="1142" t="s">
        <v>479</v>
      </c>
      <c r="E15" s="1386" t="s">
        <v>475</v>
      </c>
      <c r="F15" s="1386" t="s">
        <v>475</v>
      </c>
      <c r="G15" s="1142"/>
      <c r="H15" s="1143"/>
      <c r="I15" s="1144"/>
    </row>
    <row r="16" spans="1:9" x14ac:dyDescent="0.3">
      <c r="A16" s="1385" t="s">
        <v>480</v>
      </c>
      <c r="B16" s="1385" t="s">
        <v>469</v>
      </c>
      <c r="C16" s="1385" t="s">
        <v>398</v>
      </c>
      <c r="D16" s="1142" t="s">
        <v>481</v>
      </c>
      <c r="E16" s="1386" t="s">
        <v>475</v>
      </c>
      <c r="F16" s="1386" t="s">
        <v>475</v>
      </c>
      <c r="G16" s="1142"/>
      <c r="H16" s="1143"/>
      <c r="I16" s="1144"/>
    </row>
    <row r="17" spans="1:9" x14ac:dyDescent="0.3">
      <c r="A17" s="1385" t="s">
        <v>482</v>
      </c>
      <c r="B17" s="1385" t="s">
        <v>469</v>
      </c>
      <c r="C17" s="1385" t="s">
        <v>398</v>
      </c>
      <c r="D17" s="1142" t="s">
        <v>483</v>
      </c>
      <c r="E17" s="1386" t="s">
        <v>475</v>
      </c>
      <c r="F17" s="1386" t="s">
        <v>475</v>
      </c>
      <c r="G17" s="1142"/>
      <c r="H17" s="1143"/>
      <c r="I17" s="1144"/>
    </row>
    <row r="18" spans="1:9" x14ac:dyDescent="0.3">
      <c r="A18" s="1385" t="s">
        <v>484</v>
      </c>
      <c r="B18" s="1385" t="s">
        <v>469</v>
      </c>
      <c r="C18" s="1385" t="s">
        <v>398</v>
      </c>
      <c r="D18" s="1142" t="s">
        <v>485</v>
      </c>
      <c r="E18" s="1386" t="s">
        <v>475</v>
      </c>
      <c r="F18" s="1386" t="s">
        <v>475</v>
      </c>
      <c r="G18" s="1142"/>
      <c r="H18" s="1143"/>
      <c r="I18" s="1144"/>
    </row>
    <row r="19" spans="1:9" x14ac:dyDescent="0.3">
      <c r="A19" s="1385" t="s">
        <v>486</v>
      </c>
      <c r="B19" s="1385" t="s">
        <v>469</v>
      </c>
      <c r="C19" s="1385" t="s">
        <v>398</v>
      </c>
      <c r="D19" s="1142" t="s">
        <v>487</v>
      </c>
      <c r="E19" s="1386"/>
      <c r="F19" s="1387"/>
      <c r="G19" s="1142"/>
      <c r="H19" s="1143"/>
      <c r="I19" s="1144"/>
    </row>
    <row r="20" spans="1:9" x14ac:dyDescent="0.3">
      <c r="A20" s="1385" t="s">
        <v>488</v>
      </c>
      <c r="B20" s="1385" t="s">
        <v>469</v>
      </c>
      <c r="C20" s="1385" t="s">
        <v>398</v>
      </c>
      <c r="D20" s="1142" t="s">
        <v>489</v>
      </c>
      <c r="E20" s="1386" t="s">
        <v>475</v>
      </c>
      <c r="F20" s="1386" t="s">
        <v>475</v>
      </c>
      <c r="G20" s="1142"/>
      <c r="H20" s="1143"/>
      <c r="I20" s="1144"/>
    </row>
    <row r="21" spans="1:9" x14ac:dyDescent="0.3">
      <c r="A21" s="1385" t="s">
        <v>490</v>
      </c>
      <c r="B21" s="1385" t="s">
        <v>469</v>
      </c>
      <c r="C21" s="1385" t="s">
        <v>398</v>
      </c>
      <c r="D21" s="1142" t="s">
        <v>491</v>
      </c>
      <c r="E21" s="1386" t="s">
        <v>475</v>
      </c>
      <c r="F21" s="1386" t="s">
        <v>475</v>
      </c>
      <c r="G21" s="1142"/>
      <c r="H21" s="1143"/>
      <c r="I21" s="1144"/>
    </row>
    <row r="22" spans="1:9" x14ac:dyDescent="0.3">
      <c r="A22" s="1385" t="s">
        <v>492</v>
      </c>
      <c r="B22" s="1385" t="s">
        <v>469</v>
      </c>
      <c r="C22" s="1385" t="s">
        <v>398</v>
      </c>
      <c r="D22" s="1142" t="s">
        <v>493</v>
      </c>
      <c r="E22" s="1386" t="s">
        <v>475</v>
      </c>
      <c r="F22" s="1386" t="s">
        <v>475</v>
      </c>
      <c r="G22" s="1142"/>
      <c r="H22" s="1143"/>
      <c r="I22" s="1144"/>
    </row>
    <row r="23" spans="1:9" ht="28.8" x14ac:dyDescent="0.3">
      <c r="A23" s="1385" t="s">
        <v>494</v>
      </c>
      <c r="B23" s="1385" t="s">
        <v>469</v>
      </c>
      <c r="C23" s="1385" t="s">
        <v>398</v>
      </c>
      <c r="D23" s="1142" t="s">
        <v>495</v>
      </c>
      <c r="E23" s="1386"/>
      <c r="F23" s="1387" t="s">
        <v>496</v>
      </c>
      <c r="G23" s="1142"/>
      <c r="H23" s="1143"/>
      <c r="I23" s="1144"/>
    </row>
    <row r="24" spans="1:9" ht="43.2" x14ac:dyDescent="0.3">
      <c r="A24" s="1385" t="s">
        <v>497</v>
      </c>
      <c r="B24" s="1385" t="s">
        <v>469</v>
      </c>
      <c r="C24" s="1385" t="s">
        <v>398</v>
      </c>
      <c r="D24" s="1142" t="s">
        <v>498</v>
      </c>
      <c r="E24" s="1386" t="s">
        <v>499</v>
      </c>
      <c r="F24" s="1387" t="s">
        <v>500</v>
      </c>
      <c r="G24" s="1142"/>
      <c r="H24" s="1143"/>
      <c r="I24" s="1144"/>
    </row>
    <row r="25" spans="1:9" ht="43.2" x14ac:dyDescent="0.3">
      <c r="A25" s="1385" t="s">
        <v>501</v>
      </c>
      <c r="B25" s="1385" t="s">
        <v>469</v>
      </c>
      <c r="C25" s="1385" t="s">
        <v>398</v>
      </c>
      <c r="D25" s="1142" t="s">
        <v>502</v>
      </c>
      <c r="E25" s="1386" t="s">
        <v>503</v>
      </c>
      <c r="F25" s="1387" t="s">
        <v>504</v>
      </c>
      <c r="G25" s="1142"/>
      <c r="H25" s="1143"/>
      <c r="I25" s="1144"/>
    </row>
    <row r="26" spans="1:9" x14ac:dyDescent="0.3">
      <c r="A26" s="1385" t="s">
        <v>505</v>
      </c>
      <c r="B26" s="1385" t="s">
        <v>469</v>
      </c>
      <c r="C26" s="1385" t="s">
        <v>398</v>
      </c>
      <c r="D26" s="1142" t="s">
        <v>506</v>
      </c>
      <c r="E26" s="1386" t="s">
        <v>475</v>
      </c>
      <c r="F26" s="1386" t="s">
        <v>475</v>
      </c>
      <c r="G26" s="1142"/>
      <c r="H26" s="1143"/>
      <c r="I26" s="1144"/>
    </row>
    <row r="27" spans="1:9" x14ac:dyDescent="0.3">
      <c r="A27" s="1385" t="s">
        <v>507</v>
      </c>
      <c r="B27" s="1385" t="s">
        <v>469</v>
      </c>
      <c r="C27" s="1385" t="s">
        <v>398</v>
      </c>
      <c r="D27" s="1142" t="s">
        <v>508</v>
      </c>
      <c r="E27" s="1386" t="s">
        <v>475</v>
      </c>
      <c r="F27" s="1386" t="s">
        <v>475</v>
      </c>
      <c r="G27" s="1142"/>
      <c r="H27" s="1143"/>
      <c r="I27" s="1144"/>
    </row>
    <row r="28" spans="1:9" x14ac:dyDescent="0.3">
      <c r="A28" s="1385" t="s">
        <v>509</v>
      </c>
      <c r="B28" s="1385" t="s">
        <v>469</v>
      </c>
      <c r="C28" s="1385" t="s">
        <v>398</v>
      </c>
      <c r="D28" s="1142" t="s">
        <v>510</v>
      </c>
      <c r="E28" s="1386" t="s">
        <v>511</v>
      </c>
      <c r="F28" s="1387" t="s">
        <v>512</v>
      </c>
      <c r="G28" s="1142"/>
      <c r="H28" s="1143"/>
      <c r="I28" s="1144"/>
    </row>
    <row r="29" spans="1:9" ht="43.2" x14ac:dyDescent="0.3">
      <c r="A29" s="1385" t="s">
        <v>513</v>
      </c>
      <c r="B29" s="1385" t="s">
        <v>469</v>
      </c>
      <c r="C29" s="1385" t="s">
        <v>398</v>
      </c>
      <c r="D29" s="1148" t="s">
        <v>514</v>
      </c>
      <c r="E29" s="1386" t="s">
        <v>515</v>
      </c>
      <c r="F29" s="1387" t="s">
        <v>516</v>
      </c>
      <c r="G29" s="1142"/>
      <c r="H29" s="1143"/>
      <c r="I29" s="1144"/>
    </row>
    <row r="30" spans="1:9" x14ac:dyDescent="0.3">
      <c r="A30" s="1385" t="s">
        <v>517</v>
      </c>
      <c r="B30" s="1385" t="s">
        <v>469</v>
      </c>
      <c r="C30" s="1385" t="s">
        <v>398</v>
      </c>
      <c r="D30" s="1142" t="s">
        <v>518</v>
      </c>
      <c r="E30" s="1386" t="s">
        <v>475</v>
      </c>
      <c r="F30" s="1386" t="s">
        <v>475</v>
      </c>
      <c r="G30" s="1142"/>
      <c r="H30" s="1143"/>
      <c r="I30" s="1144"/>
    </row>
    <row r="31" spans="1:9" x14ac:dyDescent="0.3">
      <c r="A31" s="1385" t="s">
        <v>519</v>
      </c>
      <c r="B31" s="1385" t="s">
        <v>469</v>
      </c>
      <c r="C31" s="1385" t="s">
        <v>398</v>
      </c>
      <c r="D31" s="1142" t="s">
        <v>520</v>
      </c>
      <c r="E31" s="1386" t="s">
        <v>475</v>
      </c>
      <c r="F31" s="1386" t="s">
        <v>475</v>
      </c>
      <c r="G31" s="1142"/>
      <c r="H31" s="1143"/>
      <c r="I31" s="1144"/>
    </row>
    <row r="32" spans="1:9" x14ac:dyDescent="0.3">
      <c r="A32" s="1385" t="s">
        <v>521</v>
      </c>
      <c r="B32" s="1385" t="s">
        <v>469</v>
      </c>
      <c r="C32" s="1385" t="s">
        <v>398</v>
      </c>
      <c r="D32" s="1142" t="s">
        <v>522</v>
      </c>
      <c r="E32" s="1386" t="s">
        <v>475</v>
      </c>
      <c r="F32" s="1386" t="s">
        <v>475</v>
      </c>
      <c r="G32" s="1142"/>
      <c r="H32" s="1143"/>
      <c r="I32" s="1144"/>
    </row>
    <row r="33" spans="1:9" x14ac:dyDescent="0.3">
      <c r="A33" s="1385" t="s">
        <v>523</v>
      </c>
      <c r="B33" s="1385" t="s">
        <v>469</v>
      </c>
      <c r="C33" s="1385" t="s">
        <v>398</v>
      </c>
      <c r="D33" s="1142" t="s">
        <v>524</v>
      </c>
      <c r="E33" s="1386" t="s">
        <v>475</v>
      </c>
      <c r="F33" s="1386" t="s">
        <v>475</v>
      </c>
      <c r="G33" s="1142"/>
      <c r="H33" s="1143"/>
      <c r="I33" s="1144"/>
    </row>
    <row r="34" spans="1:9" x14ac:dyDescent="0.3">
      <c r="A34" s="1385" t="s">
        <v>525</v>
      </c>
      <c r="B34" s="1385" t="s">
        <v>469</v>
      </c>
      <c r="C34" s="1385" t="s">
        <v>398</v>
      </c>
      <c r="D34" s="1142" t="s">
        <v>526</v>
      </c>
      <c r="E34" s="1386"/>
      <c r="F34" s="1387"/>
      <c r="G34" s="1142"/>
      <c r="H34" s="1143"/>
      <c r="I34" s="1144"/>
    </row>
    <row r="35" spans="1:9" x14ac:dyDescent="0.3">
      <c r="A35" s="1385" t="s">
        <v>527</v>
      </c>
      <c r="B35" s="1385" t="s">
        <v>469</v>
      </c>
      <c r="C35" s="1385" t="s">
        <v>398</v>
      </c>
      <c r="D35" s="1142" t="s">
        <v>528</v>
      </c>
      <c r="E35" s="1386" t="s">
        <v>475</v>
      </c>
      <c r="F35" s="1386" t="s">
        <v>475</v>
      </c>
      <c r="G35" s="1142"/>
      <c r="H35" s="1143"/>
      <c r="I35" s="1144"/>
    </row>
    <row r="36" spans="1:9" x14ac:dyDescent="0.3">
      <c r="A36" s="1385" t="s">
        <v>529</v>
      </c>
      <c r="B36" s="1385" t="s">
        <v>469</v>
      </c>
      <c r="C36" s="1385" t="s">
        <v>398</v>
      </c>
      <c r="D36" s="1142" t="s">
        <v>530</v>
      </c>
      <c r="E36" s="1386" t="s">
        <v>475</v>
      </c>
      <c r="F36" s="1386" t="s">
        <v>475</v>
      </c>
      <c r="G36" s="1142"/>
      <c r="H36" s="1143"/>
      <c r="I36" s="1144"/>
    </row>
    <row r="37" spans="1:9" x14ac:dyDescent="0.3">
      <c r="A37" s="1385" t="s">
        <v>531</v>
      </c>
      <c r="B37" s="1385" t="s">
        <v>469</v>
      </c>
      <c r="C37" s="1385" t="s">
        <v>398</v>
      </c>
      <c r="D37" s="1142" t="s">
        <v>532</v>
      </c>
      <c r="E37" s="1386"/>
      <c r="F37" s="1387"/>
      <c r="G37" s="1142"/>
      <c r="H37" s="1143"/>
      <c r="I37" s="1144"/>
    </row>
    <row r="38" spans="1:9" x14ac:dyDescent="0.3">
      <c r="A38" s="1385" t="s">
        <v>533</v>
      </c>
      <c r="B38" s="1385" t="s">
        <v>469</v>
      </c>
      <c r="C38" s="1385" t="s">
        <v>398</v>
      </c>
      <c r="D38" s="1148" t="s">
        <v>534</v>
      </c>
      <c r="E38" s="1386"/>
      <c r="F38" s="1387"/>
      <c r="G38" s="1142"/>
      <c r="H38" s="1143"/>
      <c r="I38" s="1144"/>
    </row>
    <row r="39" spans="1:9" ht="28.8" x14ac:dyDescent="0.3">
      <c r="A39" s="1385" t="s">
        <v>535</v>
      </c>
      <c r="B39" s="1385" t="s">
        <v>469</v>
      </c>
      <c r="C39" s="1385" t="s">
        <v>398</v>
      </c>
      <c r="D39" s="1142" t="s">
        <v>536</v>
      </c>
      <c r="E39" s="1386" t="s">
        <v>537</v>
      </c>
      <c r="F39" s="1387" t="s">
        <v>538</v>
      </c>
      <c r="G39" s="1142"/>
      <c r="H39" s="1143"/>
      <c r="I39" s="1144"/>
    </row>
    <row r="40" spans="1:9" x14ac:dyDescent="0.3">
      <c r="A40" s="1394" t="s">
        <v>539</v>
      </c>
      <c r="B40" s="1394" t="s">
        <v>469</v>
      </c>
      <c r="C40" s="1394" t="s">
        <v>398</v>
      </c>
      <c r="D40" s="1148" t="s">
        <v>540</v>
      </c>
      <c r="E40" s="1395" t="s">
        <v>541</v>
      </c>
      <c r="F40" s="1148" t="s">
        <v>540</v>
      </c>
      <c r="G40" s="1142"/>
      <c r="H40" s="1143"/>
      <c r="I40" s="1144"/>
    </row>
    <row r="41" spans="1:9" x14ac:dyDescent="0.3">
      <c r="A41" s="1394" t="s">
        <v>542</v>
      </c>
      <c r="B41" s="1394" t="s">
        <v>469</v>
      </c>
      <c r="C41" s="1394" t="s">
        <v>398</v>
      </c>
      <c r="D41" s="1148" t="s">
        <v>543</v>
      </c>
      <c r="E41" s="1395" t="s">
        <v>544</v>
      </c>
      <c r="F41" s="1396" t="s">
        <v>545</v>
      </c>
      <c r="G41" s="1142"/>
      <c r="H41" s="1143"/>
      <c r="I41" s="1144"/>
    </row>
    <row r="42" spans="1:9" x14ac:dyDescent="0.3">
      <c r="A42" s="1385" t="s">
        <v>546</v>
      </c>
      <c r="B42" s="1385" t="s">
        <v>469</v>
      </c>
      <c r="C42" s="1385" t="s">
        <v>398</v>
      </c>
      <c r="D42" s="1142" t="s">
        <v>547</v>
      </c>
      <c r="E42" s="1386"/>
      <c r="F42" s="1387"/>
      <c r="G42" s="1142"/>
      <c r="H42" s="1143"/>
      <c r="I42" s="1144"/>
    </row>
    <row r="43" spans="1:9" ht="28.8" x14ac:dyDescent="0.3">
      <c r="A43" s="1385" t="s">
        <v>548</v>
      </c>
      <c r="B43" s="1385" t="s">
        <v>469</v>
      </c>
      <c r="C43" s="1385" t="s">
        <v>398</v>
      </c>
      <c r="D43" s="1142" t="s">
        <v>549</v>
      </c>
      <c r="E43" s="1386" t="s">
        <v>550</v>
      </c>
      <c r="F43" s="1387" t="s">
        <v>551</v>
      </c>
      <c r="G43" s="1142"/>
      <c r="H43" s="1143"/>
      <c r="I43" s="1144"/>
    </row>
    <row r="44" spans="1:9" x14ac:dyDescent="0.3">
      <c r="A44" s="1385" t="s">
        <v>552</v>
      </c>
      <c r="B44" s="1385" t="s">
        <v>469</v>
      </c>
      <c r="C44" s="1385" t="s">
        <v>398</v>
      </c>
      <c r="D44" s="1142" t="s">
        <v>553</v>
      </c>
      <c r="E44" s="1386" t="s">
        <v>554</v>
      </c>
      <c r="F44" s="1387" t="s">
        <v>553</v>
      </c>
      <c r="G44" s="1142"/>
      <c r="H44" s="1143"/>
      <c r="I44" s="1144"/>
    </row>
    <row r="45" spans="1:9" x14ac:dyDescent="0.3">
      <c r="A45" s="1385" t="s">
        <v>555</v>
      </c>
      <c r="B45" s="1385" t="s">
        <v>469</v>
      </c>
      <c r="C45" s="1385" t="s">
        <v>398</v>
      </c>
      <c r="D45" s="1142" t="s">
        <v>556</v>
      </c>
      <c r="E45" s="1386"/>
      <c r="F45" s="1387"/>
      <c r="G45" s="1142"/>
      <c r="H45" s="1143"/>
      <c r="I45" s="1144"/>
    </row>
    <row r="46" spans="1:9" x14ac:dyDescent="0.3">
      <c r="A46" s="1385" t="s">
        <v>557</v>
      </c>
      <c r="B46" s="1385" t="s">
        <v>469</v>
      </c>
      <c r="C46" s="1385" t="s">
        <v>398</v>
      </c>
      <c r="D46" s="1142" t="s">
        <v>558</v>
      </c>
      <c r="E46" s="1386"/>
      <c r="F46" s="1387"/>
      <c r="G46" s="1142"/>
      <c r="H46" s="1143"/>
      <c r="I46" s="1144"/>
    </row>
    <row r="47" spans="1:9" x14ac:dyDescent="0.3">
      <c r="A47" s="1385" t="s">
        <v>559</v>
      </c>
      <c r="B47" s="1385" t="s">
        <v>469</v>
      </c>
      <c r="C47" s="1385" t="s">
        <v>398</v>
      </c>
      <c r="D47" s="1142" t="s">
        <v>560</v>
      </c>
      <c r="E47" s="1386"/>
      <c r="F47" s="1387"/>
      <c r="G47" s="1142"/>
      <c r="H47" s="1143"/>
      <c r="I47" s="1144"/>
    </row>
    <row r="48" spans="1:9" x14ac:dyDescent="0.3">
      <c r="A48" s="1385" t="s">
        <v>561</v>
      </c>
      <c r="B48" s="1385" t="s">
        <v>469</v>
      </c>
      <c r="C48" s="1385" t="s">
        <v>398</v>
      </c>
      <c r="D48" s="1142" t="s">
        <v>562</v>
      </c>
      <c r="E48" s="1386" t="s">
        <v>475</v>
      </c>
      <c r="F48" s="1386" t="s">
        <v>475</v>
      </c>
      <c r="G48" s="1142"/>
      <c r="H48" s="1143"/>
      <c r="I48" s="1144"/>
    </row>
    <row r="49" spans="1:9" x14ac:dyDescent="0.3">
      <c r="A49" s="1385" t="s">
        <v>563</v>
      </c>
      <c r="B49" s="1385" t="s">
        <v>469</v>
      </c>
      <c r="C49" s="1385" t="s">
        <v>398</v>
      </c>
      <c r="D49" s="1142" t="s">
        <v>564</v>
      </c>
      <c r="E49" s="1386" t="s">
        <v>475</v>
      </c>
      <c r="F49" s="1386" t="s">
        <v>475</v>
      </c>
      <c r="G49" s="1142"/>
      <c r="H49" s="1143"/>
      <c r="I49" s="1144"/>
    </row>
    <row r="50" spans="1:9" x14ac:dyDescent="0.3">
      <c r="A50" s="1385" t="s">
        <v>565</v>
      </c>
      <c r="B50" s="1385" t="s">
        <v>469</v>
      </c>
      <c r="C50" s="1385" t="s">
        <v>398</v>
      </c>
      <c r="D50" s="1142" t="s">
        <v>566</v>
      </c>
      <c r="E50" s="1386" t="s">
        <v>567</v>
      </c>
      <c r="F50" s="1387" t="s">
        <v>566</v>
      </c>
      <c r="G50" s="1142"/>
      <c r="H50" s="1143"/>
      <c r="I50" s="1144"/>
    </row>
    <row r="51" spans="1:9" x14ac:dyDescent="0.3">
      <c r="A51" s="1385" t="s">
        <v>568</v>
      </c>
      <c r="B51" s="1385" t="s">
        <v>469</v>
      </c>
      <c r="C51" s="1385" t="s">
        <v>398</v>
      </c>
      <c r="D51" s="1142" t="s">
        <v>569</v>
      </c>
      <c r="E51" s="1386" t="s">
        <v>570</v>
      </c>
      <c r="F51" s="1387" t="s">
        <v>569</v>
      </c>
      <c r="G51" s="1142"/>
      <c r="H51" s="1143"/>
      <c r="I51" s="1144"/>
    </row>
    <row r="52" spans="1:9" x14ac:dyDescent="0.3">
      <c r="A52" s="1385" t="s">
        <v>571</v>
      </c>
      <c r="B52" s="1385" t="s">
        <v>469</v>
      </c>
      <c r="C52" s="1385" t="s">
        <v>398</v>
      </c>
      <c r="D52" s="1142" t="s">
        <v>572</v>
      </c>
      <c r="E52" s="1386"/>
      <c r="F52" s="1387"/>
      <c r="G52" s="1142"/>
      <c r="H52" s="1143"/>
      <c r="I52" s="1144"/>
    </row>
    <row r="53" spans="1:9" x14ac:dyDescent="0.3">
      <c r="A53" s="1385" t="s">
        <v>573</v>
      </c>
      <c r="B53" s="1385" t="s">
        <v>469</v>
      </c>
      <c r="C53" s="1385" t="s">
        <v>398</v>
      </c>
      <c r="D53" s="1142" t="s">
        <v>574</v>
      </c>
      <c r="E53" s="1386"/>
      <c r="F53" s="1387"/>
      <c r="G53" s="1142"/>
      <c r="H53" s="1143"/>
      <c r="I53" s="1144"/>
    </row>
    <row r="54" spans="1:9" x14ac:dyDescent="0.3">
      <c r="A54" s="1385" t="s">
        <v>575</v>
      </c>
      <c r="B54" s="1385" t="s">
        <v>469</v>
      </c>
      <c r="C54" s="1385" t="s">
        <v>398</v>
      </c>
      <c r="D54" s="1142" t="s">
        <v>576</v>
      </c>
      <c r="E54" s="1386"/>
      <c r="F54" s="1387"/>
      <c r="G54" s="1142"/>
      <c r="H54" s="1143"/>
      <c r="I54" s="1144"/>
    </row>
    <row r="55" spans="1:9" x14ac:dyDescent="0.3">
      <c r="A55" s="1385" t="s">
        <v>577</v>
      </c>
      <c r="B55" s="1385" t="s">
        <v>469</v>
      </c>
      <c r="C55" s="1385" t="s">
        <v>398</v>
      </c>
      <c r="D55" s="1142" t="s">
        <v>578</v>
      </c>
      <c r="E55" s="1386" t="s">
        <v>475</v>
      </c>
      <c r="F55" s="1386" t="s">
        <v>475</v>
      </c>
      <c r="G55" s="1142"/>
      <c r="H55" s="1143"/>
      <c r="I55" s="1144"/>
    </row>
    <row r="56" spans="1:9" x14ac:dyDescent="0.3">
      <c r="A56" s="1385" t="s">
        <v>579</v>
      </c>
      <c r="B56" s="1385" t="s">
        <v>469</v>
      </c>
      <c r="C56" s="1385" t="s">
        <v>398</v>
      </c>
      <c r="D56" s="1142" t="s">
        <v>580</v>
      </c>
      <c r="E56" s="1386" t="s">
        <v>475</v>
      </c>
      <c r="F56" s="1386" t="s">
        <v>475</v>
      </c>
      <c r="G56" s="1142"/>
      <c r="H56" s="1143"/>
      <c r="I56" s="1144"/>
    </row>
    <row r="57" spans="1:9" x14ac:dyDescent="0.3">
      <c r="A57" s="1385" t="s">
        <v>581</v>
      </c>
      <c r="B57" s="1385" t="s">
        <v>469</v>
      </c>
      <c r="C57" s="1385" t="s">
        <v>398</v>
      </c>
      <c r="D57" s="1142" t="s">
        <v>582</v>
      </c>
      <c r="E57" s="1386" t="s">
        <v>475</v>
      </c>
      <c r="F57" s="1386" t="s">
        <v>475</v>
      </c>
      <c r="G57" s="1142"/>
      <c r="H57" s="1143"/>
      <c r="I57" s="1144"/>
    </row>
    <row r="58" spans="1:9" x14ac:dyDescent="0.3">
      <c r="A58" s="1385" t="s">
        <v>583</v>
      </c>
      <c r="B58" s="1385" t="s">
        <v>469</v>
      </c>
      <c r="C58" s="1385" t="s">
        <v>398</v>
      </c>
      <c r="D58" s="1142" t="s">
        <v>584</v>
      </c>
      <c r="E58" s="1386" t="s">
        <v>475</v>
      </c>
      <c r="F58" s="1386" t="s">
        <v>475</v>
      </c>
      <c r="G58" s="1142"/>
      <c r="H58" s="1143"/>
      <c r="I58" s="1144"/>
    </row>
    <row r="59" spans="1:9" x14ac:dyDescent="0.3">
      <c r="A59" s="1385" t="s">
        <v>585</v>
      </c>
      <c r="B59" s="1385" t="s">
        <v>469</v>
      </c>
      <c r="C59" s="1385" t="s">
        <v>398</v>
      </c>
      <c r="D59" s="1142" t="s">
        <v>586</v>
      </c>
      <c r="E59" s="1386" t="s">
        <v>475</v>
      </c>
      <c r="F59" s="1386" t="s">
        <v>475</v>
      </c>
      <c r="G59" s="1142"/>
      <c r="H59" s="1143"/>
      <c r="I59" s="1144"/>
    </row>
    <row r="60" spans="1:9" x14ac:dyDescent="0.3">
      <c r="A60" s="1385" t="s">
        <v>587</v>
      </c>
      <c r="B60" s="1385" t="s">
        <v>469</v>
      </c>
      <c r="C60" s="1385" t="s">
        <v>398</v>
      </c>
      <c r="D60" s="1142" t="s">
        <v>588</v>
      </c>
      <c r="E60" s="1386" t="s">
        <v>589</v>
      </c>
      <c r="F60" s="1387"/>
      <c r="G60" s="1142"/>
      <c r="H60" s="1143"/>
      <c r="I60" s="1144"/>
    </row>
    <row r="61" spans="1:9" x14ac:dyDescent="0.3">
      <c r="A61" s="1385" t="s">
        <v>590</v>
      </c>
      <c r="B61" s="1385" t="s">
        <v>469</v>
      </c>
      <c r="C61" s="1385" t="s">
        <v>398</v>
      </c>
      <c r="D61" s="1142" t="s">
        <v>591</v>
      </c>
      <c r="E61" s="1386"/>
      <c r="F61" s="1387"/>
      <c r="G61" s="1142"/>
      <c r="H61" s="1143"/>
      <c r="I61" s="1144"/>
    </row>
    <row r="62" spans="1:9" ht="29.4" thickBot="1" x14ac:dyDescent="0.35">
      <c r="A62" s="1391" t="s">
        <v>592</v>
      </c>
      <c r="B62" s="1391" t="s">
        <v>469</v>
      </c>
      <c r="C62" s="1391" t="s">
        <v>398</v>
      </c>
      <c r="D62" s="1145" t="s">
        <v>593</v>
      </c>
      <c r="E62" s="1392" t="s">
        <v>594</v>
      </c>
      <c r="F62" s="1393" t="s">
        <v>595</v>
      </c>
      <c r="G62" s="1145"/>
      <c r="H62" s="1146"/>
      <c r="I62" s="1147"/>
    </row>
    <row r="63" spans="1:9" ht="28.8" x14ac:dyDescent="0.3">
      <c r="A63" s="1385" t="s">
        <v>596</v>
      </c>
      <c r="B63" s="1385" t="s">
        <v>597</v>
      </c>
      <c r="C63" s="1385" t="s">
        <v>598</v>
      </c>
      <c r="D63" s="1142" t="s">
        <v>599</v>
      </c>
      <c r="E63" s="1386" t="s">
        <v>600</v>
      </c>
      <c r="F63" s="1387" t="s">
        <v>601</v>
      </c>
      <c r="G63" s="1142"/>
      <c r="H63" s="1143"/>
      <c r="I63" s="1144"/>
    </row>
    <row r="64" spans="1:9" x14ac:dyDescent="0.3">
      <c r="A64" s="1385" t="s">
        <v>602</v>
      </c>
      <c r="B64" s="1385" t="s">
        <v>597</v>
      </c>
      <c r="C64" s="1385" t="s">
        <v>598</v>
      </c>
      <c r="D64" s="1142" t="s">
        <v>603</v>
      </c>
      <c r="E64" s="1386" t="s">
        <v>604</v>
      </c>
      <c r="F64" s="1387" t="s">
        <v>605</v>
      </c>
      <c r="G64" s="1142"/>
      <c r="H64" s="1143"/>
      <c r="I64" s="1144"/>
    </row>
    <row r="65" spans="1:9" x14ac:dyDescent="0.3">
      <c r="A65" s="1397" t="s">
        <v>606</v>
      </c>
      <c r="B65" s="1397" t="s">
        <v>597</v>
      </c>
      <c r="C65" s="1394" t="s">
        <v>598</v>
      </c>
      <c r="D65" s="1148" t="s">
        <v>607</v>
      </c>
      <c r="E65" s="1398" t="s">
        <v>608</v>
      </c>
      <c r="F65" s="1399" t="s">
        <v>607</v>
      </c>
      <c r="G65" s="1142"/>
      <c r="H65" s="1143"/>
      <c r="I65" s="1144"/>
    </row>
    <row r="66" spans="1:9" x14ac:dyDescent="0.3">
      <c r="A66" s="1388" t="s">
        <v>609</v>
      </c>
      <c r="B66" s="1388" t="s">
        <v>597</v>
      </c>
      <c r="C66" s="1388" t="s">
        <v>598</v>
      </c>
      <c r="D66" s="1142" t="s">
        <v>610</v>
      </c>
      <c r="E66" s="1389" t="s">
        <v>611</v>
      </c>
      <c r="F66" s="1390"/>
      <c r="G66" s="1142"/>
      <c r="H66" s="1143"/>
      <c r="I66" s="1144"/>
    </row>
    <row r="67" spans="1:9" x14ac:dyDescent="0.3">
      <c r="A67" s="1388" t="s">
        <v>612</v>
      </c>
      <c r="B67" s="1388" t="s">
        <v>597</v>
      </c>
      <c r="C67" s="1388" t="s">
        <v>598</v>
      </c>
      <c r="D67" s="1142" t="s">
        <v>613</v>
      </c>
      <c r="E67" s="1389" t="s">
        <v>614</v>
      </c>
      <c r="F67" s="1390"/>
      <c r="G67" s="1142"/>
      <c r="H67" s="1143"/>
      <c r="I67" s="1144"/>
    </row>
    <row r="68" spans="1:9" ht="72.599999999999994" thickBot="1" x14ac:dyDescent="0.35">
      <c r="A68" s="1391" t="s">
        <v>615</v>
      </c>
      <c r="B68" s="1391" t="s">
        <v>597</v>
      </c>
      <c r="C68" s="1391" t="s">
        <v>598</v>
      </c>
      <c r="D68" s="1145" t="s">
        <v>616</v>
      </c>
      <c r="E68" s="1392" t="s">
        <v>617</v>
      </c>
      <c r="F68" s="1393" t="s">
        <v>618</v>
      </c>
      <c r="G68" s="1145"/>
      <c r="H68" s="1146"/>
      <c r="I68" s="1147"/>
    </row>
    <row r="69" spans="1:9" ht="57.6" x14ac:dyDescent="0.3">
      <c r="A69" s="1471" t="s">
        <v>619</v>
      </c>
      <c r="B69" s="1471" t="s">
        <v>620</v>
      </c>
      <c r="C69" s="1471" t="s">
        <v>400</v>
      </c>
      <c r="D69" s="1142" t="s">
        <v>621</v>
      </c>
      <c r="E69" s="1472" t="s">
        <v>622</v>
      </c>
      <c r="F69" s="1473" t="s">
        <v>623</v>
      </c>
      <c r="G69" s="1142"/>
      <c r="H69" s="1143"/>
      <c r="I69" s="1144"/>
    </row>
    <row r="70" spans="1:9" x14ac:dyDescent="0.3">
      <c r="A70" s="1471" t="s">
        <v>624</v>
      </c>
      <c r="B70" s="1471" t="s">
        <v>620</v>
      </c>
      <c r="C70" s="1471" t="s">
        <v>400</v>
      </c>
      <c r="D70" s="1142" t="s">
        <v>625</v>
      </c>
      <c r="E70" s="1472" t="s">
        <v>626</v>
      </c>
      <c r="F70" s="1473" t="s">
        <v>627</v>
      </c>
      <c r="G70" s="1142"/>
      <c r="H70" s="1143"/>
      <c r="I70" s="1144"/>
    </row>
    <row r="71" spans="1:9" x14ac:dyDescent="0.3">
      <c r="A71" s="1471" t="s">
        <v>628</v>
      </c>
      <c r="B71" s="1471" t="s">
        <v>620</v>
      </c>
      <c r="C71" s="1471" t="s">
        <v>400</v>
      </c>
      <c r="D71" s="1142" t="s">
        <v>629</v>
      </c>
      <c r="E71" s="1472" t="s">
        <v>630</v>
      </c>
      <c r="F71" s="1473" t="s">
        <v>631</v>
      </c>
      <c r="G71" s="1142"/>
      <c r="H71" s="1143"/>
      <c r="I71" s="1144"/>
    </row>
    <row r="72" spans="1:9" x14ac:dyDescent="0.3">
      <c r="A72" s="1471" t="s">
        <v>632</v>
      </c>
      <c r="B72" s="1471" t="s">
        <v>620</v>
      </c>
      <c r="C72" s="1471" t="s">
        <v>400</v>
      </c>
      <c r="D72" s="1142" t="s">
        <v>633</v>
      </c>
      <c r="E72" s="1472" t="s">
        <v>634</v>
      </c>
      <c r="F72" s="1473" t="s">
        <v>633</v>
      </c>
      <c r="G72" s="1142"/>
      <c r="H72" s="1143"/>
      <c r="I72" s="1144"/>
    </row>
    <row r="73" spans="1:9" ht="115.2" x14ac:dyDescent="0.3">
      <c r="A73" s="1385" t="s">
        <v>635</v>
      </c>
      <c r="B73" s="1385" t="s">
        <v>620</v>
      </c>
      <c r="C73" s="1385" t="s">
        <v>400</v>
      </c>
      <c r="D73" s="1142" t="s">
        <v>636</v>
      </c>
      <c r="E73" s="1386" t="s">
        <v>637</v>
      </c>
      <c r="F73" s="1387" t="s">
        <v>638</v>
      </c>
      <c r="G73" s="1142"/>
      <c r="H73" s="1143"/>
      <c r="I73" s="1144"/>
    </row>
    <row r="74" spans="1:9" x14ac:dyDescent="0.3">
      <c r="A74" s="1385" t="s">
        <v>639</v>
      </c>
      <c r="B74" s="1385" t="s">
        <v>620</v>
      </c>
      <c r="C74" s="1385" t="s">
        <v>400</v>
      </c>
      <c r="D74" s="1142" t="s">
        <v>640</v>
      </c>
      <c r="E74" s="1386" t="s">
        <v>641</v>
      </c>
      <c r="F74" s="1387"/>
      <c r="G74" s="1142"/>
      <c r="H74" s="1143"/>
      <c r="I74" s="1144"/>
    </row>
    <row r="75" spans="1:9" x14ac:dyDescent="0.3">
      <c r="A75" s="1388" t="s">
        <v>642</v>
      </c>
      <c r="B75" s="1388" t="s">
        <v>620</v>
      </c>
      <c r="C75" s="1388" t="s">
        <v>400</v>
      </c>
      <c r="D75" s="1142" t="s">
        <v>643</v>
      </c>
      <c r="E75" s="1389" t="s">
        <v>644</v>
      </c>
      <c r="F75" s="1390" t="s">
        <v>643</v>
      </c>
      <c r="G75" s="1142"/>
      <c r="H75" s="1143"/>
      <c r="I75" s="1144"/>
    </row>
    <row r="76" spans="1:9" x14ac:dyDescent="0.3">
      <c r="A76" s="1388" t="s">
        <v>645</v>
      </c>
      <c r="B76" s="1388" t="s">
        <v>620</v>
      </c>
      <c r="C76" s="1388" t="s">
        <v>400</v>
      </c>
      <c r="D76" s="1142" t="s">
        <v>646</v>
      </c>
      <c r="E76" s="1389" t="s">
        <v>647</v>
      </c>
      <c r="F76" s="1390" t="s">
        <v>646</v>
      </c>
      <c r="G76" s="1142"/>
      <c r="H76" s="1143"/>
      <c r="I76" s="1144"/>
    </row>
    <row r="77" spans="1:9" ht="15" thickBot="1" x14ac:dyDescent="0.35">
      <c r="A77" s="1391" t="s">
        <v>648</v>
      </c>
      <c r="B77" s="1391" t="s">
        <v>620</v>
      </c>
      <c r="C77" s="1391" t="s">
        <v>400</v>
      </c>
      <c r="D77" s="1145" t="s">
        <v>649</v>
      </c>
      <c r="E77" s="1392"/>
      <c r="F77" s="1393"/>
      <c r="G77" s="1145"/>
      <c r="H77" s="1146"/>
      <c r="I77" s="1147"/>
    </row>
    <row r="78" spans="1:9" ht="57.6" x14ac:dyDescent="0.3">
      <c r="A78" s="1471" t="s">
        <v>650</v>
      </c>
      <c r="B78" s="1471" t="s">
        <v>651</v>
      </c>
      <c r="C78" s="1471" t="s">
        <v>394</v>
      </c>
      <c r="D78" s="1142" t="s">
        <v>652</v>
      </c>
      <c r="E78" s="1472" t="s">
        <v>653</v>
      </c>
      <c r="F78" s="1473" t="s">
        <v>654</v>
      </c>
      <c r="G78" s="1142"/>
      <c r="H78" s="1143"/>
      <c r="I78" s="1144"/>
    </row>
    <row r="79" spans="1:9" ht="86.4" x14ac:dyDescent="0.3">
      <c r="A79" s="1385" t="s">
        <v>655</v>
      </c>
      <c r="B79" s="1385" t="s">
        <v>651</v>
      </c>
      <c r="C79" s="1385" t="s">
        <v>394</v>
      </c>
      <c r="D79" s="1142" t="s">
        <v>656</v>
      </c>
      <c r="E79" s="1386" t="s">
        <v>657</v>
      </c>
      <c r="F79" s="1387" t="s">
        <v>658</v>
      </c>
      <c r="G79" s="1142"/>
      <c r="H79" s="1143"/>
      <c r="I79" s="1144"/>
    </row>
    <row r="80" spans="1:9" x14ac:dyDescent="0.3">
      <c r="A80" s="1385" t="s">
        <v>659</v>
      </c>
      <c r="B80" s="1385" t="s">
        <v>651</v>
      </c>
      <c r="C80" s="1385" t="s">
        <v>394</v>
      </c>
      <c r="D80" s="1142" t="s">
        <v>660</v>
      </c>
      <c r="E80" s="1386" t="s">
        <v>661</v>
      </c>
      <c r="F80" s="1387" t="s">
        <v>662</v>
      </c>
      <c r="G80" s="1142"/>
      <c r="H80" s="1143"/>
      <c r="I80" s="1144"/>
    </row>
    <row r="81" spans="1:9" x14ac:dyDescent="0.3">
      <c r="A81" s="1385" t="s">
        <v>663</v>
      </c>
      <c r="B81" s="1385" t="s">
        <v>651</v>
      </c>
      <c r="C81" s="1385" t="s">
        <v>394</v>
      </c>
      <c r="D81" s="1142" t="s">
        <v>664</v>
      </c>
      <c r="E81" s="1386" t="s">
        <v>665</v>
      </c>
      <c r="F81" s="1387" t="s">
        <v>666</v>
      </c>
      <c r="G81" s="1142"/>
      <c r="H81" s="1143"/>
      <c r="I81" s="1144"/>
    </row>
    <row r="82" spans="1:9" x14ac:dyDescent="0.3">
      <c r="A82" s="1385" t="s">
        <v>667</v>
      </c>
      <c r="B82" s="1385" t="s">
        <v>651</v>
      </c>
      <c r="C82" s="1385" t="s">
        <v>394</v>
      </c>
      <c r="D82" s="1142" t="s">
        <v>668</v>
      </c>
      <c r="E82" s="1386" t="s">
        <v>669</v>
      </c>
      <c r="F82" s="1387" t="s">
        <v>670</v>
      </c>
      <c r="G82" s="1142"/>
      <c r="H82" s="1143"/>
      <c r="I82" s="1144"/>
    </row>
    <row r="83" spans="1:9" x14ac:dyDescent="0.3">
      <c r="A83" s="1385" t="s">
        <v>671</v>
      </c>
      <c r="B83" s="1385" t="s">
        <v>651</v>
      </c>
      <c r="C83" s="1385" t="s">
        <v>394</v>
      </c>
      <c r="D83" s="1142" t="s">
        <v>672</v>
      </c>
      <c r="E83" s="1386" t="s">
        <v>673</v>
      </c>
      <c r="F83" s="1387" t="s">
        <v>674</v>
      </c>
      <c r="G83" s="1142"/>
      <c r="H83" s="1143"/>
      <c r="I83" s="1144"/>
    </row>
    <row r="84" spans="1:9" x14ac:dyDescent="0.3">
      <c r="A84" s="1385" t="s">
        <v>675</v>
      </c>
      <c r="B84" s="1385" t="s">
        <v>651</v>
      </c>
      <c r="C84" s="1385" t="s">
        <v>394</v>
      </c>
      <c r="D84" s="1142" t="s">
        <v>676</v>
      </c>
      <c r="E84" s="1386" t="s">
        <v>677</v>
      </c>
      <c r="F84" s="1387" t="s">
        <v>678</v>
      </c>
      <c r="G84" s="1142"/>
      <c r="H84" s="1143"/>
      <c r="I84" s="1144"/>
    </row>
    <row r="85" spans="1:9" x14ac:dyDescent="0.3">
      <c r="A85" s="1385" t="s">
        <v>679</v>
      </c>
      <c r="B85" s="1385" t="s">
        <v>651</v>
      </c>
      <c r="C85" s="1385" t="s">
        <v>394</v>
      </c>
      <c r="D85" s="1142" t="s">
        <v>680</v>
      </c>
      <c r="E85" s="1386" t="s">
        <v>681</v>
      </c>
      <c r="F85" s="1387"/>
      <c r="G85" s="1142"/>
      <c r="H85" s="1143"/>
      <c r="I85" s="1144"/>
    </row>
    <row r="86" spans="1:9" x14ac:dyDescent="0.3">
      <c r="A86" s="1385" t="s">
        <v>682</v>
      </c>
      <c r="B86" s="1385" t="s">
        <v>651</v>
      </c>
      <c r="C86" s="1385" t="s">
        <v>394</v>
      </c>
      <c r="D86" s="1142" t="s">
        <v>683</v>
      </c>
      <c r="E86" s="1386" t="s">
        <v>684</v>
      </c>
      <c r="F86" s="1387"/>
      <c r="G86" s="1142"/>
      <c r="H86" s="1143"/>
      <c r="I86" s="1144"/>
    </row>
    <row r="87" spans="1:9" x14ac:dyDescent="0.3">
      <c r="A87" s="1385" t="s">
        <v>685</v>
      </c>
      <c r="B87" s="1385" t="s">
        <v>651</v>
      </c>
      <c r="C87" s="1385" t="s">
        <v>394</v>
      </c>
      <c r="D87" s="1142" t="s">
        <v>686</v>
      </c>
      <c r="E87" s="1386" t="s">
        <v>687</v>
      </c>
      <c r="F87" s="1387"/>
      <c r="G87" s="1142"/>
      <c r="H87" s="1143"/>
      <c r="I87" s="1144"/>
    </row>
    <row r="88" spans="1:9" ht="57.6" x14ac:dyDescent="0.3">
      <c r="A88" s="1385" t="s">
        <v>688</v>
      </c>
      <c r="B88" s="1385" t="s">
        <v>651</v>
      </c>
      <c r="C88" s="1385" t="s">
        <v>394</v>
      </c>
      <c r="D88" s="1142" t="s">
        <v>689</v>
      </c>
      <c r="E88" s="1386" t="s">
        <v>690</v>
      </c>
      <c r="F88" s="1387"/>
      <c r="G88" s="1142"/>
      <c r="H88" s="1143"/>
      <c r="I88" s="1144"/>
    </row>
    <row r="89" spans="1:9" x14ac:dyDescent="0.3">
      <c r="A89" s="1385" t="s">
        <v>691</v>
      </c>
      <c r="B89" s="1385" t="s">
        <v>651</v>
      </c>
      <c r="C89" s="1385" t="s">
        <v>394</v>
      </c>
      <c r="D89" s="1142" t="s">
        <v>692</v>
      </c>
      <c r="E89" s="1386" t="s">
        <v>693</v>
      </c>
      <c r="F89" s="1387"/>
      <c r="G89" s="1142"/>
      <c r="H89" s="1143"/>
      <c r="I89" s="1144"/>
    </row>
    <row r="90" spans="1:9" ht="43.2" x14ac:dyDescent="0.3">
      <c r="A90" s="1385" t="s">
        <v>694</v>
      </c>
      <c r="B90" s="1385" t="s">
        <v>651</v>
      </c>
      <c r="C90" s="1385" t="s">
        <v>394</v>
      </c>
      <c r="D90" s="1142" t="s">
        <v>695</v>
      </c>
      <c r="E90" s="1386" t="s">
        <v>696</v>
      </c>
      <c r="F90" s="1387"/>
      <c r="G90" s="1142"/>
      <c r="H90" s="1143"/>
      <c r="I90" s="1144"/>
    </row>
    <row r="91" spans="1:9" x14ac:dyDescent="0.3">
      <c r="A91" s="1385" t="s">
        <v>697</v>
      </c>
      <c r="B91" s="1385" t="s">
        <v>651</v>
      </c>
      <c r="C91" s="1385" t="s">
        <v>394</v>
      </c>
      <c r="D91" s="1142" t="s">
        <v>698</v>
      </c>
      <c r="E91" s="1386"/>
      <c r="F91" s="1387"/>
      <c r="G91" s="1142"/>
      <c r="H91" s="1143"/>
      <c r="I91" s="1144"/>
    </row>
    <row r="92" spans="1:9" ht="28.8" x14ac:dyDescent="0.3">
      <c r="A92" s="1394" t="s">
        <v>699</v>
      </c>
      <c r="B92" s="1394" t="s">
        <v>651</v>
      </c>
      <c r="C92" s="1394" t="s">
        <v>394</v>
      </c>
      <c r="D92" s="1148" t="s">
        <v>700</v>
      </c>
      <c r="E92" s="1395" t="s">
        <v>701</v>
      </c>
      <c r="F92" s="1148" t="s">
        <v>702</v>
      </c>
      <c r="G92" s="1142"/>
      <c r="H92" s="1143"/>
      <c r="I92" s="1144"/>
    </row>
    <row r="93" spans="1:9" x14ac:dyDescent="0.3">
      <c r="A93" s="1385" t="s">
        <v>703</v>
      </c>
      <c r="B93" s="1385" t="s">
        <v>651</v>
      </c>
      <c r="C93" s="1385" t="s">
        <v>394</v>
      </c>
      <c r="D93" s="1142" t="s">
        <v>704</v>
      </c>
      <c r="E93" s="1386" t="s">
        <v>705</v>
      </c>
      <c r="F93" s="1387"/>
      <c r="G93" s="1142"/>
      <c r="H93" s="1143"/>
      <c r="I93" s="1144"/>
    </row>
    <row r="94" spans="1:9" x14ac:dyDescent="0.3">
      <c r="A94" s="1385" t="s">
        <v>706</v>
      </c>
      <c r="B94" s="1385" t="s">
        <v>651</v>
      </c>
      <c r="C94" s="1385" t="s">
        <v>394</v>
      </c>
      <c r="D94" s="1142" t="s">
        <v>707</v>
      </c>
      <c r="E94" s="1386" t="s">
        <v>708</v>
      </c>
      <c r="F94" s="1387"/>
      <c r="G94" s="1142"/>
      <c r="H94" s="1143"/>
      <c r="I94" s="1144"/>
    </row>
    <row r="95" spans="1:9" ht="28.8" x14ac:dyDescent="0.3">
      <c r="A95" s="1385" t="s">
        <v>709</v>
      </c>
      <c r="B95" s="1385" t="s">
        <v>651</v>
      </c>
      <c r="C95" s="1385" t="s">
        <v>394</v>
      </c>
      <c r="D95" s="1142" t="s">
        <v>710</v>
      </c>
      <c r="E95" s="1386" t="s">
        <v>711</v>
      </c>
      <c r="F95" s="1387"/>
      <c r="G95" s="1142"/>
      <c r="H95" s="1143"/>
      <c r="I95" s="1144"/>
    </row>
    <row r="96" spans="1:9" x14ac:dyDescent="0.3">
      <c r="A96" s="1385" t="s">
        <v>712</v>
      </c>
      <c r="B96" s="1385" t="s">
        <v>651</v>
      </c>
      <c r="C96" s="1385" t="s">
        <v>394</v>
      </c>
      <c r="D96" s="1142" t="s">
        <v>713</v>
      </c>
      <c r="E96" s="1386" t="s">
        <v>714</v>
      </c>
      <c r="F96" s="1387"/>
      <c r="G96" s="1142"/>
      <c r="H96" s="1143"/>
      <c r="I96" s="1144"/>
    </row>
    <row r="97" spans="1:9" x14ac:dyDescent="0.3">
      <c r="A97" s="1385" t="s">
        <v>715</v>
      </c>
      <c r="B97" s="1385" t="s">
        <v>651</v>
      </c>
      <c r="C97" s="1385" t="s">
        <v>394</v>
      </c>
      <c r="D97" s="1142" t="s">
        <v>716</v>
      </c>
      <c r="E97" s="1386" t="s">
        <v>717</v>
      </c>
      <c r="F97" s="1387"/>
      <c r="G97" s="1142"/>
      <c r="H97" s="1143"/>
      <c r="I97" s="1144"/>
    </row>
    <row r="98" spans="1:9" ht="15" thickBot="1" x14ac:dyDescent="0.35">
      <c r="A98" s="1391" t="s">
        <v>718</v>
      </c>
      <c r="B98" s="1391" t="s">
        <v>651</v>
      </c>
      <c r="C98" s="1391" t="s">
        <v>394</v>
      </c>
      <c r="D98" s="1145" t="s">
        <v>719</v>
      </c>
      <c r="E98" s="1392" t="s">
        <v>720</v>
      </c>
      <c r="F98" s="1393" t="s">
        <v>721</v>
      </c>
      <c r="G98" s="1145"/>
      <c r="H98" s="1146"/>
      <c r="I98" s="1147"/>
    </row>
    <row r="99" spans="1:9" ht="57.6" x14ac:dyDescent="0.3">
      <c r="A99" s="1471" t="s">
        <v>722</v>
      </c>
      <c r="B99" s="1471" t="s">
        <v>723</v>
      </c>
      <c r="C99" s="1471" t="s">
        <v>396</v>
      </c>
      <c r="D99" s="1142" t="s">
        <v>724</v>
      </c>
      <c r="E99" s="1472" t="s">
        <v>725</v>
      </c>
      <c r="F99" s="1473" t="s">
        <v>726</v>
      </c>
      <c r="G99" s="1142"/>
      <c r="H99" s="1143"/>
      <c r="I99" s="1144"/>
    </row>
    <row r="100" spans="1:9" ht="57.6" x14ac:dyDescent="0.3">
      <c r="A100" s="1385" t="s">
        <v>727</v>
      </c>
      <c r="B100" s="1385" t="s">
        <v>723</v>
      </c>
      <c r="C100" s="1385" t="s">
        <v>396</v>
      </c>
      <c r="D100" s="1142" t="s">
        <v>728</v>
      </c>
      <c r="E100" s="1386" t="s">
        <v>729</v>
      </c>
      <c r="F100" s="1387" t="s">
        <v>730</v>
      </c>
      <c r="G100" s="1142"/>
      <c r="H100" s="1143"/>
      <c r="I100" s="1144"/>
    </row>
    <row r="101" spans="1:9" x14ac:dyDescent="0.3">
      <c r="A101" s="1385" t="s">
        <v>731</v>
      </c>
      <c r="B101" s="1385" t="s">
        <v>723</v>
      </c>
      <c r="C101" s="1385" t="s">
        <v>396</v>
      </c>
      <c r="D101" s="1142" t="s">
        <v>732</v>
      </c>
      <c r="E101" s="1386"/>
      <c r="F101" s="1387" t="s">
        <v>733</v>
      </c>
      <c r="G101" s="1142"/>
      <c r="H101" s="1143"/>
      <c r="I101" s="1144"/>
    </row>
    <row r="102" spans="1:9" ht="72" x14ac:dyDescent="0.3">
      <c r="A102" s="1385" t="s">
        <v>734</v>
      </c>
      <c r="B102" s="1385" t="s">
        <v>723</v>
      </c>
      <c r="C102" s="1385" t="s">
        <v>396</v>
      </c>
      <c r="D102" s="1142" t="s">
        <v>735</v>
      </c>
      <c r="E102" s="1386" t="s">
        <v>736</v>
      </c>
      <c r="F102" s="1387" t="s">
        <v>737</v>
      </c>
      <c r="G102" s="1142"/>
      <c r="H102" s="1143"/>
      <c r="I102" s="1144"/>
    </row>
    <row r="103" spans="1:9" x14ac:dyDescent="0.3">
      <c r="A103" s="1394" t="s">
        <v>738</v>
      </c>
      <c r="B103" s="1394" t="s">
        <v>723</v>
      </c>
      <c r="C103" s="1394" t="s">
        <v>396</v>
      </c>
      <c r="D103" s="1148" t="s">
        <v>680</v>
      </c>
      <c r="E103" s="1395" t="s">
        <v>739</v>
      </c>
      <c r="F103" s="1396" t="s">
        <v>740</v>
      </c>
      <c r="G103" s="1142"/>
      <c r="H103" s="1143"/>
      <c r="I103" s="1144"/>
    </row>
    <row r="104" spans="1:9" x14ac:dyDescent="0.3">
      <c r="A104" s="1394" t="s">
        <v>741</v>
      </c>
      <c r="B104" s="1394" t="s">
        <v>723</v>
      </c>
      <c r="C104" s="1394" t="s">
        <v>396</v>
      </c>
      <c r="D104" s="1148" t="s">
        <v>683</v>
      </c>
      <c r="E104" s="1395" t="s">
        <v>739</v>
      </c>
      <c r="F104" s="1396" t="s">
        <v>740</v>
      </c>
      <c r="G104" s="1142"/>
      <c r="H104" s="1143"/>
      <c r="I104" s="1144"/>
    </row>
    <row r="105" spans="1:9" x14ac:dyDescent="0.3">
      <c r="A105" s="1394" t="s">
        <v>742</v>
      </c>
      <c r="B105" s="1394" t="s">
        <v>723</v>
      </c>
      <c r="C105" s="1394" t="s">
        <v>396</v>
      </c>
      <c r="D105" s="1148" t="s">
        <v>686</v>
      </c>
      <c r="E105" s="1395" t="s">
        <v>739</v>
      </c>
      <c r="F105" s="1396" t="s">
        <v>740</v>
      </c>
      <c r="G105" s="1142"/>
      <c r="H105" s="1143"/>
      <c r="I105" s="1144"/>
    </row>
    <row r="106" spans="1:9" x14ac:dyDescent="0.3">
      <c r="A106" s="1394" t="s">
        <v>743</v>
      </c>
      <c r="B106" s="1394" t="s">
        <v>723</v>
      </c>
      <c r="C106" s="1394" t="s">
        <v>396</v>
      </c>
      <c r="D106" s="1148" t="s">
        <v>744</v>
      </c>
      <c r="E106" s="1395" t="s">
        <v>739</v>
      </c>
      <c r="F106" s="1396" t="s">
        <v>740</v>
      </c>
      <c r="G106" s="1142"/>
      <c r="H106" s="1143"/>
      <c r="I106" s="1144"/>
    </row>
    <row r="107" spans="1:9" x14ac:dyDescent="0.3">
      <c r="A107" s="1394" t="s">
        <v>745</v>
      </c>
      <c r="B107" s="1394" t="s">
        <v>723</v>
      </c>
      <c r="C107" s="1394" t="s">
        <v>396</v>
      </c>
      <c r="D107" s="1148" t="s">
        <v>746</v>
      </c>
      <c r="E107" s="1395" t="s">
        <v>739</v>
      </c>
      <c r="F107" s="1396" t="s">
        <v>740</v>
      </c>
      <c r="G107" s="1142"/>
      <c r="H107" s="1143"/>
      <c r="I107" s="1144"/>
    </row>
    <row r="108" spans="1:9" x14ac:dyDescent="0.3">
      <c r="A108" s="1394" t="s">
        <v>747</v>
      </c>
      <c r="B108" s="1394" t="s">
        <v>723</v>
      </c>
      <c r="C108" s="1394" t="s">
        <v>396</v>
      </c>
      <c r="D108" s="1148" t="s">
        <v>748</v>
      </c>
      <c r="E108" s="1395" t="s">
        <v>739</v>
      </c>
      <c r="F108" s="1396" t="s">
        <v>740</v>
      </c>
      <c r="G108" s="1142"/>
      <c r="H108" s="1143"/>
      <c r="I108" s="1144"/>
    </row>
    <row r="109" spans="1:9" x14ac:dyDescent="0.3">
      <c r="A109" s="1394" t="s">
        <v>749</v>
      </c>
      <c r="B109" s="1394" t="s">
        <v>723</v>
      </c>
      <c r="C109" s="1394" t="s">
        <v>396</v>
      </c>
      <c r="D109" s="1148" t="s">
        <v>750</v>
      </c>
      <c r="E109" s="1395" t="s">
        <v>739</v>
      </c>
      <c r="F109" s="1396" t="s">
        <v>740</v>
      </c>
      <c r="G109" s="1142"/>
      <c r="H109" s="1143"/>
      <c r="I109" s="1144"/>
    </row>
    <row r="110" spans="1:9" x14ac:dyDescent="0.3">
      <c r="A110" s="1394" t="s">
        <v>751</v>
      </c>
      <c r="B110" s="1394" t="s">
        <v>723</v>
      </c>
      <c r="C110" s="1394" t="s">
        <v>396</v>
      </c>
      <c r="D110" s="1148" t="s">
        <v>752</v>
      </c>
      <c r="E110" s="1395" t="s">
        <v>753</v>
      </c>
      <c r="F110" s="1396" t="s">
        <v>754</v>
      </c>
      <c r="G110" s="1142"/>
      <c r="H110" s="1143"/>
      <c r="I110" s="1144"/>
    </row>
    <row r="111" spans="1:9" x14ac:dyDescent="0.3">
      <c r="A111" s="1394" t="s">
        <v>755</v>
      </c>
      <c r="B111" s="1394" t="s">
        <v>723</v>
      </c>
      <c r="C111" s="1394" t="s">
        <v>396</v>
      </c>
      <c r="D111" s="1148" t="s">
        <v>756</v>
      </c>
      <c r="E111" s="1395" t="s">
        <v>753</v>
      </c>
      <c r="F111" s="1396" t="s">
        <v>754</v>
      </c>
      <c r="G111" s="1142"/>
      <c r="H111" s="1143"/>
      <c r="I111" s="1144"/>
    </row>
    <row r="112" spans="1:9" x14ac:dyDescent="0.3">
      <c r="A112" s="1394" t="s">
        <v>757</v>
      </c>
      <c r="B112" s="1394" t="s">
        <v>723</v>
      </c>
      <c r="C112" s="1394" t="s">
        <v>396</v>
      </c>
      <c r="D112" s="1148" t="s">
        <v>758</v>
      </c>
      <c r="E112" s="1395" t="s">
        <v>753</v>
      </c>
      <c r="F112" s="1396" t="s">
        <v>754</v>
      </c>
      <c r="G112" s="1142"/>
      <c r="H112" s="1143"/>
      <c r="I112" s="1144"/>
    </row>
    <row r="113" spans="1:9" x14ac:dyDescent="0.3">
      <c r="A113" s="1394" t="s">
        <v>759</v>
      </c>
      <c r="B113" s="1394" t="s">
        <v>723</v>
      </c>
      <c r="C113" s="1394" t="s">
        <v>396</v>
      </c>
      <c r="D113" s="1148" t="s">
        <v>760</v>
      </c>
      <c r="E113" s="1395" t="s">
        <v>753</v>
      </c>
      <c r="F113" s="1396" t="s">
        <v>754</v>
      </c>
      <c r="G113" s="1142"/>
      <c r="H113" s="1143"/>
      <c r="I113" s="1144"/>
    </row>
    <row r="114" spans="1:9" x14ac:dyDescent="0.3">
      <c r="A114" s="1385" t="s">
        <v>761</v>
      </c>
      <c r="B114" s="1385" t="s">
        <v>723</v>
      </c>
      <c r="C114" s="1385" t="s">
        <v>396</v>
      </c>
      <c r="D114" s="1142" t="s">
        <v>762</v>
      </c>
      <c r="E114" s="1386" t="s">
        <v>763</v>
      </c>
      <c r="F114" s="1387" t="s">
        <v>764</v>
      </c>
      <c r="G114" s="1142"/>
      <c r="H114" s="1143"/>
      <c r="I114" s="1144"/>
    </row>
    <row r="115" spans="1:9" x14ac:dyDescent="0.3">
      <c r="A115" s="1385" t="s">
        <v>765</v>
      </c>
      <c r="B115" s="1385" t="s">
        <v>723</v>
      </c>
      <c r="C115" s="1385" t="s">
        <v>396</v>
      </c>
      <c r="D115" s="1142" t="s">
        <v>766</v>
      </c>
      <c r="E115" s="1386"/>
      <c r="F115" s="1387" t="s">
        <v>767</v>
      </c>
      <c r="G115" s="1142"/>
      <c r="H115" s="1143"/>
      <c r="I115" s="1144"/>
    </row>
    <row r="116" spans="1:9" ht="57.6" x14ac:dyDescent="0.3">
      <c r="A116" s="1385" t="s">
        <v>768</v>
      </c>
      <c r="B116" s="1385" t="s">
        <v>723</v>
      </c>
      <c r="C116" s="1385" t="s">
        <v>396</v>
      </c>
      <c r="D116" s="1142" t="s">
        <v>769</v>
      </c>
      <c r="E116" s="1386" t="s">
        <v>770</v>
      </c>
      <c r="F116" s="1387" t="s">
        <v>771</v>
      </c>
      <c r="G116" s="1142"/>
      <c r="H116" s="1143"/>
      <c r="I116" s="1144"/>
    </row>
    <row r="117" spans="1:9" ht="158.4" x14ac:dyDescent="0.3">
      <c r="A117" s="1385" t="s">
        <v>772</v>
      </c>
      <c r="B117" s="1385" t="s">
        <v>723</v>
      </c>
      <c r="C117" s="1385" t="s">
        <v>396</v>
      </c>
      <c r="D117" s="1142" t="s">
        <v>773</v>
      </c>
      <c r="E117" s="1386" t="s">
        <v>774</v>
      </c>
      <c r="F117" s="1387" t="s">
        <v>775</v>
      </c>
      <c r="G117" s="1142"/>
      <c r="H117" s="1143"/>
      <c r="I117" s="1144"/>
    </row>
    <row r="118" spans="1:9" ht="57.6" x14ac:dyDescent="0.3">
      <c r="A118" s="1385" t="s">
        <v>776</v>
      </c>
      <c r="B118" s="1385" t="s">
        <v>723</v>
      </c>
      <c r="C118" s="1385" t="s">
        <v>396</v>
      </c>
      <c r="D118" s="1142" t="s">
        <v>777</v>
      </c>
      <c r="E118" s="1386" t="s">
        <v>778</v>
      </c>
      <c r="F118" s="1387" t="s">
        <v>779</v>
      </c>
      <c r="G118" s="1142"/>
      <c r="H118" s="1143"/>
      <c r="I118" s="1144"/>
    </row>
    <row r="119" spans="1:9" ht="57.6" x14ac:dyDescent="0.3">
      <c r="A119" s="1385" t="s">
        <v>780</v>
      </c>
      <c r="B119" s="1385" t="s">
        <v>723</v>
      </c>
      <c r="C119" s="1385" t="s">
        <v>396</v>
      </c>
      <c r="D119" s="1142" t="s">
        <v>781</v>
      </c>
      <c r="E119" s="1386" t="s">
        <v>782</v>
      </c>
      <c r="F119" s="1387" t="s">
        <v>783</v>
      </c>
      <c r="G119" s="1142"/>
      <c r="H119" s="1143"/>
      <c r="I119" s="1144"/>
    </row>
    <row r="120" spans="1:9" ht="57.6" x14ac:dyDescent="0.3">
      <c r="A120" s="1385" t="s">
        <v>784</v>
      </c>
      <c r="B120" s="1385" t="s">
        <v>723</v>
      </c>
      <c r="C120" s="1385" t="s">
        <v>396</v>
      </c>
      <c r="D120" s="1142" t="s">
        <v>785</v>
      </c>
      <c r="E120" s="1386" t="s">
        <v>786</v>
      </c>
      <c r="F120" s="1387" t="s">
        <v>787</v>
      </c>
      <c r="G120" s="1142"/>
      <c r="H120" s="1143"/>
      <c r="I120" s="1144"/>
    </row>
    <row r="121" spans="1:9" ht="57.6" x14ac:dyDescent="0.3">
      <c r="A121" s="1385" t="s">
        <v>788</v>
      </c>
      <c r="B121" s="1385" t="s">
        <v>723</v>
      </c>
      <c r="C121" s="1385" t="s">
        <v>396</v>
      </c>
      <c r="D121" s="1142" t="s">
        <v>789</v>
      </c>
      <c r="E121" s="1386" t="s">
        <v>790</v>
      </c>
      <c r="F121" s="1387" t="s">
        <v>791</v>
      </c>
      <c r="G121" s="1142"/>
      <c r="H121" s="1143"/>
      <c r="I121" s="1144"/>
    </row>
    <row r="122" spans="1:9" ht="57.6" x14ac:dyDescent="0.3">
      <c r="A122" s="1385" t="s">
        <v>792</v>
      </c>
      <c r="B122" s="1385" t="s">
        <v>723</v>
      </c>
      <c r="C122" s="1385" t="s">
        <v>396</v>
      </c>
      <c r="D122" s="1142" t="s">
        <v>793</v>
      </c>
      <c r="E122" s="1386" t="s">
        <v>794</v>
      </c>
      <c r="F122" s="1387" t="s">
        <v>795</v>
      </c>
      <c r="G122" s="1142"/>
      <c r="H122" s="1143"/>
      <c r="I122" s="1144"/>
    </row>
    <row r="123" spans="1:9" ht="86.4" x14ac:dyDescent="0.3">
      <c r="A123" s="1385" t="s">
        <v>796</v>
      </c>
      <c r="B123" s="1385" t="s">
        <v>723</v>
      </c>
      <c r="C123" s="1385" t="s">
        <v>396</v>
      </c>
      <c r="D123" s="1142" t="s">
        <v>797</v>
      </c>
      <c r="E123" s="1386" t="s">
        <v>798</v>
      </c>
      <c r="F123" s="1387" t="s">
        <v>799</v>
      </c>
      <c r="G123" s="1142"/>
      <c r="H123" s="1143"/>
      <c r="I123" s="1144"/>
    </row>
    <row r="124" spans="1:9" ht="57.6" x14ac:dyDescent="0.3">
      <c r="A124" s="1385" t="s">
        <v>800</v>
      </c>
      <c r="B124" s="1385" t="s">
        <v>723</v>
      </c>
      <c r="C124" s="1385" t="s">
        <v>396</v>
      </c>
      <c r="D124" s="1142" t="s">
        <v>801</v>
      </c>
      <c r="E124" s="1386" t="s">
        <v>802</v>
      </c>
      <c r="F124" s="1387" t="s">
        <v>803</v>
      </c>
      <c r="G124" s="1142"/>
      <c r="H124" s="1143"/>
      <c r="I124" s="1144"/>
    </row>
    <row r="125" spans="1:9" x14ac:dyDescent="0.3">
      <c r="A125" s="1385" t="s">
        <v>804</v>
      </c>
      <c r="B125" s="1385" t="s">
        <v>723</v>
      </c>
      <c r="C125" s="1385" t="s">
        <v>396</v>
      </c>
      <c r="D125" s="1142" t="s">
        <v>805</v>
      </c>
      <c r="E125" s="1386" t="s">
        <v>739</v>
      </c>
      <c r="F125" s="1387" t="s">
        <v>740</v>
      </c>
      <c r="G125" s="1142"/>
      <c r="H125" s="1143"/>
      <c r="I125" s="1144"/>
    </row>
    <row r="126" spans="1:9" x14ac:dyDescent="0.3">
      <c r="A126" s="1385" t="s">
        <v>806</v>
      </c>
      <c r="B126" s="1385" t="s">
        <v>723</v>
      </c>
      <c r="C126" s="1385" t="s">
        <v>396</v>
      </c>
      <c r="D126" s="1142" t="s">
        <v>807</v>
      </c>
      <c r="E126" s="1386" t="s">
        <v>739</v>
      </c>
      <c r="F126" s="1387" t="s">
        <v>740</v>
      </c>
      <c r="G126" s="1142"/>
      <c r="H126" s="1143"/>
      <c r="I126" s="1144"/>
    </row>
    <row r="127" spans="1:9" x14ac:dyDescent="0.3">
      <c r="A127" s="1385" t="s">
        <v>808</v>
      </c>
      <c r="B127" s="1385" t="s">
        <v>723</v>
      </c>
      <c r="C127" s="1385" t="s">
        <v>396</v>
      </c>
      <c r="D127" s="1142" t="s">
        <v>809</v>
      </c>
      <c r="E127" s="1386" t="s">
        <v>739</v>
      </c>
      <c r="F127" s="1387" t="s">
        <v>740</v>
      </c>
      <c r="G127" s="1142"/>
      <c r="H127" s="1143"/>
      <c r="I127" s="1144"/>
    </row>
    <row r="128" spans="1:9" x14ac:dyDescent="0.3">
      <c r="A128" s="1385" t="s">
        <v>810</v>
      </c>
      <c r="B128" s="1385" t="s">
        <v>723</v>
      </c>
      <c r="C128" s="1385" t="s">
        <v>396</v>
      </c>
      <c r="D128" s="1142" t="s">
        <v>811</v>
      </c>
      <c r="E128" s="1386" t="s">
        <v>739</v>
      </c>
      <c r="F128" s="1387" t="s">
        <v>740</v>
      </c>
      <c r="G128" s="1142"/>
      <c r="H128" s="1143"/>
      <c r="I128" s="1144"/>
    </row>
    <row r="129" spans="1:9" x14ac:dyDescent="0.3">
      <c r="A129" s="1385" t="s">
        <v>812</v>
      </c>
      <c r="B129" s="1385" t="s">
        <v>723</v>
      </c>
      <c r="C129" s="1385" t="s">
        <v>396</v>
      </c>
      <c r="D129" s="1142" t="s">
        <v>813</v>
      </c>
      <c r="E129" s="1386" t="s">
        <v>739</v>
      </c>
      <c r="F129" s="1387" t="s">
        <v>740</v>
      </c>
      <c r="G129" s="1142"/>
      <c r="H129" s="1143"/>
      <c r="I129" s="1144"/>
    </row>
    <row r="130" spans="1:9" ht="115.2" x14ac:dyDescent="0.3">
      <c r="A130" s="1385" t="s">
        <v>814</v>
      </c>
      <c r="B130" s="1385" t="s">
        <v>723</v>
      </c>
      <c r="C130" s="1385" t="s">
        <v>396</v>
      </c>
      <c r="D130" s="1142" t="s">
        <v>815</v>
      </c>
      <c r="E130" s="1386" t="s">
        <v>816</v>
      </c>
      <c r="F130" s="1387" t="s">
        <v>817</v>
      </c>
      <c r="G130" s="1142"/>
      <c r="H130" s="1143"/>
      <c r="I130" s="1144"/>
    </row>
    <row r="131" spans="1:9" ht="172.8" x14ac:dyDescent="0.3">
      <c r="A131" s="1385" t="s">
        <v>818</v>
      </c>
      <c r="B131" s="1385" t="s">
        <v>723</v>
      </c>
      <c r="C131" s="1385" t="s">
        <v>396</v>
      </c>
      <c r="D131" s="1142" t="s">
        <v>819</v>
      </c>
      <c r="E131" s="1386" t="s">
        <v>820</v>
      </c>
      <c r="F131" s="1387" t="s">
        <v>821</v>
      </c>
      <c r="G131" s="1142"/>
      <c r="H131" s="1143"/>
      <c r="I131" s="1144"/>
    </row>
    <row r="132" spans="1:9" ht="100.8" x14ac:dyDescent="0.3">
      <c r="A132" s="1385" t="s">
        <v>822</v>
      </c>
      <c r="B132" s="1385" t="s">
        <v>723</v>
      </c>
      <c r="C132" s="1385" t="s">
        <v>396</v>
      </c>
      <c r="D132" s="1142" t="s">
        <v>823</v>
      </c>
      <c r="E132" s="1386" t="s">
        <v>824</v>
      </c>
      <c r="F132" s="1387" t="s">
        <v>825</v>
      </c>
      <c r="G132" s="1142"/>
      <c r="H132" s="1143"/>
      <c r="I132" s="1144"/>
    </row>
    <row r="133" spans="1:9" ht="43.2" x14ac:dyDescent="0.3">
      <c r="A133" s="1385" t="s">
        <v>826</v>
      </c>
      <c r="B133" s="1385" t="s">
        <v>723</v>
      </c>
      <c r="C133" s="1385" t="s">
        <v>396</v>
      </c>
      <c r="D133" s="1142" t="s">
        <v>827</v>
      </c>
      <c r="E133" s="1386" t="s">
        <v>828</v>
      </c>
      <c r="F133" s="1387" t="s">
        <v>829</v>
      </c>
      <c r="G133" s="1142"/>
      <c r="H133" s="1143"/>
      <c r="I133" s="1144"/>
    </row>
    <row r="134" spans="1:9" x14ac:dyDescent="0.3">
      <c r="A134" s="1385" t="s">
        <v>830</v>
      </c>
      <c r="B134" s="1385" t="s">
        <v>723</v>
      </c>
      <c r="C134" s="1385" t="s">
        <v>396</v>
      </c>
      <c r="D134" s="1142" t="s">
        <v>831</v>
      </c>
      <c r="E134" s="1386" t="s">
        <v>832</v>
      </c>
      <c r="F134" s="1387"/>
      <c r="G134" s="1142"/>
      <c r="H134" s="1143"/>
      <c r="I134" s="1144"/>
    </row>
    <row r="135" spans="1:9" ht="43.2" x14ac:dyDescent="0.3">
      <c r="A135" s="1385" t="s">
        <v>833</v>
      </c>
      <c r="B135" s="1385" t="s">
        <v>723</v>
      </c>
      <c r="C135" s="1385" t="s">
        <v>396</v>
      </c>
      <c r="D135" s="1142" t="s">
        <v>834</v>
      </c>
      <c r="E135" s="1386" t="s">
        <v>835</v>
      </c>
      <c r="F135" s="1387" t="s">
        <v>835</v>
      </c>
      <c r="G135" s="1142"/>
      <c r="H135" s="1143"/>
      <c r="I135" s="1144"/>
    </row>
    <row r="136" spans="1:9" x14ac:dyDescent="0.3">
      <c r="A136" s="1385" t="s">
        <v>836</v>
      </c>
      <c r="B136" s="1385" t="s">
        <v>723</v>
      </c>
      <c r="C136" s="1385" t="s">
        <v>396</v>
      </c>
      <c r="D136" s="1142" t="s">
        <v>837</v>
      </c>
      <c r="E136" s="1386" t="s">
        <v>838</v>
      </c>
      <c r="F136" s="1387"/>
      <c r="G136" s="1142"/>
      <c r="H136" s="1143"/>
      <c r="I136" s="1144"/>
    </row>
    <row r="137" spans="1:9" ht="86.4" x14ac:dyDescent="0.3">
      <c r="A137" s="1385" t="s">
        <v>839</v>
      </c>
      <c r="B137" s="1385" t="s">
        <v>723</v>
      </c>
      <c r="C137" s="1385" t="s">
        <v>396</v>
      </c>
      <c r="D137" s="1142" t="s">
        <v>840</v>
      </c>
      <c r="E137" s="1386" t="s">
        <v>841</v>
      </c>
      <c r="F137" s="1387" t="s">
        <v>842</v>
      </c>
      <c r="G137" s="1142"/>
      <c r="H137" s="1143"/>
      <c r="I137" s="1144"/>
    </row>
    <row r="138" spans="1:9" ht="28.8" x14ac:dyDescent="0.3">
      <c r="A138" s="1385" t="s">
        <v>843</v>
      </c>
      <c r="B138" s="1385" t="s">
        <v>723</v>
      </c>
      <c r="C138" s="1385" t="s">
        <v>396</v>
      </c>
      <c r="D138" s="1142" t="s">
        <v>844</v>
      </c>
      <c r="E138" s="1386" t="s">
        <v>845</v>
      </c>
      <c r="F138" s="1387"/>
      <c r="G138" s="1142"/>
      <c r="H138" s="1143"/>
      <c r="I138" s="1144"/>
    </row>
    <row r="139" spans="1:9" ht="28.8" x14ac:dyDescent="0.3">
      <c r="A139" s="1385" t="s">
        <v>846</v>
      </c>
      <c r="B139" s="1385" t="s">
        <v>723</v>
      </c>
      <c r="C139" s="1385" t="s">
        <v>396</v>
      </c>
      <c r="D139" s="1142" t="s">
        <v>847</v>
      </c>
      <c r="E139" s="1386" t="s">
        <v>848</v>
      </c>
      <c r="F139" s="1387"/>
      <c r="G139" s="1142"/>
      <c r="H139" s="1143"/>
      <c r="I139" s="1144"/>
    </row>
    <row r="140" spans="1:9" x14ac:dyDescent="0.3">
      <c r="A140" s="1385" t="s">
        <v>849</v>
      </c>
      <c r="B140" s="1385" t="s">
        <v>723</v>
      </c>
      <c r="C140" s="1385" t="s">
        <v>396</v>
      </c>
      <c r="D140" s="1142" t="s">
        <v>850</v>
      </c>
      <c r="E140" s="1386"/>
      <c r="F140" s="1387"/>
      <c r="G140" s="1142"/>
      <c r="H140" s="1143"/>
      <c r="I140" s="1144"/>
    </row>
    <row r="141" spans="1:9" ht="86.4" x14ac:dyDescent="0.3">
      <c r="A141" s="1385" t="s">
        <v>851</v>
      </c>
      <c r="B141" s="1385" t="s">
        <v>723</v>
      </c>
      <c r="C141" s="1385" t="s">
        <v>396</v>
      </c>
      <c r="D141" s="1142" t="s">
        <v>852</v>
      </c>
      <c r="E141" s="1386" t="s">
        <v>853</v>
      </c>
      <c r="F141" s="1387" t="s">
        <v>854</v>
      </c>
      <c r="G141" s="1142"/>
      <c r="H141" s="1143"/>
      <c r="I141" s="1144"/>
    </row>
    <row r="142" spans="1:9" ht="28.8" x14ac:dyDescent="0.3">
      <c r="A142" s="1385" t="s">
        <v>855</v>
      </c>
      <c r="B142" s="1385" t="s">
        <v>723</v>
      </c>
      <c r="C142" s="1385" t="s">
        <v>396</v>
      </c>
      <c r="D142" s="1142" t="s">
        <v>856</v>
      </c>
      <c r="E142" s="1386" t="s">
        <v>857</v>
      </c>
      <c r="F142" s="1387"/>
      <c r="G142" s="1142"/>
      <c r="H142" s="1143"/>
      <c r="I142" s="1144"/>
    </row>
    <row r="143" spans="1:9" ht="43.8" thickBot="1" x14ac:dyDescent="0.35">
      <c r="A143" s="1391" t="s">
        <v>858</v>
      </c>
      <c r="B143" s="1391" t="s">
        <v>723</v>
      </c>
      <c r="C143" s="1391" t="s">
        <v>396</v>
      </c>
      <c r="D143" s="1145" t="s">
        <v>859</v>
      </c>
      <c r="E143" s="1392" t="s">
        <v>860</v>
      </c>
      <c r="F143" s="1393"/>
      <c r="G143" s="1145"/>
      <c r="H143" s="1146"/>
      <c r="I143" s="1147"/>
    </row>
    <row r="144" spans="1:9" ht="28.8" x14ac:dyDescent="0.3">
      <c r="A144" s="1385" t="s">
        <v>861</v>
      </c>
      <c r="B144" s="1385" t="s">
        <v>862</v>
      </c>
      <c r="C144" s="1385" t="s">
        <v>863</v>
      </c>
      <c r="D144" s="1142" t="s">
        <v>864</v>
      </c>
      <c r="E144" s="1386" t="s">
        <v>865</v>
      </c>
      <c r="F144" s="1387" t="s">
        <v>866</v>
      </c>
      <c r="G144" s="1142"/>
      <c r="H144" s="1143"/>
      <c r="I144" s="1144"/>
    </row>
    <row r="145" spans="1:9" ht="57.6" x14ac:dyDescent="0.3">
      <c r="A145" s="1385" t="s">
        <v>867</v>
      </c>
      <c r="B145" s="1385" t="s">
        <v>862</v>
      </c>
      <c r="C145" s="1385" t="s">
        <v>863</v>
      </c>
      <c r="D145" s="1142" t="s">
        <v>868</v>
      </c>
      <c r="E145" s="1386" t="s">
        <v>869</v>
      </c>
      <c r="F145" s="1387" t="s">
        <v>870</v>
      </c>
      <c r="G145" s="1142"/>
      <c r="H145" s="1143"/>
      <c r="I145" s="1144"/>
    </row>
    <row r="146" spans="1:9" x14ac:dyDescent="0.3">
      <c r="A146" s="1385" t="s">
        <v>871</v>
      </c>
      <c r="B146" s="1385" t="s">
        <v>862</v>
      </c>
      <c r="C146" s="1385" t="s">
        <v>863</v>
      </c>
      <c r="D146" s="1142" t="s">
        <v>872</v>
      </c>
      <c r="E146" s="1386" t="s">
        <v>873</v>
      </c>
      <c r="F146" s="1387"/>
      <c r="G146" s="1142"/>
      <c r="H146" s="1143"/>
      <c r="I146" s="1144"/>
    </row>
    <row r="147" spans="1:9" x14ac:dyDescent="0.3">
      <c r="A147" s="1385" t="s">
        <v>874</v>
      </c>
      <c r="B147" s="1385" t="s">
        <v>862</v>
      </c>
      <c r="C147" s="1385" t="s">
        <v>863</v>
      </c>
      <c r="D147" s="1142" t="s">
        <v>875</v>
      </c>
      <c r="E147" s="1386" t="s">
        <v>876</v>
      </c>
      <c r="F147" s="1387"/>
      <c r="G147" s="1142"/>
      <c r="H147" s="1143"/>
      <c r="I147" s="1144"/>
    </row>
    <row r="148" spans="1:9" x14ac:dyDescent="0.3">
      <c r="A148" s="1385" t="s">
        <v>877</v>
      </c>
      <c r="B148" s="1385" t="s">
        <v>862</v>
      </c>
      <c r="C148" s="1385" t="s">
        <v>863</v>
      </c>
      <c r="D148" s="1142" t="s">
        <v>878</v>
      </c>
      <c r="E148" s="1386"/>
      <c r="F148" s="1387"/>
      <c r="G148" s="1142"/>
      <c r="H148" s="1149"/>
      <c r="I148" s="1144"/>
    </row>
    <row r="149" spans="1:9" ht="28.8" x14ac:dyDescent="0.3">
      <c r="A149" s="1385" t="s">
        <v>879</v>
      </c>
      <c r="B149" s="1385" t="s">
        <v>862</v>
      </c>
      <c r="C149" s="1385" t="s">
        <v>863</v>
      </c>
      <c r="D149" s="1142" t="s">
        <v>880</v>
      </c>
      <c r="E149" s="1386" t="s">
        <v>881</v>
      </c>
      <c r="F149" s="1387"/>
      <c r="G149" s="1142"/>
      <c r="H149" s="1149"/>
      <c r="I149" s="1144"/>
    </row>
    <row r="150" spans="1:9" ht="28.8" x14ac:dyDescent="0.3">
      <c r="A150" s="1385" t="s">
        <v>882</v>
      </c>
      <c r="B150" s="1385" t="s">
        <v>862</v>
      </c>
      <c r="C150" s="1385" t="s">
        <v>863</v>
      </c>
      <c r="D150" s="1142" t="s">
        <v>883</v>
      </c>
      <c r="E150" s="1386" t="s">
        <v>884</v>
      </c>
      <c r="F150" s="1390"/>
      <c r="G150" s="1142"/>
      <c r="H150" s="1149"/>
      <c r="I150" s="1144"/>
    </row>
    <row r="151" spans="1:9" x14ac:dyDescent="0.3">
      <c r="A151" s="1385" t="s">
        <v>885</v>
      </c>
      <c r="B151" s="1385" t="s">
        <v>862</v>
      </c>
      <c r="C151" s="1385" t="s">
        <v>863</v>
      </c>
      <c r="D151" s="1142" t="s">
        <v>886</v>
      </c>
      <c r="E151" s="1386" t="s">
        <v>887</v>
      </c>
      <c r="F151" s="1390"/>
      <c r="G151" s="1142"/>
      <c r="H151" s="1149"/>
      <c r="I151" s="1144"/>
    </row>
    <row r="152" spans="1:9" x14ac:dyDescent="0.3">
      <c r="A152" s="1388" t="s">
        <v>888</v>
      </c>
      <c r="B152" s="1388" t="s">
        <v>862</v>
      </c>
      <c r="C152" s="1388" t="s">
        <v>863</v>
      </c>
      <c r="D152" s="1142" t="s">
        <v>889</v>
      </c>
      <c r="E152" s="1389" t="s">
        <v>890</v>
      </c>
      <c r="F152" s="1390"/>
      <c r="G152" s="1142"/>
      <c r="H152" s="1149"/>
      <c r="I152" s="1144"/>
    </row>
    <row r="153" spans="1:9" ht="43.2" x14ac:dyDescent="0.3">
      <c r="A153" s="1385" t="s">
        <v>891</v>
      </c>
      <c r="B153" s="1385" t="s">
        <v>862</v>
      </c>
      <c r="C153" s="1385" t="s">
        <v>863</v>
      </c>
      <c r="D153" s="1142" t="s">
        <v>892</v>
      </c>
      <c r="E153" s="1386" t="s">
        <v>893</v>
      </c>
      <c r="F153" s="1387" t="s">
        <v>894</v>
      </c>
      <c r="G153" s="1142"/>
      <c r="H153" s="1149"/>
      <c r="I153" s="1144"/>
    </row>
    <row r="154" spans="1:9" ht="115.2" x14ac:dyDescent="0.3">
      <c r="A154" s="1388" t="s">
        <v>895</v>
      </c>
      <c r="B154" s="1388" t="s">
        <v>862</v>
      </c>
      <c r="C154" s="1388" t="s">
        <v>863</v>
      </c>
      <c r="D154" s="1142" t="s">
        <v>896</v>
      </c>
      <c r="E154" s="1389" t="s">
        <v>897</v>
      </c>
      <c r="F154" s="1390" t="s">
        <v>898</v>
      </c>
      <c r="G154" s="1142"/>
      <c r="H154" s="1149"/>
      <c r="I154" s="1144"/>
    </row>
    <row r="155" spans="1:9" ht="28.8" x14ac:dyDescent="0.3">
      <c r="A155" s="1388" t="s">
        <v>899</v>
      </c>
      <c r="B155" s="1388" t="s">
        <v>862</v>
      </c>
      <c r="C155" s="1388" t="s">
        <v>863</v>
      </c>
      <c r="D155" s="1142" t="s">
        <v>900</v>
      </c>
      <c r="E155" s="1389" t="s">
        <v>901</v>
      </c>
      <c r="F155" s="1390" t="s">
        <v>902</v>
      </c>
      <c r="G155" s="1142"/>
      <c r="H155" s="1149"/>
      <c r="I155" s="1144"/>
    </row>
    <row r="156" spans="1:9" x14ac:dyDescent="0.3">
      <c r="A156" s="1388" t="s">
        <v>903</v>
      </c>
      <c r="B156" s="1388" t="s">
        <v>862</v>
      </c>
      <c r="C156" s="1388" t="s">
        <v>863</v>
      </c>
      <c r="D156" s="1142" t="s">
        <v>904</v>
      </c>
      <c r="E156" s="1389" t="s">
        <v>905</v>
      </c>
      <c r="F156" s="1390"/>
      <c r="G156" s="1142"/>
      <c r="H156" s="1149"/>
      <c r="I156" s="1144"/>
    </row>
    <row r="157" spans="1:9" ht="15" thickBot="1" x14ac:dyDescent="0.35">
      <c r="A157" s="1391" t="s">
        <v>906</v>
      </c>
      <c r="B157" s="1391" t="s">
        <v>862</v>
      </c>
      <c r="C157" s="1391" t="s">
        <v>863</v>
      </c>
      <c r="D157" s="1145" t="s">
        <v>907</v>
      </c>
      <c r="E157" s="1392"/>
      <c r="F157" s="1393"/>
      <c r="G157" s="1145"/>
      <c r="H157" s="1150"/>
      <c r="I157" s="1147"/>
    </row>
    <row r="158" spans="1:9" x14ac:dyDescent="0.3">
      <c r="A158" s="1471" t="s">
        <v>908</v>
      </c>
      <c r="B158" s="1471" t="s">
        <v>909</v>
      </c>
      <c r="C158" s="1471" t="s">
        <v>382</v>
      </c>
      <c r="D158" s="1142" t="s">
        <v>910</v>
      </c>
      <c r="E158" s="1472" t="s">
        <v>911</v>
      </c>
      <c r="F158" s="1473"/>
      <c r="G158" s="1142"/>
      <c r="H158" s="1149"/>
      <c r="I158" s="1144"/>
    </row>
    <row r="159" spans="1:9" ht="129.6" x14ac:dyDescent="0.3">
      <c r="A159" s="1385" t="s">
        <v>912</v>
      </c>
      <c r="B159" s="1385" t="s">
        <v>909</v>
      </c>
      <c r="C159" s="1385" t="s">
        <v>382</v>
      </c>
      <c r="D159" s="1142" t="s">
        <v>913</v>
      </c>
      <c r="E159" s="1386" t="s">
        <v>914</v>
      </c>
      <c r="F159" s="1387" t="s">
        <v>915</v>
      </c>
      <c r="G159" s="1142"/>
      <c r="H159" s="1149"/>
      <c r="I159" s="1144"/>
    </row>
    <row r="160" spans="1:9" ht="43.2" x14ac:dyDescent="0.3">
      <c r="A160" s="1385" t="s">
        <v>916</v>
      </c>
      <c r="B160" s="1385" t="s">
        <v>909</v>
      </c>
      <c r="C160" s="1385" t="s">
        <v>382</v>
      </c>
      <c r="D160" s="1142" t="s">
        <v>917</v>
      </c>
      <c r="E160" s="1386" t="s">
        <v>918</v>
      </c>
      <c r="F160" s="1387" t="s">
        <v>919</v>
      </c>
      <c r="G160" s="1142"/>
      <c r="H160" s="1149"/>
      <c r="I160" s="1144"/>
    </row>
    <row r="161" spans="1:9" ht="115.2" x14ac:dyDescent="0.3">
      <c r="A161" s="1385" t="s">
        <v>920</v>
      </c>
      <c r="B161" s="1385" t="s">
        <v>909</v>
      </c>
      <c r="C161" s="1385" t="s">
        <v>382</v>
      </c>
      <c r="D161" s="1142" t="s">
        <v>921</v>
      </c>
      <c r="E161" s="1386" t="s">
        <v>922</v>
      </c>
      <c r="F161" s="1387" t="s">
        <v>923</v>
      </c>
      <c r="G161" s="1142"/>
      <c r="H161" s="1149"/>
      <c r="I161" s="1144"/>
    </row>
    <row r="162" spans="1:9" x14ac:dyDescent="0.3">
      <c r="A162" s="1385" t="s">
        <v>924</v>
      </c>
      <c r="B162" s="1385" t="s">
        <v>909</v>
      </c>
      <c r="C162" s="1385" t="s">
        <v>382</v>
      </c>
      <c r="D162" s="1142" t="s">
        <v>925</v>
      </c>
      <c r="E162" s="1386"/>
      <c r="F162" s="1387"/>
      <c r="G162" s="1142"/>
      <c r="H162" s="1149"/>
      <c r="I162" s="1144"/>
    </row>
    <row r="163" spans="1:9" x14ac:dyDescent="0.3">
      <c r="A163" s="1385" t="s">
        <v>926</v>
      </c>
      <c r="B163" s="1385" t="s">
        <v>909</v>
      </c>
      <c r="C163" s="1385" t="s">
        <v>382</v>
      </c>
      <c r="D163" s="1142" t="s">
        <v>927</v>
      </c>
      <c r="E163" s="1386" t="s">
        <v>928</v>
      </c>
      <c r="F163" s="1387" t="s">
        <v>929</v>
      </c>
      <c r="G163" s="1142"/>
      <c r="H163" s="1149"/>
      <c r="I163" s="1144"/>
    </row>
    <row r="164" spans="1:9" ht="15" thickBot="1" x14ac:dyDescent="0.35">
      <c r="A164" s="1391" t="s">
        <v>930</v>
      </c>
      <c r="B164" s="1391" t="s">
        <v>909</v>
      </c>
      <c r="C164" s="1391" t="s">
        <v>382</v>
      </c>
      <c r="D164" s="1145" t="s">
        <v>907</v>
      </c>
      <c r="E164" s="1392"/>
      <c r="F164" s="1393"/>
      <c r="G164" s="1145"/>
      <c r="H164" s="1150"/>
      <c r="I164" s="1147"/>
    </row>
    <row r="165" spans="1:9" ht="100.8" x14ac:dyDescent="0.3">
      <c r="A165" s="1471" t="s">
        <v>931</v>
      </c>
      <c r="B165" s="1471" t="s">
        <v>932</v>
      </c>
      <c r="C165" s="1471" t="s">
        <v>376</v>
      </c>
      <c r="D165" s="1142" t="s">
        <v>933</v>
      </c>
      <c r="E165" s="1472" t="s">
        <v>934</v>
      </c>
      <c r="F165" s="1473" t="s">
        <v>935</v>
      </c>
      <c r="G165" s="1142"/>
      <c r="H165" s="1149"/>
      <c r="I165" s="1144"/>
    </row>
    <row r="166" spans="1:9" x14ac:dyDescent="0.3">
      <c r="A166" s="1385" t="s">
        <v>936</v>
      </c>
      <c r="B166" s="1385" t="s">
        <v>932</v>
      </c>
      <c r="C166" s="1385" t="s">
        <v>376</v>
      </c>
      <c r="D166" s="1142" t="s">
        <v>937</v>
      </c>
      <c r="E166" s="1386" t="s">
        <v>938</v>
      </c>
      <c r="F166" s="1387"/>
      <c r="G166" s="1142"/>
      <c r="H166" s="1149"/>
      <c r="I166" s="1144"/>
    </row>
    <row r="167" spans="1:9" x14ac:dyDescent="0.3">
      <c r="A167" s="1385" t="s">
        <v>939</v>
      </c>
      <c r="B167" s="1385" t="s">
        <v>932</v>
      </c>
      <c r="C167" s="1385" t="s">
        <v>376</v>
      </c>
      <c r="D167" s="1142" t="s">
        <v>940</v>
      </c>
      <c r="E167" s="1386" t="s">
        <v>941</v>
      </c>
      <c r="F167" s="1387"/>
      <c r="G167" s="1142"/>
      <c r="H167" s="1149"/>
      <c r="I167" s="1144"/>
    </row>
    <row r="168" spans="1:9" ht="28.8" x14ac:dyDescent="0.3">
      <c r="A168" s="1385" t="s">
        <v>942</v>
      </c>
      <c r="B168" s="1385" t="s">
        <v>932</v>
      </c>
      <c r="C168" s="1385" t="s">
        <v>376</v>
      </c>
      <c r="D168" s="1142" t="s">
        <v>943</v>
      </c>
      <c r="E168" s="1386" t="s">
        <v>944</v>
      </c>
      <c r="F168" s="1387" t="s">
        <v>945</v>
      </c>
      <c r="G168" s="1151"/>
      <c r="H168" s="1152"/>
      <c r="I168" s="1153"/>
    </row>
    <row r="169" spans="1:9" ht="29.4" thickBot="1" x14ac:dyDescent="0.35">
      <c r="A169" s="1391" t="s">
        <v>946</v>
      </c>
      <c r="B169" s="1391" t="s">
        <v>932</v>
      </c>
      <c r="C169" s="1391" t="s">
        <v>376</v>
      </c>
      <c r="D169" s="1145" t="s">
        <v>947</v>
      </c>
      <c r="E169" s="1392" t="s">
        <v>948</v>
      </c>
      <c r="F169" s="1393" t="s">
        <v>949</v>
      </c>
      <c r="G169" s="1145"/>
      <c r="H169" s="1150"/>
      <c r="I169" s="1154"/>
    </row>
    <row r="170" spans="1:9" ht="28.8" x14ac:dyDescent="0.3">
      <c r="A170" s="1471" t="s">
        <v>950</v>
      </c>
      <c r="B170" s="1471" t="s">
        <v>951</v>
      </c>
      <c r="C170" s="1471" t="s">
        <v>379</v>
      </c>
      <c r="D170" s="1155" t="s">
        <v>952</v>
      </c>
      <c r="E170" s="1472" t="s">
        <v>953</v>
      </c>
      <c r="F170" s="1473"/>
      <c r="G170" s="1142"/>
      <c r="H170" s="1149"/>
      <c r="I170" s="1156"/>
    </row>
    <row r="171" spans="1:9" ht="57.6" x14ac:dyDescent="0.3">
      <c r="A171" s="1385" t="s">
        <v>954</v>
      </c>
      <c r="B171" s="1385" t="s">
        <v>951</v>
      </c>
      <c r="C171" s="1385" t="s">
        <v>379</v>
      </c>
      <c r="D171" s="1142" t="s">
        <v>955</v>
      </c>
      <c r="E171" s="1386" t="s">
        <v>956</v>
      </c>
      <c r="F171" s="1387"/>
      <c r="G171" s="1142"/>
      <c r="H171" s="1149"/>
      <c r="I171" s="1156"/>
    </row>
    <row r="172" spans="1:9" ht="86.4" x14ac:dyDescent="0.3">
      <c r="A172" s="1385" t="s">
        <v>957</v>
      </c>
      <c r="B172" s="1385" t="s">
        <v>951</v>
      </c>
      <c r="C172" s="1385" t="s">
        <v>379</v>
      </c>
      <c r="D172" s="1142" t="s">
        <v>958</v>
      </c>
      <c r="E172" s="1386" t="s">
        <v>959</v>
      </c>
      <c r="F172" s="1387" t="s">
        <v>960</v>
      </c>
      <c r="G172" s="1142"/>
      <c r="H172" s="1149"/>
      <c r="I172" s="1156"/>
    </row>
    <row r="173" spans="1:9" x14ac:dyDescent="0.3">
      <c r="A173" s="1385" t="s">
        <v>961</v>
      </c>
      <c r="B173" s="1385" t="s">
        <v>951</v>
      </c>
      <c r="C173" s="1385" t="s">
        <v>379</v>
      </c>
      <c r="D173" s="1142" t="s">
        <v>962</v>
      </c>
      <c r="E173" s="1386" t="s">
        <v>963</v>
      </c>
      <c r="F173" s="1387"/>
      <c r="G173" s="1142"/>
      <c r="H173" s="1149"/>
      <c r="I173" s="1156"/>
    </row>
    <row r="174" spans="1:9" ht="100.8" x14ac:dyDescent="0.3">
      <c r="A174" s="1385" t="s">
        <v>964</v>
      </c>
      <c r="B174" s="1385" t="s">
        <v>951</v>
      </c>
      <c r="C174" s="1385" t="s">
        <v>379</v>
      </c>
      <c r="D174" s="1142" t="s">
        <v>103</v>
      </c>
      <c r="E174" s="1386" t="s">
        <v>965</v>
      </c>
      <c r="F174" s="1387"/>
      <c r="G174" s="1142"/>
      <c r="H174" s="1149"/>
      <c r="I174" s="1156"/>
    </row>
    <row r="175" spans="1:9" x14ac:dyDescent="0.3">
      <c r="A175" s="1385" t="s">
        <v>966</v>
      </c>
      <c r="B175" s="1385" t="s">
        <v>951</v>
      </c>
      <c r="C175" s="1385" t="s">
        <v>379</v>
      </c>
      <c r="D175" s="1142" t="s">
        <v>967</v>
      </c>
      <c r="E175" s="1386" t="s">
        <v>968</v>
      </c>
      <c r="F175" s="1387"/>
      <c r="G175" s="1142"/>
      <c r="H175" s="1149"/>
      <c r="I175" s="1156"/>
    </row>
    <row r="176" spans="1:9" x14ac:dyDescent="0.3">
      <c r="A176" s="1385" t="s">
        <v>969</v>
      </c>
      <c r="B176" s="1385" t="s">
        <v>951</v>
      </c>
      <c r="C176" s="1385" t="s">
        <v>379</v>
      </c>
      <c r="D176" s="1142" t="s">
        <v>970</v>
      </c>
      <c r="E176" s="1386" t="s">
        <v>739</v>
      </c>
      <c r="F176" s="1387"/>
      <c r="G176" s="1142"/>
      <c r="H176" s="1149"/>
      <c r="I176" s="1156"/>
    </row>
    <row r="177" spans="1:9" ht="28.8" x14ac:dyDescent="0.3">
      <c r="A177" s="1385" t="s">
        <v>971</v>
      </c>
      <c r="B177" s="1385" t="s">
        <v>951</v>
      </c>
      <c r="C177" s="1385" t="s">
        <v>379</v>
      </c>
      <c r="D177" s="1142" t="s">
        <v>972</v>
      </c>
      <c r="E177" s="1386" t="s">
        <v>973</v>
      </c>
      <c r="F177" s="1387"/>
      <c r="G177" s="1142"/>
      <c r="H177" s="1149"/>
      <c r="I177" s="1156"/>
    </row>
    <row r="178" spans="1:9" x14ac:dyDescent="0.3">
      <c r="A178" s="1385" t="s">
        <v>974</v>
      </c>
      <c r="B178" s="1385" t="s">
        <v>951</v>
      </c>
      <c r="C178" s="1385" t="s">
        <v>379</v>
      </c>
      <c r="D178" s="1142" t="s">
        <v>975</v>
      </c>
      <c r="E178" s="1386"/>
      <c r="F178" s="1387"/>
      <c r="G178" s="1142"/>
      <c r="H178" s="1149"/>
      <c r="I178" s="1156"/>
    </row>
    <row r="179" spans="1:9" ht="28.8" x14ac:dyDescent="0.3">
      <c r="A179" s="1385" t="s">
        <v>976</v>
      </c>
      <c r="B179" s="1385" t="s">
        <v>951</v>
      </c>
      <c r="C179" s="1385" t="s">
        <v>379</v>
      </c>
      <c r="D179" s="1142" t="s">
        <v>977</v>
      </c>
      <c r="E179" s="1386" t="s">
        <v>978</v>
      </c>
      <c r="F179" s="1387"/>
      <c r="G179" s="1142"/>
      <c r="H179" s="1149"/>
      <c r="I179" s="1156"/>
    </row>
    <row r="180" spans="1:9" x14ac:dyDescent="0.3">
      <c r="A180" s="1385" t="s">
        <v>979</v>
      </c>
      <c r="B180" s="1385" t="s">
        <v>951</v>
      </c>
      <c r="C180" s="1385" t="s">
        <v>379</v>
      </c>
      <c r="D180" s="1142" t="s">
        <v>980</v>
      </c>
      <c r="E180" s="1386" t="s">
        <v>981</v>
      </c>
      <c r="F180" s="1387"/>
      <c r="G180" s="1142"/>
      <c r="H180" s="1149"/>
      <c r="I180" s="1156"/>
    </row>
    <row r="181" spans="1:9" ht="57.6" x14ac:dyDescent="0.3">
      <c r="A181" s="1385" t="s">
        <v>982</v>
      </c>
      <c r="B181" s="1385" t="s">
        <v>951</v>
      </c>
      <c r="C181" s="1385" t="s">
        <v>379</v>
      </c>
      <c r="D181" s="1142" t="s">
        <v>983</v>
      </c>
      <c r="E181" s="1386" t="s">
        <v>984</v>
      </c>
      <c r="F181" s="1387" t="s">
        <v>985</v>
      </c>
      <c r="G181" s="1142"/>
      <c r="H181" s="1149"/>
      <c r="I181" s="1156"/>
    </row>
    <row r="182" spans="1:9" ht="28.8" x14ac:dyDescent="0.3">
      <c r="A182" s="1385" t="s">
        <v>986</v>
      </c>
      <c r="B182" s="1385" t="s">
        <v>951</v>
      </c>
      <c r="C182" s="1385" t="s">
        <v>379</v>
      </c>
      <c r="D182" s="1142" t="s">
        <v>987</v>
      </c>
      <c r="E182" s="1386" t="s">
        <v>988</v>
      </c>
      <c r="F182" s="1387" t="s">
        <v>989</v>
      </c>
      <c r="G182" s="1142"/>
      <c r="H182" s="1149"/>
      <c r="I182" s="1156"/>
    </row>
    <row r="183" spans="1:9" ht="87" thickBot="1" x14ac:dyDescent="0.35">
      <c r="A183" s="1391" t="s">
        <v>990</v>
      </c>
      <c r="B183" s="1391" t="s">
        <v>951</v>
      </c>
      <c r="C183" s="1391" t="s">
        <v>379</v>
      </c>
      <c r="D183" s="1145" t="s">
        <v>991</v>
      </c>
      <c r="E183" s="1392" t="s">
        <v>992</v>
      </c>
      <c r="F183" s="1393" t="s">
        <v>993</v>
      </c>
      <c r="G183" s="1145"/>
      <c r="H183" s="1150"/>
      <c r="I183" s="1154"/>
    </row>
    <row r="184" spans="1:9" ht="72" x14ac:dyDescent="0.3">
      <c r="A184" s="1385" t="s">
        <v>994</v>
      </c>
      <c r="B184" s="1385" t="s">
        <v>995</v>
      </c>
      <c r="C184" s="1385" t="s">
        <v>410</v>
      </c>
      <c r="D184" s="1142" t="s">
        <v>411</v>
      </c>
      <c r="E184" s="1389" t="s">
        <v>996</v>
      </c>
      <c r="F184" s="1390" t="s">
        <v>997</v>
      </c>
      <c r="G184" s="1142"/>
      <c r="H184" s="1149"/>
      <c r="I184" s="1156"/>
    </row>
    <row r="185" spans="1:9" x14ac:dyDescent="0.3">
      <c r="A185" s="1385" t="s">
        <v>998</v>
      </c>
      <c r="B185" s="1385" t="s">
        <v>995</v>
      </c>
      <c r="C185" s="1385" t="s">
        <v>410</v>
      </c>
      <c r="D185" s="1142" t="s">
        <v>999</v>
      </c>
      <c r="E185" s="1389"/>
      <c r="F185" s="1390"/>
      <c r="G185" s="1142"/>
      <c r="H185" s="1149"/>
      <c r="I185" s="1156"/>
    </row>
    <row r="186" spans="1:9" ht="28.8" x14ac:dyDescent="0.3">
      <c r="A186" s="1385" t="s">
        <v>1000</v>
      </c>
      <c r="B186" s="1385" t="s">
        <v>995</v>
      </c>
      <c r="C186" s="1385" t="s">
        <v>410</v>
      </c>
      <c r="D186" s="1142" t="s">
        <v>1001</v>
      </c>
      <c r="E186" s="1389" t="s">
        <v>1002</v>
      </c>
      <c r="F186" s="1390" t="s">
        <v>1003</v>
      </c>
      <c r="G186" s="1142"/>
      <c r="H186" s="1149"/>
      <c r="I186" s="1156"/>
    </row>
    <row r="187" spans="1:9" x14ac:dyDescent="0.3">
      <c r="A187" s="1388" t="s">
        <v>1004</v>
      </c>
      <c r="B187" s="1388" t="s">
        <v>995</v>
      </c>
      <c r="C187" s="1388" t="s">
        <v>410</v>
      </c>
      <c r="D187" s="1142" t="s">
        <v>1005</v>
      </c>
      <c r="E187" s="1389"/>
      <c r="F187" s="1390"/>
      <c r="G187" s="1142"/>
      <c r="H187" s="1149"/>
      <c r="I187" s="1156"/>
    </row>
    <row r="188" spans="1:9" ht="15" thickBot="1" x14ac:dyDescent="0.35">
      <c r="A188" s="1391" t="s">
        <v>1006</v>
      </c>
      <c r="B188" s="1391" t="s">
        <v>995</v>
      </c>
      <c r="C188" s="1391" t="s">
        <v>410</v>
      </c>
      <c r="D188" s="1145" t="s">
        <v>1007</v>
      </c>
      <c r="E188" s="1392"/>
      <c r="F188" s="1393"/>
      <c r="G188" s="1145"/>
      <c r="H188" s="1150"/>
      <c r="I188" s="1154"/>
    </row>
    <row r="189" spans="1:9" x14ac:dyDescent="0.3">
      <c r="A189" s="1157" t="s">
        <v>1008</v>
      </c>
      <c r="B189" s="1157" t="s">
        <v>1009</v>
      </c>
      <c r="C189" s="1157" t="s">
        <v>1010</v>
      </c>
      <c r="D189" s="1142" t="s">
        <v>1011</v>
      </c>
      <c r="E189" s="1389"/>
      <c r="F189" s="1390"/>
      <c r="G189" s="1142"/>
      <c r="H189" s="1149"/>
      <c r="I189" s="1156"/>
    </row>
    <row r="190" spans="1:9" x14ac:dyDescent="0.3">
      <c r="A190" s="1388" t="s">
        <v>1012</v>
      </c>
      <c r="B190" s="1388" t="s">
        <v>1009</v>
      </c>
      <c r="C190" s="1388" t="s">
        <v>1010</v>
      </c>
      <c r="D190" s="1142" t="s">
        <v>1013</v>
      </c>
      <c r="E190" s="1389"/>
      <c r="F190" s="1390"/>
      <c r="G190" s="1142"/>
      <c r="H190" s="1149"/>
      <c r="I190" s="1156"/>
    </row>
    <row r="191" spans="1:9" x14ac:dyDescent="0.3">
      <c r="A191" s="1388" t="s">
        <v>1014</v>
      </c>
      <c r="B191" s="1388" t="s">
        <v>1009</v>
      </c>
      <c r="C191" s="1388" t="s">
        <v>1010</v>
      </c>
      <c r="D191" s="1142" t="s">
        <v>1015</v>
      </c>
      <c r="E191" s="1389"/>
      <c r="F191" s="1390"/>
      <c r="G191" s="1142"/>
      <c r="H191" s="1149"/>
      <c r="I191" s="1156"/>
    </row>
    <row r="192" spans="1:9" x14ac:dyDescent="0.3">
      <c r="A192" s="1397" t="s">
        <v>1016</v>
      </c>
      <c r="B192" s="1397" t="s">
        <v>1009</v>
      </c>
      <c r="C192" s="1397" t="s">
        <v>1010</v>
      </c>
      <c r="D192" s="1148" t="s">
        <v>1017</v>
      </c>
      <c r="E192" s="1389"/>
      <c r="F192" s="1390"/>
      <c r="G192" s="1142"/>
      <c r="H192" s="1149"/>
      <c r="I192" s="1156"/>
    </row>
    <row r="193" spans="1:9" x14ac:dyDescent="0.3">
      <c r="A193" s="1397" t="s">
        <v>1018</v>
      </c>
      <c r="B193" s="1397" t="s">
        <v>1009</v>
      </c>
      <c r="C193" s="1397" t="s">
        <v>1010</v>
      </c>
      <c r="D193" s="1148" t="s">
        <v>1019</v>
      </c>
      <c r="E193" s="1389"/>
      <c r="F193" s="1390"/>
      <c r="G193" s="1142"/>
      <c r="H193" s="1149"/>
      <c r="I193" s="1156"/>
    </row>
    <row r="194" spans="1:9" x14ac:dyDescent="0.3">
      <c r="A194" s="1397" t="s">
        <v>1020</v>
      </c>
      <c r="B194" s="1397" t="s">
        <v>1009</v>
      </c>
      <c r="C194" s="1397" t="s">
        <v>1010</v>
      </c>
      <c r="D194" s="1148" t="s">
        <v>1021</v>
      </c>
      <c r="E194" s="1389"/>
      <c r="F194" s="1390"/>
      <c r="G194" s="1142"/>
      <c r="H194" s="1149"/>
      <c r="I194" s="1156"/>
    </row>
    <row r="195" spans="1:9" x14ac:dyDescent="0.3">
      <c r="A195" s="1397" t="s">
        <v>1022</v>
      </c>
      <c r="B195" s="1397" t="s">
        <v>1009</v>
      </c>
      <c r="C195" s="1397" t="s">
        <v>1010</v>
      </c>
      <c r="D195" s="1148" t="s">
        <v>1023</v>
      </c>
      <c r="E195" s="1389"/>
      <c r="F195" s="1390"/>
      <c r="G195" s="1142"/>
      <c r="H195" s="1149"/>
      <c r="I195" s="1156"/>
    </row>
    <row r="196" spans="1:9" x14ac:dyDescent="0.3">
      <c r="A196" s="1397" t="s">
        <v>1024</v>
      </c>
      <c r="B196" s="1397" t="s">
        <v>1009</v>
      </c>
      <c r="C196" s="1397" t="s">
        <v>1010</v>
      </c>
      <c r="D196" s="1148" t="s">
        <v>1025</v>
      </c>
      <c r="E196" s="1389"/>
      <c r="F196" s="1390"/>
      <c r="G196" s="1142"/>
      <c r="H196" s="1149"/>
      <c r="I196" s="1156"/>
    </row>
    <row r="197" spans="1:9" x14ac:dyDescent="0.3">
      <c r="A197" s="1397" t="s">
        <v>1026</v>
      </c>
      <c r="B197" s="1397" t="s">
        <v>1009</v>
      </c>
      <c r="C197" s="1397" t="s">
        <v>1010</v>
      </c>
      <c r="D197" s="1148" t="s">
        <v>1027</v>
      </c>
      <c r="E197" s="1389"/>
      <c r="F197" s="1390"/>
      <c r="G197" s="1142"/>
      <c r="H197" s="1149"/>
      <c r="I197" s="1156"/>
    </row>
    <row r="198" spans="1:9" x14ac:dyDescent="0.3">
      <c r="A198" s="1397" t="s">
        <v>1028</v>
      </c>
      <c r="B198" s="1397" t="s">
        <v>1009</v>
      </c>
      <c r="C198" s="1397" t="s">
        <v>1010</v>
      </c>
      <c r="D198" s="1148" t="s">
        <v>1029</v>
      </c>
      <c r="E198" s="1389"/>
      <c r="F198" s="1390"/>
      <c r="G198" s="1142"/>
      <c r="H198" s="1149"/>
      <c r="I198" s="1156"/>
    </row>
    <row r="199" spans="1:9" ht="15" thickBot="1" x14ac:dyDescent="0.35">
      <c r="A199" s="1391" t="s">
        <v>1030</v>
      </c>
      <c r="B199" s="1391" t="s">
        <v>1009</v>
      </c>
      <c r="C199" s="1391" t="s">
        <v>1010</v>
      </c>
      <c r="D199" s="1145" t="s">
        <v>1031</v>
      </c>
      <c r="E199" s="1392"/>
      <c r="F199" s="1393"/>
      <c r="G199" s="1145"/>
      <c r="H199" s="1150"/>
      <c r="I199" s="1154"/>
    </row>
    <row r="200" spans="1:9" x14ac:dyDescent="0.3">
      <c r="A200" s="1388" t="s">
        <v>1032</v>
      </c>
      <c r="B200" s="1388" t="s">
        <v>1033</v>
      </c>
      <c r="C200" s="1388" t="s">
        <v>1034</v>
      </c>
      <c r="D200" s="1142" t="s">
        <v>1035</v>
      </c>
      <c r="E200" s="1389"/>
      <c r="F200" s="1390"/>
      <c r="G200" s="1142"/>
      <c r="H200" s="1149"/>
      <c r="I200" s="1156"/>
    </row>
    <row r="201" spans="1:9" ht="15" thickBot="1" x14ac:dyDescent="0.35">
      <c r="A201" s="1391" t="s">
        <v>1036</v>
      </c>
      <c r="B201" s="1391" t="s">
        <v>1033</v>
      </c>
      <c r="C201" s="1391" t="s">
        <v>1034</v>
      </c>
      <c r="D201" s="1145" t="s">
        <v>1037</v>
      </c>
      <c r="E201" s="1392"/>
      <c r="F201" s="1393"/>
      <c r="G201" s="1145"/>
      <c r="H201" s="1150"/>
      <c r="I201" s="1154"/>
    </row>
    <row r="202" spans="1:9" x14ac:dyDescent="0.3">
      <c r="A202" s="1388" t="s">
        <v>1038</v>
      </c>
      <c r="B202" s="1388" t="s">
        <v>1039</v>
      </c>
      <c r="C202" s="1388" t="s">
        <v>402</v>
      </c>
      <c r="D202" s="1142" t="s">
        <v>1040</v>
      </c>
      <c r="E202" s="1389"/>
      <c r="F202" s="1390"/>
      <c r="G202" s="1142"/>
      <c r="H202" s="1149"/>
      <c r="I202" s="1156"/>
    </row>
    <row r="203" spans="1:9" x14ac:dyDescent="0.3">
      <c r="A203" s="1388" t="s">
        <v>1041</v>
      </c>
      <c r="B203" s="1388" t="s">
        <v>1039</v>
      </c>
      <c r="C203" s="1388" t="s">
        <v>402</v>
      </c>
      <c r="D203" s="1142" t="s">
        <v>1042</v>
      </c>
      <c r="E203" s="1389" t="s">
        <v>1043</v>
      </c>
      <c r="F203" s="1390"/>
      <c r="G203" s="1142"/>
      <c r="H203" s="1149"/>
      <c r="I203" s="1156"/>
    </row>
    <row r="204" spans="1:9" x14ac:dyDescent="0.3">
      <c r="A204" s="1388" t="s">
        <v>1044</v>
      </c>
      <c r="B204" s="1388" t="s">
        <v>1039</v>
      </c>
      <c r="C204" s="1388" t="s">
        <v>402</v>
      </c>
      <c r="D204" s="1142" t="s">
        <v>1045</v>
      </c>
      <c r="E204" s="1389" t="s">
        <v>1046</v>
      </c>
      <c r="F204" s="1390"/>
      <c r="G204" s="1142"/>
      <c r="H204" s="1149"/>
      <c r="I204" s="1156"/>
    </row>
    <row r="205" spans="1:9" x14ac:dyDescent="0.3">
      <c r="A205" s="1388" t="s">
        <v>1047</v>
      </c>
      <c r="B205" s="1388" t="s">
        <v>1039</v>
      </c>
      <c r="C205" s="1388" t="s">
        <v>402</v>
      </c>
      <c r="D205" s="1142" t="s">
        <v>1048</v>
      </c>
      <c r="E205" s="1389" t="s">
        <v>1049</v>
      </c>
      <c r="F205" s="1390" t="s">
        <v>1050</v>
      </c>
      <c r="G205" s="1142"/>
      <c r="H205" s="1149"/>
      <c r="I205" s="1156"/>
    </row>
    <row r="206" spans="1:9" x14ac:dyDescent="0.3">
      <c r="A206" s="1388" t="s">
        <v>1051</v>
      </c>
      <c r="B206" s="1388" t="s">
        <v>1039</v>
      </c>
      <c r="C206" s="1388" t="s">
        <v>402</v>
      </c>
      <c r="D206" s="1142" t="s">
        <v>907</v>
      </c>
      <c r="E206" s="1389"/>
      <c r="F206" s="1390"/>
      <c r="G206" s="1142"/>
      <c r="H206" s="1149"/>
      <c r="I206" s="1156"/>
    </row>
    <row r="207" spans="1:9" x14ac:dyDescent="0.3">
      <c r="A207" s="1388" t="s">
        <v>1052</v>
      </c>
      <c r="B207" s="1388" t="s">
        <v>1039</v>
      </c>
      <c r="C207" s="1388" t="s">
        <v>402</v>
      </c>
      <c r="D207" s="1142" t="s">
        <v>1053</v>
      </c>
      <c r="E207" s="1389" t="s">
        <v>1054</v>
      </c>
      <c r="F207" s="1390" t="s">
        <v>1053</v>
      </c>
      <c r="G207" s="1142"/>
      <c r="H207" s="1149"/>
      <c r="I207" s="1156"/>
    </row>
    <row r="208" spans="1:9" ht="15" thickBot="1" x14ac:dyDescent="0.35">
      <c r="A208" s="1391" t="s">
        <v>1055</v>
      </c>
      <c r="B208" s="1391" t="s">
        <v>1039</v>
      </c>
      <c r="C208" s="1391" t="s">
        <v>402</v>
      </c>
      <c r="D208" s="1145" t="s">
        <v>1056</v>
      </c>
      <c r="E208" s="1392" t="s">
        <v>1057</v>
      </c>
      <c r="F208" s="1393" t="s">
        <v>1056</v>
      </c>
      <c r="G208" s="1145"/>
      <c r="H208" s="1150"/>
      <c r="I208" s="1154"/>
    </row>
    <row r="209" spans="1:9" ht="15" thickBot="1" x14ac:dyDescent="0.35">
      <c r="A209" s="1339" t="s">
        <v>1058</v>
      </c>
      <c r="B209" s="1339" t="s">
        <v>1059</v>
      </c>
      <c r="C209" s="1339" t="s">
        <v>1060</v>
      </c>
      <c r="D209" s="1158" t="s">
        <v>1061</v>
      </c>
      <c r="E209" s="1340"/>
      <c r="F209" s="1341"/>
      <c r="G209" s="1158"/>
      <c r="H209" s="1159"/>
      <c r="I209" s="1160"/>
    </row>
  </sheetData>
  <mergeCells count="1">
    <mergeCell ref="G1:I1"/>
  </mergeCells>
  <pageMargins left="0.7" right="0.7" top="0.75" bottom="0.75" header="0.3" footer="0.3"/>
  <pageSetup orientation="portrait" r:id="rId1"/>
  <headerFooter>
    <oddHeader>&amp;R&amp;"Calibri"&amp;8&amp;K000000Document classified as: 2 - Company Confidential&amp;1#</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oglio4">
    <tabColor rgb="FFFFC000"/>
    <pageSetUpPr fitToPage="1"/>
  </sheetPr>
  <dimension ref="A1:V61"/>
  <sheetViews>
    <sheetView view="pageBreakPreview" topLeftCell="A42" zoomScale="90" zoomScaleNormal="100" zoomScaleSheetLayoutView="90" workbookViewId="0">
      <selection activeCell="B22" sqref="B22"/>
    </sheetView>
  </sheetViews>
  <sheetFormatPr defaultRowHeight="14.4" x14ac:dyDescent="0.3"/>
  <cols>
    <col min="1" max="1" width="40.21875" style="769" customWidth="1"/>
    <col min="2" max="2" width="17.21875" customWidth="1"/>
    <col min="3" max="3" width="17.21875" style="479" customWidth="1"/>
    <col min="4" max="9" width="17.21875" customWidth="1"/>
  </cols>
  <sheetData>
    <row r="1" spans="1:9" ht="21.6" thickBot="1" x14ac:dyDescent="0.35">
      <c r="A1" s="770" t="s">
        <v>1062</v>
      </c>
      <c r="B1" s="403"/>
      <c r="C1" s="750"/>
      <c r="D1" s="403"/>
      <c r="E1" s="403"/>
      <c r="F1" s="403"/>
      <c r="G1" s="403"/>
      <c r="H1" s="403"/>
      <c r="I1" s="1051"/>
    </row>
    <row r="2" spans="1:9" x14ac:dyDescent="0.3">
      <c r="A2" s="1740" t="s">
        <v>1063</v>
      </c>
      <c r="B2" s="1383" t="s">
        <v>312</v>
      </c>
      <c r="C2" s="1383" t="s">
        <v>1064</v>
      </c>
      <c r="D2" s="1383" t="s">
        <v>1065</v>
      </c>
      <c r="E2" s="1383" t="s">
        <v>1066</v>
      </c>
      <c r="F2" s="1383" t="s">
        <v>1067</v>
      </c>
      <c r="G2" s="1383"/>
      <c r="H2" s="1383" t="s">
        <v>370</v>
      </c>
      <c r="I2" s="1068" t="s">
        <v>372</v>
      </c>
    </row>
    <row r="3" spans="1:9" ht="15" thickBot="1" x14ac:dyDescent="0.35">
      <c r="A3" s="1741"/>
      <c r="B3" s="1047" t="s">
        <v>222</v>
      </c>
      <c r="C3" s="1047" t="s">
        <v>95</v>
      </c>
      <c r="D3" s="1047" t="s">
        <v>375</v>
      </c>
      <c r="E3" s="1047" t="s">
        <v>375</v>
      </c>
      <c r="F3" s="1047" t="s">
        <v>375</v>
      </c>
      <c r="G3" s="1047"/>
      <c r="H3" s="1047" t="s">
        <v>1068</v>
      </c>
      <c r="I3" s="1069" t="s">
        <v>375</v>
      </c>
    </row>
    <row r="4" spans="1:9" x14ac:dyDescent="0.3">
      <c r="A4" s="1070" t="s">
        <v>1069</v>
      </c>
      <c r="B4" s="1090">
        <f>SUM('Module Fabrication Price List'!J4:J5,'Module Fabrication Price List'!J7:J13)</f>
        <v>14343.80717102722</v>
      </c>
      <c r="C4" s="1091">
        <f t="shared" ref="C4:C12" si="0">IFERROR(B4/$B$13,"")</f>
        <v>0.36999394970168581</v>
      </c>
      <c r="D4" s="406">
        <f>SUM('Module Fabrication Price List'!L4:L5,'Module Fabrication Price List'!L7:L13)</f>
        <v>58466.24141215963</v>
      </c>
      <c r="E4" s="406">
        <f>SUM('Module Fabrication Price List'!L15:L16,'Module Fabrication Price List'!L18:L24)</f>
        <v>54732.868482264828</v>
      </c>
      <c r="F4" s="406">
        <f>'Module Fabrication Price List'!L274</f>
        <v>6466.3035855136095</v>
      </c>
      <c r="G4" s="406"/>
      <c r="H4" s="405">
        <f t="shared" ref="H4:H12" si="1">IFERROR(I4/B4,0)</f>
        <v>8.3426535265789088</v>
      </c>
      <c r="I4" s="1071">
        <f t="shared" ref="I4:I12" si="2">SUM(D4:F4)</f>
        <v>119665.41347993807</v>
      </c>
    </row>
    <row r="5" spans="1:9" x14ac:dyDescent="0.3">
      <c r="A5" s="1072" t="s">
        <v>1070</v>
      </c>
      <c r="B5" s="1092">
        <f>'Module Fabrication Price List'!J6</f>
        <v>0</v>
      </c>
      <c r="C5" s="1093">
        <f t="shared" si="0"/>
        <v>0</v>
      </c>
      <c r="D5" s="406">
        <f>'Module Fabrication Price List'!L6</f>
        <v>0</v>
      </c>
      <c r="E5" s="406">
        <f>'Module Fabrication Price List'!L17</f>
        <v>0</v>
      </c>
      <c r="F5" s="406"/>
      <c r="G5" s="406"/>
      <c r="H5" s="404">
        <f t="shared" si="1"/>
        <v>0</v>
      </c>
      <c r="I5" s="1073">
        <f t="shared" si="2"/>
        <v>0</v>
      </c>
    </row>
    <row r="6" spans="1:9" x14ac:dyDescent="0.3">
      <c r="A6" s="1072" t="s">
        <v>1071</v>
      </c>
      <c r="B6" s="1092">
        <f>SUM('Module Fabrication Price List'!J281:J298)</f>
        <v>3338.3731723734468</v>
      </c>
      <c r="C6" s="1093">
        <f t="shared" si="0"/>
        <v>8.611227555537071E-2</v>
      </c>
      <c r="D6" s="406">
        <f>SUM('Piping Material List'!W3:W96)</f>
        <v>44127.58412933151</v>
      </c>
      <c r="E6" s="406">
        <f>SUM('Module Fabrication Price List'!L27,'Module Fabrication Price List'!L57,'Module Fabrication Price List'!L87,'Module Fabrication Price List'!L117,'Module Fabrication Price List'!L148,'Module Fabrication Price List'!L176,'Module Fabrication Price List'!L204,'Module Fabrication Price List'!L232,'Module Fabrication Price List'!L260,'Module Fabrication Price List'!L262,'Module Fabrication Price List'!L265,'Module Fabrication Price List'!L270)</f>
        <v>42107.559758560172</v>
      </c>
      <c r="F6" s="406">
        <f>'Module Fabrication Price List'!L280</f>
        <v>1669.1865861867234</v>
      </c>
      <c r="G6" s="406"/>
      <c r="H6" s="404">
        <f t="shared" si="1"/>
        <v>26.331487205063425</v>
      </c>
      <c r="I6" s="1073">
        <f t="shared" si="2"/>
        <v>87904.330474078408</v>
      </c>
    </row>
    <row r="7" spans="1:9" x14ac:dyDescent="0.3">
      <c r="A7" s="1074" t="s">
        <v>1072</v>
      </c>
      <c r="B7" s="1094">
        <f>SUM('Module Fabrication Price List'!J300:J317)</f>
        <v>2089.5</v>
      </c>
      <c r="C7" s="1095">
        <f t="shared" si="0"/>
        <v>5.3897988775479855E-2</v>
      </c>
      <c r="D7" s="762">
        <f>SUM('Valve List'!BA3:BA99)</f>
        <v>63120</v>
      </c>
      <c r="E7" s="762"/>
      <c r="F7" s="762">
        <f>'Module Fabrication Price List'!L299</f>
        <v>1115.25</v>
      </c>
      <c r="G7" s="762"/>
      <c r="H7" s="406">
        <f t="shared" si="1"/>
        <v>30.741923905240487</v>
      </c>
      <c r="I7" s="1075">
        <f t="shared" si="2"/>
        <v>64235.25</v>
      </c>
    </row>
    <row r="8" spans="1:9" x14ac:dyDescent="0.3">
      <c r="A8" s="1072" t="s">
        <v>1073</v>
      </c>
      <c r="B8" s="1092">
        <f>SUM('Module Fabrication Price List'!J319:J338)</f>
        <v>14450</v>
      </c>
      <c r="C8" s="1093">
        <f t="shared" si="0"/>
        <v>0.37273315999314854</v>
      </c>
      <c r="D8" s="762">
        <f>SUM('Equip&amp;Mach List'!V4:V29)</f>
        <v>325800</v>
      </c>
      <c r="E8" s="762"/>
      <c r="F8" s="762">
        <f>'Module Fabrication Price List'!L318</f>
        <v>14112.5</v>
      </c>
      <c r="G8" s="762"/>
      <c r="H8" s="404">
        <f t="shared" si="1"/>
        <v>23.523356401384085</v>
      </c>
      <c r="I8" s="1073">
        <f t="shared" si="2"/>
        <v>339912.5</v>
      </c>
    </row>
    <row r="9" spans="1:9" x14ac:dyDescent="0.3">
      <c r="A9" s="1072" t="s">
        <v>1074</v>
      </c>
      <c r="B9" s="1092">
        <f>SUM('Equip&amp;Mach List'!S33:S52)</f>
        <v>3650</v>
      </c>
      <c r="C9" s="1093">
        <f t="shared" si="0"/>
        <v>9.4150590586504643E-2</v>
      </c>
      <c r="D9" s="762">
        <f>SUM('Equip&amp;Mach List'!V33:V52)</f>
        <v>163000</v>
      </c>
      <c r="E9" s="762"/>
      <c r="F9" s="762">
        <f>'Module Fabrication Price List'!L339</f>
        <v>3025</v>
      </c>
      <c r="G9" s="762"/>
      <c r="H9" s="404">
        <f t="shared" si="1"/>
        <v>45.486301369863014</v>
      </c>
      <c r="I9" s="1073">
        <f t="shared" si="2"/>
        <v>166025</v>
      </c>
    </row>
    <row r="10" spans="1:9" x14ac:dyDescent="0.3">
      <c r="A10" s="1072" t="s">
        <v>1075</v>
      </c>
      <c r="B10" s="1092">
        <f>SUM('Instrument List'!AE4:AE55)</f>
        <v>776</v>
      </c>
      <c r="C10" s="1093">
        <f t="shared" si="0"/>
        <v>2.0016673505514414E-2</v>
      </c>
      <c r="D10" s="762">
        <f>SUM('Instrument List'!AG4:AG55)</f>
        <v>256802.8</v>
      </c>
      <c r="E10" s="762"/>
      <c r="F10" s="762"/>
      <c r="G10" s="762"/>
      <c r="H10" s="404">
        <f t="shared" si="1"/>
        <v>330.93144329896904</v>
      </c>
      <c r="I10" s="1073">
        <f t="shared" si="2"/>
        <v>256802.8</v>
      </c>
    </row>
    <row r="11" spans="1:9" x14ac:dyDescent="0.3">
      <c r="A11" s="1076" t="s">
        <v>1076</v>
      </c>
      <c r="B11" s="1092">
        <f>SUM('Equip&amp;Mach List'!S56:S75)</f>
        <v>0</v>
      </c>
      <c r="C11" s="1093">
        <f t="shared" si="0"/>
        <v>0</v>
      </c>
      <c r="D11" s="803">
        <f>SUM('Equip&amp;Mach List'!V56:V75)</f>
        <v>0</v>
      </c>
      <c r="E11" s="803"/>
      <c r="F11" s="803"/>
      <c r="G11" s="803"/>
      <c r="H11" s="404">
        <f t="shared" si="1"/>
        <v>0</v>
      </c>
      <c r="I11" s="1073">
        <f t="shared" si="2"/>
        <v>0</v>
      </c>
    </row>
    <row r="12" spans="1:9" ht="15" thickBot="1" x14ac:dyDescent="0.35">
      <c r="A12" s="1076" t="s">
        <v>1077</v>
      </c>
      <c r="B12" s="1092">
        <f>SUM('Equip&amp;Mach List'!Y4:Y29)</f>
        <v>120</v>
      </c>
      <c r="C12" s="1093">
        <f t="shared" si="0"/>
        <v>3.0953618822960431E-3</v>
      </c>
      <c r="D12" s="776"/>
      <c r="E12" s="776"/>
      <c r="F12" s="776"/>
      <c r="G12" s="776"/>
      <c r="H12" s="404">
        <f t="shared" si="1"/>
        <v>0</v>
      </c>
      <c r="I12" s="1073">
        <f t="shared" si="2"/>
        <v>0</v>
      </c>
    </row>
    <row r="13" spans="1:9" ht="15" thickBot="1" x14ac:dyDescent="0.35">
      <c r="A13" s="1077" t="s">
        <v>1078</v>
      </c>
      <c r="B13" s="1096">
        <f>SUM(B4:B12)</f>
        <v>38767.680343400665</v>
      </c>
      <c r="C13" s="1097">
        <f>SUM(C4:C12)</f>
        <v>1</v>
      </c>
      <c r="D13" s="499">
        <f>SUM(D4:D10)</f>
        <v>911316.6255414912</v>
      </c>
      <c r="E13" s="499">
        <f>SUM(E4:E10)</f>
        <v>96840.428240825</v>
      </c>
      <c r="F13" s="499">
        <f>SUM(F4:F10)</f>
        <v>26388.240171700334</v>
      </c>
      <c r="G13" s="499"/>
      <c r="H13" s="396"/>
      <c r="I13" s="1078">
        <f>SUM(I4:I10)</f>
        <v>1034545.2939540164</v>
      </c>
    </row>
    <row r="14" spans="1:9" ht="21.6" thickBot="1" x14ac:dyDescent="0.35">
      <c r="A14" s="771" t="s">
        <v>1079</v>
      </c>
      <c r="B14" s="402"/>
      <c r="C14" s="402"/>
      <c r="D14" s="402"/>
      <c r="E14" s="402"/>
      <c r="F14" s="402"/>
      <c r="G14" s="402"/>
      <c r="H14" s="402"/>
      <c r="I14" s="775"/>
    </row>
    <row r="15" spans="1:9" x14ac:dyDescent="0.3">
      <c r="A15" s="1740" t="s">
        <v>1063</v>
      </c>
      <c r="B15" s="1727" t="s">
        <v>1080</v>
      </c>
      <c r="C15" s="1727" t="s">
        <v>388</v>
      </c>
      <c r="D15" s="1383" t="s">
        <v>1081</v>
      </c>
      <c r="E15" s="1383" t="s">
        <v>312</v>
      </c>
      <c r="F15" s="1738" t="s">
        <v>370</v>
      </c>
      <c r="G15" s="1739"/>
      <c r="H15" s="1739"/>
      <c r="I15" s="1079" t="s">
        <v>372</v>
      </c>
    </row>
    <row r="16" spans="1:9" ht="15" thickBot="1" x14ac:dyDescent="0.35">
      <c r="A16" s="1741"/>
      <c r="B16" s="1728"/>
      <c r="C16" s="1728"/>
      <c r="D16" s="395" t="s">
        <v>1082</v>
      </c>
      <c r="E16" s="395" t="s">
        <v>222</v>
      </c>
      <c r="F16" s="395" t="s">
        <v>1083</v>
      </c>
      <c r="G16" s="395" t="s">
        <v>1084</v>
      </c>
      <c r="H16" s="761" t="s">
        <v>1068</v>
      </c>
      <c r="I16" s="1080" t="s">
        <v>375</v>
      </c>
    </row>
    <row r="17" spans="1:22" x14ac:dyDescent="0.3">
      <c r="A17" s="1074" t="s">
        <v>1085</v>
      </c>
      <c r="B17" s="1084">
        <f>SUMPRODUCT('Piping Material List'!$AE$3:$AE$96,'Piping Material List'!$DI$3:$DI$96)+SUMPRODUCT('Piping Material List'!$AF$3:$AF$96,'Piping Material List'!$DI$3:$DI$96)</f>
        <v>73.600000000000009</v>
      </c>
      <c r="C17" s="1084">
        <f>SUMPRODUCT('Piping Material List'!$AG$3:$AG$96,'Piping Material List'!$DI$3:$DI$96)</f>
        <v>284.8</v>
      </c>
      <c r="D17" s="1085">
        <f>IFERROR(C17/B17,0)</f>
        <v>3.8695652173913042</v>
      </c>
      <c r="E17" s="394">
        <f>SUMPRODUCT('Piping Material List'!$U$3:$U$96,'Piping Material List'!DI3:DI96)</f>
        <v>495.66778802251542</v>
      </c>
      <c r="F17" s="406">
        <f>IFERROR(I17/B17,0)</f>
        <v>58.043478260869556</v>
      </c>
      <c r="G17" s="406">
        <f>IFERROR(I17/C17,0)</f>
        <v>15</v>
      </c>
      <c r="H17" s="762">
        <f>IFERROR(I17/E17,0)</f>
        <v>8.618675861595321</v>
      </c>
      <c r="I17" s="1081">
        <f>'Module Fabrication Price List'!$L$27</f>
        <v>4272</v>
      </c>
    </row>
    <row r="18" spans="1:22" x14ac:dyDescent="0.3">
      <c r="A18" s="1072" t="s">
        <v>1086</v>
      </c>
      <c r="B18" s="391">
        <f>SUMPRODUCT('Piping Material List'!$AE$3:$AE$96,'Piping Material List'!$DK$3:$DK$96)+SUMPRODUCT('Piping Material List'!$AF$3:$AF$96,'Piping Material List'!$DK$3:$DK$96)</f>
        <v>300.80000000000007</v>
      </c>
      <c r="C18" s="391">
        <f>SUMPRODUCT('Piping Material List'!$AG$3:$AG$96,'Piping Material List'!$DK$3:$DK$96)</f>
        <v>1372.8000000000002</v>
      </c>
      <c r="D18" s="1086">
        <f>IFERROR(C18/B18,0)</f>
        <v>4.5638297872340425</v>
      </c>
      <c r="E18" s="394">
        <f>SUMPRODUCT('Piping Material List'!$U$3:$U$96,'Piping Material List'!DK3:DK96)</f>
        <v>2842.7053843509311</v>
      </c>
      <c r="F18" s="406">
        <f>IFERROR(I18/B18,0)</f>
        <v>91.276595744680833</v>
      </c>
      <c r="G18" s="404">
        <f>IFERROR(I18/C18,0)</f>
        <v>19.999999999999996</v>
      </c>
      <c r="H18" s="762">
        <f>IFERROR(I18/E18,0)</f>
        <v>9.6584050359720877</v>
      </c>
      <c r="I18" s="1081">
        <f>'Module Fabrication Price List'!$L$57</f>
        <v>27456</v>
      </c>
    </row>
    <row r="19" spans="1:22" x14ac:dyDescent="0.3">
      <c r="A19" s="1072" t="s">
        <v>28</v>
      </c>
      <c r="B19" s="391">
        <f>SUMPRODUCT('Piping Material List'!$AE$3:$AE$96,'Piping Material List'!$DL$3:$DL$96)+SUMPRODUCT('Piping Material List'!$AF$3:$AF$96,'Piping Material List'!$DL$3:$DL$96)</f>
        <v>0</v>
      </c>
      <c r="C19" s="391">
        <f>SUMPRODUCT('Piping Material List'!$AG$3:$AG$96,'Piping Material List'!$DL$3:$DL$96)</f>
        <v>0</v>
      </c>
      <c r="D19" s="1086">
        <f>IFERROR(C19/B19,0)</f>
        <v>0</v>
      </c>
      <c r="E19" s="394">
        <f>SUMPRODUCT('Piping Material List'!$U$3:$U$96,'Piping Material List'!DL3:DL96)</f>
        <v>0</v>
      </c>
      <c r="F19" s="406">
        <f>IFERROR(I19/B19,0)</f>
        <v>0</v>
      </c>
      <c r="G19" s="404">
        <f>IFERROR(I19/C19,0)</f>
        <v>0</v>
      </c>
      <c r="H19" s="762">
        <f>IFERROR(I19/E19,0)</f>
        <v>0</v>
      </c>
      <c r="I19" s="1081">
        <f>'Module Fabrication Price List'!$L$87</f>
        <v>0</v>
      </c>
    </row>
    <row r="20" spans="1:22" x14ac:dyDescent="0.3">
      <c r="A20" s="1072" t="s">
        <v>1087</v>
      </c>
      <c r="B20" s="391">
        <f>SUMPRODUCT('Piping Material List'!$AE$3:$AE$96,'Piping Material List'!$DM$3:$DM$96)+SUMPRODUCT('Piping Material List'!$AF$3:$AF$96,'Piping Material List'!$DM$3:$DM$96)</f>
        <v>0</v>
      </c>
      <c r="C20" s="391">
        <f>SUMPRODUCT('Piping Material List'!$AG$3:$AG$96,'Piping Material List'!$DM$3:$DM$96)</f>
        <v>0</v>
      </c>
      <c r="D20" s="1086">
        <f>IFERROR(C20/B20,0)</f>
        <v>0</v>
      </c>
      <c r="E20" s="394">
        <f>SUMPRODUCT('Piping Material List'!$U$3:$U$96,'Piping Material List'!DM3:DM96)</f>
        <v>0</v>
      </c>
      <c r="F20" s="406">
        <f>IFERROR(I20/B20,0)</f>
        <v>0</v>
      </c>
      <c r="G20" s="404">
        <f>IFERROR(I20/C20,0)</f>
        <v>0</v>
      </c>
      <c r="H20" s="762">
        <f>IFERROR(I20/E20,0)</f>
        <v>0</v>
      </c>
      <c r="I20" s="1081">
        <f>'Module Fabrication Price List'!$L$117</f>
        <v>0</v>
      </c>
    </row>
    <row r="21" spans="1:22" ht="15" thickBot="1" x14ac:dyDescent="0.35">
      <c r="A21" s="1072" t="s">
        <v>392</v>
      </c>
      <c r="B21" s="1087"/>
      <c r="C21" s="1087"/>
      <c r="D21" s="1088"/>
      <c r="E21" s="1087"/>
      <c r="F21" s="777"/>
      <c r="G21" s="777"/>
      <c r="H21" s="777"/>
      <c r="I21" s="1082">
        <f>SUM('Module Fabrication Price List'!$L$148,'Module Fabrication Price List'!$L$176,'Module Fabrication Price List'!$L$204,'Module Fabrication Price List'!$L$232,'Module Fabrication Price List'!$L$260,'Module Fabrication Price List'!$L$262,'Module Fabrication Price List'!$L$265,'Module Fabrication Price List'!$L$270)</f>
        <v>10379.55975856017</v>
      </c>
    </row>
    <row r="22" spans="1:22" ht="15" thickBot="1" x14ac:dyDescent="0.35">
      <c r="A22" s="1077" t="s">
        <v>1078</v>
      </c>
      <c r="B22" s="1089">
        <f>SUM(B17:B21)</f>
        <v>374.40000000000009</v>
      </c>
      <c r="C22" s="1089">
        <f>SUM(C17:C21)</f>
        <v>1657.6000000000001</v>
      </c>
      <c r="D22" s="521"/>
      <c r="E22" s="1089">
        <f>SUM(E17:E21)</f>
        <v>3338.3731723734463</v>
      </c>
      <c r="F22" s="396"/>
      <c r="G22" s="397"/>
      <c r="H22" s="760"/>
      <c r="I22" s="1083">
        <f>SUM(I17:I21)</f>
        <v>42107.559758560172</v>
      </c>
    </row>
    <row r="23" spans="1:22" x14ac:dyDescent="0.3">
      <c r="A23" s="1060"/>
      <c r="B23" s="1064"/>
      <c r="C23" s="1064"/>
      <c r="D23" s="73"/>
      <c r="E23" s="1064"/>
      <c r="F23" s="73"/>
      <c r="G23" s="1062"/>
      <c r="H23" s="73"/>
      <c r="I23" s="1065"/>
    </row>
    <row r="24" spans="1:22" x14ac:dyDescent="0.3">
      <c r="A24" s="1061"/>
      <c r="B24" s="1066"/>
      <c r="C24" s="1066"/>
      <c r="D24" s="76"/>
      <c r="E24" s="1066"/>
      <c r="F24" s="76"/>
      <c r="G24" s="1063"/>
      <c r="H24" s="76"/>
      <c r="I24" s="1067"/>
    </row>
    <row r="25" spans="1:22" x14ac:dyDescent="0.3">
      <c r="A25" s="1061"/>
      <c r="B25" s="1066"/>
      <c r="C25" s="1066"/>
      <c r="D25" s="76"/>
      <c r="E25" s="1066"/>
      <c r="F25" s="76"/>
      <c r="G25" s="1063"/>
      <c r="H25" s="76"/>
      <c r="I25" s="1067"/>
    </row>
    <row r="26" spans="1:22" x14ac:dyDescent="0.3">
      <c r="A26" s="1061"/>
      <c r="B26" s="1066"/>
      <c r="C26" s="1066"/>
      <c r="D26" s="76"/>
      <c r="E26" s="1066"/>
      <c r="F26" s="76"/>
      <c r="G26" s="1063"/>
      <c r="H26" s="76"/>
      <c r="I26" s="1067"/>
    </row>
    <row r="27" spans="1:22" x14ac:dyDescent="0.3">
      <c r="A27" s="1061"/>
      <c r="B27" s="1066"/>
      <c r="C27" s="1066"/>
      <c r="D27" s="76"/>
      <c r="E27" s="1066"/>
      <c r="F27" s="76"/>
      <c r="G27" s="1063"/>
      <c r="H27" s="76"/>
      <c r="I27" s="1067"/>
    </row>
    <row r="28" spans="1:22" ht="15" thickBot="1" x14ac:dyDescent="0.35">
      <c r="A28" s="1061"/>
      <c r="B28" s="1066"/>
      <c r="C28" s="1066"/>
      <c r="D28" s="76"/>
      <c r="E28" s="1066"/>
      <c r="F28" s="76"/>
      <c r="G28" s="1063"/>
      <c r="H28" s="76"/>
      <c r="I28" s="1067"/>
    </row>
    <row r="29" spans="1:22" ht="21.6" thickBot="1" x14ac:dyDescent="0.35">
      <c r="A29" s="770" t="s">
        <v>1088</v>
      </c>
      <c r="B29" s="403"/>
      <c r="C29" s="403"/>
      <c r="D29" s="403"/>
      <c r="E29" s="403"/>
      <c r="F29" s="403"/>
      <c r="G29" s="403"/>
      <c r="H29" s="403"/>
      <c r="I29" s="1051"/>
    </row>
    <row r="30" spans="1:22" x14ac:dyDescent="0.3">
      <c r="A30" s="1740" t="s">
        <v>1063</v>
      </c>
      <c r="B30" s="1383" t="s">
        <v>303</v>
      </c>
      <c r="C30" s="1383" t="s">
        <v>1089</v>
      </c>
      <c r="D30" s="1383"/>
      <c r="E30" s="1383"/>
      <c r="F30" s="1400"/>
      <c r="G30" s="1400"/>
      <c r="H30" s="1383" t="s">
        <v>1090</v>
      </c>
      <c r="I30" s="1068" t="s">
        <v>1091</v>
      </c>
      <c r="J30" s="526"/>
      <c r="K30" s="526"/>
      <c r="L30" s="526"/>
      <c r="M30" s="526"/>
      <c r="N30" s="526"/>
      <c r="O30" s="526"/>
      <c r="P30" s="526"/>
      <c r="Q30" s="526"/>
      <c r="R30" s="526"/>
      <c r="S30" s="526"/>
      <c r="T30" s="526"/>
      <c r="U30" s="526"/>
      <c r="V30" s="526"/>
    </row>
    <row r="31" spans="1:22" ht="15" thickBot="1" x14ac:dyDescent="0.35">
      <c r="A31" s="1741"/>
      <c r="B31" s="395" t="s">
        <v>228</v>
      </c>
      <c r="C31" s="395" t="s">
        <v>95</v>
      </c>
      <c r="D31" s="514"/>
      <c r="E31" s="514"/>
      <c r="F31" s="514"/>
      <c r="G31" s="514"/>
      <c r="H31" s="1047" t="s">
        <v>1092</v>
      </c>
      <c r="I31" s="1069" t="s">
        <v>375</v>
      </c>
    </row>
    <row r="32" spans="1:22" x14ac:dyDescent="0.3">
      <c r="A32" s="1074" t="s">
        <v>1069</v>
      </c>
      <c r="B32" s="1101">
        <f>SUM('Steel Structure List'!N5:N18,'Steel Structure List'!N21)</f>
        <v>319.02222936923528</v>
      </c>
      <c r="C32" s="1095">
        <f t="shared" ref="C32:C39" si="3">B32/$B$40</f>
        <v>0.56231647505578919</v>
      </c>
      <c r="D32" s="515"/>
      <c r="E32" s="515"/>
      <c r="F32" s="515"/>
      <c r="G32" s="515"/>
      <c r="H32" s="1174">
        <v>75</v>
      </c>
      <c r="I32" s="1081">
        <f>H32*B32</f>
        <v>23926.667202692646</v>
      </c>
    </row>
    <row r="33" spans="1:9" x14ac:dyDescent="0.3">
      <c r="A33" s="1072" t="s">
        <v>1070</v>
      </c>
      <c r="B33" s="751">
        <f>SUM('Steel Structure List'!N26:N35,'Steel Structure List'!N39:N48)</f>
        <v>0</v>
      </c>
      <c r="C33" s="1093">
        <f t="shared" si="3"/>
        <v>0</v>
      </c>
      <c r="D33" s="516"/>
      <c r="E33" s="516"/>
      <c r="F33" s="516"/>
      <c r="G33" s="516"/>
      <c r="H33" s="1175">
        <v>75</v>
      </c>
      <c r="I33" s="1081">
        <f>H33*B33</f>
        <v>0</v>
      </c>
    </row>
    <row r="34" spans="1:9" x14ac:dyDescent="0.3">
      <c r="A34" s="1074" t="s">
        <v>1093</v>
      </c>
      <c r="B34" s="751">
        <f>SUM(B35:B38)</f>
        <v>89.843974068362797</v>
      </c>
      <c r="C34" s="1093">
        <f t="shared" si="3"/>
        <v>0.15836121170306586</v>
      </c>
      <c r="D34" s="516"/>
      <c r="E34" s="516"/>
      <c r="F34" s="516"/>
      <c r="G34" s="516"/>
      <c r="H34" s="1281">
        <f>I34/B34</f>
        <v>9.9999999999999982</v>
      </c>
      <c r="I34" s="1081">
        <f>'Module Fabrication Price List'!L441</f>
        <v>898.43974068362786</v>
      </c>
    </row>
    <row r="35" spans="1:9" x14ac:dyDescent="0.3">
      <c r="A35" s="1279" t="s">
        <v>1094</v>
      </c>
      <c r="B35" s="751">
        <f>SUMPRODUCT('Piping Material List'!$AA$3:$AA$96,'Piping Material List'!DI3:DI96)</f>
        <v>16.465625817772342</v>
      </c>
      <c r="C35" s="1093">
        <f t="shared" si="3"/>
        <v>2.9022719475516951E-2</v>
      </c>
      <c r="D35" s="516"/>
      <c r="E35" s="516"/>
      <c r="F35" s="516"/>
      <c r="G35" s="516"/>
      <c r="H35" s="1276"/>
      <c r="I35" s="1278"/>
    </row>
    <row r="36" spans="1:9" x14ac:dyDescent="0.3">
      <c r="A36" s="1280" t="s">
        <v>1095</v>
      </c>
      <c r="B36" s="751">
        <f>SUMPRODUCT('Piping Material List'!$AA$3:$AA$96,'Piping Material List'!DK3:DK96)</f>
        <v>73.378348250590449</v>
      </c>
      <c r="C36" s="1093">
        <f t="shared" si="3"/>
        <v>0.1293384922275489</v>
      </c>
      <c r="D36" s="517"/>
      <c r="E36" s="517"/>
      <c r="F36" s="517"/>
      <c r="G36" s="517"/>
      <c r="H36" s="1277"/>
      <c r="I36" s="1278"/>
    </row>
    <row r="37" spans="1:9" x14ac:dyDescent="0.3">
      <c r="A37" s="1280" t="s">
        <v>1096</v>
      </c>
      <c r="B37" s="751">
        <f>SUMPRODUCT('Piping Material List'!$AA$3:$AA$96,'Piping Material List'!DL3:DL96)</f>
        <v>0</v>
      </c>
      <c r="C37" s="1093">
        <f t="shared" si="3"/>
        <v>0</v>
      </c>
      <c r="D37" s="516"/>
      <c r="E37" s="516"/>
      <c r="F37" s="516"/>
      <c r="G37" s="516"/>
      <c r="H37" s="1276"/>
      <c r="I37" s="1278"/>
    </row>
    <row r="38" spans="1:9" x14ac:dyDescent="0.3">
      <c r="A38" s="1280" t="s">
        <v>1097</v>
      </c>
      <c r="B38" s="751">
        <f>SUMPRODUCT('Piping Material List'!$AA$3:$AA$96,'Piping Material List'!DM3:DM96)</f>
        <v>0</v>
      </c>
      <c r="C38" s="1093">
        <f t="shared" si="3"/>
        <v>0</v>
      </c>
      <c r="D38" s="516"/>
      <c r="E38" s="516"/>
      <c r="F38" s="516"/>
      <c r="G38" s="516"/>
      <c r="H38" s="1276"/>
      <c r="I38" s="1278"/>
    </row>
    <row r="39" spans="1:9" ht="15" thickBot="1" x14ac:dyDescent="0.35">
      <c r="A39" s="1076" t="s">
        <v>1073</v>
      </c>
      <c r="B39" s="1102">
        <f>SUM('Equip&amp;Mach List'!R4:R29,'Equip&amp;Mach List'!R33:R52,'Equip&amp;Mach List'!R56:R75)</f>
        <v>158.46952923426446</v>
      </c>
      <c r="C39" s="1103">
        <f t="shared" si="3"/>
        <v>0.27932231324114498</v>
      </c>
      <c r="D39" s="518"/>
      <c r="E39" s="518"/>
      <c r="F39" s="518"/>
      <c r="G39" s="518"/>
      <c r="H39" s="1176">
        <v>0</v>
      </c>
      <c r="I39" s="1081">
        <f>H39*B39</f>
        <v>0</v>
      </c>
    </row>
    <row r="40" spans="1:9" ht="15" thickBot="1" x14ac:dyDescent="0.35">
      <c r="A40" s="1077" t="s">
        <v>1078</v>
      </c>
      <c r="B40" s="1089">
        <f>SUM(B35:B39,B32:B33)</f>
        <v>567.3357326718625</v>
      </c>
      <c r="C40" s="1104">
        <f>SUM(C32:C39)</f>
        <v>1.1583612117030659</v>
      </c>
      <c r="D40" s="519"/>
      <c r="E40" s="519"/>
      <c r="F40" s="519"/>
      <c r="G40" s="519"/>
      <c r="H40" s="519"/>
      <c r="I40" s="1083">
        <f>SUM(I32:I39)</f>
        <v>24825.106943376275</v>
      </c>
    </row>
    <row r="41" spans="1:9" ht="21.6" thickBot="1" x14ac:dyDescent="0.35">
      <c r="A41" s="770" t="s">
        <v>1098</v>
      </c>
      <c r="B41" s="403"/>
      <c r="C41" s="403"/>
      <c r="D41" s="403"/>
      <c r="E41" s="403"/>
      <c r="F41" s="403"/>
      <c r="G41" s="403"/>
      <c r="H41" s="403"/>
      <c r="I41" s="1051"/>
    </row>
    <row r="42" spans="1:9" ht="28.8" x14ac:dyDescent="0.3">
      <c r="A42" s="1736" t="s">
        <v>1099</v>
      </c>
      <c r="B42" s="782" t="s">
        <v>1100</v>
      </c>
      <c r="C42" s="783" t="s">
        <v>1101</v>
      </c>
      <c r="D42" s="783" t="s">
        <v>1102</v>
      </c>
      <c r="E42" s="783" t="s">
        <v>1103</v>
      </c>
      <c r="F42" s="783" t="s">
        <v>1075</v>
      </c>
      <c r="G42" s="783" t="s">
        <v>1104</v>
      </c>
      <c r="H42" s="783" t="s">
        <v>1105</v>
      </c>
      <c r="I42" s="783" t="s">
        <v>1078</v>
      </c>
    </row>
    <row r="43" spans="1:9" ht="15" thickBot="1" x14ac:dyDescent="0.35">
      <c r="A43" s="1737"/>
      <c r="B43" s="784" t="s">
        <v>222</v>
      </c>
      <c r="C43" s="784" t="s">
        <v>222</v>
      </c>
      <c r="D43" s="784" t="s">
        <v>222</v>
      </c>
      <c r="E43" s="784" t="s">
        <v>222</v>
      </c>
      <c r="F43" s="784" t="s">
        <v>222</v>
      </c>
      <c r="G43" s="784" t="s">
        <v>222</v>
      </c>
      <c r="H43" s="784" t="s">
        <v>222</v>
      </c>
      <c r="I43" s="784" t="s">
        <v>222</v>
      </c>
    </row>
    <row r="44" spans="1:9" x14ac:dyDescent="0.3">
      <c r="A44" s="785" t="str">
        <f>List!$BF$2</f>
        <v>Loose</v>
      </c>
      <c r="B44" s="781">
        <f>'Steel Structure List'!$I$23+'Steel Structure List'!$I$36+'Steel Structure List'!$I$49+'Steel Structure List'!$I$77</f>
        <v>1610</v>
      </c>
      <c r="C44" s="781">
        <v>0</v>
      </c>
      <c r="D44" s="781">
        <f>SUMPRODUCT('Piping Material List'!$U$3:$U$96,'Piping Material List'!$EP$3:$EP$96)</f>
        <v>0</v>
      </c>
      <c r="E44" s="781">
        <f>SUMPRODUCT('Piping Material List'!$AN$3:$AN$96,'Piping Material List'!$EP$3:$EP$96)</f>
        <v>0</v>
      </c>
      <c r="F44" s="781">
        <f>SUMPRODUCT('Instrument List'!$AE$4:$AE$43,'Instrument List'!$BR$4:$BR$43)</f>
        <v>0</v>
      </c>
      <c r="G44" s="781">
        <f>SUMPRODUCT('Valve List'!$AY$3:$AY$99,'Valve List'!$CQ$3:$CQ$99)</f>
        <v>0</v>
      </c>
      <c r="H44" s="781">
        <f>SUMPRODUCT('Equip&amp;Mach List'!$S$4:$S$75,'Equip&amp;Mach List'!$AK$4:$AK$75)+SUM('Equip&amp;Mach List'!$Y$4:$Y$29)</f>
        <v>120</v>
      </c>
      <c r="I44" s="781">
        <f>SUM(B44:H44)</f>
        <v>1730</v>
      </c>
    </row>
    <row r="45" spans="1:9" x14ac:dyDescent="0.3">
      <c r="A45" s="767" t="str">
        <f>List!$BF$3</f>
        <v>SKID 1 MODULO PIANO 1</v>
      </c>
      <c r="B45" s="772">
        <f>'Steel Structure List'!$H5</f>
        <v>3840</v>
      </c>
      <c r="C45" s="772">
        <f>IF(A45="X",0,B45*'Steel Structure List'!$B$21)</f>
        <v>192</v>
      </c>
      <c r="D45" s="772">
        <f>SUMPRODUCT('Piping Material List'!$U$3:$U$96,'Piping Material List'!$EQ$3:$EQ$96)</f>
        <v>0</v>
      </c>
      <c r="E45" s="772">
        <f>SUMPRODUCT('Piping Material List'!$AN$3:$AN$96,'Piping Material List'!$EQ$3:$EQ$96)</f>
        <v>0</v>
      </c>
      <c r="F45" s="772">
        <f>SUMPRODUCT('Instrument List'!$AE$4:$AE$43,'Instrument List'!$BS$4:$BS$43)</f>
        <v>0</v>
      </c>
      <c r="G45" s="772">
        <f>SUMPRODUCT('Valve List'!$AY$3:$AY$99,'Valve List'!$CR$3:$CR$99)</f>
        <v>0</v>
      </c>
      <c r="H45" s="772">
        <f>SUMPRODUCT('Equip&amp;Mach List'!$S$4:$S$75,'Equip&amp;Mach List'!$AL$4:$AL$75)</f>
        <v>0</v>
      </c>
      <c r="I45" s="772">
        <f>SUM(D45:H45)</f>
        <v>0</v>
      </c>
    </row>
    <row r="46" spans="1:9" x14ac:dyDescent="0.3">
      <c r="A46" s="767" t="str">
        <f>List!$BF$4</f>
        <v>SKID 1 MODULO PIANO 2</v>
      </c>
      <c r="B46" s="772">
        <f>'Steel Structure List'!$H6</f>
        <v>3840</v>
      </c>
      <c r="C46" s="772">
        <f>IF(A46="X",0,B46*'Steel Structure List'!$B$21)</f>
        <v>192</v>
      </c>
      <c r="D46" s="772">
        <f>SUMPRODUCT('Piping Material List'!$U$3:$U$96,'Piping Material List'!$ER$3:$ER$96)</f>
        <v>0</v>
      </c>
      <c r="E46" s="772">
        <f>SUMPRODUCT('Piping Material List'!$AN$3:$AN$96,'Piping Material List'!$ER$3:$ER$96)</f>
        <v>0</v>
      </c>
      <c r="F46" s="772">
        <f>SUMPRODUCT('Instrument List'!$AE$4:$AE$43,'Instrument List'!$BT$4:$BT$43)</f>
        <v>0</v>
      </c>
      <c r="G46" s="772">
        <f>SUMPRODUCT('Valve List'!$AY$3:$AY$99,'Valve List'!$CS$3:$CS$99)</f>
        <v>0</v>
      </c>
      <c r="H46" s="772">
        <f>SUMPRODUCT('Equip&amp;Mach List'!$S$4:$S$75,'Equip&amp;Mach List'!$AM$4:$AM$75)</f>
        <v>0</v>
      </c>
      <c r="I46" s="772">
        <f t="shared" ref="I46:I60" si="4">SUM(B46:H46)</f>
        <v>4032</v>
      </c>
    </row>
    <row r="47" spans="1:9" x14ac:dyDescent="0.3">
      <c r="A47" s="767" t="str">
        <f>List!$BF$5</f>
        <v>SKID 2 MODULO PIANO 1</v>
      </c>
      <c r="B47" s="772">
        <f>'Steel Structure List'!$H7</f>
        <v>3840</v>
      </c>
      <c r="C47" s="772">
        <f>IF(A47="X",0,B47*'Steel Structure List'!$B$21)</f>
        <v>192</v>
      </c>
      <c r="D47" s="772">
        <f>SUMPRODUCT('Piping Material List'!$U$3:$U$96,'Piping Material List'!$ES$3:$ES$96)</f>
        <v>0</v>
      </c>
      <c r="E47" s="772">
        <f>SUMPRODUCT('Piping Material List'!$AN$3:$AN$96,'Piping Material List'!$ES$3:$ES$96)</f>
        <v>0</v>
      </c>
      <c r="F47" s="772">
        <f>SUMPRODUCT('Instrument List'!$AE$4:$AE$43,'Instrument List'!$BU$4:$BU$43)</f>
        <v>0</v>
      </c>
      <c r="G47" s="772">
        <f>SUMPRODUCT('Valve List'!$AY$3:$AY$99,'Valve List'!$CT$3:$CT$99)</f>
        <v>0</v>
      </c>
      <c r="H47" s="772">
        <f>SUMPRODUCT('Equip&amp;Mach List'!$S$4:$S$75,'Equip&amp;Mach List'!$AN$4:$AN$75)</f>
        <v>0</v>
      </c>
      <c r="I47" s="772">
        <f t="shared" si="4"/>
        <v>4032</v>
      </c>
    </row>
    <row r="48" spans="1:9" x14ac:dyDescent="0.3">
      <c r="A48" s="767" t="str">
        <f>List!$BF$6</f>
        <v>X</v>
      </c>
      <c r="B48" s="772">
        <f>'Steel Structure List'!$H8</f>
        <v>0</v>
      </c>
      <c r="C48" s="772">
        <f>IF(A48="X",0,B48*'Steel Structure List'!$B$21)</f>
        <v>0</v>
      </c>
      <c r="D48" s="772">
        <f>SUMPRODUCT('Piping Material List'!$U$3:$U$96,'Piping Material List'!$ET$3:$ET$96)</f>
        <v>0</v>
      </c>
      <c r="E48" s="772">
        <f>SUMPRODUCT('Piping Material List'!$AN$3:$AN$96,'Piping Material List'!$ET$3:$ET$96)</f>
        <v>0</v>
      </c>
      <c r="F48" s="772">
        <f>SUMPRODUCT('Instrument List'!$AE$4:$AE$43,'Instrument List'!$BV$4:$BV$43)</f>
        <v>0</v>
      </c>
      <c r="G48" s="772">
        <f>SUMPRODUCT('Valve List'!$AY$3:$AY$99,'Valve List'!$CU$3:$CU$99)</f>
        <v>0</v>
      </c>
      <c r="H48" s="772">
        <f>SUMPRODUCT('Equip&amp;Mach List'!$S$4:$S$75,'Equip&amp;Mach List'!$AO$4:$AO$75)</f>
        <v>0</v>
      </c>
      <c r="I48" s="772">
        <f t="shared" si="4"/>
        <v>0</v>
      </c>
    </row>
    <row r="49" spans="1:9" x14ac:dyDescent="0.3">
      <c r="A49" s="767" t="str">
        <f>List!$BF$7</f>
        <v>X</v>
      </c>
      <c r="B49" s="772">
        <f>'Steel Structure List'!$H9</f>
        <v>0</v>
      </c>
      <c r="C49" s="772">
        <f>IF(A49="X",0,B49*'Steel Structure List'!$B$21)</f>
        <v>0</v>
      </c>
      <c r="D49" s="772">
        <f>SUMPRODUCT('Piping Material List'!$U$3:$U$96,'Piping Material List'!$EU$3:$EU$96)</f>
        <v>0</v>
      </c>
      <c r="E49" s="772">
        <f>SUMPRODUCT('Piping Material List'!$AN$3:$AN$96,'Piping Material List'!$EU$3:$EU$96)</f>
        <v>0</v>
      </c>
      <c r="F49" s="772">
        <f>SUMPRODUCT('Instrument List'!$AE$4:$AE$43,'Instrument List'!$BW$4:$BW$43)</f>
        <v>0</v>
      </c>
      <c r="G49" s="772">
        <f>SUMPRODUCT('Valve List'!$AY$3:$AY$99,'Valve List'!$CV$3:$CV$99)</f>
        <v>0</v>
      </c>
      <c r="H49" s="772">
        <f>SUMPRODUCT('Equip&amp;Mach List'!$S$4:$S$75,'Equip&amp;Mach List'!$AP$4:$AP$75)</f>
        <v>0</v>
      </c>
      <c r="I49" s="772">
        <f t="shared" si="4"/>
        <v>0</v>
      </c>
    </row>
    <row r="50" spans="1:9" x14ac:dyDescent="0.3">
      <c r="A50" s="767" t="str">
        <f>List!$BF$8</f>
        <v>X</v>
      </c>
      <c r="B50" s="772">
        <f>'Steel Structure List'!$H10</f>
        <v>0</v>
      </c>
      <c r="C50" s="772">
        <f>IF(A50="X",0,B50*'Steel Structure List'!$B$21)</f>
        <v>0</v>
      </c>
      <c r="D50" s="772">
        <f>SUMPRODUCT('Piping Material List'!$U$3:$U$96,'Piping Material List'!$EV$3:$EV$96)</f>
        <v>0</v>
      </c>
      <c r="E50" s="772">
        <f>SUMPRODUCT('Piping Material List'!$AN$3:$AN$96,'Piping Material List'!$EV$3:$EV$96)</f>
        <v>0</v>
      </c>
      <c r="F50" s="772">
        <f>SUMPRODUCT('Instrument List'!$AE$4:$AE$43,'Instrument List'!$BX$4:$BX$43)</f>
        <v>0</v>
      </c>
      <c r="G50" s="772">
        <f>SUMPRODUCT('Valve List'!$AY$3:$AY$99,'Valve List'!$CW$3:$CW$99)</f>
        <v>0</v>
      </c>
      <c r="H50" s="772">
        <f>SUMPRODUCT('Equip&amp;Mach List'!$S$4:$S$75,'Equip&amp;Mach List'!$AQ$4:$AQ$75)</f>
        <v>0</v>
      </c>
      <c r="I50" s="772">
        <f t="shared" si="4"/>
        <v>0</v>
      </c>
    </row>
    <row r="51" spans="1:9" x14ac:dyDescent="0.3">
      <c r="A51" s="767" t="str">
        <f>List!$BF$9</f>
        <v>X</v>
      </c>
      <c r="B51" s="772">
        <f>'Steel Structure List'!$H11</f>
        <v>0</v>
      </c>
      <c r="C51" s="772">
        <f>IF(A51="X",0,B51*'Steel Structure List'!$B$21)</f>
        <v>0</v>
      </c>
      <c r="D51" s="772">
        <f>SUMPRODUCT('Piping Material List'!$U$3:$U$96,'Piping Material List'!$EW$3:$EW$96)</f>
        <v>0</v>
      </c>
      <c r="E51" s="772">
        <f>SUMPRODUCT('Piping Material List'!$AN$3:$AN$96,'Piping Material List'!$EW$3:$EW$96)</f>
        <v>0</v>
      </c>
      <c r="F51" s="772">
        <f>SUMPRODUCT('Instrument List'!$AE$4:$AE$43,'Instrument List'!$BY$4:$BY$43)</f>
        <v>0</v>
      </c>
      <c r="G51" s="772">
        <f>SUMPRODUCT('Valve List'!$AY$3:$AY$99,'Valve List'!$CX$3:$CX$99)</f>
        <v>0</v>
      </c>
      <c r="H51" s="772">
        <f>SUMPRODUCT('Equip&amp;Mach List'!$S$4:$S$75,'Equip&amp;Mach List'!$AR$4:$AR$75)</f>
        <v>0</v>
      </c>
      <c r="I51" s="772">
        <f t="shared" si="4"/>
        <v>0</v>
      </c>
    </row>
    <row r="52" spans="1:9" x14ac:dyDescent="0.3">
      <c r="A52" s="767" t="str">
        <f>List!$BF$10</f>
        <v>X</v>
      </c>
      <c r="B52" s="772">
        <f>'Steel Structure List'!$H12</f>
        <v>0</v>
      </c>
      <c r="C52" s="772">
        <f>IF(A52="X",0,B52*'Steel Structure List'!$B$21)</f>
        <v>0</v>
      </c>
      <c r="D52" s="772">
        <f>SUMPRODUCT('Piping Material List'!$U$3:$U$96,'Piping Material List'!$EX$3:$EX$96)</f>
        <v>0</v>
      </c>
      <c r="E52" s="772">
        <f>SUMPRODUCT('Piping Material List'!$AN$3:$AN$96,'Piping Material List'!$EX$3:$EX$96)</f>
        <v>0</v>
      </c>
      <c r="F52" s="772">
        <f>SUMPRODUCT('Instrument List'!$AE$4:$AE$43,'Instrument List'!$BZ$4:$BZ$43)</f>
        <v>0</v>
      </c>
      <c r="G52" s="772">
        <f>SUMPRODUCT('Valve List'!$AY$3:$AY$99,'Valve List'!$CY$3:$CY$99)</f>
        <v>0</v>
      </c>
      <c r="H52" s="772">
        <f>SUMPRODUCT('Equip&amp;Mach List'!$S$4:$S$75,'Equip&amp;Mach List'!$AS$4:$AS$75)</f>
        <v>0</v>
      </c>
      <c r="I52" s="772">
        <f t="shared" si="4"/>
        <v>0</v>
      </c>
    </row>
    <row r="53" spans="1:9" x14ac:dyDescent="0.3">
      <c r="A53" s="767" t="str">
        <f>List!$BF$11</f>
        <v>X</v>
      </c>
      <c r="B53" s="772">
        <f>'Steel Structure List'!$H13</f>
        <v>0</v>
      </c>
      <c r="C53" s="772">
        <f>IF(A53="X",0,B53*'Steel Structure List'!$B$21)</f>
        <v>0</v>
      </c>
      <c r="D53" s="772">
        <f>SUMPRODUCT('Piping Material List'!$U$3:$U$96,'Piping Material List'!$EY$3:$EY$96)</f>
        <v>0</v>
      </c>
      <c r="E53" s="772">
        <f>SUMPRODUCT('Piping Material List'!$AN$3:$AN$96,'Piping Material List'!$EY$3:$EY$96)</f>
        <v>0</v>
      </c>
      <c r="F53" s="772">
        <f>SUMPRODUCT('Instrument List'!$AE$4:$AE$43,'Instrument List'!$CA$4:$CA$43)</f>
        <v>0</v>
      </c>
      <c r="G53" s="772">
        <f>SUMPRODUCT('Valve List'!$AY$3:$AY$99,'Valve List'!$CZ$3:$CZ$99)</f>
        <v>0</v>
      </c>
      <c r="H53" s="772">
        <f>SUMPRODUCT('Equip&amp;Mach List'!$S$4:$S$75,'Equip&amp;Mach List'!$AT$4:$AT$75)</f>
        <v>0</v>
      </c>
      <c r="I53" s="772">
        <f t="shared" si="4"/>
        <v>0</v>
      </c>
    </row>
    <row r="54" spans="1:9" x14ac:dyDescent="0.3">
      <c r="A54" s="767" t="str">
        <f>List!$BF$12</f>
        <v>X</v>
      </c>
      <c r="B54" s="772">
        <f>'Steel Structure List'!$H14</f>
        <v>0</v>
      </c>
      <c r="C54" s="772">
        <f>IF(A54="X",0,B54*'Steel Structure List'!$B$21)</f>
        <v>0</v>
      </c>
      <c r="D54" s="772">
        <f>SUMPRODUCT('Piping Material List'!$U$3:$U$96,'Piping Material List'!$EZ$3:$EZ$96)</f>
        <v>0</v>
      </c>
      <c r="E54" s="772">
        <f>SUMPRODUCT('Piping Material List'!$AN$3:$AN$96,'Piping Material List'!$EZ$3:$EZ$96)</f>
        <v>0</v>
      </c>
      <c r="F54" s="772">
        <f>SUMPRODUCT('Instrument List'!$AE$4:$AE$43,'Instrument List'!$CB$4:$CB$43)</f>
        <v>0</v>
      </c>
      <c r="G54" s="772">
        <f>SUMPRODUCT('Valve List'!$AY$3:$AY$99,'Valve List'!$DA$3:$DA$99)</f>
        <v>0</v>
      </c>
      <c r="H54" s="772">
        <f>SUMPRODUCT('Equip&amp;Mach List'!$S$4:$S$75,'Equip&amp;Mach List'!$AU$4:$AU$75)</f>
        <v>0</v>
      </c>
      <c r="I54" s="772">
        <f t="shared" si="4"/>
        <v>0</v>
      </c>
    </row>
    <row r="55" spans="1:9" x14ac:dyDescent="0.3">
      <c r="A55" s="1048" t="str">
        <f>List!$BF$13</f>
        <v>X</v>
      </c>
      <c r="B55" s="772">
        <f>'Steel Structure List'!$H15</f>
        <v>0</v>
      </c>
      <c r="C55" s="772">
        <f>IF(A55="X",0,B55*'Steel Structure List'!$B$21)</f>
        <v>0</v>
      </c>
      <c r="D55" s="772">
        <f>SUMPRODUCT('Piping Material List'!$U$3:$U$96,'Piping Material List'!$FA$3:$FA$96)</f>
        <v>0</v>
      </c>
      <c r="E55" s="772">
        <f>SUMPRODUCT('Piping Material List'!$AN$3:$AN$96,'Piping Material List'!$FA$3:$FA$96)</f>
        <v>0</v>
      </c>
      <c r="F55" s="772">
        <f>SUMPRODUCT('Instrument List'!$AE$4:$AE$43,'Instrument List'!$CC$4:$CC$43)</f>
        <v>0</v>
      </c>
      <c r="G55" s="772">
        <f>SUMPRODUCT('Valve List'!$AY$3:$AY$99,'Valve List'!$DB$3:$DB$99)</f>
        <v>0</v>
      </c>
      <c r="H55" s="772">
        <f>SUMPRODUCT('Equip&amp;Mach List'!$S$4:$S$75,'Equip&amp;Mach List'!$AV$4:$AV$75)</f>
        <v>0</v>
      </c>
      <c r="I55" s="772">
        <f t="shared" si="4"/>
        <v>0</v>
      </c>
    </row>
    <row r="56" spans="1:9" x14ac:dyDescent="0.3">
      <c r="A56" s="1048" t="str">
        <f>List!$BF$14</f>
        <v>X</v>
      </c>
      <c r="B56" s="772">
        <f>'Steel Structure List'!$H16</f>
        <v>0</v>
      </c>
      <c r="C56" s="772">
        <f>IF(A56="X",0,B56*'Steel Structure List'!$B$21)</f>
        <v>0</v>
      </c>
      <c r="D56" s="772">
        <f>SUMPRODUCT('Piping Material List'!$U$3:$U$96,'Piping Material List'!$FB$3:$FB$96)</f>
        <v>0</v>
      </c>
      <c r="E56" s="772">
        <f>SUMPRODUCT('Piping Material List'!$AN$3:$AN$96,'Piping Material List'!$FB$3:$FB$96)</f>
        <v>0</v>
      </c>
      <c r="F56" s="772">
        <f>SUMPRODUCT('Instrument List'!$AE$4:$AE$43,'Instrument List'!$CD$4:$CD$43)</f>
        <v>0</v>
      </c>
      <c r="G56" s="772">
        <f>SUMPRODUCT('Valve List'!$AY$3:$AY$99,'Valve List'!$DC$3:$DC$99)</f>
        <v>0</v>
      </c>
      <c r="H56" s="772">
        <f>SUMPRODUCT('Equip&amp;Mach List'!$S$4:$S$75,'Equip&amp;Mach List'!$AW$4:$AW$75)</f>
        <v>0</v>
      </c>
      <c r="I56" s="772">
        <f t="shared" si="4"/>
        <v>0</v>
      </c>
    </row>
    <row r="57" spans="1:9" x14ac:dyDescent="0.3">
      <c r="A57" s="1048" t="str">
        <f>List!$BF$15</f>
        <v>X</v>
      </c>
      <c r="B57" s="772">
        <f>'Steel Structure List'!$H17</f>
        <v>0</v>
      </c>
      <c r="C57" s="772">
        <f>IF(A57="X",0,B57*'Steel Structure List'!$B$21)</f>
        <v>0</v>
      </c>
      <c r="D57" s="772">
        <f>SUMPRODUCT('Piping Material List'!$U$3:$U$96,'Piping Material List'!$FC$3:$FC$96)</f>
        <v>0</v>
      </c>
      <c r="E57" s="772">
        <f>SUMPRODUCT('Piping Material List'!$AN$3:$AN$96,'Piping Material List'!$FC$3:$FC$96)</f>
        <v>0</v>
      </c>
      <c r="F57" s="772">
        <f>SUMPRODUCT('Instrument List'!$AE$4:$AE$43,'Instrument List'!$CE$4:$CE$43)</f>
        <v>0</v>
      </c>
      <c r="G57" s="772">
        <f>SUMPRODUCT('Valve List'!$AY$3:$AY$99,'Valve List'!$DD$3:$DD$99)</f>
        <v>0</v>
      </c>
      <c r="H57" s="772">
        <f>SUMPRODUCT('Equip&amp;Mach List'!$S$4:$S$75,'Equip&amp;Mach List'!$AX$4:$AX$75)</f>
        <v>0</v>
      </c>
      <c r="I57" s="772">
        <f t="shared" si="4"/>
        <v>0</v>
      </c>
    </row>
    <row r="58" spans="1:9" x14ac:dyDescent="0.3">
      <c r="A58" s="1048" t="str">
        <f>List!$BF$16</f>
        <v>X</v>
      </c>
      <c r="B58" s="772">
        <f>'Steel Structure List'!$H18</f>
        <v>0</v>
      </c>
      <c r="C58" s="772">
        <f>IF(A58="X",0,B58*'Steel Structure List'!$B$21)</f>
        <v>0</v>
      </c>
      <c r="D58" s="772">
        <f>SUMPRODUCT('Piping Material List'!$U$3:$U$96,'Piping Material List'!$FD$3:$FD$96)</f>
        <v>0</v>
      </c>
      <c r="E58" s="772">
        <f>SUMPRODUCT('Piping Material List'!$AN$3:$AN$96,'Piping Material List'!$FD$3:$FD$96)</f>
        <v>0</v>
      </c>
      <c r="F58" s="772">
        <f>SUMPRODUCT('Instrument List'!$AE$4:$AE$43,'Instrument List'!$CF$4:$CF$43)</f>
        <v>0</v>
      </c>
      <c r="G58" s="772">
        <f>SUMPRODUCT('Valve List'!$AY$3:$AY$99,'Valve List'!$DE$3:$DE$99)</f>
        <v>0</v>
      </c>
      <c r="H58" s="772">
        <f>SUMPRODUCT('Equip&amp;Mach List'!$S$4:$S$75,'Equip&amp;Mach List'!$AY$4:$AY$75)</f>
        <v>0</v>
      </c>
      <c r="I58" s="772">
        <f t="shared" si="4"/>
        <v>0</v>
      </c>
    </row>
    <row r="59" spans="1:9" x14ac:dyDescent="0.3">
      <c r="A59" s="1048" t="str">
        <f>List!$BF$17</f>
        <v>X</v>
      </c>
      <c r="B59" s="773">
        <f>'Steel Structure List'!$H19</f>
        <v>0</v>
      </c>
      <c r="C59" s="773">
        <f>IF(A59="X",0,B59*'Steel Structure List'!$B$21)</f>
        <v>0</v>
      </c>
      <c r="D59" s="773">
        <f>SUMPRODUCT('Piping Material List'!$U$3:$U$96,'Piping Material List'!$FE$3:$FE$96)</f>
        <v>0</v>
      </c>
      <c r="E59" s="773">
        <f>SUMPRODUCT('Piping Material List'!$AN$3:$AN$96,'Piping Material List'!$FE$3:$FE$96)</f>
        <v>0</v>
      </c>
      <c r="F59" s="773">
        <f>SUMPRODUCT('Instrument List'!$AE$4:$AE$43,'Instrument List'!$CG$4:$CG$43)</f>
        <v>0</v>
      </c>
      <c r="G59" s="773">
        <f>SUMPRODUCT('Valve List'!$AY$3:$AY$99,'Valve List'!$DF$3:$DF$99)</f>
        <v>0</v>
      </c>
      <c r="H59" s="773">
        <f>SUMPRODUCT('Equip&amp;Mach List'!$S$4:$S$75,'Equip&amp;Mach List'!$AZ$4:$AZ$75)</f>
        <v>0</v>
      </c>
      <c r="I59" s="773">
        <f t="shared" si="4"/>
        <v>0</v>
      </c>
    </row>
    <row r="60" spans="1:9" ht="15" thickBot="1" x14ac:dyDescent="0.35">
      <c r="A60" s="1049" t="s">
        <v>1106</v>
      </c>
      <c r="B60" s="1050">
        <v>0</v>
      </c>
      <c r="C60" s="1050">
        <v>0</v>
      </c>
      <c r="D60" s="1050">
        <f>SUMPRODUCT('Piping Material List'!$U$3:$U$96,'Piping Material List'!$FF$3:$FF$96)</f>
        <v>3338.3731723734468</v>
      </c>
      <c r="E60" s="1050">
        <f>SUMPRODUCT('Piping Material List'!$AN$3:$AN$96,'Piping Material List'!$FF$3:$FF$96)</f>
        <v>600.90717102722033</v>
      </c>
      <c r="F60" s="1050">
        <f>SUMPRODUCT('Instrument List'!$AE$4:$AE$43,'Instrument List'!$CH$4:$CH$43)</f>
        <v>0.5</v>
      </c>
      <c r="G60" s="1050">
        <f>SUMPRODUCT('Valve List'!$AY$3:$AY$99,'Valve List'!$DG$3:$DG$99)</f>
        <v>0</v>
      </c>
      <c r="H60" s="1050">
        <f>SUMPRODUCT('Equip&amp;Mach List'!$S$4:$S$75,'Equip&amp;Mach List'!$BA$4:$BA$75)</f>
        <v>0</v>
      </c>
      <c r="I60" s="1050">
        <f t="shared" si="4"/>
        <v>3939.7803434006673</v>
      </c>
    </row>
    <row r="61" spans="1:9" ht="18.600000000000001" thickBot="1" x14ac:dyDescent="0.4">
      <c r="A61" s="768" t="s">
        <v>1078</v>
      </c>
      <c r="B61" s="774">
        <f t="shared" ref="B61:G61" si="5">SUM(B44:B60)</f>
        <v>13130</v>
      </c>
      <c r="C61" s="774">
        <f t="shared" si="5"/>
        <v>576</v>
      </c>
      <c r="D61" s="774">
        <f t="shared" si="5"/>
        <v>3338.3731723734468</v>
      </c>
      <c r="E61" s="774">
        <f t="shared" si="5"/>
        <v>600.90717102722033</v>
      </c>
      <c r="F61" s="774">
        <f t="shared" si="5"/>
        <v>0.5</v>
      </c>
      <c r="G61" s="774">
        <f t="shared" si="5"/>
        <v>0</v>
      </c>
      <c r="H61" s="774">
        <f>SUM(H44:H60)</f>
        <v>120</v>
      </c>
      <c r="I61" s="774">
        <f>SUM(I44:I60)</f>
        <v>13733.780343400667</v>
      </c>
    </row>
  </sheetData>
  <mergeCells count="7">
    <mergeCell ref="A42:A43"/>
    <mergeCell ref="F15:H15"/>
    <mergeCell ref="C15:C16"/>
    <mergeCell ref="A30:A31"/>
    <mergeCell ref="A2:A3"/>
    <mergeCell ref="A15:A16"/>
    <mergeCell ref="B15:B16"/>
  </mergeCells>
  <conditionalFormatting sqref="A1:I42 R41:XFD41">
    <cfRule type="cellIs" dxfId="341" priority="22" operator="equal">
      <formula>0</formula>
    </cfRule>
  </conditionalFormatting>
  <conditionalFormatting sqref="A44:I61">
    <cfRule type="cellIs" dxfId="340" priority="4" operator="equal">
      <formula>0</formula>
    </cfRule>
  </conditionalFormatting>
  <conditionalFormatting sqref="B43:I43 B47:I59">
    <cfRule type="cellIs" dxfId="339" priority="43" operator="equal">
      <formula>0</formula>
    </cfRule>
  </conditionalFormatting>
  <conditionalFormatting sqref="R1:XFD21 J22:XFD40 J42:XFD1048576 A82:I1048576">
    <cfRule type="cellIs" dxfId="338" priority="46" operator="equal">
      <formula>0</formula>
    </cfRule>
  </conditionalFormatting>
  <pageMargins left="0.70866141732283472" right="0.70866141732283472" top="0.74803149606299213" bottom="0.74803149606299213" header="0.31496062992125984" footer="0.31496062992125984"/>
  <pageSetup scale="50" fitToHeight="0" orientation="portrait" r:id="rId1"/>
  <headerFooter>
    <oddHeader>&amp;LMCE Vers. 1.0&amp;C&amp;F&amp;R&amp;"Calibri"&amp;8&amp;K000000Document classified as: 2 - Company Confidential&amp;1#</oddHeader>
    <oddFooter>&amp;C&amp;A - &amp;P&amp;R&amp;D</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oglio5">
    <tabColor theme="0"/>
    <pageSetUpPr fitToPage="1"/>
  </sheetPr>
  <dimension ref="A1:M489"/>
  <sheetViews>
    <sheetView topLeftCell="A432" zoomScale="85" zoomScaleNormal="85" workbookViewId="0">
      <selection activeCell="K455" sqref="K455"/>
    </sheetView>
  </sheetViews>
  <sheetFormatPr defaultRowHeight="15.6" x14ac:dyDescent="0.3"/>
  <cols>
    <col min="1" max="1" width="10.5546875" style="49" customWidth="1"/>
    <col min="2" max="2" width="43.77734375" style="49" customWidth="1"/>
    <col min="3" max="3" width="13.21875" style="49" customWidth="1"/>
    <col min="4" max="9" width="10.77734375" style="49" customWidth="1"/>
    <col min="10" max="10" width="17.44140625" style="49" customWidth="1"/>
    <col min="11" max="11" width="13.21875" style="742" bestFit="1" customWidth="1"/>
    <col min="12" max="12" width="15.77734375" style="50" customWidth="1"/>
    <col min="13" max="13" width="14" bestFit="1" customWidth="1"/>
  </cols>
  <sheetData>
    <row r="1" spans="1:13" ht="47.4" thickBot="1" x14ac:dyDescent="0.35">
      <c r="A1" s="374" t="s">
        <v>366</v>
      </c>
      <c r="B1" s="374" t="s">
        <v>335</v>
      </c>
      <c r="C1" s="375" t="s">
        <v>1107</v>
      </c>
      <c r="D1" s="376" t="s">
        <v>1108</v>
      </c>
      <c r="E1" s="377"/>
      <c r="F1" s="377"/>
      <c r="G1" s="377"/>
      <c r="H1" s="377"/>
      <c r="I1" s="377"/>
      <c r="J1" s="378"/>
      <c r="K1" s="737" t="s">
        <v>1109</v>
      </c>
      <c r="L1" s="379" t="s">
        <v>1110</v>
      </c>
      <c r="M1" s="498"/>
    </row>
    <row r="2" spans="1:13" ht="16.2" thickBot="1" x14ac:dyDescent="0.35">
      <c r="A2" s="24">
        <v>1</v>
      </c>
      <c r="B2" s="1401" t="s">
        <v>1111</v>
      </c>
      <c r="C2" s="1402"/>
      <c r="D2" s="1402"/>
      <c r="E2" s="1402"/>
      <c r="F2" s="1402"/>
      <c r="G2" s="1402"/>
      <c r="H2" s="1402"/>
      <c r="I2" s="1402"/>
      <c r="J2" s="1402"/>
      <c r="K2" s="1403"/>
      <c r="L2" s="1126"/>
    </row>
    <row r="3" spans="1:13" ht="16.2" thickBot="1" x14ac:dyDescent="0.35">
      <c r="A3" s="1474" t="s">
        <v>1112</v>
      </c>
      <c r="B3" s="1475" t="s">
        <v>1113</v>
      </c>
      <c r="C3" s="1476"/>
      <c r="D3" s="1476"/>
      <c r="E3" s="1476"/>
      <c r="F3" s="1476"/>
      <c r="G3" s="1476"/>
      <c r="H3" s="1476"/>
      <c r="I3" s="1476"/>
      <c r="J3" s="1476"/>
      <c r="K3" s="1477"/>
      <c r="L3" s="1129">
        <f>SUM(L4:L13)</f>
        <v>58466.24141215963</v>
      </c>
    </row>
    <row r="4" spans="1:13" x14ac:dyDescent="0.3">
      <c r="A4" s="25" t="s">
        <v>1114</v>
      </c>
      <c r="B4" s="26" t="s">
        <v>1115</v>
      </c>
      <c r="C4" s="27" t="s">
        <v>222</v>
      </c>
      <c r="D4" s="28"/>
      <c r="E4" s="29"/>
      <c r="F4" s="29"/>
      <c r="G4" s="29"/>
      <c r="H4" s="29"/>
      <c r="I4" s="29"/>
      <c r="J4" s="754">
        <f>'Steel Structure List'!I2</f>
        <v>11520</v>
      </c>
      <c r="K4" s="738">
        <v>4</v>
      </c>
      <c r="L4" s="923">
        <f>K4*J4</f>
        <v>46080</v>
      </c>
    </row>
    <row r="5" spans="1:13" x14ac:dyDescent="0.3">
      <c r="A5" s="31" t="s">
        <v>1116</v>
      </c>
      <c r="B5" s="32" t="s">
        <v>1117</v>
      </c>
      <c r="C5" s="33" t="s">
        <v>222</v>
      </c>
      <c r="D5" s="34"/>
      <c r="E5" s="35"/>
      <c r="F5" s="35"/>
      <c r="G5" s="35"/>
      <c r="H5" s="35"/>
      <c r="I5" s="35"/>
      <c r="J5" s="755">
        <f>'Steel Structure List'!I20</f>
        <v>576</v>
      </c>
      <c r="K5" s="739">
        <v>4</v>
      </c>
      <c r="L5" s="37">
        <f>K5*J5</f>
        <v>2304</v>
      </c>
    </row>
    <row r="6" spans="1:13" x14ac:dyDescent="0.3">
      <c r="A6" s="31" t="s">
        <v>1118</v>
      </c>
      <c r="B6" s="32" t="s">
        <v>1119</v>
      </c>
      <c r="C6" s="33" t="s">
        <v>222</v>
      </c>
      <c r="D6" s="34"/>
      <c r="E6" s="35"/>
      <c r="F6" s="35"/>
      <c r="G6" s="35"/>
      <c r="H6" s="35"/>
      <c r="I6" s="35"/>
      <c r="J6" s="755">
        <f>'Steel Structure List'!I23+'Steel Structure List'!I36</f>
        <v>0</v>
      </c>
      <c r="K6" s="739">
        <v>3</v>
      </c>
      <c r="L6" s="37">
        <f>K6*J6</f>
        <v>0</v>
      </c>
    </row>
    <row r="7" spans="1:13" x14ac:dyDescent="0.3">
      <c r="A7" s="31" t="s">
        <v>1120</v>
      </c>
      <c r="B7" s="32" t="s">
        <v>1121</v>
      </c>
      <c r="C7" s="33" t="s">
        <v>222</v>
      </c>
      <c r="D7" s="34"/>
      <c r="E7" s="35"/>
      <c r="F7" s="35"/>
      <c r="G7" s="35"/>
      <c r="H7" s="35"/>
      <c r="I7" s="35"/>
      <c r="J7" s="755">
        <f>'Steel Structure List'!I49</f>
        <v>170</v>
      </c>
      <c r="K7" s="739">
        <v>6</v>
      </c>
      <c r="L7" s="37">
        <f t="shared" ref="L7:L13" si="0">K7*J7</f>
        <v>1020</v>
      </c>
    </row>
    <row r="8" spans="1:13" x14ac:dyDescent="0.3">
      <c r="A8" s="31" t="s">
        <v>1122</v>
      </c>
      <c r="B8" s="32" t="s">
        <v>1123</v>
      </c>
      <c r="C8" s="33"/>
      <c r="D8" s="34"/>
      <c r="E8" s="35"/>
      <c r="F8" s="35"/>
      <c r="G8" s="35"/>
      <c r="H8" s="35"/>
      <c r="I8" s="35"/>
      <c r="J8" s="755"/>
      <c r="K8" s="739"/>
      <c r="L8" s="37">
        <f t="shared" si="0"/>
        <v>0</v>
      </c>
    </row>
    <row r="9" spans="1:13" x14ac:dyDescent="0.3">
      <c r="A9" s="38" t="s">
        <v>1124</v>
      </c>
      <c r="B9" s="39" t="s">
        <v>1125</v>
      </c>
      <c r="C9" s="33" t="s">
        <v>222</v>
      </c>
      <c r="D9" s="40"/>
      <c r="E9" s="41"/>
      <c r="F9" s="41"/>
      <c r="G9" s="41"/>
      <c r="H9" s="41"/>
      <c r="I9" s="41"/>
      <c r="J9" s="756">
        <f>SUMPRODUCT('Piping Material List'!$AN$3:$AN$96,'Piping Material List'!$DI$3:$DI$96)+SUMPRODUCT('Valve List'!$BC$3:$BC$99,'Valve List'!$CL$3:$CL$99)</f>
        <v>102.36020184405278</v>
      </c>
      <c r="K9" s="739">
        <v>2.5</v>
      </c>
      <c r="L9" s="42">
        <f t="shared" si="0"/>
        <v>255.90050461013195</v>
      </c>
    </row>
    <row r="10" spans="1:13" x14ac:dyDescent="0.3">
      <c r="A10" s="38" t="s">
        <v>24</v>
      </c>
      <c r="B10" s="39" t="s">
        <v>1126</v>
      </c>
      <c r="C10" s="33" t="s">
        <v>222</v>
      </c>
      <c r="D10" s="40"/>
      <c r="E10" s="41"/>
      <c r="F10" s="41"/>
      <c r="G10" s="41"/>
      <c r="H10" s="41"/>
      <c r="I10" s="41"/>
      <c r="J10" s="756">
        <f>SUMPRODUCT('Piping Material List'!$AN$3:$AN$96,'Piping Material List'!$DK$3:$DK$96)+SUMPRODUCT('Valve List'!$BC$3:$BC$99,'Valve List'!$CM$3:$CM$99)</f>
        <v>535.44696918316765</v>
      </c>
      <c r="K10" s="739">
        <v>3</v>
      </c>
      <c r="L10" s="42">
        <f t="shared" si="0"/>
        <v>1606.3409075495028</v>
      </c>
    </row>
    <row r="11" spans="1:13" x14ac:dyDescent="0.3">
      <c r="A11" s="38" t="s">
        <v>27</v>
      </c>
      <c r="B11" s="39" t="s">
        <v>1127</v>
      </c>
      <c r="C11" s="33" t="s">
        <v>222</v>
      </c>
      <c r="D11" s="40"/>
      <c r="E11" s="41"/>
      <c r="F11" s="41"/>
      <c r="G11" s="41"/>
      <c r="H11" s="41"/>
      <c r="I11" s="41"/>
      <c r="J11" s="756">
        <f>SUMPRODUCT('Piping Material List'!$AN$3:$AN$96,'Piping Material List'!$DL$3:$DL$96)+SUMPRODUCT('Valve List'!$BC$3:$BC$99,'Valve List'!$CN$3:$CN$99)</f>
        <v>0</v>
      </c>
      <c r="K11" s="740"/>
      <c r="L11" s="42">
        <f t="shared" si="0"/>
        <v>0</v>
      </c>
    </row>
    <row r="12" spans="1:13" x14ac:dyDescent="0.3">
      <c r="A12" s="38" t="s">
        <v>29</v>
      </c>
      <c r="B12" s="39" t="s">
        <v>1128</v>
      </c>
      <c r="C12" s="33" t="s">
        <v>222</v>
      </c>
      <c r="D12" s="40"/>
      <c r="E12" s="41"/>
      <c r="F12" s="41"/>
      <c r="G12" s="41"/>
      <c r="H12" s="41"/>
      <c r="I12" s="41"/>
      <c r="J12" s="756">
        <f>SUMPRODUCT('Piping Material List'!$AN$3:$AN$96,'Piping Material List'!$DM$3:$DM$96)+SUMPRODUCT('Valve List'!$BC$3:$BC$99,'Valve List'!$CO$3:$CO$99)</f>
        <v>0</v>
      </c>
      <c r="K12" s="740"/>
      <c r="L12" s="42">
        <f t="shared" si="0"/>
        <v>0</v>
      </c>
    </row>
    <row r="13" spans="1:13" ht="16.2" thickBot="1" x14ac:dyDescent="0.35">
      <c r="A13" s="43" t="s">
        <v>1129</v>
      </c>
      <c r="B13" s="44" t="s">
        <v>1130</v>
      </c>
      <c r="C13" s="45" t="s">
        <v>222</v>
      </c>
      <c r="D13" s="46"/>
      <c r="E13" s="47"/>
      <c r="F13" s="47"/>
      <c r="G13" s="47"/>
      <c r="H13" s="47"/>
      <c r="I13" s="47"/>
      <c r="J13" s="757">
        <f>'Steel Structure List'!I77</f>
        <v>1440</v>
      </c>
      <c r="K13" s="741">
        <v>5</v>
      </c>
      <c r="L13" s="42">
        <f t="shared" si="0"/>
        <v>7200</v>
      </c>
    </row>
    <row r="14" spans="1:13" ht="16.2" thickBot="1" x14ac:dyDescent="0.35">
      <c r="A14" s="1474" t="s">
        <v>1131</v>
      </c>
      <c r="B14" s="1475" t="s">
        <v>1132</v>
      </c>
      <c r="C14" s="1476"/>
      <c r="D14" s="1476"/>
      <c r="E14" s="1476"/>
      <c r="F14" s="1476"/>
      <c r="G14" s="1476"/>
      <c r="H14" s="1476"/>
      <c r="I14" s="1476"/>
      <c r="J14" s="1478"/>
      <c r="K14" s="1477"/>
      <c r="L14" s="1129">
        <f>SUM(L15:L24)</f>
        <v>54732.868482264828</v>
      </c>
    </row>
    <row r="15" spans="1:13" x14ac:dyDescent="0.3">
      <c r="A15" s="31" t="s">
        <v>1133</v>
      </c>
      <c r="B15" s="26" t="s">
        <v>1115</v>
      </c>
      <c r="C15" s="27" t="s">
        <v>222</v>
      </c>
      <c r="D15" s="34"/>
      <c r="E15" s="35"/>
      <c r="F15" s="35"/>
      <c r="G15" s="35"/>
      <c r="H15" s="35"/>
      <c r="I15" s="35"/>
      <c r="J15" s="755">
        <f t="shared" ref="J15:J23" si="1">J4</f>
        <v>11520</v>
      </c>
      <c r="K15" s="739">
        <v>4</v>
      </c>
      <c r="L15" s="923">
        <f t="shared" ref="L15:L24" si="2">K15*J15</f>
        <v>46080</v>
      </c>
    </row>
    <row r="16" spans="1:13" x14ac:dyDescent="0.3">
      <c r="A16" s="31" t="s">
        <v>1134</v>
      </c>
      <c r="B16" s="32" t="s">
        <v>1117</v>
      </c>
      <c r="C16" s="33" t="s">
        <v>222</v>
      </c>
      <c r="D16" s="34"/>
      <c r="E16" s="35"/>
      <c r="F16" s="35"/>
      <c r="G16" s="35"/>
      <c r="H16" s="35"/>
      <c r="I16" s="35"/>
      <c r="J16" s="755">
        <f t="shared" si="1"/>
        <v>576</v>
      </c>
      <c r="K16" s="739">
        <v>4</v>
      </c>
      <c r="L16" s="37">
        <f t="shared" si="2"/>
        <v>2304</v>
      </c>
    </row>
    <row r="17" spans="1:12" x14ac:dyDescent="0.3">
      <c r="A17" s="31" t="s">
        <v>1135</v>
      </c>
      <c r="B17" s="32" t="s">
        <v>1119</v>
      </c>
      <c r="C17" s="33"/>
      <c r="D17" s="34"/>
      <c r="E17" s="35"/>
      <c r="F17" s="35"/>
      <c r="G17" s="35"/>
      <c r="H17" s="35"/>
      <c r="I17" s="35"/>
      <c r="J17" s="755">
        <f t="shared" si="1"/>
        <v>0</v>
      </c>
      <c r="K17" s="739">
        <v>2.5</v>
      </c>
      <c r="L17" s="37">
        <f>K17*J17</f>
        <v>0</v>
      </c>
    </row>
    <row r="18" spans="1:12" x14ac:dyDescent="0.3">
      <c r="A18" s="31" t="s">
        <v>1136</v>
      </c>
      <c r="B18" s="32" t="s">
        <v>1121</v>
      </c>
      <c r="C18" s="33" t="s">
        <v>222</v>
      </c>
      <c r="D18" s="34"/>
      <c r="E18" s="35"/>
      <c r="F18" s="35"/>
      <c r="G18" s="35"/>
      <c r="H18" s="35"/>
      <c r="I18" s="35"/>
      <c r="J18" s="755">
        <f t="shared" si="1"/>
        <v>170</v>
      </c>
      <c r="K18" s="739">
        <v>6</v>
      </c>
      <c r="L18" s="37">
        <f t="shared" si="2"/>
        <v>1020</v>
      </c>
    </row>
    <row r="19" spans="1:12" x14ac:dyDescent="0.3">
      <c r="A19" s="31" t="s">
        <v>1137</v>
      </c>
      <c r="B19" s="32" t="s">
        <v>1123</v>
      </c>
      <c r="C19" s="33"/>
      <c r="D19" s="34"/>
      <c r="E19" s="35"/>
      <c r="F19" s="35"/>
      <c r="G19" s="35"/>
      <c r="H19" s="35"/>
      <c r="I19" s="35"/>
      <c r="J19" s="755">
        <f t="shared" si="1"/>
        <v>0</v>
      </c>
      <c r="K19" s="739"/>
      <c r="L19" s="37">
        <f t="shared" si="2"/>
        <v>0</v>
      </c>
    </row>
    <row r="20" spans="1:12" x14ac:dyDescent="0.3">
      <c r="A20" s="31" t="s">
        <v>1138</v>
      </c>
      <c r="B20" s="39" t="s">
        <v>1125</v>
      </c>
      <c r="C20" s="33" t="s">
        <v>222</v>
      </c>
      <c r="D20" s="34"/>
      <c r="E20" s="35"/>
      <c r="F20" s="35"/>
      <c r="G20" s="35"/>
      <c r="H20" s="35"/>
      <c r="I20" s="35"/>
      <c r="J20" s="755">
        <f t="shared" si="1"/>
        <v>102.36020184405278</v>
      </c>
      <c r="K20" s="739">
        <v>3</v>
      </c>
      <c r="L20" s="37">
        <f t="shared" si="2"/>
        <v>307.08060553215836</v>
      </c>
    </row>
    <row r="21" spans="1:12" x14ac:dyDescent="0.3">
      <c r="A21" s="31" t="s">
        <v>31</v>
      </c>
      <c r="B21" s="39" t="s">
        <v>1126</v>
      </c>
      <c r="C21" s="33" t="s">
        <v>222</v>
      </c>
      <c r="D21" s="34"/>
      <c r="E21" s="35"/>
      <c r="F21" s="35"/>
      <c r="G21" s="35"/>
      <c r="H21" s="35"/>
      <c r="I21" s="35"/>
      <c r="J21" s="755">
        <f t="shared" si="1"/>
        <v>535.44696918316765</v>
      </c>
      <c r="K21" s="739">
        <v>4</v>
      </c>
      <c r="L21" s="37">
        <f t="shared" si="2"/>
        <v>2141.7878767326706</v>
      </c>
    </row>
    <row r="22" spans="1:12" x14ac:dyDescent="0.3">
      <c r="A22" s="31" t="s">
        <v>32</v>
      </c>
      <c r="B22" s="39" t="s">
        <v>1127</v>
      </c>
      <c r="C22" s="33" t="s">
        <v>222</v>
      </c>
      <c r="D22" s="34"/>
      <c r="E22" s="35"/>
      <c r="F22" s="35"/>
      <c r="G22" s="35"/>
      <c r="H22" s="35"/>
      <c r="I22" s="35"/>
      <c r="J22" s="755">
        <f t="shared" si="1"/>
        <v>0</v>
      </c>
      <c r="K22" s="739"/>
      <c r="L22" s="37">
        <f t="shared" si="2"/>
        <v>0</v>
      </c>
    </row>
    <row r="23" spans="1:12" x14ac:dyDescent="0.3">
      <c r="A23" s="31" t="s">
        <v>33</v>
      </c>
      <c r="B23" s="39" t="s">
        <v>1128</v>
      </c>
      <c r="C23" s="33" t="s">
        <v>222</v>
      </c>
      <c r="D23" s="34"/>
      <c r="E23" s="35"/>
      <c r="F23" s="35"/>
      <c r="G23" s="35"/>
      <c r="H23" s="35"/>
      <c r="I23" s="35"/>
      <c r="J23" s="755">
        <f t="shared" si="1"/>
        <v>0</v>
      </c>
      <c r="K23" s="739"/>
      <c r="L23" s="37">
        <f t="shared" si="2"/>
        <v>0</v>
      </c>
    </row>
    <row r="24" spans="1:12" ht="16.2" thickBot="1" x14ac:dyDescent="0.35">
      <c r="A24" s="31" t="s">
        <v>1139</v>
      </c>
      <c r="B24" s="32" t="s">
        <v>1140</v>
      </c>
      <c r="C24" s="33" t="s">
        <v>228</v>
      </c>
      <c r="D24" s="34"/>
      <c r="E24" s="35"/>
      <c r="F24" s="35"/>
      <c r="G24" s="35"/>
      <c r="H24" s="35"/>
      <c r="I24" s="35"/>
      <c r="J24" s="755">
        <f>SUM('Steel Structure List'!D80:D107)</f>
        <v>28.799999999999997</v>
      </c>
      <c r="K24" s="739">
        <v>100</v>
      </c>
      <c r="L24" s="42">
        <f t="shared" si="2"/>
        <v>2879.9999999999995</v>
      </c>
    </row>
    <row r="25" spans="1:12" ht="16.2" thickBot="1" x14ac:dyDescent="0.35">
      <c r="A25" s="24">
        <v>2</v>
      </c>
      <c r="B25" s="1404" t="s">
        <v>1141</v>
      </c>
      <c r="C25" s="1402"/>
      <c r="D25" s="1402"/>
      <c r="E25" s="1402"/>
      <c r="F25" s="1402"/>
      <c r="G25" s="1402"/>
      <c r="H25" s="1402"/>
      <c r="I25" s="1402"/>
      <c r="J25" s="1402"/>
      <c r="K25" s="1403"/>
      <c r="L25" s="1130">
        <f>SUM(L30:L47,L60:L77,L90:L107)</f>
        <v>31728</v>
      </c>
    </row>
    <row r="26" spans="1:12" x14ac:dyDescent="0.3">
      <c r="A26" s="1474" t="s">
        <v>1142</v>
      </c>
      <c r="B26" s="1479" t="s">
        <v>1143</v>
      </c>
      <c r="C26" s="1480"/>
      <c r="D26" s="1481"/>
      <c r="E26" s="1481"/>
      <c r="F26" s="1481"/>
      <c r="G26" s="1481"/>
      <c r="H26" s="1481"/>
      <c r="I26" s="1481"/>
      <c r="J26" s="1481"/>
      <c r="K26" s="1482"/>
      <c r="L26" s="1483"/>
    </row>
    <row r="27" spans="1:12" x14ac:dyDescent="0.3">
      <c r="A27" s="1474" t="s">
        <v>1144</v>
      </c>
      <c r="B27" s="1479" t="s">
        <v>1094</v>
      </c>
      <c r="C27" s="1480"/>
      <c r="D27" s="1481"/>
      <c r="E27" s="1481"/>
      <c r="F27" s="1481"/>
      <c r="G27" s="1481"/>
      <c r="H27" s="1481"/>
      <c r="I27" s="1481"/>
      <c r="J27" s="1481"/>
      <c r="K27" s="1482"/>
      <c r="L27" s="1484">
        <f>SUM(L30:L47)</f>
        <v>4272</v>
      </c>
    </row>
    <row r="28" spans="1:12" x14ac:dyDescent="0.3">
      <c r="A28" s="1485"/>
      <c r="B28" s="1405"/>
      <c r="C28" s="1486" t="s">
        <v>1145</v>
      </c>
      <c r="D28" s="1487" t="str">
        <f>'Piping Material List'!EH2</f>
        <v>5S - 40</v>
      </c>
      <c r="E28" s="1487">
        <f>'Piping Material List'!EI2</f>
        <v>60</v>
      </c>
      <c r="F28" s="1487" t="str">
        <f>'Piping Material List'!EJ2</f>
        <v>XS - 80</v>
      </c>
      <c r="G28" s="1487">
        <f>'Piping Material List'!EK2</f>
        <v>100</v>
      </c>
      <c r="H28" s="1487">
        <f>'Piping Material List'!EL2</f>
        <v>120</v>
      </c>
      <c r="I28" s="1487">
        <f>'Piping Material List'!EM2</f>
        <v>140</v>
      </c>
      <c r="J28" s="1487" t="str">
        <f>'Piping Material List'!EN2</f>
        <v>160 - XXS</v>
      </c>
      <c r="K28" s="1482"/>
      <c r="L28" s="1488"/>
    </row>
    <row r="29" spans="1:12" x14ac:dyDescent="0.3">
      <c r="A29" s="1344"/>
      <c r="B29" s="1489"/>
      <c r="C29" s="1486" t="s">
        <v>1146</v>
      </c>
      <c r="D29" s="1490">
        <v>1</v>
      </c>
      <c r="E29" s="1490">
        <v>1.2</v>
      </c>
      <c r="F29" s="1490">
        <v>1.3</v>
      </c>
      <c r="G29" s="1490">
        <v>1.4</v>
      </c>
      <c r="H29" s="1490">
        <v>1.5</v>
      </c>
      <c r="I29" s="1490">
        <v>1.7</v>
      </c>
      <c r="J29" s="1490">
        <v>2</v>
      </c>
      <c r="K29" s="1482"/>
      <c r="L29" s="1488"/>
    </row>
    <row r="30" spans="1:12" x14ac:dyDescent="0.3">
      <c r="A30" s="31" t="s">
        <v>1147</v>
      </c>
      <c r="B30" s="51" t="s">
        <v>1148</v>
      </c>
      <c r="C30" s="1177" t="s">
        <v>388</v>
      </c>
      <c r="D30" s="57">
        <f>(SUMPRODUCT('Piping Material List'!$AA$3:$AA$96,'Piping Material List'!$AV$3:$AV$96,'Piping Material List'!$DE$3:$DE$96,'Piping Material List'!EC$3:EC$96)+SUMPRODUCT('Piping Material List'!$AB$3:$AB$96,'Piping Material List'!$BX$3:$BX$96,'Piping Material List'!$DE$3:$DE$96,'Piping Material List'!EC$3:EC$96))*IF($C30="d-inches",0.5,1)*IF($C30="Ø-inches",VLOOKUP(0.5,'Thickness Tab'!$1:$1048576,17,0),1)</f>
        <v>0</v>
      </c>
      <c r="E30" s="57">
        <f>(SUMPRODUCT('Piping Material List'!$AE$3:$AE$96,'Piping Material List'!$AZ$3:$AZ$96,'Piping Material List'!$DI$3:$DI$96,'Piping Material List'!EI$3:EI$96)+SUMPRODUCT('Piping Material List'!$AF$3:$AF$96,'Piping Material List'!$CB$3:$CB$96,'Piping Material List'!$DI$3:$DI$96,'Piping Material List'!EI$3:EI$96))*IF($C30="d-inches",0.5,1)*IF($C30="Ø-inches",VLOOKUP(0.5,'Thickness Tab'!$1:$1048576,17,0),1)</f>
        <v>0</v>
      </c>
      <c r="F30" s="57">
        <f>(SUMPRODUCT('Piping Material List'!$AE$3:$AE$96,'Piping Material List'!$AZ$3:$AZ$96,'Piping Material List'!$DI$3:$DI$96,'Piping Material List'!EJ$3:EJ$96)+SUMPRODUCT('Piping Material List'!$AF$3:$AF$96,'Piping Material List'!$CB$3:$CB$96,'Piping Material List'!$DI$3:$DI$96,'Piping Material List'!EJ$3:EJ$96))*IF($C30="d-inches",0.5,1)*IF($C30="Ø-inches",VLOOKUP(0.5,'Thickness Tab'!$1:$1048576,17,0),1)</f>
        <v>0</v>
      </c>
      <c r="G30" s="57">
        <f>(SUMPRODUCT('Piping Material List'!$AE$3:$AE$96,'Piping Material List'!$AZ$3:$AZ$96,'Piping Material List'!$DI$3:$DI$96,'Piping Material List'!EK$3:EK$96)+SUMPRODUCT('Piping Material List'!$AF$3:$AF$96,'Piping Material List'!$CB$3:$CB$96,'Piping Material List'!$DI$3:$DI$96,'Piping Material List'!EK$3:EK$96))*IF($C30="d-inches",0.5,1)*IF($C30="Ø-inches",VLOOKUP(0.5,'Thickness Tab'!$1:$1048576,17,0),1)</f>
        <v>0</v>
      </c>
      <c r="H30" s="57">
        <f>(SUMPRODUCT('Piping Material List'!$AE$3:$AE$96,'Piping Material List'!$AZ$3:$AZ$96,'Piping Material List'!$DI$3:$DI$96,'Piping Material List'!EL$3:EL$96)+SUMPRODUCT('Piping Material List'!$AF$3:$AF$96,'Piping Material List'!$CB$3:$CB$96,'Piping Material List'!$DI$3:$DI$96,'Piping Material List'!EL$3:EL$96))*IF($C30="d-inches",0.5,1)*IF($C30="Ø-inches",VLOOKUP(0.5,'Thickness Tab'!$1:$1048576,17,0),1)</f>
        <v>0</v>
      </c>
      <c r="I30" s="57">
        <f>(SUMPRODUCT('Piping Material List'!$AE$3:$AE$96,'Piping Material List'!$AZ$3:$AZ$96,'Piping Material List'!$DI$3:$DI$96,'Piping Material List'!EM$3:EM$96)+SUMPRODUCT('Piping Material List'!$AF$3:$AF$96,'Piping Material List'!$CB$3:$CB$96,'Piping Material List'!$DI$3:$DI$96,'Piping Material List'!EM$3:EM$96))*IF($C30="d-inches",0.5,1)*IF($C30="Ø-inches",VLOOKUP(0.5,'Thickness Tab'!$1:$1048576,17,0),1)</f>
        <v>0</v>
      </c>
      <c r="J30" s="57">
        <f>(SUMPRODUCT('Piping Material List'!$AE$3:$AE$96,'Piping Material List'!$AZ$3:$AZ$96,'Piping Material List'!$DI$3:$DI$96,'Piping Material List'!EN$3:EN$96)+SUMPRODUCT('Piping Material List'!$AF$3:$AF$96,'Piping Material List'!$CB$3:$CB$96,'Piping Material List'!$DI$3:$DI$96,'Piping Material List'!EN$3:EN$96))*IF($C30="d-inches",0.5,1)*IF($C30="Ø-inches",VLOOKUP(0.5,'Thickness Tab'!$1:$1048576,17,0),1)</f>
        <v>0</v>
      </c>
      <c r="K30" s="738">
        <v>15</v>
      </c>
      <c r="L30" s="30">
        <f t="shared" ref="L30:L47" si="3">SUMPRODUCT(D30:J30,$D$29:$J$29)*K30</f>
        <v>0</v>
      </c>
    </row>
    <row r="31" spans="1:12" x14ac:dyDescent="0.3">
      <c r="A31" s="31" t="s">
        <v>1149</v>
      </c>
      <c r="B31" s="51" t="s">
        <v>1150</v>
      </c>
      <c r="C31" s="1177" t="s">
        <v>388</v>
      </c>
      <c r="D31" s="58">
        <f>(SUMPRODUCT('Piping Material List'!$AE$3:$AE$96,'Piping Material List'!$BA$3:$BA$96,'Piping Material List'!$DI$3:$DI$96,'Piping Material List'!EH$3:EH$96)+SUMPRODUCT('Piping Material List'!$AF$3:$AF$96,'Piping Material List'!$CC$3:$CC$96,'Piping Material List'!$DI$3:$DI$96,'Piping Material List'!EH$3:EH$96))*IF($C31="d-inches",0.75,1)*IF($C31="Ø-inches",VLOOKUP(0.75,'Thickness Tab'!$1:$1048576,17,0),1)</f>
        <v>0</v>
      </c>
      <c r="E31" s="58">
        <f>(SUMPRODUCT('Piping Material List'!$AE$3:$AE$96,'Piping Material List'!$BA$3:$BA$96,'Piping Material List'!$DI$3:$DI$96,'Piping Material List'!EI$3:EI$96)+SUMPRODUCT('Piping Material List'!$AF$3:$AF$96,'Piping Material List'!$CC$3:$CC$96,'Piping Material List'!$DI$3:$DI$96,'Piping Material List'!EI$3:EI$96))*IF($C31="d-inches",0.75,1)*IF($C31="Ø-inches",VLOOKUP(0.75,'Thickness Tab'!$1:$1048576,17,0),1)</f>
        <v>0</v>
      </c>
      <c r="F31" s="58">
        <f>(SUMPRODUCT('Piping Material List'!$AE$3:$AE$96,'Piping Material List'!$BA$3:$BA$96,'Piping Material List'!$DI$3:$DI$96,'Piping Material List'!EJ$3:EJ$96)+SUMPRODUCT('Piping Material List'!$AF$3:$AF$96,'Piping Material List'!$CC$3:$CC$96,'Piping Material List'!$DI$3:$DI$96,'Piping Material List'!EJ$3:EJ$96))*IF($C31="d-inches",0.75,1)*IF($C31="Ø-inches",VLOOKUP(0.75,'Thickness Tab'!$1:$1048576,17,0),1)</f>
        <v>0</v>
      </c>
      <c r="G31" s="58">
        <f>(SUMPRODUCT('Piping Material List'!$AE$3:$AE$96,'Piping Material List'!$BA$3:$BA$96,'Piping Material List'!$DI$3:$DI$96,'Piping Material List'!EK$3:EK$96)+SUMPRODUCT('Piping Material List'!$AF$3:$AF$96,'Piping Material List'!$CC$3:$CC$96,'Piping Material List'!$DI$3:$DI$96,'Piping Material List'!EK$3:EK$96))*IF($C31="d-inches",0.75,1)*IF($C31="Ø-inches",VLOOKUP(0.75,'Thickness Tab'!$1:$1048576,17,0),1)</f>
        <v>0</v>
      </c>
      <c r="H31" s="58">
        <f>(SUMPRODUCT('Piping Material List'!$AE$3:$AE$96,'Piping Material List'!$BA$3:$BA$96,'Piping Material List'!$DI$3:$DI$96,'Piping Material List'!EL$3:EL$96)+SUMPRODUCT('Piping Material List'!$AF$3:$AF$96,'Piping Material List'!$CC$3:$CC$96,'Piping Material List'!$DI$3:$DI$96,'Piping Material List'!EL$3:EL$96))*IF($C31="d-inches",0.75,1)*IF($C31="Ø-inches",VLOOKUP(0.75,'Thickness Tab'!$1:$1048576,17,0),1)</f>
        <v>0</v>
      </c>
      <c r="I31" s="58">
        <f>(SUMPRODUCT('Piping Material List'!$AE$3:$AE$96,'Piping Material List'!$BA$3:$BA$96,'Piping Material List'!$DI$3:$DI$96,'Piping Material List'!EM$3:EM$96)+SUMPRODUCT('Piping Material List'!$AF$3:$AF$96,'Piping Material List'!$CC$3:$CC$96,'Piping Material List'!$DI$3:$DI$96,'Piping Material List'!EM$3:EM$96))*IF($C31="d-inches",0.75,1)*IF($C31="Ø-inches",VLOOKUP(0.75,'Thickness Tab'!$1:$1048576,17,0),1)</f>
        <v>0</v>
      </c>
      <c r="J31" s="58">
        <f>(SUMPRODUCT('Piping Material List'!$AE$3:$AE$96,'Piping Material List'!$BA$3:$BA$96,'Piping Material List'!$DI$3:$DI$96,'Piping Material List'!EN$3:EN$96)+SUMPRODUCT('Piping Material List'!$AF$3:$AF$96,'Piping Material List'!$CC$3:$CC$96,'Piping Material List'!$DI$3:$DI$96,'Piping Material List'!EN$3:EN$96))*IF($C31="d-inches",0.75,1)*IF($C31="Ø-inches",VLOOKUP(0.75,'Thickness Tab'!$1:$1048576,17,0),1)</f>
        <v>0</v>
      </c>
      <c r="K31" s="738">
        <v>15</v>
      </c>
      <c r="L31" s="37">
        <f t="shared" si="3"/>
        <v>0</v>
      </c>
    </row>
    <row r="32" spans="1:12" x14ac:dyDescent="0.3">
      <c r="A32" s="31" t="s">
        <v>1151</v>
      </c>
      <c r="B32" s="51" t="s">
        <v>1152</v>
      </c>
      <c r="C32" s="1177" t="s">
        <v>388</v>
      </c>
      <c r="D32" s="58">
        <f>(SUMPRODUCT('Piping Material List'!$AE$3:$AE$96,'Piping Material List'!$BB$3:$BB$96,'Piping Material List'!$DI$3:$DI$96,'Piping Material List'!EH$3:EH$96)+SUMPRODUCT('Piping Material List'!$AF$3:$AF$96,'Piping Material List'!$CD$3:$CD$96,'Piping Material List'!$DI$3:$DI$96,'Piping Material List'!EH$3:EH$96))*IF($C32="d-inches",1,1)*IF($C32="Ø-inches",VLOOKUP(1,'Thickness Tab'!$1:$1048576,17,0),1)</f>
        <v>0</v>
      </c>
      <c r="E32" s="58">
        <f>(SUMPRODUCT('Piping Material List'!$AE$3:$AE$96,'Piping Material List'!$BB$3:$BB$96,'Piping Material List'!$DI$3:$DI$96,'Piping Material List'!EI$3:EI$96)+SUMPRODUCT('Piping Material List'!$AF$3:$AF$96,'Piping Material List'!$CD$3:$CD$96,'Piping Material List'!$DI$3:$DI$96,'Piping Material List'!EI$3:EI$96))*IF($C32="d-inches",1,1)*IF($C32="Ø-inches",VLOOKUP(1,'Thickness Tab'!$1:$1048576,17,0),1)</f>
        <v>0</v>
      </c>
      <c r="F32" s="58">
        <f>(SUMPRODUCT('Piping Material List'!$AE$3:$AE$96,'Piping Material List'!$BB$3:$BB$96,'Piping Material List'!$DI$3:$DI$96,'Piping Material List'!EJ$3:EJ$96)+SUMPRODUCT('Piping Material List'!$AF$3:$AF$96,'Piping Material List'!$CD$3:$CD$96,'Piping Material List'!$DI$3:$DI$96,'Piping Material List'!EJ$3:EJ$96))*IF($C32="d-inches",1,1)*IF($C32="Ø-inches",VLOOKUP(1,'Thickness Tab'!$1:$1048576,17,0),1)</f>
        <v>0</v>
      </c>
      <c r="G32" s="58">
        <f>(SUMPRODUCT('Piping Material List'!$AE$3:$AE$96,'Piping Material List'!$BB$3:$BB$96,'Piping Material List'!$DI$3:$DI$96,'Piping Material List'!EK$3:EK$96)+SUMPRODUCT('Piping Material List'!$AF$3:$AF$96,'Piping Material List'!$CD$3:$CD$96,'Piping Material List'!$DI$3:$DI$96,'Piping Material List'!EK$3:EK$96))*IF($C32="d-inches",1,1)*IF($C32="Ø-inches",VLOOKUP(1,'Thickness Tab'!$1:$1048576,17,0),1)</f>
        <v>0</v>
      </c>
      <c r="H32" s="58">
        <f>(SUMPRODUCT('Piping Material List'!$AE$3:$AE$96,'Piping Material List'!$BB$3:$BB$96,'Piping Material List'!$DI$3:$DI$96,'Piping Material List'!EL$3:EL$96)+SUMPRODUCT('Piping Material List'!$AF$3:$AF$96,'Piping Material List'!$CD$3:$CD$96,'Piping Material List'!$DI$3:$DI$96,'Piping Material List'!EL$3:EL$96))*IF($C32="d-inches",1,1)*IF($C32="Ø-inches",VLOOKUP(1,'Thickness Tab'!$1:$1048576,17,0),1)</f>
        <v>0</v>
      </c>
      <c r="I32" s="58">
        <f>(SUMPRODUCT('Piping Material List'!$AE$3:$AE$96,'Piping Material List'!$BB$3:$BB$96,'Piping Material List'!$DI$3:$DI$96,'Piping Material List'!EM$3:EM$96)+SUMPRODUCT('Piping Material List'!$AF$3:$AF$96,'Piping Material List'!$CD$3:$CD$96,'Piping Material List'!$DI$3:$DI$96,'Piping Material List'!EM$3:EM$96))*IF($C32="d-inches",1,1)*IF($C32="Ø-inches",VLOOKUP(1,'Thickness Tab'!$1:$1048576,17,0),1)</f>
        <v>0</v>
      </c>
      <c r="J32" s="58">
        <f>(SUMPRODUCT('Piping Material List'!$AE$3:$AE$96,'Piping Material List'!$BB$3:$BB$96,'Piping Material List'!$DI$3:$DI$96,'Piping Material List'!EN$3:EN$96)+SUMPRODUCT('Piping Material List'!$AF$3:$AF$96,'Piping Material List'!$CD$3:$CD$96,'Piping Material List'!$DI$3:$DI$96,'Piping Material List'!EN$3:EN$96))*IF($C32="d-inches",1,1)*IF($C32="Ø-inches",VLOOKUP(1,'Thickness Tab'!$1:$1048576,17,0),1)</f>
        <v>0</v>
      </c>
      <c r="K32" s="738">
        <v>15</v>
      </c>
      <c r="L32" s="37">
        <f t="shared" si="3"/>
        <v>0</v>
      </c>
    </row>
    <row r="33" spans="1:12" x14ac:dyDescent="0.3">
      <c r="A33" s="31" t="s">
        <v>1153</v>
      </c>
      <c r="B33" s="51" t="s">
        <v>1154</v>
      </c>
      <c r="C33" s="1177" t="s">
        <v>388</v>
      </c>
      <c r="D33" s="58">
        <f>(SUMPRODUCT('Piping Material List'!$AE$3:$AE$96,'Piping Material List'!$BC$3:$BC$96,'Piping Material List'!$DI$3:$DI$96,'Piping Material List'!EH$3:EH$96)+SUMPRODUCT('Piping Material List'!$AF$3:$AF$96,'Piping Material List'!$CE$3:$CE$96,'Piping Material List'!$DI$3:$DI$96,'Piping Material List'!EH$3:EH$96))*IF($C33="d-inches",1.5,1)*IF($C33="Ø-inches",VLOOKUP(1.5,'Thickness Tab'!$1:$1048576,17,0),1)</f>
        <v>0</v>
      </c>
      <c r="E33" s="58">
        <f>(SUMPRODUCT('Piping Material List'!$AE$3:$AE$96,'Piping Material List'!$BC$3:$BC$96,'Piping Material List'!$DI$3:$DI$96,'Piping Material List'!EI$3:EI$96)+SUMPRODUCT('Piping Material List'!$AF$3:$AF$96,'Piping Material List'!$CE$3:$CE$96,'Piping Material List'!$DI$3:$DI$96,'Piping Material List'!EI$3:EI$96))*IF($C33="d-inches",1.5,1)*IF($C33="Ø-inches",VLOOKUP(1.5,'Thickness Tab'!$1:$1048576,17,0),1)</f>
        <v>0</v>
      </c>
      <c r="F33" s="58">
        <f>(SUMPRODUCT('Piping Material List'!$AE$3:$AE$96,'Piping Material List'!$BC$3:$BC$96,'Piping Material List'!$DI$3:$DI$96,'Piping Material List'!EJ$3:EJ$96)+SUMPRODUCT('Piping Material List'!$AF$3:$AF$96,'Piping Material List'!$CE$3:$CE$96,'Piping Material List'!$DI$3:$DI$96,'Piping Material List'!EJ$3:EJ$96))*IF($C33="d-inches",1.5,1)*IF($C33="Ø-inches",VLOOKUP(1.5,'Thickness Tab'!$1:$1048576,17,0),1)</f>
        <v>0</v>
      </c>
      <c r="G33" s="58">
        <f>(SUMPRODUCT('Piping Material List'!$AE$3:$AE$96,'Piping Material List'!$BC$3:$BC$96,'Piping Material List'!$DI$3:$DI$96,'Piping Material List'!EK$3:EK$96)+SUMPRODUCT('Piping Material List'!$AF$3:$AF$96,'Piping Material List'!$CE$3:$CE$96,'Piping Material List'!$DI$3:$DI$96,'Piping Material List'!EK$3:EK$96))*IF($C33="d-inches",1.5,1)*IF($C33="Ø-inches",VLOOKUP(1.5,'Thickness Tab'!$1:$1048576,17,0),1)</f>
        <v>0</v>
      </c>
      <c r="H33" s="58">
        <f>(SUMPRODUCT('Piping Material List'!$AE$3:$AE$96,'Piping Material List'!$BC$3:$BC$96,'Piping Material List'!$DI$3:$DI$96,'Piping Material List'!EL$3:EL$96)+SUMPRODUCT('Piping Material List'!$AF$3:$AF$96,'Piping Material List'!$CE$3:$CE$96,'Piping Material List'!$DI$3:$DI$96,'Piping Material List'!EL$3:EL$96))*IF($C33="d-inches",1.5,1)*IF($C33="Ø-inches",VLOOKUP(1.5,'Thickness Tab'!$1:$1048576,17,0),1)</f>
        <v>0</v>
      </c>
      <c r="I33" s="58">
        <f>(SUMPRODUCT('Piping Material List'!$AE$3:$AE$96,'Piping Material List'!$BC$3:$BC$96,'Piping Material List'!$DI$3:$DI$96,'Piping Material List'!EM$3:EM$96)+SUMPRODUCT('Piping Material List'!$AF$3:$AF$96,'Piping Material List'!$CE$3:$CE$96,'Piping Material List'!$DI$3:$DI$96,'Piping Material List'!EM$3:EM$96))*IF($C33="d-inches",1.5,1)*IF($C33="Ø-inches",VLOOKUP(1.5,'Thickness Tab'!$1:$1048576,17,0),1)</f>
        <v>0</v>
      </c>
      <c r="J33" s="58">
        <f>(SUMPRODUCT('Piping Material List'!$AE$3:$AE$96,'Piping Material List'!$BC$3:$BC$96,'Piping Material List'!$DI$3:$DI$96,'Piping Material List'!EN$3:EN$96)+SUMPRODUCT('Piping Material List'!$AF$3:$AF$96,'Piping Material List'!$CE$3:$CE$96,'Piping Material List'!$DI$3:$DI$96,'Piping Material List'!EN$3:EN$96))*IF($C33="d-inches",1.5,1)*IF($C33="Ø-inches",VLOOKUP(1.5,'Thickness Tab'!$1:$1048576,17,0),1)</f>
        <v>0</v>
      </c>
      <c r="K33" s="738">
        <v>15</v>
      </c>
      <c r="L33" s="37">
        <f t="shared" si="3"/>
        <v>0</v>
      </c>
    </row>
    <row r="34" spans="1:12" x14ac:dyDescent="0.3">
      <c r="A34" s="31" t="s">
        <v>1155</v>
      </c>
      <c r="B34" s="51" t="s">
        <v>1156</v>
      </c>
      <c r="C34" s="1177" t="s">
        <v>388</v>
      </c>
      <c r="D34" s="58">
        <f>(SUMPRODUCT('Piping Material List'!$AE$3:$AE$96,'Piping Material List'!$BD$3:$BD$96,'Piping Material List'!$DI$3:$DI$96,'Piping Material List'!EH$3:EH$96)+SUMPRODUCT('Piping Material List'!$AF$3:$AF$96,'Piping Material List'!$CF$3:$CF$96,'Piping Material List'!$DI$3:$DI$96,'Piping Material List'!EH$3:EH$96))*IF($C34="d-inches",2,1)*IF($C34="Ø-inches",VLOOKUP(2,'Thickness Tab'!$1:$1048576,17,0),1)</f>
        <v>0</v>
      </c>
      <c r="E34" s="58">
        <f>(SUMPRODUCT('Piping Material List'!$AE$3:$AE$96,'Piping Material List'!$BD$3:$BD$96,'Piping Material List'!$DI$3:$DI$96,'Piping Material List'!EI$3:EI$96)+SUMPRODUCT('Piping Material List'!$AF$3:$AF$96,'Piping Material List'!$CF$3:$CF$96,'Piping Material List'!$DI$3:$DI$96,'Piping Material List'!EI$3:EI$96))*IF($C34="d-inches",2,1)*IF($C34="Ø-inches",VLOOKUP(2,'Thickness Tab'!$1:$1048576,17,0),1)</f>
        <v>0</v>
      </c>
      <c r="F34" s="58">
        <f>(SUMPRODUCT('Piping Material List'!$AE$3:$AE$96,'Piping Material List'!$BD$3:$BD$96,'Piping Material List'!$DI$3:$DI$96,'Piping Material List'!EJ$3:EJ$96)+SUMPRODUCT('Piping Material List'!$AF$3:$AF$96,'Piping Material List'!$CF$3:$CF$96,'Piping Material List'!$DI$3:$DI$96,'Piping Material List'!EJ$3:EJ$96))*IF($C34="d-inches",2,1)*IF($C34="Ø-inches",VLOOKUP(2,'Thickness Tab'!$1:$1048576,17,0),1)</f>
        <v>0</v>
      </c>
      <c r="G34" s="58">
        <f>(SUMPRODUCT('Piping Material List'!$AE$3:$AE$96,'Piping Material List'!$BD$3:$BD$96,'Piping Material List'!$DI$3:$DI$96,'Piping Material List'!EK$3:EK$96)+SUMPRODUCT('Piping Material List'!$AF$3:$AF$96,'Piping Material List'!$CF$3:$CF$96,'Piping Material List'!$DI$3:$DI$96,'Piping Material List'!EK$3:EK$96))*IF($C34="d-inches",2,1)*IF($C34="Ø-inches",VLOOKUP(2,'Thickness Tab'!$1:$1048576,17,0),1)</f>
        <v>0</v>
      </c>
      <c r="H34" s="58">
        <f>(SUMPRODUCT('Piping Material List'!$AE$3:$AE$96,'Piping Material List'!$BD$3:$BD$96,'Piping Material List'!$DI$3:$DI$96,'Piping Material List'!EL$3:EL$96)+SUMPRODUCT('Piping Material List'!$AF$3:$AF$96,'Piping Material List'!$CF$3:$CF$96,'Piping Material List'!$DI$3:$DI$96,'Piping Material List'!EL$3:EL$96))*IF($C34="d-inches",2,1)*IF($C34="Ø-inches",VLOOKUP(2,'Thickness Tab'!$1:$1048576,17,0),1)</f>
        <v>0</v>
      </c>
      <c r="I34" s="58">
        <f>(SUMPRODUCT('Piping Material List'!$AE$3:$AE$96,'Piping Material List'!$BD$3:$BD$96,'Piping Material List'!$DI$3:$DI$96,'Piping Material List'!EM$3:EM$96)+SUMPRODUCT('Piping Material List'!$AF$3:$AF$96,'Piping Material List'!$CF$3:$CF$96,'Piping Material List'!$DI$3:$DI$96,'Piping Material List'!EM$3:EM$96))*IF($C34="d-inches",2,1)*IF($C34="Ø-inches",VLOOKUP(2,'Thickness Tab'!$1:$1048576,17,0),1)</f>
        <v>0</v>
      </c>
      <c r="J34" s="58">
        <f>(SUMPRODUCT('Piping Material List'!$AE$3:$AE$96,'Piping Material List'!$BD$3:$BD$96,'Piping Material List'!$DI$3:$DI$96,'Piping Material List'!EN$3:EN$96)+SUMPRODUCT('Piping Material List'!$AF$3:$AF$96,'Piping Material List'!$CF$3:$CF$96,'Piping Material List'!$DI$3:$DI$96,'Piping Material List'!EN$3:EN$96))*IF($C34="d-inches",2,1)*IF($C34="Ø-inches",VLOOKUP(2,'Thickness Tab'!$1:$1048576,17,0),1)</f>
        <v>0</v>
      </c>
      <c r="K34" s="738">
        <v>15</v>
      </c>
      <c r="L34" s="37">
        <f t="shared" si="3"/>
        <v>0</v>
      </c>
    </row>
    <row r="35" spans="1:12" x14ac:dyDescent="0.3">
      <c r="A35" s="31" t="s">
        <v>1157</v>
      </c>
      <c r="B35" s="51" t="s">
        <v>1158</v>
      </c>
      <c r="C35" s="1177" t="s">
        <v>388</v>
      </c>
      <c r="D35" s="58">
        <f>(SUMPRODUCT('Piping Material List'!$AE$3:$AE$96,'Piping Material List'!$BE$3:$BE$96,'Piping Material List'!$DI$3:$DI$96,'Piping Material List'!EH$3:EH$96)+SUMPRODUCT('Piping Material List'!$AF$3:$AF$96,'Piping Material List'!$CG$3:$CG$96,'Piping Material List'!$DI$3:$DI$96,'Piping Material List'!EH$3:EH$96))*IF($C35="d-inches",2.5,1)*IF($C35="Ø-inches",VLOOKUP(2.5,'Thickness Tab'!$1:$1048576,17,0),1)</f>
        <v>0</v>
      </c>
      <c r="E35" s="58">
        <f>(SUMPRODUCT('Piping Material List'!$AE$3:$AE$96,'Piping Material List'!$BE$3:$BE$96,'Piping Material List'!$DI$3:$DI$96,'Piping Material List'!EI$3:EI$96)+SUMPRODUCT('Piping Material List'!$AF$3:$AF$96,'Piping Material List'!$CG$3:$CG$96,'Piping Material List'!$DI$3:$DI$96,'Piping Material List'!EI$3:EI$96))*IF($C35="d-inches",2.5,1)*IF($C35="Ø-inches",VLOOKUP(2.5,'Thickness Tab'!$1:$1048576,17,0),1)</f>
        <v>0</v>
      </c>
      <c r="F35" s="58">
        <f>(SUMPRODUCT('Piping Material List'!$AE$3:$AE$96,'Piping Material List'!$BE$3:$BE$96,'Piping Material List'!$DI$3:$DI$96,'Piping Material List'!EJ$3:EJ$96)+SUMPRODUCT('Piping Material List'!$AF$3:$AF$96,'Piping Material List'!$CG$3:$CG$96,'Piping Material List'!$DI$3:$DI$96,'Piping Material List'!EJ$3:EJ$96))*IF($C35="d-inches",2.5,1)*IF($C35="Ø-inches",VLOOKUP(2.5,'Thickness Tab'!$1:$1048576,17,0),1)</f>
        <v>0</v>
      </c>
      <c r="G35" s="58">
        <f>(SUMPRODUCT('Piping Material List'!$AE$3:$AE$96,'Piping Material List'!$BE$3:$BE$96,'Piping Material List'!$DI$3:$DI$96,'Piping Material List'!EK$3:EK$96)+SUMPRODUCT('Piping Material List'!$AF$3:$AF$96,'Piping Material List'!$CG$3:$CG$96,'Piping Material List'!$DI$3:$DI$96,'Piping Material List'!EK$3:EK$96))*IF($C35="d-inches",2.5,1)*IF($C35="Ø-inches",VLOOKUP(2.5,'Thickness Tab'!$1:$1048576,17,0),1)</f>
        <v>0</v>
      </c>
      <c r="H35" s="58">
        <f>(SUMPRODUCT('Piping Material List'!$AE$3:$AE$96,'Piping Material List'!$BE$3:$BE$96,'Piping Material List'!$DI$3:$DI$96,'Piping Material List'!EL$3:EL$96)+SUMPRODUCT('Piping Material List'!$AF$3:$AF$96,'Piping Material List'!$CG$3:$CG$96,'Piping Material List'!$DI$3:$DI$96,'Piping Material List'!EL$3:EL$96))*IF($C35="d-inches",2.5,1)*IF($C35="Ø-inches",VLOOKUP(2.5,'Thickness Tab'!$1:$1048576,17,0),1)</f>
        <v>0</v>
      </c>
      <c r="I35" s="58">
        <f>(SUMPRODUCT('Piping Material List'!$AE$3:$AE$96,'Piping Material List'!$BE$3:$BE$96,'Piping Material List'!$DI$3:$DI$96,'Piping Material List'!EM$3:EM$96)+SUMPRODUCT('Piping Material List'!$AF$3:$AF$96,'Piping Material List'!$CG$3:$CG$96,'Piping Material List'!$DI$3:$DI$96,'Piping Material List'!EM$3:EM$96))*IF($C35="d-inches",2.5,1)*IF($C35="Ø-inches",VLOOKUP(2.5,'Thickness Tab'!$1:$1048576,17,0),1)</f>
        <v>0</v>
      </c>
      <c r="J35" s="58">
        <f>(SUMPRODUCT('Piping Material List'!$AE$3:$AE$96,'Piping Material List'!$BE$3:$BE$96,'Piping Material List'!$DI$3:$DI$96,'Piping Material List'!EN$3:EN$96)+SUMPRODUCT('Piping Material List'!$AF$3:$AF$96,'Piping Material List'!$CG$3:$CG$96,'Piping Material List'!$DI$3:$DI$96,'Piping Material List'!EN$3:EN$96))*IF($C35="d-inches",2.5,1)*IF($C35="Ø-inches",VLOOKUP(2.5,'Thickness Tab'!$1:$1048576,17,0),1)</f>
        <v>0</v>
      </c>
      <c r="K35" s="738">
        <v>15</v>
      </c>
      <c r="L35" s="37">
        <f t="shared" si="3"/>
        <v>0</v>
      </c>
    </row>
    <row r="36" spans="1:12" x14ac:dyDescent="0.3">
      <c r="A36" s="31" t="s">
        <v>1159</v>
      </c>
      <c r="B36" s="51" t="s">
        <v>1160</v>
      </c>
      <c r="C36" s="1177" t="s">
        <v>388</v>
      </c>
      <c r="D36" s="58">
        <f>(SUMPRODUCT('Piping Material List'!$AE$3:$AE$96,'Piping Material List'!$BF$3:$BF$96,'Piping Material List'!$DI$3:$DI$96,'Piping Material List'!EH$3:EH$96)+SUMPRODUCT('Piping Material List'!$AF$3:$AF$96,'Piping Material List'!$CH$3:$CH$96,'Piping Material List'!$DI$3:$DI$96,'Piping Material List'!EH$3:EH$96))*IF($C36="d-inches",3,1)*IF($C36="Ø-inches",VLOOKUP(3,'Thickness Tab'!$1:$1048576,17,0),1)</f>
        <v>28.800000000000004</v>
      </c>
      <c r="E36" s="58">
        <f>(SUMPRODUCT('Piping Material List'!$AE$3:$AE$96,'Piping Material List'!$BF$3:$BF$96,'Piping Material List'!$DI$3:$DI$96,'Piping Material List'!EI$3:EI$96)+SUMPRODUCT('Piping Material List'!$AF$3:$AF$96,'Piping Material List'!$CH$3:$CH$96,'Piping Material List'!$DI$3:$DI$96,'Piping Material List'!EI$3:EI$96))*IF($C36="d-inches",3,1)*IF($C36="Ø-inches",VLOOKUP(3,'Thickness Tab'!$1:$1048576,17,0),1)</f>
        <v>0</v>
      </c>
      <c r="F36" s="58">
        <f>(SUMPRODUCT('Piping Material List'!$AE$3:$AE$96,'Piping Material List'!$BF$3:$BF$96,'Piping Material List'!$DI$3:$DI$96,'Piping Material List'!EJ$3:EJ$96)+SUMPRODUCT('Piping Material List'!$AF$3:$AF$96,'Piping Material List'!$CH$3:$CH$96,'Piping Material List'!$DI$3:$DI$96,'Piping Material List'!EJ$3:EJ$96))*IF($C36="d-inches",3,1)*IF($C36="Ø-inches",VLOOKUP(3,'Thickness Tab'!$1:$1048576,17,0),1)</f>
        <v>0</v>
      </c>
      <c r="G36" s="58">
        <f>(SUMPRODUCT('Piping Material List'!$AE$3:$AE$96,'Piping Material List'!$BF$3:$BF$96,'Piping Material List'!$DI$3:$DI$96,'Piping Material List'!EK$3:EK$96)+SUMPRODUCT('Piping Material List'!$AF$3:$AF$96,'Piping Material List'!$CH$3:$CH$96,'Piping Material List'!$DI$3:$DI$96,'Piping Material List'!EK$3:EK$96))*IF($C36="d-inches",3,1)*IF($C36="Ø-inches",VLOOKUP(3,'Thickness Tab'!$1:$1048576,17,0),1)</f>
        <v>0</v>
      </c>
      <c r="H36" s="58">
        <f>(SUMPRODUCT('Piping Material List'!$AE$3:$AE$96,'Piping Material List'!$BF$3:$BF$96,'Piping Material List'!$DI$3:$DI$96,'Piping Material List'!EL$3:EL$96)+SUMPRODUCT('Piping Material List'!$AF$3:$AF$96,'Piping Material List'!$CH$3:$CH$96,'Piping Material List'!$DI$3:$DI$96,'Piping Material List'!EL$3:EL$96))*IF($C36="d-inches",3,1)*IF($C36="Ø-inches",VLOOKUP(3,'Thickness Tab'!$1:$1048576,17,0),1)</f>
        <v>0</v>
      </c>
      <c r="I36" s="58">
        <f>(SUMPRODUCT('Piping Material List'!$AE$3:$AE$96,'Piping Material List'!$BF$3:$BF$96,'Piping Material List'!$DI$3:$DI$96,'Piping Material List'!EM$3:EM$96)+SUMPRODUCT('Piping Material List'!$AF$3:$AF$96,'Piping Material List'!$CH$3:$CH$96,'Piping Material List'!$DI$3:$DI$96,'Piping Material List'!EM$3:EM$96))*IF($C36="d-inches",3,1)*IF($C36="Ø-inches",VLOOKUP(3,'Thickness Tab'!$1:$1048576,17,0),1)</f>
        <v>0</v>
      </c>
      <c r="J36" s="58">
        <f>(SUMPRODUCT('Piping Material List'!$AE$3:$AE$96,'Piping Material List'!$BF$3:$BF$96,'Piping Material List'!$DI$3:$DI$96,'Piping Material List'!EN$3:EN$96)+SUMPRODUCT('Piping Material List'!$AF$3:$AF$96,'Piping Material List'!$CH$3:$CH$96,'Piping Material List'!$DI$3:$DI$96,'Piping Material List'!EN$3:EN$96))*IF($C36="d-inches",3,1)*IF($C36="Ø-inches",VLOOKUP(3,'Thickness Tab'!$1:$1048576,17,0),1)</f>
        <v>0</v>
      </c>
      <c r="K36" s="738">
        <v>15</v>
      </c>
      <c r="L36" s="37">
        <f t="shared" si="3"/>
        <v>432.00000000000006</v>
      </c>
    </row>
    <row r="37" spans="1:12" x14ac:dyDescent="0.3">
      <c r="A37" s="31" t="s">
        <v>1161</v>
      </c>
      <c r="B37" s="51" t="s">
        <v>1162</v>
      </c>
      <c r="C37" s="1177" t="s">
        <v>388</v>
      </c>
      <c r="D37" s="58">
        <f>(SUMPRODUCT('Piping Material List'!$AE$3:$AE$96,'Piping Material List'!$BG$3:$BG$96,'Piping Material List'!$DI$3:$DI$96,'Piping Material List'!EH$3:EH$96)+SUMPRODUCT('Piping Material List'!$AF$3:$AF$96,'Piping Material List'!$CI$3:$CI$96,'Piping Material List'!$DI$3:$DI$96,'Piping Material List'!EH$3:EH$96))*IF($C37="d-inches",4,1)*IF($C37="Ø-inches",VLOOKUP(4,'Thickness Tab'!$1:$1048576,17,0),1)</f>
        <v>256</v>
      </c>
      <c r="E37" s="58">
        <f>(SUMPRODUCT('Piping Material List'!$AE$3:$AE$96,'Piping Material List'!$BG$3:$BG$96,'Piping Material List'!$DI$3:$DI$96,'Piping Material List'!EI$3:EI$96)+SUMPRODUCT('Piping Material List'!$AF$3:$AF$96,'Piping Material List'!$CI$3:$CI$96,'Piping Material List'!$DI$3:$DI$96,'Piping Material List'!EI$3:EI$96))*IF($C37="d-inches",4,1)*IF($C37="Ø-inches",VLOOKUP(4,'Thickness Tab'!$1:$1048576,17,0),1)</f>
        <v>0</v>
      </c>
      <c r="F37" s="58">
        <f>(SUMPRODUCT('Piping Material List'!$AE$3:$AE$96,'Piping Material List'!$BG$3:$BG$96,'Piping Material List'!$DI$3:$DI$96,'Piping Material List'!EJ$3:EJ$96)+SUMPRODUCT('Piping Material List'!$AF$3:$AF$96,'Piping Material List'!$CI$3:$CI$96,'Piping Material List'!$DI$3:$DI$96,'Piping Material List'!EJ$3:EJ$96))*IF($C37="d-inches",4,1)*IF($C37="Ø-inches",VLOOKUP(4,'Thickness Tab'!$1:$1048576,17,0),1)</f>
        <v>0</v>
      </c>
      <c r="G37" s="58">
        <f>(SUMPRODUCT('Piping Material List'!$AE$3:$AE$96,'Piping Material List'!$BG$3:$BG$96,'Piping Material List'!$DI$3:$DI$96,'Piping Material List'!EK$3:EK$96)+SUMPRODUCT('Piping Material List'!$AF$3:$AF$96,'Piping Material List'!$CI$3:$CI$96,'Piping Material List'!$DI$3:$DI$96,'Piping Material List'!EK$3:EK$96))*IF($C37="d-inches",4,1)*IF($C37="Ø-inches",VLOOKUP(4,'Thickness Tab'!$1:$1048576,17,0),1)</f>
        <v>0</v>
      </c>
      <c r="H37" s="58">
        <f>(SUMPRODUCT('Piping Material List'!$AE$3:$AE$96,'Piping Material List'!$BG$3:$BG$96,'Piping Material List'!$DI$3:$DI$96,'Piping Material List'!EL$3:EL$96)+SUMPRODUCT('Piping Material List'!$AF$3:$AF$96,'Piping Material List'!$CI$3:$CI$96,'Piping Material List'!$DI$3:$DI$96,'Piping Material List'!EL$3:EL$96))*IF($C37="d-inches",4,1)*IF($C37="Ø-inches",VLOOKUP(4,'Thickness Tab'!$1:$1048576,17,0),1)</f>
        <v>0</v>
      </c>
      <c r="I37" s="58">
        <f>(SUMPRODUCT('Piping Material List'!$AE$3:$AE$96,'Piping Material List'!$BG$3:$BG$96,'Piping Material List'!$DI$3:$DI$96,'Piping Material List'!EM$3:EM$96)+SUMPRODUCT('Piping Material List'!$AF$3:$AF$96,'Piping Material List'!$CI$3:$CI$96,'Piping Material List'!$DI$3:$DI$96,'Piping Material List'!EM$3:EM$96))*IF($C37="d-inches",4,1)*IF($C37="Ø-inches",VLOOKUP(4,'Thickness Tab'!$1:$1048576,17,0),1)</f>
        <v>0</v>
      </c>
      <c r="J37" s="58">
        <f>(SUMPRODUCT('Piping Material List'!$AE$3:$AE$96,'Piping Material List'!$BG$3:$BG$96,'Piping Material List'!$DI$3:$DI$96,'Piping Material List'!EN$3:EN$96)+SUMPRODUCT('Piping Material List'!$AF$3:$AF$96,'Piping Material List'!$CI$3:$CI$96,'Piping Material List'!$DI$3:$DI$96,'Piping Material List'!EN$3:EN$96))*IF($C37="d-inches",4,1)*IF($C37="Ø-inches",VLOOKUP(4,'Thickness Tab'!$1:$1048576,17,0),1)</f>
        <v>0</v>
      </c>
      <c r="K37" s="738">
        <v>15</v>
      </c>
      <c r="L37" s="37">
        <f t="shared" si="3"/>
        <v>3840</v>
      </c>
    </row>
    <row r="38" spans="1:12" x14ac:dyDescent="0.3">
      <c r="A38" s="31" t="s">
        <v>1163</v>
      </c>
      <c r="B38" s="51" t="s">
        <v>1164</v>
      </c>
      <c r="C38" s="1177" t="s">
        <v>388</v>
      </c>
      <c r="D38" s="58">
        <f>(SUMPRODUCT('Piping Material List'!$AE$3:$AE$96,'Piping Material List'!$BH$3:$BH$96,'Piping Material List'!$DI$3:$DI$96,'Piping Material List'!EH$3:EH$96)+SUMPRODUCT('Piping Material List'!$AF$3:$AF$96,'Piping Material List'!$CJ$3:$CJ$96,'Piping Material List'!$DI$3:$DI$96,'Piping Material List'!EH$3:EH$96))*IF($C38="d-inches",6,1)*IF($C38="Ø-inches",VLOOKUP(6,'Thickness Tab'!$1:$1048576,17,0),1)</f>
        <v>0</v>
      </c>
      <c r="E38" s="58">
        <f>(SUMPRODUCT('Piping Material List'!$AE$3:$AE$96,'Piping Material List'!$BH$3:$BH$96,'Piping Material List'!$DI$3:$DI$96,'Piping Material List'!EI$3:EI$96)+SUMPRODUCT('Piping Material List'!$AF$3:$AF$96,'Piping Material List'!$CJ$3:$CJ$96,'Piping Material List'!$DI$3:$DI$96,'Piping Material List'!EI$3:EI$96))*IF($C38="d-inches",6,1)*IF($C38="Ø-inches",VLOOKUP(6,'Thickness Tab'!$1:$1048576,17,0),1)</f>
        <v>0</v>
      </c>
      <c r="F38" s="58">
        <f>(SUMPRODUCT('Piping Material List'!$AE$3:$AE$96,'Piping Material List'!$BH$3:$BH$96,'Piping Material List'!$DI$3:$DI$96,'Piping Material List'!EJ$3:EJ$96)+SUMPRODUCT('Piping Material List'!$AF$3:$AF$96,'Piping Material List'!$CJ$3:$CJ$96,'Piping Material List'!$DI$3:$DI$96,'Piping Material List'!EJ$3:EJ$96))*IF($C38="d-inches",6,1)*IF($C38="Ø-inches",VLOOKUP(6,'Thickness Tab'!$1:$1048576,17,0),1)</f>
        <v>0</v>
      </c>
      <c r="G38" s="58">
        <f>(SUMPRODUCT('Piping Material List'!$AE$3:$AE$96,'Piping Material List'!$BH$3:$BH$96,'Piping Material List'!$DI$3:$DI$96,'Piping Material List'!EK$3:EK$96)+SUMPRODUCT('Piping Material List'!$AF$3:$AF$96,'Piping Material List'!$CJ$3:$CJ$96,'Piping Material List'!$DI$3:$DI$96,'Piping Material List'!EK$3:EK$96))*IF($C38="d-inches",6,1)*IF($C38="Ø-inches",VLOOKUP(6,'Thickness Tab'!$1:$1048576,17,0),1)</f>
        <v>0</v>
      </c>
      <c r="H38" s="58">
        <f>(SUMPRODUCT('Piping Material List'!$AE$3:$AE$96,'Piping Material List'!$BH$3:$BH$96,'Piping Material List'!$DI$3:$DI$96,'Piping Material List'!EL$3:EL$96)+SUMPRODUCT('Piping Material List'!$AF$3:$AF$96,'Piping Material List'!$CJ$3:$CJ$96,'Piping Material List'!$DI$3:$DI$96,'Piping Material List'!EL$3:EL$96))*IF($C38="d-inches",6,1)*IF($C38="Ø-inches",VLOOKUP(6,'Thickness Tab'!$1:$1048576,17,0),1)</f>
        <v>0</v>
      </c>
      <c r="I38" s="58">
        <f>(SUMPRODUCT('Piping Material List'!$AE$3:$AE$96,'Piping Material List'!$BH$3:$BH$96,'Piping Material List'!$DI$3:$DI$96,'Piping Material List'!EM$3:EM$96)+SUMPRODUCT('Piping Material List'!$AF$3:$AF$96,'Piping Material List'!$CJ$3:$CJ$96,'Piping Material List'!$DI$3:$DI$96,'Piping Material List'!EM$3:EM$96))*IF($C38="d-inches",6,1)*IF($C38="Ø-inches",VLOOKUP(6,'Thickness Tab'!$1:$1048576,17,0),1)</f>
        <v>0</v>
      </c>
      <c r="J38" s="58">
        <f>(SUMPRODUCT('Piping Material List'!$AE$3:$AE$96,'Piping Material List'!$BH$3:$BH$96,'Piping Material List'!$DI$3:$DI$96,'Piping Material List'!EN$3:EN$96)+SUMPRODUCT('Piping Material List'!$AF$3:$AF$96,'Piping Material List'!$CJ$3:$CJ$96,'Piping Material List'!$DI$3:$DI$96,'Piping Material List'!EN$3:EN$96))*IF($C38="d-inches",6,1)*IF($C38="Ø-inches",VLOOKUP(6,'Thickness Tab'!$1:$1048576,17,0),1)</f>
        <v>0</v>
      </c>
      <c r="K38" s="738">
        <v>15</v>
      </c>
      <c r="L38" s="37">
        <f t="shared" si="3"/>
        <v>0</v>
      </c>
    </row>
    <row r="39" spans="1:12" x14ac:dyDescent="0.3">
      <c r="A39" s="31" t="s">
        <v>1165</v>
      </c>
      <c r="B39" s="51" t="s">
        <v>1166</v>
      </c>
      <c r="C39" s="1177" t="s">
        <v>388</v>
      </c>
      <c r="D39" s="58">
        <f>(SUMPRODUCT('Piping Material List'!$AE$3:$AE$96,'Piping Material List'!$BI$3:$BI$96,'Piping Material List'!$DI$3:$DI$96,'Piping Material List'!EH$3:EH$96)+SUMPRODUCT('Piping Material List'!$AF$3:$AF$96,'Piping Material List'!$CK$3:$CK$96,'Piping Material List'!$DI$3:$DI$96,'Piping Material List'!EH$3:EH$96))*IF($C39="d-inches",8,1)*IF($C39="Ø-inches",VLOOKUP(8,'Thickness Tab'!$1:$1048576,17,0),1)</f>
        <v>0</v>
      </c>
      <c r="E39" s="58">
        <f>(SUMPRODUCT('Piping Material List'!$AE$3:$AE$96,'Piping Material List'!$BI$3:$BI$96,'Piping Material List'!$DI$3:$DI$96,'Piping Material List'!EI$3:EI$96)+SUMPRODUCT('Piping Material List'!$AF$3:$AF$96,'Piping Material List'!$CK$3:$CK$96,'Piping Material List'!$DI$3:$DI$96,'Piping Material List'!EI$3:EI$96))*IF($C39="d-inches",8,1)*IF($C39="Ø-inches",VLOOKUP(8,'Thickness Tab'!$1:$1048576,17,0),1)</f>
        <v>0</v>
      </c>
      <c r="F39" s="58">
        <f>(SUMPRODUCT('Piping Material List'!$AE$3:$AE$96,'Piping Material List'!$BI$3:$BI$96,'Piping Material List'!$DI$3:$DI$96,'Piping Material List'!EJ$3:EJ$96)+SUMPRODUCT('Piping Material List'!$AF$3:$AF$96,'Piping Material List'!$CK$3:$CK$96,'Piping Material List'!$DI$3:$DI$96,'Piping Material List'!EJ$3:EJ$96))*IF($C39="d-inches",8,1)*IF($C39="Ø-inches",VLOOKUP(8,'Thickness Tab'!$1:$1048576,17,0),1)</f>
        <v>0</v>
      </c>
      <c r="G39" s="58">
        <f>(SUMPRODUCT('Piping Material List'!$AE$3:$AE$96,'Piping Material List'!$BI$3:$BI$96,'Piping Material List'!$DI$3:$DI$96,'Piping Material List'!EK$3:EK$96)+SUMPRODUCT('Piping Material List'!$AF$3:$AF$96,'Piping Material List'!$CK$3:$CK$96,'Piping Material List'!$DI$3:$DI$96,'Piping Material List'!EK$3:EK$96))*IF($C39="d-inches",8,1)*IF($C39="Ø-inches",VLOOKUP(8,'Thickness Tab'!$1:$1048576,17,0),1)</f>
        <v>0</v>
      </c>
      <c r="H39" s="58">
        <f>(SUMPRODUCT('Piping Material List'!$AE$3:$AE$96,'Piping Material List'!$BI$3:$BI$96,'Piping Material List'!$DI$3:$DI$96,'Piping Material List'!EL$3:EL$96)+SUMPRODUCT('Piping Material List'!$AF$3:$AF$96,'Piping Material List'!$CK$3:$CK$96,'Piping Material List'!$DI$3:$DI$96,'Piping Material List'!EL$3:EL$96))*IF($C39="d-inches",8,1)*IF($C39="Ø-inches",VLOOKUP(8,'Thickness Tab'!$1:$1048576,17,0),1)</f>
        <v>0</v>
      </c>
      <c r="I39" s="58">
        <f>(SUMPRODUCT('Piping Material List'!$AE$3:$AE$96,'Piping Material List'!$BI$3:$BI$96,'Piping Material List'!$DI$3:$DI$96,'Piping Material List'!EM$3:EM$96)+SUMPRODUCT('Piping Material List'!$AF$3:$AF$96,'Piping Material List'!$CK$3:$CK$96,'Piping Material List'!$DI$3:$DI$96,'Piping Material List'!EM$3:EM$96))*IF($C39="d-inches",8,1)*IF($C39="Ø-inches",VLOOKUP(8,'Thickness Tab'!$1:$1048576,17,0),1)</f>
        <v>0</v>
      </c>
      <c r="J39" s="58">
        <f>(SUMPRODUCT('Piping Material List'!$AE$3:$AE$96,'Piping Material List'!$BI$3:$BI$96,'Piping Material List'!$DI$3:$DI$96,'Piping Material List'!EN$3:EN$96)+SUMPRODUCT('Piping Material List'!$AF$3:$AF$96,'Piping Material List'!$CK$3:$CK$96,'Piping Material List'!$DI$3:$DI$96,'Piping Material List'!EN$3:EN$96))*IF($C39="d-inches",8,1)*IF($C39="Ø-inches",VLOOKUP(8,'Thickness Tab'!$1:$1048576,17,0),1)</f>
        <v>0</v>
      </c>
      <c r="K39" s="738">
        <v>15</v>
      </c>
      <c r="L39" s="37">
        <f t="shared" si="3"/>
        <v>0</v>
      </c>
    </row>
    <row r="40" spans="1:12" x14ac:dyDescent="0.3">
      <c r="A40" s="31" t="s">
        <v>1167</v>
      </c>
      <c r="B40" s="51" t="s">
        <v>1168</v>
      </c>
      <c r="C40" s="1177" t="s">
        <v>388</v>
      </c>
      <c r="D40" s="58">
        <f>(SUMPRODUCT('Piping Material List'!$AE$3:$AE$96,'Piping Material List'!$BJ$3:$BJ$96,'Piping Material List'!$DI$3:$DI$96,'Piping Material List'!EH$3:EH$96)+SUMPRODUCT('Piping Material List'!$AF$3:$AF$96,'Piping Material List'!$CL$3:$CL$96,'Piping Material List'!$DI$3:$DI$96,'Piping Material List'!EH$3:EH$96))*IF($C40="d-inches",10,1)*IF($C40="Ø-inches",VLOOKUP(10,'Thickness Tab'!$1:$1048576,17,0),1)</f>
        <v>0</v>
      </c>
      <c r="E40" s="58">
        <f>(SUMPRODUCT('Piping Material List'!$AE$3:$AE$96,'Piping Material List'!$BJ$3:$BJ$96,'Piping Material List'!$DI$3:$DI$96,'Piping Material List'!EI$3:EI$96)+SUMPRODUCT('Piping Material List'!$AF$3:$AF$96,'Piping Material List'!$CL$3:$CL$96,'Piping Material List'!$DI$3:$DI$96,'Piping Material List'!EI$3:EI$96))*IF($C40="d-inches",10,1)*IF($C40="Ø-inches",VLOOKUP(10,'Thickness Tab'!$1:$1048576,17,0),1)</f>
        <v>0</v>
      </c>
      <c r="F40" s="58">
        <f>(SUMPRODUCT('Piping Material List'!$AE$3:$AE$96,'Piping Material List'!$BJ$3:$BJ$96,'Piping Material List'!$DI$3:$DI$96,'Piping Material List'!EJ$3:EJ$96)+SUMPRODUCT('Piping Material List'!$AF$3:$AF$96,'Piping Material List'!$CL$3:$CL$96,'Piping Material List'!$DI$3:$DI$96,'Piping Material List'!EJ$3:EJ$96))*IF($C40="d-inches",10,1)*IF($C40="Ø-inches",VLOOKUP(10,'Thickness Tab'!$1:$1048576,17,0),1)</f>
        <v>0</v>
      </c>
      <c r="G40" s="58">
        <f>(SUMPRODUCT('Piping Material List'!$AE$3:$AE$96,'Piping Material List'!$BJ$3:$BJ$96,'Piping Material List'!$DI$3:$DI$96,'Piping Material List'!EK$3:EK$96)+SUMPRODUCT('Piping Material List'!$AF$3:$AF$96,'Piping Material List'!$CL$3:$CL$96,'Piping Material List'!$DI$3:$DI$96,'Piping Material List'!EK$3:EK$96))*IF($C40="d-inches",10,1)*IF($C40="Ø-inches",VLOOKUP(10,'Thickness Tab'!$1:$1048576,17,0),1)</f>
        <v>0</v>
      </c>
      <c r="H40" s="58">
        <f>(SUMPRODUCT('Piping Material List'!$AE$3:$AE$96,'Piping Material List'!$BJ$3:$BJ$96,'Piping Material List'!$DI$3:$DI$96,'Piping Material List'!EL$3:EL$96)+SUMPRODUCT('Piping Material List'!$AF$3:$AF$96,'Piping Material List'!$CL$3:$CL$96,'Piping Material List'!$DI$3:$DI$96,'Piping Material List'!EL$3:EL$96))*IF($C40="d-inches",10,1)*IF($C40="Ø-inches",VLOOKUP(10,'Thickness Tab'!$1:$1048576,17,0),1)</f>
        <v>0</v>
      </c>
      <c r="I40" s="58">
        <f>(SUMPRODUCT('Piping Material List'!$AE$3:$AE$96,'Piping Material List'!$BJ$3:$BJ$96,'Piping Material List'!$DI$3:$DI$96,'Piping Material List'!EM$3:EM$96)+SUMPRODUCT('Piping Material List'!$AF$3:$AF$96,'Piping Material List'!$CL$3:$CL$96,'Piping Material List'!$DI$3:$DI$96,'Piping Material List'!EM$3:EM$96))*IF($C40="d-inches",10,1)*IF($C40="Ø-inches",VLOOKUP(10,'Thickness Tab'!$1:$1048576,17,0),1)</f>
        <v>0</v>
      </c>
      <c r="J40" s="58">
        <f>(SUMPRODUCT('Piping Material List'!$AE$3:$AE$96,'Piping Material List'!$BJ$3:$BJ$96,'Piping Material List'!$DI$3:$DI$96,'Piping Material List'!EN$3:EN$96)+SUMPRODUCT('Piping Material List'!$AF$3:$AF$96,'Piping Material List'!$CL$3:$CL$96,'Piping Material List'!$DI$3:$DI$96,'Piping Material List'!EN$3:EN$96))*IF($C40="d-inches",10,1)*IF($C40="Ø-inches",VLOOKUP(10,'Thickness Tab'!$1:$1048576,17,0),1)</f>
        <v>0</v>
      </c>
      <c r="K40" s="738">
        <v>15</v>
      </c>
      <c r="L40" s="37">
        <f t="shared" si="3"/>
        <v>0</v>
      </c>
    </row>
    <row r="41" spans="1:12" x14ac:dyDescent="0.3">
      <c r="A41" s="31" t="s">
        <v>1169</v>
      </c>
      <c r="B41" s="51" t="s">
        <v>1170</v>
      </c>
      <c r="C41" s="1177" t="s">
        <v>388</v>
      </c>
      <c r="D41" s="58">
        <f>(SUMPRODUCT('Piping Material List'!$AE$3:$AE$96,'Piping Material List'!$BK$3:$BK$96,'Piping Material List'!$DI$3:$DI$96,'Piping Material List'!EH$3:EH$96)+SUMPRODUCT('Piping Material List'!$AF$3:$AF$96,'Piping Material List'!$CM$3:$CM$96,'Piping Material List'!$DI$3:$DI$96,'Piping Material List'!EH$3:EH$96))*IF($C41="d-inches",12,1)*IF($C41="Ø-inches",VLOOKUP(12,'Thickness Tab'!$1:$1048576,17,0),1)</f>
        <v>0</v>
      </c>
      <c r="E41" s="58">
        <f>(SUMPRODUCT('Piping Material List'!$AE$3:$AE$96,'Piping Material List'!$BK$3:$BK$96,'Piping Material List'!$DI$3:$DI$96,'Piping Material List'!EI$3:EI$96)+SUMPRODUCT('Piping Material List'!$AF$3:$AF$96,'Piping Material List'!$CM$3:$CM$96,'Piping Material List'!$DI$3:$DI$96,'Piping Material List'!EI$3:EI$96))*IF($C41="d-inches",12,1)*IF($C41="Ø-inches",VLOOKUP(12,'Thickness Tab'!$1:$1048576,17,0),1)</f>
        <v>0</v>
      </c>
      <c r="F41" s="58">
        <f>(SUMPRODUCT('Piping Material List'!$AE$3:$AE$96,'Piping Material List'!$BK$3:$BK$96,'Piping Material List'!$DI$3:$DI$96,'Piping Material List'!EJ$3:EJ$96)+SUMPRODUCT('Piping Material List'!$AF$3:$AF$96,'Piping Material List'!$CM$3:$CM$96,'Piping Material List'!$DI$3:$DI$96,'Piping Material List'!EJ$3:EJ$96))*IF($C41="d-inches",12,1)*IF($C41="Ø-inches",VLOOKUP(12,'Thickness Tab'!$1:$1048576,17,0),1)</f>
        <v>0</v>
      </c>
      <c r="G41" s="58">
        <f>(SUMPRODUCT('Piping Material List'!$AE$3:$AE$96,'Piping Material List'!$BK$3:$BK$96,'Piping Material List'!$DI$3:$DI$96,'Piping Material List'!EK$3:EK$96)+SUMPRODUCT('Piping Material List'!$AF$3:$AF$96,'Piping Material List'!$CM$3:$CM$96,'Piping Material List'!$DI$3:$DI$96,'Piping Material List'!EK$3:EK$96))*IF($C41="d-inches",12,1)*IF($C41="Ø-inches",VLOOKUP(12,'Thickness Tab'!$1:$1048576,17,0),1)</f>
        <v>0</v>
      </c>
      <c r="H41" s="58">
        <f>(SUMPRODUCT('Piping Material List'!$AE$3:$AE$96,'Piping Material List'!$BK$3:$BK$96,'Piping Material List'!$DI$3:$DI$96,'Piping Material List'!EL$3:EL$96)+SUMPRODUCT('Piping Material List'!$AF$3:$AF$96,'Piping Material List'!$CM$3:$CM$96,'Piping Material List'!$DI$3:$DI$96,'Piping Material List'!EL$3:EL$96))*IF($C41="d-inches",12,1)*IF($C41="Ø-inches",VLOOKUP(12,'Thickness Tab'!$1:$1048576,17,0),1)</f>
        <v>0</v>
      </c>
      <c r="I41" s="58">
        <f>(SUMPRODUCT('Piping Material List'!$AE$3:$AE$96,'Piping Material List'!$BK$3:$BK$96,'Piping Material List'!$DI$3:$DI$96,'Piping Material List'!EM$3:EM$96)+SUMPRODUCT('Piping Material List'!$AF$3:$AF$96,'Piping Material List'!$CM$3:$CM$96,'Piping Material List'!$DI$3:$DI$96,'Piping Material List'!EM$3:EM$96))*IF($C41="d-inches",12,1)*IF($C41="Ø-inches",VLOOKUP(12,'Thickness Tab'!$1:$1048576,17,0),1)</f>
        <v>0</v>
      </c>
      <c r="J41" s="58">
        <f>(SUMPRODUCT('Piping Material List'!$AE$3:$AE$96,'Piping Material List'!$BK$3:$BK$96,'Piping Material List'!$DI$3:$DI$96,'Piping Material List'!EN$3:EN$96)+SUMPRODUCT('Piping Material List'!$AF$3:$AF$96,'Piping Material List'!$CM$3:$CM$96,'Piping Material List'!$DI$3:$DI$96,'Piping Material List'!EN$3:EN$96))*IF($C41="d-inches",12,1)*IF($C41="Ø-inches",VLOOKUP(12,'Thickness Tab'!$1:$1048576,17,0),1)</f>
        <v>0</v>
      </c>
      <c r="K41" s="738">
        <v>15</v>
      </c>
      <c r="L41" s="37">
        <f t="shared" si="3"/>
        <v>0</v>
      </c>
    </row>
    <row r="42" spans="1:12" x14ac:dyDescent="0.3">
      <c r="A42" s="31" t="s">
        <v>1171</v>
      </c>
      <c r="B42" s="51" t="s">
        <v>1172</v>
      </c>
      <c r="C42" s="1177" t="s">
        <v>388</v>
      </c>
      <c r="D42" s="58">
        <f>(SUMPRODUCT('Piping Material List'!$AE$3:$AE$96,'Piping Material List'!$BL$3:$BL$96,'Piping Material List'!$DI$3:$DI$96,'Piping Material List'!EH$3:EH$96)+SUMPRODUCT('Piping Material List'!$AF$3:$AF$96,'Piping Material List'!$CN$3:$CN$96,'Piping Material List'!$DI$3:$DI$96,'Piping Material List'!EH$3:EH$96))*IF($C42="d-inches",14,1)*IF($C42="Ø-inches",VLOOKUP(14,'Thickness Tab'!$1:$1048576,17,0),1)</f>
        <v>0</v>
      </c>
      <c r="E42" s="58">
        <f>(SUMPRODUCT('Piping Material List'!$AE$3:$AE$96,'Piping Material List'!$BL$3:$BL$96,'Piping Material List'!$DI$3:$DI$96,'Piping Material List'!EI$3:EI$96)+SUMPRODUCT('Piping Material List'!$AF$3:$AF$96,'Piping Material List'!$CN$3:$CN$96,'Piping Material List'!$DI$3:$DI$96,'Piping Material List'!EI$3:EI$96))*IF($C42="d-inches",14,1)*IF($C42="Ø-inches",VLOOKUP(14,'Thickness Tab'!$1:$1048576,17,0),1)</f>
        <v>0</v>
      </c>
      <c r="F42" s="58">
        <f>(SUMPRODUCT('Piping Material List'!$AE$3:$AE$96,'Piping Material List'!$BL$3:$BL$96,'Piping Material List'!$DI$3:$DI$96,'Piping Material List'!EJ$3:EJ$96)+SUMPRODUCT('Piping Material List'!$AF$3:$AF$96,'Piping Material List'!$CN$3:$CN$96,'Piping Material List'!$DI$3:$DI$96,'Piping Material List'!EJ$3:EJ$96))*IF($C42="d-inches",14,1)*IF($C42="Ø-inches",VLOOKUP(14,'Thickness Tab'!$1:$1048576,17,0),1)</f>
        <v>0</v>
      </c>
      <c r="G42" s="58">
        <f>(SUMPRODUCT('Piping Material List'!$AE$3:$AE$96,'Piping Material List'!$BL$3:$BL$96,'Piping Material List'!$DI$3:$DI$96,'Piping Material List'!EK$3:EK$96)+SUMPRODUCT('Piping Material List'!$AF$3:$AF$96,'Piping Material List'!$CN$3:$CN$96,'Piping Material List'!$DI$3:$DI$96,'Piping Material List'!EK$3:EK$96))*IF($C42="d-inches",14,1)*IF($C42="Ø-inches",VLOOKUP(14,'Thickness Tab'!$1:$1048576,17,0),1)</f>
        <v>0</v>
      </c>
      <c r="H42" s="58">
        <f>(SUMPRODUCT('Piping Material List'!$AE$3:$AE$96,'Piping Material List'!$BL$3:$BL$96,'Piping Material List'!$DI$3:$DI$96,'Piping Material List'!EL$3:EL$96)+SUMPRODUCT('Piping Material List'!$AF$3:$AF$96,'Piping Material List'!$CN$3:$CN$96,'Piping Material List'!$DI$3:$DI$96,'Piping Material List'!EL$3:EL$96))*IF($C42="d-inches",14,1)*IF($C42="Ø-inches",VLOOKUP(14,'Thickness Tab'!$1:$1048576,17,0),1)</f>
        <v>0</v>
      </c>
      <c r="I42" s="58">
        <f>(SUMPRODUCT('Piping Material List'!$AE$3:$AE$96,'Piping Material List'!$BL$3:$BL$96,'Piping Material List'!$DI$3:$DI$96,'Piping Material List'!EM$3:EM$96)+SUMPRODUCT('Piping Material List'!$AF$3:$AF$96,'Piping Material List'!$CN$3:$CN$96,'Piping Material List'!$DI$3:$DI$96,'Piping Material List'!EM$3:EM$96))*IF($C42="d-inches",14,1)*IF($C42="Ø-inches",VLOOKUP(14,'Thickness Tab'!$1:$1048576,17,0),1)</f>
        <v>0</v>
      </c>
      <c r="J42" s="58">
        <f>(SUMPRODUCT('Piping Material List'!$AE$3:$AE$96,'Piping Material List'!$BL$3:$BL$96,'Piping Material List'!$DI$3:$DI$96,'Piping Material List'!EN$3:EN$96)+SUMPRODUCT('Piping Material List'!$AF$3:$AF$96,'Piping Material List'!$CN$3:$CN$96,'Piping Material List'!$DI$3:$DI$96,'Piping Material List'!EN$3:EN$96))*IF($C42="d-inches",14,1)*IF($C42="Ø-inches",VLOOKUP(14,'Thickness Tab'!$1:$1048576,17,0),1)</f>
        <v>0</v>
      </c>
      <c r="K42" s="738">
        <v>15</v>
      </c>
      <c r="L42" s="37">
        <f t="shared" si="3"/>
        <v>0</v>
      </c>
    </row>
    <row r="43" spans="1:12" x14ac:dyDescent="0.3">
      <c r="A43" s="31" t="s">
        <v>1173</v>
      </c>
      <c r="B43" s="51" t="s">
        <v>1174</v>
      </c>
      <c r="C43" s="1177" t="s">
        <v>388</v>
      </c>
      <c r="D43" s="58">
        <f>(SUMPRODUCT('Piping Material List'!$AE$3:$AE$96,'Piping Material List'!$BM$3:$BM$96,'Piping Material List'!$DI$3:$DI$96,'Piping Material List'!EH$3:EH$96)+SUMPRODUCT('Piping Material List'!$AF$3:$AF$96,'Piping Material List'!$CO$3:$CO$96,'Piping Material List'!$DI$3:$DI$96,'Piping Material List'!EH$3:EH$96))*IF($C43="d-inches",16,1)*IF($C43="Ø-inches",VLOOKUP(16,'Thickness Tab'!$1:$1048576,17,0),1)</f>
        <v>0</v>
      </c>
      <c r="E43" s="58">
        <f>(SUMPRODUCT('Piping Material List'!$AE$3:$AE$96,'Piping Material List'!$BM$3:$BM$96,'Piping Material List'!$DI$3:$DI$96,'Piping Material List'!EI$3:EI$96)+SUMPRODUCT('Piping Material List'!$AF$3:$AF$96,'Piping Material List'!$CO$3:$CO$96,'Piping Material List'!$DI$3:$DI$96,'Piping Material List'!EI$3:EI$96))*IF($C43="d-inches",16,1)*IF($C43="Ø-inches",VLOOKUP(16,'Thickness Tab'!$1:$1048576,17,0),1)</f>
        <v>0</v>
      </c>
      <c r="F43" s="58">
        <f>(SUMPRODUCT('Piping Material List'!$AE$3:$AE$96,'Piping Material List'!$BM$3:$BM$96,'Piping Material List'!$DI$3:$DI$96,'Piping Material List'!EJ$3:EJ$96)+SUMPRODUCT('Piping Material List'!$AF$3:$AF$96,'Piping Material List'!$CO$3:$CO$96,'Piping Material List'!$DI$3:$DI$96,'Piping Material List'!EJ$3:EJ$96))*IF($C43="d-inches",16,1)*IF($C43="Ø-inches",VLOOKUP(16,'Thickness Tab'!$1:$1048576,17,0),1)</f>
        <v>0</v>
      </c>
      <c r="G43" s="58">
        <f>(SUMPRODUCT('Piping Material List'!$AE$3:$AE$96,'Piping Material List'!$BM$3:$BM$96,'Piping Material List'!$DI$3:$DI$96,'Piping Material List'!EK$3:EK$96)+SUMPRODUCT('Piping Material List'!$AF$3:$AF$96,'Piping Material List'!$CO$3:$CO$96,'Piping Material List'!$DI$3:$DI$96,'Piping Material List'!EK$3:EK$96))*IF($C43="d-inches",16,1)*IF($C43="Ø-inches",VLOOKUP(16,'Thickness Tab'!$1:$1048576,17,0),1)</f>
        <v>0</v>
      </c>
      <c r="H43" s="58">
        <f>(SUMPRODUCT('Piping Material List'!$AE$3:$AE$96,'Piping Material List'!$BM$3:$BM$96,'Piping Material List'!$DI$3:$DI$96,'Piping Material List'!EL$3:EL$96)+SUMPRODUCT('Piping Material List'!$AF$3:$AF$96,'Piping Material List'!$CO$3:$CO$96,'Piping Material List'!$DI$3:$DI$96,'Piping Material List'!EL$3:EL$96))*IF($C43="d-inches",16,1)*IF($C43="Ø-inches",VLOOKUP(16,'Thickness Tab'!$1:$1048576,17,0),1)</f>
        <v>0</v>
      </c>
      <c r="I43" s="58">
        <f>(SUMPRODUCT('Piping Material List'!$AE$3:$AE$96,'Piping Material List'!$BM$3:$BM$96,'Piping Material List'!$DI$3:$DI$96,'Piping Material List'!EM$3:EM$96)+SUMPRODUCT('Piping Material List'!$AF$3:$AF$96,'Piping Material List'!$CO$3:$CO$96,'Piping Material List'!$DI$3:$DI$96,'Piping Material List'!EM$3:EM$96))*IF($C43="d-inches",16,1)*IF($C43="Ø-inches",VLOOKUP(16,'Thickness Tab'!$1:$1048576,17,0),1)</f>
        <v>0</v>
      </c>
      <c r="J43" s="58">
        <f>(SUMPRODUCT('Piping Material List'!$AE$3:$AE$96,'Piping Material List'!$BM$3:$BM$96,'Piping Material List'!$DI$3:$DI$96,'Piping Material List'!EN$3:EN$96)+SUMPRODUCT('Piping Material List'!$AF$3:$AF$96,'Piping Material List'!$CO$3:$CO$96,'Piping Material List'!$DI$3:$DI$96,'Piping Material List'!EN$3:EN$96))*IF($C43="d-inches",16,1)*IF($C43="Ø-inches",VLOOKUP(16,'Thickness Tab'!$1:$1048576,17,0),1)</f>
        <v>0</v>
      </c>
      <c r="K43" s="738">
        <v>15</v>
      </c>
      <c r="L43" s="37">
        <f t="shared" si="3"/>
        <v>0</v>
      </c>
    </row>
    <row r="44" spans="1:12" x14ac:dyDescent="0.3">
      <c r="A44" s="31" t="s">
        <v>1175</v>
      </c>
      <c r="B44" s="51" t="s">
        <v>1176</v>
      </c>
      <c r="C44" s="1177" t="s">
        <v>388</v>
      </c>
      <c r="D44" s="58">
        <f>(SUMPRODUCT('Piping Material List'!$AE$3:$AE$96,'Piping Material List'!$BN$3:$BN$96,'Piping Material List'!$DI$3:$DI$96,'Piping Material List'!EH$3:EH$96)+SUMPRODUCT('Piping Material List'!$AF$3:$AF$96,'Piping Material List'!$CP$3:$CP$96,'Piping Material List'!$DI$3:$DI$96,'Piping Material List'!EH$3:EH$96))*IF($C44="d-inches",18,1)*IF($C44="Ø-inches",VLOOKUP(18,'Thickness Tab'!$1:$1048576,17,0),1)</f>
        <v>0</v>
      </c>
      <c r="E44" s="58">
        <f>(SUMPRODUCT('Piping Material List'!$AE$3:$AE$96,'Piping Material List'!$BN$3:$BN$96,'Piping Material List'!$DI$3:$DI$96,'Piping Material List'!EI$3:EI$96)+SUMPRODUCT('Piping Material List'!$AF$3:$AF$96,'Piping Material List'!$CP$3:$CP$96,'Piping Material List'!$DI$3:$DI$96,'Piping Material List'!EI$3:EI$96))*IF($C44="d-inches",18,1)*IF($C44="Ø-inches",VLOOKUP(18,'Thickness Tab'!$1:$1048576,17,0),1)</f>
        <v>0</v>
      </c>
      <c r="F44" s="58">
        <f>(SUMPRODUCT('Piping Material List'!$AE$3:$AE$96,'Piping Material List'!$BN$3:$BN$96,'Piping Material List'!$DI$3:$DI$96,'Piping Material List'!EJ$3:EJ$96)+SUMPRODUCT('Piping Material List'!$AF$3:$AF$96,'Piping Material List'!$CP$3:$CP$96,'Piping Material List'!$DI$3:$DI$96,'Piping Material List'!EJ$3:EJ$96))*IF($C44="d-inches",18,1)*IF($C44="Ø-inches",VLOOKUP(18,'Thickness Tab'!$1:$1048576,17,0),1)</f>
        <v>0</v>
      </c>
      <c r="G44" s="58">
        <f>(SUMPRODUCT('Piping Material List'!$AE$3:$AE$96,'Piping Material List'!$BN$3:$BN$96,'Piping Material List'!$DI$3:$DI$96,'Piping Material List'!EK$3:EK$96)+SUMPRODUCT('Piping Material List'!$AF$3:$AF$96,'Piping Material List'!$CP$3:$CP$96,'Piping Material List'!$DI$3:$DI$96,'Piping Material List'!EK$3:EK$96))*IF($C44="d-inches",18,1)*IF($C44="Ø-inches",VLOOKUP(18,'Thickness Tab'!$1:$1048576,17,0),1)</f>
        <v>0</v>
      </c>
      <c r="H44" s="58">
        <f>(SUMPRODUCT('Piping Material List'!$AE$3:$AE$96,'Piping Material List'!$BN$3:$BN$96,'Piping Material List'!$DI$3:$DI$96,'Piping Material List'!EL$3:EL$96)+SUMPRODUCT('Piping Material List'!$AF$3:$AF$96,'Piping Material List'!$CP$3:$CP$96,'Piping Material List'!$DI$3:$DI$96,'Piping Material List'!EL$3:EL$96))*IF($C44="d-inches",18,1)*IF($C44="Ø-inches",VLOOKUP(18,'Thickness Tab'!$1:$1048576,17,0),1)</f>
        <v>0</v>
      </c>
      <c r="I44" s="58">
        <f>(SUMPRODUCT('Piping Material List'!$AE$3:$AE$96,'Piping Material List'!$BN$3:$BN$96,'Piping Material List'!$DI$3:$DI$96,'Piping Material List'!EM$3:EM$96)+SUMPRODUCT('Piping Material List'!$AF$3:$AF$96,'Piping Material List'!$CP$3:$CP$96,'Piping Material List'!$DI$3:$DI$96,'Piping Material List'!EM$3:EM$96))*IF($C44="d-inches",18,1)*IF($C44="Ø-inches",VLOOKUP(18,'Thickness Tab'!$1:$1048576,17,0),1)</f>
        <v>0</v>
      </c>
      <c r="J44" s="58">
        <f>(SUMPRODUCT('Piping Material List'!$AE$3:$AE$96,'Piping Material List'!$BN$3:$BN$96,'Piping Material List'!$DI$3:$DI$96,'Piping Material List'!EN$3:EN$96)+SUMPRODUCT('Piping Material List'!$AF$3:$AF$96,'Piping Material List'!$CP$3:$CP$96,'Piping Material List'!$DI$3:$DI$96,'Piping Material List'!EN$3:EN$96))*IF($C44="d-inches",18,1)*IF($C44="Ø-inches",VLOOKUP(18,'Thickness Tab'!$1:$1048576,17,0),1)</f>
        <v>0</v>
      </c>
      <c r="K44" s="738">
        <v>15</v>
      </c>
      <c r="L44" s="37">
        <f t="shared" si="3"/>
        <v>0</v>
      </c>
    </row>
    <row r="45" spans="1:12" x14ac:dyDescent="0.3">
      <c r="A45" s="31" t="s">
        <v>1177</v>
      </c>
      <c r="B45" s="51" t="s">
        <v>1178</v>
      </c>
      <c r="C45" s="1177" t="s">
        <v>388</v>
      </c>
      <c r="D45" s="58">
        <f>(SUMPRODUCT('Piping Material List'!$AE$3:$AE$96,'Piping Material List'!$BO$3:$BO$96,'Piping Material List'!$DI$3:$DI$96,'Piping Material List'!EH$3:EH$96)+SUMPRODUCT('Piping Material List'!$AF$3:$AF$96,'Piping Material List'!$CE$3:$CE$96,'Piping Material List'!$DI$3:$DI$96,'Piping Material List'!EH$3:EH$96))*IF($C45="d-inches",20,1)*IF($C45="Ø-inches",VLOOKUP(20,'Thickness Tab'!$1:$1048576,17,0),1)</f>
        <v>0</v>
      </c>
      <c r="E45" s="58">
        <f>(SUMPRODUCT('Piping Material List'!$AE$3:$AE$96,'Piping Material List'!$BO$3:$BO$96,'Piping Material List'!$DI$3:$DI$96,'Piping Material List'!EI$3:EI$96)+SUMPRODUCT('Piping Material List'!$AF$3:$AF$96,'Piping Material List'!$CE$3:$CE$96,'Piping Material List'!$DI$3:$DI$96,'Piping Material List'!EI$3:EI$96))*IF($C45="d-inches",20,1)*IF($C45="Ø-inches",VLOOKUP(20,'Thickness Tab'!$1:$1048576,17,0),1)</f>
        <v>0</v>
      </c>
      <c r="F45" s="58">
        <f>(SUMPRODUCT('Piping Material List'!$AE$3:$AE$96,'Piping Material List'!$BO$3:$BO$96,'Piping Material List'!$DI$3:$DI$96,'Piping Material List'!EJ$3:EJ$96)+SUMPRODUCT('Piping Material List'!$AF$3:$AF$96,'Piping Material List'!$CE$3:$CE$96,'Piping Material List'!$DI$3:$DI$96,'Piping Material List'!EJ$3:EJ$96))*IF($C45="d-inches",20,1)*IF($C45="Ø-inches",VLOOKUP(20,'Thickness Tab'!$1:$1048576,17,0),1)</f>
        <v>0</v>
      </c>
      <c r="G45" s="58">
        <f>(SUMPRODUCT('Piping Material List'!$AE$3:$AE$96,'Piping Material List'!$BO$3:$BO$96,'Piping Material List'!$DI$3:$DI$96,'Piping Material List'!EK$3:EK$96)+SUMPRODUCT('Piping Material List'!$AF$3:$AF$96,'Piping Material List'!$CE$3:$CE$96,'Piping Material List'!$DI$3:$DI$96,'Piping Material List'!EK$3:EK$96))*IF($C45="d-inches",20,1)*IF($C45="Ø-inches",VLOOKUP(20,'Thickness Tab'!$1:$1048576,17,0),1)</f>
        <v>0</v>
      </c>
      <c r="H45" s="58">
        <f>(SUMPRODUCT('Piping Material List'!$AE$3:$AE$96,'Piping Material List'!$BO$3:$BO$96,'Piping Material List'!$DI$3:$DI$96,'Piping Material List'!EL$3:EL$96)+SUMPRODUCT('Piping Material List'!$AF$3:$AF$96,'Piping Material List'!$CE$3:$CE$96,'Piping Material List'!$DI$3:$DI$96,'Piping Material List'!EL$3:EL$96))*IF($C45="d-inches",20,1)*IF($C45="Ø-inches",VLOOKUP(20,'Thickness Tab'!$1:$1048576,17,0),1)</f>
        <v>0</v>
      </c>
      <c r="I45" s="58">
        <f>(SUMPRODUCT('Piping Material List'!$AE$3:$AE$96,'Piping Material List'!$BO$3:$BO$96,'Piping Material List'!$DI$3:$DI$96,'Piping Material List'!EM$3:EM$96)+SUMPRODUCT('Piping Material List'!$AF$3:$AF$96,'Piping Material List'!$CE$3:$CE$96,'Piping Material List'!$DI$3:$DI$96,'Piping Material List'!EM$3:EM$96))*IF($C45="d-inches",20,1)*IF($C45="Ø-inches",VLOOKUP(20,'Thickness Tab'!$1:$1048576,17,0),1)</f>
        <v>0</v>
      </c>
      <c r="J45" s="58">
        <f>(SUMPRODUCT('Piping Material List'!$AE$3:$AE$96,'Piping Material List'!$BO$3:$BO$96,'Piping Material List'!$DI$3:$DI$96,'Piping Material List'!EN$3:EN$96)+SUMPRODUCT('Piping Material List'!$AF$3:$AF$96,'Piping Material List'!$CE$3:$CE$96,'Piping Material List'!$DI$3:$DI$96,'Piping Material List'!EN$3:EN$96))*IF($C45="d-inches",20,1)*IF($C45="Ø-inches",VLOOKUP(20,'Thickness Tab'!$1:$1048576,17,0),1)</f>
        <v>0</v>
      </c>
      <c r="K45" s="738">
        <v>15</v>
      </c>
      <c r="L45" s="37">
        <f t="shared" si="3"/>
        <v>0</v>
      </c>
    </row>
    <row r="46" spans="1:12" x14ac:dyDescent="0.3">
      <c r="A46" s="31" t="s">
        <v>1179</v>
      </c>
      <c r="B46" s="51" t="s">
        <v>1180</v>
      </c>
      <c r="C46" s="1177" t="s">
        <v>388</v>
      </c>
      <c r="D46" s="58">
        <f>(SUMPRODUCT('Piping Material List'!$AE$3:$AE$96,'Piping Material List'!$BP$3:$BP$96,'Piping Material List'!$DI$3:$DI$96,'Piping Material List'!EH$3:EH$96)+SUMPRODUCT('Piping Material List'!$AF$3:$AF$96,'Piping Material List'!$CR$3:$CR$96,'Piping Material List'!$DI$3:$DI$96,'Piping Material List'!EH$3:EH$96))*IF($C46="d-inches",22,1)*IF($C46="Ø-inches",VLOOKUP(22,'Thickness Tab'!$1:$1048576,17,0),1)</f>
        <v>0</v>
      </c>
      <c r="E46" s="58">
        <f>(SUMPRODUCT('Piping Material List'!$AE$3:$AE$96,'Piping Material List'!$BP$3:$BP$96,'Piping Material List'!$DI$3:$DI$96,'Piping Material List'!EI$3:EI$96)+SUMPRODUCT('Piping Material List'!$AF$3:$AF$96,'Piping Material List'!$CR$3:$CR$96,'Piping Material List'!$DI$3:$DI$96,'Piping Material List'!EI$3:EI$96))*IF($C46="d-inches",22,1)*IF($C46="Ø-inches",VLOOKUP(22,'Thickness Tab'!$1:$1048576,17,0),1)</f>
        <v>0</v>
      </c>
      <c r="F46" s="58">
        <f>(SUMPRODUCT('Piping Material List'!$AE$3:$AE$96,'Piping Material List'!$BP$3:$BP$96,'Piping Material List'!$DI$3:$DI$96,'Piping Material List'!EJ$3:EJ$96)+SUMPRODUCT('Piping Material List'!$AF$3:$AF$96,'Piping Material List'!$CR$3:$CR$96,'Piping Material List'!$DI$3:$DI$96,'Piping Material List'!EJ$3:EJ$96))*IF($C46="d-inches",22,1)*IF($C46="Ø-inches",VLOOKUP(22,'Thickness Tab'!$1:$1048576,17,0),1)</f>
        <v>0</v>
      </c>
      <c r="G46" s="58">
        <f>(SUMPRODUCT('Piping Material List'!$AE$3:$AE$96,'Piping Material List'!$BP$3:$BP$96,'Piping Material List'!$DI$3:$DI$96,'Piping Material List'!EK$3:EK$96)+SUMPRODUCT('Piping Material List'!$AF$3:$AF$96,'Piping Material List'!$CR$3:$CR$96,'Piping Material List'!$DI$3:$DI$96,'Piping Material List'!EK$3:EK$96))*IF($C46="d-inches",22,1)*IF($C46="Ø-inches",VLOOKUP(22,'Thickness Tab'!$1:$1048576,17,0),1)</f>
        <v>0</v>
      </c>
      <c r="H46" s="58">
        <f>(SUMPRODUCT('Piping Material List'!$AE$3:$AE$96,'Piping Material List'!$BP$3:$BP$96,'Piping Material List'!$DI$3:$DI$96,'Piping Material List'!EL$3:EL$96)+SUMPRODUCT('Piping Material List'!$AF$3:$AF$96,'Piping Material List'!$CR$3:$CR$96,'Piping Material List'!$DI$3:$DI$96,'Piping Material List'!EL$3:EL$96))*IF($C46="d-inches",22,1)*IF($C46="Ø-inches",VLOOKUP(22,'Thickness Tab'!$1:$1048576,17,0),1)</f>
        <v>0</v>
      </c>
      <c r="I46" s="58">
        <f>(SUMPRODUCT('Piping Material List'!$AE$3:$AE$96,'Piping Material List'!$BP$3:$BP$96,'Piping Material List'!$DI$3:$DI$96,'Piping Material List'!EM$3:EM$96)+SUMPRODUCT('Piping Material List'!$AF$3:$AF$96,'Piping Material List'!$CR$3:$CR$96,'Piping Material List'!$DI$3:$DI$96,'Piping Material List'!EM$3:EM$96))*IF($C46="d-inches",22,1)*IF($C46="Ø-inches",VLOOKUP(22,'Thickness Tab'!$1:$1048576,17,0),1)</f>
        <v>0</v>
      </c>
      <c r="J46" s="58">
        <f>(SUMPRODUCT('Piping Material List'!$AE$3:$AE$96,'Piping Material List'!$BP$3:$BP$96,'Piping Material List'!$DI$3:$DI$96,'Piping Material List'!EN$3:EN$96)+SUMPRODUCT('Piping Material List'!$AF$3:$AF$96,'Piping Material List'!$CR$3:$CR$96,'Piping Material List'!$DI$3:$DI$96,'Piping Material List'!EN$3:EN$96))*IF($C46="d-inches",22,1)*IF($C46="Ø-inches",VLOOKUP(22,'Thickness Tab'!$1:$1048576,17,0),1)</f>
        <v>0</v>
      </c>
      <c r="K46" s="738">
        <v>15</v>
      </c>
      <c r="L46" s="37">
        <f t="shared" si="3"/>
        <v>0</v>
      </c>
    </row>
    <row r="47" spans="1:12" x14ac:dyDescent="0.3">
      <c r="A47" s="31" t="s">
        <v>1181</v>
      </c>
      <c r="B47" s="51" t="s">
        <v>1182</v>
      </c>
      <c r="C47" s="1177" t="s">
        <v>388</v>
      </c>
      <c r="D47" s="58">
        <f>(SUMPRODUCT('Piping Material List'!$AE$3:$AE$96,'Piping Material List'!$BQ$3:$BQ$96,'Piping Material List'!$DI$3:$DI$96,'Piping Material List'!EH$3:EH$96)+SUMPRODUCT('Piping Material List'!$AF$3:$AF$96,'Piping Material List'!$CS$3:$CS$96,'Piping Material List'!$DI$3:$DI$96,'Piping Material List'!EH$3:EH$96))*IF($C47="d-inches",24,1)*IF($C47="Ø-inches",VLOOKUP(24,'Thickness Tab'!$1:$1048576,17,0),1)</f>
        <v>0</v>
      </c>
      <c r="E47" s="58">
        <f>(SUMPRODUCT('Piping Material List'!$AE$3:$AE$96,'Piping Material List'!$BQ$3:$BQ$96,'Piping Material List'!$DI$3:$DI$96,'Piping Material List'!EI$3:EI$96)+SUMPRODUCT('Piping Material List'!$AF$3:$AF$96,'Piping Material List'!$CS$3:$CS$96,'Piping Material List'!$DI$3:$DI$96,'Piping Material List'!EI$3:EI$96))*IF($C47="d-inches",24,1)*IF($C47="Ø-inches",VLOOKUP(24,'Thickness Tab'!$1:$1048576,17,0),1)</f>
        <v>0</v>
      </c>
      <c r="F47" s="58">
        <f>(SUMPRODUCT('Piping Material List'!$AE$3:$AE$96,'Piping Material List'!$BQ$3:$BQ$96,'Piping Material List'!$DI$3:$DI$96,'Piping Material List'!EJ$3:EJ$96)+SUMPRODUCT('Piping Material List'!$AF$3:$AF$96,'Piping Material List'!$CS$3:$CS$96,'Piping Material List'!$DI$3:$DI$96,'Piping Material List'!EJ$3:EJ$96))*IF($C47="d-inches",24,1)*IF($C47="Ø-inches",VLOOKUP(24,'Thickness Tab'!$1:$1048576,17,0),1)</f>
        <v>0</v>
      </c>
      <c r="G47" s="58">
        <f>(SUMPRODUCT('Piping Material List'!$AE$3:$AE$96,'Piping Material List'!$BQ$3:$BQ$96,'Piping Material List'!$DI$3:$DI$96,'Piping Material List'!EK$3:EK$96)+SUMPRODUCT('Piping Material List'!$AF$3:$AF$96,'Piping Material List'!$CS$3:$CS$96,'Piping Material List'!$DI$3:$DI$96,'Piping Material List'!EK$3:EK$96))*IF($C47="d-inches",24,1)*IF($C47="Ø-inches",VLOOKUP(24,'Thickness Tab'!$1:$1048576,17,0),1)</f>
        <v>0</v>
      </c>
      <c r="H47" s="58">
        <f>(SUMPRODUCT('Piping Material List'!$AE$3:$AE$96,'Piping Material List'!$BQ$3:$BQ$96,'Piping Material List'!$DI$3:$DI$96,'Piping Material List'!EL$3:EL$96)+SUMPRODUCT('Piping Material List'!$AF$3:$AF$96,'Piping Material List'!$CS$3:$CS$96,'Piping Material List'!$DI$3:$DI$96,'Piping Material List'!EL$3:EL$96))*IF($C47="d-inches",24,1)*IF($C47="Ø-inches",VLOOKUP(24,'Thickness Tab'!$1:$1048576,17,0),1)</f>
        <v>0</v>
      </c>
      <c r="I47" s="58">
        <f>(SUMPRODUCT('Piping Material List'!$AE$3:$AE$96,'Piping Material List'!$BQ$3:$BQ$96,'Piping Material List'!$DI$3:$DI$96,'Piping Material List'!EM$3:EM$96)+SUMPRODUCT('Piping Material List'!$AF$3:$AF$96,'Piping Material List'!$CS$3:$CS$96,'Piping Material List'!$DI$3:$DI$96,'Piping Material List'!EM$3:EM$96))*IF($C47="d-inches",24,1)*IF($C47="Ø-inches",VLOOKUP(24,'Thickness Tab'!$1:$1048576,17,0),1)</f>
        <v>0</v>
      </c>
      <c r="J47" s="58">
        <f>(SUMPRODUCT('Piping Material List'!$AE$3:$AE$96,'Piping Material List'!$BQ$3:$BQ$96,'Piping Material List'!$DI$3:$DI$96,'Piping Material List'!EN$3:EN$96)+SUMPRODUCT('Piping Material List'!$AF$3:$AF$96,'Piping Material List'!$CS$3:$CS$96,'Piping Material List'!$DI$3:$DI$96,'Piping Material List'!EN$3:EN$96))*IF($C47="d-inches",24,1)*IF($C47="Ø-inches",VLOOKUP(24,'Thickness Tab'!$1:$1048576,17,0),1)</f>
        <v>0</v>
      </c>
      <c r="K47" s="738">
        <v>15</v>
      </c>
      <c r="L47" s="37">
        <f t="shared" si="3"/>
        <v>0</v>
      </c>
    </row>
    <row r="48" spans="1:12" x14ac:dyDescent="0.3">
      <c r="A48" s="31" t="s">
        <v>1183</v>
      </c>
      <c r="B48" s="51" t="s">
        <v>1184</v>
      </c>
      <c r="C48" s="1177" t="s">
        <v>388</v>
      </c>
      <c r="D48" s="58">
        <f>(SUMPRODUCT('Piping Material List'!$AE$3:$AE$96,'Piping Material List'!$BR$3:$BR$96,'Piping Material List'!$DI$3:$DI$96,'Piping Material List'!EH$3:EH$96)+SUMPRODUCT('Piping Material List'!$AF$3:$AF$96,'Piping Material List'!$CT$3:$CT$96,'Piping Material List'!$DI$3:$DI$96,'Piping Material List'!EH$3:EH$96))*IF($C48="d-inches",24,1)*IF($C48="Ø-inches",VLOOKUP(24,'Thickness Tab'!$1:$1048576,17,0),1)</f>
        <v>0</v>
      </c>
      <c r="E48" s="58">
        <f>(SUMPRODUCT('Piping Material List'!$AE$3:$AE$96,'Piping Material List'!$BR$3:$BR$96,'Piping Material List'!$DI$3:$DI$96,'Piping Material List'!EI$3:EI$96)+SUMPRODUCT('Piping Material List'!$AF$3:$AF$96,'Piping Material List'!$CT$3:$CT$96,'Piping Material List'!$DI$3:$DI$96,'Piping Material List'!EI$3:EI$96))*IF($C48="d-inches",24,1)*IF($C48="Ø-inches",VLOOKUP(24,'Thickness Tab'!$1:$1048576,17,0),1)</f>
        <v>0</v>
      </c>
      <c r="F48" s="58">
        <f>(SUMPRODUCT('Piping Material List'!$AE$3:$AE$96,'Piping Material List'!$BR$3:$BR$96,'Piping Material List'!$DI$3:$DI$96,'Piping Material List'!EJ$3:EJ$96)+SUMPRODUCT('Piping Material List'!$AF$3:$AF$96,'Piping Material List'!$CT$3:$CT$96,'Piping Material List'!$DI$3:$DI$96,'Piping Material List'!EJ$3:EJ$96))*IF($C48="d-inches",24,1)*IF($C48="Ø-inches",VLOOKUP(24,'Thickness Tab'!$1:$1048576,17,0),1)</f>
        <v>0</v>
      </c>
      <c r="G48" s="58">
        <f>(SUMPRODUCT('Piping Material List'!$AE$3:$AE$96,'Piping Material List'!$BR$3:$BR$96,'Piping Material List'!$DI$3:$DI$96,'Piping Material List'!EK$3:EK$96)+SUMPRODUCT('Piping Material List'!$AF$3:$AF$96,'Piping Material List'!$CT$3:$CT$96,'Piping Material List'!$DI$3:$DI$96,'Piping Material List'!EK$3:EK$96))*IF($C48="d-inches",24,1)*IF($C48="Ø-inches",VLOOKUP(24,'Thickness Tab'!$1:$1048576,17,0),1)</f>
        <v>0</v>
      </c>
      <c r="H48" s="58">
        <f>(SUMPRODUCT('Piping Material List'!$AE$3:$AE$96,'Piping Material List'!$BR$3:$BR$96,'Piping Material List'!$DI$3:$DI$96,'Piping Material List'!EL$3:EL$96)+SUMPRODUCT('Piping Material List'!$AF$3:$AF$96,'Piping Material List'!$CT$3:$CT$96,'Piping Material List'!$DI$3:$DI$96,'Piping Material List'!EL$3:EL$96))*IF($C48="d-inches",24,1)*IF($C48="Ø-inches",VLOOKUP(24,'Thickness Tab'!$1:$1048576,17,0),1)</f>
        <v>0</v>
      </c>
      <c r="I48" s="58">
        <f>(SUMPRODUCT('Piping Material List'!$AE$3:$AE$96,'Piping Material List'!$BR$3:$BR$96,'Piping Material List'!$DI$3:$DI$96,'Piping Material List'!EM$3:EM$96)+SUMPRODUCT('Piping Material List'!$AF$3:$AF$96,'Piping Material List'!$CT$3:$CT$96,'Piping Material List'!$DI$3:$DI$96,'Piping Material List'!EM$3:EM$96))*IF($C48="d-inches",24,1)*IF($C48="Ø-inches",VLOOKUP(24,'Thickness Tab'!$1:$1048576,17,0),1)</f>
        <v>0</v>
      </c>
      <c r="J48" s="58">
        <f>(SUMPRODUCT('Piping Material List'!$AE$3:$AE$96,'Piping Material List'!$BR$3:$BR$96,'Piping Material List'!$DI$3:$DI$96,'Piping Material List'!EN$3:EN$96)+SUMPRODUCT('Piping Material List'!$AF$3:$AF$96,'Piping Material List'!$CT$3:$CT$96,'Piping Material List'!$DI$3:$DI$96,'Piping Material List'!EN$3:EN$96))*IF($C48="d-inches",24,1)*IF($C48="Ø-inches",VLOOKUP(24,'Thickness Tab'!$1:$1048576,17,0),1)</f>
        <v>0</v>
      </c>
      <c r="K48" s="738">
        <v>15</v>
      </c>
      <c r="L48" s="37"/>
    </row>
    <row r="49" spans="1:12" x14ac:dyDescent="0.3">
      <c r="A49" s="31" t="s">
        <v>1185</v>
      </c>
      <c r="B49" s="51" t="s">
        <v>1186</v>
      </c>
      <c r="C49" s="1177" t="s">
        <v>388</v>
      </c>
      <c r="D49" s="58">
        <f>(SUMPRODUCT('Piping Material List'!$AE$3:$AE$96,'Piping Material List'!$BS$3:$BS$96,'Piping Material List'!$DI$3:$DI$96,'Piping Material List'!EH$3:EH$96)+SUMPRODUCT('Piping Material List'!$AF$3:$AF$96,'Piping Material List'!$CU$3:$CU$96,'Piping Material List'!$DI$3:$DI$96,'Piping Material List'!EH$3:EH$96))*IF($C49="d-inches",24,1)*IF($C49="Ø-inches",VLOOKUP(24,'Thickness Tab'!$1:$1048576,17,0),1)</f>
        <v>0</v>
      </c>
      <c r="E49" s="58">
        <f>(SUMPRODUCT('Piping Material List'!$AE$3:$AE$96,'Piping Material List'!$BS$3:$BS$96,'Piping Material List'!$DI$3:$DI$96,'Piping Material List'!EI$3:EI$96)+SUMPRODUCT('Piping Material List'!$AF$3:$AF$96,'Piping Material List'!$CU$3:$CU$96,'Piping Material List'!$DI$3:$DI$96,'Piping Material List'!EI$3:EI$96))*IF($C49="d-inches",24,1)*IF($C49="Ø-inches",VLOOKUP(24,'Thickness Tab'!$1:$1048576,17,0),1)</f>
        <v>0</v>
      </c>
      <c r="F49" s="58">
        <f>(SUMPRODUCT('Piping Material List'!$AE$3:$AE$96,'Piping Material List'!$BS$3:$BS$96,'Piping Material List'!$DI$3:$DI$96,'Piping Material List'!EJ$3:EJ$96)+SUMPRODUCT('Piping Material List'!$AF$3:$AF$96,'Piping Material List'!$CU$3:$CU$96,'Piping Material List'!$DI$3:$DI$96,'Piping Material List'!EJ$3:EJ$96))*IF($C49="d-inches",24,1)*IF($C49="Ø-inches",VLOOKUP(24,'Thickness Tab'!$1:$1048576,17,0),1)</f>
        <v>0</v>
      </c>
      <c r="G49" s="58">
        <f>(SUMPRODUCT('Piping Material List'!$AE$3:$AE$96,'Piping Material List'!$BS$3:$BS$96,'Piping Material List'!$DI$3:$DI$96,'Piping Material List'!EK$3:EK$96)+SUMPRODUCT('Piping Material List'!$AF$3:$AF$96,'Piping Material List'!$CU$3:$CU$96,'Piping Material List'!$DI$3:$DI$96,'Piping Material List'!EK$3:EK$96))*IF($C49="d-inches",24,1)*IF($C49="Ø-inches",VLOOKUP(24,'Thickness Tab'!$1:$1048576,17,0),1)</f>
        <v>0</v>
      </c>
      <c r="H49" s="58">
        <f>(SUMPRODUCT('Piping Material List'!$AE$3:$AE$96,'Piping Material List'!$BS$3:$BS$96,'Piping Material List'!$DI$3:$DI$96,'Piping Material List'!EL$3:EL$96)+SUMPRODUCT('Piping Material List'!$AF$3:$AF$96,'Piping Material List'!$CU$3:$CU$96,'Piping Material List'!$DI$3:$DI$96,'Piping Material List'!EL$3:EL$96))*IF($C49="d-inches",24,1)*IF($C49="Ø-inches",VLOOKUP(24,'Thickness Tab'!$1:$1048576,17,0),1)</f>
        <v>0</v>
      </c>
      <c r="I49" s="58">
        <f>(SUMPRODUCT('Piping Material List'!$AE$3:$AE$96,'Piping Material List'!$BS$3:$BS$96,'Piping Material List'!$DI$3:$DI$96,'Piping Material List'!EM$3:EM$96)+SUMPRODUCT('Piping Material List'!$AF$3:$AF$96,'Piping Material List'!$CU$3:$CU$96,'Piping Material List'!$DI$3:$DI$96,'Piping Material List'!EM$3:EM$96))*IF($C49="d-inches",24,1)*IF($C49="Ø-inches",VLOOKUP(24,'Thickness Tab'!$1:$1048576,17,0),1)</f>
        <v>0</v>
      </c>
      <c r="J49" s="58">
        <f>(SUMPRODUCT('Piping Material List'!$AE$3:$AE$96,'Piping Material List'!$BS$3:$BS$96,'Piping Material List'!$DI$3:$DI$96,'Piping Material List'!EN$3:EN$96)+SUMPRODUCT('Piping Material List'!$AF$3:$AF$96,'Piping Material List'!$CU$3:$CU$96,'Piping Material List'!$DI$3:$DI$96,'Piping Material List'!EN$3:EN$96))*IF($C49="d-inches",24,1)*IF($C49="Ø-inches",VLOOKUP(24,'Thickness Tab'!$1:$1048576,17,0),1)</f>
        <v>0</v>
      </c>
      <c r="K49" s="738">
        <v>15</v>
      </c>
      <c r="L49" s="37">
        <f t="shared" ref="L49:L56" si="4">SUMPRODUCT(D49:J49,$D$29:$J$29)*K49</f>
        <v>0</v>
      </c>
    </row>
    <row r="50" spans="1:12" x14ac:dyDescent="0.3">
      <c r="A50" s="31" t="s">
        <v>1187</v>
      </c>
      <c r="B50" s="51" t="s">
        <v>1188</v>
      </c>
      <c r="C50" s="1177" t="s">
        <v>388</v>
      </c>
      <c r="D50" s="58">
        <f>(SUMPRODUCT('Piping Material List'!$AE$3:$AE$96,'Piping Material List'!$BT$3:$BT$96,'Piping Material List'!$DI$3:$DI$96,'Piping Material List'!EH$3:EH$96)+SUMPRODUCT('Piping Material List'!$AF$3:$AF$96,'Piping Material List'!$CS$3:$CS$96,'Piping Material List'!$DI$3:$DI$96,'Piping Material List'!EH$3:EH$96))*IF($C50="d-inches",24,1)*IF($C50="Ø-inches",VLOOKUP(24,'Thickness Tab'!$1:$1048576,17,0),1)</f>
        <v>0</v>
      </c>
      <c r="E50" s="58">
        <f>(SUMPRODUCT('Piping Material List'!$AE$3:$AE$96,'Piping Material List'!$BT$3:$BT$96,'Piping Material List'!$DI$3:$DI$96,'Piping Material List'!EI$3:EI$96)+SUMPRODUCT('Piping Material List'!$AF$3:$AF$96,'Piping Material List'!$CS$3:$CS$96,'Piping Material List'!$DI$3:$DI$96,'Piping Material List'!EI$3:EI$96))*IF($C50="d-inches",24,1)*IF($C50="Ø-inches",VLOOKUP(24,'Thickness Tab'!$1:$1048576,17,0),1)</f>
        <v>0</v>
      </c>
      <c r="F50" s="58">
        <f>(SUMPRODUCT('Piping Material List'!$AE$3:$AE$96,'Piping Material List'!$BT$3:$BT$96,'Piping Material List'!$DI$3:$DI$96,'Piping Material List'!EJ$3:EJ$96)+SUMPRODUCT('Piping Material List'!$AF$3:$AF$96,'Piping Material List'!$CS$3:$CS$96,'Piping Material List'!$DI$3:$DI$96,'Piping Material List'!EJ$3:EJ$96))*IF($C50="d-inches",24,1)*IF($C50="Ø-inches",VLOOKUP(24,'Thickness Tab'!$1:$1048576,17,0),1)</f>
        <v>0</v>
      </c>
      <c r="G50" s="58">
        <f>(SUMPRODUCT('Piping Material List'!$AE$3:$AE$96,'Piping Material List'!$BT$3:$BT$96,'Piping Material List'!$DI$3:$DI$96,'Piping Material List'!EK$3:EK$96)+SUMPRODUCT('Piping Material List'!$AF$3:$AF$96,'Piping Material List'!$CS$3:$CS$96,'Piping Material List'!$DI$3:$DI$96,'Piping Material List'!EK$3:EK$96))*IF($C50="d-inches",24,1)*IF($C50="Ø-inches",VLOOKUP(24,'Thickness Tab'!$1:$1048576,17,0),1)</f>
        <v>0</v>
      </c>
      <c r="H50" s="58">
        <f>(SUMPRODUCT('Piping Material List'!$AE$3:$AE$96,'Piping Material List'!$BT$3:$BT$96,'Piping Material List'!$DI$3:$DI$96,'Piping Material List'!EL$3:EL$96)+SUMPRODUCT('Piping Material List'!$AF$3:$AF$96,'Piping Material List'!$CS$3:$CS$96,'Piping Material List'!$DI$3:$DI$96,'Piping Material List'!EL$3:EL$96))*IF($C50="d-inches",24,1)*IF($C50="Ø-inches",VLOOKUP(24,'Thickness Tab'!$1:$1048576,17,0),1)</f>
        <v>0</v>
      </c>
      <c r="I50" s="58">
        <f>(SUMPRODUCT('Piping Material List'!$AE$3:$AE$96,'Piping Material List'!$BT$3:$BT$96,'Piping Material List'!$DI$3:$DI$96,'Piping Material List'!EM$3:EM$96)+SUMPRODUCT('Piping Material List'!$AF$3:$AF$96,'Piping Material List'!$CS$3:$CS$96,'Piping Material List'!$DI$3:$DI$96,'Piping Material List'!EM$3:EM$96))*IF($C50="d-inches",24,1)*IF($C50="Ø-inches",VLOOKUP(24,'Thickness Tab'!$1:$1048576,17,0),1)</f>
        <v>0</v>
      </c>
      <c r="J50" s="58">
        <f>(SUMPRODUCT('Piping Material List'!$AE$3:$AE$96,'Piping Material List'!$BT$3:$BT$96,'Piping Material List'!$DI$3:$DI$96,'Piping Material List'!EN$3:EN$96)+SUMPRODUCT('Piping Material List'!$AF$3:$AF$96,'Piping Material List'!$CS$3:$CS$96,'Piping Material List'!$DI$3:$DI$96,'Piping Material List'!EN$3:EN$96))*IF($C50="d-inches",24,1)*IF($C50="Ø-inches",VLOOKUP(24,'Thickness Tab'!$1:$1048576,17,0),1)</f>
        <v>0</v>
      </c>
      <c r="K50" s="738">
        <v>15</v>
      </c>
      <c r="L50" s="37">
        <f t="shared" si="4"/>
        <v>0</v>
      </c>
    </row>
    <row r="51" spans="1:12" x14ac:dyDescent="0.3">
      <c r="A51" s="31" t="s">
        <v>1189</v>
      </c>
      <c r="B51" s="51" t="s">
        <v>1190</v>
      </c>
      <c r="C51" s="1177" t="s">
        <v>388</v>
      </c>
      <c r="D51" s="58">
        <f>(SUMPRODUCT('Piping Material List'!$AE$3:$AE$96,'Piping Material List'!$BU$3:$BU$96,'Piping Material List'!$DI$3:$DI$96,'Piping Material List'!EH$3:EH$96)+SUMPRODUCT('Piping Material List'!$AF$3:$AF$96,'Piping Material List'!$CS$3:$CS$96,'Piping Material List'!$DI$3:$DI$96,'Piping Material List'!EH$3:EH$96))*IF($C51="d-inches",24,1)*IF($C51="Ø-inches",VLOOKUP(24,'Thickness Tab'!$1:$1048576,17,0),1)</f>
        <v>0</v>
      </c>
      <c r="E51" s="58">
        <f>(SUMPRODUCT('Piping Material List'!$AE$3:$AE$96,'Piping Material List'!$BU$3:$BU$96,'Piping Material List'!$DI$3:$DI$96,'Piping Material List'!EI$3:EI$96)+SUMPRODUCT('Piping Material List'!$AF$3:$AF$96,'Piping Material List'!$CS$3:$CS$96,'Piping Material List'!$DI$3:$DI$96,'Piping Material List'!EI$3:EI$96))*IF($C51="d-inches",24,1)*IF($C51="Ø-inches",VLOOKUP(24,'Thickness Tab'!$1:$1048576,17,0),1)</f>
        <v>0</v>
      </c>
      <c r="F51" s="58">
        <f>(SUMPRODUCT('Piping Material List'!$AE$3:$AE$96,'Piping Material List'!$BU$3:$BU$96,'Piping Material List'!$DI$3:$DI$96,'Piping Material List'!EJ$3:EJ$96)+SUMPRODUCT('Piping Material List'!$AF$3:$AF$96,'Piping Material List'!$CS$3:$CS$96,'Piping Material List'!$DI$3:$DI$96,'Piping Material List'!EJ$3:EJ$96))*IF($C51="d-inches",24,1)*IF($C51="Ø-inches",VLOOKUP(24,'Thickness Tab'!$1:$1048576,17,0),1)</f>
        <v>0</v>
      </c>
      <c r="G51" s="58">
        <f>(SUMPRODUCT('Piping Material List'!$AE$3:$AE$96,'Piping Material List'!$BU$3:$BU$96,'Piping Material List'!$DI$3:$DI$96,'Piping Material List'!EK$3:EK$96)+SUMPRODUCT('Piping Material List'!$AF$3:$AF$96,'Piping Material List'!$CS$3:$CS$96,'Piping Material List'!$DI$3:$DI$96,'Piping Material List'!EK$3:EK$96))*IF($C51="d-inches",24,1)*IF($C51="Ø-inches",VLOOKUP(24,'Thickness Tab'!$1:$1048576,17,0),1)</f>
        <v>0</v>
      </c>
      <c r="H51" s="58">
        <f>(SUMPRODUCT('Piping Material List'!$AE$3:$AE$96,'Piping Material List'!$BU$3:$BU$96,'Piping Material List'!$DI$3:$DI$96,'Piping Material List'!EL$3:EL$96)+SUMPRODUCT('Piping Material List'!$AF$3:$AF$96,'Piping Material List'!$CS$3:$CS$96,'Piping Material List'!$DI$3:$DI$96,'Piping Material List'!EL$3:EL$96))*IF($C51="d-inches",24,1)*IF($C51="Ø-inches",VLOOKUP(24,'Thickness Tab'!$1:$1048576,17,0),1)</f>
        <v>0</v>
      </c>
      <c r="I51" s="58">
        <f>(SUMPRODUCT('Piping Material List'!$AE$3:$AE$96,'Piping Material List'!$BU$3:$BU$96,'Piping Material List'!$DI$3:$DI$96,'Piping Material List'!EM$3:EM$96)+SUMPRODUCT('Piping Material List'!$AF$3:$AF$96,'Piping Material List'!$CS$3:$CS$96,'Piping Material List'!$DI$3:$DI$96,'Piping Material List'!EM$3:EM$96))*IF($C51="d-inches",24,1)*IF($C51="Ø-inches",VLOOKUP(24,'Thickness Tab'!$1:$1048576,17,0),1)</f>
        <v>0</v>
      </c>
      <c r="J51" s="58">
        <f>(SUMPRODUCT('Piping Material List'!$AE$3:$AE$96,'Piping Material List'!$BU$3:$BU$96,'Piping Material List'!$DI$3:$DI$96,'Piping Material List'!EN$3:EN$96)+SUMPRODUCT('Piping Material List'!$AF$3:$AF$96,'Piping Material List'!$CS$3:$CS$96,'Piping Material List'!$DI$3:$DI$96,'Piping Material List'!EN$3:EN$96))*IF($C51="d-inches",24,1)*IF($C51="Ø-inches",VLOOKUP(24,'Thickness Tab'!$1:$1048576,17,0),1)</f>
        <v>0</v>
      </c>
      <c r="K51" s="738">
        <v>15</v>
      </c>
      <c r="L51" s="37">
        <f t="shared" si="4"/>
        <v>0</v>
      </c>
    </row>
    <row r="52" spans="1:12" x14ac:dyDescent="0.3">
      <c r="A52" s="31" t="s">
        <v>1191</v>
      </c>
      <c r="B52" s="51" t="s">
        <v>1192</v>
      </c>
      <c r="C52" s="1177" t="s">
        <v>388</v>
      </c>
      <c r="D52" s="58">
        <f>(SUMPRODUCT('Piping Material List'!$AE$3:$AE$96,'Piping Material List'!$BV$3:$BV$96,'Piping Material List'!$DI$3:$DI$96,'Piping Material List'!EH$3:EH$96)+SUMPRODUCT('Piping Material List'!$AF$3:$AF$96,'Piping Material List'!$CS$3:$CS$96,'Piping Material List'!$DI$3:$DI$96,'Piping Material List'!EH$3:EH$96))*IF($C52="d-inches",24,1)*IF($C52="Ø-inches",VLOOKUP(24,'Thickness Tab'!$1:$1048576,17,0),1)</f>
        <v>0</v>
      </c>
      <c r="E52" s="58">
        <f>(SUMPRODUCT('Piping Material List'!$AE$3:$AE$96,'Piping Material List'!$BV$3:$BV$96,'Piping Material List'!$DI$3:$DI$96,'Piping Material List'!EI$3:EI$96)+SUMPRODUCT('Piping Material List'!$AF$3:$AF$96,'Piping Material List'!$CS$3:$CS$96,'Piping Material List'!$DI$3:$DI$96,'Piping Material List'!EI$3:EI$96))*IF($C52="d-inches",24,1)*IF($C52="Ø-inches",VLOOKUP(24,'Thickness Tab'!$1:$1048576,17,0),1)</f>
        <v>0</v>
      </c>
      <c r="F52" s="58">
        <f>(SUMPRODUCT('Piping Material List'!$AE$3:$AE$96,'Piping Material List'!$BV$3:$BV$96,'Piping Material List'!$DI$3:$DI$96,'Piping Material List'!EJ$3:EJ$96)+SUMPRODUCT('Piping Material List'!$AF$3:$AF$96,'Piping Material List'!$CS$3:$CS$96,'Piping Material List'!$DI$3:$DI$96,'Piping Material List'!EJ$3:EJ$96))*IF($C52="d-inches",24,1)*IF($C52="Ø-inches",VLOOKUP(24,'Thickness Tab'!$1:$1048576,17,0),1)</f>
        <v>0</v>
      </c>
      <c r="G52" s="58">
        <f>(SUMPRODUCT('Piping Material List'!$AE$3:$AE$96,'Piping Material List'!$BV$3:$BV$96,'Piping Material List'!$DI$3:$DI$96,'Piping Material List'!EK$3:EK$96)+SUMPRODUCT('Piping Material List'!$AF$3:$AF$96,'Piping Material List'!$CS$3:$CS$96,'Piping Material List'!$DI$3:$DI$96,'Piping Material List'!EK$3:EK$96))*IF($C52="d-inches",24,1)*IF($C52="Ø-inches",VLOOKUP(24,'Thickness Tab'!$1:$1048576,17,0),1)</f>
        <v>0</v>
      </c>
      <c r="H52" s="58">
        <f>(SUMPRODUCT('Piping Material List'!$AE$3:$AE$96,'Piping Material List'!$BV$3:$BV$96,'Piping Material List'!$DI$3:$DI$96,'Piping Material List'!EL$3:EL$96)+SUMPRODUCT('Piping Material List'!$AF$3:$AF$96,'Piping Material List'!$CS$3:$CS$96,'Piping Material List'!$DI$3:$DI$96,'Piping Material List'!EL$3:EL$96))*IF($C52="d-inches",24,1)*IF($C52="Ø-inches",VLOOKUP(24,'Thickness Tab'!$1:$1048576,17,0),1)</f>
        <v>0</v>
      </c>
      <c r="I52" s="58">
        <f>(SUMPRODUCT('Piping Material List'!$AE$3:$AE$96,'Piping Material List'!$BV$3:$BV$96,'Piping Material List'!$DI$3:$DI$96,'Piping Material List'!EM$3:EM$96)+SUMPRODUCT('Piping Material List'!$AF$3:$AF$96,'Piping Material List'!$CS$3:$CS$96,'Piping Material List'!$DI$3:$DI$96,'Piping Material List'!EM$3:EM$96))*IF($C52="d-inches",24,1)*IF($C52="Ø-inches",VLOOKUP(24,'Thickness Tab'!$1:$1048576,17,0),1)</f>
        <v>0</v>
      </c>
      <c r="J52" s="58">
        <f>(SUMPRODUCT('Piping Material List'!$AE$3:$AE$96,'Piping Material List'!$BV$3:$BV$96,'Piping Material List'!$DI$3:$DI$96,'Piping Material List'!EN$3:EN$96)+SUMPRODUCT('Piping Material List'!$AF$3:$AF$96,'Piping Material List'!$CS$3:$CS$96,'Piping Material List'!$DI$3:$DI$96,'Piping Material List'!EN$3:EN$96))*IF($C52="d-inches",24,1)*IF($C52="Ø-inches",VLOOKUP(24,'Thickness Tab'!$1:$1048576,17,0),1)</f>
        <v>0</v>
      </c>
      <c r="K52" s="738">
        <v>15</v>
      </c>
      <c r="L52" s="37">
        <f t="shared" si="4"/>
        <v>0</v>
      </c>
    </row>
    <row r="53" spans="1:12" x14ac:dyDescent="0.3">
      <c r="A53" s="31" t="s">
        <v>1193</v>
      </c>
      <c r="B53" s="51" t="s">
        <v>1194</v>
      </c>
      <c r="C53" s="1177" t="s">
        <v>388</v>
      </c>
      <c r="D53" s="58">
        <f>(SUMPRODUCT('Piping Material List'!$AE$3:$AE$96,'Piping Material List'!$BW$3:$BW$96,'Piping Material List'!$DI$3:$DI$96,'Piping Material List'!EH$3:EH$96)+SUMPRODUCT('Piping Material List'!$AF$3:$AF$96,'Piping Material List'!$CS$3:$CS$96,'Piping Material List'!$DI$3:$DI$96,'Piping Material List'!EH$3:EH$96))*IF($C53="d-inches",24,1)*IF($C53="Ø-inches",VLOOKUP(24,'Thickness Tab'!$1:$1048576,17,0),1)</f>
        <v>0</v>
      </c>
      <c r="E53" s="58">
        <f>(SUMPRODUCT('Piping Material List'!$AE$3:$AE$96,'Piping Material List'!$BW$3:$BW$96,'Piping Material List'!$DI$3:$DI$96,'Piping Material List'!EI$3:EI$96)+SUMPRODUCT('Piping Material List'!$AF$3:$AF$96,'Piping Material List'!$CS$3:$CS$96,'Piping Material List'!$DI$3:$DI$96,'Piping Material List'!EI$3:EI$96))*IF($C53="d-inches",24,1)*IF($C53="Ø-inches",VLOOKUP(24,'Thickness Tab'!$1:$1048576,17,0),1)</f>
        <v>0</v>
      </c>
      <c r="F53" s="58">
        <f>(SUMPRODUCT('Piping Material List'!$AE$3:$AE$96,'Piping Material List'!$BW$3:$BW$96,'Piping Material List'!$DI$3:$DI$96,'Piping Material List'!EJ$3:EJ$96)+SUMPRODUCT('Piping Material List'!$AF$3:$AF$96,'Piping Material List'!$CS$3:$CS$96,'Piping Material List'!$DI$3:$DI$96,'Piping Material List'!EJ$3:EJ$96))*IF($C53="d-inches",24,1)*IF($C53="Ø-inches",VLOOKUP(24,'Thickness Tab'!$1:$1048576,17,0),1)</f>
        <v>0</v>
      </c>
      <c r="G53" s="58">
        <f>(SUMPRODUCT('Piping Material List'!$AE$3:$AE$96,'Piping Material List'!$BW$3:$BW$96,'Piping Material List'!$DI$3:$DI$96,'Piping Material List'!EK$3:EK$96)+SUMPRODUCT('Piping Material List'!$AF$3:$AF$96,'Piping Material List'!$CS$3:$CS$96,'Piping Material List'!$DI$3:$DI$96,'Piping Material List'!EK$3:EK$96))*IF($C53="d-inches",24,1)*IF($C53="Ø-inches",VLOOKUP(24,'Thickness Tab'!$1:$1048576,17,0),1)</f>
        <v>0</v>
      </c>
      <c r="H53" s="58">
        <f>(SUMPRODUCT('Piping Material List'!$AE$3:$AE$96,'Piping Material List'!$BW$3:$BW$96,'Piping Material List'!$DI$3:$DI$96,'Piping Material List'!EL$3:EL$96)+SUMPRODUCT('Piping Material List'!$AF$3:$AF$96,'Piping Material List'!$CS$3:$CS$96,'Piping Material List'!$DI$3:$DI$96,'Piping Material List'!EL$3:EL$96))*IF($C53="d-inches",24,1)*IF($C53="Ø-inches",VLOOKUP(24,'Thickness Tab'!$1:$1048576,17,0),1)</f>
        <v>0</v>
      </c>
      <c r="I53" s="58">
        <f>(SUMPRODUCT('Piping Material List'!$AE$3:$AE$96,'Piping Material List'!$BW$3:$BW$96,'Piping Material List'!$DI$3:$DI$96,'Piping Material List'!EM$3:EM$96)+SUMPRODUCT('Piping Material List'!$AF$3:$AF$96,'Piping Material List'!$CS$3:$CS$96,'Piping Material List'!$DI$3:$DI$96,'Piping Material List'!EM$3:EM$96))*IF($C53="d-inches",24,1)*IF($C53="Ø-inches",VLOOKUP(24,'Thickness Tab'!$1:$1048576,17,0),1)</f>
        <v>0</v>
      </c>
      <c r="J53" s="58">
        <f>(SUMPRODUCT('Piping Material List'!$AE$3:$AE$96,'Piping Material List'!$BW$3:$BW$96,'Piping Material List'!$DI$3:$DI$96,'Piping Material List'!EN$3:EN$96)+SUMPRODUCT('Piping Material List'!$AF$3:$AF$96,'Piping Material List'!$CS$3:$CS$96,'Piping Material List'!$DI$3:$DI$96,'Piping Material List'!EN$3:EN$96))*IF($C53="d-inches",24,1)*IF($C53="Ø-inches",VLOOKUP(24,'Thickness Tab'!$1:$1048576,17,0),1)</f>
        <v>0</v>
      </c>
      <c r="K53" s="738">
        <v>15</v>
      </c>
      <c r="L53" s="37">
        <f t="shared" si="4"/>
        <v>0</v>
      </c>
    </row>
    <row r="54" spans="1:12" x14ac:dyDescent="0.3">
      <c r="A54" s="31" t="s">
        <v>1195</v>
      </c>
      <c r="B54" s="51" t="s">
        <v>1196</v>
      </c>
      <c r="C54" s="1177" t="s">
        <v>388</v>
      </c>
      <c r="D54" s="58">
        <f>(SUMPRODUCT('Piping Material List'!$AE$3:$AE$96,'Piping Material List'!$BX$3:$BX$96,'Piping Material List'!$DI$3:$DI$96,'Piping Material List'!EH$3:EH$96)+SUMPRODUCT('Piping Material List'!$AF$3:$AF$96,'Piping Material List'!$CS$3:$CS$96,'Piping Material List'!$DI$3:$DI$96,'Piping Material List'!EH$3:EH$96))*IF($C54="d-inches",24,1)*IF($C54="Ø-inches",VLOOKUP(24,'Thickness Tab'!$1:$1048576,17,0),1)</f>
        <v>0</v>
      </c>
      <c r="E54" s="58">
        <f>(SUMPRODUCT('Piping Material List'!$AE$3:$AE$96,'Piping Material List'!$BX$3:$BX$96,'Piping Material List'!$DI$3:$DI$96,'Piping Material List'!EI$3:EI$96)+SUMPRODUCT('Piping Material List'!$AF$3:$AF$96,'Piping Material List'!$CS$3:$CS$96,'Piping Material List'!$DI$3:$DI$96,'Piping Material List'!EI$3:EI$96))*IF($C54="d-inches",24,1)*IF($C54="Ø-inches",VLOOKUP(24,'Thickness Tab'!$1:$1048576,17,0),1)</f>
        <v>0</v>
      </c>
      <c r="F54" s="58">
        <f>(SUMPRODUCT('Piping Material List'!$AE$3:$AE$96,'Piping Material List'!$BX$3:$BX$96,'Piping Material List'!$DI$3:$DI$96,'Piping Material List'!EJ$3:EJ$96)+SUMPRODUCT('Piping Material List'!$AF$3:$AF$96,'Piping Material List'!$CS$3:$CS$96,'Piping Material List'!$DI$3:$DI$96,'Piping Material List'!EJ$3:EJ$96))*IF($C54="d-inches",24,1)*IF($C54="Ø-inches",VLOOKUP(24,'Thickness Tab'!$1:$1048576,17,0),1)</f>
        <v>0</v>
      </c>
      <c r="G54" s="58">
        <f>(SUMPRODUCT('Piping Material List'!$AE$3:$AE$96,'Piping Material List'!$BX$3:$BX$96,'Piping Material List'!$DI$3:$DI$96,'Piping Material List'!EK$3:EK$96)+SUMPRODUCT('Piping Material List'!$AF$3:$AF$96,'Piping Material List'!$CS$3:$CS$96,'Piping Material List'!$DI$3:$DI$96,'Piping Material List'!EK$3:EK$96))*IF($C54="d-inches",24,1)*IF($C54="Ø-inches",VLOOKUP(24,'Thickness Tab'!$1:$1048576,17,0),1)</f>
        <v>0</v>
      </c>
      <c r="H54" s="58">
        <f>(SUMPRODUCT('Piping Material List'!$AE$3:$AE$96,'Piping Material List'!$BX$3:$BX$96,'Piping Material List'!$DI$3:$DI$96,'Piping Material List'!EL$3:EL$96)+SUMPRODUCT('Piping Material List'!$AF$3:$AF$96,'Piping Material List'!$CS$3:$CS$96,'Piping Material List'!$DI$3:$DI$96,'Piping Material List'!EL$3:EL$96))*IF($C54="d-inches",24,1)*IF($C54="Ø-inches",VLOOKUP(24,'Thickness Tab'!$1:$1048576,17,0),1)</f>
        <v>0</v>
      </c>
      <c r="I54" s="58">
        <f>(SUMPRODUCT('Piping Material List'!$AE$3:$AE$96,'Piping Material List'!$BX$3:$BX$96,'Piping Material List'!$DI$3:$DI$96,'Piping Material List'!EM$3:EM$96)+SUMPRODUCT('Piping Material List'!$AF$3:$AF$96,'Piping Material List'!$CS$3:$CS$96,'Piping Material List'!$DI$3:$DI$96,'Piping Material List'!EM$3:EM$96))*IF($C54="d-inches",24,1)*IF($C54="Ø-inches",VLOOKUP(24,'Thickness Tab'!$1:$1048576,17,0),1)</f>
        <v>0</v>
      </c>
      <c r="J54" s="58">
        <f>(SUMPRODUCT('Piping Material List'!$AE$3:$AE$96,'Piping Material List'!$BX$3:$BX$96,'Piping Material List'!$DI$3:$DI$96,'Piping Material List'!EN$3:EN$96)+SUMPRODUCT('Piping Material List'!$AF$3:$AF$96,'Piping Material List'!$CS$3:$CS$96,'Piping Material List'!$DI$3:$DI$96,'Piping Material List'!EN$3:EN$96))*IF($C54="d-inches",24,1)*IF($C54="Ø-inches",VLOOKUP(24,'Thickness Tab'!$1:$1048576,17,0),1)</f>
        <v>0</v>
      </c>
      <c r="K54" s="738">
        <v>15</v>
      </c>
      <c r="L54" s="37">
        <f t="shared" si="4"/>
        <v>0</v>
      </c>
    </row>
    <row r="55" spans="1:12" x14ac:dyDescent="0.3">
      <c r="A55" s="31" t="s">
        <v>1197</v>
      </c>
      <c r="B55" s="51" t="s">
        <v>1198</v>
      </c>
      <c r="C55" s="1177" t="s">
        <v>388</v>
      </c>
      <c r="D55" s="58">
        <f>(SUMPRODUCT('Piping Material List'!$AE$3:$AE$96,'Piping Material List'!$BY$3:$BY$96,'Piping Material List'!$DI$3:$DI$96,'Piping Material List'!EH$3:EH$96)+SUMPRODUCT('Piping Material List'!$AF$3:$AF$96,'Piping Material List'!$CS$3:$CS$96,'Piping Material List'!$DI$3:$DI$96,'Piping Material List'!EH$3:EH$96))*IF($C55="d-inches",24,1)*IF($C55="Ø-inches",VLOOKUP(24,'Thickness Tab'!$1:$1048576,17,0),1)</f>
        <v>0</v>
      </c>
      <c r="E55" s="58">
        <f>(SUMPRODUCT('Piping Material List'!$AE$3:$AE$96,'Piping Material List'!$BY$3:$BY$96,'Piping Material List'!$DI$3:$DI$96,'Piping Material List'!EI$3:EI$96)+SUMPRODUCT('Piping Material List'!$AF$3:$AF$96,'Piping Material List'!$CS$3:$CS$96,'Piping Material List'!$DI$3:$DI$96,'Piping Material List'!EI$3:EI$96))*IF($C55="d-inches",24,1)*IF($C55="Ø-inches",VLOOKUP(24,'Thickness Tab'!$1:$1048576,17,0),1)</f>
        <v>0</v>
      </c>
      <c r="F55" s="58">
        <f>(SUMPRODUCT('Piping Material List'!$AE$3:$AE$96,'Piping Material List'!$BY$3:$BY$96,'Piping Material List'!$DI$3:$DI$96,'Piping Material List'!EJ$3:EJ$96)+SUMPRODUCT('Piping Material List'!$AF$3:$AF$96,'Piping Material List'!$CS$3:$CS$96,'Piping Material List'!$DI$3:$DI$96,'Piping Material List'!EJ$3:EJ$96))*IF($C55="d-inches",24,1)*IF($C55="Ø-inches",VLOOKUP(24,'Thickness Tab'!$1:$1048576,17,0),1)</f>
        <v>0</v>
      </c>
      <c r="G55" s="58">
        <f>(SUMPRODUCT('Piping Material List'!$AE$3:$AE$96,'Piping Material List'!$BY$3:$BY$96,'Piping Material List'!$DI$3:$DI$96,'Piping Material List'!EK$3:EK$96)+SUMPRODUCT('Piping Material List'!$AF$3:$AF$96,'Piping Material List'!$CS$3:$CS$96,'Piping Material List'!$DI$3:$DI$96,'Piping Material List'!EK$3:EK$96))*IF($C55="d-inches",24,1)*IF($C55="Ø-inches",VLOOKUP(24,'Thickness Tab'!$1:$1048576,17,0),1)</f>
        <v>0</v>
      </c>
      <c r="H55" s="58">
        <f>(SUMPRODUCT('Piping Material List'!$AE$3:$AE$96,'Piping Material List'!$BY$3:$BY$96,'Piping Material List'!$DI$3:$DI$96,'Piping Material List'!EL$3:EL$96)+SUMPRODUCT('Piping Material List'!$AF$3:$AF$96,'Piping Material List'!$CS$3:$CS$96,'Piping Material List'!$DI$3:$DI$96,'Piping Material List'!EL$3:EL$96))*IF($C55="d-inches",24,1)*IF($C55="Ø-inches",VLOOKUP(24,'Thickness Tab'!$1:$1048576,17,0),1)</f>
        <v>0</v>
      </c>
      <c r="I55" s="58">
        <f>(SUMPRODUCT('Piping Material List'!$AE$3:$AE$96,'Piping Material List'!$BY$3:$BY$96,'Piping Material List'!$DI$3:$DI$96,'Piping Material List'!EM$3:EM$96)+SUMPRODUCT('Piping Material List'!$AF$3:$AF$96,'Piping Material List'!$CS$3:$CS$96,'Piping Material List'!$DI$3:$DI$96,'Piping Material List'!EM$3:EM$96))*IF($C55="d-inches",24,1)*IF($C55="Ø-inches",VLOOKUP(24,'Thickness Tab'!$1:$1048576,17,0),1)</f>
        <v>0</v>
      </c>
      <c r="J55" s="58">
        <f>(SUMPRODUCT('Piping Material List'!$AE$3:$AE$96,'Piping Material List'!$BY$3:$BY$96,'Piping Material List'!$DI$3:$DI$96,'Piping Material List'!EN$3:EN$96)+SUMPRODUCT('Piping Material List'!$AF$3:$AF$96,'Piping Material List'!$CS$3:$CS$96,'Piping Material List'!$DI$3:$DI$96,'Piping Material List'!EN$3:EN$96))*IF($C55="d-inches",24,1)*IF($C55="Ø-inches",VLOOKUP(24,'Thickness Tab'!$1:$1048576,17,0),1)</f>
        <v>0</v>
      </c>
      <c r="K55" s="738">
        <v>15</v>
      </c>
      <c r="L55" s="37">
        <f t="shared" si="4"/>
        <v>0</v>
      </c>
    </row>
    <row r="56" spans="1:12" x14ac:dyDescent="0.3">
      <c r="A56" s="31" t="s">
        <v>1199</v>
      </c>
      <c r="B56" s="51" t="s">
        <v>1200</v>
      </c>
      <c r="C56" s="1177" t="s">
        <v>388</v>
      </c>
      <c r="D56" s="58">
        <f>(SUMPRODUCT('Piping Material List'!$AE$3:$AE$96,'Piping Material List'!$BZ$3:$BZ$96,'Piping Material List'!$DI$3:$DI$96,'Piping Material List'!EH$3:EH$96)+SUMPRODUCT('Piping Material List'!$AF$3:$AF$96,'Piping Material List'!$DB$3:$DB$96,'Piping Material List'!$DI$3:$DI$96,'Piping Material List'!EH$3:EH$96))*IF($C56="d-inches",22,1)*IF($C56="Ø-inches",VLOOKUP(22,'Thickness Tab'!$1:$1048576,17,0),1)</f>
        <v>0</v>
      </c>
      <c r="E56" s="58">
        <f>(SUMPRODUCT('Piping Material List'!$AE$3:$AE$96,'Piping Material List'!$BZ$3:$BZ$96,'Piping Material List'!$DI$3:$DI$96,'Piping Material List'!EI$3:EI$96)+SUMPRODUCT('Piping Material List'!$AF$3:$AF$96,'Piping Material List'!$DB$3:$DB$96,'Piping Material List'!$DI$3:$DI$96,'Piping Material List'!EI$3:EI$96))*IF($C56="d-inches",22,1)*IF($C56="Ø-inches",VLOOKUP(22,'Thickness Tab'!$1:$1048576,17,0),1)</f>
        <v>0</v>
      </c>
      <c r="F56" s="58">
        <f>(SUMPRODUCT('Piping Material List'!$AE$3:$AE$96,'Piping Material List'!$BZ$3:$BZ$96,'Piping Material List'!$DI$3:$DI$96,'Piping Material List'!EJ$3:EJ$96)+SUMPRODUCT('Piping Material List'!$AF$3:$AF$96,'Piping Material List'!$DB$3:$DB$96,'Piping Material List'!$DI$3:$DI$96,'Piping Material List'!EJ$3:EJ$96))*IF($C56="d-inches",22,1)*IF($C56="Ø-inches",VLOOKUP(22,'Thickness Tab'!$1:$1048576,17,0),1)</f>
        <v>0</v>
      </c>
      <c r="G56" s="58">
        <f>(SUMPRODUCT('Piping Material List'!$AE$3:$AE$96,'Piping Material List'!$BZ$3:$BZ$96,'Piping Material List'!$DI$3:$DI$96,'Piping Material List'!EK$3:EK$96)+SUMPRODUCT('Piping Material List'!$AF$3:$AF$96,'Piping Material List'!$DB$3:$DB$96,'Piping Material List'!$DI$3:$DI$96,'Piping Material List'!EK$3:EK$96))*IF($C56="d-inches",22,1)*IF($C56="Ø-inches",VLOOKUP(22,'Thickness Tab'!$1:$1048576,17,0),1)</f>
        <v>0</v>
      </c>
      <c r="H56" s="58">
        <f>(SUMPRODUCT('Piping Material List'!$AE$3:$AE$96,'Piping Material List'!$BZ$3:$BZ$96,'Piping Material List'!$DI$3:$DI$96,'Piping Material List'!EL$3:EL$96)+SUMPRODUCT('Piping Material List'!$AF$3:$AF$96,'Piping Material List'!$DB$3:$DB$96,'Piping Material List'!$DI$3:$DI$96,'Piping Material List'!EL$3:EL$96))*IF($C56="d-inches",22,1)*IF($C56="Ø-inches",VLOOKUP(22,'Thickness Tab'!$1:$1048576,17,0),1)</f>
        <v>0</v>
      </c>
      <c r="I56" s="58">
        <f>(SUMPRODUCT('Piping Material List'!$AE$3:$AE$96,'Piping Material List'!$BZ$3:$BZ$96,'Piping Material List'!$DI$3:$DI$96,'Piping Material List'!EM$3:EM$96)+SUMPRODUCT('Piping Material List'!$AF$3:$AF$96,'Piping Material List'!$DB$3:$DB$96,'Piping Material List'!$DI$3:$DI$96,'Piping Material List'!EM$3:EM$96))*IF($C56="d-inches",22,1)*IF($C56="Ø-inches",VLOOKUP(22,'Thickness Tab'!$1:$1048576,17,0),1)</f>
        <v>0</v>
      </c>
      <c r="J56" s="58">
        <f>(SUMPRODUCT('Piping Material List'!$AE$3:$AE$96,'Piping Material List'!$BZ$3:$BZ$96,'Piping Material List'!$DI$3:$DI$96,'Piping Material List'!EN$3:EN$96)+SUMPRODUCT('Piping Material List'!$AF$3:$AF$96,'Piping Material List'!$DB$3:$DB$96,'Piping Material List'!$DI$3:$DI$96,'Piping Material List'!EN$3:EN$96))*IF($C56="d-inches",22,1)*IF($C56="Ø-inches",VLOOKUP(22,'Thickness Tab'!$1:$1048576,17,0),1)</f>
        <v>0</v>
      </c>
      <c r="K56" s="738">
        <v>15</v>
      </c>
      <c r="L56" s="37">
        <f t="shared" si="4"/>
        <v>0</v>
      </c>
    </row>
    <row r="57" spans="1:12" x14ac:dyDescent="0.3">
      <c r="A57" s="1474" t="s">
        <v>1201</v>
      </c>
      <c r="B57" s="1479" t="s">
        <v>1095</v>
      </c>
      <c r="C57" s="1480"/>
      <c r="D57" s="1481"/>
      <c r="E57" s="1481"/>
      <c r="F57" s="1481"/>
      <c r="G57" s="1481"/>
      <c r="H57" s="1481"/>
      <c r="I57" s="1481"/>
      <c r="J57" s="1481"/>
      <c r="K57" s="1482"/>
      <c r="L57" s="1484">
        <f>SUM(L60:L77)</f>
        <v>27456</v>
      </c>
    </row>
    <row r="58" spans="1:12" x14ac:dyDescent="0.3">
      <c r="A58" s="1485"/>
      <c r="B58" s="1405"/>
      <c r="C58" s="1486" t="s">
        <v>1145</v>
      </c>
      <c r="D58" s="1487" t="str">
        <f>'Piping Material List'!EH2</f>
        <v>5S - 40</v>
      </c>
      <c r="E58" s="1487">
        <f>'Piping Material List'!EI2</f>
        <v>60</v>
      </c>
      <c r="F58" s="1487" t="str">
        <f>'Piping Material List'!EJ2</f>
        <v>XS - 80</v>
      </c>
      <c r="G58" s="1487">
        <f>'Piping Material List'!EK2</f>
        <v>100</v>
      </c>
      <c r="H58" s="1487">
        <f>'Piping Material List'!EL2</f>
        <v>120</v>
      </c>
      <c r="I58" s="1487">
        <f>'Piping Material List'!EM2</f>
        <v>140</v>
      </c>
      <c r="J58" s="1487" t="str">
        <f>'Piping Material List'!EN2</f>
        <v>160 - XXS</v>
      </c>
      <c r="K58" s="1482"/>
      <c r="L58" s="1488"/>
    </row>
    <row r="59" spans="1:12" x14ac:dyDescent="0.3">
      <c r="A59" s="1344"/>
      <c r="B59" s="1489"/>
      <c r="C59" s="1486" t="s">
        <v>1146</v>
      </c>
      <c r="D59" s="1490">
        <v>1</v>
      </c>
      <c r="E59" s="1490">
        <v>1.2</v>
      </c>
      <c r="F59" s="1490">
        <v>1.3</v>
      </c>
      <c r="G59" s="1490">
        <v>1.4</v>
      </c>
      <c r="H59" s="1490">
        <v>1.5</v>
      </c>
      <c r="I59" s="1490">
        <v>1.7</v>
      </c>
      <c r="J59" s="1490">
        <v>2</v>
      </c>
      <c r="K59" s="1482"/>
      <c r="L59" s="1488"/>
    </row>
    <row r="60" spans="1:12" x14ac:dyDescent="0.3">
      <c r="A60" s="31" t="s">
        <v>1202</v>
      </c>
      <c r="B60" s="51" t="s">
        <v>1148</v>
      </c>
      <c r="C60" s="1177" t="s">
        <v>388</v>
      </c>
      <c r="D60" s="57">
        <f>(SUMPRODUCT('Piping Material List'!$AE$3:$AE$96,'Piping Material List'!$AZ$3:$AZ$96,'Piping Material List'!$DK$3:$DK$96,'Piping Material List'!EH$3:EH$96)+SUMPRODUCT('Piping Material List'!$AF$3:$AF$96,'Piping Material List'!$CB$3:$CB$96,'Piping Material List'!$DK$3:$DK$96,'Piping Material List'!EH$3:EH$96))*IF($C60="d-inches",0.5,1)*IF($C60="Ø-inches",VLOOKUP(0.5,'Thickness Tab'!$1:$1048576,17,0),1)</f>
        <v>0</v>
      </c>
      <c r="E60" s="57">
        <f>(SUMPRODUCT('Piping Material List'!$AE$3:$AE$96,'Piping Material List'!$AZ$3:$AZ$96,'Piping Material List'!$DK$3:$DK$96,'Piping Material List'!EI$3:EI$96)+SUMPRODUCT('Piping Material List'!$AF$3:$AF$96,'Piping Material List'!$CB$3:$CB$96,'Piping Material List'!$DK$3:$DK$96,'Piping Material List'!EI$3:EI$96))*IF($C60="d-inches",0.5,1)*IF($C60="Ø-inches",VLOOKUP(0.5,'Thickness Tab'!$1:$1048576,17,0),1)</f>
        <v>0</v>
      </c>
      <c r="F60" s="57">
        <f>(SUMPRODUCT('Piping Material List'!$AE$3:$AE$96,'Piping Material List'!$AZ$3:$AZ$96,'Piping Material List'!$DK$3:$DK$96,'Piping Material List'!EJ$3:EJ$96)+SUMPRODUCT('Piping Material List'!$AF$3:$AF$96,'Piping Material List'!$CB$3:$CB$96,'Piping Material List'!$DK$3:$DK$96,'Piping Material List'!EJ$3:EJ$96))*IF($C60="d-inches",0.5,1)*IF($C60="Ø-inches",VLOOKUP(0.5,'Thickness Tab'!$1:$1048576,17,0),1)</f>
        <v>0</v>
      </c>
      <c r="G60" s="57">
        <f>(SUMPRODUCT('Piping Material List'!$AE$3:$AE$96,'Piping Material List'!$AZ$3:$AZ$96,'Piping Material List'!$DK$3:$DK$96,'Piping Material List'!EK$3:EK$96)+SUMPRODUCT('Piping Material List'!$AF$3:$AF$96,'Piping Material List'!$CB$3:$CB$96,'Piping Material List'!$DK$3:$DK$96,'Piping Material List'!EK$3:EK$96))*IF($C60="d-inches",0.5,1)*IF($C60="Ø-inches",VLOOKUP(0.5,'Thickness Tab'!$1:$1048576,17,0),1)</f>
        <v>0</v>
      </c>
      <c r="H60" s="57">
        <f>(SUMPRODUCT('Piping Material List'!$AE$3:$AE$96,'Piping Material List'!$AZ$3:$AZ$96,'Piping Material List'!$DK$3:$DK$96,'Piping Material List'!EL$3:EL$96)+SUMPRODUCT('Piping Material List'!$AF$3:$AF$96,'Piping Material List'!$CB$3:$CB$96,'Piping Material List'!$DK$3:$DK$96,'Piping Material List'!EL$3:EL$96))*IF($C60="d-inches",0.5,1)*IF($C60="Ø-inches",VLOOKUP(0.5,'Thickness Tab'!$1:$1048576,17,0),1)</f>
        <v>0</v>
      </c>
      <c r="I60" s="57">
        <f>(SUMPRODUCT('Piping Material List'!$AE$3:$AE$96,'Piping Material List'!$AZ$3:$AZ$96,'Piping Material List'!$DK$3:$DK$96,'Piping Material List'!EM$3:EM$96)+SUMPRODUCT('Piping Material List'!$AF$3:$AF$96,'Piping Material List'!$CB$3:$CB$96,'Piping Material List'!$DK$3:$DK$96,'Piping Material List'!EM$3:EM$96))*IF($C60="d-inches",0.5,1)*IF($C60="Ø-inches",VLOOKUP(0.5,'Thickness Tab'!$1:$1048576,17,0),1)</f>
        <v>0</v>
      </c>
      <c r="J60" s="57">
        <f>(SUMPRODUCT('Piping Material List'!$AE$3:$AE$96,'Piping Material List'!$AZ$3:$AZ$96,'Piping Material List'!$DK$3:$DK$96,'Piping Material List'!EN$3:EN$96)+SUMPRODUCT('Piping Material List'!$AF$3:$AF$96,'Piping Material List'!$CB$3:$CB$96,'Piping Material List'!$DK$3:$DK$96,'Piping Material List'!EN$3:EN$96))*IF($C60="d-inches",0.5,1)*IF($C60="Ø-inches",VLOOKUP(0.5,'Thickness Tab'!$1:$1048576,17,0),1)</f>
        <v>0</v>
      </c>
      <c r="K60" s="738">
        <v>20</v>
      </c>
      <c r="L60" s="30">
        <f t="shared" ref="L60:L85" si="5">SUMPRODUCT(D60:J60,$D$59:$J$59)*K60</f>
        <v>0</v>
      </c>
    </row>
    <row r="61" spans="1:12" x14ac:dyDescent="0.3">
      <c r="A61" s="31" t="s">
        <v>1203</v>
      </c>
      <c r="B61" s="51" t="s">
        <v>1150</v>
      </c>
      <c r="C61" s="1177" t="s">
        <v>388</v>
      </c>
      <c r="D61" s="58">
        <f>(SUMPRODUCT('Piping Material List'!$AE$3:$AE$96,'Piping Material List'!$BA$3:$BA$96,'Piping Material List'!$DK$3:$DK$96,'Piping Material List'!EH$3:EH$96)+SUMPRODUCT('Piping Material List'!$AF$3:$AF$96,'Piping Material List'!$CC$3:$CC$96,'Piping Material List'!$DK$3:$DK$96,'Piping Material List'!EH$3:EH$96))*IF($C61="d-inches",0.75,1)*IF($C61="Ø-inches",VLOOKUP(0.75,'Thickness Tab'!$1:$1048576,17,0),1)</f>
        <v>0</v>
      </c>
      <c r="E61" s="58">
        <f>(SUMPRODUCT('Piping Material List'!$AE$3:$AE$96,'Piping Material List'!$BA$3:$BA$96,'Piping Material List'!$DK$3:$DK$96,'Piping Material List'!EI$3:EI$96)+SUMPRODUCT('Piping Material List'!$AF$3:$AF$96,'Piping Material List'!$CC$3:$CC$96,'Piping Material List'!$DK$3:$DK$96,'Piping Material List'!EI$3:EI$96))*IF($C61="d-inches",0.75,1)*IF($C61="Ø-inches",VLOOKUP(0.75,'Thickness Tab'!$1:$1048576,17,0),1)</f>
        <v>0</v>
      </c>
      <c r="F61" s="58">
        <f>(SUMPRODUCT('Piping Material List'!$AE$3:$AE$96,'Piping Material List'!$BA$3:$BA$96,'Piping Material List'!$DK$3:$DK$96,'Piping Material List'!EJ$3:EJ$96)+SUMPRODUCT('Piping Material List'!$AF$3:$AF$96,'Piping Material List'!$CC$3:$CC$96,'Piping Material List'!$DK$3:$DK$96,'Piping Material List'!EJ$3:EJ$96))*IF($C61="d-inches",0.75,1)*IF($C61="Ø-inches",VLOOKUP(0.75,'Thickness Tab'!$1:$1048576,17,0),1)</f>
        <v>0</v>
      </c>
      <c r="G61" s="58">
        <f>(SUMPRODUCT('Piping Material List'!$AE$3:$AE$96,'Piping Material List'!$BA$3:$BA$96,'Piping Material List'!$DK$3:$DK$96,'Piping Material List'!EK$3:EK$96)+SUMPRODUCT('Piping Material List'!$AF$3:$AF$96,'Piping Material List'!$CC$3:$CC$96,'Piping Material List'!$DK$3:$DK$96,'Piping Material List'!EK$3:EK$96))*IF($C61="d-inches",0.75,1)*IF($C61="Ø-inches",VLOOKUP(0.75,'Thickness Tab'!$1:$1048576,17,0),1)</f>
        <v>0</v>
      </c>
      <c r="H61" s="58">
        <f>(SUMPRODUCT('Piping Material List'!$AE$3:$AE$96,'Piping Material List'!$BA$3:$BA$96,'Piping Material List'!$DK$3:$DK$96,'Piping Material List'!EL$3:EL$96)+SUMPRODUCT('Piping Material List'!$AF$3:$AF$96,'Piping Material List'!$CC$3:$CC$96,'Piping Material List'!$DK$3:$DK$96,'Piping Material List'!EL$3:EL$96))*IF($C61="d-inches",0.75,1)*IF($C61="Ø-inches",VLOOKUP(0.75,'Thickness Tab'!$1:$1048576,17,0),1)</f>
        <v>0</v>
      </c>
      <c r="I61" s="58">
        <f>(SUMPRODUCT('Piping Material List'!$AE$3:$AE$96,'Piping Material List'!$BA$3:$BA$96,'Piping Material List'!$DK$3:$DK$96,'Piping Material List'!EM$3:EM$96)+SUMPRODUCT('Piping Material List'!$AF$3:$AF$96,'Piping Material List'!$CC$3:$CC$96,'Piping Material List'!$DK$3:$DK$96,'Piping Material List'!EM$3:EM$96))*IF($C61="d-inches",0.75,1)*IF($C61="Ø-inches",VLOOKUP(0.75,'Thickness Tab'!$1:$1048576,17,0),1)</f>
        <v>0</v>
      </c>
      <c r="J61" s="58">
        <f>(SUMPRODUCT('Piping Material List'!$AE$3:$AE$96,'Piping Material List'!$BA$3:$BA$96,'Piping Material List'!$DK$3:$DK$96,'Piping Material List'!EN$3:EN$96)+SUMPRODUCT('Piping Material List'!$AF$3:$AF$96,'Piping Material List'!$CC$3:$CC$96,'Piping Material List'!$DK$3:$DK$96,'Piping Material List'!EN$3:EN$96))*IF($C61="d-inches",0.75,1)*IF($C61="Ø-inches",VLOOKUP(0.75,'Thickness Tab'!$1:$1048576,17,0),1)</f>
        <v>0</v>
      </c>
      <c r="K61" s="738">
        <v>20</v>
      </c>
      <c r="L61" s="37">
        <f t="shared" si="5"/>
        <v>0</v>
      </c>
    </row>
    <row r="62" spans="1:12" x14ac:dyDescent="0.3">
      <c r="A62" s="31" t="s">
        <v>1204</v>
      </c>
      <c r="B62" s="51" t="s">
        <v>1152</v>
      </c>
      <c r="C62" s="1177" t="s">
        <v>388</v>
      </c>
      <c r="D62" s="58">
        <f>(SUMPRODUCT('Piping Material List'!$AE$3:$AE$96,'Piping Material List'!$BB$3:$BB$96,'Piping Material List'!$DK$3:$DK$96,'Piping Material List'!EH$3:EH$96)+SUMPRODUCT('Piping Material List'!$AF$3:$AF$96,'Piping Material List'!$CD$3:$CD$96,'Piping Material List'!$DK$3:$DK$96,'Piping Material List'!EH$3:EH$96))*IF($C62="d-inches",1,1)*IF($C62="Ø-inches",VLOOKUP(1,'Thickness Tab'!$1:$1048576,17,0),1)</f>
        <v>0</v>
      </c>
      <c r="E62" s="58">
        <f>(SUMPRODUCT('Piping Material List'!$AE$3:$AE$96,'Piping Material List'!$BB$3:$BB$96,'Piping Material List'!$DK$3:$DK$96,'Piping Material List'!EI$3:EI$96)+SUMPRODUCT('Piping Material List'!$AF$3:$AF$96,'Piping Material List'!$CD$3:$CD$96,'Piping Material List'!$DK$3:$DK$96,'Piping Material List'!EI$3:EI$96))*IF($C62="d-inches",1,1)*IF($C62="Ø-inches",VLOOKUP(1,'Thickness Tab'!$1:$1048576,17,0),1)</f>
        <v>0</v>
      </c>
      <c r="F62" s="58">
        <f>(SUMPRODUCT('Piping Material List'!$AE$3:$AE$96,'Piping Material List'!$BB$3:$BB$96,'Piping Material List'!$DK$3:$DK$96,'Piping Material List'!EJ$3:EJ$96)+SUMPRODUCT('Piping Material List'!$AF$3:$AF$96,'Piping Material List'!$CD$3:$CD$96,'Piping Material List'!$DK$3:$DK$96,'Piping Material List'!EJ$3:EJ$96))*IF($C62="d-inches",1,1)*IF($C62="Ø-inches",VLOOKUP(1,'Thickness Tab'!$1:$1048576,17,0),1)</f>
        <v>0</v>
      </c>
      <c r="G62" s="58">
        <f>(SUMPRODUCT('Piping Material List'!$AE$3:$AE$96,'Piping Material List'!$BB$3:$BB$96,'Piping Material List'!$DK$3:$DK$96,'Piping Material List'!EK$3:EK$96)+SUMPRODUCT('Piping Material List'!$AF$3:$AF$96,'Piping Material List'!$CD$3:$CD$96,'Piping Material List'!$DK$3:$DK$96,'Piping Material List'!EK$3:EK$96))*IF($C62="d-inches",1,1)*IF($C62="Ø-inches",VLOOKUP(1,'Thickness Tab'!$1:$1048576,17,0),1)</f>
        <v>0</v>
      </c>
      <c r="H62" s="58">
        <f>(SUMPRODUCT('Piping Material List'!$AE$3:$AE$96,'Piping Material List'!$BB$3:$BB$96,'Piping Material List'!$DK$3:$DK$96,'Piping Material List'!EL$3:EL$96)+SUMPRODUCT('Piping Material List'!$AF$3:$AF$96,'Piping Material List'!$CD$3:$CD$96,'Piping Material List'!$DK$3:$DK$96,'Piping Material List'!EL$3:EL$96))*IF($C62="d-inches",1,1)*IF($C62="Ø-inches",VLOOKUP(1,'Thickness Tab'!$1:$1048576,17,0),1)</f>
        <v>0</v>
      </c>
      <c r="I62" s="58">
        <f>(SUMPRODUCT('Piping Material List'!$AE$3:$AE$96,'Piping Material List'!$BB$3:$BB$96,'Piping Material List'!$DK$3:$DK$96,'Piping Material List'!EM$3:EM$96)+SUMPRODUCT('Piping Material List'!$AF$3:$AF$96,'Piping Material List'!$CD$3:$CD$96,'Piping Material List'!$DK$3:$DK$96,'Piping Material List'!EM$3:EM$96))*IF($C62="d-inches",1,1)*IF($C62="Ø-inches",VLOOKUP(1,'Thickness Tab'!$1:$1048576,17,0),1)</f>
        <v>0</v>
      </c>
      <c r="J62" s="58">
        <f>(SUMPRODUCT('Piping Material List'!$AE$3:$AE$96,'Piping Material List'!$BB$3:$BB$96,'Piping Material List'!$DK$3:$DK$96,'Piping Material List'!EN$3:EN$96)+SUMPRODUCT('Piping Material List'!$AF$3:$AF$96,'Piping Material List'!$CD$3:$CD$96,'Piping Material List'!$DK$3:$DK$96,'Piping Material List'!EN$3:EN$96))*IF($C62="d-inches",1,1)*IF($C62="Ø-inches",VLOOKUP(1,'Thickness Tab'!$1:$1048576,17,0),1)</f>
        <v>0</v>
      </c>
      <c r="K62" s="738">
        <v>20</v>
      </c>
      <c r="L62" s="37">
        <f t="shared" si="5"/>
        <v>0</v>
      </c>
    </row>
    <row r="63" spans="1:12" x14ac:dyDescent="0.3">
      <c r="A63" s="31" t="s">
        <v>1205</v>
      </c>
      <c r="B63" s="51" t="s">
        <v>1154</v>
      </c>
      <c r="C63" s="1177" t="s">
        <v>388</v>
      </c>
      <c r="D63" s="58">
        <f>(SUMPRODUCT('Piping Material List'!$AE$3:$AE$96,'Piping Material List'!$BC$3:$BC$96,'Piping Material List'!$DK$3:$DK$96,'Piping Material List'!EH$3:EH$96)+SUMPRODUCT('Piping Material List'!$AF$3:$AF$96,'Piping Material List'!$CE$3:$CE$96,'Piping Material List'!$DK$3:$DK$96,'Piping Material List'!EH$3:EH$96))*IF($C63="d-inches",1.5,1)*IF($C63="Ø-inches",VLOOKUP(1.5,'Thickness Tab'!$1:$1048576,17,0),1)</f>
        <v>0</v>
      </c>
      <c r="E63" s="58">
        <f>(SUMPRODUCT('Piping Material List'!$AE$3:$AE$96,'Piping Material List'!$BC$3:$BC$96,'Piping Material List'!$DK$3:$DK$96,'Piping Material List'!EI$3:EI$96)+SUMPRODUCT('Piping Material List'!$AF$3:$AF$96,'Piping Material List'!$CE$3:$CE$96,'Piping Material List'!$DK$3:$DK$96,'Piping Material List'!EI$3:EI$96))*IF($C63="d-inches",1.5,1)*IF($C63="Ø-inches",VLOOKUP(1.5,'Thickness Tab'!$1:$1048576,17,0),1)</f>
        <v>0</v>
      </c>
      <c r="F63" s="58">
        <f>(SUMPRODUCT('Piping Material List'!$AE$3:$AE$96,'Piping Material List'!$BC$3:$BC$96,'Piping Material List'!$DK$3:$DK$96,'Piping Material List'!EJ$3:EJ$96)+SUMPRODUCT('Piping Material List'!$AF$3:$AF$96,'Piping Material List'!$CE$3:$CE$96,'Piping Material List'!$DK$3:$DK$96,'Piping Material List'!EJ$3:EJ$96))*IF($C63="d-inches",1.5,1)*IF($C63="Ø-inches",VLOOKUP(1.5,'Thickness Tab'!$1:$1048576,17,0),1)</f>
        <v>0</v>
      </c>
      <c r="G63" s="58">
        <f>(SUMPRODUCT('Piping Material List'!$AE$3:$AE$96,'Piping Material List'!$BC$3:$BC$96,'Piping Material List'!$DK$3:$DK$96,'Piping Material List'!EK$3:EK$96)+SUMPRODUCT('Piping Material List'!$AF$3:$AF$96,'Piping Material List'!$CE$3:$CE$96,'Piping Material List'!$DK$3:$DK$96,'Piping Material List'!EK$3:EK$96))*IF($C63="d-inches",1.5,1)*IF($C63="Ø-inches",VLOOKUP(1.5,'Thickness Tab'!$1:$1048576,17,0),1)</f>
        <v>0</v>
      </c>
      <c r="H63" s="58">
        <f>(SUMPRODUCT('Piping Material List'!$AE$3:$AE$96,'Piping Material List'!$BC$3:$BC$96,'Piping Material List'!$DK$3:$DK$96,'Piping Material List'!EL$3:EL$96)+SUMPRODUCT('Piping Material List'!$AF$3:$AF$96,'Piping Material List'!$CE$3:$CE$96,'Piping Material List'!$DK$3:$DK$96,'Piping Material List'!EL$3:EL$96))*IF($C63="d-inches",1.5,1)*IF($C63="Ø-inches",VLOOKUP(1.5,'Thickness Tab'!$1:$1048576,17,0),1)</f>
        <v>0</v>
      </c>
      <c r="I63" s="58">
        <f>(SUMPRODUCT('Piping Material List'!$AE$3:$AE$96,'Piping Material List'!$BC$3:$BC$96,'Piping Material List'!$DK$3:$DK$96,'Piping Material List'!EM$3:EM$96)+SUMPRODUCT('Piping Material List'!$AF$3:$AF$96,'Piping Material List'!$CE$3:$CE$96,'Piping Material List'!$DK$3:$DK$96,'Piping Material List'!EM$3:EM$96))*IF($C63="d-inches",1.5,1)*IF($C63="Ø-inches",VLOOKUP(1.5,'Thickness Tab'!$1:$1048576,17,0),1)</f>
        <v>0</v>
      </c>
      <c r="J63" s="58">
        <f>(SUMPRODUCT('Piping Material List'!$AE$3:$AE$96,'Piping Material List'!$BC$3:$BC$96,'Piping Material List'!$DK$3:$DK$96,'Piping Material List'!EN$3:EN$96)+SUMPRODUCT('Piping Material List'!$AF$3:$AF$96,'Piping Material List'!$CE$3:$CE$96,'Piping Material List'!$DK$3:$DK$96,'Piping Material List'!EN$3:EN$96))*IF($C63="d-inches",1.5,1)*IF($C63="Ø-inches",VLOOKUP(1.5,'Thickness Tab'!$1:$1048576,17,0),1)</f>
        <v>0</v>
      </c>
      <c r="K63" s="738">
        <v>20</v>
      </c>
      <c r="L63" s="37">
        <f t="shared" si="5"/>
        <v>0</v>
      </c>
    </row>
    <row r="64" spans="1:12" x14ac:dyDescent="0.3">
      <c r="A64" s="31" t="s">
        <v>1206</v>
      </c>
      <c r="B64" s="51" t="s">
        <v>1156</v>
      </c>
      <c r="C64" s="1177" t="s">
        <v>388</v>
      </c>
      <c r="D64" s="58">
        <f>(SUMPRODUCT('Piping Material List'!$AE$3:$AE$96,'Piping Material List'!$BD$3:$BD$96,'Piping Material List'!$DK$3:$DK$96,'Piping Material List'!EH$3:EH$96)+SUMPRODUCT('Piping Material List'!$AF$3:$AF$96,'Piping Material List'!$CF$3:$CF$96,'Piping Material List'!$DK$3:$DK$96,'Piping Material List'!EH$3:EH$96))*IF($C64="d-inches",2,1)*IF($C64="Ø-inches",VLOOKUP(2,'Thickness Tab'!$1:$1048576,17,0),1)</f>
        <v>0</v>
      </c>
      <c r="E64" s="58">
        <f>(SUMPRODUCT('Piping Material List'!$AE$3:$AE$96,'Piping Material List'!$BD$3:$BD$96,'Piping Material List'!$DK$3:$DK$96,'Piping Material List'!EI$3:EI$96)+SUMPRODUCT('Piping Material List'!$AF$3:$AF$96,'Piping Material List'!$CF$3:$CF$96,'Piping Material List'!$DK$3:$DK$96,'Piping Material List'!EI$3:EI$96))*IF($C64="d-inches",2,1)*IF($C64="Ø-inches",VLOOKUP(2,'Thickness Tab'!$1:$1048576,17,0),1)</f>
        <v>0</v>
      </c>
      <c r="F64" s="58">
        <f>(SUMPRODUCT('Piping Material List'!$AE$3:$AE$96,'Piping Material List'!$BD$3:$BD$96,'Piping Material List'!$DK$3:$DK$96,'Piping Material List'!EJ$3:EJ$96)+SUMPRODUCT('Piping Material List'!$AF$3:$AF$96,'Piping Material List'!$CF$3:$CF$96,'Piping Material List'!$DK$3:$DK$96,'Piping Material List'!EJ$3:EJ$96))*IF($C64="d-inches",2,1)*IF($C64="Ø-inches",VLOOKUP(2,'Thickness Tab'!$1:$1048576,17,0),1)</f>
        <v>0</v>
      </c>
      <c r="G64" s="58">
        <f>(SUMPRODUCT('Piping Material List'!$AE$3:$AE$96,'Piping Material List'!$BD$3:$BD$96,'Piping Material List'!$DK$3:$DK$96,'Piping Material List'!EK$3:EK$96)+SUMPRODUCT('Piping Material List'!$AF$3:$AF$96,'Piping Material List'!$CF$3:$CF$96,'Piping Material List'!$DK$3:$DK$96,'Piping Material List'!EK$3:EK$96))*IF($C64="d-inches",2,1)*IF($C64="Ø-inches",VLOOKUP(2,'Thickness Tab'!$1:$1048576,17,0),1)</f>
        <v>0</v>
      </c>
      <c r="H64" s="58">
        <f>(SUMPRODUCT('Piping Material List'!$AE$3:$AE$96,'Piping Material List'!$BD$3:$BD$96,'Piping Material List'!$DK$3:$DK$96,'Piping Material List'!EL$3:EL$96)+SUMPRODUCT('Piping Material List'!$AF$3:$AF$96,'Piping Material List'!$CF$3:$CF$96,'Piping Material List'!$DK$3:$DK$96,'Piping Material List'!EL$3:EL$96))*IF($C64="d-inches",2,1)*IF($C64="Ø-inches",VLOOKUP(2,'Thickness Tab'!$1:$1048576,17,0),1)</f>
        <v>0</v>
      </c>
      <c r="I64" s="58">
        <f>(SUMPRODUCT('Piping Material List'!$AE$3:$AE$96,'Piping Material List'!$BD$3:$BD$96,'Piping Material List'!$DK$3:$DK$96,'Piping Material List'!EM$3:EM$96)+SUMPRODUCT('Piping Material List'!$AF$3:$AF$96,'Piping Material List'!$CF$3:$CF$96,'Piping Material List'!$DK$3:$DK$96,'Piping Material List'!EM$3:EM$96))*IF($C64="d-inches",2,1)*IF($C64="Ø-inches",VLOOKUP(2,'Thickness Tab'!$1:$1048576,17,0),1)</f>
        <v>0</v>
      </c>
      <c r="J64" s="58">
        <f>(SUMPRODUCT('Piping Material List'!$AE$3:$AE$96,'Piping Material List'!$BD$3:$BD$96,'Piping Material List'!$DK$3:$DK$96,'Piping Material List'!EN$3:EN$96)+SUMPRODUCT('Piping Material List'!$AF$3:$AF$96,'Piping Material List'!$CF$3:$CF$96,'Piping Material List'!$DK$3:$DK$96,'Piping Material List'!EN$3:EN$96))*IF($C64="d-inches",2,1)*IF($C64="Ø-inches",VLOOKUP(2,'Thickness Tab'!$1:$1048576,17,0),1)</f>
        <v>0</v>
      </c>
      <c r="K64" s="738">
        <v>20</v>
      </c>
      <c r="L64" s="37">
        <f t="shared" si="5"/>
        <v>0</v>
      </c>
    </row>
    <row r="65" spans="1:12" x14ac:dyDescent="0.3">
      <c r="A65" s="31" t="s">
        <v>1207</v>
      </c>
      <c r="B65" s="51" t="s">
        <v>1158</v>
      </c>
      <c r="C65" s="1177" t="s">
        <v>388</v>
      </c>
      <c r="D65" s="58">
        <f>(SUMPRODUCT('Piping Material List'!$AE$3:$AE$96,'Piping Material List'!$BE$3:$BE$96,'Piping Material List'!$DK$3:$DK$96,'Piping Material List'!EH$3:EH$96)+SUMPRODUCT('Piping Material List'!$AF$3:$AF$96,'Piping Material List'!$CG$3:$CG$96,'Piping Material List'!$DK$3:$DK$96,'Piping Material List'!EH$3:EH$96))*IF($C65="d-inches",2.5,1)*IF($C65="Ø-inches",VLOOKUP(2.5,'Thickness Tab'!$1:$1048576,17,0),1)</f>
        <v>0</v>
      </c>
      <c r="E65" s="58">
        <f>(SUMPRODUCT('Piping Material List'!$AE$3:$AE$96,'Piping Material List'!$BE$3:$BE$96,'Piping Material List'!$DK$3:$DK$96,'Piping Material List'!EI$3:EI$96)+SUMPRODUCT('Piping Material List'!$AF$3:$AF$96,'Piping Material List'!$CG$3:$CG$96,'Piping Material List'!$DK$3:$DK$96,'Piping Material List'!EI$3:EI$96))*IF($C65="d-inches",2.5,1)*IF($C65="Ø-inches",VLOOKUP(2.5,'Thickness Tab'!$1:$1048576,17,0),1)</f>
        <v>0</v>
      </c>
      <c r="F65" s="58">
        <f>(SUMPRODUCT('Piping Material List'!$AE$3:$AE$96,'Piping Material List'!$BE$3:$BE$96,'Piping Material List'!$DK$3:$DK$96,'Piping Material List'!EJ$3:EJ$96)+SUMPRODUCT('Piping Material List'!$AF$3:$AF$96,'Piping Material List'!$CG$3:$CG$96,'Piping Material List'!$DK$3:$DK$96,'Piping Material List'!EJ$3:EJ$96))*IF($C65="d-inches",2.5,1)*IF($C65="Ø-inches",VLOOKUP(2.5,'Thickness Tab'!$1:$1048576,17,0),1)</f>
        <v>0</v>
      </c>
      <c r="G65" s="58">
        <f>(SUMPRODUCT('Piping Material List'!$AE$3:$AE$96,'Piping Material List'!$BE$3:$BE$96,'Piping Material List'!$DK$3:$DK$96,'Piping Material List'!EK$3:EK$96)+SUMPRODUCT('Piping Material List'!$AF$3:$AF$96,'Piping Material List'!$CG$3:$CG$96,'Piping Material List'!$DK$3:$DK$96,'Piping Material List'!EK$3:EK$96))*IF($C65="d-inches",2.5,1)*IF($C65="Ø-inches",VLOOKUP(2.5,'Thickness Tab'!$1:$1048576,17,0),1)</f>
        <v>0</v>
      </c>
      <c r="H65" s="58">
        <f>(SUMPRODUCT('Piping Material List'!$AE$3:$AE$96,'Piping Material List'!$BE$3:$BE$96,'Piping Material List'!$DK$3:$DK$96,'Piping Material List'!EL$3:EL$96)+SUMPRODUCT('Piping Material List'!$AF$3:$AF$96,'Piping Material List'!$CG$3:$CG$96,'Piping Material List'!$DK$3:$DK$96,'Piping Material List'!EL$3:EL$96))*IF($C65="d-inches",2.5,1)*IF($C65="Ø-inches",VLOOKUP(2.5,'Thickness Tab'!$1:$1048576,17,0),1)</f>
        <v>0</v>
      </c>
      <c r="I65" s="58">
        <f>(SUMPRODUCT('Piping Material List'!$AE$3:$AE$96,'Piping Material List'!$BE$3:$BE$96,'Piping Material List'!$DK$3:$DK$96,'Piping Material List'!EM$3:EM$96)+SUMPRODUCT('Piping Material List'!$AF$3:$AF$96,'Piping Material List'!$CG$3:$CG$96,'Piping Material List'!$DK$3:$DK$96,'Piping Material List'!EM$3:EM$96))*IF($C65="d-inches",2.5,1)*IF($C65="Ø-inches",VLOOKUP(2.5,'Thickness Tab'!$1:$1048576,17,0),1)</f>
        <v>0</v>
      </c>
      <c r="J65" s="58">
        <f>(SUMPRODUCT('Piping Material List'!$AE$3:$AE$96,'Piping Material List'!$BE$3:$BE$96,'Piping Material List'!$DK$3:$DK$96,'Piping Material List'!EN$3:EN$96)+SUMPRODUCT('Piping Material List'!$AF$3:$AF$96,'Piping Material List'!$CG$3:$CG$96,'Piping Material List'!$DK$3:$DK$96,'Piping Material List'!EN$3:EN$96))*IF($C65="d-inches",2.5,1)*IF($C65="Ø-inches",VLOOKUP(2.5,'Thickness Tab'!$1:$1048576,17,0),1)</f>
        <v>0</v>
      </c>
      <c r="K65" s="738">
        <v>20</v>
      </c>
      <c r="L65" s="37">
        <f t="shared" si="5"/>
        <v>0</v>
      </c>
    </row>
    <row r="66" spans="1:12" x14ac:dyDescent="0.3">
      <c r="A66" s="31" t="s">
        <v>1208</v>
      </c>
      <c r="B66" s="51" t="s">
        <v>1160</v>
      </c>
      <c r="C66" s="1177" t="s">
        <v>388</v>
      </c>
      <c r="D66" s="58">
        <f>(SUMPRODUCT('Piping Material List'!$AE$3:$AE$96,'Piping Material List'!$BF$3:$BF$96,'Piping Material List'!$DK$3:$DK$96,'Piping Material List'!EH$3:EH$96)+SUMPRODUCT('Piping Material List'!$AF$3:$AF$96,'Piping Material List'!$CH$3:$CH$96,'Piping Material List'!$DK$3:$DK$96,'Piping Material List'!EH$3:EH$96))*IF($C66="d-inches",3,1)*IF($C66="Ø-inches",VLOOKUP(3,'Thickness Tab'!$1:$1048576,17,0),1)</f>
        <v>432</v>
      </c>
      <c r="E66" s="58">
        <f>(SUMPRODUCT('Piping Material List'!$AE$3:$AE$96,'Piping Material List'!$BF$3:$BF$96,'Piping Material List'!$DK$3:$DK$96,'Piping Material List'!EI$3:EI$96)+SUMPRODUCT('Piping Material List'!$AF$3:$AF$96,'Piping Material List'!$CH$3:$CH$96,'Piping Material List'!$DK$3:$DK$96,'Piping Material List'!EI$3:EI$96))*IF($C66="d-inches",3,1)*IF($C66="Ø-inches",VLOOKUP(3,'Thickness Tab'!$1:$1048576,17,0),1)</f>
        <v>0</v>
      </c>
      <c r="F66" s="58">
        <f>(SUMPRODUCT('Piping Material List'!$AE$3:$AE$96,'Piping Material List'!$BF$3:$BF$96,'Piping Material List'!$DK$3:$DK$96,'Piping Material List'!EJ$3:EJ$96)+SUMPRODUCT('Piping Material List'!$AF$3:$AF$96,'Piping Material List'!$CH$3:$CH$96,'Piping Material List'!$DK$3:$DK$96,'Piping Material List'!EJ$3:EJ$96))*IF($C66="d-inches",3,1)*IF($C66="Ø-inches",VLOOKUP(3,'Thickness Tab'!$1:$1048576,17,0),1)</f>
        <v>0</v>
      </c>
      <c r="G66" s="58">
        <f>(SUMPRODUCT('Piping Material List'!$AE$3:$AE$96,'Piping Material List'!$BF$3:$BF$96,'Piping Material List'!$DK$3:$DK$96,'Piping Material List'!EK$3:EK$96)+SUMPRODUCT('Piping Material List'!$AF$3:$AF$96,'Piping Material List'!$CH$3:$CH$96,'Piping Material List'!$DK$3:$DK$96,'Piping Material List'!EK$3:EK$96))*IF($C66="d-inches",3,1)*IF($C66="Ø-inches",VLOOKUP(3,'Thickness Tab'!$1:$1048576,17,0),1)</f>
        <v>0</v>
      </c>
      <c r="H66" s="58">
        <f>(SUMPRODUCT('Piping Material List'!$AE$3:$AE$96,'Piping Material List'!$BF$3:$BF$96,'Piping Material List'!$DK$3:$DK$96,'Piping Material List'!EL$3:EL$96)+SUMPRODUCT('Piping Material List'!$AF$3:$AF$96,'Piping Material List'!$CH$3:$CH$96,'Piping Material List'!$DK$3:$DK$96,'Piping Material List'!EL$3:EL$96))*IF($C66="d-inches",3,1)*IF($C66="Ø-inches",VLOOKUP(3,'Thickness Tab'!$1:$1048576,17,0),1)</f>
        <v>0</v>
      </c>
      <c r="I66" s="58">
        <f>(SUMPRODUCT('Piping Material List'!$AE$3:$AE$96,'Piping Material List'!$BF$3:$BF$96,'Piping Material List'!$DK$3:$DK$96,'Piping Material List'!EM$3:EM$96)+SUMPRODUCT('Piping Material List'!$AF$3:$AF$96,'Piping Material List'!$CH$3:$CH$96,'Piping Material List'!$DK$3:$DK$96,'Piping Material List'!EM$3:EM$96))*IF($C66="d-inches",3,1)*IF($C66="Ø-inches",VLOOKUP(3,'Thickness Tab'!$1:$1048576,17,0),1)</f>
        <v>0</v>
      </c>
      <c r="J66" s="58">
        <f>(SUMPRODUCT('Piping Material List'!$AE$3:$AE$96,'Piping Material List'!$BF$3:$BF$96,'Piping Material List'!$DK$3:$DK$96,'Piping Material List'!EN$3:EN$96)+SUMPRODUCT('Piping Material List'!$AF$3:$AF$96,'Piping Material List'!$CH$3:$CH$96,'Piping Material List'!$DK$3:$DK$96,'Piping Material List'!EN$3:EN$96))*IF($C66="d-inches",3,1)*IF($C66="Ø-inches",VLOOKUP(3,'Thickness Tab'!$1:$1048576,17,0),1)</f>
        <v>0</v>
      </c>
      <c r="K66" s="738">
        <v>20</v>
      </c>
      <c r="L66" s="37">
        <f t="shared" si="5"/>
        <v>8640</v>
      </c>
    </row>
    <row r="67" spans="1:12" x14ac:dyDescent="0.3">
      <c r="A67" s="31" t="s">
        <v>1209</v>
      </c>
      <c r="B67" s="51" t="s">
        <v>1162</v>
      </c>
      <c r="C67" s="1177" t="s">
        <v>388</v>
      </c>
      <c r="D67" s="58">
        <f>(SUMPRODUCT('Piping Material List'!$AE$3:$AE$96,'Piping Material List'!$BG$3:$BG$96,'Piping Material List'!$DK$3:$DK$96,'Piping Material List'!EH$3:EH$96)+SUMPRODUCT('Piping Material List'!$AF$3:$AF$96,'Piping Material List'!$CI$3:$CI$96,'Piping Material List'!$DK$3:$DK$96,'Piping Material List'!EH$3:EH$96))*IF($C67="d-inches",4,1)*IF($C67="Ø-inches",VLOOKUP(4,'Thickness Tab'!$1:$1048576,17,0),1)</f>
        <v>0</v>
      </c>
      <c r="E67" s="58">
        <f>(SUMPRODUCT('Piping Material List'!$AE$3:$AE$96,'Piping Material List'!$BG$3:$BG$96,'Piping Material List'!$DK$3:$DK$96,'Piping Material List'!EI$3:EI$96)+SUMPRODUCT('Piping Material List'!$AF$3:$AF$96,'Piping Material List'!$CI$3:$CI$96,'Piping Material List'!$DK$3:$DK$96,'Piping Material List'!EI$3:EI$96))*IF($C67="d-inches",4,1)*IF($C67="Ø-inches",VLOOKUP(4,'Thickness Tab'!$1:$1048576,17,0),1)</f>
        <v>0</v>
      </c>
      <c r="F67" s="58">
        <f>(SUMPRODUCT('Piping Material List'!$AE$3:$AE$96,'Piping Material List'!$BG$3:$BG$96,'Piping Material List'!$DK$3:$DK$96,'Piping Material List'!EJ$3:EJ$96)+SUMPRODUCT('Piping Material List'!$AF$3:$AF$96,'Piping Material List'!$CI$3:$CI$96,'Piping Material List'!$DK$3:$DK$96,'Piping Material List'!EJ$3:EJ$96))*IF($C67="d-inches",4,1)*IF($C67="Ø-inches",VLOOKUP(4,'Thickness Tab'!$1:$1048576,17,0),1)</f>
        <v>0</v>
      </c>
      <c r="G67" s="58">
        <f>(SUMPRODUCT('Piping Material List'!$AE$3:$AE$96,'Piping Material List'!$BG$3:$BG$96,'Piping Material List'!$DK$3:$DK$96,'Piping Material List'!EK$3:EK$96)+SUMPRODUCT('Piping Material List'!$AF$3:$AF$96,'Piping Material List'!$CI$3:$CI$96,'Piping Material List'!$DK$3:$DK$96,'Piping Material List'!EK$3:EK$96))*IF($C67="d-inches",4,1)*IF($C67="Ø-inches",VLOOKUP(4,'Thickness Tab'!$1:$1048576,17,0),1)</f>
        <v>0</v>
      </c>
      <c r="H67" s="58">
        <f>(SUMPRODUCT('Piping Material List'!$AE$3:$AE$96,'Piping Material List'!$BG$3:$BG$96,'Piping Material List'!$DK$3:$DK$96,'Piping Material List'!EL$3:EL$96)+SUMPRODUCT('Piping Material List'!$AF$3:$AF$96,'Piping Material List'!$CI$3:$CI$96,'Piping Material List'!$DK$3:$DK$96,'Piping Material List'!EL$3:EL$96))*IF($C67="d-inches",4,1)*IF($C67="Ø-inches",VLOOKUP(4,'Thickness Tab'!$1:$1048576,17,0),1)</f>
        <v>0</v>
      </c>
      <c r="I67" s="58">
        <f>(SUMPRODUCT('Piping Material List'!$AE$3:$AE$96,'Piping Material List'!$BG$3:$BG$96,'Piping Material List'!$DK$3:$DK$96,'Piping Material List'!EM$3:EM$96)+SUMPRODUCT('Piping Material List'!$AF$3:$AF$96,'Piping Material List'!$CI$3:$CI$96,'Piping Material List'!$DK$3:$DK$96,'Piping Material List'!EM$3:EM$96))*IF($C67="d-inches",4,1)*IF($C67="Ø-inches",VLOOKUP(4,'Thickness Tab'!$1:$1048576,17,0),1)</f>
        <v>0</v>
      </c>
      <c r="J67" s="58">
        <f>(SUMPRODUCT('Piping Material List'!$AE$3:$AE$96,'Piping Material List'!$BG$3:$BG$96,'Piping Material List'!$DK$3:$DK$96,'Piping Material List'!EN$3:EN$96)+SUMPRODUCT('Piping Material List'!$AF$3:$AF$96,'Piping Material List'!$CI$3:$CI$96,'Piping Material List'!$DK$3:$DK$96,'Piping Material List'!EN$3:EN$96))*IF($C67="d-inches",4,1)*IF($C67="Ø-inches",VLOOKUP(4,'Thickness Tab'!$1:$1048576,17,0),1)</f>
        <v>0</v>
      </c>
      <c r="K67" s="738">
        <v>20</v>
      </c>
      <c r="L67" s="37">
        <f t="shared" si="5"/>
        <v>0</v>
      </c>
    </row>
    <row r="68" spans="1:12" x14ac:dyDescent="0.3">
      <c r="A68" s="31" t="s">
        <v>1210</v>
      </c>
      <c r="B68" s="51" t="s">
        <v>1164</v>
      </c>
      <c r="C68" s="1177" t="s">
        <v>388</v>
      </c>
      <c r="D68" s="58">
        <f>(SUMPRODUCT('Piping Material List'!$AE$3:$AE$96,'Piping Material List'!$BH$3:$BH$96,'Piping Material List'!$DK$3:$DK$96,'Piping Material List'!EH$3:EH$96)+SUMPRODUCT('Piping Material List'!$AF$3:$AF$96,'Piping Material List'!$CJ$3:$CJ$96,'Piping Material List'!$DK$3:$DK$96,'Piping Material List'!EH$3:EH$96))*IF($C68="d-inches",6,1)*IF($C68="Ø-inches",VLOOKUP(6,'Thickness Tab'!$1:$1048576,17,0),1)</f>
        <v>940.80000000000007</v>
      </c>
      <c r="E68" s="58">
        <f>(SUMPRODUCT('Piping Material List'!$AE$3:$AE$96,'Piping Material List'!$BH$3:$BH$96,'Piping Material List'!$DK$3:$DK$96,'Piping Material List'!EI$3:EI$96)+SUMPRODUCT('Piping Material List'!$AF$3:$AF$96,'Piping Material List'!$CJ$3:$CJ$96,'Piping Material List'!$DK$3:$DK$96,'Piping Material List'!EI$3:EI$96))*IF($C68="d-inches",6,1)*IF($C68="Ø-inches",VLOOKUP(6,'Thickness Tab'!$1:$1048576,17,0),1)</f>
        <v>0</v>
      </c>
      <c r="F68" s="58">
        <f>(SUMPRODUCT('Piping Material List'!$AE$3:$AE$96,'Piping Material List'!$BH$3:$BH$96,'Piping Material List'!$DK$3:$DK$96,'Piping Material List'!EJ$3:EJ$96)+SUMPRODUCT('Piping Material List'!$AF$3:$AF$96,'Piping Material List'!$CJ$3:$CJ$96,'Piping Material List'!$DK$3:$DK$96,'Piping Material List'!EJ$3:EJ$96))*IF($C68="d-inches",6,1)*IF($C68="Ø-inches",VLOOKUP(6,'Thickness Tab'!$1:$1048576,17,0),1)</f>
        <v>0</v>
      </c>
      <c r="G68" s="58">
        <f>(SUMPRODUCT('Piping Material List'!$AE$3:$AE$96,'Piping Material List'!$BH$3:$BH$96,'Piping Material List'!$DK$3:$DK$96,'Piping Material List'!EK$3:EK$96)+SUMPRODUCT('Piping Material List'!$AF$3:$AF$96,'Piping Material List'!$CJ$3:$CJ$96,'Piping Material List'!$DK$3:$DK$96,'Piping Material List'!EK$3:EK$96))*IF($C68="d-inches",6,1)*IF($C68="Ø-inches",VLOOKUP(6,'Thickness Tab'!$1:$1048576,17,0),1)</f>
        <v>0</v>
      </c>
      <c r="H68" s="58">
        <f>(SUMPRODUCT('Piping Material List'!$AE$3:$AE$96,'Piping Material List'!$BH$3:$BH$96,'Piping Material List'!$DK$3:$DK$96,'Piping Material List'!EL$3:EL$96)+SUMPRODUCT('Piping Material List'!$AF$3:$AF$96,'Piping Material List'!$CJ$3:$CJ$96,'Piping Material List'!$DK$3:$DK$96,'Piping Material List'!EL$3:EL$96))*IF($C68="d-inches",6,1)*IF($C68="Ø-inches",VLOOKUP(6,'Thickness Tab'!$1:$1048576,17,0),1)</f>
        <v>0</v>
      </c>
      <c r="I68" s="58">
        <f>(SUMPRODUCT('Piping Material List'!$AE$3:$AE$96,'Piping Material List'!$BH$3:$BH$96,'Piping Material List'!$DK$3:$DK$96,'Piping Material List'!EM$3:EM$96)+SUMPRODUCT('Piping Material List'!$AF$3:$AF$96,'Piping Material List'!$CJ$3:$CJ$96,'Piping Material List'!$DK$3:$DK$96,'Piping Material List'!EM$3:EM$96))*IF($C68="d-inches",6,1)*IF($C68="Ø-inches",VLOOKUP(6,'Thickness Tab'!$1:$1048576,17,0),1)</f>
        <v>0</v>
      </c>
      <c r="J68" s="58">
        <f>(SUMPRODUCT('Piping Material List'!$AE$3:$AE$96,'Piping Material List'!$BH$3:$BH$96,'Piping Material List'!$DK$3:$DK$96,'Piping Material List'!EN$3:EN$96)+SUMPRODUCT('Piping Material List'!$AF$3:$AF$96,'Piping Material List'!$CJ$3:$CJ$96,'Piping Material List'!$DK$3:$DK$96,'Piping Material List'!EN$3:EN$96))*IF($C68="d-inches",6,1)*IF($C68="Ø-inches",VLOOKUP(6,'Thickness Tab'!$1:$1048576,17,0),1)</f>
        <v>0</v>
      </c>
      <c r="K68" s="738">
        <v>20</v>
      </c>
      <c r="L68" s="37">
        <f t="shared" si="5"/>
        <v>18816</v>
      </c>
    </row>
    <row r="69" spans="1:12" x14ac:dyDescent="0.3">
      <c r="A69" s="31" t="s">
        <v>1211</v>
      </c>
      <c r="B69" s="51" t="s">
        <v>1166</v>
      </c>
      <c r="C69" s="1177" t="s">
        <v>388</v>
      </c>
      <c r="D69" s="58">
        <f>(SUMPRODUCT('Piping Material List'!$AE$3:$AE$96,'Piping Material List'!$BI$3:$BI$96,'Piping Material List'!$DK$3:$DK$96,'Piping Material List'!EH$3:EH$96)+SUMPRODUCT('Piping Material List'!$AF$3:$AF$96,'Piping Material List'!$CK$3:$CK$96,'Piping Material List'!$DK$3:$DK$96,'Piping Material List'!EH$3:EH$96))*IF($C69="d-inches",8,1)*IF($C69="Ø-inches",VLOOKUP(8,'Thickness Tab'!$1:$1048576,17,0),1)</f>
        <v>0</v>
      </c>
      <c r="E69" s="58">
        <f>(SUMPRODUCT('Piping Material List'!$AE$3:$AE$96,'Piping Material List'!$BI$3:$BI$96,'Piping Material List'!$DK$3:$DK$96,'Piping Material List'!EI$3:EI$96)+SUMPRODUCT('Piping Material List'!$AF$3:$AF$96,'Piping Material List'!$CK$3:$CK$96,'Piping Material List'!$DK$3:$DK$96,'Piping Material List'!EI$3:EI$96))*IF($C69="d-inches",8,1)*IF($C69="Ø-inches",VLOOKUP(8,'Thickness Tab'!$1:$1048576,17,0),1)</f>
        <v>0</v>
      </c>
      <c r="F69" s="58">
        <f>(SUMPRODUCT('Piping Material List'!$AE$3:$AE$96,'Piping Material List'!$BI$3:$BI$96,'Piping Material List'!$DK$3:$DK$96,'Piping Material List'!EJ$3:EJ$96)+SUMPRODUCT('Piping Material List'!$AF$3:$AF$96,'Piping Material List'!$CK$3:$CK$96,'Piping Material List'!$DK$3:$DK$96,'Piping Material List'!EJ$3:EJ$96))*IF($C69="d-inches",8,1)*IF($C69="Ø-inches",VLOOKUP(8,'Thickness Tab'!$1:$1048576,17,0),1)</f>
        <v>0</v>
      </c>
      <c r="G69" s="58">
        <f>(SUMPRODUCT('Piping Material List'!$AE$3:$AE$96,'Piping Material List'!$BI$3:$BI$96,'Piping Material List'!$DK$3:$DK$96,'Piping Material List'!EK$3:EK$96)+SUMPRODUCT('Piping Material List'!$AF$3:$AF$96,'Piping Material List'!$CK$3:$CK$96,'Piping Material List'!$DK$3:$DK$96,'Piping Material List'!EK$3:EK$96))*IF($C69="d-inches",8,1)*IF($C69="Ø-inches",VLOOKUP(8,'Thickness Tab'!$1:$1048576,17,0),1)</f>
        <v>0</v>
      </c>
      <c r="H69" s="58">
        <f>(SUMPRODUCT('Piping Material List'!$AE$3:$AE$96,'Piping Material List'!$BI$3:$BI$96,'Piping Material List'!$DK$3:$DK$96,'Piping Material List'!EL$3:EL$96)+SUMPRODUCT('Piping Material List'!$AF$3:$AF$96,'Piping Material List'!$CK$3:$CK$96,'Piping Material List'!$DK$3:$DK$96,'Piping Material List'!EL$3:EL$96))*IF($C69="d-inches",8,1)*IF($C69="Ø-inches",VLOOKUP(8,'Thickness Tab'!$1:$1048576,17,0),1)</f>
        <v>0</v>
      </c>
      <c r="I69" s="58">
        <f>(SUMPRODUCT('Piping Material List'!$AE$3:$AE$96,'Piping Material List'!$BI$3:$BI$96,'Piping Material List'!$DK$3:$DK$96,'Piping Material List'!EM$3:EM$96)+SUMPRODUCT('Piping Material List'!$AF$3:$AF$96,'Piping Material List'!$CK$3:$CK$96,'Piping Material List'!$DK$3:$DK$96,'Piping Material List'!EM$3:EM$96))*IF($C69="d-inches",8,1)*IF($C69="Ø-inches",VLOOKUP(8,'Thickness Tab'!$1:$1048576,17,0),1)</f>
        <v>0</v>
      </c>
      <c r="J69" s="58">
        <f>(SUMPRODUCT('Piping Material List'!$AE$3:$AE$96,'Piping Material List'!$BI$3:$BI$96,'Piping Material List'!$DK$3:$DK$96,'Piping Material List'!EN$3:EN$96)+SUMPRODUCT('Piping Material List'!$AF$3:$AF$96,'Piping Material List'!$CK$3:$CK$96,'Piping Material List'!$DK$3:$DK$96,'Piping Material List'!EN$3:EN$96))*IF($C69="d-inches",8,1)*IF($C69="Ø-inches",VLOOKUP(8,'Thickness Tab'!$1:$1048576,17,0),1)</f>
        <v>0</v>
      </c>
      <c r="K69" s="738">
        <v>20</v>
      </c>
      <c r="L69" s="37">
        <f t="shared" si="5"/>
        <v>0</v>
      </c>
    </row>
    <row r="70" spans="1:12" x14ac:dyDescent="0.3">
      <c r="A70" s="31" t="s">
        <v>1212</v>
      </c>
      <c r="B70" s="51" t="s">
        <v>1168</v>
      </c>
      <c r="C70" s="1177" t="s">
        <v>388</v>
      </c>
      <c r="D70" s="58">
        <f>(SUMPRODUCT('Piping Material List'!$AE$3:$AE$96,'Piping Material List'!$BJ$3:$BJ$96,'Piping Material List'!$DK$3:$DK$96,'Piping Material List'!EH$3:EH$96)+SUMPRODUCT('Piping Material List'!$AF$3:$AF$96,'Piping Material List'!$CL$3:$CL$96,'Piping Material List'!$DK$3:$DK$96,'Piping Material List'!EH$3:EH$96))*IF($C70="d-inches",10,1)*IF($C70="Ø-inches",VLOOKUP(10,'Thickness Tab'!$1:$1048576,17,0),1)</f>
        <v>0</v>
      </c>
      <c r="E70" s="58">
        <f>(SUMPRODUCT('Piping Material List'!$AE$3:$AE$96,'Piping Material List'!$BJ$3:$BJ$96,'Piping Material List'!$DK$3:$DK$96,'Piping Material List'!EI$3:EI$96)+SUMPRODUCT('Piping Material List'!$AF$3:$AF$96,'Piping Material List'!$CL$3:$CL$96,'Piping Material List'!$DK$3:$DK$96,'Piping Material List'!EI$3:EI$96))*IF($C70="d-inches",10,1)*IF($C70="Ø-inches",VLOOKUP(10,'Thickness Tab'!$1:$1048576,17,0),1)</f>
        <v>0</v>
      </c>
      <c r="F70" s="58">
        <f>(SUMPRODUCT('Piping Material List'!$AE$3:$AE$96,'Piping Material List'!$BJ$3:$BJ$96,'Piping Material List'!$DK$3:$DK$96,'Piping Material List'!EJ$3:EJ$96)+SUMPRODUCT('Piping Material List'!$AF$3:$AF$96,'Piping Material List'!$CL$3:$CL$96,'Piping Material List'!$DK$3:$DK$96,'Piping Material List'!EJ$3:EJ$96))*IF($C70="d-inches",10,1)*IF($C70="Ø-inches",VLOOKUP(10,'Thickness Tab'!$1:$1048576,17,0),1)</f>
        <v>0</v>
      </c>
      <c r="G70" s="58">
        <f>(SUMPRODUCT('Piping Material List'!$AE$3:$AE$96,'Piping Material List'!$BJ$3:$BJ$96,'Piping Material List'!$DK$3:$DK$96,'Piping Material List'!EK$3:EK$96)+SUMPRODUCT('Piping Material List'!$AF$3:$AF$96,'Piping Material List'!$CL$3:$CL$96,'Piping Material List'!$DK$3:$DK$96,'Piping Material List'!EK$3:EK$96))*IF($C70="d-inches",10,1)*IF($C70="Ø-inches",VLOOKUP(10,'Thickness Tab'!$1:$1048576,17,0),1)</f>
        <v>0</v>
      </c>
      <c r="H70" s="58">
        <f>(SUMPRODUCT('Piping Material List'!$AE$3:$AE$96,'Piping Material List'!$BJ$3:$BJ$96,'Piping Material List'!$DK$3:$DK$96,'Piping Material List'!EL$3:EL$96)+SUMPRODUCT('Piping Material List'!$AF$3:$AF$96,'Piping Material List'!$CL$3:$CL$96,'Piping Material List'!$DK$3:$DK$96,'Piping Material List'!EL$3:EL$96))*IF($C70="d-inches",10,1)*IF($C70="Ø-inches",VLOOKUP(10,'Thickness Tab'!$1:$1048576,17,0),1)</f>
        <v>0</v>
      </c>
      <c r="I70" s="58">
        <f>(SUMPRODUCT('Piping Material List'!$AE$3:$AE$96,'Piping Material List'!$BJ$3:$BJ$96,'Piping Material List'!$DK$3:$DK$96,'Piping Material List'!EM$3:EM$96)+SUMPRODUCT('Piping Material List'!$AF$3:$AF$96,'Piping Material List'!$CL$3:$CL$96,'Piping Material List'!$DK$3:$DK$96,'Piping Material List'!EM$3:EM$96))*IF($C70="d-inches",10,1)*IF($C70="Ø-inches",VLOOKUP(10,'Thickness Tab'!$1:$1048576,17,0),1)</f>
        <v>0</v>
      </c>
      <c r="J70" s="58">
        <f>(SUMPRODUCT('Piping Material List'!$AE$3:$AE$96,'Piping Material List'!$BJ$3:$BJ$96,'Piping Material List'!$DK$3:$DK$96,'Piping Material List'!EN$3:EN$96)+SUMPRODUCT('Piping Material List'!$AF$3:$AF$96,'Piping Material List'!$CL$3:$CL$96,'Piping Material List'!$DK$3:$DK$96,'Piping Material List'!EN$3:EN$96))*IF($C70="d-inches",10,1)*IF($C70="Ø-inches",VLOOKUP(10,'Thickness Tab'!$1:$1048576,17,0),1)</f>
        <v>0</v>
      </c>
      <c r="K70" s="738">
        <v>20</v>
      </c>
      <c r="L70" s="37">
        <f t="shared" si="5"/>
        <v>0</v>
      </c>
    </row>
    <row r="71" spans="1:12" x14ac:dyDescent="0.3">
      <c r="A71" s="31" t="s">
        <v>1213</v>
      </c>
      <c r="B71" s="51" t="s">
        <v>1170</v>
      </c>
      <c r="C71" s="1177" t="s">
        <v>388</v>
      </c>
      <c r="D71" s="58">
        <f>(SUMPRODUCT('Piping Material List'!$AE$3:$AE$96,'Piping Material List'!$BK$3:$BK$96,'Piping Material List'!$DK$3:$DK$96,'Piping Material List'!EH$3:EH$96)+SUMPRODUCT('Piping Material List'!$AF$3:$AF$96,'Piping Material List'!$CM$3:$CM$96,'Piping Material List'!$DK$3:$DK$96,'Piping Material List'!EH$3:EH$96))*IF($C71="d-inches",12,1)*IF($C71="Ø-inches",VLOOKUP(12,'Thickness Tab'!$1:$1048576,17,0),1)</f>
        <v>0</v>
      </c>
      <c r="E71" s="58">
        <f>(SUMPRODUCT('Piping Material List'!$AE$3:$AE$96,'Piping Material List'!$BK$3:$BK$96,'Piping Material List'!$DK$3:$DK$96,'Piping Material List'!EI$3:EI$96)+SUMPRODUCT('Piping Material List'!$AF$3:$AF$96,'Piping Material List'!$CM$3:$CM$96,'Piping Material List'!$DK$3:$DK$96,'Piping Material List'!EI$3:EI$96))*IF($C71="d-inches",12,1)*IF($C71="Ø-inches",VLOOKUP(12,'Thickness Tab'!$1:$1048576,17,0),1)</f>
        <v>0</v>
      </c>
      <c r="F71" s="58">
        <f>(SUMPRODUCT('Piping Material List'!$AE$3:$AE$96,'Piping Material List'!$BK$3:$BK$96,'Piping Material List'!$DK$3:$DK$96,'Piping Material List'!EJ$3:EJ$96)+SUMPRODUCT('Piping Material List'!$AF$3:$AF$96,'Piping Material List'!$CM$3:$CM$96,'Piping Material List'!$DK$3:$DK$96,'Piping Material List'!EJ$3:EJ$96))*IF($C71="d-inches",12,1)*IF($C71="Ø-inches",VLOOKUP(12,'Thickness Tab'!$1:$1048576,17,0),1)</f>
        <v>0</v>
      </c>
      <c r="G71" s="58">
        <f>(SUMPRODUCT('Piping Material List'!$AE$3:$AE$96,'Piping Material List'!$BK$3:$BK$96,'Piping Material List'!$DK$3:$DK$96,'Piping Material List'!EK$3:EK$96)+SUMPRODUCT('Piping Material List'!$AF$3:$AF$96,'Piping Material List'!$CM$3:$CM$96,'Piping Material List'!$DK$3:$DK$96,'Piping Material List'!EK$3:EK$96))*IF($C71="d-inches",12,1)*IF($C71="Ø-inches",VLOOKUP(12,'Thickness Tab'!$1:$1048576,17,0),1)</f>
        <v>0</v>
      </c>
      <c r="H71" s="58">
        <f>(SUMPRODUCT('Piping Material List'!$AE$3:$AE$96,'Piping Material List'!$BK$3:$BK$96,'Piping Material List'!$DK$3:$DK$96,'Piping Material List'!EL$3:EL$96)+SUMPRODUCT('Piping Material List'!$AF$3:$AF$96,'Piping Material List'!$CM$3:$CM$96,'Piping Material List'!$DK$3:$DK$96,'Piping Material List'!EL$3:EL$96))*IF($C71="d-inches",12,1)*IF($C71="Ø-inches",VLOOKUP(12,'Thickness Tab'!$1:$1048576,17,0),1)</f>
        <v>0</v>
      </c>
      <c r="I71" s="58">
        <f>(SUMPRODUCT('Piping Material List'!$AE$3:$AE$96,'Piping Material List'!$BK$3:$BK$96,'Piping Material List'!$DK$3:$DK$96,'Piping Material List'!EM$3:EM$96)+SUMPRODUCT('Piping Material List'!$AF$3:$AF$96,'Piping Material List'!$CM$3:$CM$96,'Piping Material List'!$DK$3:$DK$96,'Piping Material List'!EM$3:EM$96))*IF($C71="d-inches",12,1)*IF($C71="Ø-inches",VLOOKUP(12,'Thickness Tab'!$1:$1048576,17,0),1)</f>
        <v>0</v>
      </c>
      <c r="J71" s="58">
        <f>(SUMPRODUCT('Piping Material List'!$AE$3:$AE$96,'Piping Material List'!$BK$3:$BK$96,'Piping Material List'!$DK$3:$DK$96,'Piping Material List'!EN$3:EN$96)+SUMPRODUCT('Piping Material List'!$AF$3:$AF$96,'Piping Material List'!$CM$3:$CM$96,'Piping Material List'!$DK$3:$DK$96,'Piping Material List'!EN$3:EN$96))*IF($C71="d-inches",12,1)*IF($C71="Ø-inches",VLOOKUP(12,'Thickness Tab'!$1:$1048576,17,0),1)</f>
        <v>0</v>
      </c>
      <c r="K71" s="738">
        <v>20</v>
      </c>
      <c r="L71" s="37">
        <f t="shared" si="5"/>
        <v>0</v>
      </c>
    </row>
    <row r="72" spans="1:12" x14ac:dyDescent="0.3">
      <c r="A72" s="31" t="s">
        <v>1214</v>
      </c>
      <c r="B72" s="51" t="s">
        <v>1172</v>
      </c>
      <c r="C72" s="1177" t="s">
        <v>388</v>
      </c>
      <c r="D72" s="58">
        <f>(SUMPRODUCT('Piping Material List'!$AE$3:$AE$96,'Piping Material List'!$BL$3:$BL$96,'Piping Material List'!$DK$3:$DK$96,'Piping Material List'!EH$3:EH$96)+SUMPRODUCT('Piping Material List'!$AF$3:$AF$96,'Piping Material List'!$CN$3:$CN$96,'Piping Material List'!$DK$3:$DK$96,'Piping Material List'!EH$3:EH$96))*IF($C72="d-inches",14,1)*IF($C72="Ø-inches",VLOOKUP(14,'Thickness Tab'!$1:$1048576,17,0),1)</f>
        <v>0</v>
      </c>
      <c r="E72" s="58">
        <f>(SUMPRODUCT('Piping Material List'!$AE$3:$AE$96,'Piping Material List'!$BL$3:$BL$96,'Piping Material List'!$DK$3:$DK$96,'Piping Material List'!EI$3:EI$96)+SUMPRODUCT('Piping Material List'!$AF$3:$AF$96,'Piping Material List'!$CN$3:$CN$96,'Piping Material List'!$DK$3:$DK$96,'Piping Material List'!EI$3:EI$96))*IF($C72="d-inches",14,1)*IF($C72="Ø-inches",VLOOKUP(14,'Thickness Tab'!$1:$1048576,17,0),1)</f>
        <v>0</v>
      </c>
      <c r="F72" s="58">
        <f>(SUMPRODUCT('Piping Material List'!$AE$3:$AE$96,'Piping Material List'!$BL$3:$BL$96,'Piping Material List'!$DK$3:$DK$96,'Piping Material List'!EJ$3:EJ$96)+SUMPRODUCT('Piping Material List'!$AF$3:$AF$96,'Piping Material List'!$CN$3:$CN$96,'Piping Material List'!$DK$3:$DK$96,'Piping Material List'!EJ$3:EJ$96))*IF($C72="d-inches",14,1)*IF($C72="Ø-inches",VLOOKUP(14,'Thickness Tab'!$1:$1048576,17,0),1)</f>
        <v>0</v>
      </c>
      <c r="G72" s="58">
        <f>(SUMPRODUCT('Piping Material List'!$AE$3:$AE$96,'Piping Material List'!$BL$3:$BL$96,'Piping Material List'!$DK$3:$DK$96,'Piping Material List'!EK$3:EK$96)+SUMPRODUCT('Piping Material List'!$AF$3:$AF$96,'Piping Material List'!$CN$3:$CN$96,'Piping Material List'!$DK$3:$DK$96,'Piping Material List'!EK$3:EK$96))*IF($C72="d-inches",14,1)*IF($C72="Ø-inches",VLOOKUP(14,'Thickness Tab'!$1:$1048576,17,0),1)</f>
        <v>0</v>
      </c>
      <c r="H72" s="58">
        <f>(SUMPRODUCT('Piping Material List'!$AE$3:$AE$96,'Piping Material List'!$BL$3:$BL$96,'Piping Material List'!$DK$3:$DK$96,'Piping Material List'!EL$3:EL$96)+SUMPRODUCT('Piping Material List'!$AF$3:$AF$96,'Piping Material List'!$CN$3:$CN$96,'Piping Material List'!$DK$3:$DK$96,'Piping Material List'!EL$3:EL$96))*IF($C72="d-inches",14,1)*IF($C72="Ø-inches",VLOOKUP(14,'Thickness Tab'!$1:$1048576,17,0),1)</f>
        <v>0</v>
      </c>
      <c r="I72" s="58">
        <f>(SUMPRODUCT('Piping Material List'!$AE$3:$AE$96,'Piping Material List'!$BL$3:$BL$96,'Piping Material List'!$DK$3:$DK$96,'Piping Material List'!EM$3:EM$96)+SUMPRODUCT('Piping Material List'!$AF$3:$AF$96,'Piping Material List'!$CN$3:$CN$96,'Piping Material List'!$DK$3:$DK$96,'Piping Material List'!EM$3:EM$96))*IF($C72="d-inches",14,1)*IF($C72="Ø-inches",VLOOKUP(14,'Thickness Tab'!$1:$1048576,17,0),1)</f>
        <v>0</v>
      </c>
      <c r="J72" s="58">
        <f>(SUMPRODUCT('Piping Material List'!$AE$3:$AE$96,'Piping Material List'!$BL$3:$BL$96,'Piping Material List'!$DK$3:$DK$96,'Piping Material List'!EN$3:EN$96)+SUMPRODUCT('Piping Material List'!$AF$3:$AF$96,'Piping Material List'!$CN$3:$CN$96,'Piping Material List'!$DK$3:$DK$96,'Piping Material List'!EN$3:EN$96))*IF($C72="d-inches",14,1)*IF($C72="Ø-inches",VLOOKUP(14,'Thickness Tab'!$1:$1048576,17,0),1)</f>
        <v>0</v>
      </c>
      <c r="K72" s="738">
        <v>20</v>
      </c>
      <c r="L72" s="37">
        <f t="shared" si="5"/>
        <v>0</v>
      </c>
    </row>
    <row r="73" spans="1:12" x14ac:dyDescent="0.3">
      <c r="A73" s="31" t="s">
        <v>1215</v>
      </c>
      <c r="B73" s="51" t="s">
        <v>1174</v>
      </c>
      <c r="C73" s="1177" t="s">
        <v>388</v>
      </c>
      <c r="D73" s="58">
        <f>(SUMPRODUCT('Piping Material List'!$AE$3:$AE$96,'Piping Material List'!$BM$3:$BM$96,'Piping Material List'!$DK$3:$DK$96,'Piping Material List'!EH$3:EH$96)+SUMPRODUCT('Piping Material List'!$AF$3:$AF$96,'Piping Material List'!$CO$3:$CO$96,'Piping Material List'!$DK$3:$DK$96,'Piping Material List'!EH$3:EH$96))*IF($C73="d-inches",16,1)*IF($C73="Ø-inches",VLOOKUP(16,'Thickness Tab'!$1:$1048576,17,0),1)</f>
        <v>0</v>
      </c>
      <c r="E73" s="58">
        <f>(SUMPRODUCT('Piping Material List'!$AE$3:$AE$96,'Piping Material List'!$BM$3:$BM$96,'Piping Material List'!$DK$3:$DK$96,'Piping Material List'!EI$3:EI$96)+SUMPRODUCT('Piping Material List'!$AF$3:$AF$96,'Piping Material List'!$CO$3:$CO$96,'Piping Material List'!$DK$3:$DK$96,'Piping Material List'!EI$3:EI$96))*IF($C73="d-inches",16,1)*IF($C73="Ø-inches",VLOOKUP(16,'Thickness Tab'!$1:$1048576,17,0),1)</f>
        <v>0</v>
      </c>
      <c r="F73" s="58">
        <f>(SUMPRODUCT('Piping Material List'!$AE$3:$AE$96,'Piping Material List'!$BM$3:$BM$96,'Piping Material List'!$DK$3:$DK$96,'Piping Material List'!EJ$3:EJ$96)+SUMPRODUCT('Piping Material List'!$AF$3:$AF$96,'Piping Material List'!$CO$3:$CO$96,'Piping Material List'!$DK$3:$DK$96,'Piping Material List'!EJ$3:EJ$96))*IF($C73="d-inches",16,1)*IF($C73="Ø-inches",VLOOKUP(16,'Thickness Tab'!$1:$1048576,17,0),1)</f>
        <v>0</v>
      </c>
      <c r="G73" s="58">
        <f>(SUMPRODUCT('Piping Material List'!$AE$3:$AE$96,'Piping Material List'!$BM$3:$BM$96,'Piping Material List'!$DK$3:$DK$96,'Piping Material List'!EK$3:EK$96)+SUMPRODUCT('Piping Material List'!$AF$3:$AF$96,'Piping Material List'!$CO$3:$CO$96,'Piping Material List'!$DK$3:$DK$96,'Piping Material List'!EK$3:EK$96))*IF($C73="d-inches",16,1)*IF($C73="Ø-inches",VLOOKUP(16,'Thickness Tab'!$1:$1048576,17,0),1)</f>
        <v>0</v>
      </c>
      <c r="H73" s="58">
        <f>(SUMPRODUCT('Piping Material List'!$AE$3:$AE$96,'Piping Material List'!$BM$3:$BM$96,'Piping Material List'!$DK$3:$DK$96,'Piping Material List'!EL$3:EL$96)+SUMPRODUCT('Piping Material List'!$AF$3:$AF$96,'Piping Material List'!$CO$3:$CO$96,'Piping Material List'!$DK$3:$DK$96,'Piping Material List'!EL$3:EL$96))*IF($C73="d-inches",16,1)*IF($C73="Ø-inches",VLOOKUP(16,'Thickness Tab'!$1:$1048576,17,0),1)</f>
        <v>0</v>
      </c>
      <c r="I73" s="58">
        <f>(SUMPRODUCT('Piping Material List'!$AE$3:$AE$96,'Piping Material List'!$BM$3:$BM$96,'Piping Material List'!$DK$3:$DK$96,'Piping Material List'!EM$3:EM$96)+SUMPRODUCT('Piping Material List'!$AF$3:$AF$96,'Piping Material List'!$CO$3:$CO$96,'Piping Material List'!$DK$3:$DK$96,'Piping Material List'!EM$3:EM$96))*IF($C73="d-inches",16,1)*IF($C73="Ø-inches",VLOOKUP(16,'Thickness Tab'!$1:$1048576,17,0),1)</f>
        <v>0</v>
      </c>
      <c r="J73" s="58">
        <f>(SUMPRODUCT('Piping Material List'!$AE$3:$AE$96,'Piping Material List'!$BM$3:$BM$96,'Piping Material List'!$DK$3:$DK$96,'Piping Material List'!EN$3:EN$96)+SUMPRODUCT('Piping Material List'!$AF$3:$AF$96,'Piping Material List'!$CO$3:$CO$96,'Piping Material List'!$DK$3:$DK$96,'Piping Material List'!EN$3:EN$96))*IF($C73="d-inches",16,1)*IF($C73="Ø-inches",VLOOKUP(16,'Thickness Tab'!$1:$1048576,17,0),1)</f>
        <v>0</v>
      </c>
      <c r="K73" s="738">
        <v>20</v>
      </c>
      <c r="L73" s="37">
        <f t="shared" si="5"/>
        <v>0</v>
      </c>
    </row>
    <row r="74" spans="1:12" x14ac:dyDescent="0.3">
      <c r="A74" s="31" t="s">
        <v>1216</v>
      </c>
      <c r="B74" s="51" t="s">
        <v>1176</v>
      </c>
      <c r="C74" s="1177" t="s">
        <v>388</v>
      </c>
      <c r="D74" s="58">
        <f>(SUMPRODUCT('Piping Material List'!$AE$3:$AE$96,'Piping Material List'!$BN$3:$BN$96,'Piping Material List'!$DK$3:$DK$96,'Piping Material List'!EH$3:EH$96)+SUMPRODUCT('Piping Material List'!$AF$3:$AF$96,'Piping Material List'!$CP$3:$CP$96,'Piping Material List'!$DK$3:$DK$96,'Piping Material List'!EH$3:EH$96))*IF($C74="d-inches",18,1)*IF($C74="Ø-inches",VLOOKUP(18,'Thickness Tab'!$1:$1048576,17,0),1)</f>
        <v>0</v>
      </c>
      <c r="E74" s="58">
        <f>(SUMPRODUCT('Piping Material List'!$AE$3:$AE$96,'Piping Material List'!$BN$3:$BN$96,'Piping Material List'!$DK$3:$DK$96,'Piping Material List'!EI$3:EI$96)+SUMPRODUCT('Piping Material List'!$AF$3:$AF$96,'Piping Material List'!$CP$3:$CP$96,'Piping Material List'!$DK$3:$DK$96,'Piping Material List'!EI$3:EI$96))*IF($C74="d-inches",18,1)*IF($C74="Ø-inches",VLOOKUP(18,'Thickness Tab'!$1:$1048576,17,0),1)</f>
        <v>0</v>
      </c>
      <c r="F74" s="58">
        <f>(SUMPRODUCT('Piping Material List'!$AE$3:$AE$96,'Piping Material List'!$BN$3:$BN$96,'Piping Material List'!$DK$3:$DK$96,'Piping Material List'!EJ$3:EJ$96)+SUMPRODUCT('Piping Material List'!$AF$3:$AF$96,'Piping Material List'!$CP$3:$CP$96,'Piping Material List'!$DK$3:$DK$96,'Piping Material List'!EJ$3:EJ$96))*IF($C74="d-inches",18,1)*IF($C74="Ø-inches",VLOOKUP(18,'Thickness Tab'!$1:$1048576,17,0),1)</f>
        <v>0</v>
      </c>
      <c r="G74" s="58">
        <f>(SUMPRODUCT('Piping Material List'!$AE$3:$AE$96,'Piping Material List'!$BN$3:$BN$96,'Piping Material List'!$DK$3:$DK$96,'Piping Material List'!EK$3:EK$96)+SUMPRODUCT('Piping Material List'!$AF$3:$AF$96,'Piping Material List'!$CP$3:$CP$96,'Piping Material List'!$DK$3:$DK$96,'Piping Material List'!EK$3:EK$96))*IF($C74="d-inches",18,1)*IF($C74="Ø-inches",VLOOKUP(18,'Thickness Tab'!$1:$1048576,17,0),1)</f>
        <v>0</v>
      </c>
      <c r="H74" s="58">
        <f>(SUMPRODUCT('Piping Material List'!$AE$3:$AE$96,'Piping Material List'!$BN$3:$BN$96,'Piping Material List'!$DK$3:$DK$96,'Piping Material List'!EL$3:EL$96)+SUMPRODUCT('Piping Material List'!$AF$3:$AF$96,'Piping Material List'!$CP$3:$CP$96,'Piping Material List'!$DK$3:$DK$96,'Piping Material List'!EL$3:EL$96))*IF($C74="d-inches",18,1)*IF($C74="Ø-inches",VLOOKUP(18,'Thickness Tab'!$1:$1048576,17,0),1)</f>
        <v>0</v>
      </c>
      <c r="I74" s="58">
        <f>(SUMPRODUCT('Piping Material List'!$AE$3:$AE$96,'Piping Material List'!$BN$3:$BN$96,'Piping Material List'!$DK$3:$DK$96,'Piping Material List'!EM$3:EM$96)+SUMPRODUCT('Piping Material List'!$AF$3:$AF$96,'Piping Material List'!$CP$3:$CP$96,'Piping Material List'!$DK$3:$DK$96,'Piping Material List'!EM$3:EM$96))*IF($C74="d-inches",18,1)*IF($C74="Ø-inches",VLOOKUP(18,'Thickness Tab'!$1:$1048576,17,0),1)</f>
        <v>0</v>
      </c>
      <c r="J74" s="58">
        <f>(SUMPRODUCT('Piping Material List'!$AE$3:$AE$96,'Piping Material List'!$BN$3:$BN$96,'Piping Material List'!$DK$3:$DK$96,'Piping Material List'!EN$3:EN$96)+SUMPRODUCT('Piping Material List'!$AF$3:$AF$96,'Piping Material List'!$CP$3:$CP$96,'Piping Material List'!$DK$3:$DK$96,'Piping Material List'!EN$3:EN$96))*IF($C74="d-inches",18,1)*IF($C74="Ø-inches",VLOOKUP(18,'Thickness Tab'!$1:$1048576,17,0),1)</f>
        <v>0</v>
      </c>
      <c r="K74" s="738">
        <v>20</v>
      </c>
      <c r="L74" s="37">
        <f t="shared" si="5"/>
        <v>0</v>
      </c>
    </row>
    <row r="75" spans="1:12" x14ac:dyDescent="0.3">
      <c r="A75" s="31" t="s">
        <v>1217</v>
      </c>
      <c r="B75" s="51" t="s">
        <v>1178</v>
      </c>
      <c r="C75" s="1177" t="s">
        <v>388</v>
      </c>
      <c r="D75" s="58">
        <f>(SUMPRODUCT('Piping Material List'!$AE$3:$AE$96,'Piping Material List'!$BO$3:$BO$96,'Piping Material List'!$DK$3:$DK$96,'Piping Material List'!EH$3:EH$96)+SUMPRODUCT('Piping Material List'!$AF$3:$AF$96,'Piping Material List'!$CE$3:$CE$96,'Piping Material List'!$DK$3:$DK$96,'Piping Material List'!EH$3:EH$96))*IF($C75="d-inches",20,1)*IF($C75="Ø-inches",VLOOKUP(20,'Thickness Tab'!$1:$1048576,17,0),1)</f>
        <v>0</v>
      </c>
      <c r="E75" s="58">
        <f>(SUMPRODUCT('Piping Material List'!$AE$3:$AE$96,'Piping Material List'!$BO$3:$BO$96,'Piping Material List'!$DK$3:$DK$96,'Piping Material List'!EI$3:EI$96)+SUMPRODUCT('Piping Material List'!$AF$3:$AF$96,'Piping Material List'!$CE$3:$CE$96,'Piping Material List'!$DK$3:$DK$96,'Piping Material List'!EI$3:EI$96))*IF($C75="d-inches",20,1)*IF($C75="Ø-inches",VLOOKUP(20,'Thickness Tab'!$1:$1048576,17,0),1)</f>
        <v>0</v>
      </c>
      <c r="F75" s="58">
        <f>(SUMPRODUCT('Piping Material List'!$AE$3:$AE$96,'Piping Material List'!$BO$3:$BO$96,'Piping Material List'!$DK$3:$DK$96,'Piping Material List'!EJ$3:EJ$96)+SUMPRODUCT('Piping Material List'!$AF$3:$AF$96,'Piping Material List'!$CE$3:$CE$96,'Piping Material List'!$DK$3:$DK$96,'Piping Material List'!EJ$3:EJ$96))*IF($C75="d-inches",20,1)*IF($C75="Ø-inches",VLOOKUP(20,'Thickness Tab'!$1:$1048576,17,0),1)</f>
        <v>0</v>
      </c>
      <c r="G75" s="58">
        <f>(SUMPRODUCT('Piping Material List'!$AE$3:$AE$96,'Piping Material List'!$BO$3:$BO$96,'Piping Material List'!$DK$3:$DK$96,'Piping Material List'!EK$3:EK$96)+SUMPRODUCT('Piping Material List'!$AF$3:$AF$96,'Piping Material List'!$CE$3:$CE$96,'Piping Material List'!$DK$3:$DK$96,'Piping Material List'!EK$3:EK$96))*IF($C75="d-inches",20,1)*IF($C75="Ø-inches",VLOOKUP(20,'Thickness Tab'!$1:$1048576,17,0),1)</f>
        <v>0</v>
      </c>
      <c r="H75" s="58">
        <f>(SUMPRODUCT('Piping Material List'!$AE$3:$AE$96,'Piping Material List'!$BO$3:$BO$96,'Piping Material List'!$DK$3:$DK$96,'Piping Material List'!EL$3:EL$96)+SUMPRODUCT('Piping Material List'!$AF$3:$AF$96,'Piping Material List'!$CE$3:$CE$96,'Piping Material List'!$DK$3:$DK$96,'Piping Material List'!EL$3:EL$96))*IF($C75="d-inches",20,1)*IF($C75="Ø-inches",VLOOKUP(20,'Thickness Tab'!$1:$1048576,17,0),1)</f>
        <v>0</v>
      </c>
      <c r="I75" s="58">
        <f>(SUMPRODUCT('Piping Material List'!$AE$3:$AE$96,'Piping Material List'!$BO$3:$BO$96,'Piping Material List'!$DK$3:$DK$96,'Piping Material List'!EM$3:EM$96)+SUMPRODUCT('Piping Material List'!$AF$3:$AF$96,'Piping Material List'!$CE$3:$CE$96,'Piping Material List'!$DK$3:$DK$96,'Piping Material List'!EM$3:EM$96))*IF($C75="d-inches",20,1)*IF($C75="Ø-inches",VLOOKUP(20,'Thickness Tab'!$1:$1048576,17,0),1)</f>
        <v>0</v>
      </c>
      <c r="J75" s="58">
        <f>(SUMPRODUCT('Piping Material List'!$AE$3:$AE$96,'Piping Material List'!$BO$3:$BO$96,'Piping Material List'!$DK$3:$DK$96,'Piping Material List'!EN$3:EN$96)+SUMPRODUCT('Piping Material List'!$AF$3:$AF$96,'Piping Material List'!$CE$3:$CE$96,'Piping Material List'!$DK$3:$DK$96,'Piping Material List'!EN$3:EN$96))*IF($C75="d-inches",20,1)*IF($C75="Ø-inches",VLOOKUP(20,'Thickness Tab'!$1:$1048576,17,0),1)</f>
        <v>0</v>
      </c>
      <c r="K75" s="738">
        <v>20</v>
      </c>
      <c r="L75" s="37">
        <f t="shared" si="5"/>
        <v>0</v>
      </c>
    </row>
    <row r="76" spans="1:12" x14ac:dyDescent="0.3">
      <c r="A76" s="31" t="s">
        <v>1218</v>
      </c>
      <c r="B76" s="51" t="s">
        <v>1180</v>
      </c>
      <c r="C76" s="1177" t="s">
        <v>388</v>
      </c>
      <c r="D76" s="58">
        <f>(SUMPRODUCT('Piping Material List'!$AE$3:$AE$96,'Piping Material List'!$BP$3:$BP$96,'Piping Material List'!$DK$3:$DK$96,'Piping Material List'!EH$3:EH$96)+SUMPRODUCT('Piping Material List'!$AF$3:$AF$96,'Piping Material List'!$CR$3:$CR$96,'Piping Material List'!$DK$3:$DK$96,'Piping Material List'!EH$3:EH$96))*IF($C76="d-inches",22,1)*IF($C76="Ø-inches",VLOOKUP(22,'Thickness Tab'!$1:$1048576,17,0),1)</f>
        <v>0</v>
      </c>
      <c r="E76" s="58">
        <f>(SUMPRODUCT('Piping Material List'!$AE$3:$AE$96,'Piping Material List'!$BP$3:$BP$96,'Piping Material List'!$DK$3:$DK$96,'Piping Material List'!EI$3:EI$96)+SUMPRODUCT('Piping Material List'!$AF$3:$AF$96,'Piping Material List'!$CR$3:$CR$96,'Piping Material List'!$DK$3:$DK$96,'Piping Material List'!EI$3:EI$96))*IF($C76="d-inches",22,1)*IF($C76="Ø-inches",VLOOKUP(22,'Thickness Tab'!$1:$1048576,17,0),1)</f>
        <v>0</v>
      </c>
      <c r="F76" s="58">
        <f>(SUMPRODUCT('Piping Material List'!$AE$3:$AE$96,'Piping Material List'!$BP$3:$BP$96,'Piping Material List'!$DK$3:$DK$96,'Piping Material List'!EJ$3:EJ$96)+SUMPRODUCT('Piping Material List'!$AF$3:$AF$96,'Piping Material List'!$CR$3:$CR$96,'Piping Material List'!$DK$3:$DK$96,'Piping Material List'!EJ$3:EJ$96))*IF($C76="d-inches",22,1)*IF($C76="Ø-inches",VLOOKUP(22,'Thickness Tab'!$1:$1048576,17,0),1)</f>
        <v>0</v>
      </c>
      <c r="G76" s="58">
        <f>(SUMPRODUCT('Piping Material List'!$AE$3:$AE$96,'Piping Material List'!$BP$3:$BP$96,'Piping Material List'!$DK$3:$DK$96,'Piping Material List'!EK$3:EK$96)+SUMPRODUCT('Piping Material List'!$AF$3:$AF$96,'Piping Material List'!$CR$3:$CR$96,'Piping Material List'!$DK$3:$DK$96,'Piping Material List'!EK$3:EK$96))*IF($C76="d-inches",22,1)*IF($C76="Ø-inches",VLOOKUP(22,'Thickness Tab'!$1:$1048576,17,0),1)</f>
        <v>0</v>
      </c>
      <c r="H76" s="58">
        <f>(SUMPRODUCT('Piping Material List'!$AE$3:$AE$96,'Piping Material List'!$BP$3:$BP$96,'Piping Material List'!$DK$3:$DK$96,'Piping Material List'!EL$3:EL$96)+SUMPRODUCT('Piping Material List'!$AF$3:$AF$96,'Piping Material List'!$CR$3:$CR$96,'Piping Material List'!$DK$3:$DK$96,'Piping Material List'!EL$3:EL$96))*IF($C76="d-inches",22,1)*IF($C76="Ø-inches",VLOOKUP(22,'Thickness Tab'!$1:$1048576,17,0),1)</f>
        <v>0</v>
      </c>
      <c r="I76" s="58">
        <f>(SUMPRODUCT('Piping Material List'!$AE$3:$AE$96,'Piping Material List'!$BP$3:$BP$96,'Piping Material List'!$DK$3:$DK$96,'Piping Material List'!EM$3:EM$96)+SUMPRODUCT('Piping Material List'!$AF$3:$AF$96,'Piping Material List'!$CR$3:$CR$96,'Piping Material List'!$DK$3:$DK$96,'Piping Material List'!EM$3:EM$96))*IF($C76="d-inches",22,1)*IF($C76="Ø-inches",VLOOKUP(22,'Thickness Tab'!$1:$1048576,17,0),1)</f>
        <v>0</v>
      </c>
      <c r="J76" s="58">
        <f>(SUMPRODUCT('Piping Material List'!$AE$3:$AE$96,'Piping Material List'!$BP$3:$BP$96,'Piping Material List'!$DK$3:$DK$96,'Piping Material List'!EN$3:EN$96)+SUMPRODUCT('Piping Material List'!$AF$3:$AF$96,'Piping Material List'!$CR$3:$CR$96,'Piping Material List'!$DK$3:$DK$96,'Piping Material List'!EN$3:EN$96))*IF($C76="d-inches",22,1)*IF($C76="Ø-inches",VLOOKUP(22,'Thickness Tab'!$1:$1048576,17,0),1)</f>
        <v>0</v>
      </c>
      <c r="K76" s="738">
        <v>20</v>
      </c>
      <c r="L76" s="37">
        <f t="shared" si="5"/>
        <v>0</v>
      </c>
    </row>
    <row r="77" spans="1:12" x14ac:dyDescent="0.3">
      <c r="A77" s="31" t="s">
        <v>1219</v>
      </c>
      <c r="B77" s="51" t="s">
        <v>1182</v>
      </c>
      <c r="C77" s="1177" t="s">
        <v>388</v>
      </c>
      <c r="D77" s="58">
        <f>(SUMPRODUCT('Piping Material List'!$AE$3:$AE$96,'Piping Material List'!$BQ$3:$BQ$96,'Piping Material List'!$DI$3:$DI$96,'Piping Material List'!EH$3:EH$96)+SUMPRODUCT('Piping Material List'!$AF$3:$AF$96,'Piping Material List'!$CS$3:$CS$96,'Piping Material List'!$DI$3:$DI$96,'Piping Material List'!EH$3:EH$96))*IF($C77="d-inches",24,1)*IF($C77="Ø-inches",VLOOKUP(24,'Thickness Tab'!$1:$1048576,17,0),1)</f>
        <v>0</v>
      </c>
      <c r="E77" s="58">
        <f>(SUMPRODUCT('Piping Material List'!$AE$3:$AE$96,'Piping Material List'!$BQ$3:$BQ$96,'Piping Material List'!$DI$3:$DI$96,'Piping Material List'!EI$3:EI$96)+SUMPRODUCT('Piping Material List'!$AF$3:$AF$96,'Piping Material List'!$CS$3:$CS$96,'Piping Material List'!$DI$3:$DI$96,'Piping Material List'!EI$3:EI$96))*IF($C77="d-inches",24,1)*IF($C77="Ø-inches",VLOOKUP(24,'Thickness Tab'!$1:$1048576,17,0),1)</f>
        <v>0</v>
      </c>
      <c r="F77" s="58">
        <f>(SUMPRODUCT('Piping Material List'!$AE$3:$AE$96,'Piping Material List'!$BP$3:$BP$96,'Piping Material List'!$DK$3:$DK$96,'Piping Material List'!EJ$3:EJ$96)+SUMPRODUCT('Piping Material List'!$AF$3:$AF$96,'Piping Material List'!$CR$3:$CR$96,'Piping Material List'!$DK$3:$DK$96,'Piping Material List'!EJ$3:EJ$96))*IF($C77="d-inches",22,1)*IF($C77="Ø-inches",VLOOKUP(22,'Thickness Tab'!$1:$1048576,17,0),1)</f>
        <v>0</v>
      </c>
      <c r="G77" s="58">
        <f>(SUMPRODUCT('Piping Material List'!$AE$3:$AE$96,'Piping Material List'!$BQ$3:$BQ$96,'Piping Material List'!$DI$3:$DI$96,'Piping Material List'!EK$3:EK$96)+SUMPRODUCT('Piping Material List'!$AF$3:$AF$96,'Piping Material List'!$CS$3:$CS$96,'Piping Material List'!$DI$3:$DI$96,'Piping Material List'!EK$3:EK$96))*IF($C77="d-inches",24,1)*IF($C77="Ø-inches",VLOOKUP(24,'Thickness Tab'!$1:$1048576,17,0),1)</f>
        <v>0</v>
      </c>
      <c r="H77" s="58">
        <f>(SUMPRODUCT('Piping Material List'!$AE$3:$AE$96,'Piping Material List'!$BQ$3:$BQ$96,'Piping Material List'!$DI$3:$DI$96,'Piping Material List'!EL$3:EL$96)+SUMPRODUCT('Piping Material List'!$AF$3:$AF$96,'Piping Material List'!$CS$3:$CS$96,'Piping Material List'!$DI$3:$DI$96,'Piping Material List'!EL$3:EL$96))*IF($C77="d-inches",24,1)*IF($C77="Ø-inches",VLOOKUP(24,'Thickness Tab'!$1:$1048576,17,0),1)</f>
        <v>0</v>
      </c>
      <c r="I77" s="58">
        <f>(SUMPRODUCT('Piping Material List'!$AE$3:$AE$96,'Piping Material List'!$BQ$3:$BQ$96,'Piping Material List'!$DI$3:$DI$96,'Piping Material List'!EM$3:EM$96)+SUMPRODUCT('Piping Material List'!$AF$3:$AF$96,'Piping Material List'!$CS$3:$CS$96,'Piping Material List'!$DI$3:$DI$96,'Piping Material List'!EM$3:EM$96))*IF($C77="d-inches",24,1)*IF($C77="Ø-inches",VLOOKUP(24,'Thickness Tab'!$1:$1048576,17,0),1)</f>
        <v>0</v>
      </c>
      <c r="J77" s="58">
        <f>(SUMPRODUCT('Piping Material List'!$AE$3:$AE$96,'Piping Material List'!$BQ$3:$BQ$96,'Piping Material List'!$DI$3:$DI$96,'Piping Material List'!EN$3:EN$96)+SUMPRODUCT('Piping Material List'!$AF$3:$AF$96,'Piping Material List'!$CS$3:$CS$96,'Piping Material List'!$DI$3:$DI$96,'Piping Material List'!EN$3:EN$96))*IF($C77="d-inches",24,1)*IF($C77="Ø-inches",VLOOKUP(24,'Thickness Tab'!$1:$1048576,17,0),1)</f>
        <v>0</v>
      </c>
      <c r="K77" s="738">
        <v>20</v>
      </c>
      <c r="L77" s="37">
        <f t="shared" si="5"/>
        <v>0</v>
      </c>
    </row>
    <row r="78" spans="1:12" x14ac:dyDescent="0.3">
      <c r="A78" s="31" t="s">
        <v>1183</v>
      </c>
      <c r="B78" s="51" t="s">
        <v>1184</v>
      </c>
      <c r="C78" s="1177" t="s">
        <v>388</v>
      </c>
      <c r="D78" s="58">
        <f>(SUMPRODUCT('Piping Material List'!$AE$3:$AE$96,'Piping Material List'!$BR$3:$BR$96,'Piping Material List'!$DI$3:$DI$96,'Piping Material List'!EH$3:EH$96)+SUMPRODUCT('Piping Material List'!$AF$3:$AF$96,'Piping Material List'!$CT$3:$CT$96,'Piping Material List'!$DI$3:$DI$96,'Piping Material List'!EH$3:EH$96))*IF($C78="d-inches",24,1)*IF($C78="Ø-inches",VLOOKUP(24,'Thickness Tab'!$1:$1048576,17,0),1)</f>
        <v>0</v>
      </c>
      <c r="E78" s="58">
        <f>(SUMPRODUCT('Piping Material List'!$AE$3:$AE$96,'Piping Material List'!$BR$3:$BR$96,'Piping Material List'!$DI$3:$DI$96,'Piping Material List'!EI$3:EI$96)+SUMPRODUCT('Piping Material List'!$AF$3:$AF$96,'Piping Material List'!$CT$3:$CT$96,'Piping Material List'!$DI$3:$DI$96,'Piping Material List'!EI$3:EI$96))*IF($C78="d-inches",24,1)*IF($C78="Ø-inches",VLOOKUP(24,'Thickness Tab'!$1:$1048576,17,0),1)</f>
        <v>0</v>
      </c>
      <c r="F78" s="58">
        <f>(SUMPRODUCT('Piping Material List'!$AE$3:$AE$96,'Piping Material List'!$BP$3:$BP$96,'Piping Material List'!$DK$3:$DK$96,'Piping Material List'!EJ$3:EJ$96)+SUMPRODUCT('Piping Material List'!$AF$3:$AF$96,'Piping Material List'!$CR$3:$CR$96,'Piping Material List'!$DK$3:$DK$96,'Piping Material List'!EJ$3:EJ$96))*IF($C78="d-inches",22,1)*IF($C78="Ø-inches",VLOOKUP(22,'Thickness Tab'!$1:$1048576,17,0),1)</f>
        <v>0</v>
      </c>
      <c r="G78" s="58">
        <f>(SUMPRODUCT('Piping Material List'!$AE$3:$AE$96,'Piping Material List'!$BR$3:$BR$96,'Piping Material List'!$DI$3:$DI$96,'Piping Material List'!EK$3:EK$96)+SUMPRODUCT('Piping Material List'!$AF$3:$AF$96,'Piping Material List'!$CT$3:$CT$96,'Piping Material List'!$DI$3:$DI$96,'Piping Material List'!EK$3:EK$96))*IF($C78="d-inches",24,1)*IF($C78="Ø-inches",VLOOKUP(24,'Thickness Tab'!$1:$1048576,17,0),1)</f>
        <v>0</v>
      </c>
      <c r="H78" s="58">
        <f>(SUMPRODUCT('Piping Material List'!$AE$3:$AE$96,'Piping Material List'!$BR$3:$BR$96,'Piping Material List'!$DI$3:$DI$96,'Piping Material List'!EL$3:EL$96)+SUMPRODUCT('Piping Material List'!$AF$3:$AF$96,'Piping Material List'!$CT$3:$CT$96,'Piping Material List'!$DI$3:$DI$96,'Piping Material List'!EL$3:EL$96))*IF($C78="d-inches",24,1)*IF($C78="Ø-inches",VLOOKUP(24,'Thickness Tab'!$1:$1048576,17,0),1)</f>
        <v>0</v>
      </c>
      <c r="I78" s="58">
        <f>(SUMPRODUCT('Piping Material List'!$AE$3:$AE$96,'Piping Material List'!$BR$3:$BR$96,'Piping Material List'!$DI$3:$DI$96,'Piping Material List'!EM$3:EM$96)+SUMPRODUCT('Piping Material List'!$AF$3:$AF$96,'Piping Material List'!$CT$3:$CT$96,'Piping Material List'!$DI$3:$DI$96,'Piping Material List'!EM$3:EM$96))*IF($C78="d-inches",24,1)*IF($C78="Ø-inches",VLOOKUP(24,'Thickness Tab'!$1:$1048576,17,0),1)</f>
        <v>0</v>
      </c>
      <c r="J78" s="58">
        <f>(SUMPRODUCT('Piping Material List'!$AE$3:$AE$96,'Piping Material List'!$BR$3:$BR$96,'Piping Material List'!$DI$3:$DI$96,'Piping Material List'!EN$3:EN$96)+SUMPRODUCT('Piping Material List'!$AF$3:$AF$96,'Piping Material List'!$CT$3:$CT$96,'Piping Material List'!$DI$3:$DI$96,'Piping Material List'!EN$3:EN$96))*IF($C78="d-inches",24,1)*IF($C78="Ø-inches",VLOOKUP(24,'Thickness Tab'!$1:$1048576,17,0),1)</f>
        <v>0</v>
      </c>
      <c r="K78" s="738">
        <v>20</v>
      </c>
      <c r="L78" s="37">
        <f t="shared" si="5"/>
        <v>0</v>
      </c>
    </row>
    <row r="79" spans="1:12" x14ac:dyDescent="0.3">
      <c r="A79" s="31" t="s">
        <v>1185</v>
      </c>
      <c r="B79" s="51" t="s">
        <v>1186</v>
      </c>
      <c r="C79" s="1177" t="s">
        <v>388</v>
      </c>
      <c r="D79" s="58">
        <f>(SUMPRODUCT('Piping Material List'!$AE$3:$AE$96,'Piping Material List'!$BS$3:$BS$96,'Piping Material List'!$DI$3:$DI$96,'Piping Material List'!EH$3:EH$96)+SUMPRODUCT('Piping Material List'!$AF$3:$AF$96,'Piping Material List'!$CU$3:$CU$96,'Piping Material List'!$DI$3:$DI$96,'Piping Material List'!EH$3:EH$96))*IF($C79="d-inches",24,1)*IF($C79="Ø-inches",VLOOKUP(24,'Thickness Tab'!$1:$1048576,17,0),1)</f>
        <v>0</v>
      </c>
      <c r="E79" s="58">
        <f>(SUMPRODUCT('Piping Material List'!$AE$3:$AE$96,'Piping Material List'!$BS$3:$BS$96,'Piping Material List'!$DI$3:$DI$96,'Piping Material List'!EI$3:EI$96)+SUMPRODUCT('Piping Material List'!$AF$3:$AF$96,'Piping Material List'!$CU$3:$CU$96,'Piping Material List'!$DI$3:$DI$96,'Piping Material List'!EI$3:EI$96))*IF($C79="d-inches",24,1)*IF($C79="Ø-inches",VLOOKUP(24,'Thickness Tab'!$1:$1048576,17,0),1)</f>
        <v>0</v>
      </c>
      <c r="F79" s="58">
        <f>(SUMPRODUCT('Piping Material List'!$AE$3:$AE$96,'Piping Material List'!$BP$3:$BP$96,'Piping Material List'!$DK$3:$DK$96,'Piping Material List'!EJ$3:EJ$96)+SUMPRODUCT('Piping Material List'!$AF$3:$AF$96,'Piping Material List'!$CR$3:$CR$96,'Piping Material List'!$DK$3:$DK$96,'Piping Material List'!EJ$3:EJ$96))*IF($C79="d-inches",22,1)*IF($C79="Ø-inches",VLOOKUP(22,'Thickness Tab'!$1:$1048576,17,0),1)</f>
        <v>0</v>
      </c>
      <c r="G79" s="58">
        <f>(SUMPRODUCT('Piping Material List'!$AE$3:$AE$96,'Piping Material List'!$BS$3:$BS$96,'Piping Material List'!$DI$3:$DI$96,'Piping Material List'!EK$3:EK$96)+SUMPRODUCT('Piping Material List'!$AF$3:$AF$96,'Piping Material List'!$CU$3:$CU$96,'Piping Material List'!$DI$3:$DI$96,'Piping Material List'!EK$3:EK$96))*IF($C79="d-inches",24,1)*IF($C79="Ø-inches",VLOOKUP(24,'Thickness Tab'!$1:$1048576,17,0),1)</f>
        <v>0</v>
      </c>
      <c r="H79" s="58">
        <f>(SUMPRODUCT('Piping Material List'!$AE$3:$AE$96,'Piping Material List'!$BS$3:$BS$96,'Piping Material List'!$DI$3:$DI$96,'Piping Material List'!EL$3:EL$96)+SUMPRODUCT('Piping Material List'!$AF$3:$AF$96,'Piping Material List'!$CU$3:$CU$96,'Piping Material List'!$DI$3:$DI$96,'Piping Material List'!EL$3:EL$96))*IF($C79="d-inches",24,1)*IF($C79="Ø-inches",VLOOKUP(24,'Thickness Tab'!$1:$1048576,17,0),1)</f>
        <v>0</v>
      </c>
      <c r="I79" s="58">
        <f>(SUMPRODUCT('Piping Material List'!$AE$3:$AE$96,'Piping Material List'!$BS$3:$BS$96,'Piping Material List'!$DI$3:$DI$96,'Piping Material List'!EM$3:EM$96)+SUMPRODUCT('Piping Material List'!$AF$3:$AF$96,'Piping Material List'!$CU$3:$CU$96,'Piping Material List'!$DI$3:$DI$96,'Piping Material List'!EM$3:EM$96))*IF($C79="d-inches",24,1)*IF($C79="Ø-inches",VLOOKUP(24,'Thickness Tab'!$1:$1048576,17,0),1)</f>
        <v>0</v>
      </c>
      <c r="J79" s="58">
        <f>(SUMPRODUCT('Piping Material List'!$AE$3:$AE$96,'Piping Material List'!$BS$3:$BS$96,'Piping Material List'!$DI$3:$DI$96,'Piping Material List'!EN$3:EN$96)+SUMPRODUCT('Piping Material List'!$AF$3:$AF$96,'Piping Material List'!$CU$3:$CU$96,'Piping Material List'!$DI$3:$DI$96,'Piping Material List'!EN$3:EN$96))*IF($C79="d-inches",24,1)*IF($C79="Ø-inches",VLOOKUP(24,'Thickness Tab'!$1:$1048576,17,0),1)</f>
        <v>0</v>
      </c>
      <c r="K79" s="738">
        <v>20</v>
      </c>
      <c r="L79" s="37">
        <f t="shared" si="5"/>
        <v>0</v>
      </c>
    </row>
    <row r="80" spans="1:12" x14ac:dyDescent="0.3">
      <c r="A80" s="31" t="s">
        <v>1187</v>
      </c>
      <c r="B80" s="51" t="s">
        <v>1188</v>
      </c>
      <c r="C80" s="1177" t="s">
        <v>388</v>
      </c>
      <c r="D80" s="58">
        <f>(SUMPRODUCT('Piping Material List'!$AE$3:$AE$96,'Piping Material List'!$BT$3:$BT$96,'Piping Material List'!$DI$3:$DI$96,'Piping Material List'!EH$3:EH$96)+SUMPRODUCT('Piping Material List'!$AF$3:$AF$96,'Piping Material List'!$CS$3:$CS$96,'Piping Material List'!$DI$3:$DI$96,'Piping Material List'!EH$3:EH$96))*IF($C80="d-inches",24,1)*IF($C80="Ø-inches",VLOOKUP(24,'Thickness Tab'!$1:$1048576,17,0),1)</f>
        <v>0</v>
      </c>
      <c r="E80" s="58">
        <f>(SUMPRODUCT('Piping Material List'!$AE$3:$AE$96,'Piping Material List'!$BT$3:$BT$96,'Piping Material List'!$DI$3:$DI$96,'Piping Material List'!EI$3:EI$96)+SUMPRODUCT('Piping Material List'!$AF$3:$AF$96,'Piping Material List'!$CS$3:$CS$96,'Piping Material List'!$DI$3:$DI$96,'Piping Material List'!EI$3:EI$96))*IF($C80="d-inches",24,1)*IF($C80="Ø-inches",VLOOKUP(24,'Thickness Tab'!$1:$1048576,17,0),1)</f>
        <v>0</v>
      </c>
      <c r="F80" s="58">
        <f>(SUMPRODUCT('Piping Material List'!$AE$3:$AE$96,'Piping Material List'!$BP$3:$BP$96,'Piping Material List'!$DK$3:$DK$96,'Piping Material List'!EJ$3:EJ$96)+SUMPRODUCT('Piping Material List'!$AF$3:$AF$96,'Piping Material List'!$CR$3:$CR$96,'Piping Material List'!$DK$3:$DK$96,'Piping Material List'!EJ$3:EJ$96))*IF($C80="d-inches",22,1)*IF($C80="Ø-inches",VLOOKUP(22,'Thickness Tab'!$1:$1048576,17,0),1)</f>
        <v>0</v>
      </c>
      <c r="G80" s="58">
        <f>(SUMPRODUCT('Piping Material List'!$AE$3:$AE$96,'Piping Material List'!$BT$3:$BT$96,'Piping Material List'!$DI$3:$DI$96,'Piping Material List'!EK$3:EK$96)+SUMPRODUCT('Piping Material List'!$AF$3:$AF$96,'Piping Material List'!$CS$3:$CS$96,'Piping Material List'!$DI$3:$DI$96,'Piping Material List'!EK$3:EK$96))*IF($C80="d-inches",24,1)*IF($C80="Ø-inches",VLOOKUP(24,'Thickness Tab'!$1:$1048576,17,0),1)</f>
        <v>0</v>
      </c>
      <c r="H80" s="58">
        <f>(SUMPRODUCT('Piping Material List'!$AE$3:$AE$96,'Piping Material List'!$BT$3:$BT$96,'Piping Material List'!$DI$3:$DI$96,'Piping Material List'!EL$3:EL$96)+SUMPRODUCT('Piping Material List'!$AF$3:$AF$96,'Piping Material List'!$CS$3:$CS$96,'Piping Material List'!$DI$3:$DI$96,'Piping Material List'!EL$3:EL$96))*IF($C80="d-inches",24,1)*IF($C80="Ø-inches",VLOOKUP(24,'Thickness Tab'!$1:$1048576,17,0),1)</f>
        <v>0</v>
      </c>
      <c r="I80" s="58">
        <f>(SUMPRODUCT('Piping Material List'!$AE$3:$AE$96,'Piping Material List'!$BT$3:$BT$96,'Piping Material List'!$DI$3:$DI$96,'Piping Material List'!EM$3:EM$96)+SUMPRODUCT('Piping Material List'!$AF$3:$AF$96,'Piping Material List'!$CS$3:$CS$96,'Piping Material List'!$DI$3:$DI$96,'Piping Material List'!EM$3:EM$96))*IF($C80="d-inches",24,1)*IF($C80="Ø-inches",VLOOKUP(24,'Thickness Tab'!$1:$1048576,17,0),1)</f>
        <v>0</v>
      </c>
      <c r="J80" s="58">
        <f>(SUMPRODUCT('Piping Material List'!$AE$3:$AE$96,'Piping Material List'!$BT$3:$BT$96,'Piping Material List'!$DI$3:$DI$96,'Piping Material List'!EN$3:EN$96)+SUMPRODUCT('Piping Material List'!$AF$3:$AF$96,'Piping Material List'!$CS$3:$CS$96,'Piping Material List'!$DI$3:$DI$96,'Piping Material List'!EN$3:EN$96))*IF($C80="d-inches",24,1)*IF($C80="Ø-inches",VLOOKUP(24,'Thickness Tab'!$1:$1048576,17,0),1)</f>
        <v>0</v>
      </c>
      <c r="K80" s="738">
        <v>20</v>
      </c>
      <c r="L80" s="37">
        <f t="shared" si="5"/>
        <v>0</v>
      </c>
    </row>
    <row r="81" spans="1:12" x14ac:dyDescent="0.3">
      <c r="A81" s="31" t="s">
        <v>1189</v>
      </c>
      <c r="B81" s="51" t="s">
        <v>1190</v>
      </c>
      <c r="C81" s="1177" t="s">
        <v>388</v>
      </c>
      <c r="D81" s="58">
        <f>(SUMPRODUCT('Piping Material List'!$AE$3:$AE$96,'Piping Material List'!$BU$3:$BU$96,'Piping Material List'!$DI$3:$DI$96,'Piping Material List'!EH$3:EH$96)+SUMPRODUCT('Piping Material List'!$AF$3:$AF$96,'Piping Material List'!$CS$3:$CS$96,'Piping Material List'!$DI$3:$DI$96,'Piping Material List'!EH$3:EH$96))*IF($C81="d-inches",24,1)*IF($C81="Ø-inches",VLOOKUP(24,'Thickness Tab'!$1:$1048576,17,0),1)</f>
        <v>0</v>
      </c>
      <c r="E81" s="58">
        <f>(SUMPRODUCT('Piping Material List'!$AE$3:$AE$96,'Piping Material List'!$BU$3:$BU$96,'Piping Material List'!$DI$3:$DI$96,'Piping Material List'!EI$3:EI$96)+SUMPRODUCT('Piping Material List'!$AF$3:$AF$96,'Piping Material List'!$CS$3:$CS$96,'Piping Material List'!$DI$3:$DI$96,'Piping Material List'!EI$3:EI$96))*IF($C81="d-inches",24,1)*IF($C81="Ø-inches",VLOOKUP(24,'Thickness Tab'!$1:$1048576,17,0),1)</f>
        <v>0</v>
      </c>
      <c r="F81" s="58">
        <f>(SUMPRODUCT('Piping Material List'!$AE$3:$AE$96,'Piping Material List'!$BP$3:$BP$96,'Piping Material List'!$DK$3:$DK$96,'Piping Material List'!EJ$3:EJ$96)+SUMPRODUCT('Piping Material List'!$AF$3:$AF$96,'Piping Material List'!$CR$3:$CR$96,'Piping Material List'!$DK$3:$DK$96,'Piping Material List'!EJ$3:EJ$96))*IF($C81="d-inches",22,1)*IF($C81="Ø-inches",VLOOKUP(22,'Thickness Tab'!$1:$1048576,17,0),1)</f>
        <v>0</v>
      </c>
      <c r="G81" s="58">
        <f>(SUMPRODUCT('Piping Material List'!$AE$3:$AE$96,'Piping Material List'!$BU$3:$BU$96,'Piping Material List'!$DI$3:$DI$96,'Piping Material List'!EK$3:EK$96)+SUMPRODUCT('Piping Material List'!$AF$3:$AF$96,'Piping Material List'!$CS$3:$CS$96,'Piping Material List'!$DI$3:$DI$96,'Piping Material List'!EK$3:EK$96))*IF($C81="d-inches",24,1)*IF($C81="Ø-inches",VLOOKUP(24,'Thickness Tab'!$1:$1048576,17,0),1)</f>
        <v>0</v>
      </c>
      <c r="H81" s="58">
        <f>(SUMPRODUCT('Piping Material List'!$AE$3:$AE$96,'Piping Material List'!$BU$3:$BU$96,'Piping Material List'!$DI$3:$DI$96,'Piping Material List'!EL$3:EL$96)+SUMPRODUCT('Piping Material List'!$AF$3:$AF$96,'Piping Material List'!$CS$3:$CS$96,'Piping Material List'!$DI$3:$DI$96,'Piping Material List'!EL$3:EL$96))*IF($C81="d-inches",24,1)*IF($C81="Ø-inches",VLOOKUP(24,'Thickness Tab'!$1:$1048576,17,0),1)</f>
        <v>0</v>
      </c>
      <c r="I81" s="58">
        <f>(SUMPRODUCT('Piping Material List'!$AE$3:$AE$96,'Piping Material List'!$BU$3:$BU$96,'Piping Material List'!$DI$3:$DI$96,'Piping Material List'!EM$3:EM$96)+SUMPRODUCT('Piping Material List'!$AF$3:$AF$96,'Piping Material List'!$CS$3:$CS$96,'Piping Material List'!$DI$3:$DI$96,'Piping Material List'!EM$3:EM$96))*IF($C81="d-inches",24,1)*IF($C81="Ø-inches",VLOOKUP(24,'Thickness Tab'!$1:$1048576,17,0),1)</f>
        <v>0</v>
      </c>
      <c r="J81" s="58">
        <f>(SUMPRODUCT('Piping Material List'!$AE$3:$AE$96,'Piping Material List'!$BU$3:$BU$96,'Piping Material List'!$DI$3:$DI$96,'Piping Material List'!EN$3:EN$96)+SUMPRODUCT('Piping Material List'!$AF$3:$AF$96,'Piping Material List'!$CS$3:$CS$96,'Piping Material List'!$DI$3:$DI$96,'Piping Material List'!EN$3:EN$96))*IF($C81="d-inches",24,1)*IF($C81="Ø-inches",VLOOKUP(24,'Thickness Tab'!$1:$1048576,17,0),1)</f>
        <v>0</v>
      </c>
      <c r="K81" s="738">
        <v>20</v>
      </c>
      <c r="L81" s="37">
        <f t="shared" si="5"/>
        <v>0</v>
      </c>
    </row>
    <row r="82" spans="1:12" x14ac:dyDescent="0.3">
      <c r="A82" s="31" t="s">
        <v>1191</v>
      </c>
      <c r="B82" s="51" t="s">
        <v>1192</v>
      </c>
      <c r="C82" s="1177" t="s">
        <v>388</v>
      </c>
      <c r="D82" s="58">
        <f>(SUMPRODUCT('Piping Material List'!$AE$3:$AE$96,'Piping Material List'!$BV$3:$BV$96,'Piping Material List'!$DI$3:$DI$96,'Piping Material List'!EH$3:EH$96)+SUMPRODUCT('Piping Material List'!$AF$3:$AF$96,'Piping Material List'!$CS$3:$CS$96,'Piping Material List'!$DI$3:$DI$96,'Piping Material List'!EH$3:EH$96))*IF($C82="d-inches",24,1)*IF($C82="Ø-inches",VLOOKUP(24,'Thickness Tab'!$1:$1048576,17,0),1)</f>
        <v>0</v>
      </c>
      <c r="E82" s="58">
        <f>(SUMPRODUCT('Piping Material List'!$AE$3:$AE$96,'Piping Material List'!$BV$3:$BV$96,'Piping Material List'!$DI$3:$DI$96,'Piping Material List'!EI$3:EI$96)+SUMPRODUCT('Piping Material List'!$AF$3:$AF$96,'Piping Material List'!$CS$3:$CS$96,'Piping Material List'!$DI$3:$DI$96,'Piping Material List'!EI$3:EI$96))*IF($C82="d-inches",24,1)*IF($C82="Ø-inches",VLOOKUP(24,'Thickness Tab'!$1:$1048576,17,0),1)</f>
        <v>0</v>
      </c>
      <c r="F82" s="58">
        <f>(SUMPRODUCT('Piping Material List'!$AE$3:$AE$96,'Piping Material List'!$BP$3:$BP$96,'Piping Material List'!$DK$3:$DK$96,'Piping Material List'!EJ$3:EJ$96)+SUMPRODUCT('Piping Material List'!$AF$3:$AF$96,'Piping Material List'!$CR$3:$CR$96,'Piping Material List'!$DK$3:$DK$96,'Piping Material List'!EJ$3:EJ$96))*IF($C82="d-inches",22,1)*IF($C82="Ø-inches",VLOOKUP(22,'Thickness Tab'!$1:$1048576,17,0),1)</f>
        <v>0</v>
      </c>
      <c r="G82" s="58">
        <f>(SUMPRODUCT('Piping Material List'!$AE$3:$AE$96,'Piping Material List'!$BV$3:$BV$96,'Piping Material List'!$DI$3:$DI$96,'Piping Material List'!EK$3:EK$96)+SUMPRODUCT('Piping Material List'!$AF$3:$AF$96,'Piping Material List'!$CS$3:$CS$96,'Piping Material List'!$DI$3:$DI$96,'Piping Material List'!EK$3:EK$96))*IF($C82="d-inches",24,1)*IF($C82="Ø-inches",VLOOKUP(24,'Thickness Tab'!$1:$1048576,17,0),1)</f>
        <v>0</v>
      </c>
      <c r="H82" s="58">
        <f>(SUMPRODUCT('Piping Material List'!$AE$3:$AE$96,'Piping Material List'!$BV$3:$BV$96,'Piping Material List'!$DI$3:$DI$96,'Piping Material List'!EL$3:EL$96)+SUMPRODUCT('Piping Material List'!$AF$3:$AF$96,'Piping Material List'!$CS$3:$CS$96,'Piping Material List'!$DI$3:$DI$96,'Piping Material List'!EL$3:EL$96))*IF($C82="d-inches",24,1)*IF($C82="Ø-inches",VLOOKUP(24,'Thickness Tab'!$1:$1048576,17,0),1)</f>
        <v>0</v>
      </c>
      <c r="I82" s="58">
        <f>(SUMPRODUCT('Piping Material List'!$AE$3:$AE$96,'Piping Material List'!$BV$3:$BV$96,'Piping Material List'!$DI$3:$DI$96,'Piping Material List'!EM$3:EM$96)+SUMPRODUCT('Piping Material List'!$AF$3:$AF$96,'Piping Material List'!$CS$3:$CS$96,'Piping Material List'!$DI$3:$DI$96,'Piping Material List'!EM$3:EM$96))*IF($C82="d-inches",24,1)*IF($C82="Ø-inches",VLOOKUP(24,'Thickness Tab'!$1:$1048576,17,0),1)</f>
        <v>0</v>
      </c>
      <c r="J82" s="58">
        <f>(SUMPRODUCT('Piping Material List'!$AE$3:$AE$96,'Piping Material List'!$BV$3:$BV$96,'Piping Material List'!$DI$3:$DI$96,'Piping Material List'!EN$3:EN$96)+SUMPRODUCT('Piping Material List'!$AF$3:$AF$96,'Piping Material List'!$CS$3:$CS$96,'Piping Material List'!$DI$3:$DI$96,'Piping Material List'!EN$3:EN$96))*IF($C82="d-inches",24,1)*IF($C82="Ø-inches",VLOOKUP(24,'Thickness Tab'!$1:$1048576,17,0),1)</f>
        <v>0</v>
      </c>
      <c r="K82" s="738">
        <v>20</v>
      </c>
      <c r="L82" s="37">
        <f t="shared" si="5"/>
        <v>0</v>
      </c>
    </row>
    <row r="83" spans="1:12" x14ac:dyDescent="0.3">
      <c r="A83" s="31" t="s">
        <v>1193</v>
      </c>
      <c r="B83" s="51" t="s">
        <v>1194</v>
      </c>
      <c r="C83" s="1177" t="s">
        <v>388</v>
      </c>
      <c r="D83" s="58">
        <f>(SUMPRODUCT('Piping Material List'!$AE$3:$AE$96,'Piping Material List'!$BW$3:$BW$96,'Piping Material List'!$DI$3:$DI$96,'Piping Material List'!EH$3:EH$96)+SUMPRODUCT('Piping Material List'!$AF$3:$AF$96,'Piping Material List'!$CS$3:$CS$96,'Piping Material List'!$DI$3:$DI$96,'Piping Material List'!EH$3:EH$96))*IF($C83="d-inches",24,1)*IF($C83="Ø-inches",VLOOKUP(24,'Thickness Tab'!$1:$1048576,17,0),1)</f>
        <v>0</v>
      </c>
      <c r="E83" s="58">
        <f>(SUMPRODUCT('Piping Material List'!$AE$3:$AE$96,'Piping Material List'!$BW$3:$BW$96,'Piping Material List'!$DI$3:$DI$96,'Piping Material List'!EI$3:EI$96)+SUMPRODUCT('Piping Material List'!$AF$3:$AF$96,'Piping Material List'!$CS$3:$CS$96,'Piping Material List'!$DI$3:$DI$96,'Piping Material List'!EI$3:EI$96))*IF($C83="d-inches",24,1)*IF($C83="Ø-inches",VLOOKUP(24,'Thickness Tab'!$1:$1048576,17,0),1)</f>
        <v>0</v>
      </c>
      <c r="F83" s="58">
        <f>(SUMPRODUCT('Piping Material List'!$AE$3:$AE$96,'Piping Material List'!$BP$3:$BP$96,'Piping Material List'!$DK$3:$DK$96,'Piping Material List'!EJ$3:EJ$96)+SUMPRODUCT('Piping Material List'!$AF$3:$AF$96,'Piping Material List'!$CR$3:$CR$96,'Piping Material List'!$DK$3:$DK$96,'Piping Material List'!EJ$3:EJ$96))*IF($C83="d-inches",22,1)*IF($C83="Ø-inches",VLOOKUP(22,'Thickness Tab'!$1:$1048576,17,0),1)</f>
        <v>0</v>
      </c>
      <c r="G83" s="58">
        <f>(SUMPRODUCT('Piping Material List'!$AE$3:$AE$96,'Piping Material List'!$BW$3:$BW$96,'Piping Material List'!$DI$3:$DI$96,'Piping Material List'!EK$3:EK$96)+SUMPRODUCT('Piping Material List'!$AF$3:$AF$96,'Piping Material List'!$CS$3:$CS$96,'Piping Material List'!$DI$3:$DI$96,'Piping Material List'!EK$3:EK$96))*IF($C83="d-inches",24,1)*IF($C83="Ø-inches",VLOOKUP(24,'Thickness Tab'!$1:$1048576,17,0),1)</f>
        <v>0</v>
      </c>
      <c r="H83" s="58">
        <f>(SUMPRODUCT('Piping Material List'!$AE$3:$AE$96,'Piping Material List'!$BW$3:$BW$96,'Piping Material List'!$DI$3:$DI$96,'Piping Material List'!EL$3:EL$96)+SUMPRODUCT('Piping Material List'!$AF$3:$AF$96,'Piping Material List'!$CS$3:$CS$96,'Piping Material List'!$DI$3:$DI$96,'Piping Material List'!EL$3:EL$96))*IF($C83="d-inches",24,1)*IF($C83="Ø-inches",VLOOKUP(24,'Thickness Tab'!$1:$1048576,17,0),1)</f>
        <v>0</v>
      </c>
      <c r="I83" s="58">
        <f>(SUMPRODUCT('Piping Material List'!$AE$3:$AE$96,'Piping Material List'!$BW$3:$BW$96,'Piping Material List'!$DI$3:$DI$96,'Piping Material List'!EM$3:EM$96)+SUMPRODUCT('Piping Material List'!$AF$3:$AF$96,'Piping Material List'!$CS$3:$CS$96,'Piping Material List'!$DI$3:$DI$96,'Piping Material List'!EM$3:EM$96))*IF($C83="d-inches",24,1)*IF($C83="Ø-inches",VLOOKUP(24,'Thickness Tab'!$1:$1048576,17,0),1)</f>
        <v>0</v>
      </c>
      <c r="J83" s="58">
        <f>(SUMPRODUCT('Piping Material List'!$AE$3:$AE$96,'Piping Material List'!$BW$3:$BW$96,'Piping Material List'!$DI$3:$DI$96,'Piping Material List'!EN$3:EN$96)+SUMPRODUCT('Piping Material List'!$AF$3:$AF$96,'Piping Material List'!$CS$3:$CS$96,'Piping Material List'!$DI$3:$DI$96,'Piping Material List'!EN$3:EN$96))*IF($C83="d-inches",24,1)*IF($C83="Ø-inches",VLOOKUP(24,'Thickness Tab'!$1:$1048576,17,0),1)</f>
        <v>0</v>
      </c>
      <c r="K83" s="738">
        <v>20</v>
      </c>
      <c r="L83" s="37">
        <f t="shared" si="5"/>
        <v>0</v>
      </c>
    </row>
    <row r="84" spans="1:12" x14ac:dyDescent="0.3">
      <c r="A84" s="31" t="s">
        <v>1195</v>
      </c>
      <c r="B84" s="51" t="s">
        <v>1196</v>
      </c>
      <c r="C84" s="1177" t="s">
        <v>388</v>
      </c>
      <c r="D84" s="58">
        <f>(SUMPRODUCT('Piping Material List'!$AE$3:$AE$96,'Piping Material List'!$BX$3:$BX$96,'Piping Material List'!$DI$3:$DI$96,'Piping Material List'!EH$3:EH$96)+SUMPRODUCT('Piping Material List'!$AF$3:$AF$96,'Piping Material List'!$CS$3:$CS$96,'Piping Material List'!$DI$3:$DI$96,'Piping Material List'!EH$3:EH$96))*IF($C84="d-inches",24,1)*IF($C84="Ø-inches",VLOOKUP(24,'Thickness Tab'!$1:$1048576,17,0),1)</f>
        <v>0</v>
      </c>
      <c r="E84" s="58">
        <f>(SUMPRODUCT('Piping Material List'!$AE$3:$AE$96,'Piping Material List'!$BX$3:$BX$96,'Piping Material List'!$DI$3:$DI$96,'Piping Material List'!EI$3:EI$96)+SUMPRODUCT('Piping Material List'!$AF$3:$AF$96,'Piping Material List'!$CS$3:$CS$96,'Piping Material List'!$DI$3:$DI$96,'Piping Material List'!EI$3:EI$96))*IF($C84="d-inches",24,1)*IF($C84="Ø-inches",VLOOKUP(24,'Thickness Tab'!$1:$1048576,17,0),1)</f>
        <v>0</v>
      </c>
      <c r="F84" s="58">
        <f>(SUMPRODUCT('Piping Material List'!$AE$3:$AE$96,'Piping Material List'!$BP$3:$BP$96,'Piping Material List'!$DK$3:$DK$96,'Piping Material List'!EJ$3:EJ$96)+SUMPRODUCT('Piping Material List'!$AF$3:$AF$96,'Piping Material List'!$CR$3:$CR$96,'Piping Material List'!$DK$3:$DK$96,'Piping Material List'!EJ$3:EJ$96))*IF($C84="d-inches",22,1)*IF($C84="Ø-inches",VLOOKUP(22,'Thickness Tab'!$1:$1048576,17,0),1)</f>
        <v>0</v>
      </c>
      <c r="G84" s="58">
        <f>(SUMPRODUCT('Piping Material List'!$AE$3:$AE$96,'Piping Material List'!$BX$3:$BX$96,'Piping Material List'!$DI$3:$DI$96,'Piping Material List'!EK$3:EK$96)+SUMPRODUCT('Piping Material List'!$AF$3:$AF$96,'Piping Material List'!$CS$3:$CS$96,'Piping Material List'!$DI$3:$DI$96,'Piping Material List'!EK$3:EK$96))*IF($C84="d-inches",24,1)*IF($C84="Ø-inches",VLOOKUP(24,'Thickness Tab'!$1:$1048576,17,0),1)</f>
        <v>0</v>
      </c>
      <c r="H84" s="58">
        <f>(SUMPRODUCT('Piping Material List'!$AE$3:$AE$96,'Piping Material List'!$BX$3:$BX$96,'Piping Material List'!$DI$3:$DI$96,'Piping Material List'!EL$3:EL$96)+SUMPRODUCT('Piping Material List'!$AF$3:$AF$96,'Piping Material List'!$CS$3:$CS$96,'Piping Material List'!$DI$3:$DI$96,'Piping Material List'!EL$3:EL$96))*IF($C84="d-inches",24,1)*IF($C84="Ø-inches",VLOOKUP(24,'Thickness Tab'!$1:$1048576,17,0),1)</f>
        <v>0</v>
      </c>
      <c r="I84" s="58">
        <f>(SUMPRODUCT('Piping Material List'!$AE$3:$AE$96,'Piping Material List'!$BX$3:$BX$96,'Piping Material List'!$DI$3:$DI$96,'Piping Material List'!EM$3:EM$96)+SUMPRODUCT('Piping Material List'!$AF$3:$AF$96,'Piping Material List'!$CS$3:$CS$96,'Piping Material List'!$DI$3:$DI$96,'Piping Material List'!EM$3:EM$96))*IF($C84="d-inches",24,1)*IF($C84="Ø-inches",VLOOKUP(24,'Thickness Tab'!$1:$1048576,17,0),1)</f>
        <v>0</v>
      </c>
      <c r="J84" s="58">
        <f>(SUMPRODUCT('Piping Material List'!$AE$3:$AE$96,'Piping Material List'!$BX$3:$BX$96,'Piping Material List'!$DI$3:$DI$96,'Piping Material List'!EN$3:EN$96)+SUMPRODUCT('Piping Material List'!$AF$3:$AF$96,'Piping Material List'!$CS$3:$CS$96,'Piping Material List'!$DI$3:$DI$96,'Piping Material List'!EN$3:EN$96))*IF($C84="d-inches",24,1)*IF($C84="Ø-inches",VLOOKUP(24,'Thickness Tab'!$1:$1048576,17,0),1)</f>
        <v>0</v>
      </c>
      <c r="K84" s="738">
        <v>20</v>
      </c>
      <c r="L84" s="37">
        <f t="shared" si="5"/>
        <v>0</v>
      </c>
    </row>
    <row r="85" spans="1:12" x14ac:dyDescent="0.3">
      <c r="A85" s="31" t="s">
        <v>1197</v>
      </c>
      <c r="B85" s="51" t="s">
        <v>1198</v>
      </c>
      <c r="C85" s="1177" t="s">
        <v>388</v>
      </c>
      <c r="D85" s="58">
        <f>(SUMPRODUCT('Piping Material List'!$AE$3:$AE$96,'Piping Material List'!$BY$3:$BY$96,'Piping Material List'!$DI$3:$DI$96,'Piping Material List'!EH$3:EH$96)+SUMPRODUCT('Piping Material List'!$AF$3:$AF$96,'Piping Material List'!$CS$3:$CS$96,'Piping Material List'!$DI$3:$DI$96,'Piping Material List'!EH$3:EH$96))*IF($C85="d-inches",24,1)*IF($C85="Ø-inches",VLOOKUP(24,'Thickness Tab'!$1:$1048576,17,0),1)</f>
        <v>0</v>
      </c>
      <c r="E85" s="58">
        <f>(SUMPRODUCT('Piping Material List'!$AE$3:$AE$96,'Piping Material List'!$BY$3:$BY$96,'Piping Material List'!$DI$3:$DI$96,'Piping Material List'!EI$3:EI$96)+SUMPRODUCT('Piping Material List'!$AF$3:$AF$96,'Piping Material List'!$CS$3:$CS$96,'Piping Material List'!$DI$3:$DI$96,'Piping Material List'!EI$3:EI$96))*IF($C85="d-inches",24,1)*IF($C85="Ø-inches",VLOOKUP(24,'Thickness Tab'!$1:$1048576,17,0),1)</f>
        <v>0</v>
      </c>
      <c r="F85" s="58">
        <f>(SUMPRODUCT('Piping Material List'!$AE$3:$AE$96,'Piping Material List'!$BP$3:$BP$96,'Piping Material List'!$DK$3:$DK$96,'Piping Material List'!EJ$3:EJ$96)+SUMPRODUCT('Piping Material List'!$AF$3:$AF$96,'Piping Material List'!$CR$3:$CR$96,'Piping Material List'!$DK$3:$DK$96,'Piping Material List'!EJ$3:EJ$96))*IF($C85="d-inches",22,1)*IF($C85="Ø-inches",VLOOKUP(22,'Thickness Tab'!$1:$1048576,17,0),1)</f>
        <v>0</v>
      </c>
      <c r="G85" s="58">
        <f>(SUMPRODUCT('Piping Material List'!$AE$3:$AE$96,'Piping Material List'!$BY$3:$BY$96,'Piping Material List'!$DI$3:$DI$96,'Piping Material List'!EK$3:EK$96)+SUMPRODUCT('Piping Material List'!$AF$3:$AF$96,'Piping Material List'!$CS$3:$CS$96,'Piping Material List'!$DI$3:$DI$96,'Piping Material List'!EK$3:EK$96))*IF($C85="d-inches",24,1)*IF($C85="Ø-inches",VLOOKUP(24,'Thickness Tab'!$1:$1048576,17,0),1)</f>
        <v>0</v>
      </c>
      <c r="H85" s="58">
        <f>(SUMPRODUCT('Piping Material List'!$AE$3:$AE$96,'Piping Material List'!$BY$3:$BY$96,'Piping Material List'!$DI$3:$DI$96,'Piping Material List'!EL$3:EL$96)+SUMPRODUCT('Piping Material List'!$AF$3:$AF$96,'Piping Material List'!$CS$3:$CS$96,'Piping Material List'!$DI$3:$DI$96,'Piping Material List'!EL$3:EL$96))*IF($C85="d-inches",24,1)*IF($C85="Ø-inches",VLOOKUP(24,'Thickness Tab'!$1:$1048576,17,0),1)</f>
        <v>0</v>
      </c>
      <c r="I85" s="58">
        <f>(SUMPRODUCT('Piping Material List'!$AE$3:$AE$96,'Piping Material List'!$BY$3:$BY$96,'Piping Material List'!$DI$3:$DI$96,'Piping Material List'!EM$3:EM$96)+SUMPRODUCT('Piping Material List'!$AF$3:$AF$96,'Piping Material List'!$CS$3:$CS$96,'Piping Material List'!$DI$3:$DI$96,'Piping Material List'!EM$3:EM$96))*IF($C85="d-inches",24,1)*IF($C85="Ø-inches",VLOOKUP(24,'Thickness Tab'!$1:$1048576,17,0),1)</f>
        <v>0</v>
      </c>
      <c r="J85" s="58">
        <f>(SUMPRODUCT('Piping Material List'!$AE$3:$AE$96,'Piping Material List'!$BY$3:$BY$96,'Piping Material List'!$DI$3:$DI$96,'Piping Material List'!EN$3:EN$96)+SUMPRODUCT('Piping Material List'!$AF$3:$AF$96,'Piping Material List'!$CS$3:$CS$96,'Piping Material List'!$DI$3:$DI$96,'Piping Material List'!EN$3:EN$96))*IF($C85="d-inches",24,1)*IF($C85="Ø-inches",VLOOKUP(24,'Thickness Tab'!$1:$1048576,17,0),1)</f>
        <v>0</v>
      </c>
      <c r="K85" s="738">
        <v>20</v>
      </c>
      <c r="L85" s="37">
        <f t="shared" si="5"/>
        <v>0</v>
      </c>
    </row>
    <row r="86" spans="1:12" x14ac:dyDescent="0.3">
      <c r="A86" s="31" t="s">
        <v>1199</v>
      </c>
      <c r="B86" s="51" t="s">
        <v>1200</v>
      </c>
      <c r="C86" s="1177" t="s">
        <v>388</v>
      </c>
      <c r="D86" s="58">
        <f>(SUMPRODUCT('Piping Material List'!$AE$3:$AE$96,'Piping Material List'!$BZ$3:$BZ$96,'Piping Material List'!$DI$3:$DI$96,'Piping Material List'!EH$3:EH$96)+SUMPRODUCT('Piping Material List'!$AF$3:$AF$96,'Piping Material List'!$DB$3:$DB$96,'Piping Material List'!$DI$3:$DI$96,'Piping Material List'!EH$3:EH$96))*IF($C86="d-inches",22,1)*IF($C86="Ø-inches",VLOOKUP(22,'Thickness Tab'!$1:$1048576,17,0),1)</f>
        <v>0</v>
      </c>
      <c r="E86" s="58">
        <f>(SUMPRODUCT('Piping Material List'!$AE$3:$AE$96,'Piping Material List'!$BZ$3:$BZ$96,'Piping Material List'!$DI$3:$DI$96,'Piping Material List'!EI$3:EI$96)+SUMPRODUCT('Piping Material List'!$AF$3:$AF$96,'Piping Material List'!$DB$3:$DB$96,'Piping Material List'!$DI$3:$DI$96,'Piping Material List'!EI$3:EI$96))*IF($C86="d-inches",22,1)*IF($C86="Ø-inches",VLOOKUP(22,'Thickness Tab'!$1:$1048576,17,0),1)</f>
        <v>0</v>
      </c>
      <c r="F86" s="58">
        <f>(SUMPRODUCT('Piping Material List'!$AE$3:$AE$96,'Piping Material List'!$BP$3:$BP$96,'Piping Material List'!$DK$3:$DK$96,'Piping Material List'!EJ$3:EJ$96)+SUMPRODUCT('Piping Material List'!$AF$3:$AF$96,'Piping Material List'!$CR$3:$CR$96,'Piping Material List'!$DK$3:$DK$96,'Piping Material List'!EJ$3:EJ$96))*IF($C86="d-inches",22,1)*IF($C86="Ø-inches",VLOOKUP(22,'Thickness Tab'!$1:$1048576,17,0),1)</f>
        <v>0</v>
      </c>
      <c r="G86" s="58">
        <f>(SUMPRODUCT('Piping Material List'!$AE$3:$AE$96,'Piping Material List'!$BZ$3:$BZ$96,'Piping Material List'!$DI$3:$DI$96,'Piping Material List'!EK$3:EK$96)+SUMPRODUCT('Piping Material List'!$AF$3:$AF$96,'Piping Material List'!$DB$3:$DB$96,'Piping Material List'!$DI$3:$DI$96,'Piping Material List'!EK$3:EK$96))*IF($C86="d-inches",22,1)*IF($C86="Ø-inches",VLOOKUP(22,'Thickness Tab'!$1:$1048576,17,0),1)</f>
        <v>0</v>
      </c>
      <c r="H86" s="58">
        <f>(SUMPRODUCT('Piping Material List'!$AE$3:$AE$96,'Piping Material List'!$BZ$3:$BZ$96,'Piping Material List'!$DI$3:$DI$96,'Piping Material List'!EL$3:EL$96)+SUMPRODUCT('Piping Material List'!$AF$3:$AF$96,'Piping Material List'!$DB$3:$DB$96,'Piping Material List'!$DI$3:$DI$96,'Piping Material List'!EL$3:EL$96))*IF($C86="d-inches",22,1)*IF($C86="Ø-inches",VLOOKUP(22,'Thickness Tab'!$1:$1048576,17,0),1)</f>
        <v>0</v>
      </c>
      <c r="I86" s="58">
        <f>(SUMPRODUCT('Piping Material List'!$AE$3:$AE$96,'Piping Material List'!$BZ$3:$BZ$96,'Piping Material List'!$DI$3:$DI$96,'Piping Material List'!EM$3:EM$96)+SUMPRODUCT('Piping Material List'!$AF$3:$AF$96,'Piping Material List'!$DB$3:$DB$96,'Piping Material List'!$DI$3:$DI$96,'Piping Material List'!EM$3:EM$96))*IF($C86="d-inches",22,1)*IF($C86="Ø-inches",VLOOKUP(22,'Thickness Tab'!$1:$1048576,17,0),1)</f>
        <v>0</v>
      </c>
      <c r="J86" s="58">
        <f>(SUMPRODUCT('Piping Material List'!$AE$3:$AE$96,'Piping Material List'!$BZ$3:$BZ$96,'Piping Material List'!$DI$3:$DI$96,'Piping Material List'!EN$3:EN$96)+SUMPRODUCT('Piping Material List'!$AF$3:$AF$96,'Piping Material List'!$DB$3:$DB$96,'Piping Material List'!$DI$3:$DI$96,'Piping Material List'!EN$3:EN$96))*IF($C86="d-inches",22,1)*IF($C86="Ø-inches",VLOOKUP(22,'Thickness Tab'!$1:$1048576,17,0),1)</f>
        <v>0</v>
      </c>
      <c r="K86" s="738">
        <v>20</v>
      </c>
      <c r="L86" s="37">
        <f>SUMPRODUCT(D86:J86,$D$29:$J$29)*K86</f>
        <v>0</v>
      </c>
    </row>
    <row r="87" spans="1:12" x14ac:dyDescent="0.3">
      <c r="A87" s="1474" t="s">
        <v>1220</v>
      </c>
      <c r="B87" s="1479" t="s">
        <v>1096</v>
      </c>
      <c r="C87" s="1480"/>
      <c r="D87" s="1481"/>
      <c r="E87" s="1481"/>
      <c r="F87" s="1481"/>
      <c r="G87" s="1481"/>
      <c r="H87" s="1481"/>
      <c r="I87" s="1481"/>
      <c r="J87" s="1481"/>
      <c r="K87" s="1482"/>
      <c r="L87" s="1484">
        <f>SUM(L90:L107)</f>
        <v>0</v>
      </c>
    </row>
    <row r="88" spans="1:12" x14ac:dyDescent="0.3">
      <c r="A88" s="1485"/>
      <c r="B88" s="1405"/>
      <c r="C88" s="1486" t="s">
        <v>1145</v>
      </c>
      <c r="D88" s="1487" t="str">
        <f>'Piping Material List'!EH2</f>
        <v>5S - 40</v>
      </c>
      <c r="E88" s="1487">
        <f>'Piping Material List'!EI2</f>
        <v>60</v>
      </c>
      <c r="F88" s="1487" t="str">
        <f>'Piping Material List'!EJ2</f>
        <v>XS - 80</v>
      </c>
      <c r="G88" s="1487">
        <f>'Piping Material List'!EK2</f>
        <v>100</v>
      </c>
      <c r="H88" s="1487">
        <f>'Piping Material List'!EL2</f>
        <v>120</v>
      </c>
      <c r="I88" s="1487">
        <f>'Piping Material List'!EM2</f>
        <v>140</v>
      </c>
      <c r="J88" s="1487" t="str">
        <f>'Piping Material List'!EN2</f>
        <v>160 - XXS</v>
      </c>
      <c r="K88" s="1482"/>
      <c r="L88" s="1488"/>
    </row>
    <row r="89" spans="1:12" x14ac:dyDescent="0.3">
      <c r="A89" s="1344"/>
      <c r="B89" s="1489"/>
      <c r="C89" s="1486" t="s">
        <v>1146</v>
      </c>
      <c r="D89" s="1490">
        <v>1</v>
      </c>
      <c r="E89" s="1490">
        <v>1.2</v>
      </c>
      <c r="F89" s="1490">
        <v>1.3</v>
      </c>
      <c r="G89" s="1490">
        <v>1.4</v>
      </c>
      <c r="H89" s="1490">
        <v>1.5</v>
      </c>
      <c r="I89" s="1490">
        <v>1.7</v>
      </c>
      <c r="J89" s="1490">
        <v>2</v>
      </c>
      <c r="K89" s="1482"/>
      <c r="L89" s="1488"/>
    </row>
    <row r="90" spans="1:12" x14ac:dyDescent="0.3">
      <c r="A90" s="31" t="s">
        <v>1221</v>
      </c>
      <c r="B90" s="51" t="s">
        <v>1148</v>
      </c>
      <c r="C90" s="1177" t="s">
        <v>1222</v>
      </c>
      <c r="D90" s="57">
        <f>(SUMPRODUCT('Piping Material List'!$AE$3:$AE$96,'Piping Material List'!$AZ$3:$AZ$96,'Piping Material List'!$DL$3:$DL$96,'Piping Material List'!EH$3:EH$96)+SUMPRODUCT('Piping Material List'!$AF$3:$AF$96,'Piping Material List'!$CB$3:$CB$96,'Piping Material List'!$DL$3:$DL$96,'Piping Material List'!EH$3:EH$96))*IF($C90="d-inches",0.5,1)*IF($C90="Ø-inches",VLOOKUP(0.5,'Thickness Tab'!$1:$1048576,17,0),1)</f>
        <v>0</v>
      </c>
      <c r="E90" s="57">
        <f>(SUMPRODUCT('Piping Material List'!$AE$3:$AE$96,'Piping Material List'!$AZ$3:$AZ$96,'Piping Material List'!$DL$3:$DL$96,'Piping Material List'!EI$3:EI$96)+SUMPRODUCT('Piping Material List'!$AF$3:$AF$96,'Piping Material List'!$CB$3:$CB$96,'Piping Material List'!$DL$3:$DL$96,'Piping Material List'!EI$3:EI$96))*IF($C90="d-inches",0.5,1)*IF($C90="Ø-inches",VLOOKUP(0.5,'Thickness Tab'!$1:$1048576,17,0),1)</f>
        <v>0</v>
      </c>
      <c r="F90" s="57">
        <f>(SUMPRODUCT('Piping Material List'!$AE$3:$AE$96,'Piping Material List'!$AZ$3:$AZ$96,'Piping Material List'!$DL$3:$DL$96,'Piping Material List'!EJ$3:EJ$96)+SUMPRODUCT('Piping Material List'!$AF$3:$AF$96,'Piping Material List'!$CB$3:$CB$96,'Piping Material List'!$DL$3:$DL$96,'Piping Material List'!EJ$3:EJ$96))*IF($C90="d-inches",0.5,1)*IF($C90="Ø-inches",VLOOKUP(0.5,'Thickness Tab'!$1:$1048576,17,0),1)</f>
        <v>0</v>
      </c>
      <c r="G90" s="57">
        <f>(SUMPRODUCT('Piping Material List'!$AE$3:$AE$96,'Piping Material List'!$AZ$3:$AZ$96,'Piping Material List'!$DL$3:$DL$96,'Piping Material List'!EK$3:EK$96)+SUMPRODUCT('Piping Material List'!$AF$3:$AF$96,'Piping Material List'!$CB$3:$CB$96,'Piping Material List'!$DL$3:$DL$96,'Piping Material List'!EK$3:EK$96))*IF($C90="d-inches",0.5,1)*IF($C90="Ø-inches",VLOOKUP(0.5,'Thickness Tab'!$1:$1048576,17,0),1)</f>
        <v>0</v>
      </c>
      <c r="H90" s="57">
        <f>(SUMPRODUCT('Piping Material List'!$AE$3:$AE$96,'Piping Material List'!$AZ$3:$AZ$96,'Piping Material List'!$DL$3:$DL$96,'Piping Material List'!EL$3:EL$96)+SUMPRODUCT('Piping Material List'!$AF$3:$AF$96,'Piping Material List'!$CB$3:$CB$96,'Piping Material List'!$DL$3:$DL$96,'Piping Material List'!EL$3:EL$96))*IF($C90="d-inches",0.5,1)*IF($C90="Ø-inches",VLOOKUP(0.5,'Thickness Tab'!$1:$1048576,17,0),1)</f>
        <v>0</v>
      </c>
      <c r="I90" s="57">
        <f>(SUMPRODUCT('Piping Material List'!$AE$3:$AE$96,'Piping Material List'!$AZ$3:$AZ$96,'Piping Material List'!$DL$3:$DL$96,'Piping Material List'!EM$3:EM$96)+SUMPRODUCT('Piping Material List'!$AF$3:$AF$96,'Piping Material List'!$CB$3:$CB$96,'Piping Material List'!$DL$3:$DL$96,'Piping Material List'!EM$3:EM$96))*IF($C90="d-inches",0.5,1)*IF($C90="Ø-inches",VLOOKUP(0.5,'Thickness Tab'!$1:$1048576,17,0),1)</f>
        <v>0</v>
      </c>
      <c r="J90" s="57">
        <f>(SUMPRODUCT('Piping Material List'!$AE$3:$AE$96,'Piping Material List'!$AZ$3:$AZ$96,'Piping Material List'!$DL$3:$DL$96,'Piping Material List'!EN$3:EN$96)+SUMPRODUCT('Piping Material List'!$AF$3:$AF$96,'Piping Material List'!$CB$3:$CB$96,'Piping Material List'!$DL$3:$DL$96,'Piping Material List'!EN$3:EN$96))*IF($C90="d-inches",0.5,1)*IF($C90="Ø-inches",VLOOKUP(0.5,'Thickness Tab'!$1:$1048576,17,0),1)</f>
        <v>0</v>
      </c>
      <c r="K90" s="739">
        <v>25</v>
      </c>
      <c r="L90" s="30">
        <f t="shared" ref="L90:L116" si="6">SUMPRODUCT(D90:J90,$D$89:$J$89)*K90</f>
        <v>0</v>
      </c>
    </row>
    <row r="91" spans="1:12" x14ac:dyDescent="0.3">
      <c r="A91" s="31" t="s">
        <v>1223</v>
      </c>
      <c r="B91" s="51" t="s">
        <v>1150</v>
      </c>
      <c r="C91" s="1177" t="s">
        <v>1222</v>
      </c>
      <c r="D91" s="58">
        <f>(SUMPRODUCT('Piping Material List'!$AE$3:$AE$96,'Piping Material List'!$BA$3:$BA$96,'Piping Material List'!$DL$3:$DL$96,'Piping Material List'!EH$3:EH$96)+SUMPRODUCT('Piping Material List'!$AF$3:$AF$96,'Piping Material List'!$CC$3:$CC$96,'Piping Material List'!$DL$3:$DL$96,'Piping Material List'!EH$3:EH$96))*IF($C91="d-inches",0.75,1)*IF($C91="Ø-inches",VLOOKUP(0.75,'Thickness Tab'!$1:$1048576,17,0),1)</f>
        <v>0</v>
      </c>
      <c r="E91" s="58">
        <f>(SUMPRODUCT('Piping Material List'!$AE$3:$AE$96,'Piping Material List'!$BA$3:$BA$96,'Piping Material List'!$DL$3:$DL$96,'Piping Material List'!EI$3:EI$96)+SUMPRODUCT('Piping Material List'!$AF$3:$AF$96,'Piping Material List'!$CC$3:$CC$96,'Piping Material List'!$DL$3:$DL$96,'Piping Material List'!EI$3:EI$96))*IF($C91="d-inches",0.75,1)*IF($C91="Ø-inches",VLOOKUP(0.75,'Thickness Tab'!$1:$1048576,17,0),1)</f>
        <v>0</v>
      </c>
      <c r="F91" s="58">
        <f>(SUMPRODUCT('Piping Material List'!$AE$3:$AE$96,'Piping Material List'!$BA$3:$BA$96,'Piping Material List'!$DL$3:$DL$96,'Piping Material List'!EJ$3:EJ$96)+SUMPRODUCT('Piping Material List'!$AF$3:$AF$96,'Piping Material List'!$CC$3:$CC$96,'Piping Material List'!$DL$3:$DL$96,'Piping Material List'!EJ$3:EJ$96))*IF($C91="d-inches",0.75,1)*IF($C91="Ø-inches",VLOOKUP(0.75,'Thickness Tab'!$1:$1048576,17,0),1)</f>
        <v>0</v>
      </c>
      <c r="G91" s="58">
        <f>(SUMPRODUCT('Piping Material List'!$AE$3:$AE$96,'Piping Material List'!$BA$3:$BA$96,'Piping Material List'!$DL$3:$DL$96,'Piping Material List'!EK$3:EK$96)+SUMPRODUCT('Piping Material List'!$AF$3:$AF$96,'Piping Material List'!$CC$3:$CC$96,'Piping Material List'!$DL$3:$DL$96,'Piping Material List'!EK$3:EK$96))*IF($C91="d-inches",0.75,1)*IF($C91="Ø-inches",VLOOKUP(0.75,'Thickness Tab'!$1:$1048576,17,0),1)</f>
        <v>0</v>
      </c>
      <c r="H91" s="58">
        <f>(SUMPRODUCT('Piping Material List'!$AE$3:$AE$96,'Piping Material List'!$BA$3:$BA$96,'Piping Material List'!$DL$3:$DL$96,'Piping Material List'!EL$3:EL$96)+SUMPRODUCT('Piping Material List'!$AF$3:$AF$96,'Piping Material List'!$CC$3:$CC$96,'Piping Material List'!$DL$3:$DL$96,'Piping Material List'!EL$3:EL$96))*IF($C91="d-inches",0.75,1)*IF($C91="Ø-inches",VLOOKUP(0.75,'Thickness Tab'!$1:$1048576,17,0),1)</f>
        <v>0</v>
      </c>
      <c r="I91" s="58">
        <f>(SUMPRODUCT('Piping Material List'!$AE$3:$AE$96,'Piping Material List'!$BA$3:$BA$96,'Piping Material List'!$DL$3:$DL$96,'Piping Material List'!EM$3:EM$96)+SUMPRODUCT('Piping Material List'!$AF$3:$AF$96,'Piping Material List'!$CC$3:$CC$96,'Piping Material List'!$DL$3:$DL$96,'Piping Material List'!EM$3:EM$96))*IF($C91="d-inches",0.75,1)*IF($C91="Ø-inches",VLOOKUP(0.75,'Thickness Tab'!$1:$1048576,17,0),1)</f>
        <v>0</v>
      </c>
      <c r="J91" s="58">
        <f>(SUMPRODUCT('Piping Material List'!$AE$3:$AE$96,'Piping Material List'!$BA$3:$BA$96,'Piping Material List'!$DL$3:$DL$96,'Piping Material List'!EN$3:EN$96)+SUMPRODUCT('Piping Material List'!$AF$3:$AF$96,'Piping Material List'!$CC$3:$CC$96,'Piping Material List'!$DL$3:$DL$96,'Piping Material List'!EN$3:EN$96))*IF($C91="d-inches",0.75,1)*IF($C91="Ø-inches",VLOOKUP(0.75,'Thickness Tab'!$1:$1048576,17,0),1)</f>
        <v>0</v>
      </c>
      <c r="K91" s="739">
        <v>25</v>
      </c>
      <c r="L91" s="37">
        <f t="shared" si="6"/>
        <v>0</v>
      </c>
    </row>
    <row r="92" spans="1:12" x14ac:dyDescent="0.3">
      <c r="A92" s="31" t="s">
        <v>1224</v>
      </c>
      <c r="B92" s="51" t="s">
        <v>1152</v>
      </c>
      <c r="C92" s="1177" t="s">
        <v>1222</v>
      </c>
      <c r="D92" s="58">
        <f>(SUMPRODUCT('Piping Material List'!$AE$3:$AE$96,'Piping Material List'!$BB$3:$BB$96,'Piping Material List'!$DL$3:$DL$96,'Piping Material List'!EH$3:EH$96)+SUMPRODUCT('Piping Material List'!$AF$3:$AF$96,'Piping Material List'!$CD$3:$CD$96,'Piping Material List'!$DL$3:$DL$96,'Piping Material List'!EH$3:EH$96))*IF($C92="d-inches",1,1)*IF($C92="Ø-inches",VLOOKUP(1,'Thickness Tab'!$1:$1048576,17,0),1)</f>
        <v>0</v>
      </c>
      <c r="E92" s="58">
        <f>(SUMPRODUCT('Piping Material List'!$AE$3:$AE$96,'Piping Material List'!$BB$3:$BB$96,'Piping Material List'!$DL$3:$DL$96,'Piping Material List'!EI$3:EI$96)+SUMPRODUCT('Piping Material List'!$AF$3:$AF$96,'Piping Material List'!$CD$3:$CD$96,'Piping Material List'!$DL$3:$DL$96,'Piping Material List'!EI$3:EI$96))*IF($C92="d-inches",1,1)*IF($C92="Ø-inches",VLOOKUP(1,'Thickness Tab'!$1:$1048576,17,0),1)</f>
        <v>0</v>
      </c>
      <c r="F92" s="58">
        <f>(SUMPRODUCT('Piping Material List'!$AE$3:$AE$96,'Piping Material List'!$BB$3:$BB$96,'Piping Material List'!$DL$3:$DL$96,'Piping Material List'!EJ$3:EJ$96)+SUMPRODUCT('Piping Material List'!$AF$3:$AF$96,'Piping Material List'!$CD$3:$CD$96,'Piping Material List'!$DL$3:$DL$96,'Piping Material List'!EJ$3:EJ$96))*IF($C92="d-inches",1,1)*IF($C92="Ø-inches",VLOOKUP(1,'Thickness Tab'!$1:$1048576,17,0),1)</f>
        <v>0</v>
      </c>
      <c r="G92" s="58">
        <f>(SUMPRODUCT('Piping Material List'!$AE$3:$AE$96,'Piping Material List'!$BB$3:$BB$96,'Piping Material List'!$DL$3:$DL$96,'Piping Material List'!EK$3:EK$96)+SUMPRODUCT('Piping Material List'!$AF$3:$AF$96,'Piping Material List'!$CD$3:$CD$96,'Piping Material List'!$DL$3:$DL$96,'Piping Material List'!EK$3:EK$96))*IF($C92="d-inches",1,1)*IF($C92="Ø-inches",VLOOKUP(1,'Thickness Tab'!$1:$1048576,17,0),1)</f>
        <v>0</v>
      </c>
      <c r="H92" s="58">
        <f>(SUMPRODUCT('Piping Material List'!$AE$3:$AE$96,'Piping Material List'!$BB$3:$BB$96,'Piping Material List'!$DL$3:$DL$96,'Piping Material List'!EL$3:EL$96)+SUMPRODUCT('Piping Material List'!$AF$3:$AF$96,'Piping Material List'!$CD$3:$CD$96,'Piping Material List'!$DL$3:$DL$96,'Piping Material List'!EL$3:EL$96))*IF($C92="d-inches",1,1)*IF($C92="Ø-inches",VLOOKUP(1,'Thickness Tab'!$1:$1048576,17,0),1)</f>
        <v>0</v>
      </c>
      <c r="I92" s="58">
        <f>(SUMPRODUCT('Piping Material List'!$AE$3:$AE$96,'Piping Material List'!$BB$3:$BB$96,'Piping Material List'!$DL$3:$DL$96,'Piping Material List'!EM$3:EM$96)+SUMPRODUCT('Piping Material List'!$AF$3:$AF$96,'Piping Material List'!$CD$3:$CD$96,'Piping Material List'!$DL$3:$DL$96,'Piping Material List'!EM$3:EM$96))*IF($C92="d-inches",1,1)*IF($C92="Ø-inches",VLOOKUP(1,'Thickness Tab'!$1:$1048576,17,0),1)</f>
        <v>0</v>
      </c>
      <c r="J92" s="58">
        <f>(SUMPRODUCT('Piping Material List'!$AE$3:$AE$96,'Piping Material List'!$BB$3:$BB$96,'Piping Material List'!$DL$3:$DL$96,'Piping Material List'!EN$3:EN$96)+SUMPRODUCT('Piping Material List'!$AF$3:$AF$96,'Piping Material List'!$CD$3:$CD$96,'Piping Material List'!$DL$3:$DL$96,'Piping Material List'!EN$3:EN$96))*IF($C92="d-inches",1,1)*IF($C92="Ø-inches",VLOOKUP(1,'Thickness Tab'!$1:$1048576,17,0),1)</f>
        <v>0</v>
      </c>
      <c r="K92" s="739">
        <v>25</v>
      </c>
      <c r="L92" s="37">
        <f t="shared" si="6"/>
        <v>0</v>
      </c>
    </row>
    <row r="93" spans="1:12" x14ac:dyDescent="0.3">
      <c r="A93" s="31" t="s">
        <v>1225</v>
      </c>
      <c r="B93" s="51" t="s">
        <v>1154</v>
      </c>
      <c r="C93" s="1177" t="s">
        <v>1222</v>
      </c>
      <c r="D93" s="58">
        <f>(SUMPRODUCT('Piping Material List'!$AE$3:$AE$96,'Piping Material List'!$BC$3:$BC$96,'Piping Material List'!$DL$3:$DL$96,'Piping Material List'!EH$3:EH$96)+SUMPRODUCT('Piping Material List'!$AF$3:$AF$96,'Piping Material List'!$CE$3:$CE$96,'Piping Material List'!$DL$3:$DL$96,'Piping Material List'!EH$3:EH$96))*IF($C93="d-inches",1.5,1)*IF($C93="Ø-inches",VLOOKUP(1.5,'Thickness Tab'!$1:$1048576,17,0),1)</f>
        <v>0</v>
      </c>
      <c r="E93" s="58">
        <f>(SUMPRODUCT('Piping Material List'!$AE$3:$AE$96,'Piping Material List'!$BC$3:$BC$96,'Piping Material List'!$DL$3:$DL$96,'Piping Material List'!EI$3:EI$96)+SUMPRODUCT('Piping Material List'!$AF$3:$AF$96,'Piping Material List'!$CE$3:$CE$96,'Piping Material List'!$DL$3:$DL$96,'Piping Material List'!EI$3:EI$96))*IF($C93="d-inches",1.5,1)*IF($C93="Ø-inches",VLOOKUP(1.5,'Thickness Tab'!$1:$1048576,17,0),1)</f>
        <v>0</v>
      </c>
      <c r="F93" s="58">
        <f>(SUMPRODUCT('Piping Material List'!$AE$3:$AE$96,'Piping Material List'!$BC$3:$BC$96,'Piping Material List'!$DL$3:$DL$96,'Piping Material List'!EJ$3:EJ$96)+SUMPRODUCT('Piping Material List'!$AF$3:$AF$96,'Piping Material List'!$CE$3:$CE$96,'Piping Material List'!$DL$3:$DL$96,'Piping Material List'!EJ$3:EJ$96))*IF($C93="d-inches",1.5,1)*IF($C93="Ø-inches",VLOOKUP(1.5,'Thickness Tab'!$1:$1048576,17,0),1)</f>
        <v>0</v>
      </c>
      <c r="G93" s="58">
        <f>(SUMPRODUCT('Piping Material List'!$AE$3:$AE$96,'Piping Material List'!$BC$3:$BC$96,'Piping Material List'!$DL$3:$DL$96,'Piping Material List'!EK$3:EK$96)+SUMPRODUCT('Piping Material List'!$AF$3:$AF$96,'Piping Material List'!$CE$3:$CE$96,'Piping Material List'!$DL$3:$DL$96,'Piping Material List'!EK$3:EK$96))*IF($C93="d-inches",1.5,1)*IF($C93="Ø-inches",VLOOKUP(1.5,'Thickness Tab'!$1:$1048576,17,0),1)</f>
        <v>0</v>
      </c>
      <c r="H93" s="58">
        <f>(SUMPRODUCT('Piping Material List'!$AE$3:$AE$96,'Piping Material List'!$BC$3:$BC$96,'Piping Material List'!$DL$3:$DL$96,'Piping Material List'!EL$3:EL$96)+SUMPRODUCT('Piping Material List'!$AF$3:$AF$96,'Piping Material List'!$CE$3:$CE$96,'Piping Material List'!$DL$3:$DL$96,'Piping Material List'!EL$3:EL$96))*IF($C93="d-inches",1.5,1)*IF($C93="Ø-inches",VLOOKUP(1.5,'Thickness Tab'!$1:$1048576,17,0),1)</f>
        <v>0</v>
      </c>
      <c r="I93" s="58">
        <f>(SUMPRODUCT('Piping Material List'!$AE$3:$AE$96,'Piping Material List'!$BC$3:$BC$96,'Piping Material List'!$DL$3:$DL$96,'Piping Material List'!EM$3:EM$96)+SUMPRODUCT('Piping Material List'!$AF$3:$AF$96,'Piping Material List'!$CE$3:$CE$96,'Piping Material List'!$DL$3:$DL$96,'Piping Material List'!EM$3:EM$96))*IF($C93="d-inches",1.5,1)*IF($C93="Ø-inches",VLOOKUP(1.5,'Thickness Tab'!$1:$1048576,17,0),1)</f>
        <v>0</v>
      </c>
      <c r="J93" s="58">
        <f>(SUMPRODUCT('Piping Material List'!$AE$3:$AE$96,'Piping Material List'!$BC$3:$BC$96,'Piping Material List'!$DL$3:$DL$96,'Piping Material List'!EN$3:EN$96)+SUMPRODUCT('Piping Material List'!$AF$3:$AF$96,'Piping Material List'!$CE$3:$CE$96,'Piping Material List'!$DL$3:$DL$96,'Piping Material List'!EN$3:EN$96))*IF($C93="d-inches",1.5,1)*IF($C93="Ø-inches",VLOOKUP(1.5,'Thickness Tab'!$1:$1048576,17,0),1)</f>
        <v>0</v>
      </c>
      <c r="K93" s="739">
        <v>25</v>
      </c>
      <c r="L93" s="37">
        <f t="shared" si="6"/>
        <v>0</v>
      </c>
    </row>
    <row r="94" spans="1:12" x14ac:dyDescent="0.3">
      <c r="A94" s="31" t="s">
        <v>1226</v>
      </c>
      <c r="B94" s="51" t="s">
        <v>1156</v>
      </c>
      <c r="C94" s="1177" t="s">
        <v>1222</v>
      </c>
      <c r="D94" s="58">
        <f>(SUMPRODUCT('Piping Material List'!$AE$3:$AE$96,'Piping Material List'!$BD$3:$BD$96,'Piping Material List'!$DL$3:$DL$96,'Piping Material List'!EH$3:EH$96)+SUMPRODUCT('Piping Material List'!$AF$3:$AF$96,'Piping Material List'!$CF$3:$CF$96,'Piping Material List'!$DL$3:$DL$96,'Piping Material List'!EH$3:EH$96))*IF($C94="d-inches",2,1)*IF($C94="Ø-inches",VLOOKUP(2,'Thickness Tab'!$1:$1048576,17,0),1)</f>
        <v>0</v>
      </c>
      <c r="E94" s="58">
        <f>(SUMPRODUCT('Piping Material List'!$AE$3:$AE$96,'Piping Material List'!$BD$3:$BD$96,'Piping Material List'!$DL$3:$DL$96,'Piping Material List'!EI$3:EI$96)+SUMPRODUCT('Piping Material List'!$AF$3:$AF$96,'Piping Material List'!$CF$3:$CF$96,'Piping Material List'!$DL$3:$DL$96,'Piping Material List'!EI$3:EI$96))*IF($C94="d-inches",2,1)*IF($C94="Ø-inches",VLOOKUP(2,'Thickness Tab'!$1:$1048576,17,0),1)</f>
        <v>0</v>
      </c>
      <c r="F94" s="58">
        <f>(SUMPRODUCT('Piping Material List'!$AE$3:$AE$96,'Piping Material List'!$BD$3:$BD$96,'Piping Material List'!$DL$3:$DL$96,'Piping Material List'!EJ$3:EJ$96)+SUMPRODUCT('Piping Material List'!$AF$3:$AF$96,'Piping Material List'!$CF$3:$CF$96,'Piping Material List'!$DL$3:$DL$96,'Piping Material List'!EJ$3:EJ$96))*IF($C94="d-inches",2,1)*IF($C94="Ø-inches",VLOOKUP(2,'Thickness Tab'!$1:$1048576,17,0),1)</f>
        <v>0</v>
      </c>
      <c r="G94" s="58">
        <f>(SUMPRODUCT('Piping Material List'!$AE$3:$AE$96,'Piping Material List'!$BD$3:$BD$96,'Piping Material List'!$DL$3:$DL$96,'Piping Material List'!EK$3:EK$96)+SUMPRODUCT('Piping Material List'!$AF$3:$AF$96,'Piping Material List'!$CF$3:$CF$96,'Piping Material List'!$DL$3:$DL$96,'Piping Material List'!EK$3:EK$96))*IF($C94="d-inches",2,1)*IF($C94="Ø-inches",VLOOKUP(2,'Thickness Tab'!$1:$1048576,17,0),1)</f>
        <v>0</v>
      </c>
      <c r="H94" s="58">
        <f>(SUMPRODUCT('Piping Material List'!$AE$3:$AE$96,'Piping Material List'!$BD$3:$BD$96,'Piping Material List'!$DL$3:$DL$96,'Piping Material List'!EL$3:EL$96)+SUMPRODUCT('Piping Material List'!$AF$3:$AF$96,'Piping Material List'!$CF$3:$CF$96,'Piping Material List'!$DL$3:$DL$96,'Piping Material List'!EL$3:EL$96))*IF($C94="d-inches",2,1)*IF($C94="Ø-inches",VLOOKUP(2,'Thickness Tab'!$1:$1048576,17,0),1)</f>
        <v>0</v>
      </c>
      <c r="I94" s="58">
        <f>(SUMPRODUCT('Piping Material List'!$AE$3:$AE$96,'Piping Material List'!$BD$3:$BD$96,'Piping Material List'!$DL$3:$DL$96,'Piping Material List'!EM$3:EM$96)+SUMPRODUCT('Piping Material List'!$AF$3:$AF$96,'Piping Material List'!$CF$3:$CF$96,'Piping Material List'!$DL$3:$DL$96,'Piping Material List'!EM$3:EM$96))*IF($C94="d-inches",2,1)*IF($C94="Ø-inches",VLOOKUP(2,'Thickness Tab'!$1:$1048576,17,0),1)</f>
        <v>0</v>
      </c>
      <c r="J94" s="58">
        <f>(SUMPRODUCT('Piping Material List'!$AE$3:$AE$96,'Piping Material List'!$BD$3:$BD$96,'Piping Material List'!$DL$3:$DL$96,'Piping Material List'!EN$3:EN$96)+SUMPRODUCT('Piping Material List'!$AF$3:$AF$96,'Piping Material List'!$CF$3:$CF$96,'Piping Material List'!$DL$3:$DL$96,'Piping Material List'!EN$3:EN$96))*IF($C94="d-inches",2,1)*IF($C94="Ø-inches",VLOOKUP(2,'Thickness Tab'!$1:$1048576,17,0),1)</f>
        <v>0</v>
      </c>
      <c r="K94" s="739">
        <v>25</v>
      </c>
      <c r="L94" s="37">
        <f t="shared" si="6"/>
        <v>0</v>
      </c>
    </row>
    <row r="95" spans="1:12" x14ac:dyDescent="0.3">
      <c r="A95" s="31" t="s">
        <v>1227</v>
      </c>
      <c r="B95" s="51" t="s">
        <v>1158</v>
      </c>
      <c r="C95" s="1177" t="s">
        <v>1222</v>
      </c>
      <c r="D95" s="58">
        <f>(SUMPRODUCT('Piping Material List'!$AE$3:$AE$96,'Piping Material List'!$BE$3:$BE$96,'Piping Material List'!$DL$3:$DL$96,'Piping Material List'!EH$3:EH$96)+SUMPRODUCT('Piping Material List'!$AF$3:$AF$96,'Piping Material List'!$CG$3:$CG$96,'Piping Material List'!$DL$3:$DL$96,'Piping Material List'!EH$3:EH$96))*IF($C95="d-inches",2.5,1)*IF($C95="Ø-inches",VLOOKUP(2.5,'Thickness Tab'!$1:$1048576,17,0),1)</f>
        <v>0</v>
      </c>
      <c r="E95" s="58">
        <f>(SUMPRODUCT('Piping Material List'!$AE$3:$AE$96,'Piping Material List'!$BE$3:$BE$96,'Piping Material List'!$DL$3:$DL$96,'Piping Material List'!EI$3:EI$96)+SUMPRODUCT('Piping Material List'!$AF$3:$AF$96,'Piping Material List'!$CG$3:$CG$96,'Piping Material List'!$DL$3:$DL$96,'Piping Material List'!EI$3:EI$96))*IF($C95="d-inches",2.5,1)*IF($C95="Ø-inches",VLOOKUP(2.5,'Thickness Tab'!$1:$1048576,17,0),1)</f>
        <v>0</v>
      </c>
      <c r="F95" s="58">
        <f>(SUMPRODUCT('Piping Material List'!$AE$3:$AE$96,'Piping Material List'!$BE$3:$BE$96,'Piping Material List'!$DL$3:$DL$96,'Piping Material List'!EJ$3:EJ$96)+SUMPRODUCT('Piping Material List'!$AF$3:$AF$96,'Piping Material List'!$CG$3:$CG$96,'Piping Material List'!$DL$3:$DL$96,'Piping Material List'!EJ$3:EJ$96))*IF($C95="d-inches",2.5,1)*IF($C95="Ø-inches",VLOOKUP(2.5,'Thickness Tab'!$1:$1048576,17,0),1)</f>
        <v>0</v>
      </c>
      <c r="G95" s="58">
        <f>(SUMPRODUCT('Piping Material List'!$AE$3:$AE$96,'Piping Material List'!$BE$3:$BE$96,'Piping Material List'!$DL$3:$DL$96,'Piping Material List'!EK$3:EK$96)+SUMPRODUCT('Piping Material List'!$AF$3:$AF$96,'Piping Material List'!$CG$3:$CG$96,'Piping Material List'!$DL$3:$DL$96,'Piping Material List'!EK$3:EK$96))*IF($C95="d-inches",2.5,1)*IF($C95="Ø-inches",VLOOKUP(2.5,'Thickness Tab'!$1:$1048576,17,0),1)</f>
        <v>0</v>
      </c>
      <c r="H95" s="58">
        <f>(SUMPRODUCT('Piping Material List'!$AE$3:$AE$96,'Piping Material List'!$BE$3:$BE$96,'Piping Material List'!$DL$3:$DL$96,'Piping Material List'!EL$3:EL$96)+SUMPRODUCT('Piping Material List'!$AF$3:$AF$96,'Piping Material List'!$CG$3:$CG$96,'Piping Material List'!$DL$3:$DL$96,'Piping Material List'!EL$3:EL$96))*IF($C95="d-inches",2.5,1)*IF($C95="Ø-inches",VLOOKUP(2.5,'Thickness Tab'!$1:$1048576,17,0),1)</f>
        <v>0</v>
      </c>
      <c r="I95" s="58">
        <f>(SUMPRODUCT('Piping Material List'!$AE$3:$AE$96,'Piping Material List'!$BE$3:$BE$96,'Piping Material List'!$DL$3:$DL$96,'Piping Material List'!EM$3:EM$96)+SUMPRODUCT('Piping Material List'!$AF$3:$AF$96,'Piping Material List'!$CG$3:$CG$96,'Piping Material List'!$DL$3:$DL$96,'Piping Material List'!EM$3:EM$96))*IF($C95="d-inches",2.5,1)*IF($C95="Ø-inches",VLOOKUP(2.5,'Thickness Tab'!$1:$1048576,17,0),1)</f>
        <v>0</v>
      </c>
      <c r="J95" s="58">
        <f>(SUMPRODUCT('Piping Material List'!$AE$3:$AE$96,'Piping Material List'!$BE$3:$BE$96,'Piping Material List'!$DL$3:$DL$96,'Piping Material List'!EN$3:EN$96)+SUMPRODUCT('Piping Material List'!$AF$3:$AF$96,'Piping Material List'!$CG$3:$CG$96,'Piping Material List'!$DL$3:$DL$96,'Piping Material List'!EN$3:EN$96))*IF($C95="d-inches",2.5,1)*IF($C95="Ø-inches",VLOOKUP(2.5,'Thickness Tab'!$1:$1048576,17,0),1)</f>
        <v>0</v>
      </c>
      <c r="K95" s="739">
        <v>25</v>
      </c>
      <c r="L95" s="37">
        <f t="shared" si="6"/>
        <v>0</v>
      </c>
    </row>
    <row r="96" spans="1:12" x14ac:dyDescent="0.3">
      <c r="A96" s="31" t="s">
        <v>1228</v>
      </c>
      <c r="B96" s="51" t="s">
        <v>1160</v>
      </c>
      <c r="C96" s="1177" t="s">
        <v>1222</v>
      </c>
      <c r="D96" s="58">
        <f>(SUMPRODUCT('Piping Material List'!$AE$3:$AE$96,'Piping Material List'!$BF$3:$BF$96,'Piping Material List'!$DL$3:$DL$96,'Piping Material List'!EH$3:EH$96)+SUMPRODUCT('Piping Material List'!$AF$3:$AF$96,'Piping Material List'!$CH$3:$CH$96,'Piping Material List'!$DL$3:$DL$96,'Piping Material List'!EH$3:EH$96))*IF($C96="d-inches",3,1)*IF($C96="Ø-inches",VLOOKUP(3,'Thickness Tab'!$1:$1048576,17,0),1)</f>
        <v>0</v>
      </c>
      <c r="E96" s="58">
        <f>(SUMPRODUCT('Piping Material List'!$AE$3:$AE$96,'Piping Material List'!$BF$3:$BF$96,'Piping Material List'!$DL$3:$DL$96,'Piping Material List'!EI$3:EI$96)+SUMPRODUCT('Piping Material List'!$AF$3:$AF$96,'Piping Material List'!$CH$3:$CH$96,'Piping Material List'!$DL$3:$DL$96,'Piping Material List'!EI$3:EI$96))*IF($C96="d-inches",3,1)*IF($C96="Ø-inches",VLOOKUP(3,'Thickness Tab'!$1:$1048576,17,0),1)</f>
        <v>0</v>
      </c>
      <c r="F96" s="58">
        <f>(SUMPRODUCT('Piping Material List'!$AE$3:$AE$96,'Piping Material List'!$BF$3:$BF$96,'Piping Material List'!$DL$3:$DL$96,'Piping Material List'!EJ$3:EJ$96)+SUMPRODUCT('Piping Material List'!$AF$3:$AF$96,'Piping Material List'!$CH$3:$CH$96,'Piping Material List'!$DL$3:$DL$96,'Piping Material List'!EJ$3:EJ$96))*IF($C96="d-inches",3,1)*IF($C96="Ø-inches",VLOOKUP(3,'Thickness Tab'!$1:$1048576,17,0),1)</f>
        <v>0</v>
      </c>
      <c r="G96" s="58">
        <f>(SUMPRODUCT('Piping Material List'!$AE$3:$AE$96,'Piping Material List'!$BF$3:$BF$96,'Piping Material List'!$DL$3:$DL$96,'Piping Material List'!EK$3:EK$96)+SUMPRODUCT('Piping Material List'!$AF$3:$AF$96,'Piping Material List'!$CH$3:$CH$96,'Piping Material List'!$DL$3:$DL$96,'Piping Material List'!EK$3:EK$96))*IF($C96="d-inches",3,1)*IF($C96="Ø-inches",VLOOKUP(3,'Thickness Tab'!$1:$1048576,17,0),1)</f>
        <v>0</v>
      </c>
      <c r="H96" s="58">
        <f>(SUMPRODUCT('Piping Material List'!$AE$3:$AE$96,'Piping Material List'!$BF$3:$BF$96,'Piping Material List'!$DL$3:$DL$96,'Piping Material List'!EL$3:EL$96)+SUMPRODUCT('Piping Material List'!$AF$3:$AF$96,'Piping Material List'!$CH$3:$CH$96,'Piping Material List'!$DL$3:$DL$96,'Piping Material List'!EL$3:EL$96))*IF($C96="d-inches",3,1)*IF($C96="Ø-inches",VLOOKUP(3,'Thickness Tab'!$1:$1048576,17,0),1)</f>
        <v>0</v>
      </c>
      <c r="I96" s="58">
        <f>(SUMPRODUCT('Piping Material List'!$AE$3:$AE$96,'Piping Material List'!$BF$3:$BF$96,'Piping Material List'!$DL$3:$DL$96,'Piping Material List'!EM$3:EM$96)+SUMPRODUCT('Piping Material List'!$AF$3:$AF$96,'Piping Material List'!$CH$3:$CH$96,'Piping Material List'!$DL$3:$DL$96,'Piping Material List'!EM$3:EM$96))*IF($C96="d-inches",3,1)*IF($C96="Ø-inches",VLOOKUP(3,'Thickness Tab'!$1:$1048576,17,0),1)</f>
        <v>0</v>
      </c>
      <c r="J96" s="58">
        <f>(SUMPRODUCT('Piping Material List'!$AE$3:$AE$96,'Piping Material List'!$BF$3:$BF$96,'Piping Material List'!$DL$3:$DL$96,'Piping Material List'!EN$3:EN$96)+SUMPRODUCT('Piping Material List'!$AF$3:$AF$96,'Piping Material List'!$CH$3:$CH$96,'Piping Material List'!$DL$3:$DL$96,'Piping Material List'!EN$3:EN$96))*IF($C96="d-inches",3,1)*IF($C96="Ø-inches",VLOOKUP(3,'Thickness Tab'!$1:$1048576,17,0),1)</f>
        <v>0</v>
      </c>
      <c r="K96" s="739">
        <v>25</v>
      </c>
      <c r="L96" s="37">
        <f t="shared" si="6"/>
        <v>0</v>
      </c>
    </row>
    <row r="97" spans="1:12" x14ac:dyDescent="0.3">
      <c r="A97" s="31" t="s">
        <v>1229</v>
      </c>
      <c r="B97" s="51" t="s">
        <v>1162</v>
      </c>
      <c r="C97" s="1177" t="s">
        <v>1222</v>
      </c>
      <c r="D97" s="58">
        <f>(SUMPRODUCT('Piping Material List'!$AE$3:$AE$96,'Piping Material List'!$BG$3:$BG$96,'Piping Material List'!$DL$3:$DL$96,'Piping Material List'!EH$3:EH$96)+SUMPRODUCT('Piping Material List'!$AF$3:$AF$96,'Piping Material List'!$CI$3:$CI$96,'Piping Material List'!$DL$3:$DL$96,'Piping Material List'!EH$3:EH$96))*IF($C97="d-inches",4,1)*IF($C97="Ø-inches",VLOOKUP(4,'Thickness Tab'!$1:$1048576,17,0),1)</f>
        <v>0</v>
      </c>
      <c r="E97" s="58">
        <f>(SUMPRODUCT('Piping Material List'!$AE$3:$AE$96,'Piping Material List'!$BG$3:$BG$96,'Piping Material List'!$DL$3:$DL$96,'Piping Material List'!EI$3:EI$96)+SUMPRODUCT('Piping Material List'!$AF$3:$AF$96,'Piping Material List'!$CI$3:$CI$96,'Piping Material List'!$DL$3:$DL$96,'Piping Material List'!EI$3:EI$96))*IF($C97="d-inches",4,1)*IF($C97="Ø-inches",VLOOKUP(4,'Thickness Tab'!$1:$1048576,17,0),1)</f>
        <v>0</v>
      </c>
      <c r="F97" s="58">
        <f>(SUMPRODUCT('Piping Material List'!$AE$3:$AE$96,'Piping Material List'!$BG$3:$BG$96,'Piping Material List'!$DL$3:$DL$96,'Piping Material List'!EJ$3:EJ$96)+SUMPRODUCT('Piping Material List'!$AF$3:$AF$96,'Piping Material List'!$CI$3:$CI$96,'Piping Material List'!$DL$3:$DL$96,'Piping Material List'!EJ$3:EJ$96))*IF($C97="d-inches",4,1)*IF($C97="Ø-inches",VLOOKUP(4,'Thickness Tab'!$1:$1048576,17,0),1)</f>
        <v>0</v>
      </c>
      <c r="G97" s="58">
        <f>(SUMPRODUCT('Piping Material List'!$AE$3:$AE$96,'Piping Material List'!$BG$3:$BG$96,'Piping Material List'!$DL$3:$DL$96,'Piping Material List'!EK$3:EK$96)+SUMPRODUCT('Piping Material List'!$AF$3:$AF$96,'Piping Material List'!$CI$3:$CI$96,'Piping Material List'!$DL$3:$DL$96,'Piping Material List'!EK$3:EK$96))*IF($C97="d-inches",4,1)*IF($C97="Ø-inches",VLOOKUP(4,'Thickness Tab'!$1:$1048576,17,0),1)</f>
        <v>0</v>
      </c>
      <c r="H97" s="58">
        <f>(SUMPRODUCT('Piping Material List'!$AE$3:$AE$96,'Piping Material List'!$BG$3:$BG$96,'Piping Material List'!$DL$3:$DL$96,'Piping Material List'!EL$3:EL$96)+SUMPRODUCT('Piping Material List'!$AF$3:$AF$96,'Piping Material List'!$CI$3:$CI$96,'Piping Material List'!$DL$3:$DL$96,'Piping Material List'!EL$3:EL$96))*IF($C97="d-inches",4,1)*IF($C97="Ø-inches",VLOOKUP(4,'Thickness Tab'!$1:$1048576,17,0),1)</f>
        <v>0</v>
      </c>
      <c r="I97" s="58">
        <f>(SUMPRODUCT('Piping Material List'!$AE$3:$AE$96,'Piping Material List'!$BG$3:$BG$96,'Piping Material List'!$DL$3:$DL$96,'Piping Material List'!EM$3:EM$96)+SUMPRODUCT('Piping Material List'!$AF$3:$AF$96,'Piping Material List'!$CI$3:$CI$96,'Piping Material List'!$DL$3:$DL$96,'Piping Material List'!EM$3:EM$96))*IF($C97="d-inches",4,1)*IF($C97="Ø-inches",VLOOKUP(4,'Thickness Tab'!$1:$1048576,17,0),1)</f>
        <v>0</v>
      </c>
      <c r="J97" s="58">
        <f>(SUMPRODUCT('Piping Material List'!$AE$3:$AE$96,'Piping Material List'!$BG$3:$BG$96,'Piping Material List'!$DL$3:$DL$96,'Piping Material List'!EN$3:EN$96)+SUMPRODUCT('Piping Material List'!$AF$3:$AF$96,'Piping Material List'!$CI$3:$CI$96,'Piping Material List'!$DL$3:$DL$96,'Piping Material List'!EN$3:EN$96))*IF($C97="d-inches",4,1)*IF($C97="Ø-inches",VLOOKUP(4,'Thickness Tab'!$1:$1048576,17,0),1)</f>
        <v>0</v>
      </c>
      <c r="K97" s="739">
        <v>25</v>
      </c>
      <c r="L97" s="37">
        <f t="shared" si="6"/>
        <v>0</v>
      </c>
    </row>
    <row r="98" spans="1:12" x14ac:dyDescent="0.3">
      <c r="A98" s="31" t="s">
        <v>1230</v>
      </c>
      <c r="B98" s="51" t="s">
        <v>1164</v>
      </c>
      <c r="C98" s="1177" t="s">
        <v>1222</v>
      </c>
      <c r="D98" s="58">
        <f>(SUMPRODUCT('Piping Material List'!$AE$3:$AE$96,'Piping Material List'!$BH$3:$BH$96,'Piping Material List'!$DL$3:$DL$96,'Piping Material List'!EH$3:EH$96)+SUMPRODUCT('Piping Material List'!$AF$3:$AF$96,'Piping Material List'!$CJ$3:$CJ$96,'Piping Material List'!$DL$3:$DL$96,'Piping Material List'!EH$3:EH$96))*IF($C98="d-inches",6,1)*IF($C98="Ø-inches",VLOOKUP(6,'Thickness Tab'!$1:$1048576,17,0),1)</f>
        <v>0</v>
      </c>
      <c r="E98" s="58">
        <f>(SUMPRODUCT('Piping Material List'!$AE$3:$AE$96,'Piping Material List'!$BH$3:$BH$96,'Piping Material List'!$DL$3:$DL$96,'Piping Material List'!EI$3:EI$96)+SUMPRODUCT('Piping Material List'!$AF$3:$AF$96,'Piping Material List'!$CJ$3:$CJ$96,'Piping Material List'!$DL$3:$DL$96,'Piping Material List'!EI$3:EI$96))*IF($C98="d-inches",6,1)*IF($C98="Ø-inches",VLOOKUP(6,'Thickness Tab'!$1:$1048576,17,0),1)</f>
        <v>0</v>
      </c>
      <c r="F98" s="58">
        <f>(SUMPRODUCT('Piping Material List'!$AE$3:$AE$96,'Piping Material List'!$BH$3:$BH$96,'Piping Material List'!$DL$3:$DL$96,'Piping Material List'!EJ$3:EJ$96)+SUMPRODUCT('Piping Material List'!$AF$3:$AF$96,'Piping Material List'!$CJ$3:$CJ$96,'Piping Material List'!$DL$3:$DL$96,'Piping Material List'!EJ$3:EJ$96))*IF($C98="d-inches",6,1)*IF($C98="Ø-inches",VLOOKUP(6,'Thickness Tab'!$1:$1048576,17,0),1)</f>
        <v>0</v>
      </c>
      <c r="G98" s="58">
        <f>(SUMPRODUCT('Piping Material List'!$AE$3:$AE$96,'Piping Material List'!$BH$3:$BH$96,'Piping Material List'!$DL$3:$DL$96,'Piping Material List'!EK$3:EK$96)+SUMPRODUCT('Piping Material List'!$AF$3:$AF$96,'Piping Material List'!$CJ$3:$CJ$96,'Piping Material List'!$DL$3:$DL$96,'Piping Material List'!EK$3:EK$96))*IF($C98="d-inches",6,1)*IF($C98="Ø-inches",VLOOKUP(6,'Thickness Tab'!$1:$1048576,17,0),1)</f>
        <v>0</v>
      </c>
      <c r="H98" s="58">
        <f>(SUMPRODUCT('Piping Material List'!$AE$3:$AE$96,'Piping Material List'!$BH$3:$BH$96,'Piping Material List'!$DL$3:$DL$96,'Piping Material List'!EL$3:EL$96)+SUMPRODUCT('Piping Material List'!$AF$3:$AF$96,'Piping Material List'!$CJ$3:$CJ$96,'Piping Material List'!$DL$3:$DL$96,'Piping Material List'!EL$3:EL$96))*IF($C98="d-inches",6,1)*IF($C98="Ø-inches",VLOOKUP(6,'Thickness Tab'!$1:$1048576,17,0),1)</f>
        <v>0</v>
      </c>
      <c r="I98" s="58">
        <f>(SUMPRODUCT('Piping Material List'!$AE$3:$AE$96,'Piping Material List'!$BH$3:$BH$96,'Piping Material List'!$DL$3:$DL$96,'Piping Material List'!EM$3:EM$96)+SUMPRODUCT('Piping Material List'!$AF$3:$AF$96,'Piping Material List'!$CJ$3:$CJ$96,'Piping Material List'!$DL$3:$DL$96,'Piping Material List'!EM$3:EM$96))*IF($C98="d-inches",6,1)*IF($C98="Ø-inches",VLOOKUP(6,'Thickness Tab'!$1:$1048576,17,0),1)</f>
        <v>0</v>
      </c>
      <c r="J98" s="58">
        <f>(SUMPRODUCT('Piping Material List'!$AE$3:$AE$96,'Piping Material List'!$BH$3:$BH$96,'Piping Material List'!$DL$3:$DL$96,'Piping Material List'!EN$3:EN$96)+SUMPRODUCT('Piping Material List'!$AF$3:$AF$96,'Piping Material List'!$CJ$3:$CJ$96,'Piping Material List'!$DL$3:$DL$96,'Piping Material List'!EN$3:EN$96))*IF($C98="d-inches",6,1)*IF($C98="Ø-inches",VLOOKUP(6,'Thickness Tab'!$1:$1048576,17,0),1)</f>
        <v>0</v>
      </c>
      <c r="K98" s="739">
        <v>25</v>
      </c>
      <c r="L98" s="37">
        <f t="shared" si="6"/>
        <v>0</v>
      </c>
    </row>
    <row r="99" spans="1:12" x14ac:dyDescent="0.3">
      <c r="A99" s="31" t="s">
        <v>1231</v>
      </c>
      <c r="B99" s="51" t="s">
        <v>1166</v>
      </c>
      <c r="C99" s="1177" t="s">
        <v>1222</v>
      </c>
      <c r="D99" s="58">
        <f>(SUMPRODUCT('Piping Material List'!$AE$3:$AE$96,'Piping Material List'!$BI$3:$BI$96,'Piping Material List'!$DL$3:$DL$96,'Piping Material List'!EH$3:EH$96)+SUMPRODUCT('Piping Material List'!$AF$3:$AF$96,'Piping Material List'!$CK$3:$CK$96,'Piping Material List'!$DL$3:$DL$96,'Piping Material List'!EH$3:EH$96))*IF($C99="d-inches",8,1)*IF($C99="Ø-inches",VLOOKUP(8,'Thickness Tab'!$1:$1048576,17,0),1)</f>
        <v>0</v>
      </c>
      <c r="E99" s="58">
        <f>(SUMPRODUCT('Piping Material List'!$AE$3:$AE$96,'Piping Material List'!$BI$3:$BI$96,'Piping Material List'!$DL$3:$DL$96,'Piping Material List'!EI$3:EI$96)+SUMPRODUCT('Piping Material List'!$AF$3:$AF$96,'Piping Material List'!$CK$3:$CK$96,'Piping Material List'!$DL$3:$DL$96,'Piping Material List'!EI$3:EI$96))*IF($C99="d-inches",8,1)*IF($C99="Ø-inches",VLOOKUP(8,'Thickness Tab'!$1:$1048576,17,0),1)</f>
        <v>0</v>
      </c>
      <c r="F99" s="58">
        <f>(SUMPRODUCT('Piping Material List'!$AE$3:$AE$96,'Piping Material List'!$BI$3:$BI$96,'Piping Material List'!$DL$3:$DL$96,'Piping Material List'!EJ$3:EJ$96)+SUMPRODUCT('Piping Material List'!$AF$3:$AF$96,'Piping Material List'!$CK$3:$CK$96,'Piping Material List'!$DL$3:$DL$96,'Piping Material List'!EJ$3:EJ$96))*IF($C99="d-inches",8,1)*IF($C99="Ø-inches",VLOOKUP(8,'Thickness Tab'!$1:$1048576,17,0),1)</f>
        <v>0</v>
      </c>
      <c r="G99" s="58">
        <f>(SUMPRODUCT('Piping Material List'!$AE$3:$AE$96,'Piping Material List'!$BI$3:$BI$96,'Piping Material List'!$DL$3:$DL$96,'Piping Material List'!EK$3:EK$96)+SUMPRODUCT('Piping Material List'!$AF$3:$AF$96,'Piping Material List'!$CK$3:$CK$96,'Piping Material List'!$DL$3:$DL$96,'Piping Material List'!EK$3:EK$96))*IF($C99="d-inches",8,1)*IF($C99="Ø-inches",VLOOKUP(8,'Thickness Tab'!$1:$1048576,17,0),1)</f>
        <v>0</v>
      </c>
      <c r="H99" s="58">
        <f>(SUMPRODUCT('Piping Material List'!$AE$3:$AE$96,'Piping Material List'!$BI$3:$BI$96,'Piping Material List'!$DL$3:$DL$96,'Piping Material List'!EL$3:EL$96)+SUMPRODUCT('Piping Material List'!$AF$3:$AF$96,'Piping Material List'!$CK$3:$CK$96,'Piping Material List'!$DL$3:$DL$96,'Piping Material List'!EL$3:EL$96))*IF($C99="d-inches",8,1)*IF($C99="Ø-inches",VLOOKUP(8,'Thickness Tab'!$1:$1048576,17,0),1)</f>
        <v>0</v>
      </c>
      <c r="I99" s="58">
        <f>(SUMPRODUCT('Piping Material List'!$AE$3:$AE$96,'Piping Material List'!$BI$3:$BI$96,'Piping Material List'!$DL$3:$DL$96,'Piping Material List'!EM$3:EM$96)+SUMPRODUCT('Piping Material List'!$AF$3:$AF$96,'Piping Material List'!$CK$3:$CK$96,'Piping Material List'!$DL$3:$DL$96,'Piping Material List'!EM$3:EM$96))*IF($C99="d-inches",8,1)*IF($C99="Ø-inches",VLOOKUP(8,'Thickness Tab'!$1:$1048576,17,0),1)</f>
        <v>0</v>
      </c>
      <c r="J99" s="58">
        <f>(SUMPRODUCT('Piping Material List'!$AE$3:$AE$96,'Piping Material List'!$BI$3:$BI$96,'Piping Material List'!$DL$3:$DL$96,'Piping Material List'!EN$3:EN$96)+SUMPRODUCT('Piping Material List'!$AF$3:$AF$96,'Piping Material List'!$CK$3:$CK$96,'Piping Material List'!$DL$3:$DL$96,'Piping Material List'!EN$3:EN$96))*IF($C99="d-inches",8,1)*IF($C99="Ø-inches",VLOOKUP(8,'Thickness Tab'!$1:$1048576,17,0),1)</f>
        <v>0</v>
      </c>
      <c r="K99" s="739">
        <v>25</v>
      </c>
      <c r="L99" s="37">
        <f t="shared" si="6"/>
        <v>0</v>
      </c>
    </row>
    <row r="100" spans="1:12" x14ac:dyDescent="0.3">
      <c r="A100" s="31" t="s">
        <v>1232</v>
      </c>
      <c r="B100" s="51" t="s">
        <v>1168</v>
      </c>
      <c r="C100" s="1177" t="s">
        <v>1222</v>
      </c>
      <c r="D100" s="58">
        <f>(SUMPRODUCT('Piping Material List'!$AE$3:$AE$96,'Piping Material List'!$BJ$3:$BJ$96,'Piping Material List'!$DL$3:$DL$96,'Piping Material List'!EH$3:EH$96)+SUMPRODUCT('Piping Material List'!$AF$3:$AF$96,'Piping Material List'!$CL$3:$CL$96,'Piping Material List'!$DL$3:$DL$96,'Piping Material List'!EH$3:EH$96))*IF($C100="d-inches",10,1)*IF($C100="Ø-inches",VLOOKUP(10,'Thickness Tab'!$1:$1048576,17,0),1)</f>
        <v>0</v>
      </c>
      <c r="E100" s="58">
        <f>(SUMPRODUCT('Piping Material List'!$AE$3:$AE$96,'Piping Material List'!$BJ$3:$BJ$96,'Piping Material List'!$DL$3:$DL$96,'Piping Material List'!EI$3:EI$96)+SUMPRODUCT('Piping Material List'!$AF$3:$AF$96,'Piping Material List'!$CL$3:$CL$96,'Piping Material List'!$DL$3:$DL$96,'Piping Material List'!EI$3:EI$96))*IF($C100="d-inches",10,1)*IF($C100="Ø-inches",VLOOKUP(10,'Thickness Tab'!$1:$1048576,17,0),1)</f>
        <v>0</v>
      </c>
      <c r="F100" s="58">
        <f>(SUMPRODUCT('Piping Material List'!$AE$3:$AE$96,'Piping Material List'!$BJ$3:$BJ$96,'Piping Material List'!$DL$3:$DL$96,'Piping Material List'!EJ$3:EJ$96)+SUMPRODUCT('Piping Material List'!$AF$3:$AF$96,'Piping Material List'!$CL$3:$CL$96,'Piping Material List'!$DL$3:$DL$96,'Piping Material List'!EJ$3:EJ$96))*IF($C100="d-inches",10,1)*IF($C100="Ø-inches",VLOOKUP(10,'Thickness Tab'!$1:$1048576,17,0),1)</f>
        <v>0</v>
      </c>
      <c r="G100" s="58">
        <f>(SUMPRODUCT('Piping Material List'!$AE$3:$AE$96,'Piping Material List'!$BJ$3:$BJ$96,'Piping Material List'!$DL$3:$DL$96,'Piping Material List'!EK$3:EK$96)+SUMPRODUCT('Piping Material List'!$AF$3:$AF$96,'Piping Material List'!$CL$3:$CL$96,'Piping Material List'!$DL$3:$DL$96,'Piping Material List'!EK$3:EK$96))*IF($C100="d-inches",10,1)*IF($C100="Ø-inches",VLOOKUP(10,'Thickness Tab'!$1:$1048576,17,0),1)</f>
        <v>0</v>
      </c>
      <c r="H100" s="58">
        <f>(SUMPRODUCT('Piping Material List'!$AE$3:$AE$96,'Piping Material List'!$BJ$3:$BJ$96,'Piping Material List'!$DL$3:$DL$96,'Piping Material List'!EL$3:EL$96)+SUMPRODUCT('Piping Material List'!$AF$3:$AF$96,'Piping Material List'!$CL$3:$CL$96,'Piping Material List'!$DL$3:$DL$96,'Piping Material List'!EL$3:EL$96))*IF($C100="d-inches",10,1)*IF($C100="Ø-inches",VLOOKUP(10,'Thickness Tab'!$1:$1048576,17,0),1)</f>
        <v>0</v>
      </c>
      <c r="I100" s="58">
        <f>(SUMPRODUCT('Piping Material List'!$AE$3:$AE$96,'Piping Material List'!$BJ$3:$BJ$96,'Piping Material List'!$DL$3:$DL$96,'Piping Material List'!EM$3:EM$96)+SUMPRODUCT('Piping Material List'!$AF$3:$AF$96,'Piping Material List'!$CL$3:$CL$96,'Piping Material List'!$DL$3:$DL$96,'Piping Material List'!EM$3:EM$96))*IF($C100="d-inches",10,1)*IF($C100="Ø-inches",VLOOKUP(10,'Thickness Tab'!$1:$1048576,17,0),1)</f>
        <v>0</v>
      </c>
      <c r="J100" s="58">
        <f>(SUMPRODUCT('Piping Material List'!$AE$3:$AE$96,'Piping Material List'!$BJ$3:$BJ$96,'Piping Material List'!$DL$3:$DL$96,'Piping Material List'!EN$3:EN$96)+SUMPRODUCT('Piping Material List'!$AF$3:$AF$96,'Piping Material List'!$CL$3:$CL$96,'Piping Material List'!$DL$3:$DL$96,'Piping Material List'!EN$3:EN$96))*IF($C100="d-inches",10,1)*IF($C100="Ø-inches",VLOOKUP(10,'Thickness Tab'!$1:$1048576,17,0),1)</f>
        <v>0</v>
      </c>
      <c r="K100" s="739">
        <v>25</v>
      </c>
      <c r="L100" s="37">
        <f t="shared" si="6"/>
        <v>0</v>
      </c>
    </row>
    <row r="101" spans="1:12" x14ac:dyDescent="0.3">
      <c r="A101" s="31" t="s">
        <v>1233</v>
      </c>
      <c r="B101" s="51" t="s">
        <v>1170</v>
      </c>
      <c r="C101" s="1177" t="s">
        <v>1222</v>
      </c>
      <c r="D101" s="58">
        <f>(SUMPRODUCT('Piping Material List'!$AE$3:$AE$96,'Piping Material List'!$BK$3:$BK$96,'Piping Material List'!$DL$3:$DL$96,'Piping Material List'!EH$3:EH$96)+SUMPRODUCT('Piping Material List'!$AF$3:$AF$96,'Piping Material List'!$CM$3:$CM$96,'Piping Material List'!$DL$3:$DL$96,'Piping Material List'!EH$3:EH$96))*IF($C101="d-inches",12,1)*IF($C101="Ø-inches",VLOOKUP(12,'Thickness Tab'!$1:$1048576,17,0),1)</f>
        <v>0</v>
      </c>
      <c r="E101" s="58">
        <f>(SUMPRODUCT('Piping Material List'!$AE$3:$AE$96,'Piping Material List'!$BK$3:$BK$96,'Piping Material List'!$DL$3:$DL$96,'Piping Material List'!EI$3:EI$96)+SUMPRODUCT('Piping Material List'!$AF$3:$AF$96,'Piping Material List'!$CM$3:$CM$96,'Piping Material List'!$DL$3:$DL$96,'Piping Material List'!EI$3:EI$96))*IF($C101="d-inches",12,1)*IF($C101="Ø-inches",VLOOKUP(12,'Thickness Tab'!$1:$1048576,17,0),1)</f>
        <v>0</v>
      </c>
      <c r="F101" s="58">
        <f>(SUMPRODUCT('Piping Material List'!$AE$3:$AE$96,'Piping Material List'!$BK$3:$BK$96,'Piping Material List'!$DL$3:$DL$96,'Piping Material List'!EJ$3:EJ$96)+SUMPRODUCT('Piping Material List'!$AF$3:$AF$96,'Piping Material List'!$CM$3:$CM$96,'Piping Material List'!$DL$3:$DL$96,'Piping Material List'!EJ$3:EJ$96))*IF($C101="d-inches",12,1)*IF($C101="Ø-inches",VLOOKUP(12,'Thickness Tab'!$1:$1048576,17,0),1)</f>
        <v>0</v>
      </c>
      <c r="G101" s="58">
        <f>(SUMPRODUCT('Piping Material List'!$AE$3:$AE$96,'Piping Material List'!$BK$3:$BK$96,'Piping Material List'!$DL$3:$DL$96,'Piping Material List'!EK$3:EK$96)+SUMPRODUCT('Piping Material List'!$AF$3:$AF$96,'Piping Material List'!$CM$3:$CM$96,'Piping Material List'!$DL$3:$DL$96,'Piping Material List'!EK$3:EK$96))*IF($C101="d-inches",12,1)*IF($C101="Ø-inches",VLOOKUP(12,'Thickness Tab'!$1:$1048576,17,0),1)</f>
        <v>0</v>
      </c>
      <c r="H101" s="58">
        <f>(SUMPRODUCT('Piping Material List'!$AE$3:$AE$96,'Piping Material List'!$BK$3:$BK$96,'Piping Material List'!$DL$3:$DL$96,'Piping Material List'!EL$3:EL$96)+SUMPRODUCT('Piping Material List'!$AF$3:$AF$96,'Piping Material List'!$CM$3:$CM$96,'Piping Material List'!$DL$3:$DL$96,'Piping Material List'!EL$3:EL$96))*IF($C101="d-inches",12,1)*IF($C101="Ø-inches",VLOOKUP(12,'Thickness Tab'!$1:$1048576,17,0),1)</f>
        <v>0</v>
      </c>
      <c r="I101" s="58">
        <f>(SUMPRODUCT('Piping Material List'!$AE$3:$AE$96,'Piping Material List'!$BK$3:$BK$96,'Piping Material List'!$DL$3:$DL$96,'Piping Material List'!EM$3:EM$96)+SUMPRODUCT('Piping Material List'!$AF$3:$AF$96,'Piping Material List'!$CM$3:$CM$96,'Piping Material List'!$DL$3:$DL$96,'Piping Material List'!EM$3:EM$96))*IF($C101="d-inches",12,1)*IF($C101="Ø-inches",VLOOKUP(12,'Thickness Tab'!$1:$1048576,17,0),1)</f>
        <v>0</v>
      </c>
      <c r="J101" s="58">
        <f>(SUMPRODUCT('Piping Material List'!$AE$3:$AE$96,'Piping Material List'!$BK$3:$BK$96,'Piping Material List'!$DL$3:$DL$96,'Piping Material List'!EN$3:EN$96)+SUMPRODUCT('Piping Material List'!$AF$3:$AF$96,'Piping Material List'!$CM$3:$CM$96,'Piping Material List'!$DL$3:$DL$96,'Piping Material List'!EN$3:EN$96))*IF($C101="d-inches",12,1)*IF($C101="Ø-inches",VLOOKUP(12,'Thickness Tab'!$1:$1048576,17,0),1)</f>
        <v>0</v>
      </c>
      <c r="K101" s="739">
        <v>25</v>
      </c>
      <c r="L101" s="37">
        <f t="shared" si="6"/>
        <v>0</v>
      </c>
    </row>
    <row r="102" spans="1:12" x14ac:dyDescent="0.3">
      <c r="A102" s="31" t="s">
        <v>1234</v>
      </c>
      <c r="B102" s="51" t="s">
        <v>1172</v>
      </c>
      <c r="C102" s="1177" t="s">
        <v>1222</v>
      </c>
      <c r="D102" s="58">
        <f>(SUMPRODUCT('Piping Material List'!$AE$3:$AE$96,'Piping Material List'!$BL$3:$BL$96,'Piping Material List'!$DL$3:$DL$96,'Piping Material List'!EH$3:EH$96)+SUMPRODUCT('Piping Material List'!$AF$3:$AF$96,'Piping Material List'!$CN$3:$CN$96,'Piping Material List'!$DL$3:$DL$96,'Piping Material List'!EH$3:EH$96))*IF($C102="d-inches",14,1)*IF($C102="Ø-inches",VLOOKUP(14,'Thickness Tab'!$1:$1048576,17,0),1)</f>
        <v>0</v>
      </c>
      <c r="E102" s="58">
        <f>(SUMPRODUCT('Piping Material List'!$AE$3:$AE$96,'Piping Material List'!$BL$3:$BL$96,'Piping Material List'!$DL$3:$DL$96,'Piping Material List'!EI$3:EI$96)+SUMPRODUCT('Piping Material List'!$AF$3:$AF$96,'Piping Material List'!$CN$3:$CN$96,'Piping Material List'!$DL$3:$DL$96,'Piping Material List'!EI$3:EI$96))*IF($C102="d-inches",14,1)*IF($C102="Ø-inches",VLOOKUP(14,'Thickness Tab'!$1:$1048576,17,0),1)</f>
        <v>0</v>
      </c>
      <c r="F102" s="58">
        <f>(SUMPRODUCT('Piping Material List'!$AE$3:$AE$96,'Piping Material List'!$BL$3:$BL$96,'Piping Material List'!$DL$3:$DL$96,'Piping Material List'!EJ$3:EJ$96)+SUMPRODUCT('Piping Material List'!$AF$3:$AF$96,'Piping Material List'!$CN$3:$CN$96,'Piping Material List'!$DL$3:$DL$96,'Piping Material List'!EJ$3:EJ$96))*IF($C102="d-inches",14,1)*IF($C102="Ø-inches",VLOOKUP(14,'Thickness Tab'!$1:$1048576,17,0),1)</f>
        <v>0</v>
      </c>
      <c r="G102" s="58">
        <f>(SUMPRODUCT('Piping Material List'!$AE$3:$AE$96,'Piping Material List'!$BL$3:$BL$96,'Piping Material List'!$DL$3:$DL$96,'Piping Material List'!EK$3:EK$96)+SUMPRODUCT('Piping Material List'!$AF$3:$AF$96,'Piping Material List'!$CN$3:$CN$96,'Piping Material List'!$DL$3:$DL$96,'Piping Material List'!EK$3:EK$96))*IF($C102="d-inches",14,1)*IF($C102="Ø-inches",VLOOKUP(14,'Thickness Tab'!$1:$1048576,17,0),1)</f>
        <v>0</v>
      </c>
      <c r="H102" s="58">
        <f>(SUMPRODUCT('Piping Material List'!$AE$3:$AE$96,'Piping Material List'!$BL$3:$BL$96,'Piping Material List'!$DL$3:$DL$96,'Piping Material List'!EL$3:EL$96)+SUMPRODUCT('Piping Material List'!$AF$3:$AF$96,'Piping Material List'!$CN$3:$CN$96,'Piping Material List'!$DL$3:$DL$96,'Piping Material List'!EL$3:EL$96))*IF($C102="d-inches",14,1)*IF($C102="Ø-inches",VLOOKUP(14,'Thickness Tab'!$1:$1048576,17,0),1)</f>
        <v>0</v>
      </c>
      <c r="I102" s="58">
        <f>(SUMPRODUCT('Piping Material List'!$AE$3:$AE$96,'Piping Material List'!$BL$3:$BL$96,'Piping Material List'!$DL$3:$DL$96,'Piping Material List'!EM$3:EM$96)+SUMPRODUCT('Piping Material List'!$AF$3:$AF$96,'Piping Material List'!$CN$3:$CN$96,'Piping Material List'!$DL$3:$DL$96,'Piping Material List'!EM$3:EM$96))*IF($C102="d-inches",14,1)*IF($C102="Ø-inches",VLOOKUP(14,'Thickness Tab'!$1:$1048576,17,0),1)</f>
        <v>0</v>
      </c>
      <c r="J102" s="58">
        <f>(SUMPRODUCT('Piping Material List'!$AE$3:$AE$96,'Piping Material List'!$BL$3:$BL$96,'Piping Material List'!$DL$3:$DL$96,'Piping Material List'!EN$3:EN$96)+SUMPRODUCT('Piping Material List'!$AF$3:$AF$96,'Piping Material List'!$CN$3:$CN$96,'Piping Material List'!$DL$3:$DL$96,'Piping Material List'!EN$3:EN$96))*IF($C102="d-inches",14,1)*IF($C102="Ø-inches",VLOOKUP(14,'Thickness Tab'!$1:$1048576,17,0),1)</f>
        <v>0</v>
      </c>
      <c r="K102" s="739">
        <v>25</v>
      </c>
      <c r="L102" s="37">
        <f t="shared" si="6"/>
        <v>0</v>
      </c>
    </row>
    <row r="103" spans="1:12" x14ac:dyDescent="0.3">
      <c r="A103" s="31" t="s">
        <v>1235</v>
      </c>
      <c r="B103" s="51" t="s">
        <v>1174</v>
      </c>
      <c r="C103" s="1177" t="s">
        <v>1222</v>
      </c>
      <c r="D103" s="58">
        <f>(SUMPRODUCT('Piping Material List'!$AE$3:$AE$96,'Piping Material List'!$BM$3:$BM$96,'Piping Material List'!$DL$3:$DL$96,'Piping Material List'!EH$3:EH$96)+SUMPRODUCT('Piping Material List'!$AF$3:$AF$96,'Piping Material List'!$CO$3:$CO$96,'Piping Material List'!$DL$3:$DL$96,'Piping Material List'!EH$3:EH$96))*IF($C103="d-inches",16,1)*IF($C103="Ø-inches",VLOOKUP(16,'Thickness Tab'!$1:$1048576,17,0),1)</f>
        <v>0</v>
      </c>
      <c r="E103" s="58">
        <f>(SUMPRODUCT('Piping Material List'!$AE$3:$AE$96,'Piping Material List'!$BM$3:$BM$96,'Piping Material List'!$DL$3:$DL$96,'Piping Material List'!EI$3:EI$96)+SUMPRODUCT('Piping Material List'!$AF$3:$AF$96,'Piping Material List'!$CO$3:$CO$96,'Piping Material List'!$DL$3:$DL$96,'Piping Material List'!EI$3:EI$96))*IF($C103="d-inches",16,1)*IF($C103="Ø-inches",VLOOKUP(16,'Thickness Tab'!$1:$1048576,17,0),1)</f>
        <v>0</v>
      </c>
      <c r="F103" s="58">
        <f>(SUMPRODUCT('Piping Material List'!$AE$3:$AE$96,'Piping Material List'!$BM$3:$BM$96,'Piping Material List'!$DL$3:$DL$96,'Piping Material List'!EJ$3:EJ$96)+SUMPRODUCT('Piping Material List'!$AF$3:$AF$96,'Piping Material List'!$CO$3:$CO$96,'Piping Material List'!$DL$3:$DL$96,'Piping Material List'!EJ$3:EJ$96))*IF($C103="d-inches",16,1)*IF($C103="Ø-inches",VLOOKUP(16,'Thickness Tab'!$1:$1048576,17,0),1)</f>
        <v>0</v>
      </c>
      <c r="G103" s="58">
        <f>(SUMPRODUCT('Piping Material List'!$AE$3:$AE$96,'Piping Material List'!$BM$3:$BM$96,'Piping Material List'!$DL$3:$DL$96,'Piping Material List'!EK$3:EK$96)+SUMPRODUCT('Piping Material List'!$AF$3:$AF$96,'Piping Material List'!$CO$3:$CO$96,'Piping Material List'!$DL$3:$DL$96,'Piping Material List'!EK$3:EK$96))*IF($C103="d-inches",16,1)*IF($C103="Ø-inches",VLOOKUP(16,'Thickness Tab'!$1:$1048576,17,0),1)</f>
        <v>0</v>
      </c>
      <c r="H103" s="58">
        <f>(SUMPRODUCT('Piping Material List'!$AE$3:$AE$96,'Piping Material List'!$BM$3:$BM$96,'Piping Material List'!$DL$3:$DL$96,'Piping Material List'!EL$3:EL$96)+SUMPRODUCT('Piping Material List'!$AF$3:$AF$96,'Piping Material List'!$CO$3:$CO$96,'Piping Material List'!$DL$3:$DL$96,'Piping Material List'!EL$3:EL$96))*IF($C103="d-inches",16,1)*IF($C103="Ø-inches",VLOOKUP(16,'Thickness Tab'!$1:$1048576,17,0),1)</f>
        <v>0</v>
      </c>
      <c r="I103" s="58">
        <f>(SUMPRODUCT('Piping Material List'!$AE$3:$AE$96,'Piping Material List'!$BM$3:$BM$96,'Piping Material List'!$DL$3:$DL$96,'Piping Material List'!EM$3:EM$96)+SUMPRODUCT('Piping Material List'!$AF$3:$AF$96,'Piping Material List'!$CO$3:$CO$96,'Piping Material List'!$DL$3:$DL$96,'Piping Material List'!EM$3:EM$96))*IF($C103="d-inches",16,1)*IF($C103="Ø-inches",VLOOKUP(16,'Thickness Tab'!$1:$1048576,17,0),1)</f>
        <v>0</v>
      </c>
      <c r="J103" s="58">
        <f>(SUMPRODUCT('Piping Material List'!$AE$3:$AE$96,'Piping Material List'!$BM$3:$BM$96,'Piping Material List'!$DL$3:$DL$96,'Piping Material List'!EN$3:EN$96)+SUMPRODUCT('Piping Material List'!$AF$3:$AF$96,'Piping Material List'!$CO$3:$CO$96,'Piping Material List'!$DL$3:$DL$96,'Piping Material List'!EN$3:EN$96))*IF($C103="d-inches",16,1)*IF($C103="Ø-inches",VLOOKUP(16,'Thickness Tab'!$1:$1048576,17,0),1)</f>
        <v>0</v>
      </c>
      <c r="K103" s="739">
        <v>25</v>
      </c>
      <c r="L103" s="37">
        <f t="shared" si="6"/>
        <v>0</v>
      </c>
    </row>
    <row r="104" spans="1:12" x14ac:dyDescent="0.3">
      <c r="A104" s="31" t="s">
        <v>1236</v>
      </c>
      <c r="B104" s="51" t="s">
        <v>1176</v>
      </c>
      <c r="C104" s="1177" t="s">
        <v>1222</v>
      </c>
      <c r="D104" s="58">
        <f>(SUMPRODUCT('Piping Material List'!$AE$3:$AE$96,'Piping Material List'!$BN$3:$BN$96,'Piping Material List'!$DL$3:$DL$96,'Piping Material List'!EH$3:EH$96)+SUMPRODUCT('Piping Material List'!$AF$3:$AF$96,'Piping Material List'!$CP$3:$CP$96,'Piping Material List'!$DL$3:$DL$96,'Piping Material List'!EH$3:EH$96))*IF($C104="d-inches",18,1)*IF($C104="Ø-inches",VLOOKUP(18,'Thickness Tab'!$1:$1048576,17,0),1)</f>
        <v>0</v>
      </c>
      <c r="E104" s="58">
        <f>(SUMPRODUCT('Piping Material List'!$AE$3:$AE$96,'Piping Material List'!$BN$3:$BN$96,'Piping Material List'!$DL$3:$DL$96,'Piping Material List'!EI$3:EI$96)+SUMPRODUCT('Piping Material List'!$AF$3:$AF$96,'Piping Material List'!$CP$3:$CP$96,'Piping Material List'!$DL$3:$DL$96,'Piping Material List'!EI$3:EI$96))*IF($C104="d-inches",18,1)*IF($C104="Ø-inches",VLOOKUP(18,'Thickness Tab'!$1:$1048576,17,0),1)</f>
        <v>0</v>
      </c>
      <c r="F104" s="58">
        <f>(SUMPRODUCT('Piping Material List'!$AE$3:$AE$96,'Piping Material List'!$BN$3:$BN$96,'Piping Material List'!$DL$3:$DL$96,'Piping Material List'!EJ$3:EJ$96)+SUMPRODUCT('Piping Material List'!$AF$3:$AF$96,'Piping Material List'!$CP$3:$CP$96,'Piping Material List'!$DL$3:$DL$96,'Piping Material List'!EJ$3:EJ$96))*IF($C104="d-inches",18,1)*IF($C104="Ø-inches",VLOOKUP(18,'Thickness Tab'!$1:$1048576,17,0),1)</f>
        <v>0</v>
      </c>
      <c r="G104" s="58">
        <f>(SUMPRODUCT('Piping Material List'!$AE$3:$AE$96,'Piping Material List'!$BN$3:$BN$96,'Piping Material List'!$DL$3:$DL$96,'Piping Material List'!EK$3:EK$96)+SUMPRODUCT('Piping Material List'!$AF$3:$AF$96,'Piping Material List'!$CP$3:$CP$96,'Piping Material List'!$DL$3:$DL$96,'Piping Material List'!EK$3:EK$96))*IF($C104="d-inches",18,1)*IF($C104="Ø-inches",VLOOKUP(18,'Thickness Tab'!$1:$1048576,17,0),1)</f>
        <v>0</v>
      </c>
      <c r="H104" s="58">
        <f>(SUMPRODUCT('Piping Material List'!$AE$3:$AE$96,'Piping Material List'!$BN$3:$BN$96,'Piping Material List'!$DL$3:$DL$96,'Piping Material List'!EL$3:EL$96)+SUMPRODUCT('Piping Material List'!$AF$3:$AF$96,'Piping Material List'!$CP$3:$CP$96,'Piping Material List'!$DL$3:$DL$96,'Piping Material List'!EL$3:EL$96))*IF($C104="d-inches",18,1)*IF($C104="Ø-inches",VLOOKUP(18,'Thickness Tab'!$1:$1048576,17,0),1)</f>
        <v>0</v>
      </c>
      <c r="I104" s="58">
        <f>(SUMPRODUCT('Piping Material List'!$AE$3:$AE$96,'Piping Material List'!$BN$3:$BN$96,'Piping Material List'!$DL$3:$DL$96,'Piping Material List'!EM$3:EM$96)+SUMPRODUCT('Piping Material List'!$AF$3:$AF$96,'Piping Material List'!$CP$3:$CP$96,'Piping Material List'!$DL$3:$DL$96,'Piping Material List'!EM$3:EM$96))*IF($C104="d-inches",18,1)*IF($C104="Ø-inches",VLOOKUP(18,'Thickness Tab'!$1:$1048576,17,0),1)</f>
        <v>0</v>
      </c>
      <c r="J104" s="58">
        <f>(SUMPRODUCT('Piping Material List'!$AE$3:$AE$96,'Piping Material List'!$BN$3:$BN$96,'Piping Material List'!$DL$3:$DL$96,'Piping Material List'!EN$3:EN$96)+SUMPRODUCT('Piping Material List'!$AF$3:$AF$96,'Piping Material List'!$CP$3:$CP$96,'Piping Material List'!$DL$3:$DL$96,'Piping Material List'!EN$3:EN$96))*IF($C104="d-inches",18,1)*IF($C104="Ø-inches",VLOOKUP(18,'Thickness Tab'!$1:$1048576,17,0),1)</f>
        <v>0</v>
      </c>
      <c r="K104" s="739">
        <v>25</v>
      </c>
      <c r="L104" s="37">
        <f t="shared" si="6"/>
        <v>0</v>
      </c>
    </row>
    <row r="105" spans="1:12" x14ac:dyDescent="0.3">
      <c r="A105" s="31" t="s">
        <v>1237</v>
      </c>
      <c r="B105" s="51" t="s">
        <v>1178</v>
      </c>
      <c r="C105" s="1177" t="s">
        <v>1222</v>
      </c>
      <c r="D105" s="58">
        <f>(SUMPRODUCT('Piping Material List'!$AE$3:$AE$96,'Piping Material List'!$BO$3:$BO$96,'Piping Material List'!$DL$3:$DL$96,'Piping Material List'!EH$3:EH$96)+SUMPRODUCT('Piping Material List'!$AF$3:$AF$96,'Piping Material List'!$CE$3:$CE$96,'Piping Material List'!$DL$3:$DL$96,'Piping Material List'!EH$3:EH$96))*IF($C105="d-inches",20,1)*IF($C105="Ø-inches",VLOOKUP(20,'Thickness Tab'!$1:$1048576,17,0),1)</f>
        <v>0</v>
      </c>
      <c r="E105" s="58">
        <f>(SUMPRODUCT('Piping Material List'!$AE$3:$AE$96,'Piping Material List'!$BO$3:$BO$96,'Piping Material List'!$DL$3:$DL$96,'Piping Material List'!EI$3:EI$96)+SUMPRODUCT('Piping Material List'!$AF$3:$AF$96,'Piping Material List'!$CE$3:$CE$96,'Piping Material List'!$DL$3:$DL$96,'Piping Material List'!EI$3:EI$96))*IF($C105="d-inches",20,1)*IF($C105="Ø-inches",VLOOKUP(20,'Thickness Tab'!$1:$1048576,17,0),1)</f>
        <v>0</v>
      </c>
      <c r="F105" s="58">
        <f>(SUMPRODUCT('Piping Material List'!$AE$3:$AE$96,'Piping Material List'!$BO$3:$BO$96,'Piping Material List'!$DL$3:$DL$96,'Piping Material List'!EJ$3:EJ$96)+SUMPRODUCT('Piping Material List'!$AF$3:$AF$96,'Piping Material List'!$CE$3:$CE$96,'Piping Material List'!$DL$3:$DL$96,'Piping Material List'!EJ$3:EJ$96))*IF($C105="d-inches",20,1)*IF($C105="Ø-inches",VLOOKUP(20,'Thickness Tab'!$1:$1048576,17,0),1)</f>
        <v>0</v>
      </c>
      <c r="G105" s="58">
        <f>(SUMPRODUCT('Piping Material List'!$AE$3:$AE$96,'Piping Material List'!$BO$3:$BO$96,'Piping Material List'!$DL$3:$DL$96,'Piping Material List'!EK$3:EK$96)+SUMPRODUCT('Piping Material List'!$AF$3:$AF$96,'Piping Material List'!$CE$3:$CE$96,'Piping Material List'!$DL$3:$DL$96,'Piping Material List'!EK$3:EK$96))*IF($C105="d-inches",20,1)*IF($C105="Ø-inches",VLOOKUP(20,'Thickness Tab'!$1:$1048576,17,0),1)</f>
        <v>0</v>
      </c>
      <c r="H105" s="58">
        <f>(SUMPRODUCT('Piping Material List'!$AE$3:$AE$96,'Piping Material List'!$BO$3:$BO$96,'Piping Material List'!$DL$3:$DL$96,'Piping Material List'!EL$3:EL$96)+SUMPRODUCT('Piping Material List'!$AF$3:$AF$96,'Piping Material List'!$CE$3:$CE$96,'Piping Material List'!$DL$3:$DL$96,'Piping Material List'!EL$3:EL$96))*IF($C105="d-inches",20,1)*IF($C105="Ø-inches",VLOOKUP(20,'Thickness Tab'!$1:$1048576,17,0),1)</f>
        <v>0</v>
      </c>
      <c r="I105" s="58">
        <f>(SUMPRODUCT('Piping Material List'!$AE$3:$AE$96,'Piping Material List'!$BO$3:$BO$96,'Piping Material List'!$DL$3:$DL$96,'Piping Material List'!EM$3:EM$96)+SUMPRODUCT('Piping Material List'!$AF$3:$AF$96,'Piping Material List'!$CE$3:$CE$96,'Piping Material List'!$DL$3:$DL$96,'Piping Material List'!EM$3:EM$96))*IF($C105="d-inches",20,1)*IF($C105="Ø-inches",VLOOKUP(20,'Thickness Tab'!$1:$1048576,17,0),1)</f>
        <v>0</v>
      </c>
      <c r="J105" s="58">
        <f>(SUMPRODUCT('Piping Material List'!$AE$3:$AE$96,'Piping Material List'!$BO$3:$BO$96,'Piping Material List'!$DL$3:$DL$96,'Piping Material List'!EN$3:EN$96)+SUMPRODUCT('Piping Material List'!$AF$3:$AF$96,'Piping Material List'!$CE$3:$CE$96,'Piping Material List'!$DL$3:$DL$96,'Piping Material List'!EN$3:EN$96))*IF($C105="d-inches",20,1)*IF($C105="Ø-inches",VLOOKUP(20,'Thickness Tab'!$1:$1048576,17,0),1)</f>
        <v>0</v>
      </c>
      <c r="K105" s="739">
        <v>25</v>
      </c>
      <c r="L105" s="37">
        <f t="shared" si="6"/>
        <v>0</v>
      </c>
    </row>
    <row r="106" spans="1:12" x14ac:dyDescent="0.3">
      <c r="A106" s="31" t="s">
        <v>1238</v>
      </c>
      <c r="B106" s="51" t="s">
        <v>1180</v>
      </c>
      <c r="C106" s="1177" t="s">
        <v>1222</v>
      </c>
      <c r="D106" s="58">
        <f>(SUMPRODUCT('Piping Material List'!$AE$3:$AE$96,'Piping Material List'!$BP$3:$BP$96,'Piping Material List'!$DL$3:$DL$96,'Piping Material List'!EH$3:EH$96)+SUMPRODUCT('Piping Material List'!$AF$3:$AF$96,'Piping Material List'!$CR$3:$CR$96,'Piping Material List'!$DL$3:$DL$96,'Piping Material List'!EH$3:EH$96))*IF($C106="d-inches",22,1)*IF($C106="Ø-inches",VLOOKUP(22,'Thickness Tab'!$1:$1048576,17,0),1)</f>
        <v>0</v>
      </c>
      <c r="E106" s="58">
        <f>(SUMPRODUCT('Piping Material List'!$AE$3:$AE$96,'Piping Material List'!$BP$3:$BP$96,'Piping Material List'!$DL$3:$DL$96,'Piping Material List'!EI$3:EI$96)+SUMPRODUCT('Piping Material List'!$AF$3:$AF$96,'Piping Material List'!$CR$3:$CR$96,'Piping Material List'!$DL$3:$DL$96,'Piping Material List'!EI$3:EI$96))*IF($C106="d-inches",22,1)*IF($C106="Ø-inches",VLOOKUP(22,'Thickness Tab'!$1:$1048576,17,0),1)</f>
        <v>0</v>
      </c>
      <c r="F106" s="58">
        <f>(SUMPRODUCT('Piping Material List'!$AE$3:$AE$96,'Piping Material List'!$BP$3:$BP$96,'Piping Material List'!$DL$3:$DL$96,'Piping Material List'!EJ$3:EJ$96)+SUMPRODUCT('Piping Material List'!$AF$3:$AF$96,'Piping Material List'!$CR$3:$CR$96,'Piping Material List'!$DL$3:$DL$96,'Piping Material List'!EJ$3:EJ$96))*IF($C106="d-inches",22,1)*IF($C106="Ø-inches",VLOOKUP(22,'Thickness Tab'!$1:$1048576,17,0),1)</f>
        <v>0</v>
      </c>
      <c r="G106" s="58">
        <f>(SUMPRODUCT('Piping Material List'!$AE$3:$AE$96,'Piping Material List'!$BP$3:$BP$96,'Piping Material List'!$DL$3:$DL$96,'Piping Material List'!EK$3:EK$96)+SUMPRODUCT('Piping Material List'!$AF$3:$AF$96,'Piping Material List'!$CR$3:$CR$96,'Piping Material List'!$DL$3:$DL$96,'Piping Material List'!EK$3:EK$96))*IF($C106="d-inches",22,1)*IF($C106="Ø-inches",VLOOKUP(22,'Thickness Tab'!$1:$1048576,17,0),1)</f>
        <v>0</v>
      </c>
      <c r="H106" s="58">
        <f>(SUMPRODUCT('Piping Material List'!$AE$3:$AE$96,'Piping Material List'!$BP$3:$BP$96,'Piping Material List'!$DL$3:$DL$96,'Piping Material List'!EL$3:EL$96)+SUMPRODUCT('Piping Material List'!$AF$3:$AF$96,'Piping Material List'!$CR$3:$CR$96,'Piping Material List'!$DL$3:$DL$96,'Piping Material List'!EL$3:EL$96))*IF($C106="d-inches",22,1)*IF($C106="Ø-inches",VLOOKUP(22,'Thickness Tab'!$1:$1048576,17,0),1)</f>
        <v>0</v>
      </c>
      <c r="I106" s="58">
        <f>(SUMPRODUCT('Piping Material List'!$AE$3:$AE$96,'Piping Material List'!$BP$3:$BP$96,'Piping Material List'!$DL$3:$DL$96,'Piping Material List'!EM$3:EM$96)+SUMPRODUCT('Piping Material List'!$AF$3:$AF$96,'Piping Material List'!$CR$3:$CR$96,'Piping Material List'!$DL$3:$DL$96,'Piping Material List'!EM$3:EM$96))*IF($C106="d-inches",22,1)*IF($C106="Ø-inches",VLOOKUP(22,'Thickness Tab'!$1:$1048576,17,0),1)</f>
        <v>0</v>
      </c>
      <c r="J106" s="58">
        <f>(SUMPRODUCT('Piping Material List'!$AE$3:$AE$96,'Piping Material List'!$BP$3:$BP$96,'Piping Material List'!$DL$3:$DL$96,'Piping Material List'!EN$3:EN$96)+SUMPRODUCT('Piping Material List'!$AF$3:$AF$96,'Piping Material List'!$CR$3:$CR$96,'Piping Material List'!$DL$3:$DL$96,'Piping Material List'!EN$3:EN$96))*IF($C106="d-inches",22,1)*IF($C106="Ø-inches",VLOOKUP(22,'Thickness Tab'!$1:$1048576,17,0),1)</f>
        <v>0</v>
      </c>
      <c r="K106" s="739">
        <v>25</v>
      </c>
      <c r="L106" s="37">
        <f t="shared" si="6"/>
        <v>0</v>
      </c>
    </row>
    <row r="107" spans="1:12" x14ac:dyDescent="0.3">
      <c r="A107" s="31" t="s">
        <v>1239</v>
      </c>
      <c r="B107" s="51" t="s">
        <v>1182</v>
      </c>
      <c r="C107" s="1177" t="s">
        <v>388</v>
      </c>
      <c r="D107" s="58">
        <f>(SUMPRODUCT('Piping Material List'!$AE$3:$AE$96,'Piping Material List'!$BQ$3:$BQ$96,'Piping Material List'!$DI$3:$DI$96,'Piping Material List'!EH$3:EH$96)+SUMPRODUCT('Piping Material List'!$AF$3:$AF$96,'Piping Material List'!$CS$3:$CS$96,'Piping Material List'!$DI$3:$DI$96,'Piping Material List'!EH$3:EH$96))*IF($C107="d-inches",24,1)*IF($C107="Ø-inches",VLOOKUP(24,'Thickness Tab'!$1:$1048576,17,0),1)</f>
        <v>0</v>
      </c>
      <c r="E107" s="58">
        <f>(SUMPRODUCT('Piping Material List'!$AE$3:$AE$96,'Piping Material List'!$BQ$3:$BQ$96,'Piping Material List'!$DI$3:$DI$96,'Piping Material List'!EI$3:EI$96)+SUMPRODUCT('Piping Material List'!$AF$3:$AF$96,'Piping Material List'!$CS$3:$CS$96,'Piping Material List'!$DI$3:$DI$96,'Piping Material List'!EI$3:EI$96))*IF($C107="d-inches",24,1)*IF($C107="Ø-inches",VLOOKUP(24,'Thickness Tab'!$1:$1048576,17,0),1)</f>
        <v>0</v>
      </c>
      <c r="F107" s="58">
        <f>(SUMPRODUCT('Piping Material List'!$AE$3:$AE$96,'Piping Material List'!$BP$3:$BP$96,'Piping Material List'!$DL$3:$DL$96,'Piping Material List'!EJ$3:EJ$96)+SUMPRODUCT('Piping Material List'!$AF$3:$AF$96,'Piping Material List'!$CR$3:$CR$96,'Piping Material List'!$DL$3:$DL$96,'Piping Material List'!EJ$3:EJ$96))*IF($C107="d-inches",22,1)*IF($C107="Ø-inches",VLOOKUP(22,'Thickness Tab'!$1:$1048576,17,0),1)</f>
        <v>0</v>
      </c>
      <c r="G107" s="58">
        <f>(SUMPRODUCT('Piping Material List'!$AE$3:$AE$96,'Piping Material List'!$BQ$3:$BQ$96,'Piping Material List'!$DI$3:$DI$96,'Piping Material List'!EK$3:EK$96)+SUMPRODUCT('Piping Material List'!$AF$3:$AF$96,'Piping Material List'!$CS$3:$CS$96,'Piping Material List'!$DI$3:$DI$96,'Piping Material List'!EK$3:EK$96))*IF($C107="d-inches",24,1)*IF($C107="Ø-inches",VLOOKUP(24,'Thickness Tab'!$1:$1048576,17,0),1)</f>
        <v>0</v>
      </c>
      <c r="H107" s="58">
        <f>(SUMPRODUCT('Piping Material List'!$AE$3:$AE$96,'Piping Material List'!$BQ$3:$BQ$96,'Piping Material List'!$DI$3:$DI$96,'Piping Material List'!EL$3:EL$96)+SUMPRODUCT('Piping Material List'!$AF$3:$AF$96,'Piping Material List'!$CS$3:$CS$96,'Piping Material List'!$DI$3:$DI$96,'Piping Material List'!EL$3:EL$96))*IF($C107="d-inches",24,1)*IF($C107="Ø-inches",VLOOKUP(24,'Thickness Tab'!$1:$1048576,17,0),1)</f>
        <v>0</v>
      </c>
      <c r="I107" s="58">
        <f>(SUMPRODUCT('Piping Material List'!$AE$3:$AE$96,'Piping Material List'!$BQ$3:$BQ$96,'Piping Material List'!$DI$3:$DI$96,'Piping Material List'!EM$3:EM$96)+SUMPRODUCT('Piping Material List'!$AF$3:$AF$96,'Piping Material List'!$CS$3:$CS$96,'Piping Material List'!$DI$3:$DI$96,'Piping Material List'!EM$3:EM$96))*IF($C107="d-inches",24,1)*IF($C107="Ø-inches",VLOOKUP(24,'Thickness Tab'!$1:$1048576,17,0),1)</f>
        <v>0</v>
      </c>
      <c r="J107" s="58">
        <f>(SUMPRODUCT('Piping Material List'!$AE$3:$AE$96,'Piping Material List'!$BQ$3:$BQ$96,'Piping Material List'!$DI$3:$DI$96,'Piping Material List'!EN$3:EN$96)+SUMPRODUCT('Piping Material List'!$AF$3:$AF$96,'Piping Material List'!$CS$3:$CS$96,'Piping Material List'!$DI$3:$DI$96,'Piping Material List'!EN$3:EN$96))*IF($C107="d-inches",24,1)*IF($C107="Ø-inches",VLOOKUP(24,'Thickness Tab'!$1:$1048576,17,0),1)</f>
        <v>0</v>
      </c>
      <c r="K107" s="739">
        <v>25</v>
      </c>
      <c r="L107" s="37">
        <f t="shared" si="6"/>
        <v>0</v>
      </c>
    </row>
    <row r="108" spans="1:12" x14ac:dyDescent="0.3">
      <c r="A108" s="31" t="s">
        <v>1183</v>
      </c>
      <c r="B108" s="51" t="s">
        <v>1184</v>
      </c>
      <c r="C108" s="1177" t="s">
        <v>388</v>
      </c>
      <c r="D108" s="58">
        <f>(SUMPRODUCT('Piping Material List'!$AE$3:$AE$96,'Piping Material List'!$BR$3:$BR$96,'Piping Material List'!$DI$3:$DI$96,'Piping Material List'!EH$3:EH$96)+SUMPRODUCT('Piping Material List'!$AF$3:$AF$96,'Piping Material List'!$CT$3:$CT$96,'Piping Material List'!$DI$3:$DI$96,'Piping Material List'!EH$3:EH$96))*IF($C108="d-inches",24,1)*IF($C108="Ø-inches",VLOOKUP(24,'Thickness Tab'!$1:$1048576,17,0),1)</f>
        <v>0</v>
      </c>
      <c r="E108" s="58">
        <f>(SUMPRODUCT('Piping Material List'!$AE$3:$AE$96,'Piping Material List'!$BR$3:$BR$96,'Piping Material List'!$DI$3:$DI$96,'Piping Material List'!EI$3:EI$96)+SUMPRODUCT('Piping Material List'!$AF$3:$AF$96,'Piping Material List'!$CT$3:$CT$96,'Piping Material List'!$DI$3:$DI$96,'Piping Material List'!EI$3:EI$96))*IF($C108="d-inches",24,1)*IF($C108="Ø-inches",VLOOKUP(24,'Thickness Tab'!$1:$1048576,17,0),1)</f>
        <v>0</v>
      </c>
      <c r="F108" s="58">
        <f>(SUMPRODUCT('Piping Material List'!$AE$3:$AE$96,'Piping Material List'!$BR$3:$BR$96,'Piping Material List'!$DI$3:$DI$96,'Piping Material List'!EJ$3:EJ$96)+SUMPRODUCT('Piping Material List'!$AF$3:$AF$96,'Piping Material List'!$CT$3:$CT$96,'Piping Material List'!$DI$3:$DI$96,'Piping Material List'!EJ$3:EJ$96))*IF($C108="d-inches",24,1)*IF($C108="Ø-inches",VLOOKUP(24,'Thickness Tab'!$1:$1048576,17,0),1)</f>
        <v>0</v>
      </c>
      <c r="G108" s="58">
        <f>(SUMPRODUCT('Piping Material List'!$AE$3:$AE$96,'Piping Material List'!$BR$3:$BR$96,'Piping Material List'!$DI$3:$DI$96,'Piping Material List'!EK$3:EK$96)+SUMPRODUCT('Piping Material List'!$AF$3:$AF$96,'Piping Material List'!$CT$3:$CT$96,'Piping Material List'!$DI$3:$DI$96,'Piping Material List'!EK$3:EK$96))*IF($C108="d-inches",24,1)*IF($C108="Ø-inches",VLOOKUP(24,'Thickness Tab'!$1:$1048576,17,0),1)</f>
        <v>0</v>
      </c>
      <c r="H108" s="58">
        <f>(SUMPRODUCT('Piping Material List'!$AE$3:$AE$96,'Piping Material List'!$BR$3:$BR$96,'Piping Material List'!$DI$3:$DI$96,'Piping Material List'!EL$3:EL$96)+SUMPRODUCT('Piping Material List'!$AF$3:$AF$96,'Piping Material List'!$CT$3:$CT$96,'Piping Material List'!$DI$3:$DI$96,'Piping Material List'!EL$3:EL$96))*IF($C108="d-inches",24,1)*IF($C108="Ø-inches",VLOOKUP(24,'Thickness Tab'!$1:$1048576,17,0),1)</f>
        <v>0</v>
      </c>
      <c r="I108" s="58">
        <f>(SUMPRODUCT('Piping Material List'!$AE$3:$AE$96,'Piping Material List'!$BR$3:$BR$96,'Piping Material List'!$DI$3:$DI$96,'Piping Material List'!EM$3:EM$96)+SUMPRODUCT('Piping Material List'!$AF$3:$AF$96,'Piping Material List'!$CT$3:$CT$96,'Piping Material List'!$DI$3:$DI$96,'Piping Material List'!EM$3:EM$96))*IF($C108="d-inches",24,1)*IF($C108="Ø-inches",VLOOKUP(24,'Thickness Tab'!$1:$1048576,17,0),1)</f>
        <v>0</v>
      </c>
      <c r="J108" s="58">
        <f>(SUMPRODUCT('Piping Material List'!$AE$3:$AE$96,'Piping Material List'!$BR$3:$BR$96,'Piping Material List'!$DI$3:$DI$96,'Piping Material List'!EN$3:EN$96)+SUMPRODUCT('Piping Material List'!$AF$3:$AF$96,'Piping Material List'!$CT$3:$CT$96,'Piping Material List'!$DI$3:$DI$96,'Piping Material List'!EN$3:EN$96))*IF($C108="d-inches",24,1)*IF($C108="Ø-inches",VLOOKUP(24,'Thickness Tab'!$1:$1048576,17,0),1)</f>
        <v>0</v>
      </c>
      <c r="K108" s="739">
        <v>25</v>
      </c>
      <c r="L108" s="37">
        <f t="shared" si="6"/>
        <v>0</v>
      </c>
    </row>
    <row r="109" spans="1:12" x14ac:dyDescent="0.3">
      <c r="A109" s="31" t="s">
        <v>1185</v>
      </c>
      <c r="B109" s="51" t="s">
        <v>1186</v>
      </c>
      <c r="C109" s="1177" t="s">
        <v>388</v>
      </c>
      <c r="D109" s="58">
        <f>(SUMPRODUCT('Piping Material List'!$AE$3:$AE$96,'Piping Material List'!$BS$3:$BS$96,'Piping Material List'!$DI$3:$DI$96,'Piping Material List'!EH$3:EH$96)+SUMPRODUCT('Piping Material List'!$AF$3:$AF$96,'Piping Material List'!$CU$3:$CU$96,'Piping Material List'!$DI$3:$DI$96,'Piping Material List'!EH$3:EH$96))*IF($C109="d-inches",24,1)*IF($C109="Ø-inches",VLOOKUP(24,'Thickness Tab'!$1:$1048576,17,0),1)</f>
        <v>0</v>
      </c>
      <c r="E109" s="58">
        <f>(SUMPRODUCT('Piping Material List'!$AE$3:$AE$96,'Piping Material List'!$BS$3:$BS$96,'Piping Material List'!$DI$3:$DI$96,'Piping Material List'!EI$3:EI$96)+SUMPRODUCT('Piping Material List'!$AF$3:$AF$96,'Piping Material List'!$CU$3:$CU$96,'Piping Material List'!$DI$3:$DI$96,'Piping Material List'!EI$3:EI$96))*IF($C109="d-inches",24,1)*IF($C109="Ø-inches",VLOOKUP(24,'Thickness Tab'!$1:$1048576,17,0),1)</f>
        <v>0</v>
      </c>
      <c r="F109" s="58">
        <f>(SUMPRODUCT('Piping Material List'!$AE$3:$AE$96,'Piping Material List'!$BS$3:$BS$96,'Piping Material List'!$DI$3:$DI$96,'Piping Material List'!EJ$3:EJ$96)+SUMPRODUCT('Piping Material List'!$AF$3:$AF$96,'Piping Material List'!$CU$3:$CU$96,'Piping Material List'!$DI$3:$DI$96,'Piping Material List'!EJ$3:EJ$96))*IF($C109="d-inches",24,1)*IF($C109="Ø-inches",VLOOKUP(24,'Thickness Tab'!$1:$1048576,17,0),1)</f>
        <v>0</v>
      </c>
      <c r="G109" s="58">
        <f>(SUMPRODUCT('Piping Material List'!$AE$3:$AE$96,'Piping Material List'!$BS$3:$BS$96,'Piping Material List'!$DI$3:$DI$96,'Piping Material List'!EK$3:EK$96)+SUMPRODUCT('Piping Material List'!$AF$3:$AF$96,'Piping Material List'!$CU$3:$CU$96,'Piping Material List'!$DI$3:$DI$96,'Piping Material List'!EK$3:EK$96))*IF($C109="d-inches",24,1)*IF($C109="Ø-inches",VLOOKUP(24,'Thickness Tab'!$1:$1048576,17,0),1)</f>
        <v>0</v>
      </c>
      <c r="H109" s="58">
        <f>(SUMPRODUCT('Piping Material List'!$AE$3:$AE$96,'Piping Material List'!$BS$3:$BS$96,'Piping Material List'!$DI$3:$DI$96,'Piping Material List'!EL$3:EL$96)+SUMPRODUCT('Piping Material List'!$AF$3:$AF$96,'Piping Material List'!$CU$3:$CU$96,'Piping Material List'!$DI$3:$DI$96,'Piping Material List'!EL$3:EL$96))*IF($C109="d-inches",24,1)*IF($C109="Ø-inches",VLOOKUP(24,'Thickness Tab'!$1:$1048576,17,0),1)</f>
        <v>0</v>
      </c>
      <c r="I109" s="58">
        <f>(SUMPRODUCT('Piping Material List'!$AE$3:$AE$96,'Piping Material List'!$BS$3:$BS$96,'Piping Material List'!$DI$3:$DI$96,'Piping Material List'!EM$3:EM$96)+SUMPRODUCT('Piping Material List'!$AF$3:$AF$96,'Piping Material List'!$CU$3:$CU$96,'Piping Material List'!$DI$3:$DI$96,'Piping Material List'!EM$3:EM$96))*IF($C109="d-inches",24,1)*IF($C109="Ø-inches",VLOOKUP(24,'Thickness Tab'!$1:$1048576,17,0),1)</f>
        <v>0</v>
      </c>
      <c r="J109" s="58">
        <f>(SUMPRODUCT('Piping Material List'!$AE$3:$AE$96,'Piping Material List'!$BS$3:$BS$96,'Piping Material List'!$DI$3:$DI$96,'Piping Material List'!EN$3:EN$96)+SUMPRODUCT('Piping Material List'!$AF$3:$AF$96,'Piping Material List'!$CU$3:$CU$96,'Piping Material List'!$DI$3:$DI$96,'Piping Material List'!EN$3:EN$96))*IF($C109="d-inches",24,1)*IF($C109="Ø-inches",VLOOKUP(24,'Thickness Tab'!$1:$1048576,17,0),1)</f>
        <v>0</v>
      </c>
      <c r="K109" s="739">
        <v>25</v>
      </c>
      <c r="L109" s="37">
        <f t="shared" si="6"/>
        <v>0</v>
      </c>
    </row>
    <row r="110" spans="1:12" x14ac:dyDescent="0.3">
      <c r="A110" s="31" t="s">
        <v>1187</v>
      </c>
      <c r="B110" s="51" t="s">
        <v>1188</v>
      </c>
      <c r="C110" s="1177" t="s">
        <v>388</v>
      </c>
      <c r="D110" s="58">
        <f>(SUMPRODUCT('Piping Material List'!$AE$3:$AE$96,'Piping Material List'!$BT$3:$BT$96,'Piping Material List'!$DI$3:$DI$96,'Piping Material List'!EH$3:EH$96)+SUMPRODUCT('Piping Material List'!$AF$3:$AF$96,'Piping Material List'!$CS$3:$CS$96,'Piping Material List'!$DI$3:$DI$96,'Piping Material List'!EH$3:EH$96))*IF($C110="d-inches",24,1)*IF($C110="Ø-inches",VLOOKUP(24,'Thickness Tab'!$1:$1048576,17,0),1)</f>
        <v>0</v>
      </c>
      <c r="E110" s="58">
        <f>(SUMPRODUCT('Piping Material List'!$AE$3:$AE$96,'Piping Material List'!$BT$3:$BT$96,'Piping Material List'!$DI$3:$DI$96,'Piping Material List'!EI$3:EI$96)+SUMPRODUCT('Piping Material List'!$AF$3:$AF$96,'Piping Material List'!$CS$3:$CS$96,'Piping Material List'!$DI$3:$DI$96,'Piping Material List'!EI$3:EI$96))*IF($C110="d-inches",24,1)*IF($C110="Ø-inches",VLOOKUP(24,'Thickness Tab'!$1:$1048576,17,0),1)</f>
        <v>0</v>
      </c>
      <c r="F110" s="58">
        <f>(SUMPRODUCT('Piping Material List'!$AE$3:$AE$96,'Piping Material List'!$BT$3:$BT$96,'Piping Material List'!$DI$3:$DI$96,'Piping Material List'!EJ$3:EJ$96)+SUMPRODUCT('Piping Material List'!$AF$3:$AF$96,'Piping Material List'!$CS$3:$CS$96,'Piping Material List'!$DI$3:$DI$96,'Piping Material List'!EJ$3:EJ$96))*IF($C110="d-inches",24,1)*IF($C110="Ø-inches",VLOOKUP(24,'Thickness Tab'!$1:$1048576,17,0),1)</f>
        <v>0</v>
      </c>
      <c r="G110" s="58">
        <f>(SUMPRODUCT('Piping Material List'!$AE$3:$AE$96,'Piping Material List'!$BT$3:$BT$96,'Piping Material List'!$DI$3:$DI$96,'Piping Material List'!EK$3:EK$96)+SUMPRODUCT('Piping Material List'!$AF$3:$AF$96,'Piping Material List'!$CS$3:$CS$96,'Piping Material List'!$DI$3:$DI$96,'Piping Material List'!EK$3:EK$96))*IF($C110="d-inches",24,1)*IF($C110="Ø-inches",VLOOKUP(24,'Thickness Tab'!$1:$1048576,17,0),1)</f>
        <v>0</v>
      </c>
      <c r="H110" s="58">
        <f>(SUMPRODUCT('Piping Material List'!$AE$3:$AE$96,'Piping Material List'!$BT$3:$BT$96,'Piping Material List'!$DI$3:$DI$96,'Piping Material List'!EL$3:EL$96)+SUMPRODUCT('Piping Material List'!$AF$3:$AF$96,'Piping Material List'!$CS$3:$CS$96,'Piping Material List'!$DI$3:$DI$96,'Piping Material List'!EL$3:EL$96))*IF($C110="d-inches",24,1)*IF($C110="Ø-inches",VLOOKUP(24,'Thickness Tab'!$1:$1048576,17,0),1)</f>
        <v>0</v>
      </c>
      <c r="I110" s="58">
        <f>(SUMPRODUCT('Piping Material List'!$AE$3:$AE$96,'Piping Material List'!$BT$3:$BT$96,'Piping Material List'!$DI$3:$DI$96,'Piping Material List'!EM$3:EM$96)+SUMPRODUCT('Piping Material List'!$AF$3:$AF$96,'Piping Material List'!$CS$3:$CS$96,'Piping Material List'!$DI$3:$DI$96,'Piping Material List'!EM$3:EM$96))*IF($C110="d-inches",24,1)*IF($C110="Ø-inches",VLOOKUP(24,'Thickness Tab'!$1:$1048576,17,0),1)</f>
        <v>0</v>
      </c>
      <c r="J110" s="58">
        <f>(SUMPRODUCT('Piping Material List'!$AE$3:$AE$96,'Piping Material List'!$BT$3:$BT$96,'Piping Material List'!$DI$3:$DI$96,'Piping Material List'!EN$3:EN$96)+SUMPRODUCT('Piping Material List'!$AF$3:$AF$96,'Piping Material List'!$CS$3:$CS$96,'Piping Material List'!$DI$3:$DI$96,'Piping Material List'!EN$3:EN$96))*IF($C110="d-inches",24,1)*IF($C110="Ø-inches",VLOOKUP(24,'Thickness Tab'!$1:$1048576,17,0),1)</f>
        <v>0</v>
      </c>
      <c r="K110" s="739">
        <v>25</v>
      </c>
      <c r="L110" s="37">
        <f t="shared" si="6"/>
        <v>0</v>
      </c>
    </row>
    <row r="111" spans="1:12" x14ac:dyDescent="0.3">
      <c r="A111" s="31" t="s">
        <v>1189</v>
      </c>
      <c r="B111" s="51" t="s">
        <v>1190</v>
      </c>
      <c r="C111" s="1177" t="s">
        <v>388</v>
      </c>
      <c r="D111" s="58">
        <f>(SUMPRODUCT('Piping Material List'!$AE$3:$AE$96,'Piping Material List'!$BU$3:$BU$96,'Piping Material List'!$DI$3:$DI$96,'Piping Material List'!EH$3:EH$96)+SUMPRODUCT('Piping Material List'!$AF$3:$AF$96,'Piping Material List'!$CS$3:$CS$96,'Piping Material List'!$DI$3:$DI$96,'Piping Material List'!EH$3:EH$96))*IF($C111="d-inches",24,1)*IF($C111="Ø-inches",VLOOKUP(24,'Thickness Tab'!$1:$1048576,17,0),1)</f>
        <v>0</v>
      </c>
      <c r="E111" s="58">
        <f>(SUMPRODUCT('Piping Material List'!$AE$3:$AE$96,'Piping Material List'!$BU$3:$BU$96,'Piping Material List'!$DI$3:$DI$96,'Piping Material List'!EI$3:EI$96)+SUMPRODUCT('Piping Material List'!$AF$3:$AF$96,'Piping Material List'!$CS$3:$CS$96,'Piping Material List'!$DI$3:$DI$96,'Piping Material List'!EI$3:EI$96))*IF($C111="d-inches",24,1)*IF($C111="Ø-inches",VLOOKUP(24,'Thickness Tab'!$1:$1048576,17,0),1)</f>
        <v>0</v>
      </c>
      <c r="F111" s="58">
        <f>(SUMPRODUCT('Piping Material List'!$AE$3:$AE$96,'Piping Material List'!$BU$3:$BU$96,'Piping Material List'!$DI$3:$DI$96,'Piping Material List'!EJ$3:EJ$96)+SUMPRODUCT('Piping Material List'!$AF$3:$AF$96,'Piping Material List'!$CS$3:$CS$96,'Piping Material List'!$DI$3:$DI$96,'Piping Material List'!EJ$3:EJ$96))*IF($C111="d-inches",24,1)*IF($C111="Ø-inches",VLOOKUP(24,'Thickness Tab'!$1:$1048576,17,0),1)</f>
        <v>0</v>
      </c>
      <c r="G111" s="58">
        <f>(SUMPRODUCT('Piping Material List'!$AE$3:$AE$96,'Piping Material List'!$BU$3:$BU$96,'Piping Material List'!$DI$3:$DI$96,'Piping Material List'!EK$3:EK$96)+SUMPRODUCT('Piping Material List'!$AF$3:$AF$96,'Piping Material List'!$CS$3:$CS$96,'Piping Material List'!$DI$3:$DI$96,'Piping Material List'!EK$3:EK$96))*IF($C111="d-inches",24,1)*IF($C111="Ø-inches",VLOOKUP(24,'Thickness Tab'!$1:$1048576,17,0),1)</f>
        <v>0</v>
      </c>
      <c r="H111" s="58">
        <f>(SUMPRODUCT('Piping Material List'!$AE$3:$AE$96,'Piping Material List'!$BU$3:$BU$96,'Piping Material List'!$DI$3:$DI$96,'Piping Material List'!EL$3:EL$96)+SUMPRODUCT('Piping Material List'!$AF$3:$AF$96,'Piping Material List'!$CS$3:$CS$96,'Piping Material List'!$DI$3:$DI$96,'Piping Material List'!EL$3:EL$96))*IF($C111="d-inches",24,1)*IF($C111="Ø-inches",VLOOKUP(24,'Thickness Tab'!$1:$1048576,17,0),1)</f>
        <v>0</v>
      </c>
      <c r="I111" s="58">
        <f>(SUMPRODUCT('Piping Material List'!$AE$3:$AE$96,'Piping Material List'!$BU$3:$BU$96,'Piping Material List'!$DI$3:$DI$96,'Piping Material List'!EM$3:EM$96)+SUMPRODUCT('Piping Material List'!$AF$3:$AF$96,'Piping Material List'!$CS$3:$CS$96,'Piping Material List'!$DI$3:$DI$96,'Piping Material List'!EM$3:EM$96))*IF($C111="d-inches",24,1)*IF($C111="Ø-inches",VLOOKUP(24,'Thickness Tab'!$1:$1048576,17,0),1)</f>
        <v>0</v>
      </c>
      <c r="J111" s="58">
        <f>(SUMPRODUCT('Piping Material List'!$AE$3:$AE$96,'Piping Material List'!$BU$3:$BU$96,'Piping Material List'!$DI$3:$DI$96,'Piping Material List'!EN$3:EN$96)+SUMPRODUCT('Piping Material List'!$AF$3:$AF$96,'Piping Material List'!$CS$3:$CS$96,'Piping Material List'!$DI$3:$DI$96,'Piping Material List'!EN$3:EN$96))*IF($C111="d-inches",24,1)*IF($C111="Ø-inches",VLOOKUP(24,'Thickness Tab'!$1:$1048576,17,0),1)</f>
        <v>0</v>
      </c>
      <c r="K111" s="739">
        <v>25</v>
      </c>
      <c r="L111" s="37">
        <f t="shared" si="6"/>
        <v>0</v>
      </c>
    </row>
    <row r="112" spans="1:12" x14ac:dyDescent="0.3">
      <c r="A112" s="31" t="s">
        <v>1191</v>
      </c>
      <c r="B112" s="51" t="s">
        <v>1192</v>
      </c>
      <c r="C112" s="1177" t="s">
        <v>388</v>
      </c>
      <c r="D112" s="58">
        <f>(SUMPRODUCT('Piping Material List'!$AE$3:$AE$96,'Piping Material List'!$BV$3:$BV$96,'Piping Material List'!$DI$3:$DI$96,'Piping Material List'!EH$3:EH$96)+SUMPRODUCT('Piping Material List'!$AF$3:$AF$96,'Piping Material List'!$CS$3:$CS$96,'Piping Material List'!$DI$3:$DI$96,'Piping Material List'!EH$3:EH$96))*IF($C112="d-inches",24,1)*IF($C112="Ø-inches",VLOOKUP(24,'Thickness Tab'!$1:$1048576,17,0),1)</f>
        <v>0</v>
      </c>
      <c r="E112" s="58">
        <f>(SUMPRODUCT('Piping Material List'!$AE$3:$AE$96,'Piping Material List'!$BV$3:$BV$96,'Piping Material List'!$DI$3:$DI$96,'Piping Material List'!EI$3:EI$96)+SUMPRODUCT('Piping Material List'!$AF$3:$AF$96,'Piping Material List'!$CS$3:$CS$96,'Piping Material List'!$DI$3:$DI$96,'Piping Material List'!EI$3:EI$96))*IF($C112="d-inches",24,1)*IF($C112="Ø-inches",VLOOKUP(24,'Thickness Tab'!$1:$1048576,17,0),1)</f>
        <v>0</v>
      </c>
      <c r="F112" s="58">
        <f>(SUMPRODUCT('Piping Material List'!$AE$3:$AE$96,'Piping Material List'!$BV$3:$BV$96,'Piping Material List'!$DI$3:$DI$96,'Piping Material List'!EJ$3:EJ$96)+SUMPRODUCT('Piping Material List'!$AF$3:$AF$96,'Piping Material List'!$CS$3:$CS$96,'Piping Material List'!$DI$3:$DI$96,'Piping Material List'!EJ$3:EJ$96))*IF($C112="d-inches",24,1)*IF($C112="Ø-inches",VLOOKUP(24,'Thickness Tab'!$1:$1048576,17,0),1)</f>
        <v>0</v>
      </c>
      <c r="G112" s="58">
        <f>(SUMPRODUCT('Piping Material List'!$AE$3:$AE$96,'Piping Material List'!$BV$3:$BV$96,'Piping Material List'!$DI$3:$DI$96,'Piping Material List'!EK$3:EK$96)+SUMPRODUCT('Piping Material List'!$AF$3:$AF$96,'Piping Material List'!$CS$3:$CS$96,'Piping Material List'!$DI$3:$DI$96,'Piping Material List'!EK$3:EK$96))*IF($C112="d-inches",24,1)*IF($C112="Ø-inches",VLOOKUP(24,'Thickness Tab'!$1:$1048576,17,0),1)</f>
        <v>0</v>
      </c>
      <c r="H112" s="58">
        <f>(SUMPRODUCT('Piping Material List'!$AE$3:$AE$96,'Piping Material List'!$BV$3:$BV$96,'Piping Material List'!$DI$3:$DI$96,'Piping Material List'!EL$3:EL$96)+SUMPRODUCT('Piping Material List'!$AF$3:$AF$96,'Piping Material List'!$CS$3:$CS$96,'Piping Material List'!$DI$3:$DI$96,'Piping Material List'!EL$3:EL$96))*IF($C112="d-inches",24,1)*IF($C112="Ø-inches",VLOOKUP(24,'Thickness Tab'!$1:$1048576,17,0),1)</f>
        <v>0</v>
      </c>
      <c r="I112" s="58">
        <f>(SUMPRODUCT('Piping Material List'!$AE$3:$AE$96,'Piping Material List'!$BV$3:$BV$96,'Piping Material List'!$DI$3:$DI$96,'Piping Material List'!EM$3:EM$96)+SUMPRODUCT('Piping Material List'!$AF$3:$AF$96,'Piping Material List'!$CS$3:$CS$96,'Piping Material List'!$DI$3:$DI$96,'Piping Material List'!EM$3:EM$96))*IF($C112="d-inches",24,1)*IF($C112="Ø-inches",VLOOKUP(24,'Thickness Tab'!$1:$1048576,17,0),1)</f>
        <v>0</v>
      </c>
      <c r="J112" s="58">
        <f>(SUMPRODUCT('Piping Material List'!$AE$3:$AE$96,'Piping Material List'!$BV$3:$BV$96,'Piping Material List'!$DI$3:$DI$96,'Piping Material List'!EN$3:EN$96)+SUMPRODUCT('Piping Material List'!$AF$3:$AF$96,'Piping Material List'!$CS$3:$CS$96,'Piping Material List'!$DI$3:$DI$96,'Piping Material List'!EN$3:EN$96))*IF($C112="d-inches",24,1)*IF($C112="Ø-inches",VLOOKUP(24,'Thickness Tab'!$1:$1048576,17,0),1)</f>
        <v>0</v>
      </c>
      <c r="K112" s="739">
        <v>25</v>
      </c>
      <c r="L112" s="37">
        <f t="shared" si="6"/>
        <v>0</v>
      </c>
    </row>
    <row r="113" spans="1:12" x14ac:dyDescent="0.3">
      <c r="A113" s="31" t="s">
        <v>1193</v>
      </c>
      <c r="B113" s="51" t="s">
        <v>1194</v>
      </c>
      <c r="C113" s="1177" t="s">
        <v>388</v>
      </c>
      <c r="D113" s="58">
        <f>(SUMPRODUCT('Piping Material List'!$AE$3:$AE$96,'Piping Material List'!$BW$3:$BW$96,'Piping Material List'!$DI$3:$DI$96,'Piping Material List'!EH$3:EH$96)+SUMPRODUCT('Piping Material List'!$AF$3:$AF$96,'Piping Material List'!$CS$3:$CS$96,'Piping Material List'!$DI$3:$DI$96,'Piping Material List'!EH$3:EH$96))*IF($C113="d-inches",24,1)*IF($C113="Ø-inches",VLOOKUP(24,'Thickness Tab'!$1:$1048576,17,0),1)</f>
        <v>0</v>
      </c>
      <c r="E113" s="58">
        <f>(SUMPRODUCT('Piping Material List'!$AE$3:$AE$96,'Piping Material List'!$BW$3:$BW$96,'Piping Material List'!$DI$3:$DI$96,'Piping Material List'!EI$3:EI$96)+SUMPRODUCT('Piping Material List'!$AF$3:$AF$96,'Piping Material List'!$CS$3:$CS$96,'Piping Material List'!$DI$3:$DI$96,'Piping Material List'!EI$3:EI$96))*IF($C113="d-inches",24,1)*IF($C113="Ø-inches",VLOOKUP(24,'Thickness Tab'!$1:$1048576,17,0),1)</f>
        <v>0</v>
      </c>
      <c r="F113" s="58">
        <f>(SUMPRODUCT('Piping Material List'!$AE$3:$AE$96,'Piping Material List'!$BW$3:$BW$96,'Piping Material List'!$DI$3:$DI$96,'Piping Material List'!EJ$3:EJ$96)+SUMPRODUCT('Piping Material List'!$AF$3:$AF$96,'Piping Material List'!$CS$3:$CS$96,'Piping Material List'!$DI$3:$DI$96,'Piping Material List'!EJ$3:EJ$96))*IF($C113="d-inches",24,1)*IF($C113="Ø-inches",VLOOKUP(24,'Thickness Tab'!$1:$1048576,17,0),1)</f>
        <v>0</v>
      </c>
      <c r="G113" s="58">
        <f>(SUMPRODUCT('Piping Material List'!$AE$3:$AE$96,'Piping Material List'!$BW$3:$BW$96,'Piping Material List'!$DI$3:$DI$96,'Piping Material List'!EK$3:EK$96)+SUMPRODUCT('Piping Material List'!$AF$3:$AF$96,'Piping Material List'!$CS$3:$CS$96,'Piping Material List'!$DI$3:$DI$96,'Piping Material List'!EK$3:EK$96))*IF($C113="d-inches",24,1)*IF($C113="Ø-inches",VLOOKUP(24,'Thickness Tab'!$1:$1048576,17,0),1)</f>
        <v>0</v>
      </c>
      <c r="H113" s="58">
        <f>(SUMPRODUCT('Piping Material List'!$AE$3:$AE$96,'Piping Material List'!$BW$3:$BW$96,'Piping Material List'!$DI$3:$DI$96,'Piping Material List'!EL$3:EL$96)+SUMPRODUCT('Piping Material List'!$AF$3:$AF$96,'Piping Material List'!$CS$3:$CS$96,'Piping Material List'!$DI$3:$DI$96,'Piping Material List'!EL$3:EL$96))*IF($C113="d-inches",24,1)*IF($C113="Ø-inches",VLOOKUP(24,'Thickness Tab'!$1:$1048576,17,0),1)</f>
        <v>0</v>
      </c>
      <c r="I113" s="58">
        <f>(SUMPRODUCT('Piping Material List'!$AE$3:$AE$96,'Piping Material List'!$BW$3:$BW$96,'Piping Material List'!$DI$3:$DI$96,'Piping Material List'!EM$3:EM$96)+SUMPRODUCT('Piping Material List'!$AF$3:$AF$96,'Piping Material List'!$CS$3:$CS$96,'Piping Material List'!$DI$3:$DI$96,'Piping Material List'!EM$3:EM$96))*IF($C113="d-inches",24,1)*IF($C113="Ø-inches",VLOOKUP(24,'Thickness Tab'!$1:$1048576,17,0),1)</f>
        <v>0</v>
      </c>
      <c r="J113" s="58">
        <f>(SUMPRODUCT('Piping Material List'!$AE$3:$AE$96,'Piping Material List'!$BW$3:$BW$96,'Piping Material List'!$DI$3:$DI$96,'Piping Material List'!EN$3:EN$96)+SUMPRODUCT('Piping Material List'!$AF$3:$AF$96,'Piping Material List'!$CS$3:$CS$96,'Piping Material List'!$DI$3:$DI$96,'Piping Material List'!EN$3:EN$96))*IF($C113="d-inches",24,1)*IF($C113="Ø-inches",VLOOKUP(24,'Thickness Tab'!$1:$1048576,17,0),1)</f>
        <v>0</v>
      </c>
      <c r="K113" s="739">
        <v>25</v>
      </c>
      <c r="L113" s="37">
        <f t="shared" si="6"/>
        <v>0</v>
      </c>
    </row>
    <row r="114" spans="1:12" x14ac:dyDescent="0.3">
      <c r="A114" s="31" t="s">
        <v>1195</v>
      </c>
      <c r="B114" s="51" t="s">
        <v>1196</v>
      </c>
      <c r="C114" s="1177" t="s">
        <v>388</v>
      </c>
      <c r="D114" s="58">
        <f>(SUMPRODUCT('Piping Material List'!$AE$3:$AE$96,'Piping Material List'!$BX$3:$BX$96,'Piping Material List'!$DI$3:$DI$96,'Piping Material List'!EH$3:EH$96)+SUMPRODUCT('Piping Material List'!$AF$3:$AF$96,'Piping Material List'!$CS$3:$CS$96,'Piping Material List'!$DI$3:$DI$96,'Piping Material List'!EH$3:EH$96))*IF($C114="d-inches",24,1)*IF($C114="Ø-inches",VLOOKUP(24,'Thickness Tab'!$1:$1048576,17,0),1)</f>
        <v>0</v>
      </c>
      <c r="E114" s="58">
        <f>(SUMPRODUCT('Piping Material List'!$AE$3:$AE$96,'Piping Material List'!$BX$3:$BX$96,'Piping Material List'!$DI$3:$DI$96,'Piping Material List'!EI$3:EI$96)+SUMPRODUCT('Piping Material List'!$AF$3:$AF$96,'Piping Material List'!$CS$3:$CS$96,'Piping Material List'!$DI$3:$DI$96,'Piping Material List'!EI$3:EI$96))*IF($C114="d-inches",24,1)*IF($C114="Ø-inches",VLOOKUP(24,'Thickness Tab'!$1:$1048576,17,0),1)</f>
        <v>0</v>
      </c>
      <c r="F114" s="58">
        <f>(SUMPRODUCT('Piping Material List'!$AE$3:$AE$96,'Piping Material List'!$BX$3:$BX$96,'Piping Material List'!$DI$3:$DI$96,'Piping Material List'!EJ$3:EJ$96)+SUMPRODUCT('Piping Material List'!$AF$3:$AF$96,'Piping Material List'!$CS$3:$CS$96,'Piping Material List'!$DI$3:$DI$96,'Piping Material List'!EJ$3:EJ$96))*IF($C114="d-inches",24,1)*IF($C114="Ø-inches",VLOOKUP(24,'Thickness Tab'!$1:$1048576,17,0),1)</f>
        <v>0</v>
      </c>
      <c r="G114" s="58">
        <f>(SUMPRODUCT('Piping Material List'!$AE$3:$AE$96,'Piping Material List'!$BX$3:$BX$96,'Piping Material List'!$DI$3:$DI$96,'Piping Material List'!EK$3:EK$96)+SUMPRODUCT('Piping Material List'!$AF$3:$AF$96,'Piping Material List'!$CS$3:$CS$96,'Piping Material List'!$DI$3:$DI$96,'Piping Material List'!EK$3:EK$96))*IF($C114="d-inches",24,1)*IF($C114="Ø-inches",VLOOKUP(24,'Thickness Tab'!$1:$1048576,17,0),1)</f>
        <v>0</v>
      </c>
      <c r="H114" s="58">
        <f>(SUMPRODUCT('Piping Material List'!$AE$3:$AE$96,'Piping Material List'!$BX$3:$BX$96,'Piping Material List'!$DI$3:$DI$96,'Piping Material List'!EL$3:EL$96)+SUMPRODUCT('Piping Material List'!$AF$3:$AF$96,'Piping Material List'!$CS$3:$CS$96,'Piping Material List'!$DI$3:$DI$96,'Piping Material List'!EL$3:EL$96))*IF($C114="d-inches",24,1)*IF($C114="Ø-inches",VLOOKUP(24,'Thickness Tab'!$1:$1048576,17,0),1)</f>
        <v>0</v>
      </c>
      <c r="I114" s="58">
        <f>(SUMPRODUCT('Piping Material List'!$AE$3:$AE$96,'Piping Material List'!$BX$3:$BX$96,'Piping Material List'!$DI$3:$DI$96,'Piping Material List'!EM$3:EM$96)+SUMPRODUCT('Piping Material List'!$AF$3:$AF$96,'Piping Material List'!$CS$3:$CS$96,'Piping Material List'!$DI$3:$DI$96,'Piping Material List'!EM$3:EM$96))*IF($C114="d-inches",24,1)*IF($C114="Ø-inches",VLOOKUP(24,'Thickness Tab'!$1:$1048576,17,0),1)</f>
        <v>0</v>
      </c>
      <c r="J114" s="58">
        <f>(SUMPRODUCT('Piping Material List'!$AE$3:$AE$96,'Piping Material List'!$BX$3:$BX$96,'Piping Material List'!$DI$3:$DI$96,'Piping Material List'!EN$3:EN$96)+SUMPRODUCT('Piping Material List'!$AF$3:$AF$96,'Piping Material List'!$CS$3:$CS$96,'Piping Material List'!$DI$3:$DI$96,'Piping Material List'!EN$3:EN$96))*IF($C114="d-inches",24,1)*IF($C114="Ø-inches",VLOOKUP(24,'Thickness Tab'!$1:$1048576,17,0),1)</f>
        <v>0</v>
      </c>
      <c r="K114" s="739">
        <v>25</v>
      </c>
      <c r="L114" s="37">
        <f t="shared" si="6"/>
        <v>0</v>
      </c>
    </row>
    <row r="115" spans="1:12" x14ac:dyDescent="0.3">
      <c r="A115" s="31" t="s">
        <v>1197</v>
      </c>
      <c r="B115" s="51" t="s">
        <v>1198</v>
      </c>
      <c r="C115" s="1177" t="s">
        <v>388</v>
      </c>
      <c r="D115" s="58">
        <f>(SUMPRODUCT('Piping Material List'!$AE$3:$AE$96,'Piping Material List'!$BY$3:$BY$96,'Piping Material List'!$DI$3:$DI$96,'Piping Material List'!EH$3:EH$96)+SUMPRODUCT('Piping Material List'!$AF$3:$AF$96,'Piping Material List'!$CS$3:$CS$96,'Piping Material List'!$DI$3:$DI$96,'Piping Material List'!EH$3:EH$96))*IF($C115="d-inches",24,1)*IF($C115="Ø-inches",VLOOKUP(24,'Thickness Tab'!$1:$1048576,17,0),1)</f>
        <v>0</v>
      </c>
      <c r="E115" s="58">
        <f>(SUMPRODUCT('Piping Material List'!$AE$3:$AE$96,'Piping Material List'!$BY$3:$BY$96,'Piping Material List'!$DI$3:$DI$96,'Piping Material List'!EI$3:EI$96)+SUMPRODUCT('Piping Material List'!$AF$3:$AF$96,'Piping Material List'!$CS$3:$CS$96,'Piping Material List'!$DI$3:$DI$96,'Piping Material List'!EI$3:EI$96))*IF($C115="d-inches",24,1)*IF($C115="Ø-inches",VLOOKUP(24,'Thickness Tab'!$1:$1048576,17,0),1)</f>
        <v>0</v>
      </c>
      <c r="F115" s="58">
        <f>(SUMPRODUCT('Piping Material List'!$AE$3:$AE$96,'Piping Material List'!$BY$3:$BY$96,'Piping Material List'!$DI$3:$DI$96,'Piping Material List'!EJ$3:EJ$96)+SUMPRODUCT('Piping Material List'!$AF$3:$AF$96,'Piping Material List'!$CS$3:$CS$96,'Piping Material List'!$DI$3:$DI$96,'Piping Material List'!EJ$3:EJ$96))*IF($C115="d-inches",24,1)*IF($C115="Ø-inches",VLOOKUP(24,'Thickness Tab'!$1:$1048576,17,0),1)</f>
        <v>0</v>
      </c>
      <c r="G115" s="58">
        <f>(SUMPRODUCT('Piping Material List'!$AE$3:$AE$96,'Piping Material List'!$BY$3:$BY$96,'Piping Material List'!$DI$3:$DI$96,'Piping Material List'!EK$3:EK$96)+SUMPRODUCT('Piping Material List'!$AF$3:$AF$96,'Piping Material List'!$CS$3:$CS$96,'Piping Material List'!$DI$3:$DI$96,'Piping Material List'!EK$3:EK$96))*IF($C115="d-inches",24,1)*IF($C115="Ø-inches",VLOOKUP(24,'Thickness Tab'!$1:$1048576,17,0),1)</f>
        <v>0</v>
      </c>
      <c r="H115" s="58">
        <f>(SUMPRODUCT('Piping Material List'!$AE$3:$AE$96,'Piping Material List'!$BY$3:$BY$96,'Piping Material List'!$DI$3:$DI$96,'Piping Material List'!EL$3:EL$96)+SUMPRODUCT('Piping Material List'!$AF$3:$AF$96,'Piping Material List'!$CS$3:$CS$96,'Piping Material List'!$DI$3:$DI$96,'Piping Material List'!EL$3:EL$96))*IF($C115="d-inches",24,1)*IF($C115="Ø-inches",VLOOKUP(24,'Thickness Tab'!$1:$1048576,17,0),1)</f>
        <v>0</v>
      </c>
      <c r="I115" s="58">
        <f>(SUMPRODUCT('Piping Material List'!$AE$3:$AE$96,'Piping Material List'!$BY$3:$BY$96,'Piping Material List'!$DI$3:$DI$96,'Piping Material List'!EM$3:EM$96)+SUMPRODUCT('Piping Material List'!$AF$3:$AF$96,'Piping Material List'!$CS$3:$CS$96,'Piping Material List'!$DI$3:$DI$96,'Piping Material List'!EM$3:EM$96))*IF($C115="d-inches",24,1)*IF($C115="Ø-inches",VLOOKUP(24,'Thickness Tab'!$1:$1048576,17,0),1)</f>
        <v>0</v>
      </c>
      <c r="J115" s="58">
        <f>(SUMPRODUCT('Piping Material List'!$AE$3:$AE$96,'Piping Material List'!$BY$3:$BY$96,'Piping Material List'!$DI$3:$DI$96,'Piping Material List'!EN$3:EN$96)+SUMPRODUCT('Piping Material List'!$AF$3:$AF$96,'Piping Material List'!$CS$3:$CS$96,'Piping Material List'!$DI$3:$DI$96,'Piping Material List'!EN$3:EN$96))*IF($C115="d-inches",24,1)*IF($C115="Ø-inches",VLOOKUP(24,'Thickness Tab'!$1:$1048576,17,0),1)</f>
        <v>0</v>
      </c>
      <c r="K115" s="739">
        <v>25</v>
      </c>
      <c r="L115" s="37">
        <f t="shared" si="6"/>
        <v>0</v>
      </c>
    </row>
    <row r="116" spans="1:12" x14ac:dyDescent="0.3">
      <c r="A116" s="31" t="s">
        <v>1199</v>
      </c>
      <c r="B116" s="51" t="s">
        <v>1200</v>
      </c>
      <c r="C116" s="1177" t="s">
        <v>388</v>
      </c>
      <c r="D116" s="58">
        <f>(SUMPRODUCT('Piping Material List'!$AE$3:$AE$96,'Piping Material List'!$BZ$3:$BZ$96,'Piping Material List'!$DI$3:$DI$96,'Piping Material List'!EH$3:EH$96)+SUMPRODUCT('Piping Material List'!$AF$3:$AF$96,'Piping Material List'!$DB$3:$DB$96,'Piping Material List'!$DI$3:$DI$96,'Piping Material List'!EH$3:EH$96))*IF($C116="d-inches",22,1)*IF($C116="Ø-inches",VLOOKUP(22,'Thickness Tab'!$1:$1048576,17,0),1)</f>
        <v>0</v>
      </c>
      <c r="E116" s="58">
        <f>(SUMPRODUCT('Piping Material List'!$AE$3:$AE$96,'Piping Material List'!$BZ$3:$BZ$96,'Piping Material List'!$DI$3:$DI$96,'Piping Material List'!EI$3:EI$96)+SUMPRODUCT('Piping Material List'!$AF$3:$AF$96,'Piping Material List'!$DB$3:$DB$96,'Piping Material List'!$DI$3:$DI$96,'Piping Material List'!EI$3:EI$96))*IF($C116="d-inches",22,1)*IF($C116="Ø-inches",VLOOKUP(22,'Thickness Tab'!$1:$1048576,17,0),1)</f>
        <v>0</v>
      </c>
      <c r="F116" s="58">
        <f>(SUMPRODUCT('Piping Material List'!$AE$3:$AE$96,'Piping Material List'!$BY$3:$BY$96,'Piping Material List'!$DI$3:$DI$96,'Piping Material List'!EJ$3:EJ$96)+SUMPRODUCT('Piping Material List'!$AF$3:$AF$96,'Piping Material List'!$CS$3:$CS$96,'Piping Material List'!$DI$3:$DI$96,'Piping Material List'!EJ$3:EJ$96))*IF($C116="d-inches",24,1)*IF($C116="Ø-inches",VLOOKUP(24,'Thickness Tab'!$1:$1048576,17,0),1)</f>
        <v>0</v>
      </c>
      <c r="G116" s="58">
        <f>(SUMPRODUCT('Piping Material List'!$AE$3:$AE$96,'Piping Material List'!$BZ$3:$BZ$96,'Piping Material List'!$DI$3:$DI$96,'Piping Material List'!EK$3:EK$96)+SUMPRODUCT('Piping Material List'!$AF$3:$AF$96,'Piping Material List'!$DB$3:$DB$96,'Piping Material List'!$DI$3:$DI$96,'Piping Material List'!EK$3:EK$96))*IF($C116="d-inches",22,1)*IF($C116="Ø-inches",VLOOKUP(22,'Thickness Tab'!$1:$1048576,17,0),1)</f>
        <v>0</v>
      </c>
      <c r="H116" s="58">
        <f>(SUMPRODUCT('Piping Material List'!$AE$3:$AE$96,'Piping Material List'!$BZ$3:$BZ$96,'Piping Material List'!$DI$3:$DI$96,'Piping Material List'!EL$3:EL$96)+SUMPRODUCT('Piping Material List'!$AF$3:$AF$96,'Piping Material List'!$DB$3:$DB$96,'Piping Material List'!$DI$3:$DI$96,'Piping Material List'!EL$3:EL$96))*IF($C116="d-inches",22,1)*IF($C116="Ø-inches",VLOOKUP(22,'Thickness Tab'!$1:$1048576,17,0),1)</f>
        <v>0</v>
      </c>
      <c r="I116" s="58">
        <f>(SUMPRODUCT('Piping Material List'!$AE$3:$AE$96,'Piping Material List'!$BZ$3:$BZ$96,'Piping Material List'!$DI$3:$DI$96,'Piping Material List'!EM$3:EM$96)+SUMPRODUCT('Piping Material List'!$AF$3:$AF$96,'Piping Material List'!$DB$3:$DB$96,'Piping Material List'!$DI$3:$DI$96,'Piping Material List'!EM$3:EM$96))*IF($C116="d-inches",22,1)*IF($C116="Ø-inches",VLOOKUP(22,'Thickness Tab'!$1:$1048576,17,0),1)</f>
        <v>0</v>
      </c>
      <c r="J116" s="58">
        <f>(SUMPRODUCT('Piping Material List'!$AE$3:$AE$96,'Piping Material List'!$BZ$3:$BZ$96,'Piping Material List'!$DI$3:$DI$96,'Piping Material List'!EN$3:EN$96)+SUMPRODUCT('Piping Material List'!$AF$3:$AF$96,'Piping Material List'!$DB$3:$DB$96,'Piping Material List'!$DI$3:$DI$96,'Piping Material List'!EN$3:EN$96))*IF($C116="d-inches",22,1)*IF($C116="Ø-inches",VLOOKUP(22,'Thickness Tab'!$1:$1048576,17,0),1)</f>
        <v>0</v>
      </c>
      <c r="K116" s="739">
        <v>25</v>
      </c>
      <c r="L116" s="37">
        <f t="shared" si="6"/>
        <v>0</v>
      </c>
    </row>
    <row r="117" spans="1:12" x14ac:dyDescent="0.3">
      <c r="A117" s="1474" t="s">
        <v>1240</v>
      </c>
      <c r="B117" s="1479" t="s">
        <v>1241</v>
      </c>
      <c r="C117" s="1480"/>
      <c r="D117" s="1481"/>
      <c r="E117" s="1481"/>
      <c r="F117" s="1481"/>
      <c r="G117" s="1481"/>
      <c r="H117" s="1481"/>
      <c r="I117" s="1481"/>
      <c r="J117" s="1481"/>
      <c r="K117" s="1482"/>
      <c r="L117" s="1484">
        <f>SUM(L120:L137)</f>
        <v>0</v>
      </c>
    </row>
    <row r="118" spans="1:12" x14ac:dyDescent="0.3">
      <c r="A118" s="1485"/>
      <c r="B118" s="1405"/>
      <c r="C118" s="1486" t="s">
        <v>1145</v>
      </c>
      <c r="D118" s="1487" t="str">
        <f>'Piping Material List'!EH2</f>
        <v>5S - 40</v>
      </c>
      <c r="E118" s="1487">
        <f>'Piping Material List'!EI2</f>
        <v>60</v>
      </c>
      <c r="F118" s="1487" t="str">
        <f>'Piping Material List'!EJ2</f>
        <v>XS - 80</v>
      </c>
      <c r="G118" s="1487">
        <f>'Piping Material List'!EK2</f>
        <v>100</v>
      </c>
      <c r="H118" s="1487">
        <f>'Piping Material List'!EL2</f>
        <v>120</v>
      </c>
      <c r="I118" s="1487">
        <f>'Piping Material List'!EM2</f>
        <v>140</v>
      </c>
      <c r="J118" s="1487" t="str">
        <f>'Piping Material List'!EN2</f>
        <v>160 - XXS</v>
      </c>
      <c r="K118" s="1406"/>
      <c r="L118" s="1407"/>
    </row>
    <row r="119" spans="1:12" x14ac:dyDescent="0.3">
      <c r="A119" s="1344"/>
      <c r="B119" s="1489"/>
      <c r="C119" s="1486" t="s">
        <v>1146</v>
      </c>
      <c r="D119" s="1490">
        <v>1</v>
      </c>
      <c r="E119" s="1490">
        <v>1.2</v>
      </c>
      <c r="F119" s="1490">
        <v>1.3</v>
      </c>
      <c r="G119" s="1490">
        <v>1.4</v>
      </c>
      <c r="H119" s="1490">
        <v>1.5</v>
      </c>
      <c r="I119" s="1490">
        <v>1.7</v>
      </c>
      <c r="J119" s="1490">
        <v>2</v>
      </c>
      <c r="K119" s="1491"/>
      <c r="L119" s="1483"/>
    </row>
    <row r="120" spans="1:12" x14ac:dyDescent="0.3">
      <c r="A120" s="31" t="s">
        <v>1242</v>
      </c>
      <c r="B120" s="51" t="s">
        <v>1148</v>
      </c>
      <c r="C120" s="1177" t="s">
        <v>1222</v>
      </c>
      <c r="D120" s="57">
        <f>(SUMPRODUCT('Piping Material List'!$AE$3:$AE$96,'Piping Material List'!$AZ$3:$AZ$96,'Piping Material List'!$DM$3:$DM$96,'Piping Material List'!EH$3:EH$96)+SUMPRODUCT('Piping Material List'!$AF$3:$AF$96,'Piping Material List'!$CB$3:$CB$96,'Piping Material List'!$DM$3:$DM$96,'Piping Material List'!EH$3:EH$96))*IF($C120="d-inches",0.5,1)*IF($C120="Ø-inches",VLOOKUP(0.5,'Thickness Tab'!$1:$1048576,17,0),1)</f>
        <v>0</v>
      </c>
      <c r="E120" s="57">
        <f>(SUMPRODUCT('Piping Material List'!$AE$3:$AE$96,'Piping Material List'!$AZ$3:$AZ$96,'Piping Material List'!$DM$3:$DM$96,'Piping Material List'!EI$3:EI$96)+SUMPRODUCT('Piping Material List'!$AF$3:$AF$96,'Piping Material List'!$CB$3:$CB$96,'Piping Material List'!$DM$3:$DM$96,'Piping Material List'!EI$3:EI$96))*IF($C120="d-inches",0.5,1)*IF($C120="Ø-inches",VLOOKUP(0.5,'Thickness Tab'!$1:$1048576,17,0),1)</f>
        <v>0</v>
      </c>
      <c r="F120" s="57">
        <f>(SUMPRODUCT('Piping Material List'!$AE$3:$AE$96,'Piping Material List'!$AZ$3:$AZ$96,'Piping Material List'!$DM$3:$DM$96,'Piping Material List'!EJ$3:EJ$96)+SUMPRODUCT('Piping Material List'!$AF$3:$AF$96,'Piping Material List'!$CB$3:$CB$96,'Piping Material List'!$DM$3:$DM$96,'Piping Material List'!EJ$3:EJ$96))*IF($C120="d-inches",0.5,1)*IF($C120="Ø-inches",VLOOKUP(0.5,'Thickness Tab'!$1:$1048576,17,0),1)</f>
        <v>0</v>
      </c>
      <c r="G120" s="57">
        <f>(SUMPRODUCT('Piping Material List'!$AE$3:$AE$96,'Piping Material List'!$AZ$3:$AZ$96,'Piping Material List'!$DM$3:$DM$96,'Piping Material List'!EK$3:EK$96)+SUMPRODUCT('Piping Material List'!$AF$3:$AF$96,'Piping Material List'!$CB$3:$CB$96,'Piping Material List'!$DM$3:$DM$96,'Piping Material List'!EK$3:EK$96))*IF($C120="d-inches",0.5,1)*IF($C120="Ø-inches",VLOOKUP(0.5,'Thickness Tab'!$1:$1048576,17,0),1)</f>
        <v>0</v>
      </c>
      <c r="H120" s="57">
        <f>(SUMPRODUCT('Piping Material List'!$AE$3:$AE$96,'Piping Material List'!$AZ$3:$AZ$96,'Piping Material List'!$DM$3:$DM$96,'Piping Material List'!EL$3:EL$96)+SUMPRODUCT('Piping Material List'!$AF$3:$AF$96,'Piping Material List'!$CB$3:$CB$96,'Piping Material List'!$DM$3:$DM$96,'Piping Material List'!EL$3:EL$96))*IF($C120="d-inches",0.5,1)*IF($C120="Ø-inches",VLOOKUP(0.5,'Thickness Tab'!$1:$1048576,17,0),1)</f>
        <v>0</v>
      </c>
      <c r="I120" s="57">
        <f>(SUMPRODUCT('Piping Material List'!$AE$3:$AE$96,'Piping Material List'!$AZ$3:$AZ$96,'Piping Material List'!$DM$3:$DM$96,'Piping Material List'!EM$3:EM$96)+SUMPRODUCT('Piping Material List'!$AF$3:$AF$96,'Piping Material List'!$CB$3:$CB$96,'Piping Material List'!$DM$3:$DM$96,'Piping Material List'!EM$3:EM$96))*IF($C120="d-inches",0.5,1)*IF($C120="Ø-inches",VLOOKUP(0.5,'Thickness Tab'!$1:$1048576,17,0),1)</f>
        <v>0</v>
      </c>
      <c r="J120" s="57">
        <f>(SUMPRODUCT('Piping Material List'!$AE$3:$AE$96,'Piping Material List'!$AZ$3:$AZ$96,'Piping Material List'!$DM$3:$DM$96,'Piping Material List'!EN$3:EN$96)+SUMPRODUCT('Piping Material List'!$AF$3:$AF$96,'Piping Material List'!$CB$3:$CB$96,'Piping Material List'!$DM$3:$DM$96,'Piping Material List'!EN$3:EN$96))*IF($C120="d-inches",0.5,1)*IF($C120="Ø-inches",VLOOKUP(0.5,'Thickness Tab'!$1:$1048576,17,0),1)</f>
        <v>0</v>
      </c>
      <c r="K120" s="739">
        <v>40</v>
      </c>
      <c r="L120" s="37">
        <f t="shared" ref="L120:L137" si="7">SUMPRODUCT(D120:J120,$D$119:$J$119)*K120</f>
        <v>0</v>
      </c>
    </row>
    <row r="121" spans="1:12" x14ac:dyDescent="0.3">
      <c r="A121" s="31" t="s">
        <v>1243</v>
      </c>
      <c r="B121" s="51" t="s">
        <v>1150</v>
      </c>
      <c r="C121" s="1177" t="s">
        <v>1222</v>
      </c>
      <c r="D121" s="58">
        <f>(SUMPRODUCT('Piping Material List'!$AE$3:$AE$96,'Piping Material List'!$BA$3:$BA$96,'Piping Material List'!$DM$3:$DM$96,'Piping Material List'!EH$3:EH$96)+SUMPRODUCT('Piping Material List'!$AF$3:$AF$96,'Piping Material List'!$CC$3:$CC$96,'Piping Material List'!$DM$3:$DM$96,'Piping Material List'!EH$3:EH$96))*IF($C121="d-inches",0.75,1)*IF($C121="Ø-inches",VLOOKUP(0.75,'Thickness Tab'!$1:$1048576,17,0),1)</f>
        <v>0</v>
      </c>
      <c r="E121" s="58">
        <f>(SUMPRODUCT('Piping Material List'!$AE$3:$AE$96,'Piping Material List'!$BA$3:$BA$96,'Piping Material List'!$DM$3:$DM$96,'Piping Material List'!EI$3:EI$96)+SUMPRODUCT('Piping Material List'!$AF$3:$AF$96,'Piping Material List'!$CC$3:$CC$96,'Piping Material List'!$DM$3:$DM$96,'Piping Material List'!EI$3:EI$96))*IF($C121="d-inches",0.75,1)*IF($C121="Ø-inches",VLOOKUP(0.75,'Thickness Tab'!$1:$1048576,17,0),1)</f>
        <v>0</v>
      </c>
      <c r="F121" s="58">
        <f>(SUMPRODUCT('Piping Material List'!$AE$3:$AE$96,'Piping Material List'!$BA$3:$BA$96,'Piping Material List'!$DM$3:$DM$96,'Piping Material List'!EJ$3:EJ$96)+SUMPRODUCT('Piping Material List'!$AF$3:$AF$96,'Piping Material List'!$CC$3:$CC$96,'Piping Material List'!$DM$3:$DM$96,'Piping Material List'!EJ$3:EJ$96))*IF($C121="d-inches",0.75,1)*IF($C121="Ø-inches",VLOOKUP(0.75,'Thickness Tab'!$1:$1048576,17,0),1)</f>
        <v>0</v>
      </c>
      <c r="G121" s="58">
        <f>(SUMPRODUCT('Piping Material List'!$AE$3:$AE$96,'Piping Material List'!$BA$3:$BA$96,'Piping Material List'!$DM$3:$DM$96,'Piping Material List'!EK$3:EK$96)+SUMPRODUCT('Piping Material List'!$AF$3:$AF$96,'Piping Material List'!$CC$3:$CC$96,'Piping Material List'!$DM$3:$DM$96,'Piping Material List'!EK$3:EK$96))*IF($C121="d-inches",0.75,1)*IF($C121="Ø-inches",VLOOKUP(0.75,'Thickness Tab'!$1:$1048576,17,0),1)</f>
        <v>0</v>
      </c>
      <c r="H121" s="58">
        <f>(SUMPRODUCT('Piping Material List'!$AE$3:$AE$96,'Piping Material List'!$BA$3:$BA$96,'Piping Material List'!$DM$3:$DM$96,'Piping Material List'!EL$3:EL$96)+SUMPRODUCT('Piping Material List'!$AF$3:$AF$96,'Piping Material List'!$CC$3:$CC$96,'Piping Material List'!$DM$3:$DM$96,'Piping Material List'!EL$3:EL$96))*IF($C121="d-inches",0.75,1)*IF($C121="Ø-inches",VLOOKUP(0.75,'Thickness Tab'!$1:$1048576,17,0),1)</f>
        <v>0</v>
      </c>
      <c r="I121" s="58">
        <f>(SUMPRODUCT('Piping Material List'!$AE$3:$AE$96,'Piping Material List'!$BA$3:$BA$96,'Piping Material List'!$DM$3:$DM$96,'Piping Material List'!EM$3:EM$96)+SUMPRODUCT('Piping Material List'!$AF$3:$AF$96,'Piping Material List'!$CC$3:$CC$96,'Piping Material List'!$DM$3:$DM$96,'Piping Material List'!EM$3:EM$96))*IF($C121="d-inches",0.75,1)*IF($C121="Ø-inches",VLOOKUP(0.75,'Thickness Tab'!$1:$1048576,17,0),1)</f>
        <v>0</v>
      </c>
      <c r="J121" s="58">
        <f>(SUMPRODUCT('Piping Material List'!$AE$3:$AE$96,'Piping Material List'!$BA$3:$BA$96,'Piping Material List'!$DM$3:$DM$96,'Piping Material List'!EN$3:EN$96)+SUMPRODUCT('Piping Material List'!$AF$3:$AF$96,'Piping Material List'!$CC$3:$CC$96,'Piping Material List'!$DM$3:$DM$96,'Piping Material List'!EN$3:EN$96))*IF($C121="d-inches",0.75,1)*IF($C121="Ø-inches",VLOOKUP(0.75,'Thickness Tab'!$1:$1048576,17,0),1)</f>
        <v>0</v>
      </c>
      <c r="K121" s="739">
        <v>40</v>
      </c>
      <c r="L121" s="37">
        <f t="shared" si="7"/>
        <v>0</v>
      </c>
    </row>
    <row r="122" spans="1:12" x14ac:dyDescent="0.3">
      <c r="A122" s="31" t="s">
        <v>1244</v>
      </c>
      <c r="B122" s="51" t="s">
        <v>1152</v>
      </c>
      <c r="C122" s="1177" t="s">
        <v>1222</v>
      </c>
      <c r="D122" s="58">
        <f>(SUMPRODUCT('Piping Material List'!$AE$3:$AE$96,'Piping Material List'!$BB$3:$BB$96,'Piping Material List'!$DM$3:$DM$96,'Piping Material List'!EH$3:EH$96)+SUMPRODUCT('Piping Material List'!$AF$3:$AF$96,'Piping Material List'!$CD$3:$CD$96,'Piping Material List'!$DM$3:$DM$96,'Piping Material List'!EH$3:EH$96))*IF($C122="d-inches",1,1)*IF($C122="Ø-inches",VLOOKUP(1,'Thickness Tab'!$1:$1048576,17,0),1)</f>
        <v>0</v>
      </c>
      <c r="E122" s="58">
        <f>(SUMPRODUCT('Piping Material List'!$AE$3:$AE$96,'Piping Material List'!$BB$3:$BB$96,'Piping Material List'!$DM$3:$DM$96,'Piping Material List'!EI$3:EI$96)+SUMPRODUCT('Piping Material List'!$AF$3:$AF$96,'Piping Material List'!$CD$3:$CD$96,'Piping Material List'!$DM$3:$DM$96,'Piping Material List'!EI$3:EI$96))*IF($C122="d-inches",1,1)*IF($C122="Ø-inches",VLOOKUP(1,'Thickness Tab'!$1:$1048576,17,0),1)</f>
        <v>0</v>
      </c>
      <c r="F122" s="58">
        <f>(SUMPRODUCT('Piping Material List'!$AE$3:$AE$96,'Piping Material List'!$BB$3:$BB$96,'Piping Material List'!$DM$3:$DM$96,'Piping Material List'!EJ$3:EJ$96)+SUMPRODUCT('Piping Material List'!$AF$3:$AF$96,'Piping Material List'!$CD$3:$CD$96,'Piping Material List'!$DM$3:$DM$96,'Piping Material List'!EJ$3:EJ$96))*IF($C122="d-inches",1,1)*IF($C122="Ø-inches",VLOOKUP(1,'Thickness Tab'!$1:$1048576,17,0),1)</f>
        <v>0</v>
      </c>
      <c r="G122" s="58">
        <f>(SUMPRODUCT('Piping Material List'!$AE$3:$AE$96,'Piping Material List'!$BB$3:$BB$96,'Piping Material List'!$DM$3:$DM$96,'Piping Material List'!EK$3:EK$96)+SUMPRODUCT('Piping Material List'!$AF$3:$AF$96,'Piping Material List'!$CD$3:$CD$96,'Piping Material List'!$DM$3:$DM$96,'Piping Material List'!EK$3:EK$96))*IF($C122="d-inches",1,1)*IF($C122="Ø-inches",VLOOKUP(1,'Thickness Tab'!$1:$1048576,17,0),1)</f>
        <v>0</v>
      </c>
      <c r="H122" s="58">
        <f>(SUMPRODUCT('Piping Material List'!$AE$3:$AE$96,'Piping Material List'!$BB$3:$BB$96,'Piping Material List'!$DM$3:$DM$96,'Piping Material List'!EL$3:EL$96)+SUMPRODUCT('Piping Material List'!$AF$3:$AF$96,'Piping Material List'!$CD$3:$CD$96,'Piping Material List'!$DM$3:$DM$96,'Piping Material List'!EL$3:EL$96))*IF($C122="d-inches",1,1)*IF($C122="Ø-inches",VLOOKUP(1,'Thickness Tab'!$1:$1048576,17,0),1)</f>
        <v>0</v>
      </c>
      <c r="I122" s="58">
        <f>(SUMPRODUCT('Piping Material List'!$AE$3:$AE$96,'Piping Material List'!$BB$3:$BB$96,'Piping Material List'!$DM$3:$DM$96,'Piping Material List'!EM$3:EM$96)+SUMPRODUCT('Piping Material List'!$AF$3:$AF$96,'Piping Material List'!$CD$3:$CD$96,'Piping Material List'!$DM$3:$DM$96,'Piping Material List'!EM$3:EM$96))*IF($C122="d-inches",1,1)*IF($C122="Ø-inches",VLOOKUP(1,'Thickness Tab'!$1:$1048576,17,0),1)</f>
        <v>0</v>
      </c>
      <c r="J122" s="58">
        <f>(SUMPRODUCT('Piping Material List'!$AE$3:$AE$96,'Piping Material List'!$BB$3:$BB$96,'Piping Material List'!$DM$3:$DM$96,'Piping Material List'!EN$3:EN$96)+SUMPRODUCT('Piping Material List'!$AF$3:$AF$96,'Piping Material List'!$CD$3:$CD$96,'Piping Material List'!$DM$3:$DM$96,'Piping Material List'!EN$3:EN$96))*IF($C122="d-inches",1,1)*IF($C122="Ø-inches",VLOOKUP(1,'Thickness Tab'!$1:$1048576,17,0),1)</f>
        <v>0</v>
      </c>
      <c r="K122" s="739">
        <v>40</v>
      </c>
      <c r="L122" s="37">
        <f t="shared" si="7"/>
        <v>0</v>
      </c>
    </row>
    <row r="123" spans="1:12" x14ac:dyDescent="0.3">
      <c r="A123" s="31" t="s">
        <v>1245</v>
      </c>
      <c r="B123" s="51" t="s">
        <v>1154</v>
      </c>
      <c r="C123" s="1177" t="s">
        <v>1222</v>
      </c>
      <c r="D123" s="58">
        <f>(SUMPRODUCT('Piping Material List'!$AE$3:$AE$96,'Piping Material List'!$BC$3:$BC$96,'Piping Material List'!$DM$3:$DM$96,'Piping Material List'!EH$3:EH$96)+SUMPRODUCT('Piping Material List'!$AF$3:$AF$96,'Piping Material List'!$CE$3:$CE$96,'Piping Material List'!$DM$3:$DM$96,'Piping Material List'!EH$3:EH$96))*IF($C123="d-inches",1.5,1)*IF($C123="Ø-inches",VLOOKUP(1.5,'Thickness Tab'!$1:$1048576,17,0),1)</f>
        <v>0</v>
      </c>
      <c r="E123" s="58">
        <f>(SUMPRODUCT('Piping Material List'!$AE$3:$AE$96,'Piping Material List'!$BC$3:$BC$96,'Piping Material List'!$DM$3:$DM$96,'Piping Material List'!EI$3:EI$96)+SUMPRODUCT('Piping Material List'!$AF$3:$AF$96,'Piping Material List'!$CE$3:$CE$96,'Piping Material List'!$DM$3:$DM$96,'Piping Material List'!EI$3:EI$96))*IF($C123="d-inches",1.5,1)*IF($C123="Ø-inches",VLOOKUP(1.5,'Thickness Tab'!$1:$1048576,17,0),1)</f>
        <v>0</v>
      </c>
      <c r="F123" s="58">
        <f>(SUMPRODUCT('Piping Material List'!$AE$3:$AE$96,'Piping Material List'!$BC$3:$BC$96,'Piping Material List'!$DM$3:$DM$96,'Piping Material List'!EJ$3:EJ$96)+SUMPRODUCT('Piping Material List'!$AF$3:$AF$96,'Piping Material List'!$CE$3:$CE$96,'Piping Material List'!$DM$3:$DM$96,'Piping Material List'!EJ$3:EJ$96))*IF($C123="d-inches",1.5,1)*IF($C123="Ø-inches",VLOOKUP(1.5,'Thickness Tab'!$1:$1048576,17,0),1)</f>
        <v>0</v>
      </c>
      <c r="G123" s="58">
        <f>(SUMPRODUCT('Piping Material List'!$AE$3:$AE$96,'Piping Material List'!$BC$3:$BC$96,'Piping Material List'!$DM$3:$DM$96,'Piping Material List'!EK$3:EK$96)+SUMPRODUCT('Piping Material List'!$AF$3:$AF$96,'Piping Material List'!$CE$3:$CE$96,'Piping Material List'!$DM$3:$DM$96,'Piping Material List'!EK$3:EK$96))*IF($C123="d-inches",1.5,1)*IF($C123="Ø-inches",VLOOKUP(1.5,'Thickness Tab'!$1:$1048576,17,0),1)</f>
        <v>0</v>
      </c>
      <c r="H123" s="58">
        <f>(SUMPRODUCT('Piping Material List'!$AE$3:$AE$96,'Piping Material List'!$BC$3:$BC$96,'Piping Material List'!$DM$3:$DM$96,'Piping Material List'!EL$3:EL$96)+SUMPRODUCT('Piping Material List'!$AF$3:$AF$96,'Piping Material List'!$CE$3:$CE$96,'Piping Material List'!$DM$3:$DM$96,'Piping Material List'!EL$3:EL$96))*IF($C123="d-inches",1.5,1)*IF($C123="Ø-inches",VLOOKUP(1.5,'Thickness Tab'!$1:$1048576,17,0),1)</f>
        <v>0</v>
      </c>
      <c r="I123" s="58">
        <f>(SUMPRODUCT('Piping Material List'!$AE$3:$AE$96,'Piping Material List'!$BC$3:$BC$96,'Piping Material List'!$DM$3:$DM$96,'Piping Material List'!EM$3:EM$96)+SUMPRODUCT('Piping Material List'!$AF$3:$AF$96,'Piping Material List'!$CE$3:$CE$96,'Piping Material List'!$DM$3:$DM$96,'Piping Material List'!EM$3:EM$96))*IF($C123="d-inches",1.5,1)*IF($C123="Ø-inches",VLOOKUP(1.5,'Thickness Tab'!$1:$1048576,17,0),1)</f>
        <v>0</v>
      </c>
      <c r="J123" s="58">
        <f>(SUMPRODUCT('Piping Material List'!$AE$3:$AE$96,'Piping Material List'!$BC$3:$BC$96,'Piping Material List'!$DM$3:$DM$96,'Piping Material List'!EN$3:EN$96)+SUMPRODUCT('Piping Material List'!$AF$3:$AF$96,'Piping Material List'!$CE$3:$CE$96,'Piping Material List'!$DM$3:$DM$96,'Piping Material List'!EN$3:EN$96))*IF($C123="d-inches",1.5,1)*IF($C123="Ø-inches",VLOOKUP(1.5,'Thickness Tab'!$1:$1048576,17,0),1)</f>
        <v>0</v>
      </c>
      <c r="K123" s="739">
        <v>40</v>
      </c>
      <c r="L123" s="37">
        <f t="shared" si="7"/>
        <v>0</v>
      </c>
    </row>
    <row r="124" spans="1:12" x14ac:dyDescent="0.3">
      <c r="A124" s="31" t="s">
        <v>1246</v>
      </c>
      <c r="B124" s="51" t="s">
        <v>1156</v>
      </c>
      <c r="C124" s="1177" t="s">
        <v>1222</v>
      </c>
      <c r="D124" s="58">
        <f>(SUMPRODUCT('Piping Material List'!$AE$3:$AE$96,'Piping Material List'!$BD$3:$BD$96,'Piping Material List'!$DM$3:$DM$96,'Piping Material List'!EH$3:EH$96)+SUMPRODUCT('Piping Material List'!$AF$3:$AF$96,'Piping Material List'!$CF$3:$CF$96,'Piping Material List'!$DM$3:$DM$96,'Piping Material List'!EH$3:EH$96))*IF($C124="d-inches",2,1)*IF($C124="Ø-inches",VLOOKUP(2,'Thickness Tab'!$1:$1048576,17,0),1)</f>
        <v>0</v>
      </c>
      <c r="E124" s="58">
        <f>(SUMPRODUCT('Piping Material List'!$AE$3:$AE$96,'Piping Material List'!$BD$3:$BD$96,'Piping Material List'!$DM$3:$DM$96,'Piping Material List'!EI$3:EI$96)+SUMPRODUCT('Piping Material List'!$AF$3:$AF$96,'Piping Material List'!$CF$3:$CF$96,'Piping Material List'!$DM$3:$DM$96,'Piping Material List'!EI$3:EI$96))*IF($C124="d-inches",2,1)*IF($C124="Ø-inches",VLOOKUP(2,'Thickness Tab'!$1:$1048576,17,0),1)</f>
        <v>0</v>
      </c>
      <c r="F124" s="58">
        <f>(SUMPRODUCT('Piping Material List'!$AE$3:$AE$96,'Piping Material List'!$BD$3:$BD$96,'Piping Material List'!$DM$3:$DM$96,'Piping Material List'!EJ$3:EJ$96)+SUMPRODUCT('Piping Material List'!$AF$3:$AF$96,'Piping Material List'!$CF$3:$CF$96,'Piping Material List'!$DM$3:$DM$96,'Piping Material List'!EJ$3:EJ$96))*IF($C124="d-inches",2,1)*IF($C124="Ø-inches",VLOOKUP(2,'Thickness Tab'!$1:$1048576,17,0),1)</f>
        <v>0</v>
      </c>
      <c r="G124" s="58">
        <f>(SUMPRODUCT('Piping Material List'!$AE$3:$AE$96,'Piping Material List'!$BD$3:$BD$96,'Piping Material List'!$DM$3:$DM$96,'Piping Material List'!EK$3:EK$96)+SUMPRODUCT('Piping Material List'!$AF$3:$AF$96,'Piping Material List'!$CF$3:$CF$96,'Piping Material List'!$DM$3:$DM$96,'Piping Material List'!EK$3:EK$96))*IF($C124="d-inches",2,1)*IF($C124="Ø-inches",VLOOKUP(2,'Thickness Tab'!$1:$1048576,17,0),1)</f>
        <v>0</v>
      </c>
      <c r="H124" s="58">
        <f>(SUMPRODUCT('Piping Material List'!$AE$3:$AE$96,'Piping Material List'!$BD$3:$BD$96,'Piping Material List'!$DM$3:$DM$96,'Piping Material List'!EL$3:EL$96)+SUMPRODUCT('Piping Material List'!$AF$3:$AF$96,'Piping Material List'!$CF$3:$CF$96,'Piping Material List'!$DM$3:$DM$96,'Piping Material List'!EL$3:EL$96))*IF($C124="d-inches",2,1)*IF($C124="Ø-inches",VLOOKUP(2,'Thickness Tab'!$1:$1048576,17,0),1)</f>
        <v>0</v>
      </c>
      <c r="I124" s="58">
        <f>(SUMPRODUCT('Piping Material List'!$AE$3:$AE$96,'Piping Material List'!$BD$3:$BD$96,'Piping Material List'!$DM$3:$DM$96,'Piping Material List'!EM$3:EM$96)+SUMPRODUCT('Piping Material List'!$AF$3:$AF$96,'Piping Material List'!$CF$3:$CF$96,'Piping Material List'!$DM$3:$DM$96,'Piping Material List'!EM$3:EM$96))*IF($C124="d-inches",2,1)*IF($C124="Ø-inches",VLOOKUP(2,'Thickness Tab'!$1:$1048576,17,0),1)</f>
        <v>0</v>
      </c>
      <c r="J124" s="58">
        <f>(SUMPRODUCT('Piping Material List'!$AE$3:$AE$96,'Piping Material List'!$BD$3:$BD$96,'Piping Material List'!$DM$3:$DM$96,'Piping Material List'!EN$3:EN$96)+SUMPRODUCT('Piping Material List'!$AF$3:$AF$96,'Piping Material List'!$CF$3:$CF$96,'Piping Material List'!$DM$3:$DM$96,'Piping Material List'!EN$3:EN$96))*IF($C124="d-inches",2,1)*IF($C124="Ø-inches",VLOOKUP(2,'Thickness Tab'!$1:$1048576,17,0),1)</f>
        <v>0</v>
      </c>
      <c r="K124" s="739">
        <v>40</v>
      </c>
      <c r="L124" s="37">
        <f t="shared" si="7"/>
        <v>0</v>
      </c>
    </row>
    <row r="125" spans="1:12" x14ac:dyDescent="0.3">
      <c r="A125" s="31" t="s">
        <v>1247</v>
      </c>
      <c r="B125" s="51" t="s">
        <v>1158</v>
      </c>
      <c r="C125" s="1177" t="s">
        <v>1222</v>
      </c>
      <c r="D125" s="58">
        <f>(SUMPRODUCT('Piping Material List'!$AE$3:$AE$96,'Piping Material List'!$BE$3:$BE$96,'Piping Material List'!$DM$3:$DM$96,'Piping Material List'!EH$3:EH$96)+SUMPRODUCT('Piping Material List'!$AF$3:$AF$96,'Piping Material List'!$CG$3:$CG$96,'Piping Material List'!$DM$3:$DM$96,'Piping Material List'!EH$3:EH$96))*IF($C125="d-inches",2.5,1)*IF($C125="Ø-inches",VLOOKUP(2.5,'Thickness Tab'!$1:$1048576,17,0),1)</f>
        <v>0</v>
      </c>
      <c r="E125" s="58">
        <f>(SUMPRODUCT('Piping Material List'!$AE$3:$AE$96,'Piping Material List'!$BE$3:$BE$96,'Piping Material List'!$DM$3:$DM$96,'Piping Material List'!EI$3:EI$96)+SUMPRODUCT('Piping Material List'!$AF$3:$AF$96,'Piping Material List'!$CG$3:$CG$96,'Piping Material List'!$DM$3:$DM$96,'Piping Material List'!EI$3:EI$96))*IF($C125="d-inches",2.5,1)*IF($C125="Ø-inches",VLOOKUP(2.5,'Thickness Tab'!$1:$1048576,17,0),1)</f>
        <v>0</v>
      </c>
      <c r="F125" s="58">
        <f>(SUMPRODUCT('Piping Material List'!$AE$3:$AE$96,'Piping Material List'!$BE$3:$BE$96,'Piping Material List'!$DM$3:$DM$96,'Piping Material List'!EJ$3:EJ$96)+SUMPRODUCT('Piping Material List'!$AF$3:$AF$96,'Piping Material List'!$CG$3:$CG$96,'Piping Material List'!$DM$3:$DM$96,'Piping Material List'!EJ$3:EJ$96))*IF($C125="d-inches",2.5,1)*IF($C125="Ø-inches",VLOOKUP(2.5,'Thickness Tab'!$1:$1048576,17,0),1)</f>
        <v>0</v>
      </c>
      <c r="G125" s="58">
        <f>(SUMPRODUCT('Piping Material List'!$AE$3:$AE$96,'Piping Material List'!$BE$3:$BE$96,'Piping Material List'!$DM$3:$DM$96,'Piping Material List'!EK$3:EK$96)+SUMPRODUCT('Piping Material List'!$AF$3:$AF$96,'Piping Material List'!$CG$3:$CG$96,'Piping Material List'!$DM$3:$DM$96,'Piping Material List'!EK$3:EK$96))*IF($C125="d-inches",2.5,1)*IF($C125="Ø-inches",VLOOKUP(2.5,'Thickness Tab'!$1:$1048576,17,0),1)</f>
        <v>0</v>
      </c>
      <c r="H125" s="58">
        <f>(SUMPRODUCT('Piping Material List'!$AE$3:$AE$96,'Piping Material List'!$BE$3:$BE$96,'Piping Material List'!$DM$3:$DM$96,'Piping Material List'!EL$3:EL$96)+SUMPRODUCT('Piping Material List'!$AF$3:$AF$96,'Piping Material List'!$CG$3:$CG$96,'Piping Material List'!$DM$3:$DM$96,'Piping Material List'!EL$3:EL$96))*IF($C125="d-inches",2.5,1)*IF($C125="Ø-inches",VLOOKUP(2.5,'Thickness Tab'!$1:$1048576,17,0),1)</f>
        <v>0</v>
      </c>
      <c r="I125" s="58">
        <f>(SUMPRODUCT('Piping Material List'!$AE$3:$AE$96,'Piping Material List'!$BE$3:$BE$96,'Piping Material List'!$DM$3:$DM$96,'Piping Material List'!EM$3:EM$96)+SUMPRODUCT('Piping Material List'!$AF$3:$AF$96,'Piping Material List'!$CG$3:$CG$96,'Piping Material List'!$DM$3:$DM$96,'Piping Material List'!EM$3:EM$96))*IF($C125="d-inches",2.5,1)*IF($C125="Ø-inches",VLOOKUP(2.5,'Thickness Tab'!$1:$1048576,17,0),1)</f>
        <v>0</v>
      </c>
      <c r="J125" s="58">
        <f>(SUMPRODUCT('Piping Material List'!$AE$3:$AE$96,'Piping Material List'!$BE$3:$BE$96,'Piping Material List'!$DM$3:$DM$96,'Piping Material List'!EN$3:EN$96)+SUMPRODUCT('Piping Material List'!$AF$3:$AF$96,'Piping Material List'!$CG$3:$CG$96,'Piping Material List'!$DM$3:$DM$96,'Piping Material List'!EN$3:EN$96))*IF($C125="d-inches",2.5,1)*IF($C125="Ø-inches",VLOOKUP(2.5,'Thickness Tab'!$1:$1048576,17,0),1)</f>
        <v>0</v>
      </c>
      <c r="K125" s="739">
        <v>40</v>
      </c>
      <c r="L125" s="37">
        <f t="shared" si="7"/>
        <v>0</v>
      </c>
    </row>
    <row r="126" spans="1:12" x14ac:dyDescent="0.3">
      <c r="A126" s="31" t="s">
        <v>1248</v>
      </c>
      <c r="B126" s="51" t="s">
        <v>1160</v>
      </c>
      <c r="C126" s="1177" t="s">
        <v>1222</v>
      </c>
      <c r="D126" s="58">
        <f>(SUMPRODUCT('Piping Material List'!$AE$3:$AE$96,'Piping Material List'!$BF$3:$BF$96,'Piping Material List'!$DM$3:$DM$96,'Piping Material List'!EH$3:EH$96)+SUMPRODUCT('Piping Material List'!$AF$3:$AF$96,'Piping Material List'!$CH$3:$CH$96,'Piping Material List'!$DM$3:$DM$96,'Piping Material List'!EH$3:EH$96))*IF($C126="d-inches",3,1)*IF($C126="Ø-inches",VLOOKUP(3,'Thickness Tab'!$1:$1048576,17,0),1)</f>
        <v>0</v>
      </c>
      <c r="E126" s="58">
        <f>(SUMPRODUCT('Piping Material List'!$AE$3:$AE$96,'Piping Material List'!$BF$3:$BF$96,'Piping Material List'!$DM$3:$DM$96,'Piping Material List'!EI$3:EI$96)+SUMPRODUCT('Piping Material List'!$AF$3:$AF$96,'Piping Material List'!$CH$3:$CH$96,'Piping Material List'!$DM$3:$DM$96,'Piping Material List'!EI$3:EI$96))*IF($C126="d-inches",3,1)*IF($C126="Ø-inches",VLOOKUP(3,'Thickness Tab'!$1:$1048576,17,0),1)</f>
        <v>0</v>
      </c>
      <c r="F126" s="58">
        <f>(SUMPRODUCT('Piping Material List'!$AE$3:$AE$96,'Piping Material List'!$BF$3:$BF$96,'Piping Material List'!$DM$3:$DM$96,'Piping Material List'!EJ$3:EJ$96)+SUMPRODUCT('Piping Material List'!$AF$3:$AF$96,'Piping Material List'!$CH$3:$CH$96,'Piping Material List'!$DM$3:$DM$96,'Piping Material List'!EJ$3:EJ$96))*IF($C126="d-inches",3,1)*IF($C126="Ø-inches",VLOOKUP(3,'Thickness Tab'!$1:$1048576,17,0),1)</f>
        <v>0</v>
      </c>
      <c r="G126" s="58">
        <f>(SUMPRODUCT('Piping Material List'!$AE$3:$AE$96,'Piping Material List'!$BF$3:$BF$96,'Piping Material List'!$DM$3:$DM$96,'Piping Material List'!EK$3:EK$96)+SUMPRODUCT('Piping Material List'!$AF$3:$AF$96,'Piping Material List'!$CH$3:$CH$96,'Piping Material List'!$DM$3:$DM$96,'Piping Material List'!EK$3:EK$96))*IF($C126="d-inches",3,1)*IF($C126="Ø-inches",VLOOKUP(3,'Thickness Tab'!$1:$1048576,17,0),1)</f>
        <v>0</v>
      </c>
      <c r="H126" s="58">
        <f>(SUMPRODUCT('Piping Material List'!$AE$3:$AE$96,'Piping Material List'!$BF$3:$BF$96,'Piping Material List'!$DM$3:$DM$96,'Piping Material List'!EL$3:EL$96)+SUMPRODUCT('Piping Material List'!$AF$3:$AF$96,'Piping Material List'!$CH$3:$CH$96,'Piping Material List'!$DM$3:$DM$96,'Piping Material List'!EL$3:EL$96))*IF($C126="d-inches",3,1)*IF($C126="Ø-inches",VLOOKUP(3,'Thickness Tab'!$1:$1048576,17,0),1)</f>
        <v>0</v>
      </c>
      <c r="I126" s="58">
        <f>(SUMPRODUCT('Piping Material List'!$AE$3:$AE$96,'Piping Material List'!$BF$3:$BF$96,'Piping Material List'!$DM$3:$DM$96,'Piping Material List'!EM$3:EM$96)+SUMPRODUCT('Piping Material List'!$AF$3:$AF$96,'Piping Material List'!$CH$3:$CH$96,'Piping Material List'!$DM$3:$DM$96,'Piping Material List'!EM$3:EM$96))*IF($C126="d-inches",3,1)*IF($C126="Ø-inches",VLOOKUP(3,'Thickness Tab'!$1:$1048576,17,0),1)</f>
        <v>0</v>
      </c>
      <c r="J126" s="58">
        <f>(SUMPRODUCT('Piping Material List'!$AE$3:$AE$96,'Piping Material List'!$BF$3:$BF$96,'Piping Material List'!$DM$3:$DM$96,'Piping Material List'!EN$3:EN$96)+SUMPRODUCT('Piping Material List'!$AF$3:$AF$96,'Piping Material List'!$CH$3:$CH$96,'Piping Material List'!$DM$3:$DM$96,'Piping Material List'!EN$3:EN$96))*IF($C126="d-inches",3,1)*IF($C126="Ø-inches",VLOOKUP(3,'Thickness Tab'!$1:$1048576,17,0),1)</f>
        <v>0</v>
      </c>
      <c r="K126" s="739">
        <v>40</v>
      </c>
      <c r="L126" s="37">
        <f t="shared" si="7"/>
        <v>0</v>
      </c>
    </row>
    <row r="127" spans="1:12" x14ac:dyDescent="0.3">
      <c r="A127" s="31" t="s">
        <v>1249</v>
      </c>
      <c r="B127" s="51" t="s">
        <v>1162</v>
      </c>
      <c r="C127" s="1177" t="s">
        <v>1222</v>
      </c>
      <c r="D127" s="58">
        <f>(SUMPRODUCT('Piping Material List'!$AE$3:$AE$96,'Piping Material List'!$BG$3:$BG$96,'Piping Material List'!$DM$3:$DM$96,'Piping Material List'!EH$3:EH$96)+SUMPRODUCT('Piping Material List'!$AF$3:$AF$96,'Piping Material List'!$CI$3:$CI$96,'Piping Material List'!$DM$3:$DM$96,'Piping Material List'!EH$3:EH$96))*IF($C127="d-inches",4,1)*IF($C127="Ø-inches",VLOOKUP(4,'Thickness Tab'!$1:$1048576,17,0),1)</f>
        <v>0</v>
      </c>
      <c r="E127" s="58">
        <f>(SUMPRODUCT('Piping Material List'!$AE$3:$AE$96,'Piping Material List'!$BG$3:$BG$96,'Piping Material List'!$DM$3:$DM$96,'Piping Material List'!EI$3:EI$96)+SUMPRODUCT('Piping Material List'!$AF$3:$AF$96,'Piping Material List'!$CI$3:$CI$96,'Piping Material List'!$DM$3:$DM$96,'Piping Material List'!EI$3:EI$96))*IF($C127="d-inches",4,1)*IF($C127="Ø-inches",VLOOKUP(4,'Thickness Tab'!$1:$1048576,17,0),1)</f>
        <v>0</v>
      </c>
      <c r="F127" s="58">
        <f>(SUMPRODUCT('Piping Material List'!$AE$3:$AE$96,'Piping Material List'!$BG$3:$BG$96,'Piping Material List'!$DM$3:$DM$96,'Piping Material List'!EJ$3:EJ$96)+SUMPRODUCT('Piping Material List'!$AF$3:$AF$96,'Piping Material List'!$CI$3:$CI$96,'Piping Material List'!$DM$3:$DM$96,'Piping Material List'!EJ$3:EJ$96))*IF($C127="d-inches",4,1)*IF($C127="Ø-inches",VLOOKUP(4,'Thickness Tab'!$1:$1048576,17,0),1)</f>
        <v>0</v>
      </c>
      <c r="G127" s="58">
        <f>(SUMPRODUCT('Piping Material List'!$AE$3:$AE$96,'Piping Material List'!$BG$3:$BG$96,'Piping Material List'!$DM$3:$DM$96,'Piping Material List'!EK$3:EK$96)+SUMPRODUCT('Piping Material List'!$AF$3:$AF$96,'Piping Material List'!$CI$3:$CI$96,'Piping Material List'!$DM$3:$DM$96,'Piping Material List'!EK$3:EK$96))*IF($C127="d-inches",4,1)*IF($C127="Ø-inches",VLOOKUP(4,'Thickness Tab'!$1:$1048576,17,0),1)</f>
        <v>0</v>
      </c>
      <c r="H127" s="58">
        <f>(SUMPRODUCT('Piping Material List'!$AE$3:$AE$96,'Piping Material List'!$BG$3:$BG$96,'Piping Material List'!$DM$3:$DM$96,'Piping Material List'!EL$3:EL$96)+SUMPRODUCT('Piping Material List'!$AF$3:$AF$96,'Piping Material List'!$CI$3:$CI$96,'Piping Material List'!$DM$3:$DM$96,'Piping Material List'!EL$3:EL$96))*IF($C127="d-inches",4,1)*IF($C127="Ø-inches",VLOOKUP(4,'Thickness Tab'!$1:$1048576,17,0),1)</f>
        <v>0</v>
      </c>
      <c r="I127" s="58">
        <f>(SUMPRODUCT('Piping Material List'!$AE$3:$AE$96,'Piping Material List'!$BG$3:$BG$96,'Piping Material List'!$DM$3:$DM$96,'Piping Material List'!EM$3:EM$96)+SUMPRODUCT('Piping Material List'!$AF$3:$AF$96,'Piping Material List'!$CI$3:$CI$96,'Piping Material List'!$DM$3:$DM$96,'Piping Material List'!EM$3:EM$96))*IF($C127="d-inches",4,1)*IF($C127="Ø-inches",VLOOKUP(4,'Thickness Tab'!$1:$1048576,17,0),1)</f>
        <v>0</v>
      </c>
      <c r="J127" s="58">
        <f>(SUMPRODUCT('Piping Material List'!$AE$3:$AE$96,'Piping Material List'!$BG$3:$BG$96,'Piping Material List'!$DM$3:$DM$96,'Piping Material List'!EN$3:EN$96)+SUMPRODUCT('Piping Material List'!$AF$3:$AF$96,'Piping Material List'!$CI$3:$CI$96,'Piping Material List'!$DM$3:$DM$96,'Piping Material List'!EN$3:EN$96))*IF($C127="d-inches",4,1)*IF($C127="Ø-inches",VLOOKUP(4,'Thickness Tab'!$1:$1048576,17,0),1)</f>
        <v>0</v>
      </c>
      <c r="K127" s="739">
        <v>40</v>
      </c>
      <c r="L127" s="37">
        <f t="shared" si="7"/>
        <v>0</v>
      </c>
    </row>
    <row r="128" spans="1:12" x14ac:dyDescent="0.3">
      <c r="A128" s="31" t="s">
        <v>1250</v>
      </c>
      <c r="B128" s="51" t="s">
        <v>1164</v>
      </c>
      <c r="C128" s="1177" t="s">
        <v>1222</v>
      </c>
      <c r="D128" s="58">
        <f>(SUMPRODUCT('Piping Material List'!$AE$3:$AE$96,'Piping Material List'!$BH$3:$BH$96,'Piping Material List'!$DM$3:$DM$96,'Piping Material List'!EH$3:EH$96)+SUMPRODUCT('Piping Material List'!$AF$3:$AF$96,'Piping Material List'!$CJ$3:$CJ$96,'Piping Material List'!$DM$3:$DM$96,'Piping Material List'!EH$3:EH$96))*IF($C128="d-inches",6,1)*IF($C128="Ø-inches",VLOOKUP(6,'Thickness Tab'!$1:$1048576,17,0),1)</f>
        <v>0</v>
      </c>
      <c r="E128" s="58">
        <f>(SUMPRODUCT('Piping Material List'!$AE$3:$AE$96,'Piping Material List'!$BH$3:$BH$96,'Piping Material List'!$DM$3:$DM$96,'Piping Material List'!EI$3:EI$96)+SUMPRODUCT('Piping Material List'!$AF$3:$AF$96,'Piping Material List'!$CJ$3:$CJ$96,'Piping Material List'!$DM$3:$DM$96,'Piping Material List'!EI$3:EI$96))*IF($C128="d-inches",6,1)*IF($C128="Ø-inches",VLOOKUP(6,'Thickness Tab'!$1:$1048576,17,0),1)</f>
        <v>0</v>
      </c>
      <c r="F128" s="58">
        <f>(SUMPRODUCT('Piping Material List'!$AE$3:$AE$96,'Piping Material List'!$BH$3:$BH$96,'Piping Material List'!$DM$3:$DM$96,'Piping Material List'!EJ$3:EJ$96)+SUMPRODUCT('Piping Material List'!$AF$3:$AF$96,'Piping Material List'!$CJ$3:$CJ$96,'Piping Material List'!$DM$3:$DM$96,'Piping Material List'!EJ$3:EJ$96))*IF($C128="d-inches",6,1)*IF($C128="Ø-inches",VLOOKUP(6,'Thickness Tab'!$1:$1048576,17,0),1)</f>
        <v>0</v>
      </c>
      <c r="G128" s="58">
        <f>(SUMPRODUCT('Piping Material List'!$AE$3:$AE$96,'Piping Material List'!$BH$3:$BH$96,'Piping Material List'!$DM$3:$DM$96,'Piping Material List'!EK$3:EK$96)+SUMPRODUCT('Piping Material List'!$AF$3:$AF$96,'Piping Material List'!$CJ$3:$CJ$96,'Piping Material List'!$DM$3:$DM$96,'Piping Material List'!EK$3:EK$96))*IF($C128="d-inches",6,1)*IF($C128="Ø-inches",VLOOKUP(6,'Thickness Tab'!$1:$1048576,17,0),1)</f>
        <v>0</v>
      </c>
      <c r="H128" s="58">
        <f>(SUMPRODUCT('Piping Material List'!$AE$3:$AE$96,'Piping Material List'!$BH$3:$BH$96,'Piping Material List'!$DM$3:$DM$96,'Piping Material List'!EL$3:EL$96)+SUMPRODUCT('Piping Material List'!$AF$3:$AF$96,'Piping Material List'!$CJ$3:$CJ$96,'Piping Material List'!$DM$3:$DM$96,'Piping Material List'!EL$3:EL$96))*IF($C128="d-inches",6,1)*IF($C128="Ø-inches",VLOOKUP(6,'Thickness Tab'!$1:$1048576,17,0),1)</f>
        <v>0</v>
      </c>
      <c r="I128" s="58">
        <f>(SUMPRODUCT('Piping Material List'!$AE$3:$AE$96,'Piping Material List'!$BH$3:$BH$96,'Piping Material List'!$DM$3:$DM$96,'Piping Material List'!EM$3:EM$96)+SUMPRODUCT('Piping Material List'!$AF$3:$AF$96,'Piping Material List'!$CJ$3:$CJ$96,'Piping Material List'!$DM$3:$DM$96,'Piping Material List'!EM$3:EM$96))*IF($C128="d-inches",6,1)*IF($C128="Ø-inches",VLOOKUP(6,'Thickness Tab'!$1:$1048576,17,0),1)</f>
        <v>0</v>
      </c>
      <c r="J128" s="58">
        <f>(SUMPRODUCT('Piping Material List'!$AE$3:$AE$96,'Piping Material List'!$BH$3:$BH$96,'Piping Material List'!$DM$3:$DM$96,'Piping Material List'!EN$3:EN$96)+SUMPRODUCT('Piping Material List'!$AF$3:$AF$96,'Piping Material List'!$CJ$3:$CJ$96,'Piping Material List'!$DM$3:$DM$96,'Piping Material List'!EN$3:EN$96))*IF($C128="d-inches",6,1)*IF($C128="Ø-inches",VLOOKUP(6,'Thickness Tab'!$1:$1048576,17,0),1)</f>
        <v>0</v>
      </c>
      <c r="K128" s="739">
        <v>40</v>
      </c>
      <c r="L128" s="37">
        <f t="shared" si="7"/>
        <v>0</v>
      </c>
    </row>
    <row r="129" spans="1:12" x14ac:dyDescent="0.3">
      <c r="A129" s="31" t="s">
        <v>1251</v>
      </c>
      <c r="B129" s="51" t="s">
        <v>1166</v>
      </c>
      <c r="C129" s="1177" t="s">
        <v>1222</v>
      </c>
      <c r="D129" s="58">
        <f>(SUMPRODUCT('Piping Material List'!$AE$3:$AE$96,'Piping Material List'!$BI$3:$BI$96,'Piping Material List'!$DM$3:$DM$96,'Piping Material List'!EH$3:EH$96)+SUMPRODUCT('Piping Material List'!$AF$3:$AF$96,'Piping Material List'!$CK$3:$CK$96,'Piping Material List'!$DM$3:$DM$96,'Piping Material List'!EH$3:EH$96))*IF($C129="d-inches",8,1)*IF($C129="Ø-inches",VLOOKUP(8,'Thickness Tab'!$1:$1048576,17,0),1)</f>
        <v>0</v>
      </c>
      <c r="E129" s="58">
        <f>(SUMPRODUCT('Piping Material List'!$AE$3:$AE$96,'Piping Material List'!$BI$3:$BI$96,'Piping Material List'!$DM$3:$DM$96,'Piping Material List'!EI$3:EI$96)+SUMPRODUCT('Piping Material List'!$AF$3:$AF$96,'Piping Material List'!$CK$3:$CK$96,'Piping Material List'!$DM$3:$DM$96,'Piping Material List'!EI$3:EI$96))*IF($C129="d-inches",8,1)*IF($C129="Ø-inches",VLOOKUP(8,'Thickness Tab'!$1:$1048576,17,0),1)</f>
        <v>0</v>
      </c>
      <c r="F129" s="58">
        <f>(SUMPRODUCT('Piping Material List'!$AE$3:$AE$96,'Piping Material List'!$BI$3:$BI$96,'Piping Material List'!$DM$3:$DM$96,'Piping Material List'!EJ$3:EJ$96)+SUMPRODUCT('Piping Material List'!$AF$3:$AF$96,'Piping Material List'!$CK$3:$CK$96,'Piping Material List'!$DM$3:$DM$96,'Piping Material List'!EJ$3:EJ$96))*IF($C129="d-inches",8,1)*IF($C129="Ø-inches",VLOOKUP(8,'Thickness Tab'!$1:$1048576,17,0),1)</f>
        <v>0</v>
      </c>
      <c r="G129" s="58">
        <f>(SUMPRODUCT('Piping Material List'!$AE$3:$AE$96,'Piping Material List'!$BI$3:$BI$96,'Piping Material List'!$DM$3:$DM$96,'Piping Material List'!EK$3:EK$96)+SUMPRODUCT('Piping Material List'!$AF$3:$AF$96,'Piping Material List'!$CK$3:$CK$96,'Piping Material List'!$DM$3:$DM$96,'Piping Material List'!EK$3:EK$96))*IF($C129="d-inches",8,1)*IF($C129="Ø-inches",VLOOKUP(8,'Thickness Tab'!$1:$1048576,17,0),1)</f>
        <v>0</v>
      </c>
      <c r="H129" s="58">
        <f>(SUMPRODUCT('Piping Material List'!$AE$3:$AE$96,'Piping Material List'!$BI$3:$BI$96,'Piping Material List'!$DM$3:$DM$96,'Piping Material List'!EL$3:EL$96)+SUMPRODUCT('Piping Material List'!$AF$3:$AF$96,'Piping Material List'!$CK$3:$CK$96,'Piping Material List'!$DM$3:$DM$96,'Piping Material List'!EL$3:EL$96))*IF($C129="d-inches",8,1)*IF($C129="Ø-inches",VLOOKUP(8,'Thickness Tab'!$1:$1048576,17,0),1)</f>
        <v>0</v>
      </c>
      <c r="I129" s="58">
        <f>(SUMPRODUCT('Piping Material List'!$AE$3:$AE$96,'Piping Material List'!$BI$3:$BI$96,'Piping Material List'!$DM$3:$DM$96,'Piping Material List'!EM$3:EM$96)+SUMPRODUCT('Piping Material List'!$AF$3:$AF$96,'Piping Material List'!$CK$3:$CK$96,'Piping Material List'!$DM$3:$DM$96,'Piping Material List'!EM$3:EM$96))*IF($C129="d-inches",8,1)*IF($C129="Ø-inches",VLOOKUP(8,'Thickness Tab'!$1:$1048576,17,0),1)</f>
        <v>0</v>
      </c>
      <c r="J129" s="58">
        <f>(SUMPRODUCT('Piping Material List'!$AE$3:$AE$96,'Piping Material List'!$BI$3:$BI$96,'Piping Material List'!$DM$3:$DM$96,'Piping Material List'!EN$3:EN$96)+SUMPRODUCT('Piping Material List'!$AF$3:$AF$96,'Piping Material List'!$CK$3:$CK$96,'Piping Material List'!$DM$3:$DM$96,'Piping Material List'!EN$3:EN$96))*IF($C129="d-inches",8,1)*IF($C129="Ø-inches",VLOOKUP(8,'Thickness Tab'!$1:$1048576,17,0),1)</f>
        <v>0</v>
      </c>
      <c r="K129" s="739">
        <v>40</v>
      </c>
      <c r="L129" s="37">
        <f t="shared" si="7"/>
        <v>0</v>
      </c>
    </row>
    <row r="130" spans="1:12" x14ac:dyDescent="0.3">
      <c r="A130" s="31" t="s">
        <v>1252</v>
      </c>
      <c r="B130" s="51" t="s">
        <v>1168</v>
      </c>
      <c r="C130" s="1177" t="s">
        <v>1222</v>
      </c>
      <c r="D130" s="58">
        <f>(SUMPRODUCT('Piping Material List'!$AE$3:$AE$96,'Piping Material List'!$BJ$3:$BJ$96,'Piping Material List'!$DM$3:$DM$96,'Piping Material List'!EH$3:EH$96)+SUMPRODUCT('Piping Material List'!$AF$3:$AF$96,'Piping Material List'!$CL$3:$CL$96,'Piping Material List'!$DM$3:$DM$96,'Piping Material List'!EH$3:EH$96))*IF($C130="d-inches",10,1)*IF($C130="Ø-inches",VLOOKUP(10,'Thickness Tab'!$1:$1048576,17,0),1)</f>
        <v>0</v>
      </c>
      <c r="E130" s="58">
        <f>(SUMPRODUCT('Piping Material List'!$AE$3:$AE$96,'Piping Material List'!$BJ$3:$BJ$96,'Piping Material List'!$DM$3:$DM$96,'Piping Material List'!EI$3:EI$96)+SUMPRODUCT('Piping Material List'!$AF$3:$AF$96,'Piping Material List'!$CL$3:$CL$96,'Piping Material List'!$DM$3:$DM$96,'Piping Material List'!EI$3:EI$96))*IF($C130="d-inches",10,1)*IF($C130="Ø-inches",VLOOKUP(10,'Thickness Tab'!$1:$1048576,17,0),1)</f>
        <v>0</v>
      </c>
      <c r="F130" s="58">
        <f>(SUMPRODUCT('Piping Material List'!$AE$3:$AE$96,'Piping Material List'!$BJ$3:$BJ$96,'Piping Material List'!$DM$3:$DM$96,'Piping Material List'!EJ$3:EJ$96)+SUMPRODUCT('Piping Material List'!$AF$3:$AF$96,'Piping Material List'!$CL$3:$CL$96,'Piping Material List'!$DM$3:$DM$96,'Piping Material List'!EJ$3:EJ$96))*IF($C130="d-inches",10,1)*IF($C130="Ø-inches",VLOOKUP(10,'Thickness Tab'!$1:$1048576,17,0),1)</f>
        <v>0</v>
      </c>
      <c r="G130" s="58">
        <f>(SUMPRODUCT('Piping Material List'!$AE$3:$AE$96,'Piping Material List'!$BJ$3:$BJ$96,'Piping Material List'!$DM$3:$DM$96,'Piping Material List'!EK$3:EK$96)+SUMPRODUCT('Piping Material List'!$AF$3:$AF$96,'Piping Material List'!$CL$3:$CL$96,'Piping Material List'!$DM$3:$DM$96,'Piping Material List'!EK$3:EK$96))*IF($C130="d-inches",10,1)*IF($C130="Ø-inches",VLOOKUP(10,'Thickness Tab'!$1:$1048576,17,0),1)</f>
        <v>0</v>
      </c>
      <c r="H130" s="58">
        <f>(SUMPRODUCT('Piping Material List'!$AE$3:$AE$96,'Piping Material List'!$BJ$3:$BJ$96,'Piping Material List'!$DM$3:$DM$96,'Piping Material List'!EL$3:EL$96)+SUMPRODUCT('Piping Material List'!$AF$3:$AF$96,'Piping Material List'!$CL$3:$CL$96,'Piping Material List'!$DM$3:$DM$96,'Piping Material List'!EL$3:EL$96))*IF($C130="d-inches",10,1)*IF($C130="Ø-inches",VLOOKUP(10,'Thickness Tab'!$1:$1048576,17,0),1)</f>
        <v>0</v>
      </c>
      <c r="I130" s="58">
        <f>(SUMPRODUCT('Piping Material List'!$AE$3:$AE$96,'Piping Material List'!$BJ$3:$BJ$96,'Piping Material List'!$DM$3:$DM$96,'Piping Material List'!EM$3:EM$96)+SUMPRODUCT('Piping Material List'!$AF$3:$AF$96,'Piping Material List'!$CL$3:$CL$96,'Piping Material List'!$DM$3:$DM$96,'Piping Material List'!EM$3:EM$96))*IF($C130="d-inches",10,1)*IF($C130="Ø-inches",VLOOKUP(10,'Thickness Tab'!$1:$1048576,17,0),1)</f>
        <v>0</v>
      </c>
      <c r="J130" s="58">
        <f>(SUMPRODUCT('Piping Material List'!$AE$3:$AE$96,'Piping Material List'!$BJ$3:$BJ$96,'Piping Material List'!$DM$3:$DM$96,'Piping Material List'!EN$3:EN$96)+SUMPRODUCT('Piping Material List'!$AF$3:$AF$96,'Piping Material List'!$CL$3:$CL$96,'Piping Material List'!$DM$3:$DM$96,'Piping Material List'!EN$3:EN$96))*IF($C130="d-inches",10,1)*IF($C130="Ø-inches",VLOOKUP(10,'Thickness Tab'!$1:$1048576,17,0),1)</f>
        <v>0</v>
      </c>
      <c r="K130" s="739">
        <v>40</v>
      </c>
      <c r="L130" s="37">
        <f t="shared" si="7"/>
        <v>0</v>
      </c>
    </row>
    <row r="131" spans="1:12" x14ac:dyDescent="0.3">
      <c r="A131" s="31" t="s">
        <v>1253</v>
      </c>
      <c r="B131" s="51" t="s">
        <v>1170</v>
      </c>
      <c r="C131" s="1177" t="s">
        <v>1222</v>
      </c>
      <c r="D131" s="58">
        <f>(SUMPRODUCT('Piping Material List'!$AE$3:$AE$96,'Piping Material List'!$BK$3:$BK$96,'Piping Material List'!$DM$3:$DM$96,'Piping Material List'!EH$3:EH$96)+SUMPRODUCT('Piping Material List'!$AF$3:$AF$96,'Piping Material List'!$CM$3:$CM$96,'Piping Material List'!$DM$3:$DM$96,'Piping Material List'!EH$3:EH$96))*IF($C131="d-inches",12,1)*IF($C131="Ø-inches",VLOOKUP(12,'Thickness Tab'!$1:$1048576,17,0),1)</f>
        <v>0</v>
      </c>
      <c r="E131" s="58">
        <f>(SUMPRODUCT('Piping Material List'!$AE$3:$AE$96,'Piping Material List'!$BK$3:$BK$96,'Piping Material List'!$DM$3:$DM$96,'Piping Material List'!EI$3:EI$96)+SUMPRODUCT('Piping Material List'!$AF$3:$AF$96,'Piping Material List'!$CM$3:$CM$96,'Piping Material List'!$DM$3:$DM$96,'Piping Material List'!EI$3:EI$96))*IF($C131="d-inches",12,1)*IF($C131="Ø-inches",VLOOKUP(12,'Thickness Tab'!$1:$1048576,17,0),1)</f>
        <v>0</v>
      </c>
      <c r="F131" s="58">
        <f>(SUMPRODUCT('Piping Material List'!$AE$3:$AE$96,'Piping Material List'!$BK$3:$BK$96,'Piping Material List'!$DM$3:$DM$96,'Piping Material List'!EJ$3:EJ$96)+SUMPRODUCT('Piping Material List'!$AF$3:$AF$96,'Piping Material List'!$CM$3:$CM$96,'Piping Material List'!$DM$3:$DM$96,'Piping Material List'!EJ$3:EJ$96))*IF($C131="d-inches",12,1)*IF($C131="Ø-inches",VLOOKUP(12,'Thickness Tab'!$1:$1048576,17,0),1)</f>
        <v>0</v>
      </c>
      <c r="G131" s="58">
        <f>(SUMPRODUCT('Piping Material List'!$AE$3:$AE$96,'Piping Material List'!$BK$3:$BK$96,'Piping Material List'!$DM$3:$DM$96,'Piping Material List'!EK$3:EK$96)+SUMPRODUCT('Piping Material List'!$AF$3:$AF$96,'Piping Material List'!$CM$3:$CM$96,'Piping Material List'!$DM$3:$DM$96,'Piping Material List'!EK$3:EK$96))*IF($C131="d-inches",12,1)*IF($C131="Ø-inches",VLOOKUP(12,'Thickness Tab'!$1:$1048576,17,0),1)</f>
        <v>0</v>
      </c>
      <c r="H131" s="58">
        <f>(SUMPRODUCT('Piping Material List'!$AE$3:$AE$96,'Piping Material List'!$BK$3:$BK$96,'Piping Material List'!$DM$3:$DM$96,'Piping Material List'!EL$3:EL$96)+SUMPRODUCT('Piping Material List'!$AF$3:$AF$96,'Piping Material List'!$CM$3:$CM$96,'Piping Material List'!$DM$3:$DM$96,'Piping Material List'!EL$3:EL$96))*IF($C131="d-inches",12,1)*IF($C131="Ø-inches",VLOOKUP(12,'Thickness Tab'!$1:$1048576,17,0),1)</f>
        <v>0</v>
      </c>
      <c r="I131" s="58">
        <f>(SUMPRODUCT('Piping Material List'!$AE$3:$AE$96,'Piping Material List'!$BK$3:$BK$96,'Piping Material List'!$DM$3:$DM$96,'Piping Material List'!EM$3:EM$96)+SUMPRODUCT('Piping Material List'!$AF$3:$AF$96,'Piping Material List'!$CM$3:$CM$96,'Piping Material List'!$DM$3:$DM$96,'Piping Material List'!EM$3:EM$96))*IF($C131="d-inches",12,1)*IF($C131="Ø-inches",VLOOKUP(12,'Thickness Tab'!$1:$1048576,17,0),1)</f>
        <v>0</v>
      </c>
      <c r="J131" s="58">
        <f>(SUMPRODUCT('Piping Material List'!$AE$3:$AE$96,'Piping Material List'!$BK$3:$BK$96,'Piping Material List'!$DM$3:$DM$96,'Piping Material List'!EN$3:EN$96)+SUMPRODUCT('Piping Material List'!$AF$3:$AF$96,'Piping Material List'!$CM$3:$CM$96,'Piping Material List'!$DM$3:$DM$96,'Piping Material List'!EN$3:EN$96))*IF($C131="d-inches",12,1)*IF($C131="Ø-inches",VLOOKUP(12,'Thickness Tab'!$1:$1048576,17,0),1)</f>
        <v>0</v>
      </c>
      <c r="K131" s="739">
        <v>40</v>
      </c>
      <c r="L131" s="37">
        <f t="shared" si="7"/>
        <v>0</v>
      </c>
    </row>
    <row r="132" spans="1:12" x14ac:dyDescent="0.3">
      <c r="A132" s="31" t="s">
        <v>1254</v>
      </c>
      <c r="B132" s="51" t="s">
        <v>1172</v>
      </c>
      <c r="C132" s="1177" t="s">
        <v>1222</v>
      </c>
      <c r="D132" s="58">
        <f>(SUMPRODUCT('Piping Material List'!$AE$3:$AE$96,'Piping Material List'!$BL$3:$BL$96,'Piping Material List'!$DM$3:$DM$96,'Piping Material List'!EH$3:EH$96)+SUMPRODUCT('Piping Material List'!$AF$3:$AF$96,'Piping Material List'!$CN$3:$CN$96,'Piping Material List'!$DM$3:$DM$96,'Piping Material List'!EH$3:EH$96))*IF($C132="d-inches",14,1)*IF($C132="Ø-inches",VLOOKUP(14,'Thickness Tab'!$1:$1048576,17,0),1)</f>
        <v>0</v>
      </c>
      <c r="E132" s="58">
        <f>(SUMPRODUCT('Piping Material List'!$AE$3:$AE$96,'Piping Material List'!$BL$3:$BL$96,'Piping Material List'!$DM$3:$DM$96,'Piping Material List'!EI$3:EI$96)+SUMPRODUCT('Piping Material List'!$AF$3:$AF$96,'Piping Material List'!$CN$3:$CN$96,'Piping Material List'!$DM$3:$DM$96,'Piping Material List'!EI$3:EI$96))*IF($C132="d-inches",14,1)*IF($C132="Ø-inches",VLOOKUP(14,'Thickness Tab'!$1:$1048576,17,0),1)</f>
        <v>0</v>
      </c>
      <c r="F132" s="58">
        <f>(SUMPRODUCT('Piping Material List'!$AE$3:$AE$96,'Piping Material List'!$BL$3:$BL$96,'Piping Material List'!$DM$3:$DM$96,'Piping Material List'!EJ$3:EJ$96)+SUMPRODUCT('Piping Material List'!$AF$3:$AF$96,'Piping Material List'!$CN$3:$CN$96,'Piping Material List'!$DM$3:$DM$96,'Piping Material List'!EJ$3:EJ$96))*IF($C132="d-inches",14,1)*IF($C132="Ø-inches",VLOOKUP(14,'Thickness Tab'!$1:$1048576,17,0),1)</f>
        <v>0</v>
      </c>
      <c r="G132" s="58">
        <f>(SUMPRODUCT('Piping Material List'!$AE$3:$AE$96,'Piping Material List'!$BL$3:$BL$96,'Piping Material List'!$DM$3:$DM$96,'Piping Material List'!EK$3:EK$96)+SUMPRODUCT('Piping Material List'!$AF$3:$AF$96,'Piping Material List'!$CN$3:$CN$96,'Piping Material List'!$DM$3:$DM$96,'Piping Material List'!EK$3:EK$96))*IF($C132="d-inches",14,1)*IF($C132="Ø-inches",VLOOKUP(14,'Thickness Tab'!$1:$1048576,17,0),1)</f>
        <v>0</v>
      </c>
      <c r="H132" s="58">
        <f>(SUMPRODUCT('Piping Material List'!$AE$3:$AE$96,'Piping Material List'!$BL$3:$BL$96,'Piping Material List'!$DM$3:$DM$96,'Piping Material List'!EL$3:EL$96)+SUMPRODUCT('Piping Material List'!$AF$3:$AF$96,'Piping Material List'!$CN$3:$CN$96,'Piping Material List'!$DM$3:$DM$96,'Piping Material List'!EL$3:EL$96))*IF($C132="d-inches",14,1)*IF($C132="Ø-inches",VLOOKUP(14,'Thickness Tab'!$1:$1048576,17,0),1)</f>
        <v>0</v>
      </c>
      <c r="I132" s="58">
        <f>(SUMPRODUCT('Piping Material List'!$AE$3:$AE$96,'Piping Material List'!$BL$3:$BL$96,'Piping Material List'!$DM$3:$DM$96,'Piping Material List'!EM$3:EM$96)+SUMPRODUCT('Piping Material List'!$AF$3:$AF$96,'Piping Material List'!$CN$3:$CN$96,'Piping Material List'!$DM$3:$DM$96,'Piping Material List'!EM$3:EM$96))*IF($C132="d-inches",14,1)*IF($C132="Ø-inches",VLOOKUP(14,'Thickness Tab'!$1:$1048576,17,0),1)</f>
        <v>0</v>
      </c>
      <c r="J132" s="58">
        <f>(SUMPRODUCT('Piping Material List'!$AE$3:$AE$96,'Piping Material List'!$BL$3:$BL$96,'Piping Material List'!$DM$3:$DM$96,'Piping Material List'!EN$3:EN$96)+SUMPRODUCT('Piping Material List'!$AF$3:$AF$96,'Piping Material List'!$CN$3:$CN$96,'Piping Material List'!$DM$3:$DM$96,'Piping Material List'!EN$3:EN$96))*IF($C132="d-inches",14,1)*IF($C132="Ø-inches",VLOOKUP(14,'Thickness Tab'!$1:$1048576,17,0),1)</f>
        <v>0</v>
      </c>
      <c r="K132" s="739">
        <v>40</v>
      </c>
      <c r="L132" s="37">
        <f t="shared" si="7"/>
        <v>0</v>
      </c>
    </row>
    <row r="133" spans="1:12" x14ac:dyDescent="0.3">
      <c r="A133" s="31" t="s">
        <v>1255</v>
      </c>
      <c r="B133" s="51" t="s">
        <v>1174</v>
      </c>
      <c r="C133" s="1177" t="s">
        <v>1222</v>
      </c>
      <c r="D133" s="58">
        <f>(SUMPRODUCT('Piping Material List'!$AE$3:$AE$96,'Piping Material List'!$BM$3:$BM$96,'Piping Material List'!$DM$3:$DM$96,'Piping Material List'!EH$3:EH$96)+SUMPRODUCT('Piping Material List'!$AF$3:$AF$96,'Piping Material List'!$CO$3:$CO$96,'Piping Material List'!$DM$3:$DM$96,'Piping Material List'!EH$3:EH$96))*IF($C133="d-inches",16,1)*IF($C133="Ø-inches",VLOOKUP(16,'Thickness Tab'!$1:$1048576,17,0),1)</f>
        <v>0</v>
      </c>
      <c r="E133" s="58">
        <f>(SUMPRODUCT('Piping Material List'!$AE$3:$AE$96,'Piping Material List'!$BM$3:$BM$96,'Piping Material List'!$DM$3:$DM$96,'Piping Material List'!EI$3:EI$96)+SUMPRODUCT('Piping Material List'!$AF$3:$AF$96,'Piping Material List'!$CO$3:$CO$96,'Piping Material List'!$DM$3:$DM$96,'Piping Material List'!EI$3:EI$96))*IF($C133="d-inches",16,1)*IF($C133="Ø-inches",VLOOKUP(16,'Thickness Tab'!$1:$1048576,17,0),1)</f>
        <v>0</v>
      </c>
      <c r="F133" s="58">
        <f>(SUMPRODUCT('Piping Material List'!$AE$3:$AE$96,'Piping Material List'!$BM$3:$BM$96,'Piping Material List'!$DM$3:$DM$96,'Piping Material List'!EJ$3:EJ$96)+SUMPRODUCT('Piping Material List'!$AF$3:$AF$96,'Piping Material List'!$CO$3:$CO$96,'Piping Material List'!$DM$3:$DM$96,'Piping Material List'!EJ$3:EJ$96))*IF($C133="d-inches",16,1)*IF($C133="Ø-inches",VLOOKUP(16,'Thickness Tab'!$1:$1048576,17,0),1)</f>
        <v>0</v>
      </c>
      <c r="G133" s="58">
        <f>(SUMPRODUCT('Piping Material List'!$AE$3:$AE$96,'Piping Material List'!$BM$3:$BM$96,'Piping Material List'!$DM$3:$DM$96,'Piping Material List'!EK$3:EK$96)+SUMPRODUCT('Piping Material List'!$AF$3:$AF$96,'Piping Material List'!$CO$3:$CO$96,'Piping Material List'!$DM$3:$DM$96,'Piping Material List'!EK$3:EK$96))*IF($C133="d-inches",16,1)*IF($C133="Ø-inches",VLOOKUP(16,'Thickness Tab'!$1:$1048576,17,0),1)</f>
        <v>0</v>
      </c>
      <c r="H133" s="58">
        <f>(SUMPRODUCT('Piping Material List'!$AE$3:$AE$96,'Piping Material List'!$BM$3:$BM$96,'Piping Material List'!$DM$3:$DM$96,'Piping Material List'!EL$3:EL$96)+SUMPRODUCT('Piping Material List'!$AF$3:$AF$96,'Piping Material List'!$CO$3:$CO$96,'Piping Material List'!$DM$3:$DM$96,'Piping Material List'!EL$3:EL$96))*IF($C133="d-inches",16,1)*IF($C133="Ø-inches",VLOOKUP(16,'Thickness Tab'!$1:$1048576,17,0),1)</f>
        <v>0</v>
      </c>
      <c r="I133" s="58">
        <f>(SUMPRODUCT('Piping Material List'!$AE$3:$AE$96,'Piping Material List'!$BM$3:$BM$96,'Piping Material List'!$DM$3:$DM$96,'Piping Material List'!EM$3:EM$96)+SUMPRODUCT('Piping Material List'!$AF$3:$AF$96,'Piping Material List'!$CO$3:$CO$96,'Piping Material List'!$DM$3:$DM$96,'Piping Material List'!EM$3:EM$96))*IF($C133="d-inches",16,1)*IF($C133="Ø-inches",VLOOKUP(16,'Thickness Tab'!$1:$1048576,17,0),1)</f>
        <v>0</v>
      </c>
      <c r="J133" s="58">
        <f>(SUMPRODUCT('Piping Material List'!$AE$3:$AE$96,'Piping Material List'!$BM$3:$BM$96,'Piping Material List'!$DM$3:$DM$96,'Piping Material List'!EN$3:EN$96)+SUMPRODUCT('Piping Material List'!$AF$3:$AF$96,'Piping Material List'!$CO$3:$CO$96,'Piping Material List'!$DM$3:$DM$96,'Piping Material List'!EN$3:EN$96))*IF($C133="d-inches",16,1)*IF($C133="Ø-inches",VLOOKUP(16,'Thickness Tab'!$1:$1048576,17,0),1)</f>
        <v>0</v>
      </c>
      <c r="K133" s="739">
        <v>40</v>
      </c>
      <c r="L133" s="37">
        <f t="shared" si="7"/>
        <v>0</v>
      </c>
    </row>
    <row r="134" spans="1:12" x14ac:dyDescent="0.3">
      <c r="A134" s="31" t="s">
        <v>1256</v>
      </c>
      <c r="B134" s="51" t="s">
        <v>1176</v>
      </c>
      <c r="C134" s="1177" t="s">
        <v>1222</v>
      </c>
      <c r="D134" s="58">
        <f>(SUMPRODUCT('Piping Material List'!$AE$3:$AE$96,'Piping Material List'!$BN$3:$BN$96,'Piping Material List'!$DM$3:$DM$96,'Piping Material List'!EH$3:EH$96)+SUMPRODUCT('Piping Material List'!$AF$3:$AF$96,'Piping Material List'!$CP$3:$CP$96,'Piping Material List'!$DM$3:$DM$96,'Piping Material List'!EH$3:EH$96))*IF($C134="d-inches",18,1)*IF($C134="Ø-inches",VLOOKUP(18,'Thickness Tab'!$1:$1048576,17,0),1)</f>
        <v>0</v>
      </c>
      <c r="E134" s="58">
        <f>(SUMPRODUCT('Piping Material List'!$AE$3:$AE$96,'Piping Material List'!$BN$3:$BN$96,'Piping Material List'!$DM$3:$DM$96,'Piping Material List'!EI$3:EI$96)+SUMPRODUCT('Piping Material List'!$AF$3:$AF$96,'Piping Material List'!$CP$3:$CP$96,'Piping Material List'!$DM$3:$DM$96,'Piping Material List'!EI$3:EI$96))*IF($C134="d-inches",18,1)*IF($C134="Ø-inches",VLOOKUP(18,'Thickness Tab'!$1:$1048576,17,0),1)</f>
        <v>0</v>
      </c>
      <c r="F134" s="58">
        <f>(SUMPRODUCT('Piping Material List'!$AE$3:$AE$96,'Piping Material List'!$BN$3:$BN$96,'Piping Material List'!$DM$3:$DM$96,'Piping Material List'!EJ$3:EJ$96)+SUMPRODUCT('Piping Material List'!$AF$3:$AF$96,'Piping Material List'!$CP$3:$CP$96,'Piping Material List'!$DM$3:$DM$96,'Piping Material List'!EJ$3:EJ$96))*IF($C134="d-inches",18,1)*IF($C134="Ø-inches",VLOOKUP(18,'Thickness Tab'!$1:$1048576,17,0),1)</f>
        <v>0</v>
      </c>
      <c r="G134" s="58">
        <f>(SUMPRODUCT('Piping Material List'!$AE$3:$AE$96,'Piping Material List'!$BN$3:$BN$96,'Piping Material List'!$DM$3:$DM$96,'Piping Material List'!EK$3:EK$96)+SUMPRODUCT('Piping Material List'!$AF$3:$AF$96,'Piping Material List'!$CP$3:$CP$96,'Piping Material List'!$DM$3:$DM$96,'Piping Material List'!EK$3:EK$96))*IF($C134="d-inches",18,1)*IF($C134="Ø-inches",VLOOKUP(18,'Thickness Tab'!$1:$1048576,17,0),1)</f>
        <v>0</v>
      </c>
      <c r="H134" s="58">
        <f>(SUMPRODUCT('Piping Material List'!$AE$3:$AE$96,'Piping Material List'!$BN$3:$BN$96,'Piping Material List'!$DM$3:$DM$96,'Piping Material List'!EL$3:EL$96)+SUMPRODUCT('Piping Material List'!$AF$3:$AF$96,'Piping Material List'!$CP$3:$CP$96,'Piping Material List'!$DM$3:$DM$96,'Piping Material List'!EL$3:EL$96))*IF($C134="d-inches",18,1)*IF($C134="Ø-inches",VLOOKUP(18,'Thickness Tab'!$1:$1048576,17,0),1)</f>
        <v>0</v>
      </c>
      <c r="I134" s="58">
        <f>(SUMPRODUCT('Piping Material List'!$AE$3:$AE$96,'Piping Material List'!$BN$3:$BN$96,'Piping Material List'!$DM$3:$DM$96,'Piping Material List'!EM$3:EM$96)+SUMPRODUCT('Piping Material List'!$AF$3:$AF$96,'Piping Material List'!$CP$3:$CP$96,'Piping Material List'!$DM$3:$DM$96,'Piping Material List'!EM$3:EM$96))*IF($C134="d-inches",18,1)*IF($C134="Ø-inches",VLOOKUP(18,'Thickness Tab'!$1:$1048576,17,0),1)</f>
        <v>0</v>
      </c>
      <c r="J134" s="58">
        <f>(SUMPRODUCT('Piping Material List'!$AE$3:$AE$96,'Piping Material List'!$BN$3:$BN$96,'Piping Material List'!$DM$3:$DM$96,'Piping Material List'!EN$3:EN$96)+SUMPRODUCT('Piping Material List'!$AF$3:$AF$96,'Piping Material List'!$CP$3:$CP$96,'Piping Material List'!$DM$3:$DM$96,'Piping Material List'!EN$3:EN$96))*IF($C134="d-inches",18,1)*IF($C134="Ø-inches",VLOOKUP(18,'Thickness Tab'!$1:$1048576,17,0),1)</f>
        <v>0</v>
      </c>
      <c r="K134" s="739">
        <v>40</v>
      </c>
      <c r="L134" s="37">
        <f t="shared" si="7"/>
        <v>0</v>
      </c>
    </row>
    <row r="135" spans="1:12" x14ac:dyDescent="0.3">
      <c r="A135" s="31" t="s">
        <v>1257</v>
      </c>
      <c r="B135" s="51" t="s">
        <v>1178</v>
      </c>
      <c r="C135" s="1177" t="s">
        <v>1222</v>
      </c>
      <c r="D135" s="58">
        <f>(SUMPRODUCT('Piping Material List'!$AE$3:$AE$96,'Piping Material List'!$BO$3:$BO$96,'Piping Material List'!$DM$3:$DM$96,'Piping Material List'!EH$3:EH$96)+SUMPRODUCT('Piping Material List'!$AF$3:$AF$96,'Piping Material List'!$CE$3:$CE$96,'Piping Material List'!$DM$3:$DM$96,'Piping Material List'!EH$3:EH$96))*IF($C135="d-inches",20,1)*IF($C135="Ø-inches",VLOOKUP(20,'Thickness Tab'!$1:$1048576,17,0),1)</f>
        <v>0</v>
      </c>
      <c r="E135" s="58">
        <f>(SUMPRODUCT('Piping Material List'!$AE$3:$AE$96,'Piping Material List'!$BO$3:$BO$96,'Piping Material List'!$DM$3:$DM$96,'Piping Material List'!EI$3:EI$96)+SUMPRODUCT('Piping Material List'!$AF$3:$AF$96,'Piping Material List'!$CE$3:$CE$96,'Piping Material List'!$DM$3:$DM$96,'Piping Material List'!EI$3:EI$96))*IF($C135="d-inches",20,1)*IF($C135="Ø-inches",VLOOKUP(20,'Thickness Tab'!$1:$1048576,17,0),1)</f>
        <v>0</v>
      </c>
      <c r="F135" s="58">
        <f>(SUMPRODUCT('Piping Material List'!$AE$3:$AE$96,'Piping Material List'!$BO$3:$BO$96,'Piping Material List'!$DM$3:$DM$96,'Piping Material List'!EJ$3:EJ$96)+SUMPRODUCT('Piping Material List'!$AF$3:$AF$96,'Piping Material List'!$CE$3:$CE$96,'Piping Material List'!$DM$3:$DM$96,'Piping Material List'!EJ$3:EJ$96))*IF($C135="d-inches",20,1)*IF($C135="Ø-inches",VLOOKUP(20,'Thickness Tab'!$1:$1048576,17,0),1)</f>
        <v>0</v>
      </c>
      <c r="G135" s="58">
        <f>(SUMPRODUCT('Piping Material List'!$AE$3:$AE$96,'Piping Material List'!$BO$3:$BO$96,'Piping Material List'!$DM$3:$DM$96,'Piping Material List'!EK$3:EK$96)+SUMPRODUCT('Piping Material List'!$AF$3:$AF$96,'Piping Material List'!$CE$3:$CE$96,'Piping Material List'!$DM$3:$DM$96,'Piping Material List'!EK$3:EK$96))*IF($C135="d-inches",20,1)*IF($C135="Ø-inches",VLOOKUP(20,'Thickness Tab'!$1:$1048576,17,0),1)</f>
        <v>0</v>
      </c>
      <c r="H135" s="58">
        <f>(SUMPRODUCT('Piping Material List'!$AE$3:$AE$96,'Piping Material List'!$BO$3:$BO$96,'Piping Material List'!$DM$3:$DM$96,'Piping Material List'!EL$3:EL$96)+SUMPRODUCT('Piping Material List'!$AF$3:$AF$96,'Piping Material List'!$CE$3:$CE$96,'Piping Material List'!$DM$3:$DM$96,'Piping Material List'!EL$3:EL$96))*IF($C135="d-inches",20,1)*IF($C135="Ø-inches",VLOOKUP(20,'Thickness Tab'!$1:$1048576,17,0),1)</f>
        <v>0</v>
      </c>
      <c r="I135" s="58">
        <f>(SUMPRODUCT('Piping Material List'!$AE$3:$AE$96,'Piping Material List'!$BO$3:$BO$96,'Piping Material List'!$DM$3:$DM$96,'Piping Material List'!EM$3:EM$96)+SUMPRODUCT('Piping Material List'!$AF$3:$AF$96,'Piping Material List'!$CE$3:$CE$96,'Piping Material List'!$DM$3:$DM$96,'Piping Material List'!EM$3:EM$96))*IF($C135="d-inches",20,1)*IF($C135="Ø-inches",VLOOKUP(20,'Thickness Tab'!$1:$1048576,17,0),1)</f>
        <v>0</v>
      </c>
      <c r="J135" s="58">
        <f>(SUMPRODUCT('Piping Material List'!$AE$3:$AE$96,'Piping Material List'!$BO$3:$BO$96,'Piping Material List'!$DM$3:$DM$96,'Piping Material List'!EN$3:EN$96)+SUMPRODUCT('Piping Material List'!$AF$3:$AF$96,'Piping Material List'!$CE$3:$CE$96,'Piping Material List'!$DM$3:$DM$96,'Piping Material List'!EN$3:EN$96))*IF($C135="d-inches",20,1)*IF($C135="Ø-inches",VLOOKUP(20,'Thickness Tab'!$1:$1048576,17,0),1)</f>
        <v>0</v>
      </c>
      <c r="K135" s="739">
        <v>40</v>
      </c>
      <c r="L135" s="37">
        <f t="shared" si="7"/>
        <v>0</v>
      </c>
    </row>
    <row r="136" spans="1:12" x14ac:dyDescent="0.3">
      <c r="A136" s="31" t="s">
        <v>1258</v>
      </c>
      <c r="B136" s="51" t="s">
        <v>1180</v>
      </c>
      <c r="C136" s="1177" t="s">
        <v>1222</v>
      </c>
      <c r="D136" s="58">
        <f>(SUMPRODUCT('Piping Material List'!$AE$3:$AE$96,'Piping Material List'!$BP$3:$BP$96,'Piping Material List'!$DM$3:$DM$96,'Piping Material List'!EH$3:EH$96)+SUMPRODUCT('Piping Material List'!$AF$3:$AF$96,'Piping Material List'!$CR$3:$CR$96,'Piping Material List'!$DM$3:$DM$96,'Piping Material List'!EH$3:EH$96))*IF($C136="d-inches",22,1)*IF($C136="Ø-inches",VLOOKUP(22,'Thickness Tab'!$1:$1048576,17,0),1)</f>
        <v>0</v>
      </c>
      <c r="E136" s="58">
        <f>(SUMPRODUCT('Piping Material List'!$AE$3:$AE$96,'Piping Material List'!$BP$3:$BP$96,'Piping Material List'!$DM$3:$DM$96,'Piping Material List'!EI$3:EI$96)+SUMPRODUCT('Piping Material List'!$AF$3:$AF$96,'Piping Material List'!$CR$3:$CR$96,'Piping Material List'!$DM$3:$DM$96,'Piping Material List'!EI$3:EI$96))*IF($C136="d-inches",22,1)*IF($C136="Ø-inches",VLOOKUP(22,'Thickness Tab'!$1:$1048576,17,0),1)</f>
        <v>0</v>
      </c>
      <c r="F136" s="58">
        <f>(SUMPRODUCT('Piping Material List'!$AE$3:$AE$96,'Piping Material List'!$BP$3:$BP$96,'Piping Material List'!$DM$3:$DM$96,'Piping Material List'!EJ$3:EJ$96)+SUMPRODUCT('Piping Material List'!$AF$3:$AF$96,'Piping Material List'!$CR$3:$CR$96,'Piping Material List'!$DM$3:$DM$96,'Piping Material List'!EJ$3:EJ$96))*IF($C136="d-inches",22,1)*IF($C136="Ø-inches",VLOOKUP(22,'Thickness Tab'!$1:$1048576,17,0),1)</f>
        <v>0</v>
      </c>
      <c r="G136" s="58">
        <f>(SUMPRODUCT('Piping Material List'!$AE$3:$AE$96,'Piping Material List'!$BP$3:$BP$96,'Piping Material List'!$DM$3:$DM$96,'Piping Material List'!EK$3:EK$96)+SUMPRODUCT('Piping Material List'!$AF$3:$AF$96,'Piping Material List'!$CR$3:$CR$96,'Piping Material List'!$DM$3:$DM$96,'Piping Material List'!EK$3:EK$96))*IF($C136="d-inches",22,1)*IF($C136="Ø-inches",VLOOKUP(22,'Thickness Tab'!$1:$1048576,17,0),1)</f>
        <v>0</v>
      </c>
      <c r="H136" s="58">
        <f>(SUMPRODUCT('Piping Material List'!$AE$3:$AE$96,'Piping Material List'!$BP$3:$BP$96,'Piping Material List'!$DM$3:$DM$96,'Piping Material List'!EL$3:EL$96)+SUMPRODUCT('Piping Material List'!$AF$3:$AF$96,'Piping Material List'!$CR$3:$CR$96,'Piping Material List'!$DM$3:$DM$96,'Piping Material List'!EL$3:EL$96))*IF($C136="d-inches",22,1)*IF($C136="Ø-inches",VLOOKUP(22,'Thickness Tab'!$1:$1048576,17,0),1)</f>
        <v>0</v>
      </c>
      <c r="I136" s="58">
        <f>(SUMPRODUCT('Piping Material List'!$AE$3:$AE$96,'Piping Material List'!$BP$3:$BP$96,'Piping Material List'!$DM$3:$DM$96,'Piping Material List'!EM$3:EM$96)+SUMPRODUCT('Piping Material List'!$AF$3:$AF$96,'Piping Material List'!$CR$3:$CR$96,'Piping Material List'!$DM$3:$DM$96,'Piping Material List'!EM$3:EM$96))*IF($C136="d-inches",22,1)*IF($C136="Ø-inches",VLOOKUP(22,'Thickness Tab'!$1:$1048576,17,0),1)</f>
        <v>0</v>
      </c>
      <c r="J136" s="58">
        <f>(SUMPRODUCT('Piping Material List'!$AE$3:$AE$96,'Piping Material List'!$BP$3:$BP$96,'Piping Material List'!$DM$3:$DM$96,'Piping Material List'!EN$3:EN$96)+SUMPRODUCT('Piping Material List'!$AF$3:$AF$96,'Piping Material List'!$CR$3:$CR$96,'Piping Material List'!$DM$3:$DM$96,'Piping Material List'!EN$3:EN$96))*IF($C136="d-inches",22,1)*IF($C136="Ø-inches",VLOOKUP(22,'Thickness Tab'!$1:$1048576,17,0),1)</f>
        <v>0</v>
      </c>
      <c r="K136" s="739">
        <v>40</v>
      </c>
      <c r="L136" s="37">
        <f t="shared" si="7"/>
        <v>0</v>
      </c>
    </row>
    <row r="137" spans="1:12" x14ac:dyDescent="0.3">
      <c r="A137" s="31" t="s">
        <v>1259</v>
      </c>
      <c r="B137" s="51" t="s">
        <v>1182</v>
      </c>
      <c r="C137" s="1177" t="s">
        <v>1222</v>
      </c>
      <c r="D137" s="58">
        <f>(SUMPRODUCT('Piping Material List'!$AE$3:$AE$96,'Piping Material List'!$BQ$3:$BQ$96,'Piping Material List'!$DI$3:$DI$96,'Piping Material List'!EH$3:EH$96)+SUMPRODUCT('Piping Material List'!$AF$3:$AF$96,'Piping Material List'!$CS$3:$CS$96,'Piping Material List'!$DI$3:$DI$96,'Piping Material List'!EH$3:EH$96))*IF($C137="d-inches",24,1)*IF($C137="Ø-inches",VLOOKUP(24,'Thickness Tab'!$1:$1048576,17,0),1)</f>
        <v>0</v>
      </c>
      <c r="E137" s="58">
        <f>(SUMPRODUCT('Piping Material List'!$AE$3:$AE$96,'Piping Material List'!$BQ$3:$BQ$96,'Piping Material List'!$DI$3:$DI$96,'Piping Material List'!EI$3:EI$96)+SUMPRODUCT('Piping Material List'!$AF$3:$AF$96,'Piping Material List'!$CS$3:$CS$96,'Piping Material List'!$DI$3:$DI$96,'Piping Material List'!EI$3:EI$96))*IF($C137="d-inches",24,1)*IF($C137="Ø-inches",VLOOKUP(24,'Thickness Tab'!$1:$1048576,17,0),1)</f>
        <v>0</v>
      </c>
      <c r="F137" s="58">
        <f>(SUMPRODUCT('Piping Material List'!$AE$3:$AE$96,'Piping Material List'!$BQ$3:$BQ$96,'Piping Material List'!$DI$3:$DI$96,'Piping Material List'!EJ$3:EJ$96)+SUMPRODUCT('Piping Material List'!$AF$3:$AF$96,'Piping Material List'!$CS$3:$CS$96,'Piping Material List'!$DI$3:$DI$96,'Piping Material List'!EJ$3:EJ$96))*IF($C137="d-inches",24,1)*IF($C137="Ø-inches",VLOOKUP(24,'Thickness Tab'!$1:$1048576,17,0),1)</f>
        <v>0</v>
      </c>
      <c r="G137" s="58">
        <f>(SUMPRODUCT('Piping Material List'!$AE$3:$AE$96,'Piping Material List'!$BQ$3:$BQ$96,'Piping Material List'!$DI$3:$DI$96,'Piping Material List'!EK$3:EK$96)+SUMPRODUCT('Piping Material List'!$AF$3:$AF$96,'Piping Material List'!$CS$3:$CS$96,'Piping Material List'!$DI$3:$DI$96,'Piping Material List'!EK$3:EK$96))*IF($C137="d-inches",24,1)*IF($C137="Ø-inches",VLOOKUP(24,'Thickness Tab'!$1:$1048576,17,0),1)</f>
        <v>0</v>
      </c>
      <c r="H137" s="58">
        <f>(SUMPRODUCT('Piping Material List'!$AE$3:$AE$96,'Piping Material List'!$BQ$3:$BQ$96,'Piping Material List'!$DI$3:$DI$96,'Piping Material List'!EL$3:EL$96)+SUMPRODUCT('Piping Material List'!$AF$3:$AF$96,'Piping Material List'!$CS$3:$CS$96,'Piping Material List'!$DI$3:$DI$96,'Piping Material List'!EL$3:EL$96))*IF($C137="d-inches",24,1)*IF($C137="Ø-inches",VLOOKUP(24,'Thickness Tab'!$1:$1048576,17,0),1)</f>
        <v>0</v>
      </c>
      <c r="I137" s="58">
        <f>(SUMPRODUCT('Piping Material List'!$AE$3:$AE$96,'Piping Material List'!$BQ$3:$BQ$96,'Piping Material List'!$DI$3:$DI$96,'Piping Material List'!EM$3:EM$96)+SUMPRODUCT('Piping Material List'!$AF$3:$AF$96,'Piping Material List'!$CS$3:$CS$96,'Piping Material List'!$DI$3:$DI$96,'Piping Material List'!EM$3:EM$96))*IF($C137="d-inches",24,1)*IF($C137="Ø-inches",VLOOKUP(24,'Thickness Tab'!$1:$1048576,17,0),1)</f>
        <v>0</v>
      </c>
      <c r="J137" s="58">
        <f>(SUMPRODUCT('Piping Material List'!$AE$3:$AE$96,'Piping Material List'!$BQ$3:$BQ$96,'Piping Material List'!$DI$3:$DI$96,'Piping Material List'!EN$3:EN$96)+SUMPRODUCT('Piping Material List'!$AF$3:$AF$96,'Piping Material List'!$CS$3:$CS$96,'Piping Material List'!$DI$3:$DI$96,'Piping Material List'!EN$3:EN$96))*IF($C137="d-inches",24,1)*IF($C137="Ø-inches",VLOOKUP(24,'Thickness Tab'!$1:$1048576,17,0),1)</f>
        <v>0</v>
      </c>
      <c r="K137" s="739">
        <v>40</v>
      </c>
      <c r="L137" s="37">
        <f t="shared" si="7"/>
        <v>0</v>
      </c>
    </row>
    <row r="138" spans="1:12" x14ac:dyDescent="0.3">
      <c r="A138" s="31" t="s">
        <v>1183</v>
      </c>
      <c r="B138" s="51" t="s">
        <v>1184</v>
      </c>
      <c r="C138" s="1177" t="s">
        <v>1222</v>
      </c>
      <c r="D138" s="58">
        <f>(SUMPRODUCT('Piping Material List'!$AE$3:$AE$96,'Piping Material List'!$BR$3:$BR$96,'Piping Material List'!$DI$3:$DI$96,'Piping Material List'!EH$3:EH$96)+SUMPRODUCT('Piping Material List'!$AF$3:$AF$96,'Piping Material List'!$CT$3:$CT$96,'Piping Material List'!$DI$3:$DI$96,'Piping Material List'!EH$3:EH$96))*IF($C138="d-inches",24,1)*IF($C138="Ø-inches",VLOOKUP(24,'Thickness Tab'!$1:$1048576,17,0),1)</f>
        <v>0</v>
      </c>
      <c r="E138" s="58">
        <f>(SUMPRODUCT('Piping Material List'!$AE$3:$AE$96,'Piping Material List'!$BR$3:$BR$96,'Piping Material List'!$DI$3:$DI$96,'Piping Material List'!EI$3:EI$96)+SUMPRODUCT('Piping Material List'!$AF$3:$AF$96,'Piping Material List'!$CT$3:$CT$96,'Piping Material List'!$DI$3:$DI$96,'Piping Material List'!EI$3:EI$96))*IF($C138="d-inches",24,1)*IF($C138="Ø-inches",VLOOKUP(24,'Thickness Tab'!$1:$1048576,17,0),1)</f>
        <v>0</v>
      </c>
      <c r="F138" s="58">
        <f>(SUMPRODUCT('Piping Material List'!$AE$3:$AE$96,'Piping Material List'!$BR$3:$BR$96,'Piping Material List'!$DI$3:$DI$96,'Piping Material List'!EJ$3:EJ$96)+SUMPRODUCT('Piping Material List'!$AF$3:$AF$96,'Piping Material List'!$CT$3:$CT$96,'Piping Material List'!$DI$3:$DI$96,'Piping Material List'!EJ$3:EJ$96))*IF($C138="d-inches",24,1)*IF($C138="Ø-inches",VLOOKUP(24,'Thickness Tab'!$1:$1048576,17,0),1)</f>
        <v>0</v>
      </c>
      <c r="G138" s="58">
        <f>(SUMPRODUCT('Piping Material List'!$AE$3:$AE$96,'Piping Material List'!$BR$3:$BR$96,'Piping Material List'!$DI$3:$DI$96,'Piping Material List'!EK$3:EK$96)+SUMPRODUCT('Piping Material List'!$AF$3:$AF$96,'Piping Material List'!$CT$3:$CT$96,'Piping Material List'!$DI$3:$DI$96,'Piping Material List'!EK$3:EK$96))*IF($C138="d-inches",24,1)*IF($C138="Ø-inches",VLOOKUP(24,'Thickness Tab'!$1:$1048576,17,0),1)</f>
        <v>0</v>
      </c>
      <c r="H138" s="58">
        <f>(SUMPRODUCT('Piping Material List'!$AE$3:$AE$96,'Piping Material List'!$BR$3:$BR$96,'Piping Material List'!$DI$3:$DI$96,'Piping Material List'!EL$3:EL$96)+SUMPRODUCT('Piping Material List'!$AF$3:$AF$96,'Piping Material List'!$CT$3:$CT$96,'Piping Material List'!$DI$3:$DI$96,'Piping Material List'!EL$3:EL$96))*IF($C138="d-inches",24,1)*IF($C138="Ø-inches",VLOOKUP(24,'Thickness Tab'!$1:$1048576,17,0),1)</f>
        <v>0</v>
      </c>
      <c r="I138" s="58">
        <f>(SUMPRODUCT('Piping Material List'!$AE$3:$AE$96,'Piping Material List'!$BR$3:$BR$96,'Piping Material List'!$DI$3:$DI$96,'Piping Material List'!EM$3:EM$96)+SUMPRODUCT('Piping Material List'!$AF$3:$AF$96,'Piping Material List'!$CT$3:$CT$96,'Piping Material List'!$DI$3:$DI$96,'Piping Material List'!EM$3:EM$96))*IF($C138="d-inches",24,1)*IF($C138="Ø-inches",VLOOKUP(24,'Thickness Tab'!$1:$1048576,17,0),1)</f>
        <v>0</v>
      </c>
      <c r="J138" s="58">
        <f>(SUMPRODUCT('Piping Material List'!$AE$3:$AE$96,'Piping Material List'!$BR$3:$BR$96,'Piping Material List'!$DI$3:$DI$96,'Piping Material List'!EN$3:EN$96)+SUMPRODUCT('Piping Material List'!$AF$3:$AF$96,'Piping Material List'!$CT$3:$CT$96,'Piping Material List'!$DI$3:$DI$96,'Piping Material List'!EN$3:EN$96))*IF($C138="d-inches",24,1)*IF($C138="Ø-inches",VLOOKUP(24,'Thickness Tab'!$1:$1048576,17,0),1)</f>
        <v>0</v>
      </c>
      <c r="K138" s="739">
        <v>40</v>
      </c>
      <c r="L138" s="37"/>
    </row>
    <row r="139" spans="1:12" x14ac:dyDescent="0.3">
      <c r="A139" s="31" t="s">
        <v>1185</v>
      </c>
      <c r="B139" s="51" t="s">
        <v>1186</v>
      </c>
      <c r="C139" s="1177" t="s">
        <v>1222</v>
      </c>
      <c r="D139" s="58">
        <f>(SUMPRODUCT('Piping Material List'!$AE$3:$AE$96,'Piping Material List'!$BS$3:$BS$96,'Piping Material List'!$DI$3:$DI$96,'Piping Material List'!EH$3:EH$96)+SUMPRODUCT('Piping Material List'!$AF$3:$AF$96,'Piping Material List'!$CU$3:$CU$96,'Piping Material List'!$DI$3:$DI$96,'Piping Material List'!EH$3:EH$96))*IF($C139="d-inches",24,1)*IF($C139="Ø-inches",VLOOKUP(24,'Thickness Tab'!$1:$1048576,17,0),1)</f>
        <v>0</v>
      </c>
      <c r="E139" s="58">
        <f>(SUMPRODUCT('Piping Material List'!$AE$3:$AE$96,'Piping Material List'!$BS$3:$BS$96,'Piping Material List'!$DI$3:$DI$96,'Piping Material List'!EI$3:EI$96)+SUMPRODUCT('Piping Material List'!$AF$3:$AF$96,'Piping Material List'!$CU$3:$CU$96,'Piping Material List'!$DI$3:$DI$96,'Piping Material List'!EI$3:EI$96))*IF($C139="d-inches",24,1)*IF($C139="Ø-inches",VLOOKUP(24,'Thickness Tab'!$1:$1048576,17,0),1)</f>
        <v>0</v>
      </c>
      <c r="F139" s="58">
        <f>(SUMPRODUCT('Piping Material List'!$AE$3:$AE$96,'Piping Material List'!$BS$3:$BS$96,'Piping Material List'!$DI$3:$DI$96,'Piping Material List'!EJ$3:EJ$96)+SUMPRODUCT('Piping Material List'!$AF$3:$AF$96,'Piping Material List'!$CU$3:$CU$96,'Piping Material List'!$DI$3:$DI$96,'Piping Material List'!EJ$3:EJ$96))*IF($C139="d-inches",24,1)*IF($C139="Ø-inches",VLOOKUP(24,'Thickness Tab'!$1:$1048576,17,0),1)</f>
        <v>0</v>
      </c>
      <c r="G139" s="58">
        <f>(SUMPRODUCT('Piping Material List'!$AE$3:$AE$96,'Piping Material List'!$BS$3:$BS$96,'Piping Material List'!$DI$3:$DI$96,'Piping Material List'!EK$3:EK$96)+SUMPRODUCT('Piping Material List'!$AF$3:$AF$96,'Piping Material List'!$CU$3:$CU$96,'Piping Material List'!$DI$3:$DI$96,'Piping Material List'!EK$3:EK$96))*IF($C139="d-inches",24,1)*IF($C139="Ø-inches",VLOOKUP(24,'Thickness Tab'!$1:$1048576,17,0),1)</f>
        <v>0</v>
      </c>
      <c r="H139" s="58">
        <f>(SUMPRODUCT('Piping Material List'!$AE$3:$AE$96,'Piping Material List'!$BS$3:$BS$96,'Piping Material List'!$DI$3:$DI$96,'Piping Material List'!EL$3:EL$96)+SUMPRODUCT('Piping Material List'!$AF$3:$AF$96,'Piping Material List'!$CU$3:$CU$96,'Piping Material List'!$DI$3:$DI$96,'Piping Material List'!EL$3:EL$96))*IF($C139="d-inches",24,1)*IF($C139="Ø-inches",VLOOKUP(24,'Thickness Tab'!$1:$1048576,17,0),1)</f>
        <v>0</v>
      </c>
      <c r="I139" s="58">
        <f>(SUMPRODUCT('Piping Material List'!$AE$3:$AE$96,'Piping Material List'!$BS$3:$BS$96,'Piping Material List'!$DI$3:$DI$96,'Piping Material List'!EM$3:EM$96)+SUMPRODUCT('Piping Material List'!$AF$3:$AF$96,'Piping Material List'!$CU$3:$CU$96,'Piping Material List'!$DI$3:$DI$96,'Piping Material List'!EM$3:EM$96))*IF($C139="d-inches",24,1)*IF($C139="Ø-inches",VLOOKUP(24,'Thickness Tab'!$1:$1048576,17,0),1)</f>
        <v>0</v>
      </c>
      <c r="J139" s="58">
        <f>(SUMPRODUCT('Piping Material List'!$AE$3:$AE$96,'Piping Material List'!$BS$3:$BS$96,'Piping Material List'!$DI$3:$DI$96,'Piping Material List'!EN$3:EN$96)+SUMPRODUCT('Piping Material List'!$AF$3:$AF$96,'Piping Material List'!$CU$3:$CU$96,'Piping Material List'!$DI$3:$DI$96,'Piping Material List'!EN$3:EN$96))*IF($C139="d-inches",24,1)*IF($C139="Ø-inches",VLOOKUP(24,'Thickness Tab'!$1:$1048576,17,0),1)</f>
        <v>0</v>
      </c>
      <c r="K139" s="739">
        <v>40</v>
      </c>
      <c r="L139" s="37">
        <f t="shared" ref="L139:L146" si="8">SUMPRODUCT(D139:J139,$D$29:$J$29)*K139</f>
        <v>0</v>
      </c>
    </row>
    <row r="140" spans="1:12" x14ac:dyDescent="0.3">
      <c r="A140" s="31" t="s">
        <v>1187</v>
      </c>
      <c r="B140" s="51" t="s">
        <v>1188</v>
      </c>
      <c r="C140" s="1177" t="s">
        <v>1222</v>
      </c>
      <c r="D140" s="58">
        <f>(SUMPRODUCT('Piping Material List'!$AE$3:$AE$96,'Piping Material List'!$BT$3:$BT$96,'Piping Material List'!$DI$3:$DI$96,'Piping Material List'!EH$3:EH$96)+SUMPRODUCT('Piping Material List'!$AF$3:$AF$96,'Piping Material List'!$CS$3:$CS$96,'Piping Material List'!$DI$3:$DI$96,'Piping Material List'!EH$3:EH$96))*IF($C140="d-inches",24,1)*IF($C140="Ø-inches",VLOOKUP(24,'Thickness Tab'!$1:$1048576,17,0),1)</f>
        <v>0</v>
      </c>
      <c r="E140" s="58">
        <f>(SUMPRODUCT('Piping Material List'!$AE$3:$AE$96,'Piping Material List'!$BT$3:$BT$96,'Piping Material List'!$DI$3:$DI$96,'Piping Material List'!EI$3:EI$96)+SUMPRODUCT('Piping Material List'!$AF$3:$AF$96,'Piping Material List'!$CS$3:$CS$96,'Piping Material List'!$DI$3:$DI$96,'Piping Material List'!EI$3:EI$96))*IF($C140="d-inches",24,1)*IF($C140="Ø-inches",VLOOKUP(24,'Thickness Tab'!$1:$1048576,17,0),1)</f>
        <v>0</v>
      </c>
      <c r="F140" s="58">
        <f>(SUMPRODUCT('Piping Material List'!$AE$3:$AE$96,'Piping Material List'!$BT$3:$BT$96,'Piping Material List'!$DI$3:$DI$96,'Piping Material List'!EJ$3:EJ$96)+SUMPRODUCT('Piping Material List'!$AF$3:$AF$96,'Piping Material List'!$CS$3:$CS$96,'Piping Material List'!$DI$3:$DI$96,'Piping Material List'!EJ$3:EJ$96))*IF($C140="d-inches",24,1)*IF($C140="Ø-inches",VLOOKUP(24,'Thickness Tab'!$1:$1048576,17,0),1)</f>
        <v>0</v>
      </c>
      <c r="G140" s="58">
        <f>(SUMPRODUCT('Piping Material List'!$AE$3:$AE$96,'Piping Material List'!$BT$3:$BT$96,'Piping Material List'!$DI$3:$DI$96,'Piping Material List'!EK$3:EK$96)+SUMPRODUCT('Piping Material List'!$AF$3:$AF$96,'Piping Material List'!$CS$3:$CS$96,'Piping Material List'!$DI$3:$DI$96,'Piping Material List'!EK$3:EK$96))*IF($C140="d-inches",24,1)*IF($C140="Ø-inches",VLOOKUP(24,'Thickness Tab'!$1:$1048576,17,0),1)</f>
        <v>0</v>
      </c>
      <c r="H140" s="58">
        <f>(SUMPRODUCT('Piping Material List'!$AE$3:$AE$96,'Piping Material List'!$BT$3:$BT$96,'Piping Material List'!$DI$3:$DI$96,'Piping Material List'!EL$3:EL$96)+SUMPRODUCT('Piping Material List'!$AF$3:$AF$96,'Piping Material List'!$CS$3:$CS$96,'Piping Material List'!$DI$3:$DI$96,'Piping Material List'!EL$3:EL$96))*IF($C140="d-inches",24,1)*IF($C140="Ø-inches",VLOOKUP(24,'Thickness Tab'!$1:$1048576,17,0),1)</f>
        <v>0</v>
      </c>
      <c r="I140" s="58">
        <f>(SUMPRODUCT('Piping Material List'!$AE$3:$AE$96,'Piping Material List'!$BT$3:$BT$96,'Piping Material List'!$DI$3:$DI$96,'Piping Material List'!EM$3:EM$96)+SUMPRODUCT('Piping Material List'!$AF$3:$AF$96,'Piping Material List'!$CS$3:$CS$96,'Piping Material List'!$DI$3:$DI$96,'Piping Material List'!EM$3:EM$96))*IF($C140="d-inches",24,1)*IF($C140="Ø-inches",VLOOKUP(24,'Thickness Tab'!$1:$1048576,17,0),1)</f>
        <v>0</v>
      </c>
      <c r="J140" s="58">
        <f>(SUMPRODUCT('Piping Material List'!$AE$3:$AE$96,'Piping Material List'!$BT$3:$BT$96,'Piping Material List'!$DI$3:$DI$96,'Piping Material List'!EN$3:EN$96)+SUMPRODUCT('Piping Material List'!$AF$3:$AF$96,'Piping Material List'!$CS$3:$CS$96,'Piping Material List'!$DI$3:$DI$96,'Piping Material List'!EN$3:EN$96))*IF($C140="d-inches",24,1)*IF($C140="Ø-inches",VLOOKUP(24,'Thickness Tab'!$1:$1048576,17,0),1)</f>
        <v>0</v>
      </c>
      <c r="K140" s="739">
        <v>40</v>
      </c>
      <c r="L140" s="37">
        <f t="shared" si="8"/>
        <v>0</v>
      </c>
    </row>
    <row r="141" spans="1:12" x14ac:dyDescent="0.3">
      <c r="A141" s="31" t="s">
        <v>1189</v>
      </c>
      <c r="B141" s="51" t="s">
        <v>1190</v>
      </c>
      <c r="C141" s="1177" t="s">
        <v>1222</v>
      </c>
      <c r="D141" s="58">
        <f>(SUMPRODUCT('Piping Material List'!$AE$3:$AE$96,'Piping Material List'!$BU$3:$BU$96,'Piping Material List'!$DI$3:$DI$96,'Piping Material List'!EH$3:EH$96)+SUMPRODUCT('Piping Material List'!$AF$3:$AF$96,'Piping Material List'!$CS$3:$CS$96,'Piping Material List'!$DI$3:$DI$96,'Piping Material List'!EH$3:EH$96))*IF($C141="d-inches",24,1)*IF($C141="Ø-inches",VLOOKUP(24,'Thickness Tab'!$1:$1048576,17,0),1)</f>
        <v>0</v>
      </c>
      <c r="E141" s="58">
        <f>(SUMPRODUCT('Piping Material List'!$AE$3:$AE$96,'Piping Material List'!$BU$3:$BU$96,'Piping Material List'!$DI$3:$DI$96,'Piping Material List'!EI$3:EI$96)+SUMPRODUCT('Piping Material List'!$AF$3:$AF$96,'Piping Material List'!$CS$3:$CS$96,'Piping Material List'!$DI$3:$DI$96,'Piping Material List'!EI$3:EI$96))*IF($C141="d-inches",24,1)*IF($C141="Ø-inches",VLOOKUP(24,'Thickness Tab'!$1:$1048576,17,0),1)</f>
        <v>0</v>
      </c>
      <c r="F141" s="58">
        <f>(SUMPRODUCT('Piping Material List'!$AE$3:$AE$96,'Piping Material List'!$BU$3:$BU$96,'Piping Material List'!$DI$3:$DI$96,'Piping Material List'!EJ$3:EJ$96)+SUMPRODUCT('Piping Material List'!$AF$3:$AF$96,'Piping Material List'!$CS$3:$CS$96,'Piping Material List'!$DI$3:$DI$96,'Piping Material List'!EJ$3:EJ$96))*IF($C141="d-inches",24,1)*IF($C141="Ø-inches",VLOOKUP(24,'Thickness Tab'!$1:$1048576,17,0),1)</f>
        <v>0</v>
      </c>
      <c r="G141" s="58">
        <f>(SUMPRODUCT('Piping Material List'!$AE$3:$AE$96,'Piping Material List'!$BU$3:$BU$96,'Piping Material List'!$DI$3:$DI$96,'Piping Material List'!EK$3:EK$96)+SUMPRODUCT('Piping Material List'!$AF$3:$AF$96,'Piping Material List'!$CS$3:$CS$96,'Piping Material List'!$DI$3:$DI$96,'Piping Material List'!EK$3:EK$96))*IF($C141="d-inches",24,1)*IF($C141="Ø-inches",VLOOKUP(24,'Thickness Tab'!$1:$1048576,17,0),1)</f>
        <v>0</v>
      </c>
      <c r="H141" s="58">
        <f>(SUMPRODUCT('Piping Material List'!$AE$3:$AE$96,'Piping Material List'!$BU$3:$BU$96,'Piping Material List'!$DI$3:$DI$96,'Piping Material List'!EL$3:EL$96)+SUMPRODUCT('Piping Material List'!$AF$3:$AF$96,'Piping Material List'!$CS$3:$CS$96,'Piping Material List'!$DI$3:$DI$96,'Piping Material List'!EL$3:EL$96))*IF($C141="d-inches",24,1)*IF($C141="Ø-inches",VLOOKUP(24,'Thickness Tab'!$1:$1048576,17,0),1)</f>
        <v>0</v>
      </c>
      <c r="I141" s="58">
        <f>(SUMPRODUCT('Piping Material List'!$AE$3:$AE$96,'Piping Material List'!$BU$3:$BU$96,'Piping Material List'!$DI$3:$DI$96,'Piping Material List'!EM$3:EM$96)+SUMPRODUCT('Piping Material List'!$AF$3:$AF$96,'Piping Material List'!$CS$3:$CS$96,'Piping Material List'!$DI$3:$DI$96,'Piping Material List'!EM$3:EM$96))*IF($C141="d-inches",24,1)*IF($C141="Ø-inches",VLOOKUP(24,'Thickness Tab'!$1:$1048576,17,0),1)</f>
        <v>0</v>
      </c>
      <c r="J141" s="58">
        <f>(SUMPRODUCT('Piping Material List'!$AE$3:$AE$96,'Piping Material List'!$BU$3:$BU$96,'Piping Material List'!$DI$3:$DI$96,'Piping Material List'!EN$3:EN$96)+SUMPRODUCT('Piping Material List'!$AF$3:$AF$96,'Piping Material List'!$CS$3:$CS$96,'Piping Material List'!$DI$3:$DI$96,'Piping Material List'!EN$3:EN$96))*IF($C141="d-inches",24,1)*IF($C141="Ø-inches",VLOOKUP(24,'Thickness Tab'!$1:$1048576,17,0),1)</f>
        <v>0</v>
      </c>
      <c r="K141" s="739">
        <v>40</v>
      </c>
      <c r="L141" s="37">
        <f t="shared" si="8"/>
        <v>0</v>
      </c>
    </row>
    <row r="142" spans="1:12" x14ac:dyDescent="0.3">
      <c r="A142" s="31" t="s">
        <v>1191</v>
      </c>
      <c r="B142" s="51" t="s">
        <v>1192</v>
      </c>
      <c r="C142" s="1177" t="s">
        <v>1222</v>
      </c>
      <c r="D142" s="58">
        <f>(SUMPRODUCT('Piping Material List'!$AE$3:$AE$96,'Piping Material List'!$BV$3:$BV$96,'Piping Material List'!$DI$3:$DI$96,'Piping Material List'!EH$3:EH$96)+SUMPRODUCT('Piping Material List'!$AF$3:$AF$96,'Piping Material List'!$CS$3:$CS$96,'Piping Material List'!$DI$3:$DI$96,'Piping Material List'!EH$3:EH$96))*IF($C142="d-inches",24,1)*IF($C142="Ø-inches",VLOOKUP(24,'Thickness Tab'!$1:$1048576,17,0),1)</f>
        <v>0</v>
      </c>
      <c r="E142" s="58">
        <f>(SUMPRODUCT('Piping Material List'!$AE$3:$AE$96,'Piping Material List'!$BV$3:$BV$96,'Piping Material List'!$DI$3:$DI$96,'Piping Material List'!EI$3:EI$96)+SUMPRODUCT('Piping Material List'!$AF$3:$AF$96,'Piping Material List'!$CS$3:$CS$96,'Piping Material List'!$DI$3:$DI$96,'Piping Material List'!EI$3:EI$96))*IF($C142="d-inches",24,1)*IF($C142="Ø-inches",VLOOKUP(24,'Thickness Tab'!$1:$1048576,17,0),1)</f>
        <v>0</v>
      </c>
      <c r="F142" s="58">
        <f>(SUMPRODUCT('Piping Material List'!$AE$3:$AE$96,'Piping Material List'!$BV$3:$BV$96,'Piping Material List'!$DI$3:$DI$96,'Piping Material List'!EJ$3:EJ$96)+SUMPRODUCT('Piping Material List'!$AF$3:$AF$96,'Piping Material List'!$CS$3:$CS$96,'Piping Material List'!$DI$3:$DI$96,'Piping Material List'!EJ$3:EJ$96))*IF($C142="d-inches",24,1)*IF($C142="Ø-inches",VLOOKUP(24,'Thickness Tab'!$1:$1048576,17,0),1)</f>
        <v>0</v>
      </c>
      <c r="G142" s="58">
        <f>(SUMPRODUCT('Piping Material List'!$AE$3:$AE$96,'Piping Material List'!$BV$3:$BV$96,'Piping Material List'!$DI$3:$DI$96,'Piping Material List'!EK$3:EK$96)+SUMPRODUCT('Piping Material List'!$AF$3:$AF$96,'Piping Material List'!$CS$3:$CS$96,'Piping Material List'!$DI$3:$DI$96,'Piping Material List'!EK$3:EK$96))*IF($C142="d-inches",24,1)*IF($C142="Ø-inches",VLOOKUP(24,'Thickness Tab'!$1:$1048576,17,0),1)</f>
        <v>0</v>
      </c>
      <c r="H142" s="58">
        <f>(SUMPRODUCT('Piping Material List'!$AE$3:$AE$96,'Piping Material List'!$BV$3:$BV$96,'Piping Material List'!$DI$3:$DI$96,'Piping Material List'!EL$3:EL$96)+SUMPRODUCT('Piping Material List'!$AF$3:$AF$96,'Piping Material List'!$CS$3:$CS$96,'Piping Material List'!$DI$3:$DI$96,'Piping Material List'!EL$3:EL$96))*IF($C142="d-inches",24,1)*IF($C142="Ø-inches",VLOOKUP(24,'Thickness Tab'!$1:$1048576,17,0),1)</f>
        <v>0</v>
      </c>
      <c r="I142" s="58">
        <f>(SUMPRODUCT('Piping Material List'!$AE$3:$AE$96,'Piping Material List'!$BV$3:$BV$96,'Piping Material List'!$DI$3:$DI$96,'Piping Material List'!EM$3:EM$96)+SUMPRODUCT('Piping Material List'!$AF$3:$AF$96,'Piping Material List'!$CS$3:$CS$96,'Piping Material List'!$DI$3:$DI$96,'Piping Material List'!EM$3:EM$96))*IF($C142="d-inches",24,1)*IF($C142="Ø-inches",VLOOKUP(24,'Thickness Tab'!$1:$1048576,17,0),1)</f>
        <v>0</v>
      </c>
      <c r="J142" s="58">
        <f>(SUMPRODUCT('Piping Material List'!$AE$3:$AE$96,'Piping Material List'!$BV$3:$BV$96,'Piping Material List'!$DI$3:$DI$96,'Piping Material List'!EN$3:EN$96)+SUMPRODUCT('Piping Material List'!$AF$3:$AF$96,'Piping Material List'!$CS$3:$CS$96,'Piping Material List'!$DI$3:$DI$96,'Piping Material List'!EN$3:EN$96))*IF($C142="d-inches",24,1)*IF($C142="Ø-inches",VLOOKUP(24,'Thickness Tab'!$1:$1048576,17,0),1)</f>
        <v>0</v>
      </c>
      <c r="K142" s="739">
        <v>40</v>
      </c>
      <c r="L142" s="37">
        <f t="shared" si="8"/>
        <v>0</v>
      </c>
    </row>
    <row r="143" spans="1:12" x14ac:dyDescent="0.3">
      <c r="A143" s="31" t="s">
        <v>1193</v>
      </c>
      <c r="B143" s="51" t="s">
        <v>1194</v>
      </c>
      <c r="C143" s="1177" t="s">
        <v>1222</v>
      </c>
      <c r="D143" s="58">
        <f>(SUMPRODUCT('Piping Material List'!$AE$3:$AE$96,'Piping Material List'!$BW$3:$BW$96,'Piping Material List'!$DI$3:$DI$96,'Piping Material List'!EH$3:EH$96)+SUMPRODUCT('Piping Material List'!$AF$3:$AF$96,'Piping Material List'!$CS$3:$CS$96,'Piping Material List'!$DI$3:$DI$96,'Piping Material List'!EH$3:EH$96))*IF($C143="d-inches",24,1)*IF($C143="Ø-inches",VLOOKUP(24,'Thickness Tab'!$1:$1048576,17,0),1)</f>
        <v>0</v>
      </c>
      <c r="E143" s="58">
        <f>(SUMPRODUCT('Piping Material List'!$AE$3:$AE$96,'Piping Material List'!$BW$3:$BW$96,'Piping Material List'!$DI$3:$DI$96,'Piping Material List'!EI$3:EI$96)+SUMPRODUCT('Piping Material List'!$AF$3:$AF$96,'Piping Material List'!$CS$3:$CS$96,'Piping Material List'!$DI$3:$DI$96,'Piping Material List'!EI$3:EI$96))*IF($C143="d-inches",24,1)*IF($C143="Ø-inches",VLOOKUP(24,'Thickness Tab'!$1:$1048576,17,0),1)</f>
        <v>0</v>
      </c>
      <c r="F143" s="58">
        <f>(SUMPRODUCT('Piping Material List'!$AE$3:$AE$96,'Piping Material List'!$BW$3:$BW$96,'Piping Material List'!$DI$3:$DI$96,'Piping Material List'!EJ$3:EJ$96)+SUMPRODUCT('Piping Material List'!$AF$3:$AF$96,'Piping Material List'!$CS$3:$CS$96,'Piping Material List'!$DI$3:$DI$96,'Piping Material List'!EJ$3:EJ$96))*IF($C143="d-inches",24,1)*IF($C143="Ø-inches",VLOOKUP(24,'Thickness Tab'!$1:$1048576,17,0),1)</f>
        <v>0</v>
      </c>
      <c r="G143" s="58">
        <f>(SUMPRODUCT('Piping Material List'!$AE$3:$AE$96,'Piping Material List'!$BW$3:$BW$96,'Piping Material List'!$DI$3:$DI$96,'Piping Material List'!EK$3:EK$96)+SUMPRODUCT('Piping Material List'!$AF$3:$AF$96,'Piping Material List'!$CS$3:$CS$96,'Piping Material List'!$DI$3:$DI$96,'Piping Material List'!EK$3:EK$96))*IF($C143="d-inches",24,1)*IF($C143="Ø-inches",VLOOKUP(24,'Thickness Tab'!$1:$1048576,17,0),1)</f>
        <v>0</v>
      </c>
      <c r="H143" s="58">
        <f>(SUMPRODUCT('Piping Material List'!$AE$3:$AE$96,'Piping Material List'!$BW$3:$BW$96,'Piping Material List'!$DI$3:$DI$96,'Piping Material List'!EL$3:EL$96)+SUMPRODUCT('Piping Material List'!$AF$3:$AF$96,'Piping Material List'!$CS$3:$CS$96,'Piping Material List'!$DI$3:$DI$96,'Piping Material List'!EL$3:EL$96))*IF($C143="d-inches",24,1)*IF($C143="Ø-inches",VLOOKUP(24,'Thickness Tab'!$1:$1048576,17,0),1)</f>
        <v>0</v>
      </c>
      <c r="I143" s="58">
        <f>(SUMPRODUCT('Piping Material List'!$AE$3:$AE$96,'Piping Material List'!$BW$3:$BW$96,'Piping Material List'!$DI$3:$DI$96,'Piping Material List'!EM$3:EM$96)+SUMPRODUCT('Piping Material List'!$AF$3:$AF$96,'Piping Material List'!$CS$3:$CS$96,'Piping Material List'!$DI$3:$DI$96,'Piping Material List'!EM$3:EM$96))*IF($C143="d-inches",24,1)*IF($C143="Ø-inches",VLOOKUP(24,'Thickness Tab'!$1:$1048576,17,0),1)</f>
        <v>0</v>
      </c>
      <c r="J143" s="58">
        <f>(SUMPRODUCT('Piping Material List'!$AE$3:$AE$96,'Piping Material List'!$BW$3:$BW$96,'Piping Material List'!$DI$3:$DI$96,'Piping Material List'!EN$3:EN$96)+SUMPRODUCT('Piping Material List'!$AF$3:$AF$96,'Piping Material List'!$CS$3:$CS$96,'Piping Material List'!$DI$3:$DI$96,'Piping Material List'!EN$3:EN$96))*IF($C143="d-inches",24,1)*IF($C143="Ø-inches",VLOOKUP(24,'Thickness Tab'!$1:$1048576,17,0),1)</f>
        <v>0</v>
      </c>
      <c r="K143" s="739">
        <v>40</v>
      </c>
      <c r="L143" s="37">
        <f t="shared" si="8"/>
        <v>0</v>
      </c>
    </row>
    <row r="144" spans="1:12" x14ac:dyDescent="0.3">
      <c r="A144" s="31" t="s">
        <v>1195</v>
      </c>
      <c r="B144" s="51" t="s">
        <v>1196</v>
      </c>
      <c r="C144" s="1177" t="s">
        <v>1222</v>
      </c>
      <c r="D144" s="58">
        <f>(SUMPRODUCT('Piping Material List'!$AE$3:$AE$96,'Piping Material List'!$BX$3:$BX$96,'Piping Material List'!$DI$3:$DI$96,'Piping Material List'!EH$3:EH$96)+SUMPRODUCT('Piping Material List'!$AF$3:$AF$96,'Piping Material List'!$CS$3:$CS$96,'Piping Material List'!$DI$3:$DI$96,'Piping Material List'!EH$3:EH$96))*IF($C144="d-inches",24,1)*IF($C144="Ø-inches",VLOOKUP(24,'Thickness Tab'!$1:$1048576,17,0),1)</f>
        <v>0</v>
      </c>
      <c r="E144" s="58">
        <f>(SUMPRODUCT('Piping Material List'!$AE$3:$AE$96,'Piping Material List'!$BX$3:$BX$96,'Piping Material List'!$DI$3:$DI$96,'Piping Material List'!EI$3:EI$96)+SUMPRODUCT('Piping Material List'!$AF$3:$AF$96,'Piping Material List'!$CS$3:$CS$96,'Piping Material List'!$DI$3:$DI$96,'Piping Material List'!EI$3:EI$96))*IF($C144="d-inches",24,1)*IF($C144="Ø-inches",VLOOKUP(24,'Thickness Tab'!$1:$1048576,17,0),1)</f>
        <v>0</v>
      </c>
      <c r="F144" s="58">
        <f>(SUMPRODUCT('Piping Material List'!$AE$3:$AE$96,'Piping Material List'!$BX$3:$BX$96,'Piping Material List'!$DI$3:$DI$96,'Piping Material List'!EJ$3:EJ$96)+SUMPRODUCT('Piping Material List'!$AF$3:$AF$96,'Piping Material List'!$CS$3:$CS$96,'Piping Material List'!$DI$3:$DI$96,'Piping Material List'!EJ$3:EJ$96))*IF($C144="d-inches",24,1)*IF($C144="Ø-inches",VLOOKUP(24,'Thickness Tab'!$1:$1048576,17,0),1)</f>
        <v>0</v>
      </c>
      <c r="G144" s="58">
        <f>(SUMPRODUCT('Piping Material List'!$AE$3:$AE$96,'Piping Material List'!$BX$3:$BX$96,'Piping Material List'!$DI$3:$DI$96,'Piping Material List'!EK$3:EK$96)+SUMPRODUCT('Piping Material List'!$AF$3:$AF$96,'Piping Material List'!$CS$3:$CS$96,'Piping Material List'!$DI$3:$DI$96,'Piping Material List'!EK$3:EK$96))*IF($C144="d-inches",24,1)*IF($C144="Ø-inches",VLOOKUP(24,'Thickness Tab'!$1:$1048576,17,0),1)</f>
        <v>0</v>
      </c>
      <c r="H144" s="58">
        <f>(SUMPRODUCT('Piping Material List'!$AE$3:$AE$96,'Piping Material List'!$BX$3:$BX$96,'Piping Material List'!$DI$3:$DI$96,'Piping Material List'!EL$3:EL$96)+SUMPRODUCT('Piping Material List'!$AF$3:$AF$96,'Piping Material List'!$CS$3:$CS$96,'Piping Material List'!$DI$3:$DI$96,'Piping Material List'!EL$3:EL$96))*IF($C144="d-inches",24,1)*IF($C144="Ø-inches",VLOOKUP(24,'Thickness Tab'!$1:$1048576,17,0),1)</f>
        <v>0</v>
      </c>
      <c r="I144" s="58">
        <f>(SUMPRODUCT('Piping Material List'!$AE$3:$AE$96,'Piping Material List'!$BX$3:$BX$96,'Piping Material List'!$DI$3:$DI$96,'Piping Material List'!EM$3:EM$96)+SUMPRODUCT('Piping Material List'!$AF$3:$AF$96,'Piping Material List'!$CS$3:$CS$96,'Piping Material List'!$DI$3:$DI$96,'Piping Material List'!EM$3:EM$96))*IF($C144="d-inches",24,1)*IF($C144="Ø-inches",VLOOKUP(24,'Thickness Tab'!$1:$1048576,17,0),1)</f>
        <v>0</v>
      </c>
      <c r="J144" s="58">
        <f>(SUMPRODUCT('Piping Material List'!$AE$3:$AE$96,'Piping Material List'!$BX$3:$BX$96,'Piping Material List'!$DI$3:$DI$96,'Piping Material List'!EN$3:EN$96)+SUMPRODUCT('Piping Material List'!$AF$3:$AF$96,'Piping Material List'!$CS$3:$CS$96,'Piping Material List'!$DI$3:$DI$96,'Piping Material List'!EN$3:EN$96))*IF($C144="d-inches",24,1)*IF($C144="Ø-inches",VLOOKUP(24,'Thickness Tab'!$1:$1048576,17,0),1)</f>
        <v>0</v>
      </c>
      <c r="K144" s="739">
        <v>40</v>
      </c>
      <c r="L144" s="37">
        <f t="shared" si="8"/>
        <v>0</v>
      </c>
    </row>
    <row r="145" spans="1:12" x14ac:dyDescent="0.3">
      <c r="A145" s="31" t="s">
        <v>1197</v>
      </c>
      <c r="B145" s="51" t="s">
        <v>1198</v>
      </c>
      <c r="C145" s="1177" t="s">
        <v>1222</v>
      </c>
      <c r="D145" s="58">
        <f>(SUMPRODUCT('Piping Material List'!$AE$3:$AE$96,'Piping Material List'!$BY$3:$BY$96,'Piping Material List'!$DI$3:$DI$96,'Piping Material List'!EH$3:EH$96)+SUMPRODUCT('Piping Material List'!$AF$3:$AF$96,'Piping Material List'!$CS$3:$CS$96,'Piping Material List'!$DI$3:$DI$96,'Piping Material List'!EH$3:EH$96))*IF($C145="d-inches",24,1)*IF($C145="Ø-inches",VLOOKUP(24,'Thickness Tab'!$1:$1048576,17,0),1)</f>
        <v>0</v>
      </c>
      <c r="E145" s="58">
        <f>(SUMPRODUCT('Piping Material List'!$AE$3:$AE$96,'Piping Material List'!$BY$3:$BY$96,'Piping Material List'!$DI$3:$DI$96,'Piping Material List'!EI$3:EI$96)+SUMPRODUCT('Piping Material List'!$AF$3:$AF$96,'Piping Material List'!$CS$3:$CS$96,'Piping Material List'!$DI$3:$DI$96,'Piping Material List'!EI$3:EI$96))*IF($C145="d-inches",24,1)*IF($C145="Ø-inches",VLOOKUP(24,'Thickness Tab'!$1:$1048576,17,0),1)</f>
        <v>0</v>
      </c>
      <c r="F145" s="58">
        <f>(SUMPRODUCT('Piping Material List'!$AE$3:$AE$96,'Piping Material List'!$BY$3:$BY$96,'Piping Material List'!$DI$3:$DI$96,'Piping Material List'!EJ$3:EJ$96)+SUMPRODUCT('Piping Material List'!$AF$3:$AF$96,'Piping Material List'!$CS$3:$CS$96,'Piping Material List'!$DI$3:$DI$96,'Piping Material List'!EJ$3:EJ$96))*IF($C145="d-inches",24,1)*IF($C145="Ø-inches",VLOOKUP(24,'Thickness Tab'!$1:$1048576,17,0),1)</f>
        <v>0</v>
      </c>
      <c r="G145" s="58">
        <f>(SUMPRODUCT('Piping Material List'!$AE$3:$AE$96,'Piping Material List'!$BY$3:$BY$96,'Piping Material List'!$DI$3:$DI$96,'Piping Material List'!EK$3:EK$96)+SUMPRODUCT('Piping Material List'!$AF$3:$AF$96,'Piping Material List'!$CS$3:$CS$96,'Piping Material List'!$DI$3:$DI$96,'Piping Material List'!EK$3:EK$96))*IF($C145="d-inches",24,1)*IF($C145="Ø-inches",VLOOKUP(24,'Thickness Tab'!$1:$1048576,17,0),1)</f>
        <v>0</v>
      </c>
      <c r="H145" s="58">
        <f>(SUMPRODUCT('Piping Material List'!$AE$3:$AE$96,'Piping Material List'!$BY$3:$BY$96,'Piping Material List'!$DI$3:$DI$96,'Piping Material List'!EL$3:EL$96)+SUMPRODUCT('Piping Material List'!$AF$3:$AF$96,'Piping Material List'!$CS$3:$CS$96,'Piping Material List'!$DI$3:$DI$96,'Piping Material List'!EL$3:EL$96))*IF($C145="d-inches",24,1)*IF($C145="Ø-inches",VLOOKUP(24,'Thickness Tab'!$1:$1048576,17,0),1)</f>
        <v>0</v>
      </c>
      <c r="I145" s="58">
        <f>(SUMPRODUCT('Piping Material List'!$AE$3:$AE$96,'Piping Material List'!$BY$3:$BY$96,'Piping Material List'!$DI$3:$DI$96,'Piping Material List'!EM$3:EM$96)+SUMPRODUCT('Piping Material List'!$AF$3:$AF$96,'Piping Material List'!$CS$3:$CS$96,'Piping Material List'!$DI$3:$DI$96,'Piping Material List'!EM$3:EM$96))*IF($C145="d-inches",24,1)*IF($C145="Ø-inches",VLOOKUP(24,'Thickness Tab'!$1:$1048576,17,0),1)</f>
        <v>0</v>
      </c>
      <c r="J145" s="58">
        <f>(SUMPRODUCT('Piping Material List'!$AE$3:$AE$96,'Piping Material List'!$BY$3:$BY$96,'Piping Material List'!$DI$3:$DI$96,'Piping Material List'!EN$3:EN$96)+SUMPRODUCT('Piping Material List'!$AF$3:$AF$96,'Piping Material List'!$CS$3:$CS$96,'Piping Material List'!$DI$3:$DI$96,'Piping Material List'!EN$3:EN$96))*IF($C145="d-inches",24,1)*IF($C145="Ø-inches",VLOOKUP(24,'Thickness Tab'!$1:$1048576,17,0),1)</f>
        <v>0</v>
      </c>
      <c r="K145" s="739">
        <v>40</v>
      </c>
      <c r="L145" s="37">
        <f t="shared" si="8"/>
        <v>0</v>
      </c>
    </row>
    <row r="146" spans="1:12" x14ac:dyDescent="0.3">
      <c r="A146" s="31" t="s">
        <v>1199</v>
      </c>
      <c r="B146" s="51" t="s">
        <v>1200</v>
      </c>
      <c r="C146" s="1177" t="s">
        <v>1222</v>
      </c>
      <c r="D146" s="58">
        <f>(SUMPRODUCT('Piping Material List'!$AE$3:$AE$96,'Piping Material List'!$BZ$3:$BZ$96,'Piping Material List'!$DI$3:$DI$96,'Piping Material List'!EH$3:EH$96)+SUMPRODUCT('Piping Material List'!$AF$3:$AF$96,'Piping Material List'!$DB$3:$DB$96,'Piping Material List'!$DI$3:$DI$96,'Piping Material List'!EH$3:EH$96))*IF($C146="d-inches",22,1)*IF($C146="Ø-inches",VLOOKUP(22,'Thickness Tab'!$1:$1048576,17,0),1)</f>
        <v>0</v>
      </c>
      <c r="E146" s="58">
        <f>(SUMPRODUCT('Piping Material List'!$AE$3:$AE$96,'Piping Material List'!$BZ$3:$BZ$96,'Piping Material List'!$DI$3:$DI$96,'Piping Material List'!EI$3:EI$96)+SUMPRODUCT('Piping Material List'!$AF$3:$AF$96,'Piping Material List'!$DB$3:$DB$96,'Piping Material List'!$DI$3:$DI$96,'Piping Material List'!EI$3:EI$96))*IF($C146="d-inches",22,1)*IF($C146="Ø-inches",VLOOKUP(22,'Thickness Tab'!$1:$1048576,17,0),1)</f>
        <v>0</v>
      </c>
      <c r="F146" s="58">
        <f>(SUMPRODUCT('Piping Material List'!$AE$3:$AE$96,'Piping Material List'!$BZ$3:$BZ$96,'Piping Material List'!$DI$3:$DI$96,'Piping Material List'!EJ$3:EJ$96)+SUMPRODUCT('Piping Material List'!$AF$3:$AF$96,'Piping Material List'!$DB$3:$DB$96,'Piping Material List'!$DI$3:$DI$96,'Piping Material List'!EJ$3:EJ$96))*IF($C146="d-inches",22,1)*IF($C146="Ø-inches",VLOOKUP(22,'Thickness Tab'!$1:$1048576,17,0),1)</f>
        <v>0</v>
      </c>
      <c r="G146" s="58">
        <f>(SUMPRODUCT('Piping Material List'!$AE$3:$AE$96,'Piping Material List'!$BZ$3:$BZ$96,'Piping Material List'!$DI$3:$DI$96,'Piping Material List'!EK$3:EK$96)+SUMPRODUCT('Piping Material List'!$AF$3:$AF$96,'Piping Material List'!$DB$3:$DB$96,'Piping Material List'!$DI$3:$DI$96,'Piping Material List'!EK$3:EK$96))*IF($C146="d-inches",22,1)*IF($C146="Ø-inches",VLOOKUP(22,'Thickness Tab'!$1:$1048576,17,0),1)</f>
        <v>0</v>
      </c>
      <c r="H146" s="58">
        <f>(SUMPRODUCT('Piping Material List'!$AE$3:$AE$96,'Piping Material List'!$BZ$3:$BZ$96,'Piping Material List'!$DI$3:$DI$96,'Piping Material List'!EL$3:EL$96)+SUMPRODUCT('Piping Material List'!$AF$3:$AF$96,'Piping Material List'!$DB$3:$DB$96,'Piping Material List'!$DI$3:$DI$96,'Piping Material List'!EL$3:EL$96))*IF($C146="d-inches",22,1)*IF($C146="Ø-inches",VLOOKUP(22,'Thickness Tab'!$1:$1048576,17,0),1)</f>
        <v>0</v>
      </c>
      <c r="I146" s="58">
        <f>(SUMPRODUCT('Piping Material List'!$AE$3:$AE$96,'Piping Material List'!$BZ$3:$BZ$96,'Piping Material List'!$DI$3:$DI$96,'Piping Material List'!EM$3:EM$96)+SUMPRODUCT('Piping Material List'!$AF$3:$AF$96,'Piping Material List'!$DB$3:$DB$96,'Piping Material List'!$DI$3:$DI$96,'Piping Material List'!EM$3:EM$96))*IF($C146="d-inches",22,1)*IF($C146="Ø-inches",VLOOKUP(22,'Thickness Tab'!$1:$1048576,17,0),1)</f>
        <v>0</v>
      </c>
      <c r="J146" s="58">
        <f>(SUMPRODUCT('Piping Material List'!$AE$3:$AE$96,'Piping Material List'!$BZ$3:$BZ$96,'Piping Material List'!$DI$3:$DI$96,'Piping Material List'!EN$3:EN$96)+SUMPRODUCT('Piping Material List'!$AF$3:$AF$96,'Piping Material List'!$DB$3:$DB$96,'Piping Material List'!$DI$3:$DI$96,'Piping Material List'!EN$3:EN$96))*IF($C146="d-inches",22,1)*IF($C146="Ø-inches",VLOOKUP(22,'Thickness Tab'!$1:$1048576,17,0),1)</f>
        <v>0</v>
      </c>
      <c r="K146" s="739">
        <v>40</v>
      </c>
      <c r="L146" s="37">
        <f t="shared" si="8"/>
        <v>0</v>
      </c>
    </row>
    <row r="147" spans="1:12" ht="16.2" thickBot="1" x14ac:dyDescent="0.35">
      <c r="A147" s="1474" t="s">
        <v>1260</v>
      </c>
      <c r="B147" s="1479" t="s">
        <v>1261</v>
      </c>
      <c r="C147" s="1480"/>
      <c r="D147" s="1481"/>
      <c r="E147" s="1481"/>
      <c r="F147" s="1481"/>
      <c r="G147" s="1481"/>
      <c r="H147" s="1481"/>
      <c r="I147" s="1481"/>
      <c r="J147" s="1481"/>
      <c r="K147" s="1482"/>
      <c r="L147" s="1407"/>
    </row>
    <row r="148" spans="1:12" ht="16.2" thickBot="1" x14ac:dyDescent="0.35">
      <c r="A148" s="1474" t="s">
        <v>1262</v>
      </c>
      <c r="B148" s="1492" t="s">
        <v>1263</v>
      </c>
      <c r="C148" s="1480"/>
      <c r="D148" s="1481"/>
      <c r="E148" s="1481"/>
      <c r="F148" s="1481"/>
      <c r="G148" s="1481"/>
      <c r="H148" s="1481"/>
      <c r="I148" s="1481"/>
      <c r="J148" s="1481"/>
      <c r="K148" s="1482"/>
      <c r="L148" s="1131">
        <f>SUM(L149:L166)</f>
        <v>1950</v>
      </c>
    </row>
    <row r="149" spans="1:12" x14ac:dyDescent="0.3">
      <c r="A149" s="31" t="s">
        <v>1264</v>
      </c>
      <c r="B149" s="51" t="s">
        <v>1265</v>
      </c>
      <c r="C149" s="33" t="s">
        <v>1222</v>
      </c>
      <c r="D149" s="28"/>
      <c r="E149" s="29"/>
      <c r="F149" s="29"/>
      <c r="G149" s="29"/>
      <c r="H149" s="29"/>
      <c r="I149" s="29"/>
      <c r="J149" s="52">
        <f>CEILING((SUMPRODUCT('Piping Material List'!$AE$3:$AE$96,'Piping Material List'!$AH$3:$AH$96,'Piping Material List'!$AZ$3:$AZ$96)+SUMPRODUCT('Piping Material List'!$AF$3:$AF$96,'Piping Material List'!$AH$3:$AH$96,'Piping Material List'!$CC$3:$CC$96)),1)</f>
        <v>0</v>
      </c>
      <c r="K149" s="739">
        <v>12</v>
      </c>
      <c r="L149" s="923">
        <f t="shared" ref="L149:L175" si="9">J149*K149</f>
        <v>0</v>
      </c>
    </row>
    <row r="150" spans="1:12" x14ac:dyDescent="0.3">
      <c r="A150" s="31" t="s">
        <v>1266</v>
      </c>
      <c r="B150" s="51" t="s">
        <v>1267</v>
      </c>
      <c r="C150" s="33" t="s">
        <v>1222</v>
      </c>
      <c r="D150" s="34"/>
      <c r="E150" s="35"/>
      <c r="F150" s="35"/>
      <c r="G150" s="35"/>
      <c r="H150" s="35"/>
      <c r="I150" s="35"/>
      <c r="J150" s="53">
        <f>CEILING((SUMPRODUCT('Piping Material List'!$AE$3:$AE$96,'Piping Material List'!$AH$3:$AH$96,'Piping Material List'!$BA$3:$BA$96)+SUMPRODUCT('Piping Material List'!$AF$3:$AF$96,'Piping Material List'!$AH$3:$AH$96,'Piping Material List'!$CC$3:$CC$96)),1)</f>
        <v>0</v>
      </c>
      <c r="K150" s="739">
        <v>12</v>
      </c>
      <c r="L150" s="37">
        <f t="shared" si="9"/>
        <v>0</v>
      </c>
    </row>
    <row r="151" spans="1:12" x14ac:dyDescent="0.3">
      <c r="A151" s="31" t="s">
        <v>1268</v>
      </c>
      <c r="B151" s="51" t="s">
        <v>1269</v>
      </c>
      <c r="C151" s="33" t="s">
        <v>1222</v>
      </c>
      <c r="D151" s="34"/>
      <c r="E151" s="35"/>
      <c r="F151" s="35"/>
      <c r="G151" s="35"/>
      <c r="H151" s="35"/>
      <c r="I151" s="35"/>
      <c r="J151" s="53">
        <f>CEILING((SUMPRODUCT('Piping Material List'!$AE$3:$AE$96,'Piping Material List'!$AH$3:$AH$96,'Piping Material List'!$BB$3:$BB$96)+SUMPRODUCT('Piping Material List'!$AF$3:$AF$96,'Piping Material List'!$AH$3:$AH$96,'Piping Material List'!$CD$3:$CD$96)),1)</f>
        <v>0</v>
      </c>
      <c r="K151" s="739">
        <v>50</v>
      </c>
      <c r="L151" s="37">
        <f t="shared" si="9"/>
        <v>0</v>
      </c>
    </row>
    <row r="152" spans="1:12" x14ac:dyDescent="0.3">
      <c r="A152" s="31" t="s">
        <v>1270</v>
      </c>
      <c r="B152" s="51" t="s">
        <v>1271</v>
      </c>
      <c r="C152" s="33" t="s">
        <v>1222</v>
      </c>
      <c r="D152" s="34"/>
      <c r="E152" s="35"/>
      <c r="F152" s="35"/>
      <c r="G152" s="35"/>
      <c r="H152" s="35"/>
      <c r="I152" s="35"/>
      <c r="J152" s="53">
        <f>CEILING((SUMPRODUCT('Piping Material List'!$AE$3:$AE$96,'Piping Material List'!$AH$3:$AH$96,'Piping Material List'!$BC$3:$BC$96)+SUMPRODUCT('Piping Material List'!$AF$3:$AF$96,'Piping Material List'!$AH$3:$AH$96,'Piping Material List'!$CE$3:$CE$96)),1)</f>
        <v>0</v>
      </c>
      <c r="K152" s="739">
        <v>50</v>
      </c>
      <c r="L152" s="37">
        <f t="shared" si="9"/>
        <v>0</v>
      </c>
    </row>
    <row r="153" spans="1:12" x14ac:dyDescent="0.3">
      <c r="A153" s="31" t="s">
        <v>1272</v>
      </c>
      <c r="B153" s="51" t="s">
        <v>1273</v>
      </c>
      <c r="C153" s="33" t="s">
        <v>1222</v>
      </c>
      <c r="D153" s="34"/>
      <c r="E153" s="35"/>
      <c r="F153" s="35"/>
      <c r="G153" s="35"/>
      <c r="H153" s="35"/>
      <c r="I153" s="35"/>
      <c r="J153" s="53">
        <f>CEILING((SUMPRODUCT('Piping Material List'!$AE$3:$AE$96,'Piping Material List'!$AH$3:$AH$96,'Piping Material List'!$BD$3:$BD$96)+SUMPRODUCT('Piping Material List'!$AF$3:$AF$96,'Piping Material List'!$AH$3:$AH$96,'Piping Material List'!$CF$3:$CF$96)),1)</f>
        <v>0</v>
      </c>
      <c r="K153" s="739">
        <v>50</v>
      </c>
      <c r="L153" s="37">
        <f t="shared" si="9"/>
        <v>0</v>
      </c>
    </row>
    <row r="154" spans="1:12" x14ac:dyDescent="0.3">
      <c r="A154" s="31" t="s">
        <v>1274</v>
      </c>
      <c r="B154" s="51" t="s">
        <v>1275</v>
      </c>
      <c r="C154" s="33" t="s">
        <v>1222</v>
      </c>
      <c r="D154" s="34"/>
      <c r="E154" s="35"/>
      <c r="F154" s="35"/>
      <c r="G154" s="35"/>
      <c r="H154" s="35"/>
      <c r="I154" s="35"/>
      <c r="J154" s="53">
        <f>CEILING((SUMPRODUCT('Piping Material List'!$AE$3:$AE$96,'Piping Material List'!$AH$3:$AH$96,'Piping Material List'!$BE$3:$BE$96)+SUMPRODUCT('Piping Material List'!$AF$3:$AF$96,'Piping Material List'!$AH$3:$AH$96,'Piping Material List'!$CG$3:$CG$96)),1)</f>
        <v>0</v>
      </c>
      <c r="K154" s="739">
        <v>12</v>
      </c>
      <c r="L154" s="37">
        <f t="shared" si="9"/>
        <v>0</v>
      </c>
    </row>
    <row r="155" spans="1:12" x14ac:dyDescent="0.3">
      <c r="A155" s="31" t="s">
        <v>1276</v>
      </c>
      <c r="B155" s="51" t="s">
        <v>1277</v>
      </c>
      <c r="C155" s="33" t="s">
        <v>1222</v>
      </c>
      <c r="D155" s="34"/>
      <c r="E155" s="35"/>
      <c r="F155" s="35"/>
      <c r="G155" s="35"/>
      <c r="H155" s="35"/>
      <c r="I155" s="35"/>
      <c r="J155" s="53">
        <f>CEILING((SUMPRODUCT('Piping Material List'!$AE$3:$AE$96,'Piping Material List'!$AH$3:$AH$96,'Piping Material List'!$BF$3:$BF$96)+SUMPRODUCT('Piping Material List'!$AF$3:$AF$96,'Piping Material List'!$AH$3:$AH$96,'Piping Material List'!$CH$3:$CH$96)),1)</f>
        <v>16</v>
      </c>
      <c r="K155" s="739">
        <v>50</v>
      </c>
      <c r="L155" s="37">
        <f t="shared" si="9"/>
        <v>800</v>
      </c>
    </row>
    <row r="156" spans="1:12" x14ac:dyDescent="0.3">
      <c r="A156" s="31" t="s">
        <v>1278</v>
      </c>
      <c r="B156" s="51" t="s">
        <v>1279</v>
      </c>
      <c r="C156" s="33" t="s">
        <v>1222</v>
      </c>
      <c r="D156" s="34"/>
      <c r="E156" s="35"/>
      <c r="F156" s="35"/>
      <c r="G156" s="35"/>
      <c r="H156" s="35"/>
      <c r="I156" s="35"/>
      <c r="J156" s="53">
        <f>CEILING((SUMPRODUCT('Piping Material List'!$AE$3:$AE$96,'Piping Material List'!$AH$3:$AH$96,'Piping Material List'!$BG$3:$BG$96)+SUMPRODUCT('Piping Material List'!$AF$3:$AF$96,'Piping Material List'!$AH$3:$AH$96,'Piping Material List'!$CI$3:$CI$96)),1)</f>
        <v>7</v>
      </c>
      <c r="K156" s="739">
        <v>50</v>
      </c>
      <c r="L156" s="37">
        <f t="shared" si="9"/>
        <v>350</v>
      </c>
    </row>
    <row r="157" spans="1:12" x14ac:dyDescent="0.3">
      <c r="A157" s="31" t="s">
        <v>1280</v>
      </c>
      <c r="B157" s="51" t="s">
        <v>1281</v>
      </c>
      <c r="C157" s="33" t="s">
        <v>1222</v>
      </c>
      <c r="D157" s="34"/>
      <c r="E157" s="35"/>
      <c r="F157" s="35"/>
      <c r="G157" s="35"/>
      <c r="H157" s="35"/>
      <c r="I157" s="35"/>
      <c r="J157" s="53">
        <f>CEILING((SUMPRODUCT('Piping Material List'!$AE$3:$AE$96,'Piping Material List'!$AH$3:$AH$96,'Piping Material List'!$BH$3:$BH$96)+SUMPRODUCT('Piping Material List'!$AF$3:$AF$96,'Piping Material List'!$AH$3:$AH$96,'Piping Material List'!$CJ$3:$CJ$96)),1)</f>
        <v>16</v>
      </c>
      <c r="K157" s="739">
        <v>50</v>
      </c>
      <c r="L157" s="37">
        <f t="shared" si="9"/>
        <v>800</v>
      </c>
    </row>
    <row r="158" spans="1:12" x14ac:dyDescent="0.3">
      <c r="A158" s="31" t="s">
        <v>1282</v>
      </c>
      <c r="B158" s="51" t="s">
        <v>1283</v>
      </c>
      <c r="C158" s="33" t="s">
        <v>1222</v>
      </c>
      <c r="D158" s="34"/>
      <c r="E158" s="35"/>
      <c r="F158" s="35"/>
      <c r="G158" s="35"/>
      <c r="H158" s="35"/>
      <c r="I158" s="35"/>
      <c r="J158" s="53">
        <f>CEILING((SUMPRODUCT('Piping Material List'!$AE$3:$AE$96,'Piping Material List'!$AH$3:$AH$96,'Piping Material List'!$BI$3:$BI$96)+SUMPRODUCT('Piping Material List'!$AF$3:$AF$96,'Piping Material List'!$AH$3:$AH$96,'Piping Material List'!$CK$3:$CK$96)),1)</f>
        <v>0</v>
      </c>
      <c r="K158" s="739">
        <v>12</v>
      </c>
      <c r="L158" s="37">
        <f t="shared" si="9"/>
        <v>0</v>
      </c>
    </row>
    <row r="159" spans="1:12" x14ac:dyDescent="0.3">
      <c r="A159" s="31" t="s">
        <v>1284</v>
      </c>
      <c r="B159" s="51" t="s">
        <v>1285</v>
      </c>
      <c r="C159" s="33" t="s">
        <v>1222</v>
      </c>
      <c r="D159" s="34"/>
      <c r="E159" s="35"/>
      <c r="F159" s="35"/>
      <c r="G159" s="35"/>
      <c r="H159" s="35"/>
      <c r="I159" s="35"/>
      <c r="J159" s="53">
        <f>CEILING((SUMPRODUCT('Piping Material List'!$AE$3:$AE$96,'Piping Material List'!$AH$3:$AH$96,'Piping Material List'!$BJ$3:$BJ$96)+SUMPRODUCT('Piping Material List'!$AF$3:$AF$96,'Piping Material List'!$AH$3:$AH$96,'Piping Material List'!$CL$3:$CL$96)),1)</f>
        <v>0</v>
      </c>
      <c r="K159" s="739">
        <v>12</v>
      </c>
      <c r="L159" s="37">
        <f t="shared" si="9"/>
        <v>0</v>
      </c>
    </row>
    <row r="160" spans="1:12" x14ac:dyDescent="0.3">
      <c r="A160" s="31" t="s">
        <v>1286</v>
      </c>
      <c r="B160" s="51" t="s">
        <v>1287</v>
      </c>
      <c r="C160" s="33" t="s">
        <v>1222</v>
      </c>
      <c r="D160" s="34"/>
      <c r="E160" s="35"/>
      <c r="F160" s="35"/>
      <c r="G160" s="35"/>
      <c r="H160" s="35"/>
      <c r="I160" s="35"/>
      <c r="J160" s="53">
        <f>CEILING((SUMPRODUCT('Piping Material List'!$AE$3:$AE$96,'Piping Material List'!$AH$3:$AH$96,'Piping Material List'!$BK$3:$BK$96)+SUMPRODUCT('Piping Material List'!$AF$3:$AF$96,'Piping Material List'!$AH$3:$AH$96,'Piping Material List'!$CM$3:$CM$96)),1)</f>
        <v>0</v>
      </c>
      <c r="K160" s="739">
        <v>12</v>
      </c>
      <c r="L160" s="37">
        <f t="shared" si="9"/>
        <v>0</v>
      </c>
    </row>
    <row r="161" spans="1:12" x14ac:dyDescent="0.3">
      <c r="A161" s="31" t="s">
        <v>1288</v>
      </c>
      <c r="B161" s="51" t="s">
        <v>1289</v>
      </c>
      <c r="C161" s="33" t="s">
        <v>1222</v>
      </c>
      <c r="D161" s="34"/>
      <c r="E161" s="35"/>
      <c r="F161" s="35"/>
      <c r="G161" s="35"/>
      <c r="H161" s="35"/>
      <c r="I161" s="35"/>
      <c r="J161" s="53">
        <f>CEILING((SUMPRODUCT('Piping Material List'!$AE$3:$AE$96,'Piping Material List'!$AH$3:$AH$96,'Piping Material List'!$BL$3:$BL$96)+SUMPRODUCT('Piping Material List'!$AF$3:$AF$96,'Piping Material List'!$AH$3:$AH$96,'Piping Material List'!$CN$3:$CN$96)),1)</f>
        <v>0</v>
      </c>
      <c r="K161" s="739">
        <v>12</v>
      </c>
      <c r="L161" s="37">
        <f t="shared" si="9"/>
        <v>0</v>
      </c>
    </row>
    <row r="162" spans="1:12" x14ac:dyDescent="0.3">
      <c r="A162" s="31" t="s">
        <v>1290</v>
      </c>
      <c r="B162" s="51" t="s">
        <v>1291</v>
      </c>
      <c r="C162" s="33" t="s">
        <v>1222</v>
      </c>
      <c r="D162" s="34"/>
      <c r="E162" s="35"/>
      <c r="F162" s="35"/>
      <c r="G162" s="35"/>
      <c r="H162" s="35"/>
      <c r="I162" s="35"/>
      <c r="J162" s="53">
        <f>CEILING((SUMPRODUCT('Piping Material List'!$AE$3:$AE$96,'Piping Material List'!$AH$3:$AH$96,'Piping Material List'!$BM$3:$BM$96)+SUMPRODUCT('Piping Material List'!$AF$3:$AF$96,'Piping Material List'!$AH$3:$AH$96,'Piping Material List'!$CO$3:$CO$96)),1)</f>
        <v>0</v>
      </c>
      <c r="K162" s="739">
        <v>12</v>
      </c>
      <c r="L162" s="37">
        <f t="shared" si="9"/>
        <v>0</v>
      </c>
    </row>
    <row r="163" spans="1:12" x14ac:dyDescent="0.3">
      <c r="A163" s="31" t="s">
        <v>1292</v>
      </c>
      <c r="B163" s="51" t="s">
        <v>1293</v>
      </c>
      <c r="C163" s="33" t="s">
        <v>1222</v>
      </c>
      <c r="D163" s="34"/>
      <c r="E163" s="35"/>
      <c r="F163" s="35"/>
      <c r="G163" s="35"/>
      <c r="H163" s="35"/>
      <c r="I163" s="35"/>
      <c r="J163" s="53">
        <f>CEILING((SUMPRODUCT('Piping Material List'!$AE$3:$AE$96,'Piping Material List'!$AH$3:$AH$96,'Piping Material List'!$BP$3:$BP$96)+SUMPRODUCT('Piping Material List'!$AF$3:$AF$96,'Piping Material List'!$AH$3:$AH$96,'Piping Material List'!$CO$3:$CO$96)),1)</f>
        <v>0</v>
      </c>
      <c r="K163" s="739">
        <v>12</v>
      </c>
      <c r="L163" s="37">
        <f t="shared" si="9"/>
        <v>0</v>
      </c>
    </row>
    <row r="164" spans="1:12" x14ac:dyDescent="0.3">
      <c r="A164" s="31" t="s">
        <v>1294</v>
      </c>
      <c r="B164" s="51" t="s">
        <v>1295</v>
      </c>
      <c r="C164" s="33" t="s">
        <v>1222</v>
      </c>
      <c r="D164" s="34"/>
      <c r="E164" s="35"/>
      <c r="F164" s="35"/>
      <c r="G164" s="35"/>
      <c r="H164" s="35"/>
      <c r="I164" s="35"/>
      <c r="J164" s="53">
        <f>CEILING((SUMPRODUCT('Piping Material List'!$AE$3:$AE$96,'Piping Material List'!$AH$3:$AH$96,'Piping Material List'!$BO$3:$BO$96)+SUMPRODUCT('Piping Material List'!$AF$3:$AF$96,'Piping Material List'!$AH$3:$AH$96,'Piping Material List'!$CP$3:$CP$96)),1)</f>
        <v>0</v>
      </c>
      <c r="K164" s="739">
        <v>12</v>
      </c>
      <c r="L164" s="37">
        <f t="shared" si="9"/>
        <v>0</v>
      </c>
    </row>
    <row r="165" spans="1:12" x14ac:dyDescent="0.3">
      <c r="A165" s="31" t="s">
        <v>1296</v>
      </c>
      <c r="B165" s="51" t="s">
        <v>1297</v>
      </c>
      <c r="C165" s="33" t="s">
        <v>1222</v>
      </c>
      <c r="D165" s="34"/>
      <c r="E165" s="35"/>
      <c r="F165" s="35"/>
      <c r="G165" s="35"/>
      <c r="H165" s="35"/>
      <c r="I165" s="35"/>
      <c r="J165" s="53">
        <f>CEILING((SUMPRODUCT('Piping Material List'!$AE$3:$AE$96,'Piping Material List'!$AH$3:$AH$96,'Piping Material List'!$BP$3:$BP$96)+SUMPRODUCT('Piping Material List'!$AF$3:$AF$96,'Piping Material List'!$AH$3:$AH$96,'Piping Material List'!$CQ$3:$CQ$96)),1)</f>
        <v>0</v>
      </c>
      <c r="K165" s="739">
        <v>12</v>
      </c>
      <c r="L165" s="37">
        <f t="shared" si="9"/>
        <v>0</v>
      </c>
    </row>
    <row r="166" spans="1:12" x14ac:dyDescent="0.3">
      <c r="A166" s="31" t="s">
        <v>1298</v>
      </c>
      <c r="B166" s="51" t="s">
        <v>1299</v>
      </c>
      <c r="C166" s="33" t="s">
        <v>1222</v>
      </c>
      <c r="D166" s="34"/>
      <c r="E166" s="35"/>
      <c r="F166" s="35"/>
      <c r="G166" s="35"/>
      <c r="H166" s="35"/>
      <c r="I166" s="35"/>
      <c r="J166" s="53">
        <f>CEILING((SUMPRODUCT('Piping Material List'!$AE$3:$AE$96,'Piping Material List'!$AH$3:$AH$96,'Piping Material List'!$BQ$3:$BQ$96)+SUMPRODUCT('Piping Material List'!$AF$3:$AF$96,'Piping Material List'!$AH$3:$AH$96,'Piping Material List'!$CS$3:$CS$96)),1)</f>
        <v>0</v>
      </c>
      <c r="K166" s="739">
        <v>12</v>
      </c>
      <c r="L166" s="37">
        <f t="shared" si="9"/>
        <v>0</v>
      </c>
    </row>
    <row r="167" spans="1:12" x14ac:dyDescent="0.3">
      <c r="A167" s="31" t="s">
        <v>1183</v>
      </c>
      <c r="B167" s="51" t="s">
        <v>1184</v>
      </c>
      <c r="C167" s="33" t="s">
        <v>1222</v>
      </c>
      <c r="D167" s="34"/>
      <c r="E167" s="35"/>
      <c r="F167" s="35"/>
      <c r="G167" s="35"/>
      <c r="H167" s="35"/>
      <c r="I167" s="35"/>
      <c r="J167" s="53">
        <f>CEILING((SUMPRODUCT('Piping Material List'!$AE$3:$AE$96,'Piping Material List'!$AH$3:$AH$96,'Piping Material List'!$BR$3:$BR$96)+SUMPRODUCT('Piping Material List'!$AF$3:$AF$96,'Piping Material List'!$AH$3:$AH$96,'Piping Material List'!$CS$3:$CS$96)),1)</f>
        <v>0</v>
      </c>
      <c r="K167" s="739">
        <v>12</v>
      </c>
      <c r="L167" s="37">
        <f t="shared" si="9"/>
        <v>0</v>
      </c>
    </row>
    <row r="168" spans="1:12" x14ac:dyDescent="0.3">
      <c r="A168" s="31" t="s">
        <v>1185</v>
      </c>
      <c r="B168" s="51" t="s">
        <v>1186</v>
      </c>
      <c r="C168" s="33" t="s">
        <v>1222</v>
      </c>
      <c r="D168" s="34"/>
      <c r="E168" s="35"/>
      <c r="F168" s="35"/>
      <c r="G168" s="35"/>
      <c r="H168" s="35"/>
      <c r="I168" s="35"/>
      <c r="J168" s="53">
        <f>CEILING((SUMPRODUCT('Piping Material List'!$AE$3:$AE$96,'Piping Material List'!$AH$3:$AH$96,'Piping Material List'!$BS$3:$BS$96)+SUMPRODUCT('Piping Material List'!$AF$3:$AF$96,'Piping Material List'!$AH$3:$AH$96,'Piping Material List'!$CU$3:$CU$96)),1)</f>
        <v>0</v>
      </c>
      <c r="K168" s="739">
        <v>12</v>
      </c>
      <c r="L168" s="37">
        <f t="shared" si="9"/>
        <v>0</v>
      </c>
    </row>
    <row r="169" spans="1:12" x14ac:dyDescent="0.3">
      <c r="A169" s="31" t="s">
        <v>1187</v>
      </c>
      <c r="B169" s="51" t="s">
        <v>1188</v>
      </c>
      <c r="C169" s="33" t="s">
        <v>1222</v>
      </c>
      <c r="D169" s="34"/>
      <c r="E169" s="35"/>
      <c r="F169" s="35"/>
      <c r="G169" s="35"/>
      <c r="H169" s="35"/>
      <c r="I169" s="35"/>
      <c r="J169" s="53">
        <f>CEILING((SUMPRODUCT('Piping Material List'!$AE$3:$AE$96,'Piping Material List'!$AH$3:$AH$96,'Piping Material List'!$BT$3:$BT$96)+SUMPRODUCT('Piping Material List'!$AF$3:$AF$96,'Piping Material List'!$AH$3:$AH$96,'Piping Material List'!$CO$3:$CO$96)),1)</f>
        <v>0</v>
      </c>
      <c r="K169" s="739">
        <v>12</v>
      </c>
      <c r="L169" s="37">
        <f t="shared" si="9"/>
        <v>0</v>
      </c>
    </row>
    <row r="170" spans="1:12" x14ac:dyDescent="0.3">
      <c r="A170" s="31" t="s">
        <v>1189</v>
      </c>
      <c r="B170" s="51" t="s">
        <v>1190</v>
      </c>
      <c r="C170" s="33" t="s">
        <v>1222</v>
      </c>
      <c r="D170" s="34"/>
      <c r="E170" s="35"/>
      <c r="F170" s="35"/>
      <c r="G170" s="35"/>
      <c r="H170" s="35"/>
      <c r="I170" s="35"/>
      <c r="J170" s="53">
        <f>CEILING((SUMPRODUCT('Piping Material List'!$AE$3:$AE$96,'Piping Material List'!$AH$3:$AH$96,'Piping Material List'!$BU$3:$BU$96)+SUMPRODUCT('Piping Material List'!$AF$3:$AF$96,'Piping Material List'!$AH$3:$AH$96,'Piping Material List'!$CO$3:$CO$96)),1)</f>
        <v>0</v>
      </c>
      <c r="K170" s="739">
        <v>12</v>
      </c>
      <c r="L170" s="37">
        <f t="shared" si="9"/>
        <v>0</v>
      </c>
    </row>
    <row r="171" spans="1:12" x14ac:dyDescent="0.3">
      <c r="A171" s="31" t="s">
        <v>1191</v>
      </c>
      <c r="B171" s="51" t="s">
        <v>1192</v>
      </c>
      <c r="C171" s="33" t="s">
        <v>1222</v>
      </c>
      <c r="D171" s="34"/>
      <c r="E171" s="35"/>
      <c r="F171" s="35"/>
      <c r="G171" s="35"/>
      <c r="H171" s="35"/>
      <c r="I171" s="35"/>
      <c r="J171" s="53">
        <f>CEILING((SUMPRODUCT('Piping Material List'!$AE$3:$AE$96,'Piping Material List'!$AH$3:$AH$96,'Piping Material List'!$BV$3:$BV$96)+SUMPRODUCT('Piping Material List'!$AF$3:$AF$96,'Piping Material List'!$AH$3:$AH$96,'Piping Material List'!$CO$3:$CO$96)),1)</f>
        <v>0</v>
      </c>
      <c r="K171" s="739">
        <v>12</v>
      </c>
      <c r="L171" s="37">
        <f t="shared" si="9"/>
        <v>0</v>
      </c>
    </row>
    <row r="172" spans="1:12" x14ac:dyDescent="0.3">
      <c r="A172" s="31" t="s">
        <v>1193</v>
      </c>
      <c r="B172" s="51" t="s">
        <v>1194</v>
      </c>
      <c r="C172" s="33" t="s">
        <v>1222</v>
      </c>
      <c r="D172" s="34"/>
      <c r="E172" s="35"/>
      <c r="F172" s="35"/>
      <c r="G172" s="35"/>
      <c r="H172" s="35"/>
      <c r="I172" s="35"/>
      <c r="J172" s="53">
        <f>CEILING((SUMPRODUCT('Piping Material List'!$AE$3:$AE$96,'Piping Material List'!$AH$3:$AH$96,'Piping Material List'!$BW$3:$BW$96)+SUMPRODUCT('Piping Material List'!$AF$3:$AF$96,'Piping Material List'!$AH$3:$AH$96,'Piping Material List'!$CO$3:$CO$96)),1)</f>
        <v>0</v>
      </c>
      <c r="K172" s="739">
        <v>12</v>
      </c>
      <c r="L172" s="37">
        <f t="shared" si="9"/>
        <v>0</v>
      </c>
    </row>
    <row r="173" spans="1:12" x14ac:dyDescent="0.3">
      <c r="A173" s="31" t="s">
        <v>1195</v>
      </c>
      <c r="B173" s="51" t="s">
        <v>1196</v>
      </c>
      <c r="C173" s="33" t="s">
        <v>1222</v>
      </c>
      <c r="D173" s="34"/>
      <c r="E173" s="35"/>
      <c r="F173" s="35"/>
      <c r="G173" s="35"/>
      <c r="H173" s="35"/>
      <c r="I173" s="35"/>
      <c r="J173" s="53">
        <f>CEILING((SUMPRODUCT('Piping Material List'!$AE$3:$AE$96,'Piping Material List'!$AH$3:$AH$96,'Piping Material List'!$BX$3:$BX$96)+SUMPRODUCT('Piping Material List'!$AF$3:$AF$96,'Piping Material List'!$AH$3:$AH$96,'Piping Material List'!$CO$3:$CO$96)),1)</f>
        <v>0</v>
      </c>
      <c r="K173" s="739">
        <v>12</v>
      </c>
      <c r="L173" s="37">
        <f t="shared" si="9"/>
        <v>0</v>
      </c>
    </row>
    <row r="174" spans="1:12" x14ac:dyDescent="0.3">
      <c r="A174" s="31" t="s">
        <v>1197</v>
      </c>
      <c r="B174" s="51" t="s">
        <v>1198</v>
      </c>
      <c r="C174" s="33" t="s">
        <v>1222</v>
      </c>
      <c r="D174" s="34"/>
      <c r="E174" s="35"/>
      <c r="F174" s="35"/>
      <c r="G174" s="35"/>
      <c r="H174" s="35"/>
      <c r="I174" s="35"/>
      <c r="J174" s="53">
        <f>CEILING((SUMPRODUCT('Piping Material List'!$AE$3:$AE$96,'Piping Material List'!$AH$3:$AH$96,'Piping Material List'!$BY$3:$BY$96)+SUMPRODUCT('Piping Material List'!$AF$3:$AF$96,'Piping Material List'!$AH$3:$AH$96,'Piping Material List'!$CO$3:$CO$96)),1)</f>
        <v>0</v>
      </c>
      <c r="K174" s="739">
        <v>12</v>
      </c>
      <c r="L174" s="37">
        <f t="shared" si="9"/>
        <v>0</v>
      </c>
    </row>
    <row r="175" spans="1:12" x14ac:dyDescent="0.3">
      <c r="A175" s="31" t="s">
        <v>1199</v>
      </c>
      <c r="B175" s="51" t="s">
        <v>1200</v>
      </c>
      <c r="C175" s="33" t="s">
        <v>1222</v>
      </c>
      <c r="D175" s="34"/>
      <c r="E175" s="35"/>
      <c r="F175" s="35"/>
      <c r="G175" s="35"/>
      <c r="H175" s="35"/>
      <c r="I175" s="35"/>
      <c r="J175" s="53">
        <f>CEILING((SUMPRODUCT('Piping Material List'!$AE$3:$AE$96,'Piping Material List'!$AH$3:$AH$96,'Piping Material List'!$BZ$3:$BZ$96)+SUMPRODUCT('Piping Material List'!$AF$3:$AF$96,'Piping Material List'!$AH$3:$AH$96,'Piping Material List'!$DB$3:$DB$96)),1)</f>
        <v>0</v>
      </c>
      <c r="K175" s="739">
        <v>12</v>
      </c>
      <c r="L175" s="37">
        <f t="shared" si="9"/>
        <v>0</v>
      </c>
    </row>
    <row r="176" spans="1:12" x14ac:dyDescent="0.3">
      <c r="A176" s="1474" t="s">
        <v>1300</v>
      </c>
      <c r="B176" s="1492" t="s">
        <v>1301</v>
      </c>
      <c r="C176" s="1480"/>
      <c r="D176" s="1481"/>
      <c r="E176" s="1481"/>
      <c r="F176" s="1481"/>
      <c r="G176" s="1481"/>
      <c r="H176" s="1481"/>
      <c r="I176" s="1481"/>
      <c r="J176" s="1481"/>
      <c r="K176" s="1482"/>
      <c r="L176" s="1484">
        <f>SUM(L177:L194)</f>
        <v>451.5</v>
      </c>
    </row>
    <row r="177" spans="1:12" x14ac:dyDescent="0.3">
      <c r="A177" s="31" t="s">
        <v>1302</v>
      </c>
      <c r="B177" s="51" t="s">
        <v>1265</v>
      </c>
      <c r="C177" s="33" t="s">
        <v>1222</v>
      </c>
      <c r="D177" s="28"/>
      <c r="E177" s="29"/>
      <c r="F177" s="29"/>
      <c r="G177" s="29"/>
      <c r="H177" s="29"/>
      <c r="I177" s="29"/>
      <c r="J177" s="52">
        <f>CEILING((SUMPRODUCT('Piping Material List'!$AE$3:$AE$96,'Piping Material List'!$AI$3:$AI$96,'Piping Material List'!$AZ$3:$AZ$96)+SUMPRODUCT('Piping Material List'!$AF$3:$AF$96,'Piping Material List'!$AI$3:$AI$96,'Piping Material List'!$CC$3:$CC$96)),1)</f>
        <v>0</v>
      </c>
      <c r="K177" s="739">
        <v>1.5</v>
      </c>
      <c r="L177" s="37">
        <f t="shared" ref="L177:L203" si="10">J177*K177</f>
        <v>0</v>
      </c>
    </row>
    <row r="178" spans="1:12" x14ac:dyDescent="0.3">
      <c r="A178" s="31" t="s">
        <v>1303</v>
      </c>
      <c r="B178" s="51" t="s">
        <v>1267</v>
      </c>
      <c r="C178" s="33" t="s">
        <v>1222</v>
      </c>
      <c r="D178" s="34"/>
      <c r="E178" s="35"/>
      <c r="F178" s="35"/>
      <c r="G178" s="35"/>
      <c r="H178" s="35"/>
      <c r="I178" s="35"/>
      <c r="J178" s="53">
        <f>CEILING((SUMPRODUCT('Piping Material List'!$AE$3:$AE$96,'Piping Material List'!$AI$3:$AI$96,'Piping Material List'!$BA$3:$BA$96)+SUMPRODUCT('Piping Material List'!$AF$3:$AF$96,'Piping Material List'!$AI$3:$AI$96,'Piping Material List'!$CC$3:$CC$96)),1)</f>
        <v>0</v>
      </c>
      <c r="K178" s="739">
        <v>1.5</v>
      </c>
      <c r="L178" s="37">
        <f t="shared" si="10"/>
        <v>0</v>
      </c>
    </row>
    <row r="179" spans="1:12" x14ac:dyDescent="0.3">
      <c r="A179" s="31" t="s">
        <v>1304</v>
      </c>
      <c r="B179" s="51" t="s">
        <v>1269</v>
      </c>
      <c r="C179" s="33" t="s">
        <v>1222</v>
      </c>
      <c r="D179" s="34"/>
      <c r="E179" s="35"/>
      <c r="F179" s="35"/>
      <c r="G179" s="35"/>
      <c r="H179" s="35"/>
      <c r="I179" s="35"/>
      <c r="J179" s="53">
        <f>CEILING((SUMPRODUCT('Piping Material List'!$AE$3:$AE$96,'Piping Material List'!$AI$3:$AI$96,'Piping Material List'!$BB$3:$BB$96)+SUMPRODUCT('Piping Material List'!$AF$3:$AF$96,'Piping Material List'!$AI$3:$AI$96,'Piping Material List'!$CD$3:$CD$96)),1)</f>
        <v>0</v>
      </c>
      <c r="K179" s="739">
        <v>1.5</v>
      </c>
      <c r="L179" s="37">
        <f t="shared" si="10"/>
        <v>0</v>
      </c>
    </row>
    <row r="180" spans="1:12" x14ac:dyDescent="0.3">
      <c r="A180" s="31" t="s">
        <v>1305</v>
      </c>
      <c r="B180" s="51" t="s">
        <v>1271</v>
      </c>
      <c r="C180" s="33" t="s">
        <v>1222</v>
      </c>
      <c r="D180" s="34"/>
      <c r="E180" s="35"/>
      <c r="F180" s="35"/>
      <c r="G180" s="35"/>
      <c r="H180" s="35"/>
      <c r="I180" s="35"/>
      <c r="J180" s="53">
        <f>CEILING((SUMPRODUCT('Piping Material List'!$AE$3:$AE$96,'Piping Material List'!$AI$3:$AI$96,'Piping Material List'!$BC$3:$BC$96)+SUMPRODUCT('Piping Material List'!$AF$3:$AF$96,'Piping Material List'!$AI$3:$AI$96,'Piping Material List'!$CE$3:$CE$96)),1)</f>
        <v>0</v>
      </c>
      <c r="K180" s="739">
        <v>1.5</v>
      </c>
      <c r="L180" s="37">
        <f t="shared" si="10"/>
        <v>0</v>
      </c>
    </row>
    <row r="181" spans="1:12" x14ac:dyDescent="0.3">
      <c r="A181" s="31" t="s">
        <v>1306</v>
      </c>
      <c r="B181" s="51" t="s">
        <v>1273</v>
      </c>
      <c r="C181" s="33" t="s">
        <v>1222</v>
      </c>
      <c r="D181" s="34"/>
      <c r="E181" s="35"/>
      <c r="F181" s="35"/>
      <c r="G181" s="35"/>
      <c r="H181" s="35"/>
      <c r="I181" s="35"/>
      <c r="J181" s="53">
        <f>CEILING((SUMPRODUCT('Piping Material List'!$AE$3:$AE$96,'Piping Material List'!$AI$3:$AI$96,'Piping Material List'!$BD$3:$BD$96)+SUMPRODUCT('Piping Material List'!$AF$3:$AF$96,'Piping Material List'!$AI$3:$AI$96,'Piping Material List'!$CF$3:$CF$96)),1)</f>
        <v>0</v>
      </c>
      <c r="K181" s="739">
        <v>1.5</v>
      </c>
      <c r="L181" s="37">
        <f t="shared" si="10"/>
        <v>0</v>
      </c>
    </row>
    <row r="182" spans="1:12" x14ac:dyDescent="0.3">
      <c r="A182" s="31" t="s">
        <v>1307</v>
      </c>
      <c r="B182" s="51" t="s">
        <v>1275</v>
      </c>
      <c r="C182" s="33" t="s">
        <v>1222</v>
      </c>
      <c r="D182" s="34"/>
      <c r="E182" s="35"/>
      <c r="F182" s="35"/>
      <c r="G182" s="35"/>
      <c r="H182" s="35"/>
      <c r="I182" s="35"/>
      <c r="J182" s="53">
        <f>CEILING((SUMPRODUCT('Piping Material List'!$AE$3:$AE$96,'Piping Material List'!$AI$3:$AI$96,'Piping Material List'!$BE$3:$BE$96)+SUMPRODUCT('Piping Material List'!$AF$3:$AF$96,'Piping Material List'!$AI$3:$AI$96,'Piping Material List'!$CG$3:$CG$96)),1)</f>
        <v>0</v>
      </c>
      <c r="K182" s="739">
        <v>1.5</v>
      </c>
      <c r="L182" s="37">
        <f t="shared" si="10"/>
        <v>0</v>
      </c>
    </row>
    <row r="183" spans="1:12" x14ac:dyDescent="0.3">
      <c r="A183" s="31" t="s">
        <v>1308</v>
      </c>
      <c r="B183" s="51" t="s">
        <v>1277</v>
      </c>
      <c r="C183" s="33" t="s">
        <v>1222</v>
      </c>
      <c r="D183" s="34"/>
      <c r="E183" s="35"/>
      <c r="F183" s="35"/>
      <c r="G183" s="35"/>
      <c r="H183" s="35"/>
      <c r="I183" s="35"/>
      <c r="J183" s="53">
        <f>CEILING((SUMPRODUCT('Piping Material List'!$AE$3:$AE$96,'Piping Material List'!$AI$3:$AI$96,'Piping Material List'!$BF$3:$BF$96)+SUMPRODUCT('Piping Material List'!$AF$3:$AF$96,'Piping Material List'!$AI$3:$AI$96,'Piping Material List'!$CH$3:$CH$96)),1)</f>
        <v>144</v>
      </c>
      <c r="K183" s="739">
        <v>1.5</v>
      </c>
      <c r="L183" s="37">
        <f t="shared" si="10"/>
        <v>216</v>
      </c>
    </row>
    <row r="184" spans="1:12" x14ac:dyDescent="0.3">
      <c r="A184" s="31" t="s">
        <v>1309</v>
      </c>
      <c r="B184" s="51" t="s">
        <v>1279</v>
      </c>
      <c r="C184" s="33" t="s">
        <v>1222</v>
      </c>
      <c r="D184" s="34"/>
      <c r="E184" s="35"/>
      <c r="F184" s="35"/>
      <c r="G184" s="35"/>
      <c r="H184" s="35"/>
      <c r="I184" s="35"/>
      <c r="J184" s="53">
        <f>CEILING((SUMPRODUCT('Piping Material List'!$AE$3:$AE$96,'Piping Material List'!$AI$3:$AI$96,'Piping Material List'!$BG$3:$BG$96)+SUMPRODUCT('Piping Material List'!$AF$3:$AF$96,'Piping Material List'!$AI$3:$AI$96,'Piping Material List'!$CI$3:$CI$96)),1)</f>
        <v>0</v>
      </c>
      <c r="K184" s="739">
        <v>1.5</v>
      </c>
      <c r="L184" s="37">
        <f t="shared" si="10"/>
        <v>0</v>
      </c>
    </row>
    <row r="185" spans="1:12" x14ac:dyDescent="0.3">
      <c r="A185" s="31" t="s">
        <v>1310</v>
      </c>
      <c r="B185" s="51" t="s">
        <v>1281</v>
      </c>
      <c r="C185" s="33" t="s">
        <v>1222</v>
      </c>
      <c r="D185" s="34"/>
      <c r="E185" s="35"/>
      <c r="F185" s="35"/>
      <c r="G185" s="35"/>
      <c r="H185" s="35"/>
      <c r="I185" s="35"/>
      <c r="J185" s="53">
        <f>CEILING((SUMPRODUCT('Piping Material List'!$AE$3:$AE$96,'Piping Material List'!$AI$3:$AI$96,'Piping Material List'!$BH$3:$BH$96)+SUMPRODUCT('Piping Material List'!$AF$3:$AF$96,'Piping Material List'!$AI$3:$AI$96,'Piping Material List'!$CJ$3:$CJ$96)),1)</f>
        <v>157</v>
      </c>
      <c r="K185" s="739">
        <v>1.5</v>
      </c>
      <c r="L185" s="37">
        <f t="shared" si="10"/>
        <v>235.5</v>
      </c>
    </row>
    <row r="186" spans="1:12" x14ac:dyDescent="0.3">
      <c r="A186" s="31" t="s">
        <v>1311</v>
      </c>
      <c r="B186" s="51" t="s">
        <v>1283</v>
      </c>
      <c r="C186" s="33" t="s">
        <v>1222</v>
      </c>
      <c r="D186" s="34"/>
      <c r="E186" s="35"/>
      <c r="F186" s="35"/>
      <c r="G186" s="35"/>
      <c r="H186" s="35"/>
      <c r="I186" s="35"/>
      <c r="J186" s="53">
        <f>CEILING((SUMPRODUCT('Piping Material List'!$AE$3:$AE$96,'Piping Material List'!$AI$3:$AI$96,'Piping Material List'!$BI$3:$BI$96)+SUMPRODUCT('Piping Material List'!$AF$3:$AF$96,'Piping Material List'!$AI$3:$AI$96,'Piping Material List'!$CK$3:$CK$96)),1)</f>
        <v>0</v>
      </c>
      <c r="K186" s="739">
        <v>1.5</v>
      </c>
      <c r="L186" s="37">
        <f t="shared" si="10"/>
        <v>0</v>
      </c>
    </row>
    <row r="187" spans="1:12" x14ac:dyDescent="0.3">
      <c r="A187" s="31" t="s">
        <v>1312</v>
      </c>
      <c r="B187" s="51" t="s">
        <v>1285</v>
      </c>
      <c r="C187" s="33" t="s">
        <v>1222</v>
      </c>
      <c r="D187" s="34"/>
      <c r="E187" s="35"/>
      <c r="F187" s="35"/>
      <c r="G187" s="35"/>
      <c r="H187" s="35"/>
      <c r="I187" s="35"/>
      <c r="J187" s="53">
        <f>CEILING((SUMPRODUCT('Piping Material List'!$AE$3:$AE$96,'Piping Material List'!$AI$3:$AI$96,'Piping Material List'!$BJ$3:$BJ$96)+SUMPRODUCT('Piping Material List'!$AF$3:$AF$96,'Piping Material List'!$AI$3:$AI$96,'Piping Material List'!$CL$3:$CL$96)),1)</f>
        <v>0</v>
      </c>
      <c r="K187" s="739">
        <v>1.5</v>
      </c>
      <c r="L187" s="37">
        <f t="shared" si="10"/>
        <v>0</v>
      </c>
    </row>
    <row r="188" spans="1:12" x14ac:dyDescent="0.3">
      <c r="A188" s="31" t="s">
        <v>1313</v>
      </c>
      <c r="B188" s="51" t="s">
        <v>1287</v>
      </c>
      <c r="C188" s="33" t="s">
        <v>1222</v>
      </c>
      <c r="D188" s="34"/>
      <c r="E188" s="35"/>
      <c r="F188" s="35"/>
      <c r="G188" s="35"/>
      <c r="H188" s="35"/>
      <c r="I188" s="35"/>
      <c r="J188" s="53">
        <f>CEILING((SUMPRODUCT('Piping Material List'!$AE$3:$AE$96,'Piping Material List'!$AI$3:$AI$96,'Piping Material List'!$BK$3:$BK$96)+SUMPRODUCT('Piping Material List'!$AF$3:$AF$96,'Piping Material List'!$AI$3:$AI$96,'Piping Material List'!$CM$3:$CM$96)),1)</f>
        <v>0</v>
      </c>
      <c r="K188" s="739">
        <v>1.5</v>
      </c>
      <c r="L188" s="37">
        <f t="shared" si="10"/>
        <v>0</v>
      </c>
    </row>
    <row r="189" spans="1:12" x14ac:dyDescent="0.3">
      <c r="A189" s="31" t="s">
        <v>1314</v>
      </c>
      <c r="B189" s="51" t="s">
        <v>1289</v>
      </c>
      <c r="C189" s="33" t="s">
        <v>1222</v>
      </c>
      <c r="D189" s="34"/>
      <c r="E189" s="35"/>
      <c r="F189" s="35"/>
      <c r="G189" s="35"/>
      <c r="H189" s="35"/>
      <c r="I189" s="35"/>
      <c r="J189" s="53">
        <f>CEILING((SUMPRODUCT('Piping Material List'!$AE$3:$AE$96,'Piping Material List'!$AI$3:$AI$96,'Piping Material List'!$BL$3:$BL$96)+SUMPRODUCT('Piping Material List'!$AF$3:$AF$96,'Piping Material List'!$AI$3:$AI$96,'Piping Material List'!$CN$3:$CN$96)),1)</f>
        <v>0</v>
      </c>
      <c r="K189" s="739">
        <v>1.5</v>
      </c>
      <c r="L189" s="37">
        <f t="shared" si="10"/>
        <v>0</v>
      </c>
    </row>
    <row r="190" spans="1:12" x14ac:dyDescent="0.3">
      <c r="A190" s="31" t="s">
        <v>1315</v>
      </c>
      <c r="B190" s="51" t="s">
        <v>1291</v>
      </c>
      <c r="C190" s="33" t="s">
        <v>1222</v>
      </c>
      <c r="D190" s="34"/>
      <c r="E190" s="35"/>
      <c r="F190" s="35"/>
      <c r="G190" s="35"/>
      <c r="H190" s="35"/>
      <c r="I190" s="35"/>
      <c r="J190" s="53">
        <f>CEILING((SUMPRODUCT('Piping Material List'!$AE$3:$AE$96,'Piping Material List'!$AI$3:$AI$96,'Piping Material List'!$BM$3:$BM$96)+SUMPRODUCT('Piping Material List'!$AF$3:$AF$96,'Piping Material List'!$AI$3:$AI$96,'Piping Material List'!$CO$3:$CO$96)),1)</f>
        <v>0</v>
      </c>
      <c r="K190" s="739">
        <v>1.5</v>
      </c>
      <c r="L190" s="37">
        <f t="shared" si="10"/>
        <v>0</v>
      </c>
    </row>
    <row r="191" spans="1:12" x14ac:dyDescent="0.3">
      <c r="A191" s="31" t="s">
        <v>1316</v>
      </c>
      <c r="B191" s="51" t="s">
        <v>1293</v>
      </c>
      <c r="C191" s="33" t="s">
        <v>1222</v>
      </c>
      <c r="D191" s="34"/>
      <c r="E191" s="35"/>
      <c r="F191" s="35"/>
      <c r="G191" s="35"/>
      <c r="H191" s="35"/>
      <c r="I191" s="35"/>
      <c r="J191" s="1235">
        <f>CEILING((SUMPRODUCT('Piping Material List'!$AE$3:$AE$96,'Piping Material List'!$AI$3:$AI$96,'Piping Material List'!$BN$3:$BN$96)+SUMPRODUCT('Piping Material List'!$AF$3:$AF$96,'Piping Material List'!$AI$3:$AI$96,'Piping Material List'!$CP$3:$CP$96)),1)</f>
        <v>0</v>
      </c>
      <c r="K191" s="739">
        <v>1.5</v>
      </c>
      <c r="L191" s="37">
        <f t="shared" si="10"/>
        <v>0</v>
      </c>
    </row>
    <row r="192" spans="1:12" x14ac:dyDescent="0.3">
      <c r="A192" s="31" t="s">
        <v>1317</v>
      </c>
      <c r="B192" s="51" t="s">
        <v>1295</v>
      </c>
      <c r="C192" s="33" t="s">
        <v>1222</v>
      </c>
      <c r="D192" s="34"/>
      <c r="E192" s="35"/>
      <c r="F192" s="35"/>
      <c r="G192" s="35"/>
      <c r="H192" s="35"/>
      <c r="I192" s="35"/>
      <c r="J192" s="53">
        <f>CEILING((SUMPRODUCT('Piping Material List'!$AE$3:$AE$96,'Piping Material List'!$AI$3:$AI$96,'Piping Material List'!$BO$3:$BO$96)+SUMPRODUCT('Piping Material List'!$AF$3:$AF$96,'Piping Material List'!$AI$3:$AI$96,'Piping Material List'!$CO$3:$CO$96)),1)</f>
        <v>0</v>
      </c>
      <c r="K192" s="739">
        <v>1.5</v>
      </c>
      <c r="L192" s="37">
        <f t="shared" si="10"/>
        <v>0</v>
      </c>
    </row>
    <row r="193" spans="1:12" x14ac:dyDescent="0.3">
      <c r="A193" s="31" t="s">
        <v>1318</v>
      </c>
      <c r="B193" s="51" t="s">
        <v>1297</v>
      </c>
      <c r="C193" s="33" t="s">
        <v>1222</v>
      </c>
      <c r="D193" s="34"/>
      <c r="E193" s="35"/>
      <c r="F193" s="35"/>
      <c r="G193" s="35"/>
      <c r="H193" s="35"/>
      <c r="I193" s="35"/>
      <c r="J193" s="53">
        <f>CEILING((SUMPRODUCT('Piping Material List'!$AE$3:$AE$96,'Piping Material List'!$AI$3:$AI$96,'Piping Material List'!$BP$3:$BP$96)+SUMPRODUCT('Piping Material List'!$AF$3:$AF$96,'Piping Material List'!$AI$3:$AI$96,'Piping Material List'!$CO$3:$CO$96)),1)</f>
        <v>0</v>
      </c>
      <c r="K193" s="739">
        <v>1.5</v>
      </c>
      <c r="L193" s="37">
        <f t="shared" si="10"/>
        <v>0</v>
      </c>
    </row>
    <row r="194" spans="1:12" x14ac:dyDescent="0.3">
      <c r="A194" s="31" t="s">
        <v>1319</v>
      </c>
      <c r="B194" s="51" t="s">
        <v>1299</v>
      </c>
      <c r="C194" s="33" t="s">
        <v>1222</v>
      </c>
      <c r="D194" s="34"/>
      <c r="E194" s="35"/>
      <c r="F194" s="35"/>
      <c r="G194" s="35"/>
      <c r="H194" s="35"/>
      <c r="I194" s="35"/>
      <c r="J194" s="53">
        <f>CEILING((SUMPRODUCT('Piping Material List'!$AE$3:$AE$96,'Piping Material List'!$AI$3:$AI$96,'Piping Material List'!$BQ$3:$BQ$96)+SUMPRODUCT('Piping Material List'!$AF$3:$AF$96,'Piping Material List'!$AI$3:$AI$96,'Piping Material List'!$CS$3:$CS$96)),1)</f>
        <v>0</v>
      </c>
      <c r="K194" s="739">
        <v>1.5</v>
      </c>
      <c r="L194" s="37">
        <f t="shared" si="10"/>
        <v>0</v>
      </c>
    </row>
    <row r="195" spans="1:12" x14ac:dyDescent="0.3">
      <c r="A195" s="31" t="s">
        <v>1183</v>
      </c>
      <c r="B195" s="51" t="s">
        <v>1320</v>
      </c>
      <c r="C195" s="33" t="s">
        <v>1222</v>
      </c>
      <c r="D195" s="34"/>
      <c r="E195" s="35"/>
      <c r="F195" s="35"/>
      <c r="G195" s="35"/>
      <c r="H195" s="35"/>
      <c r="I195" s="35"/>
      <c r="J195" s="53">
        <f>CEILING((SUMPRODUCT('Piping Material List'!$AE$3:$AE$96,'Piping Material List'!$AI$3:$AI$96,'Piping Material List'!$BR$3:$BR$96)+SUMPRODUCT('Piping Material List'!$AF$3:$AF$96,'Piping Material List'!$AI$3:$AI$96,'Piping Material List'!$CO$3:$CO$96)),1)</f>
        <v>0</v>
      </c>
      <c r="K195" s="739">
        <v>1.5</v>
      </c>
      <c r="L195" s="37">
        <f t="shared" si="10"/>
        <v>0</v>
      </c>
    </row>
    <row r="196" spans="1:12" x14ac:dyDescent="0.3">
      <c r="A196" s="31" t="s">
        <v>1185</v>
      </c>
      <c r="B196" s="51" t="s">
        <v>1321</v>
      </c>
      <c r="C196" s="33" t="s">
        <v>1222</v>
      </c>
      <c r="D196" s="34"/>
      <c r="E196" s="35"/>
      <c r="F196" s="35"/>
      <c r="G196" s="35"/>
      <c r="H196" s="35"/>
      <c r="I196" s="35"/>
      <c r="J196" s="53">
        <f>CEILING((SUMPRODUCT('Piping Material List'!$AE$3:$AE$96,'Piping Material List'!$AI$3:$AI$96,'Piping Material List'!$BS$3:$BS$96)+SUMPRODUCT('Piping Material List'!$AF$3:$AF$96,'Piping Material List'!$AI$3:$AI$96,'Piping Material List'!$CU$3:$CU$96)),1)</f>
        <v>0</v>
      </c>
      <c r="K196" s="739">
        <v>1.5</v>
      </c>
      <c r="L196" s="37">
        <f t="shared" si="10"/>
        <v>0</v>
      </c>
    </row>
    <row r="197" spans="1:12" x14ac:dyDescent="0.3">
      <c r="A197" s="31" t="s">
        <v>1187</v>
      </c>
      <c r="B197" s="51" t="s">
        <v>1322</v>
      </c>
      <c r="C197" s="33" t="s">
        <v>1222</v>
      </c>
      <c r="D197" s="34"/>
      <c r="E197" s="35"/>
      <c r="F197" s="35"/>
      <c r="G197" s="35"/>
      <c r="H197" s="35"/>
      <c r="I197" s="35"/>
      <c r="J197" s="53">
        <f>CEILING((SUMPRODUCT('Piping Material List'!$AE$3:$AE$96,'Piping Material List'!$AI$3:$AI$96,'Piping Material List'!$BT$3:$BT$96)+SUMPRODUCT('Piping Material List'!$AF$3:$AF$96,'Piping Material List'!$AI$3:$AI$96,'Piping Material List'!$CO$3:$CO$96)),1)</f>
        <v>0</v>
      </c>
      <c r="K197" s="739">
        <v>1.5</v>
      </c>
      <c r="L197" s="37">
        <f t="shared" si="10"/>
        <v>0</v>
      </c>
    </row>
    <row r="198" spans="1:12" x14ac:dyDescent="0.3">
      <c r="A198" s="31" t="s">
        <v>1189</v>
      </c>
      <c r="B198" s="51" t="s">
        <v>1323</v>
      </c>
      <c r="C198" s="33" t="s">
        <v>1222</v>
      </c>
      <c r="D198" s="34"/>
      <c r="E198" s="35"/>
      <c r="F198" s="35"/>
      <c r="G198" s="35"/>
      <c r="H198" s="35"/>
      <c r="I198" s="35"/>
      <c r="J198" s="53">
        <f>CEILING((SUMPRODUCT('Piping Material List'!$AE$3:$AE$96,'Piping Material List'!$AI$3:$AI$96,'Piping Material List'!$BU$3:$BU$96)+SUMPRODUCT('Piping Material List'!$AF$3:$AF$96,'Piping Material List'!$AI$3:$AI$96,'Piping Material List'!$CO$3:$CO$96)),1)</f>
        <v>0</v>
      </c>
      <c r="K198" s="739">
        <v>1.5</v>
      </c>
      <c r="L198" s="37">
        <f t="shared" si="10"/>
        <v>0</v>
      </c>
    </row>
    <row r="199" spans="1:12" x14ac:dyDescent="0.3">
      <c r="A199" s="31" t="s">
        <v>1191</v>
      </c>
      <c r="B199" s="51" t="s">
        <v>1324</v>
      </c>
      <c r="C199" s="33" t="s">
        <v>1222</v>
      </c>
      <c r="D199" s="34"/>
      <c r="E199" s="35"/>
      <c r="F199" s="35"/>
      <c r="G199" s="35"/>
      <c r="H199" s="35"/>
      <c r="I199" s="35"/>
      <c r="J199" s="53">
        <f>CEILING((SUMPRODUCT('Piping Material List'!$AE$3:$AE$96,'Piping Material List'!$AI$3:$AI$96,'Piping Material List'!$BV$3:$BV$96)+SUMPRODUCT('Piping Material List'!$AF$3:$AF$96,'Piping Material List'!$AI$3:$AI$96,'Piping Material List'!$CO$3:$CO$96)),1)</f>
        <v>0</v>
      </c>
      <c r="K199" s="739">
        <v>1.5</v>
      </c>
      <c r="L199" s="37">
        <f t="shared" si="10"/>
        <v>0</v>
      </c>
    </row>
    <row r="200" spans="1:12" x14ac:dyDescent="0.3">
      <c r="A200" s="31" t="s">
        <v>1193</v>
      </c>
      <c r="B200" s="51" t="s">
        <v>1325</v>
      </c>
      <c r="C200" s="33" t="s">
        <v>1222</v>
      </c>
      <c r="D200" s="34"/>
      <c r="E200" s="35"/>
      <c r="F200" s="35"/>
      <c r="G200" s="35"/>
      <c r="H200" s="35"/>
      <c r="I200" s="35"/>
      <c r="J200" s="53">
        <f>CEILING((SUMPRODUCT('Piping Material List'!$AE$3:$AE$96,'Piping Material List'!$AI$3:$AI$96,'Piping Material List'!$BW$3:$BW$96)+SUMPRODUCT('Piping Material List'!$AF$3:$AF$96,'Piping Material List'!$AI$3:$AI$96,'Piping Material List'!$CO$3:$CO$96)),1)</f>
        <v>0</v>
      </c>
      <c r="K200" s="739">
        <v>1.5</v>
      </c>
      <c r="L200" s="37">
        <f t="shared" si="10"/>
        <v>0</v>
      </c>
    </row>
    <row r="201" spans="1:12" x14ac:dyDescent="0.3">
      <c r="A201" s="31" t="s">
        <v>1195</v>
      </c>
      <c r="B201" s="51" t="s">
        <v>1326</v>
      </c>
      <c r="C201" s="33" t="s">
        <v>1222</v>
      </c>
      <c r="D201" s="34"/>
      <c r="E201" s="35"/>
      <c r="F201" s="35"/>
      <c r="G201" s="35"/>
      <c r="H201" s="35"/>
      <c r="I201" s="35"/>
      <c r="J201" s="53">
        <f>CEILING((SUMPRODUCT('Piping Material List'!$AE$3:$AE$96,'Piping Material List'!$AI$3:$AI$96,'Piping Material List'!$BX$3:$BX$96)+SUMPRODUCT('Piping Material List'!$AF$3:$AF$96,'Piping Material List'!$AI$3:$AI$96,'Piping Material List'!$CO$3:$CO$96)),1)</f>
        <v>0</v>
      </c>
      <c r="K201" s="739">
        <v>1.5</v>
      </c>
      <c r="L201" s="37">
        <f t="shared" si="10"/>
        <v>0</v>
      </c>
    </row>
    <row r="202" spans="1:12" x14ac:dyDescent="0.3">
      <c r="A202" s="31" t="s">
        <v>1197</v>
      </c>
      <c r="B202" s="51" t="s">
        <v>1327</v>
      </c>
      <c r="C202" s="33" t="s">
        <v>1222</v>
      </c>
      <c r="D202" s="34"/>
      <c r="E202" s="35"/>
      <c r="F202" s="35"/>
      <c r="G202" s="35"/>
      <c r="H202" s="35"/>
      <c r="I202" s="35"/>
      <c r="J202" s="53">
        <f>CEILING((SUMPRODUCT('Piping Material List'!$AE$3:$AE$96,'Piping Material List'!$AI$3:$AI$96,'Piping Material List'!$BY$3:$BY$96)+SUMPRODUCT('Piping Material List'!$AF$3:$AF$96,'Piping Material List'!$AI$3:$AI$96,'Piping Material List'!$CO$3:$CO$96)),1)</f>
        <v>0</v>
      </c>
      <c r="K202" s="739">
        <v>1.5</v>
      </c>
      <c r="L202" s="37">
        <f t="shared" si="10"/>
        <v>0</v>
      </c>
    </row>
    <row r="203" spans="1:12" ht="16.2" thickBot="1" x14ac:dyDescent="0.35">
      <c r="A203" s="31" t="s">
        <v>1199</v>
      </c>
      <c r="B203" s="51" t="s">
        <v>1328</v>
      </c>
      <c r="C203" s="33" t="s">
        <v>1222</v>
      </c>
      <c r="D203" s="34"/>
      <c r="E203" s="35"/>
      <c r="F203" s="35"/>
      <c r="G203" s="35"/>
      <c r="H203" s="35"/>
      <c r="I203" s="35"/>
      <c r="J203" s="53">
        <f>CEILING((SUMPRODUCT('Piping Material List'!$AE$3:$AE$96,'Piping Material List'!$AI$3:$AI$96,'Piping Material List'!$BZ$3:$BZ$96)+SUMPRODUCT('Piping Material List'!$AF$3:$AF$96,'Piping Material List'!$AI$3:$AI$96,'Piping Material List'!$DB$3:$DB$96)),1)</f>
        <v>0</v>
      </c>
      <c r="K203" s="739">
        <v>1.5</v>
      </c>
      <c r="L203" s="37">
        <f t="shared" si="10"/>
        <v>0</v>
      </c>
    </row>
    <row r="204" spans="1:12" ht="16.2" thickBot="1" x14ac:dyDescent="0.35">
      <c r="A204" s="1474" t="s">
        <v>1329</v>
      </c>
      <c r="B204" s="1492" t="s">
        <v>1330</v>
      </c>
      <c r="C204" s="1480"/>
      <c r="D204" s="1481"/>
      <c r="E204" s="1481"/>
      <c r="F204" s="1481"/>
      <c r="G204" s="1481"/>
      <c r="H204" s="1481"/>
      <c r="I204" s="1481"/>
      <c r="J204" s="1481"/>
      <c r="K204" s="1482"/>
      <c r="L204" s="1131">
        <f>SUM(L205:L222)</f>
        <v>562.5</v>
      </c>
    </row>
    <row r="205" spans="1:12" x14ac:dyDescent="0.3">
      <c r="A205" s="31" t="s">
        <v>1331</v>
      </c>
      <c r="B205" s="51" t="s">
        <v>1265</v>
      </c>
      <c r="C205" s="33" t="s">
        <v>1222</v>
      </c>
      <c r="D205" s="28"/>
      <c r="E205" s="29"/>
      <c r="F205" s="29"/>
      <c r="G205" s="29"/>
      <c r="H205" s="29"/>
      <c r="I205" s="29"/>
      <c r="J205" s="52">
        <f>CEILING((SUMPRODUCT('Piping Material List'!$AE$3:$AE$96,'Piping Material List'!$AJ$3:$AJ$96,'Piping Material List'!$AZ$3:$AZ$96)+SUMPRODUCT('Piping Material List'!$AF$3:$AF$96,'Piping Material List'!$AJ$3:$AJ$96,'Piping Material List'!$CC$3:$CC$96)),1)</f>
        <v>0</v>
      </c>
      <c r="K205" s="739">
        <v>1.5</v>
      </c>
      <c r="L205" s="923">
        <f t="shared" ref="L205:L229" si="11">J205*K205</f>
        <v>0</v>
      </c>
    </row>
    <row r="206" spans="1:12" x14ac:dyDescent="0.3">
      <c r="A206" s="31" t="s">
        <v>1332</v>
      </c>
      <c r="B206" s="51" t="s">
        <v>1267</v>
      </c>
      <c r="C206" s="33" t="s">
        <v>1222</v>
      </c>
      <c r="D206" s="34"/>
      <c r="E206" s="35"/>
      <c r="F206" s="35"/>
      <c r="G206" s="35"/>
      <c r="H206" s="35"/>
      <c r="I206" s="35"/>
      <c r="J206" s="53">
        <f>CEILING((SUMPRODUCT('Piping Material List'!$AE$3:$AE$96,'Piping Material List'!$AJ$3:$AJ$96,'Piping Material List'!$BA$3:$BA$96)+SUMPRODUCT('Piping Material List'!$AF$3:$AF$96,'Piping Material List'!$AJ$3:$AJ$96,'Piping Material List'!$CC$3:$CC$96)),1)</f>
        <v>0</v>
      </c>
      <c r="K206" s="739">
        <v>1.5</v>
      </c>
      <c r="L206" s="37">
        <f t="shared" si="11"/>
        <v>0</v>
      </c>
    </row>
    <row r="207" spans="1:12" x14ac:dyDescent="0.3">
      <c r="A207" s="31" t="s">
        <v>1333</v>
      </c>
      <c r="B207" s="51" t="s">
        <v>1269</v>
      </c>
      <c r="C207" s="33" t="s">
        <v>1222</v>
      </c>
      <c r="D207" s="34"/>
      <c r="E207" s="35"/>
      <c r="F207" s="35"/>
      <c r="G207" s="35"/>
      <c r="H207" s="35"/>
      <c r="I207" s="35"/>
      <c r="J207" s="53">
        <f>CEILING((SUMPRODUCT('Piping Material List'!$AE$3:$AE$96,'Piping Material List'!$AJ$3:$AJ$96,'Piping Material List'!$BB$3:$BB$96)+SUMPRODUCT('Piping Material List'!$AF$3:$AF$96,'Piping Material List'!$AJ$3:$AJ$96,'Piping Material List'!$CD$3:$CD$96)),1)</f>
        <v>0</v>
      </c>
      <c r="K207" s="739">
        <v>1.5</v>
      </c>
      <c r="L207" s="37">
        <f t="shared" si="11"/>
        <v>0</v>
      </c>
    </row>
    <row r="208" spans="1:12" x14ac:dyDescent="0.3">
      <c r="A208" s="31" t="s">
        <v>1334</v>
      </c>
      <c r="B208" s="51" t="s">
        <v>1271</v>
      </c>
      <c r="C208" s="33" t="s">
        <v>1222</v>
      </c>
      <c r="D208" s="34"/>
      <c r="E208" s="35"/>
      <c r="F208" s="35"/>
      <c r="G208" s="35"/>
      <c r="H208" s="35"/>
      <c r="I208" s="35"/>
      <c r="J208" s="53">
        <f>CEILING((SUMPRODUCT('Piping Material List'!$AE$3:$AE$96,'Piping Material List'!$AJ$3:$AJ$96,'Piping Material List'!$BC$3:$BC$96)+SUMPRODUCT('Piping Material List'!$AF$3:$AF$96,'Piping Material List'!$AJ$3:$AJ$96,'Piping Material List'!$CE$3:$CE$96)),1)</f>
        <v>0</v>
      </c>
      <c r="K208" s="739">
        <v>1.5</v>
      </c>
      <c r="L208" s="37">
        <f t="shared" si="11"/>
        <v>0</v>
      </c>
    </row>
    <row r="209" spans="1:12" x14ac:dyDescent="0.3">
      <c r="A209" s="31" t="s">
        <v>1335</v>
      </c>
      <c r="B209" s="51" t="s">
        <v>1273</v>
      </c>
      <c r="C209" s="33" t="s">
        <v>1222</v>
      </c>
      <c r="D209" s="34"/>
      <c r="E209" s="35"/>
      <c r="F209" s="35"/>
      <c r="G209" s="35"/>
      <c r="H209" s="35"/>
      <c r="I209" s="35"/>
      <c r="J209" s="53">
        <f>CEILING((SUMPRODUCT('Piping Material List'!$AE$3:$AE$96,'Piping Material List'!$AJ$3:$AJ$96,'Piping Material List'!$BD$3:$BD$96)+SUMPRODUCT('Piping Material List'!$AF$3:$AF$96,'Piping Material List'!$AJ$3:$AJ$96,'Piping Material List'!$CF$3:$CF$96)),1)</f>
        <v>0</v>
      </c>
      <c r="K209" s="739">
        <v>1.5</v>
      </c>
      <c r="L209" s="37">
        <f t="shared" si="11"/>
        <v>0</v>
      </c>
    </row>
    <row r="210" spans="1:12" x14ac:dyDescent="0.3">
      <c r="A210" s="31" t="s">
        <v>1336</v>
      </c>
      <c r="B210" s="51" t="s">
        <v>1275</v>
      </c>
      <c r="C210" s="33" t="s">
        <v>1222</v>
      </c>
      <c r="D210" s="34"/>
      <c r="E210" s="35"/>
      <c r="F210" s="35"/>
      <c r="G210" s="35"/>
      <c r="H210" s="35"/>
      <c r="I210" s="35"/>
      <c r="J210" s="53">
        <f>CEILING((SUMPRODUCT('Piping Material List'!$AE$3:$AE$96,'Piping Material List'!$AJ$3:$AJ$96,'Piping Material List'!$BE$3:$BE$96)+SUMPRODUCT('Piping Material List'!$AF$3:$AF$96,'Piping Material List'!$AJ$3:$AJ$96,'Piping Material List'!$CG$3:$CG$96)),1)</f>
        <v>0</v>
      </c>
      <c r="K210" s="739">
        <v>1.5</v>
      </c>
      <c r="L210" s="37">
        <f t="shared" si="11"/>
        <v>0</v>
      </c>
    </row>
    <row r="211" spans="1:12" x14ac:dyDescent="0.3">
      <c r="A211" s="31" t="s">
        <v>1337</v>
      </c>
      <c r="B211" s="51" t="s">
        <v>1277</v>
      </c>
      <c r="C211" s="33" t="s">
        <v>1222</v>
      </c>
      <c r="D211" s="34"/>
      <c r="E211" s="35"/>
      <c r="F211" s="35"/>
      <c r="G211" s="35"/>
      <c r="H211" s="35"/>
      <c r="I211" s="35"/>
      <c r="J211" s="53">
        <f>CEILING((SUMPRODUCT('Piping Material List'!$AE$3:$AE$96,'Piping Material List'!$AJ$3:$AJ$96,'Piping Material List'!$BF$3:$BF$96)+SUMPRODUCT('Piping Material List'!$AF$3:$AF$96,'Piping Material List'!$AJ$3:$AJ$96,'Piping Material List'!$CH$3:$CH$96)),1)</f>
        <v>154</v>
      </c>
      <c r="K211" s="739">
        <v>1.5</v>
      </c>
      <c r="L211" s="37">
        <f t="shared" si="11"/>
        <v>231</v>
      </c>
    </row>
    <row r="212" spans="1:12" x14ac:dyDescent="0.3">
      <c r="A212" s="31" t="s">
        <v>1338</v>
      </c>
      <c r="B212" s="51" t="s">
        <v>1279</v>
      </c>
      <c r="C212" s="33" t="s">
        <v>1222</v>
      </c>
      <c r="D212" s="34"/>
      <c r="E212" s="35"/>
      <c r="F212" s="35"/>
      <c r="G212" s="35"/>
      <c r="H212" s="35"/>
      <c r="I212" s="35"/>
      <c r="J212" s="53">
        <f>CEILING((SUMPRODUCT('Piping Material List'!$AE$3:$AE$96,'Piping Material List'!$AJ$3:$AJ$96,'Piping Material List'!$BG$3:$BG$96)+SUMPRODUCT('Piping Material List'!$AF$3:$AF$96,'Piping Material List'!$AJ$3:$AJ$96,'Piping Material List'!$CI$3:$CI$96)),1)</f>
        <v>64</v>
      </c>
      <c r="K212" s="739">
        <v>1.5</v>
      </c>
      <c r="L212" s="37">
        <f t="shared" si="11"/>
        <v>96</v>
      </c>
    </row>
    <row r="213" spans="1:12" x14ac:dyDescent="0.3">
      <c r="A213" s="31" t="s">
        <v>1339</v>
      </c>
      <c r="B213" s="51" t="s">
        <v>1281</v>
      </c>
      <c r="C213" s="33" t="s">
        <v>1222</v>
      </c>
      <c r="D213" s="34"/>
      <c r="E213" s="35"/>
      <c r="F213" s="35"/>
      <c r="G213" s="35"/>
      <c r="H213" s="35"/>
      <c r="I213" s="35"/>
      <c r="J213" s="53">
        <f>CEILING((SUMPRODUCT('Piping Material List'!$AE$3:$AE$96,'Piping Material List'!$AJ$3:$AJ$96,'Piping Material List'!$BH$3:$BH$96)+SUMPRODUCT('Piping Material List'!$AF$3:$AF$96,'Piping Material List'!$AJ$3:$AJ$96,'Piping Material List'!$CJ$3:$CJ$96)),1)</f>
        <v>157</v>
      </c>
      <c r="K213" s="739">
        <v>1.5</v>
      </c>
      <c r="L213" s="37">
        <f t="shared" si="11"/>
        <v>235.5</v>
      </c>
    </row>
    <row r="214" spans="1:12" x14ac:dyDescent="0.3">
      <c r="A214" s="31" t="s">
        <v>1340</v>
      </c>
      <c r="B214" s="51" t="s">
        <v>1283</v>
      </c>
      <c r="C214" s="33" t="s">
        <v>1222</v>
      </c>
      <c r="D214" s="34"/>
      <c r="E214" s="35"/>
      <c r="F214" s="35"/>
      <c r="G214" s="35"/>
      <c r="H214" s="35"/>
      <c r="I214" s="35"/>
      <c r="J214" s="53">
        <f>CEILING((SUMPRODUCT('Piping Material List'!$AE$3:$AE$96,'Piping Material List'!$AJ$3:$AJ$96,'Piping Material List'!$BI$3:$BI$96)+SUMPRODUCT('Piping Material List'!$AF$3:$AF$96,'Piping Material List'!$AJ$3:$AJ$96,'Piping Material List'!$CK$3:$CK$96)),1)</f>
        <v>0</v>
      </c>
      <c r="K214" s="739">
        <v>1.5</v>
      </c>
      <c r="L214" s="37">
        <f t="shared" si="11"/>
        <v>0</v>
      </c>
    </row>
    <row r="215" spans="1:12" x14ac:dyDescent="0.3">
      <c r="A215" s="31" t="s">
        <v>1341</v>
      </c>
      <c r="B215" s="51" t="s">
        <v>1285</v>
      </c>
      <c r="C215" s="33" t="s">
        <v>1222</v>
      </c>
      <c r="D215" s="34"/>
      <c r="E215" s="35"/>
      <c r="F215" s="35"/>
      <c r="G215" s="35"/>
      <c r="H215" s="35"/>
      <c r="I215" s="35"/>
      <c r="J215" s="53">
        <f>CEILING((SUMPRODUCT('Piping Material List'!$AE$3:$AE$96,'Piping Material List'!$AJ$3:$AJ$96,'Piping Material List'!$BJ$3:$BJ$96)+SUMPRODUCT('Piping Material List'!$AF$3:$AF$96,'Piping Material List'!$AJ$3:$AJ$96,'Piping Material List'!$CL$3:$CL$96)),1)</f>
        <v>0</v>
      </c>
      <c r="K215" s="739">
        <v>1.5</v>
      </c>
      <c r="L215" s="37">
        <f t="shared" si="11"/>
        <v>0</v>
      </c>
    </row>
    <row r="216" spans="1:12" x14ac:dyDescent="0.3">
      <c r="A216" s="31" t="s">
        <v>1342</v>
      </c>
      <c r="B216" s="51" t="s">
        <v>1287</v>
      </c>
      <c r="C216" s="33" t="s">
        <v>1222</v>
      </c>
      <c r="D216" s="34"/>
      <c r="E216" s="35"/>
      <c r="F216" s="35"/>
      <c r="G216" s="35"/>
      <c r="H216" s="35"/>
      <c r="I216" s="35"/>
      <c r="J216" s="53">
        <f>CEILING((SUMPRODUCT('Piping Material List'!$AE$3:$AE$96,'Piping Material List'!$AJ$3:$AJ$96,'Piping Material List'!$BK$3:$BK$96)+SUMPRODUCT('Piping Material List'!$AF$3:$AF$96,'Piping Material List'!$AJ$3:$AJ$96,'Piping Material List'!$CM$3:$CM$96)),1)</f>
        <v>0</v>
      </c>
      <c r="K216" s="739">
        <v>1.5</v>
      </c>
      <c r="L216" s="37">
        <f t="shared" si="11"/>
        <v>0</v>
      </c>
    </row>
    <row r="217" spans="1:12" x14ac:dyDescent="0.3">
      <c r="A217" s="31" t="s">
        <v>1343</v>
      </c>
      <c r="B217" s="51" t="s">
        <v>1289</v>
      </c>
      <c r="C217" s="33" t="s">
        <v>1222</v>
      </c>
      <c r="D217" s="34"/>
      <c r="E217" s="35"/>
      <c r="F217" s="35"/>
      <c r="G217" s="35"/>
      <c r="H217" s="35"/>
      <c r="I217" s="35"/>
      <c r="J217" s="53">
        <f>CEILING((SUMPRODUCT('Piping Material List'!$AE$3:$AE$96,'Piping Material List'!$AJ$3:$AJ$96,'Piping Material List'!$BL$3:$BL$96)+SUMPRODUCT('Piping Material List'!$AF$3:$AF$96,'Piping Material List'!$AJ$3:$AJ$96,'Piping Material List'!$CM$3:$CM$96)),1)</f>
        <v>0</v>
      </c>
      <c r="K217" s="739">
        <v>1.5</v>
      </c>
      <c r="L217" s="37">
        <f t="shared" si="11"/>
        <v>0</v>
      </c>
    </row>
    <row r="218" spans="1:12" x14ac:dyDescent="0.3">
      <c r="A218" s="31" t="s">
        <v>1344</v>
      </c>
      <c r="B218" s="51" t="s">
        <v>1291</v>
      </c>
      <c r="C218" s="33" t="s">
        <v>1222</v>
      </c>
      <c r="D218" s="34"/>
      <c r="E218" s="35"/>
      <c r="F218" s="35"/>
      <c r="G218" s="35"/>
      <c r="H218" s="35"/>
      <c r="I218" s="35"/>
      <c r="J218" s="53">
        <f>CEILING((SUMPRODUCT('Piping Material List'!$AE$3:$AE$96,'Piping Material List'!$AJ$3:$AJ$96,'Piping Material List'!$BM$3:$BM$96)+SUMPRODUCT('Piping Material List'!$AF$3:$AF$96,'Piping Material List'!$AJ$3:$AJ$96,'Piping Material List'!$CM$3:$CM$96)),1)</f>
        <v>0</v>
      </c>
      <c r="K218" s="739">
        <v>1.5</v>
      </c>
      <c r="L218" s="37">
        <f t="shared" si="11"/>
        <v>0</v>
      </c>
    </row>
    <row r="219" spans="1:12" x14ac:dyDescent="0.3">
      <c r="A219" s="31" t="s">
        <v>1345</v>
      </c>
      <c r="B219" s="51" t="s">
        <v>1293</v>
      </c>
      <c r="C219" s="33" t="s">
        <v>1222</v>
      </c>
      <c r="D219" s="34"/>
      <c r="E219" s="35"/>
      <c r="F219" s="35"/>
      <c r="G219" s="35"/>
      <c r="H219" s="35"/>
      <c r="I219" s="35"/>
      <c r="J219" s="53">
        <f>CEILING((SUMPRODUCT('Piping Material List'!$AE$3:$AE$96,'Piping Material List'!$AJ$3:$AJ$96,'Piping Material List'!$BP$3:$BP$96)+SUMPRODUCT('Piping Material List'!$AF$3:$AF$96,'Piping Material List'!$AJ$3:$AJ$96,'Piping Material List'!$CM$3:$CM$96)),1)</f>
        <v>0</v>
      </c>
      <c r="K219" s="739">
        <v>1.5</v>
      </c>
      <c r="L219" s="37">
        <f t="shared" si="11"/>
        <v>0</v>
      </c>
    </row>
    <row r="220" spans="1:12" x14ac:dyDescent="0.3">
      <c r="A220" s="31" t="s">
        <v>1346</v>
      </c>
      <c r="B220" s="51" t="s">
        <v>1295</v>
      </c>
      <c r="C220" s="33" t="s">
        <v>1222</v>
      </c>
      <c r="D220" s="34"/>
      <c r="E220" s="35"/>
      <c r="F220" s="35"/>
      <c r="G220" s="35"/>
      <c r="H220" s="35"/>
      <c r="I220" s="35"/>
      <c r="J220" s="53">
        <f>CEILING((SUMPRODUCT('Piping Material List'!$AE$3:$AE$96,'Piping Material List'!$AJ$3:$AJ$96,'Piping Material List'!$BO$3:$BO$96)+SUMPRODUCT('Piping Material List'!$AF$3:$AF$96,'Piping Material List'!$AJ$3:$AJ$96,'Piping Material List'!$CM$3:$CM$96)),1)</f>
        <v>0</v>
      </c>
      <c r="K220" s="739">
        <v>1.5</v>
      </c>
      <c r="L220" s="37">
        <f t="shared" si="11"/>
        <v>0</v>
      </c>
    </row>
    <row r="221" spans="1:12" x14ac:dyDescent="0.3">
      <c r="A221" s="31" t="s">
        <v>1347</v>
      </c>
      <c r="B221" s="51" t="s">
        <v>1297</v>
      </c>
      <c r="C221" s="33" t="s">
        <v>1222</v>
      </c>
      <c r="D221" s="34"/>
      <c r="E221" s="35"/>
      <c r="F221" s="35"/>
      <c r="G221" s="35"/>
      <c r="H221" s="35"/>
      <c r="I221" s="35"/>
      <c r="J221" s="53">
        <f>CEILING((SUMPRODUCT('Piping Material List'!$AE$3:$AE$96,'Piping Material List'!$AJ$3:$AJ$96,'Piping Material List'!$BR$3:$BR$96)+SUMPRODUCT('Piping Material List'!$AF$3:$AF$96,'Piping Material List'!$AJ$3:$AJ$96,'Piping Material List'!$CM$3:$CM$96)),1)</f>
        <v>0</v>
      </c>
      <c r="K221" s="739">
        <v>1.5</v>
      </c>
      <c r="L221" s="37">
        <f t="shared" si="11"/>
        <v>0</v>
      </c>
    </row>
    <row r="222" spans="1:12" x14ac:dyDescent="0.3">
      <c r="A222" s="31" t="s">
        <v>1348</v>
      </c>
      <c r="B222" s="51" t="s">
        <v>1299</v>
      </c>
      <c r="C222" s="33" t="s">
        <v>1222</v>
      </c>
      <c r="D222" s="34"/>
      <c r="E222" s="35"/>
      <c r="F222" s="35"/>
      <c r="G222" s="35"/>
      <c r="H222" s="35"/>
      <c r="I222" s="35"/>
      <c r="J222" s="53">
        <f>CEILING((SUMPRODUCT('Piping Material List'!$AE$3:$AE$96,'Piping Material List'!$AJ$3:$AJ$96,'Piping Material List'!$BQ$3:$BQ$96)+SUMPRODUCT('Piping Material List'!$AF$3:$AF$96,'Piping Material List'!$AJ$3:$AJ$96,'Piping Material List'!$CM$3:$CM$96)),1)</f>
        <v>0</v>
      </c>
      <c r="K222" s="739">
        <v>1.5</v>
      </c>
      <c r="L222" s="37">
        <f t="shared" si="11"/>
        <v>0</v>
      </c>
    </row>
    <row r="223" spans="1:12" x14ac:dyDescent="0.3">
      <c r="A223" s="31" t="s">
        <v>1183</v>
      </c>
      <c r="B223" s="51" t="s">
        <v>1320</v>
      </c>
      <c r="C223" s="33" t="s">
        <v>1222</v>
      </c>
      <c r="D223" s="34"/>
      <c r="E223" s="35"/>
      <c r="F223" s="35"/>
      <c r="G223" s="35"/>
      <c r="H223" s="35"/>
      <c r="I223" s="35"/>
      <c r="J223" s="53">
        <f>CEILING((SUMPRODUCT('Piping Material List'!$AE$3:$AE$96,'Piping Material List'!$AJ$3:$AJ$96,'Piping Material List'!$BT$3:$BT$96)+SUMPRODUCT('Piping Material List'!$AF$3:$AF$96,'Piping Material List'!$AJ$3:$AJ$96,'Piping Material List'!$CM$3:$CM$96)),1)</f>
        <v>0</v>
      </c>
      <c r="K223" s="739">
        <v>1.5</v>
      </c>
      <c r="L223" s="37">
        <f t="shared" si="11"/>
        <v>0</v>
      </c>
    </row>
    <row r="224" spans="1:12" x14ac:dyDescent="0.3">
      <c r="A224" s="31" t="s">
        <v>1185</v>
      </c>
      <c r="B224" s="51" t="s">
        <v>1321</v>
      </c>
      <c r="C224" s="33" t="s">
        <v>1222</v>
      </c>
      <c r="D224" s="34"/>
      <c r="E224" s="35"/>
      <c r="F224" s="35"/>
      <c r="G224" s="35"/>
      <c r="H224" s="35"/>
      <c r="I224" s="35"/>
      <c r="J224" s="53">
        <f>CEILING((SUMPRODUCT('Piping Material List'!$AE$3:$AE$96,'Piping Material List'!$AJ$3:$AJ$96,'Piping Material List'!$BU$3:$BU$96)+SUMPRODUCT('Piping Material List'!$AF$3:$AF$96,'Piping Material List'!$AJ$3:$AJ$96,'Piping Material List'!$CM$3:$CM$96)),1)</f>
        <v>0</v>
      </c>
      <c r="K224" s="739">
        <v>1.5</v>
      </c>
      <c r="L224" s="37">
        <f t="shared" si="11"/>
        <v>0</v>
      </c>
    </row>
    <row r="225" spans="1:12" x14ac:dyDescent="0.3">
      <c r="A225" s="31" t="s">
        <v>1187</v>
      </c>
      <c r="B225" s="51" t="s">
        <v>1322</v>
      </c>
      <c r="C225" s="33" t="s">
        <v>1222</v>
      </c>
      <c r="D225" s="34"/>
      <c r="E225" s="35"/>
      <c r="F225" s="35"/>
      <c r="G225" s="35"/>
      <c r="H225" s="35"/>
      <c r="I225" s="35"/>
      <c r="J225" s="53">
        <f>CEILING((SUMPRODUCT('Piping Material List'!$AE$3:$AE$96,'Piping Material List'!$AJ$3:$AJ$96,'Piping Material List'!$BV$3:$BV$96)+SUMPRODUCT('Piping Material List'!$AF$3:$AF$96,'Piping Material List'!$AJ$3:$AJ$96,'Piping Material List'!$CM$3:$CM$96)),1)</f>
        <v>0</v>
      </c>
      <c r="K225" s="739">
        <v>1.5</v>
      </c>
      <c r="L225" s="37">
        <f t="shared" si="11"/>
        <v>0</v>
      </c>
    </row>
    <row r="226" spans="1:12" x14ac:dyDescent="0.3">
      <c r="A226" s="31" t="s">
        <v>1189</v>
      </c>
      <c r="B226" s="51" t="s">
        <v>1323</v>
      </c>
      <c r="C226" s="33" t="s">
        <v>1222</v>
      </c>
      <c r="D226" s="34"/>
      <c r="E226" s="35"/>
      <c r="F226" s="35"/>
      <c r="G226" s="35"/>
      <c r="H226" s="35"/>
      <c r="I226" s="35"/>
      <c r="J226" s="53">
        <f>CEILING((SUMPRODUCT('Piping Material List'!$AE$3:$AE$96,'Piping Material List'!$AJ$3:$AJ$96,'Piping Material List'!$BW$3:$BW$96)+SUMPRODUCT('Piping Material List'!$AF$3:$AF$96,'Piping Material List'!$AJ$3:$AJ$96,'Piping Material List'!$CM$3:$CM$96)),1)</f>
        <v>0</v>
      </c>
      <c r="K226" s="739">
        <v>1.5</v>
      </c>
      <c r="L226" s="37">
        <f t="shared" si="11"/>
        <v>0</v>
      </c>
    </row>
    <row r="227" spans="1:12" x14ac:dyDescent="0.3">
      <c r="A227" s="31" t="s">
        <v>1191</v>
      </c>
      <c r="B227" s="51" t="s">
        <v>1324</v>
      </c>
      <c r="C227" s="33" t="s">
        <v>1222</v>
      </c>
      <c r="D227" s="34"/>
      <c r="E227" s="35"/>
      <c r="F227" s="35"/>
      <c r="G227" s="35"/>
      <c r="H227" s="35"/>
      <c r="I227" s="35"/>
      <c r="J227" s="53">
        <f>CEILING((SUMPRODUCT('Piping Material List'!$AE$3:$AE$96,'Piping Material List'!$AJ$3:$AJ$96,'Piping Material List'!$BX$3:$BX$96)+SUMPRODUCT('Piping Material List'!$AF$3:$AF$96,'Piping Material List'!$AJ$3:$AJ$96,'Piping Material List'!$CM$3:$CM$96)),1)</f>
        <v>0</v>
      </c>
      <c r="K227" s="739">
        <v>1.5</v>
      </c>
      <c r="L227" s="37">
        <f t="shared" si="11"/>
        <v>0</v>
      </c>
    </row>
    <row r="228" spans="1:12" x14ac:dyDescent="0.3">
      <c r="A228" s="31" t="s">
        <v>1193</v>
      </c>
      <c r="B228" s="51" t="s">
        <v>1325</v>
      </c>
      <c r="C228" s="33" t="s">
        <v>1222</v>
      </c>
      <c r="D228" s="34"/>
      <c r="E228" s="35"/>
      <c r="F228" s="35"/>
      <c r="G228" s="35"/>
      <c r="H228" s="35"/>
      <c r="I228" s="35"/>
      <c r="J228" s="53">
        <f>CEILING((SUMPRODUCT('Piping Material List'!$AE$3:$AE$96,'Piping Material List'!$AJ$3:$AJ$96,'Piping Material List'!$BY$3:$BY$96)+SUMPRODUCT('Piping Material List'!$AF$3:$AF$96,'Piping Material List'!$AJ$3:$AJ$96,'Piping Material List'!$CM$3:$CM$96)),1)</f>
        <v>0</v>
      </c>
      <c r="K228" s="739">
        <v>1.5</v>
      </c>
      <c r="L228" s="37">
        <f t="shared" si="11"/>
        <v>0</v>
      </c>
    </row>
    <row r="229" spans="1:12" x14ac:dyDescent="0.3">
      <c r="A229" s="31" t="s">
        <v>1195</v>
      </c>
      <c r="B229" s="51" t="s">
        <v>1326</v>
      </c>
      <c r="C229" s="33" t="s">
        <v>1222</v>
      </c>
      <c r="D229" s="34"/>
      <c r="E229" s="35"/>
      <c r="F229" s="35"/>
      <c r="G229" s="35"/>
      <c r="H229" s="35"/>
      <c r="I229" s="35"/>
      <c r="J229" s="53">
        <f>CEILING((SUMPRODUCT('Piping Material List'!$AE$3:$AE$96,'Piping Material List'!$AJ$3:$AJ$96,'Piping Material List'!$BK$3:$BK$96)+SUMPRODUCT('Piping Material List'!$AF$3:$AF$96,'Piping Material List'!$AJ$3:$AJ$96,'Piping Material List'!$CM$3:$CM$96)),1)</f>
        <v>0</v>
      </c>
      <c r="K229" s="739">
        <v>1.5</v>
      </c>
      <c r="L229" s="37">
        <f t="shared" si="11"/>
        <v>0</v>
      </c>
    </row>
    <row r="230" spans="1:12" x14ac:dyDescent="0.3">
      <c r="A230" s="31" t="s">
        <v>1197</v>
      </c>
      <c r="B230" s="51" t="s">
        <v>1327</v>
      </c>
      <c r="C230" s="33" t="s">
        <v>1222</v>
      </c>
      <c r="D230" s="34"/>
      <c r="E230" s="35"/>
      <c r="F230" s="35"/>
      <c r="G230" s="35"/>
      <c r="H230" s="35"/>
      <c r="I230" s="35"/>
      <c r="J230" s="53">
        <f>CEILING((SUMPRODUCT('Piping Material List'!$AE$3:$AE$96,'Piping Material List'!$AJ$3:$AJ$96,'Piping Material List'!$BK$3:$BK$96)+SUMPRODUCT('Piping Material List'!$AF$3:$AF$96,'Piping Material List'!$AJ$3:$AJ$96,'Piping Material List'!$CM$3:$CM$96)),1)</f>
        <v>0</v>
      </c>
      <c r="K230" s="739">
        <v>1.5</v>
      </c>
      <c r="L230" s="37">
        <f>SUMPRODUCT(D230:J230,$D$29:$J$29)*K230</f>
        <v>0</v>
      </c>
    </row>
    <row r="231" spans="1:12" ht="16.2" thickBot="1" x14ac:dyDescent="0.35">
      <c r="A231" s="31" t="s">
        <v>1199</v>
      </c>
      <c r="B231" s="51" t="s">
        <v>1328</v>
      </c>
      <c r="C231" s="33" t="s">
        <v>1222</v>
      </c>
      <c r="D231" s="34"/>
      <c r="E231" s="35"/>
      <c r="F231" s="35"/>
      <c r="G231" s="35"/>
      <c r="H231" s="35"/>
      <c r="I231" s="35"/>
      <c r="J231" s="53">
        <f>CEILING((SUMPRODUCT('Piping Material List'!$AE$3:$AE$96,'Piping Material List'!$AJ$3:$AJ$96,'Piping Material List'!$BZ$3:$BZ$96)+SUMPRODUCT('Piping Material List'!$AF$3:$AF$96,'Piping Material List'!$AJ$3:$AJ$96,'Piping Material List'!$CM$3:$CM$96)),1)</f>
        <v>0</v>
      </c>
      <c r="K231" s="739">
        <v>1.5</v>
      </c>
      <c r="L231" s="37">
        <f>SUMPRODUCT(D231:J231,$D$29:$J$29)*K231</f>
        <v>0</v>
      </c>
    </row>
    <row r="232" spans="1:12" ht="16.2" thickBot="1" x14ac:dyDescent="0.35">
      <c r="A232" s="1474" t="s">
        <v>1349</v>
      </c>
      <c r="B232" s="1492" t="s">
        <v>1350</v>
      </c>
      <c r="C232" s="1480"/>
      <c r="D232" s="1481"/>
      <c r="E232" s="1481"/>
      <c r="F232" s="1481"/>
      <c r="G232" s="1481"/>
      <c r="H232" s="1481"/>
      <c r="I232" s="1481"/>
      <c r="J232" s="1481"/>
      <c r="K232" s="1482"/>
      <c r="L232" s="1131">
        <f>SUM(L233:L250)</f>
        <v>0</v>
      </c>
    </row>
    <row r="233" spans="1:12" x14ac:dyDescent="0.3">
      <c r="A233" s="31" t="s">
        <v>1351</v>
      </c>
      <c r="B233" s="51" t="s">
        <v>1265</v>
      </c>
      <c r="C233" s="33" t="s">
        <v>1222</v>
      </c>
      <c r="D233" s="28"/>
      <c r="E233" s="29"/>
      <c r="F233" s="29"/>
      <c r="G233" s="29"/>
      <c r="H233" s="29"/>
      <c r="I233" s="29"/>
      <c r="J233" s="52">
        <f>CEILING((SUMPRODUCT('Piping Material List'!$AE$3:$AE$96,'Piping Material List'!$AK$3:$AK$96,'Piping Material List'!$AZ$3:$AZ$96)+SUMPRODUCT('Piping Material List'!$AF$3:$AF$96,'Piping Material List'!$AK$3:$AK$96,'Piping Material List'!$CC$3:$CC$96)),1)</f>
        <v>0</v>
      </c>
      <c r="K233" s="739">
        <v>1.5</v>
      </c>
      <c r="L233" s="923">
        <f t="shared" ref="L233:L250" si="12">J233*K233</f>
        <v>0</v>
      </c>
    </row>
    <row r="234" spans="1:12" x14ac:dyDescent="0.3">
      <c r="A234" s="31" t="s">
        <v>1352</v>
      </c>
      <c r="B234" s="51" t="s">
        <v>1267</v>
      </c>
      <c r="C234" s="33" t="s">
        <v>1222</v>
      </c>
      <c r="D234" s="34"/>
      <c r="E234" s="35"/>
      <c r="F234" s="35"/>
      <c r="G234" s="35"/>
      <c r="H234" s="35"/>
      <c r="I234" s="35"/>
      <c r="J234" s="53">
        <f>CEILING((SUMPRODUCT('Piping Material List'!$AE$3:$AE$96,'Piping Material List'!$AK$3:$AK$96,'Piping Material List'!$BA$3:$BA$96)+SUMPRODUCT('Piping Material List'!$AF$3:$AF$96,'Piping Material List'!$AK$3:$AK$96,'Piping Material List'!$CC$3:$CC$96)),1)</f>
        <v>0</v>
      </c>
      <c r="K234" s="739">
        <v>1.5</v>
      </c>
      <c r="L234" s="37">
        <f t="shared" si="12"/>
        <v>0</v>
      </c>
    </row>
    <row r="235" spans="1:12" x14ac:dyDescent="0.3">
      <c r="A235" s="31" t="s">
        <v>1353</v>
      </c>
      <c r="B235" s="51" t="s">
        <v>1269</v>
      </c>
      <c r="C235" s="33" t="s">
        <v>1222</v>
      </c>
      <c r="D235" s="34"/>
      <c r="E235" s="35"/>
      <c r="F235" s="35"/>
      <c r="G235" s="35"/>
      <c r="H235" s="35"/>
      <c r="I235" s="35"/>
      <c r="J235" s="53">
        <f>CEILING((SUMPRODUCT('Piping Material List'!$AE$3:$AE$96,'Piping Material List'!$AK$3:$AK$96,'Piping Material List'!$BB$3:$BB$96)+SUMPRODUCT('Piping Material List'!$AF$3:$AF$96,'Piping Material List'!$AK$3:$AK$96,'Piping Material List'!$CD$3:$CD$96)),1)</f>
        <v>0</v>
      </c>
      <c r="K235" s="739">
        <v>1.5</v>
      </c>
      <c r="L235" s="37">
        <f t="shared" si="12"/>
        <v>0</v>
      </c>
    </row>
    <row r="236" spans="1:12" x14ac:dyDescent="0.3">
      <c r="A236" s="31" t="s">
        <v>1354</v>
      </c>
      <c r="B236" s="51" t="s">
        <v>1271</v>
      </c>
      <c r="C236" s="33" t="s">
        <v>1222</v>
      </c>
      <c r="D236" s="34"/>
      <c r="E236" s="35"/>
      <c r="F236" s="35"/>
      <c r="G236" s="35"/>
      <c r="H236" s="35"/>
      <c r="I236" s="35"/>
      <c r="J236" s="53">
        <f>CEILING((SUMPRODUCT('Piping Material List'!$AE$3:$AE$96,'Piping Material List'!$AK$3:$AK$96,'Piping Material List'!$BC$3:$BC$96)+SUMPRODUCT('Piping Material List'!$AF$3:$AF$96,'Piping Material List'!$AK$3:$AK$96,'Piping Material List'!$CE$3:$CE$96)),1)</f>
        <v>0</v>
      </c>
      <c r="K236" s="739">
        <v>1.5</v>
      </c>
      <c r="L236" s="37">
        <f t="shared" si="12"/>
        <v>0</v>
      </c>
    </row>
    <row r="237" spans="1:12" x14ac:dyDescent="0.3">
      <c r="A237" s="31" t="s">
        <v>1355</v>
      </c>
      <c r="B237" s="51" t="s">
        <v>1273</v>
      </c>
      <c r="C237" s="33" t="s">
        <v>1222</v>
      </c>
      <c r="D237" s="34"/>
      <c r="E237" s="35"/>
      <c r="F237" s="35"/>
      <c r="G237" s="35"/>
      <c r="H237" s="35"/>
      <c r="I237" s="35"/>
      <c r="J237" s="53">
        <f>CEILING((SUMPRODUCT('Piping Material List'!$AE$3:$AE$96,'Piping Material List'!$AK$3:$AK$96,'Piping Material List'!$BD$3:$BD$96)+SUMPRODUCT('Piping Material List'!$AF$3:$AF$96,'Piping Material List'!$AK$3:$AK$96,'Piping Material List'!$CF$3:$CF$96)),1)</f>
        <v>0</v>
      </c>
      <c r="K237" s="739">
        <v>1.5</v>
      </c>
      <c r="L237" s="37">
        <f t="shared" si="12"/>
        <v>0</v>
      </c>
    </row>
    <row r="238" spans="1:12" x14ac:dyDescent="0.3">
      <c r="A238" s="31" t="s">
        <v>1356</v>
      </c>
      <c r="B238" s="51" t="s">
        <v>1275</v>
      </c>
      <c r="C238" s="33" t="s">
        <v>1222</v>
      </c>
      <c r="D238" s="34"/>
      <c r="E238" s="35"/>
      <c r="F238" s="35"/>
      <c r="G238" s="35"/>
      <c r="H238" s="35"/>
      <c r="I238" s="35"/>
      <c r="J238" s="53">
        <f>CEILING((SUMPRODUCT('Piping Material List'!$AE$3:$AE$96,'Piping Material List'!$AK$3:$AK$96,'Piping Material List'!$BE$3:$BE$96)+SUMPRODUCT('Piping Material List'!$AF$3:$AF$96,'Piping Material List'!$AK$3:$AK$96,'Piping Material List'!$CG$3:$CG$96)),1)</f>
        <v>0</v>
      </c>
      <c r="K238" s="739">
        <v>1.5</v>
      </c>
      <c r="L238" s="37">
        <f t="shared" si="12"/>
        <v>0</v>
      </c>
    </row>
    <row r="239" spans="1:12" x14ac:dyDescent="0.3">
      <c r="A239" s="31" t="s">
        <v>1357</v>
      </c>
      <c r="B239" s="51" t="s">
        <v>1277</v>
      </c>
      <c r="C239" s="33" t="s">
        <v>1222</v>
      </c>
      <c r="D239" s="34"/>
      <c r="E239" s="35"/>
      <c r="F239" s="35"/>
      <c r="G239" s="35"/>
      <c r="H239" s="35"/>
      <c r="I239" s="35"/>
      <c r="J239" s="53">
        <f>CEILING((SUMPRODUCT('Piping Material List'!$AE$3:$AE$96,'Piping Material List'!$AK$3:$AK$96,'Piping Material List'!$BF$3:$BF$96)+SUMPRODUCT('Piping Material List'!$AF$3:$AF$96,'Piping Material List'!$AK$3:$AK$96,'Piping Material List'!$CH$3:$CH$96)),1)</f>
        <v>0</v>
      </c>
      <c r="K239" s="739">
        <v>1.5</v>
      </c>
      <c r="L239" s="37">
        <f t="shared" si="12"/>
        <v>0</v>
      </c>
    </row>
    <row r="240" spans="1:12" x14ac:dyDescent="0.3">
      <c r="A240" s="31" t="s">
        <v>1358</v>
      </c>
      <c r="B240" s="51" t="s">
        <v>1279</v>
      </c>
      <c r="C240" s="33" t="s">
        <v>1222</v>
      </c>
      <c r="D240" s="34"/>
      <c r="E240" s="35"/>
      <c r="F240" s="35"/>
      <c r="G240" s="35"/>
      <c r="H240" s="35"/>
      <c r="I240" s="35"/>
      <c r="J240" s="53">
        <f>CEILING((SUMPRODUCT('Piping Material List'!$AE$3:$AE$96,'Piping Material List'!$AK$3:$AK$96,'Piping Material List'!$BG$3:$BG$96)+SUMPRODUCT('Piping Material List'!$AF$3:$AF$96,'Piping Material List'!$AK$3:$AK$96,'Piping Material List'!$CI$3:$CI$96)),1)</f>
        <v>0</v>
      </c>
      <c r="K240" s="739">
        <v>1.5</v>
      </c>
      <c r="L240" s="37">
        <f t="shared" si="12"/>
        <v>0</v>
      </c>
    </row>
    <row r="241" spans="1:12" x14ac:dyDescent="0.3">
      <c r="A241" s="31" t="s">
        <v>1359</v>
      </c>
      <c r="B241" s="51" t="s">
        <v>1281</v>
      </c>
      <c r="C241" s="33" t="s">
        <v>1222</v>
      </c>
      <c r="D241" s="34"/>
      <c r="E241" s="35"/>
      <c r="F241" s="35"/>
      <c r="G241" s="35"/>
      <c r="H241" s="35"/>
      <c r="I241" s="35"/>
      <c r="J241" s="53">
        <f>CEILING((SUMPRODUCT('Piping Material List'!$AE$3:$AE$96,'Piping Material List'!$AK$3:$AK$96,'Piping Material List'!$BG$3:$BG$96)+SUMPRODUCT('Piping Material List'!$AF$3:$AF$96,'Piping Material List'!$AK$3:$AK$96,'Piping Material List'!$CI$3:$CI$96)),1)</f>
        <v>0</v>
      </c>
      <c r="K241" s="739">
        <v>1.5</v>
      </c>
      <c r="L241" s="37">
        <f t="shared" si="12"/>
        <v>0</v>
      </c>
    </row>
    <row r="242" spans="1:12" x14ac:dyDescent="0.3">
      <c r="A242" s="31" t="s">
        <v>1360</v>
      </c>
      <c r="B242" s="51" t="s">
        <v>1283</v>
      </c>
      <c r="C242" s="33" t="s">
        <v>1222</v>
      </c>
      <c r="D242" s="34"/>
      <c r="E242" s="35"/>
      <c r="F242" s="35"/>
      <c r="G242" s="35"/>
      <c r="H242" s="35"/>
      <c r="I242" s="35"/>
      <c r="J242" s="53">
        <f>CEILING((SUMPRODUCT('Piping Material List'!$AE$3:$AE$96,'Piping Material List'!$AK$3:$AK$96,'Piping Material List'!$BG$3:$BG$96)+SUMPRODUCT('Piping Material List'!$AF$3:$AF$96,'Piping Material List'!$AK$3:$AK$96,'Piping Material List'!$CI$3:$CI$96)),1)</f>
        <v>0</v>
      </c>
      <c r="K242" s="739">
        <v>1.5</v>
      </c>
      <c r="L242" s="37">
        <f t="shared" si="12"/>
        <v>0</v>
      </c>
    </row>
    <row r="243" spans="1:12" x14ac:dyDescent="0.3">
      <c r="A243" s="31" t="s">
        <v>1361</v>
      </c>
      <c r="B243" s="51" t="s">
        <v>1285</v>
      </c>
      <c r="C243" s="33" t="s">
        <v>1222</v>
      </c>
      <c r="D243" s="34"/>
      <c r="E243" s="35"/>
      <c r="F243" s="35"/>
      <c r="G243" s="35"/>
      <c r="H243" s="35"/>
      <c r="I243" s="35"/>
      <c r="J243" s="53">
        <f>CEILING((SUMPRODUCT('Piping Material List'!$AE$3:$AE$96,'Piping Material List'!$AK$3:$AK$96,'Piping Material List'!$BG$3:$BG$96)+SUMPRODUCT('Piping Material List'!$AF$3:$AF$96,'Piping Material List'!$AK$3:$AK$96,'Piping Material List'!$CI$3:$CI$96)),1)</f>
        <v>0</v>
      </c>
      <c r="K243" s="739">
        <v>1.5</v>
      </c>
      <c r="L243" s="37">
        <f t="shared" si="12"/>
        <v>0</v>
      </c>
    </row>
    <row r="244" spans="1:12" x14ac:dyDescent="0.3">
      <c r="A244" s="31" t="s">
        <v>1362</v>
      </c>
      <c r="B244" s="51" t="s">
        <v>1287</v>
      </c>
      <c r="C244" s="33" t="s">
        <v>1222</v>
      </c>
      <c r="D244" s="34"/>
      <c r="E244" s="35"/>
      <c r="F244" s="35"/>
      <c r="G244" s="35"/>
      <c r="H244" s="35"/>
      <c r="I244" s="35"/>
      <c r="J244" s="53">
        <f>CEILING((SUMPRODUCT('Piping Material List'!$AE$3:$AE$96,'Piping Material List'!$AK$3:$AK$96,'Piping Material List'!$BG$3:$BG$96)+SUMPRODUCT('Piping Material List'!$AF$3:$AF$96,'Piping Material List'!$AK$3:$AK$96,'Piping Material List'!$CI$3:$CI$96)),1)</f>
        <v>0</v>
      </c>
      <c r="K244" s="739">
        <v>1.5</v>
      </c>
      <c r="L244" s="37">
        <f t="shared" si="12"/>
        <v>0</v>
      </c>
    </row>
    <row r="245" spans="1:12" x14ac:dyDescent="0.3">
      <c r="A245" s="31" t="s">
        <v>1363</v>
      </c>
      <c r="B245" s="51" t="s">
        <v>1289</v>
      </c>
      <c r="C245" s="33" t="s">
        <v>1222</v>
      </c>
      <c r="D245" s="34"/>
      <c r="E245" s="35"/>
      <c r="F245" s="35"/>
      <c r="G245" s="35"/>
      <c r="H245" s="35"/>
      <c r="I245" s="35"/>
      <c r="J245" s="53">
        <f>CEILING((SUMPRODUCT('Piping Material List'!$AE$3:$AE$96,'Piping Material List'!$AK$3:$AK$96,'Piping Material List'!$BG$3:$BG$96)+SUMPRODUCT('Piping Material List'!$AF$3:$AF$96,'Piping Material List'!$AK$3:$AK$96,'Piping Material List'!$CI$3:$CI$96)),1)</f>
        <v>0</v>
      </c>
      <c r="K245" s="739">
        <v>1.5</v>
      </c>
      <c r="L245" s="37">
        <f t="shared" si="12"/>
        <v>0</v>
      </c>
    </row>
    <row r="246" spans="1:12" x14ac:dyDescent="0.3">
      <c r="A246" s="31" t="s">
        <v>1364</v>
      </c>
      <c r="B246" s="51" t="s">
        <v>1291</v>
      </c>
      <c r="C246" s="33" t="s">
        <v>1222</v>
      </c>
      <c r="D246" s="34"/>
      <c r="E246" s="35"/>
      <c r="F246" s="35"/>
      <c r="G246" s="35"/>
      <c r="H246" s="35"/>
      <c r="I246" s="35"/>
      <c r="J246" s="53">
        <f>CEILING((SUMPRODUCT('Piping Material List'!$AE$3:$AE$96,'Piping Material List'!$AK$3:$AK$96,'Piping Material List'!$BG$3:$BG$96)+SUMPRODUCT('Piping Material List'!$AF$3:$AF$96,'Piping Material List'!$AK$3:$AK$96,'Piping Material List'!$CI$3:$CI$96)),1)</f>
        <v>0</v>
      </c>
      <c r="K246" s="739">
        <v>1.5</v>
      </c>
      <c r="L246" s="37">
        <f t="shared" si="12"/>
        <v>0</v>
      </c>
    </row>
    <row r="247" spans="1:12" x14ac:dyDescent="0.3">
      <c r="A247" s="31" t="s">
        <v>1365</v>
      </c>
      <c r="B247" s="51" t="s">
        <v>1293</v>
      </c>
      <c r="C247" s="33" t="s">
        <v>1222</v>
      </c>
      <c r="D247" s="34"/>
      <c r="E247" s="35"/>
      <c r="F247" s="35"/>
      <c r="G247" s="35"/>
      <c r="H247" s="35"/>
      <c r="I247" s="35"/>
      <c r="J247" s="53">
        <f>CEILING((SUMPRODUCT('Piping Material List'!$AE$3:$AE$96,'Piping Material List'!$AK$3:$AK$96,'Piping Material List'!$BG$3:$BG$96)+SUMPRODUCT('Piping Material List'!$AF$3:$AF$96,'Piping Material List'!$AK$3:$AK$96,'Piping Material List'!$CI$3:$CI$96)),1)</f>
        <v>0</v>
      </c>
      <c r="K247" s="739">
        <v>1.5</v>
      </c>
      <c r="L247" s="37">
        <f t="shared" si="12"/>
        <v>0</v>
      </c>
    </row>
    <row r="248" spans="1:12" x14ac:dyDescent="0.3">
      <c r="A248" s="31" t="s">
        <v>1366</v>
      </c>
      <c r="B248" s="51" t="s">
        <v>1295</v>
      </c>
      <c r="C248" s="33" t="s">
        <v>1222</v>
      </c>
      <c r="D248" s="34"/>
      <c r="E248" s="35"/>
      <c r="F248" s="35"/>
      <c r="G248" s="35"/>
      <c r="H248" s="35"/>
      <c r="I248" s="35"/>
      <c r="J248" s="53">
        <f>CEILING((SUMPRODUCT('Piping Material List'!$AE$3:$AE$96,'Piping Material List'!$AK$3:$AK$96,'Piping Material List'!$BG$3:$BG$96)+SUMPRODUCT('Piping Material List'!$AF$3:$AF$96,'Piping Material List'!$AK$3:$AK$96,'Piping Material List'!$CI$3:$CI$96)),1)</f>
        <v>0</v>
      </c>
      <c r="K248" s="739">
        <v>1.5</v>
      </c>
      <c r="L248" s="37">
        <f t="shared" si="12"/>
        <v>0</v>
      </c>
    </row>
    <row r="249" spans="1:12" x14ac:dyDescent="0.3">
      <c r="A249" s="31" t="s">
        <v>1367</v>
      </c>
      <c r="B249" s="51" t="s">
        <v>1297</v>
      </c>
      <c r="C249" s="33" t="s">
        <v>1222</v>
      </c>
      <c r="D249" s="34"/>
      <c r="E249" s="35"/>
      <c r="F249" s="35"/>
      <c r="G249" s="35"/>
      <c r="H249" s="35"/>
      <c r="I249" s="35"/>
      <c r="J249" s="53">
        <f>CEILING((SUMPRODUCT('Piping Material List'!$AE$3:$AE$96,'Piping Material List'!$AK$3:$AK$96,'Piping Material List'!$BG$3:$BG$96)+SUMPRODUCT('Piping Material List'!$AF$3:$AF$96,'Piping Material List'!$AK$3:$AK$96,'Piping Material List'!$CI$3:$CI$96)),1)</f>
        <v>0</v>
      </c>
      <c r="K249" s="739">
        <v>1.5</v>
      </c>
      <c r="L249" s="37">
        <f t="shared" si="12"/>
        <v>0</v>
      </c>
    </row>
    <row r="250" spans="1:12" x14ac:dyDescent="0.3">
      <c r="A250" s="31" t="s">
        <v>1368</v>
      </c>
      <c r="B250" s="51" t="s">
        <v>1299</v>
      </c>
      <c r="C250" s="33" t="s">
        <v>1222</v>
      </c>
      <c r="D250" s="34"/>
      <c r="E250" s="35"/>
      <c r="F250" s="35"/>
      <c r="G250" s="35"/>
      <c r="H250" s="35"/>
      <c r="I250" s="35"/>
      <c r="J250" s="53">
        <f>CEILING((SUMPRODUCT('Piping Material List'!$AE$3:$AE$96,'Piping Material List'!$AK$3:$AK$96,'Piping Material List'!$BQ$3:$BQ$96)+SUMPRODUCT('Piping Material List'!$AF$3:$AF$96,'Piping Material List'!$AK$3:$AK$96,'Piping Material List'!$CI$3:$CI$96)),1)</f>
        <v>0</v>
      </c>
      <c r="K250" s="739">
        <v>1.5</v>
      </c>
      <c r="L250" s="42">
        <f t="shared" si="12"/>
        <v>0</v>
      </c>
    </row>
    <row r="251" spans="1:12" x14ac:dyDescent="0.3">
      <c r="A251" s="31" t="s">
        <v>1183</v>
      </c>
      <c r="B251" s="51" t="s">
        <v>1184</v>
      </c>
      <c r="C251" s="33" t="s">
        <v>1222</v>
      </c>
      <c r="D251" s="34"/>
      <c r="E251" s="35"/>
      <c r="F251" s="35"/>
      <c r="G251" s="35"/>
      <c r="H251" s="35"/>
      <c r="I251" s="35"/>
      <c r="J251" s="53">
        <f>CEILING((SUMPRODUCT('Piping Material List'!$AE$3:$AE$96,'Piping Material List'!$AK$3:$AK$96,'Piping Material List'!$BG$3:$BG$96)+SUMPRODUCT('Piping Material List'!$AF$3:$AF$96,'Piping Material List'!$AK$3:$AK$96,'Piping Material List'!$CI$3:$CI$96)),1)</f>
        <v>0</v>
      </c>
      <c r="K251" s="739">
        <v>1.5</v>
      </c>
      <c r="L251" s="37"/>
    </row>
    <row r="252" spans="1:12" x14ac:dyDescent="0.3">
      <c r="A252" s="31" t="s">
        <v>1185</v>
      </c>
      <c r="B252" s="51" t="s">
        <v>1186</v>
      </c>
      <c r="C252" s="33" t="s">
        <v>1222</v>
      </c>
      <c r="D252" s="34"/>
      <c r="E252" s="35"/>
      <c r="F252" s="35"/>
      <c r="G252" s="35"/>
      <c r="H252" s="35"/>
      <c r="I252" s="35"/>
      <c r="J252" s="53">
        <f>CEILING((SUMPRODUCT('Piping Material List'!$AE$3:$AE$96,'Piping Material List'!$AK$3:$AK$96,'Piping Material List'!$BS$3:$BS$96)+SUMPRODUCT('Piping Material List'!$AF$3:$AF$96,'Piping Material List'!$AK$3:$AK$96,'Piping Material List'!$CI$3:$CI$96)),1)</f>
        <v>0</v>
      </c>
      <c r="K252" s="739">
        <v>1.5</v>
      </c>
      <c r="L252" s="37">
        <f t="shared" ref="L252:L259" si="13">SUMPRODUCT(D252:J252,$D$29:$J$29)*K252</f>
        <v>0</v>
      </c>
    </row>
    <row r="253" spans="1:12" x14ac:dyDescent="0.3">
      <c r="A253" s="31" t="s">
        <v>1187</v>
      </c>
      <c r="B253" s="51" t="s">
        <v>1188</v>
      </c>
      <c r="C253" s="33" t="s">
        <v>1222</v>
      </c>
      <c r="D253" s="34"/>
      <c r="E253" s="35"/>
      <c r="F253" s="35"/>
      <c r="G253" s="35"/>
      <c r="H253" s="35"/>
      <c r="I253" s="35"/>
      <c r="J253" s="53">
        <f>CEILING((SUMPRODUCT('Piping Material List'!$AE$3:$AE$96,'Piping Material List'!$AK$3:$AK$96,'Piping Material List'!$BG$3:$BG$96)+SUMPRODUCT('Piping Material List'!$AF$3:$AF$96,'Piping Material List'!$AK$3:$AK$96,'Piping Material List'!$CI$3:$CI$96)),1)</f>
        <v>0</v>
      </c>
      <c r="K253" s="739">
        <v>1.5</v>
      </c>
      <c r="L253" s="37">
        <f t="shared" si="13"/>
        <v>0</v>
      </c>
    </row>
    <row r="254" spans="1:12" x14ac:dyDescent="0.3">
      <c r="A254" s="31" t="s">
        <v>1189</v>
      </c>
      <c r="B254" s="51" t="s">
        <v>1190</v>
      </c>
      <c r="C254" s="33" t="s">
        <v>1222</v>
      </c>
      <c r="D254" s="34"/>
      <c r="E254" s="35"/>
      <c r="F254" s="35"/>
      <c r="G254" s="35"/>
      <c r="H254" s="35"/>
      <c r="I254" s="35"/>
      <c r="J254" s="53">
        <f>CEILING((SUMPRODUCT('Piping Material List'!$AE$3:$AE$96,'Piping Material List'!$AK$3:$AK$96,'Piping Material List'!$BG$3:$BG$96)+SUMPRODUCT('Piping Material List'!$AF$3:$AF$96,'Piping Material List'!$AK$3:$AK$96,'Piping Material List'!$CI$3:$CI$96)),1)</f>
        <v>0</v>
      </c>
      <c r="K254" s="739">
        <v>1.5</v>
      </c>
      <c r="L254" s="37">
        <f t="shared" si="13"/>
        <v>0</v>
      </c>
    </row>
    <row r="255" spans="1:12" x14ac:dyDescent="0.3">
      <c r="A255" s="31" t="s">
        <v>1191</v>
      </c>
      <c r="B255" s="51" t="s">
        <v>1192</v>
      </c>
      <c r="C255" s="33" t="s">
        <v>1222</v>
      </c>
      <c r="D255" s="34"/>
      <c r="E255" s="35"/>
      <c r="F255" s="35"/>
      <c r="G255" s="35"/>
      <c r="H255" s="35"/>
      <c r="I255" s="35"/>
      <c r="J255" s="53">
        <f>CEILING((SUMPRODUCT('Piping Material List'!$AE$3:$AE$96,'Piping Material List'!$AK$3:$AK$96,'Piping Material List'!$BG$3:$BG$96)+SUMPRODUCT('Piping Material List'!$AF$3:$AF$96,'Piping Material List'!$AK$3:$AK$96,'Piping Material List'!$CI$3:$CI$96)),1)</f>
        <v>0</v>
      </c>
      <c r="K255" s="739">
        <v>1.5</v>
      </c>
      <c r="L255" s="37">
        <f t="shared" si="13"/>
        <v>0</v>
      </c>
    </row>
    <row r="256" spans="1:12" x14ac:dyDescent="0.3">
      <c r="A256" s="31" t="s">
        <v>1193</v>
      </c>
      <c r="B256" s="51" t="s">
        <v>1194</v>
      </c>
      <c r="C256" s="33" t="s">
        <v>1222</v>
      </c>
      <c r="D256" s="34"/>
      <c r="E256" s="35"/>
      <c r="F256" s="35"/>
      <c r="G256" s="35"/>
      <c r="H256" s="35"/>
      <c r="I256" s="35"/>
      <c r="J256" s="53">
        <f>CEILING((SUMPRODUCT('Piping Material List'!$AE$3:$AE$96,'Piping Material List'!$AK$3:$AK$96,'Piping Material List'!$BG$3:$BG$96)+SUMPRODUCT('Piping Material List'!$AF$3:$AF$96,'Piping Material List'!$AK$3:$AK$96,'Piping Material List'!$CI$3:$CI$96)),1)</f>
        <v>0</v>
      </c>
      <c r="K256" s="739">
        <v>1.5</v>
      </c>
      <c r="L256" s="37">
        <f t="shared" si="13"/>
        <v>0</v>
      </c>
    </row>
    <row r="257" spans="1:12" x14ac:dyDescent="0.3">
      <c r="A257" s="31" t="s">
        <v>1195</v>
      </c>
      <c r="B257" s="51" t="s">
        <v>1196</v>
      </c>
      <c r="C257" s="33" t="s">
        <v>1222</v>
      </c>
      <c r="D257" s="34"/>
      <c r="E257" s="35"/>
      <c r="F257" s="35"/>
      <c r="G257" s="35"/>
      <c r="H257" s="35"/>
      <c r="I257" s="35"/>
      <c r="J257" s="53">
        <f>CEILING((SUMPRODUCT('Piping Material List'!$AE$3:$AE$96,'Piping Material List'!$AK$3:$AK$96,'Piping Material List'!$BG$3:$BG$96)+SUMPRODUCT('Piping Material List'!$AF$3:$AF$96,'Piping Material List'!$AK$3:$AK$96,'Piping Material List'!$CI$3:$CI$96)),1)</f>
        <v>0</v>
      </c>
      <c r="K257" s="739">
        <v>1.5</v>
      </c>
      <c r="L257" s="37">
        <f t="shared" si="13"/>
        <v>0</v>
      </c>
    </row>
    <row r="258" spans="1:12" x14ac:dyDescent="0.3">
      <c r="A258" s="31" t="s">
        <v>1197</v>
      </c>
      <c r="B258" s="51" t="s">
        <v>1198</v>
      </c>
      <c r="C258" s="33" t="s">
        <v>1222</v>
      </c>
      <c r="D258" s="34"/>
      <c r="E258" s="35"/>
      <c r="F258" s="35"/>
      <c r="G258" s="35"/>
      <c r="H258" s="35"/>
      <c r="I258" s="35"/>
      <c r="J258" s="53">
        <f>CEILING((SUMPRODUCT('Piping Material List'!$AE$3:$AE$96,'Piping Material List'!$AK$3:$AK$96,'Piping Material List'!$BG$3:$BG$96)+SUMPRODUCT('Piping Material List'!$AF$3:$AF$96,'Piping Material List'!$AK$3:$AK$96,'Piping Material List'!$CI$3:$CI$96)),1)</f>
        <v>0</v>
      </c>
      <c r="K258" s="739">
        <v>1.5</v>
      </c>
      <c r="L258" s="37">
        <f t="shared" si="13"/>
        <v>0</v>
      </c>
    </row>
    <row r="259" spans="1:12" ht="16.2" thickBot="1" x14ac:dyDescent="0.35">
      <c r="A259" s="31" t="s">
        <v>1199</v>
      </c>
      <c r="B259" s="51" t="s">
        <v>1200</v>
      </c>
      <c r="C259" s="33" t="s">
        <v>1222</v>
      </c>
      <c r="D259" s="34"/>
      <c r="E259" s="35"/>
      <c r="F259" s="35"/>
      <c r="G259" s="35"/>
      <c r="H259" s="35"/>
      <c r="I259" s="35"/>
      <c r="J259" s="53">
        <f>CEILING((SUMPRODUCT('Piping Material List'!$AE$3:$AE$96,'Piping Material List'!$AK$3:$AK$96,'Piping Material List'!$BZ$3:$BZ$96)+SUMPRODUCT('Piping Material List'!$AF$3:$AF$96,'Piping Material List'!$AK$3:$AK$96,'Piping Material List'!$CI$3:$CI$96)),1)</f>
        <v>0</v>
      </c>
      <c r="K259" s="739">
        <v>1.5</v>
      </c>
      <c r="L259" s="37">
        <f t="shared" si="13"/>
        <v>0</v>
      </c>
    </row>
    <row r="260" spans="1:12" ht="16.2" thickBot="1" x14ac:dyDescent="0.35">
      <c r="A260" s="1474" t="s">
        <v>1369</v>
      </c>
      <c r="B260" s="1492" t="s">
        <v>1370</v>
      </c>
      <c r="C260" s="1480"/>
      <c r="D260" s="1481"/>
      <c r="E260" s="1481"/>
      <c r="F260" s="1481"/>
      <c r="G260" s="1481"/>
      <c r="H260" s="1481"/>
      <c r="I260" s="1481"/>
      <c r="J260" s="1481"/>
      <c r="K260" s="1482"/>
      <c r="L260" s="1131">
        <f>L261</f>
        <v>0</v>
      </c>
    </row>
    <row r="261" spans="1:12" ht="16.2" thickBot="1" x14ac:dyDescent="0.35">
      <c r="A261" s="25" t="s">
        <v>1371</v>
      </c>
      <c r="B261" s="26" t="s">
        <v>1370</v>
      </c>
      <c r="C261" s="27" t="s">
        <v>1222</v>
      </c>
      <c r="D261" s="28"/>
      <c r="E261" s="29"/>
      <c r="F261" s="29"/>
      <c r="G261" s="29"/>
      <c r="H261" s="29"/>
      <c r="I261" s="29"/>
      <c r="J261" s="53">
        <f>CEILING((SUMPRODUCT('Piping Material List'!$AE$3:$AE$96,'Piping Material List'!$AM$3:$AM$96)+SUMPRODUCT('Piping Material List'!$AF$3:$AF$96,'Piping Material List'!$AM$3:$AM$96)),1)</f>
        <v>0</v>
      </c>
      <c r="K261" s="738">
        <v>4</v>
      </c>
      <c r="L261" s="1127">
        <f>J261*K261</f>
        <v>0</v>
      </c>
    </row>
    <row r="262" spans="1:12" ht="16.2" thickBot="1" x14ac:dyDescent="0.35">
      <c r="A262" s="1474" t="s">
        <v>1372</v>
      </c>
      <c r="B262" s="1492" t="s">
        <v>1373</v>
      </c>
      <c r="C262" s="1480"/>
      <c r="D262" s="1481"/>
      <c r="E262" s="1481"/>
      <c r="F262" s="1481"/>
      <c r="G262" s="1481"/>
      <c r="H262" s="1481"/>
      <c r="I262" s="1481"/>
      <c r="J262" s="1481"/>
      <c r="K262" s="1482"/>
      <c r="L262" s="1131">
        <f>L263</f>
        <v>2408</v>
      </c>
    </row>
    <row r="263" spans="1:12" x14ac:dyDescent="0.3">
      <c r="A263" s="25" t="s">
        <v>1374</v>
      </c>
      <c r="B263" s="26" t="s">
        <v>1373</v>
      </c>
      <c r="C263" s="27" t="s">
        <v>1375</v>
      </c>
      <c r="D263" s="28"/>
      <c r="E263" s="29"/>
      <c r="F263" s="29"/>
      <c r="G263" s="29"/>
      <c r="H263" s="29"/>
      <c r="I263" s="29"/>
      <c r="J263" s="53">
        <f>CEILING((SUMPRODUCT('Piping Material List'!$AE$3:$AE$96,'Piping Material List'!$AL$3:$AL$96)+SUMPRODUCT('Piping Material List'!$AF$3:$AF$96,'Piping Material List'!$AL$3:$AL$96)),1)</f>
        <v>301</v>
      </c>
      <c r="K263" s="738">
        <v>8</v>
      </c>
      <c r="L263" s="923">
        <f>J263*K263</f>
        <v>2408</v>
      </c>
    </row>
    <row r="264" spans="1:12" ht="16.2" thickBot="1" x14ac:dyDescent="0.35">
      <c r="A264" s="1474" t="s">
        <v>1376</v>
      </c>
      <c r="B264" s="1479" t="s">
        <v>907</v>
      </c>
      <c r="C264" s="1480"/>
      <c r="D264" s="1481"/>
      <c r="E264" s="1481"/>
      <c r="F264" s="1481"/>
      <c r="G264" s="1481"/>
      <c r="H264" s="1481"/>
      <c r="I264" s="1481"/>
      <c r="J264" s="1481"/>
      <c r="K264" s="1482"/>
      <c r="L264" s="1407"/>
    </row>
    <row r="265" spans="1:12" ht="16.2" thickBot="1" x14ac:dyDescent="0.35">
      <c r="A265" s="1474" t="s">
        <v>1377</v>
      </c>
      <c r="B265" s="1479" t="s">
        <v>1378</v>
      </c>
      <c r="C265" s="1480"/>
      <c r="D265" s="1481"/>
      <c r="E265" s="1481"/>
      <c r="F265" s="1481"/>
      <c r="G265" s="1481"/>
      <c r="H265" s="1481"/>
      <c r="I265" s="1481"/>
      <c r="J265" s="1481"/>
      <c r="K265" s="1482"/>
      <c r="L265" s="1131">
        <f>SUM(L266:L269)</f>
        <v>3338.3731723734468</v>
      </c>
    </row>
    <row r="266" spans="1:12" x14ac:dyDescent="0.3">
      <c r="A266" s="31" t="s">
        <v>1379</v>
      </c>
      <c r="B266" s="51" t="s">
        <v>1380</v>
      </c>
      <c r="C266" s="33" t="s">
        <v>222</v>
      </c>
      <c r="D266" s="28"/>
      <c r="E266" s="29"/>
      <c r="F266" s="29"/>
      <c r="G266" s="29"/>
      <c r="H266" s="29"/>
      <c r="I266" s="29"/>
      <c r="J266" s="275">
        <f>SUMPRODUCT('Piping Material List'!$U$3:$U$96,'Piping Material List'!$DD$3:$DD$96)</f>
        <v>0</v>
      </c>
      <c r="K266" s="739">
        <v>1</v>
      </c>
      <c r="L266" s="923">
        <f>J266*K266</f>
        <v>0</v>
      </c>
    </row>
    <row r="267" spans="1:12" x14ac:dyDescent="0.3">
      <c r="A267" s="31" t="s">
        <v>1381</v>
      </c>
      <c r="B267" s="51" t="s">
        <v>1382</v>
      </c>
      <c r="C267" s="33" t="s">
        <v>222</v>
      </c>
      <c r="D267" s="34"/>
      <c r="E267" s="35"/>
      <c r="F267" s="35"/>
      <c r="G267" s="35"/>
      <c r="H267" s="35"/>
      <c r="I267" s="35"/>
      <c r="J267" s="36">
        <f>SUMPRODUCT('Piping Material List'!$U$3:$U$96,'Piping Material List'!$DE$3:$DE$96)</f>
        <v>3338.3731723734468</v>
      </c>
      <c r="K267" s="739">
        <v>1</v>
      </c>
      <c r="L267" s="37">
        <f>J267*K267</f>
        <v>3338.3731723734468</v>
      </c>
    </row>
    <row r="268" spans="1:12" x14ac:dyDescent="0.3">
      <c r="A268" s="31" t="s">
        <v>1383</v>
      </c>
      <c r="B268" s="51" t="s">
        <v>1384</v>
      </c>
      <c r="C268" s="33" t="s">
        <v>222</v>
      </c>
      <c r="D268" s="34"/>
      <c r="E268" s="35"/>
      <c r="F268" s="35"/>
      <c r="G268" s="35"/>
      <c r="H268" s="35"/>
      <c r="I268" s="35"/>
      <c r="J268" s="36">
        <f>SUMPRODUCT('Piping Material List'!$U$3:$U$96,'Piping Material List'!$DF$3:$DF$96)</f>
        <v>0</v>
      </c>
      <c r="K268" s="739">
        <v>1</v>
      </c>
      <c r="L268" s="37">
        <f>J268*K268</f>
        <v>0</v>
      </c>
    </row>
    <row r="269" spans="1:12" ht="16.2" thickBot="1" x14ac:dyDescent="0.35">
      <c r="A269" s="31" t="s">
        <v>1385</v>
      </c>
      <c r="B269" s="51" t="s">
        <v>1386</v>
      </c>
      <c r="C269" s="33" t="s">
        <v>222</v>
      </c>
      <c r="D269" s="46"/>
      <c r="E269" s="47"/>
      <c r="F269" s="47"/>
      <c r="G269" s="47"/>
      <c r="H269" s="47"/>
      <c r="I269" s="47"/>
      <c r="J269" s="274">
        <f>SUMPRODUCT('Piping Material List'!$U$3:$U$96,'Piping Material List'!$DG$3:$DG$96)</f>
        <v>0</v>
      </c>
      <c r="K269" s="739">
        <v>1</v>
      </c>
      <c r="L269" s="42">
        <f>J269*K269</f>
        <v>0</v>
      </c>
    </row>
    <row r="270" spans="1:12" ht="16.2" thickBot="1" x14ac:dyDescent="0.35">
      <c r="A270" s="1474" t="s">
        <v>1387</v>
      </c>
      <c r="B270" s="1479" t="s">
        <v>1388</v>
      </c>
      <c r="C270" s="1480"/>
      <c r="D270" s="1481"/>
      <c r="E270" s="1481"/>
      <c r="F270" s="1481"/>
      <c r="G270" s="1481"/>
      <c r="H270" s="1481"/>
      <c r="I270" s="1481"/>
      <c r="J270" s="1481"/>
      <c r="K270" s="1493"/>
      <c r="L270" s="1131">
        <f>SUM(L271:L272)</f>
        <v>1669.1865861867234</v>
      </c>
    </row>
    <row r="271" spans="1:12" x14ac:dyDescent="0.3">
      <c r="A271" s="25" t="s">
        <v>1389</v>
      </c>
      <c r="B271" s="26" t="s">
        <v>1390</v>
      </c>
      <c r="C271" s="27" t="s">
        <v>222</v>
      </c>
      <c r="D271" s="28"/>
      <c r="E271" s="29"/>
      <c r="F271" s="29"/>
      <c r="G271" s="29"/>
      <c r="H271" s="29"/>
      <c r="I271" s="29"/>
      <c r="J271" s="61">
        <f>SUM(J266:J267)</f>
        <v>3338.3731723734468</v>
      </c>
      <c r="K271" s="738">
        <v>0.5</v>
      </c>
      <c r="L271" s="923">
        <f>J271*K271</f>
        <v>1669.1865861867234</v>
      </c>
    </row>
    <row r="272" spans="1:12" ht="16.2" thickBot="1" x14ac:dyDescent="0.35">
      <c r="A272" s="1243" t="s">
        <v>1391</v>
      </c>
      <c r="B272" s="1244" t="s">
        <v>1392</v>
      </c>
      <c r="C272" s="1245" t="s">
        <v>222</v>
      </c>
      <c r="D272" s="1246"/>
      <c r="E272" s="1247"/>
      <c r="F272" s="1247"/>
      <c r="G272" s="1247"/>
      <c r="H272" s="1247"/>
      <c r="I272" s="1247"/>
      <c r="J272" s="1248">
        <f>SUM(J268:J269)</f>
        <v>0</v>
      </c>
      <c r="K272" s="1249">
        <v>0.2</v>
      </c>
      <c r="L272" s="923">
        <f>J272*K272</f>
        <v>0</v>
      </c>
    </row>
    <row r="273" spans="1:12" ht="16.2" thickBot="1" x14ac:dyDescent="0.35">
      <c r="A273" s="24">
        <v>3</v>
      </c>
      <c r="B273" s="1404" t="s">
        <v>1393</v>
      </c>
      <c r="C273" s="1402"/>
      <c r="D273" s="1402"/>
      <c r="E273" s="1402"/>
      <c r="F273" s="1402"/>
      <c r="G273" s="1402"/>
      <c r="H273" s="1402"/>
      <c r="I273" s="1402"/>
      <c r="J273" s="1402"/>
      <c r="K273" s="1403"/>
      <c r="L273" s="1126"/>
    </row>
    <row r="274" spans="1:12" ht="16.2" thickBot="1" x14ac:dyDescent="0.35">
      <c r="A274" s="1474" t="s">
        <v>101</v>
      </c>
      <c r="B274" s="1479" t="s">
        <v>1394</v>
      </c>
      <c r="C274" s="1480"/>
      <c r="D274" s="1481"/>
      <c r="E274" s="1481"/>
      <c r="F274" s="1481"/>
      <c r="G274" s="1481"/>
      <c r="H274" s="1481"/>
      <c r="I274" s="1481"/>
      <c r="J274" s="1481"/>
      <c r="K274" s="1482"/>
      <c r="L274" s="1131">
        <f>SUM(L275:L279)</f>
        <v>6466.3035855136095</v>
      </c>
    </row>
    <row r="275" spans="1:12" x14ac:dyDescent="0.3">
      <c r="A275" s="31" t="s">
        <v>1395</v>
      </c>
      <c r="B275" s="26" t="s">
        <v>1115</v>
      </c>
      <c r="C275" s="33" t="s">
        <v>222</v>
      </c>
      <c r="D275" s="34"/>
      <c r="E275" s="35"/>
      <c r="F275" s="35"/>
      <c r="G275" s="35"/>
      <c r="H275" s="35"/>
      <c r="I275" s="35"/>
      <c r="J275" s="36">
        <f>J4</f>
        <v>11520</v>
      </c>
      <c r="K275" s="739">
        <v>0.5</v>
      </c>
      <c r="L275" s="923">
        <f>K275*J275</f>
        <v>5760</v>
      </c>
    </row>
    <row r="276" spans="1:12" x14ac:dyDescent="0.3">
      <c r="A276" s="31" t="s">
        <v>1396</v>
      </c>
      <c r="B276" s="32" t="s">
        <v>1117</v>
      </c>
      <c r="C276" s="33" t="s">
        <v>222</v>
      </c>
      <c r="D276" s="34"/>
      <c r="E276" s="35"/>
      <c r="F276" s="35"/>
      <c r="G276" s="35"/>
      <c r="H276" s="35"/>
      <c r="I276" s="35"/>
      <c r="J276" s="36">
        <f>J5</f>
        <v>576</v>
      </c>
      <c r="K276" s="739">
        <v>0.5</v>
      </c>
      <c r="L276" s="37">
        <f>K276*J276</f>
        <v>288</v>
      </c>
    </row>
    <row r="277" spans="1:12" x14ac:dyDescent="0.3">
      <c r="A277" s="31" t="s">
        <v>1397</v>
      </c>
      <c r="B277" s="32" t="s">
        <v>1121</v>
      </c>
      <c r="C277" s="33" t="s">
        <v>222</v>
      </c>
      <c r="D277" s="34"/>
      <c r="E277" s="35"/>
      <c r="F277" s="35"/>
      <c r="G277" s="35"/>
      <c r="H277" s="35"/>
      <c r="I277" s="35"/>
      <c r="J277" s="36">
        <f>J7</f>
        <v>170</v>
      </c>
      <c r="K277" s="739">
        <v>0.5</v>
      </c>
      <c r="L277" s="37">
        <f>K277*J277</f>
        <v>85</v>
      </c>
    </row>
    <row r="278" spans="1:12" x14ac:dyDescent="0.3">
      <c r="A278" s="31" t="s">
        <v>1398</v>
      </c>
      <c r="B278" s="32" t="s">
        <v>1103</v>
      </c>
      <c r="C278" s="33" t="s">
        <v>222</v>
      </c>
      <c r="D278" s="34"/>
      <c r="E278" s="35"/>
      <c r="F278" s="35"/>
      <c r="G278" s="35"/>
      <c r="H278" s="35"/>
      <c r="I278" s="35"/>
      <c r="J278" s="36">
        <f>SUM(J9:J12)</f>
        <v>637.80717102722042</v>
      </c>
      <c r="K278" s="739">
        <v>0.5</v>
      </c>
      <c r="L278" s="37">
        <f>K278*J278</f>
        <v>318.90358551361021</v>
      </c>
    </row>
    <row r="279" spans="1:12" ht="16.2" thickBot="1" x14ac:dyDescent="0.35">
      <c r="A279" s="31" t="s">
        <v>1399</v>
      </c>
      <c r="B279" s="32" t="s">
        <v>1130</v>
      </c>
      <c r="C279" s="33" t="s">
        <v>228</v>
      </c>
      <c r="D279" s="34"/>
      <c r="E279" s="35"/>
      <c r="F279" s="35"/>
      <c r="G279" s="35"/>
      <c r="H279" s="35"/>
      <c r="I279" s="35"/>
      <c r="J279" s="36">
        <f>SUM('Steel Structure List'!$D$80:$D$107)</f>
        <v>28.799999999999997</v>
      </c>
      <c r="K279" s="739">
        <v>0.5</v>
      </c>
      <c r="L279" s="42">
        <f>K279*J279</f>
        <v>14.399999999999999</v>
      </c>
    </row>
    <row r="280" spans="1:12" ht="16.2" thickBot="1" x14ac:dyDescent="0.35">
      <c r="A280" s="1474" t="s">
        <v>1400</v>
      </c>
      <c r="B280" s="1479" t="s">
        <v>1071</v>
      </c>
      <c r="C280" s="1480"/>
      <c r="D280" s="1481"/>
      <c r="E280" s="1481"/>
      <c r="F280" s="1481"/>
      <c r="G280" s="1481"/>
      <c r="H280" s="1481"/>
      <c r="I280" s="1481"/>
      <c r="J280" s="1481"/>
      <c r="K280" s="1482"/>
      <c r="L280" s="1131">
        <f>SUM(L281:L298)</f>
        <v>1669.1865861867234</v>
      </c>
    </row>
    <row r="281" spans="1:12" x14ac:dyDescent="0.3">
      <c r="A281" s="31" t="s">
        <v>1401</v>
      </c>
      <c r="B281" s="51" t="s">
        <v>1265</v>
      </c>
      <c r="C281" s="33" t="s">
        <v>222</v>
      </c>
      <c r="D281" s="34"/>
      <c r="E281" s="35"/>
      <c r="F281" s="35"/>
      <c r="G281" s="35"/>
      <c r="H281" s="35"/>
      <c r="I281" s="35"/>
      <c r="J281" s="36">
        <f>SUMPRODUCT('Piping Material List'!$U$3:$U$96,'Piping Material List'!$AZ$3:$AZ$96)</f>
        <v>0</v>
      </c>
      <c r="K281" s="739">
        <v>0.5</v>
      </c>
      <c r="L281" s="923">
        <f t="shared" ref="L281:L298" si="14">K281*J281</f>
        <v>0</v>
      </c>
    </row>
    <row r="282" spans="1:12" x14ac:dyDescent="0.3">
      <c r="A282" s="31" t="s">
        <v>1402</v>
      </c>
      <c r="B282" s="51" t="s">
        <v>1267</v>
      </c>
      <c r="C282" s="33" t="s">
        <v>222</v>
      </c>
      <c r="D282" s="34"/>
      <c r="E282" s="35"/>
      <c r="F282" s="35"/>
      <c r="G282" s="35"/>
      <c r="H282" s="35"/>
      <c r="I282" s="35"/>
      <c r="J282" s="36">
        <f>SUMPRODUCT('Piping Material List'!$U$3:$U$96,'Piping Material List'!$BA$3:$BA$96)</f>
        <v>0</v>
      </c>
      <c r="K282" s="739">
        <v>0.5</v>
      </c>
      <c r="L282" s="37">
        <f t="shared" si="14"/>
        <v>0</v>
      </c>
    </row>
    <row r="283" spans="1:12" x14ac:dyDescent="0.3">
      <c r="A283" s="31" t="s">
        <v>1403</v>
      </c>
      <c r="B283" s="51" t="s">
        <v>1269</v>
      </c>
      <c r="C283" s="33" t="s">
        <v>222</v>
      </c>
      <c r="D283" s="34"/>
      <c r="E283" s="35"/>
      <c r="F283" s="35"/>
      <c r="G283" s="35"/>
      <c r="H283" s="35"/>
      <c r="I283" s="35"/>
      <c r="J283" s="36">
        <f>SUMPRODUCT('Piping Material List'!$U$3:$U$96,'Piping Material List'!$BB$3:$BB$96)</f>
        <v>0</v>
      </c>
      <c r="K283" s="739">
        <v>0.5</v>
      </c>
      <c r="L283" s="37">
        <f t="shared" si="14"/>
        <v>0</v>
      </c>
    </row>
    <row r="284" spans="1:12" x14ac:dyDescent="0.3">
      <c r="A284" s="31" t="s">
        <v>1404</v>
      </c>
      <c r="B284" s="51" t="s">
        <v>1271</v>
      </c>
      <c r="C284" s="33" t="s">
        <v>222</v>
      </c>
      <c r="D284" s="34"/>
      <c r="E284" s="35"/>
      <c r="F284" s="35"/>
      <c r="G284" s="35"/>
      <c r="H284" s="35"/>
      <c r="I284" s="35"/>
      <c r="J284" s="36">
        <f>SUMPRODUCT('Piping Material List'!$U$3:$U$96,'Piping Material List'!$BC$3:$BC$96)</f>
        <v>0</v>
      </c>
      <c r="K284" s="739">
        <v>0.5</v>
      </c>
      <c r="L284" s="37">
        <f t="shared" si="14"/>
        <v>0</v>
      </c>
    </row>
    <row r="285" spans="1:12" x14ac:dyDescent="0.3">
      <c r="A285" s="31" t="s">
        <v>1405</v>
      </c>
      <c r="B285" s="51" t="s">
        <v>1273</v>
      </c>
      <c r="C285" s="33" t="s">
        <v>222</v>
      </c>
      <c r="D285" s="34"/>
      <c r="E285" s="35"/>
      <c r="F285" s="35"/>
      <c r="G285" s="35"/>
      <c r="H285" s="35"/>
      <c r="I285" s="35"/>
      <c r="J285" s="36">
        <f>SUMPRODUCT('Piping Material List'!$U$3:$U$96,'Piping Material List'!$BD$3:$BD$96)</f>
        <v>0</v>
      </c>
      <c r="K285" s="739">
        <v>0.5</v>
      </c>
      <c r="L285" s="37">
        <f t="shared" si="14"/>
        <v>0</v>
      </c>
    </row>
    <row r="286" spans="1:12" x14ac:dyDescent="0.3">
      <c r="A286" s="31" t="s">
        <v>1406</v>
      </c>
      <c r="B286" s="51" t="s">
        <v>1275</v>
      </c>
      <c r="C286" s="33" t="s">
        <v>222</v>
      </c>
      <c r="D286" s="34"/>
      <c r="E286" s="35"/>
      <c r="F286" s="35"/>
      <c r="G286" s="35"/>
      <c r="H286" s="35"/>
      <c r="I286" s="35"/>
      <c r="J286" s="36">
        <f>SUMPRODUCT('Piping Material List'!$U$3:$U$96,'Piping Material List'!$BE$3:$BE$96)</f>
        <v>0</v>
      </c>
      <c r="K286" s="739">
        <v>0.5</v>
      </c>
      <c r="L286" s="37">
        <f t="shared" si="14"/>
        <v>0</v>
      </c>
    </row>
    <row r="287" spans="1:12" x14ac:dyDescent="0.3">
      <c r="A287" s="31" t="s">
        <v>1407</v>
      </c>
      <c r="B287" s="51" t="s">
        <v>1277</v>
      </c>
      <c r="C287" s="33" t="s">
        <v>222</v>
      </c>
      <c r="D287" s="34"/>
      <c r="E287" s="35"/>
      <c r="F287" s="35"/>
      <c r="G287" s="35"/>
      <c r="H287" s="35"/>
      <c r="I287" s="35"/>
      <c r="J287" s="36">
        <f>SUMPRODUCT('Piping Material List'!$U$3:$U$96,'Piping Material List'!$BF$3:$BF$96)</f>
        <v>756.05416910917904</v>
      </c>
      <c r="K287" s="739">
        <v>0.5</v>
      </c>
      <c r="L287" s="37">
        <f t="shared" si="14"/>
        <v>378.02708455458952</v>
      </c>
    </row>
    <row r="288" spans="1:12" x14ac:dyDescent="0.3">
      <c r="A288" s="31" t="s">
        <v>1408</v>
      </c>
      <c r="B288" s="51" t="s">
        <v>1279</v>
      </c>
      <c r="C288" s="33" t="s">
        <v>222</v>
      </c>
      <c r="D288" s="34"/>
      <c r="E288" s="35"/>
      <c r="F288" s="35"/>
      <c r="G288" s="35"/>
      <c r="H288" s="35"/>
      <c r="I288" s="35"/>
      <c r="J288" s="36">
        <f>SUMPRODUCT('Piping Material List'!$U$3:$U$96,'Piping Material List'!$BG$3:$BG$96)</f>
        <v>441.66778802251542</v>
      </c>
      <c r="K288" s="739">
        <v>0.5</v>
      </c>
      <c r="L288" s="37">
        <f t="shared" si="14"/>
        <v>220.83389401125771</v>
      </c>
    </row>
    <row r="289" spans="1:12" x14ac:dyDescent="0.3">
      <c r="A289" s="31" t="s">
        <v>1409</v>
      </c>
      <c r="B289" s="51" t="s">
        <v>1281</v>
      </c>
      <c r="C289" s="33" t="s">
        <v>222</v>
      </c>
      <c r="D289" s="34"/>
      <c r="E289" s="35"/>
      <c r="F289" s="35"/>
      <c r="G289" s="35"/>
      <c r="H289" s="35"/>
      <c r="I289" s="35"/>
      <c r="J289" s="36">
        <f>SUMPRODUCT('Piping Material List'!$U$3:$U$96,'Piping Material List'!$BH$3:$BH$96)</f>
        <v>2140.6512152417522</v>
      </c>
      <c r="K289" s="739">
        <v>0.5</v>
      </c>
      <c r="L289" s="37">
        <f t="shared" si="14"/>
        <v>1070.3256076208761</v>
      </c>
    </row>
    <row r="290" spans="1:12" x14ac:dyDescent="0.3">
      <c r="A290" s="31" t="s">
        <v>1410</v>
      </c>
      <c r="B290" s="51" t="s">
        <v>1283</v>
      </c>
      <c r="C290" s="33" t="s">
        <v>222</v>
      </c>
      <c r="D290" s="34"/>
      <c r="E290" s="35"/>
      <c r="F290" s="35"/>
      <c r="G290" s="35"/>
      <c r="H290" s="35"/>
      <c r="I290" s="35"/>
      <c r="J290" s="36">
        <f>SUMPRODUCT('Piping Material List'!$U$3:$U$96,'Piping Material List'!$BI$3:$BI$96)</f>
        <v>0</v>
      </c>
      <c r="K290" s="739">
        <v>0.5</v>
      </c>
      <c r="L290" s="37">
        <f t="shared" si="14"/>
        <v>0</v>
      </c>
    </row>
    <row r="291" spans="1:12" x14ac:dyDescent="0.3">
      <c r="A291" s="31" t="s">
        <v>1411</v>
      </c>
      <c r="B291" s="51" t="s">
        <v>1285</v>
      </c>
      <c r="C291" s="33" t="s">
        <v>222</v>
      </c>
      <c r="D291" s="34"/>
      <c r="E291" s="35"/>
      <c r="F291" s="35"/>
      <c r="G291" s="35"/>
      <c r="H291" s="35"/>
      <c r="I291" s="35"/>
      <c r="J291" s="36">
        <f>SUMPRODUCT('Piping Material List'!$U$3:$U$96,'Piping Material List'!$BJ$3:$BJ$96)</f>
        <v>0</v>
      </c>
      <c r="K291" s="739">
        <v>0.5</v>
      </c>
      <c r="L291" s="37">
        <f t="shared" si="14"/>
        <v>0</v>
      </c>
    </row>
    <row r="292" spans="1:12" x14ac:dyDescent="0.3">
      <c r="A292" s="31" t="s">
        <v>1412</v>
      </c>
      <c r="B292" s="51" t="s">
        <v>1287</v>
      </c>
      <c r="C292" s="33" t="s">
        <v>222</v>
      </c>
      <c r="D292" s="34"/>
      <c r="E292" s="35"/>
      <c r="F292" s="35"/>
      <c r="G292" s="35"/>
      <c r="H292" s="35"/>
      <c r="I292" s="35"/>
      <c r="J292" s="36">
        <f>SUMPRODUCT('Piping Material List'!$U$3:$U$96,'Piping Material List'!$BK$3:$BK$96)</f>
        <v>0</v>
      </c>
      <c r="K292" s="739">
        <v>0.5</v>
      </c>
      <c r="L292" s="37">
        <f t="shared" si="14"/>
        <v>0</v>
      </c>
    </row>
    <row r="293" spans="1:12" x14ac:dyDescent="0.3">
      <c r="A293" s="31" t="s">
        <v>1413</v>
      </c>
      <c r="B293" s="51" t="s">
        <v>1289</v>
      </c>
      <c r="C293" s="33" t="s">
        <v>222</v>
      </c>
      <c r="D293" s="34"/>
      <c r="E293" s="35"/>
      <c r="F293" s="35"/>
      <c r="G293" s="35"/>
      <c r="H293" s="35"/>
      <c r="I293" s="35"/>
      <c r="J293" s="36">
        <f>SUMPRODUCT('Piping Material List'!$U$3:$U$96,'Piping Material List'!$BL$3:$BL$96)</f>
        <v>0</v>
      </c>
      <c r="K293" s="739">
        <v>0.5</v>
      </c>
      <c r="L293" s="37">
        <f t="shared" si="14"/>
        <v>0</v>
      </c>
    </row>
    <row r="294" spans="1:12" x14ac:dyDescent="0.3">
      <c r="A294" s="31" t="s">
        <v>1414</v>
      </c>
      <c r="B294" s="51" t="s">
        <v>1291</v>
      </c>
      <c r="C294" s="33" t="s">
        <v>222</v>
      </c>
      <c r="D294" s="34"/>
      <c r="E294" s="35"/>
      <c r="F294" s="35"/>
      <c r="G294" s="35"/>
      <c r="H294" s="35"/>
      <c r="I294" s="35"/>
      <c r="J294" s="36">
        <f>SUMPRODUCT('Piping Material List'!$U$3:$U$96,'Piping Material List'!$BM$3:$BM$96)</f>
        <v>0</v>
      </c>
      <c r="K294" s="739">
        <v>0.5</v>
      </c>
      <c r="L294" s="37">
        <f t="shared" si="14"/>
        <v>0</v>
      </c>
    </row>
    <row r="295" spans="1:12" x14ac:dyDescent="0.3">
      <c r="A295" s="31" t="s">
        <v>1415</v>
      </c>
      <c r="B295" s="51" t="s">
        <v>1293</v>
      </c>
      <c r="C295" s="33" t="s">
        <v>222</v>
      </c>
      <c r="D295" s="34"/>
      <c r="E295" s="35"/>
      <c r="F295" s="35"/>
      <c r="G295" s="35"/>
      <c r="H295" s="35"/>
      <c r="I295" s="35"/>
      <c r="J295" s="36">
        <f>SUMPRODUCT('Piping Material List'!$U$3:$U$96,'Piping Material List'!$BN$3:$BN$96)</f>
        <v>0</v>
      </c>
      <c r="K295" s="739">
        <v>0.5</v>
      </c>
      <c r="L295" s="37">
        <f t="shared" si="14"/>
        <v>0</v>
      </c>
    </row>
    <row r="296" spans="1:12" x14ac:dyDescent="0.3">
      <c r="A296" s="31" t="s">
        <v>1416</v>
      </c>
      <c r="B296" s="51" t="s">
        <v>1295</v>
      </c>
      <c r="C296" s="33" t="s">
        <v>222</v>
      </c>
      <c r="D296" s="34"/>
      <c r="E296" s="35"/>
      <c r="F296" s="35"/>
      <c r="G296" s="35"/>
      <c r="H296" s="35"/>
      <c r="I296" s="35"/>
      <c r="J296" s="36">
        <f>SUMPRODUCT('Piping Material List'!$U$3:$U$96,'Piping Material List'!$BO$3:$BO$96)</f>
        <v>0</v>
      </c>
      <c r="K296" s="739">
        <v>0.5</v>
      </c>
      <c r="L296" s="37">
        <f t="shared" si="14"/>
        <v>0</v>
      </c>
    </row>
    <row r="297" spans="1:12" x14ac:dyDescent="0.3">
      <c r="A297" s="31" t="s">
        <v>1417</v>
      </c>
      <c r="B297" s="51" t="s">
        <v>1297</v>
      </c>
      <c r="C297" s="33" t="s">
        <v>222</v>
      </c>
      <c r="D297" s="34"/>
      <c r="E297" s="35"/>
      <c r="F297" s="35"/>
      <c r="G297" s="35"/>
      <c r="H297" s="35"/>
      <c r="I297" s="35"/>
      <c r="J297" s="36">
        <f>SUMPRODUCT('Piping Material List'!$U$3:$U$96,'Piping Material List'!$BP$3:$BP$96)</f>
        <v>0</v>
      </c>
      <c r="K297" s="739">
        <v>0.5</v>
      </c>
      <c r="L297" s="37">
        <f t="shared" si="14"/>
        <v>0</v>
      </c>
    </row>
    <row r="298" spans="1:12" ht="16.2" thickBot="1" x14ac:dyDescent="0.35">
      <c r="A298" s="31" t="s">
        <v>1418</v>
      </c>
      <c r="B298" s="51" t="s">
        <v>1299</v>
      </c>
      <c r="C298" s="33" t="s">
        <v>222</v>
      </c>
      <c r="D298" s="34"/>
      <c r="E298" s="35"/>
      <c r="F298" s="35"/>
      <c r="G298" s="35"/>
      <c r="H298" s="35"/>
      <c r="I298" s="35"/>
      <c r="J298" s="36">
        <f>SUMPRODUCT('Piping Material List'!$U$3:$U$96,'Piping Material List'!$BQ$3:$BQ$96)</f>
        <v>0</v>
      </c>
      <c r="K298" s="739">
        <v>0.5</v>
      </c>
      <c r="L298" s="42">
        <f t="shared" si="14"/>
        <v>0</v>
      </c>
    </row>
    <row r="299" spans="1:12" ht="16.2" thickBot="1" x14ac:dyDescent="0.35">
      <c r="A299" s="1474" t="s">
        <v>1419</v>
      </c>
      <c r="B299" s="1479" t="s">
        <v>1420</v>
      </c>
      <c r="C299" s="1480"/>
      <c r="D299" s="1481"/>
      <c r="E299" s="1481"/>
      <c r="F299" s="1481"/>
      <c r="G299" s="1481"/>
      <c r="H299" s="1481"/>
      <c r="I299" s="1481"/>
      <c r="J299" s="1481"/>
      <c r="K299" s="1482"/>
      <c r="L299" s="1131">
        <f>SUM(L300:L317)</f>
        <v>1115.25</v>
      </c>
    </row>
    <row r="300" spans="1:12" x14ac:dyDescent="0.3">
      <c r="A300" s="31" t="s">
        <v>1421</v>
      </c>
      <c r="B300" s="51" t="s">
        <v>1265</v>
      </c>
      <c r="C300" s="33" t="s">
        <v>222</v>
      </c>
      <c r="D300" s="34"/>
      <c r="E300" s="35"/>
      <c r="F300" s="35"/>
      <c r="G300" s="35"/>
      <c r="H300" s="35"/>
      <c r="I300" s="35"/>
      <c r="J300" s="36">
        <f>SUMPRODUCT('Valve List'!$AY$3:$AY$99,'Valve List'!$BE$3:$BE$99)+SUMPRODUCT('Instrument List'!$AE$4:$AE$43,'Instrument List'!$DO$4:$DO$43,'Instrument List'!CJ4:CJ43)</f>
        <v>85</v>
      </c>
      <c r="K300" s="739">
        <v>1</v>
      </c>
      <c r="L300" s="923">
        <f t="shared" ref="L300:L317" si="15">K300*J300</f>
        <v>85</v>
      </c>
    </row>
    <row r="301" spans="1:12" x14ac:dyDescent="0.3">
      <c r="A301" s="31" t="s">
        <v>1422</v>
      </c>
      <c r="B301" s="51" t="s">
        <v>1267</v>
      </c>
      <c r="C301" s="33" t="s">
        <v>222</v>
      </c>
      <c r="D301" s="34"/>
      <c r="E301" s="35"/>
      <c r="F301" s="35"/>
      <c r="G301" s="35"/>
      <c r="H301" s="35"/>
      <c r="I301" s="35"/>
      <c r="J301" s="36">
        <f>SUMPRODUCT('Valve List'!$AY$3:$AY$99,'Valve List'!$BF$3:$BF$99)+SUMPRODUCT('Instrument List'!$AE$4:$AE$43,'Instrument List'!$DO$4:$DO$43,'Instrument List'!CK4:CK43)</f>
        <v>0</v>
      </c>
      <c r="K301" s="739">
        <v>0.5</v>
      </c>
      <c r="L301" s="37">
        <f t="shared" si="15"/>
        <v>0</v>
      </c>
    </row>
    <row r="302" spans="1:12" x14ac:dyDescent="0.3">
      <c r="A302" s="31" t="s">
        <v>1423</v>
      </c>
      <c r="B302" s="51" t="s">
        <v>1269</v>
      </c>
      <c r="C302" s="33" t="s">
        <v>222</v>
      </c>
      <c r="D302" s="34"/>
      <c r="E302" s="35"/>
      <c r="F302" s="35"/>
      <c r="G302" s="35"/>
      <c r="H302" s="35"/>
      <c r="I302" s="35"/>
      <c r="J302" s="36">
        <f>SUMPRODUCT('Valve List'!$AY$3:$AY$99,'Valve List'!$BG$3:$BG$99)+SUMPRODUCT('Instrument List'!$AE$4:$AE$43,'Instrument List'!$DO$4:$DO$43,'Instrument List'!CL4:CL43)</f>
        <v>56</v>
      </c>
      <c r="K302" s="739">
        <v>1</v>
      </c>
      <c r="L302" s="37">
        <f t="shared" si="15"/>
        <v>56</v>
      </c>
    </row>
    <row r="303" spans="1:12" x14ac:dyDescent="0.3">
      <c r="A303" s="31" t="s">
        <v>1424</v>
      </c>
      <c r="B303" s="51" t="s">
        <v>1271</v>
      </c>
      <c r="C303" s="33" t="s">
        <v>222</v>
      </c>
      <c r="D303" s="34"/>
      <c r="E303" s="35"/>
      <c r="F303" s="35"/>
      <c r="G303" s="35"/>
      <c r="H303" s="35"/>
      <c r="I303" s="35"/>
      <c r="J303" s="36">
        <f>SUMPRODUCT('Valve List'!$AY$3:$AY$99,'Valve List'!$BH$3:$BH$99)+SUMPRODUCT('Instrument List'!$AE$4:$AE$43,'Instrument List'!$DO$4:$DO$43,'Instrument List'!CM4:CM43)</f>
        <v>0</v>
      </c>
      <c r="K303" s="739">
        <v>0.5</v>
      </c>
      <c r="L303" s="37">
        <f t="shared" si="15"/>
        <v>0</v>
      </c>
    </row>
    <row r="304" spans="1:12" x14ac:dyDescent="0.3">
      <c r="A304" s="31" t="s">
        <v>1425</v>
      </c>
      <c r="B304" s="51" t="s">
        <v>1273</v>
      </c>
      <c r="C304" s="33" t="s">
        <v>222</v>
      </c>
      <c r="D304" s="34"/>
      <c r="E304" s="35"/>
      <c r="F304" s="35"/>
      <c r="G304" s="35"/>
      <c r="H304" s="35"/>
      <c r="I304" s="35"/>
      <c r="J304" s="36">
        <f>SUMPRODUCT('Valve List'!$AY$3:$AY$99,'Valve List'!$BI$3:$BI$99)+SUMPRODUCT('Instrument List'!$AE$4:$AE$43,'Instrument List'!$DO$4:$DO$43,'Instrument List'!CN4:CN43)</f>
        <v>0</v>
      </c>
      <c r="K304" s="739">
        <v>1</v>
      </c>
      <c r="L304" s="37">
        <f t="shared" si="15"/>
        <v>0</v>
      </c>
    </row>
    <row r="305" spans="1:12" x14ac:dyDescent="0.3">
      <c r="A305" s="31" t="s">
        <v>1426</v>
      </c>
      <c r="B305" s="51" t="s">
        <v>1275</v>
      </c>
      <c r="C305" s="33" t="s">
        <v>222</v>
      </c>
      <c r="D305" s="34"/>
      <c r="E305" s="35"/>
      <c r="F305" s="35"/>
      <c r="G305" s="35"/>
      <c r="H305" s="35"/>
      <c r="I305" s="35"/>
      <c r="J305" s="36">
        <f>SUMPRODUCT('Valve List'!$AY$3:$AY$99,'Valve List'!$BJ$3:$BJ$99)+SUMPRODUCT('Instrument List'!$AE$4:$AE$43,'Instrument List'!$DO$4:$DO$43,'Instrument List'!CO4:CO43)</f>
        <v>0</v>
      </c>
      <c r="K305" s="739">
        <v>0.5</v>
      </c>
      <c r="L305" s="37">
        <f t="shared" si="15"/>
        <v>0</v>
      </c>
    </row>
    <row r="306" spans="1:12" x14ac:dyDescent="0.3">
      <c r="A306" s="31" t="s">
        <v>1427</v>
      </c>
      <c r="B306" s="51" t="s">
        <v>1277</v>
      </c>
      <c r="C306" s="33" t="s">
        <v>222</v>
      </c>
      <c r="D306" s="34"/>
      <c r="E306" s="35"/>
      <c r="F306" s="35"/>
      <c r="G306" s="35"/>
      <c r="H306" s="35"/>
      <c r="I306" s="35"/>
      <c r="J306" s="36">
        <f>SUMPRODUCT('Valve List'!$AY$3:$AY$99,'Valve List'!$BK$3:$BK$99)+SUMPRODUCT('Instrument List'!$AE$4:$AE$43,'Instrument List'!$DO$4:$DO$43,'Instrument List'!CP4:CP43)</f>
        <v>10</v>
      </c>
      <c r="K306" s="739">
        <v>0.5</v>
      </c>
      <c r="L306" s="37">
        <f t="shared" si="15"/>
        <v>5</v>
      </c>
    </row>
    <row r="307" spans="1:12" x14ac:dyDescent="0.3">
      <c r="A307" s="31" t="s">
        <v>1428</v>
      </c>
      <c r="B307" s="51" t="s">
        <v>1279</v>
      </c>
      <c r="C307" s="33" t="s">
        <v>222</v>
      </c>
      <c r="D307" s="34"/>
      <c r="E307" s="35"/>
      <c r="F307" s="35"/>
      <c r="G307" s="35"/>
      <c r="H307" s="35"/>
      <c r="I307" s="35"/>
      <c r="J307" s="36">
        <f>SUMPRODUCT('Valve List'!$AY$3:$AY$99,'Valve List'!$BL$3:$BL$99)+SUMPRODUCT('Instrument List'!$AE$4:$AE$43,'Instrument List'!$DO$4:$DO$43,'Instrument List'!CQ4:CQ43)</f>
        <v>530.5</v>
      </c>
      <c r="K307" s="739">
        <v>0.5</v>
      </c>
      <c r="L307" s="37">
        <f t="shared" si="15"/>
        <v>265.25</v>
      </c>
    </row>
    <row r="308" spans="1:12" x14ac:dyDescent="0.3">
      <c r="A308" s="31" t="s">
        <v>1429</v>
      </c>
      <c r="B308" s="51" t="s">
        <v>1281</v>
      </c>
      <c r="C308" s="33" t="s">
        <v>222</v>
      </c>
      <c r="D308" s="34"/>
      <c r="E308" s="35"/>
      <c r="F308" s="35"/>
      <c r="G308" s="35"/>
      <c r="H308" s="35"/>
      <c r="I308" s="35"/>
      <c r="J308" s="36">
        <f>SUMPRODUCT('Valve List'!$AY$3:$AY$99,'Valve List'!$BM$3:$BM$99)+SUMPRODUCT('Instrument List'!$AE$4:$AE$43,'Instrument List'!$DO$4:$DO$43,'Instrument List'!CR4:CR43)</f>
        <v>1408</v>
      </c>
      <c r="K308" s="739">
        <v>0.5</v>
      </c>
      <c r="L308" s="37">
        <f t="shared" si="15"/>
        <v>704</v>
      </c>
    </row>
    <row r="309" spans="1:12" x14ac:dyDescent="0.3">
      <c r="A309" s="31" t="s">
        <v>1430</v>
      </c>
      <c r="B309" s="51" t="s">
        <v>1283</v>
      </c>
      <c r="C309" s="33" t="s">
        <v>222</v>
      </c>
      <c r="D309" s="34"/>
      <c r="E309" s="35"/>
      <c r="F309" s="35"/>
      <c r="G309" s="35"/>
      <c r="H309" s="35"/>
      <c r="I309" s="35"/>
      <c r="J309" s="36">
        <f>SUMPRODUCT('Valve List'!$AY$3:$AY$99,'Valve List'!$BN$3:$BN$99)+SUMPRODUCT('Instrument List'!$AE$4:$AE$43,'Instrument List'!$DO$4:$DO$43,'Instrument List'!CS4:CS43)</f>
        <v>0</v>
      </c>
      <c r="K309" s="739">
        <v>0.5</v>
      </c>
      <c r="L309" s="37">
        <f t="shared" si="15"/>
        <v>0</v>
      </c>
    </row>
    <row r="310" spans="1:12" x14ac:dyDescent="0.3">
      <c r="A310" s="31" t="s">
        <v>1431</v>
      </c>
      <c r="B310" s="51" t="s">
        <v>1285</v>
      </c>
      <c r="C310" s="33" t="s">
        <v>222</v>
      </c>
      <c r="D310" s="34"/>
      <c r="E310" s="35"/>
      <c r="F310" s="35"/>
      <c r="G310" s="35"/>
      <c r="H310" s="35"/>
      <c r="I310" s="35"/>
      <c r="J310" s="36">
        <f>SUMPRODUCT('Valve List'!$AY$3:$AY$99,'Valve List'!$BO$3:$BO$99)+SUMPRODUCT('Instrument List'!$AE$4:$AE$43,'Instrument List'!$DO$4:$DO$43,'Instrument List'!CT4:CT43)</f>
        <v>0</v>
      </c>
      <c r="K310" s="739">
        <v>0.5</v>
      </c>
      <c r="L310" s="37">
        <f t="shared" si="15"/>
        <v>0</v>
      </c>
    </row>
    <row r="311" spans="1:12" x14ac:dyDescent="0.3">
      <c r="A311" s="31" t="s">
        <v>1432</v>
      </c>
      <c r="B311" s="51" t="s">
        <v>1287</v>
      </c>
      <c r="C311" s="33" t="s">
        <v>222</v>
      </c>
      <c r="D311" s="34"/>
      <c r="E311" s="35"/>
      <c r="F311" s="35"/>
      <c r="G311" s="35"/>
      <c r="H311" s="35"/>
      <c r="I311" s="35"/>
      <c r="J311" s="36">
        <f>SUMPRODUCT('Valve List'!$AY$3:$AY$99,'Valve List'!$BP$3:$BP$99)+SUMPRODUCT('Instrument List'!$AE$4:$AE$43,'Instrument List'!$DO$4:$DO$43,'Instrument List'!CU4:CU43)</f>
        <v>0</v>
      </c>
      <c r="K311" s="739">
        <v>0.5</v>
      </c>
      <c r="L311" s="37">
        <f t="shared" si="15"/>
        <v>0</v>
      </c>
    </row>
    <row r="312" spans="1:12" x14ac:dyDescent="0.3">
      <c r="A312" s="31" t="s">
        <v>1433</v>
      </c>
      <c r="B312" s="51" t="s">
        <v>1289</v>
      </c>
      <c r="C312" s="33" t="s">
        <v>222</v>
      </c>
      <c r="D312" s="34"/>
      <c r="E312" s="35"/>
      <c r="F312" s="35"/>
      <c r="G312" s="35"/>
      <c r="H312" s="35"/>
      <c r="I312" s="35"/>
      <c r="J312" s="36">
        <f>SUMPRODUCT('Valve List'!$AY$3:$AY$99,'Valve List'!$BQ$3:$BQ$99)+SUMPRODUCT('Instrument List'!$AE$4:$AE$43,'Instrument List'!$DO$4:$DO$43,'Instrument List'!CV4:CV43)</f>
        <v>0</v>
      </c>
      <c r="K312" s="739">
        <v>0.5</v>
      </c>
      <c r="L312" s="37">
        <f t="shared" si="15"/>
        <v>0</v>
      </c>
    </row>
    <row r="313" spans="1:12" x14ac:dyDescent="0.3">
      <c r="A313" s="31" t="s">
        <v>1434</v>
      </c>
      <c r="B313" s="51" t="s">
        <v>1291</v>
      </c>
      <c r="C313" s="33" t="s">
        <v>222</v>
      </c>
      <c r="D313" s="34"/>
      <c r="E313" s="35"/>
      <c r="F313" s="35"/>
      <c r="G313" s="35"/>
      <c r="H313" s="35"/>
      <c r="I313" s="35"/>
      <c r="J313" s="36">
        <f>SUMPRODUCT('Valve List'!$AY$3:$AY$99,'Valve List'!$BR$3:$BR$99)+SUMPRODUCT('Instrument List'!$AE$4:$AE$43,'Instrument List'!$DO$4:$DO$43,'Instrument List'!CW4:CW43)</f>
        <v>0</v>
      </c>
      <c r="K313" s="739">
        <v>0.5</v>
      </c>
      <c r="L313" s="37">
        <f t="shared" si="15"/>
        <v>0</v>
      </c>
    </row>
    <row r="314" spans="1:12" x14ac:dyDescent="0.3">
      <c r="A314" s="31" t="s">
        <v>1435</v>
      </c>
      <c r="B314" s="51" t="s">
        <v>1293</v>
      </c>
      <c r="C314" s="33" t="s">
        <v>222</v>
      </c>
      <c r="D314" s="34"/>
      <c r="E314" s="35"/>
      <c r="F314" s="35"/>
      <c r="G314" s="35"/>
      <c r="H314" s="35"/>
      <c r="I314" s="35"/>
      <c r="J314" s="36">
        <f>SUMPRODUCT('Valve List'!$AY$3:$AY$99,'Valve List'!$BS$3:$BS$99)+SUMPRODUCT('Instrument List'!$AE$4:$AE$43,'Instrument List'!$DO$4:$DO$43,'Instrument List'!CX4:CX43)</f>
        <v>0</v>
      </c>
      <c r="K314" s="739">
        <v>0.5</v>
      </c>
      <c r="L314" s="37">
        <f t="shared" si="15"/>
        <v>0</v>
      </c>
    </row>
    <row r="315" spans="1:12" x14ac:dyDescent="0.3">
      <c r="A315" s="31" t="s">
        <v>1436</v>
      </c>
      <c r="B315" s="51" t="s">
        <v>1295</v>
      </c>
      <c r="C315" s="33" t="s">
        <v>222</v>
      </c>
      <c r="D315" s="34"/>
      <c r="E315" s="35"/>
      <c r="F315" s="35"/>
      <c r="G315" s="35"/>
      <c r="H315" s="35"/>
      <c r="I315" s="35"/>
      <c r="J315" s="36">
        <f>SUMPRODUCT('Valve List'!$AY$3:$AY$99,'Valve List'!$BT$3:$BT$99)+SUMPRODUCT('Instrument List'!$AE$4:$AE$43,'Instrument List'!$DO$4:$DO$43,'Instrument List'!CY4:CY43)</f>
        <v>0</v>
      </c>
      <c r="K315" s="739">
        <v>0.5</v>
      </c>
      <c r="L315" s="37">
        <f t="shared" si="15"/>
        <v>0</v>
      </c>
    </row>
    <row r="316" spans="1:12" x14ac:dyDescent="0.3">
      <c r="A316" s="31" t="s">
        <v>1437</v>
      </c>
      <c r="B316" s="51" t="s">
        <v>1297</v>
      </c>
      <c r="C316" s="33" t="s">
        <v>222</v>
      </c>
      <c r="D316" s="34"/>
      <c r="E316" s="35"/>
      <c r="F316" s="35"/>
      <c r="G316" s="35"/>
      <c r="H316" s="35"/>
      <c r="I316" s="35"/>
      <c r="J316" s="36">
        <f>SUMPRODUCT('Valve List'!$AY$3:$AY$99,'Valve List'!$BU$3:$BU$99)+SUMPRODUCT('Instrument List'!$AE$4:$AE$43,'Instrument List'!$DO$4:$DO$43,'Instrument List'!CZ4:CZ43)</f>
        <v>0</v>
      </c>
      <c r="K316" s="739">
        <v>0.5</v>
      </c>
      <c r="L316" s="37">
        <f t="shared" si="15"/>
        <v>0</v>
      </c>
    </row>
    <row r="317" spans="1:12" ht="16.2" thickBot="1" x14ac:dyDescent="0.35">
      <c r="A317" s="31" t="s">
        <v>1438</v>
      </c>
      <c r="B317" s="51" t="s">
        <v>1299</v>
      </c>
      <c r="C317" s="33" t="s">
        <v>222</v>
      </c>
      <c r="D317" s="34"/>
      <c r="E317" s="35"/>
      <c r="F317" s="35"/>
      <c r="G317" s="35"/>
      <c r="H317" s="35"/>
      <c r="I317" s="35"/>
      <c r="J317" s="36">
        <f>SUMPRODUCT('Valve List'!$AY$3:$AY$99,'Valve List'!$BV$3:$BV$99)+SUMPRODUCT('Instrument List'!$AE$4:$AE$43,'Instrument List'!$DO$4:$DO$43,'Instrument List'!DA4:DA43)</f>
        <v>0</v>
      </c>
      <c r="K317" s="739">
        <v>0.5</v>
      </c>
      <c r="L317" s="42">
        <f t="shared" si="15"/>
        <v>0</v>
      </c>
    </row>
    <row r="318" spans="1:12" ht="16.2" thickBot="1" x14ac:dyDescent="0.35">
      <c r="A318" s="1474" t="s">
        <v>1439</v>
      </c>
      <c r="B318" s="1479" t="s">
        <v>1073</v>
      </c>
      <c r="C318" s="1480"/>
      <c r="D318" s="1481"/>
      <c r="E318" s="1481"/>
      <c r="F318" s="1481"/>
      <c r="G318" s="1481"/>
      <c r="H318" s="1481"/>
      <c r="I318" s="1481"/>
      <c r="J318" s="1481"/>
      <c r="K318" s="1482"/>
      <c r="L318" s="1131">
        <f>SUM(L319:L338)</f>
        <v>14112.5</v>
      </c>
    </row>
    <row r="319" spans="1:12" x14ac:dyDescent="0.3">
      <c r="A319" s="31" t="s">
        <v>1440</v>
      </c>
      <c r="B319" s="51" t="str">
        <f>'Equip&amp;Mach List'!B4&amp;" "&amp;'Equip&amp;Mach List'!C4</f>
        <v>R-201 Deoxo reactor</v>
      </c>
      <c r="C319" s="33" t="s">
        <v>222</v>
      </c>
      <c r="D319" s="34"/>
      <c r="E319" s="35"/>
      <c r="F319" s="35"/>
      <c r="G319" s="35"/>
      <c r="H319" s="35"/>
      <c r="I319" s="486"/>
      <c r="J319" s="36">
        <f>IF('Equip&amp;Mach List'!P4="Loose",0,'Equip&amp;Mach List'!S4)</f>
        <v>2300</v>
      </c>
      <c r="K319" s="739">
        <v>1</v>
      </c>
      <c r="L319" s="923">
        <f>IFERROR(K319*J319,0)</f>
        <v>2300</v>
      </c>
    </row>
    <row r="320" spans="1:12" x14ac:dyDescent="0.3">
      <c r="A320" s="31" t="s">
        <v>1441</v>
      </c>
      <c r="B320" s="51" t="str">
        <f>'Equip&amp;Mach List'!B5&amp;" "&amp;'Equip&amp;Mach List'!C5</f>
        <v>D-101 Hydrogen gas/water separator</v>
      </c>
      <c r="C320" s="33" t="s">
        <v>222</v>
      </c>
      <c r="D320" s="34"/>
      <c r="E320" s="35"/>
      <c r="F320" s="35"/>
      <c r="G320" s="35"/>
      <c r="H320" s="35"/>
      <c r="I320" s="486"/>
      <c r="J320" s="36">
        <f>IF('Equip&amp;Mach List'!P5="Loose",0,'Equip&amp;Mach List'!S5)</f>
        <v>975</v>
      </c>
      <c r="K320" s="739">
        <v>1</v>
      </c>
      <c r="L320" s="37">
        <f t="shared" ref="L320:L338" si="16">IFERROR(K320*J320,0)</f>
        <v>975</v>
      </c>
    </row>
    <row r="321" spans="1:12" x14ac:dyDescent="0.3">
      <c r="A321" s="31" t="s">
        <v>1442</v>
      </c>
      <c r="B321" s="51" t="str">
        <f>'Equip&amp;Mach List'!B6&amp;" "&amp;'Equip&amp;Mach List'!C6</f>
        <v>T-101 A/B Hydrogen dryers</v>
      </c>
      <c r="C321" s="33" t="s">
        <v>222</v>
      </c>
      <c r="D321" s="34"/>
      <c r="E321" s="35"/>
      <c r="F321" s="35"/>
      <c r="G321" s="35"/>
      <c r="H321" s="35"/>
      <c r="I321" s="486"/>
      <c r="J321" s="36">
        <f>IF('Equip&amp;Mach List'!P6="Loose",0,'Equip&amp;Mach List'!S6)</f>
        <v>10500</v>
      </c>
      <c r="K321" s="739">
        <v>1</v>
      </c>
      <c r="L321" s="37">
        <f t="shared" si="16"/>
        <v>10500</v>
      </c>
    </row>
    <row r="322" spans="1:12" x14ac:dyDescent="0.3">
      <c r="A322" s="31" t="s">
        <v>1443</v>
      </c>
      <c r="B322" s="51" t="str">
        <f>'Equip&amp;Mach List'!B7&amp;" "&amp;'Equip&amp;Mach List'!C7</f>
        <v>D-102 Hydrogen gas/water separator</v>
      </c>
      <c r="C322" s="33" t="s">
        <v>222</v>
      </c>
      <c r="D322" s="34"/>
      <c r="E322" s="35"/>
      <c r="F322" s="35"/>
      <c r="G322" s="35"/>
      <c r="H322" s="35"/>
      <c r="I322" s="486"/>
      <c r="J322" s="36">
        <f>IF('Equip&amp;Mach List'!P7="Loose",0,'Equip&amp;Mach List'!S7)</f>
        <v>675</v>
      </c>
      <c r="K322" s="739">
        <v>0.5</v>
      </c>
      <c r="L322" s="37">
        <f t="shared" si="16"/>
        <v>337.5</v>
      </c>
    </row>
    <row r="323" spans="1:12" x14ac:dyDescent="0.3">
      <c r="A323" s="31" t="s">
        <v>1444</v>
      </c>
      <c r="B323" s="51" t="str">
        <f>'Equip&amp;Mach List'!B8&amp;" "&amp;'Equip&amp;Mach List'!C8</f>
        <v xml:space="preserve"> </v>
      </c>
      <c r="C323" s="33" t="s">
        <v>222</v>
      </c>
      <c r="D323" s="34"/>
      <c r="E323" s="35"/>
      <c r="F323" s="35"/>
      <c r="G323" s="35"/>
      <c r="H323" s="35"/>
      <c r="I323" s="486"/>
      <c r="J323" s="36" t="str">
        <f>IF('Equip&amp;Mach List'!P8="Loose",0,'Equip&amp;Mach List'!S8)</f>
        <v/>
      </c>
      <c r="K323" s="739">
        <v>0.5</v>
      </c>
      <c r="L323" s="37">
        <f t="shared" si="16"/>
        <v>0</v>
      </c>
    </row>
    <row r="324" spans="1:12" x14ac:dyDescent="0.3">
      <c r="A324" s="31" t="s">
        <v>1445</v>
      </c>
      <c r="B324" s="51" t="str">
        <f>'Equip&amp;Mach List'!B9&amp;" "&amp;'Equip&amp;Mach List'!C9</f>
        <v xml:space="preserve"> </v>
      </c>
      <c r="C324" s="33" t="s">
        <v>222</v>
      </c>
      <c r="D324" s="34"/>
      <c r="E324" s="35"/>
      <c r="F324" s="35"/>
      <c r="G324" s="35"/>
      <c r="H324" s="35"/>
      <c r="I324" s="486"/>
      <c r="J324" s="36" t="str">
        <f>IF('Equip&amp;Mach List'!P9="Loose",0,'Equip&amp;Mach List'!S9)</f>
        <v/>
      </c>
      <c r="K324" s="739">
        <v>0.5</v>
      </c>
      <c r="L324" s="37">
        <f t="shared" si="16"/>
        <v>0</v>
      </c>
    </row>
    <row r="325" spans="1:12" x14ac:dyDescent="0.3">
      <c r="A325" s="31" t="s">
        <v>1446</v>
      </c>
      <c r="B325" s="51" t="str">
        <f>'Equip&amp;Mach List'!B10&amp;" "&amp;'Equip&amp;Mach List'!C10</f>
        <v xml:space="preserve"> </v>
      </c>
      <c r="C325" s="33" t="s">
        <v>222</v>
      </c>
      <c r="D325" s="34"/>
      <c r="E325" s="35"/>
      <c r="F325" s="35"/>
      <c r="G325" s="35"/>
      <c r="H325" s="35"/>
      <c r="I325" s="486"/>
      <c r="J325" s="36" t="str">
        <f>IF('Equip&amp;Mach List'!P10="Loose",0,'Equip&amp;Mach List'!S10)</f>
        <v/>
      </c>
      <c r="K325" s="739">
        <v>0.5</v>
      </c>
      <c r="L325" s="37">
        <f t="shared" si="16"/>
        <v>0</v>
      </c>
    </row>
    <row r="326" spans="1:12" x14ac:dyDescent="0.3">
      <c r="A326" s="31" t="s">
        <v>1447</v>
      </c>
      <c r="B326" s="51" t="str">
        <f>'Equip&amp;Mach List'!B11&amp;" "&amp;'Equip&amp;Mach List'!C11</f>
        <v xml:space="preserve"> </v>
      </c>
      <c r="C326" s="33" t="s">
        <v>222</v>
      </c>
      <c r="D326" s="34"/>
      <c r="E326" s="35"/>
      <c r="F326" s="35"/>
      <c r="G326" s="35"/>
      <c r="H326" s="35"/>
      <c r="I326" s="486"/>
      <c r="J326" s="36" t="str">
        <f>IF('Equip&amp;Mach List'!P11="Loose",0,'Equip&amp;Mach List'!S11)</f>
        <v/>
      </c>
      <c r="K326" s="739">
        <v>0.5</v>
      </c>
      <c r="L326" s="37">
        <f t="shared" si="16"/>
        <v>0</v>
      </c>
    </row>
    <row r="327" spans="1:12" x14ac:dyDescent="0.3">
      <c r="A327" s="31" t="s">
        <v>1448</v>
      </c>
      <c r="B327" s="51" t="str">
        <f>'Equip&amp;Mach List'!B12&amp;" "&amp;'Equip&amp;Mach List'!C12</f>
        <v xml:space="preserve"> </v>
      </c>
      <c r="C327" s="33" t="s">
        <v>222</v>
      </c>
      <c r="D327" s="34"/>
      <c r="E327" s="35"/>
      <c r="F327" s="35"/>
      <c r="G327" s="35"/>
      <c r="H327" s="35"/>
      <c r="I327" s="486"/>
      <c r="J327" s="36" t="str">
        <f>IF('Equip&amp;Mach List'!P12="Loose",0,'Equip&amp;Mach List'!S12)</f>
        <v/>
      </c>
      <c r="K327" s="739">
        <v>0.5</v>
      </c>
      <c r="L327" s="37">
        <f t="shared" si="16"/>
        <v>0</v>
      </c>
    </row>
    <row r="328" spans="1:12" x14ac:dyDescent="0.3">
      <c r="A328" s="31" t="s">
        <v>1449</v>
      </c>
      <c r="B328" s="51" t="str">
        <f>'Equip&amp;Mach List'!B13&amp;" "&amp;'Equip&amp;Mach List'!C13</f>
        <v xml:space="preserve"> </v>
      </c>
      <c r="C328" s="33" t="s">
        <v>222</v>
      </c>
      <c r="D328" s="34"/>
      <c r="E328" s="35"/>
      <c r="F328" s="35"/>
      <c r="G328" s="35"/>
      <c r="H328" s="35"/>
      <c r="I328" s="486"/>
      <c r="J328" s="36">
        <f>IF('Equip&amp;Mach List'!P13="Loose",0,'Equip&amp;Mach List'!S13)</f>
        <v>0</v>
      </c>
      <c r="K328" s="739">
        <v>0.5</v>
      </c>
      <c r="L328" s="37">
        <f t="shared" si="16"/>
        <v>0</v>
      </c>
    </row>
    <row r="329" spans="1:12" x14ac:dyDescent="0.3">
      <c r="A329" s="31" t="s">
        <v>1450</v>
      </c>
      <c r="B329" s="51" t="str">
        <f>'Equip&amp;Mach List'!B14&amp;" "&amp;'Equip&amp;Mach List'!C14</f>
        <v xml:space="preserve"> </v>
      </c>
      <c r="C329" s="33" t="s">
        <v>222</v>
      </c>
      <c r="D329" s="34"/>
      <c r="E329" s="35"/>
      <c r="F329" s="35"/>
      <c r="G329" s="35"/>
      <c r="H329" s="35"/>
      <c r="I329" s="486"/>
      <c r="J329" s="36" t="str">
        <f>IF('Equip&amp;Mach List'!P14="Loose",0,'Equip&amp;Mach List'!S14)</f>
        <v/>
      </c>
      <c r="K329" s="739">
        <v>0.5</v>
      </c>
      <c r="L329" s="37">
        <f t="shared" si="16"/>
        <v>0</v>
      </c>
    </row>
    <row r="330" spans="1:12" x14ac:dyDescent="0.3">
      <c r="A330" s="31" t="s">
        <v>1451</v>
      </c>
      <c r="B330" s="51" t="str">
        <f>'Equip&amp;Mach List'!B15&amp;" "&amp;'Equip&amp;Mach List'!C15</f>
        <v xml:space="preserve"> </v>
      </c>
      <c r="C330" s="33" t="s">
        <v>222</v>
      </c>
      <c r="D330" s="34"/>
      <c r="E330" s="35"/>
      <c r="F330" s="35"/>
      <c r="G330" s="35"/>
      <c r="H330" s="35"/>
      <c r="I330" s="486"/>
      <c r="J330" s="36" t="str">
        <f>IF('Equip&amp;Mach List'!P15="Loose",0,'Equip&amp;Mach List'!S15)</f>
        <v/>
      </c>
      <c r="K330" s="739">
        <v>0.5</v>
      </c>
      <c r="L330" s="37">
        <f t="shared" si="16"/>
        <v>0</v>
      </c>
    </row>
    <row r="331" spans="1:12" x14ac:dyDescent="0.3">
      <c r="A331" s="31" t="s">
        <v>1452</v>
      </c>
      <c r="B331" s="51" t="str">
        <f>'Equip&amp;Mach List'!B16&amp;" "&amp;'Equip&amp;Mach List'!C16</f>
        <v xml:space="preserve"> </v>
      </c>
      <c r="C331" s="33" t="s">
        <v>222</v>
      </c>
      <c r="D331" s="34"/>
      <c r="E331" s="35"/>
      <c r="F331" s="35"/>
      <c r="G331" s="35"/>
      <c r="H331" s="35"/>
      <c r="I331" s="486"/>
      <c r="J331" s="36" t="str">
        <f>IF('Equip&amp;Mach List'!P16="Loose",0,'Equip&amp;Mach List'!S16)</f>
        <v/>
      </c>
      <c r="K331" s="739"/>
      <c r="L331" s="37">
        <f t="shared" si="16"/>
        <v>0</v>
      </c>
    </row>
    <row r="332" spans="1:12" x14ac:dyDescent="0.3">
      <c r="A332" s="31" t="s">
        <v>1453</v>
      </c>
      <c r="B332" s="51" t="str">
        <f>'Equip&amp;Mach List'!B17&amp;" "&amp;'Equip&amp;Mach List'!C17</f>
        <v xml:space="preserve"> </v>
      </c>
      <c r="C332" s="33" t="s">
        <v>222</v>
      </c>
      <c r="D332" s="34"/>
      <c r="E332" s="35"/>
      <c r="F332" s="35"/>
      <c r="G332" s="35"/>
      <c r="H332" s="35"/>
      <c r="I332" s="486"/>
      <c r="J332" s="36" t="str">
        <f>IF('Equip&amp;Mach List'!P17="Loose",0,'Equip&amp;Mach List'!S17)</f>
        <v/>
      </c>
      <c r="K332" s="739"/>
      <c r="L332" s="37">
        <f t="shared" si="16"/>
        <v>0</v>
      </c>
    </row>
    <row r="333" spans="1:12" x14ac:dyDescent="0.3">
      <c r="A333" s="31" t="s">
        <v>1454</v>
      </c>
      <c r="B333" s="51" t="str">
        <f>'Equip&amp;Mach List'!B18&amp;" "&amp;'Equip&amp;Mach List'!C18</f>
        <v xml:space="preserve"> </v>
      </c>
      <c r="C333" s="33" t="s">
        <v>222</v>
      </c>
      <c r="D333" s="34"/>
      <c r="E333" s="35"/>
      <c r="F333" s="35"/>
      <c r="G333" s="35"/>
      <c r="H333" s="35"/>
      <c r="I333" s="486"/>
      <c r="J333" s="36" t="str">
        <f>IF('Equip&amp;Mach List'!P18="Loose",0,'Equip&amp;Mach List'!S18)</f>
        <v/>
      </c>
      <c r="K333" s="739"/>
      <c r="L333" s="37">
        <f t="shared" si="16"/>
        <v>0</v>
      </c>
    </row>
    <row r="334" spans="1:12" x14ac:dyDescent="0.3">
      <c r="A334" s="31" t="s">
        <v>1455</v>
      </c>
      <c r="B334" s="51" t="str">
        <f>'Equip&amp;Mach List'!B19&amp;" "&amp;'Equip&amp;Mach List'!C19</f>
        <v xml:space="preserve"> </v>
      </c>
      <c r="C334" s="33" t="s">
        <v>222</v>
      </c>
      <c r="D334" s="34"/>
      <c r="E334" s="35"/>
      <c r="F334" s="35"/>
      <c r="G334" s="35"/>
      <c r="H334" s="35"/>
      <c r="I334" s="486"/>
      <c r="J334" s="36" t="str">
        <f>IF('Equip&amp;Mach List'!P19="Loose",0,'Equip&amp;Mach List'!S19)</f>
        <v/>
      </c>
      <c r="K334" s="739"/>
      <c r="L334" s="37">
        <f t="shared" si="16"/>
        <v>0</v>
      </c>
    </row>
    <row r="335" spans="1:12" x14ac:dyDescent="0.3">
      <c r="A335" s="31" t="s">
        <v>1456</v>
      </c>
      <c r="B335" s="51" t="str">
        <f>'Equip&amp;Mach List'!B20&amp;" "&amp;'Equip&amp;Mach List'!C20</f>
        <v xml:space="preserve"> </v>
      </c>
      <c r="C335" s="33" t="s">
        <v>222</v>
      </c>
      <c r="D335" s="34"/>
      <c r="E335" s="35"/>
      <c r="F335" s="35"/>
      <c r="G335" s="35"/>
      <c r="H335" s="35"/>
      <c r="I335" s="486"/>
      <c r="J335" s="36" t="str">
        <f>IF('Equip&amp;Mach List'!P20="Loose",0,'Equip&amp;Mach List'!S20)</f>
        <v/>
      </c>
      <c r="K335" s="739"/>
      <c r="L335" s="37">
        <f t="shared" si="16"/>
        <v>0</v>
      </c>
    </row>
    <row r="336" spans="1:12" x14ac:dyDescent="0.3">
      <c r="A336" s="31" t="s">
        <v>1457</v>
      </c>
      <c r="B336" s="51" t="str">
        <f>'Equip&amp;Mach List'!B21&amp;" "&amp;'Equip&amp;Mach List'!C21</f>
        <v xml:space="preserve"> </v>
      </c>
      <c r="C336" s="33" t="s">
        <v>222</v>
      </c>
      <c r="D336" s="34"/>
      <c r="E336" s="35"/>
      <c r="F336" s="35"/>
      <c r="G336" s="35"/>
      <c r="H336" s="35"/>
      <c r="I336" s="486"/>
      <c r="J336" s="36" t="str">
        <f>IF('Equip&amp;Mach List'!P21="Loose",0,'Equip&amp;Mach List'!S21)</f>
        <v/>
      </c>
      <c r="K336" s="739"/>
      <c r="L336" s="37">
        <f t="shared" si="16"/>
        <v>0</v>
      </c>
    </row>
    <row r="337" spans="1:12" x14ac:dyDescent="0.3">
      <c r="A337" s="31" t="s">
        <v>1458</v>
      </c>
      <c r="B337" s="51" t="str">
        <f>'Equip&amp;Mach List'!B22&amp;" "&amp;'Equip&amp;Mach List'!C22</f>
        <v xml:space="preserve"> 4</v>
      </c>
      <c r="C337" s="33" t="s">
        <v>222</v>
      </c>
      <c r="D337" s="34"/>
      <c r="E337" s="35"/>
      <c r="F337" s="35"/>
      <c r="G337" s="35"/>
      <c r="H337" s="35"/>
      <c r="I337" s="486"/>
      <c r="J337" s="36">
        <f>IF('Equip&amp;Mach List'!P22="Loose",0,'Equip&amp;Mach List'!S22)</f>
        <v>0</v>
      </c>
      <c r="K337" s="739"/>
      <c r="L337" s="37">
        <f t="shared" si="16"/>
        <v>0</v>
      </c>
    </row>
    <row r="338" spans="1:12" ht="16.2" thickBot="1" x14ac:dyDescent="0.35">
      <c r="A338" s="31" t="s">
        <v>1459</v>
      </c>
      <c r="B338" s="51" t="str">
        <f>'Equip&amp;Mach List'!B29&amp;" "&amp;'Equip&amp;Mach List'!C29</f>
        <v xml:space="preserve"> </v>
      </c>
      <c r="C338" s="33" t="s">
        <v>222</v>
      </c>
      <c r="D338" s="34"/>
      <c r="E338" s="35"/>
      <c r="F338" s="35"/>
      <c r="G338" s="35"/>
      <c r="H338" s="35"/>
      <c r="I338" s="486"/>
      <c r="J338" s="36" t="str">
        <f>IF('Equip&amp;Mach List'!P29="Loose",0,'Equip&amp;Mach List'!S29)</f>
        <v/>
      </c>
      <c r="K338" s="739"/>
      <c r="L338" s="42">
        <f t="shared" si="16"/>
        <v>0</v>
      </c>
    </row>
    <row r="339" spans="1:12" ht="16.2" thickBot="1" x14ac:dyDescent="0.35">
      <c r="A339" s="1474" t="s">
        <v>1460</v>
      </c>
      <c r="B339" s="1492" t="s">
        <v>1461</v>
      </c>
      <c r="C339" s="1480"/>
      <c r="D339" s="1481"/>
      <c r="E339" s="1481"/>
      <c r="F339" s="1481"/>
      <c r="G339" s="1481"/>
      <c r="H339" s="1481"/>
      <c r="I339" s="1481"/>
      <c r="J339" s="1481"/>
      <c r="K339" s="1482"/>
      <c r="L339" s="1131">
        <f>SUM(L340:L359)</f>
        <v>3025</v>
      </c>
    </row>
    <row r="340" spans="1:12" x14ac:dyDescent="0.3">
      <c r="A340" s="31" t="s">
        <v>1462</v>
      </c>
      <c r="B340" s="758" t="str">
        <f>'Equip&amp;Mach List'!B33&amp;" "&amp;'Equip&amp;Mach List'!C33</f>
        <v>E-101 Feed hydrogen heater</v>
      </c>
      <c r="C340" s="33" t="s">
        <v>222</v>
      </c>
      <c r="D340" s="34"/>
      <c r="E340" s="35"/>
      <c r="F340" s="35"/>
      <c r="G340" s="35"/>
      <c r="H340" s="35"/>
      <c r="I340" s="486"/>
      <c r="J340" s="36">
        <f>IF('Equip&amp;Mach List'!P33="Loose",0,'Equip&amp;Mach List'!S33)</f>
        <v>800</v>
      </c>
      <c r="K340" s="739">
        <v>1</v>
      </c>
      <c r="L340" s="923">
        <f>K340*J340</f>
        <v>800</v>
      </c>
    </row>
    <row r="341" spans="1:12" x14ac:dyDescent="0.3">
      <c r="A341" s="31" t="s">
        <v>1463</v>
      </c>
      <c r="B341" s="758" t="str">
        <f>'Equip&amp;Mach List'!B34&amp;" "&amp;'Equip&amp;Mach List'!C34</f>
        <v>E-102 Hydrogen cooler</v>
      </c>
      <c r="C341" s="33" t="s">
        <v>222</v>
      </c>
      <c r="D341" s="34"/>
      <c r="E341" s="35"/>
      <c r="F341" s="35"/>
      <c r="G341" s="35"/>
      <c r="H341" s="35"/>
      <c r="I341" s="486"/>
      <c r="J341" s="36">
        <f>IF('Equip&amp;Mach List'!P34="Loose",0,'Equip&amp;Mach List'!S34)</f>
        <v>750</v>
      </c>
      <c r="K341" s="739">
        <v>1</v>
      </c>
      <c r="L341" s="37">
        <f>K341*J341</f>
        <v>750</v>
      </c>
    </row>
    <row r="342" spans="1:12" x14ac:dyDescent="0.3">
      <c r="A342" s="31" t="s">
        <v>1464</v>
      </c>
      <c r="B342" s="51" t="str">
        <f>'Equip&amp;Mach List'!B35&amp;" "&amp;'Equip&amp;Mach List'!C35</f>
        <v>E-103 Regeneration heater (FATI )</v>
      </c>
      <c r="C342" s="33" t="s">
        <v>222</v>
      </c>
      <c r="D342" s="34"/>
      <c r="E342" s="35"/>
      <c r="F342" s="35"/>
      <c r="G342" s="35"/>
      <c r="H342" s="35"/>
      <c r="I342" s="486"/>
      <c r="J342" s="36">
        <f>IF('Equip&amp;Mach List'!P35="Loose",0,'Equip&amp;Mach List'!S35)</f>
        <v>900</v>
      </c>
      <c r="K342" s="739">
        <v>1</v>
      </c>
      <c r="L342" s="37">
        <f>K342*J342</f>
        <v>900</v>
      </c>
    </row>
    <row r="343" spans="1:12" x14ac:dyDescent="0.3">
      <c r="A343" s="31" t="s">
        <v>1465</v>
      </c>
      <c r="B343" s="51" t="str">
        <f>'Equip&amp;Mach List'!B36&amp;" "&amp;'Equip&amp;Mach List'!C36</f>
        <v>1C-101 Regeneration blower</v>
      </c>
      <c r="C343" s="33" t="s">
        <v>222</v>
      </c>
      <c r="D343" s="34"/>
      <c r="E343" s="35"/>
      <c r="F343" s="35"/>
      <c r="G343" s="35"/>
      <c r="H343" s="35"/>
      <c r="I343" s="486"/>
      <c r="J343" s="36">
        <f>IF('Equip&amp;Mach List'!P36="Loose",0,'Equip&amp;Mach List'!S36)</f>
        <v>0</v>
      </c>
      <c r="K343" s="739">
        <v>1</v>
      </c>
      <c r="L343" s="37">
        <f t="shared" ref="L343:L359" si="17">K343*J343</f>
        <v>0</v>
      </c>
    </row>
    <row r="344" spans="1:12" x14ac:dyDescent="0.3">
      <c r="A344" s="31" t="s">
        <v>1466</v>
      </c>
      <c r="B344" s="51" t="str">
        <f>'Equip&amp;Mach List'!B37&amp;" "&amp;'Equip&amp;Mach List'!C37</f>
        <v>1F-101 Hydrogen particulate filter</v>
      </c>
      <c r="C344" s="33" t="s">
        <v>222</v>
      </c>
      <c r="D344" s="34"/>
      <c r="E344" s="35"/>
      <c r="F344" s="35"/>
      <c r="G344" s="35"/>
      <c r="H344" s="35"/>
      <c r="I344" s="486"/>
      <c r="J344" s="36">
        <f>IF('Equip&amp;Mach List'!P37="Loose",0,'Equip&amp;Mach List'!S37)</f>
        <v>350</v>
      </c>
      <c r="K344" s="739">
        <v>1</v>
      </c>
      <c r="L344" s="37">
        <f t="shared" si="17"/>
        <v>350</v>
      </c>
    </row>
    <row r="345" spans="1:12" x14ac:dyDescent="0.3">
      <c r="A345" s="31" t="s">
        <v>1467</v>
      </c>
      <c r="B345" s="51" t="str">
        <f>'Equip&amp;Mach List'!B38&amp;" "&amp;'Equip&amp;Mach List'!C38</f>
        <v>E-104 Hydrogen cooler</v>
      </c>
      <c r="C345" s="33" t="s">
        <v>222</v>
      </c>
      <c r="D345" s="34"/>
      <c r="E345" s="35"/>
      <c r="F345" s="35"/>
      <c r="G345" s="35"/>
      <c r="H345" s="35"/>
      <c r="I345" s="486"/>
      <c r="J345" s="36">
        <f>IF('Equip&amp;Mach List'!P38="Loose",0,'Equip&amp;Mach List'!S38)</f>
        <v>450</v>
      </c>
      <c r="K345" s="739">
        <v>0.5</v>
      </c>
      <c r="L345" s="37">
        <f t="shared" si="17"/>
        <v>225</v>
      </c>
    </row>
    <row r="346" spans="1:12" x14ac:dyDescent="0.3">
      <c r="A346" s="31" t="s">
        <v>1468</v>
      </c>
      <c r="B346" s="51" t="str">
        <f>'Equip&amp;Mach List'!B39&amp;" "&amp;'Equip&amp;Mach List'!C39</f>
        <v>E-105 Hydrogen cooler</v>
      </c>
      <c r="C346" s="33" t="s">
        <v>222</v>
      </c>
      <c r="D346" s="34"/>
      <c r="E346" s="35"/>
      <c r="F346" s="35"/>
      <c r="G346" s="35"/>
      <c r="H346" s="35"/>
      <c r="I346" s="486"/>
      <c r="J346" s="36">
        <f>IF('Equip&amp;Mach List'!P39="Loose",0,'Equip&amp;Mach List'!S39)</f>
        <v>400</v>
      </c>
      <c r="K346" s="739"/>
      <c r="L346" s="37">
        <f t="shared" si="17"/>
        <v>0</v>
      </c>
    </row>
    <row r="347" spans="1:12" x14ac:dyDescent="0.3">
      <c r="A347" s="31" t="s">
        <v>1469</v>
      </c>
      <c r="B347" s="51" t="str">
        <f>'Equip&amp;Mach List'!B40&amp;" "&amp;'Equip&amp;Mach List'!C40</f>
        <v xml:space="preserve"> </v>
      </c>
      <c r="C347" s="33" t="s">
        <v>222</v>
      </c>
      <c r="D347" s="34"/>
      <c r="E347" s="35"/>
      <c r="F347" s="35"/>
      <c r="G347" s="35"/>
      <c r="H347" s="35"/>
      <c r="I347" s="486"/>
      <c r="J347" s="36">
        <f>IF('Equip&amp;Mach List'!P40="Loose",0,'Equip&amp;Mach List'!S40)</f>
        <v>0</v>
      </c>
      <c r="K347" s="739"/>
      <c r="L347" s="37">
        <f t="shared" si="17"/>
        <v>0</v>
      </c>
    </row>
    <row r="348" spans="1:12" x14ac:dyDescent="0.3">
      <c r="A348" s="31" t="s">
        <v>1470</v>
      </c>
      <c r="B348" s="51" t="str">
        <f>'Equip&amp;Mach List'!B41&amp;" "&amp;'Equip&amp;Mach List'!C41</f>
        <v xml:space="preserve"> </v>
      </c>
      <c r="C348" s="33" t="s">
        <v>222</v>
      </c>
      <c r="D348" s="34"/>
      <c r="E348" s="35"/>
      <c r="F348" s="35"/>
      <c r="G348" s="35"/>
      <c r="H348" s="35"/>
      <c r="I348" s="486"/>
      <c r="J348" s="36">
        <f>IF('Equip&amp;Mach List'!P41="Loose",0,'Equip&amp;Mach List'!S41)</f>
        <v>0</v>
      </c>
      <c r="K348" s="739"/>
      <c r="L348" s="37">
        <f t="shared" si="17"/>
        <v>0</v>
      </c>
    </row>
    <row r="349" spans="1:12" x14ac:dyDescent="0.3">
      <c r="A349" s="31" t="s">
        <v>1471</v>
      </c>
      <c r="B349" s="51" t="str">
        <f>'Equip&amp;Mach List'!B42&amp;" "&amp;'Equip&amp;Mach List'!C42</f>
        <v xml:space="preserve"> </v>
      </c>
      <c r="C349" s="33" t="s">
        <v>222</v>
      </c>
      <c r="D349" s="34"/>
      <c r="E349" s="35"/>
      <c r="F349" s="35"/>
      <c r="G349" s="35"/>
      <c r="H349" s="35"/>
      <c r="I349" s="486"/>
      <c r="J349" s="36">
        <f>IF('Equip&amp;Mach List'!P42="Loose",0,'Equip&amp;Mach List'!S42)</f>
        <v>0</v>
      </c>
      <c r="K349" s="739"/>
      <c r="L349" s="37">
        <f t="shared" si="17"/>
        <v>0</v>
      </c>
    </row>
    <row r="350" spans="1:12" x14ac:dyDescent="0.3">
      <c r="A350" s="31" t="s">
        <v>1472</v>
      </c>
      <c r="B350" s="51" t="str">
        <f>'Equip&amp;Mach List'!B43&amp;" "&amp;'Equip&amp;Mach List'!C43</f>
        <v xml:space="preserve"> </v>
      </c>
      <c r="C350" s="33" t="s">
        <v>222</v>
      </c>
      <c r="D350" s="34"/>
      <c r="E350" s="35"/>
      <c r="F350" s="35"/>
      <c r="G350" s="35"/>
      <c r="H350" s="35"/>
      <c r="I350" s="486"/>
      <c r="J350" s="36">
        <f>IF('Equip&amp;Mach List'!P43="Loose",0,'Equip&amp;Mach List'!S43)</f>
        <v>0</v>
      </c>
      <c r="K350" s="739"/>
      <c r="L350" s="37">
        <f t="shared" si="17"/>
        <v>0</v>
      </c>
    </row>
    <row r="351" spans="1:12" x14ac:dyDescent="0.3">
      <c r="A351" s="31" t="s">
        <v>1473</v>
      </c>
      <c r="B351" s="51" t="str">
        <f>'Equip&amp;Mach List'!B44&amp;" "&amp;'Equip&amp;Mach List'!C44</f>
        <v xml:space="preserve"> </v>
      </c>
      <c r="C351" s="33" t="s">
        <v>222</v>
      </c>
      <c r="D351" s="34"/>
      <c r="E351" s="35"/>
      <c r="F351" s="35"/>
      <c r="G351" s="35"/>
      <c r="H351" s="35"/>
      <c r="I351" s="486"/>
      <c r="J351" s="36">
        <f>IF('Equip&amp;Mach List'!P44="Loose",0,'Equip&amp;Mach List'!S44)</f>
        <v>0</v>
      </c>
      <c r="K351" s="739"/>
      <c r="L351" s="37">
        <f t="shared" si="17"/>
        <v>0</v>
      </c>
    </row>
    <row r="352" spans="1:12" x14ac:dyDescent="0.3">
      <c r="A352" s="31" t="s">
        <v>1474</v>
      </c>
      <c r="B352" s="51" t="str">
        <f>'Equip&amp;Mach List'!B45&amp;" "&amp;'Equip&amp;Mach List'!C45</f>
        <v xml:space="preserve"> </v>
      </c>
      <c r="C352" s="33" t="s">
        <v>222</v>
      </c>
      <c r="D352" s="34"/>
      <c r="E352" s="35"/>
      <c r="F352" s="35"/>
      <c r="G352" s="35"/>
      <c r="H352" s="35"/>
      <c r="I352" s="486"/>
      <c r="J352" s="36">
        <f>IF('Equip&amp;Mach List'!P45="Loose",0,'Equip&amp;Mach List'!S45)</f>
        <v>0</v>
      </c>
      <c r="K352" s="739"/>
      <c r="L352" s="37">
        <f t="shared" si="17"/>
        <v>0</v>
      </c>
    </row>
    <row r="353" spans="1:12" x14ac:dyDescent="0.3">
      <c r="A353" s="31" t="s">
        <v>1475</v>
      </c>
      <c r="B353" s="51" t="str">
        <f>'Equip&amp;Mach List'!B46&amp;" "&amp;'Equip&amp;Mach List'!C46</f>
        <v xml:space="preserve"> </v>
      </c>
      <c r="C353" s="33" t="s">
        <v>222</v>
      </c>
      <c r="D353" s="34"/>
      <c r="E353" s="35"/>
      <c r="F353" s="35"/>
      <c r="G353" s="35"/>
      <c r="H353" s="35"/>
      <c r="I353" s="486"/>
      <c r="J353" s="36">
        <f>IF('Equip&amp;Mach List'!P46="Loose",0,'Equip&amp;Mach List'!S46)</f>
        <v>0</v>
      </c>
      <c r="K353" s="739"/>
      <c r="L353" s="37">
        <f t="shared" si="17"/>
        <v>0</v>
      </c>
    </row>
    <row r="354" spans="1:12" x14ac:dyDescent="0.3">
      <c r="A354" s="31" t="s">
        <v>1476</v>
      </c>
      <c r="B354" s="51" t="str">
        <f>'Equip&amp;Mach List'!B47&amp;" "&amp;'Equip&amp;Mach List'!C47</f>
        <v xml:space="preserve"> </v>
      </c>
      <c r="C354" s="33" t="s">
        <v>222</v>
      </c>
      <c r="D354" s="34"/>
      <c r="E354" s="35"/>
      <c r="F354" s="35"/>
      <c r="G354" s="35"/>
      <c r="H354" s="35"/>
      <c r="I354" s="486"/>
      <c r="J354" s="36">
        <f>IF('Equip&amp;Mach List'!P47="Loose",0,'Equip&amp;Mach List'!S47)</f>
        <v>0</v>
      </c>
      <c r="K354" s="739"/>
      <c r="L354" s="37">
        <f t="shared" si="17"/>
        <v>0</v>
      </c>
    </row>
    <row r="355" spans="1:12" x14ac:dyDescent="0.3">
      <c r="A355" s="31" t="s">
        <v>1477</v>
      </c>
      <c r="B355" s="51" t="str">
        <f>'Equip&amp;Mach List'!B48&amp;" "&amp;'Equip&amp;Mach List'!C48</f>
        <v xml:space="preserve"> </v>
      </c>
      <c r="C355" s="33" t="s">
        <v>222</v>
      </c>
      <c r="D355" s="34"/>
      <c r="E355" s="35"/>
      <c r="F355" s="35"/>
      <c r="G355" s="35"/>
      <c r="H355" s="35"/>
      <c r="I355" s="486"/>
      <c r="J355" s="36">
        <f>IF('Equip&amp;Mach List'!P48="Loose",0,'Equip&amp;Mach List'!S48)</f>
        <v>0</v>
      </c>
      <c r="K355" s="739"/>
      <c r="L355" s="37">
        <f t="shared" si="17"/>
        <v>0</v>
      </c>
    </row>
    <row r="356" spans="1:12" x14ac:dyDescent="0.3">
      <c r="A356" s="31" t="s">
        <v>1478</v>
      </c>
      <c r="B356" s="51" t="str">
        <f>'Equip&amp;Mach List'!B49&amp;" "&amp;'Equip&amp;Mach List'!C49</f>
        <v xml:space="preserve"> </v>
      </c>
      <c r="C356" s="33" t="s">
        <v>222</v>
      </c>
      <c r="D356" s="34"/>
      <c r="E356" s="35"/>
      <c r="F356" s="35"/>
      <c r="G356" s="35"/>
      <c r="H356" s="35"/>
      <c r="I356" s="486"/>
      <c r="J356" s="36">
        <f>IF('Equip&amp;Mach List'!P49="Loose",0,'Equip&amp;Mach List'!S49)</f>
        <v>0</v>
      </c>
      <c r="K356" s="739"/>
      <c r="L356" s="37">
        <f t="shared" si="17"/>
        <v>0</v>
      </c>
    </row>
    <row r="357" spans="1:12" x14ac:dyDescent="0.3">
      <c r="A357" s="31" t="s">
        <v>1479</v>
      </c>
      <c r="B357" s="51" t="str">
        <f>'Equip&amp;Mach List'!B50&amp;" "&amp;'Equip&amp;Mach List'!C50</f>
        <v xml:space="preserve"> </v>
      </c>
      <c r="C357" s="33" t="s">
        <v>222</v>
      </c>
      <c r="D357" s="34"/>
      <c r="E357" s="35"/>
      <c r="F357" s="35"/>
      <c r="G357" s="35"/>
      <c r="H357" s="35"/>
      <c r="I357" s="486"/>
      <c r="J357" s="36">
        <f>IF('Equip&amp;Mach List'!P50="Loose",0,'Equip&amp;Mach List'!S50)</f>
        <v>0</v>
      </c>
      <c r="K357" s="739"/>
      <c r="L357" s="37">
        <f t="shared" si="17"/>
        <v>0</v>
      </c>
    </row>
    <row r="358" spans="1:12" x14ac:dyDescent="0.3">
      <c r="A358" s="31" t="s">
        <v>1480</v>
      </c>
      <c r="B358" s="51" t="str">
        <f>'Equip&amp;Mach List'!B51&amp;" "&amp;'Equip&amp;Mach List'!C51</f>
        <v xml:space="preserve"> </v>
      </c>
      <c r="C358" s="33" t="s">
        <v>222</v>
      </c>
      <c r="D358" s="34"/>
      <c r="E358" s="35"/>
      <c r="F358" s="35"/>
      <c r="G358" s="35"/>
      <c r="H358" s="35"/>
      <c r="I358" s="486"/>
      <c r="J358" s="36">
        <f>IF('Equip&amp;Mach List'!P51="Loose",0,'Equip&amp;Mach List'!S51)</f>
        <v>0</v>
      </c>
      <c r="K358" s="739"/>
      <c r="L358" s="37">
        <f t="shared" si="17"/>
        <v>0</v>
      </c>
    </row>
    <row r="359" spans="1:12" ht="16.2" thickBot="1" x14ac:dyDescent="0.35">
      <c r="A359" s="31" t="s">
        <v>1481</v>
      </c>
      <c r="B359" s="51" t="str">
        <f>'Equip&amp;Mach List'!B52&amp;" "&amp;'Equip&amp;Mach List'!C52</f>
        <v xml:space="preserve"> </v>
      </c>
      <c r="C359" s="33" t="s">
        <v>222</v>
      </c>
      <c r="D359" s="34"/>
      <c r="E359" s="35"/>
      <c r="F359" s="35"/>
      <c r="G359" s="35"/>
      <c r="H359" s="35"/>
      <c r="I359" s="486"/>
      <c r="J359" s="36">
        <f>IF('Equip&amp;Mach List'!P52="Loose",0,'Equip&amp;Mach List'!S52)</f>
        <v>0</v>
      </c>
      <c r="K359" s="739"/>
      <c r="L359" s="37">
        <f t="shared" si="17"/>
        <v>0</v>
      </c>
    </row>
    <row r="360" spans="1:12" ht="16.2" thickBot="1" x14ac:dyDescent="0.35">
      <c r="A360" s="24">
        <v>4</v>
      </c>
      <c r="B360" s="1404" t="s">
        <v>1482</v>
      </c>
      <c r="C360" s="1402"/>
      <c r="D360" s="1402"/>
      <c r="E360" s="1402"/>
      <c r="F360" s="1402"/>
      <c r="G360" s="1402"/>
      <c r="H360" s="1402"/>
      <c r="I360" s="1402"/>
      <c r="J360" s="1402"/>
      <c r="K360" s="1403"/>
      <c r="L360" s="1126"/>
    </row>
    <row r="361" spans="1:12" ht="16.2" thickBot="1" x14ac:dyDescent="0.35">
      <c r="A361" s="1474" t="s">
        <v>1483</v>
      </c>
      <c r="B361" s="1479" t="s">
        <v>409</v>
      </c>
      <c r="C361" s="1480"/>
      <c r="D361" s="1481"/>
      <c r="E361" s="1481"/>
      <c r="F361" s="1481"/>
      <c r="G361" s="1481"/>
      <c r="H361" s="1481"/>
      <c r="I361" s="1481"/>
      <c r="J361" s="1481"/>
      <c r="K361" s="1482"/>
      <c r="L361" s="1131">
        <f>L362</f>
        <v>0</v>
      </c>
    </row>
    <row r="362" spans="1:12" ht="16.2" thickBot="1" x14ac:dyDescent="0.35">
      <c r="A362" s="31" t="s">
        <v>1484</v>
      </c>
      <c r="B362" s="51" t="s">
        <v>409</v>
      </c>
      <c r="C362" s="33" t="s">
        <v>301</v>
      </c>
      <c r="D362" s="34"/>
      <c r="E362" s="35"/>
      <c r="F362" s="35"/>
      <c r="G362" s="35"/>
      <c r="H362" s="35"/>
      <c r="I362" s="35"/>
      <c r="J362" s="60">
        <v>1</v>
      </c>
      <c r="K362" s="739"/>
      <c r="L362" s="1127">
        <f>K362*J362</f>
        <v>0</v>
      </c>
    </row>
    <row r="363" spans="1:12" ht="16.2" thickBot="1" x14ac:dyDescent="0.35">
      <c r="A363" s="1474" t="s">
        <v>1485</v>
      </c>
      <c r="B363" s="1479" t="s">
        <v>411</v>
      </c>
      <c r="C363" s="1480"/>
      <c r="D363" s="1481"/>
      <c r="E363" s="1481"/>
      <c r="F363" s="1481"/>
      <c r="G363" s="1481"/>
      <c r="H363" s="1481"/>
      <c r="I363" s="1481"/>
      <c r="J363" s="1481"/>
      <c r="K363" s="1482"/>
      <c r="L363" s="1131">
        <f>L364+L375+L396+L417+L438</f>
        <v>12239.999999999998</v>
      </c>
    </row>
    <row r="364" spans="1:12" x14ac:dyDescent="0.3">
      <c r="A364" s="1474" t="s">
        <v>1486</v>
      </c>
      <c r="B364" s="1479" t="s">
        <v>1487</v>
      </c>
      <c r="C364" s="1480"/>
      <c r="D364" s="1481"/>
      <c r="E364" s="1481"/>
      <c r="F364" s="1481"/>
      <c r="G364" s="1481"/>
      <c r="H364" s="1481"/>
      <c r="I364" s="1481"/>
      <c r="J364" s="1481"/>
      <c r="K364" s="1482"/>
      <c r="L364" s="1494">
        <f>SUM(L365:L374)</f>
        <v>12239.999999999998</v>
      </c>
    </row>
    <row r="365" spans="1:12" x14ac:dyDescent="0.3">
      <c r="A365" s="31" t="s">
        <v>1488</v>
      </c>
      <c r="B365" s="51" t="str">
        <f>'Steel Structure List'!A5</f>
        <v>SKID 1 MODULO PIANO 1</v>
      </c>
      <c r="C365" s="33" t="s">
        <v>225</v>
      </c>
      <c r="D365" s="520" t="str">
        <f>IF(B365=0,"","Dim. "&amp;'Steel Structure List'!B5&amp;"m x "&amp;'Steel Structure List'!C5&amp;"m x "&amp;'Steel Structure List'!D5&amp;"m - Net/Gross Weight "&amp;ROUND('Proposal Quantity Report'!I45,-1)&amp;"/"&amp;ROUND('Proposal Quantity Report'!I45+'Steel Structure List'!Q5,-1)&amp;"kg")</f>
        <v>Dim. 8m x 3m x 3,4m - Net/Gross Weight 0/1470kg</v>
      </c>
      <c r="E365" s="35"/>
      <c r="F365" s="35"/>
      <c r="G365" s="35"/>
      <c r="H365" s="35"/>
      <c r="I365" s="35"/>
      <c r="J365" s="36">
        <f>'Steel Structure List'!E5</f>
        <v>81.599999999999994</v>
      </c>
      <c r="K365" s="739">
        <v>50</v>
      </c>
      <c r="L365" s="923">
        <f t="shared" ref="L365:L374" si="18">K365*J365</f>
        <v>4079.9999999999995</v>
      </c>
    </row>
    <row r="366" spans="1:12" x14ac:dyDescent="0.3">
      <c r="A366" s="31" t="s">
        <v>1489</v>
      </c>
      <c r="B366" s="51" t="str">
        <f>'Steel Structure List'!A6</f>
        <v>SKID 1 MODULO PIANO 2</v>
      </c>
      <c r="C366" s="33" t="s">
        <v>225</v>
      </c>
      <c r="D366" s="520" t="str">
        <f>IF(B366=0,"","Dim. "&amp;'Steel Structure List'!B6&amp;"m x "&amp;'Steel Structure List'!C6&amp;"m x "&amp;'Steel Structure List'!D6&amp;"m - Net/Gross Weight "&amp;ROUND('Proposal Quantity Report'!I46,-1)&amp;"/"&amp;ROUND('Proposal Quantity Report'!I46+'Steel Structure List'!Q6,-1)&amp;"kg")</f>
        <v>Dim. 8m x 3m x 3,4m - Net/Gross Weight 4030/5510kg</v>
      </c>
      <c r="E366" s="35"/>
      <c r="F366" s="35"/>
      <c r="G366" s="35"/>
      <c r="H366" s="35"/>
      <c r="I366" s="35"/>
      <c r="J366" s="36">
        <f>'Steel Structure List'!E6</f>
        <v>81.599999999999994</v>
      </c>
      <c r="K366" s="739">
        <v>50</v>
      </c>
      <c r="L366" s="37">
        <f t="shared" si="18"/>
        <v>4079.9999999999995</v>
      </c>
    </row>
    <row r="367" spans="1:12" x14ac:dyDescent="0.3">
      <c r="A367" s="31" t="s">
        <v>1490</v>
      </c>
      <c r="B367" s="51" t="str">
        <f>'Steel Structure List'!A7</f>
        <v>SKID 2 MODULO PIANO 1</v>
      </c>
      <c r="C367" s="33" t="s">
        <v>225</v>
      </c>
      <c r="D367" s="520" t="str">
        <f>IF(B367=0,"","Dim. "&amp;'Steel Structure List'!B7&amp;"m x "&amp;'Steel Structure List'!C7&amp;"m x "&amp;'Steel Structure List'!D7&amp;"m - Net/Gross Weight "&amp;ROUND('Proposal Quantity Report'!I47,-1)&amp;"/"&amp;ROUND('Proposal Quantity Report'!I47+'Steel Structure List'!Q7,-1)&amp;"kg")</f>
        <v>Dim. 8m x 3m x 3,4m - Net/Gross Weight 4030/6240kg</v>
      </c>
      <c r="E367" s="35"/>
      <c r="F367" s="35"/>
      <c r="G367" s="35"/>
      <c r="H367" s="35"/>
      <c r="I367" s="35"/>
      <c r="J367" s="36">
        <f>'Steel Structure List'!E7</f>
        <v>81.599999999999994</v>
      </c>
      <c r="K367" s="739">
        <v>50</v>
      </c>
      <c r="L367" s="37">
        <f t="shared" si="18"/>
        <v>4079.9999999999995</v>
      </c>
    </row>
    <row r="368" spans="1:12" x14ac:dyDescent="0.3">
      <c r="A368" s="31" t="s">
        <v>1491</v>
      </c>
      <c r="B368" s="51">
        <f>'Steel Structure List'!A8</f>
        <v>0</v>
      </c>
      <c r="C368" s="33" t="s">
        <v>225</v>
      </c>
      <c r="D368" s="520" t="str">
        <f>IF(B368=0,"","Dim. "&amp;'Steel Structure List'!B8&amp;"m x "&amp;'Steel Structure List'!C8&amp;"m x "&amp;'Steel Structure List'!D8&amp;"m - Net/Gross Weight "&amp;ROUND('Proposal Quantity Report'!I48,-1)&amp;"/"&amp;ROUND('Proposal Quantity Report'!I48+'Steel Structure List'!Q8,-1)&amp;"kg")</f>
        <v/>
      </c>
      <c r="E368" s="35"/>
      <c r="F368" s="35"/>
      <c r="G368" s="35"/>
      <c r="H368" s="35"/>
      <c r="I368" s="35"/>
      <c r="J368" s="36">
        <f>'Steel Structure List'!E8</f>
        <v>0</v>
      </c>
      <c r="K368" s="739">
        <v>50</v>
      </c>
      <c r="L368" s="37">
        <f t="shared" si="18"/>
        <v>0</v>
      </c>
    </row>
    <row r="369" spans="1:12" x14ac:dyDescent="0.3">
      <c r="A369" s="31" t="s">
        <v>1492</v>
      </c>
      <c r="B369" s="51">
        <f>'Steel Structure List'!A9</f>
        <v>0</v>
      </c>
      <c r="C369" s="33" t="s">
        <v>225</v>
      </c>
      <c r="D369" s="520" t="str">
        <f>IF(B369=0,"","Dim. "&amp;'Steel Structure List'!B9&amp;"m x "&amp;'Steel Structure List'!C9&amp;"m x "&amp;'Steel Structure List'!D9&amp;"m - Net/Gross Weight "&amp;ROUND('Proposal Quantity Report'!I49,-1)&amp;"/"&amp;ROUND('Proposal Quantity Report'!I49+'Steel Structure List'!Q9,-1)&amp;"kg")</f>
        <v/>
      </c>
      <c r="E369" s="35"/>
      <c r="F369" s="35"/>
      <c r="G369" s="35"/>
      <c r="H369" s="35"/>
      <c r="I369" s="35"/>
      <c r="J369" s="36">
        <f>'Steel Structure List'!E9</f>
        <v>0</v>
      </c>
      <c r="K369" s="739"/>
      <c r="L369" s="37">
        <f t="shared" si="18"/>
        <v>0</v>
      </c>
    </row>
    <row r="370" spans="1:12" x14ac:dyDescent="0.3">
      <c r="A370" s="31" t="s">
        <v>1493</v>
      </c>
      <c r="B370" s="51">
        <f>'Steel Structure List'!A10</f>
        <v>0</v>
      </c>
      <c r="C370" s="33" t="s">
        <v>225</v>
      </c>
      <c r="D370" s="520" t="str">
        <f>IF(B370=0,"","Dim. "&amp;'Steel Structure List'!B10&amp;"m x "&amp;'Steel Structure List'!C10&amp;"m x "&amp;'Steel Structure List'!D10&amp;"m - Net/Gross Weight "&amp;ROUND('Proposal Quantity Report'!I50,-1)&amp;"/"&amp;ROUND('Proposal Quantity Report'!I50+'Steel Structure List'!Q10,-1)&amp;"kg")</f>
        <v/>
      </c>
      <c r="E370" s="35"/>
      <c r="F370" s="35"/>
      <c r="G370" s="35"/>
      <c r="H370" s="35"/>
      <c r="I370" s="35"/>
      <c r="J370" s="36">
        <f>'Steel Structure List'!E10</f>
        <v>0</v>
      </c>
      <c r="K370" s="739"/>
      <c r="L370" s="37">
        <f t="shared" si="18"/>
        <v>0</v>
      </c>
    </row>
    <row r="371" spans="1:12" x14ac:dyDescent="0.3">
      <c r="A371" s="31" t="s">
        <v>1494</v>
      </c>
      <c r="B371" s="51">
        <f>'Steel Structure List'!A11</f>
        <v>0</v>
      </c>
      <c r="C371" s="33" t="s">
        <v>225</v>
      </c>
      <c r="D371" s="520" t="str">
        <f>IF(B371=0,"","Dim. "&amp;'Steel Structure List'!B11&amp;"m x "&amp;'Steel Structure List'!C11&amp;"m x "&amp;'Steel Structure List'!D11&amp;"m - Net/Gross Weight "&amp;ROUND('Proposal Quantity Report'!I51,-1)&amp;"/"&amp;ROUND('Proposal Quantity Report'!I51+'Steel Structure List'!Q11,-1)&amp;"kg")</f>
        <v/>
      </c>
      <c r="E371" s="35"/>
      <c r="F371" s="35"/>
      <c r="G371" s="35"/>
      <c r="H371" s="35"/>
      <c r="I371" s="35"/>
      <c r="J371" s="36">
        <f>'Steel Structure List'!E11</f>
        <v>0</v>
      </c>
      <c r="K371" s="739"/>
      <c r="L371" s="37">
        <f t="shared" si="18"/>
        <v>0</v>
      </c>
    </row>
    <row r="372" spans="1:12" x14ac:dyDescent="0.3">
      <c r="A372" s="31" t="s">
        <v>1495</v>
      </c>
      <c r="B372" s="51">
        <f>'Steel Structure List'!A12</f>
        <v>0</v>
      </c>
      <c r="C372" s="33" t="s">
        <v>225</v>
      </c>
      <c r="D372" s="520" t="str">
        <f>IF(B372=0,"","Dim. "&amp;'Steel Structure List'!B12&amp;"m x "&amp;'Steel Structure List'!C12&amp;"m x "&amp;'Steel Structure List'!D12&amp;"m - Net/Gross Weight "&amp;ROUND('Proposal Quantity Report'!I52,-1)&amp;"/"&amp;ROUND('Proposal Quantity Report'!I52+'Steel Structure List'!Q12,-1)&amp;"kg")</f>
        <v/>
      </c>
      <c r="E372" s="35"/>
      <c r="F372" s="35"/>
      <c r="G372" s="35"/>
      <c r="H372" s="35"/>
      <c r="I372" s="35"/>
      <c r="J372" s="36">
        <f>'Steel Structure List'!E12</f>
        <v>0</v>
      </c>
      <c r="K372" s="739"/>
      <c r="L372" s="37">
        <f t="shared" si="18"/>
        <v>0</v>
      </c>
    </row>
    <row r="373" spans="1:12" x14ac:dyDescent="0.3">
      <c r="A373" s="31" t="s">
        <v>1496</v>
      </c>
      <c r="B373" s="51">
        <f>'Steel Structure List'!A17</f>
        <v>0</v>
      </c>
      <c r="C373" s="33" t="s">
        <v>225</v>
      </c>
      <c r="D373" s="520" t="str">
        <f>IF(B373=0,"","Dim. "&amp;'Steel Structure List'!B17&amp;"m x "&amp;'Steel Structure List'!C17&amp;"m x "&amp;'Steel Structure List'!D17&amp;"m - Net/Gross Weight "&amp;ROUND('Proposal Quantity Report'!I53,-1)&amp;"/"&amp;ROUND('Proposal Quantity Report'!I53+'Steel Structure List'!Q17,-1)&amp;"kg")</f>
        <v/>
      </c>
      <c r="E373" s="35"/>
      <c r="F373" s="35"/>
      <c r="G373" s="35"/>
      <c r="H373" s="35"/>
      <c r="I373" s="35"/>
      <c r="J373" s="36">
        <f>'Steel Structure List'!E17</f>
        <v>0</v>
      </c>
      <c r="K373" s="739"/>
      <c r="L373" s="37">
        <f t="shared" si="18"/>
        <v>0</v>
      </c>
    </row>
    <row r="374" spans="1:12" x14ac:dyDescent="0.3">
      <c r="A374" s="31" t="s">
        <v>1497</v>
      </c>
      <c r="B374" s="51">
        <f>'Steel Structure List'!A18</f>
        <v>0</v>
      </c>
      <c r="C374" s="33" t="s">
        <v>225</v>
      </c>
      <c r="D374" s="520" t="str">
        <f>IF(B374=0,"","Dim. "&amp;'Steel Structure List'!B18&amp;"m x "&amp;'Steel Structure List'!C18&amp;"m x "&amp;'Steel Structure List'!D18&amp;"m - Net/Gross Weight "&amp;ROUND('Proposal Quantity Report'!I54,-1)&amp;"/"&amp;ROUND('Proposal Quantity Report'!I54+'Steel Structure List'!Q18,-1)&amp;"kg")</f>
        <v/>
      </c>
      <c r="E374" s="35"/>
      <c r="F374" s="35"/>
      <c r="G374" s="35"/>
      <c r="H374" s="35"/>
      <c r="I374" s="35"/>
      <c r="J374" s="36">
        <f>'Steel Structure List'!E18</f>
        <v>0</v>
      </c>
      <c r="K374" s="739"/>
      <c r="L374" s="48">
        <f t="shared" si="18"/>
        <v>0</v>
      </c>
    </row>
    <row r="375" spans="1:12" x14ac:dyDescent="0.3">
      <c r="A375" s="1474" t="s">
        <v>1498</v>
      </c>
      <c r="B375" s="1479" t="s">
        <v>1499</v>
      </c>
      <c r="C375" s="1480"/>
      <c r="D375" s="1481"/>
      <c r="E375" s="1481"/>
      <c r="F375" s="1481"/>
      <c r="G375" s="1481"/>
      <c r="H375" s="1481"/>
      <c r="I375" s="1481"/>
      <c r="J375" s="1481"/>
      <c r="K375" s="1482"/>
      <c r="L375" s="48">
        <f>SUM(L376:L395)</f>
        <v>0</v>
      </c>
    </row>
    <row r="376" spans="1:12" x14ac:dyDescent="0.3">
      <c r="A376" s="31" t="s">
        <v>1500</v>
      </c>
      <c r="B376" s="51">
        <f>'Steel Structure List'!A26</f>
        <v>0</v>
      </c>
      <c r="C376" s="33" t="s">
        <v>225</v>
      </c>
      <c r="D376" s="520" t="str">
        <f>IF(B376=0,"","Dim. "&amp;'Steel Structure List'!B26&amp;"m x "&amp;'Steel Structure List'!C26&amp;"m x "&amp;'Steel Structure List'!D26&amp;"m - Net/Gross Weight "&amp;ROUND('Steel Structure List'!H26,-1)&amp;"/"&amp;ROUND('Steel Structure List'!H26+'Steel Structure List'!Q26,-1)&amp;" kg")</f>
        <v/>
      </c>
      <c r="E376" s="35"/>
      <c r="F376" s="35"/>
      <c r="G376" s="35"/>
      <c r="H376" s="35"/>
      <c r="I376" s="35"/>
      <c r="J376" s="36">
        <f>'Steel Structure List'!E26</f>
        <v>0</v>
      </c>
      <c r="K376" s="739">
        <v>50</v>
      </c>
      <c r="L376" s="923">
        <f t="shared" ref="L376:L395" si="19">K376*J376</f>
        <v>0</v>
      </c>
    </row>
    <row r="377" spans="1:12" x14ac:dyDescent="0.3">
      <c r="A377" s="31" t="s">
        <v>1501</v>
      </c>
      <c r="B377" s="51">
        <f>'Steel Structure List'!A27</f>
        <v>0</v>
      </c>
      <c r="C377" s="33" t="s">
        <v>225</v>
      </c>
      <c r="D377" s="520" t="str">
        <f>IF(B377=0,"","Dim. "&amp;'Steel Structure List'!B27&amp;"m x "&amp;'Steel Structure List'!C27&amp;"m x "&amp;'Steel Structure List'!D27&amp;"m - Net/Gross Weight "&amp;ROUND('Steel Structure List'!H27,-1)&amp;"/"&amp;ROUND('Steel Structure List'!H27+'Steel Structure List'!Q27,-1)&amp;" kg")</f>
        <v/>
      </c>
      <c r="E377" s="35"/>
      <c r="F377" s="35"/>
      <c r="G377" s="35"/>
      <c r="H377" s="35"/>
      <c r="I377" s="35"/>
      <c r="J377" s="36">
        <f>'Steel Structure List'!E27</f>
        <v>0</v>
      </c>
      <c r="K377" s="739">
        <v>50</v>
      </c>
      <c r="L377" s="37">
        <f t="shared" si="19"/>
        <v>0</v>
      </c>
    </row>
    <row r="378" spans="1:12" x14ac:dyDescent="0.3">
      <c r="A378" s="31" t="s">
        <v>1502</v>
      </c>
      <c r="B378" s="51">
        <f>'Steel Structure List'!A28</f>
        <v>0</v>
      </c>
      <c r="C378" s="33" t="s">
        <v>225</v>
      </c>
      <c r="D378" s="520" t="str">
        <f>IF(B378=0,"","Dim. "&amp;'Steel Structure List'!B28&amp;"m x "&amp;'Steel Structure List'!C28&amp;"m x "&amp;'Steel Structure List'!D28&amp;"m - Net/Gross Weight "&amp;ROUND('Steel Structure List'!H28,-1)&amp;"/"&amp;ROUND('Steel Structure List'!H28+'Steel Structure List'!Q28,-1)&amp;" kg")</f>
        <v/>
      </c>
      <c r="E378" s="35"/>
      <c r="F378" s="35"/>
      <c r="G378" s="35"/>
      <c r="H378" s="35"/>
      <c r="I378" s="35"/>
      <c r="J378" s="36">
        <f>'Steel Structure List'!E28</f>
        <v>0</v>
      </c>
      <c r="K378" s="739">
        <v>50</v>
      </c>
      <c r="L378" s="37">
        <f t="shared" si="19"/>
        <v>0</v>
      </c>
    </row>
    <row r="379" spans="1:12" x14ac:dyDescent="0.3">
      <c r="A379" s="31" t="s">
        <v>1503</v>
      </c>
      <c r="B379" s="51">
        <f>'Steel Structure List'!A29</f>
        <v>0</v>
      </c>
      <c r="C379" s="33" t="s">
        <v>225</v>
      </c>
      <c r="D379" s="520" t="str">
        <f>IF(B379=0,"","Dim. "&amp;'Steel Structure List'!B29&amp;"m x "&amp;'Steel Structure List'!C29&amp;"m x "&amp;'Steel Structure List'!D29&amp;"m - Net/Gross Weight "&amp;ROUND('Steel Structure List'!H29,-1)&amp;"/"&amp;ROUND('Steel Structure List'!H29+'Steel Structure List'!Q29,-1)&amp;" kg")</f>
        <v/>
      </c>
      <c r="E379" s="35"/>
      <c r="F379" s="35"/>
      <c r="G379" s="35"/>
      <c r="H379" s="35"/>
      <c r="I379" s="35"/>
      <c r="J379" s="36">
        <f>'Steel Structure List'!E29</f>
        <v>0</v>
      </c>
      <c r="K379" s="739">
        <v>50</v>
      </c>
      <c r="L379" s="37">
        <f t="shared" si="19"/>
        <v>0</v>
      </c>
    </row>
    <row r="380" spans="1:12" x14ac:dyDescent="0.3">
      <c r="A380" s="31" t="s">
        <v>1504</v>
      </c>
      <c r="B380" s="51">
        <f>'Steel Structure List'!A30</f>
        <v>0</v>
      </c>
      <c r="C380" s="33" t="s">
        <v>225</v>
      </c>
      <c r="D380" s="520" t="str">
        <f>IF(B380=0,"","Dim. "&amp;'Steel Structure List'!B30&amp;"m x "&amp;'Steel Structure List'!C30&amp;"m x "&amp;'Steel Structure List'!D30&amp;"m - Net/Gross Weight "&amp;ROUND('Steel Structure List'!H30,-1)&amp;"/"&amp;ROUND('Steel Structure List'!H30+'Steel Structure List'!Q30,-1)&amp;" kg")</f>
        <v/>
      </c>
      <c r="E380" s="35"/>
      <c r="F380" s="35"/>
      <c r="G380" s="35"/>
      <c r="H380" s="35"/>
      <c r="I380" s="35"/>
      <c r="J380" s="36">
        <f>'Steel Structure List'!E30</f>
        <v>0</v>
      </c>
      <c r="K380" s="739">
        <v>50</v>
      </c>
      <c r="L380" s="37">
        <f t="shared" si="19"/>
        <v>0</v>
      </c>
    </row>
    <row r="381" spans="1:12" x14ac:dyDescent="0.3">
      <c r="A381" s="31" t="s">
        <v>1505</v>
      </c>
      <c r="B381" s="51">
        <f>'Steel Structure List'!A31</f>
        <v>0</v>
      </c>
      <c r="C381" s="33" t="s">
        <v>225</v>
      </c>
      <c r="D381" s="520" t="str">
        <f>IF(B381=0,"","Dim. "&amp;'Steel Structure List'!B31&amp;"m x "&amp;'Steel Structure List'!C31&amp;"m x "&amp;'Steel Structure List'!D31&amp;"m - Net/Gross Weight "&amp;ROUND('Steel Structure List'!H31,-1)&amp;"/"&amp;ROUND('Steel Structure List'!H31+'Steel Structure List'!Q31,-1)&amp;" kg")</f>
        <v/>
      </c>
      <c r="E381" s="35"/>
      <c r="F381" s="35"/>
      <c r="G381" s="35"/>
      <c r="H381" s="35"/>
      <c r="I381" s="35"/>
      <c r="J381" s="36">
        <f>'Steel Structure List'!E31</f>
        <v>0</v>
      </c>
      <c r="K381" s="739">
        <v>50</v>
      </c>
      <c r="L381" s="37">
        <f t="shared" si="19"/>
        <v>0</v>
      </c>
    </row>
    <row r="382" spans="1:12" x14ac:dyDescent="0.3">
      <c r="A382" s="31" t="s">
        <v>1506</v>
      </c>
      <c r="B382" s="51">
        <f>'Steel Structure List'!A32</f>
        <v>0</v>
      </c>
      <c r="C382" s="33" t="s">
        <v>225</v>
      </c>
      <c r="D382" s="520" t="str">
        <f>IF(B382=0,"","Dim. "&amp;'Steel Structure List'!B32&amp;"m x "&amp;'Steel Structure List'!C32&amp;"m x "&amp;'Steel Structure List'!D32&amp;"m - Net/Gross Weight "&amp;ROUND('Steel Structure List'!H32,-1)&amp;"/"&amp;ROUND('Steel Structure List'!H32+'Steel Structure List'!Q32,-1)&amp;" kg")</f>
        <v/>
      </c>
      <c r="E382" s="35"/>
      <c r="F382" s="35"/>
      <c r="G382" s="35"/>
      <c r="H382" s="35"/>
      <c r="I382" s="35"/>
      <c r="J382" s="36">
        <f>'Steel Structure List'!E32</f>
        <v>0</v>
      </c>
      <c r="K382" s="739"/>
      <c r="L382" s="37">
        <f t="shared" si="19"/>
        <v>0</v>
      </c>
    </row>
    <row r="383" spans="1:12" x14ac:dyDescent="0.3">
      <c r="A383" s="31" t="s">
        <v>1507</v>
      </c>
      <c r="B383" s="51">
        <f>'Steel Structure List'!A33</f>
        <v>0</v>
      </c>
      <c r="C383" s="33" t="s">
        <v>225</v>
      </c>
      <c r="D383" s="520" t="str">
        <f>IF(B383=0,"","Dim. "&amp;'Steel Structure List'!B33&amp;"m x "&amp;'Steel Structure List'!C33&amp;"m x "&amp;'Steel Structure List'!D33&amp;"m - Net/Gross Weight "&amp;ROUND('Steel Structure List'!H33,-1)&amp;"/"&amp;ROUND('Steel Structure List'!H33+'Steel Structure List'!Q33,-1)&amp;" kg")</f>
        <v/>
      </c>
      <c r="E383" s="35"/>
      <c r="F383" s="35"/>
      <c r="G383" s="35"/>
      <c r="H383" s="35"/>
      <c r="I383" s="35"/>
      <c r="J383" s="36">
        <f>'Steel Structure List'!E33</f>
        <v>0</v>
      </c>
      <c r="K383" s="739"/>
      <c r="L383" s="37">
        <f t="shared" si="19"/>
        <v>0</v>
      </c>
    </row>
    <row r="384" spans="1:12" x14ac:dyDescent="0.3">
      <c r="A384" s="31" t="s">
        <v>1508</v>
      </c>
      <c r="B384" s="51">
        <f>'Steel Structure List'!A34</f>
        <v>0</v>
      </c>
      <c r="C384" s="33" t="s">
        <v>225</v>
      </c>
      <c r="D384" s="520" t="str">
        <f>IF(B384=0,"","Dim. "&amp;'Steel Structure List'!B34&amp;"m x "&amp;'Steel Structure List'!C34&amp;"m x "&amp;'Steel Structure List'!D34&amp;"m - Net/Gross Weight "&amp;ROUND('Steel Structure List'!H34,-1)&amp;"/"&amp;ROUND('Steel Structure List'!H34+'Steel Structure List'!Q34,-1)&amp;" kg")</f>
        <v/>
      </c>
      <c r="E384" s="35"/>
      <c r="F384" s="35"/>
      <c r="G384" s="35"/>
      <c r="H384" s="35"/>
      <c r="I384" s="35"/>
      <c r="J384" s="36">
        <f>'Steel Structure List'!E34</f>
        <v>0</v>
      </c>
      <c r="K384" s="739"/>
      <c r="L384" s="37">
        <f t="shared" si="19"/>
        <v>0</v>
      </c>
    </row>
    <row r="385" spans="1:12" x14ac:dyDescent="0.3">
      <c r="A385" s="31" t="s">
        <v>1509</v>
      </c>
      <c r="B385" s="51">
        <f>'Steel Structure List'!A35</f>
        <v>0</v>
      </c>
      <c r="C385" s="33" t="s">
        <v>225</v>
      </c>
      <c r="D385" s="520" t="str">
        <f>IF(B385=0,"","Dim. "&amp;'Steel Structure List'!B35&amp;"m x "&amp;'Steel Structure List'!C35&amp;"m x "&amp;'Steel Structure List'!D35&amp;"m - Net/Gross Weight "&amp;ROUND('Steel Structure List'!H35,-1)&amp;"/"&amp;ROUND('Steel Structure List'!H35+'Steel Structure List'!Q35,-1)&amp;" kg")</f>
        <v/>
      </c>
      <c r="E385" s="35"/>
      <c r="F385" s="35"/>
      <c r="G385" s="35"/>
      <c r="H385" s="35"/>
      <c r="I385" s="35"/>
      <c r="J385" s="36">
        <f>'Steel Structure List'!E35</f>
        <v>0</v>
      </c>
      <c r="K385" s="739"/>
      <c r="L385" s="37">
        <f t="shared" si="19"/>
        <v>0</v>
      </c>
    </row>
    <row r="386" spans="1:12" x14ac:dyDescent="0.3">
      <c r="A386" s="31" t="s">
        <v>1510</v>
      </c>
      <c r="B386" s="51">
        <f>'Steel Structure List'!A39</f>
        <v>0</v>
      </c>
      <c r="C386" s="33" t="s">
        <v>225</v>
      </c>
      <c r="D386" s="823" t="str">
        <f>IF(B386=0,"","1,5 m x "&amp;'Steel Structure List'!C39&amp;"m x "&amp;'Steel Structure List'!C39&amp;"m - Net/Gross Weight "&amp;ROUND('Steel Structure List'!H39,-1)&amp;"/"&amp;ROUND('Steel Structure List'!H39+'Steel Structure List'!Q39,-1)&amp;" kg")</f>
        <v/>
      </c>
      <c r="E386" s="35"/>
      <c r="F386" s="35"/>
      <c r="G386" s="35"/>
      <c r="H386" s="35"/>
      <c r="I386" s="35"/>
      <c r="J386" s="36">
        <f>'Steel Structure List'!E39</f>
        <v>0</v>
      </c>
      <c r="K386" s="739"/>
      <c r="L386" s="37">
        <f t="shared" si="19"/>
        <v>0</v>
      </c>
    </row>
    <row r="387" spans="1:12" x14ac:dyDescent="0.3">
      <c r="A387" s="31" t="s">
        <v>1511</v>
      </c>
      <c r="B387" s="51">
        <f>'Steel Structure List'!A40</f>
        <v>0</v>
      </c>
      <c r="C387" s="33" t="s">
        <v>225</v>
      </c>
      <c r="D387" s="520" t="str">
        <f>IF(B387=0,"","1,5 m x "&amp;'Steel Structure List'!C40&amp;"m x "&amp;'Steel Structure List'!C40&amp;"m - Net/Gross Weight "&amp;ROUND('Steel Structure List'!H40,-1)&amp;"/"&amp;ROUND('Steel Structure List'!H40+'Steel Structure List'!Q40,-1)&amp;" kg")</f>
        <v/>
      </c>
      <c r="E387" s="35"/>
      <c r="F387" s="35"/>
      <c r="G387" s="35"/>
      <c r="H387" s="35"/>
      <c r="I387" s="35"/>
      <c r="J387" s="36">
        <f>'Steel Structure List'!E40</f>
        <v>0</v>
      </c>
      <c r="K387" s="739"/>
      <c r="L387" s="37">
        <f t="shared" si="19"/>
        <v>0</v>
      </c>
    </row>
    <row r="388" spans="1:12" x14ac:dyDescent="0.3">
      <c r="A388" s="31" t="s">
        <v>1512</v>
      </c>
      <c r="B388" s="51">
        <f>'Steel Structure List'!A41</f>
        <v>0</v>
      </c>
      <c r="C388" s="33" t="s">
        <v>225</v>
      </c>
      <c r="D388" s="520" t="str">
        <f>IF(B388=0,"","1,5 m x "&amp;'Steel Structure List'!C41&amp;"m x "&amp;'Steel Structure List'!C41&amp;"m - Net/Gross Weight "&amp;ROUND('Steel Structure List'!H41,-1)&amp;"/"&amp;ROUND('Steel Structure List'!H41+'Steel Structure List'!Q41,-1)&amp;" kg")</f>
        <v/>
      </c>
      <c r="E388" s="35"/>
      <c r="F388" s="35"/>
      <c r="G388" s="35"/>
      <c r="H388" s="35"/>
      <c r="I388" s="35"/>
      <c r="J388" s="36">
        <f>'Steel Structure List'!E41</f>
        <v>0</v>
      </c>
      <c r="K388" s="739"/>
      <c r="L388" s="37">
        <f t="shared" si="19"/>
        <v>0</v>
      </c>
    </row>
    <row r="389" spans="1:12" x14ac:dyDescent="0.3">
      <c r="A389" s="31" t="s">
        <v>1513</v>
      </c>
      <c r="B389" s="51">
        <f>'Steel Structure List'!A42</f>
        <v>0</v>
      </c>
      <c r="C389" s="33" t="s">
        <v>225</v>
      </c>
      <c r="D389" s="520" t="str">
        <f>IF(B389=0,"","1,5 m x "&amp;'Steel Structure List'!C42&amp;"m x "&amp;'Steel Structure List'!C42&amp;"m - Net/Gross Weight "&amp;ROUND('Steel Structure List'!H42,-1)&amp;"/"&amp;ROUND('Steel Structure List'!H42+'Steel Structure List'!Q42,-1)&amp;" kg")</f>
        <v/>
      </c>
      <c r="E389" s="35"/>
      <c r="F389" s="35"/>
      <c r="G389" s="35"/>
      <c r="H389" s="35"/>
      <c r="I389" s="35"/>
      <c r="J389" s="36">
        <f>'Steel Structure List'!E42</f>
        <v>0</v>
      </c>
      <c r="K389" s="739"/>
      <c r="L389" s="37">
        <f t="shared" si="19"/>
        <v>0</v>
      </c>
    </row>
    <row r="390" spans="1:12" x14ac:dyDescent="0.3">
      <c r="A390" s="31" t="s">
        <v>1514</v>
      </c>
      <c r="B390" s="51">
        <f>'Steel Structure List'!A43</f>
        <v>0</v>
      </c>
      <c r="C390" s="33" t="s">
        <v>225</v>
      </c>
      <c r="D390" s="520" t="str">
        <f>IF(B390=0,"","1,5 m x "&amp;'Steel Structure List'!C43&amp;"m x "&amp;'Steel Structure List'!C43&amp;"m - Net/Gross Weight "&amp;ROUND('Steel Structure List'!H43,-1)&amp;"/"&amp;ROUND('Steel Structure List'!H43+'Steel Structure List'!Q43,-1)&amp;" kg")</f>
        <v/>
      </c>
      <c r="E390" s="35"/>
      <c r="F390" s="35"/>
      <c r="G390" s="35"/>
      <c r="H390" s="35"/>
      <c r="I390" s="35"/>
      <c r="J390" s="36">
        <f>'Steel Structure List'!E43</f>
        <v>0</v>
      </c>
      <c r="K390" s="739"/>
      <c r="L390" s="37">
        <f t="shared" si="19"/>
        <v>0</v>
      </c>
    </row>
    <row r="391" spans="1:12" x14ac:dyDescent="0.3">
      <c r="A391" s="31" t="s">
        <v>1515</v>
      </c>
      <c r="B391" s="51">
        <f>'Steel Structure List'!A44</f>
        <v>0</v>
      </c>
      <c r="C391" s="33" t="s">
        <v>225</v>
      </c>
      <c r="D391" s="520" t="str">
        <f>IF(B391=0,"","1,5 m x "&amp;'Steel Structure List'!C44&amp;"m x "&amp;'Steel Structure List'!C44&amp;"m - Net/Gross Weight "&amp;ROUND('Steel Structure List'!H44,-1)&amp;"/"&amp;ROUND('Steel Structure List'!H44+'Steel Structure List'!Q44,-1)&amp;" kg")</f>
        <v/>
      </c>
      <c r="E391" s="35"/>
      <c r="F391" s="35"/>
      <c r="G391" s="35"/>
      <c r="H391" s="35"/>
      <c r="I391" s="35"/>
      <c r="J391" s="36">
        <f>'Steel Structure List'!E44</f>
        <v>0</v>
      </c>
      <c r="K391" s="739"/>
      <c r="L391" s="37">
        <f t="shared" si="19"/>
        <v>0</v>
      </c>
    </row>
    <row r="392" spans="1:12" x14ac:dyDescent="0.3">
      <c r="A392" s="31" t="s">
        <v>1516</v>
      </c>
      <c r="B392" s="51">
        <f>'Steel Structure List'!A45</f>
        <v>0</v>
      </c>
      <c r="C392" s="33" t="s">
        <v>225</v>
      </c>
      <c r="D392" s="520" t="str">
        <f>IF(B392=0,"","1,5 m x "&amp;'Steel Structure List'!C45&amp;"m x "&amp;'Steel Structure List'!C45&amp;"m - Net/Gross Weight "&amp;ROUND('Steel Structure List'!H45,-1)&amp;"/"&amp;ROUND('Steel Structure List'!H45+'Steel Structure List'!Q45,-1)&amp;" kg")</f>
        <v/>
      </c>
      <c r="E392" s="35"/>
      <c r="F392" s="35"/>
      <c r="G392" s="35"/>
      <c r="H392" s="35"/>
      <c r="I392" s="35"/>
      <c r="J392" s="36">
        <f>'Steel Structure List'!E45</f>
        <v>0</v>
      </c>
      <c r="K392" s="739"/>
      <c r="L392" s="37">
        <f t="shared" si="19"/>
        <v>0</v>
      </c>
    </row>
    <row r="393" spans="1:12" x14ac:dyDescent="0.3">
      <c r="A393" s="31" t="s">
        <v>1517</v>
      </c>
      <c r="B393" s="51">
        <f>'Steel Structure List'!A46</f>
        <v>0</v>
      </c>
      <c r="C393" s="33" t="s">
        <v>225</v>
      </c>
      <c r="D393" s="520" t="str">
        <f>IF(B393=0,"","1,5 m x "&amp;'Steel Structure List'!C46&amp;"m x "&amp;'Steel Structure List'!C46&amp;"m - Net/Gross Weight "&amp;ROUND('Steel Structure List'!H46,-1)&amp;"/"&amp;ROUND('Steel Structure List'!H46+'Steel Structure List'!Q46,-1)&amp;" kg")</f>
        <v/>
      </c>
      <c r="E393" s="35"/>
      <c r="F393" s="35"/>
      <c r="G393" s="35"/>
      <c r="H393" s="35"/>
      <c r="I393" s="35"/>
      <c r="J393" s="36">
        <f>'Steel Structure List'!E46</f>
        <v>0</v>
      </c>
      <c r="K393" s="739"/>
      <c r="L393" s="37">
        <f t="shared" si="19"/>
        <v>0</v>
      </c>
    </row>
    <row r="394" spans="1:12" x14ac:dyDescent="0.3">
      <c r="A394" s="31" t="s">
        <v>1518</v>
      </c>
      <c r="B394" s="51">
        <f>'Steel Structure List'!A47</f>
        <v>0</v>
      </c>
      <c r="C394" s="33" t="s">
        <v>225</v>
      </c>
      <c r="D394" s="520" t="str">
        <f>IF(B394=0,"","1,5 m x "&amp;'Steel Structure List'!C47&amp;"m x "&amp;'Steel Structure List'!C47&amp;"m - Net/Gross Weight "&amp;ROUND('Steel Structure List'!H47,-1)&amp;"/"&amp;ROUND('Steel Structure List'!H47+'Steel Structure List'!Q47,-1)&amp;" kg")</f>
        <v/>
      </c>
      <c r="E394" s="35"/>
      <c r="F394" s="35"/>
      <c r="G394" s="35"/>
      <c r="H394" s="35"/>
      <c r="I394" s="35"/>
      <c r="J394" s="36">
        <f>'Steel Structure List'!E47</f>
        <v>0</v>
      </c>
      <c r="K394" s="739"/>
      <c r="L394" s="37">
        <f t="shared" si="19"/>
        <v>0</v>
      </c>
    </row>
    <row r="395" spans="1:12" x14ac:dyDescent="0.3">
      <c r="A395" s="31" t="s">
        <v>1519</v>
      </c>
      <c r="B395" s="51">
        <f>'Steel Structure List'!A48</f>
        <v>0</v>
      </c>
      <c r="C395" s="33" t="s">
        <v>225</v>
      </c>
      <c r="D395" s="520" t="str">
        <f>IF(B395=0,"","1,5 m x "&amp;'Steel Structure List'!C48&amp;"m x "&amp;'Steel Structure List'!C48&amp;"m - Net/Gross Weight "&amp;ROUND('Steel Structure List'!H48,-1)&amp;"/"&amp;ROUND('Steel Structure List'!H48+'Steel Structure List'!Q48,-1)&amp;" kg")</f>
        <v/>
      </c>
      <c r="E395" s="35"/>
      <c r="F395" s="35"/>
      <c r="G395" s="35"/>
      <c r="H395" s="35"/>
      <c r="I395" s="35"/>
      <c r="J395" s="36">
        <f>'Steel Structure List'!E48</f>
        <v>0</v>
      </c>
      <c r="K395" s="739"/>
      <c r="L395" s="924">
        <f t="shared" si="19"/>
        <v>0</v>
      </c>
    </row>
    <row r="396" spans="1:12" x14ac:dyDescent="0.3">
      <c r="A396" s="1474" t="s">
        <v>1520</v>
      </c>
      <c r="B396" s="1479" t="s">
        <v>1521</v>
      </c>
      <c r="C396" s="1480"/>
      <c r="D396" s="1481"/>
      <c r="E396" s="1481"/>
      <c r="F396" s="1481"/>
      <c r="G396" s="1481"/>
      <c r="H396" s="1481"/>
      <c r="I396" s="1481"/>
      <c r="J396" s="1481"/>
      <c r="K396" s="1482"/>
      <c r="L396" s="1494">
        <f>SUM(L397:L416)</f>
        <v>0</v>
      </c>
    </row>
    <row r="397" spans="1:12" x14ac:dyDescent="0.3">
      <c r="A397" s="31" t="s">
        <v>1522</v>
      </c>
      <c r="B397" s="51">
        <f>IF('Equip&amp;Mach List'!P4="Loose",'Equip&amp;Mach List'!B4&amp;" "&amp;'Equip&amp;Mach List'!C4,0)</f>
        <v>0</v>
      </c>
      <c r="C397" s="33" t="s">
        <v>225</v>
      </c>
      <c r="D397" s="520" t="str">
        <f>IF(B397=0,"","Dim. "&amp;'Equip&amp;Mach List'!AC4&amp;"m x "&amp;'Equip&amp;Mach List'!AD4&amp;"m x "&amp;'Equip&amp;Mach List'!AE4&amp;"m - Unit Net/Gross Weight "&amp;ROUND('Equip&amp;Mach List'!N4,-1)&amp;"/"&amp;ROUND('Equip&amp;Mach List'!N4+'Equip&amp;Mach List'!AI4,-1)&amp;" kg")</f>
        <v/>
      </c>
      <c r="E397" s="35"/>
      <c r="F397" s="35"/>
      <c r="G397" s="35"/>
      <c r="H397" s="35"/>
      <c r="I397" s="35"/>
      <c r="J397" s="824">
        <f>IF(B397=0,0,'Equip&amp;Mach List'!AF4&amp;" x "&amp;'Equip&amp;Mach List'!O4)</f>
        <v>0</v>
      </c>
      <c r="K397" s="739">
        <v>20</v>
      </c>
      <c r="L397" s="37">
        <f>IF(B397=0,0,'Equip&amp;Mach List'!AF4)*K397</f>
        <v>0</v>
      </c>
    </row>
    <row r="398" spans="1:12" x14ac:dyDescent="0.3">
      <c r="A398" s="31" t="s">
        <v>1523</v>
      </c>
      <c r="B398" s="51">
        <f>IF('Equip&amp;Mach List'!P5="Loose",'Equip&amp;Mach List'!B5&amp;" "&amp;'Equip&amp;Mach List'!C5,0)</f>
        <v>0</v>
      </c>
      <c r="C398" s="33" t="s">
        <v>225</v>
      </c>
      <c r="D398" s="520" t="str">
        <f>IF(B398=0,"","Dim. "&amp;'Equip&amp;Mach List'!AC5&amp;"m x "&amp;'Equip&amp;Mach List'!AD5&amp;"m x "&amp;'Equip&amp;Mach List'!AE5&amp;"m - Net/Gross Weight "&amp;ROUND('Equip&amp;Mach List'!N5,-1)&amp;"/"&amp;ROUND('Equip&amp;Mach List'!N5+'Equip&amp;Mach List'!AI5,-1)&amp;" kg")</f>
        <v/>
      </c>
      <c r="E398" s="35"/>
      <c r="F398" s="35"/>
      <c r="G398" s="35"/>
      <c r="H398" s="35"/>
      <c r="I398" s="35"/>
      <c r="J398" s="824">
        <f>IF(B398=0,0,'Equip&amp;Mach List'!AF5&amp;" x "&amp;'Equip&amp;Mach List'!O5)</f>
        <v>0</v>
      </c>
      <c r="K398" s="739"/>
      <c r="L398" s="37">
        <f>IF(B398=0,0,'Equip&amp;Mach List'!AF5)*K398</f>
        <v>0</v>
      </c>
    </row>
    <row r="399" spans="1:12" x14ac:dyDescent="0.3">
      <c r="A399" s="31" t="s">
        <v>1524</v>
      </c>
      <c r="B399" s="51">
        <f>IF('Equip&amp;Mach List'!P6="Loose",'Equip&amp;Mach List'!B6&amp;" "&amp;'Equip&amp;Mach List'!C6,0)</f>
        <v>0</v>
      </c>
      <c r="C399" s="33" t="s">
        <v>225</v>
      </c>
      <c r="D399" s="520" t="str">
        <f>IF(B399=0,"","Dim. "&amp;'Equip&amp;Mach List'!AC6&amp;"m x "&amp;'Equip&amp;Mach List'!AD6&amp;"m x "&amp;'Equip&amp;Mach List'!AE6&amp;"m - Net/Gross Weight "&amp;ROUND('Equip&amp;Mach List'!N6,-1)&amp;"/"&amp;ROUND('Equip&amp;Mach List'!N6+'Equip&amp;Mach List'!AI6,-1)&amp;" kg")</f>
        <v/>
      </c>
      <c r="E399" s="35"/>
      <c r="F399" s="35"/>
      <c r="G399" s="35"/>
      <c r="H399" s="35"/>
      <c r="I399" s="35"/>
      <c r="J399" s="824">
        <f>IF(B399=0,0,'Equip&amp;Mach List'!AF6&amp;" x "&amp;'Equip&amp;Mach List'!O6)</f>
        <v>0</v>
      </c>
      <c r="K399" s="739"/>
      <c r="L399" s="37">
        <f>IF(B399=0,0,'Equip&amp;Mach List'!AF6)*K399</f>
        <v>0</v>
      </c>
    </row>
    <row r="400" spans="1:12" x14ac:dyDescent="0.3">
      <c r="A400" s="31" t="s">
        <v>1525</v>
      </c>
      <c r="B400" s="51">
        <f>IF('Equip&amp;Mach List'!P7="Loose",'Equip&amp;Mach List'!B7&amp;" "&amp;'Equip&amp;Mach List'!C7,0)</f>
        <v>0</v>
      </c>
      <c r="C400" s="33" t="s">
        <v>225</v>
      </c>
      <c r="D400" s="520" t="str">
        <f>IF(B400=0,"","Dim. "&amp;'Equip&amp;Mach List'!AC7&amp;"m x "&amp;'Equip&amp;Mach List'!AD7&amp;"m x "&amp;'Equip&amp;Mach List'!AE7&amp;"m - Net/Gross Weight "&amp;ROUND('Equip&amp;Mach List'!N7,-1)&amp;"/"&amp;ROUND('Equip&amp;Mach List'!N7+'Equip&amp;Mach List'!AI7,-1)&amp;" kg")</f>
        <v/>
      </c>
      <c r="E400" s="35"/>
      <c r="F400" s="35"/>
      <c r="G400" s="35"/>
      <c r="H400" s="35"/>
      <c r="I400" s="35"/>
      <c r="J400" s="824">
        <f>IF(B400=0,0,'Equip&amp;Mach List'!AF7&amp;" x "&amp;'Equip&amp;Mach List'!O7)</f>
        <v>0</v>
      </c>
      <c r="K400" s="739"/>
      <c r="L400" s="37">
        <f>IF(B400=0,0,'Equip&amp;Mach List'!AF7)*K400</f>
        <v>0</v>
      </c>
    </row>
    <row r="401" spans="1:12" x14ac:dyDescent="0.3">
      <c r="A401" s="31" t="s">
        <v>1526</v>
      </c>
      <c r="B401" s="51">
        <f>IF('Equip&amp;Mach List'!P8="Loose",'Equip&amp;Mach List'!B8&amp;" "&amp;'Equip&amp;Mach List'!C8,0)</f>
        <v>0</v>
      </c>
      <c r="C401" s="33" t="s">
        <v>225</v>
      </c>
      <c r="D401" s="520" t="str">
        <f>IF(B401=0,"","Dim. "&amp;'Equip&amp;Mach List'!AC8&amp;"m x "&amp;'Equip&amp;Mach List'!AD8&amp;"m x "&amp;'Equip&amp;Mach List'!AE8&amp;"m - Net/Gross Weight "&amp;ROUND('Equip&amp;Mach List'!N8,-1)&amp;"/"&amp;ROUND('Equip&amp;Mach List'!N8+'Equip&amp;Mach List'!AI8,-1)&amp;" kg")</f>
        <v/>
      </c>
      <c r="E401" s="35"/>
      <c r="F401" s="35"/>
      <c r="G401" s="35"/>
      <c r="H401" s="35"/>
      <c r="I401" s="35"/>
      <c r="J401" s="824">
        <f>IF(B401=0,0,'Equip&amp;Mach List'!AF8&amp;" x "&amp;'Equip&amp;Mach List'!O8)</f>
        <v>0</v>
      </c>
      <c r="K401" s="739"/>
      <c r="L401" s="37">
        <f>IF(B401=0,0,'Equip&amp;Mach List'!AF8)*K401</f>
        <v>0</v>
      </c>
    </row>
    <row r="402" spans="1:12" x14ac:dyDescent="0.3">
      <c r="A402" s="31" t="s">
        <v>1527</v>
      </c>
      <c r="B402" s="51">
        <f>IF('Equip&amp;Mach List'!P9="Loose",'Equip&amp;Mach List'!B9&amp;" "&amp;'Equip&amp;Mach List'!C9,0)</f>
        <v>0</v>
      </c>
      <c r="C402" s="33" t="s">
        <v>225</v>
      </c>
      <c r="D402" s="520" t="str">
        <f>IF(B402=0,"","Dim. "&amp;'Equip&amp;Mach List'!AC9&amp;"m x "&amp;'Equip&amp;Mach List'!AD9&amp;"m x "&amp;'Equip&amp;Mach List'!AE9&amp;"m - Net/Gross Weight "&amp;ROUND('Equip&amp;Mach List'!N9,-1)&amp;"/"&amp;ROUND('Equip&amp;Mach List'!N9+'Equip&amp;Mach List'!AI9,-1)&amp;" kg")</f>
        <v/>
      </c>
      <c r="E402" s="35"/>
      <c r="F402" s="35"/>
      <c r="G402" s="35"/>
      <c r="H402" s="35"/>
      <c r="I402" s="35"/>
      <c r="J402" s="824">
        <f>IF(B402=0,0,'Equip&amp;Mach List'!AF9&amp;" x "&amp;'Equip&amp;Mach List'!O9)</f>
        <v>0</v>
      </c>
      <c r="K402" s="739"/>
      <c r="L402" s="37">
        <f>IF(B402=0,0,'Equip&amp;Mach List'!AF9)*K402</f>
        <v>0</v>
      </c>
    </row>
    <row r="403" spans="1:12" x14ac:dyDescent="0.3">
      <c r="A403" s="31" t="s">
        <v>1528</v>
      </c>
      <c r="B403" s="51">
        <f>IF('Equip&amp;Mach List'!P10="Loose",'Equip&amp;Mach List'!B10&amp;" "&amp;'Equip&amp;Mach List'!C10,0)</f>
        <v>0</v>
      </c>
      <c r="C403" s="33" t="s">
        <v>225</v>
      </c>
      <c r="D403" s="520" t="str">
        <f>IF(B403=0,"","Dim. "&amp;'Equip&amp;Mach List'!AC10&amp;"m x "&amp;'Equip&amp;Mach List'!AD10&amp;"m x "&amp;'Equip&amp;Mach List'!AE10&amp;"m - Net/Gross Weight "&amp;ROUND('Equip&amp;Mach List'!N10,-1)&amp;"/"&amp;ROUND('Equip&amp;Mach List'!N10+'Equip&amp;Mach List'!AI10,-1)&amp;" kg")</f>
        <v/>
      </c>
      <c r="E403" s="35"/>
      <c r="F403" s="35"/>
      <c r="G403" s="35"/>
      <c r="H403" s="35"/>
      <c r="I403" s="35"/>
      <c r="J403" s="824">
        <f>IF(B403=0,0,'Equip&amp;Mach List'!AF10&amp;" x "&amp;'Equip&amp;Mach List'!O10)</f>
        <v>0</v>
      </c>
      <c r="K403" s="739"/>
      <c r="L403" s="37">
        <f>IF(B403=0,0,'Equip&amp;Mach List'!AF10)*K403</f>
        <v>0</v>
      </c>
    </row>
    <row r="404" spans="1:12" x14ac:dyDescent="0.3">
      <c r="A404" s="31" t="s">
        <v>1529</v>
      </c>
      <c r="B404" s="51">
        <f>IF('Equip&amp;Mach List'!P11="Loose",'Equip&amp;Mach List'!B11&amp;" "&amp;'Equip&amp;Mach List'!C11,0)</f>
        <v>0</v>
      </c>
      <c r="C404" s="33" t="s">
        <v>225</v>
      </c>
      <c r="D404" s="520" t="str">
        <f>IF(B404=0,"","Dim. "&amp;'Equip&amp;Mach List'!AC11&amp;"m x "&amp;'Equip&amp;Mach List'!AD11&amp;"m x "&amp;'Equip&amp;Mach List'!AE11&amp;"m - Net/Gross Weight "&amp;ROUND('Equip&amp;Mach List'!N11,-1)&amp;"/"&amp;ROUND('Equip&amp;Mach List'!N11+'Equip&amp;Mach List'!AI11,-1)&amp;" kg")</f>
        <v/>
      </c>
      <c r="E404" s="35"/>
      <c r="F404" s="35"/>
      <c r="G404" s="35"/>
      <c r="H404" s="35"/>
      <c r="I404" s="35"/>
      <c r="J404" s="824">
        <f>IF(B404=0,0,'Equip&amp;Mach List'!AF11&amp;" x "&amp;'Equip&amp;Mach List'!O11)</f>
        <v>0</v>
      </c>
      <c r="K404" s="739"/>
      <c r="L404" s="37">
        <f>IF(B404=0,0,'Equip&amp;Mach List'!AF11)*K404</f>
        <v>0</v>
      </c>
    </row>
    <row r="405" spans="1:12" x14ac:dyDescent="0.3">
      <c r="A405" s="31" t="s">
        <v>1530</v>
      </c>
      <c r="B405" s="51">
        <f>IF('Equip&amp;Mach List'!P12="Loose",'Equip&amp;Mach List'!B12&amp;" "&amp;'Equip&amp;Mach List'!C12,0)</f>
        <v>0</v>
      </c>
      <c r="C405" s="33" t="s">
        <v>225</v>
      </c>
      <c r="D405" s="520" t="str">
        <f>IF(B405=0,"","Dim. "&amp;'Equip&amp;Mach List'!AC12&amp;"m x "&amp;'Equip&amp;Mach List'!AD12&amp;"m x "&amp;'Equip&amp;Mach List'!AE12&amp;"m - Net/Gross Weight "&amp;ROUND('Equip&amp;Mach List'!N12,-1)&amp;"/"&amp;ROUND('Equip&amp;Mach List'!N12+'Equip&amp;Mach List'!AI12,-1)&amp;" kg")</f>
        <v/>
      </c>
      <c r="E405" s="35"/>
      <c r="F405" s="35"/>
      <c r="G405" s="35"/>
      <c r="H405" s="35"/>
      <c r="I405" s="35"/>
      <c r="J405" s="824">
        <f>IF(B405=0,0,'Equip&amp;Mach List'!AF12&amp;" x "&amp;'Equip&amp;Mach List'!O12)</f>
        <v>0</v>
      </c>
      <c r="K405" s="739"/>
      <c r="L405" s="37">
        <f>IF(B405=0,0,'Equip&amp;Mach List'!AF12)*K405</f>
        <v>0</v>
      </c>
    </row>
    <row r="406" spans="1:12" x14ac:dyDescent="0.3">
      <c r="A406" s="31" t="s">
        <v>1531</v>
      </c>
      <c r="B406" s="51">
        <f>IF('Equip&amp;Mach List'!P13="Loose",'Equip&amp;Mach List'!B13&amp;" "&amp;'Equip&amp;Mach List'!C13,0)</f>
        <v>0</v>
      </c>
      <c r="C406" s="33" t="s">
        <v>225</v>
      </c>
      <c r="D406" s="520" t="str">
        <f>IF(B406=0,"","Dim. "&amp;'Equip&amp;Mach List'!AC13&amp;"m x "&amp;'Equip&amp;Mach List'!AD13&amp;"m x "&amp;'Equip&amp;Mach List'!AE13&amp;"m - Net/Gross Weight "&amp;ROUND('Equip&amp;Mach List'!N13,-1)&amp;"/"&amp;ROUND('Equip&amp;Mach List'!N13+'Equip&amp;Mach List'!AI13,-1)&amp;" kg")</f>
        <v/>
      </c>
      <c r="E406" s="35"/>
      <c r="F406" s="35"/>
      <c r="G406" s="35"/>
      <c r="H406" s="35"/>
      <c r="I406" s="35"/>
      <c r="J406" s="824">
        <f>IF(B406=0,0,'Equip&amp;Mach List'!AF13&amp;" x "&amp;'Equip&amp;Mach List'!O13)</f>
        <v>0</v>
      </c>
      <c r="K406" s="739"/>
      <c r="L406" s="37">
        <f>IF(B406=0,0,'Equip&amp;Mach List'!AF13)*K406</f>
        <v>0</v>
      </c>
    </row>
    <row r="407" spans="1:12" x14ac:dyDescent="0.3">
      <c r="A407" s="31" t="s">
        <v>1532</v>
      </c>
      <c r="B407" s="51">
        <f>IF('Equip&amp;Mach List'!P14="Loose",'Equip&amp;Mach List'!B14&amp;" "&amp;'Equip&amp;Mach List'!C14,0)</f>
        <v>0</v>
      </c>
      <c r="C407" s="33" t="s">
        <v>225</v>
      </c>
      <c r="D407" s="520" t="str">
        <f>IF(B407=0,"","Dim. "&amp;'Equip&amp;Mach List'!AC14&amp;"m x "&amp;'Equip&amp;Mach List'!AD14&amp;"m x "&amp;'Equip&amp;Mach List'!AE14&amp;"m - Net/Gross Weight "&amp;ROUND('Equip&amp;Mach List'!N14,-1)&amp;"/"&amp;ROUND('Equip&amp;Mach List'!N14+'Equip&amp;Mach List'!AI14,-1)&amp;" kg")</f>
        <v/>
      </c>
      <c r="E407" s="35"/>
      <c r="F407" s="35"/>
      <c r="G407" s="35"/>
      <c r="H407" s="35"/>
      <c r="I407" s="35"/>
      <c r="J407" s="824">
        <f>IF(B407=0,0,'Equip&amp;Mach List'!AF14&amp;" x "&amp;'Equip&amp;Mach List'!O14)</f>
        <v>0</v>
      </c>
      <c r="K407" s="739"/>
      <c r="L407" s="37">
        <f>IF(B407=0,0,'Equip&amp;Mach List'!AF14)*K407</f>
        <v>0</v>
      </c>
    </row>
    <row r="408" spans="1:12" x14ac:dyDescent="0.3">
      <c r="A408" s="31" t="s">
        <v>1533</v>
      </c>
      <c r="B408" s="51">
        <f>IF('Equip&amp;Mach List'!P15="Loose",'Equip&amp;Mach List'!B15&amp;" "&amp;'Equip&amp;Mach List'!C15,0)</f>
        <v>0</v>
      </c>
      <c r="C408" s="33" t="s">
        <v>225</v>
      </c>
      <c r="D408" s="520" t="str">
        <f>IF(B408=0,"","Dim. "&amp;'Equip&amp;Mach List'!AC15&amp;"m x "&amp;'Equip&amp;Mach List'!AD15&amp;"m x "&amp;'Equip&amp;Mach List'!AE15&amp;"m - Net/Gross Weight "&amp;ROUND('Equip&amp;Mach List'!N15,-1)&amp;"/"&amp;ROUND('Equip&amp;Mach List'!N15+'Equip&amp;Mach List'!AI15,-1)&amp;" kg")</f>
        <v/>
      </c>
      <c r="E408" s="35"/>
      <c r="F408" s="35"/>
      <c r="G408" s="35"/>
      <c r="H408" s="35"/>
      <c r="I408" s="35"/>
      <c r="J408" s="824">
        <f>IF(B408=0,0,'Equip&amp;Mach List'!AF15&amp;" x "&amp;'Equip&amp;Mach List'!O15)</f>
        <v>0</v>
      </c>
      <c r="K408" s="739"/>
      <c r="L408" s="37">
        <f>IF(B408=0,0,'Equip&amp;Mach List'!AF15)*K408</f>
        <v>0</v>
      </c>
    </row>
    <row r="409" spans="1:12" x14ac:dyDescent="0.3">
      <c r="A409" s="31" t="s">
        <v>1534</v>
      </c>
      <c r="B409" s="51">
        <f>IF('Equip&amp;Mach List'!P16="Loose",'Equip&amp;Mach List'!B16&amp;" "&amp;'Equip&amp;Mach List'!C16,0)</f>
        <v>0</v>
      </c>
      <c r="C409" s="33" t="s">
        <v>225</v>
      </c>
      <c r="D409" s="520" t="str">
        <f>IF(B409=0,"","Dim. "&amp;'Equip&amp;Mach List'!AC16&amp;"m x "&amp;'Equip&amp;Mach List'!AD16&amp;"m x "&amp;'Equip&amp;Mach List'!AE16&amp;"m - Net/Gross Weight "&amp;ROUND('Equip&amp;Mach List'!N16,-1)&amp;"/"&amp;ROUND('Equip&amp;Mach List'!N16+'Equip&amp;Mach List'!AI16,-1)&amp;" kg")</f>
        <v/>
      </c>
      <c r="E409" s="35"/>
      <c r="F409" s="35"/>
      <c r="G409" s="35"/>
      <c r="H409" s="35"/>
      <c r="I409" s="35"/>
      <c r="J409" s="824">
        <f>IF(B409=0,0,'Equip&amp;Mach List'!AF16&amp;" x "&amp;'Equip&amp;Mach List'!O16)</f>
        <v>0</v>
      </c>
      <c r="K409" s="739"/>
      <c r="L409" s="37">
        <f>IF(B409=0,0,'Equip&amp;Mach List'!AF16)*K409</f>
        <v>0</v>
      </c>
    </row>
    <row r="410" spans="1:12" x14ac:dyDescent="0.3">
      <c r="A410" s="31" t="s">
        <v>1535</v>
      </c>
      <c r="B410" s="51">
        <f>IF('Equip&amp;Mach List'!P17="Loose",'Equip&amp;Mach List'!B17&amp;" "&amp;'Equip&amp;Mach List'!C17,0)</f>
        <v>0</v>
      </c>
      <c r="C410" s="33" t="s">
        <v>225</v>
      </c>
      <c r="D410" s="520" t="str">
        <f>IF(B410=0,"","Dim. "&amp;'Equip&amp;Mach List'!AC17&amp;"m x "&amp;'Equip&amp;Mach List'!AD17&amp;"m x "&amp;'Equip&amp;Mach List'!AE17&amp;"m - Net/Gross Weight "&amp;ROUND('Equip&amp;Mach List'!N17,-1)&amp;"/"&amp;ROUND('Equip&amp;Mach List'!N17+'Equip&amp;Mach List'!AI17,-1)&amp;" kg")</f>
        <v/>
      </c>
      <c r="E410" s="35"/>
      <c r="F410" s="35"/>
      <c r="G410" s="35"/>
      <c r="H410" s="35"/>
      <c r="I410" s="35"/>
      <c r="J410" s="824">
        <f>IF(B410=0,0,'Equip&amp;Mach List'!AF17&amp;" x "&amp;'Equip&amp;Mach List'!O17)</f>
        <v>0</v>
      </c>
      <c r="K410" s="739"/>
      <c r="L410" s="37">
        <f>IF(B410=0,0,'Equip&amp;Mach List'!AF17)*K410</f>
        <v>0</v>
      </c>
    </row>
    <row r="411" spans="1:12" x14ac:dyDescent="0.3">
      <c r="A411" s="31" t="s">
        <v>1536</v>
      </c>
      <c r="B411" s="51">
        <f>IF('Equip&amp;Mach List'!P18="Loose",'Equip&amp;Mach List'!B18&amp;" "&amp;'Equip&amp;Mach List'!C18,0)</f>
        <v>0</v>
      </c>
      <c r="C411" s="33" t="s">
        <v>225</v>
      </c>
      <c r="D411" s="520" t="str">
        <f>IF(B411=0,"","Dim. "&amp;'Equip&amp;Mach List'!AC18&amp;"m x "&amp;'Equip&amp;Mach List'!AD18&amp;"m x "&amp;'Equip&amp;Mach List'!AE18&amp;"m - Net/Gross Weight "&amp;ROUND('Equip&amp;Mach List'!N18,-1)&amp;"/"&amp;ROUND('Equip&amp;Mach List'!N18+'Equip&amp;Mach List'!AI18,-1)&amp;" kg")</f>
        <v/>
      </c>
      <c r="E411" s="35"/>
      <c r="F411" s="35"/>
      <c r="G411" s="35"/>
      <c r="H411" s="35"/>
      <c r="I411" s="35"/>
      <c r="J411" s="824">
        <f>IF(B411=0,0,'Equip&amp;Mach List'!AF18&amp;" x "&amp;'Equip&amp;Mach List'!O18)</f>
        <v>0</v>
      </c>
      <c r="K411" s="739"/>
      <c r="L411" s="37">
        <f>IF(B411=0,0,'Equip&amp;Mach List'!AF18)*K411</f>
        <v>0</v>
      </c>
    </row>
    <row r="412" spans="1:12" x14ac:dyDescent="0.3">
      <c r="A412" s="31" t="s">
        <v>1537</v>
      </c>
      <c r="B412" s="51">
        <f>IF('Equip&amp;Mach List'!P19="Loose",'Equip&amp;Mach List'!B19&amp;" "&amp;'Equip&amp;Mach List'!C19,0)</f>
        <v>0</v>
      </c>
      <c r="C412" s="33" t="s">
        <v>225</v>
      </c>
      <c r="D412" s="520" t="str">
        <f>IF(B412=0,"","Dim. "&amp;'Equip&amp;Mach List'!AC19&amp;"m x "&amp;'Equip&amp;Mach List'!AD19&amp;"m x "&amp;'Equip&amp;Mach List'!AE19&amp;"m - Net/Gross Weight "&amp;ROUND('Equip&amp;Mach List'!N19,-1)&amp;"/"&amp;ROUND('Equip&amp;Mach List'!N19+'Equip&amp;Mach List'!AI19,-1)&amp;" kg")</f>
        <v/>
      </c>
      <c r="E412" s="35"/>
      <c r="F412" s="35"/>
      <c r="G412" s="35"/>
      <c r="H412" s="35"/>
      <c r="I412" s="35"/>
      <c r="J412" s="824">
        <f>IF(B412=0,0,'Equip&amp;Mach List'!AF19&amp;" x "&amp;'Equip&amp;Mach List'!O19)</f>
        <v>0</v>
      </c>
      <c r="K412" s="739"/>
      <c r="L412" s="37">
        <f>IF(B412=0,0,'Equip&amp;Mach List'!AF19)*K412</f>
        <v>0</v>
      </c>
    </row>
    <row r="413" spans="1:12" x14ac:dyDescent="0.3">
      <c r="A413" s="31" t="s">
        <v>1538</v>
      </c>
      <c r="B413" s="51">
        <f>IF('Equip&amp;Mach List'!P20="Loose",'Equip&amp;Mach List'!B20&amp;" "&amp;'Equip&amp;Mach List'!C20,0)</f>
        <v>0</v>
      </c>
      <c r="C413" s="33" t="s">
        <v>225</v>
      </c>
      <c r="D413" s="520" t="str">
        <f>IF(B413=0,"","Dim. "&amp;'Equip&amp;Mach List'!AC20&amp;"m x "&amp;'Equip&amp;Mach List'!AD20&amp;"m x "&amp;'Equip&amp;Mach List'!AE20&amp;"m - Net/Gross Weight "&amp;ROUND('Equip&amp;Mach List'!N20,-1)&amp;"/"&amp;ROUND('Equip&amp;Mach List'!N20+'Equip&amp;Mach List'!AI20,-1)&amp;" kg")</f>
        <v/>
      </c>
      <c r="E413" s="35"/>
      <c r="F413" s="35"/>
      <c r="G413" s="35"/>
      <c r="H413" s="35"/>
      <c r="I413" s="35"/>
      <c r="J413" s="824">
        <f>IF(B413=0,0,'Equip&amp;Mach List'!AF20&amp;" x "&amp;'Equip&amp;Mach List'!O20)</f>
        <v>0</v>
      </c>
      <c r="K413" s="739"/>
      <c r="L413" s="37">
        <f>IF(B413=0,0,'Equip&amp;Mach List'!AF20)*K413</f>
        <v>0</v>
      </c>
    </row>
    <row r="414" spans="1:12" x14ac:dyDescent="0.3">
      <c r="A414" s="31" t="s">
        <v>1539</v>
      </c>
      <c r="B414" s="51">
        <f>IF('Equip&amp;Mach List'!P21="Loose",'Equip&amp;Mach List'!B21&amp;" "&amp;'Equip&amp;Mach List'!C21,0)</f>
        <v>0</v>
      </c>
      <c r="C414" s="33" t="s">
        <v>225</v>
      </c>
      <c r="D414" s="520" t="str">
        <f>IF(B414=0,"","Dim. "&amp;'Equip&amp;Mach List'!AC21&amp;"m x "&amp;'Equip&amp;Mach List'!AD21&amp;"m x "&amp;'Equip&amp;Mach List'!AE21&amp;"m - Net/Gross Weight "&amp;ROUND('Equip&amp;Mach List'!N21,-1)&amp;"/"&amp;ROUND('Equip&amp;Mach List'!N21+'Equip&amp;Mach List'!AI21,-1)&amp;" kg")</f>
        <v/>
      </c>
      <c r="E414" s="35"/>
      <c r="F414" s="35"/>
      <c r="G414" s="35"/>
      <c r="H414" s="35"/>
      <c r="I414" s="35"/>
      <c r="J414" s="824">
        <f>IF(B414=0,0,'Equip&amp;Mach List'!AF21&amp;" x "&amp;'Equip&amp;Mach List'!O21)</f>
        <v>0</v>
      </c>
      <c r="K414" s="739"/>
      <c r="L414" s="37">
        <f>IF(B414=0,0,'Equip&amp;Mach List'!AF21)*K414</f>
        <v>0</v>
      </c>
    </row>
    <row r="415" spans="1:12" x14ac:dyDescent="0.3">
      <c r="A415" s="31" t="s">
        <v>1540</v>
      </c>
      <c r="B415" s="51">
        <f>IF('Equip&amp;Mach List'!P22="Loose",'Equip&amp;Mach List'!B22&amp;" "&amp;'Equip&amp;Mach List'!C22,0)</f>
        <v>0</v>
      </c>
      <c r="C415" s="33" t="s">
        <v>225</v>
      </c>
      <c r="D415" s="520" t="str">
        <f>IF(B415=0,"","Dim. "&amp;'Equip&amp;Mach List'!AC22&amp;"m x "&amp;'Equip&amp;Mach List'!AD22&amp;"m x "&amp;'Equip&amp;Mach List'!AE22&amp;"m - Net/Gross Weight "&amp;ROUND('Equip&amp;Mach List'!N22,-1)&amp;"/"&amp;ROUND('Equip&amp;Mach List'!N22+'Equip&amp;Mach List'!AI22,-1)&amp;" kg")</f>
        <v/>
      </c>
      <c r="E415" s="35"/>
      <c r="F415" s="35"/>
      <c r="G415" s="35"/>
      <c r="H415" s="35"/>
      <c r="I415" s="35"/>
      <c r="J415" s="824">
        <f>IF(B415=0,0,'Equip&amp;Mach List'!AF22&amp;" x "&amp;'Equip&amp;Mach List'!O22)</f>
        <v>0</v>
      </c>
      <c r="K415" s="739"/>
      <c r="L415" s="37">
        <f>IF(B415=0,0,'Equip&amp;Mach List'!AF22)*K415</f>
        <v>0</v>
      </c>
    </row>
    <row r="416" spans="1:12" ht="16.2" thickBot="1" x14ac:dyDescent="0.35">
      <c r="A416" s="31" t="s">
        <v>1541</v>
      </c>
      <c r="B416" s="51">
        <f>IF('Equip&amp;Mach List'!P29="Loose",'Equip&amp;Mach List'!B29&amp;" "&amp;'Equip&amp;Mach List'!C29,0)</f>
        <v>0</v>
      </c>
      <c r="C416" s="33" t="s">
        <v>225</v>
      </c>
      <c r="D416" s="520" t="str">
        <f>IF(B416=0,"","Dim. "&amp;'Equip&amp;Mach List'!AC29&amp;"m x "&amp;'Equip&amp;Mach List'!AD29&amp;"m x "&amp;'Equip&amp;Mach List'!AE29&amp;"m - Net/Gross Weight "&amp;ROUND('Equip&amp;Mach List'!N29,-1)&amp;"/"&amp;ROUND('Equip&amp;Mach List'!N29+'Equip&amp;Mach List'!AI29,-1)&amp;" kg")</f>
        <v/>
      </c>
      <c r="E416" s="35"/>
      <c r="F416" s="35"/>
      <c r="G416" s="35"/>
      <c r="H416" s="35"/>
      <c r="I416" s="35"/>
      <c r="J416" s="824">
        <f>IF(B416=0,0,'Equip&amp;Mach List'!AF29&amp;" x "&amp;'Equip&amp;Mach List'!O29)</f>
        <v>0</v>
      </c>
      <c r="K416" s="739"/>
      <c r="L416" s="42">
        <f>IF(B416=0,0,'Equip&amp;Mach List'!AF29)*K416</f>
        <v>0</v>
      </c>
    </row>
    <row r="417" spans="1:12" ht="16.2" thickBot="1" x14ac:dyDescent="0.35">
      <c r="A417" s="1474" t="s">
        <v>1542</v>
      </c>
      <c r="B417" s="1479" t="s">
        <v>1543</v>
      </c>
      <c r="C417" s="1480"/>
      <c r="D417" s="1481"/>
      <c r="E417" s="1481"/>
      <c r="F417" s="1481"/>
      <c r="G417" s="1481"/>
      <c r="H417" s="1481"/>
      <c r="I417" s="1481"/>
      <c r="J417" s="1481"/>
      <c r="K417" s="1482"/>
      <c r="L417" s="1131">
        <f>SUM(L418:L437)</f>
        <v>0</v>
      </c>
    </row>
    <row r="418" spans="1:12" x14ac:dyDescent="0.3">
      <c r="A418" s="31" t="s">
        <v>1544</v>
      </c>
      <c r="B418" s="51">
        <f>IF('Equip&amp;Mach List'!P33="Loose",'Equip&amp;Mach List'!B33&amp;" "&amp;'Equip&amp;Mach List'!C33,0)</f>
        <v>0</v>
      </c>
      <c r="C418" s="33" t="s">
        <v>225</v>
      </c>
      <c r="D418" s="520" t="str">
        <f>IF(B418=0,"","Dim. "&amp;'Equip&amp;Mach List'!AC33&amp;"m x "&amp;'Equip&amp;Mach List'!AD33&amp;"m x "&amp;'Equip&amp;Mach List'!AE33&amp;"m - Unit Net/Gross Weight "&amp;ROUND('Equip&amp;Mach List'!N33,-1)&amp;"/"&amp;ROUND('Equip&amp;Mach List'!N33+'Equip&amp;Mach List'!AI33,-1)&amp;" kg")</f>
        <v/>
      </c>
      <c r="E418" s="35"/>
      <c r="F418" s="35"/>
      <c r="G418" s="35"/>
      <c r="H418" s="35"/>
      <c r="I418" s="35"/>
      <c r="J418" s="825">
        <f>IF(B418=0,0,'Equip&amp;Mach List'!AF33&amp;" x "&amp;'Equip&amp;Mach List'!O33)</f>
        <v>0</v>
      </c>
      <c r="K418" s="739">
        <v>50</v>
      </c>
      <c r="L418" s="923">
        <f>IF(B418=0,0,'Equip&amp;Mach List'!AF33)*K418</f>
        <v>0</v>
      </c>
    </row>
    <row r="419" spans="1:12" x14ac:dyDescent="0.3">
      <c r="A419" s="31" t="s">
        <v>1545</v>
      </c>
      <c r="B419" s="51">
        <f>IF('Equip&amp;Mach List'!P34="Loose",'Equip&amp;Mach List'!B34&amp;" "&amp;'Equip&amp;Mach List'!C34,0)</f>
        <v>0</v>
      </c>
      <c r="C419" s="33" t="s">
        <v>225</v>
      </c>
      <c r="D419" s="520" t="str">
        <f>IF(B419=0,"","Dim. "&amp;'Equip&amp;Mach List'!AC34&amp;"m x "&amp;'Equip&amp;Mach List'!AD34&amp;"m x "&amp;'Equip&amp;Mach List'!AE34&amp;"m - Unit Net/Gross Weight "&amp;ROUND('Equip&amp;Mach List'!N34,-1)&amp;"/"&amp;ROUND('Equip&amp;Mach List'!N34+'Equip&amp;Mach List'!AI34,-1)&amp;" kg")</f>
        <v/>
      </c>
      <c r="E419" s="35"/>
      <c r="F419" s="35"/>
      <c r="G419" s="35"/>
      <c r="H419" s="35"/>
      <c r="I419" s="35"/>
      <c r="J419" s="825">
        <f>IF(B419=0,0,'Equip&amp;Mach List'!AF34&amp;" x "&amp;'Equip&amp;Mach List'!O34)</f>
        <v>0</v>
      </c>
      <c r="K419" s="739">
        <v>50</v>
      </c>
      <c r="L419" s="37">
        <f>IF(B419=0,0,'Equip&amp;Mach List'!AF34)*K419</f>
        <v>0</v>
      </c>
    </row>
    <row r="420" spans="1:12" x14ac:dyDescent="0.3">
      <c r="A420" s="31" t="s">
        <v>1546</v>
      </c>
      <c r="B420" s="51">
        <f>IF('Equip&amp;Mach List'!P35="Loose",'Equip&amp;Mach List'!B35&amp;" "&amp;'Equip&amp;Mach List'!C35,0)</f>
        <v>0</v>
      </c>
      <c r="C420" s="33" t="s">
        <v>225</v>
      </c>
      <c r="D420" s="520" t="str">
        <f>IF(B420=0,"","Dim. "&amp;'Equip&amp;Mach List'!AC35&amp;"m x "&amp;'Equip&amp;Mach List'!AD35&amp;"m x "&amp;'Equip&amp;Mach List'!AE35&amp;"m - Unit Net/Gross Weight "&amp;ROUND('Equip&amp;Mach List'!N35,-1)&amp;"/"&amp;ROUND('Equip&amp;Mach List'!N35+'Equip&amp;Mach List'!AI35,-1)&amp;" kg")</f>
        <v/>
      </c>
      <c r="E420" s="35"/>
      <c r="F420" s="35"/>
      <c r="G420" s="35"/>
      <c r="H420" s="35"/>
      <c r="I420" s="35"/>
      <c r="J420" s="825">
        <f>IF(B420=0,0,'Equip&amp;Mach List'!AF35&amp;" x "&amp;'Equip&amp;Mach List'!O35)</f>
        <v>0</v>
      </c>
      <c r="K420" s="739"/>
      <c r="L420" s="37">
        <f>IF(B420=0,0,'Equip&amp;Mach List'!AF35)*K420</f>
        <v>0</v>
      </c>
    </row>
    <row r="421" spans="1:12" x14ac:dyDescent="0.3">
      <c r="A421" s="31" t="s">
        <v>1547</v>
      </c>
      <c r="B421" s="51">
        <f>IF('Equip&amp;Mach List'!P36="Loose",'Equip&amp;Mach List'!B36&amp;" "&amp;'Equip&amp;Mach List'!C36,0)</f>
        <v>0</v>
      </c>
      <c r="C421" s="33" t="s">
        <v>225</v>
      </c>
      <c r="D421" s="520" t="str">
        <f>IF(B421=0,"","Dim. "&amp;'Equip&amp;Mach List'!AC36&amp;"m x "&amp;'Equip&amp;Mach List'!AD36&amp;"m x "&amp;'Equip&amp;Mach List'!AE36&amp;"m - Unit Net/Gross Weight "&amp;ROUND('Equip&amp;Mach List'!N36,-1)&amp;"/"&amp;ROUND('Equip&amp;Mach List'!N36+'Equip&amp;Mach List'!AI36,-1)&amp;" kg")</f>
        <v/>
      </c>
      <c r="E421" s="35"/>
      <c r="F421" s="35"/>
      <c r="G421" s="35"/>
      <c r="H421" s="35"/>
      <c r="I421" s="35"/>
      <c r="J421" s="825">
        <f>IF(B421=0,0,'Equip&amp;Mach List'!AF36&amp;" x "&amp;'Equip&amp;Mach List'!O36)</f>
        <v>0</v>
      </c>
      <c r="K421" s="739"/>
      <c r="L421" s="37">
        <f>IF(B421=0,0,'Equip&amp;Mach List'!AF36)*K421</f>
        <v>0</v>
      </c>
    </row>
    <row r="422" spans="1:12" x14ac:dyDescent="0.3">
      <c r="A422" s="31" t="s">
        <v>1548</v>
      </c>
      <c r="B422" s="51">
        <f>IF('Equip&amp;Mach List'!P37="Loose",'Equip&amp;Mach List'!B37&amp;" "&amp;'Equip&amp;Mach List'!C37,0)</f>
        <v>0</v>
      </c>
      <c r="C422" s="33" t="s">
        <v>225</v>
      </c>
      <c r="D422" s="520" t="str">
        <f>IF(B422=0,"","Dim. "&amp;'Equip&amp;Mach List'!AC37&amp;"m x "&amp;'Equip&amp;Mach List'!AD37&amp;"m x "&amp;'Equip&amp;Mach List'!AE37&amp;"m - Unit Net/Gross Weight "&amp;ROUND('Equip&amp;Mach List'!N37,-1)&amp;"/"&amp;ROUND('Equip&amp;Mach List'!N37+'Equip&amp;Mach List'!AI37,-1)&amp;" kg")</f>
        <v/>
      </c>
      <c r="E422" s="35"/>
      <c r="F422" s="35"/>
      <c r="G422" s="35"/>
      <c r="H422" s="35"/>
      <c r="I422" s="35"/>
      <c r="J422" s="825">
        <f>IF(B422=0,0,'Equip&amp;Mach List'!AF37&amp;" x "&amp;'Equip&amp;Mach List'!O37)</f>
        <v>0</v>
      </c>
      <c r="K422" s="739"/>
      <c r="L422" s="37">
        <f>IF(B422=0,0,'Equip&amp;Mach List'!AF37)*K422</f>
        <v>0</v>
      </c>
    </row>
    <row r="423" spans="1:12" x14ac:dyDescent="0.3">
      <c r="A423" s="31" t="s">
        <v>1549</v>
      </c>
      <c r="B423" s="51">
        <f>IF('Equip&amp;Mach List'!P38="Loose",'Equip&amp;Mach List'!B38&amp;" "&amp;'Equip&amp;Mach List'!C38,0)</f>
        <v>0</v>
      </c>
      <c r="C423" s="33" t="s">
        <v>225</v>
      </c>
      <c r="D423" s="520" t="str">
        <f>IF(B423=0,"","Dim. "&amp;'Equip&amp;Mach List'!AC38&amp;"m x "&amp;'Equip&amp;Mach List'!AD38&amp;"m x "&amp;'Equip&amp;Mach List'!AE38&amp;"m - Unit Net/Gross Weight "&amp;ROUND('Equip&amp;Mach List'!N38,-1)&amp;"/"&amp;ROUND('Equip&amp;Mach List'!N38+'Equip&amp;Mach List'!AI38,-1)&amp;" kg")</f>
        <v/>
      </c>
      <c r="E423" s="35"/>
      <c r="F423" s="35"/>
      <c r="G423" s="35"/>
      <c r="H423" s="35"/>
      <c r="I423" s="35"/>
      <c r="J423" s="825">
        <f>IF(B423=0,0,'Equip&amp;Mach List'!AF38&amp;" x "&amp;'Equip&amp;Mach List'!O38)</f>
        <v>0</v>
      </c>
      <c r="K423" s="739"/>
      <c r="L423" s="37">
        <f>IF(B423=0,0,'Equip&amp;Mach List'!AF38)*K423</f>
        <v>0</v>
      </c>
    </row>
    <row r="424" spans="1:12" x14ac:dyDescent="0.3">
      <c r="A424" s="31" t="s">
        <v>1550</v>
      </c>
      <c r="B424" s="51">
        <f>IF('Equip&amp;Mach List'!P39="Loose",'Equip&amp;Mach List'!B39&amp;" "&amp;'Equip&amp;Mach List'!C39,0)</f>
        <v>0</v>
      </c>
      <c r="C424" s="33" t="s">
        <v>225</v>
      </c>
      <c r="D424" s="520" t="str">
        <f>IF(B424=0,"","Dim. "&amp;'Equip&amp;Mach List'!AC39&amp;"m x "&amp;'Equip&amp;Mach List'!AD39&amp;"m x "&amp;'Equip&amp;Mach List'!AE39&amp;"m - Unit Net/Gross Weight "&amp;ROUND('Equip&amp;Mach List'!N39,-1)&amp;"/"&amp;ROUND('Equip&amp;Mach List'!N39+'Equip&amp;Mach List'!AI39,-1)&amp;" kg")</f>
        <v/>
      </c>
      <c r="E424" s="35"/>
      <c r="F424" s="35"/>
      <c r="G424" s="35"/>
      <c r="H424" s="35"/>
      <c r="I424" s="35"/>
      <c r="J424" s="825">
        <f>IF(B424=0,0,'Equip&amp;Mach List'!AF39&amp;" x "&amp;'Equip&amp;Mach List'!O39)</f>
        <v>0</v>
      </c>
      <c r="K424" s="739"/>
      <c r="L424" s="37">
        <f>IF(B424=0,0,'Equip&amp;Mach List'!AF39)*K424</f>
        <v>0</v>
      </c>
    </row>
    <row r="425" spans="1:12" x14ac:dyDescent="0.3">
      <c r="A425" s="31" t="s">
        <v>1551</v>
      </c>
      <c r="B425" s="51">
        <f>IF('Equip&amp;Mach List'!P40="Loose",'Equip&amp;Mach List'!B40&amp;" "&amp;'Equip&amp;Mach List'!C40,0)</f>
        <v>0</v>
      </c>
      <c r="C425" s="33" t="s">
        <v>225</v>
      </c>
      <c r="D425" s="520" t="str">
        <f>IF(B425=0,"","Dim. "&amp;'Equip&amp;Mach List'!AC40&amp;"m x "&amp;'Equip&amp;Mach List'!AD40&amp;"m x "&amp;'Equip&amp;Mach List'!AE40&amp;"m - Unit Net/Gross Weight "&amp;ROUND('Equip&amp;Mach List'!N40,-1)&amp;"/"&amp;ROUND('Equip&amp;Mach List'!N40+'Equip&amp;Mach List'!AI40,-1)&amp;" kg")</f>
        <v/>
      </c>
      <c r="E425" s="35"/>
      <c r="F425" s="35"/>
      <c r="G425" s="35"/>
      <c r="H425" s="35"/>
      <c r="I425" s="35"/>
      <c r="J425" s="825">
        <f>IF(B425=0,0,'Equip&amp;Mach List'!AF40&amp;" x "&amp;'Equip&amp;Mach List'!O40)</f>
        <v>0</v>
      </c>
      <c r="K425" s="739"/>
      <c r="L425" s="37">
        <f>IF(B425=0,0,'Equip&amp;Mach List'!AF40)*K425</f>
        <v>0</v>
      </c>
    </row>
    <row r="426" spans="1:12" x14ac:dyDescent="0.3">
      <c r="A426" s="31" t="s">
        <v>1552</v>
      </c>
      <c r="B426" s="51">
        <f>IF('Equip&amp;Mach List'!P41="Loose",'Equip&amp;Mach List'!B41&amp;" "&amp;'Equip&amp;Mach List'!C41,0)</f>
        <v>0</v>
      </c>
      <c r="C426" s="33" t="s">
        <v>225</v>
      </c>
      <c r="D426" s="520" t="str">
        <f>IF(B426=0,"","Dim. "&amp;'Equip&amp;Mach List'!AC41&amp;"m x "&amp;'Equip&amp;Mach List'!AD41&amp;"m x "&amp;'Equip&amp;Mach List'!AE41&amp;"m - Unit Net/Gross Weight "&amp;ROUND('Equip&amp;Mach List'!N41,-1)&amp;"/"&amp;ROUND('Equip&amp;Mach List'!N41+'Equip&amp;Mach List'!AI41,-1)&amp;" kg")</f>
        <v/>
      </c>
      <c r="E426" s="35"/>
      <c r="F426" s="35"/>
      <c r="G426" s="35"/>
      <c r="H426" s="35"/>
      <c r="I426" s="35"/>
      <c r="J426" s="825">
        <f>IF(B426=0,0,'Equip&amp;Mach List'!AF41&amp;" x "&amp;'Equip&amp;Mach List'!O41)</f>
        <v>0</v>
      </c>
      <c r="K426" s="739"/>
      <c r="L426" s="37">
        <f>IF(B426=0,0,'Equip&amp;Mach List'!AF41)*K426</f>
        <v>0</v>
      </c>
    </row>
    <row r="427" spans="1:12" x14ac:dyDescent="0.3">
      <c r="A427" s="31" t="s">
        <v>1553</v>
      </c>
      <c r="B427" s="51">
        <f>IF('Equip&amp;Mach List'!P42="Loose",'Equip&amp;Mach List'!B42&amp;" "&amp;'Equip&amp;Mach List'!C42,0)</f>
        <v>0</v>
      </c>
      <c r="C427" s="33" t="s">
        <v>225</v>
      </c>
      <c r="D427" s="520" t="str">
        <f>IF(B427=0,"","Dim. "&amp;'Equip&amp;Mach List'!AC42&amp;"m x "&amp;'Equip&amp;Mach List'!AD42&amp;"m x "&amp;'Equip&amp;Mach List'!AE42&amp;"m - Unit Net/Gross Weight "&amp;ROUND('Equip&amp;Mach List'!N42,-1)&amp;"/"&amp;ROUND('Equip&amp;Mach List'!N42+'Equip&amp;Mach List'!AI42,-1)&amp;" kg")</f>
        <v/>
      </c>
      <c r="E427" s="35"/>
      <c r="F427" s="35"/>
      <c r="G427" s="35"/>
      <c r="H427" s="35"/>
      <c r="I427" s="35"/>
      <c r="J427" s="825">
        <f>IF(B427=0,0,'Equip&amp;Mach List'!AF42&amp;" x "&amp;'Equip&amp;Mach List'!O42)</f>
        <v>0</v>
      </c>
      <c r="K427" s="739"/>
      <c r="L427" s="37">
        <f>IF(B427=0,0,'Equip&amp;Mach List'!AF42)*K427</f>
        <v>0</v>
      </c>
    </row>
    <row r="428" spans="1:12" x14ac:dyDescent="0.3">
      <c r="A428" s="31" t="s">
        <v>1554</v>
      </c>
      <c r="B428" s="51">
        <f>IF('Equip&amp;Mach List'!P43="Loose",'Equip&amp;Mach List'!B43&amp;" "&amp;'Equip&amp;Mach List'!C43,0)</f>
        <v>0</v>
      </c>
      <c r="C428" s="33" t="s">
        <v>225</v>
      </c>
      <c r="D428" s="520" t="str">
        <f>IF(B428=0,"","Dim. "&amp;'Equip&amp;Mach List'!AC43&amp;"m x "&amp;'Equip&amp;Mach List'!AD43&amp;"m x "&amp;'Equip&amp;Mach List'!AE43&amp;"m - Unit Net/Gross Weight "&amp;ROUND('Equip&amp;Mach List'!N43,-1)&amp;"/"&amp;ROUND('Equip&amp;Mach List'!N43+'Equip&amp;Mach List'!AI43,-1)&amp;" kg")</f>
        <v/>
      </c>
      <c r="E428" s="35"/>
      <c r="F428" s="35"/>
      <c r="G428" s="35"/>
      <c r="H428" s="35"/>
      <c r="I428" s="35"/>
      <c r="J428" s="825">
        <f>IF(B428=0,0,'Equip&amp;Mach List'!AF43&amp;" x "&amp;'Equip&amp;Mach List'!O43)</f>
        <v>0</v>
      </c>
      <c r="K428" s="739"/>
      <c r="L428" s="37">
        <f>IF(B428=0,0,'Equip&amp;Mach List'!AF43)*K428</f>
        <v>0</v>
      </c>
    </row>
    <row r="429" spans="1:12" x14ac:dyDescent="0.3">
      <c r="A429" s="31" t="s">
        <v>1555</v>
      </c>
      <c r="B429" s="51">
        <f>IF('Equip&amp;Mach List'!P44="Loose",'Equip&amp;Mach List'!B44&amp;" "&amp;'Equip&amp;Mach List'!C44,0)</f>
        <v>0</v>
      </c>
      <c r="C429" s="33" t="s">
        <v>225</v>
      </c>
      <c r="D429" s="520" t="str">
        <f>IF(B429=0,"","Dim. "&amp;'Equip&amp;Mach List'!AC44&amp;"m x "&amp;'Equip&amp;Mach List'!AD44&amp;"m x "&amp;'Equip&amp;Mach List'!AE44&amp;"m - Unit Net/Gross Weight "&amp;ROUND('Equip&amp;Mach List'!N44,-1)&amp;"/"&amp;ROUND('Equip&amp;Mach List'!N44+'Equip&amp;Mach List'!AI44,-1)&amp;" kg")</f>
        <v/>
      </c>
      <c r="E429" s="35"/>
      <c r="F429" s="35"/>
      <c r="G429" s="35"/>
      <c r="H429" s="35"/>
      <c r="I429" s="35"/>
      <c r="J429" s="825">
        <f>IF(B429=0,0,'Equip&amp;Mach List'!AF44&amp;" x "&amp;'Equip&amp;Mach List'!O44)</f>
        <v>0</v>
      </c>
      <c r="K429" s="739"/>
      <c r="L429" s="37">
        <f>IF(B429=0,0,'Equip&amp;Mach List'!AF44)*K429</f>
        <v>0</v>
      </c>
    </row>
    <row r="430" spans="1:12" x14ac:dyDescent="0.3">
      <c r="A430" s="31" t="s">
        <v>1556</v>
      </c>
      <c r="B430" s="51">
        <f>IF('Equip&amp;Mach List'!P45="Loose",'Equip&amp;Mach List'!B45&amp;" "&amp;'Equip&amp;Mach List'!C45,0)</f>
        <v>0</v>
      </c>
      <c r="C430" s="33" t="s">
        <v>225</v>
      </c>
      <c r="D430" s="520" t="str">
        <f>IF(B430=0,"","Dim. "&amp;'Equip&amp;Mach List'!AC45&amp;"m x "&amp;'Equip&amp;Mach List'!AD45&amp;"m x "&amp;'Equip&amp;Mach List'!AE45&amp;"m - Unit Net/Gross Weight "&amp;ROUND('Equip&amp;Mach List'!N45,-1)&amp;"/"&amp;ROUND('Equip&amp;Mach List'!N45+'Equip&amp;Mach List'!AI45,-1)&amp;" kg")</f>
        <v/>
      </c>
      <c r="E430" s="35"/>
      <c r="F430" s="35"/>
      <c r="G430" s="35"/>
      <c r="H430" s="35"/>
      <c r="I430" s="35"/>
      <c r="J430" s="825">
        <f>IF(B430=0,0,'Equip&amp;Mach List'!AF45&amp;" x "&amp;'Equip&amp;Mach List'!O45)</f>
        <v>0</v>
      </c>
      <c r="K430" s="739"/>
      <c r="L430" s="37">
        <f>IF(B430=0,0,'Equip&amp;Mach List'!AF45)*K430</f>
        <v>0</v>
      </c>
    </row>
    <row r="431" spans="1:12" x14ac:dyDescent="0.3">
      <c r="A431" s="31" t="s">
        <v>1557</v>
      </c>
      <c r="B431" s="51">
        <f>IF('Equip&amp;Mach List'!P46="Loose",'Equip&amp;Mach List'!B46&amp;" "&amp;'Equip&amp;Mach List'!C46,0)</f>
        <v>0</v>
      </c>
      <c r="C431" s="33" t="s">
        <v>225</v>
      </c>
      <c r="D431" s="520" t="str">
        <f>IF(B431=0,"","Dim. "&amp;'Equip&amp;Mach List'!AC46&amp;"m x "&amp;'Equip&amp;Mach List'!AD46&amp;"m x "&amp;'Equip&amp;Mach List'!AE46&amp;"m - Unit Net/Gross Weight "&amp;ROUND('Equip&amp;Mach List'!N46,-1)&amp;"/"&amp;ROUND('Equip&amp;Mach List'!N46+'Equip&amp;Mach List'!AI46,-1)&amp;" kg")</f>
        <v/>
      </c>
      <c r="E431" s="35"/>
      <c r="F431" s="35"/>
      <c r="G431" s="35"/>
      <c r="H431" s="35"/>
      <c r="I431" s="35"/>
      <c r="J431" s="825">
        <f>IF(B431=0,0,'Equip&amp;Mach List'!AF46&amp;" x "&amp;'Equip&amp;Mach List'!O46)</f>
        <v>0</v>
      </c>
      <c r="K431" s="739"/>
      <c r="L431" s="37">
        <f>IF(B431=0,0,'Equip&amp;Mach List'!AF46)*K431</f>
        <v>0</v>
      </c>
    </row>
    <row r="432" spans="1:12" x14ac:dyDescent="0.3">
      <c r="A432" s="31" t="s">
        <v>1558</v>
      </c>
      <c r="B432" s="51">
        <f>IF('Equip&amp;Mach List'!P47="Loose",'Equip&amp;Mach List'!B47&amp;" "&amp;'Equip&amp;Mach List'!C47,0)</f>
        <v>0</v>
      </c>
      <c r="C432" s="33" t="s">
        <v>225</v>
      </c>
      <c r="D432" s="520" t="str">
        <f>IF(B432=0,"","Dim. "&amp;'Equip&amp;Mach List'!AC47&amp;"m x "&amp;'Equip&amp;Mach List'!AD47&amp;"m x "&amp;'Equip&amp;Mach List'!AE47&amp;"m - Unit Net/Gross Weight "&amp;ROUND('Equip&amp;Mach List'!N47,-1)&amp;"/"&amp;ROUND('Equip&amp;Mach List'!N47+'Equip&amp;Mach List'!AI47,-1)&amp;" kg")</f>
        <v/>
      </c>
      <c r="E432" s="35"/>
      <c r="F432" s="35"/>
      <c r="G432" s="35"/>
      <c r="H432" s="35"/>
      <c r="I432" s="35"/>
      <c r="J432" s="825">
        <f>IF(B432=0,0,'Equip&amp;Mach List'!AF47&amp;" x "&amp;'Equip&amp;Mach List'!O47)</f>
        <v>0</v>
      </c>
      <c r="K432" s="739"/>
      <c r="L432" s="37">
        <f>IF(B432=0,0,'Equip&amp;Mach List'!AF47)*K432</f>
        <v>0</v>
      </c>
    </row>
    <row r="433" spans="1:12" x14ac:dyDescent="0.3">
      <c r="A433" s="31" t="s">
        <v>1559</v>
      </c>
      <c r="B433" s="51">
        <f>IF('Equip&amp;Mach List'!P48="Loose",'Equip&amp;Mach List'!B48&amp;" "&amp;'Equip&amp;Mach List'!C48,0)</f>
        <v>0</v>
      </c>
      <c r="C433" s="33" t="s">
        <v>225</v>
      </c>
      <c r="D433" s="520" t="str">
        <f>IF(B433=0,"","Dim. "&amp;'Equip&amp;Mach List'!AC48&amp;"m x "&amp;'Equip&amp;Mach List'!AD48&amp;"m x "&amp;'Equip&amp;Mach List'!AE48&amp;"m - Unit Net/Gross Weight "&amp;ROUND('Equip&amp;Mach List'!N48,-1)&amp;"/"&amp;ROUND('Equip&amp;Mach List'!N48+'Equip&amp;Mach List'!AI48,-1)&amp;" kg")</f>
        <v/>
      </c>
      <c r="E433" s="35"/>
      <c r="F433" s="35"/>
      <c r="G433" s="35"/>
      <c r="H433" s="35"/>
      <c r="I433" s="35"/>
      <c r="J433" s="825">
        <f>IF(B433=0,0,'Equip&amp;Mach List'!AF48&amp;" x "&amp;'Equip&amp;Mach List'!O48)</f>
        <v>0</v>
      </c>
      <c r="K433" s="739"/>
      <c r="L433" s="37">
        <f>IF(B433=0,0,'Equip&amp;Mach List'!AF48)*K433</f>
        <v>0</v>
      </c>
    </row>
    <row r="434" spans="1:12" x14ac:dyDescent="0.3">
      <c r="A434" s="31" t="s">
        <v>1560</v>
      </c>
      <c r="B434" s="51">
        <f>IF('Equip&amp;Mach List'!P49="Loose",'Equip&amp;Mach List'!B49&amp;" "&amp;'Equip&amp;Mach List'!C49,0)</f>
        <v>0</v>
      </c>
      <c r="C434" s="33" t="s">
        <v>225</v>
      </c>
      <c r="D434" s="520" t="str">
        <f>IF(B434=0,"","Dim. "&amp;'Equip&amp;Mach List'!AC49&amp;"m x "&amp;'Equip&amp;Mach List'!AD49&amp;"m x "&amp;'Equip&amp;Mach List'!AE49&amp;"m - Unit Net/Gross Weight "&amp;ROUND('Equip&amp;Mach List'!N49,-1)&amp;"/"&amp;ROUND('Equip&amp;Mach List'!N49+'Equip&amp;Mach List'!AI49,-1)&amp;" kg")</f>
        <v/>
      </c>
      <c r="E434" s="35"/>
      <c r="F434" s="35"/>
      <c r="G434" s="35"/>
      <c r="H434" s="35"/>
      <c r="I434" s="35"/>
      <c r="J434" s="825">
        <f>IF(B434=0,0,'Equip&amp;Mach List'!AF49&amp;" x "&amp;'Equip&amp;Mach List'!O49)</f>
        <v>0</v>
      </c>
      <c r="K434" s="739"/>
      <c r="L434" s="37">
        <f>IF(B434=0,0,'Equip&amp;Mach List'!AF49)*K434</f>
        <v>0</v>
      </c>
    </row>
    <row r="435" spans="1:12" x14ac:dyDescent="0.3">
      <c r="A435" s="31" t="s">
        <v>1561</v>
      </c>
      <c r="B435" s="51">
        <f>IF('Equip&amp;Mach List'!P50="Loose",'Equip&amp;Mach List'!B50&amp;" "&amp;'Equip&amp;Mach List'!C50,0)</f>
        <v>0</v>
      </c>
      <c r="C435" s="33" t="s">
        <v>225</v>
      </c>
      <c r="D435" s="520" t="str">
        <f>IF(B435=0,"","Dim. "&amp;'Equip&amp;Mach List'!AC50&amp;"m x "&amp;'Equip&amp;Mach List'!AD50&amp;"m x "&amp;'Equip&amp;Mach List'!AE50&amp;"m - Unit Net/Gross Weight "&amp;ROUND('Equip&amp;Mach List'!N50,-1)&amp;"/"&amp;ROUND('Equip&amp;Mach List'!N50+'Equip&amp;Mach List'!AI50,-1)&amp;" kg")</f>
        <v/>
      </c>
      <c r="E435" s="35"/>
      <c r="F435" s="35"/>
      <c r="G435" s="35"/>
      <c r="H435" s="35"/>
      <c r="I435" s="35"/>
      <c r="J435" s="825">
        <f>IF(B435=0,0,'Equip&amp;Mach List'!AF50&amp;" x "&amp;'Equip&amp;Mach List'!O50)</f>
        <v>0</v>
      </c>
      <c r="K435" s="739"/>
      <c r="L435" s="37">
        <f>IF(B435=0,0,'Equip&amp;Mach List'!AF50)*K435</f>
        <v>0</v>
      </c>
    </row>
    <row r="436" spans="1:12" x14ac:dyDescent="0.3">
      <c r="A436" s="31" t="s">
        <v>1562</v>
      </c>
      <c r="B436" s="51">
        <f>IF('Equip&amp;Mach List'!P51="Loose",'Equip&amp;Mach List'!B51&amp;" "&amp;'Equip&amp;Mach List'!C51,0)</f>
        <v>0</v>
      </c>
      <c r="C436" s="33" t="s">
        <v>225</v>
      </c>
      <c r="D436" s="520" t="str">
        <f>IF(B436=0,"","Dim. "&amp;'Equip&amp;Mach List'!AC51&amp;"m x "&amp;'Equip&amp;Mach List'!AD51&amp;"m x "&amp;'Equip&amp;Mach List'!AE51&amp;"m - Unit Net/Gross Weight "&amp;ROUND('Equip&amp;Mach List'!N51,-1)&amp;"/"&amp;ROUND('Equip&amp;Mach List'!N51+'Equip&amp;Mach List'!AI51,-1)&amp;" kg")</f>
        <v/>
      </c>
      <c r="E436" s="35"/>
      <c r="F436" s="35"/>
      <c r="G436" s="35"/>
      <c r="H436" s="35"/>
      <c r="I436" s="35"/>
      <c r="J436" s="825">
        <f>IF(B436=0,0,'Equip&amp;Mach List'!AF51&amp;" x "&amp;'Equip&amp;Mach List'!O51)</f>
        <v>0</v>
      </c>
      <c r="K436" s="739"/>
      <c r="L436" s="37">
        <f>IF(B436=0,0,'Equip&amp;Mach List'!AF51)*K436</f>
        <v>0</v>
      </c>
    </row>
    <row r="437" spans="1:12" ht="16.2" thickBot="1" x14ac:dyDescent="0.35">
      <c r="A437" s="31" t="s">
        <v>1563</v>
      </c>
      <c r="B437" s="51">
        <f>IF('Equip&amp;Mach List'!P52="Loose",'Equip&amp;Mach List'!B52&amp;" "&amp;'Equip&amp;Mach List'!C52,0)</f>
        <v>0</v>
      </c>
      <c r="C437" s="33" t="s">
        <v>225</v>
      </c>
      <c r="D437" s="520" t="str">
        <f>IF(B437=0,"","Dim. "&amp;'Equip&amp;Mach List'!AC52&amp;"m x "&amp;'Equip&amp;Mach List'!AD52&amp;"m x "&amp;'Equip&amp;Mach List'!AE52&amp;"m - Unit Net/Gross Weight "&amp;ROUND('Equip&amp;Mach List'!N52,-1)&amp;"/"&amp;ROUND('Equip&amp;Mach List'!N52+'Equip&amp;Mach List'!AI52,-1)&amp;" kg")</f>
        <v/>
      </c>
      <c r="E437" s="35"/>
      <c r="F437" s="35"/>
      <c r="G437" s="35"/>
      <c r="H437" s="35"/>
      <c r="I437" s="35"/>
      <c r="J437" s="825">
        <f>IF(B437=0,0,'Equip&amp;Mach List'!AF52&amp;" x "&amp;'Equip&amp;Mach List'!O52)</f>
        <v>0</v>
      </c>
      <c r="K437" s="739"/>
      <c r="L437" s="42">
        <f>IF(B437=0,0,'Equip&amp;Mach List'!AF52)*K437</f>
        <v>0</v>
      </c>
    </row>
    <row r="438" spans="1:12" ht="16.2" thickBot="1" x14ac:dyDescent="0.35">
      <c r="A438" s="1474" t="s">
        <v>1564</v>
      </c>
      <c r="B438" s="1479" t="s">
        <v>1565</v>
      </c>
      <c r="C438" s="1480"/>
      <c r="D438" s="1481"/>
      <c r="E438" s="1481"/>
      <c r="F438" s="1481"/>
      <c r="G438" s="1481"/>
      <c r="H438" s="1481"/>
      <c r="I438" s="1481"/>
      <c r="J438" s="1481"/>
      <c r="K438" s="1482"/>
      <c r="L438" s="1131">
        <f>L439</f>
        <v>0</v>
      </c>
    </row>
    <row r="439" spans="1:12" ht="16.2" thickBot="1" x14ac:dyDescent="0.35">
      <c r="A439" s="826" t="s">
        <v>1566</v>
      </c>
      <c r="B439" s="827" t="s">
        <v>1565</v>
      </c>
      <c r="C439" s="828" t="s">
        <v>301</v>
      </c>
      <c r="D439" s="829" t="str">
        <f>"Unit Net/Gross Weight "&amp;ROUND(SUM('Proposal Quantity Report'!B44:G44)-'Steel Structure List'!I23-'Steel Structure List'!I36,-1)/CEILING((SUM('Proposal Quantity Report'!B44:G44)-'Steel Structure List'!I23-'Steel Structure List'!I36)/26710,1)&amp;"/"&amp;ROUND(SUM('Proposal Quantity Report'!B44:G44)-'Steel Structure List'!I23-'Steel Structure List'!I36,-1)/CEILING((SUM('Proposal Quantity Report'!B44:G44)-'Steel Structure List'!I23-'Steel Structure List'!I36)/26710,1)+4000&amp;" kg / 40' Containers"</f>
        <v>Unit Net/Gross Weight 1610/5610 kg / 40' Containers</v>
      </c>
      <c r="E439" s="830"/>
      <c r="F439" s="830"/>
      <c r="G439" s="830"/>
      <c r="H439" s="830"/>
      <c r="I439" s="830"/>
      <c r="J439" s="831">
        <f>CEILING((SUM('Proposal Quantity Report'!B44:G44)-'Steel Structure List'!I23-'Steel Structure List'!I36)/26710,1)</f>
        <v>1</v>
      </c>
      <c r="K439" s="832"/>
      <c r="L439" s="1128">
        <f>K439*J439</f>
        <v>0</v>
      </c>
    </row>
    <row r="440" spans="1:12" ht="18.600000000000001" thickBot="1" x14ac:dyDescent="0.35">
      <c r="A440" s="1236">
        <v>5</v>
      </c>
      <c r="B440" s="1408" t="s">
        <v>1567</v>
      </c>
      <c r="C440" s="1409"/>
      <c r="D440" s="1409"/>
      <c r="E440" s="1409"/>
      <c r="F440" s="1409"/>
      <c r="G440" s="1409"/>
      <c r="H440" s="1409"/>
      <c r="I440" s="1409"/>
      <c r="J440" s="1409"/>
      <c r="K440" s="1410"/>
      <c r="L440" s="1237"/>
    </row>
    <row r="441" spans="1:12" ht="16.2" thickBot="1" x14ac:dyDescent="0.35">
      <c r="A441" s="1474" t="s">
        <v>1568</v>
      </c>
      <c r="B441" s="1742" t="s">
        <v>1569</v>
      </c>
      <c r="C441" s="1742"/>
      <c r="D441" s="1742"/>
      <c r="E441" s="1742"/>
      <c r="F441" s="1742"/>
      <c r="G441" s="1742"/>
      <c r="H441" s="1742"/>
      <c r="I441" s="1742"/>
      <c r="J441" s="1742"/>
      <c r="K441" s="1743"/>
      <c r="L441" s="1131">
        <f>SUM(L442:L454)</f>
        <v>898.43974068362786</v>
      </c>
    </row>
    <row r="442" spans="1:12" x14ac:dyDescent="0.3">
      <c r="A442" s="31" t="s">
        <v>1570</v>
      </c>
      <c r="B442" s="51" t="str">
        <f>"Painting of piping with cycle "&amp;List!BK2</f>
        <v>Painting of piping with cycle Cycle 1</v>
      </c>
      <c r="C442" s="33" t="s">
        <v>228</v>
      </c>
      <c r="D442" s="34"/>
      <c r="E442" s="35"/>
      <c r="F442" s="35"/>
      <c r="G442" s="35"/>
      <c r="H442" s="35"/>
      <c r="I442" s="35"/>
      <c r="J442" s="825">
        <f>SUMPRODUCT('Piping Material List'!$AA:$AA,'Piping Material List'!FH:FH)</f>
        <v>0</v>
      </c>
      <c r="K442" s="739">
        <v>50</v>
      </c>
      <c r="L442" s="1250">
        <f t="shared" ref="L442:L454" si="20">K442*J442</f>
        <v>0</v>
      </c>
    </row>
    <row r="443" spans="1:12" x14ac:dyDescent="0.3">
      <c r="A443" s="31" t="s">
        <v>1571</v>
      </c>
      <c r="B443" s="51" t="str">
        <f>"Painting of piping with cycle "&amp;List!BK3</f>
        <v>Painting of piping with cycle Cycle 2</v>
      </c>
      <c r="C443" s="33" t="s">
        <v>228</v>
      </c>
      <c r="D443" s="34"/>
      <c r="E443" s="35"/>
      <c r="F443" s="35"/>
      <c r="G443" s="35"/>
      <c r="H443" s="35"/>
      <c r="I443" s="35"/>
      <c r="J443" s="825">
        <f>SUMPRODUCT('Piping Material List'!$AA:$AA,'Piping Material List'!FI:FI)</f>
        <v>0</v>
      </c>
      <c r="K443" s="739"/>
      <c r="L443" s="1250">
        <f t="shared" si="20"/>
        <v>0</v>
      </c>
    </row>
    <row r="444" spans="1:12" x14ac:dyDescent="0.3">
      <c r="A444" s="31" t="s">
        <v>1572</v>
      </c>
      <c r="B444" s="51" t="str">
        <f>"Painting of piping with cycle "&amp;List!BK4</f>
        <v>Painting of piping with cycle Cycle 3</v>
      </c>
      <c r="C444" s="33" t="s">
        <v>228</v>
      </c>
      <c r="D444" s="34"/>
      <c r="E444" s="35"/>
      <c r="F444" s="35"/>
      <c r="G444" s="35"/>
      <c r="H444" s="35"/>
      <c r="I444" s="35"/>
      <c r="J444" s="825">
        <f>SUMPRODUCT('Piping Material List'!$AA:$AA,'Piping Material List'!FJ:FJ)</f>
        <v>0</v>
      </c>
      <c r="K444" s="739"/>
      <c r="L444" s="1250">
        <f t="shared" si="20"/>
        <v>0</v>
      </c>
    </row>
    <row r="445" spans="1:12" x14ac:dyDescent="0.3">
      <c r="A445" s="31" t="s">
        <v>1573</v>
      </c>
      <c r="B445" s="51" t="str">
        <f>"Painting of piping with cycle "&amp;List!BK5</f>
        <v>Painting of piping with cycle X</v>
      </c>
      <c r="C445" s="33" t="s">
        <v>228</v>
      </c>
      <c r="D445" s="34"/>
      <c r="E445" s="35"/>
      <c r="F445" s="35"/>
      <c r="G445" s="35"/>
      <c r="H445" s="35"/>
      <c r="I445" s="35"/>
      <c r="J445" s="825">
        <f>SUMPRODUCT('Piping Material List'!$AA:$AA,'Piping Material List'!FK:FK)</f>
        <v>0</v>
      </c>
      <c r="K445" s="739"/>
      <c r="L445" s="1250">
        <f t="shared" si="20"/>
        <v>0</v>
      </c>
    </row>
    <row r="446" spans="1:12" x14ac:dyDescent="0.3">
      <c r="A446" s="31" t="s">
        <v>1574</v>
      </c>
      <c r="B446" s="51" t="str">
        <f>"Painting of piping with cycle "&amp;List!BK6</f>
        <v>Painting of piping with cycle X</v>
      </c>
      <c r="C446" s="33" t="s">
        <v>228</v>
      </c>
      <c r="D446" s="34"/>
      <c r="E446" s="35"/>
      <c r="F446" s="35"/>
      <c r="G446" s="35"/>
      <c r="H446" s="35"/>
      <c r="I446" s="35"/>
      <c r="J446" s="825">
        <f>SUMPRODUCT('Piping Material List'!$AA:$AA,'Piping Material List'!FL:FL)</f>
        <v>0</v>
      </c>
      <c r="K446" s="739"/>
      <c r="L446" s="1250">
        <f t="shared" si="20"/>
        <v>0</v>
      </c>
    </row>
    <row r="447" spans="1:12" x14ac:dyDescent="0.3">
      <c r="A447" s="31" t="s">
        <v>1575</v>
      </c>
      <c r="B447" s="51" t="str">
        <f>"Painting of piping with cycle "&amp;List!BK7</f>
        <v>Painting of piping with cycle X</v>
      </c>
      <c r="C447" s="33" t="s">
        <v>228</v>
      </c>
      <c r="D447" s="34"/>
      <c r="E447" s="35"/>
      <c r="F447" s="35"/>
      <c r="G447" s="35"/>
      <c r="H447" s="35"/>
      <c r="I447" s="35"/>
      <c r="J447" s="825">
        <f>SUMPRODUCT('Piping Material List'!$AA:$AA,'Piping Material List'!FM:FM)</f>
        <v>0</v>
      </c>
      <c r="K447" s="739"/>
      <c r="L447" s="1250">
        <f t="shared" si="20"/>
        <v>0</v>
      </c>
    </row>
    <row r="448" spans="1:12" x14ac:dyDescent="0.3">
      <c r="A448" s="31" t="s">
        <v>1576</v>
      </c>
      <c r="B448" s="51" t="str">
        <f>"Painting of piping with cycle "&amp;List!BK8</f>
        <v>Painting of piping with cycle X</v>
      </c>
      <c r="C448" s="33" t="s">
        <v>228</v>
      </c>
      <c r="D448" s="34"/>
      <c r="E448" s="35"/>
      <c r="F448" s="35"/>
      <c r="G448" s="35"/>
      <c r="H448" s="35"/>
      <c r="I448" s="35"/>
      <c r="J448" s="825">
        <f>SUMPRODUCT('Piping Material List'!$AA:$AA,'Piping Material List'!FN:FN)</f>
        <v>0</v>
      </c>
      <c r="K448" s="739"/>
      <c r="L448" s="1250">
        <f t="shared" si="20"/>
        <v>0</v>
      </c>
    </row>
    <row r="449" spans="1:12" x14ac:dyDescent="0.3">
      <c r="A449" s="31" t="s">
        <v>1577</v>
      </c>
      <c r="B449" s="51" t="str">
        <f>"Painting of piping with cycle "&amp;List!BK9</f>
        <v>Painting of piping with cycle X</v>
      </c>
      <c r="C449" s="33" t="s">
        <v>228</v>
      </c>
      <c r="D449" s="34"/>
      <c r="E449" s="35"/>
      <c r="F449" s="35"/>
      <c r="G449" s="35"/>
      <c r="H449" s="35"/>
      <c r="I449" s="35"/>
      <c r="J449" s="825">
        <f>SUMPRODUCT('Piping Material List'!$AA:$AA,'Piping Material List'!FO:FO)</f>
        <v>0</v>
      </c>
      <c r="K449" s="739"/>
      <c r="L449" s="1250">
        <f t="shared" si="20"/>
        <v>0</v>
      </c>
    </row>
    <row r="450" spans="1:12" x14ac:dyDescent="0.3">
      <c r="A450" s="31" t="s">
        <v>1578</v>
      </c>
      <c r="B450" s="51" t="str">
        <f>"Painting of piping with cycle "&amp;List!BK10</f>
        <v>Painting of piping with cycle X</v>
      </c>
      <c r="C450" s="33" t="s">
        <v>228</v>
      </c>
      <c r="D450" s="34"/>
      <c r="E450" s="35"/>
      <c r="F450" s="35"/>
      <c r="G450" s="35"/>
      <c r="H450" s="35"/>
      <c r="I450" s="35"/>
      <c r="J450" s="825">
        <f>SUMPRODUCT('Piping Material List'!$AA:$AA,'Piping Material List'!FP:FP)</f>
        <v>0</v>
      </c>
      <c r="K450" s="739"/>
      <c r="L450" s="1250">
        <f t="shared" si="20"/>
        <v>0</v>
      </c>
    </row>
    <row r="451" spans="1:12" x14ac:dyDescent="0.3">
      <c r="A451" s="31" t="s">
        <v>1579</v>
      </c>
      <c r="B451" s="51" t="str">
        <f>"Painting of piping with cycle "&amp;List!BK11</f>
        <v>Painting of piping with cycle X</v>
      </c>
      <c r="C451" s="33" t="s">
        <v>228</v>
      </c>
      <c r="D451" s="34"/>
      <c r="E451" s="35"/>
      <c r="F451" s="35"/>
      <c r="G451" s="35"/>
      <c r="H451" s="35"/>
      <c r="I451" s="35"/>
      <c r="J451" s="825">
        <f>SUMPRODUCT('Piping Material List'!$AA:$AA,'Piping Material List'!FQ:FQ)</f>
        <v>0</v>
      </c>
      <c r="K451" s="739"/>
      <c r="L451" s="1250">
        <f t="shared" si="20"/>
        <v>0</v>
      </c>
    </row>
    <row r="452" spans="1:12" x14ac:dyDescent="0.3">
      <c r="A452" s="31" t="s">
        <v>1580</v>
      </c>
      <c r="B452" s="51" t="str">
        <f>"Painting of piping with cycle "&amp;List!BK12</f>
        <v>Painting of piping with cycle X</v>
      </c>
      <c r="C452" s="33" t="s">
        <v>228</v>
      </c>
      <c r="D452" s="34"/>
      <c r="E452" s="35"/>
      <c r="F452" s="35"/>
      <c r="G452" s="35"/>
      <c r="H452" s="35"/>
      <c r="I452" s="35"/>
      <c r="J452" s="825">
        <f>SUMPRODUCT('Piping Material List'!$AA:$AA,'Piping Material List'!FR:FR)</f>
        <v>0</v>
      </c>
      <c r="K452" s="739"/>
      <c r="L452" s="1250">
        <f t="shared" si="20"/>
        <v>0</v>
      </c>
    </row>
    <row r="453" spans="1:12" x14ac:dyDescent="0.3">
      <c r="A453" s="31" t="s">
        <v>1581</v>
      </c>
      <c r="B453" s="51" t="str">
        <f>"Painting of piping with cycle "&amp;List!BK13</f>
        <v>Painting of piping with cycle X</v>
      </c>
      <c r="C453" s="33" t="s">
        <v>228</v>
      </c>
      <c r="D453" s="34"/>
      <c r="E453" s="35"/>
      <c r="F453" s="35"/>
      <c r="G453" s="35"/>
      <c r="H453" s="35"/>
      <c r="I453" s="35"/>
      <c r="J453" s="825">
        <f>SUMPRODUCT('Piping Material List'!$AA:$AA,'Piping Material List'!FS:FS)</f>
        <v>0</v>
      </c>
      <c r="K453" s="739"/>
      <c r="L453" s="1250">
        <f t="shared" si="20"/>
        <v>0</v>
      </c>
    </row>
    <row r="454" spans="1:12" ht="16.2" thickBot="1" x14ac:dyDescent="0.35">
      <c r="A454" s="31" t="s">
        <v>1582</v>
      </c>
      <c r="B454" s="51" t="str">
        <f>"Painting of insulated piping"</f>
        <v>Painting of insulated piping</v>
      </c>
      <c r="C454" s="33" t="s">
        <v>228</v>
      </c>
      <c r="D454" s="34"/>
      <c r="E454" s="35"/>
      <c r="F454" s="35"/>
      <c r="G454" s="35"/>
      <c r="H454" s="35"/>
      <c r="I454" s="35"/>
      <c r="J454" s="825">
        <f>SUMPRODUCT('Piping Material List'!$AA:$AA,'Piping Material List'!FT:FT)</f>
        <v>89.843974068362783</v>
      </c>
      <c r="K454" s="739">
        <v>10</v>
      </c>
      <c r="L454" s="1250">
        <f t="shared" si="20"/>
        <v>898.43974068362786</v>
      </c>
    </row>
    <row r="455" spans="1:12" ht="18.600000000000001" thickBot="1" x14ac:dyDescent="0.35">
      <c r="A455" s="1236">
        <v>6</v>
      </c>
      <c r="B455" s="1408" t="s">
        <v>1583</v>
      </c>
      <c r="C455" s="1409"/>
      <c r="D455" s="1409"/>
      <c r="E455" s="1409"/>
      <c r="F455" s="1409"/>
      <c r="G455" s="1409"/>
      <c r="H455" s="1409"/>
      <c r="I455" s="1409"/>
      <c r="J455" s="1409"/>
      <c r="K455" s="1410"/>
      <c r="L455" s="1237"/>
    </row>
    <row r="456" spans="1:12" ht="16.2" thickBot="1" x14ac:dyDescent="0.35">
      <c r="A456" s="1474" t="s">
        <v>1584</v>
      </c>
      <c r="B456" s="1742" t="s">
        <v>1585</v>
      </c>
      <c r="C456" s="1742"/>
      <c r="D456" s="1742"/>
      <c r="E456" s="1742"/>
      <c r="F456" s="1742"/>
      <c r="G456" s="1742"/>
      <c r="H456" s="1742"/>
      <c r="I456" s="1742"/>
      <c r="J456" s="1742"/>
      <c r="K456" s="1743"/>
      <c r="L456" s="1131" t="e">
        <f>SUM(L457:L463)</f>
        <v>#N/A</v>
      </c>
    </row>
    <row r="457" spans="1:12" x14ac:dyDescent="0.3">
      <c r="A457" s="31" t="s">
        <v>1586</v>
      </c>
      <c r="B457" s="51" t="s">
        <v>1587</v>
      </c>
      <c r="C457" s="33" t="s">
        <v>228</v>
      </c>
      <c r="D457" s="520"/>
      <c r="E457" s="35"/>
      <c r="F457" s="35"/>
      <c r="G457" s="35"/>
      <c r="H457" s="35"/>
      <c r="I457" s="35"/>
      <c r="J457" s="825" t="e">
        <f>SUMPRODUCT('Equip&amp;Mach List'!$BF:$BF,'Equip&amp;Mach List'!CF:CF)+SUMPRODUCT('Equip&amp;Mach List'!$BL:$BL,'Equip&amp;Mach List'!BW:BW)+SUMPRODUCT('Equip&amp;Mach List'!$BR:$BR,'Equip&amp;Mach List'!CO:CO)+SUMPRODUCT('Equip&amp;Mach List'!$BG:$BG,'Equip&amp;Mach List'!CX:CX)+SUMPRODUCT('Equip&amp;Mach List'!$BM:$BM,'Equip&amp;Mach List'!DG:DG)+SUMPRODUCT('Equip&amp;Mach List'!$BS:$BS,'Equip&amp;Mach List'!DP:DP)+SUMPRODUCT('Equip&amp;Mach List'!$BH:$BH,'Equip&amp;Mach List'!DY:DY)+SUMPRODUCT('Equip&amp;Mach List'!$BN:$BN,'Equip&amp;Mach List'!EH:EH)+SUMPRODUCT('Equip&amp;Mach List'!$BT:$BT,'Equip&amp;Mach List'!EQ:EQ)-J465</f>
        <v>#N/A</v>
      </c>
      <c r="K457" s="739">
        <v>50</v>
      </c>
      <c r="L457" s="1238" t="e">
        <f t="shared" ref="L457:L463" si="21">K457*J457</f>
        <v>#N/A</v>
      </c>
    </row>
    <row r="458" spans="1:12" x14ac:dyDescent="0.3">
      <c r="A458" s="31" t="s">
        <v>1588</v>
      </c>
      <c r="B458" s="51" t="s">
        <v>1589</v>
      </c>
      <c r="C458" s="33" t="s">
        <v>228</v>
      </c>
      <c r="D458" s="520"/>
      <c r="E458" s="35"/>
      <c r="F458" s="35"/>
      <c r="G458" s="35"/>
      <c r="H458" s="35"/>
      <c r="I458" s="35"/>
      <c r="J458" s="825" t="e">
        <f>SUMPRODUCT('Equip&amp;Mach List'!$BF:$BF,'Equip&amp;Mach List'!CG:CG)+SUMPRODUCT('Equip&amp;Mach List'!$BL:$BL,'Equip&amp;Mach List'!BX:BX)+SUMPRODUCT('Equip&amp;Mach List'!$BR:$BR,'Equip&amp;Mach List'!CP:CP)+SUMPRODUCT('Equip&amp;Mach List'!$BG:$BG,'Equip&amp;Mach List'!CY:CY)+SUMPRODUCT('Equip&amp;Mach List'!$BM:$BM,'Equip&amp;Mach List'!DH:DH)+SUMPRODUCT('Equip&amp;Mach List'!$BS:$BS,'Equip&amp;Mach List'!DQ:DQ)+SUMPRODUCT('Equip&amp;Mach List'!$BH:$BH,'Equip&amp;Mach List'!DZ:DZ)+SUMPRODUCT('Equip&amp;Mach List'!$BN:$BN,'Equip&amp;Mach List'!EI:EI)+SUMPRODUCT('Equip&amp;Mach List'!$BT:$BT,'Equip&amp;Mach List'!ER:ER)-J466</f>
        <v>#N/A</v>
      </c>
      <c r="K458" s="739">
        <v>50</v>
      </c>
      <c r="L458" s="1239" t="e">
        <f t="shared" si="21"/>
        <v>#N/A</v>
      </c>
    </row>
    <row r="459" spans="1:12" x14ac:dyDescent="0.3">
      <c r="A459" s="31" t="s">
        <v>1590</v>
      </c>
      <c r="B459" s="51" t="s">
        <v>1591</v>
      </c>
      <c r="C459" s="33" t="s">
        <v>228</v>
      </c>
      <c r="D459" s="520"/>
      <c r="E459" s="35"/>
      <c r="F459" s="35"/>
      <c r="G459" s="35"/>
      <c r="H459" s="35"/>
      <c r="I459" s="35"/>
      <c r="J459" s="825" t="e">
        <f>SUMPRODUCT('Equip&amp;Mach List'!$BF:$BF,'Equip&amp;Mach List'!CH:CH)+SUMPRODUCT('Equip&amp;Mach List'!$BL:$BL,'Equip&amp;Mach List'!BY:BY)+SUMPRODUCT('Equip&amp;Mach List'!$BR:$BR,'Equip&amp;Mach List'!CQ:CQ)+SUMPRODUCT('Equip&amp;Mach List'!$BG:$BG,'Equip&amp;Mach List'!CZ:CZ)+SUMPRODUCT('Equip&amp;Mach List'!$BM:$BM,'Equip&amp;Mach List'!DI:DI)+SUMPRODUCT('Equip&amp;Mach List'!$BS:$BS,'Equip&amp;Mach List'!DR:DR)+SUMPRODUCT('Equip&amp;Mach List'!$BH:$BH,'Equip&amp;Mach List'!EA:EA)+SUMPRODUCT('Equip&amp;Mach List'!$BN:$BN,'Equip&amp;Mach List'!EJ:EJ)+SUMPRODUCT('Equip&amp;Mach List'!$BT:$BT,'Equip&amp;Mach List'!ES:ES)-J467</f>
        <v>#N/A</v>
      </c>
      <c r="K459" s="739">
        <v>100</v>
      </c>
      <c r="L459" s="1239" t="e">
        <f t="shared" si="21"/>
        <v>#N/A</v>
      </c>
    </row>
    <row r="460" spans="1:12" x14ac:dyDescent="0.3">
      <c r="A460" s="31" t="s">
        <v>1592</v>
      </c>
      <c r="B460" s="51" t="s">
        <v>1593</v>
      </c>
      <c r="C460" s="33" t="s">
        <v>228</v>
      </c>
      <c r="D460" s="520"/>
      <c r="E460" s="35"/>
      <c r="F460" s="35"/>
      <c r="G460" s="35"/>
      <c r="H460" s="35"/>
      <c r="I460" s="35"/>
      <c r="J460" s="825" t="e">
        <f>SUMPRODUCT('Equip&amp;Mach List'!$BF:$BF,'Equip&amp;Mach List'!CI:CI)+SUMPRODUCT('Equip&amp;Mach List'!$BL:$BL,'Equip&amp;Mach List'!BZ:BZ)+SUMPRODUCT('Equip&amp;Mach List'!$BR:$BR,'Equip&amp;Mach List'!CR:CR)+SUMPRODUCT('Equip&amp;Mach List'!$BG:$BG,'Equip&amp;Mach List'!DA:DA)+SUMPRODUCT('Equip&amp;Mach List'!$BM:$BM,'Equip&amp;Mach List'!DJ:DJ)+SUMPRODUCT('Equip&amp;Mach List'!$BS:$BS,'Equip&amp;Mach List'!DS:DS)+SUMPRODUCT('Equip&amp;Mach List'!$BH:$BH,'Equip&amp;Mach List'!EB:EB)+SUMPRODUCT('Equip&amp;Mach List'!$BN:$BN,'Equip&amp;Mach List'!EK:EK)+SUMPRODUCT('Equip&amp;Mach List'!$BT:$BT,'Equip&amp;Mach List'!ET:ET)-J468</f>
        <v>#N/A</v>
      </c>
      <c r="K460" s="739">
        <v>50</v>
      </c>
      <c r="L460" s="1239" t="e">
        <f t="shared" si="21"/>
        <v>#N/A</v>
      </c>
    </row>
    <row r="461" spans="1:12" x14ac:dyDescent="0.3">
      <c r="A461" s="31" t="s">
        <v>1594</v>
      </c>
      <c r="B461" s="51" t="s">
        <v>1595</v>
      </c>
      <c r="C461" s="33" t="s">
        <v>228</v>
      </c>
      <c r="D461" s="520"/>
      <c r="E461" s="35"/>
      <c r="F461" s="35"/>
      <c r="G461" s="35"/>
      <c r="H461" s="35"/>
      <c r="I461" s="35"/>
      <c r="J461" s="825" t="e">
        <f>SUMPRODUCT('Equip&amp;Mach List'!$BF:$BF,'Equip&amp;Mach List'!CJ:CJ)+SUMPRODUCT('Equip&amp;Mach List'!$BL:$BL,'Equip&amp;Mach List'!CA:CA)+SUMPRODUCT('Equip&amp;Mach List'!$BR:$BR,'Equip&amp;Mach List'!CS:CS)+SUMPRODUCT('Equip&amp;Mach List'!$BG:$BG,'Equip&amp;Mach List'!DB:DB)+SUMPRODUCT('Equip&amp;Mach List'!$BM:$BM,'Equip&amp;Mach List'!DK:DK)+SUMPRODUCT('Equip&amp;Mach List'!$BS:$BS,'Equip&amp;Mach List'!DT:DT)+SUMPRODUCT('Equip&amp;Mach List'!$BH:$BH,'Equip&amp;Mach List'!EC:EC)+SUMPRODUCT('Equip&amp;Mach List'!$BN:$BN,'Equip&amp;Mach List'!EL:EL)+SUMPRODUCT('Equip&amp;Mach List'!$BT:$BT,'Equip&amp;Mach List'!EU:EU)-J469</f>
        <v>#N/A</v>
      </c>
      <c r="K461" s="739">
        <v>50</v>
      </c>
      <c r="L461" s="1239" t="e">
        <f t="shared" si="21"/>
        <v>#N/A</v>
      </c>
    </row>
    <row r="462" spans="1:12" x14ac:dyDescent="0.3">
      <c r="A462" s="31" t="s">
        <v>1596</v>
      </c>
      <c r="B462" s="51" t="s">
        <v>1597</v>
      </c>
      <c r="C462" s="33" t="s">
        <v>228</v>
      </c>
      <c r="D462" s="520"/>
      <c r="E462" s="35"/>
      <c r="F462" s="35"/>
      <c r="G462" s="35"/>
      <c r="H462" s="35"/>
      <c r="I462" s="35"/>
      <c r="J462" s="825" t="e">
        <f>SUMPRODUCT('Equip&amp;Mach List'!$BF:$BF,'Equip&amp;Mach List'!CK:CK)+SUMPRODUCT('Equip&amp;Mach List'!$BL:$BL,'Equip&amp;Mach List'!CB:CB)+SUMPRODUCT('Equip&amp;Mach List'!$BR:$BR,'Equip&amp;Mach List'!CT:CT)+SUMPRODUCT('Equip&amp;Mach List'!$BG:$BG,'Equip&amp;Mach List'!DC:DC)+SUMPRODUCT('Equip&amp;Mach List'!$BM:$BM,'Equip&amp;Mach List'!DL:DL)+SUMPRODUCT('Equip&amp;Mach List'!$BS:$BS,'Equip&amp;Mach List'!DU:DU)+SUMPRODUCT('Equip&amp;Mach List'!$BH:$BH,'Equip&amp;Mach List'!ED:ED)+SUMPRODUCT('Equip&amp;Mach List'!$BN:$BN,'Equip&amp;Mach List'!EM:EM)+SUMPRODUCT('Equip&amp;Mach List'!$BT:$BT,'Equip&amp;Mach List'!EV:EV)-J470</f>
        <v>#N/A</v>
      </c>
      <c r="K462" s="739">
        <v>50</v>
      </c>
      <c r="L462" s="1239" t="e">
        <f t="shared" si="21"/>
        <v>#N/A</v>
      </c>
    </row>
    <row r="463" spans="1:12" ht="16.2" thickBot="1" x14ac:dyDescent="0.35">
      <c r="A463" s="31" t="s">
        <v>1598</v>
      </c>
      <c r="B463" s="51" t="s">
        <v>1599</v>
      </c>
      <c r="C463" s="33" t="s">
        <v>228</v>
      </c>
      <c r="D463" s="520"/>
      <c r="E463" s="35"/>
      <c r="F463" s="35"/>
      <c r="G463" s="35"/>
      <c r="H463" s="35"/>
      <c r="I463" s="35"/>
      <c r="J463" s="825" t="e">
        <f>SUMPRODUCT('Equip&amp;Mach List'!$BF:$BF,'Equip&amp;Mach List'!CL:CL)+SUMPRODUCT('Equip&amp;Mach List'!$BL:$BL,'Equip&amp;Mach List'!CC:CC)+SUMPRODUCT('Equip&amp;Mach List'!$BR:$BR,'Equip&amp;Mach List'!CU:CU)+SUMPRODUCT('Equip&amp;Mach List'!$BG:$BG,'Equip&amp;Mach List'!DD:DD)+SUMPRODUCT('Equip&amp;Mach List'!$BM:$BM,'Equip&amp;Mach List'!DM:DM)+SUMPRODUCT('Equip&amp;Mach List'!$BS:$BS,'Equip&amp;Mach List'!DV:DV)+SUMPRODUCT('Equip&amp;Mach List'!$BH:$BH,'Equip&amp;Mach List'!EE:EE)+SUMPRODUCT('Equip&amp;Mach List'!$BN:$BN,'Equip&amp;Mach List'!EN:EN)+SUMPRODUCT('Equip&amp;Mach List'!$BT:$BT,'Equip&amp;Mach List'!EW:EW)-J471</f>
        <v>#N/A</v>
      </c>
      <c r="K463" s="739">
        <v>50</v>
      </c>
      <c r="L463" s="1239" t="e">
        <f t="shared" si="21"/>
        <v>#N/A</v>
      </c>
    </row>
    <row r="464" spans="1:12" ht="16.2" thickBot="1" x14ac:dyDescent="0.35">
      <c r="A464" s="1474" t="s">
        <v>1600</v>
      </c>
      <c r="B464" s="1742" t="s">
        <v>1601</v>
      </c>
      <c r="C464" s="1742"/>
      <c r="D464" s="1742"/>
      <c r="E464" s="1742"/>
      <c r="F464" s="1742"/>
      <c r="G464" s="1742"/>
      <c r="H464" s="1742"/>
      <c r="I464" s="1742"/>
      <c r="J464" s="1742"/>
      <c r="K464" s="1743"/>
      <c r="L464" s="1131" t="e">
        <f>SUM(L465:L471)</f>
        <v>#N/A</v>
      </c>
    </row>
    <row r="465" spans="1:12" x14ac:dyDescent="0.3">
      <c r="A465" s="31" t="s">
        <v>1602</v>
      </c>
      <c r="B465" s="51" t="s">
        <v>1587</v>
      </c>
      <c r="C465" s="33" t="s">
        <v>228</v>
      </c>
      <c r="D465" s="520"/>
      <c r="E465" s="35"/>
      <c r="F465" s="35"/>
      <c r="G465" s="35"/>
      <c r="H465" s="35"/>
      <c r="I465" s="35"/>
      <c r="J465" s="825" t="e">
        <f>SUMPRODUCT('Equip&amp;Mach List'!$AK:$AK,'Equip&amp;Mach List'!$BF:$BF,'Equip&amp;Mach List'!CF:CF)+SUMPRODUCT('Equip&amp;Mach List'!$AK:$AK,'Equip&amp;Mach List'!$BL:$BL,'Equip&amp;Mach List'!BW:BW)+SUMPRODUCT('Equip&amp;Mach List'!$AK:$AK,'Equip&amp;Mach List'!$BR:$BR,'Equip&amp;Mach List'!CO:CO)+SUMPRODUCT('Equip&amp;Mach List'!$AK:$AK,'Equip&amp;Mach List'!$BG:$BG,'Equip&amp;Mach List'!CX:CX)+SUMPRODUCT('Equip&amp;Mach List'!$AK:$AK,'Equip&amp;Mach List'!$BM:$BM,'Equip&amp;Mach List'!DG:DG)+SUMPRODUCT('Equip&amp;Mach List'!$AK:$AK,'Equip&amp;Mach List'!$BS:$BS,'Equip&amp;Mach List'!DP:DP)+SUMPRODUCT('Equip&amp;Mach List'!$AK:$AK,'Equip&amp;Mach List'!$BH:$BH,'Equip&amp;Mach List'!DY:DY)+SUMPRODUCT('Equip&amp;Mach List'!$AK:$AK,'Equip&amp;Mach List'!$BN:$BN,'Equip&amp;Mach List'!EH:EH)+SUMPRODUCT('Equip&amp;Mach List'!$AK:$AK,'Equip&amp;Mach List'!$BT:$BT,'Equip&amp;Mach List'!EQ:EQ)</f>
        <v>#N/A</v>
      </c>
      <c r="K465" s="739">
        <v>50</v>
      </c>
      <c r="L465" s="1238" t="e">
        <f t="shared" ref="L465:L471" si="22">J465*K465</f>
        <v>#N/A</v>
      </c>
    </row>
    <row r="466" spans="1:12" x14ac:dyDescent="0.3">
      <c r="A466" s="31" t="s">
        <v>1603</v>
      </c>
      <c r="B466" s="51" t="s">
        <v>1589</v>
      </c>
      <c r="C466" s="33" t="s">
        <v>228</v>
      </c>
      <c r="D466" s="520"/>
      <c r="E466" s="35"/>
      <c r="F466" s="35"/>
      <c r="G466" s="35"/>
      <c r="H466" s="35"/>
      <c r="I466" s="35"/>
      <c r="J466" s="825" t="e">
        <f>SUMPRODUCT('Equip&amp;Mach List'!$AK:$AK,'Equip&amp;Mach List'!$BF:$BF,'Equip&amp;Mach List'!CG:CG)+SUMPRODUCT('Equip&amp;Mach List'!$AK:$AK,'Equip&amp;Mach List'!$BL:$BL,'Equip&amp;Mach List'!BX:BX)+SUMPRODUCT('Equip&amp;Mach List'!$AK:$AK,'Equip&amp;Mach List'!$BR:$BR,'Equip&amp;Mach List'!CP:CP)+SUMPRODUCT('Equip&amp;Mach List'!$AK:$AK,'Equip&amp;Mach List'!$BG:$BG,'Equip&amp;Mach List'!CY:CY)+SUMPRODUCT('Equip&amp;Mach List'!$AK:$AK,'Equip&amp;Mach List'!$BM:$BM,'Equip&amp;Mach List'!DH:DH)+SUMPRODUCT('Equip&amp;Mach List'!$AK:$AK,'Equip&amp;Mach List'!$BS:$BS,'Equip&amp;Mach List'!DQ:DQ)+SUMPRODUCT('Equip&amp;Mach List'!$AK:$AK,'Equip&amp;Mach List'!$BH:$BH,'Equip&amp;Mach List'!DZ:DZ)+SUMPRODUCT('Equip&amp;Mach List'!$AK:$AK,'Equip&amp;Mach List'!$BN:$BN,'Equip&amp;Mach List'!EI:EI)+SUMPRODUCT('Equip&amp;Mach List'!$AK:$AK,'Equip&amp;Mach List'!$BT:$BT,'Equip&amp;Mach List'!ER:ER)</f>
        <v>#N/A</v>
      </c>
      <c r="K466" s="739">
        <v>50</v>
      </c>
      <c r="L466" s="1239" t="e">
        <f t="shared" si="22"/>
        <v>#N/A</v>
      </c>
    </row>
    <row r="467" spans="1:12" x14ac:dyDescent="0.3">
      <c r="A467" s="31" t="s">
        <v>1604</v>
      </c>
      <c r="B467" s="51" t="s">
        <v>1591</v>
      </c>
      <c r="C467" s="33" t="s">
        <v>228</v>
      </c>
      <c r="D467" s="520"/>
      <c r="E467" s="35"/>
      <c r="F467" s="35"/>
      <c r="G467" s="35"/>
      <c r="H467" s="35"/>
      <c r="I467" s="35"/>
      <c r="J467" s="825" t="e">
        <f>SUMPRODUCT('Equip&amp;Mach List'!$AK:$AK,'Equip&amp;Mach List'!$BF:$BF,'Equip&amp;Mach List'!CH:CH)+SUMPRODUCT('Equip&amp;Mach List'!$AK:$AK,'Equip&amp;Mach List'!$BL:$BL,'Equip&amp;Mach List'!BY:BY)+SUMPRODUCT('Equip&amp;Mach List'!$AK:$AK,'Equip&amp;Mach List'!$BR:$BR,'Equip&amp;Mach List'!CQ:CQ)+SUMPRODUCT('Equip&amp;Mach List'!$AK:$AK,'Equip&amp;Mach List'!$BG:$BG,'Equip&amp;Mach List'!CZ:CZ)+SUMPRODUCT('Equip&amp;Mach List'!$AK:$AK,'Equip&amp;Mach List'!$BM:$BM,'Equip&amp;Mach List'!DI:DI)+SUMPRODUCT('Equip&amp;Mach List'!$AK:$AK,'Equip&amp;Mach List'!$BS:$BS,'Equip&amp;Mach List'!DR:DR)+SUMPRODUCT('Equip&amp;Mach List'!$AK:$AK,'Equip&amp;Mach List'!$BH:$BH,'Equip&amp;Mach List'!EA:EA)+SUMPRODUCT('Equip&amp;Mach List'!$AK:$AK,'Equip&amp;Mach List'!$BN:$BN,'Equip&amp;Mach List'!EJ:EJ)+SUMPRODUCT('Equip&amp;Mach List'!$AK:$AK,'Equip&amp;Mach List'!$BT:$BT,'Equip&amp;Mach List'!ES:ES)</f>
        <v>#N/A</v>
      </c>
      <c r="K467" s="739">
        <v>50</v>
      </c>
      <c r="L467" s="1239" t="e">
        <f t="shared" si="22"/>
        <v>#N/A</v>
      </c>
    </row>
    <row r="468" spans="1:12" x14ac:dyDescent="0.3">
      <c r="A468" s="31" t="s">
        <v>1605</v>
      </c>
      <c r="B468" s="51" t="s">
        <v>1593</v>
      </c>
      <c r="C468" s="33" t="s">
        <v>228</v>
      </c>
      <c r="D468" s="520"/>
      <c r="E468" s="35"/>
      <c r="F468" s="35"/>
      <c r="G468" s="35"/>
      <c r="H468" s="35"/>
      <c r="I468" s="35"/>
      <c r="J468" s="825" t="e">
        <f>SUMPRODUCT('Equip&amp;Mach List'!$AK:$AK,'Equip&amp;Mach List'!$BF:$BF,'Equip&amp;Mach List'!CI:CI)+SUMPRODUCT('Equip&amp;Mach List'!$AK:$AK,'Equip&amp;Mach List'!$BL:$BL,'Equip&amp;Mach List'!BZ:BZ)+SUMPRODUCT('Equip&amp;Mach List'!$AK:$AK,'Equip&amp;Mach List'!$BR:$BR,'Equip&amp;Mach List'!CR:CR)+SUMPRODUCT('Equip&amp;Mach List'!$AK:$AK,'Equip&amp;Mach List'!$BG:$BG,'Equip&amp;Mach List'!DA:DA)+SUMPRODUCT('Equip&amp;Mach List'!$AK:$AK,'Equip&amp;Mach List'!$BM:$BM,'Equip&amp;Mach List'!DJ:DJ)+SUMPRODUCT('Equip&amp;Mach List'!$AK:$AK,'Equip&amp;Mach List'!$BS:$BS,'Equip&amp;Mach List'!DS:DS)+SUMPRODUCT('Equip&amp;Mach List'!$AK:$AK,'Equip&amp;Mach List'!$BH:$BH,'Equip&amp;Mach List'!EB:EB)+SUMPRODUCT('Equip&amp;Mach List'!$AK:$AK,'Equip&amp;Mach List'!$BN:$BN,'Equip&amp;Mach List'!EK:EK)+SUMPRODUCT('Equip&amp;Mach List'!$AK:$AK,'Equip&amp;Mach List'!$BT:$BT,'Equip&amp;Mach List'!ET:ET)</f>
        <v>#N/A</v>
      </c>
      <c r="K468" s="739">
        <v>50</v>
      </c>
      <c r="L468" s="1239" t="e">
        <f t="shared" si="22"/>
        <v>#N/A</v>
      </c>
    </row>
    <row r="469" spans="1:12" x14ac:dyDescent="0.3">
      <c r="A469" s="31" t="s">
        <v>1606</v>
      </c>
      <c r="B469" s="51" t="s">
        <v>1595</v>
      </c>
      <c r="C469" s="33" t="s">
        <v>228</v>
      </c>
      <c r="D469" s="520"/>
      <c r="E469" s="35"/>
      <c r="F469" s="35"/>
      <c r="G469" s="35"/>
      <c r="H469" s="35"/>
      <c r="I469" s="35"/>
      <c r="J469" s="825" t="e">
        <f>SUMPRODUCT('Equip&amp;Mach List'!$AK:$AK,'Equip&amp;Mach List'!$BF:$BF,'Equip&amp;Mach List'!CJ:CJ)+SUMPRODUCT('Equip&amp;Mach List'!$AK:$AK,'Equip&amp;Mach List'!$BL:$BL,'Equip&amp;Mach List'!CA:CA)+SUMPRODUCT('Equip&amp;Mach List'!$AK:$AK,'Equip&amp;Mach List'!$BR:$BR,'Equip&amp;Mach List'!CS:CS)+SUMPRODUCT('Equip&amp;Mach List'!$AK:$AK,'Equip&amp;Mach List'!$BG:$BG,'Equip&amp;Mach List'!DB:DB)+SUMPRODUCT('Equip&amp;Mach List'!$AK:$AK,'Equip&amp;Mach List'!$BM:$BM,'Equip&amp;Mach List'!DK:DK)+SUMPRODUCT('Equip&amp;Mach List'!$AK:$AK,'Equip&amp;Mach List'!$BS:$BS,'Equip&amp;Mach List'!DT:DT)+SUMPRODUCT('Equip&amp;Mach List'!$AK:$AK,'Equip&amp;Mach List'!$BH:$BH,'Equip&amp;Mach List'!EC:EC)+SUMPRODUCT('Equip&amp;Mach List'!$AK:$AK,'Equip&amp;Mach List'!$BN:$BN,'Equip&amp;Mach List'!EL:EL)+SUMPRODUCT('Equip&amp;Mach List'!$AK:$AK,'Equip&amp;Mach List'!$BT:$BT,'Equip&amp;Mach List'!EU:EU)</f>
        <v>#N/A</v>
      </c>
      <c r="K469" s="739">
        <v>50</v>
      </c>
      <c r="L469" s="1239" t="e">
        <f t="shared" si="22"/>
        <v>#N/A</v>
      </c>
    </row>
    <row r="470" spans="1:12" x14ac:dyDescent="0.3">
      <c r="A470" s="31" t="s">
        <v>1607</v>
      </c>
      <c r="B470" s="51" t="s">
        <v>1597</v>
      </c>
      <c r="C470" s="33" t="s">
        <v>228</v>
      </c>
      <c r="D470" s="520"/>
      <c r="E470" s="35"/>
      <c r="F470" s="35"/>
      <c r="G470" s="35"/>
      <c r="H470" s="35"/>
      <c r="I470" s="35"/>
      <c r="J470" s="825" t="e">
        <f>SUMPRODUCT('Equip&amp;Mach List'!$AK:$AK,'Equip&amp;Mach List'!$BF:$BF,'Equip&amp;Mach List'!CK:CK)+SUMPRODUCT('Equip&amp;Mach List'!$AK:$AK,'Equip&amp;Mach List'!$BL:$BL,'Equip&amp;Mach List'!CB:CB)+SUMPRODUCT('Equip&amp;Mach List'!$AK:$AK,'Equip&amp;Mach List'!$BR:$BR,'Equip&amp;Mach List'!CT:CT)+SUMPRODUCT('Equip&amp;Mach List'!$AK:$AK,'Equip&amp;Mach List'!$BG:$BG,'Equip&amp;Mach List'!DC:DC)+SUMPRODUCT('Equip&amp;Mach List'!$AK:$AK,'Equip&amp;Mach List'!$BM:$BM,'Equip&amp;Mach List'!DL:DL)+SUMPRODUCT('Equip&amp;Mach List'!$AK:$AK,'Equip&amp;Mach List'!$BS:$BS,'Equip&amp;Mach List'!DU:DU)+SUMPRODUCT('Equip&amp;Mach List'!$AK:$AK,'Equip&amp;Mach List'!$BH:$BH,'Equip&amp;Mach List'!ED:ED)+SUMPRODUCT('Equip&amp;Mach List'!$AK:$AK,'Equip&amp;Mach List'!$BN:$BN,'Equip&amp;Mach List'!EM:EM)+SUMPRODUCT('Equip&amp;Mach List'!$AK:$AK,'Equip&amp;Mach List'!$BT:$BT,'Equip&amp;Mach List'!EV:EV)</f>
        <v>#N/A</v>
      </c>
      <c r="K470" s="739">
        <v>50</v>
      </c>
      <c r="L470" s="1239" t="e">
        <f t="shared" si="22"/>
        <v>#N/A</v>
      </c>
    </row>
    <row r="471" spans="1:12" ht="16.2" thickBot="1" x14ac:dyDescent="0.35">
      <c r="A471" s="31" t="s">
        <v>1608</v>
      </c>
      <c r="B471" s="51" t="s">
        <v>1599</v>
      </c>
      <c r="C471" s="33" t="s">
        <v>228</v>
      </c>
      <c r="D471" s="520"/>
      <c r="E471" s="35"/>
      <c r="F471" s="35"/>
      <c r="G471" s="35"/>
      <c r="H471" s="35"/>
      <c r="I471" s="35"/>
      <c r="J471" s="825" t="e">
        <f>SUMPRODUCT('Equip&amp;Mach List'!$AK:$AK,'Equip&amp;Mach List'!$BF:$BF,'Equip&amp;Mach List'!CL:CL)+SUMPRODUCT('Equip&amp;Mach List'!$AK:$AK,'Equip&amp;Mach List'!$BL:$BL,'Equip&amp;Mach List'!CC:CC)+SUMPRODUCT('Equip&amp;Mach List'!$AK:$AK,'Equip&amp;Mach List'!$BR:$BR,'Equip&amp;Mach List'!CU:CU)+SUMPRODUCT('Equip&amp;Mach List'!$AK:$AK,'Equip&amp;Mach List'!$BG:$BG,'Equip&amp;Mach List'!DD:DD)+SUMPRODUCT('Equip&amp;Mach List'!$AK:$AK,'Equip&amp;Mach List'!$BM:$BM,'Equip&amp;Mach List'!DM:DM)+SUMPRODUCT('Equip&amp;Mach List'!$AK:$AK,'Equip&amp;Mach List'!$BS:$BS,'Equip&amp;Mach List'!DV:DV)+SUMPRODUCT('Equip&amp;Mach List'!$AK:$AK,'Equip&amp;Mach List'!$BH:$BH,'Equip&amp;Mach List'!EE:EE)+SUMPRODUCT('Equip&amp;Mach List'!$AK:$AK,'Equip&amp;Mach List'!$BN:$BN,'Equip&amp;Mach List'!EN:EN)+SUMPRODUCT('Equip&amp;Mach List'!$AK:$AK,'Equip&amp;Mach List'!$BT:$BT,'Equip&amp;Mach List'!EW:EW)</f>
        <v>#N/A</v>
      </c>
      <c r="K471" s="739">
        <v>50</v>
      </c>
      <c r="L471" s="1239" t="e">
        <f t="shared" si="22"/>
        <v>#N/A</v>
      </c>
    </row>
    <row r="472" spans="1:12" ht="16.2" thickBot="1" x14ac:dyDescent="0.35">
      <c r="A472" s="1474" t="s">
        <v>1609</v>
      </c>
      <c r="B472" s="1742" t="s">
        <v>1610</v>
      </c>
      <c r="C472" s="1742"/>
      <c r="D472" s="1742"/>
      <c r="E472" s="1742"/>
      <c r="F472" s="1742"/>
      <c r="G472" s="1742"/>
      <c r="H472" s="1742"/>
      <c r="I472" s="1742"/>
      <c r="J472" s="1742"/>
      <c r="K472" s="1743"/>
      <c r="L472" s="1131">
        <f>SUM(L473:L480)</f>
        <v>14375.481916882471</v>
      </c>
    </row>
    <row r="473" spans="1:12" x14ac:dyDescent="0.3">
      <c r="A473" s="31" t="s">
        <v>1611</v>
      </c>
      <c r="B473" s="51" t="s">
        <v>1612</v>
      </c>
      <c r="C473" s="33" t="s">
        <v>228</v>
      </c>
      <c r="D473" s="520"/>
      <c r="E473" s="35"/>
      <c r="F473" s="35"/>
      <c r="G473" s="35"/>
      <c r="H473" s="35"/>
      <c r="I473" s="35"/>
      <c r="J473" s="825">
        <f>SUMPRODUCT('Piping Material List'!$AD:$AD,'Piping Material List'!FW:FW)-J482</f>
        <v>0</v>
      </c>
      <c r="K473" s="739">
        <v>50</v>
      </c>
      <c r="L473" s="1238">
        <f t="shared" ref="L473:L489" si="23">K473*J473</f>
        <v>0</v>
      </c>
    </row>
    <row r="474" spans="1:12" x14ac:dyDescent="0.3">
      <c r="A474" s="31" t="s">
        <v>1613</v>
      </c>
      <c r="B474" s="51" t="s">
        <v>1614</v>
      </c>
      <c r="C474" s="33" t="s">
        <v>228</v>
      </c>
      <c r="D474" s="520"/>
      <c r="E474" s="35"/>
      <c r="F474" s="35"/>
      <c r="G474" s="35"/>
      <c r="H474" s="35"/>
      <c r="I474" s="35"/>
      <c r="J474" s="825">
        <f>SUMPRODUCT('Piping Material List'!$AD:$AD,'Piping Material List'!FX:FX)-J483</f>
        <v>0</v>
      </c>
      <c r="K474" s="739">
        <v>50</v>
      </c>
      <c r="L474" s="1238">
        <f t="shared" si="23"/>
        <v>0</v>
      </c>
    </row>
    <row r="475" spans="1:12" x14ac:dyDescent="0.3">
      <c r="A475" s="31" t="s">
        <v>1615</v>
      </c>
      <c r="B475" s="51" t="s">
        <v>1587</v>
      </c>
      <c r="C475" s="33" t="s">
        <v>228</v>
      </c>
      <c r="D475" s="520"/>
      <c r="E475" s="35"/>
      <c r="F475" s="35"/>
      <c r="G475" s="35"/>
      <c r="H475" s="35"/>
      <c r="I475" s="35"/>
      <c r="J475" s="825">
        <f>SUMPRODUCT('Piping Material List'!$AD:$AD,'Piping Material List'!FY:FY)-J484</f>
        <v>179.69352396103088</v>
      </c>
      <c r="K475" s="739">
        <v>80</v>
      </c>
      <c r="L475" s="1238">
        <f t="shared" si="23"/>
        <v>14375.481916882471</v>
      </c>
    </row>
    <row r="476" spans="1:12" x14ac:dyDescent="0.3">
      <c r="A476" s="31" t="s">
        <v>1616</v>
      </c>
      <c r="B476" s="51" t="s">
        <v>1617</v>
      </c>
      <c r="C476" s="33" t="s">
        <v>228</v>
      </c>
      <c r="D476" s="520"/>
      <c r="E476" s="35"/>
      <c r="F476" s="35"/>
      <c r="G476" s="35"/>
      <c r="H476" s="35"/>
      <c r="I476" s="35"/>
      <c r="J476" s="825">
        <f>SUMPRODUCT('Piping Material List'!$AD:$AD,'Piping Material List'!FZ:FZ)-J485</f>
        <v>0</v>
      </c>
      <c r="K476" s="739">
        <v>50</v>
      </c>
      <c r="L476" s="1238">
        <f t="shared" si="23"/>
        <v>0</v>
      </c>
    </row>
    <row r="477" spans="1:12" x14ac:dyDescent="0.3">
      <c r="A477" s="31" t="s">
        <v>1618</v>
      </c>
      <c r="B477" s="51" t="s">
        <v>1619</v>
      </c>
      <c r="C477" s="33" t="s">
        <v>228</v>
      </c>
      <c r="D477" s="520"/>
      <c r="E477" s="35"/>
      <c r="F477" s="35"/>
      <c r="G477" s="35"/>
      <c r="H477" s="35"/>
      <c r="I477" s="35"/>
      <c r="J477" s="825">
        <f>SUMPRODUCT('Piping Material List'!$AD:$AD,'Piping Material List'!GA:GA)-J486</f>
        <v>0</v>
      </c>
      <c r="K477" s="739">
        <v>50</v>
      </c>
      <c r="L477" s="1238">
        <f t="shared" si="23"/>
        <v>0</v>
      </c>
    </row>
    <row r="478" spans="1:12" x14ac:dyDescent="0.3">
      <c r="A478" s="31" t="s">
        <v>1620</v>
      </c>
      <c r="B478" s="51" t="s">
        <v>1589</v>
      </c>
      <c r="C478" s="33" t="s">
        <v>228</v>
      </c>
      <c r="D478" s="520"/>
      <c r="E478" s="35"/>
      <c r="F478" s="35"/>
      <c r="G478" s="35"/>
      <c r="H478" s="35"/>
      <c r="I478" s="35"/>
      <c r="J478" s="825">
        <f>SUMPRODUCT('Piping Material List'!$AD:$AD,'Piping Material List'!GB:GB)-J487</f>
        <v>0</v>
      </c>
      <c r="K478" s="739">
        <v>50</v>
      </c>
      <c r="L478" s="1238">
        <f t="shared" si="23"/>
        <v>0</v>
      </c>
    </row>
    <row r="479" spans="1:12" x14ac:dyDescent="0.3">
      <c r="A479" s="31" t="s">
        <v>1621</v>
      </c>
      <c r="B479" s="51" t="s">
        <v>1622</v>
      </c>
      <c r="C479" s="33" t="s">
        <v>228</v>
      </c>
      <c r="D479" s="520"/>
      <c r="E479" s="35"/>
      <c r="F479" s="35"/>
      <c r="G479" s="35"/>
      <c r="H479" s="35"/>
      <c r="I479" s="35"/>
      <c r="J479" s="825">
        <f>SUMPRODUCT('Piping Material List'!$AD:$AD,'Piping Material List'!GC:GC)-J488</f>
        <v>0</v>
      </c>
      <c r="K479" s="739">
        <v>50</v>
      </c>
      <c r="L479" s="1238">
        <f t="shared" si="23"/>
        <v>0</v>
      </c>
    </row>
    <row r="480" spans="1:12" ht="16.2" thickBot="1" x14ac:dyDescent="0.35">
      <c r="A480" s="31" t="s">
        <v>1623</v>
      </c>
      <c r="B480" s="51" t="s">
        <v>1591</v>
      </c>
      <c r="C480" s="33" t="s">
        <v>228</v>
      </c>
      <c r="D480" s="520"/>
      <c r="E480" s="35"/>
      <c r="F480" s="35"/>
      <c r="G480" s="35"/>
      <c r="H480" s="35"/>
      <c r="I480" s="35"/>
      <c r="J480" s="825">
        <f>SUMPRODUCT('Piping Material List'!$AD:$AD,'Piping Material List'!GD:GD)-J489</f>
        <v>0</v>
      </c>
      <c r="K480" s="739"/>
      <c r="L480" s="1238">
        <f t="shared" si="23"/>
        <v>0</v>
      </c>
    </row>
    <row r="481" spans="1:12" ht="16.2" thickBot="1" x14ac:dyDescent="0.35">
      <c r="A481" s="1474" t="s">
        <v>1624</v>
      </c>
      <c r="B481" s="1742" t="s">
        <v>1625</v>
      </c>
      <c r="C481" s="1742"/>
      <c r="D481" s="1742"/>
      <c r="E481" s="1742"/>
      <c r="F481" s="1742"/>
      <c r="G481" s="1742"/>
      <c r="H481" s="1742"/>
      <c r="I481" s="1742"/>
      <c r="J481" s="1742"/>
      <c r="K481" s="1743"/>
      <c r="L481" s="1131">
        <f>SUM(L482:L489)</f>
        <v>0</v>
      </c>
    </row>
    <row r="482" spans="1:12" x14ac:dyDescent="0.3">
      <c r="A482" s="31" t="s">
        <v>1626</v>
      </c>
      <c r="B482" s="51" t="s">
        <v>1612</v>
      </c>
      <c r="C482" s="33" t="s">
        <v>228</v>
      </c>
      <c r="D482" s="520"/>
      <c r="E482" s="35"/>
      <c r="F482" s="35"/>
      <c r="G482" s="35"/>
      <c r="H482" s="35"/>
      <c r="I482" s="35"/>
      <c r="J482" s="825">
        <f>SUMPRODUCT('Piping Material List'!$AD:$AD,'Piping Material List'!$EP:$EP,'Piping Material List'!FW:FW)</f>
        <v>0</v>
      </c>
      <c r="K482" s="739"/>
      <c r="L482" s="1238">
        <f t="shared" si="23"/>
        <v>0</v>
      </c>
    </row>
    <row r="483" spans="1:12" x14ac:dyDescent="0.3">
      <c r="A483" s="31" t="s">
        <v>1627</v>
      </c>
      <c r="B483" s="51" t="s">
        <v>1614</v>
      </c>
      <c r="C483" s="33" t="s">
        <v>228</v>
      </c>
      <c r="D483" s="520"/>
      <c r="E483" s="35"/>
      <c r="F483" s="35"/>
      <c r="G483" s="35"/>
      <c r="H483" s="35"/>
      <c r="I483" s="35"/>
      <c r="J483" s="825">
        <f>SUMPRODUCT('Piping Material List'!$AD:$AD,'Piping Material List'!$EP:$EP,'Piping Material List'!FX:FX)</f>
        <v>0</v>
      </c>
      <c r="K483" s="739"/>
      <c r="L483" s="1238">
        <f t="shared" si="23"/>
        <v>0</v>
      </c>
    </row>
    <row r="484" spans="1:12" x14ac:dyDescent="0.3">
      <c r="A484" s="31" t="s">
        <v>1628</v>
      </c>
      <c r="B484" s="51" t="s">
        <v>1587</v>
      </c>
      <c r="C484" s="33" t="s">
        <v>228</v>
      </c>
      <c r="D484" s="520"/>
      <c r="E484" s="35"/>
      <c r="F484" s="35"/>
      <c r="G484" s="35"/>
      <c r="H484" s="35"/>
      <c r="I484" s="35"/>
      <c r="J484" s="825">
        <f>SUMPRODUCT('Piping Material List'!$AD:$AD,'Piping Material List'!$EP:$EP,'Piping Material List'!FY:FY)</f>
        <v>0</v>
      </c>
      <c r="K484" s="739"/>
      <c r="L484" s="1238">
        <f t="shared" si="23"/>
        <v>0</v>
      </c>
    </row>
    <row r="485" spans="1:12" x14ac:dyDescent="0.3">
      <c r="A485" s="31" t="s">
        <v>1629</v>
      </c>
      <c r="B485" s="51" t="s">
        <v>1617</v>
      </c>
      <c r="C485" s="33" t="s">
        <v>228</v>
      </c>
      <c r="D485" s="520"/>
      <c r="E485" s="35"/>
      <c r="F485" s="35"/>
      <c r="G485" s="35"/>
      <c r="H485" s="35"/>
      <c r="I485" s="35"/>
      <c r="J485" s="825">
        <f>SUMPRODUCT('Piping Material List'!$AD:$AD,'Piping Material List'!$EP:$EP,'Piping Material List'!FZ:FZ)</f>
        <v>0</v>
      </c>
      <c r="K485" s="739"/>
      <c r="L485" s="1238">
        <f t="shared" si="23"/>
        <v>0</v>
      </c>
    </row>
    <row r="486" spans="1:12" x14ac:dyDescent="0.3">
      <c r="A486" s="31" t="s">
        <v>1630</v>
      </c>
      <c r="B486" s="51" t="s">
        <v>1619</v>
      </c>
      <c r="C486" s="33" t="s">
        <v>228</v>
      </c>
      <c r="D486" s="520"/>
      <c r="E486" s="35"/>
      <c r="F486" s="35"/>
      <c r="G486" s="35"/>
      <c r="H486" s="35"/>
      <c r="I486" s="35"/>
      <c r="J486" s="825">
        <f>SUMPRODUCT('Piping Material List'!$AD:$AD,'Piping Material List'!$EP:$EP,'Piping Material List'!GA:GA)</f>
        <v>0</v>
      </c>
      <c r="K486" s="739"/>
      <c r="L486" s="1238">
        <f t="shared" si="23"/>
        <v>0</v>
      </c>
    </row>
    <row r="487" spans="1:12" x14ac:dyDescent="0.3">
      <c r="A487" s="31" t="s">
        <v>1631</v>
      </c>
      <c r="B487" s="51" t="s">
        <v>1589</v>
      </c>
      <c r="C487" s="33" t="s">
        <v>228</v>
      </c>
      <c r="D487" s="520"/>
      <c r="E487" s="35"/>
      <c r="F487" s="35"/>
      <c r="G487" s="35"/>
      <c r="H487" s="35"/>
      <c r="I487" s="35"/>
      <c r="J487" s="825">
        <f>SUMPRODUCT('Piping Material List'!$AD:$AD,'Piping Material List'!$EP:$EP,'Piping Material List'!GB:GB)</f>
        <v>0</v>
      </c>
      <c r="K487" s="739"/>
      <c r="L487" s="1238">
        <f t="shared" si="23"/>
        <v>0</v>
      </c>
    </row>
    <row r="488" spans="1:12" x14ac:dyDescent="0.3">
      <c r="A488" s="31" t="s">
        <v>1632</v>
      </c>
      <c r="B488" s="51" t="s">
        <v>1622</v>
      </c>
      <c r="C488" s="33" t="s">
        <v>228</v>
      </c>
      <c r="D488" s="520"/>
      <c r="E488" s="35"/>
      <c r="F488" s="35"/>
      <c r="G488" s="35"/>
      <c r="H488" s="35"/>
      <c r="I488" s="35"/>
      <c r="J488" s="825">
        <f>SUMPRODUCT('Piping Material List'!$AD:$AD,'Piping Material List'!$EP:$EP,'Piping Material List'!GC:GC)</f>
        <v>0</v>
      </c>
      <c r="K488" s="739"/>
      <c r="L488" s="1238">
        <f t="shared" si="23"/>
        <v>0</v>
      </c>
    </row>
    <row r="489" spans="1:12" ht="16.2" thickBot="1" x14ac:dyDescent="0.35">
      <c r="A489" s="826" t="s">
        <v>1633</v>
      </c>
      <c r="B489" s="827" t="s">
        <v>1591</v>
      </c>
      <c r="C489" s="828" t="s">
        <v>228</v>
      </c>
      <c r="D489" s="1251"/>
      <c r="E489" s="830"/>
      <c r="F489" s="830"/>
      <c r="G489" s="830"/>
      <c r="H489" s="830"/>
      <c r="I489" s="830"/>
      <c r="J489" s="1273">
        <f>SUMPRODUCT('Piping Material List'!$AD:$AD,'Piping Material List'!$EP:$EP,'Piping Material List'!GD:GD)</f>
        <v>0</v>
      </c>
      <c r="K489" s="832"/>
      <c r="L489" s="1342">
        <f t="shared" si="23"/>
        <v>0</v>
      </c>
    </row>
  </sheetData>
  <mergeCells count="5">
    <mergeCell ref="B441:K441"/>
    <mergeCell ref="B456:K456"/>
    <mergeCell ref="B464:K464"/>
    <mergeCell ref="B472:K472"/>
    <mergeCell ref="B481:K481"/>
  </mergeCells>
  <conditionalFormatting sqref="B365:B374">
    <cfRule type="cellIs" dxfId="337" priority="93" operator="equal">
      <formula>0</formula>
    </cfRule>
  </conditionalFormatting>
  <conditionalFormatting sqref="B376:B395 B397:B416 B418:B437 B439">
    <cfRule type="cellIs" dxfId="336" priority="99" operator="equal">
      <formula>0</formula>
    </cfRule>
  </conditionalFormatting>
  <conditionalFormatting sqref="B457:B463">
    <cfRule type="cellIs" dxfId="335" priority="35" operator="equal">
      <formula>0</formula>
    </cfRule>
  </conditionalFormatting>
  <conditionalFormatting sqref="B465:B471">
    <cfRule type="cellIs" dxfId="334" priority="29" operator="equal">
      <formula>0</formula>
    </cfRule>
  </conditionalFormatting>
  <conditionalFormatting sqref="B473:B480">
    <cfRule type="cellIs" dxfId="333" priority="22" operator="equal">
      <formula>0</formula>
    </cfRule>
  </conditionalFormatting>
  <conditionalFormatting sqref="B482:B489">
    <cfRule type="cellIs" dxfId="332" priority="15" operator="equal">
      <formula>0</formula>
    </cfRule>
  </conditionalFormatting>
  <conditionalFormatting sqref="D29:I29">
    <cfRule type="cellIs" dxfId="331" priority="127" operator="equal">
      <formula>0</formula>
    </cfRule>
  </conditionalFormatting>
  <conditionalFormatting sqref="D1:J27">
    <cfRule type="cellIs" dxfId="330" priority="96" operator="equal">
      <formula>0</formula>
    </cfRule>
  </conditionalFormatting>
  <conditionalFormatting sqref="D28:J28">
    <cfRule type="cellIs" dxfId="329" priority="126" operator="equal">
      <formula>0</formula>
    </cfRule>
  </conditionalFormatting>
  <conditionalFormatting sqref="D30:J57">
    <cfRule type="cellIs" dxfId="328" priority="78" operator="equal">
      <formula>0</formula>
    </cfRule>
  </conditionalFormatting>
  <conditionalFormatting sqref="D58:J58">
    <cfRule type="cellIs" dxfId="327" priority="123" operator="equal">
      <formula>0</formula>
    </cfRule>
  </conditionalFormatting>
  <conditionalFormatting sqref="D59:J87">
    <cfRule type="cellIs" dxfId="326" priority="60" operator="equal">
      <formula>0</formula>
    </cfRule>
  </conditionalFormatting>
  <conditionalFormatting sqref="D88:J88">
    <cfRule type="cellIs" dxfId="325" priority="110" operator="equal">
      <formula>0</formula>
    </cfRule>
  </conditionalFormatting>
  <conditionalFormatting sqref="D89:J117">
    <cfRule type="cellIs" dxfId="324" priority="55" operator="equal">
      <formula>0</formula>
    </cfRule>
  </conditionalFormatting>
  <conditionalFormatting sqref="D118:J118">
    <cfRule type="cellIs" dxfId="323" priority="109" operator="equal">
      <formula>0</formula>
    </cfRule>
  </conditionalFormatting>
  <conditionalFormatting sqref="D119:J440">
    <cfRule type="cellIs" dxfId="322" priority="13" operator="equal">
      <formula>0</formula>
    </cfRule>
  </conditionalFormatting>
  <conditionalFormatting sqref="D442:J455">
    <cfRule type="cellIs" dxfId="321" priority="10" operator="equal">
      <formula>0</formula>
    </cfRule>
  </conditionalFormatting>
  <conditionalFormatting sqref="D457:J463">
    <cfRule type="cellIs" dxfId="320" priority="4" operator="equal">
      <formula>0</formula>
    </cfRule>
  </conditionalFormatting>
  <conditionalFormatting sqref="D465:J471">
    <cfRule type="cellIs" dxfId="319" priority="3" operator="equal">
      <formula>0</formula>
    </cfRule>
  </conditionalFormatting>
  <conditionalFormatting sqref="D473:J480">
    <cfRule type="cellIs" dxfId="318" priority="2" operator="equal">
      <formula>0</formula>
    </cfRule>
  </conditionalFormatting>
  <conditionalFormatting sqref="D482:J1048576">
    <cfRule type="cellIs" dxfId="317" priority="1" operator="equal">
      <formula>0</formula>
    </cfRule>
  </conditionalFormatting>
  <conditionalFormatting sqref="J29:J30">
    <cfRule type="cellIs" dxfId="316" priority="138" operator="equal">
      <formula>0</formula>
    </cfRule>
  </conditionalFormatting>
  <dataValidations disablePrompts="1" count="2">
    <dataValidation type="list" allowBlank="1" showInputMessage="1" showErrorMessage="1" sqref="C90:C116 C30:C56 C60:C86 C120:C146" xr:uid="{00000000-0002-0000-0600-000000000000}">
      <formula1>Welds_Unit</formula1>
    </dataValidation>
    <dataValidation type="list" allowBlank="1" showInputMessage="1" showErrorMessage="1" sqref="I319:I338 I340:I359" xr:uid="{00000000-0002-0000-0600-000001000000}">
      <formula1>Supply_Type</formula1>
    </dataValidation>
  </dataValidations>
  <pageMargins left="0.70866141732283472" right="0.70866141732283472" top="0.74803149606299213" bottom="0.74803149606299213" header="0.31496062992125984" footer="0.31496062992125984"/>
  <pageSetup scale="50" fitToHeight="0" orientation="portrait" r:id="rId1"/>
  <headerFooter>
    <oddHeader>&amp;LMCE Vers. 1.0&amp;C&amp;F&amp;R&amp;"Calibri"&amp;8&amp;K000000Document classified as: 2 - Company Confidential&amp;1#</oddHeader>
    <oddFooter>&amp;C&amp;A - &amp;P&amp;R&amp;D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J23"/>
  <sheetViews>
    <sheetView topLeftCell="A9" workbookViewId="0">
      <selection activeCell="H4" sqref="H4"/>
    </sheetView>
  </sheetViews>
  <sheetFormatPr defaultColWidth="9.21875" defaultRowHeight="15.6" x14ac:dyDescent="0.3"/>
  <cols>
    <col min="1" max="1" width="11" style="1010" customWidth="1"/>
    <col min="2" max="2" width="32.5546875" style="1010" bestFit="1" customWidth="1"/>
    <col min="3" max="3" width="37.21875" style="1011" bestFit="1" customWidth="1"/>
    <col min="4" max="4" width="17.44140625" style="1013" customWidth="1"/>
    <col min="5" max="8" width="17.44140625" style="1012" customWidth="1"/>
    <col min="9" max="9" width="30.21875" style="1013" customWidth="1"/>
    <col min="10" max="10" width="9.21875" style="1012"/>
    <col min="11" max="16384" width="9.21875" style="1010"/>
  </cols>
  <sheetData>
    <row r="1" spans="1:9" ht="16.2" thickBot="1" x14ac:dyDescent="0.35">
      <c r="A1" s="1746" t="s">
        <v>427</v>
      </c>
      <c r="B1" s="1744" t="s">
        <v>1634</v>
      </c>
      <c r="C1" s="1744" t="s">
        <v>1635</v>
      </c>
      <c r="D1" s="1744" t="s">
        <v>1636</v>
      </c>
      <c r="E1" s="1744" t="s">
        <v>1637</v>
      </c>
      <c r="F1" s="1744" t="s">
        <v>1638</v>
      </c>
      <c r="G1" s="1744" t="s">
        <v>1639</v>
      </c>
      <c r="H1" s="1026" t="s">
        <v>1640</v>
      </c>
      <c r="I1" s="1017" t="s">
        <v>1641</v>
      </c>
    </row>
    <row r="2" spans="1:9" ht="16.2" thickBot="1" x14ac:dyDescent="0.35">
      <c r="A2" s="1747"/>
      <c r="B2" s="1745"/>
      <c r="C2" s="1745"/>
      <c r="D2" s="1745"/>
      <c r="E2" s="1745"/>
      <c r="F2" s="1745"/>
      <c r="G2" s="1745"/>
      <c r="H2" s="1039">
        <v>40</v>
      </c>
      <c r="I2" s="1040">
        <v>1</v>
      </c>
    </row>
    <row r="3" spans="1:9" ht="48" customHeight="1" thickBot="1" x14ac:dyDescent="0.35">
      <c r="A3" s="1495" t="s">
        <v>434</v>
      </c>
      <c r="B3" s="1019" t="s">
        <v>436</v>
      </c>
      <c r="C3" s="1411" t="s">
        <v>437</v>
      </c>
      <c r="D3" s="1028">
        <f>SUM('Equip&amp;Mach List'!O4:O29,'Equip&amp;Mach List'!O33:O52)</f>
        <v>12</v>
      </c>
      <c r="E3" s="1035">
        <v>24</v>
      </c>
      <c r="F3" s="1028">
        <f>E3*D3</f>
        <v>288</v>
      </c>
      <c r="G3" s="1222">
        <v>1</v>
      </c>
      <c r="H3" s="1036">
        <f>+F3*G3*$H$2</f>
        <v>11520</v>
      </c>
      <c r="I3" s="1020">
        <f t="shared" ref="I3:I13" si="0">H3*$I$2</f>
        <v>11520</v>
      </c>
    </row>
    <row r="4" spans="1:9" ht="48" customHeight="1" x14ac:dyDescent="0.3">
      <c r="A4" s="1412" t="s">
        <v>439</v>
      </c>
      <c r="B4" s="1014" t="s">
        <v>440</v>
      </c>
      <c r="C4" s="1413" t="s">
        <v>441</v>
      </c>
      <c r="D4" s="1031"/>
      <c r="E4" s="1031"/>
      <c r="F4" s="1029">
        <f t="shared" ref="F4:F13" si="1">H4/$H$2</f>
        <v>19.176370555991937</v>
      </c>
      <c r="G4" s="1223">
        <v>0.05</v>
      </c>
      <c r="H4" s="1033">
        <f>AVERAGEA('Proposal Cost Report'!H4:H16)*G4</f>
        <v>767.05482223967749</v>
      </c>
      <c r="I4" s="1021">
        <f t="shared" si="0"/>
        <v>767.05482223967749</v>
      </c>
    </row>
    <row r="5" spans="1:9" ht="48" customHeight="1" x14ac:dyDescent="0.3">
      <c r="A5" s="1412" t="s">
        <v>443</v>
      </c>
      <c r="B5" s="1014" t="s">
        <v>444</v>
      </c>
      <c r="C5" s="1413" t="s">
        <v>445</v>
      </c>
      <c r="D5" s="1031"/>
      <c r="E5" s="1031"/>
      <c r="F5" s="1029">
        <f t="shared" si="1"/>
        <v>370.50349999999997</v>
      </c>
      <c r="G5" s="1223">
        <v>0.05</v>
      </c>
      <c r="H5" s="1033">
        <f>SUM('Proposal Cost Report'!H18)*G5</f>
        <v>14820.14</v>
      </c>
      <c r="I5" s="1021">
        <f t="shared" si="0"/>
        <v>14820.14</v>
      </c>
    </row>
    <row r="6" spans="1:9" ht="48" customHeight="1" x14ac:dyDescent="0.3">
      <c r="A6" s="1412" t="s">
        <v>447</v>
      </c>
      <c r="B6" s="1014" t="s">
        <v>448</v>
      </c>
      <c r="C6" s="1413" t="s">
        <v>449</v>
      </c>
      <c r="D6" s="1033"/>
      <c r="E6" s="1031"/>
      <c r="F6" s="1029">
        <f t="shared" si="1"/>
        <v>106.04035000000002</v>
      </c>
      <c r="G6" s="1223">
        <v>0.02</v>
      </c>
      <c r="H6" s="1033">
        <f>AVERAGEA('Proposal Cost Report'!H17:H20)*G6</f>
        <v>4241.6140000000005</v>
      </c>
      <c r="I6" s="1021">
        <f t="shared" si="0"/>
        <v>4241.6140000000005</v>
      </c>
    </row>
    <row r="7" spans="1:9" ht="48" customHeight="1" x14ac:dyDescent="0.3">
      <c r="A7" s="1414" t="s">
        <v>454</v>
      </c>
      <c r="B7" s="1014" t="s">
        <v>455</v>
      </c>
      <c r="C7" s="1415" t="s">
        <v>456</v>
      </c>
      <c r="D7" s="1033"/>
      <c r="E7" s="1031"/>
      <c r="F7" s="1029">
        <f t="shared" si="1"/>
        <v>98.289000077361464</v>
      </c>
      <c r="G7" s="1223">
        <v>0.1</v>
      </c>
      <c r="H7" s="1033">
        <f>AVERAGEA('Proposal Cost Report'!H4:H32)*G7</f>
        <v>3931.5600030944584</v>
      </c>
      <c r="I7" s="1021">
        <f t="shared" si="0"/>
        <v>3931.5600030944584</v>
      </c>
    </row>
    <row r="8" spans="1:9" ht="48" customHeight="1" thickBot="1" x14ac:dyDescent="0.35">
      <c r="A8" s="1416" t="s">
        <v>457</v>
      </c>
      <c r="B8" s="1016" t="s">
        <v>458</v>
      </c>
      <c r="C8" s="1417" t="s">
        <v>459</v>
      </c>
      <c r="D8" s="1022"/>
      <c r="E8" s="1032"/>
      <c r="F8" s="1030">
        <f t="shared" si="1"/>
        <v>49.144500038680732</v>
      </c>
      <c r="G8" s="1224">
        <v>0.05</v>
      </c>
      <c r="H8" s="1034">
        <f>AVERAGEA('Proposal Cost Report'!H4:H32)*G8</f>
        <v>1965.7800015472292</v>
      </c>
      <c r="I8" s="1023">
        <f t="shared" si="0"/>
        <v>1965.7800015472292</v>
      </c>
    </row>
    <row r="9" spans="1:9" ht="48" customHeight="1" thickBot="1" x14ac:dyDescent="0.35">
      <c r="A9" s="1013"/>
      <c r="B9" s="1013"/>
      <c r="C9" s="1013"/>
      <c r="F9" s="1027">
        <f>SUM(F3:F8)</f>
        <v>931.15372067203407</v>
      </c>
      <c r="G9" s="1042"/>
      <c r="H9" s="1034">
        <f>SUM(H2:H8)</f>
        <v>37286.148826881363</v>
      </c>
      <c r="I9" s="1023">
        <f>SUM(I3:I8)</f>
        <v>37246.148826881363</v>
      </c>
    </row>
    <row r="10" spans="1:9" ht="12.75" customHeight="1" thickBot="1" x14ac:dyDescent="0.35">
      <c r="A10" s="1414"/>
      <c r="B10" s="1013"/>
      <c r="C10" s="1013"/>
      <c r="F10" s="1015"/>
      <c r="G10" s="1043"/>
      <c r="H10" s="1013"/>
    </row>
    <row r="11" spans="1:9" ht="48" customHeight="1" thickBot="1" x14ac:dyDescent="0.35">
      <c r="A11" s="1037" t="s">
        <v>460</v>
      </c>
      <c r="B11" s="1037" t="s">
        <v>461</v>
      </c>
      <c r="C11" s="1038" t="s">
        <v>462</v>
      </c>
      <c r="D11" s="1041"/>
      <c r="E11" s="1041"/>
      <c r="F11" s="1025">
        <f t="shared" si="1"/>
        <v>39.459968869823456</v>
      </c>
      <c r="G11" s="1225">
        <v>0.04</v>
      </c>
      <c r="H11" s="1024">
        <f>AVERAGEA('Proposal Cost Report'!H5:H31)*G11</f>
        <v>1578.3987547929382</v>
      </c>
      <c r="I11" s="1024">
        <f t="shared" si="0"/>
        <v>1578.3987547929382</v>
      </c>
    </row>
    <row r="12" spans="1:9" ht="15.75" customHeight="1" thickBot="1" x14ac:dyDescent="0.35">
      <c r="A12" s="1018"/>
      <c r="B12" s="1013"/>
      <c r="C12" s="1013"/>
      <c r="F12" s="1015"/>
      <c r="G12" s="1043"/>
      <c r="H12" s="1013"/>
    </row>
    <row r="13" spans="1:9" ht="48" customHeight="1" thickBot="1" x14ac:dyDescent="0.35">
      <c r="A13" s="1037" t="s">
        <v>463</v>
      </c>
      <c r="B13" s="1037" t="s">
        <v>464</v>
      </c>
      <c r="C13" s="1038" t="s">
        <v>465</v>
      </c>
      <c r="D13" s="1041"/>
      <c r="E13" s="1041"/>
      <c r="F13" s="1025">
        <f t="shared" si="1"/>
        <v>51.222074975251601</v>
      </c>
      <c r="G13" s="1225">
        <v>0.05</v>
      </c>
      <c r="H13" s="1024">
        <f>AVERAGEA('Proposal Cost Report'!H6:H31)*G13</f>
        <v>2048.8829990100639</v>
      </c>
      <c r="I13" s="1024">
        <f t="shared" si="0"/>
        <v>2048.8829990100639</v>
      </c>
    </row>
    <row r="14" spans="1:9" ht="16.2" thickBot="1" x14ac:dyDescent="0.35">
      <c r="G14" s="1043"/>
    </row>
    <row r="15" spans="1:9" ht="48" customHeight="1" thickBot="1" x14ac:dyDescent="0.35">
      <c r="A15" s="1037"/>
      <c r="B15" s="1037" t="s">
        <v>1642</v>
      </c>
      <c r="C15" s="1038" t="s">
        <v>1643</v>
      </c>
      <c r="D15" s="1035">
        <v>150</v>
      </c>
      <c r="E15" s="1035">
        <v>4</v>
      </c>
      <c r="F15" s="1025">
        <f>D15*E15</f>
        <v>600</v>
      </c>
      <c r="G15" s="1044"/>
      <c r="H15" s="1024">
        <f>F15*$H$2</f>
        <v>24000</v>
      </c>
      <c r="I15" s="1024">
        <f>H15*$I$2</f>
        <v>24000</v>
      </c>
    </row>
    <row r="16" spans="1:9" ht="16.2" thickBot="1" x14ac:dyDescent="0.35">
      <c r="G16" s="1043"/>
    </row>
    <row r="17" spans="1:9" ht="16.2" thickBot="1" x14ac:dyDescent="0.35">
      <c r="G17" s="1017" t="s">
        <v>1644</v>
      </c>
    </row>
    <row r="18" spans="1:9" ht="48" customHeight="1" thickBot="1" x14ac:dyDescent="0.35">
      <c r="A18" s="1037"/>
      <c r="B18" s="1037" t="s">
        <v>1645</v>
      </c>
      <c r="C18" s="1038" t="s">
        <v>1646</v>
      </c>
      <c r="D18" s="1035">
        <v>1</v>
      </c>
      <c r="E18" s="1035"/>
      <c r="F18" s="1025">
        <f>E18*D18</f>
        <v>0</v>
      </c>
      <c r="G18" s="1045">
        <v>28.5</v>
      </c>
      <c r="H18" s="1024">
        <f>F18*G18</f>
        <v>0</v>
      </c>
      <c r="I18" s="1024">
        <f>H18*$I$2</f>
        <v>0</v>
      </c>
    </row>
    <row r="19" spans="1:9" ht="16.2" thickBot="1" x14ac:dyDescent="0.35"/>
    <row r="20" spans="1:9" ht="48" customHeight="1" thickBot="1" x14ac:dyDescent="0.35">
      <c r="A20" s="1037"/>
      <c r="B20" s="1037" t="s">
        <v>1647</v>
      </c>
      <c r="C20" s="1038" t="s">
        <v>1646</v>
      </c>
      <c r="D20" s="1035">
        <v>1</v>
      </c>
      <c r="E20" s="1035"/>
      <c r="F20" s="1025">
        <f>E20*D20</f>
        <v>0</v>
      </c>
      <c r="G20" s="1045">
        <v>28.5</v>
      </c>
      <c r="H20" s="1024">
        <f>F20*G20</f>
        <v>0</v>
      </c>
      <c r="I20" s="1024">
        <f>H20*$I$2</f>
        <v>0</v>
      </c>
    </row>
    <row r="23" spans="1:9" ht="42.75" customHeight="1" x14ac:dyDescent="0.3">
      <c r="H23" s="1010"/>
      <c r="I23" s="1046">
        <f>SUM(I3:I20)</f>
        <v>102119.57940756573</v>
      </c>
    </row>
  </sheetData>
  <mergeCells count="7">
    <mergeCell ref="G1:G2"/>
    <mergeCell ref="A1:A2"/>
    <mergeCell ref="D1:D2"/>
    <mergeCell ref="E1:E2"/>
    <mergeCell ref="F1:F2"/>
    <mergeCell ref="C1:C2"/>
    <mergeCell ref="B1:B2"/>
  </mergeCells>
  <pageMargins left="0.7" right="0.7" top="0.75" bottom="0.75" header="0.3" footer="0.3"/>
  <pageSetup paperSize="9" orientation="portrait" r:id="rId1"/>
  <headerFooter>
    <oddHeader>&amp;R&amp;"Calibri"&amp;8&amp;K000000Document classified as: 2 - Company Confidential&amp;1#</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oglio6">
    <tabColor theme="4" tint="-0.249977111117893"/>
    <pageSetUpPr fitToPage="1"/>
  </sheetPr>
  <dimension ref="A1:R114"/>
  <sheetViews>
    <sheetView zoomScale="85" zoomScaleNormal="85" workbookViewId="0">
      <selection activeCell="I13" sqref="I13"/>
    </sheetView>
  </sheetViews>
  <sheetFormatPr defaultRowHeight="14.4" x14ac:dyDescent="0.3"/>
  <cols>
    <col min="1" max="1" width="30.77734375" bestFit="1" customWidth="1"/>
    <col min="2" max="4" width="13" customWidth="1"/>
    <col min="5" max="5" width="14.77734375" customWidth="1"/>
    <col min="6" max="6" width="16.5546875" bestFit="1" customWidth="1"/>
    <col min="7" max="7" width="9.77734375" customWidth="1"/>
    <col min="8" max="8" width="14.5546875" bestFit="1" customWidth="1"/>
    <col min="9" max="9" width="20.44140625" bestFit="1" customWidth="1"/>
    <col min="10" max="10" width="6.21875" customWidth="1"/>
    <col min="11" max="11" width="25.77734375" customWidth="1"/>
    <col min="12" max="12" width="14.5546875" style="3" bestFit="1" customWidth="1"/>
    <col min="13" max="15" width="14.5546875" bestFit="1" customWidth="1"/>
    <col min="16" max="16" width="14.5546875" customWidth="1"/>
    <col min="17" max="17" width="14.5546875" bestFit="1" customWidth="1"/>
    <col min="18" max="18" width="26.21875" customWidth="1"/>
    <col min="19" max="24" width="14.5546875" bestFit="1" customWidth="1"/>
  </cols>
  <sheetData>
    <row r="1" spans="1:18" ht="21.6" thickBot="1" x14ac:dyDescent="0.35">
      <c r="A1" s="380" t="s">
        <v>1648</v>
      </c>
      <c r="B1" s="381"/>
      <c r="C1" s="381"/>
      <c r="D1" s="381"/>
      <c r="E1" s="382"/>
      <c r="F1" s="382"/>
      <c r="G1" s="382"/>
      <c r="H1" s="382"/>
      <c r="I1" s="383"/>
      <c r="K1" s="380" t="s">
        <v>1649</v>
      </c>
      <c r="L1" s="382"/>
      <c r="M1" s="382"/>
      <c r="N1" s="382"/>
      <c r="O1" s="401"/>
      <c r="P1" s="401"/>
      <c r="Q1" s="382"/>
      <c r="R1" s="490"/>
    </row>
    <row r="2" spans="1:18" ht="18.600000000000001" thickBot="1" x14ac:dyDescent="0.4">
      <c r="A2" s="366" t="s">
        <v>1100</v>
      </c>
      <c r="B2" s="367"/>
      <c r="C2" s="367"/>
      <c r="D2" s="367"/>
      <c r="E2" s="367"/>
      <c r="F2" s="367"/>
      <c r="G2" s="367"/>
      <c r="H2" s="368" t="s">
        <v>222</v>
      </c>
      <c r="I2" s="369">
        <f>SUM(H5:H18)</f>
        <v>11520</v>
      </c>
      <c r="K2" s="366" t="str">
        <f t="shared" ref="K2:K48" si="0">A2</f>
        <v>Main Structure</v>
      </c>
      <c r="L2" s="1099"/>
      <c r="M2" s="368"/>
      <c r="N2" s="368"/>
      <c r="O2" s="368"/>
      <c r="P2" s="368"/>
      <c r="Q2" s="368"/>
      <c r="R2" s="491"/>
    </row>
    <row r="3" spans="1:18" ht="29.4" thickBot="1" x14ac:dyDescent="0.35">
      <c r="A3" s="1748" t="s">
        <v>335</v>
      </c>
      <c r="B3" s="64" t="s">
        <v>1650</v>
      </c>
      <c r="C3" s="62" t="s">
        <v>1651</v>
      </c>
      <c r="D3" s="62" t="s">
        <v>1652</v>
      </c>
      <c r="E3" s="62" t="s">
        <v>1653</v>
      </c>
      <c r="F3" s="62" t="s">
        <v>1654</v>
      </c>
      <c r="G3" s="62" t="s">
        <v>184</v>
      </c>
      <c r="H3" s="63" t="s">
        <v>313</v>
      </c>
      <c r="I3" s="1748" t="s">
        <v>1655</v>
      </c>
      <c r="K3" s="1748" t="str">
        <f t="shared" si="0"/>
        <v>Description</v>
      </c>
      <c r="L3" s="1748" t="s">
        <v>1656</v>
      </c>
      <c r="M3" s="63" t="s">
        <v>336</v>
      </c>
      <c r="N3" s="63" t="s">
        <v>1657</v>
      </c>
      <c r="O3" s="80" t="s">
        <v>1658</v>
      </c>
      <c r="P3" s="79" t="s">
        <v>1659</v>
      </c>
      <c r="Q3" s="63" t="s">
        <v>1660</v>
      </c>
      <c r="R3" s="1748" t="s">
        <v>1655</v>
      </c>
    </row>
    <row r="4" spans="1:18" ht="15" thickBot="1" x14ac:dyDescent="0.35">
      <c r="A4" s="1749"/>
      <c r="B4" s="64" t="s">
        <v>1661</v>
      </c>
      <c r="C4" s="62" t="s">
        <v>1661</v>
      </c>
      <c r="D4" s="62" t="s">
        <v>1661</v>
      </c>
      <c r="E4" s="62" t="s">
        <v>225</v>
      </c>
      <c r="F4" s="62" t="s">
        <v>228</v>
      </c>
      <c r="G4" s="62" t="s">
        <v>1662</v>
      </c>
      <c r="H4" s="63" t="s">
        <v>222</v>
      </c>
      <c r="I4" s="1749"/>
      <c r="K4" s="1749">
        <f t="shared" si="0"/>
        <v>0</v>
      </c>
      <c r="L4" s="1749"/>
      <c r="M4" s="63" t="s">
        <v>1663</v>
      </c>
      <c r="N4" s="63" t="s">
        <v>228</v>
      </c>
      <c r="O4" s="80" t="s">
        <v>228</v>
      </c>
      <c r="P4" s="79" t="s">
        <v>1662</v>
      </c>
      <c r="Q4" s="63" t="s">
        <v>222</v>
      </c>
      <c r="R4" s="1749"/>
    </row>
    <row r="5" spans="1:18" x14ac:dyDescent="0.3">
      <c r="A5" s="667" t="s">
        <v>4550</v>
      </c>
      <c r="B5" s="665">
        <v>8</v>
      </c>
      <c r="C5" s="666">
        <v>3</v>
      </c>
      <c r="D5" s="666">
        <v>3.4</v>
      </c>
      <c r="E5" s="280">
        <f>D5*C5*B5</f>
        <v>81.599999999999994</v>
      </c>
      <c r="F5" s="280">
        <f t="shared" ref="F5:F12" si="1">B5*C5</f>
        <v>24</v>
      </c>
      <c r="G5" s="666">
        <v>160</v>
      </c>
      <c r="H5" s="65">
        <f t="shared" ref="H5:H12" si="2">F5*G5</f>
        <v>3840</v>
      </c>
      <c r="I5" s="1178"/>
      <c r="K5" s="69" t="str">
        <f t="shared" si="0"/>
        <v>SKID 1 MODULO PIANO 1</v>
      </c>
      <c r="L5" s="675" t="s">
        <v>3688</v>
      </c>
      <c r="M5" s="66">
        <f>IFERROR(VLOOKUP(L5,'Steel Structure Chart'!$1:$1048576,16,0),0)</f>
        <v>2.9802631578947372E-2</v>
      </c>
      <c r="N5" s="66">
        <f t="shared" ref="N5:N19" si="3">M5*H5</f>
        <v>114.44210526315791</v>
      </c>
      <c r="O5" s="807">
        <f t="shared" ref="O5:O19" si="4">(B5*C5+C5*D5+D5*B5)*2</f>
        <v>122.80000000000001</v>
      </c>
      <c r="P5" s="669">
        <v>12</v>
      </c>
      <c r="Q5" s="66">
        <f>P5*O5</f>
        <v>1473.6000000000001</v>
      </c>
      <c r="R5" s="1179"/>
    </row>
    <row r="6" spans="1:18" x14ac:dyDescent="0.3">
      <c r="A6" s="667" t="s">
        <v>4551</v>
      </c>
      <c r="B6" s="668">
        <v>8</v>
      </c>
      <c r="C6" s="669">
        <v>3</v>
      </c>
      <c r="D6" s="669">
        <v>3.4</v>
      </c>
      <c r="E6" s="281">
        <f t="shared" ref="E6:E12" si="5">D6*C6*B6</f>
        <v>81.599999999999994</v>
      </c>
      <c r="F6" s="281">
        <f t="shared" si="1"/>
        <v>24</v>
      </c>
      <c r="G6" s="669">
        <v>160</v>
      </c>
      <c r="H6" s="66">
        <f t="shared" si="2"/>
        <v>3840</v>
      </c>
      <c r="I6" s="1178"/>
      <c r="K6" s="69" t="str">
        <f t="shared" si="0"/>
        <v>SKID 1 MODULO PIANO 2</v>
      </c>
      <c r="L6" s="675" t="s">
        <v>3688</v>
      </c>
      <c r="M6" s="66">
        <f>IFERROR(VLOOKUP(L6,'Steel Structure Chart'!$1:$1048576,16,0),0)</f>
        <v>2.9802631578947372E-2</v>
      </c>
      <c r="N6" s="66">
        <f t="shared" si="3"/>
        <v>114.44210526315791</v>
      </c>
      <c r="O6" s="807">
        <f t="shared" si="4"/>
        <v>122.80000000000001</v>
      </c>
      <c r="P6" s="669">
        <v>12</v>
      </c>
      <c r="Q6" s="66">
        <f t="shared" ref="Q6:Q12" si="6">P6*O6</f>
        <v>1473.6000000000001</v>
      </c>
      <c r="R6" s="1178"/>
    </row>
    <row r="7" spans="1:18" x14ac:dyDescent="0.3">
      <c r="A7" s="667" t="s">
        <v>4552</v>
      </c>
      <c r="B7" s="668">
        <v>8</v>
      </c>
      <c r="C7" s="669">
        <v>3</v>
      </c>
      <c r="D7" s="669">
        <v>3.4</v>
      </c>
      <c r="E7" s="281">
        <f t="shared" si="5"/>
        <v>81.599999999999994</v>
      </c>
      <c r="F7" s="281">
        <f t="shared" si="1"/>
        <v>24</v>
      </c>
      <c r="G7" s="669">
        <v>160</v>
      </c>
      <c r="H7" s="66">
        <f t="shared" si="2"/>
        <v>3840</v>
      </c>
      <c r="I7" s="1178"/>
      <c r="K7" s="69" t="str">
        <f t="shared" si="0"/>
        <v>SKID 2 MODULO PIANO 1</v>
      </c>
      <c r="L7" s="675" t="s">
        <v>1666</v>
      </c>
      <c r="M7" s="66">
        <f>IFERROR(VLOOKUP(L7,'Steel Structure Chart'!$1:$1048576,16,0),0)</f>
        <v>1.9445073612684032E-2</v>
      </c>
      <c r="N7" s="66">
        <f t="shared" si="3"/>
        <v>74.669082672706679</v>
      </c>
      <c r="O7" s="807">
        <f t="shared" si="4"/>
        <v>122.80000000000001</v>
      </c>
      <c r="P7" s="669">
        <v>18</v>
      </c>
      <c r="Q7" s="66">
        <f t="shared" si="6"/>
        <v>2210.4</v>
      </c>
      <c r="R7" s="1178"/>
    </row>
    <row r="8" spans="1:18" x14ac:dyDescent="0.3">
      <c r="A8" s="667"/>
      <c r="B8" s="668"/>
      <c r="C8" s="669"/>
      <c r="D8" s="669"/>
      <c r="E8" s="281">
        <f t="shared" si="5"/>
        <v>0</v>
      </c>
      <c r="F8" s="281">
        <f t="shared" si="1"/>
        <v>0</v>
      </c>
      <c r="G8" s="669">
        <v>160</v>
      </c>
      <c r="H8" s="66">
        <f t="shared" si="2"/>
        <v>0</v>
      </c>
      <c r="I8" s="1178"/>
      <c r="K8" s="69">
        <f t="shared" si="0"/>
        <v>0</v>
      </c>
      <c r="L8" s="675" t="s">
        <v>1666</v>
      </c>
      <c r="M8" s="66">
        <f>IFERROR(VLOOKUP(L8,'Steel Structure Chart'!$1:$1048576,16,0),0)</f>
        <v>1.9445073612684032E-2</v>
      </c>
      <c r="N8" s="66">
        <f t="shared" si="3"/>
        <v>0</v>
      </c>
      <c r="O8" s="807">
        <f t="shared" si="4"/>
        <v>0</v>
      </c>
      <c r="P8" s="669">
        <v>18</v>
      </c>
      <c r="Q8" s="66">
        <f t="shared" si="6"/>
        <v>0</v>
      </c>
      <c r="R8" s="1178"/>
    </row>
    <row r="9" spans="1:18" x14ac:dyDescent="0.3">
      <c r="A9" s="667"/>
      <c r="B9" s="668"/>
      <c r="C9" s="669"/>
      <c r="D9" s="669"/>
      <c r="E9" s="281">
        <f t="shared" si="5"/>
        <v>0</v>
      </c>
      <c r="F9" s="281">
        <f t="shared" si="1"/>
        <v>0</v>
      </c>
      <c r="G9" s="669">
        <v>160</v>
      </c>
      <c r="H9" s="66">
        <f t="shared" si="2"/>
        <v>0</v>
      </c>
      <c r="I9" s="1178"/>
      <c r="K9" s="69">
        <f t="shared" si="0"/>
        <v>0</v>
      </c>
      <c r="L9" s="675" t="s">
        <v>1666</v>
      </c>
      <c r="M9" s="66">
        <f>IFERROR(VLOOKUP(L9,'Steel Structure Chart'!$1:$1048576,16,0),0)</f>
        <v>1.9445073612684032E-2</v>
      </c>
      <c r="N9" s="66">
        <f t="shared" si="3"/>
        <v>0</v>
      </c>
      <c r="O9" s="807">
        <f t="shared" si="4"/>
        <v>0</v>
      </c>
      <c r="P9" s="669">
        <v>18</v>
      </c>
      <c r="Q9" s="66">
        <f t="shared" si="6"/>
        <v>0</v>
      </c>
      <c r="R9" s="1178"/>
    </row>
    <row r="10" spans="1:18" x14ac:dyDescent="0.3">
      <c r="A10" s="667"/>
      <c r="B10" s="668"/>
      <c r="C10" s="669"/>
      <c r="D10" s="669"/>
      <c r="E10" s="281">
        <f t="shared" si="5"/>
        <v>0</v>
      </c>
      <c r="F10" s="281">
        <f t="shared" si="1"/>
        <v>0</v>
      </c>
      <c r="G10" s="669">
        <v>160</v>
      </c>
      <c r="H10" s="66">
        <f t="shared" si="2"/>
        <v>0</v>
      </c>
      <c r="I10" s="1178"/>
      <c r="K10" s="69">
        <f t="shared" si="0"/>
        <v>0</v>
      </c>
      <c r="L10" s="675" t="s">
        <v>1666</v>
      </c>
      <c r="M10" s="66">
        <f>IFERROR(VLOOKUP(L10,'Steel Structure Chart'!$1:$1048576,16,0),0)</f>
        <v>1.9445073612684032E-2</v>
      </c>
      <c r="N10" s="66">
        <f t="shared" si="3"/>
        <v>0</v>
      </c>
      <c r="O10" s="807">
        <f t="shared" si="4"/>
        <v>0</v>
      </c>
      <c r="P10" s="669">
        <v>18</v>
      </c>
      <c r="Q10" s="66">
        <f t="shared" si="6"/>
        <v>0</v>
      </c>
      <c r="R10" s="1178"/>
    </row>
    <row r="11" spans="1:18" x14ac:dyDescent="0.3">
      <c r="A11" s="667"/>
      <c r="B11" s="668"/>
      <c r="C11" s="669"/>
      <c r="D11" s="669"/>
      <c r="E11" s="281">
        <f t="shared" si="5"/>
        <v>0</v>
      </c>
      <c r="F11" s="281">
        <f t="shared" si="1"/>
        <v>0</v>
      </c>
      <c r="G11" s="669">
        <v>160</v>
      </c>
      <c r="H11" s="66">
        <f t="shared" si="2"/>
        <v>0</v>
      </c>
      <c r="I11" s="1178"/>
      <c r="K11" s="69">
        <f t="shared" si="0"/>
        <v>0</v>
      </c>
      <c r="L11" s="675" t="s">
        <v>1666</v>
      </c>
      <c r="M11" s="66">
        <f>IFERROR(VLOOKUP(L11,'Steel Structure Chart'!$1:$1048576,16,0),0)</f>
        <v>1.9445073612684032E-2</v>
      </c>
      <c r="N11" s="66">
        <f t="shared" si="3"/>
        <v>0</v>
      </c>
      <c r="O11" s="807">
        <f t="shared" si="4"/>
        <v>0</v>
      </c>
      <c r="P11" s="669">
        <v>18</v>
      </c>
      <c r="Q11" s="66">
        <f t="shared" si="6"/>
        <v>0</v>
      </c>
      <c r="R11" s="1178"/>
    </row>
    <row r="12" spans="1:18" x14ac:dyDescent="0.3">
      <c r="A12" s="667"/>
      <c r="B12" s="668"/>
      <c r="C12" s="669"/>
      <c r="D12" s="669"/>
      <c r="E12" s="281">
        <f t="shared" si="5"/>
        <v>0</v>
      </c>
      <c r="F12" s="281">
        <f t="shared" si="1"/>
        <v>0</v>
      </c>
      <c r="G12" s="669">
        <v>160</v>
      </c>
      <c r="H12" s="66">
        <f t="shared" si="2"/>
        <v>0</v>
      </c>
      <c r="I12" s="1178"/>
      <c r="K12" s="69">
        <f t="shared" si="0"/>
        <v>0</v>
      </c>
      <c r="L12" s="675" t="s">
        <v>1667</v>
      </c>
      <c r="M12" s="66">
        <f>IFERROR(VLOOKUP(L12,'Steel Structure Chart'!$1:$1048576,16,0),0)</f>
        <v>1.2966292134831459E-2</v>
      </c>
      <c r="N12" s="66">
        <f t="shared" si="3"/>
        <v>0</v>
      </c>
      <c r="O12" s="807">
        <f t="shared" si="4"/>
        <v>0</v>
      </c>
      <c r="P12" s="669">
        <v>18</v>
      </c>
      <c r="Q12" s="66">
        <f t="shared" si="6"/>
        <v>0</v>
      </c>
      <c r="R12" s="1178"/>
    </row>
    <row r="13" spans="1:18" x14ac:dyDescent="0.3">
      <c r="A13" s="667"/>
      <c r="B13" s="668"/>
      <c r="C13" s="669"/>
      <c r="D13" s="669"/>
      <c r="E13" s="281">
        <f t="shared" ref="E13:E18" si="7">D13*C13*B13</f>
        <v>0</v>
      </c>
      <c r="F13" s="281">
        <f t="shared" ref="F13:F18" si="8">B13*C13</f>
        <v>0</v>
      </c>
      <c r="G13" s="669">
        <v>160</v>
      </c>
      <c r="H13" s="66">
        <f t="shared" ref="H13:H18" si="9">F13*G13</f>
        <v>0</v>
      </c>
      <c r="I13" s="1178"/>
      <c r="K13" s="69">
        <f t="shared" si="0"/>
        <v>0</v>
      </c>
      <c r="L13" s="675" t="s">
        <v>1667</v>
      </c>
      <c r="M13" s="66">
        <f>IFERROR(VLOOKUP(L13,'Steel Structure Chart'!$1:$1048576,16,0),0)</f>
        <v>1.2966292134831459E-2</v>
      </c>
      <c r="N13" s="66">
        <f t="shared" si="3"/>
        <v>0</v>
      </c>
      <c r="O13" s="807">
        <f t="shared" si="4"/>
        <v>0</v>
      </c>
      <c r="P13" s="669">
        <v>18</v>
      </c>
      <c r="Q13" s="66">
        <f t="shared" ref="Q13:Q18" si="10">P13*O13</f>
        <v>0</v>
      </c>
      <c r="R13" s="1178"/>
    </row>
    <row r="14" spans="1:18" x14ac:dyDescent="0.3">
      <c r="A14" s="667"/>
      <c r="B14" s="668"/>
      <c r="C14" s="669"/>
      <c r="D14" s="669"/>
      <c r="E14" s="281">
        <f t="shared" si="7"/>
        <v>0</v>
      </c>
      <c r="F14" s="281">
        <f t="shared" si="8"/>
        <v>0</v>
      </c>
      <c r="G14" s="669">
        <v>160</v>
      </c>
      <c r="H14" s="66">
        <f t="shared" si="9"/>
        <v>0</v>
      </c>
      <c r="I14" s="1178"/>
      <c r="K14" s="69">
        <f t="shared" si="0"/>
        <v>0</v>
      </c>
      <c r="L14" s="675" t="s">
        <v>1667</v>
      </c>
      <c r="M14" s="66">
        <f>IFERROR(VLOOKUP(L14,'Steel Structure Chart'!$1:$1048576,16,0),0)</f>
        <v>1.2966292134831459E-2</v>
      </c>
      <c r="N14" s="66">
        <f t="shared" si="3"/>
        <v>0</v>
      </c>
      <c r="O14" s="807">
        <f t="shared" si="4"/>
        <v>0</v>
      </c>
      <c r="P14" s="669">
        <v>18</v>
      </c>
      <c r="Q14" s="66">
        <f t="shared" si="10"/>
        <v>0</v>
      </c>
      <c r="R14" s="1178"/>
    </row>
    <row r="15" spans="1:18" x14ac:dyDescent="0.3">
      <c r="A15" s="667"/>
      <c r="B15" s="668"/>
      <c r="C15" s="669"/>
      <c r="D15" s="669"/>
      <c r="E15" s="281">
        <f t="shared" si="7"/>
        <v>0</v>
      </c>
      <c r="F15" s="281">
        <f t="shared" si="8"/>
        <v>0</v>
      </c>
      <c r="G15" s="669">
        <v>160</v>
      </c>
      <c r="H15" s="66">
        <f t="shared" si="9"/>
        <v>0</v>
      </c>
      <c r="I15" s="1178"/>
      <c r="K15" s="69">
        <f t="shared" si="0"/>
        <v>0</v>
      </c>
      <c r="L15" s="675" t="s">
        <v>1667</v>
      </c>
      <c r="M15" s="66">
        <f>IFERROR(VLOOKUP(L15,'Steel Structure Chart'!$1:$1048576,16,0),0)</f>
        <v>1.2966292134831459E-2</v>
      </c>
      <c r="N15" s="66">
        <f t="shared" si="3"/>
        <v>0</v>
      </c>
      <c r="O15" s="807">
        <f t="shared" si="4"/>
        <v>0</v>
      </c>
      <c r="P15" s="669">
        <v>18</v>
      </c>
      <c r="Q15" s="66">
        <f t="shared" si="10"/>
        <v>0</v>
      </c>
      <c r="R15" s="1178"/>
    </row>
    <row r="16" spans="1:18" x14ac:dyDescent="0.3">
      <c r="A16" s="667"/>
      <c r="B16" s="668"/>
      <c r="C16" s="669"/>
      <c r="D16" s="669"/>
      <c r="E16" s="281">
        <f t="shared" si="7"/>
        <v>0</v>
      </c>
      <c r="F16" s="281">
        <f t="shared" si="8"/>
        <v>0</v>
      </c>
      <c r="G16" s="669">
        <v>160</v>
      </c>
      <c r="H16" s="66">
        <f t="shared" si="9"/>
        <v>0</v>
      </c>
      <c r="I16" s="1178"/>
      <c r="K16" s="69">
        <f t="shared" si="0"/>
        <v>0</v>
      </c>
      <c r="L16" s="675" t="s">
        <v>1667</v>
      </c>
      <c r="M16" s="66">
        <f>IFERROR(VLOOKUP(L16,'Steel Structure Chart'!$1:$1048576,16,0),0)</f>
        <v>1.2966292134831459E-2</v>
      </c>
      <c r="N16" s="66">
        <f t="shared" si="3"/>
        <v>0</v>
      </c>
      <c r="O16" s="807">
        <f t="shared" si="4"/>
        <v>0</v>
      </c>
      <c r="P16" s="669">
        <v>18</v>
      </c>
      <c r="Q16" s="66">
        <f t="shared" si="10"/>
        <v>0</v>
      </c>
      <c r="R16" s="1178"/>
    </row>
    <row r="17" spans="1:18" x14ac:dyDescent="0.3">
      <c r="A17" s="667"/>
      <c r="B17" s="668"/>
      <c r="C17" s="669"/>
      <c r="D17" s="669"/>
      <c r="E17" s="281">
        <f t="shared" si="7"/>
        <v>0</v>
      </c>
      <c r="F17" s="281">
        <f t="shared" si="8"/>
        <v>0</v>
      </c>
      <c r="G17" s="669">
        <v>160</v>
      </c>
      <c r="H17" s="66">
        <f t="shared" si="9"/>
        <v>0</v>
      </c>
      <c r="I17" s="1178"/>
      <c r="K17" s="69">
        <f t="shared" si="0"/>
        <v>0</v>
      </c>
      <c r="L17" s="675" t="s">
        <v>1667</v>
      </c>
      <c r="M17" s="66">
        <f>IFERROR(VLOOKUP(L17,'Steel Structure Chart'!$1:$1048576,16,0),0)</f>
        <v>1.2966292134831459E-2</v>
      </c>
      <c r="N17" s="66">
        <f t="shared" si="3"/>
        <v>0</v>
      </c>
      <c r="O17" s="807">
        <f t="shared" si="4"/>
        <v>0</v>
      </c>
      <c r="P17" s="669">
        <v>18</v>
      </c>
      <c r="Q17" s="66">
        <f t="shared" si="10"/>
        <v>0</v>
      </c>
      <c r="R17" s="1178"/>
    </row>
    <row r="18" spans="1:18" x14ac:dyDescent="0.3">
      <c r="A18" s="667"/>
      <c r="B18" s="668"/>
      <c r="C18" s="669"/>
      <c r="D18" s="669"/>
      <c r="E18" s="281">
        <f t="shared" si="7"/>
        <v>0</v>
      </c>
      <c r="F18" s="281">
        <f t="shared" si="8"/>
        <v>0</v>
      </c>
      <c r="G18" s="669">
        <v>160</v>
      </c>
      <c r="H18" s="66">
        <f t="shared" si="9"/>
        <v>0</v>
      </c>
      <c r="I18" s="1178"/>
      <c r="K18" s="69">
        <f t="shared" si="0"/>
        <v>0</v>
      </c>
      <c r="L18" s="675" t="s">
        <v>1666</v>
      </c>
      <c r="M18" s="66">
        <f>IFERROR(VLOOKUP(L18,'Steel Structure Chart'!$1:$1048576,16,0),0)</f>
        <v>1.9445073612684032E-2</v>
      </c>
      <c r="N18" s="66">
        <f t="shared" si="3"/>
        <v>0</v>
      </c>
      <c r="O18" s="807">
        <f t="shared" si="4"/>
        <v>0</v>
      </c>
      <c r="P18" s="669">
        <v>18</v>
      </c>
      <c r="Q18" s="66">
        <f t="shared" si="10"/>
        <v>0</v>
      </c>
      <c r="R18" s="1178"/>
    </row>
    <row r="19" spans="1:18" ht="15" thickBot="1" x14ac:dyDescent="0.35">
      <c r="A19" s="667"/>
      <c r="B19" s="668"/>
      <c r="C19" s="669"/>
      <c r="D19" s="669"/>
      <c r="E19" s="281">
        <f>D19*C19*B19</f>
        <v>0</v>
      </c>
      <c r="F19" s="281">
        <f>B19*C19</f>
        <v>0</v>
      </c>
      <c r="G19" s="669">
        <v>160</v>
      </c>
      <c r="H19" s="66">
        <f>F19*G19</f>
        <v>0</v>
      </c>
      <c r="I19" s="914"/>
      <c r="K19" s="69">
        <f t="shared" si="0"/>
        <v>0</v>
      </c>
      <c r="L19" s="675"/>
      <c r="M19" s="66">
        <f>IFERROR(VLOOKUP(L19,'Steel Structure Chart'!$1:$1048576,16,0),0)</f>
        <v>0</v>
      </c>
      <c r="N19" s="66">
        <f t="shared" si="3"/>
        <v>0</v>
      </c>
      <c r="O19" s="807">
        <f t="shared" si="4"/>
        <v>0</v>
      </c>
      <c r="P19" s="669">
        <v>18</v>
      </c>
      <c r="Q19" s="66">
        <f>P19*O19</f>
        <v>0</v>
      </c>
      <c r="R19" s="914"/>
    </row>
    <row r="20" spans="1:18" ht="18.600000000000001" thickBot="1" x14ac:dyDescent="0.4">
      <c r="A20" s="370" t="s">
        <v>1101</v>
      </c>
      <c r="B20" s="371"/>
      <c r="C20" s="371"/>
      <c r="D20" s="371"/>
      <c r="E20" s="371"/>
      <c r="F20" s="371"/>
      <c r="G20" s="371"/>
      <c r="H20" s="372" t="s">
        <v>222</v>
      </c>
      <c r="I20" s="373">
        <f>I2*B21</f>
        <v>576</v>
      </c>
      <c r="K20" s="366" t="str">
        <f t="shared" si="0"/>
        <v>Secondary Structure</v>
      </c>
      <c r="L20" s="1099"/>
      <c r="M20" s="368"/>
      <c r="N20" s="368"/>
      <c r="O20" s="368"/>
      <c r="P20" s="368"/>
      <c r="Q20" s="368"/>
      <c r="R20" s="491"/>
    </row>
    <row r="21" spans="1:18" ht="15" thickBot="1" x14ac:dyDescent="0.35">
      <c r="A21" s="83" t="s">
        <v>1668</v>
      </c>
      <c r="B21" s="912">
        <v>0.05</v>
      </c>
      <c r="C21" s="273" t="s">
        <v>1669</v>
      </c>
      <c r="D21" s="84"/>
      <c r="E21" s="85"/>
      <c r="F21" s="85"/>
      <c r="G21" s="86"/>
      <c r="H21" s="87"/>
      <c r="I21" s="88"/>
      <c r="K21" s="83" t="str">
        <f t="shared" si="0"/>
        <v>Estimated</v>
      </c>
      <c r="L21" s="676" t="s">
        <v>1670</v>
      </c>
      <c r="M21" s="492">
        <f>IFERROR(VLOOKUP(L21,'Steel Structure Chart'!$1:$1048576,16,0),0)</f>
        <v>2.6855791962174941E-2</v>
      </c>
      <c r="N21" s="492">
        <f>M21*I20</f>
        <v>15.468936170212766</v>
      </c>
      <c r="O21" s="808">
        <v>0</v>
      </c>
      <c r="P21" s="811"/>
      <c r="Q21" s="492">
        <v>0</v>
      </c>
      <c r="R21" s="1098"/>
    </row>
    <row r="22" spans="1:18" ht="21.6" thickBot="1" x14ac:dyDescent="0.35">
      <c r="A22" s="384" t="s">
        <v>1671</v>
      </c>
      <c r="B22" s="385"/>
      <c r="C22" s="385"/>
      <c r="D22" s="385"/>
      <c r="E22" s="386"/>
      <c r="F22" s="386"/>
      <c r="G22" s="386"/>
      <c r="H22" s="386"/>
      <c r="I22" s="387"/>
      <c r="K22" s="380" t="str">
        <f>A22&amp;" SURFACE &amp; PACKING"</f>
        <v>STEEL AUX. STRUCTURE SURFACE &amp; PACKING</v>
      </c>
      <c r="L22" s="1100"/>
      <c r="M22" s="382"/>
      <c r="N22" s="382"/>
      <c r="O22" s="382"/>
      <c r="P22" s="382"/>
      <c r="Q22" s="382"/>
      <c r="R22" s="490"/>
    </row>
    <row r="23" spans="1:18" ht="18.600000000000001" thickBot="1" x14ac:dyDescent="0.4">
      <c r="A23" s="366" t="s">
        <v>1672</v>
      </c>
      <c r="B23" s="367"/>
      <c r="C23" s="367"/>
      <c r="D23" s="367"/>
      <c r="E23" s="367"/>
      <c r="F23" s="367"/>
      <c r="G23" s="367"/>
      <c r="H23" s="368" t="s">
        <v>222</v>
      </c>
      <c r="I23" s="369">
        <f>SUM(H26:H35)</f>
        <v>0</v>
      </c>
      <c r="K23" s="366" t="str">
        <f t="shared" si="0"/>
        <v>Access Walkways</v>
      </c>
      <c r="L23" s="1099"/>
      <c r="M23" s="368"/>
      <c r="N23" s="368"/>
      <c r="O23" s="368"/>
      <c r="P23" s="368"/>
      <c r="Q23" s="368"/>
      <c r="R23" s="491"/>
    </row>
    <row r="24" spans="1:18" ht="29.4" thickBot="1" x14ac:dyDescent="0.35">
      <c r="A24" s="1748" t="s">
        <v>335</v>
      </c>
      <c r="B24" s="64" t="s">
        <v>1650</v>
      </c>
      <c r="C24" s="62" t="s">
        <v>1651</v>
      </c>
      <c r="D24" s="62" t="s">
        <v>1652</v>
      </c>
      <c r="E24" s="62" t="s">
        <v>1653</v>
      </c>
      <c r="F24" s="62" t="s">
        <v>1673</v>
      </c>
      <c r="G24" s="62" t="s">
        <v>184</v>
      </c>
      <c r="H24" s="63" t="s">
        <v>313</v>
      </c>
      <c r="I24" s="1748" t="s">
        <v>1655</v>
      </c>
      <c r="K24" s="1748" t="str">
        <f t="shared" si="0"/>
        <v>Description</v>
      </c>
      <c r="L24" s="1748" t="s">
        <v>1656</v>
      </c>
      <c r="M24" s="63" t="s">
        <v>336</v>
      </c>
      <c r="N24" s="63" t="s">
        <v>1657</v>
      </c>
      <c r="O24" s="80" t="s">
        <v>1658</v>
      </c>
      <c r="P24" s="79" t="s">
        <v>1659</v>
      </c>
      <c r="Q24" s="63" t="s">
        <v>1660</v>
      </c>
      <c r="R24" s="1748" t="s">
        <v>1655</v>
      </c>
    </row>
    <row r="25" spans="1:18" ht="15" thickBot="1" x14ac:dyDescent="0.35">
      <c r="A25" s="1749"/>
      <c r="B25" s="64" t="s">
        <v>1661</v>
      </c>
      <c r="C25" s="62" t="s">
        <v>1661</v>
      </c>
      <c r="D25" s="62" t="s">
        <v>1661</v>
      </c>
      <c r="E25" s="62" t="s">
        <v>225</v>
      </c>
      <c r="F25" s="62" t="s">
        <v>228</v>
      </c>
      <c r="G25" s="62" t="s">
        <v>1662</v>
      </c>
      <c r="H25" s="63" t="s">
        <v>222</v>
      </c>
      <c r="I25" s="1749"/>
      <c r="K25" s="1749">
        <f t="shared" si="0"/>
        <v>0</v>
      </c>
      <c r="L25" s="1749"/>
      <c r="M25" s="63" t="s">
        <v>1663</v>
      </c>
      <c r="N25" s="63" t="s">
        <v>228</v>
      </c>
      <c r="O25" s="80" t="s">
        <v>228</v>
      </c>
      <c r="P25" s="79" t="s">
        <v>1662</v>
      </c>
      <c r="Q25" s="63" t="s">
        <v>222</v>
      </c>
      <c r="R25" s="1749"/>
    </row>
    <row r="26" spans="1:18" x14ac:dyDescent="0.3">
      <c r="A26" s="667"/>
      <c r="B26" s="668"/>
      <c r="C26" s="669"/>
      <c r="D26" s="669"/>
      <c r="E26" s="280">
        <f>D26*C26*B26</f>
        <v>0</v>
      </c>
      <c r="F26" s="280">
        <f t="shared" ref="F26:F35" si="11">B26*C26</f>
        <v>0</v>
      </c>
      <c r="G26" s="669">
        <v>120</v>
      </c>
      <c r="H26" s="65">
        <f>F26*G26</f>
        <v>0</v>
      </c>
      <c r="I26" s="1179"/>
      <c r="K26" s="69">
        <f t="shared" si="0"/>
        <v>0</v>
      </c>
      <c r="L26" s="675" t="s">
        <v>1674</v>
      </c>
      <c r="M26" s="65">
        <f>IFERROR(VLOOKUP(L26,'Steel Structure Chart'!$1:$1048576,16,0),0)</f>
        <v>1.7991803278688524E-2</v>
      </c>
      <c r="N26" s="66">
        <f t="shared" ref="N26:N35" si="12">M26*H26</f>
        <v>0</v>
      </c>
      <c r="O26" s="809">
        <f t="shared" ref="O26:O35" si="13">(B26*C26+C26*D26+D26*B26)*2</f>
        <v>0</v>
      </c>
      <c r="P26" s="669">
        <v>18</v>
      </c>
      <c r="Q26" s="66">
        <f>P26*O26</f>
        <v>0</v>
      </c>
      <c r="R26" s="1179"/>
    </row>
    <row r="27" spans="1:18" x14ac:dyDescent="0.3">
      <c r="A27" s="667"/>
      <c r="B27" s="668"/>
      <c r="C27" s="669"/>
      <c r="D27" s="669"/>
      <c r="E27" s="281">
        <f t="shared" ref="E27:E35" si="14">D27*C27*B27</f>
        <v>0</v>
      </c>
      <c r="F27" s="281">
        <f t="shared" si="11"/>
        <v>0</v>
      </c>
      <c r="G27" s="669">
        <v>120</v>
      </c>
      <c r="H27" s="66">
        <f>F27*G27</f>
        <v>0</v>
      </c>
      <c r="I27" s="1178"/>
      <c r="K27" s="69">
        <f t="shared" si="0"/>
        <v>0</v>
      </c>
      <c r="L27" s="675" t="s">
        <v>1674</v>
      </c>
      <c r="M27" s="66">
        <f>IFERROR(VLOOKUP(L27,'Steel Structure Chart'!$1:$1048576,16,0),0)</f>
        <v>1.7991803278688524E-2</v>
      </c>
      <c r="N27" s="66">
        <f t="shared" si="12"/>
        <v>0</v>
      </c>
      <c r="O27" s="807">
        <f t="shared" si="13"/>
        <v>0</v>
      </c>
      <c r="P27" s="669">
        <v>18</v>
      </c>
      <c r="Q27" s="66">
        <f t="shared" ref="Q27:Q35" si="15">P27*O27</f>
        <v>0</v>
      </c>
      <c r="R27" s="1178"/>
    </row>
    <row r="28" spans="1:18" x14ac:dyDescent="0.3">
      <c r="A28" s="667"/>
      <c r="B28" s="668"/>
      <c r="C28" s="669"/>
      <c r="D28" s="669"/>
      <c r="E28" s="281">
        <f t="shared" si="14"/>
        <v>0</v>
      </c>
      <c r="F28" s="281">
        <f t="shared" si="11"/>
        <v>0</v>
      </c>
      <c r="G28" s="669">
        <v>120</v>
      </c>
      <c r="H28" s="66">
        <f>F28*G28</f>
        <v>0</v>
      </c>
      <c r="I28" s="1178"/>
      <c r="K28" s="69">
        <f t="shared" si="0"/>
        <v>0</v>
      </c>
      <c r="L28" s="675"/>
      <c r="M28" s="66">
        <f>IFERROR(VLOOKUP(L28,'Steel Structure Chart'!$1:$1048576,16,0),0)</f>
        <v>0</v>
      </c>
      <c r="N28" s="66">
        <f t="shared" si="12"/>
        <v>0</v>
      </c>
      <c r="O28" s="807">
        <f t="shared" si="13"/>
        <v>0</v>
      </c>
      <c r="P28" s="669">
        <v>18</v>
      </c>
      <c r="Q28" s="66">
        <f t="shared" si="15"/>
        <v>0</v>
      </c>
      <c r="R28" s="1178"/>
    </row>
    <row r="29" spans="1:18" x14ac:dyDescent="0.3">
      <c r="A29" s="667"/>
      <c r="B29" s="668"/>
      <c r="C29" s="669"/>
      <c r="D29" s="669"/>
      <c r="E29" s="281">
        <f t="shared" si="14"/>
        <v>0</v>
      </c>
      <c r="F29" s="281">
        <f t="shared" si="11"/>
        <v>0</v>
      </c>
      <c r="G29" s="669">
        <v>120</v>
      </c>
      <c r="H29" s="66">
        <f t="shared" ref="H29:H35" si="16">F29*G29</f>
        <v>0</v>
      </c>
      <c r="I29" s="1178"/>
      <c r="K29" s="69">
        <f t="shared" si="0"/>
        <v>0</v>
      </c>
      <c r="L29" s="675"/>
      <c r="M29" s="66">
        <f>IFERROR(VLOOKUP(L29,'Steel Structure Chart'!$1:$1048576,16,0),0)</f>
        <v>0</v>
      </c>
      <c r="N29" s="66">
        <f t="shared" si="12"/>
        <v>0</v>
      </c>
      <c r="O29" s="807">
        <f t="shared" si="13"/>
        <v>0</v>
      </c>
      <c r="P29" s="669">
        <v>18</v>
      </c>
      <c r="Q29" s="66">
        <f t="shared" si="15"/>
        <v>0</v>
      </c>
      <c r="R29" s="1178"/>
    </row>
    <row r="30" spans="1:18" x14ac:dyDescent="0.3">
      <c r="A30" s="667"/>
      <c r="B30" s="668"/>
      <c r="C30" s="669"/>
      <c r="D30" s="669"/>
      <c r="E30" s="281">
        <f t="shared" si="14"/>
        <v>0</v>
      </c>
      <c r="F30" s="281">
        <f t="shared" si="11"/>
        <v>0</v>
      </c>
      <c r="G30" s="669">
        <v>120</v>
      </c>
      <c r="H30" s="66">
        <f t="shared" si="16"/>
        <v>0</v>
      </c>
      <c r="I30" s="1178"/>
      <c r="K30" s="69">
        <f t="shared" si="0"/>
        <v>0</v>
      </c>
      <c r="L30" s="675"/>
      <c r="M30" s="66">
        <f>IFERROR(VLOOKUP(L30,'Steel Structure Chart'!$1:$1048576,16,0),0)</f>
        <v>0</v>
      </c>
      <c r="N30" s="66">
        <f t="shared" si="12"/>
        <v>0</v>
      </c>
      <c r="O30" s="807">
        <f t="shared" si="13"/>
        <v>0</v>
      </c>
      <c r="P30" s="669">
        <v>18</v>
      </c>
      <c r="Q30" s="66">
        <f t="shared" si="15"/>
        <v>0</v>
      </c>
      <c r="R30" s="1178"/>
    </row>
    <row r="31" spans="1:18" x14ac:dyDescent="0.3">
      <c r="A31" s="667"/>
      <c r="B31" s="668"/>
      <c r="C31" s="669"/>
      <c r="D31" s="669"/>
      <c r="E31" s="281">
        <f t="shared" si="14"/>
        <v>0</v>
      </c>
      <c r="F31" s="281">
        <f t="shared" si="11"/>
        <v>0</v>
      </c>
      <c r="G31" s="669">
        <v>120</v>
      </c>
      <c r="H31" s="66">
        <f t="shared" si="16"/>
        <v>0</v>
      </c>
      <c r="I31" s="1178"/>
      <c r="K31" s="69">
        <f t="shared" si="0"/>
        <v>0</v>
      </c>
      <c r="L31" s="675"/>
      <c r="M31" s="66">
        <f>IFERROR(VLOOKUP(L31,'Steel Structure Chart'!$1:$1048576,16,0),0)</f>
        <v>0</v>
      </c>
      <c r="N31" s="66">
        <f t="shared" si="12"/>
        <v>0</v>
      </c>
      <c r="O31" s="807">
        <f t="shared" si="13"/>
        <v>0</v>
      </c>
      <c r="P31" s="669">
        <v>18</v>
      </c>
      <c r="Q31" s="66">
        <f t="shared" si="15"/>
        <v>0</v>
      </c>
      <c r="R31" s="1178"/>
    </row>
    <row r="32" spans="1:18" x14ac:dyDescent="0.3">
      <c r="A32" s="667"/>
      <c r="B32" s="668"/>
      <c r="C32" s="669"/>
      <c r="D32" s="669"/>
      <c r="E32" s="281">
        <f t="shared" si="14"/>
        <v>0</v>
      </c>
      <c r="F32" s="281">
        <f t="shared" si="11"/>
        <v>0</v>
      </c>
      <c r="G32" s="669">
        <v>120</v>
      </c>
      <c r="H32" s="66">
        <f t="shared" si="16"/>
        <v>0</v>
      </c>
      <c r="I32" s="1178"/>
      <c r="K32" s="69">
        <f t="shared" si="0"/>
        <v>0</v>
      </c>
      <c r="L32" s="675"/>
      <c r="M32" s="66">
        <f>IFERROR(VLOOKUP(L32,'Steel Structure Chart'!$1:$1048576,16,0),0)</f>
        <v>0</v>
      </c>
      <c r="N32" s="66">
        <f t="shared" si="12"/>
        <v>0</v>
      </c>
      <c r="O32" s="807">
        <f t="shared" si="13"/>
        <v>0</v>
      </c>
      <c r="P32" s="669">
        <v>18</v>
      </c>
      <c r="Q32" s="66">
        <f t="shared" si="15"/>
        <v>0</v>
      </c>
      <c r="R32" s="1178"/>
    </row>
    <row r="33" spans="1:18" x14ac:dyDescent="0.3">
      <c r="A33" s="667"/>
      <c r="B33" s="668"/>
      <c r="C33" s="669"/>
      <c r="D33" s="669"/>
      <c r="E33" s="281">
        <f t="shared" si="14"/>
        <v>0</v>
      </c>
      <c r="F33" s="281">
        <f t="shared" si="11"/>
        <v>0</v>
      </c>
      <c r="G33" s="669">
        <v>120</v>
      </c>
      <c r="H33" s="66">
        <f t="shared" si="16"/>
        <v>0</v>
      </c>
      <c r="I33" s="1178"/>
      <c r="K33" s="69">
        <f t="shared" si="0"/>
        <v>0</v>
      </c>
      <c r="L33" s="675"/>
      <c r="M33" s="66">
        <f>IFERROR(VLOOKUP(L33,'Steel Structure Chart'!$1:$1048576,16,0),0)</f>
        <v>0</v>
      </c>
      <c r="N33" s="66">
        <f t="shared" si="12"/>
        <v>0</v>
      </c>
      <c r="O33" s="807">
        <f t="shared" si="13"/>
        <v>0</v>
      </c>
      <c r="P33" s="669">
        <v>18</v>
      </c>
      <c r="Q33" s="66">
        <f t="shared" si="15"/>
        <v>0</v>
      </c>
      <c r="R33" s="1178"/>
    </row>
    <row r="34" spans="1:18" x14ac:dyDescent="0.3">
      <c r="A34" s="667"/>
      <c r="B34" s="668"/>
      <c r="C34" s="669"/>
      <c r="D34" s="669"/>
      <c r="E34" s="281">
        <f t="shared" si="14"/>
        <v>0</v>
      </c>
      <c r="F34" s="281">
        <f t="shared" si="11"/>
        <v>0</v>
      </c>
      <c r="G34" s="669">
        <v>120</v>
      </c>
      <c r="H34" s="66">
        <f t="shared" si="16"/>
        <v>0</v>
      </c>
      <c r="I34" s="1178"/>
      <c r="K34" s="69">
        <f t="shared" si="0"/>
        <v>0</v>
      </c>
      <c r="L34" s="675"/>
      <c r="M34" s="66">
        <f>IFERROR(VLOOKUP(L34,'Steel Structure Chart'!$1:$1048576,16,0),0)</f>
        <v>0</v>
      </c>
      <c r="N34" s="66">
        <f t="shared" si="12"/>
        <v>0</v>
      </c>
      <c r="O34" s="807">
        <f t="shared" si="13"/>
        <v>0</v>
      </c>
      <c r="P34" s="669">
        <v>18</v>
      </c>
      <c r="Q34" s="66">
        <f t="shared" si="15"/>
        <v>0</v>
      </c>
      <c r="R34" s="1178"/>
    </row>
    <row r="35" spans="1:18" ht="15" thickBot="1" x14ac:dyDescent="0.35">
      <c r="A35" s="670"/>
      <c r="B35" s="671"/>
      <c r="C35" s="672"/>
      <c r="D35" s="672"/>
      <c r="E35" s="282">
        <f t="shared" si="14"/>
        <v>0</v>
      </c>
      <c r="F35" s="282">
        <f t="shared" si="11"/>
        <v>0</v>
      </c>
      <c r="G35" s="672">
        <v>120</v>
      </c>
      <c r="H35" s="67">
        <f t="shared" si="16"/>
        <v>0</v>
      </c>
      <c r="I35" s="914"/>
      <c r="K35" s="70">
        <f t="shared" si="0"/>
        <v>0</v>
      </c>
      <c r="L35" s="678"/>
      <c r="M35" s="67">
        <f>IFERROR(VLOOKUP(L35,'Steel Structure Chart'!$1:$1048576,16,0),0)</f>
        <v>0</v>
      </c>
      <c r="N35" s="66">
        <f t="shared" si="12"/>
        <v>0</v>
      </c>
      <c r="O35" s="810">
        <f t="shared" si="13"/>
        <v>0</v>
      </c>
      <c r="P35" s="669">
        <v>18</v>
      </c>
      <c r="Q35" s="66">
        <f t="shared" si="15"/>
        <v>0</v>
      </c>
      <c r="R35" s="914"/>
    </row>
    <row r="36" spans="1:18" ht="18.600000000000001" thickBot="1" x14ac:dyDescent="0.4">
      <c r="A36" s="366" t="s">
        <v>1675</v>
      </c>
      <c r="B36" s="367"/>
      <c r="C36" s="367"/>
      <c r="D36" s="367"/>
      <c r="E36" s="367"/>
      <c r="F36" s="367"/>
      <c r="G36" s="367"/>
      <c r="H36" s="368" t="s">
        <v>222</v>
      </c>
      <c r="I36" s="369">
        <f>SUM(H39:H48)</f>
        <v>0</v>
      </c>
      <c r="K36" s="366" t="str">
        <f t="shared" si="0"/>
        <v>Column Circular Access Walkways</v>
      </c>
      <c r="L36" s="1099"/>
      <c r="M36" s="368"/>
      <c r="N36" s="368"/>
      <c r="O36" s="368"/>
      <c r="P36" s="368"/>
      <c r="Q36" s="368"/>
      <c r="R36" s="491"/>
    </row>
    <row r="37" spans="1:18" ht="29.4" thickBot="1" x14ac:dyDescent="0.35">
      <c r="A37" s="1748" t="s">
        <v>335</v>
      </c>
      <c r="B37" s="64" t="s">
        <v>178</v>
      </c>
      <c r="C37" s="62" t="s">
        <v>1676</v>
      </c>
      <c r="D37" s="62" t="s">
        <v>1677</v>
      </c>
      <c r="E37" s="62" t="s">
        <v>1653</v>
      </c>
      <c r="F37" s="62" t="s">
        <v>1673</v>
      </c>
      <c r="G37" s="62" t="s">
        <v>184</v>
      </c>
      <c r="H37" s="63" t="s">
        <v>313</v>
      </c>
      <c r="I37" s="1748" t="s">
        <v>1655</v>
      </c>
      <c r="K37" s="1748" t="str">
        <f t="shared" si="0"/>
        <v>Description</v>
      </c>
      <c r="L37" s="1748" t="s">
        <v>1656</v>
      </c>
      <c r="M37" s="63" t="s">
        <v>336</v>
      </c>
      <c r="N37" s="63" t="s">
        <v>1657</v>
      </c>
      <c r="O37" s="80" t="s">
        <v>1658</v>
      </c>
      <c r="P37" s="79" t="s">
        <v>1659</v>
      </c>
      <c r="Q37" s="63" t="s">
        <v>1660</v>
      </c>
      <c r="R37" s="1748" t="s">
        <v>1655</v>
      </c>
    </row>
    <row r="38" spans="1:18" ht="15" thickBot="1" x14ac:dyDescent="0.35">
      <c r="A38" s="1749"/>
      <c r="B38" s="64" t="s">
        <v>1661</v>
      </c>
      <c r="C38" s="62" t="s">
        <v>1661</v>
      </c>
      <c r="D38" s="62" t="s">
        <v>1678</v>
      </c>
      <c r="E38" s="62" t="s">
        <v>225</v>
      </c>
      <c r="F38" s="62" t="s">
        <v>228</v>
      </c>
      <c r="G38" s="62" t="s">
        <v>1662</v>
      </c>
      <c r="H38" s="63" t="s">
        <v>222</v>
      </c>
      <c r="I38" s="1749"/>
      <c r="K38" s="1749">
        <f t="shared" si="0"/>
        <v>0</v>
      </c>
      <c r="L38" s="1749"/>
      <c r="M38" s="63" t="s">
        <v>1663</v>
      </c>
      <c r="N38" s="63" t="s">
        <v>228</v>
      </c>
      <c r="O38" s="80" t="s">
        <v>228</v>
      </c>
      <c r="P38" s="79" t="s">
        <v>1662</v>
      </c>
      <c r="Q38" s="63" t="s">
        <v>222</v>
      </c>
      <c r="R38" s="1749"/>
    </row>
    <row r="39" spans="1:18" x14ac:dyDescent="0.3">
      <c r="A39" s="664"/>
      <c r="B39" s="665"/>
      <c r="C39" s="666"/>
      <c r="D39" s="666"/>
      <c r="E39" s="280">
        <f>C39*C39*1.5</f>
        <v>0</v>
      </c>
      <c r="F39" s="280">
        <f t="shared" ref="F39:F48" si="17">(C39^2-B39^2)*PI()*D39/180/8</f>
        <v>0</v>
      </c>
      <c r="G39" s="666">
        <v>100</v>
      </c>
      <c r="H39" s="65">
        <f>F39*G39</f>
        <v>0</v>
      </c>
      <c r="I39" s="1179"/>
      <c r="K39" s="68">
        <f t="shared" si="0"/>
        <v>0</v>
      </c>
      <c r="L39" s="677" t="s">
        <v>1679</v>
      </c>
      <c r="M39" s="65">
        <f>IFERROR(VLOOKUP(L39,'Steel Structure Chart'!$1:$1048576,16,0),0)</f>
        <v>3.4020100502512571E-2</v>
      </c>
      <c r="N39" s="65">
        <f t="shared" ref="N39:N48" si="18">M39*H39</f>
        <v>0</v>
      </c>
      <c r="O39" s="809">
        <f t="shared" ref="O39:O48" si="19">(B39*C39+C39*D39+D39*B39)*2</f>
        <v>0</v>
      </c>
      <c r="P39" s="666">
        <v>18</v>
      </c>
      <c r="Q39" s="65">
        <f>P39*O39</f>
        <v>0</v>
      </c>
      <c r="R39" s="1179"/>
    </row>
    <row r="40" spans="1:18" x14ac:dyDescent="0.3">
      <c r="A40" s="667"/>
      <c r="B40" s="668"/>
      <c r="C40" s="669"/>
      <c r="D40" s="669"/>
      <c r="E40" s="281">
        <f t="shared" ref="E40:E48" si="20">C40*C40*1.5</f>
        <v>0</v>
      </c>
      <c r="F40" s="281">
        <f t="shared" si="17"/>
        <v>0</v>
      </c>
      <c r="G40" s="669">
        <v>100</v>
      </c>
      <c r="H40" s="66">
        <f>F40*G40</f>
        <v>0</v>
      </c>
      <c r="I40" s="1178"/>
      <c r="K40" s="69">
        <f t="shared" si="0"/>
        <v>0</v>
      </c>
      <c r="L40" s="675" t="s">
        <v>1679</v>
      </c>
      <c r="M40" s="66">
        <f>IFERROR(VLOOKUP(L40,'Steel Structure Chart'!$1:$1048576,16,0),0)</f>
        <v>3.4020100502512571E-2</v>
      </c>
      <c r="N40" s="66">
        <f t="shared" si="18"/>
        <v>0</v>
      </c>
      <c r="O40" s="807">
        <f t="shared" si="19"/>
        <v>0</v>
      </c>
      <c r="P40" s="669">
        <v>18</v>
      </c>
      <c r="Q40" s="66">
        <f t="shared" ref="Q40:Q48" si="21">P40*O40</f>
        <v>0</v>
      </c>
      <c r="R40" s="1178"/>
    </row>
    <row r="41" spans="1:18" x14ac:dyDescent="0.3">
      <c r="A41" s="667"/>
      <c r="B41" s="668"/>
      <c r="C41" s="669"/>
      <c r="D41" s="669"/>
      <c r="E41" s="281">
        <f t="shared" si="20"/>
        <v>0</v>
      </c>
      <c r="F41" s="281">
        <f t="shared" si="17"/>
        <v>0</v>
      </c>
      <c r="G41" s="669">
        <v>100</v>
      </c>
      <c r="H41" s="66">
        <f>F41*G41</f>
        <v>0</v>
      </c>
      <c r="I41" s="1178"/>
      <c r="K41" s="69">
        <f t="shared" si="0"/>
        <v>0</v>
      </c>
      <c r="L41" s="675"/>
      <c r="M41" s="66">
        <f>IFERROR(VLOOKUP(L41,'Steel Structure Chart'!$1:$1048576,16,0),0)</f>
        <v>0</v>
      </c>
      <c r="N41" s="66">
        <f t="shared" si="18"/>
        <v>0</v>
      </c>
      <c r="O41" s="807">
        <f t="shared" si="19"/>
        <v>0</v>
      </c>
      <c r="P41" s="669">
        <v>18</v>
      </c>
      <c r="Q41" s="66">
        <f t="shared" si="21"/>
        <v>0</v>
      </c>
      <c r="R41" s="1178"/>
    </row>
    <row r="42" spans="1:18" x14ac:dyDescent="0.3">
      <c r="A42" s="667"/>
      <c r="B42" s="668"/>
      <c r="C42" s="669"/>
      <c r="D42" s="669"/>
      <c r="E42" s="281">
        <f t="shared" si="20"/>
        <v>0</v>
      </c>
      <c r="F42" s="281">
        <f t="shared" si="17"/>
        <v>0</v>
      </c>
      <c r="G42" s="669">
        <v>100</v>
      </c>
      <c r="H42" s="66">
        <f t="shared" ref="H42:H48" si="22">F42*G42</f>
        <v>0</v>
      </c>
      <c r="I42" s="1178"/>
      <c r="K42" s="69">
        <f t="shared" si="0"/>
        <v>0</v>
      </c>
      <c r="L42" s="675"/>
      <c r="M42" s="66">
        <f>IFERROR(VLOOKUP(L42,'Steel Structure Chart'!$1:$1048576,16,0),0)</f>
        <v>0</v>
      </c>
      <c r="N42" s="66">
        <f t="shared" si="18"/>
        <v>0</v>
      </c>
      <c r="O42" s="807">
        <f t="shared" si="19"/>
        <v>0</v>
      </c>
      <c r="P42" s="669">
        <v>18</v>
      </c>
      <c r="Q42" s="66">
        <f t="shared" si="21"/>
        <v>0</v>
      </c>
      <c r="R42" s="1178"/>
    </row>
    <row r="43" spans="1:18" x14ac:dyDescent="0.3">
      <c r="A43" s="667"/>
      <c r="B43" s="668"/>
      <c r="C43" s="669"/>
      <c r="D43" s="669"/>
      <c r="E43" s="281">
        <f t="shared" si="20"/>
        <v>0</v>
      </c>
      <c r="F43" s="281">
        <f t="shared" si="17"/>
        <v>0</v>
      </c>
      <c r="G43" s="669">
        <v>100</v>
      </c>
      <c r="H43" s="66">
        <f t="shared" si="22"/>
        <v>0</v>
      </c>
      <c r="I43" s="1178"/>
      <c r="K43" s="69">
        <f t="shared" si="0"/>
        <v>0</v>
      </c>
      <c r="L43" s="675"/>
      <c r="M43" s="66">
        <f>IFERROR(VLOOKUP(L43,'Steel Structure Chart'!$1:$1048576,16,0),0)</f>
        <v>0</v>
      </c>
      <c r="N43" s="66">
        <f t="shared" si="18"/>
        <v>0</v>
      </c>
      <c r="O43" s="807">
        <f t="shared" si="19"/>
        <v>0</v>
      </c>
      <c r="P43" s="669">
        <v>18</v>
      </c>
      <c r="Q43" s="66">
        <f t="shared" si="21"/>
        <v>0</v>
      </c>
      <c r="R43" s="1178"/>
    </row>
    <row r="44" spans="1:18" x14ac:dyDescent="0.3">
      <c r="A44" s="667"/>
      <c r="B44" s="668"/>
      <c r="C44" s="669"/>
      <c r="D44" s="669"/>
      <c r="E44" s="281">
        <f t="shared" si="20"/>
        <v>0</v>
      </c>
      <c r="F44" s="281">
        <f t="shared" si="17"/>
        <v>0</v>
      </c>
      <c r="G44" s="669">
        <v>100</v>
      </c>
      <c r="H44" s="66">
        <f t="shared" si="22"/>
        <v>0</v>
      </c>
      <c r="I44" s="1178"/>
      <c r="K44" s="69">
        <f t="shared" si="0"/>
        <v>0</v>
      </c>
      <c r="L44" s="675"/>
      <c r="M44" s="66">
        <f>IFERROR(VLOOKUP(L44,'Steel Structure Chart'!$1:$1048576,16,0),0)</f>
        <v>0</v>
      </c>
      <c r="N44" s="66">
        <f t="shared" si="18"/>
        <v>0</v>
      </c>
      <c r="O44" s="807">
        <f t="shared" si="19"/>
        <v>0</v>
      </c>
      <c r="P44" s="669">
        <v>18</v>
      </c>
      <c r="Q44" s="66">
        <f t="shared" si="21"/>
        <v>0</v>
      </c>
      <c r="R44" s="1178"/>
    </row>
    <row r="45" spans="1:18" x14ac:dyDescent="0.3">
      <c r="A45" s="667"/>
      <c r="B45" s="668"/>
      <c r="C45" s="669"/>
      <c r="D45" s="669"/>
      <c r="E45" s="281">
        <f t="shared" si="20"/>
        <v>0</v>
      </c>
      <c r="F45" s="281">
        <f t="shared" si="17"/>
        <v>0</v>
      </c>
      <c r="G45" s="669">
        <v>100</v>
      </c>
      <c r="H45" s="66">
        <f t="shared" si="22"/>
        <v>0</v>
      </c>
      <c r="I45" s="1178"/>
      <c r="K45" s="69">
        <f t="shared" si="0"/>
        <v>0</v>
      </c>
      <c r="L45" s="675"/>
      <c r="M45" s="66">
        <f>IFERROR(VLOOKUP(L45,'Steel Structure Chart'!$1:$1048576,16,0),0)</f>
        <v>0</v>
      </c>
      <c r="N45" s="66">
        <f t="shared" si="18"/>
        <v>0</v>
      </c>
      <c r="O45" s="807">
        <f t="shared" si="19"/>
        <v>0</v>
      </c>
      <c r="P45" s="669">
        <v>18</v>
      </c>
      <c r="Q45" s="66">
        <f t="shared" si="21"/>
        <v>0</v>
      </c>
      <c r="R45" s="1178"/>
    </row>
    <row r="46" spans="1:18" x14ac:dyDescent="0.3">
      <c r="A46" s="667"/>
      <c r="B46" s="668"/>
      <c r="C46" s="669"/>
      <c r="D46" s="669"/>
      <c r="E46" s="281">
        <f t="shared" si="20"/>
        <v>0</v>
      </c>
      <c r="F46" s="281">
        <f t="shared" si="17"/>
        <v>0</v>
      </c>
      <c r="G46" s="669">
        <v>100</v>
      </c>
      <c r="H46" s="66">
        <f t="shared" si="22"/>
        <v>0</v>
      </c>
      <c r="I46" s="1178"/>
      <c r="K46" s="69">
        <f t="shared" si="0"/>
        <v>0</v>
      </c>
      <c r="L46" s="675"/>
      <c r="M46" s="66">
        <f>IFERROR(VLOOKUP(L46,'Steel Structure Chart'!$1:$1048576,16,0),0)</f>
        <v>0</v>
      </c>
      <c r="N46" s="66">
        <f t="shared" si="18"/>
        <v>0</v>
      </c>
      <c r="O46" s="807">
        <f t="shared" si="19"/>
        <v>0</v>
      </c>
      <c r="P46" s="669">
        <v>18</v>
      </c>
      <c r="Q46" s="66">
        <f t="shared" si="21"/>
        <v>0</v>
      </c>
      <c r="R46" s="1178"/>
    </row>
    <row r="47" spans="1:18" x14ac:dyDescent="0.3">
      <c r="A47" s="667"/>
      <c r="B47" s="668"/>
      <c r="C47" s="669"/>
      <c r="D47" s="669"/>
      <c r="E47" s="281">
        <f t="shared" si="20"/>
        <v>0</v>
      </c>
      <c r="F47" s="281">
        <f t="shared" si="17"/>
        <v>0</v>
      </c>
      <c r="G47" s="669">
        <v>100</v>
      </c>
      <c r="H47" s="66">
        <f t="shared" si="22"/>
        <v>0</v>
      </c>
      <c r="I47" s="1178"/>
      <c r="K47" s="69">
        <f t="shared" si="0"/>
        <v>0</v>
      </c>
      <c r="L47" s="675"/>
      <c r="M47" s="66">
        <f>IFERROR(VLOOKUP(L47,'Steel Structure Chart'!$1:$1048576,16,0),0)</f>
        <v>0</v>
      </c>
      <c r="N47" s="66">
        <f t="shared" si="18"/>
        <v>0</v>
      </c>
      <c r="O47" s="807">
        <f t="shared" si="19"/>
        <v>0</v>
      </c>
      <c r="P47" s="669">
        <v>18</v>
      </c>
      <c r="Q47" s="66">
        <f t="shared" si="21"/>
        <v>0</v>
      </c>
      <c r="R47" s="1178"/>
    </row>
    <row r="48" spans="1:18" ht="15" thickBot="1" x14ac:dyDescent="0.35">
      <c r="A48" s="670"/>
      <c r="B48" s="671"/>
      <c r="C48" s="672"/>
      <c r="D48" s="672"/>
      <c r="E48" s="282">
        <f t="shared" si="20"/>
        <v>0</v>
      </c>
      <c r="F48" s="282">
        <f t="shared" si="17"/>
        <v>0</v>
      </c>
      <c r="G48" s="672">
        <v>100</v>
      </c>
      <c r="H48" s="67">
        <f t="shared" si="22"/>
        <v>0</v>
      </c>
      <c r="I48" s="914"/>
      <c r="K48" s="70">
        <f t="shared" si="0"/>
        <v>0</v>
      </c>
      <c r="L48" s="678"/>
      <c r="M48" s="67">
        <f>IFERROR(VLOOKUP(L48,'Steel Structure Chart'!$1:$1048576,16,0),0)</f>
        <v>0</v>
      </c>
      <c r="N48" s="67">
        <f t="shared" si="18"/>
        <v>0</v>
      </c>
      <c r="O48" s="810">
        <f t="shared" si="19"/>
        <v>0</v>
      </c>
      <c r="P48" s="672">
        <v>18</v>
      </c>
      <c r="Q48" s="67">
        <f t="shared" si="21"/>
        <v>0</v>
      </c>
      <c r="R48" s="914"/>
    </row>
    <row r="49" spans="1:9" ht="18.600000000000001" thickBot="1" x14ac:dyDescent="0.4">
      <c r="A49" s="366" t="s">
        <v>1680</v>
      </c>
      <c r="B49" s="367"/>
      <c r="C49" s="367"/>
      <c r="D49" s="367"/>
      <c r="E49" s="367"/>
      <c r="F49" s="367"/>
      <c r="G49" s="367"/>
      <c r="H49" s="368" t="s">
        <v>222</v>
      </c>
      <c r="I49" s="369">
        <f>SUM(H52:H76)</f>
        <v>170</v>
      </c>
    </row>
    <row r="50" spans="1:9" ht="29.4" thickBot="1" x14ac:dyDescent="0.35">
      <c r="A50" s="1748" t="s">
        <v>335</v>
      </c>
      <c r="B50" s="71" t="s">
        <v>1650</v>
      </c>
      <c r="C50" s="72"/>
      <c r="D50" s="73"/>
      <c r="E50" s="73"/>
      <c r="F50" s="74"/>
      <c r="G50" s="64" t="s">
        <v>184</v>
      </c>
      <c r="H50" s="63" t="s">
        <v>313</v>
      </c>
      <c r="I50" s="1748" t="s">
        <v>1655</v>
      </c>
    </row>
    <row r="51" spans="1:9" ht="15" thickBot="1" x14ac:dyDescent="0.35">
      <c r="A51" s="1749"/>
      <c r="B51" s="71" t="s">
        <v>1661</v>
      </c>
      <c r="C51" s="75"/>
      <c r="D51" s="76"/>
      <c r="E51" s="76"/>
      <c r="F51" s="77"/>
      <c r="G51" s="64" t="s">
        <v>307</v>
      </c>
      <c r="H51" s="63" t="s">
        <v>222</v>
      </c>
      <c r="I51" s="1749"/>
    </row>
    <row r="52" spans="1:9" x14ac:dyDescent="0.3">
      <c r="A52" s="69" t="str">
        <f>A5</f>
        <v>SKID 1 MODULO PIANO 1</v>
      </c>
      <c r="B52" s="664">
        <v>3.4</v>
      </c>
      <c r="C52" s="75"/>
      <c r="D52" s="76"/>
      <c r="E52" s="283"/>
      <c r="F52" s="78"/>
      <c r="G52" s="669">
        <v>25</v>
      </c>
      <c r="H52" s="65">
        <f>G52*B52</f>
        <v>85</v>
      </c>
      <c r="I52" s="1178"/>
    </row>
    <row r="53" spans="1:9" x14ac:dyDescent="0.3">
      <c r="A53" s="69" t="str">
        <f t="shared" ref="A53:A66" si="23">A6</f>
        <v>SKID 1 MODULO PIANO 2</v>
      </c>
      <c r="B53" s="667">
        <v>0</v>
      </c>
      <c r="C53" s="75"/>
      <c r="D53" s="76"/>
      <c r="E53" s="283"/>
      <c r="F53" s="78"/>
      <c r="G53" s="669">
        <v>25</v>
      </c>
      <c r="H53" s="66">
        <f>G53*B53</f>
        <v>0</v>
      </c>
      <c r="I53" s="1178"/>
    </row>
    <row r="54" spans="1:9" x14ac:dyDescent="0.3">
      <c r="A54" s="69" t="str">
        <f t="shared" si="23"/>
        <v>SKID 2 MODULO PIANO 1</v>
      </c>
      <c r="B54" s="667">
        <v>3.4</v>
      </c>
      <c r="C54" s="75"/>
      <c r="D54" s="76"/>
      <c r="E54" s="283"/>
      <c r="F54" s="78"/>
      <c r="G54" s="669">
        <v>25</v>
      </c>
      <c r="H54" s="66">
        <f>G54*B55</f>
        <v>0</v>
      </c>
      <c r="I54" s="1178"/>
    </row>
    <row r="55" spans="1:9" x14ac:dyDescent="0.3">
      <c r="A55" s="69">
        <f t="shared" si="23"/>
        <v>0</v>
      </c>
      <c r="B55" s="667"/>
      <c r="C55" s="75"/>
      <c r="D55" s="76"/>
      <c r="E55" s="283"/>
      <c r="F55" s="78"/>
      <c r="G55" s="669">
        <v>25</v>
      </c>
      <c r="H55" s="66">
        <f>G55*B56</f>
        <v>0</v>
      </c>
      <c r="I55" s="1178"/>
    </row>
    <row r="56" spans="1:9" x14ac:dyDescent="0.3">
      <c r="A56" s="69">
        <f t="shared" si="23"/>
        <v>0</v>
      </c>
      <c r="B56" s="667"/>
      <c r="C56" s="75"/>
      <c r="D56" s="76"/>
      <c r="E56" s="283"/>
      <c r="F56" s="78"/>
      <c r="G56" s="669">
        <v>25</v>
      </c>
      <c r="H56" s="66">
        <f>G56*B57</f>
        <v>0</v>
      </c>
      <c r="I56" s="1178"/>
    </row>
    <row r="57" spans="1:9" x14ac:dyDescent="0.3">
      <c r="A57" s="69">
        <f t="shared" si="23"/>
        <v>0</v>
      </c>
      <c r="B57" s="667"/>
      <c r="C57" s="75"/>
      <c r="D57" s="76"/>
      <c r="E57" s="283"/>
      <c r="F57" s="78"/>
      <c r="G57" s="669">
        <v>25</v>
      </c>
      <c r="H57" s="66">
        <f>G57*B54</f>
        <v>85</v>
      </c>
      <c r="I57" s="1178"/>
    </row>
    <row r="58" spans="1:9" x14ac:dyDescent="0.3">
      <c r="A58" s="69">
        <f t="shared" si="23"/>
        <v>0</v>
      </c>
      <c r="B58" s="667"/>
      <c r="C58" s="75"/>
      <c r="D58" s="76"/>
      <c r="E58" s="283"/>
      <c r="F58" s="78"/>
      <c r="G58" s="669">
        <v>25</v>
      </c>
      <c r="H58" s="66">
        <f>G58*B58</f>
        <v>0</v>
      </c>
      <c r="I58" s="1178"/>
    </row>
    <row r="59" spans="1:9" x14ac:dyDescent="0.3">
      <c r="A59" s="69">
        <f t="shared" si="23"/>
        <v>0</v>
      </c>
      <c r="B59" s="667"/>
      <c r="C59" s="75"/>
      <c r="D59" s="76"/>
      <c r="E59" s="283"/>
      <c r="F59" s="78"/>
      <c r="G59" s="669">
        <v>25</v>
      </c>
      <c r="H59" s="66">
        <f t="shared" ref="H59:H76" si="24">G59*B59</f>
        <v>0</v>
      </c>
      <c r="I59" s="1178"/>
    </row>
    <row r="60" spans="1:9" x14ac:dyDescent="0.3">
      <c r="A60" s="69">
        <f t="shared" si="23"/>
        <v>0</v>
      </c>
      <c r="B60" s="858"/>
      <c r="C60" s="75"/>
      <c r="D60" s="76"/>
      <c r="E60" s="283"/>
      <c r="F60" s="78"/>
      <c r="G60" s="669">
        <v>25</v>
      </c>
      <c r="H60" s="66">
        <f t="shared" si="24"/>
        <v>0</v>
      </c>
      <c r="I60" s="1178"/>
    </row>
    <row r="61" spans="1:9" x14ac:dyDescent="0.3">
      <c r="A61" s="69">
        <f t="shared" si="23"/>
        <v>0</v>
      </c>
      <c r="B61" s="858"/>
      <c r="C61" s="75"/>
      <c r="D61" s="76"/>
      <c r="E61" s="283"/>
      <c r="F61" s="78"/>
      <c r="G61" s="669">
        <v>26</v>
      </c>
      <c r="H61" s="66">
        <f t="shared" ref="H61:H66" si="25">G61*B61</f>
        <v>0</v>
      </c>
      <c r="I61" s="1178"/>
    </row>
    <row r="62" spans="1:9" x14ac:dyDescent="0.3">
      <c r="A62" s="69">
        <f t="shared" si="23"/>
        <v>0</v>
      </c>
      <c r="B62" s="858"/>
      <c r="C62" s="75"/>
      <c r="D62" s="76"/>
      <c r="E62" s="283"/>
      <c r="F62" s="78"/>
      <c r="G62" s="669">
        <v>27</v>
      </c>
      <c r="H62" s="66">
        <f t="shared" si="25"/>
        <v>0</v>
      </c>
      <c r="I62" s="1178"/>
    </row>
    <row r="63" spans="1:9" x14ac:dyDescent="0.3">
      <c r="A63" s="69">
        <f t="shared" si="23"/>
        <v>0</v>
      </c>
      <c r="B63" s="858"/>
      <c r="C63" s="75"/>
      <c r="D63" s="76"/>
      <c r="E63" s="283"/>
      <c r="F63" s="78"/>
      <c r="G63" s="669">
        <v>28</v>
      </c>
      <c r="H63" s="66">
        <f t="shared" si="25"/>
        <v>0</v>
      </c>
      <c r="I63" s="1178"/>
    </row>
    <row r="64" spans="1:9" x14ac:dyDescent="0.3">
      <c r="A64" s="69">
        <f t="shared" si="23"/>
        <v>0</v>
      </c>
      <c r="B64" s="858"/>
      <c r="C64" s="75"/>
      <c r="D64" s="76"/>
      <c r="E64" s="283"/>
      <c r="F64" s="78"/>
      <c r="G64" s="669">
        <v>29</v>
      </c>
      <c r="H64" s="66">
        <f t="shared" si="25"/>
        <v>0</v>
      </c>
      <c r="I64" s="1178"/>
    </row>
    <row r="65" spans="1:9" ht="15" thickBot="1" x14ac:dyDescent="0.35">
      <c r="A65" s="70">
        <f t="shared" si="23"/>
        <v>0</v>
      </c>
      <c r="B65" s="914"/>
      <c r="C65" s="75"/>
      <c r="D65" s="76"/>
      <c r="E65" s="283"/>
      <c r="F65" s="78"/>
      <c r="G65" s="671">
        <v>30</v>
      </c>
      <c r="H65" s="67">
        <f t="shared" si="25"/>
        <v>0</v>
      </c>
      <c r="I65" s="914"/>
    </row>
    <row r="66" spans="1:9" x14ac:dyDescent="0.3">
      <c r="A66" s="913">
        <f t="shared" si="23"/>
        <v>0</v>
      </c>
      <c r="B66" s="858"/>
      <c r="C66" s="75"/>
      <c r="D66" s="76"/>
      <c r="E66" s="283"/>
      <c r="F66" s="78"/>
      <c r="G66" s="669">
        <v>25</v>
      </c>
      <c r="H66" s="66">
        <f t="shared" si="25"/>
        <v>0</v>
      </c>
      <c r="I66" s="1178"/>
    </row>
    <row r="67" spans="1:9" x14ac:dyDescent="0.3">
      <c r="A67" s="913">
        <f t="shared" ref="A67:A76" si="26">A39</f>
        <v>0</v>
      </c>
      <c r="B67" s="858"/>
      <c r="C67" s="75"/>
      <c r="D67" s="76"/>
      <c r="E67" s="283"/>
      <c r="F67" s="78"/>
      <c r="G67" s="669">
        <v>25</v>
      </c>
      <c r="H67" s="66">
        <f t="shared" si="24"/>
        <v>0</v>
      </c>
      <c r="I67" s="1178"/>
    </row>
    <row r="68" spans="1:9" x14ac:dyDescent="0.3">
      <c r="A68" s="913">
        <f t="shared" si="26"/>
        <v>0</v>
      </c>
      <c r="B68" s="858"/>
      <c r="C68" s="75"/>
      <c r="D68" s="76"/>
      <c r="E68" s="283"/>
      <c r="F68" s="78"/>
      <c r="G68" s="669">
        <v>25</v>
      </c>
      <c r="H68" s="66">
        <f t="shared" si="24"/>
        <v>0</v>
      </c>
      <c r="I68" s="1178"/>
    </row>
    <row r="69" spans="1:9" x14ac:dyDescent="0.3">
      <c r="A69" s="913">
        <f t="shared" si="26"/>
        <v>0</v>
      </c>
      <c r="B69" s="858"/>
      <c r="C69" s="75"/>
      <c r="D69" s="76"/>
      <c r="E69" s="283"/>
      <c r="F69" s="78"/>
      <c r="G69" s="669">
        <v>25</v>
      </c>
      <c r="H69" s="66">
        <f t="shared" si="24"/>
        <v>0</v>
      </c>
      <c r="I69" s="1178"/>
    </row>
    <row r="70" spans="1:9" x14ac:dyDescent="0.3">
      <c r="A70" s="913">
        <f t="shared" si="26"/>
        <v>0</v>
      </c>
      <c r="B70" s="858"/>
      <c r="C70" s="75"/>
      <c r="D70" s="76"/>
      <c r="E70" s="283"/>
      <c r="F70" s="78"/>
      <c r="G70" s="669">
        <v>25</v>
      </c>
      <c r="H70" s="66">
        <f t="shared" si="24"/>
        <v>0</v>
      </c>
      <c r="I70" s="1178"/>
    </row>
    <row r="71" spans="1:9" x14ac:dyDescent="0.3">
      <c r="A71" s="913">
        <f t="shared" si="26"/>
        <v>0</v>
      </c>
      <c r="B71" s="858"/>
      <c r="C71" s="75"/>
      <c r="D71" s="76"/>
      <c r="E71" s="283"/>
      <c r="F71" s="78"/>
      <c r="G71" s="669">
        <v>25</v>
      </c>
      <c r="H71" s="66">
        <f t="shared" si="24"/>
        <v>0</v>
      </c>
      <c r="I71" s="1178"/>
    </row>
    <row r="72" spans="1:9" x14ac:dyDescent="0.3">
      <c r="A72" s="913">
        <f t="shared" si="26"/>
        <v>0</v>
      </c>
      <c r="B72" s="858"/>
      <c r="C72" s="75"/>
      <c r="D72" s="76"/>
      <c r="E72" s="283"/>
      <c r="F72" s="78"/>
      <c r="G72" s="669">
        <v>25</v>
      </c>
      <c r="H72" s="66">
        <f t="shared" si="24"/>
        <v>0</v>
      </c>
      <c r="I72" s="1178"/>
    </row>
    <row r="73" spans="1:9" x14ac:dyDescent="0.3">
      <c r="A73" s="913">
        <f t="shared" si="26"/>
        <v>0</v>
      </c>
      <c r="B73" s="858"/>
      <c r="C73" s="75"/>
      <c r="D73" s="76"/>
      <c r="E73" s="283"/>
      <c r="F73" s="78"/>
      <c r="G73" s="669">
        <v>25</v>
      </c>
      <c r="H73" s="66">
        <f t="shared" si="24"/>
        <v>0</v>
      </c>
      <c r="I73" s="1178"/>
    </row>
    <row r="74" spans="1:9" x14ac:dyDescent="0.3">
      <c r="A74" s="913">
        <f t="shared" si="26"/>
        <v>0</v>
      </c>
      <c r="B74" s="858"/>
      <c r="C74" s="75"/>
      <c r="D74" s="76"/>
      <c r="E74" s="283"/>
      <c r="F74" s="78"/>
      <c r="G74" s="669">
        <v>25</v>
      </c>
      <c r="H74" s="66">
        <f t="shared" si="24"/>
        <v>0</v>
      </c>
      <c r="I74" s="1178"/>
    </row>
    <row r="75" spans="1:9" x14ac:dyDescent="0.3">
      <c r="A75" s="913">
        <f t="shared" si="26"/>
        <v>0</v>
      </c>
      <c r="B75" s="858"/>
      <c r="C75" s="75"/>
      <c r="D75" s="76"/>
      <c r="E75" s="283"/>
      <c r="F75" s="78"/>
      <c r="G75" s="669">
        <v>25</v>
      </c>
      <c r="H75" s="66">
        <f t="shared" si="24"/>
        <v>0</v>
      </c>
      <c r="I75" s="1178"/>
    </row>
    <row r="76" spans="1:9" ht="15" thickBot="1" x14ac:dyDescent="0.35">
      <c r="A76" s="913">
        <f t="shared" si="26"/>
        <v>0</v>
      </c>
      <c r="B76" s="858"/>
      <c r="C76" s="75"/>
      <c r="D76" s="76"/>
      <c r="E76" s="283"/>
      <c r="F76" s="78"/>
      <c r="G76" s="669">
        <v>25</v>
      </c>
      <c r="H76" s="66">
        <f t="shared" si="24"/>
        <v>0</v>
      </c>
      <c r="I76" s="1178"/>
    </row>
    <row r="77" spans="1:9" ht="18.600000000000001" thickBot="1" x14ac:dyDescent="0.4">
      <c r="A77" s="366" t="s">
        <v>1130</v>
      </c>
      <c r="B77" s="367"/>
      <c r="C77" s="367"/>
      <c r="D77" s="367"/>
      <c r="E77" s="367"/>
      <c r="F77" s="367"/>
      <c r="G77" s="367"/>
      <c r="H77" s="368" t="s">
        <v>222</v>
      </c>
      <c r="I77" s="369">
        <f>SUM(H80:H107)</f>
        <v>1440</v>
      </c>
    </row>
    <row r="78" spans="1:9" ht="29.4" thickBot="1" x14ac:dyDescent="0.35">
      <c r="A78" s="1748" t="s">
        <v>335</v>
      </c>
      <c r="B78" s="80" t="s">
        <v>1681</v>
      </c>
      <c r="C78" s="79" t="s">
        <v>1682</v>
      </c>
      <c r="D78" s="79" t="s">
        <v>1682</v>
      </c>
      <c r="E78" s="73"/>
      <c r="F78" s="74"/>
      <c r="G78" s="64" t="s">
        <v>184</v>
      </c>
      <c r="H78" s="63" t="s">
        <v>313</v>
      </c>
      <c r="I78" s="1748" t="s">
        <v>1655</v>
      </c>
    </row>
    <row r="79" spans="1:9" ht="15" thickBot="1" x14ac:dyDescent="0.35">
      <c r="A79" s="1749"/>
      <c r="B79" s="80" t="s">
        <v>228</v>
      </c>
      <c r="C79" s="79" t="s">
        <v>95</v>
      </c>
      <c r="D79" s="79" t="s">
        <v>228</v>
      </c>
      <c r="E79" s="76"/>
      <c r="F79" s="77"/>
      <c r="G79" s="64" t="s">
        <v>1662</v>
      </c>
      <c r="H79" s="63" t="s">
        <v>222</v>
      </c>
      <c r="I79" s="1749"/>
    </row>
    <row r="80" spans="1:9" x14ac:dyDescent="0.3">
      <c r="A80" s="68" t="str">
        <f t="shared" ref="A80:A89" si="27">A5</f>
        <v>SKID 1 MODULO PIANO 1</v>
      </c>
      <c r="B80" s="68">
        <f t="shared" ref="B80:B89" si="28">F5</f>
        <v>24</v>
      </c>
      <c r="C80" s="673">
        <v>0.35</v>
      </c>
      <c r="D80" s="81">
        <f t="shared" ref="D80:D87" si="29">C80*B80</f>
        <v>8.3999999999999986</v>
      </c>
      <c r="E80" s="283"/>
      <c r="F80" s="78"/>
      <c r="G80" s="669">
        <v>50</v>
      </c>
      <c r="H80" s="65">
        <f>G80*D80</f>
        <v>419.99999999999994</v>
      </c>
      <c r="I80" s="1178"/>
    </row>
    <row r="81" spans="1:9" x14ac:dyDescent="0.3">
      <c r="A81" s="69" t="str">
        <f t="shared" si="27"/>
        <v>SKID 1 MODULO PIANO 2</v>
      </c>
      <c r="B81" s="69">
        <f t="shared" si="28"/>
        <v>24</v>
      </c>
      <c r="C81" s="674">
        <v>0.5</v>
      </c>
      <c r="D81" s="82">
        <f t="shared" si="29"/>
        <v>12</v>
      </c>
      <c r="E81" s="283"/>
      <c r="F81" s="78"/>
      <c r="G81" s="669">
        <v>50</v>
      </c>
      <c r="H81" s="66">
        <f t="shared" ref="H81:H104" si="30">G81*D81</f>
        <v>600</v>
      </c>
      <c r="I81" s="1178"/>
    </row>
    <row r="82" spans="1:9" x14ac:dyDescent="0.3">
      <c r="A82" s="69" t="str">
        <f t="shared" si="27"/>
        <v>SKID 2 MODULO PIANO 1</v>
      </c>
      <c r="B82" s="69">
        <f t="shared" si="28"/>
        <v>24</v>
      </c>
      <c r="C82" s="674">
        <v>0.35</v>
      </c>
      <c r="D82" s="82">
        <f t="shared" si="29"/>
        <v>8.3999999999999986</v>
      </c>
      <c r="E82" s="283"/>
      <c r="F82" s="78"/>
      <c r="G82" s="669">
        <v>50</v>
      </c>
      <c r="H82" s="66">
        <f t="shared" si="30"/>
        <v>419.99999999999994</v>
      </c>
      <c r="I82" s="1178"/>
    </row>
    <row r="83" spans="1:9" x14ac:dyDescent="0.3">
      <c r="A83" s="69">
        <f t="shared" si="27"/>
        <v>0</v>
      </c>
      <c r="B83" s="69">
        <f t="shared" si="28"/>
        <v>0</v>
      </c>
      <c r="C83" s="674">
        <v>0.4</v>
      </c>
      <c r="D83" s="82">
        <f t="shared" si="29"/>
        <v>0</v>
      </c>
      <c r="E83" s="283"/>
      <c r="F83" s="78"/>
      <c r="G83" s="669">
        <v>50</v>
      </c>
      <c r="H83" s="66">
        <f t="shared" si="30"/>
        <v>0</v>
      </c>
      <c r="I83" s="1178"/>
    </row>
    <row r="84" spans="1:9" x14ac:dyDescent="0.3">
      <c r="A84" s="69">
        <f t="shared" si="27"/>
        <v>0</v>
      </c>
      <c r="B84" s="69">
        <f t="shared" si="28"/>
        <v>0</v>
      </c>
      <c r="C84" s="674">
        <v>0.4</v>
      </c>
      <c r="D84" s="82">
        <f t="shared" si="29"/>
        <v>0</v>
      </c>
      <c r="E84" s="283"/>
      <c r="F84" s="78"/>
      <c r="G84" s="669">
        <v>50</v>
      </c>
      <c r="H84" s="66">
        <f t="shared" si="30"/>
        <v>0</v>
      </c>
      <c r="I84" s="1178"/>
    </row>
    <row r="85" spans="1:9" x14ac:dyDescent="0.3">
      <c r="A85" s="69">
        <f t="shared" si="27"/>
        <v>0</v>
      </c>
      <c r="B85" s="69">
        <f t="shared" si="28"/>
        <v>0</v>
      </c>
      <c r="C85" s="674">
        <v>0.4</v>
      </c>
      <c r="D85" s="82">
        <f t="shared" si="29"/>
        <v>0</v>
      </c>
      <c r="E85" s="283"/>
      <c r="F85" s="78"/>
      <c r="G85" s="669">
        <v>50</v>
      </c>
      <c r="H85" s="66">
        <f t="shared" si="30"/>
        <v>0</v>
      </c>
      <c r="I85" s="1178"/>
    </row>
    <row r="86" spans="1:9" x14ac:dyDescent="0.3">
      <c r="A86" s="69">
        <f t="shared" si="27"/>
        <v>0</v>
      </c>
      <c r="B86" s="69">
        <f t="shared" si="28"/>
        <v>0</v>
      </c>
      <c r="C86" s="674">
        <v>0.4</v>
      </c>
      <c r="D86" s="82">
        <f t="shared" si="29"/>
        <v>0</v>
      </c>
      <c r="E86" s="283"/>
      <c r="F86" s="78"/>
      <c r="G86" s="669">
        <v>50</v>
      </c>
      <c r="H86" s="66">
        <f t="shared" si="30"/>
        <v>0</v>
      </c>
      <c r="I86" s="1178"/>
    </row>
    <row r="87" spans="1:9" x14ac:dyDescent="0.3">
      <c r="A87" s="69">
        <f t="shared" si="27"/>
        <v>0</v>
      </c>
      <c r="B87" s="69">
        <f t="shared" si="28"/>
        <v>0</v>
      </c>
      <c r="C87" s="674">
        <v>0.4</v>
      </c>
      <c r="D87" s="82">
        <f t="shared" si="29"/>
        <v>0</v>
      </c>
      <c r="E87" s="283"/>
      <c r="F87" s="78"/>
      <c r="G87" s="669">
        <v>50</v>
      </c>
      <c r="H87" s="66">
        <f t="shared" si="30"/>
        <v>0</v>
      </c>
      <c r="I87" s="1178"/>
    </row>
    <row r="88" spans="1:9" x14ac:dyDescent="0.3">
      <c r="A88" s="69">
        <f t="shared" si="27"/>
        <v>0</v>
      </c>
      <c r="B88" s="69">
        <f t="shared" si="28"/>
        <v>0</v>
      </c>
      <c r="C88" s="674">
        <v>0.4</v>
      </c>
      <c r="D88" s="82">
        <f t="shared" ref="D88:D104" si="31">C88*B88</f>
        <v>0</v>
      </c>
      <c r="E88" s="283"/>
      <c r="F88" s="78"/>
      <c r="G88" s="669">
        <v>50</v>
      </c>
      <c r="H88" s="66">
        <f t="shared" si="30"/>
        <v>0</v>
      </c>
      <c r="I88" s="1178"/>
    </row>
    <row r="89" spans="1:9" x14ac:dyDescent="0.3">
      <c r="A89" s="69">
        <f t="shared" si="27"/>
        <v>0</v>
      </c>
      <c r="B89" s="69">
        <f t="shared" si="28"/>
        <v>0</v>
      </c>
      <c r="C89" s="674">
        <v>0.4</v>
      </c>
      <c r="D89" s="82">
        <f t="shared" si="31"/>
        <v>0</v>
      </c>
      <c r="E89" s="283"/>
      <c r="F89" s="78"/>
      <c r="G89" s="669">
        <v>50</v>
      </c>
      <c r="H89" s="66">
        <f t="shared" si="30"/>
        <v>0</v>
      </c>
      <c r="I89" s="1178"/>
    </row>
    <row r="90" spans="1:9" x14ac:dyDescent="0.3">
      <c r="A90" s="69">
        <f>A15</f>
        <v>0</v>
      </c>
      <c r="B90" s="69">
        <f>F15</f>
        <v>0</v>
      </c>
      <c r="C90" s="674">
        <v>0.4</v>
      </c>
      <c r="D90" s="82">
        <f>C90*B90</f>
        <v>0</v>
      </c>
      <c r="E90" s="283"/>
      <c r="F90" s="78"/>
      <c r="G90" s="669">
        <v>50</v>
      </c>
      <c r="H90" s="66">
        <f t="shared" si="30"/>
        <v>0</v>
      </c>
      <c r="I90" s="1178"/>
    </row>
    <row r="91" spans="1:9" x14ac:dyDescent="0.3">
      <c r="A91" s="69">
        <f>A16</f>
        <v>0</v>
      </c>
      <c r="B91" s="69">
        <f>F16</f>
        <v>0</v>
      </c>
      <c r="C91" s="674">
        <v>0.4</v>
      </c>
      <c r="D91" s="82">
        <f>C91*B91</f>
        <v>0</v>
      </c>
      <c r="E91" s="283"/>
      <c r="F91" s="78"/>
      <c r="G91" s="669">
        <v>50</v>
      </c>
      <c r="H91" s="66">
        <f t="shared" si="30"/>
        <v>0</v>
      </c>
      <c r="I91" s="1178"/>
    </row>
    <row r="92" spans="1:9" x14ac:dyDescent="0.3">
      <c r="A92" s="69">
        <f>A17</f>
        <v>0</v>
      </c>
      <c r="B92" s="69">
        <f>F17</f>
        <v>0</v>
      </c>
      <c r="C92" s="674">
        <v>0.4</v>
      </c>
      <c r="D92" s="82">
        <f>C92*B92</f>
        <v>0</v>
      </c>
      <c r="E92" s="283"/>
      <c r="F92" s="78"/>
      <c r="G92" s="669">
        <v>50</v>
      </c>
      <c r="H92" s="66">
        <f t="shared" si="30"/>
        <v>0</v>
      </c>
      <c r="I92" s="1178"/>
    </row>
    <row r="93" spans="1:9" x14ac:dyDescent="0.3">
      <c r="A93" s="69">
        <f>A18</f>
        <v>0</v>
      </c>
      <c r="B93" s="69">
        <f>F18</f>
        <v>0</v>
      </c>
      <c r="C93" s="674">
        <v>0.4</v>
      </c>
      <c r="D93" s="82">
        <f>C93*B93</f>
        <v>0</v>
      </c>
      <c r="E93" s="283"/>
      <c r="F93" s="78"/>
      <c r="G93" s="669">
        <v>50</v>
      </c>
      <c r="H93" s="66">
        <f t="shared" si="30"/>
        <v>0</v>
      </c>
      <c r="I93" s="1178"/>
    </row>
    <row r="94" spans="1:9" ht="15" thickBot="1" x14ac:dyDescent="0.35">
      <c r="A94" s="70">
        <f>A19</f>
        <v>0</v>
      </c>
      <c r="B94" s="70">
        <f>F19</f>
        <v>0</v>
      </c>
      <c r="C94" s="916"/>
      <c r="D94" s="917">
        <f>C94*B94</f>
        <v>0</v>
      </c>
      <c r="E94" s="283"/>
      <c r="F94" s="78"/>
      <c r="G94" s="671"/>
      <c r="H94" s="67"/>
      <c r="I94" s="914"/>
    </row>
    <row r="95" spans="1:9" x14ac:dyDescent="0.3">
      <c r="A95" s="913">
        <f t="shared" ref="A95:A103" si="32">A26</f>
        <v>0</v>
      </c>
      <c r="B95" s="918">
        <f t="shared" ref="B95:B104" si="33">F26</f>
        <v>0</v>
      </c>
      <c r="C95" s="915">
        <v>0.8</v>
      </c>
      <c r="D95" s="919">
        <f t="shared" si="31"/>
        <v>0</v>
      </c>
      <c r="E95" s="283"/>
      <c r="F95" s="78"/>
      <c r="G95" s="669">
        <v>50</v>
      </c>
      <c r="H95" s="66">
        <f t="shared" si="30"/>
        <v>0</v>
      </c>
      <c r="I95" s="1178"/>
    </row>
    <row r="96" spans="1:9" x14ac:dyDescent="0.3">
      <c r="A96" s="913">
        <f t="shared" si="32"/>
        <v>0</v>
      </c>
      <c r="B96" s="918">
        <f t="shared" si="33"/>
        <v>0</v>
      </c>
      <c r="C96" s="915">
        <v>0.8</v>
      </c>
      <c r="D96" s="919">
        <f t="shared" si="31"/>
        <v>0</v>
      </c>
      <c r="E96" s="283"/>
      <c r="F96" s="78"/>
      <c r="G96" s="669">
        <v>50</v>
      </c>
      <c r="H96" s="66">
        <f t="shared" si="30"/>
        <v>0</v>
      </c>
      <c r="I96" s="1178"/>
    </row>
    <row r="97" spans="1:9" x14ac:dyDescent="0.3">
      <c r="A97" s="913">
        <f t="shared" si="32"/>
        <v>0</v>
      </c>
      <c r="B97" s="918">
        <f t="shared" si="33"/>
        <v>0</v>
      </c>
      <c r="C97" s="915">
        <v>0.8</v>
      </c>
      <c r="D97" s="919">
        <f t="shared" si="31"/>
        <v>0</v>
      </c>
      <c r="E97" s="283"/>
      <c r="F97" s="78"/>
      <c r="G97" s="669">
        <v>50</v>
      </c>
      <c r="H97" s="66">
        <f t="shared" si="30"/>
        <v>0</v>
      </c>
      <c r="I97" s="1178"/>
    </row>
    <row r="98" spans="1:9" x14ac:dyDescent="0.3">
      <c r="A98" s="913">
        <f t="shared" si="32"/>
        <v>0</v>
      </c>
      <c r="B98" s="918">
        <f t="shared" si="33"/>
        <v>0</v>
      </c>
      <c r="C98" s="915">
        <v>0.8</v>
      </c>
      <c r="D98" s="919">
        <f t="shared" si="31"/>
        <v>0</v>
      </c>
      <c r="E98" s="283"/>
      <c r="F98" s="78"/>
      <c r="G98" s="669">
        <v>50</v>
      </c>
      <c r="H98" s="66">
        <f t="shared" si="30"/>
        <v>0</v>
      </c>
      <c r="I98" s="1178"/>
    </row>
    <row r="99" spans="1:9" x14ac:dyDescent="0.3">
      <c r="A99" s="913">
        <f t="shared" si="32"/>
        <v>0</v>
      </c>
      <c r="B99" s="918">
        <f t="shared" si="33"/>
        <v>0</v>
      </c>
      <c r="C99" s="915">
        <v>0.6</v>
      </c>
      <c r="D99" s="919">
        <f t="shared" si="31"/>
        <v>0</v>
      </c>
      <c r="E99" s="283"/>
      <c r="F99" s="78"/>
      <c r="G99" s="669">
        <v>50</v>
      </c>
      <c r="H99" s="66">
        <f t="shared" si="30"/>
        <v>0</v>
      </c>
      <c r="I99" s="1178"/>
    </row>
    <row r="100" spans="1:9" x14ac:dyDescent="0.3">
      <c r="A100" s="913">
        <f t="shared" si="32"/>
        <v>0</v>
      </c>
      <c r="B100" s="918">
        <f t="shared" si="33"/>
        <v>0</v>
      </c>
      <c r="C100" s="915">
        <v>0.6</v>
      </c>
      <c r="D100" s="919">
        <f t="shared" si="31"/>
        <v>0</v>
      </c>
      <c r="E100" s="283"/>
      <c r="F100" s="78"/>
      <c r="G100" s="669">
        <v>50</v>
      </c>
      <c r="H100" s="66">
        <f t="shared" si="30"/>
        <v>0</v>
      </c>
      <c r="I100" s="1178"/>
    </row>
    <row r="101" spans="1:9" x14ac:dyDescent="0.3">
      <c r="A101" s="913">
        <f t="shared" si="32"/>
        <v>0</v>
      </c>
      <c r="B101" s="918">
        <f t="shared" si="33"/>
        <v>0</v>
      </c>
      <c r="C101" s="915"/>
      <c r="D101" s="919">
        <f t="shared" si="31"/>
        <v>0</v>
      </c>
      <c r="E101" s="283"/>
      <c r="F101" s="78"/>
      <c r="G101" s="669">
        <v>50</v>
      </c>
      <c r="H101" s="66">
        <f t="shared" si="30"/>
        <v>0</v>
      </c>
      <c r="I101" s="1178"/>
    </row>
    <row r="102" spans="1:9" x14ac:dyDescent="0.3">
      <c r="A102" s="913">
        <f t="shared" si="32"/>
        <v>0</v>
      </c>
      <c r="B102" s="918">
        <f t="shared" si="33"/>
        <v>0</v>
      </c>
      <c r="C102" s="915"/>
      <c r="D102" s="919">
        <f t="shared" si="31"/>
        <v>0</v>
      </c>
      <c r="E102" s="283"/>
      <c r="F102" s="78"/>
      <c r="G102" s="669">
        <v>50</v>
      </c>
      <c r="H102" s="66">
        <f t="shared" si="30"/>
        <v>0</v>
      </c>
      <c r="I102" s="1178"/>
    </row>
    <row r="103" spans="1:9" x14ac:dyDescent="0.3">
      <c r="A103" s="913">
        <f t="shared" si="32"/>
        <v>0</v>
      </c>
      <c r="B103" s="918">
        <f t="shared" si="33"/>
        <v>0</v>
      </c>
      <c r="C103" s="915"/>
      <c r="D103" s="919">
        <f t="shared" si="31"/>
        <v>0</v>
      </c>
      <c r="E103" s="283"/>
      <c r="F103" s="78"/>
      <c r="G103" s="669">
        <v>50</v>
      </c>
      <c r="H103" s="66">
        <f t="shared" si="30"/>
        <v>0</v>
      </c>
      <c r="I103" s="1178"/>
    </row>
    <row r="104" spans="1:9" ht="15" thickBot="1" x14ac:dyDescent="0.35">
      <c r="A104" s="70"/>
      <c r="B104" s="921">
        <f t="shared" si="33"/>
        <v>0</v>
      </c>
      <c r="C104" s="916"/>
      <c r="D104" s="922">
        <f t="shared" si="31"/>
        <v>0</v>
      </c>
      <c r="E104" s="283"/>
      <c r="F104" s="78"/>
      <c r="G104" s="669">
        <v>50</v>
      </c>
      <c r="H104" s="66">
        <f t="shared" si="30"/>
        <v>0</v>
      </c>
      <c r="I104" s="1178"/>
    </row>
    <row r="105" spans="1:9" x14ac:dyDescent="0.3">
      <c r="A105" s="913">
        <f t="shared" ref="A105:A114" si="34">A39</f>
        <v>0</v>
      </c>
      <c r="B105" s="918">
        <f t="shared" ref="B105:B114" si="35">F39</f>
        <v>0</v>
      </c>
      <c r="C105" s="915">
        <v>0.8</v>
      </c>
      <c r="D105" s="920">
        <f t="shared" ref="D105:D114" si="36">C105*B105</f>
        <v>0</v>
      </c>
      <c r="E105" s="283"/>
      <c r="F105" s="78"/>
      <c r="G105" s="669">
        <v>50</v>
      </c>
      <c r="H105" s="66">
        <f t="shared" ref="H105:H114" si="37">G105*D105</f>
        <v>0</v>
      </c>
      <c r="I105" s="1178"/>
    </row>
    <row r="106" spans="1:9" x14ac:dyDescent="0.3">
      <c r="A106" s="913">
        <f t="shared" si="34"/>
        <v>0</v>
      </c>
      <c r="B106" s="918">
        <f t="shared" si="35"/>
        <v>0</v>
      </c>
      <c r="C106" s="674">
        <v>0.8</v>
      </c>
      <c r="D106" s="919">
        <f t="shared" si="36"/>
        <v>0</v>
      </c>
      <c r="E106" s="283"/>
      <c r="F106" s="78"/>
      <c r="G106" s="669">
        <v>50</v>
      </c>
      <c r="H106" s="66">
        <f t="shared" si="37"/>
        <v>0</v>
      </c>
      <c r="I106" s="1178"/>
    </row>
    <row r="107" spans="1:9" x14ac:dyDescent="0.3">
      <c r="A107" s="913">
        <f t="shared" si="34"/>
        <v>0</v>
      </c>
      <c r="B107" s="918">
        <f t="shared" si="35"/>
        <v>0</v>
      </c>
      <c r="C107" s="674"/>
      <c r="D107" s="919">
        <f t="shared" si="36"/>
        <v>0</v>
      </c>
      <c r="E107" s="283"/>
      <c r="F107" s="78"/>
      <c r="G107" s="669">
        <v>50</v>
      </c>
      <c r="H107" s="66">
        <f t="shared" si="37"/>
        <v>0</v>
      </c>
      <c r="I107" s="1178"/>
    </row>
    <row r="108" spans="1:9" x14ac:dyDescent="0.3">
      <c r="A108" s="913">
        <f t="shared" si="34"/>
        <v>0</v>
      </c>
      <c r="B108" s="918">
        <f t="shared" si="35"/>
        <v>0</v>
      </c>
      <c r="C108" s="674"/>
      <c r="D108" s="919">
        <f t="shared" si="36"/>
        <v>0</v>
      </c>
      <c r="E108" s="283"/>
      <c r="F108" s="78"/>
      <c r="G108" s="669">
        <v>50</v>
      </c>
      <c r="H108" s="66">
        <f t="shared" si="37"/>
        <v>0</v>
      </c>
      <c r="I108" s="1178"/>
    </row>
    <row r="109" spans="1:9" x14ac:dyDescent="0.3">
      <c r="A109" s="913">
        <f t="shared" si="34"/>
        <v>0</v>
      </c>
      <c r="B109" s="918">
        <f t="shared" si="35"/>
        <v>0</v>
      </c>
      <c r="C109" s="674"/>
      <c r="D109" s="919">
        <f t="shared" si="36"/>
        <v>0</v>
      </c>
      <c r="E109" s="283"/>
      <c r="F109" s="78"/>
      <c r="G109" s="669">
        <v>50</v>
      </c>
      <c r="H109" s="66">
        <f t="shared" si="37"/>
        <v>0</v>
      </c>
      <c r="I109" s="1178"/>
    </row>
    <row r="110" spans="1:9" x14ac:dyDescent="0.3">
      <c r="A110" s="913">
        <f t="shared" si="34"/>
        <v>0</v>
      </c>
      <c r="B110" s="918">
        <f t="shared" si="35"/>
        <v>0</v>
      </c>
      <c r="C110" s="674"/>
      <c r="D110" s="919">
        <f t="shared" si="36"/>
        <v>0</v>
      </c>
      <c r="E110" s="283"/>
      <c r="F110" s="78"/>
      <c r="G110" s="669">
        <v>50</v>
      </c>
      <c r="H110" s="66">
        <f t="shared" si="37"/>
        <v>0</v>
      </c>
      <c r="I110" s="1178"/>
    </row>
    <row r="111" spans="1:9" x14ac:dyDescent="0.3">
      <c r="A111" s="913">
        <f t="shared" si="34"/>
        <v>0</v>
      </c>
      <c r="B111" s="918">
        <f t="shared" si="35"/>
        <v>0</v>
      </c>
      <c r="C111" s="674"/>
      <c r="D111" s="919">
        <f t="shared" si="36"/>
        <v>0</v>
      </c>
      <c r="E111" s="283"/>
      <c r="F111" s="78"/>
      <c r="G111" s="669">
        <v>50</v>
      </c>
      <c r="H111" s="66">
        <f t="shared" si="37"/>
        <v>0</v>
      </c>
      <c r="I111" s="1178"/>
    </row>
    <row r="112" spans="1:9" x14ac:dyDescent="0.3">
      <c r="A112" s="913">
        <f t="shared" si="34"/>
        <v>0</v>
      </c>
      <c r="B112" s="918">
        <f t="shared" si="35"/>
        <v>0</v>
      </c>
      <c r="C112" s="674"/>
      <c r="D112" s="919">
        <f t="shared" si="36"/>
        <v>0</v>
      </c>
      <c r="E112" s="283"/>
      <c r="F112" s="78"/>
      <c r="G112" s="669">
        <v>50</v>
      </c>
      <c r="H112" s="66">
        <f t="shared" si="37"/>
        <v>0</v>
      </c>
      <c r="I112" s="1178"/>
    </row>
    <row r="113" spans="1:9" x14ac:dyDescent="0.3">
      <c r="A113" s="913">
        <f t="shared" si="34"/>
        <v>0</v>
      </c>
      <c r="B113" s="918">
        <f t="shared" si="35"/>
        <v>0</v>
      </c>
      <c r="C113" s="674"/>
      <c r="D113" s="919">
        <f t="shared" si="36"/>
        <v>0</v>
      </c>
      <c r="E113" s="283"/>
      <c r="F113" s="78"/>
      <c r="G113" s="669">
        <v>50</v>
      </c>
      <c r="H113" s="66">
        <f t="shared" si="37"/>
        <v>0</v>
      </c>
      <c r="I113" s="1178"/>
    </row>
    <row r="114" spans="1:9" ht="15" thickBot="1" x14ac:dyDescent="0.35">
      <c r="A114" s="1180">
        <f t="shared" si="34"/>
        <v>0</v>
      </c>
      <c r="B114" s="1181">
        <f t="shared" si="35"/>
        <v>0</v>
      </c>
      <c r="C114" s="916"/>
      <c r="D114" s="922">
        <f t="shared" si="36"/>
        <v>0</v>
      </c>
      <c r="E114" s="1182"/>
      <c r="F114" s="1183"/>
      <c r="G114" s="672">
        <v>50</v>
      </c>
      <c r="H114" s="67">
        <f t="shared" si="37"/>
        <v>0</v>
      </c>
      <c r="I114" s="914"/>
    </row>
  </sheetData>
  <sheetProtection algorithmName="SHA-512" hashValue="A/SL5v4I8JKdfmtQERM40ujTGGMkke+Ae30VIPb7j1ShKtM6S3V+ukuZBbE2tsN9rL3MQqaRrOaqRUQm/Z58lQ==" saltValue="lKjS1fwZkLk6/IndwBi+8A==" spinCount="100000" sheet="1" objects="1" scenarios="1"/>
  <mergeCells count="19">
    <mergeCell ref="K3:K4"/>
    <mergeCell ref="K24:K25"/>
    <mergeCell ref="K37:K38"/>
    <mergeCell ref="R3:R4"/>
    <mergeCell ref="R24:R25"/>
    <mergeCell ref="R37:R38"/>
    <mergeCell ref="L3:L4"/>
    <mergeCell ref="L24:L25"/>
    <mergeCell ref="L37:L38"/>
    <mergeCell ref="A78:A79"/>
    <mergeCell ref="I78:I79"/>
    <mergeCell ref="A3:A4"/>
    <mergeCell ref="I3:I4"/>
    <mergeCell ref="A24:A25"/>
    <mergeCell ref="I24:I25"/>
    <mergeCell ref="A37:A38"/>
    <mergeCell ref="I37:I38"/>
    <mergeCell ref="A50:A51"/>
    <mergeCell ref="I50:I51"/>
  </mergeCells>
  <phoneticPr fontId="70" type="noConversion"/>
  <conditionalFormatting sqref="A52:B76">
    <cfRule type="cellIs" dxfId="315" priority="17" operator="equal">
      <formula>0</formula>
    </cfRule>
  </conditionalFormatting>
  <conditionalFormatting sqref="A10:C19">
    <cfRule type="cellIs" dxfId="314" priority="9" operator="equal">
      <formula>0</formula>
    </cfRule>
  </conditionalFormatting>
  <conditionalFormatting sqref="A1:D5 A6:A9">
    <cfRule type="cellIs" dxfId="313" priority="25" operator="equal">
      <formula>0</formula>
    </cfRule>
  </conditionalFormatting>
  <conditionalFormatting sqref="A20:D51">
    <cfRule type="cellIs" dxfId="312" priority="19" operator="equal">
      <formula>0</formula>
    </cfRule>
  </conditionalFormatting>
  <conditionalFormatting sqref="A77:I114">
    <cfRule type="cellIs" dxfId="311" priority="51" operator="equal">
      <formula>0</formula>
    </cfRule>
  </conditionalFormatting>
  <conditionalFormatting sqref="B9:C9">
    <cfRule type="cellIs" dxfId="310" priority="26" operator="equal">
      <formula>0</formula>
    </cfRule>
  </conditionalFormatting>
  <conditionalFormatting sqref="B6:D8">
    <cfRule type="cellIs" dxfId="309" priority="2" operator="equal">
      <formula>0</formula>
    </cfRule>
  </conditionalFormatting>
  <conditionalFormatting sqref="D9:D19">
    <cfRule type="cellIs" dxfId="308" priority="24" operator="equal">
      <formula>0</formula>
    </cfRule>
  </conditionalFormatting>
  <conditionalFormatting sqref="E1:E18">
    <cfRule type="cellIs" dxfId="307" priority="84" operator="equal">
      <formula>0</formula>
    </cfRule>
  </conditionalFormatting>
  <conditionalFormatting sqref="F5:F18">
    <cfRule type="cellIs" dxfId="306" priority="83" operator="equal">
      <formula>0</formula>
    </cfRule>
  </conditionalFormatting>
  <conditionalFormatting sqref="F1:I4 E19:F19 E20:E66 C52:D66 F52:F66 G52:I76 C67:F76">
    <cfRule type="cellIs" dxfId="305" priority="132" operator="equal">
      <formula>0</formula>
    </cfRule>
  </conditionalFormatting>
  <conditionalFormatting sqref="F20:I51">
    <cfRule type="cellIs" dxfId="304" priority="47" operator="equal">
      <formula>0</formula>
    </cfRule>
  </conditionalFormatting>
  <conditionalFormatting sqref="G5:I19">
    <cfRule type="cellIs" dxfId="303" priority="49" operator="equal">
      <formula>0</formula>
    </cfRule>
  </conditionalFormatting>
  <conditionalFormatting sqref="K1:K48">
    <cfRule type="cellIs" dxfId="302" priority="42" operator="equal">
      <formula>0</formula>
    </cfRule>
  </conditionalFormatting>
  <conditionalFormatting sqref="L5:L19">
    <cfRule type="cellIs" dxfId="301" priority="1" operator="equal">
      <formula>0</formula>
    </cfRule>
  </conditionalFormatting>
  <conditionalFormatting sqref="L26:L28">
    <cfRule type="cellIs" dxfId="300" priority="20" operator="equal">
      <formula>0</formula>
    </cfRule>
  </conditionalFormatting>
  <conditionalFormatting sqref="L39:L40">
    <cfRule type="cellIs" dxfId="299" priority="18" operator="equal">
      <formula>0</formula>
    </cfRule>
  </conditionalFormatting>
  <conditionalFormatting sqref="L1:N3 L41:N48">
    <cfRule type="cellIs" dxfId="298" priority="125" operator="equal">
      <formula>0</formula>
    </cfRule>
  </conditionalFormatting>
  <conditionalFormatting sqref="L20:N24 M25:N28">
    <cfRule type="cellIs" dxfId="297" priority="124" operator="equal">
      <formula>0</formula>
    </cfRule>
  </conditionalFormatting>
  <conditionalFormatting sqref="L29:N37 M38:N40">
    <cfRule type="cellIs" dxfId="296" priority="123" operator="equal">
      <formula>0</formula>
    </cfRule>
  </conditionalFormatting>
  <conditionalFormatting sqref="M4:N19">
    <cfRule type="cellIs" dxfId="295" priority="74" operator="equal">
      <formula>0</formula>
    </cfRule>
  </conditionalFormatting>
  <conditionalFormatting sqref="O1:R48">
    <cfRule type="cellIs" dxfId="294" priority="27" operator="equal">
      <formula>0</formula>
    </cfRule>
  </conditionalFormatting>
  <dataValidations xWindow="412" yWindow="757" count="2">
    <dataValidation type="list" allowBlank="1" showInputMessage="1" showErrorMessage="1" sqref="L39:L48 L26:L35 L21 L5:L19" xr:uid="{00000000-0002-0000-0800-000000000000}">
      <formula1>Structure_Profile</formula1>
    </dataValidation>
    <dataValidation allowBlank="1" showInputMessage="1" showErrorMessage="1" promptTitle="Hint" prompt="For normal structure 80%" sqref="C80:C114" xr:uid="{00000000-0002-0000-0800-000001000000}"/>
  </dataValidations>
  <pageMargins left="0.70866141732283472" right="0.70866141732283472" top="0.74803149606299213" bottom="0.74803149606299213" header="0.31496062992125984" footer="0.31496062992125984"/>
  <pageSetup scale="62" fitToHeight="0" orientation="portrait" r:id="rId1"/>
  <headerFooter>
    <oddHeader>&amp;LMCE Vers. 1.0&amp;C&amp;F&amp;R&amp;"Calibri"&amp;8&amp;K000000Document classified as: 2 - Company Confidential&amp;1#</oddHeader>
    <oddFooter>&amp;C&amp;A - &amp;P&amp;R&amp;D</oddFooter>
  </headerFooter>
  <rowBreaks count="1" manualBreakCount="1">
    <brk id="76" max="8"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oglio7">
    <tabColor rgb="FFFF0000"/>
  </sheetPr>
  <dimension ref="A1:AC251"/>
  <sheetViews>
    <sheetView workbookViewId="0"/>
  </sheetViews>
  <sheetFormatPr defaultRowHeight="14.4" x14ac:dyDescent="0.3"/>
  <cols>
    <col min="3" max="3" width="9.21875" style="323"/>
    <col min="5" max="5" width="9.21875" style="323"/>
    <col min="10" max="10" width="10.44140625" customWidth="1"/>
    <col min="14" max="14" width="9.5546875" bestFit="1" customWidth="1"/>
  </cols>
  <sheetData>
    <row r="1" spans="1:29" ht="15" thickBot="1" x14ac:dyDescent="0.35">
      <c r="A1" s="527" t="s">
        <v>1683</v>
      </c>
      <c r="B1" s="528"/>
      <c r="C1" s="529"/>
      <c r="D1" s="528"/>
      <c r="E1" s="529"/>
      <c r="F1" s="528"/>
      <c r="G1" s="528"/>
      <c r="H1" s="528"/>
      <c r="I1" s="530"/>
      <c r="J1" s="1752" t="s">
        <v>1684</v>
      </c>
      <c r="K1" s="1764"/>
      <c r="L1" s="531"/>
    </row>
    <row r="2" spans="1:29" ht="15" thickBot="1" x14ac:dyDescent="0.35">
      <c r="A2" s="1432">
        <v>150</v>
      </c>
      <c r="B2" s="1756" t="s">
        <v>59</v>
      </c>
      <c r="C2" s="1759" t="s">
        <v>1685</v>
      </c>
      <c r="D2" s="1756" t="s">
        <v>1686</v>
      </c>
      <c r="E2" s="1762" t="s">
        <v>1687</v>
      </c>
      <c r="F2" s="1765"/>
      <c r="G2" s="532"/>
      <c r="H2" s="1766" t="s">
        <v>1688</v>
      </c>
      <c r="I2" s="1763"/>
      <c r="J2" s="1754"/>
      <c r="K2" s="1755"/>
      <c r="L2" s="531"/>
      <c r="M2" s="1750" t="s">
        <v>1689</v>
      </c>
      <c r="N2" s="1750"/>
      <c r="O2" s="1750"/>
      <c r="P2" s="1750"/>
      <c r="Q2" s="1750"/>
      <c r="R2" s="1750"/>
      <c r="S2" s="1750"/>
      <c r="T2" s="1750"/>
      <c r="U2" s="1750"/>
      <c r="V2" s="1750"/>
      <c r="W2" s="1750"/>
      <c r="X2" s="1750"/>
      <c r="Y2" s="1750"/>
      <c r="Z2" s="1750"/>
      <c r="AA2" s="1750"/>
      <c r="AB2" s="1750"/>
      <c r="AC2" s="1750"/>
    </row>
    <row r="3" spans="1:29" s="5" customFormat="1" ht="29.4" thickBot="1" x14ac:dyDescent="0.35">
      <c r="A3" s="1496"/>
      <c r="B3" s="1757"/>
      <c r="C3" s="1760"/>
      <c r="D3" s="1757"/>
      <c r="E3" s="1498" t="s">
        <v>1690</v>
      </c>
      <c r="F3" s="1499" t="s">
        <v>1691</v>
      </c>
      <c r="G3" s="1357" t="s">
        <v>1691</v>
      </c>
      <c r="H3" s="1500" t="s">
        <v>1692</v>
      </c>
      <c r="I3" s="1501" t="s">
        <v>1689</v>
      </c>
      <c r="J3" s="1502" t="s">
        <v>1690</v>
      </c>
      <c r="K3" s="1503" t="s">
        <v>1691</v>
      </c>
      <c r="L3" s="533"/>
      <c r="M3" s="1751" t="s">
        <v>1691</v>
      </c>
      <c r="N3" s="1751"/>
      <c r="O3" s="1751"/>
      <c r="P3" s="1751"/>
      <c r="Q3" s="1751"/>
      <c r="R3" s="1751"/>
      <c r="S3" s="1751"/>
      <c r="T3" s="1751"/>
      <c r="U3" s="1751"/>
      <c r="V3" s="1751"/>
      <c r="W3" s="1751"/>
      <c r="X3" s="1751"/>
      <c r="Y3" s="1751"/>
      <c r="Z3" s="1751"/>
      <c r="AA3" s="1751"/>
      <c r="AB3" s="1751"/>
      <c r="AC3" s="1751"/>
    </row>
    <row r="4" spans="1:29" ht="15" thickBot="1" x14ac:dyDescent="0.35">
      <c r="A4" s="534" t="s">
        <v>1693</v>
      </c>
      <c r="B4" s="1758"/>
      <c r="C4" s="1761"/>
      <c r="D4" s="1758"/>
      <c r="E4" s="535" t="s">
        <v>1082</v>
      </c>
      <c r="F4" s="536" t="s">
        <v>93</v>
      </c>
      <c r="G4" s="537" t="s">
        <v>93</v>
      </c>
      <c r="H4" s="538" t="s">
        <v>93</v>
      </c>
      <c r="I4" s="539" t="s">
        <v>93</v>
      </c>
      <c r="J4" s="535" t="s">
        <v>222</v>
      </c>
      <c r="K4" s="536" t="s">
        <v>222</v>
      </c>
      <c r="L4" s="531"/>
      <c r="M4" s="540" t="s">
        <v>1694</v>
      </c>
      <c r="N4" s="540" t="s">
        <v>1695</v>
      </c>
      <c r="O4" s="540" t="s">
        <v>1696</v>
      </c>
      <c r="P4" s="540" t="s">
        <v>1697</v>
      </c>
      <c r="Q4" s="540" t="s">
        <v>1698</v>
      </c>
      <c r="R4" s="540" t="s">
        <v>1699</v>
      </c>
      <c r="S4" s="540" t="s">
        <v>1700</v>
      </c>
      <c r="T4" s="540" t="s">
        <v>1701</v>
      </c>
      <c r="U4" s="540" t="s">
        <v>1702</v>
      </c>
      <c r="V4" s="540" t="s">
        <v>1703</v>
      </c>
      <c r="W4" s="540" t="s">
        <v>1704</v>
      </c>
      <c r="X4" s="540" t="s">
        <v>1705</v>
      </c>
      <c r="Y4" s="540" t="s">
        <v>1706</v>
      </c>
      <c r="Z4" s="540" t="s">
        <v>1707</v>
      </c>
      <c r="AA4" s="540" t="s">
        <v>1708</v>
      </c>
      <c r="AB4" s="540" t="s">
        <v>1709</v>
      </c>
      <c r="AC4" s="541" t="s">
        <v>1710</v>
      </c>
    </row>
    <row r="5" spans="1:29" x14ac:dyDescent="0.3">
      <c r="A5" s="542" t="s">
        <v>1711</v>
      </c>
      <c r="B5" s="1504">
        <v>15</v>
      </c>
      <c r="C5" s="1505">
        <v>0.5</v>
      </c>
      <c r="D5" s="1506">
        <v>4</v>
      </c>
      <c r="E5" s="1507">
        <f>1/2</f>
        <v>0.5</v>
      </c>
      <c r="F5" s="1508" t="s">
        <v>1696</v>
      </c>
      <c r="G5" s="1358" t="str">
        <f t="shared" ref="G5:G24" si="0">RIGHT(F5,2)</f>
        <v>14</v>
      </c>
      <c r="H5" s="1506">
        <v>60</v>
      </c>
      <c r="I5" s="1504" t="s">
        <v>1712</v>
      </c>
      <c r="J5" s="1504"/>
      <c r="K5" s="1508" t="e">
        <f>HLOOKUP(F5,M4:AC24,2,0)</f>
        <v>#N/A</v>
      </c>
      <c r="L5" s="531"/>
      <c r="M5" t="e">
        <f t="shared" ref="M5:M24" si="1">VLOOKUP(I5,$A$170:$R$240,2,0)</f>
        <v>#N/A</v>
      </c>
      <c r="N5" t="e">
        <f t="shared" ref="N5:N24" si="2">VLOOKUP(I5,$A$170:$R$240,3,0)</f>
        <v>#N/A</v>
      </c>
      <c r="O5" t="e">
        <f t="shared" ref="O5:O24" si="3">VLOOKUP(I5,$A$170:$R$240,4,0)</f>
        <v>#N/A</v>
      </c>
      <c r="P5" t="e">
        <f t="shared" ref="P5:P24" si="4">VLOOKUP(I5,$A$170:$R$240,5,0)</f>
        <v>#N/A</v>
      </c>
      <c r="Q5" t="e">
        <f t="shared" ref="Q5:Q24" si="5">VLOOKUP(I5,$A$170:$R$240,6,0)</f>
        <v>#N/A</v>
      </c>
      <c r="R5" t="e">
        <f t="shared" ref="R5:R24" si="6">VLOOKUP(I5,$A$170:$R$240,7,0)</f>
        <v>#N/A</v>
      </c>
      <c r="S5" t="e">
        <f t="shared" ref="S5:S24" si="7">VLOOKUP(I5,$A$170:$R$240,8,0)</f>
        <v>#N/A</v>
      </c>
      <c r="T5" t="e">
        <f t="shared" ref="T5:T24" si="8">VLOOKUP(I5,$A$170:$R$240,9,0)</f>
        <v>#N/A</v>
      </c>
      <c r="U5" t="e">
        <f t="shared" ref="U5:U24" si="9">VLOOKUP(I5,$A$170:$R$240,10,0)</f>
        <v>#N/A</v>
      </c>
      <c r="V5" t="e">
        <f t="shared" ref="V5:V24" si="10">VLOOKUP(I5,$A$170:$R$240,11,0)</f>
        <v>#N/A</v>
      </c>
      <c r="W5" t="e">
        <f t="shared" ref="W5:W24" si="11">VLOOKUP(I5,$A$170:$R$240,12,0)</f>
        <v>#N/A</v>
      </c>
      <c r="X5" t="e">
        <f t="shared" ref="X5:X24" si="12">VLOOKUP(I5,$A$170:$R$240,13,0)</f>
        <v>#N/A</v>
      </c>
      <c r="Y5" t="e">
        <f t="shared" ref="Y5:Y24" si="13">VLOOKUP(I5,$A$170:$R$240,14,0)</f>
        <v>#N/A</v>
      </c>
      <c r="Z5" t="e">
        <f t="shared" ref="Z5:Z24" si="14">VLOOKUP(I5,$A$170:$R$240,15,0)</f>
        <v>#N/A</v>
      </c>
      <c r="AA5" t="e">
        <f t="shared" ref="AA5:AA24" si="15">VLOOKUP(I5,$A$170:$R$240,16,0)</f>
        <v>#N/A</v>
      </c>
      <c r="AB5" t="e">
        <f t="shared" ref="AB5:AB24" si="16">VLOOKUP(I5,$A$170:$R$240,17,0)</f>
        <v>#N/A</v>
      </c>
      <c r="AC5" t="e">
        <f t="shared" ref="AC5:AC24" si="17">VLOOKUP(I5,$A$170:$R$240,18,0)</f>
        <v>#N/A</v>
      </c>
    </row>
    <row r="6" spans="1:29" x14ac:dyDescent="0.3">
      <c r="A6" s="542" t="s">
        <v>1713</v>
      </c>
      <c r="B6" s="1504">
        <v>20</v>
      </c>
      <c r="C6" s="1505">
        <v>0.75</v>
      </c>
      <c r="D6" s="1506">
        <v>4</v>
      </c>
      <c r="E6" s="1507">
        <f>1/2</f>
        <v>0.5</v>
      </c>
      <c r="F6" s="1508" t="s">
        <v>1696</v>
      </c>
      <c r="G6" s="1358" t="str">
        <f t="shared" si="0"/>
        <v>14</v>
      </c>
      <c r="H6" s="1506">
        <v>65</v>
      </c>
      <c r="I6" s="1504" t="s">
        <v>1712</v>
      </c>
      <c r="J6" s="1504"/>
      <c r="K6" s="1508" t="e">
        <f>HLOOKUP(F6,M4:AC24,3,0)</f>
        <v>#N/A</v>
      </c>
      <c r="L6" s="531"/>
      <c r="M6" t="e">
        <f t="shared" si="1"/>
        <v>#N/A</v>
      </c>
      <c r="N6" t="e">
        <f t="shared" si="2"/>
        <v>#N/A</v>
      </c>
      <c r="O6" t="e">
        <f t="shared" si="3"/>
        <v>#N/A</v>
      </c>
      <c r="P6" t="e">
        <f t="shared" si="4"/>
        <v>#N/A</v>
      </c>
      <c r="Q6" t="e">
        <f t="shared" si="5"/>
        <v>#N/A</v>
      </c>
      <c r="R6" t="e">
        <f t="shared" si="6"/>
        <v>#N/A</v>
      </c>
      <c r="S6" t="e">
        <f t="shared" si="7"/>
        <v>#N/A</v>
      </c>
      <c r="T6" t="e">
        <f t="shared" si="8"/>
        <v>#N/A</v>
      </c>
      <c r="U6" t="e">
        <f t="shared" si="9"/>
        <v>#N/A</v>
      </c>
      <c r="V6" t="e">
        <f t="shared" si="10"/>
        <v>#N/A</v>
      </c>
      <c r="W6" t="e">
        <f t="shared" si="11"/>
        <v>#N/A</v>
      </c>
      <c r="X6" t="e">
        <f t="shared" si="12"/>
        <v>#N/A</v>
      </c>
      <c r="Y6" t="e">
        <f t="shared" si="13"/>
        <v>#N/A</v>
      </c>
      <c r="Z6" t="e">
        <f t="shared" si="14"/>
        <v>#N/A</v>
      </c>
      <c r="AA6" t="e">
        <f t="shared" si="15"/>
        <v>#N/A</v>
      </c>
      <c r="AB6" t="e">
        <f t="shared" si="16"/>
        <v>#N/A</v>
      </c>
      <c r="AC6" t="e">
        <f t="shared" si="17"/>
        <v>#N/A</v>
      </c>
    </row>
    <row r="7" spans="1:29" x14ac:dyDescent="0.3">
      <c r="A7" s="542" t="s">
        <v>1714</v>
      </c>
      <c r="B7" s="1504">
        <v>25</v>
      </c>
      <c r="C7" s="1505">
        <v>1</v>
      </c>
      <c r="D7" s="1506">
        <v>4</v>
      </c>
      <c r="E7" s="1507">
        <f>1/2</f>
        <v>0.5</v>
      </c>
      <c r="F7" s="1508" t="s">
        <v>1696</v>
      </c>
      <c r="G7" s="1358" t="str">
        <f t="shared" si="0"/>
        <v>14</v>
      </c>
      <c r="H7" s="1506">
        <v>65</v>
      </c>
      <c r="I7" s="1504">
        <v>80</v>
      </c>
      <c r="J7" s="1504"/>
      <c r="K7" s="1508">
        <f>HLOOKUP(F7,M4:AC24,4,0)</f>
        <v>14</v>
      </c>
      <c r="L7" s="531"/>
      <c r="M7">
        <f t="shared" si="1"/>
        <v>6.6</v>
      </c>
      <c r="N7">
        <f t="shared" si="2"/>
        <v>9.6</v>
      </c>
      <c r="O7">
        <f t="shared" si="3"/>
        <v>14</v>
      </c>
      <c r="P7">
        <f t="shared" si="4"/>
        <v>18.2</v>
      </c>
      <c r="Q7">
        <f t="shared" si="5"/>
        <v>25.4</v>
      </c>
      <c r="R7">
        <f t="shared" si="6"/>
        <v>32.5</v>
      </c>
      <c r="S7">
        <f t="shared" si="7"/>
        <v>0</v>
      </c>
      <c r="T7">
        <f t="shared" si="8"/>
        <v>0</v>
      </c>
      <c r="U7">
        <f t="shared" si="9"/>
        <v>0</v>
      </c>
      <c r="V7">
        <f t="shared" si="10"/>
        <v>0</v>
      </c>
      <c r="W7">
        <f t="shared" si="11"/>
        <v>0</v>
      </c>
      <c r="X7">
        <f t="shared" si="12"/>
        <v>0</v>
      </c>
      <c r="Y7">
        <f t="shared" si="13"/>
        <v>0</v>
      </c>
      <c r="Z7">
        <f t="shared" si="14"/>
        <v>0</v>
      </c>
      <c r="AA7">
        <f t="shared" si="15"/>
        <v>0</v>
      </c>
      <c r="AB7">
        <f t="shared" si="16"/>
        <v>0</v>
      </c>
      <c r="AC7">
        <f t="shared" si="17"/>
        <v>0</v>
      </c>
    </row>
    <row r="8" spans="1:29" x14ac:dyDescent="0.3">
      <c r="A8" s="542" t="s">
        <v>1715</v>
      </c>
      <c r="B8" s="1504">
        <v>32</v>
      </c>
      <c r="C8" s="1505">
        <v>1.25</v>
      </c>
      <c r="D8" s="1506">
        <v>4</v>
      </c>
      <c r="E8" s="1507">
        <f>1/2</f>
        <v>0.5</v>
      </c>
      <c r="F8" s="1508" t="s">
        <v>1696</v>
      </c>
      <c r="G8" s="1358" t="str">
        <f t="shared" si="0"/>
        <v>14</v>
      </c>
      <c r="H8" s="1506">
        <v>70</v>
      </c>
      <c r="I8" s="1504">
        <v>85</v>
      </c>
      <c r="J8" s="1504"/>
      <c r="K8" s="1508">
        <f>HLOOKUP(F8,M4:AC24,5,0)</f>
        <v>14.5</v>
      </c>
      <c r="L8" s="531"/>
      <c r="M8">
        <f t="shared" si="1"/>
        <v>6.85</v>
      </c>
      <c r="N8">
        <f t="shared" si="2"/>
        <v>9.9499999999999993</v>
      </c>
      <c r="O8">
        <f t="shared" si="3"/>
        <v>14.5</v>
      </c>
      <c r="P8">
        <f t="shared" si="4"/>
        <v>18.899999999999999</v>
      </c>
      <c r="Q8">
        <f t="shared" si="5"/>
        <v>26.25</v>
      </c>
      <c r="R8">
        <f t="shared" si="6"/>
        <v>33.5</v>
      </c>
      <c r="S8">
        <f t="shared" si="7"/>
        <v>0</v>
      </c>
      <c r="T8">
        <f t="shared" si="8"/>
        <v>0</v>
      </c>
      <c r="U8">
        <f t="shared" si="9"/>
        <v>0</v>
      </c>
      <c r="V8">
        <f t="shared" si="10"/>
        <v>0</v>
      </c>
      <c r="W8">
        <f t="shared" si="11"/>
        <v>0</v>
      </c>
      <c r="X8">
        <f t="shared" si="12"/>
        <v>0</v>
      </c>
      <c r="Y8">
        <f t="shared" si="13"/>
        <v>0</v>
      </c>
      <c r="Z8">
        <f t="shared" si="14"/>
        <v>0</v>
      </c>
      <c r="AA8">
        <f t="shared" si="15"/>
        <v>0</v>
      </c>
      <c r="AB8">
        <f t="shared" si="16"/>
        <v>0</v>
      </c>
      <c r="AC8">
        <f t="shared" si="17"/>
        <v>0</v>
      </c>
    </row>
    <row r="9" spans="1:29" x14ac:dyDescent="0.3">
      <c r="A9" s="542" t="s">
        <v>1716</v>
      </c>
      <c r="B9" s="1504">
        <v>40</v>
      </c>
      <c r="C9" s="1505">
        <v>1.5</v>
      </c>
      <c r="D9" s="1506">
        <v>4</v>
      </c>
      <c r="E9" s="1507">
        <f>1/2</f>
        <v>0.5</v>
      </c>
      <c r="F9" s="1508" t="s">
        <v>1696</v>
      </c>
      <c r="G9" s="1358" t="str">
        <f t="shared" si="0"/>
        <v>14</v>
      </c>
      <c r="H9" s="1506">
        <v>70</v>
      </c>
      <c r="I9" s="1504">
        <v>85</v>
      </c>
      <c r="J9" s="1504"/>
      <c r="K9" s="1508">
        <f>HLOOKUP(F9,M4:AC24,6,0)</f>
        <v>14.5</v>
      </c>
      <c r="L9" s="531"/>
      <c r="M9">
        <f t="shared" si="1"/>
        <v>6.85</v>
      </c>
      <c r="N9">
        <f t="shared" si="2"/>
        <v>9.9499999999999993</v>
      </c>
      <c r="O9">
        <f t="shared" si="3"/>
        <v>14.5</v>
      </c>
      <c r="P9">
        <f t="shared" si="4"/>
        <v>18.899999999999999</v>
      </c>
      <c r="Q9">
        <f t="shared" si="5"/>
        <v>26.25</v>
      </c>
      <c r="R9">
        <f t="shared" si="6"/>
        <v>33.5</v>
      </c>
      <c r="S9">
        <f t="shared" si="7"/>
        <v>0</v>
      </c>
      <c r="T9">
        <f t="shared" si="8"/>
        <v>0</v>
      </c>
      <c r="U9">
        <f t="shared" si="9"/>
        <v>0</v>
      </c>
      <c r="V9">
        <f t="shared" si="10"/>
        <v>0</v>
      </c>
      <c r="W9">
        <f t="shared" si="11"/>
        <v>0</v>
      </c>
      <c r="X9">
        <f t="shared" si="12"/>
        <v>0</v>
      </c>
      <c r="Y9">
        <f t="shared" si="13"/>
        <v>0</v>
      </c>
      <c r="Z9">
        <f t="shared" si="14"/>
        <v>0</v>
      </c>
      <c r="AA9">
        <f t="shared" si="15"/>
        <v>0</v>
      </c>
      <c r="AB9">
        <f t="shared" si="16"/>
        <v>0</v>
      </c>
      <c r="AC9">
        <f t="shared" si="17"/>
        <v>0</v>
      </c>
    </row>
    <row r="10" spans="1:29" x14ac:dyDescent="0.3">
      <c r="A10" s="542" t="s">
        <v>1717</v>
      </c>
      <c r="B10" s="1504">
        <v>50</v>
      </c>
      <c r="C10" s="1505">
        <v>2</v>
      </c>
      <c r="D10" s="1506">
        <v>4</v>
      </c>
      <c r="E10" s="1507">
        <f>5/8</f>
        <v>0.625</v>
      </c>
      <c r="F10" s="1508" t="s">
        <v>1697</v>
      </c>
      <c r="G10" s="1358" t="str">
        <f t="shared" si="0"/>
        <v>16</v>
      </c>
      <c r="H10" s="1506">
        <v>85</v>
      </c>
      <c r="I10" s="1504">
        <v>95</v>
      </c>
      <c r="J10" s="1504"/>
      <c r="K10" s="1508">
        <f>HLOOKUP(F10,M4:AC24,7,0)</f>
        <v>20.3</v>
      </c>
      <c r="L10" s="531"/>
      <c r="M10">
        <f t="shared" si="1"/>
        <v>7.35</v>
      </c>
      <c r="N10">
        <f t="shared" si="2"/>
        <v>10.65</v>
      </c>
      <c r="O10">
        <f t="shared" si="3"/>
        <v>15.5</v>
      </c>
      <c r="P10">
        <f t="shared" si="4"/>
        <v>20.3</v>
      </c>
      <c r="Q10">
        <f t="shared" si="5"/>
        <v>27.950000000000003</v>
      </c>
      <c r="R10">
        <f t="shared" si="6"/>
        <v>35.6</v>
      </c>
      <c r="S10">
        <f t="shared" si="7"/>
        <v>46.35</v>
      </c>
      <c r="T10">
        <f t="shared" si="8"/>
        <v>0</v>
      </c>
      <c r="U10">
        <f t="shared" si="9"/>
        <v>0</v>
      </c>
      <c r="V10">
        <f t="shared" si="10"/>
        <v>0</v>
      </c>
      <c r="W10">
        <f t="shared" si="11"/>
        <v>0</v>
      </c>
      <c r="X10">
        <f t="shared" si="12"/>
        <v>0</v>
      </c>
      <c r="Y10">
        <f t="shared" si="13"/>
        <v>0</v>
      </c>
      <c r="Z10">
        <f t="shared" si="14"/>
        <v>0</v>
      </c>
      <c r="AA10">
        <f t="shared" si="15"/>
        <v>0</v>
      </c>
      <c r="AB10">
        <f t="shared" si="16"/>
        <v>0</v>
      </c>
      <c r="AC10">
        <f t="shared" si="17"/>
        <v>0</v>
      </c>
    </row>
    <row r="11" spans="1:29" x14ac:dyDescent="0.3">
      <c r="A11" s="542" t="s">
        <v>1718</v>
      </c>
      <c r="B11" s="1504">
        <v>65</v>
      </c>
      <c r="C11" s="1505">
        <v>2.5</v>
      </c>
      <c r="D11" s="1506">
        <v>4</v>
      </c>
      <c r="E11" s="1507">
        <f>5/8</f>
        <v>0.625</v>
      </c>
      <c r="F11" s="1508" t="s">
        <v>1697</v>
      </c>
      <c r="G11" s="1358" t="str">
        <f t="shared" si="0"/>
        <v>16</v>
      </c>
      <c r="H11" s="1506">
        <v>90</v>
      </c>
      <c r="I11" s="1504">
        <v>100</v>
      </c>
      <c r="J11" s="1504"/>
      <c r="K11" s="1508">
        <f>HLOOKUP(F11,M4:AC24,8,0)</f>
        <v>21</v>
      </c>
      <c r="L11" s="531"/>
      <c r="M11">
        <f t="shared" si="1"/>
        <v>7.6</v>
      </c>
      <c r="N11">
        <f t="shared" si="2"/>
        <v>11</v>
      </c>
      <c r="O11">
        <f t="shared" si="3"/>
        <v>16</v>
      </c>
      <c r="P11">
        <f t="shared" si="4"/>
        <v>21</v>
      </c>
      <c r="Q11">
        <f t="shared" si="5"/>
        <v>28.8</v>
      </c>
      <c r="R11">
        <f t="shared" si="6"/>
        <v>36.700000000000003</v>
      </c>
      <c r="S11">
        <f t="shared" si="7"/>
        <v>47.2</v>
      </c>
      <c r="T11">
        <f t="shared" si="8"/>
        <v>54.2</v>
      </c>
      <c r="U11">
        <f t="shared" si="9"/>
        <v>0</v>
      </c>
      <c r="V11">
        <f t="shared" si="10"/>
        <v>0</v>
      </c>
      <c r="W11">
        <f t="shared" si="11"/>
        <v>0</v>
      </c>
      <c r="X11">
        <f t="shared" si="12"/>
        <v>0</v>
      </c>
      <c r="Y11">
        <f t="shared" si="13"/>
        <v>0</v>
      </c>
      <c r="Z11">
        <f t="shared" si="14"/>
        <v>0</v>
      </c>
      <c r="AA11">
        <f t="shared" si="15"/>
        <v>0</v>
      </c>
      <c r="AB11">
        <f t="shared" si="16"/>
        <v>0</v>
      </c>
      <c r="AC11">
        <f t="shared" si="17"/>
        <v>0</v>
      </c>
    </row>
    <row r="12" spans="1:29" x14ac:dyDescent="0.3">
      <c r="A12" s="542" t="s">
        <v>1719</v>
      </c>
      <c r="B12" s="1504">
        <v>80</v>
      </c>
      <c r="C12" s="1505">
        <v>3</v>
      </c>
      <c r="D12" s="1506">
        <v>4</v>
      </c>
      <c r="E12" s="1507">
        <f>5/8</f>
        <v>0.625</v>
      </c>
      <c r="F12" s="1508" t="s">
        <v>1697</v>
      </c>
      <c r="G12" s="1358" t="str">
        <f t="shared" si="0"/>
        <v>16</v>
      </c>
      <c r="H12" s="1506">
        <v>90</v>
      </c>
      <c r="I12" s="1504">
        <v>100</v>
      </c>
      <c r="J12" s="1504"/>
      <c r="K12" s="1508">
        <f>HLOOKUP(F12,M4:AC24,9,0)</f>
        <v>21</v>
      </c>
      <c r="L12" s="531"/>
      <c r="M12">
        <f t="shared" si="1"/>
        <v>7.6</v>
      </c>
      <c r="N12">
        <f t="shared" si="2"/>
        <v>11</v>
      </c>
      <c r="O12">
        <f t="shared" si="3"/>
        <v>16</v>
      </c>
      <c r="P12">
        <f t="shared" si="4"/>
        <v>21</v>
      </c>
      <c r="Q12">
        <f t="shared" si="5"/>
        <v>28.8</v>
      </c>
      <c r="R12">
        <f t="shared" si="6"/>
        <v>36.700000000000003</v>
      </c>
      <c r="S12">
        <f t="shared" si="7"/>
        <v>47.2</v>
      </c>
      <c r="T12">
        <f t="shared" si="8"/>
        <v>54.2</v>
      </c>
      <c r="U12">
        <f t="shared" si="9"/>
        <v>0</v>
      </c>
      <c r="V12">
        <f t="shared" si="10"/>
        <v>0</v>
      </c>
      <c r="W12">
        <f t="shared" si="11"/>
        <v>0</v>
      </c>
      <c r="X12">
        <f t="shared" si="12"/>
        <v>0</v>
      </c>
      <c r="Y12">
        <f t="shared" si="13"/>
        <v>0</v>
      </c>
      <c r="Z12">
        <f t="shared" si="14"/>
        <v>0</v>
      </c>
      <c r="AA12">
        <f t="shared" si="15"/>
        <v>0</v>
      </c>
      <c r="AB12">
        <f t="shared" si="16"/>
        <v>0</v>
      </c>
      <c r="AC12">
        <f t="shared" si="17"/>
        <v>0</v>
      </c>
    </row>
    <row r="13" spans="1:29" x14ac:dyDescent="0.3">
      <c r="A13" s="542" t="s">
        <v>1720</v>
      </c>
      <c r="B13" s="1504" t="s">
        <v>1721</v>
      </c>
      <c r="C13" s="1505">
        <v>3.5</v>
      </c>
      <c r="D13" s="1506">
        <v>8</v>
      </c>
      <c r="E13" s="1507">
        <f>5/8</f>
        <v>0.625</v>
      </c>
      <c r="F13" s="1508" t="s">
        <v>1697</v>
      </c>
      <c r="G13" s="1358" t="str">
        <f t="shared" si="0"/>
        <v>16</v>
      </c>
      <c r="H13" s="1506">
        <v>90</v>
      </c>
      <c r="I13" s="1504">
        <v>100</v>
      </c>
      <c r="J13" s="1504"/>
      <c r="K13" s="1508">
        <f>HLOOKUP(F13,M4:AC24,10,0)</f>
        <v>21</v>
      </c>
      <c r="L13" s="531"/>
      <c r="M13">
        <f t="shared" si="1"/>
        <v>7.6</v>
      </c>
      <c r="N13">
        <f t="shared" si="2"/>
        <v>11</v>
      </c>
      <c r="O13">
        <f t="shared" si="3"/>
        <v>16</v>
      </c>
      <c r="P13">
        <f t="shared" si="4"/>
        <v>21</v>
      </c>
      <c r="Q13">
        <f t="shared" si="5"/>
        <v>28.8</v>
      </c>
      <c r="R13">
        <f t="shared" si="6"/>
        <v>36.700000000000003</v>
      </c>
      <c r="S13">
        <f t="shared" si="7"/>
        <v>47.2</v>
      </c>
      <c r="T13">
        <f t="shared" si="8"/>
        <v>54.2</v>
      </c>
      <c r="U13">
        <f t="shared" si="9"/>
        <v>0</v>
      </c>
      <c r="V13">
        <f t="shared" si="10"/>
        <v>0</v>
      </c>
      <c r="W13">
        <f t="shared" si="11"/>
        <v>0</v>
      </c>
      <c r="X13">
        <f t="shared" si="12"/>
        <v>0</v>
      </c>
      <c r="Y13">
        <f t="shared" si="13"/>
        <v>0</v>
      </c>
      <c r="Z13">
        <f t="shared" si="14"/>
        <v>0</v>
      </c>
      <c r="AA13">
        <f t="shared" si="15"/>
        <v>0</v>
      </c>
      <c r="AB13">
        <f t="shared" si="16"/>
        <v>0</v>
      </c>
      <c r="AC13">
        <f t="shared" si="17"/>
        <v>0</v>
      </c>
    </row>
    <row r="14" spans="1:29" x14ac:dyDescent="0.3">
      <c r="A14" s="542" t="s">
        <v>1722</v>
      </c>
      <c r="B14" s="1504">
        <v>100</v>
      </c>
      <c r="C14" s="1505">
        <v>4</v>
      </c>
      <c r="D14" s="1506">
        <v>8</v>
      </c>
      <c r="E14" s="1507">
        <f>5/8</f>
        <v>0.625</v>
      </c>
      <c r="F14" s="1508" t="s">
        <v>1697</v>
      </c>
      <c r="G14" s="1358" t="str">
        <f t="shared" si="0"/>
        <v>16</v>
      </c>
      <c r="H14" s="1506">
        <v>90</v>
      </c>
      <c r="I14" s="1504">
        <v>100</v>
      </c>
      <c r="J14" s="1504"/>
      <c r="K14" s="1508">
        <f>HLOOKUP(F14,M4:AC24,11,0)</f>
        <v>21</v>
      </c>
      <c r="L14" s="531"/>
      <c r="M14">
        <f t="shared" si="1"/>
        <v>7.6</v>
      </c>
      <c r="N14">
        <f t="shared" si="2"/>
        <v>11</v>
      </c>
      <c r="O14">
        <f t="shared" si="3"/>
        <v>16</v>
      </c>
      <c r="P14">
        <f t="shared" si="4"/>
        <v>21</v>
      </c>
      <c r="Q14">
        <f t="shared" si="5"/>
        <v>28.8</v>
      </c>
      <c r="R14">
        <f t="shared" si="6"/>
        <v>36.700000000000003</v>
      </c>
      <c r="S14">
        <f t="shared" si="7"/>
        <v>47.2</v>
      </c>
      <c r="T14">
        <f t="shared" si="8"/>
        <v>54.2</v>
      </c>
      <c r="U14">
        <f t="shared" si="9"/>
        <v>0</v>
      </c>
      <c r="V14">
        <f t="shared" si="10"/>
        <v>0</v>
      </c>
      <c r="W14">
        <f t="shared" si="11"/>
        <v>0</v>
      </c>
      <c r="X14">
        <f t="shared" si="12"/>
        <v>0</v>
      </c>
      <c r="Y14">
        <f t="shared" si="13"/>
        <v>0</v>
      </c>
      <c r="Z14">
        <f t="shared" si="14"/>
        <v>0</v>
      </c>
      <c r="AA14">
        <f t="shared" si="15"/>
        <v>0</v>
      </c>
      <c r="AB14">
        <f t="shared" si="16"/>
        <v>0</v>
      </c>
      <c r="AC14">
        <f t="shared" si="17"/>
        <v>0</v>
      </c>
    </row>
    <row r="15" spans="1:29" x14ac:dyDescent="0.3">
      <c r="A15" s="542" t="s">
        <v>1723</v>
      </c>
      <c r="B15" s="1504">
        <v>125</v>
      </c>
      <c r="C15" s="1505">
        <v>5</v>
      </c>
      <c r="D15" s="1506">
        <v>8</v>
      </c>
      <c r="E15" s="1507">
        <f>3/4</f>
        <v>0.75</v>
      </c>
      <c r="F15" s="1508" t="s">
        <v>1699</v>
      </c>
      <c r="G15" s="1358" t="str">
        <f t="shared" si="0"/>
        <v>20</v>
      </c>
      <c r="H15" s="1506">
        <v>95</v>
      </c>
      <c r="I15" s="1504">
        <v>110</v>
      </c>
      <c r="J15" s="1504"/>
      <c r="K15" s="1508">
        <f>HLOOKUP(F15,M4:AC24,12,0)</f>
        <v>38.700000000000003</v>
      </c>
      <c r="L15" s="531"/>
      <c r="M15">
        <f t="shared" si="1"/>
        <v>8.1</v>
      </c>
      <c r="N15">
        <f t="shared" si="2"/>
        <v>11.7</v>
      </c>
      <c r="O15">
        <f t="shared" si="3"/>
        <v>17</v>
      </c>
      <c r="P15">
        <f t="shared" si="4"/>
        <v>22.2</v>
      </c>
      <c r="Q15">
        <f t="shared" si="5"/>
        <v>30.4</v>
      </c>
      <c r="R15">
        <f t="shared" si="6"/>
        <v>38.700000000000003</v>
      </c>
      <c r="S15">
        <f t="shared" si="7"/>
        <v>48.3</v>
      </c>
      <c r="T15">
        <f t="shared" si="8"/>
        <v>58.2</v>
      </c>
      <c r="U15">
        <f t="shared" si="9"/>
        <v>77.400000000000006</v>
      </c>
      <c r="V15">
        <f t="shared" si="10"/>
        <v>0</v>
      </c>
      <c r="W15">
        <f t="shared" si="11"/>
        <v>0</v>
      </c>
      <c r="X15">
        <f t="shared" si="12"/>
        <v>0</v>
      </c>
      <c r="Y15">
        <f t="shared" si="13"/>
        <v>0</v>
      </c>
      <c r="Z15">
        <f t="shared" si="14"/>
        <v>0</v>
      </c>
      <c r="AA15">
        <f t="shared" si="15"/>
        <v>0</v>
      </c>
      <c r="AB15">
        <f t="shared" si="16"/>
        <v>0</v>
      </c>
      <c r="AC15">
        <f t="shared" si="17"/>
        <v>0</v>
      </c>
    </row>
    <row r="16" spans="1:29" x14ac:dyDescent="0.3">
      <c r="A16" s="542" t="s">
        <v>1724</v>
      </c>
      <c r="B16" s="1504">
        <v>150</v>
      </c>
      <c r="C16" s="1505">
        <v>6</v>
      </c>
      <c r="D16" s="1506">
        <v>8</v>
      </c>
      <c r="E16" s="1507">
        <f>3/4</f>
        <v>0.75</v>
      </c>
      <c r="F16" s="1508" t="s">
        <v>1699</v>
      </c>
      <c r="G16" s="1358" t="str">
        <f t="shared" si="0"/>
        <v>20</v>
      </c>
      <c r="H16" s="1506">
        <v>100</v>
      </c>
      <c r="I16" s="1504">
        <v>115</v>
      </c>
      <c r="J16" s="1504"/>
      <c r="K16" s="1508">
        <f>HLOOKUP(F16,M4:AC24,13,0)</f>
        <v>39.700000000000003</v>
      </c>
      <c r="L16" s="531"/>
      <c r="M16">
        <f t="shared" si="1"/>
        <v>8.35</v>
      </c>
      <c r="N16">
        <f t="shared" si="2"/>
        <v>12.05</v>
      </c>
      <c r="O16">
        <f t="shared" si="3"/>
        <v>17.5</v>
      </c>
      <c r="P16">
        <f t="shared" si="4"/>
        <v>22.9</v>
      </c>
      <c r="Q16">
        <f t="shared" si="5"/>
        <v>31.25</v>
      </c>
      <c r="R16">
        <f t="shared" si="6"/>
        <v>39.700000000000003</v>
      </c>
      <c r="S16">
        <f t="shared" si="7"/>
        <v>49.599999999999994</v>
      </c>
      <c r="T16">
        <f t="shared" si="8"/>
        <v>59.2</v>
      </c>
      <c r="U16">
        <f t="shared" si="9"/>
        <v>79.300000000000011</v>
      </c>
      <c r="V16">
        <f t="shared" si="10"/>
        <v>0</v>
      </c>
      <c r="W16">
        <f t="shared" si="11"/>
        <v>0</v>
      </c>
      <c r="X16">
        <f t="shared" si="12"/>
        <v>0</v>
      </c>
      <c r="Y16">
        <f t="shared" si="13"/>
        <v>0</v>
      </c>
      <c r="Z16">
        <f t="shared" si="14"/>
        <v>0</v>
      </c>
      <c r="AA16">
        <f t="shared" si="15"/>
        <v>0</v>
      </c>
      <c r="AB16">
        <f t="shared" si="16"/>
        <v>0</v>
      </c>
      <c r="AC16">
        <f t="shared" si="17"/>
        <v>0</v>
      </c>
    </row>
    <row r="17" spans="1:29" x14ac:dyDescent="0.3">
      <c r="A17" s="542" t="s">
        <v>1725</v>
      </c>
      <c r="B17" s="1504">
        <v>200</v>
      </c>
      <c r="C17" s="1505">
        <v>8</v>
      </c>
      <c r="D17" s="1506">
        <v>8</v>
      </c>
      <c r="E17" s="1507">
        <f>3/4</f>
        <v>0.75</v>
      </c>
      <c r="F17" s="1508" t="s">
        <v>1699</v>
      </c>
      <c r="G17" s="1358" t="str">
        <f t="shared" si="0"/>
        <v>20</v>
      </c>
      <c r="H17" s="1506">
        <v>110</v>
      </c>
      <c r="I17" s="1504">
        <v>120</v>
      </c>
      <c r="J17" s="1504"/>
      <c r="K17" s="1508">
        <f>HLOOKUP(F17,M4:AC24,14,0)</f>
        <v>40.700000000000003</v>
      </c>
      <c r="L17" s="531"/>
      <c r="M17">
        <f t="shared" si="1"/>
        <v>8.6</v>
      </c>
      <c r="N17">
        <f t="shared" si="2"/>
        <v>12.4</v>
      </c>
      <c r="O17">
        <f t="shared" si="3"/>
        <v>18</v>
      </c>
      <c r="P17">
        <f t="shared" si="4"/>
        <v>23.6</v>
      </c>
      <c r="Q17">
        <f t="shared" si="5"/>
        <v>32.1</v>
      </c>
      <c r="R17">
        <f t="shared" si="6"/>
        <v>40.700000000000003</v>
      </c>
      <c r="S17">
        <f t="shared" si="7"/>
        <v>50.9</v>
      </c>
      <c r="T17">
        <f t="shared" si="8"/>
        <v>60.2</v>
      </c>
      <c r="U17">
        <f t="shared" si="9"/>
        <v>81.2</v>
      </c>
      <c r="V17">
        <f t="shared" si="10"/>
        <v>107</v>
      </c>
      <c r="W17">
        <f t="shared" si="11"/>
        <v>0</v>
      </c>
      <c r="X17">
        <f t="shared" si="12"/>
        <v>0</v>
      </c>
      <c r="Y17">
        <f t="shared" si="13"/>
        <v>0</v>
      </c>
      <c r="Z17">
        <f t="shared" si="14"/>
        <v>0</v>
      </c>
      <c r="AA17">
        <f t="shared" si="15"/>
        <v>0</v>
      </c>
      <c r="AB17">
        <f t="shared" si="16"/>
        <v>0</v>
      </c>
      <c r="AC17">
        <f t="shared" si="17"/>
        <v>0</v>
      </c>
    </row>
    <row r="18" spans="1:29" x14ac:dyDescent="0.3">
      <c r="A18" s="542" t="s">
        <v>1726</v>
      </c>
      <c r="B18" s="1504">
        <v>250</v>
      </c>
      <c r="C18" s="1505">
        <v>10</v>
      </c>
      <c r="D18" s="1506">
        <v>12</v>
      </c>
      <c r="E18" s="1507">
        <f>7/8</f>
        <v>0.875</v>
      </c>
      <c r="F18" s="1508" t="s">
        <v>1701</v>
      </c>
      <c r="G18" s="1358" t="str">
        <f t="shared" si="0"/>
        <v>24</v>
      </c>
      <c r="H18" s="1506">
        <v>115</v>
      </c>
      <c r="I18" s="1504">
        <v>130</v>
      </c>
      <c r="J18" s="1504"/>
      <c r="K18" s="1508">
        <f>HLOOKUP(F18,M4:AC24,15,0)</f>
        <v>63.2</v>
      </c>
      <c r="L18" s="531"/>
      <c r="M18">
        <f t="shared" si="1"/>
        <v>9.1</v>
      </c>
      <c r="N18">
        <f t="shared" si="2"/>
        <v>13.2</v>
      </c>
      <c r="O18">
        <f t="shared" si="3"/>
        <v>19</v>
      </c>
      <c r="P18">
        <f t="shared" si="4"/>
        <v>24.9</v>
      </c>
      <c r="Q18">
        <f t="shared" si="5"/>
        <v>33.700000000000003</v>
      </c>
      <c r="R18">
        <f t="shared" si="6"/>
        <v>42.8</v>
      </c>
      <c r="S18">
        <f t="shared" si="7"/>
        <v>53.4</v>
      </c>
      <c r="T18">
        <f t="shared" si="8"/>
        <v>63.2</v>
      </c>
      <c r="U18">
        <f t="shared" si="9"/>
        <v>85</v>
      </c>
      <c r="V18">
        <f t="shared" si="10"/>
        <v>111</v>
      </c>
      <c r="W18">
        <f t="shared" si="11"/>
        <v>141</v>
      </c>
      <c r="X18">
        <f t="shared" si="12"/>
        <v>0</v>
      </c>
      <c r="Y18">
        <f t="shared" si="13"/>
        <v>0</v>
      </c>
      <c r="Z18">
        <f t="shared" si="14"/>
        <v>0</v>
      </c>
      <c r="AA18">
        <f t="shared" si="15"/>
        <v>0</v>
      </c>
      <c r="AB18">
        <f t="shared" si="16"/>
        <v>0</v>
      </c>
      <c r="AC18">
        <f t="shared" si="17"/>
        <v>0</v>
      </c>
    </row>
    <row r="19" spans="1:29" x14ac:dyDescent="0.3">
      <c r="A19" s="542" t="s">
        <v>1727</v>
      </c>
      <c r="B19" s="1504">
        <v>300</v>
      </c>
      <c r="C19" s="1505">
        <v>12</v>
      </c>
      <c r="D19" s="1506">
        <v>12</v>
      </c>
      <c r="E19" s="1507">
        <f>7/8</f>
        <v>0.875</v>
      </c>
      <c r="F19" s="1508" t="s">
        <v>1701</v>
      </c>
      <c r="G19" s="1358" t="str">
        <f t="shared" si="0"/>
        <v>24</v>
      </c>
      <c r="H19" s="1506">
        <v>120</v>
      </c>
      <c r="I19" s="1504">
        <v>135</v>
      </c>
      <c r="J19" s="1504"/>
      <c r="K19" s="1508">
        <f>HLOOKUP(F19,M4:AC24,16,0)</f>
        <v>64.7</v>
      </c>
      <c r="L19" s="531"/>
      <c r="M19">
        <f t="shared" si="1"/>
        <v>9.35</v>
      </c>
      <c r="N19">
        <f t="shared" si="2"/>
        <v>13.7</v>
      </c>
      <c r="O19">
        <f t="shared" si="3"/>
        <v>19.5</v>
      </c>
      <c r="P19">
        <f t="shared" si="4"/>
        <v>25.549999999999997</v>
      </c>
      <c r="Q19">
        <f t="shared" si="5"/>
        <v>34.549999999999997</v>
      </c>
      <c r="R19">
        <f t="shared" si="6"/>
        <v>43.849999999999994</v>
      </c>
      <c r="S19">
        <f t="shared" si="7"/>
        <v>54.65</v>
      </c>
      <c r="T19">
        <f t="shared" si="8"/>
        <v>64.7</v>
      </c>
      <c r="U19">
        <f t="shared" si="9"/>
        <v>86.95</v>
      </c>
      <c r="V19">
        <f t="shared" si="10"/>
        <v>113.5</v>
      </c>
      <c r="W19">
        <f t="shared" si="11"/>
        <v>144</v>
      </c>
      <c r="X19">
        <f t="shared" si="12"/>
        <v>0</v>
      </c>
      <c r="Y19">
        <f t="shared" si="13"/>
        <v>0</v>
      </c>
      <c r="Z19">
        <f t="shared" si="14"/>
        <v>0</v>
      </c>
      <c r="AA19">
        <f t="shared" si="15"/>
        <v>0</v>
      </c>
      <c r="AB19">
        <f t="shared" si="16"/>
        <v>0</v>
      </c>
      <c r="AC19">
        <f t="shared" si="17"/>
        <v>0</v>
      </c>
    </row>
    <row r="20" spans="1:29" x14ac:dyDescent="0.3">
      <c r="A20" s="542" t="s">
        <v>1728</v>
      </c>
      <c r="B20" s="1504">
        <v>350</v>
      </c>
      <c r="C20" s="1505">
        <v>14</v>
      </c>
      <c r="D20" s="1506">
        <v>12</v>
      </c>
      <c r="E20" s="1507">
        <v>1</v>
      </c>
      <c r="F20" s="1508" t="s">
        <v>1702</v>
      </c>
      <c r="G20" s="1358" t="str">
        <f t="shared" si="0"/>
        <v>27</v>
      </c>
      <c r="H20" s="1506">
        <v>135</v>
      </c>
      <c r="I20" s="1504">
        <v>150</v>
      </c>
      <c r="J20" s="1504"/>
      <c r="K20" s="1508">
        <f>HLOOKUP(F20,M4:AC24,17,0)</f>
        <v>92.7</v>
      </c>
      <c r="L20" s="531"/>
      <c r="M20">
        <f t="shared" si="1"/>
        <v>10.1</v>
      </c>
      <c r="N20">
        <f t="shared" si="2"/>
        <v>14.9</v>
      </c>
      <c r="O20">
        <f t="shared" si="3"/>
        <v>20.8</v>
      </c>
      <c r="P20">
        <f t="shared" si="4"/>
        <v>27.5</v>
      </c>
      <c r="Q20">
        <f t="shared" si="5"/>
        <v>36.9</v>
      </c>
      <c r="R20">
        <f t="shared" si="6"/>
        <v>46.9</v>
      </c>
      <c r="S20">
        <f t="shared" si="7"/>
        <v>58.5</v>
      </c>
      <c r="T20">
        <f t="shared" si="8"/>
        <v>69.2</v>
      </c>
      <c r="U20">
        <f t="shared" si="9"/>
        <v>92.7</v>
      </c>
      <c r="V20">
        <f t="shared" si="10"/>
        <v>121</v>
      </c>
      <c r="W20">
        <f t="shared" si="11"/>
        <v>153</v>
      </c>
      <c r="X20">
        <f t="shared" si="12"/>
        <v>192</v>
      </c>
      <c r="Y20">
        <f t="shared" si="13"/>
        <v>237</v>
      </c>
      <c r="Z20">
        <f t="shared" si="14"/>
        <v>0</v>
      </c>
      <c r="AA20">
        <f t="shared" si="15"/>
        <v>0</v>
      </c>
      <c r="AB20">
        <f t="shared" si="16"/>
        <v>0</v>
      </c>
      <c r="AC20">
        <f t="shared" si="17"/>
        <v>0</v>
      </c>
    </row>
    <row r="21" spans="1:29" x14ac:dyDescent="0.3">
      <c r="A21" s="542" t="s">
        <v>1729</v>
      </c>
      <c r="B21" s="1504">
        <v>400</v>
      </c>
      <c r="C21" s="1505">
        <v>16</v>
      </c>
      <c r="D21" s="1506">
        <v>16</v>
      </c>
      <c r="E21" s="1507">
        <v>1</v>
      </c>
      <c r="F21" s="1508" t="s">
        <v>1702</v>
      </c>
      <c r="G21" s="1358" t="str">
        <f t="shared" si="0"/>
        <v>27</v>
      </c>
      <c r="H21" s="1506">
        <v>135</v>
      </c>
      <c r="I21" s="1504">
        <v>150</v>
      </c>
      <c r="J21" s="1504"/>
      <c r="K21" s="1508">
        <f>HLOOKUP(F21,M4:AC24,18,0)</f>
        <v>92.7</v>
      </c>
      <c r="L21" s="531"/>
      <c r="M21">
        <f t="shared" si="1"/>
        <v>10.1</v>
      </c>
      <c r="N21">
        <f t="shared" si="2"/>
        <v>14.9</v>
      </c>
      <c r="O21">
        <f t="shared" si="3"/>
        <v>20.8</v>
      </c>
      <c r="P21">
        <f t="shared" si="4"/>
        <v>27.5</v>
      </c>
      <c r="Q21">
        <f t="shared" si="5"/>
        <v>36.9</v>
      </c>
      <c r="R21">
        <f t="shared" si="6"/>
        <v>46.9</v>
      </c>
      <c r="S21">
        <f t="shared" si="7"/>
        <v>58.5</v>
      </c>
      <c r="T21">
        <f t="shared" si="8"/>
        <v>69.2</v>
      </c>
      <c r="U21">
        <f t="shared" si="9"/>
        <v>92.7</v>
      </c>
      <c r="V21">
        <f t="shared" si="10"/>
        <v>121</v>
      </c>
      <c r="W21">
        <f t="shared" si="11"/>
        <v>153</v>
      </c>
      <c r="X21">
        <f t="shared" si="12"/>
        <v>192</v>
      </c>
      <c r="Y21">
        <f t="shared" si="13"/>
        <v>237</v>
      </c>
      <c r="Z21">
        <f t="shared" si="14"/>
        <v>0</v>
      </c>
      <c r="AA21">
        <f t="shared" si="15"/>
        <v>0</v>
      </c>
      <c r="AB21">
        <f t="shared" si="16"/>
        <v>0</v>
      </c>
      <c r="AC21">
        <f t="shared" si="17"/>
        <v>0</v>
      </c>
    </row>
    <row r="22" spans="1:29" x14ac:dyDescent="0.3">
      <c r="A22" s="542" t="s">
        <v>1730</v>
      </c>
      <c r="B22" s="1504">
        <v>450</v>
      </c>
      <c r="C22" s="1505">
        <v>18</v>
      </c>
      <c r="D22" s="1506">
        <v>16</v>
      </c>
      <c r="E22" s="1507">
        <f>1+1/8</f>
        <v>1.125</v>
      </c>
      <c r="F22" s="1508" t="s">
        <v>1703</v>
      </c>
      <c r="G22" s="1358" t="str">
        <f t="shared" si="0"/>
        <v>30</v>
      </c>
      <c r="H22" s="1506">
        <v>150</v>
      </c>
      <c r="I22" s="1504">
        <v>160</v>
      </c>
      <c r="J22" s="1504"/>
      <c r="K22" s="1508">
        <f>HLOOKUP(F22,M4:AC24,19,0)</f>
        <v>126</v>
      </c>
      <c r="L22" s="531"/>
      <c r="M22">
        <f t="shared" si="1"/>
        <v>10.6</v>
      </c>
      <c r="N22">
        <f t="shared" si="2"/>
        <v>15.6</v>
      </c>
      <c r="O22">
        <f t="shared" si="3"/>
        <v>21.8</v>
      </c>
      <c r="P22">
        <f t="shared" si="4"/>
        <v>29.1</v>
      </c>
      <c r="Q22">
        <f t="shared" si="5"/>
        <v>38.6</v>
      </c>
      <c r="R22">
        <f t="shared" si="6"/>
        <v>49</v>
      </c>
      <c r="S22">
        <f t="shared" si="7"/>
        <v>61</v>
      </c>
      <c r="T22">
        <f t="shared" si="8"/>
        <v>72.2</v>
      </c>
      <c r="U22">
        <f t="shared" si="9"/>
        <v>96.6</v>
      </c>
      <c r="V22">
        <f t="shared" si="10"/>
        <v>126</v>
      </c>
      <c r="W22">
        <f t="shared" si="11"/>
        <v>159</v>
      </c>
      <c r="X22">
        <f t="shared" si="12"/>
        <v>199</v>
      </c>
      <c r="Y22">
        <f t="shared" si="13"/>
        <v>245</v>
      </c>
      <c r="Z22">
        <f t="shared" si="14"/>
        <v>302</v>
      </c>
      <c r="AA22">
        <f t="shared" si="15"/>
        <v>0</v>
      </c>
      <c r="AB22">
        <f t="shared" si="16"/>
        <v>0</v>
      </c>
      <c r="AC22">
        <f t="shared" si="17"/>
        <v>0</v>
      </c>
    </row>
    <row r="23" spans="1:29" x14ac:dyDescent="0.3">
      <c r="A23" s="542" t="s">
        <v>1731</v>
      </c>
      <c r="B23" s="1504">
        <v>500</v>
      </c>
      <c r="C23" s="1505">
        <v>20</v>
      </c>
      <c r="D23" s="1506">
        <v>20</v>
      </c>
      <c r="E23" s="1507">
        <f>1+1/8</f>
        <v>1.125</v>
      </c>
      <c r="F23" s="1508" t="s">
        <v>1703</v>
      </c>
      <c r="G23" s="1358" t="str">
        <f t="shared" si="0"/>
        <v>30</v>
      </c>
      <c r="H23" s="1506">
        <v>160</v>
      </c>
      <c r="I23" s="1504">
        <v>170</v>
      </c>
      <c r="J23" s="1504"/>
      <c r="K23" s="1508">
        <f>HLOOKUP(F23,M4:AC24,20,0)</f>
        <v>130</v>
      </c>
      <c r="L23" s="531"/>
      <c r="M23">
        <f t="shared" si="1"/>
        <v>0</v>
      </c>
      <c r="N23">
        <f t="shared" si="2"/>
        <v>16.399999999999999</v>
      </c>
      <c r="O23">
        <f t="shared" si="3"/>
        <v>22.8</v>
      </c>
      <c r="P23">
        <f t="shared" si="4"/>
        <v>30.4</v>
      </c>
      <c r="Q23">
        <f t="shared" si="5"/>
        <v>40.200000000000003</v>
      </c>
      <c r="R23">
        <f t="shared" si="6"/>
        <v>51.1</v>
      </c>
      <c r="S23">
        <f t="shared" si="7"/>
        <v>63.5</v>
      </c>
      <c r="T23">
        <f t="shared" si="8"/>
        <v>75.2</v>
      </c>
      <c r="U23">
        <f t="shared" si="9"/>
        <v>101</v>
      </c>
      <c r="V23">
        <f t="shared" si="10"/>
        <v>130</v>
      </c>
      <c r="W23">
        <f t="shared" si="11"/>
        <v>165</v>
      </c>
      <c r="X23">
        <f t="shared" si="12"/>
        <v>206</v>
      </c>
      <c r="Y23">
        <f t="shared" si="13"/>
        <v>253</v>
      </c>
      <c r="Z23">
        <f t="shared" si="14"/>
        <v>312</v>
      </c>
      <c r="AA23">
        <f t="shared" si="15"/>
        <v>378</v>
      </c>
      <c r="AB23">
        <f t="shared" si="16"/>
        <v>0</v>
      </c>
      <c r="AC23">
        <f t="shared" si="17"/>
        <v>0</v>
      </c>
    </row>
    <row r="24" spans="1:29" ht="15" thickBot="1" x14ac:dyDescent="0.35">
      <c r="A24" s="542" t="s">
        <v>1732</v>
      </c>
      <c r="B24" s="1504">
        <v>600</v>
      </c>
      <c r="C24" s="1505">
        <v>24</v>
      </c>
      <c r="D24" s="1506">
        <v>20</v>
      </c>
      <c r="E24" s="1507">
        <f>1+ 1/4</f>
        <v>1.25</v>
      </c>
      <c r="F24" s="1508" t="s">
        <v>1704</v>
      </c>
      <c r="G24" s="1358" t="str">
        <f t="shared" si="0"/>
        <v>33</v>
      </c>
      <c r="H24" s="1506">
        <v>175</v>
      </c>
      <c r="I24" s="1504">
        <v>185</v>
      </c>
      <c r="J24" s="1504"/>
      <c r="K24" s="1508">
        <f>HLOOKUP(F24,M4:AC24,21,0)</f>
        <v>173.5</v>
      </c>
      <c r="L24" s="531"/>
      <c r="M24">
        <f t="shared" si="1"/>
        <v>0</v>
      </c>
      <c r="N24">
        <f t="shared" si="2"/>
        <v>0</v>
      </c>
      <c r="O24">
        <f t="shared" si="3"/>
        <v>0</v>
      </c>
      <c r="P24">
        <f t="shared" si="4"/>
        <v>32.450000000000003</v>
      </c>
      <c r="Q24">
        <f t="shared" si="5"/>
        <v>42.7</v>
      </c>
      <c r="R24">
        <f t="shared" si="6"/>
        <v>53.349999999999994</v>
      </c>
      <c r="S24">
        <f t="shared" si="7"/>
        <v>67.25</v>
      </c>
      <c r="T24">
        <f t="shared" si="8"/>
        <v>79.599999999999994</v>
      </c>
      <c r="U24">
        <f t="shared" si="9"/>
        <v>107</v>
      </c>
      <c r="V24">
        <f t="shared" si="10"/>
        <v>137.5</v>
      </c>
      <c r="W24">
        <f t="shared" si="11"/>
        <v>173.5</v>
      </c>
      <c r="X24">
        <f t="shared" si="12"/>
        <v>216</v>
      </c>
      <c r="Y24">
        <f t="shared" si="13"/>
        <v>265</v>
      </c>
      <c r="Z24">
        <f t="shared" si="14"/>
        <v>327</v>
      </c>
      <c r="AA24">
        <f t="shared" si="15"/>
        <v>394.5</v>
      </c>
      <c r="AB24">
        <f t="shared" si="16"/>
        <v>473.5</v>
      </c>
      <c r="AC24">
        <f t="shared" si="17"/>
        <v>0</v>
      </c>
    </row>
    <row r="25" spans="1:29" ht="15" thickBot="1" x14ac:dyDescent="0.35">
      <c r="A25" s="543" t="s">
        <v>1733</v>
      </c>
      <c r="B25" s="544"/>
      <c r="C25" s="545"/>
      <c r="D25" s="544"/>
      <c r="E25" s="545"/>
      <c r="F25" s="544"/>
      <c r="G25" s="578"/>
      <c r="H25" s="544"/>
      <c r="I25" s="546"/>
      <c r="J25" s="1752" t="s">
        <v>1684</v>
      </c>
      <c r="K25" s="1753"/>
      <c r="L25" s="531"/>
    </row>
    <row r="26" spans="1:29" ht="15" thickBot="1" x14ac:dyDescent="0.35">
      <c r="A26" s="1432">
        <v>300</v>
      </c>
      <c r="B26" s="1756" t="s">
        <v>59</v>
      </c>
      <c r="C26" s="1759" t="s">
        <v>1685</v>
      </c>
      <c r="D26" s="1756" t="s">
        <v>1686</v>
      </c>
      <c r="E26" s="1762" t="s">
        <v>1687</v>
      </c>
      <c r="F26" s="1762"/>
      <c r="G26" s="579"/>
      <c r="H26" s="1762" t="s">
        <v>1688</v>
      </c>
      <c r="I26" s="1763"/>
      <c r="J26" s="1754"/>
      <c r="K26" s="1755"/>
      <c r="L26" s="531"/>
      <c r="M26" s="1750" t="s">
        <v>1689</v>
      </c>
      <c r="N26" s="1750"/>
      <c r="O26" s="1750"/>
      <c r="P26" s="1750"/>
      <c r="Q26" s="1750"/>
      <c r="R26" s="1750"/>
      <c r="S26" s="1750"/>
      <c r="T26" s="1750"/>
      <c r="U26" s="1750"/>
      <c r="V26" s="1750"/>
      <c r="W26" s="1750"/>
      <c r="X26" s="1750"/>
      <c r="Y26" s="1750"/>
      <c r="Z26" s="1750"/>
      <c r="AA26" s="1750"/>
      <c r="AB26" s="1750"/>
      <c r="AC26" s="1750"/>
    </row>
    <row r="27" spans="1:29" s="5" customFormat="1" ht="29.4" thickBot="1" x14ac:dyDescent="0.35">
      <c r="A27" s="1496"/>
      <c r="B27" s="1757"/>
      <c r="C27" s="1760"/>
      <c r="D27" s="1757"/>
      <c r="E27" s="1498" t="s">
        <v>1690</v>
      </c>
      <c r="F27" s="1497" t="s">
        <v>1691</v>
      </c>
      <c r="G27" s="1359" t="s">
        <v>1691</v>
      </c>
      <c r="H27" s="1497" t="s">
        <v>1692</v>
      </c>
      <c r="I27" s="1501" t="s">
        <v>1689</v>
      </c>
      <c r="J27" s="1502" t="s">
        <v>1690</v>
      </c>
      <c r="K27" s="1503" t="s">
        <v>1691</v>
      </c>
      <c r="L27" s="533"/>
      <c r="M27" s="1751" t="s">
        <v>1691</v>
      </c>
      <c r="N27" s="1751"/>
      <c r="O27" s="1751"/>
      <c r="P27" s="1751"/>
      <c r="Q27" s="1751"/>
      <c r="R27" s="1751"/>
      <c r="S27" s="1751"/>
      <c r="T27" s="1751"/>
      <c r="U27" s="1751"/>
      <c r="V27" s="1751"/>
      <c r="W27" s="1751"/>
      <c r="X27" s="1751"/>
      <c r="Y27" s="1751"/>
      <c r="Z27" s="1751"/>
      <c r="AA27" s="1751"/>
      <c r="AB27" s="1751"/>
      <c r="AC27" s="1751"/>
    </row>
    <row r="28" spans="1:29" ht="15" thickBot="1" x14ac:dyDescent="0.35">
      <c r="A28" s="534" t="s">
        <v>1693</v>
      </c>
      <c r="B28" s="1758"/>
      <c r="C28" s="1761"/>
      <c r="D28" s="1758"/>
      <c r="E28" s="535" t="s">
        <v>1082</v>
      </c>
      <c r="F28" s="547" t="s">
        <v>93</v>
      </c>
      <c r="G28" s="580" t="s">
        <v>93</v>
      </c>
      <c r="H28" s="547" t="s">
        <v>93</v>
      </c>
      <c r="I28" s="539" t="s">
        <v>93</v>
      </c>
      <c r="J28" s="535" t="s">
        <v>222</v>
      </c>
      <c r="K28" s="536" t="s">
        <v>222</v>
      </c>
      <c r="L28" s="531"/>
      <c r="M28" s="540" t="s">
        <v>1694</v>
      </c>
      <c r="N28" s="540" t="s">
        <v>1695</v>
      </c>
      <c r="O28" s="540" t="s">
        <v>1696</v>
      </c>
      <c r="P28" s="540" t="s">
        <v>1697</v>
      </c>
      <c r="Q28" s="540" t="s">
        <v>1698</v>
      </c>
      <c r="R28" s="540" t="s">
        <v>1699</v>
      </c>
      <c r="S28" s="540" t="s">
        <v>1700</v>
      </c>
      <c r="T28" s="540" t="s">
        <v>1701</v>
      </c>
      <c r="U28" s="540" t="s">
        <v>1702</v>
      </c>
      <c r="V28" s="540" t="s">
        <v>1703</v>
      </c>
      <c r="W28" s="540" t="s">
        <v>1704</v>
      </c>
      <c r="X28" s="540" t="s">
        <v>1705</v>
      </c>
      <c r="Y28" s="540" t="s">
        <v>1706</v>
      </c>
      <c r="Z28" s="540" t="s">
        <v>1707</v>
      </c>
      <c r="AA28" s="540" t="s">
        <v>1708</v>
      </c>
      <c r="AB28" s="540" t="s">
        <v>1709</v>
      </c>
      <c r="AC28" s="541" t="s">
        <v>1710</v>
      </c>
    </row>
    <row r="29" spans="1:29" x14ac:dyDescent="0.3">
      <c r="A29" s="542" t="s">
        <v>1734</v>
      </c>
      <c r="B29" s="1504">
        <v>15</v>
      </c>
      <c r="C29" s="1505">
        <v>0.5</v>
      </c>
      <c r="D29" s="1506">
        <v>4</v>
      </c>
      <c r="E29" s="1507">
        <f>1/2</f>
        <v>0.5</v>
      </c>
      <c r="F29" s="1504" t="s">
        <v>1696</v>
      </c>
      <c r="G29" s="1358" t="str">
        <f t="shared" ref="G29:G48" si="18">RIGHT(F29,2)</f>
        <v>14</v>
      </c>
      <c r="H29" s="1504">
        <v>65</v>
      </c>
      <c r="I29" s="1504">
        <v>80</v>
      </c>
      <c r="J29" s="1504"/>
      <c r="K29" s="1508">
        <f>HLOOKUP(F29,M28:AC48,2,0)</f>
        <v>14</v>
      </c>
      <c r="L29" s="531"/>
      <c r="M29">
        <f t="shared" ref="M29:M48" si="19">VLOOKUP(I29,$A$170:$R$240,2,0)</f>
        <v>6.6</v>
      </c>
      <c r="N29">
        <f t="shared" ref="N29:N48" si="20">VLOOKUP(I29,$A$170:$R$240,3,0)</f>
        <v>9.6</v>
      </c>
      <c r="O29">
        <f t="shared" ref="O29:O48" si="21">VLOOKUP(I29,$A$170:$R$240,4,0)</f>
        <v>14</v>
      </c>
      <c r="P29">
        <f t="shared" ref="P29:P48" si="22">VLOOKUP(I29,$A$170:$R$240,5,0)</f>
        <v>18.2</v>
      </c>
      <c r="Q29">
        <f t="shared" ref="Q29:Q48" si="23">VLOOKUP(I29,$A$170:$R$240,6,0)</f>
        <v>25.4</v>
      </c>
      <c r="R29">
        <f t="shared" ref="R29:R48" si="24">VLOOKUP(I29,$A$170:$R$240,7,0)</f>
        <v>32.5</v>
      </c>
      <c r="S29">
        <f t="shared" ref="S29:S48" si="25">VLOOKUP(I29,$A$170:$R$240,8,0)</f>
        <v>0</v>
      </c>
      <c r="T29">
        <f t="shared" ref="T29:T48" si="26">VLOOKUP(I29,$A$170:$R$240,9,0)</f>
        <v>0</v>
      </c>
      <c r="U29">
        <f t="shared" ref="U29:U48" si="27">VLOOKUP(I29,$A$170:$R$240,10,0)</f>
        <v>0</v>
      </c>
      <c r="V29">
        <f t="shared" ref="V29:V48" si="28">VLOOKUP(I29,$A$170:$R$240,11,0)</f>
        <v>0</v>
      </c>
      <c r="W29">
        <f t="shared" ref="W29:W48" si="29">VLOOKUP(I29,$A$170:$R$240,12,0)</f>
        <v>0</v>
      </c>
      <c r="X29">
        <f t="shared" ref="X29:X48" si="30">VLOOKUP(I29,$A$170:$R$240,13,0)</f>
        <v>0</v>
      </c>
      <c r="Y29">
        <f t="shared" ref="Y29:Y48" si="31">VLOOKUP(I29,$A$170:$R$240,14,0)</f>
        <v>0</v>
      </c>
      <c r="Z29">
        <f t="shared" ref="Z29:Z48" si="32">VLOOKUP(I29,$A$170:$R$240,15,0)</f>
        <v>0</v>
      </c>
      <c r="AA29">
        <f t="shared" ref="AA29:AA48" si="33">VLOOKUP(I29,$A$170:$R$240,16,0)</f>
        <v>0</v>
      </c>
      <c r="AB29">
        <f t="shared" ref="AB29:AB48" si="34">VLOOKUP(I29,$A$170:$R$240,17,0)</f>
        <v>0</v>
      </c>
      <c r="AC29">
        <f t="shared" ref="AC29:AC48" si="35">VLOOKUP(I29,$A$170:$R$240,18,0)</f>
        <v>0</v>
      </c>
    </row>
    <row r="30" spans="1:29" x14ac:dyDescent="0.3">
      <c r="A30" s="542" t="s">
        <v>1735</v>
      </c>
      <c r="B30" s="1504">
        <v>20</v>
      </c>
      <c r="C30" s="1505">
        <v>0.75</v>
      </c>
      <c r="D30" s="1506">
        <v>4</v>
      </c>
      <c r="E30" s="1507">
        <f>5/8</f>
        <v>0.625</v>
      </c>
      <c r="F30" s="1504" t="s">
        <v>1697</v>
      </c>
      <c r="G30" s="1358" t="str">
        <f t="shared" si="18"/>
        <v>16</v>
      </c>
      <c r="H30" s="1504">
        <v>80</v>
      </c>
      <c r="I30" s="1504">
        <v>90</v>
      </c>
      <c r="J30" s="1504"/>
      <c r="K30" s="1508">
        <f>HLOOKUP(F30,M28:AC48,3,0)</f>
        <v>19.600000000000001</v>
      </c>
      <c r="L30" s="531"/>
      <c r="M30">
        <f t="shared" si="19"/>
        <v>7.1</v>
      </c>
      <c r="N30">
        <f t="shared" si="20"/>
        <v>10.3</v>
      </c>
      <c r="O30">
        <f t="shared" si="21"/>
        <v>15</v>
      </c>
      <c r="P30">
        <f t="shared" si="22"/>
        <v>19.600000000000001</v>
      </c>
      <c r="Q30">
        <f t="shared" si="23"/>
        <v>27.1</v>
      </c>
      <c r="R30">
        <f t="shared" si="24"/>
        <v>34.5</v>
      </c>
      <c r="S30">
        <f t="shared" si="25"/>
        <v>45.5</v>
      </c>
      <c r="T30">
        <f t="shared" si="26"/>
        <v>0</v>
      </c>
      <c r="U30">
        <f t="shared" si="27"/>
        <v>0</v>
      </c>
      <c r="V30">
        <f t="shared" si="28"/>
        <v>0</v>
      </c>
      <c r="W30">
        <f t="shared" si="29"/>
        <v>0</v>
      </c>
      <c r="X30">
        <f t="shared" si="30"/>
        <v>0</v>
      </c>
      <c r="Y30">
        <f t="shared" si="31"/>
        <v>0</v>
      </c>
      <c r="Z30">
        <f t="shared" si="32"/>
        <v>0</v>
      </c>
      <c r="AA30">
        <f t="shared" si="33"/>
        <v>0</v>
      </c>
      <c r="AB30">
        <f t="shared" si="34"/>
        <v>0</v>
      </c>
      <c r="AC30">
        <f t="shared" si="35"/>
        <v>0</v>
      </c>
    </row>
    <row r="31" spans="1:29" x14ac:dyDescent="0.3">
      <c r="A31" s="542" t="s">
        <v>1736</v>
      </c>
      <c r="B31" s="1504">
        <v>25</v>
      </c>
      <c r="C31" s="1505">
        <v>1</v>
      </c>
      <c r="D31" s="1506">
        <v>4</v>
      </c>
      <c r="E31" s="1507">
        <f>5/8</f>
        <v>0.625</v>
      </c>
      <c r="F31" s="1504" t="s">
        <v>1697</v>
      </c>
      <c r="G31" s="1358" t="str">
        <f t="shared" si="18"/>
        <v>16</v>
      </c>
      <c r="H31" s="1504">
        <v>80</v>
      </c>
      <c r="I31" s="1504">
        <v>90</v>
      </c>
      <c r="J31" s="1504"/>
      <c r="K31" s="1508">
        <f>HLOOKUP(F31,M28:AC48,4,0)</f>
        <v>19.600000000000001</v>
      </c>
      <c r="L31" s="531"/>
      <c r="M31">
        <f t="shared" si="19"/>
        <v>7.1</v>
      </c>
      <c r="N31">
        <f t="shared" si="20"/>
        <v>10.3</v>
      </c>
      <c r="O31">
        <f t="shared" si="21"/>
        <v>15</v>
      </c>
      <c r="P31">
        <f t="shared" si="22"/>
        <v>19.600000000000001</v>
      </c>
      <c r="Q31">
        <f t="shared" si="23"/>
        <v>27.1</v>
      </c>
      <c r="R31">
        <f t="shared" si="24"/>
        <v>34.5</v>
      </c>
      <c r="S31">
        <f t="shared" si="25"/>
        <v>45.5</v>
      </c>
      <c r="T31">
        <f t="shared" si="26"/>
        <v>0</v>
      </c>
      <c r="U31">
        <f t="shared" si="27"/>
        <v>0</v>
      </c>
      <c r="V31">
        <f t="shared" si="28"/>
        <v>0</v>
      </c>
      <c r="W31">
        <f t="shared" si="29"/>
        <v>0</v>
      </c>
      <c r="X31">
        <f t="shared" si="30"/>
        <v>0</v>
      </c>
      <c r="Y31">
        <f t="shared" si="31"/>
        <v>0</v>
      </c>
      <c r="Z31">
        <f t="shared" si="32"/>
        <v>0</v>
      </c>
      <c r="AA31">
        <f t="shared" si="33"/>
        <v>0</v>
      </c>
      <c r="AB31">
        <f t="shared" si="34"/>
        <v>0</v>
      </c>
      <c r="AC31">
        <f t="shared" si="35"/>
        <v>0</v>
      </c>
    </row>
    <row r="32" spans="1:29" x14ac:dyDescent="0.3">
      <c r="A32" s="542" t="s">
        <v>1737</v>
      </c>
      <c r="B32" s="1504">
        <v>32</v>
      </c>
      <c r="C32" s="1505">
        <v>1.25</v>
      </c>
      <c r="D32" s="1506">
        <v>4</v>
      </c>
      <c r="E32" s="1507">
        <f>5/8</f>
        <v>0.625</v>
      </c>
      <c r="F32" s="1504" t="s">
        <v>1697</v>
      </c>
      <c r="G32" s="1358" t="str">
        <f t="shared" si="18"/>
        <v>16</v>
      </c>
      <c r="H32" s="1504">
        <v>85</v>
      </c>
      <c r="I32" s="1504">
        <v>95</v>
      </c>
      <c r="J32" s="1504"/>
      <c r="K32" s="1508">
        <f>HLOOKUP(F32,M28:AC48,5,0)</f>
        <v>20.3</v>
      </c>
      <c r="L32" s="531"/>
      <c r="M32">
        <f t="shared" si="19"/>
        <v>7.35</v>
      </c>
      <c r="N32">
        <f t="shared" si="20"/>
        <v>10.65</v>
      </c>
      <c r="O32">
        <f t="shared" si="21"/>
        <v>15.5</v>
      </c>
      <c r="P32">
        <f t="shared" si="22"/>
        <v>20.3</v>
      </c>
      <c r="Q32">
        <f t="shared" si="23"/>
        <v>27.950000000000003</v>
      </c>
      <c r="R32">
        <f t="shared" si="24"/>
        <v>35.6</v>
      </c>
      <c r="S32">
        <f t="shared" si="25"/>
        <v>46.35</v>
      </c>
      <c r="T32">
        <f t="shared" si="26"/>
        <v>0</v>
      </c>
      <c r="U32">
        <f t="shared" si="27"/>
        <v>0</v>
      </c>
      <c r="V32">
        <f t="shared" si="28"/>
        <v>0</v>
      </c>
      <c r="W32">
        <f t="shared" si="29"/>
        <v>0</v>
      </c>
      <c r="X32">
        <f t="shared" si="30"/>
        <v>0</v>
      </c>
      <c r="Y32">
        <f t="shared" si="31"/>
        <v>0</v>
      </c>
      <c r="Z32">
        <f t="shared" si="32"/>
        <v>0</v>
      </c>
      <c r="AA32">
        <f t="shared" si="33"/>
        <v>0</v>
      </c>
      <c r="AB32">
        <f t="shared" si="34"/>
        <v>0</v>
      </c>
      <c r="AC32">
        <f t="shared" si="35"/>
        <v>0</v>
      </c>
    </row>
    <row r="33" spans="1:29" x14ac:dyDescent="0.3">
      <c r="A33" s="542" t="s">
        <v>1738</v>
      </c>
      <c r="B33" s="1504">
        <v>40</v>
      </c>
      <c r="C33" s="1505">
        <v>1.5</v>
      </c>
      <c r="D33" s="1506">
        <v>4</v>
      </c>
      <c r="E33" s="1507">
        <f>3/4</f>
        <v>0.75</v>
      </c>
      <c r="F33" s="1504" t="s">
        <v>1699</v>
      </c>
      <c r="G33" s="1358" t="str">
        <f t="shared" si="18"/>
        <v>20</v>
      </c>
      <c r="H33" s="1504">
        <v>90</v>
      </c>
      <c r="I33" s="1504">
        <v>100</v>
      </c>
      <c r="J33" s="1504"/>
      <c r="K33" s="1508">
        <f>HLOOKUP(F33,M28:AC48,6,0)</f>
        <v>36.700000000000003</v>
      </c>
      <c r="L33" s="531"/>
      <c r="M33">
        <f t="shared" si="19"/>
        <v>7.6</v>
      </c>
      <c r="N33">
        <f t="shared" si="20"/>
        <v>11</v>
      </c>
      <c r="O33">
        <f t="shared" si="21"/>
        <v>16</v>
      </c>
      <c r="P33">
        <f t="shared" si="22"/>
        <v>21</v>
      </c>
      <c r="Q33">
        <f t="shared" si="23"/>
        <v>28.8</v>
      </c>
      <c r="R33">
        <f t="shared" si="24"/>
        <v>36.700000000000003</v>
      </c>
      <c r="S33">
        <f t="shared" si="25"/>
        <v>47.2</v>
      </c>
      <c r="T33">
        <f t="shared" si="26"/>
        <v>54.2</v>
      </c>
      <c r="U33">
        <f t="shared" si="27"/>
        <v>0</v>
      </c>
      <c r="V33">
        <f t="shared" si="28"/>
        <v>0</v>
      </c>
      <c r="W33">
        <f t="shared" si="29"/>
        <v>0</v>
      </c>
      <c r="X33">
        <f t="shared" si="30"/>
        <v>0</v>
      </c>
      <c r="Y33">
        <f t="shared" si="31"/>
        <v>0</v>
      </c>
      <c r="Z33">
        <f t="shared" si="32"/>
        <v>0</v>
      </c>
      <c r="AA33">
        <f t="shared" si="33"/>
        <v>0</v>
      </c>
      <c r="AB33">
        <f t="shared" si="34"/>
        <v>0</v>
      </c>
      <c r="AC33">
        <f t="shared" si="35"/>
        <v>0</v>
      </c>
    </row>
    <row r="34" spans="1:29" x14ac:dyDescent="0.3">
      <c r="A34" s="542" t="s">
        <v>1739</v>
      </c>
      <c r="B34" s="1504">
        <v>50</v>
      </c>
      <c r="C34" s="1505">
        <v>2</v>
      </c>
      <c r="D34" s="1506">
        <v>8</v>
      </c>
      <c r="E34" s="1507">
        <f>5/8</f>
        <v>0.625</v>
      </c>
      <c r="F34" s="1504" t="s">
        <v>1697</v>
      </c>
      <c r="G34" s="1358" t="str">
        <f t="shared" si="18"/>
        <v>16</v>
      </c>
      <c r="H34" s="1504">
        <v>90</v>
      </c>
      <c r="I34" s="1504">
        <v>100</v>
      </c>
      <c r="J34" s="1504"/>
      <c r="K34" s="1508">
        <f>HLOOKUP(F34,M28:AC48,7,0)</f>
        <v>21</v>
      </c>
      <c r="L34" s="531"/>
      <c r="M34">
        <f t="shared" si="19"/>
        <v>7.6</v>
      </c>
      <c r="N34">
        <f t="shared" si="20"/>
        <v>11</v>
      </c>
      <c r="O34">
        <f t="shared" si="21"/>
        <v>16</v>
      </c>
      <c r="P34">
        <f t="shared" si="22"/>
        <v>21</v>
      </c>
      <c r="Q34">
        <f t="shared" si="23"/>
        <v>28.8</v>
      </c>
      <c r="R34">
        <f t="shared" si="24"/>
        <v>36.700000000000003</v>
      </c>
      <c r="S34">
        <f t="shared" si="25"/>
        <v>47.2</v>
      </c>
      <c r="T34">
        <f t="shared" si="26"/>
        <v>54.2</v>
      </c>
      <c r="U34">
        <f t="shared" si="27"/>
        <v>0</v>
      </c>
      <c r="V34">
        <f t="shared" si="28"/>
        <v>0</v>
      </c>
      <c r="W34">
        <f t="shared" si="29"/>
        <v>0</v>
      </c>
      <c r="X34">
        <f t="shared" si="30"/>
        <v>0</v>
      </c>
      <c r="Y34">
        <f t="shared" si="31"/>
        <v>0</v>
      </c>
      <c r="Z34">
        <f t="shared" si="32"/>
        <v>0</v>
      </c>
      <c r="AA34">
        <f t="shared" si="33"/>
        <v>0</v>
      </c>
      <c r="AB34">
        <f t="shared" si="34"/>
        <v>0</v>
      </c>
      <c r="AC34">
        <f t="shared" si="35"/>
        <v>0</v>
      </c>
    </row>
    <row r="35" spans="1:29" x14ac:dyDescent="0.3">
      <c r="A35" s="542" t="s">
        <v>1740</v>
      </c>
      <c r="B35" s="1504">
        <v>65</v>
      </c>
      <c r="C35" s="1505">
        <v>2.5</v>
      </c>
      <c r="D35" s="1506">
        <v>8</v>
      </c>
      <c r="E35" s="1507">
        <f t="shared" ref="E35:E40" si="36">3/4</f>
        <v>0.75</v>
      </c>
      <c r="F35" s="1504" t="s">
        <v>1699</v>
      </c>
      <c r="G35" s="1358" t="str">
        <f t="shared" si="18"/>
        <v>20</v>
      </c>
      <c r="H35" s="1504">
        <v>100</v>
      </c>
      <c r="I35" s="1504">
        <v>115</v>
      </c>
      <c r="J35" s="1504"/>
      <c r="K35" s="1508">
        <f>HLOOKUP(F35,M28:AC48,8,0)</f>
        <v>39.700000000000003</v>
      </c>
      <c r="L35" s="531"/>
      <c r="M35">
        <f t="shared" si="19"/>
        <v>8.35</v>
      </c>
      <c r="N35">
        <f t="shared" si="20"/>
        <v>12.05</v>
      </c>
      <c r="O35">
        <f t="shared" si="21"/>
        <v>17.5</v>
      </c>
      <c r="P35">
        <f t="shared" si="22"/>
        <v>22.9</v>
      </c>
      <c r="Q35">
        <f t="shared" si="23"/>
        <v>31.25</v>
      </c>
      <c r="R35">
        <f t="shared" si="24"/>
        <v>39.700000000000003</v>
      </c>
      <c r="S35">
        <f t="shared" si="25"/>
        <v>49.599999999999994</v>
      </c>
      <c r="T35">
        <f t="shared" si="26"/>
        <v>59.2</v>
      </c>
      <c r="U35">
        <f t="shared" si="27"/>
        <v>79.300000000000011</v>
      </c>
      <c r="V35">
        <f t="shared" si="28"/>
        <v>0</v>
      </c>
      <c r="W35">
        <f t="shared" si="29"/>
        <v>0</v>
      </c>
      <c r="X35">
        <f t="shared" si="30"/>
        <v>0</v>
      </c>
      <c r="Y35">
        <f t="shared" si="31"/>
        <v>0</v>
      </c>
      <c r="Z35">
        <f t="shared" si="32"/>
        <v>0</v>
      </c>
      <c r="AA35">
        <f t="shared" si="33"/>
        <v>0</v>
      </c>
      <c r="AB35">
        <f t="shared" si="34"/>
        <v>0</v>
      </c>
      <c r="AC35">
        <f t="shared" si="35"/>
        <v>0</v>
      </c>
    </row>
    <row r="36" spans="1:29" x14ac:dyDescent="0.3">
      <c r="A36" s="542" t="s">
        <v>1741</v>
      </c>
      <c r="B36" s="1504">
        <v>80</v>
      </c>
      <c r="C36" s="1505">
        <v>3</v>
      </c>
      <c r="D36" s="1506">
        <v>8</v>
      </c>
      <c r="E36" s="1507">
        <f t="shared" si="36"/>
        <v>0.75</v>
      </c>
      <c r="F36" s="1504" t="s">
        <v>1699</v>
      </c>
      <c r="G36" s="1358" t="str">
        <f t="shared" si="18"/>
        <v>20</v>
      </c>
      <c r="H36" s="1504">
        <v>110</v>
      </c>
      <c r="I36" s="1504">
        <v>120</v>
      </c>
      <c r="J36" s="1504"/>
      <c r="K36" s="1508">
        <f>HLOOKUP(F36,M28:AC48,9,0)</f>
        <v>40.700000000000003</v>
      </c>
      <c r="L36" s="531"/>
      <c r="M36">
        <f t="shared" si="19"/>
        <v>8.6</v>
      </c>
      <c r="N36">
        <f t="shared" si="20"/>
        <v>12.4</v>
      </c>
      <c r="O36">
        <f t="shared" si="21"/>
        <v>18</v>
      </c>
      <c r="P36">
        <f t="shared" si="22"/>
        <v>23.6</v>
      </c>
      <c r="Q36">
        <f t="shared" si="23"/>
        <v>32.1</v>
      </c>
      <c r="R36">
        <f t="shared" si="24"/>
        <v>40.700000000000003</v>
      </c>
      <c r="S36">
        <f t="shared" si="25"/>
        <v>50.9</v>
      </c>
      <c r="T36">
        <f t="shared" si="26"/>
        <v>60.2</v>
      </c>
      <c r="U36">
        <f t="shared" si="27"/>
        <v>81.2</v>
      </c>
      <c r="V36">
        <f t="shared" si="28"/>
        <v>107</v>
      </c>
      <c r="W36">
        <f t="shared" si="29"/>
        <v>0</v>
      </c>
      <c r="X36">
        <f t="shared" si="30"/>
        <v>0</v>
      </c>
      <c r="Y36">
        <f t="shared" si="31"/>
        <v>0</v>
      </c>
      <c r="Z36">
        <f t="shared" si="32"/>
        <v>0</v>
      </c>
      <c r="AA36">
        <f t="shared" si="33"/>
        <v>0</v>
      </c>
      <c r="AB36">
        <f t="shared" si="34"/>
        <v>0</v>
      </c>
      <c r="AC36">
        <f t="shared" si="35"/>
        <v>0</v>
      </c>
    </row>
    <row r="37" spans="1:29" x14ac:dyDescent="0.3">
      <c r="A37" s="542" t="s">
        <v>1742</v>
      </c>
      <c r="B37" s="1504" t="s">
        <v>1721</v>
      </c>
      <c r="C37" s="1505">
        <v>3.5</v>
      </c>
      <c r="D37" s="1506">
        <v>8</v>
      </c>
      <c r="E37" s="1507">
        <f t="shared" si="36"/>
        <v>0.75</v>
      </c>
      <c r="F37" s="1504" t="s">
        <v>1699</v>
      </c>
      <c r="G37" s="1358" t="str">
        <f t="shared" si="18"/>
        <v>20</v>
      </c>
      <c r="H37" s="1504">
        <v>110</v>
      </c>
      <c r="I37" s="1504">
        <v>130</v>
      </c>
      <c r="J37" s="1504"/>
      <c r="K37" s="1508">
        <f>HLOOKUP(F37,M28:AC48,10,0)</f>
        <v>42.8</v>
      </c>
      <c r="L37" s="531"/>
      <c r="M37">
        <f t="shared" si="19"/>
        <v>9.1</v>
      </c>
      <c r="N37">
        <f t="shared" si="20"/>
        <v>13.2</v>
      </c>
      <c r="O37">
        <f t="shared" si="21"/>
        <v>19</v>
      </c>
      <c r="P37">
        <f t="shared" si="22"/>
        <v>24.9</v>
      </c>
      <c r="Q37">
        <f t="shared" si="23"/>
        <v>33.700000000000003</v>
      </c>
      <c r="R37">
        <f t="shared" si="24"/>
        <v>42.8</v>
      </c>
      <c r="S37">
        <f t="shared" si="25"/>
        <v>53.4</v>
      </c>
      <c r="T37">
        <f t="shared" si="26"/>
        <v>63.2</v>
      </c>
      <c r="U37">
        <f t="shared" si="27"/>
        <v>85</v>
      </c>
      <c r="V37">
        <f t="shared" si="28"/>
        <v>111</v>
      </c>
      <c r="W37">
        <f t="shared" si="29"/>
        <v>141</v>
      </c>
      <c r="X37">
        <f t="shared" si="30"/>
        <v>0</v>
      </c>
      <c r="Y37">
        <f t="shared" si="31"/>
        <v>0</v>
      </c>
      <c r="Z37">
        <f t="shared" si="32"/>
        <v>0</v>
      </c>
      <c r="AA37">
        <f t="shared" si="33"/>
        <v>0</v>
      </c>
      <c r="AB37">
        <f t="shared" si="34"/>
        <v>0</v>
      </c>
      <c r="AC37">
        <f t="shared" si="35"/>
        <v>0</v>
      </c>
    </row>
    <row r="38" spans="1:29" x14ac:dyDescent="0.3">
      <c r="A38" s="542" t="s">
        <v>1743</v>
      </c>
      <c r="B38" s="1504">
        <v>100</v>
      </c>
      <c r="C38" s="1505">
        <v>4</v>
      </c>
      <c r="D38" s="1506">
        <v>8</v>
      </c>
      <c r="E38" s="1507">
        <f t="shared" si="36"/>
        <v>0.75</v>
      </c>
      <c r="F38" s="1504" t="s">
        <v>1699</v>
      </c>
      <c r="G38" s="1358" t="str">
        <f t="shared" si="18"/>
        <v>20</v>
      </c>
      <c r="H38" s="1504">
        <v>115</v>
      </c>
      <c r="I38" s="1504">
        <v>130</v>
      </c>
      <c r="J38" s="1504"/>
      <c r="K38" s="1508">
        <f>HLOOKUP(F38,M28:AC48,11,0)</f>
        <v>42.8</v>
      </c>
      <c r="L38" s="531"/>
      <c r="M38">
        <f t="shared" si="19"/>
        <v>9.1</v>
      </c>
      <c r="N38">
        <f t="shared" si="20"/>
        <v>13.2</v>
      </c>
      <c r="O38">
        <f t="shared" si="21"/>
        <v>19</v>
      </c>
      <c r="P38">
        <f t="shared" si="22"/>
        <v>24.9</v>
      </c>
      <c r="Q38">
        <f t="shared" si="23"/>
        <v>33.700000000000003</v>
      </c>
      <c r="R38">
        <f t="shared" si="24"/>
        <v>42.8</v>
      </c>
      <c r="S38">
        <f t="shared" si="25"/>
        <v>53.4</v>
      </c>
      <c r="T38">
        <f t="shared" si="26"/>
        <v>63.2</v>
      </c>
      <c r="U38">
        <f t="shared" si="27"/>
        <v>85</v>
      </c>
      <c r="V38">
        <f t="shared" si="28"/>
        <v>111</v>
      </c>
      <c r="W38">
        <f t="shared" si="29"/>
        <v>141</v>
      </c>
      <c r="X38">
        <f t="shared" si="30"/>
        <v>0</v>
      </c>
      <c r="Y38">
        <f t="shared" si="31"/>
        <v>0</v>
      </c>
      <c r="Z38">
        <f t="shared" si="32"/>
        <v>0</v>
      </c>
      <c r="AA38">
        <f t="shared" si="33"/>
        <v>0</v>
      </c>
      <c r="AB38">
        <f t="shared" si="34"/>
        <v>0</v>
      </c>
      <c r="AC38">
        <f t="shared" si="35"/>
        <v>0</v>
      </c>
    </row>
    <row r="39" spans="1:29" x14ac:dyDescent="0.3">
      <c r="A39" s="542" t="s">
        <v>1744</v>
      </c>
      <c r="B39" s="1504">
        <v>125</v>
      </c>
      <c r="C39" s="1505">
        <v>5</v>
      </c>
      <c r="D39" s="1506">
        <v>8</v>
      </c>
      <c r="E39" s="1507">
        <f t="shared" si="36"/>
        <v>0.75</v>
      </c>
      <c r="F39" s="1504" t="s">
        <v>1699</v>
      </c>
      <c r="G39" s="1358" t="str">
        <f t="shared" si="18"/>
        <v>20</v>
      </c>
      <c r="H39" s="1504">
        <v>120</v>
      </c>
      <c r="I39" s="1504">
        <v>135</v>
      </c>
      <c r="J39" s="1504"/>
      <c r="K39" s="1508">
        <f>HLOOKUP(F39,M28:AC48,12,0)</f>
        <v>43.849999999999994</v>
      </c>
      <c r="L39" s="531"/>
      <c r="M39">
        <f t="shared" si="19"/>
        <v>9.35</v>
      </c>
      <c r="N39">
        <f t="shared" si="20"/>
        <v>13.7</v>
      </c>
      <c r="O39">
        <f t="shared" si="21"/>
        <v>19.5</v>
      </c>
      <c r="P39">
        <f t="shared" si="22"/>
        <v>25.549999999999997</v>
      </c>
      <c r="Q39">
        <f t="shared" si="23"/>
        <v>34.549999999999997</v>
      </c>
      <c r="R39">
        <f t="shared" si="24"/>
        <v>43.849999999999994</v>
      </c>
      <c r="S39">
        <f t="shared" si="25"/>
        <v>54.65</v>
      </c>
      <c r="T39">
        <f t="shared" si="26"/>
        <v>64.7</v>
      </c>
      <c r="U39">
        <f t="shared" si="27"/>
        <v>86.95</v>
      </c>
      <c r="V39">
        <f t="shared" si="28"/>
        <v>113.5</v>
      </c>
      <c r="W39">
        <f t="shared" si="29"/>
        <v>144</v>
      </c>
      <c r="X39">
        <f t="shared" si="30"/>
        <v>0</v>
      </c>
      <c r="Y39">
        <f t="shared" si="31"/>
        <v>0</v>
      </c>
      <c r="Z39">
        <f t="shared" si="32"/>
        <v>0</v>
      </c>
      <c r="AA39">
        <f t="shared" si="33"/>
        <v>0</v>
      </c>
      <c r="AB39">
        <f t="shared" si="34"/>
        <v>0</v>
      </c>
      <c r="AC39">
        <f t="shared" si="35"/>
        <v>0</v>
      </c>
    </row>
    <row r="40" spans="1:29" x14ac:dyDescent="0.3">
      <c r="A40" s="542" t="s">
        <v>1745</v>
      </c>
      <c r="B40" s="1504">
        <v>150</v>
      </c>
      <c r="C40" s="1505">
        <v>6</v>
      </c>
      <c r="D40" s="1506">
        <v>12</v>
      </c>
      <c r="E40" s="1507">
        <f t="shared" si="36"/>
        <v>0.75</v>
      </c>
      <c r="F40" s="1504" t="s">
        <v>1699</v>
      </c>
      <c r="G40" s="1358" t="str">
        <f t="shared" si="18"/>
        <v>20</v>
      </c>
      <c r="H40" s="1504">
        <v>125</v>
      </c>
      <c r="I40" s="1504">
        <v>140</v>
      </c>
      <c r="J40" s="1504"/>
      <c r="K40" s="1508">
        <f>HLOOKUP(F40,M28:AC48,13,0)</f>
        <v>44.9</v>
      </c>
      <c r="L40" s="531"/>
      <c r="M40">
        <f t="shared" si="19"/>
        <v>9.6</v>
      </c>
      <c r="N40">
        <f t="shared" si="20"/>
        <v>14.2</v>
      </c>
      <c r="O40">
        <f t="shared" si="21"/>
        <v>20</v>
      </c>
      <c r="P40">
        <f t="shared" si="22"/>
        <v>26.2</v>
      </c>
      <c r="Q40">
        <f t="shared" si="23"/>
        <v>35.4</v>
      </c>
      <c r="R40">
        <f t="shared" si="24"/>
        <v>44.9</v>
      </c>
      <c r="S40">
        <f t="shared" si="25"/>
        <v>55.9</v>
      </c>
      <c r="T40">
        <f t="shared" si="26"/>
        <v>66.2</v>
      </c>
      <c r="U40">
        <f t="shared" si="27"/>
        <v>88.9</v>
      </c>
      <c r="V40">
        <f t="shared" si="28"/>
        <v>116</v>
      </c>
      <c r="W40">
        <f t="shared" si="29"/>
        <v>147</v>
      </c>
      <c r="X40">
        <f t="shared" si="30"/>
        <v>185</v>
      </c>
      <c r="Y40">
        <f t="shared" si="31"/>
        <v>0</v>
      </c>
      <c r="Z40">
        <f t="shared" si="32"/>
        <v>0</v>
      </c>
      <c r="AA40">
        <f t="shared" si="33"/>
        <v>0</v>
      </c>
      <c r="AB40">
        <f t="shared" si="34"/>
        <v>0</v>
      </c>
      <c r="AC40">
        <f t="shared" si="35"/>
        <v>0</v>
      </c>
    </row>
    <row r="41" spans="1:29" x14ac:dyDescent="0.3">
      <c r="A41" s="542" t="s">
        <v>1746</v>
      </c>
      <c r="B41" s="1504">
        <v>200</v>
      </c>
      <c r="C41" s="1505">
        <v>8</v>
      </c>
      <c r="D41" s="1506">
        <v>12</v>
      </c>
      <c r="E41" s="1507">
        <f>7/8</f>
        <v>0.875</v>
      </c>
      <c r="F41" s="1504" t="s">
        <v>1701</v>
      </c>
      <c r="G41" s="1358" t="str">
        <f t="shared" si="18"/>
        <v>24</v>
      </c>
      <c r="H41" s="1504">
        <v>140</v>
      </c>
      <c r="I41" s="1504">
        <v>155</v>
      </c>
      <c r="J41" s="1504"/>
      <c r="K41" s="1508">
        <f>HLOOKUP(F41,M28:AC48,14,0)</f>
        <v>70.7</v>
      </c>
      <c r="L41" s="531"/>
      <c r="M41">
        <f t="shared" si="19"/>
        <v>10.35</v>
      </c>
      <c r="N41">
        <f t="shared" si="20"/>
        <v>15.25</v>
      </c>
      <c r="O41">
        <f t="shared" si="21"/>
        <v>21.3</v>
      </c>
      <c r="P41">
        <f t="shared" si="22"/>
        <v>28.3</v>
      </c>
      <c r="Q41">
        <f t="shared" si="23"/>
        <v>37.75</v>
      </c>
      <c r="R41">
        <f t="shared" si="24"/>
        <v>47.95</v>
      </c>
      <c r="S41">
        <f t="shared" si="25"/>
        <v>59.75</v>
      </c>
      <c r="T41">
        <f t="shared" si="26"/>
        <v>70.7</v>
      </c>
      <c r="U41">
        <f t="shared" si="27"/>
        <v>94.65</v>
      </c>
      <c r="V41">
        <f t="shared" si="28"/>
        <v>123.5</v>
      </c>
      <c r="W41">
        <f t="shared" si="29"/>
        <v>156</v>
      </c>
      <c r="X41">
        <f t="shared" si="30"/>
        <v>195.5</v>
      </c>
      <c r="Y41">
        <f t="shared" si="31"/>
        <v>241</v>
      </c>
      <c r="Z41">
        <f t="shared" si="32"/>
        <v>0</v>
      </c>
      <c r="AA41">
        <f t="shared" si="33"/>
        <v>0</v>
      </c>
      <c r="AB41">
        <f t="shared" si="34"/>
        <v>0</v>
      </c>
      <c r="AC41">
        <f t="shared" si="35"/>
        <v>0</v>
      </c>
    </row>
    <row r="42" spans="1:29" x14ac:dyDescent="0.3">
      <c r="A42" s="542" t="s">
        <v>1747</v>
      </c>
      <c r="B42" s="1504">
        <v>250</v>
      </c>
      <c r="C42" s="1505">
        <v>10</v>
      </c>
      <c r="D42" s="1506">
        <v>16</v>
      </c>
      <c r="E42" s="1507">
        <v>1</v>
      </c>
      <c r="F42" s="1504" t="s">
        <v>1702</v>
      </c>
      <c r="G42" s="1358" t="str">
        <f t="shared" si="18"/>
        <v>27</v>
      </c>
      <c r="H42" s="1504">
        <v>160</v>
      </c>
      <c r="I42" s="1504">
        <v>170</v>
      </c>
      <c r="J42" s="1504"/>
      <c r="K42" s="1508">
        <f>HLOOKUP(F42,M28:AC48,15,0)</f>
        <v>101</v>
      </c>
      <c r="L42" s="531"/>
      <c r="M42">
        <f t="shared" si="19"/>
        <v>0</v>
      </c>
      <c r="N42">
        <f t="shared" si="20"/>
        <v>16.399999999999999</v>
      </c>
      <c r="O42">
        <f t="shared" si="21"/>
        <v>22.8</v>
      </c>
      <c r="P42">
        <f t="shared" si="22"/>
        <v>30.4</v>
      </c>
      <c r="Q42">
        <f t="shared" si="23"/>
        <v>40.200000000000003</v>
      </c>
      <c r="R42">
        <f t="shared" si="24"/>
        <v>51.1</v>
      </c>
      <c r="S42">
        <f t="shared" si="25"/>
        <v>63.5</v>
      </c>
      <c r="T42">
        <f t="shared" si="26"/>
        <v>75.2</v>
      </c>
      <c r="U42">
        <f t="shared" si="27"/>
        <v>101</v>
      </c>
      <c r="V42">
        <f t="shared" si="28"/>
        <v>130</v>
      </c>
      <c r="W42">
        <f t="shared" si="29"/>
        <v>165</v>
      </c>
      <c r="X42">
        <f t="shared" si="30"/>
        <v>206</v>
      </c>
      <c r="Y42">
        <f t="shared" si="31"/>
        <v>253</v>
      </c>
      <c r="Z42">
        <f t="shared" si="32"/>
        <v>312</v>
      </c>
      <c r="AA42">
        <f t="shared" si="33"/>
        <v>378</v>
      </c>
      <c r="AB42">
        <f t="shared" si="34"/>
        <v>0</v>
      </c>
      <c r="AC42">
        <f t="shared" si="35"/>
        <v>0</v>
      </c>
    </row>
    <row r="43" spans="1:29" x14ac:dyDescent="0.3">
      <c r="A43" s="542" t="s">
        <v>1748</v>
      </c>
      <c r="B43" s="1504">
        <v>300</v>
      </c>
      <c r="C43" s="1505">
        <v>12</v>
      </c>
      <c r="D43" s="1506">
        <v>16</v>
      </c>
      <c r="E43" s="1507">
        <f>1+1/8</f>
        <v>1.125</v>
      </c>
      <c r="F43" s="1504" t="s">
        <v>1703</v>
      </c>
      <c r="G43" s="1358" t="str">
        <f t="shared" si="18"/>
        <v>30</v>
      </c>
      <c r="H43" s="1504">
        <v>170</v>
      </c>
      <c r="I43" s="1504">
        <v>185</v>
      </c>
      <c r="J43" s="1504"/>
      <c r="K43" s="1508">
        <f>HLOOKUP(F43,M28:AC48,16,0)</f>
        <v>137.5</v>
      </c>
      <c r="L43" s="531"/>
      <c r="M43">
        <f t="shared" si="19"/>
        <v>0</v>
      </c>
      <c r="N43">
        <f t="shared" si="20"/>
        <v>0</v>
      </c>
      <c r="O43">
        <f t="shared" si="21"/>
        <v>0</v>
      </c>
      <c r="P43">
        <f t="shared" si="22"/>
        <v>32.450000000000003</v>
      </c>
      <c r="Q43">
        <f t="shared" si="23"/>
        <v>42.7</v>
      </c>
      <c r="R43">
        <f t="shared" si="24"/>
        <v>53.349999999999994</v>
      </c>
      <c r="S43">
        <f t="shared" si="25"/>
        <v>67.25</v>
      </c>
      <c r="T43">
        <f t="shared" si="26"/>
        <v>79.599999999999994</v>
      </c>
      <c r="U43">
        <f t="shared" si="27"/>
        <v>107</v>
      </c>
      <c r="V43">
        <f t="shared" si="28"/>
        <v>137.5</v>
      </c>
      <c r="W43">
        <f t="shared" si="29"/>
        <v>173.5</v>
      </c>
      <c r="X43">
        <f t="shared" si="30"/>
        <v>216</v>
      </c>
      <c r="Y43">
        <f t="shared" si="31"/>
        <v>265</v>
      </c>
      <c r="Z43">
        <f t="shared" si="32"/>
        <v>327</v>
      </c>
      <c r="AA43">
        <f t="shared" si="33"/>
        <v>394.5</v>
      </c>
      <c r="AB43">
        <f t="shared" si="34"/>
        <v>473.5</v>
      </c>
      <c r="AC43">
        <f t="shared" si="35"/>
        <v>0</v>
      </c>
    </row>
    <row r="44" spans="1:29" x14ac:dyDescent="0.3">
      <c r="A44" s="542" t="s">
        <v>1749</v>
      </c>
      <c r="B44" s="1504">
        <v>350</v>
      </c>
      <c r="C44" s="1505">
        <v>14</v>
      </c>
      <c r="D44" s="1506">
        <v>20</v>
      </c>
      <c r="E44" s="1507">
        <f>1+1/8</f>
        <v>1.125</v>
      </c>
      <c r="F44" s="1504" t="s">
        <v>1703</v>
      </c>
      <c r="G44" s="1358" t="str">
        <f t="shared" si="18"/>
        <v>30</v>
      </c>
      <c r="H44" s="1504">
        <v>175</v>
      </c>
      <c r="I44" s="1504">
        <v>190</v>
      </c>
      <c r="J44" s="1504"/>
      <c r="K44" s="1508">
        <f>HLOOKUP(F44,M28:AC48,17,0)</f>
        <v>140</v>
      </c>
      <c r="L44" s="531"/>
      <c r="M44">
        <f t="shared" si="19"/>
        <v>0</v>
      </c>
      <c r="N44">
        <f t="shared" si="20"/>
        <v>0</v>
      </c>
      <c r="O44">
        <f t="shared" si="21"/>
        <v>0</v>
      </c>
      <c r="P44">
        <f t="shared" si="22"/>
        <v>33.1</v>
      </c>
      <c r="Q44">
        <f t="shared" si="23"/>
        <v>43.5</v>
      </c>
      <c r="R44">
        <f t="shared" si="24"/>
        <v>54.4</v>
      </c>
      <c r="S44">
        <f t="shared" si="25"/>
        <v>68.400000000000006</v>
      </c>
      <c r="T44">
        <f t="shared" si="26"/>
        <v>81.099999999999994</v>
      </c>
      <c r="U44">
        <f t="shared" si="27"/>
        <v>109</v>
      </c>
      <c r="V44">
        <f t="shared" si="28"/>
        <v>140</v>
      </c>
      <c r="W44">
        <f t="shared" si="29"/>
        <v>176</v>
      </c>
      <c r="X44">
        <f t="shared" si="30"/>
        <v>219</v>
      </c>
      <c r="Y44">
        <f t="shared" si="31"/>
        <v>269</v>
      </c>
      <c r="Z44">
        <f t="shared" si="32"/>
        <v>332</v>
      </c>
      <c r="AA44">
        <f t="shared" si="33"/>
        <v>400</v>
      </c>
      <c r="AB44">
        <f t="shared" si="34"/>
        <v>480</v>
      </c>
      <c r="AC44">
        <f t="shared" si="35"/>
        <v>566</v>
      </c>
    </row>
    <row r="45" spans="1:29" x14ac:dyDescent="0.3">
      <c r="A45" s="542" t="s">
        <v>1750</v>
      </c>
      <c r="B45" s="1504">
        <v>400</v>
      </c>
      <c r="C45" s="1505">
        <v>16</v>
      </c>
      <c r="D45" s="1506">
        <v>20</v>
      </c>
      <c r="E45" s="1507">
        <f>1+ 1/4</f>
        <v>1.25</v>
      </c>
      <c r="F45" s="1504" t="s">
        <v>1704</v>
      </c>
      <c r="G45" s="1358" t="str">
        <f t="shared" si="18"/>
        <v>33</v>
      </c>
      <c r="H45" s="1504">
        <v>190</v>
      </c>
      <c r="I45" s="1504">
        <v>205</v>
      </c>
      <c r="J45" s="1504"/>
      <c r="K45" s="1508">
        <f>HLOOKUP(F45,M28:AC48,18,0)</f>
        <v>185</v>
      </c>
      <c r="L45" s="531"/>
      <c r="M45">
        <f t="shared" si="19"/>
        <v>0</v>
      </c>
      <c r="N45">
        <f t="shared" si="20"/>
        <v>0</v>
      </c>
      <c r="O45">
        <f t="shared" si="21"/>
        <v>0</v>
      </c>
      <c r="P45">
        <f t="shared" si="22"/>
        <v>35.15</v>
      </c>
      <c r="Q45">
        <f t="shared" si="23"/>
        <v>46</v>
      </c>
      <c r="R45">
        <f t="shared" si="24"/>
        <v>57.5</v>
      </c>
      <c r="S45">
        <f t="shared" si="25"/>
        <v>72.25</v>
      </c>
      <c r="T45">
        <f t="shared" si="26"/>
        <v>86.2</v>
      </c>
      <c r="U45">
        <f t="shared" si="27"/>
        <v>116.5</v>
      </c>
      <c r="V45">
        <f t="shared" si="28"/>
        <v>146.5</v>
      </c>
      <c r="W45">
        <f t="shared" si="29"/>
        <v>185</v>
      </c>
      <c r="X45">
        <f t="shared" si="30"/>
        <v>229.5</v>
      </c>
      <c r="Y45">
        <f t="shared" si="31"/>
        <v>282</v>
      </c>
      <c r="Z45">
        <f t="shared" si="32"/>
        <v>347</v>
      </c>
      <c r="AA45">
        <f t="shared" si="33"/>
        <v>417</v>
      </c>
      <c r="AB45">
        <f t="shared" si="34"/>
        <v>499.5</v>
      </c>
      <c r="AC45">
        <f t="shared" si="35"/>
        <v>588.5</v>
      </c>
    </row>
    <row r="46" spans="1:29" x14ac:dyDescent="0.3">
      <c r="A46" s="542" t="s">
        <v>1751</v>
      </c>
      <c r="B46" s="1504">
        <v>450</v>
      </c>
      <c r="C46" s="1505">
        <v>18</v>
      </c>
      <c r="D46" s="1506">
        <v>24</v>
      </c>
      <c r="E46" s="1507">
        <f>1+ 1/4</f>
        <v>1.25</v>
      </c>
      <c r="F46" s="1504" t="s">
        <v>1704</v>
      </c>
      <c r="G46" s="1358" t="str">
        <f t="shared" si="18"/>
        <v>33</v>
      </c>
      <c r="H46" s="1504">
        <v>195</v>
      </c>
      <c r="I46" s="1504">
        <v>210</v>
      </c>
      <c r="J46" s="1504"/>
      <c r="K46" s="1508">
        <f>HLOOKUP(F46,M28:AC48,19,0)</f>
        <v>188</v>
      </c>
      <c r="L46" s="531"/>
      <c r="M46">
        <f t="shared" si="19"/>
        <v>0</v>
      </c>
      <c r="N46">
        <f t="shared" si="20"/>
        <v>0</v>
      </c>
      <c r="O46">
        <f t="shared" si="21"/>
        <v>0</v>
      </c>
      <c r="P46">
        <f t="shared" si="22"/>
        <v>35.799999999999997</v>
      </c>
      <c r="Q46">
        <f t="shared" si="23"/>
        <v>46.8</v>
      </c>
      <c r="R46">
        <f t="shared" si="24"/>
        <v>58.5</v>
      </c>
      <c r="S46">
        <f t="shared" si="25"/>
        <v>73.5</v>
      </c>
      <c r="T46">
        <f t="shared" si="26"/>
        <v>88.4</v>
      </c>
      <c r="U46">
        <f t="shared" si="27"/>
        <v>120</v>
      </c>
      <c r="V46">
        <f t="shared" si="28"/>
        <v>149</v>
      </c>
      <c r="W46">
        <f t="shared" si="29"/>
        <v>188</v>
      </c>
      <c r="X46">
        <f t="shared" si="30"/>
        <v>233</v>
      </c>
      <c r="Y46">
        <f t="shared" si="31"/>
        <v>286</v>
      </c>
      <c r="Z46">
        <f t="shared" si="32"/>
        <v>352</v>
      </c>
      <c r="AA46">
        <f t="shared" si="33"/>
        <v>423</v>
      </c>
      <c r="AB46">
        <f t="shared" si="34"/>
        <v>506</v>
      </c>
      <c r="AC46">
        <f t="shared" si="35"/>
        <v>596</v>
      </c>
    </row>
    <row r="47" spans="1:29" x14ac:dyDescent="0.3">
      <c r="A47" s="542" t="s">
        <v>1752</v>
      </c>
      <c r="B47" s="1504">
        <v>500</v>
      </c>
      <c r="C47" s="1505">
        <v>20</v>
      </c>
      <c r="D47" s="1506">
        <v>24</v>
      </c>
      <c r="E47" s="1507">
        <f>1+ 1/4</f>
        <v>1.25</v>
      </c>
      <c r="F47" s="1504" t="s">
        <v>1704</v>
      </c>
      <c r="G47" s="1358" t="str">
        <f t="shared" si="18"/>
        <v>33</v>
      </c>
      <c r="H47" s="1504">
        <v>205</v>
      </c>
      <c r="I47" s="1504">
        <v>225</v>
      </c>
      <c r="J47" s="1504"/>
      <c r="K47" s="1508">
        <f>HLOOKUP(F47,M28:AC48,20,0)</f>
        <v>197.5</v>
      </c>
      <c r="L47" s="531"/>
      <c r="M47">
        <f t="shared" si="19"/>
        <v>0</v>
      </c>
      <c r="N47">
        <f t="shared" si="20"/>
        <v>0</v>
      </c>
      <c r="O47">
        <f t="shared" si="21"/>
        <v>0</v>
      </c>
      <c r="P47">
        <f t="shared" si="22"/>
        <v>37.799999999999997</v>
      </c>
      <c r="Q47">
        <f t="shared" si="23"/>
        <v>49.25</v>
      </c>
      <c r="R47">
        <f t="shared" si="24"/>
        <v>61.6</v>
      </c>
      <c r="S47">
        <f t="shared" si="25"/>
        <v>77.349999999999994</v>
      </c>
      <c r="T47">
        <f t="shared" si="26"/>
        <v>92.9</v>
      </c>
      <c r="U47">
        <f t="shared" si="27"/>
        <v>125.5</v>
      </c>
      <c r="V47">
        <f t="shared" si="28"/>
        <v>156.5</v>
      </c>
      <c r="W47">
        <f t="shared" si="29"/>
        <v>197.5</v>
      </c>
      <c r="X47">
        <f t="shared" si="30"/>
        <v>243.5</v>
      </c>
      <c r="Y47">
        <f t="shared" si="31"/>
        <v>298</v>
      </c>
      <c r="Z47">
        <f t="shared" si="32"/>
        <v>367</v>
      </c>
      <c r="AA47">
        <f t="shared" si="33"/>
        <v>440</v>
      </c>
      <c r="AB47">
        <f t="shared" si="34"/>
        <v>525.5</v>
      </c>
      <c r="AC47">
        <f t="shared" si="35"/>
        <v>619.5</v>
      </c>
    </row>
    <row r="48" spans="1:29" ht="15" thickBot="1" x14ac:dyDescent="0.35">
      <c r="A48" s="542" t="s">
        <v>1753</v>
      </c>
      <c r="B48" s="1504">
        <v>600</v>
      </c>
      <c r="C48" s="1505">
        <v>24</v>
      </c>
      <c r="D48" s="1506">
        <v>24</v>
      </c>
      <c r="E48" s="1507">
        <f>1+ 1/2</f>
        <v>1.5</v>
      </c>
      <c r="F48" s="1504" t="s">
        <v>1706</v>
      </c>
      <c r="G48" s="581" t="str">
        <f t="shared" si="18"/>
        <v>39</v>
      </c>
      <c r="H48" s="1504">
        <v>230</v>
      </c>
      <c r="I48" s="1504">
        <v>255</v>
      </c>
      <c r="J48" s="1504"/>
      <c r="K48" s="1508">
        <f>HLOOKUP(F48,M28:AC48,21,0)</f>
        <v>323</v>
      </c>
      <c r="L48" s="531"/>
      <c r="M48">
        <f t="shared" si="19"/>
        <v>0</v>
      </c>
      <c r="N48">
        <f t="shared" si="20"/>
        <v>0</v>
      </c>
      <c r="O48">
        <f t="shared" si="21"/>
        <v>0</v>
      </c>
      <c r="P48">
        <f t="shared" si="22"/>
        <v>0</v>
      </c>
      <c r="Q48">
        <f t="shared" si="23"/>
        <v>54.2</v>
      </c>
      <c r="R48">
        <f t="shared" si="24"/>
        <v>67.8</v>
      </c>
      <c r="S48">
        <f t="shared" si="25"/>
        <v>85</v>
      </c>
      <c r="T48">
        <f t="shared" si="26"/>
        <v>101.5</v>
      </c>
      <c r="U48">
        <f t="shared" si="27"/>
        <v>137</v>
      </c>
      <c r="V48">
        <f t="shared" si="28"/>
        <v>174.5</v>
      </c>
      <c r="W48">
        <f t="shared" si="29"/>
        <v>217</v>
      </c>
      <c r="X48">
        <f t="shared" si="30"/>
        <v>263.5</v>
      </c>
      <c r="Y48">
        <f t="shared" si="31"/>
        <v>323</v>
      </c>
      <c r="Z48">
        <f t="shared" si="32"/>
        <v>396</v>
      </c>
      <c r="AA48">
        <f t="shared" si="33"/>
        <v>474</v>
      </c>
      <c r="AB48">
        <f t="shared" si="34"/>
        <v>564.5</v>
      </c>
      <c r="AC48">
        <f t="shared" si="35"/>
        <v>666</v>
      </c>
    </row>
    <row r="49" spans="1:29" ht="15" thickBot="1" x14ac:dyDescent="0.35">
      <c r="A49" s="548" t="s">
        <v>1754</v>
      </c>
      <c r="B49" s="549"/>
      <c r="C49" s="550"/>
      <c r="D49" s="549"/>
      <c r="E49" s="550"/>
      <c r="F49" s="549"/>
      <c r="G49" s="582"/>
      <c r="H49" s="549"/>
      <c r="I49" s="551"/>
      <c r="J49" s="1752" t="s">
        <v>1684</v>
      </c>
      <c r="K49" s="1753"/>
      <c r="L49" s="531"/>
    </row>
    <row r="50" spans="1:29" ht="15" thickBot="1" x14ac:dyDescent="0.35">
      <c r="A50" s="1432">
        <v>400</v>
      </c>
      <c r="B50" s="1756" t="s">
        <v>59</v>
      </c>
      <c r="C50" s="1759" t="s">
        <v>1685</v>
      </c>
      <c r="D50" s="1756" t="s">
        <v>1686</v>
      </c>
      <c r="E50" s="1762" t="s">
        <v>1687</v>
      </c>
      <c r="F50" s="1762"/>
      <c r="G50" s="579"/>
      <c r="H50" s="1762" t="s">
        <v>1688</v>
      </c>
      <c r="I50" s="1763"/>
      <c r="J50" s="1754"/>
      <c r="K50" s="1755"/>
      <c r="L50" s="531"/>
      <c r="M50" s="1750" t="s">
        <v>1689</v>
      </c>
      <c r="N50" s="1750"/>
      <c r="O50" s="1750"/>
      <c r="P50" s="1750"/>
      <c r="Q50" s="1750"/>
      <c r="R50" s="1750"/>
      <c r="S50" s="1750"/>
      <c r="T50" s="1750"/>
      <c r="U50" s="1750"/>
      <c r="V50" s="1750"/>
      <c r="W50" s="1750"/>
      <c r="X50" s="1750"/>
      <c r="Y50" s="1750"/>
      <c r="Z50" s="1750"/>
      <c r="AA50" s="1750"/>
      <c r="AB50" s="1750"/>
      <c r="AC50" s="1750"/>
    </row>
    <row r="51" spans="1:29" ht="29.4" thickBot="1" x14ac:dyDescent="0.35">
      <c r="A51" s="1496"/>
      <c r="B51" s="1757"/>
      <c r="C51" s="1760"/>
      <c r="D51" s="1757"/>
      <c r="E51" s="1498" t="s">
        <v>1690</v>
      </c>
      <c r="F51" s="1497" t="s">
        <v>1691</v>
      </c>
      <c r="G51" s="1359" t="s">
        <v>1691</v>
      </c>
      <c r="H51" s="1497" t="s">
        <v>1692</v>
      </c>
      <c r="I51" s="1501" t="s">
        <v>1689</v>
      </c>
      <c r="J51" s="1502" t="s">
        <v>1690</v>
      </c>
      <c r="K51" s="1503" t="s">
        <v>1691</v>
      </c>
      <c r="L51" s="531"/>
      <c r="M51" s="1751" t="s">
        <v>1691</v>
      </c>
      <c r="N51" s="1751"/>
      <c r="O51" s="1751"/>
      <c r="P51" s="1751"/>
      <c r="Q51" s="1751"/>
      <c r="R51" s="1751"/>
      <c r="S51" s="1751"/>
      <c r="T51" s="1751"/>
      <c r="U51" s="1751"/>
      <c r="V51" s="1751"/>
      <c r="W51" s="1751"/>
      <c r="X51" s="1751"/>
      <c r="Y51" s="1751"/>
      <c r="Z51" s="1751"/>
      <c r="AA51" s="1751"/>
      <c r="AB51" s="1751"/>
      <c r="AC51" s="1751"/>
    </row>
    <row r="52" spans="1:29" ht="15" thickBot="1" x14ac:dyDescent="0.35">
      <c r="A52" s="534" t="s">
        <v>1693</v>
      </c>
      <c r="B52" s="1758"/>
      <c r="C52" s="1761"/>
      <c r="D52" s="1758"/>
      <c r="E52" s="535" t="s">
        <v>1082</v>
      </c>
      <c r="F52" s="547" t="s">
        <v>93</v>
      </c>
      <c r="G52" s="580" t="s">
        <v>93</v>
      </c>
      <c r="H52" s="547" t="s">
        <v>93</v>
      </c>
      <c r="I52" s="539" t="s">
        <v>93</v>
      </c>
      <c r="J52" s="535" t="s">
        <v>222</v>
      </c>
      <c r="K52" s="536" t="s">
        <v>222</v>
      </c>
      <c r="L52" s="531"/>
      <c r="M52" s="540" t="s">
        <v>1694</v>
      </c>
      <c r="N52" s="540" t="s">
        <v>1695</v>
      </c>
      <c r="O52" s="540" t="s">
        <v>1696</v>
      </c>
      <c r="P52" s="540" t="s">
        <v>1697</v>
      </c>
      <c r="Q52" s="540" t="s">
        <v>1698</v>
      </c>
      <c r="R52" s="540" t="s">
        <v>1699</v>
      </c>
      <c r="S52" s="540" t="s">
        <v>1700</v>
      </c>
      <c r="T52" s="540" t="s">
        <v>1701</v>
      </c>
      <c r="U52" s="540" t="s">
        <v>1702</v>
      </c>
      <c r="V52" s="540" t="s">
        <v>1703</v>
      </c>
      <c r="W52" s="540" t="s">
        <v>1704</v>
      </c>
      <c r="X52" s="540" t="s">
        <v>1705</v>
      </c>
      <c r="Y52" s="540" t="s">
        <v>1706</v>
      </c>
      <c r="Z52" s="540" t="s">
        <v>1707</v>
      </c>
      <c r="AA52" s="540" t="s">
        <v>1708</v>
      </c>
      <c r="AB52" s="540" t="s">
        <v>1709</v>
      </c>
      <c r="AC52" s="541" t="s">
        <v>1710</v>
      </c>
    </row>
    <row r="53" spans="1:29" x14ac:dyDescent="0.3">
      <c r="A53" s="542" t="s">
        <v>1755</v>
      </c>
      <c r="B53" s="1504">
        <v>15</v>
      </c>
      <c r="C53" s="1505">
        <v>0.5</v>
      </c>
      <c r="D53" s="1506">
        <v>4</v>
      </c>
      <c r="E53" s="1507">
        <f>1/2</f>
        <v>0.5</v>
      </c>
      <c r="F53" s="1504" t="s">
        <v>1696</v>
      </c>
      <c r="G53" s="1358" t="str">
        <f t="shared" ref="G53:G72" si="37">RIGHT(F53,2)</f>
        <v>14</v>
      </c>
      <c r="H53" s="1504">
        <v>75</v>
      </c>
      <c r="I53" s="1504">
        <v>75</v>
      </c>
      <c r="J53" s="1504"/>
      <c r="K53" s="1508">
        <f>HLOOKUP(F53,M52:AC72,2,0)</f>
        <v>13.5</v>
      </c>
      <c r="L53" s="531"/>
      <c r="M53">
        <f t="shared" ref="M53:M72" si="38">VLOOKUP(I53,$A$170:$R$240,2,0)</f>
        <v>6.35</v>
      </c>
      <c r="N53">
        <f t="shared" ref="N53:N72" si="39">VLOOKUP(I53,$A$170:$R$240,3,0)</f>
        <v>9.25</v>
      </c>
      <c r="O53">
        <f t="shared" ref="O53:O72" si="40">VLOOKUP(I53,$A$170:$R$240,4,0)</f>
        <v>13.5</v>
      </c>
      <c r="P53">
        <f t="shared" ref="P53:P72" si="41">VLOOKUP(I53,$A$170:$R$240,5,0)</f>
        <v>17.549999999999997</v>
      </c>
      <c r="Q53">
        <f t="shared" ref="Q53:Q72" si="42">VLOOKUP(I53,$A$170:$R$240,6,0)</f>
        <v>24.549999999999997</v>
      </c>
      <c r="R53">
        <f t="shared" ref="R53:R72" si="43">VLOOKUP(I53,$A$170:$R$240,7,0)</f>
        <v>0</v>
      </c>
      <c r="S53">
        <f t="shared" ref="S53:S72" si="44">VLOOKUP(I53,$A$170:$R$240,8,0)</f>
        <v>0</v>
      </c>
      <c r="T53">
        <f t="shared" ref="T53:T72" si="45">VLOOKUP(I53,$A$170:$R$240,9,0)</f>
        <v>0</v>
      </c>
      <c r="U53">
        <f t="shared" ref="U53:U72" si="46">VLOOKUP(I53,$A$170:$R$240,10,0)</f>
        <v>0</v>
      </c>
      <c r="V53">
        <f t="shared" ref="V53:V72" si="47">VLOOKUP(I53,$A$170:$R$240,11,0)</f>
        <v>0</v>
      </c>
      <c r="W53">
        <f t="shared" ref="W53:W72" si="48">VLOOKUP(I53,$A$170:$R$240,12,0)</f>
        <v>0</v>
      </c>
      <c r="X53">
        <f t="shared" ref="X53:X72" si="49">VLOOKUP(I53,$A$170:$R$240,13,0)</f>
        <v>0</v>
      </c>
      <c r="Y53">
        <f t="shared" ref="Y53:Y72" si="50">VLOOKUP(I53,$A$170:$R$240,14,0)</f>
        <v>0</v>
      </c>
      <c r="Z53">
        <f t="shared" ref="Z53:Z72" si="51">VLOOKUP(I53,$A$170:$R$240,15,0)</f>
        <v>0</v>
      </c>
      <c r="AA53">
        <f t="shared" ref="AA53:AA72" si="52">VLOOKUP(I53,$A$170:$R$240,16,0)</f>
        <v>0</v>
      </c>
      <c r="AB53">
        <f t="shared" ref="AB53:AB72" si="53">VLOOKUP(I53,$A$170:$R$240,17,0)</f>
        <v>0</v>
      </c>
      <c r="AC53">
        <f t="shared" ref="AC53:AC72" si="54">VLOOKUP(I53,$A$170:$R$240,18,0)</f>
        <v>0</v>
      </c>
    </row>
    <row r="54" spans="1:29" x14ac:dyDescent="0.3">
      <c r="A54" s="542" t="s">
        <v>1756</v>
      </c>
      <c r="B54" s="1504">
        <v>20</v>
      </c>
      <c r="C54" s="1505">
        <v>0.75</v>
      </c>
      <c r="D54" s="1506">
        <v>4</v>
      </c>
      <c r="E54" s="1507">
        <f>5/8</f>
        <v>0.625</v>
      </c>
      <c r="F54" s="1504" t="s">
        <v>1697</v>
      </c>
      <c r="G54" s="1358" t="str">
        <f t="shared" si="37"/>
        <v>16</v>
      </c>
      <c r="H54" s="1504">
        <v>90</v>
      </c>
      <c r="I54" s="1504">
        <v>90</v>
      </c>
      <c r="J54" s="1504"/>
      <c r="K54" s="1508">
        <f>HLOOKUP(F54,M52:AC72,3,0)</f>
        <v>19.600000000000001</v>
      </c>
      <c r="L54" s="531"/>
      <c r="M54">
        <f t="shared" si="38"/>
        <v>7.1</v>
      </c>
      <c r="N54">
        <f t="shared" si="39"/>
        <v>10.3</v>
      </c>
      <c r="O54">
        <f t="shared" si="40"/>
        <v>15</v>
      </c>
      <c r="P54">
        <f t="shared" si="41"/>
        <v>19.600000000000001</v>
      </c>
      <c r="Q54">
        <f t="shared" si="42"/>
        <v>27.1</v>
      </c>
      <c r="R54">
        <f t="shared" si="43"/>
        <v>34.5</v>
      </c>
      <c r="S54">
        <f t="shared" si="44"/>
        <v>45.5</v>
      </c>
      <c r="T54">
        <f t="shared" si="45"/>
        <v>0</v>
      </c>
      <c r="U54">
        <f t="shared" si="46"/>
        <v>0</v>
      </c>
      <c r="V54">
        <f t="shared" si="47"/>
        <v>0</v>
      </c>
      <c r="W54">
        <f t="shared" si="48"/>
        <v>0</v>
      </c>
      <c r="X54">
        <f t="shared" si="49"/>
        <v>0</v>
      </c>
      <c r="Y54">
        <f t="shared" si="50"/>
        <v>0</v>
      </c>
      <c r="Z54">
        <f t="shared" si="51"/>
        <v>0</v>
      </c>
      <c r="AA54">
        <f t="shared" si="52"/>
        <v>0</v>
      </c>
      <c r="AB54">
        <f t="shared" si="53"/>
        <v>0</v>
      </c>
      <c r="AC54">
        <f t="shared" si="54"/>
        <v>0</v>
      </c>
    </row>
    <row r="55" spans="1:29" x14ac:dyDescent="0.3">
      <c r="A55" s="542" t="s">
        <v>1757</v>
      </c>
      <c r="B55" s="1504">
        <v>25</v>
      </c>
      <c r="C55" s="1505">
        <v>1</v>
      </c>
      <c r="D55" s="1506">
        <v>4</v>
      </c>
      <c r="E55" s="1507">
        <f>5/8</f>
        <v>0.625</v>
      </c>
      <c r="F55" s="1504" t="s">
        <v>1697</v>
      </c>
      <c r="G55" s="1358" t="str">
        <f t="shared" si="37"/>
        <v>16</v>
      </c>
      <c r="H55" s="1504">
        <v>90</v>
      </c>
      <c r="I55" s="1504">
        <v>90</v>
      </c>
      <c r="J55" s="1504"/>
      <c r="K55" s="1508">
        <f>HLOOKUP(F55,M52:AC72,4,0)</f>
        <v>19.600000000000001</v>
      </c>
      <c r="L55" s="531"/>
      <c r="M55">
        <f t="shared" si="38"/>
        <v>7.1</v>
      </c>
      <c r="N55">
        <f t="shared" si="39"/>
        <v>10.3</v>
      </c>
      <c r="O55">
        <f t="shared" si="40"/>
        <v>15</v>
      </c>
      <c r="P55">
        <f t="shared" si="41"/>
        <v>19.600000000000001</v>
      </c>
      <c r="Q55">
        <f t="shared" si="42"/>
        <v>27.1</v>
      </c>
      <c r="R55">
        <f t="shared" si="43"/>
        <v>34.5</v>
      </c>
      <c r="S55">
        <f t="shared" si="44"/>
        <v>45.5</v>
      </c>
      <c r="T55">
        <f t="shared" si="45"/>
        <v>0</v>
      </c>
      <c r="U55">
        <f t="shared" si="46"/>
        <v>0</v>
      </c>
      <c r="V55">
        <f t="shared" si="47"/>
        <v>0</v>
      </c>
      <c r="W55">
        <f t="shared" si="48"/>
        <v>0</v>
      </c>
      <c r="X55">
        <f t="shared" si="49"/>
        <v>0</v>
      </c>
      <c r="Y55">
        <f t="shared" si="50"/>
        <v>0</v>
      </c>
      <c r="Z55">
        <f t="shared" si="51"/>
        <v>0</v>
      </c>
      <c r="AA55">
        <f t="shared" si="52"/>
        <v>0</v>
      </c>
      <c r="AB55">
        <f t="shared" si="53"/>
        <v>0</v>
      </c>
      <c r="AC55">
        <f t="shared" si="54"/>
        <v>0</v>
      </c>
    </row>
    <row r="56" spans="1:29" x14ac:dyDescent="0.3">
      <c r="A56" s="542" t="s">
        <v>1758</v>
      </c>
      <c r="B56" s="1504">
        <v>32</v>
      </c>
      <c r="C56" s="1505">
        <v>1.25</v>
      </c>
      <c r="D56" s="1506">
        <v>4</v>
      </c>
      <c r="E56" s="1507">
        <f>5/8</f>
        <v>0.625</v>
      </c>
      <c r="F56" s="1504" t="s">
        <v>1697</v>
      </c>
      <c r="G56" s="1358" t="str">
        <f t="shared" si="37"/>
        <v>16</v>
      </c>
      <c r="H56" s="1504">
        <v>95</v>
      </c>
      <c r="I56" s="1504">
        <v>95</v>
      </c>
      <c r="J56" s="1504"/>
      <c r="K56" s="1508">
        <f>HLOOKUP(F56,M52:AC72,5,0)</f>
        <v>20.3</v>
      </c>
      <c r="L56" s="531"/>
      <c r="M56">
        <f t="shared" si="38"/>
        <v>7.35</v>
      </c>
      <c r="N56">
        <f t="shared" si="39"/>
        <v>10.65</v>
      </c>
      <c r="O56">
        <f t="shared" si="40"/>
        <v>15.5</v>
      </c>
      <c r="P56">
        <f t="shared" si="41"/>
        <v>20.3</v>
      </c>
      <c r="Q56">
        <f t="shared" si="42"/>
        <v>27.950000000000003</v>
      </c>
      <c r="R56">
        <f t="shared" si="43"/>
        <v>35.6</v>
      </c>
      <c r="S56">
        <f t="shared" si="44"/>
        <v>46.35</v>
      </c>
      <c r="T56">
        <f t="shared" si="45"/>
        <v>0</v>
      </c>
      <c r="U56">
        <f t="shared" si="46"/>
        <v>0</v>
      </c>
      <c r="V56">
        <f t="shared" si="47"/>
        <v>0</v>
      </c>
      <c r="W56">
        <f t="shared" si="48"/>
        <v>0</v>
      </c>
      <c r="X56">
        <f t="shared" si="49"/>
        <v>0</v>
      </c>
      <c r="Y56">
        <f t="shared" si="50"/>
        <v>0</v>
      </c>
      <c r="Z56">
        <f t="shared" si="51"/>
        <v>0</v>
      </c>
      <c r="AA56">
        <f t="shared" si="52"/>
        <v>0</v>
      </c>
      <c r="AB56">
        <f t="shared" si="53"/>
        <v>0</v>
      </c>
      <c r="AC56">
        <f t="shared" si="54"/>
        <v>0</v>
      </c>
    </row>
    <row r="57" spans="1:29" x14ac:dyDescent="0.3">
      <c r="A57" s="542" t="s">
        <v>1759</v>
      </c>
      <c r="B57" s="1504">
        <v>40</v>
      </c>
      <c r="C57" s="1505">
        <v>1.5</v>
      </c>
      <c r="D57" s="1506">
        <v>4</v>
      </c>
      <c r="E57" s="1507">
        <f>3/4</f>
        <v>0.75</v>
      </c>
      <c r="F57" s="1504" t="s">
        <v>1699</v>
      </c>
      <c r="G57" s="1358" t="str">
        <f t="shared" si="37"/>
        <v>20</v>
      </c>
      <c r="H57" s="1504">
        <v>110</v>
      </c>
      <c r="I57" s="1504">
        <v>110</v>
      </c>
      <c r="J57" s="1504"/>
      <c r="K57" s="1508">
        <f>HLOOKUP(F57,M52:AC72,6,0)</f>
        <v>38.700000000000003</v>
      </c>
      <c r="L57" s="531"/>
      <c r="M57">
        <f t="shared" si="38"/>
        <v>8.1</v>
      </c>
      <c r="N57">
        <f t="shared" si="39"/>
        <v>11.7</v>
      </c>
      <c r="O57">
        <f t="shared" si="40"/>
        <v>17</v>
      </c>
      <c r="P57">
        <f t="shared" si="41"/>
        <v>22.2</v>
      </c>
      <c r="Q57">
        <f t="shared" si="42"/>
        <v>30.4</v>
      </c>
      <c r="R57">
        <f t="shared" si="43"/>
        <v>38.700000000000003</v>
      </c>
      <c r="S57">
        <f t="shared" si="44"/>
        <v>48.3</v>
      </c>
      <c r="T57">
        <f t="shared" si="45"/>
        <v>58.2</v>
      </c>
      <c r="U57">
        <f t="shared" si="46"/>
        <v>77.400000000000006</v>
      </c>
      <c r="V57">
        <f t="shared" si="47"/>
        <v>0</v>
      </c>
      <c r="W57">
        <f t="shared" si="48"/>
        <v>0</v>
      </c>
      <c r="X57">
        <f t="shared" si="49"/>
        <v>0</v>
      </c>
      <c r="Y57">
        <f t="shared" si="50"/>
        <v>0</v>
      </c>
      <c r="Z57">
        <f t="shared" si="51"/>
        <v>0</v>
      </c>
      <c r="AA57">
        <f t="shared" si="52"/>
        <v>0</v>
      </c>
      <c r="AB57">
        <f t="shared" si="53"/>
        <v>0</v>
      </c>
      <c r="AC57">
        <f t="shared" si="54"/>
        <v>0</v>
      </c>
    </row>
    <row r="58" spans="1:29" x14ac:dyDescent="0.3">
      <c r="A58" s="542" t="s">
        <v>1760</v>
      </c>
      <c r="B58" s="1504">
        <v>50</v>
      </c>
      <c r="C58" s="1505">
        <v>2</v>
      </c>
      <c r="D58" s="1506">
        <v>8</v>
      </c>
      <c r="E58" s="1507">
        <f>5/8</f>
        <v>0.625</v>
      </c>
      <c r="F58" s="1504" t="s">
        <v>1697</v>
      </c>
      <c r="G58" s="1358" t="str">
        <f t="shared" si="37"/>
        <v>16</v>
      </c>
      <c r="H58" s="1504">
        <v>110</v>
      </c>
      <c r="I58" s="1504">
        <v>110</v>
      </c>
      <c r="J58" s="1504"/>
      <c r="K58" s="1508">
        <f>HLOOKUP(F58,M52:AC72,7,0)</f>
        <v>22.2</v>
      </c>
      <c r="L58" s="531"/>
      <c r="M58">
        <f t="shared" si="38"/>
        <v>8.1</v>
      </c>
      <c r="N58">
        <f t="shared" si="39"/>
        <v>11.7</v>
      </c>
      <c r="O58">
        <f t="shared" si="40"/>
        <v>17</v>
      </c>
      <c r="P58">
        <f t="shared" si="41"/>
        <v>22.2</v>
      </c>
      <c r="Q58">
        <f t="shared" si="42"/>
        <v>30.4</v>
      </c>
      <c r="R58">
        <f t="shared" si="43"/>
        <v>38.700000000000003</v>
      </c>
      <c r="S58">
        <f t="shared" si="44"/>
        <v>48.3</v>
      </c>
      <c r="T58">
        <f t="shared" si="45"/>
        <v>58.2</v>
      </c>
      <c r="U58">
        <f t="shared" si="46"/>
        <v>77.400000000000006</v>
      </c>
      <c r="V58">
        <f t="shared" si="47"/>
        <v>0</v>
      </c>
      <c r="W58">
        <f t="shared" si="48"/>
        <v>0</v>
      </c>
      <c r="X58">
        <f t="shared" si="49"/>
        <v>0</v>
      </c>
      <c r="Y58">
        <f t="shared" si="50"/>
        <v>0</v>
      </c>
      <c r="Z58">
        <f t="shared" si="51"/>
        <v>0</v>
      </c>
      <c r="AA58">
        <f t="shared" si="52"/>
        <v>0</v>
      </c>
      <c r="AB58">
        <f t="shared" si="53"/>
        <v>0</v>
      </c>
      <c r="AC58">
        <f t="shared" si="54"/>
        <v>0</v>
      </c>
    </row>
    <row r="59" spans="1:29" x14ac:dyDescent="0.3">
      <c r="A59" s="542" t="s">
        <v>1761</v>
      </c>
      <c r="B59" s="1504">
        <v>65</v>
      </c>
      <c r="C59" s="1505">
        <v>2.5</v>
      </c>
      <c r="D59" s="1506">
        <v>8</v>
      </c>
      <c r="E59" s="1507">
        <f>3/4</f>
        <v>0.75</v>
      </c>
      <c r="F59" s="1504" t="s">
        <v>1699</v>
      </c>
      <c r="G59" s="1358" t="str">
        <f t="shared" si="37"/>
        <v>20</v>
      </c>
      <c r="H59" s="1504">
        <v>120</v>
      </c>
      <c r="I59" s="1504">
        <v>120</v>
      </c>
      <c r="J59" s="1504"/>
      <c r="K59" s="1508">
        <f>HLOOKUP(F59,M52:AC72,8,0)</f>
        <v>40.700000000000003</v>
      </c>
      <c r="L59" s="531"/>
      <c r="M59">
        <f t="shared" si="38"/>
        <v>8.6</v>
      </c>
      <c r="N59">
        <f t="shared" si="39"/>
        <v>12.4</v>
      </c>
      <c r="O59">
        <f t="shared" si="40"/>
        <v>18</v>
      </c>
      <c r="P59">
        <f t="shared" si="41"/>
        <v>23.6</v>
      </c>
      <c r="Q59">
        <f t="shared" si="42"/>
        <v>32.1</v>
      </c>
      <c r="R59">
        <f t="shared" si="43"/>
        <v>40.700000000000003</v>
      </c>
      <c r="S59">
        <f t="shared" si="44"/>
        <v>50.9</v>
      </c>
      <c r="T59">
        <f t="shared" si="45"/>
        <v>60.2</v>
      </c>
      <c r="U59">
        <f t="shared" si="46"/>
        <v>81.2</v>
      </c>
      <c r="V59">
        <f t="shared" si="47"/>
        <v>107</v>
      </c>
      <c r="W59">
        <f t="shared" si="48"/>
        <v>0</v>
      </c>
      <c r="X59">
        <f t="shared" si="49"/>
        <v>0</v>
      </c>
      <c r="Y59">
        <f t="shared" si="50"/>
        <v>0</v>
      </c>
      <c r="Z59">
        <f t="shared" si="51"/>
        <v>0</v>
      </c>
      <c r="AA59">
        <f t="shared" si="52"/>
        <v>0</v>
      </c>
      <c r="AB59">
        <f t="shared" si="53"/>
        <v>0</v>
      </c>
      <c r="AC59">
        <f t="shared" si="54"/>
        <v>0</v>
      </c>
    </row>
    <row r="60" spans="1:29" x14ac:dyDescent="0.3">
      <c r="A60" s="542" t="s">
        <v>1762</v>
      </c>
      <c r="B60" s="1504">
        <v>80</v>
      </c>
      <c r="C60" s="1505">
        <v>3</v>
      </c>
      <c r="D60" s="1506">
        <v>8</v>
      </c>
      <c r="E60" s="1507">
        <f>3/4</f>
        <v>0.75</v>
      </c>
      <c r="F60" s="1504" t="s">
        <v>1699</v>
      </c>
      <c r="G60" s="1358" t="str">
        <f t="shared" si="37"/>
        <v>20</v>
      </c>
      <c r="H60" s="1504">
        <v>125</v>
      </c>
      <c r="I60" s="1504">
        <v>130</v>
      </c>
      <c r="J60" s="1504"/>
      <c r="K60" s="1508">
        <f>HLOOKUP(F60,M52:AC72,9,0)</f>
        <v>42.8</v>
      </c>
      <c r="L60" s="531"/>
      <c r="M60">
        <f t="shared" si="38"/>
        <v>9.1</v>
      </c>
      <c r="N60">
        <f t="shared" si="39"/>
        <v>13.2</v>
      </c>
      <c r="O60">
        <f t="shared" si="40"/>
        <v>19</v>
      </c>
      <c r="P60">
        <f t="shared" si="41"/>
        <v>24.9</v>
      </c>
      <c r="Q60">
        <f t="shared" si="42"/>
        <v>33.700000000000003</v>
      </c>
      <c r="R60">
        <f t="shared" si="43"/>
        <v>42.8</v>
      </c>
      <c r="S60">
        <f t="shared" si="44"/>
        <v>53.4</v>
      </c>
      <c r="T60">
        <f t="shared" si="45"/>
        <v>63.2</v>
      </c>
      <c r="U60">
        <f t="shared" si="46"/>
        <v>85</v>
      </c>
      <c r="V60">
        <f t="shared" si="47"/>
        <v>111</v>
      </c>
      <c r="W60">
        <f t="shared" si="48"/>
        <v>141</v>
      </c>
      <c r="X60">
        <f t="shared" si="49"/>
        <v>0</v>
      </c>
      <c r="Y60">
        <f t="shared" si="50"/>
        <v>0</v>
      </c>
      <c r="Z60">
        <f t="shared" si="51"/>
        <v>0</v>
      </c>
      <c r="AA60">
        <f t="shared" si="52"/>
        <v>0</v>
      </c>
      <c r="AB60">
        <f t="shared" si="53"/>
        <v>0</v>
      </c>
      <c r="AC60">
        <f t="shared" si="54"/>
        <v>0</v>
      </c>
    </row>
    <row r="61" spans="1:29" x14ac:dyDescent="0.3">
      <c r="A61" s="542" t="s">
        <v>1763</v>
      </c>
      <c r="B61" s="1504" t="s">
        <v>1721</v>
      </c>
      <c r="C61" s="1505">
        <v>3.5</v>
      </c>
      <c r="D61" s="1506">
        <v>8</v>
      </c>
      <c r="E61" s="1507">
        <f>7/8</f>
        <v>0.875</v>
      </c>
      <c r="F61" s="1504" t="s">
        <v>1701</v>
      </c>
      <c r="G61" s="1358" t="str">
        <f t="shared" si="37"/>
        <v>24</v>
      </c>
      <c r="H61" s="1504">
        <v>140</v>
      </c>
      <c r="I61" s="1504">
        <v>140</v>
      </c>
      <c r="J61" s="1504"/>
      <c r="K61" s="1508">
        <f>HLOOKUP(F61,M52:AC72,10,0)</f>
        <v>66.2</v>
      </c>
      <c r="L61" s="531"/>
      <c r="M61">
        <f t="shared" si="38"/>
        <v>9.6</v>
      </c>
      <c r="N61">
        <f t="shared" si="39"/>
        <v>14.2</v>
      </c>
      <c r="O61">
        <f t="shared" si="40"/>
        <v>20</v>
      </c>
      <c r="P61">
        <f t="shared" si="41"/>
        <v>26.2</v>
      </c>
      <c r="Q61">
        <f t="shared" si="42"/>
        <v>35.4</v>
      </c>
      <c r="R61">
        <f t="shared" si="43"/>
        <v>44.9</v>
      </c>
      <c r="S61">
        <f t="shared" si="44"/>
        <v>55.9</v>
      </c>
      <c r="T61">
        <f t="shared" si="45"/>
        <v>66.2</v>
      </c>
      <c r="U61">
        <f t="shared" si="46"/>
        <v>88.9</v>
      </c>
      <c r="V61">
        <f t="shared" si="47"/>
        <v>116</v>
      </c>
      <c r="W61">
        <f t="shared" si="48"/>
        <v>147</v>
      </c>
      <c r="X61">
        <f t="shared" si="49"/>
        <v>185</v>
      </c>
      <c r="Y61">
        <f t="shared" si="50"/>
        <v>0</v>
      </c>
      <c r="Z61">
        <f t="shared" si="51"/>
        <v>0</v>
      </c>
      <c r="AA61">
        <f t="shared" si="52"/>
        <v>0</v>
      </c>
      <c r="AB61">
        <f t="shared" si="53"/>
        <v>0</v>
      </c>
      <c r="AC61">
        <f t="shared" si="54"/>
        <v>0</v>
      </c>
    </row>
    <row r="62" spans="1:29" x14ac:dyDescent="0.3">
      <c r="A62" s="542" t="s">
        <v>1764</v>
      </c>
      <c r="B62" s="1504">
        <v>100</v>
      </c>
      <c r="C62" s="1505">
        <v>4</v>
      </c>
      <c r="D62" s="1506">
        <v>8</v>
      </c>
      <c r="E62" s="1507">
        <f>7/8</f>
        <v>0.875</v>
      </c>
      <c r="F62" s="1504" t="s">
        <v>1701</v>
      </c>
      <c r="G62" s="1358" t="str">
        <f t="shared" si="37"/>
        <v>24</v>
      </c>
      <c r="H62" s="1504">
        <v>140</v>
      </c>
      <c r="I62" s="1504">
        <v>140</v>
      </c>
      <c r="J62" s="1504"/>
      <c r="K62" s="1508">
        <f>HLOOKUP(F62,M52:AC72,11,0)</f>
        <v>66.2</v>
      </c>
      <c r="L62" s="531"/>
      <c r="M62">
        <f t="shared" si="38"/>
        <v>9.6</v>
      </c>
      <c r="N62">
        <f t="shared" si="39"/>
        <v>14.2</v>
      </c>
      <c r="O62">
        <f t="shared" si="40"/>
        <v>20</v>
      </c>
      <c r="P62">
        <f t="shared" si="41"/>
        <v>26.2</v>
      </c>
      <c r="Q62">
        <f t="shared" si="42"/>
        <v>35.4</v>
      </c>
      <c r="R62">
        <f t="shared" si="43"/>
        <v>44.9</v>
      </c>
      <c r="S62">
        <f t="shared" si="44"/>
        <v>55.9</v>
      </c>
      <c r="T62">
        <f t="shared" si="45"/>
        <v>66.2</v>
      </c>
      <c r="U62">
        <f t="shared" si="46"/>
        <v>88.9</v>
      </c>
      <c r="V62">
        <f t="shared" si="47"/>
        <v>116</v>
      </c>
      <c r="W62">
        <f t="shared" si="48"/>
        <v>147</v>
      </c>
      <c r="X62">
        <f t="shared" si="49"/>
        <v>185</v>
      </c>
      <c r="Y62">
        <f t="shared" si="50"/>
        <v>0</v>
      </c>
      <c r="Z62">
        <f t="shared" si="51"/>
        <v>0</v>
      </c>
      <c r="AA62">
        <f t="shared" si="52"/>
        <v>0</v>
      </c>
      <c r="AB62">
        <f t="shared" si="53"/>
        <v>0</v>
      </c>
      <c r="AC62">
        <f t="shared" si="54"/>
        <v>0</v>
      </c>
    </row>
    <row r="63" spans="1:29" x14ac:dyDescent="0.3">
      <c r="A63" s="542" t="s">
        <v>1765</v>
      </c>
      <c r="B63" s="1504">
        <v>125</v>
      </c>
      <c r="C63" s="1505">
        <v>5</v>
      </c>
      <c r="D63" s="1506">
        <v>8</v>
      </c>
      <c r="E63" s="1507">
        <f>7/8</f>
        <v>0.875</v>
      </c>
      <c r="F63" s="1504" t="s">
        <v>1701</v>
      </c>
      <c r="G63" s="1358" t="str">
        <f t="shared" si="37"/>
        <v>24</v>
      </c>
      <c r="H63" s="1504">
        <v>145</v>
      </c>
      <c r="I63" s="1504">
        <v>150</v>
      </c>
      <c r="J63" s="1504"/>
      <c r="K63" s="1508">
        <f>HLOOKUP(F63,M52:AC72,12,0)</f>
        <v>69.2</v>
      </c>
      <c r="L63" s="531"/>
      <c r="M63">
        <f t="shared" si="38"/>
        <v>10.1</v>
      </c>
      <c r="N63">
        <f t="shared" si="39"/>
        <v>14.9</v>
      </c>
      <c r="O63">
        <f t="shared" si="40"/>
        <v>20.8</v>
      </c>
      <c r="P63">
        <f t="shared" si="41"/>
        <v>27.5</v>
      </c>
      <c r="Q63">
        <f t="shared" si="42"/>
        <v>36.9</v>
      </c>
      <c r="R63">
        <f t="shared" si="43"/>
        <v>46.9</v>
      </c>
      <c r="S63">
        <f t="shared" si="44"/>
        <v>58.5</v>
      </c>
      <c r="T63">
        <f t="shared" si="45"/>
        <v>69.2</v>
      </c>
      <c r="U63">
        <f t="shared" si="46"/>
        <v>92.7</v>
      </c>
      <c r="V63">
        <f t="shared" si="47"/>
        <v>121</v>
      </c>
      <c r="W63">
        <f t="shared" si="48"/>
        <v>153</v>
      </c>
      <c r="X63">
        <f t="shared" si="49"/>
        <v>192</v>
      </c>
      <c r="Y63">
        <f t="shared" si="50"/>
        <v>237</v>
      </c>
      <c r="Z63">
        <f t="shared" si="51"/>
        <v>0</v>
      </c>
      <c r="AA63">
        <f t="shared" si="52"/>
        <v>0</v>
      </c>
      <c r="AB63">
        <f t="shared" si="53"/>
        <v>0</v>
      </c>
      <c r="AC63">
        <f t="shared" si="54"/>
        <v>0</v>
      </c>
    </row>
    <row r="64" spans="1:29" x14ac:dyDescent="0.3">
      <c r="A64" s="542" t="s">
        <v>1766</v>
      </c>
      <c r="B64" s="1504">
        <v>150</v>
      </c>
      <c r="C64" s="1505">
        <v>6</v>
      </c>
      <c r="D64" s="1506">
        <v>12</v>
      </c>
      <c r="E64" s="1507">
        <f>7/8</f>
        <v>0.875</v>
      </c>
      <c r="F64" s="1504" t="s">
        <v>1701</v>
      </c>
      <c r="G64" s="1358" t="str">
        <f t="shared" si="37"/>
        <v>24</v>
      </c>
      <c r="H64" s="1504">
        <v>150</v>
      </c>
      <c r="I64" s="1504">
        <v>155</v>
      </c>
      <c r="J64" s="1504"/>
      <c r="K64" s="1508">
        <f>HLOOKUP(F64,M52:AC72,13,0)</f>
        <v>70.7</v>
      </c>
      <c r="L64" s="531"/>
      <c r="M64">
        <f t="shared" si="38"/>
        <v>10.35</v>
      </c>
      <c r="N64">
        <f t="shared" si="39"/>
        <v>15.25</v>
      </c>
      <c r="O64">
        <f t="shared" si="40"/>
        <v>21.3</v>
      </c>
      <c r="P64">
        <f t="shared" si="41"/>
        <v>28.3</v>
      </c>
      <c r="Q64">
        <f t="shared" si="42"/>
        <v>37.75</v>
      </c>
      <c r="R64">
        <f t="shared" si="43"/>
        <v>47.95</v>
      </c>
      <c r="S64">
        <f t="shared" si="44"/>
        <v>59.75</v>
      </c>
      <c r="T64">
        <f t="shared" si="45"/>
        <v>70.7</v>
      </c>
      <c r="U64">
        <f t="shared" si="46"/>
        <v>94.65</v>
      </c>
      <c r="V64">
        <f t="shared" si="47"/>
        <v>123.5</v>
      </c>
      <c r="W64">
        <f t="shared" si="48"/>
        <v>156</v>
      </c>
      <c r="X64">
        <f t="shared" si="49"/>
        <v>195.5</v>
      </c>
      <c r="Y64">
        <f t="shared" si="50"/>
        <v>241</v>
      </c>
      <c r="Z64">
        <f t="shared" si="51"/>
        <v>0</v>
      </c>
      <c r="AA64">
        <f t="shared" si="52"/>
        <v>0</v>
      </c>
      <c r="AB64">
        <f t="shared" si="53"/>
        <v>0</v>
      </c>
      <c r="AC64">
        <f t="shared" si="54"/>
        <v>0</v>
      </c>
    </row>
    <row r="65" spans="1:29" x14ac:dyDescent="0.3">
      <c r="A65" s="542" t="s">
        <v>1767</v>
      </c>
      <c r="B65" s="1504">
        <v>200</v>
      </c>
      <c r="C65" s="1505">
        <v>8</v>
      </c>
      <c r="D65" s="1506">
        <v>12</v>
      </c>
      <c r="E65" s="1507">
        <v>1</v>
      </c>
      <c r="F65" s="1504" t="s">
        <v>1702</v>
      </c>
      <c r="G65" s="1358" t="str">
        <f t="shared" si="37"/>
        <v>27</v>
      </c>
      <c r="H65" s="1504">
        <v>170</v>
      </c>
      <c r="I65" s="1504">
        <v>175</v>
      </c>
      <c r="J65" s="1504"/>
      <c r="K65" s="1508">
        <f>HLOOKUP(F65,M52:AC72,14,0)</f>
        <v>103</v>
      </c>
      <c r="L65" s="531"/>
      <c r="M65">
        <f t="shared" si="38"/>
        <v>0</v>
      </c>
      <c r="N65">
        <f t="shared" si="39"/>
        <v>0</v>
      </c>
      <c r="O65">
        <f t="shared" si="40"/>
        <v>23.3</v>
      </c>
      <c r="P65">
        <f t="shared" si="41"/>
        <v>31.1</v>
      </c>
      <c r="Q65">
        <f t="shared" si="42"/>
        <v>41.05</v>
      </c>
      <c r="R65">
        <f t="shared" si="43"/>
        <v>51.7</v>
      </c>
      <c r="S65">
        <f t="shared" si="44"/>
        <v>64.8</v>
      </c>
      <c r="T65">
        <f t="shared" si="45"/>
        <v>76.650000000000006</v>
      </c>
      <c r="U65">
        <f t="shared" si="46"/>
        <v>103</v>
      </c>
      <c r="V65">
        <f t="shared" si="47"/>
        <v>132.5</v>
      </c>
      <c r="W65">
        <f t="shared" si="48"/>
        <v>168</v>
      </c>
      <c r="X65">
        <f t="shared" si="49"/>
        <v>209.5</v>
      </c>
      <c r="Y65">
        <f t="shared" si="50"/>
        <v>257</v>
      </c>
      <c r="Z65">
        <f t="shared" si="51"/>
        <v>317</v>
      </c>
      <c r="AA65">
        <f t="shared" si="52"/>
        <v>383.5</v>
      </c>
      <c r="AB65">
        <f t="shared" si="53"/>
        <v>0</v>
      </c>
      <c r="AC65">
        <f t="shared" si="54"/>
        <v>0</v>
      </c>
    </row>
    <row r="66" spans="1:29" x14ac:dyDescent="0.3">
      <c r="A66" s="542" t="s">
        <v>1768</v>
      </c>
      <c r="B66" s="1504">
        <v>250</v>
      </c>
      <c r="C66" s="1505">
        <v>10</v>
      </c>
      <c r="D66" s="1506">
        <v>16</v>
      </c>
      <c r="E66" s="1507">
        <f>1+1/8</f>
        <v>1.125</v>
      </c>
      <c r="F66" s="1504" t="s">
        <v>1703</v>
      </c>
      <c r="G66" s="1358" t="str">
        <f t="shared" si="37"/>
        <v>30</v>
      </c>
      <c r="H66" s="1504">
        <v>190</v>
      </c>
      <c r="I66" s="1504">
        <v>190</v>
      </c>
      <c r="J66" s="1504"/>
      <c r="K66" s="1508">
        <f>HLOOKUP(F66,M52:AC72,15,0)</f>
        <v>140</v>
      </c>
      <c r="L66" s="531"/>
      <c r="M66">
        <f t="shared" si="38"/>
        <v>0</v>
      </c>
      <c r="N66">
        <f t="shared" si="39"/>
        <v>0</v>
      </c>
      <c r="O66">
        <f t="shared" si="40"/>
        <v>0</v>
      </c>
      <c r="P66">
        <f t="shared" si="41"/>
        <v>33.1</v>
      </c>
      <c r="Q66">
        <f t="shared" si="42"/>
        <v>43.5</v>
      </c>
      <c r="R66">
        <f t="shared" si="43"/>
        <v>54.4</v>
      </c>
      <c r="S66">
        <f t="shared" si="44"/>
        <v>68.400000000000006</v>
      </c>
      <c r="T66">
        <f t="shared" si="45"/>
        <v>81.099999999999994</v>
      </c>
      <c r="U66">
        <f t="shared" si="46"/>
        <v>109</v>
      </c>
      <c r="V66">
        <f t="shared" si="47"/>
        <v>140</v>
      </c>
      <c r="W66">
        <f t="shared" si="48"/>
        <v>176</v>
      </c>
      <c r="X66">
        <f t="shared" si="49"/>
        <v>219</v>
      </c>
      <c r="Y66">
        <f t="shared" si="50"/>
        <v>269</v>
      </c>
      <c r="Z66">
        <f t="shared" si="51"/>
        <v>332</v>
      </c>
      <c r="AA66">
        <f t="shared" si="52"/>
        <v>400</v>
      </c>
      <c r="AB66">
        <f t="shared" si="53"/>
        <v>480</v>
      </c>
      <c r="AC66">
        <f t="shared" si="54"/>
        <v>566</v>
      </c>
    </row>
    <row r="67" spans="1:29" x14ac:dyDescent="0.3">
      <c r="A67" s="542" t="s">
        <v>1769</v>
      </c>
      <c r="B67" s="1504">
        <v>300</v>
      </c>
      <c r="C67" s="1505">
        <v>12</v>
      </c>
      <c r="D67" s="1506">
        <v>16</v>
      </c>
      <c r="E67" s="1507">
        <f>1+ 1/4</f>
        <v>1.25</v>
      </c>
      <c r="F67" s="1504" t="s">
        <v>1704</v>
      </c>
      <c r="G67" s="1358" t="str">
        <f t="shared" si="37"/>
        <v>33</v>
      </c>
      <c r="H67" s="1504">
        <v>205</v>
      </c>
      <c r="I67" s="1504">
        <v>205</v>
      </c>
      <c r="J67" s="1504"/>
      <c r="K67" s="1508">
        <f>HLOOKUP(F67,M52:AC72,16,0)</f>
        <v>185</v>
      </c>
      <c r="L67" s="531"/>
      <c r="M67">
        <f t="shared" si="38"/>
        <v>0</v>
      </c>
      <c r="N67">
        <f t="shared" si="39"/>
        <v>0</v>
      </c>
      <c r="O67">
        <f t="shared" si="40"/>
        <v>0</v>
      </c>
      <c r="P67">
        <f t="shared" si="41"/>
        <v>35.15</v>
      </c>
      <c r="Q67">
        <f t="shared" si="42"/>
        <v>46</v>
      </c>
      <c r="R67">
        <f t="shared" si="43"/>
        <v>57.5</v>
      </c>
      <c r="S67">
        <f t="shared" si="44"/>
        <v>72.25</v>
      </c>
      <c r="T67">
        <f t="shared" si="45"/>
        <v>86.2</v>
      </c>
      <c r="U67">
        <f t="shared" si="46"/>
        <v>116.5</v>
      </c>
      <c r="V67">
        <f t="shared" si="47"/>
        <v>146.5</v>
      </c>
      <c r="W67">
        <f t="shared" si="48"/>
        <v>185</v>
      </c>
      <c r="X67">
        <f t="shared" si="49"/>
        <v>229.5</v>
      </c>
      <c r="Y67">
        <f t="shared" si="50"/>
        <v>282</v>
      </c>
      <c r="Z67">
        <f t="shared" si="51"/>
        <v>347</v>
      </c>
      <c r="AA67">
        <f t="shared" si="52"/>
        <v>417</v>
      </c>
      <c r="AB67">
        <f t="shared" si="53"/>
        <v>499.5</v>
      </c>
      <c r="AC67">
        <f t="shared" si="54"/>
        <v>588.5</v>
      </c>
    </row>
    <row r="68" spans="1:29" x14ac:dyDescent="0.3">
      <c r="A68" s="542" t="s">
        <v>1770</v>
      </c>
      <c r="B68" s="1504">
        <v>350</v>
      </c>
      <c r="C68" s="1505">
        <v>14</v>
      </c>
      <c r="D68" s="1506">
        <v>20</v>
      </c>
      <c r="E68" s="1507">
        <f>1+ 1/4</f>
        <v>1.25</v>
      </c>
      <c r="F68" s="1504" t="s">
        <v>1704</v>
      </c>
      <c r="G68" s="1358" t="str">
        <f t="shared" si="37"/>
        <v>33</v>
      </c>
      <c r="H68" s="1504">
        <v>210</v>
      </c>
      <c r="I68" s="1504">
        <v>210</v>
      </c>
      <c r="J68" s="1504"/>
      <c r="K68" s="1508">
        <f>HLOOKUP(F68,M52:AC72,17,0)</f>
        <v>188</v>
      </c>
      <c r="L68" s="531"/>
      <c r="M68">
        <f t="shared" si="38"/>
        <v>0</v>
      </c>
      <c r="N68">
        <f t="shared" si="39"/>
        <v>0</v>
      </c>
      <c r="O68">
        <f t="shared" si="40"/>
        <v>0</v>
      </c>
      <c r="P68">
        <f t="shared" si="41"/>
        <v>35.799999999999997</v>
      </c>
      <c r="Q68">
        <f t="shared" si="42"/>
        <v>46.8</v>
      </c>
      <c r="R68">
        <f t="shared" si="43"/>
        <v>58.5</v>
      </c>
      <c r="S68">
        <f t="shared" si="44"/>
        <v>73.5</v>
      </c>
      <c r="T68">
        <f t="shared" si="45"/>
        <v>88.4</v>
      </c>
      <c r="U68">
        <f t="shared" si="46"/>
        <v>120</v>
      </c>
      <c r="V68">
        <f t="shared" si="47"/>
        <v>149</v>
      </c>
      <c r="W68">
        <f t="shared" si="48"/>
        <v>188</v>
      </c>
      <c r="X68">
        <f t="shared" si="49"/>
        <v>233</v>
      </c>
      <c r="Y68">
        <f t="shared" si="50"/>
        <v>286</v>
      </c>
      <c r="Z68">
        <f t="shared" si="51"/>
        <v>352</v>
      </c>
      <c r="AA68">
        <f t="shared" si="52"/>
        <v>423</v>
      </c>
      <c r="AB68">
        <f t="shared" si="53"/>
        <v>506</v>
      </c>
      <c r="AC68">
        <f t="shared" si="54"/>
        <v>596</v>
      </c>
    </row>
    <row r="69" spans="1:29" x14ac:dyDescent="0.3">
      <c r="A69" s="542" t="s">
        <v>1771</v>
      </c>
      <c r="B69" s="1504">
        <v>400</v>
      </c>
      <c r="C69" s="1505">
        <v>16</v>
      </c>
      <c r="D69" s="1506">
        <v>20</v>
      </c>
      <c r="E69" s="1507">
        <f>1+ 3/8</f>
        <v>1.375</v>
      </c>
      <c r="F69" s="1504" t="s">
        <v>1705</v>
      </c>
      <c r="G69" s="1358" t="str">
        <f t="shared" si="37"/>
        <v>36</v>
      </c>
      <c r="H69" s="1504">
        <v>220</v>
      </c>
      <c r="I69" s="1504">
        <v>225</v>
      </c>
      <c r="J69" s="1504"/>
      <c r="K69" s="1508">
        <f>HLOOKUP(F69,M52:AC72,18,0)</f>
        <v>243.5</v>
      </c>
      <c r="L69" s="531"/>
      <c r="M69">
        <f t="shared" si="38"/>
        <v>0</v>
      </c>
      <c r="N69">
        <f t="shared" si="39"/>
        <v>0</v>
      </c>
      <c r="O69">
        <f t="shared" si="40"/>
        <v>0</v>
      </c>
      <c r="P69">
        <f t="shared" si="41"/>
        <v>37.799999999999997</v>
      </c>
      <c r="Q69">
        <f t="shared" si="42"/>
        <v>49.25</v>
      </c>
      <c r="R69">
        <f t="shared" si="43"/>
        <v>61.6</v>
      </c>
      <c r="S69">
        <f t="shared" si="44"/>
        <v>77.349999999999994</v>
      </c>
      <c r="T69">
        <f t="shared" si="45"/>
        <v>92.9</v>
      </c>
      <c r="U69">
        <f t="shared" si="46"/>
        <v>125.5</v>
      </c>
      <c r="V69">
        <f t="shared" si="47"/>
        <v>156.5</v>
      </c>
      <c r="W69">
        <f t="shared" si="48"/>
        <v>197.5</v>
      </c>
      <c r="X69">
        <f t="shared" si="49"/>
        <v>243.5</v>
      </c>
      <c r="Y69">
        <f t="shared" si="50"/>
        <v>298</v>
      </c>
      <c r="Z69">
        <f t="shared" si="51"/>
        <v>367</v>
      </c>
      <c r="AA69">
        <f t="shared" si="52"/>
        <v>440</v>
      </c>
      <c r="AB69">
        <f t="shared" si="53"/>
        <v>525.5</v>
      </c>
      <c r="AC69">
        <f t="shared" si="54"/>
        <v>619.5</v>
      </c>
    </row>
    <row r="70" spans="1:29" x14ac:dyDescent="0.3">
      <c r="A70" s="542" t="s">
        <v>1772</v>
      </c>
      <c r="B70" s="1504">
        <v>450</v>
      </c>
      <c r="C70" s="1505">
        <v>18</v>
      </c>
      <c r="D70" s="1506">
        <v>24</v>
      </c>
      <c r="E70" s="1507">
        <f>1+ 3/8</f>
        <v>1.375</v>
      </c>
      <c r="F70" s="1504" t="s">
        <v>1705</v>
      </c>
      <c r="G70" s="1358" t="str">
        <f t="shared" si="37"/>
        <v>36</v>
      </c>
      <c r="H70" s="1504">
        <v>230</v>
      </c>
      <c r="I70" s="1504">
        <v>230</v>
      </c>
      <c r="J70" s="1504"/>
      <c r="K70" s="1508">
        <f>HLOOKUP(F70,M52:AC72,19,0)</f>
        <v>247</v>
      </c>
      <c r="L70" s="531"/>
      <c r="M70">
        <f t="shared" si="38"/>
        <v>0</v>
      </c>
      <c r="N70">
        <f t="shared" si="39"/>
        <v>0</v>
      </c>
      <c r="O70">
        <f t="shared" si="40"/>
        <v>0</v>
      </c>
      <c r="P70">
        <f t="shared" si="41"/>
        <v>38.5</v>
      </c>
      <c r="Q70">
        <f t="shared" si="42"/>
        <v>50.1</v>
      </c>
      <c r="R70">
        <f t="shared" si="43"/>
        <v>62.6</v>
      </c>
      <c r="S70">
        <f t="shared" si="44"/>
        <v>78.599999999999994</v>
      </c>
      <c r="T70">
        <f t="shared" si="45"/>
        <v>94.4</v>
      </c>
      <c r="U70">
        <f t="shared" si="46"/>
        <v>127</v>
      </c>
      <c r="V70">
        <f t="shared" si="47"/>
        <v>159</v>
      </c>
      <c r="W70">
        <f t="shared" si="48"/>
        <v>201</v>
      </c>
      <c r="X70">
        <f t="shared" si="49"/>
        <v>247</v>
      </c>
      <c r="Y70">
        <f t="shared" si="50"/>
        <v>302</v>
      </c>
      <c r="Z70">
        <f t="shared" si="51"/>
        <v>372</v>
      </c>
      <c r="AA70">
        <f t="shared" si="52"/>
        <v>446</v>
      </c>
      <c r="AB70">
        <f t="shared" si="53"/>
        <v>532</v>
      </c>
      <c r="AC70">
        <f t="shared" si="54"/>
        <v>627</v>
      </c>
    </row>
    <row r="71" spans="1:29" x14ac:dyDescent="0.3">
      <c r="A71" s="542" t="s">
        <v>1773</v>
      </c>
      <c r="B71" s="1504">
        <v>500</v>
      </c>
      <c r="C71" s="1505">
        <v>20</v>
      </c>
      <c r="D71" s="1506">
        <v>24</v>
      </c>
      <c r="E71" s="1507">
        <f>1+ 1/2</f>
        <v>1.5</v>
      </c>
      <c r="F71" s="1504" t="s">
        <v>1706</v>
      </c>
      <c r="G71" s="1358" t="str">
        <f t="shared" si="37"/>
        <v>39</v>
      </c>
      <c r="H71" s="1504">
        <v>245</v>
      </c>
      <c r="I71" s="1504">
        <v>250</v>
      </c>
      <c r="J71" s="1504"/>
      <c r="K71" s="1508">
        <f>HLOOKUP(F71,M52:AC72,20,0)</f>
        <v>319</v>
      </c>
      <c r="L71" s="531"/>
      <c r="M71">
        <f t="shared" si="38"/>
        <v>0</v>
      </c>
      <c r="N71">
        <f t="shared" si="39"/>
        <v>0</v>
      </c>
      <c r="O71">
        <f t="shared" si="40"/>
        <v>0</v>
      </c>
      <c r="P71">
        <f t="shared" si="41"/>
        <v>41.1</v>
      </c>
      <c r="Q71">
        <f t="shared" si="42"/>
        <v>53.4</v>
      </c>
      <c r="R71">
        <f t="shared" si="43"/>
        <v>66.8</v>
      </c>
      <c r="S71">
        <f t="shared" si="44"/>
        <v>83.7</v>
      </c>
      <c r="T71">
        <f t="shared" si="45"/>
        <v>100</v>
      </c>
      <c r="U71">
        <f t="shared" si="46"/>
        <v>135</v>
      </c>
      <c r="V71">
        <f t="shared" si="47"/>
        <v>172</v>
      </c>
      <c r="W71">
        <f t="shared" si="48"/>
        <v>214</v>
      </c>
      <c r="X71">
        <f t="shared" si="49"/>
        <v>260</v>
      </c>
      <c r="Y71">
        <f t="shared" si="50"/>
        <v>319</v>
      </c>
      <c r="Z71">
        <f t="shared" si="51"/>
        <v>391</v>
      </c>
      <c r="AA71">
        <f t="shared" si="52"/>
        <v>468</v>
      </c>
      <c r="AB71">
        <f t="shared" si="53"/>
        <v>558</v>
      </c>
      <c r="AC71">
        <f t="shared" si="54"/>
        <v>658</v>
      </c>
    </row>
    <row r="72" spans="1:29" ht="15" thickBot="1" x14ac:dyDescent="0.35">
      <c r="A72" s="542" t="s">
        <v>1774</v>
      </c>
      <c r="B72" s="1504">
        <v>600</v>
      </c>
      <c r="C72" s="1505">
        <v>24</v>
      </c>
      <c r="D72" s="1506">
        <v>24</v>
      </c>
      <c r="E72" s="1507">
        <f>1+ 3/4</f>
        <v>1.75</v>
      </c>
      <c r="F72" s="1504" t="s">
        <v>1708</v>
      </c>
      <c r="G72" s="581" t="str">
        <f t="shared" si="37"/>
        <v>45</v>
      </c>
      <c r="H72" s="1504">
        <v>270</v>
      </c>
      <c r="I72" s="1504">
        <v>280</v>
      </c>
      <c r="J72" s="1504"/>
      <c r="K72" s="1508">
        <f>HLOOKUP(F72,M52:AC72,21,0)</f>
        <v>505</v>
      </c>
      <c r="L72" s="531"/>
      <c r="M72">
        <f t="shared" si="38"/>
        <v>0</v>
      </c>
      <c r="N72">
        <f t="shared" si="39"/>
        <v>0</v>
      </c>
      <c r="O72">
        <f t="shared" si="40"/>
        <v>0</v>
      </c>
      <c r="P72">
        <f t="shared" si="41"/>
        <v>0</v>
      </c>
      <c r="Q72">
        <f t="shared" si="42"/>
        <v>58.3</v>
      </c>
      <c r="R72">
        <f t="shared" si="43"/>
        <v>73</v>
      </c>
      <c r="S72">
        <f t="shared" si="44"/>
        <v>91.4</v>
      </c>
      <c r="T72">
        <f t="shared" si="45"/>
        <v>109</v>
      </c>
      <c r="U72">
        <f t="shared" si="46"/>
        <v>146</v>
      </c>
      <c r="V72">
        <f t="shared" si="47"/>
        <v>187</v>
      </c>
      <c r="W72">
        <f t="shared" si="48"/>
        <v>230</v>
      </c>
      <c r="X72">
        <f t="shared" si="49"/>
        <v>281</v>
      </c>
      <c r="Y72">
        <f t="shared" si="50"/>
        <v>343</v>
      </c>
      <c r="Z72">
        <f t="shared" si="51"/>
        <v>421</v>
      </c>
      <c r="AA72">
        <f t="shared" si="52"/>
        <v>505</v>
      </c>
      <c r="AB72">
        <f t="shared" si="53"/>
        <v>597</v>
      </c>
      <c r="AC72">
        <f t="shared" si="54"/>
        <v>705</v>
      </c>
    </row>
    <row r="73" spans="1:29" ht="15" thickBot="1" x14ac:dyDescent="0.35">
      <c r="A73" s="552" t="s">
        <v>1775</v>
      </c>
      <c r="B73" s="553"/>
      <c r="C73" s="554"/>
      <c r="D73" s="553"/>
      <c r="E73" s="554"/>
      <c r="F73" s="553"/>
      <c r="G73" s="583"/>
      <c r="H73" s="553"/>
      <c r="I73" s="555"/>
      <c r="J73" s="1752" t="s">
        <v>1684</v>
      </c>
      <c r="K73" s="1753"/>
      <c r="L73" s="531"/>
    </row>
    <row r="74" spans="1:29" ht="15" thickBot="1" x14ac:dyDescent="0.35">
      <c r="A74" s="1432">
        <v>600</v>
      </c>
      <c r="B74" s="1756" t="s">
        <v>59</v>
      </c>
      <c r="C74" s="1759" t="s">
        <v>1685</v>
      </c>
      <c r="D74" s="1756" t="s">
        <v>1686</v>
      </c>
      <c r="E74" s="1762" t="s">
        <v>1687</v>
      </c>
      <c r="F74" s="1762"/>
      <c r="G74" s="579"/>
      <c r="H74" s="1762" t="s">
        <v>1688</v>
      </c>
      <c r="I74" s="1763"/>
      <c r="J74" s="1754"/>
      <c r="K74" s="1755"/>
      <c r="L74" s="531"/>
      <c r="M74" s="1750" t="s">
        <v>1689</v>
      </c>
      <c r="N74" s="1750"/>
      <c r="O74" s="1750"/>
      <c r="P74" s="1750"/>
      <c r="Q74" s="1750"/>
      <c r="R74" s="1750"/>
      <c r="S74" s="1750"/>
      <c r="T74" s="1750"/>
      <c r="U74" s="1750"/>
      <c r="V74" s="1750"/>
      <c r="W74" s="1750"/>
      <c r="X74" s="1750"/>
      <c r="Y74" s="1750"/>
      <c r="Z74" s="1750"/>
      <c r="AA74" s="1750"/>
      <c r="AB74" s="1750"/>
      <c r="AC74" s="1750"/>
    </row>
    <row r="75" spans="1:29" ht="29.4" thickBot="1" x14ac:dyDescent="0.35">
      <c r="A75" s="1496"/>
      <c r="B75" s="1757"/>
      <c r="C75" s="1760"/>
      <c r="D75" s="1757"/>
      <c r="E75" s="1498" t="s">
        <v>1690</v>
      </c>
      <c r="F75" s="1497" t="s">
        <v>1691</v>
      </c>
      <c r="G75" s="1359" t="s">
        <v>1691</v>
      </c>
      <c r="H75" s="1497" t="s">
        <v>1692</v>
      </c>
      <c r="I75" s="1501" t="s">
        <v>1689</v>
      </c>
      <c r="J75" s="1502" t="s">
        <v>1690</v>
      </c>
      <c r="K75" s="1503" t="s">
        <v>1691</v>
      </c>
      <c r="L75" s="531"/>
      <c r="M75" s="1751" t="s">
        <v>1691</v>
      </c>
      <c r="N75" s="1751"/>
      <c r="O75" s="1751"/>
      <c r="P75" s="1751"/>
      <c r="Q75" s="1751"/>
      <c r="R75" s="1751"/>
      <c r="S75" s="1751"/>
      <c r="T75" s="1751"/>
      <c r="U75" s="1751"/>
      <c r="V75" s="1751"/>
      <c r="W75" s="1751"/>
      <c r="X75" s="1751"/>
      <c r="Y75" s="1751"/>
      <c r="Z75" s="1751"/>
      <c r="AA75" s="1751"/>
      <c r="AB75" s="1751"/>
      <c r="AC75" s="1751"/>
    </row>
    <row r="76" spans="1:29" ht="15" thickBot="1" x14ac:dyDescent="0.35">
      <c r="A76" s="534" t="s">
        <v>1693</v>
      </c>
      <c r="B76" s="1758"/>
      <c r="C76" s="1761"/>
      <c r="D76" s="1758"/>
      <c r="E76" s="535" t="s">
        <v>1082</v>
      </c>
      <c r="F76" s="547" t="s">
        <v>93</v>
      </c>
      <c r="G76" s="580" t="s">
        <v>93</v>
      </c>
      <c r="H76" s="547" t="s">
        <v>93</v>
      </c>
      <c r="I76" s="539" t="s">
        <v>93</v>
      </c>
      <c r="J76" s="535" t="s">
        <v>222</v>
      </c>
      <c r="K76" s="536" t="s">
        <v>222</v>
      </c>
      <c r="L76" s="531"/>
      <c r="M76" s="540" t="s">
        <v>1694</v>
      </c>
      <c r="N76" s="540" t="s">
        <v>1695</v>
      </c>
      <c r="O76" s="540" t="s">
        <v>1696</v>
      </c>
      <c r="P76" s="540" t="s">
        <v>1697</v>
      </c>
      <c r="Q76" s="540" t="s">
        <v>1698</v>
      </c>
      <c r="R76" s="540" t="s">
        <v>1699</v>
      </c>
      <c r="S76" s="540" t="s">
        <v>1700</v>
      </c>
      <c r="T76" s="540" t="s">
        <v>1701</v>
      </c>
      <c r="U76" s="540" t="s">
        <v>1702</v>
      </c>
      <c r="V76" s="540" t="s">
        <v>1703</v>
      </c>
      <c r="W76" s="540" t="s">
        <v>1704</v>
      </c>
      <c r="X76" s="540" t="s">
        <v>1705</v>
      </c>
      <c r="Y76" s="540" t="s">
        <v>1706</v>
      </c>
      <c r="Z76" s="540" t="s">
        <v>1707</v>
      </c>
      <c r="AA76" s="540" t="s">
        <v>1708</v>
      </c>
      <c r="AB76" s="540" t="s">
        <v>1709</v>
      </c>
      <c r="AC76" s="541" t="s">
        <v>1710</v>
      </c>
    </row>
    <row r="77" spans="1:29" x14ac:dyDescent="0.3">
      <c r="A77" s="542" t="s">
        <v>1776</v>
      </c>
      <c r="B77" s="1504">
        <v>15</v>
      </c>
      <c r="C77" s="1505">
        <v>0.5</v>
      </c>
      <c r="D77" s="1506">
        <v>4</v>
      </c>
      <c r="E77" s="1507">
        <f>1/2</f>
        <v>0.5</v>
      </c>
      <c r="F77" s="1504" t="s">
        <v>1696</v>
      </c>
      <c r="G77" s="1358" t="str">
        <f t="shared" ref="G77:G96" si="55">RIGHT(F77,2)</f>
        <v>14</v>
      </c>
      <c r="H77" s="1504">
        <v>75</v>
      </c>
      <c r="I77" s="1504">
        <v>75</v>
      </c>
      <c r="J77" s="1504"/>
      <c r="K77" s="1508">
        <f>HLOOKUP(F77,M76:AC96,2,0)</f>
        <v>13.5</v>
      </c>
      <c r="L77" s="531"/>
      <c r="M77">
        <f t="shared" ref="M77:M96" si="56">VLOOKUP(I77,$A$170:$R$240,2,0)</f>
        <v>6.35</v>
      </c>
      <c r="N77">
        <f t="shared" ref="N77:N96" si="57">VLOOKUP(I77,$A$170:$R$240,3,0)</f>
        <v>9.25</v>
      </c>
      <c r="O77">
        <f t="shared" ref="O77:O96" si="58">VLOOKUP(I77,$A$170:$R$240,4,0)</f>
        <v>13.5</v>
      </c>
      <c r="P77">
        <f t="shared" ref="P77:P96" si="59">VLOOKUP(I77,$A$170:$R$240,5,0)</f>
        <v>17.549999999999997</v>
      </c>
      <c r="Q77">
        <f t="shared" ref="Q77:Q96" si="60">VLOOKUP(I77,$A$170:$R$240,6,0)</f>
        <v>24.549999999999997</v>
      </c>
      <c r="R77">
        <f t="shared" ref="R77:R96" si="61">VLOOKUP(I77,$A$170:$R$240,7,0)</f>
        <v>0</v>
      </c>
      <c r="S77">
        <f t="shared" ref="S77:S96" si="62">VLOOKUP(I77,$A$170:$R$240,8,0)</f>
        <v>0</v>
      </c>
      <c r="T77">
        <f t="shared" ref="T77:T96" si="63">VLOOKUP(I77,$A$170:$R$240,9,0)</f>
        <v>0</v>
      </c>
      <c r="U77">
        <f t="shared" ref="U77:U96" si="64">VLOOKUP(I77,$A$170:$R$240,10,0)</f>
        <v>0</v>
      </c>
      <c r="V77">
        <f t="shared" ref="V77:V96" si="65">VLOOKUP(I77,$A$170:$R$240,11,0)</f>
        <v>0</v>
      </c>
      <c r="W77">
        <f t="shared" ref="W77:W96" si="66">VLOOKUP(I77,$A$170:$R$240,12,0)</f>
        <v>0</v>
      </c>
      <c r="X77">
        <f t="shared" ref="X77:X96" si="67">VLOOKUP(I77,$A$170:$R$240,13,0)</f>
        <v>0</v>
      </c>
      <c r="Y77">
        <f t="shared" ref="Y77:Y96" si="68">VLOOKUP(I77,$A$170:$R$240,14,0)</f>
        <v>0</v>
      </c>
      <c r="Z77">
        <f t="shared" ref="Z77:Z96" si="69">VLOOKUP(I77,$A$170:$R$240,15,0)</f>
        <v>0</v>
      </c>
      <c r="AA77">
        <f t="shared" ref="AA77:AA96" si="70">VLOOKUP(I77,$A$170:$R$240,16,0)</f>
        <v>0</v>
      </c>
      <c r="AB77">
        <f t="shared" ref="AB77:AB96" si="71">VLOOKUP(I77,$A$170:$R$240,17,0)</f>
        <v>0</v>
      </c>
      <c r="AC77">
        <f t="shared" ref="AC77:AC96" si="72">VLOOKUP(I77,$A$170:$R$240,18,0)</f>
        <v>0</v>
      </c>
    </row>
    <row r="78" spans="1:29" x14ac:dyDescent="0.3">
      <c r="A78" s="542" t="s">
        <v>1777</v>
      </c>
      <c r="B78" s="1504">
        <v>20</v>
      </c>
      <c r="C78" s="1505">
        <v>0.75</v>
      </c>
      <c r="D78" s="1506">
        <v>4</v>
      </c>
      <c r="E78" s="1507">
        <f>5/8</f>
        <v>0.625</v>
      </c>
      <c r="F78" s="1504" t="s">
        <v>1697</v>
      </c>
      <c r="G78" s="1358" t="str">
        <f t="shared" si="55"/>
        <v>16</v>
      </c>
      <c r="H78" s="1504">
        <v>90</v>
      </c>
      <c r="I78" s="1504">
        <v>90</v>
      </c>
      <c r="J78" s="1504"/>
      <c r="K78" s="1508">
        <f>HLOOKUP(F78,M76:AC96,3,0)</f>
        <v>19.600000000000001</v>
      </c>
      <c r="L78" s="531"/>
      <c r="M78">
        <f t="shared" si="56"/>
        <v>7.1</v>
      </c>
      <c r="N78">
        <f t="shared" si="57"/>
        <v>10.3</v>
      </c>
      <c r="O78">
        <f t="shared" si="58"/>
        <v>15</v>
      </c>
      <c r="P78">
        <f t="shared" si="59"/>
        <v>19.600000000000001</v>
      </c>
      <c r="Q78">
        <f t="shared" si="60"/>
        <v>27.1</v>
      </c>
      <c r="R78">
        <f t="shared" si="61"/>
        <v>34.5</v>
      </c>
      <c r="S78">
        <f t="shared" si="62"/>
        <v>45.5</v>
      </c>
      <c r="T78">
        <f t="shared" si="63"/>
        <v>0</v>
      </c>
      <c r="U78">
        <f t="shared" si="64"/>
        <v>0</v>
      </c>
      <c r="V78">
        <f t="shared" si="65"/>
        <v>0</v>
      </c>
      <c r="W78">
        <f t="shared" si="66"/>
        <v>0</v>
      </c>
      <c r="X78">
        <f t="shared" si="67"/>
        <v>0</v>
      </c>
      <c r="Y78">
        <f t="shared" si="68"/>
        <v>0</v>
      </c>
      <c r="Z78">
        <f t="shared" si="69"/>
        <v>0</v>
      </c>
      <c r="AA78">
        <f t="shared" si="70"/>
        <v>0</v>
      </c>
      <c r="AB78">
        <f t="shared" si="71"/>
        <v>0</v>
      </c>
      <c r="AC78">
        <f t="shared" si="72"/>
        <v>0</v>
      </c>
    </row>
    <row r="79" spans="1:29" x14ac:dyDescent="0.3">
      <c r="A79" s="542" t="s">
        <v>1778</v>
      </c>
      <c r="B79" s="1504">
        <v>25</v>
      </c>
      <c r="C79" s="1505">
        <v>1</v>
      </c>
      <c r="D79" s="1506">
        <v>4</v>
      </c>
      <c r="E79" s="1507">
        <f>5/8</f>
        <v>0.625</v>
      </c>
      <c r="F79" s="1504" t="s">
        <v>1697</v>
      </c>
      <c r="G79" s="1358" t="str">
        <f t="shared" si="55"/>
        <v>16</v>
      </c>
      <c r="H79" s="1504">
        <v>90</v>
      </c>
      <c r="I79" s="1504">
        <v>90</v>
      </c>
      <c r="J79" s="1504"/>
      <c r="K79" s="1508">
        <f>HLOOKUP(F79,M76:AC96,4,0)</f>
        <v>19.600000000000001</v>
      </c>
      <c r="L79" s="531"/>
      <c r="M79">
        <f t="shared" si="56"/>
        <v>7.1</v>
      </c>
      <c r="N79">
        <f t="shared" si="57"/>
        <v>10.3</v>
      </c>
      <c r="O79">
        <f t="shared" si="58"/>
        <v>15</v>
      </c>
      <c r="P79">
        <f t="shared" si="59"/>
        <v>19.600000000000001</v>
      </c>
      <c r="Q79">
        <f t="shared" si="60"/>
        <v>27.1</v>
      </c>
      <c r="R79">
        <f t="shared" si="61"/>
        <v>34.5</v>
      </c>
      <c r="S79">
        <f t="shared" si="62"/>
        <v>45.5</v>
      </c>
      <c r="T79">
        <f t="shared" si="63"/>
        <v>0</v>
      </c>
      <c r="U79">
        <f t="shared" si="64"/>
        <v>0</v>
      </c>
      <c r="V79">
        <f t="shared" si="65"/>
        <v>0</v>
      </c>
      <c r="W79">
        <f t="shared" si="66"/>
        <v>0</v>
      </c>
      <c r="X79">
        <f t="shared" si="67"/>
        <v>0</v>
      </c>
      <c r="Y79">
        <f t="shared" si="68"/>
        <v>0</v>
      </c>
      <c r="Z79">
        <f t="shared" si="69"/>
        <v>0</v>
      </c>
      <c r="AA79">
        <f t="shared" si="70"/>
        <v>0</v>
      </c>
      <c r="AB79">
        <f t="shared" si="71"/>
        <v>0</v>
      </c>
      <c r="AC79">
        <f t="shared" si="72"/>
        <v>0</v>
      </c>
    </row>
    <row r="80" spans="1:29" x14ac:dyDescent="0.3">
      <c r="A80" s="542" t="s">
        <v>1779</v>
      </c>
      <c r="B80" s="1504">
        <v>32</v>
      </c>
      <c r="C80" s="1505">
        <v>1.25</v>
      </c>
      <c r="D80" s="1506">
        <v>4</v>
      </c>
      <c r="E80" s="1507">
        <f>5/8</f>
        <v>0.625</v>
      </c>
      <c r="F80" s="1504" t="s">
        <v>1697</v>
      </c>
      <c r="G80" s="1358" t="str">
        <f t="shared" si="55"/>
        <v>16</v>
      </c>
      <c r="H80" s="1504">
        <v>95</v>
      </c>
      <c r="I80" s="1504">
        <v>95</v>
      </c>
      <c r="J80" s="1504"/>
      <c r="K80" s="1508">
        <f>HLOOKUP(F80,M76:AC96,5,0)</f>
        <v>20.3</v>
      </c>
      <c r="L80" s="531"/>
      <c r="M80">
        <f t="shared" si="56"/>
        <v>7.35</v>
      </c>
      <c r="N80">
        <f t="shared" si="57"/>
        <v>10.65</v>
      </c>
      <c r="O80">
        <f t="shared" si="58"/>
        <v>15.5</v>
      </c>
      <c r="P80">
        <f t="shared" si="59"/>
        <v>20.3</v>
      </c>
      <c r="Q80">
        <f t="shared" si="60"/>
        <v>27.950000000000003</v>
      </c>
      <c r="R80">
        <f t="shared" si="61"/>
        <v>35.6</v>
      </c>
      <c r="S80">
        <f t="shared" si="62"/>
        <v>46.35</v>
      </c>
      <c r="T80">
        <f t="shared" si="63"/>
        <v>0</v>
      </c>
      <c r="U80">
        <f t="shared" si="64"/>
        <v>0</v>
      </c>
      <c r="V80">
        <f t="shared" si="65"/>
        <v>0</v>
      </c>
      <c r="W80">
        <f t="shared" si="66"/>
        <v>0</v>
      </c>
      <c r="X80">
        <f t="shared" si="67"/>
        <v>0</v>
      </c>
      <c r="Y80">
        <f t="shared" si="68"/>
        <v>0</v>
      </c>
      <c r="Z80">
        <f t="shared" si="69"/>
        <v>0</v>
      </c>
      <c r="AA80">
        <f t="shared" si="70"/>
        <v>0</v>
      </c>
      <c r="AB80">
        <f t="shared" si="71"/>
        <v>0</v>
      </c>
      <c r="AC80">
        <f t="shared" si="72"/>
        <v>0</v>
      </c>
    </row>
    <row r="81" spans="1:29" x14ac:dyDescent="0.3">
      <c r="A81" s="542" t="s">
        <v>1780</v>
      </c>
      <c r="B81" s="1504">
        <v>40</v>
      </c>
      <c r="C81" s="1505">
        <v>1.5</v>
      </c>
      <c r="D81" s="1506">
        <v>4</v>
      </c>
      <c r="E81" s="1507">
        <f>3/4</f>
        <v>0.75</v>
      </c>
      <c r="F81" s="1504" t="s">
        <v>1699</v>
      </c>
      <c r="G81" s="1358" t="str">
        <f t="shared" si="55"/>
        <v>20</v>
      </c>
      <c r="H81" s="1504">
        <v>110</v>
      </c>
      <c r="I81" s="1504">
        <v>110</v>
      </c>
      <c r="J81" s="1504"/>
      <c r="K81" s="1508">
        <f>HLOOKUP(F81,M76:AC96,6,0)</f>
        <v>38.700000000000003</v>
      </c>
      <c r="L81" s="531"/>
      <c r="M81">
        <f t="shared" si="56"/>
        <v>8.1</v>
      </c>
      <c r="N81">
        <f t="shared" si="57"/>
        <v>11.7</v>
      </c>
      <c r="O81">
        <f t="shared" si="58"/>
        <v>17</v>
      </c>
      <c r="P81">
        <f t="shared" si="59"/>
        <v>22.2</v>
      </c>
      <c r="Q81">
        <f t="shared" si="60"/>
        <v>30.4</v>
      </c>
      <c r="R81">
        <f t="shared" si="61"/>
        <v>38.700000000000003</v>
      </c>
      <c r="S81">
        <f t="shared" si="62"/>
        <v>48.3</v>
      </c>
      <c r="T81">
        <f t="shared" si="63"/>
        <v>58.2</v>
      </c>
      <c r="U81">
        <f t="shared" si="64"/>
        <v>77.400000000000006</v>
      </c>
      <c r="V81">
        <f t="shared" si="65"/>
        <v>0</v>
      </c>
      <c r="W81">
        <f t="shared" si="66"/>
        <v>0</v>
      </c>
      <c r="X81">
        <f t="shared" si="67"/>
        <v>0</v>
      </c>
      <c r="Y81">
        <f t="shared" si="68"/>
        <v>0</v>
      </c>
      <c r="Z81">
        <f t="shared" si="69"/>
        <v>0</v>
      </c>
      <c r="AA81">
        <f t="shared" si="70"/>
        <v>0</v>
      </c>
      <c r="AB81">
        <f t="shared" si="71"/>
        <v>0</v>
      </c>
      <c r="AC81">
        <f t="shared" si="72"/>
        <v>0</v>
      </c>
    </row>
    <row r="82" spans="1:29" x14ac:dyDescent="0.3">
      <c r="A82" s="542" t="s">
        <v>1781</v>
      </c>
      <c r="B82" s="1504">
        <v>50</v>
      </c>
      <c r="C82" s="1505">
        <v>2</v>
      </c>
      <c r="D82" s="1506">
        <v>8</v>
      </c>
      <c r="E82" s="1507">
        <f>5/8</f>
        <v>0.625</v>
      </c>
      <c r="F82" s="1504" t="s">
        <v>1697</v>
      </c>
      <c r="G82" s="1358" t="str">
        <f t="shared" si="55"/>
        <v>16</v>
      </c>
      <c r="H82" s="1504">
        <v>110</v>
      </c>
      <c r="I82" s="1504">
        <v>110</v>
      </c>
      <c r="J82" s="1504"/>
      <c r="K82" s="1508">
        <f>HLOOKUP(F82,M76:AC96,7,0)</f>
        <v>22.2</v>
      </c>
      <c r="L82" s="531"/>
      <c r="M82">
        <f t="shared" si="56"/>
        <v>8.1</v>
      </c>
      <c r="N82">
        <f t="shared" si="57"/>
        <v>11.7</v>
      </c>
      <c r="O82">
        <f t="shared" si="58"/>
        <v>17</v>
      </c>
      <c r="P82">
        <f t="shared" si="59"/>
        <v>22.2</v>
      </c>
      <c r="Q82">
        <f t="shared" si="60"/>
        <v>30.4</v>
      </c>
      <c r="R82">
        <f t="shared" si="61"/>
        <v>38.700000000000003</v>
      </c>
      <c r="S82">
        <f t="shared" si="62"/>
        <v>48.3</v>
      </c>
      <c r="T82">
        <f t="shared" si="63"/>
        <v>58.2</v>
      </c>
      <c r="U82">
        <f t="shared" si="64"/>
        <v>77.400000000000006</v>
      </c>
      <c r="V82">
        <f t="shared" si="65"/>
        <v>0</v>
      </c>
      <c r="W82">
        <f t="shared" si="66"/>
        <v>0</v>
      </c>
      <c r="X82">
        <f t="shared" si="67"/>
        <v>0</v>
      </c>
      <c r="Y82">
        <f t="shared" si="68"/>
        <v>0</v>
      </c>
      <c r="Z82">
        <f t="shared" si="69"/>
        <v>0</v>
      </c>
      <c r="AA82">
        <f t="shared" si="70"/>
        <v>0</v>
      </c>
      <c r="AB82">
        <f t="shared" si="71"/>
        <v>0</v>
      </c>
      <c r="AC82">
        <f t="shared" si="72"/>
        <v>0</v>
      </c>
    </row>
    <row r="83" spans="1:29" x14ac:dyDescent="0.3">
      <c r="A83" s="542" t="s">
        <v>1782</v>
      </c>
      <c r="B83" s="1504">
        <v>65</v>
      </c>
      <c r="C83" s="1505">
        <v>2.5</v>
      </c>
      <c r="D83" s="1506">
        <v>8</v>
      </c>
      <c r="E83" s="1507">
        <f>3/4</f>
        <v>0.75</v>
      </c>
      <c r="F83" s="1504" t="s">
        <v>1699</v>
      </c>
      <c r="G83" s="1358" t="str">
        <f t="shared" si="55"/>
        <v>20</v>
      </c>
      <c r="H83" s="1504">
        <v>120</v>
      </c>
      <c r="I83" s="1504">
        <v>120</v>
      </c>
      <c r="J83" s="1504"/>
      <c r="K83" s="1508">
        <f>HLOOKUP(F83,M76:AC96,8,0)</f>
        <v>40.700000000000003</v>
      </c>
      <c r="L83" s="531"/>
      <c r="M83">
        <f t="shared" si="56"/>
        <v>8.6</v>
      </c>
      <c r="N83">
        <f t="shared" si="57"/>
        <v>12.4</v>
      </c>
      <c r="O83">
        <f t="shared" si="58"/>
        <v>18</v>
      </c>
      <c r="P83">
        <f t="shared" si="59"/>
        <v>23.6</v>
      </c>
      <c r="Q83">
        <f t="shared" si="60"/>
        <v>32.1</v>
      </c>
      <c r="R83">
        <f t="shared" si="61"/>
        <v>40.700000000000003</v>
      </c>
      <c r="S83">
        <f t="shared" si="62"/>
        <v>50.9</v>
      </c>
      <c r="T83">
        <f t="shared" si="63"/>
        <v>60.2</v>
      </c>
      <c r="U83">
        <f t="shared" si="64"/>
        <v>81.2</v>
      </c>
      <c r="V83">
        <f t="shared" si="65"/>
        <v>107</v>
      </c>
      <c r="W83">
        <f t="shared" si="66"/>
        <v>0</v>
      </c>
      <c r="X83">
        <f t="shared" si="67"/>
        <v>0</v>
      </c>
      <c r="Y83">
        <f t="shared" si="68"/>
        <v>0</v>
      </c>
      <c r="Z83">
        <f t="shared" si="69"/>
        <v>0</v>
      </c>
      <c r="AA83">
        <f t="shared" si="70"/>
        <v>0</v>
      </c>
      <c r="AB83">
        <f t="shared" si="71"/>
        <v>0</v>
      </c>
      <c r="AC83">
        <f t="shared" si="72"/>
        <v>0</v>
      </c>
    </row>
    <row r="84" spans="1:29" x14ac:dyDescent="0.3">
      <c r="A84" s="542" t="s">
        <v>1783</v>
      </c>
      <c r="B84" s="1504">
        <v>80</v>
      </c>
      <c r="C84" s="1505">
        <v>3</v>
      </c>
      <c r="D84" s="1506">
        <v>8</v>
      </c>
      <c r="E84" s="1507">
        <f>3/4</f>
        <v>0.75</v>
      </c>
      <c r="F84" s="1504" t="s">
        <v>1699</v>
      </c>
      <c r="G84" s="1358" t="str">
        <f t="shared" si="55"/>
        <v>20</v>
      </c>
      <c r="H84" s="1504">
        <v>125</v>
      </c>
      <c r="I84" s="1504">
        <v>130</v>
      </c>
      <c r="J84" s="1504"/>
      <c r="K84" s="1508">
        <f>HLOOKUP(F84,M76:AC96,9,0)</f>
        <v>42.8</v>
      </c>
      <c r="L84" s="531"/>
      <c r="M84">
        <f t="shared" si="56"/>
        <v>9.1</v>
      </c>
      <c r="N84">
        <f t="shared" si="57"/>
        <v>13.2</v>
      </c>
      <c r="O84">
        <f t="shared" si="58"/>
        <v>19</v>
      </c>
      <c r="P84">
        <f t="shared" si="59"/>
        <v>24.9</v>
      </c>
      <c r="Q84">
        <f t="shared" si="60"/>
        <v>33.700000000000003</v>
      </c>
      <c r="R84">
        <f t="shared" si="61"/>
        <v>42.8</v>
      </c>
      <c r="S84">
        <f t="shared" si="62"/>
        <v>53.4</v>
      </c>
      <c r="T84">
        <f t="shared" si="63"/>
        <v>63.2</v>
      </c>
      <c r="U84">
        <f t="shared" si="64"/>
        <v>85</v>
      </c>
      <c r="V84">
        <f t="shared" si="65"/>
        <v>111</v>
      </c>
      <c r="W84">
        <f t="shared" si="66"/>
        <v>141</v>
      </c>
      <c r="X84">
        <f t="shared" si="67"/>
        <v>0</v>
      </c>
      <c r="Y84">
        <f t="shared" si="68"/>
        <v>0</v>
      </c>
      <c r="Z84">
        <f t="shared" si="69"/>
        <v>0</v>
      </c>
      <c r="AA84">
        <f t="shared" si="70"/>
        <v>0</v>
      </c>
      <c r="AB84">
        <f t="shared" si="71"/>
        <v>0</v>
      </c>
      <c r="AC84">
        <f t="shared" si="72"/>
        <v>0</v>
      </c>
    </row>
    <row r="85" spans="1:29" x14ac:dyDescent="0.3">
      <c r="A85" s="542" t="s">
        <v>1784</v>
      </c>
      <c r="B85" s="1504" t="s">
        <v>1721</v>
      </c>
      <c r="C85" s="1505">
        <v>3.5</v>
      </c>
      <c r="D85" s="1506">
        <v>8</v>
      </c>
      <c r="E85" s="1507">
        <f>7/8</f>
        <v>0.875</v>
      </c>
      <c r="F85" s="1504" t="s">
        <v>1701</v>
      </c>
      <c r="G85" s="1358" t="str">
        <f t="shared" si="55"/>
        <v>24</v>
      </c>
      <c r="H85" s="1504">
        <v>140</v>
      </c>
      <c r="I85" s="1504">
        <v>140</v>
      </c>
      <c r="J85" s="1504"/>
      <c r="K85" s="1508">
        <f>HLOOKUP(F85,M76:AC96,10,0)</f>
        <v>66.2</v>
      </c>
      <c r="L85" s="531"/>
      <c r="M85">
        <f t="shared" si="56"/>
        <v>9.6</v>
      </c>
      <c r="N85">
        <f t="shared" si="57"/>
        <v>14.2</v>
      </c>
      <c r="O85">
        <f t="shared" si="58"/>
        <v>20</v>
      </c>
      <c r="P85">
        <f t="shared" si="59"/>
        <v>26.2</v>
      </c>
      <c r="Q85">
        <f t="shared" si="60"/>
        <v>35.4</v>
      </c>
      <c r="R85">
        <f t="shared" si="61"/>
        <v>44.9</v>
      </c>
      <c r="S85">
        <f t="shared" si="62"/>
        <v>55.9</v>
      </c>
      <c r="T85">
        <f t="shared" si="63"/>
        <v>66.2</v>
      </c>
      <c r="U85">
        <f t="shared" si="64"/>
        <v>88.9</v>
      </c>
      <c r="V85">
        <f t="shared" si="65"/>
        <v>116</v>
      </c>
      <c r="W85">
        <f t="shared" si="66"/>
        <v>147</v>
      </c>
      <c r="X85">
        <f t="shared" si="67"/>
        <v>185</v>
      </c>
      <c r="Y85">
        <f t="shared" si="68"/>
        <v>0</v>
      </c>
      <c r="Z85">
        <f t="shared" si="69"/>
        <v>0</v>
      </c>
      <c r="AA85">
        <f t="shared" si="70"/>
        <v>0</v>
      </c>
      <c r="AB85">
        <f t="shared" si="71"/>
        <v>0</v>
      </c>
      <c r="AC85">
        <f t="shared" si="72"/>
        <v>0</v>
      </c>
    </row>
    <row r="86" spans="1:29" x14ac:dyDescent="0.3">
      <c r="A86" s="542" t="s">
        <v>1785</v>
      </c>
      <c r="B86" s="1504">
        <v>100</v>
      </c>
      <c r="C86" s="1505">
        <v>4</v>
      </c>
      <c r="D86" s="1506">
        <v>8</v>
      </c>
      <c r="E86" s="1507">
        <f>7/8</f>
        <v>0.875</v>
      </c>
      <c r="F86" s="1504" t="s">
        <v>1701</v>
      </c>
      <c r="G86" s="1358" t="str">
        <f t="shared" si="55"/>
        <v>24</v>
      </c>
      <c r="H86" s="1504">
        <v>145</v>
      </c>
      <c r="I86" s="1504">
        <v>145</v>
      </c>
      <c r="J86" s="1504"/>
      <c r="K86" s="1508">
        <f>HLOOKUP(F86,M76:AC96,11,0)</f>
        <v>67.7</v>
      </c>
      <c r="L86" s="531"/>
      <c r="M86">
        <f t="shared" si="56"/>
        <v>9.85</v>
      </c>
      <c r="N86">
        <f t="shared" si="57"/>
        <v>14.55</v>
      </c>
      <c r="O86">
        <f t="shared" si="58"/>
        <v>20.399999999999999</v>
      </c>
      <c r="P86">
        <f t="shared" si="59"/>
        <v>26.85</v>
      </c>
      <c r="Q86">
        <f t="shared" si="60"/>
        <v>36.15</v>
      </c>
      <c r="R86">
        <f t="shared" si="61"/>
        <v>45.9</v>
      </c>
      <c r="S86">
        <f t="shared" si="62"/>
        <v>57.2</v>
      </c>
      <c r="T86">
        <f t="shared" si="63"/>
        <v>67.7</v>
      </c>
      <c r="U86">
        <f t="shared" si="64"/>
        <v>90.800000000000011</v>
      </c>
      <c r="V86">
        <f t="shared" si="65"/>
        <v>118.5</v>
      </c>
      <c r="W86">
        <f t="shared" si="66"/>
        <v>150</v>
      </c>
      <c r="X86">
        <f t="shared" si="67"/>
        <v>188.5</v>
      </c>
      <c r="Y86">
        <f t="shared" si="68"/>
        <v>0</v>
      </c>
      <c r="Z86">
        <f t="shared" si="69"/>
        <v>0</v>
      </c>
      <c r="AA86">
        <f t="shared" si="70"/>
        <v>0</v>
      </c>
      <c r="AB86">
        <f t="shared" si="71"/>
        <v>0</v>
      </c>
      <c r="AC86">
        <f t="shared" si="72"/>
        <v>0</v>
      </c>
    </row>
    <row r="87" spans="1:29" x14ac:dyDescent="0.3">
      <c r="A87" s="542" t="s">
        <v>1786</v>
      </c>
      <c r="B87" s="1504">
        <v>125</v>
      </c>
      <c r="C87" s="1505">
        <v>5</v>
      </c>
      <c r="D87" s="1506">
        <v>8</v>
      </c>
      <c r="E87" s="1507">
        <v>1</v>
      </c>
      <c r="F87" s="1504" t="s">
        <v>1702</v>
      </c>
      <c r="G87" s="1358" t="str">
        <f t="shared" si="55"/>
        <v>27</v>
      </c>
      <c r="H87" s="1504">
        <v>165</v>
      </c>
      <c r="I87" s="1504">
        <v>165</v>
      </c>
      <c r="J87" s="1504"/>
      <c r="K87" s="1508">
        <f>HLOOKUP(F87,M76:AC96,12,0)</f>
        <v>98.8</v>
      </c>
      <c r="L87" s="531"/>
      <c r="M87">
        <f t="shared" si="56"/>
        <v>0</v>
      </c>
      <c r="N87">
        <f t="shared" si="57"/>
        <v>16</v>
      </c>
      <c r="O87">
        <f t="shared" si="58"/>
        <v>22.3</v>
      </c>
      <c r="P87">
        <f t="shared" si="59"/>
        <v>29.75</v>
      </c>
      <c r="Q87">
        <f t="shared" si="60"/>
        <v>39.400000000000006</v>
      </c>
      <c r="R87">
        <f t="shared" si="61"/>
        <v>50.05</v>
      </c>
      <c r="S87">
        <f t="shared" si="62"/>
        <v>62.25</v>
      </c>
      <c r="T87">
        <f t="shared" si="63"/>
        <v>73.7</v>
      </c>
      <c r="U87">
        <f t="shared" si="64"/>
        <v>98.8</v>
      </c>
      <c r="V87">
        <f t="shared" si="65"/>
        <v>128</v>
      </c>
      <c r="W87">
        <f t="shared" si="66"/>
        <v>162</v>
      </c>
      <c r="X87">
        <f t="shared" si="67"/>
        <v>202.5</v>
      </c>
      <c r="Y87">
        <f t="shared" si="68"/>
        <v>249</v>
      </c>
      <c r="Z87">
        <f t="shared" si="69"/>
        <v>307</v>
      </c>
      <c r="AA87">
        <f t="shared" si="70"/>
        <v>0</v>
      </c>
      <c r="AB87">
        <f t="shared" si="71"/>
        <v>0</v>
      </c>
      <c r="AC87">
        <f t="shared" si="72"/>
        <v>0</v>
      </c>
    </row>
    <row r="88" spans="1:29" x14ac:dyDescent="0.3">
      <c r="A88" s="542" t="s">
        <v>1787</v>
      </c>
      <c r="B88" s="1504">
        <v>150</v>
      </c>
      <c r="C88" s="1505">
        <v>6</v>
      </c>
      <c r="D88" s="1506">
        <v>12</v>
      </c>
      <c r="E88" s="1507">
        <v>1</v>
      </c>
      <c r="F88" s="1504" t="s">
        <v>1702</v>
      </c>
      <c r="G88" s="1358" t="str">
        <f t="shared" si="55"/>
        <v>27</v>
      </c>
      <c r="H88" s="1504">
        <v>170</v>
      </c>
      <c r="I88" s="1504">
        <v>175</v>
      </c>
      <c r="J88" s="1504"/>
      <c r="K88" s="1508">
        <f>HLOOKUP(F88,M76:AC96,13,0)</f>
        <v>103</v>
      </c>
      <c r="L88" s="531"/>
      <c r="M88">
        <f t="shared" si="56"/>
        <v>0</v>
      </c>
      <c r="N88">
        <f t="shared" si="57"/>
        <v>0</v>
      </c>
      <c r="O88">
        <f t="shared" si="58"/>
        <v>23.3</v>
      </c>
      <c r="P88">
        <f t="shared" si="59"/>
        <v>31.1</v>
      </c>
      <c r="Q88">
        <f t="shared" si="60"/>
        <v>41.05</v>
      </c>
      <c r="R88">
        <f t="shared" si="61"/>
        <v>51.7</v>
      </c>
      <c r="S88">
        <f t="shared" si="62"/>
        <v>64.8</v>
      </c>
      <c r="T88">
        <f t="shared" si="63"/>
        <v>76.650000000000006</v>
      </c>
      <c r="U88">
        <f t="shared" si="64"/>
        <v>103</v>
      </c>
      <c r="V88">
        <f t="shared" si="65"/>
        <v>132.5</v>
      </c>
      <c r="W88">
        <f t="shared" si="66"/>
        <v>168</v>
      </c>
      <c r="X88">
        <f t="shared" si="67"/>
        <v>209.5</v>
      </c>
      <c r="Y88">
        <f t="shared" si="68"/>
        <v>257</v>
      </c>
      <c r="Z88">
        <f t="shared" si="69"/>
        <v>317</v>
      </c>
      <c r="AA88">
        <f t="shared" si="70"/>
        <v>383.5</v>
      </c>
      <c r="AB88">
        <f t="shared" si="71"/>
        <v>0</v>
      </c>
      <c r="AC88">
        <f t="shared" si="72"/>
        <v>0</v>
      </c>
    </row>
    <row r="89" spans="1:29" x14ac:dyDescent="0.3">
      <c r="A89" s="542" t="s">
        <v>1788</v>
      </c>
      <c r="B89" s="1504">
        <v>200</v>
      </c>
      <c r="C89" s="1505">
        <v>8</v>
      </c>
      <c r="D89" s="1506">
        <v>12</v>
      </c>
      <c r="E89" s="1507">
        <f>1+1/8</f>
        <v>1.125</v>
      </c>
      <c r="F89" s="1504" t="s">
        <v>1703</v>
      </c>
      <c r="G89" s="1358" t="str">
        <f t="shared" si="55"/>
        <v>30</v>
      </c>
      <c r="H89" s="1504">
        <v>190</v>
      </c>
      <c r="I89" s="1504">
        <v>195</v>
      </c>
      <c r="J89" s="1504"/>
      <c r="K89" s="1508">
        <f>HLOOKUP(F89,M76:AC96,14,0)</f>
        <v>142</v>
      </c>
      <c r="L89" s="531"/>
      <c r="M89">
        <f t="shared" si="56"/>
        <v>0</v>
      </c>
      <c r="N89">
        <f t="shared" si="57"/>
        <v>0</v>
      </c>
      <c r="O89">
        <f t="shared" si="58"/>
        <v>0</v>
      </c>
      <c r="P89">
        <f t="shared" si="59"/>
        <v>33.799999999999997</v>
      </c>
      <c r="Q89">
        <f t="shared" si="60"/>
        <v>44.35</v>
      </c>
      <c r="R89">
        <f t="shared" si="61"/>
        <v>55.45</v>
      </c>
      <c r="S89">
        <f t="shared" si="62"/>
        <v>69.7</v>
      </c>
      <c r="T89">
        <f t="shared" si="63"/>
        <v>82.55</v>
      </c>
      <c r="U89">
        <f t="shared" si="64"/>
        <v>111</v>
      </c>
      <c r="V89">
        <f t="shared" si="65"/>
        <v>142</v>
      </c>
      <c r="W89">
        <f t="shared" si="66"/>
        <v>179</v>
      </c>
      <c r="X89">
        <f t="shared" si="67"/>
        <v>222.5</v>
      </c>
      <c r="Y89">
        <f t="shared" si="68"/>
        <v>273.5</v>
      </c>
      <c r="Z89">
        <f t="shared" si="69"/>
        <v>337</v>
      </c>
      <c r="AA89">
        <f t="shared" si="70"/>
        <v>405.5</v>
      </c>
      <c r="AB89">
        <f t="shared" si="71"/>
        <v>486.5</v>
      </c>
      <c r="AC89">
        <f t="shared" si="72"/>
        <v>573.5</v>
      </c>
    </row>
    <row r="90" spans="1:29" x14ac:dyDescent="0.3">
      <c r="A90" s="542" t="s">
        <v>1789</v>
      </c>
      <c r="B90" s="1504">
        <v>250</v>
      </c>
      <c r="C90" s="1505">
        <v>10</v>
      </c>
      <c r="D90" s="1506">
        <v>16</v>
      </c>
      <c r="E90" s="1507">
        <f>1+ 1/4</f>
        <v>1.25</v>
      </c>
      <c r="F90" s="1504" t="s">
        <v>1704</v>
      </c>
      <c r="G90" s="1358" t="str">
        <f t="shared" si="55"/>
        <v>33</v>
      </c>
      <c r="H90" s="1504">
        <v>215</v>
      </c>
      <c r="I90" s="1504">
        <v>215</v>
      </c>
      <c r="J90" s="1504"/>
      <c r="K90" s="1508">
        <f>HLOOKUP(F90,M76:AC96,15,0)</f>
        <v>191</v>
      </c>
      <c r="L90" s="531"/>
      <c r="M90">
        <f t="shared" si="56"/>
        <v>0</v>
      </c>
      <c r="N90">
        <f t="shared" si="57"/>
        <v>0</v>
      </c>
      <c r="O90">
        <f t="shared" si="58"/>
        <v>0</v>
      </c>
      <c r="P90">
        <f t="shared" si="59"/>
        <v>36.450000000000003</v>
      </c>
      <c r="Q90">
        <f t="shared" si="60"/>
        <v>47.599999999999994</v>
      </c>
      <c r="R90">
        <f t="shared" si="61"/>
        <v>59.55</v>
      </c>
      <c r="S90">
        <f t="shared" si="62"/>
        <v>74.8</v>
      </c>
      <c r="T90">
        <f t="shared" si="63"/>
        <v>89.9</v>
      </c>
      <c r="U90">
        <f t="shared" si="64"/>
        <v>122</v>
      </c>
      <c r="V90">
        <f t="shared" si="65"/>
        <v>151.5</v>
      </c>
      <c r="W90">
        <f t="shared" si="66"/>
        <v>191</v>
      </c>
      <c r="X90">
        <f t="shared" si="67"/>
        <v>236.5</v>
      </c>
      <c r="Y90">
        <f t="shared" si="68"/>
        <v>290</v>
      </c>
      <c r="Z90">
        <f t="shared" si="69"/>
        <v>357</v>
      </c>
      <c r="AA90">
        <f t="shared" si="70"/>
        <v>428.5</v>
      </c>
      <c r="AB90">
        <f t="shared" si="71"/>
        <v>512.5</v>
      </c>
      <c r="AC90">
        <f t="shared" si="72"/>
        <v>604</v>
      </c>
    </row>
    <row r="91" spans="1:29" x14ac:dyDescent="0.3">
      <c r="A91" s="542" t="s">
        <v>1790</v>
      </c>
      <c r="B91" s="1504">
        <v>300</v>
      </c>
      <c r="C91" s="1505">
        <v>12</v>
      </c>
      <c r="D91" s="1506">
        <v>20</v>
      </c>
      <c r="E91" s="1507">
        <f>1+ 1/4</f>
        <v>1.25</v>
      </c>
      <c r="F91" s="1504" t="s">
        <v>1704</v>
      </c>
      <c r="G91" s="1358" t="str">
        <f t="shared" si="55"/>
        <v>33</v>
      </c>
      <c r="H91" s="1504">
        <v>225</v>
      </c>
      <c r="I91" s="1504">
        <v>225</v>
      </c>
      <c r="J91" s="1504"/>
      <c r="K91" s="1508">
        <f>HLOOKUP(F91,M76:AC96,16,0)</f>
        <v>197.5</v>
      </c>
      <c r="L91" s="531"/>
      <c r="M91">
        <f t="shared" si="56"/>
        <v>0</v>
      </c>
      <c r="N91">
        <f t="shared" si="57"/>
        <v>0</v>
      </c>
      <c r="O91">
        <f t="shared" si="58"/>
        <v>0</v>
      </c>
      <c r="P91">
        <f t="shared" si="59"/>
        <v>37.799999999999997</v>
      </c>
      <c r="Q91">
        <f t="shared" si="60"/>
        <v>49.25</v>
      </c>
      <c r="R91">
        <f t="shared" si="61"/>
        <v>61.6</v>
      </c>
      <c r="S91">
        <f t="shared" si="62"/>
        <v>77.349999999999994</v>
      </c>
      <c r="T91">
        <f t="shared" si="63"/>
        <v>92.9</v>
      </c>
      <c r="U91">
        <f t="shared" si="64"/>
        <v>125.5</v>
      </c>
      <c r="V91">
        <f t="shared" si="65"/>
        <v>156.5</v>
      </c>
      <c r="W91">
        <f t="shared" si="66"/>
        <v>197.5</v>
      </c>
      <c r="X91">
        <f t="shared" si="67"/>
        <v>243.5</v>
      </c>
      <c r="Y91">
        <f t="shared" si="68"/>
        <v>298</v>
      </c>
      <c r="Z91">
        <f t="shared" si="69"/>
        <v>367</v>
      </c>
      <c r="AA91">
        <f t="shared" si="70"/>
        <v>440</v>
      </c>
      <c r="AB91">
        <f t="shared" si="71"/>
        <v>525.5</v>
      </c>
      <c r="AC91">
        <f t="shared" si="72"/>
        <v>619.5</v>
      </c>
    </row>
    <row r="92" spans="1:29" x14ac:dyDescent="0.3">
      <c r="A92" s="542" t="s">
        <v>1791</v>
      </c>
      <c r="B92" s="1504">
        <v>350</v>
      </c>
      <c r="C92" s="1505">
        <v>14</v>
      </c>
      <c r="D92" s="1506">
        <v>20</v>
      </c>
      <c r="E92" s="1507">
        <f>1+ 3/8</f>
        <v>1.375</v>
      </c>
      <c r="F92" s="1504" t="s">
        <v>1705</v>
      </c>
      <c r="G92" s="1358" t="str">
        <f t="shared" si="55"/>
        <v>36</v>
      </c>
      <c r="H92" s="1504">
        <v>235</v>
      </c>
      <c r="I92" s="1504">
        <v>235</v>
      </c>
      <c r="J92" s="1504"/>
      <c r="K92" s="1508">
        <f>HLOOKUP(F92,M76:AC96,17,0)</f>
        <v>250</v>
      </c>
      <c r="L92" s="531"/>
      <c r="M92">
        <f t="shared" si="56"/>
        <v>0</v>
      </c>
      <c r="N92">
        <f t="shared" si="57"/>
        <v>0</v>
      </c>
      <c r="O92">
        <f t="shared" si="58"/>
        <v>0</v>
      </c>
      <c r="P92">
        <f t="shared" si="59"/>
        <v>39.15</v>
      </c>
      <c r="Q92">
        <f t="shared" si="60"/>
        <v>50.900000000000006</v>
      </c>
      <c r="R92">
        <f t="shared" si="61"/>
        <v>63.650000000000006</v>
      </c>
      <c r="S92">
        <f t="shared" si="62"/>
        <v>79.900000000000006</v>
      </c>
      <c r="T92">
        <f t="shared" si="63"/>
        <v>95.9</v>
      </c>
      <c r="U92">
        <f t="shared" si="64"/>
        <v>129</v>
      </c>
      <c r="V92">
        <f t="shared" si="65"/>
        <v>161.5</v>
      </c>
      <c r="W92">
        <f t="shared" si="66"/>
        <v>204.5</v>
      </c>
      <c r="X92">
        <f t="shared" si="67"/>
        <v>250</v>
      </c>
      <c r="Y92">
        <f t="shared" si="68"/>
        <v>306</v>
      </c>
      <c r="Z92">
        <f t="shared" si="69"/>
        <v>377</v>
      </c>
      <c r="AA92">
        <f t="shared" si="70"/>
        <v>451.5</v>
      </c>
      <c r="AB92">
        <f t="shared" si="71"/>
        <v>538.5</v>
      </c>
      <c r="AC92">
        <f t="shared" si="72"/>
        <v>635</v>
      </c>
    </row>
    <row r="93" spans="1:29" x14ac:dyDescent="0.3">
      <c r="A93" s="542" t="s">
        <v>1792</v>
      </c>
      <c r="B93" s="1504">
        <v>400</v>
      </c>
      <c r="C93" s="1505">
        <v>16</v>
      </c>
      <c r="D93" s="1506">
        <v>20</v>
      </c>
      <c r="E93" s="1507">
        <f>1+ 1/2</f>
        <v>1.5</v>
      </c>
      <c r="F93" s="1504" t="s">
        <v>1706</v>
      </c>
      <c r="G93" s="1358" t="str">
        <f t="shared" si="55"/>
        <v>39</v>
      </c>
      <c r="H93" s="1504">
        <v>255</v>
      </c>
      <c r="I93" s="1504">
        <v>255</v>
      </c>
      <c r="J93" s="1504"/>
      <c r="K93" s="1508">
        <f>HLOOKUP(F93,M76:AC96,18,0)</f>
        <v>323</v>
      </c>
      <c r="L93" s="531"/>
      <c r="M93">
        <f t="shared" si="56"/>
        <v>0</v>
      </c>
      <c r="N93">
        <f t="shared" si="57"/>
        <v>0</v>
      </c>
      <c r="O93">
        <f t="shared" si="58"/>
        <v>0</v>
      </c>
      <c r="P93">
        <f t="shared" si="59"/>
        <v>0</v>
      </c>
      <c r="Q93">
        <f t="shared" si="60"/>
        <v>54.2</v>
      </c>
      <c r="R93">
        <f t="shared" si="61"/>
        <v>67.8</v>
      </c>
      <c r="S93">
        <f t="shared" si="62"/>
        <v>85</v>
      </c>
      <c r="T93">
        <f t="shared" si="63"/>
        <v>101.5</v>
      </c>
      <c r="U93">
        <f t="shared" si="64"/>
        <v>137</v>
      </c>
      <c r="V93">
        <f t="shared" si="65"/>
        <v>174.5</v>
      </c>
      <c r="W93">
        <f t="shared" si="66"/>
        <v>217</v>
      </c>
      <c r="X93">
        <f t="shared" si="67"/>
        <v>263.5</v>
      </c>
      <c r="Y93">
        <f t="shared" si="68"/>
        <v>323</v>
      </c>
      <c r="Z93">
        <f t="shared" si="69"/>
        <v>396</v>
      </c>
      <c r="AA93">
        <f t="shared" si="70"/>
        <v>474</v>
      </c>
      <c r="AB93">
        <f t="shared" si="71"/>
        <v>564.5</v>
      </c>
      <c r="AC93">
        <f t="shared" si="72"/>
        <v>666</v>
      </c>
    </row>
    <row r="94" spans="1:29" x14ac:dyDescent="0.3">
      <c r="A94" s="542" t="s">
        <v>1793</v>
      </c>
      <c r="B94" s="1504">
        <v>450</v>
      </c>
      <c r="C94" s="1505">
        <v>18</v>
      </c>
      <c r="D94" s="1506">
        <v>20</v>
      </c>
      <c r="E94" s="1507">
        <f>1+ 5/8</f>
        <v>1.625</v>
      </c>
      <c r="F94" s="1504" t="s">
        <v>1707</v>
      </c>
      <c r="G94" s="1358" t="str">
        <f t="shared" si="55"/>
        <v>42</v>
      </c>
      <c r="H94" s="1504">
        <v>275</v>
      </c>
      <c r="I94" s="1504">
        <v>275</v>
      </c>
      <c r="J94" s="1504"/>
      <c r="K94" s="1508">
        <f>HLOOKUP(F94,M76:AC96,19,0)</f>
        <v>416</v>
      </c>
      <c r="L94" s="531"/>
      <c r="M94">
        <f t="shared" si="56"/>
        <v>0</v>
      </c>
      <c r="N94">
        <f t="shared" si="57"/>
        <v>0</v>
      </c>
      <c r="O94">
        <f t="shared" si="58"/>
        <v>0</v>
      </c>
      <c r="P94">
        <f t="shared" si="59"/>
        <v>0</v>
      </c>
      <c r="Q94">
        <f t="shared" si="60"/>
        <v>57.45</v>
      </c>
      <c r="R94">
        <f t="shared" si="61"/>
        <v>71.95</v>
      </c>
      <c r="S94">
        <f t="shared" si="62"/>
        <v>90.1</v>
      </c>
      <c r="T94">
        <f t="shared" si="63"/>
        <v>107.5</v>
      </c>
      <c r="U94">
        <f t="shared" si="64"/>
        <v>144.5</v>
      </c>
      <c r="V94">
        <f t="shared" si="65"/>
        <v>184.5</v>
      </c>
      <c r="W94">
        <f t="shared" si="66"/>
        <v>227</v>
      </c>
      <c r="X94">
        <f t="shared" si="67"/>
        <v>277.5</v>
      </c>
      <c r="Y94">
        <f t="shared" si="68"/>
        <v>339</v>
      </c>
      <c r="Z94">
        <f t="shared" si="69"/>
        <v>416</v>
      </c>
      <c r="AA94">
        <f t="shared" si="70"/>
        <v>498.5</v>
      </c>
      <c r="AB94">
        <f t="shared" si="71"/>
        <v>590.5</v>
      </c>
      <c r="AC94">
        <f t="shared" si="72"/>
        <v>697</v>
      </c>
    </row>
    <row r="95" spans="1:29" x14ac:dyDescent="0.3">
      <c r="A95" s="542" t="s">
        <v>1794</v>
      </c>
      <c r="B95" s="1504">
        <v>500</v>
      </c>
      <c r="C95" s="1505">
        <v>20</v>
      </c>
      <c r="D95" s="1506">
        <v>24</v>
      </c>
      <c r="E95" s="1507">
        <f>1+ 5/8</f>
        <v>1.625</v>
      </c>
      <c r="F95" s="1504" t="s">
        <v>1707</v>
      </c>
      <c r="G95" s="1358" t="str">
        <f t="shared" si="55"/>
        <v>42</v>
      </c>
      <c r="H95" s="1504">
        <v>290</v>
      </c>
      <c r="I95" s="1504">
        <v>295</v>
      </c>
      <c r="J95" s="1504"/>
      <c r="K95" s="1508">
        <f>HLOOKUP(F95,M76:AC96,20,0)</f>
        <v>436</v>
      </c>
      <c r="L95" s="531"/>
      <c r="M95">
        <f t="shared" si="56"/>
        <v>0</v>
      </c>
      <c r="N95">
        <f t="shared" si="57"/>
        <v>0</v>
      </c>
      <c r="O95">
        <f t="shared" si="58"/>
        <v>0</v>
      </c>
      <c r="P95">
        <f t="shared" si="59"/>
        <v>0</v>
      </c>
      <c r="Q95">
        <f t="shared" si="60"/>
        <v>0</v>
      </c>
      <c r="R95">
        <f t="shared" si="61"/>
        <v>76.05</v>
      </c>
      <c r="S95">
        <f t="shared" si="62"/>
        <v>95.2</v>
      </c>
      <c r="T95">
        <f t="shared" si="63"/>
        <v>113.5</v>
      </c>
      <c r="U95">
        <f t="shared" si="64"/>
        <v>152</v>
      </c>
      <c r="V95">
        <f t="shared" si="65"/>
        <v>194</v>
      </c>
      <c r="W95">
        <f t="shared" si="66"/>
        <v>238.5</v>
      </c>
      <c r="X95">
        <f t="shared" si="67"/>
        <v>294.5</v>
      </c>
      <c r="Y95">
        <f t="shared" si="68"/>
        <v>364</v>
      </c>
      <c r="Z95">
        <f t="shared" si="69"/>
        <v>436</v>
      </c>
      <c r="AA95">
        <f t="shared" si="70"/>
        <v>523.5</v>
      </c>
      <c r="AB95">
        <f t="shared" si="71"/>
        <v>616.5</v>
      </c>
      <c r="AC95">
        <f t="shared" si="72"/>
        <v>728</v>
      </c>
    </row>
    <row r="96" spans="1:29" ht="15" thickBot="1" x14ac:dyDescent="0.35">
      <c r="A96" s="542" t="s">
        <v>1795</v>
      </c>
      <c r="B96" s="1504">
        <v>600</v>
      </c>
      <c r="C96" s="1505">
        <v>24</v>
      </c>
      <c r="D96" s="1506">
        <v>24</v>
      </c>
      <c r="E96" s="1507">
        <f>1+ 7/8</f>
        <v>1.875</v>
      </c>
      <c r="F96" s="1504" t="s">
        <v>1709</v>
      </c>
      <c r="G96" s="581" t="str">
        <f t="shared" si="55"/>
        <v>48</v>
      </c>
      <c r="H96" s="1504">
        <v>330</v>
      </c>
      <c r="I96" s="1504">
        <v>335</v>
      </c>
      <c r="J96" s="1504"/>
      <c r="K96" s="1508">
        <f>HLOOKUP(F96,M76:AC96,21,0)</f>
        <v>669.25</v>
      </c>
      <c r="L96" s="531"/>
      <c r="M96">
        <f t="shared" si="56"/>
        <v>0</v>
      </c>
      <c r="N96">
        <f t="shared" si="57"/>
        <v>0</v>
      </c>
      <c r="O96">
        <f t="shared" si="58"/>
        <v>0</v>
      </c>
      <c r="P96">
        <f t="shared" si="59"/>
        <v>0</v>
      </c>
      <c r="Q96">
        <f t="shared" si="60"/>
        <v>0</v>
      </c>
      <c r="R96">
        <f t="shared" si="61"/>
        <v>0</v>
      </c>
      <c r="S96">
        <f t="shared" si="62"/>
        <v>0</v>
      </c>
      <c r="T96">
        <f t="shared" si="63"/>
        <v>125.5</v>
      </c>
      <c r="U96">
        <f t="shared" si="64"/>
        <v>167.25</v>
      </c>
      <c r="V96">
        <f t="shared" si="65"/>
        <v>212.75</v>
      </c>
      <c r="W96">
        <f t="shared" si="66"/>
        <v>262</v>
      </c>
      <c r="X96">
        <f t="shared" si="67"/>
        <v>322.5</v>
      </c>
      <c r="Y96">
        <f t="shared" si="68"/>
        <v>391.25</v>
      </c>
      <c r="Z96">
        <f t="shared" si="69"/>
        <v>475.25</v>
      </c>
      <c r="AA96">
        <f t="shared" si="70"/>
        <v>565.75</v>
      </c>
      <c r="AB96">
        <f t="shared" si="71"/>
        <v>669.25</v>
      </c>
      <c r="AC96">
        <f t="shared" si="72"/>
        <v>788</v>
      </c>
    </row>
    <row r="97" spans="1:29" ht="15" thickBot="1" x14ac:dyDescent="0.35">
      <c r="A97" s="556" t="s">
        <v>1796</v>
      </c>
      <c r="B97" s="557"/>
      <c r="C97" s="558"/>
      <c r="D97" s="557"/>
      <c r="E97" s="558"/>
      <c r="F97" s="557"/>
      <c r="G97" s="584"/>
      <c r="H97" s="557"/>
      <c r="I97" s="559"/>
      <c r="J97" s="1752" t="s">
        <v>1684</v>
      </c>
      <c r="K97" s="1753"/>
      <c r="L97" s="531"/>
    </row>
    <row r="98" spans="1:29" ht="15" thickBot="1" x14ac:dyDescent="0.35">
      <c r="A98" s="1432">
        <v>900</v>
      </c>
      <c r="B98" s="1756" t="s">
        <v>59</v>
      </c>
      <c r="C98" s="1759" t="s">
        <v>1685</v>
      </c>
      <c r="D98" s="1756" t="s">
        <v>1686</v>
      </c>
      <c r="E98" s="1762" t="s">
        <v>1687</v>
      </c>
      <c r="F98" s="1762"/>
      <c r="G98" s="579"/>
      <c r="H98" s="1762" t="s">
        <v>1688</v>
      </c>
      <c r="I98" s="1763"/>
      <c r="J98" s="1754"/>
      <c r="K98" s="1755"/>
      <c r="L98" s="531"/>
      <c r="M98" s="1750" t="s">
        <v>1689</v>
      </c>
      <c r="N98" s="1750"/>
      <c r="O98" s="1750"/>
      <c r="P98" s="1750"/>
      <c r="Q98" s="1750"/>
      <c r="R98" s="1750"/>
      <c r="S98" s="1750"/>
      <c r="T98" s="1750"/>
      <c r="U98" s="1750"/>
      <c r="V98" s="1750"/>
      <c r="W98" s="1750"/>
      <c r="X98" s="1750"/>
      <c r="Y98" s="1750"/>
      <c r="Z98" s="1750"/>
      <c r="AA98" s="1750"/>
      <c r="AB98" s="1750"/>
      <c r="AC98" s="1750"/>
    </row>
    <row r="99" spans="1:29" ht="29.4" thickBot="1" x14ac:dyDescent="0.35">
      <c r="A99" s="1496"/>
      <c r="B99" s="1757"/>
      <c r="C99" s="1760"/>
      <c r="D99" s="1757"/>
      <c r="E99" s="1498" t="s">
        <v>1690</v>
      </c>
      <c r="F99" s="1497" t="s">
        <v>1691</v>
      </c>
      <c r="G99" s="1359" t="s">
        <v>1691</v>
      </c>
      <c r="H99" s="1497" t="s">
        <v>1692</v>
      </c>
      <c r="I99" s="1501" t="s">
        <v>1689</v>
      </c>
      <c r="J99" s="1502" t="s">
        <v>1690</v>
      </c>
      <c r="K99" s="1503" t="s">
        <v>1691</v>
      </c>
      <c r="L99" s="531"/>
      <c r="M99" s="1751" t="s">
        <v>1691</v>
      </c>
      <c r="N99" s="1751"/>
      <c r="O99" s="1751"/>
      <c r="P99" s="1751"/>
      <c r="Q99" s="1751"/>
      <c r="R99" s="1751"/>
      <c r="S99" s="1751"/>
      <c r="T99" s="1751"/>
      <c r="U99" s="1751"/>
      <c r="V99" s="1751"/>
      <c r="W99" s="1751"/>
      <c r="X99" s="1751"/>
      <c r="Y99" s="1751"/>
      <c r="Z99" s="1751"/>
      <c r="AA99" s="1751"/>
      <c r="AB99" s="1751"/>
      <c r="AC99" s="1751"/>
    </row>
    <row r="100" spans="1:29" ht="15" thickBot="1" x14ac:dyDescent="0.35">
      <c r="A100" s="534" t="s">
        <v>1693</v>
      </c>
      <c r="B100" s="1758"/>
      <c r="C100" s="1761"/>
      <c r="D100" s="1758"/>
      <c r="E100" s="535" t="s">
        <v>1082</v>
      </c>
      <c r="F100" s="547" t="s">
        <v>93</v>
      </c>
      <c r="G100" s="580" t="s">
        <v>93</v>
      </c>
      <c r="H100" s="547" t="s">
        <v>93</v>
      </c>
      <c r="I100" s="539" t="s">
        <v>93</v>
      </c>
      <c r="J100" s="535" t="s">
        <v>222</v>
      </c>
      <c r="K100" s="536" t="s">
        <v>222</v>
      </c>
      <c r="L100" s="531"/>
      <c r="M100" s="540" t="s">
        <v>1694</v>
      </c>
      <c r="N100" s="540" t="s">
        <v>1695</v>
      </c>
      <c r="O100" s="540" t="s">
        <v>1696</v>
      </c>
      <c r="P100" s="540" t="s">
        <v>1697</v>
      </c>
      <c r="Q100" s="540" t="s">
        <v>1698</v>
      </c>
      <c r="R100" s="540" t="s">
        <v>1699</v>
      </c>
      <c r="S100" s="540" t="s">
        <v>1700</v>
      </c>
      <c r="T100" s="540" t="s">
        <v>1701</v>
      </c>
      <c r="U100" s="540" t="s">
        <v>1702</v>
      </c>
      <c r="V100" s="540" t="s">
        <v>1703</v>
      </c>
      <c r="W100" s="540" t="s">
        <v>1704</v>
      </c>
      <c r="X100" s="540" t="s">
        <v>1705</v>
      </c>
      <c r="Y100" s="540" t="s">
        <v>1706</v>
      </c>
      <c r="Z100" s="540" t="s">
        <v>1707</v>
      </c>
      <c r="AA100" s="540" t="s">
        <v>1708</v>
      </c>
      <c r="AB100" s="540" t="s">
        <v>1709</v>
      </c>
      <c r="AC100" s="541" t="s">
        <v>1710</v>
      </c>
    </row>
    <row r="101" spans="1:29" x14ac:dyDescent="0.3">
      <c r="A101" s="542" t="s">
        <v>1797</v>
      </c>
      <c r="B101" s="1504">
        <v>15</v>
      </c>
      <c r="C101" s="1505">
        <v>0.5</v>
      </c>
      <c r="D101" s="1506">
        <v>4</v>
      </c>
      <c r="E101" s="1505">
        <v>0.75</v>
      </c>
      <c r="F101" s="1504" t="s">
        <v>1699</v>
      </c>
      <c r="G101" s="1358" t="str">
        <f t="shared" ref="G101:G119" si="73">RIGHT(F101,2)</f>
        <v>20</v>
      </c>
      <c r="H101" s="1504">
        <v>105</v>
      </c>
      <c r="I101" s="1504">
        <v>105</v>
      </c>
      <c r="J101" s="1504"/>
      <c r="K101" s="1508">
        <f>HLOOKUP(F101,M100:AC120,2,0)</f>
        <v>37.700000000000003</v>
      </c>
      <c r="L101" s="531"/>
      <c r="M101">
        <f t="shared" ref="M101:M119" si="74">VLOOKUP(I101,$A$170:$R$240,2,0)</f>
        <v>7.85</v>
      </c>
      <c r="N101">
        <f t="shared" ref="N101:N119" si="75">VLOOKUP(I101,$A$170:$R$240,3,0)</f>
        <v>11.35</v>
      </c>
      <c r="O101">
        <f t="shared" ref="O101:O119" si="76">VLOOKUP(I101,$A$170:$R$240,4,0)</f>
        <v>16.5</v>
      </c>
      <c r="P101">
        <f t="shared" ref="P101:P119" si="77">VLOOKUP(I101,$A$170:$R$240,5,0)</f>
        <v>21.6</v>
      </c>
      <c r="Q101">
        <f t="shared" ref="Q101:Q119" si="78">VLOOKUP(I101,$A$170:$R$240,6,0)</f>
        <v>29.6</v>
      </c>
      <c r="R101">
        <f t="shared" ref="R101:R119" si="79">VLOOKUP(I101,$A$170:$R$240,7,0)</f>
        <v>37.700000000000003</v>
      </c>
      <c r="S101">
        <f t="shared" ref="S101:S119" si="80">VLOOKUP(I101,$A$170:$R$240,8,0)</f>
        <v>47.75</v>
      </c>
      <c r="T101">
        <f t="shared" ref="T101:T119" si="81">VLOOKUP(I101,$A$170:$R$240,9,0)</f>
        <v>56.2</v>
      </c>
      <c r="U101">
        <f t="shared" ref="U101:U119" si="82">VLOOKUP(I101,$A$170:$R$240,10,0)</f>
        <v>0</v>
      </c>
      <c r="V101">
        <f t="shared" ref="V101:V119" si="83">VLOOKUP(I101,$A$170:$R$240,11,0)</f>
        <v>0</v>
      </c>
      <c r="W101">
        <f t="shared" ref="W101:W119" si="84">VLOOKUP(I101,$A$170:$R$240,12,0)</f>
        <v>0</v>
      </c>
      <c r="X101">
        <f t="shared" ref="X101:X119" si="85">VLOOKUP(I101,$A$170:$R$240,13,0)</f>
        <v>0</v>
      </c>
      <c r="Y101">
        <f t="shared" ref="Y101:Y119" si="86">VLOOKUP(I101,$A$170:$R$240,14,0)</f>
        <v>0</v>
      </c>
      <c r="Z101">
        <f t="shared" ref="Z101:Z119" si="87">VLOOKUP(I101,$A$170:$R$240,15,0)</f>
        <v>0</v>
      </c>
      <c r="AA101">
        <f t="shared" ref="AA101:AA119" si="88">VLOOKUP(I101,$A$170:$R$240,16,0)</f>
        <v>0</v>
      </c>
      <c r="AB101">
        <f t="shared" ref="AB101:AB119" si="89">VLOOKUP(I101,$A$170:$R$240,17,0)</f>
        <v>0</v>
      </c>
      <c r="AC101">
        <f t="shared" ref="AC101:AC119" si="90">VLOOKUP(I101,$A$170:$R$240,18,0)</f>
        <v>0</v>
      </c>
    </row>
    <row r="102" spans="1:29" x14ac:dyDescent="0.3">
      <c r="A102" s="542" t="s">
        <v>1798</v>
      </c>
      <c r="B102" s="1504">
        <v>20</v>
      </c>
      <c r="C102" s="1505">
        <v>0.75</v>
      </c>
      <c r="D102" s="1506">
        <v>4</v>
      </c>
      <c r="E102" s="1505">
        <v>0.75</v>
      </c>
      <c r="F102" s="1504" t="s">
        <v>1699</v>
      </c>
      <c r="G102" s="1358" t="str">
        <f t="shared" si="73"/>
        <v>20</v>
      </c>
      <c r="H102" s="1504">
        <v>115</v>
      </c>
      <c r="I102" s="1504">
        <v>115</v>
      </c>
      <c r="J102" s="1504"/>
      <c r="K102" s="1508">
        <f>HLOOKUP(F102,M100:AC120,3,0)</f>
        <v>39.700000000000003</v>
      </c>
      <c r="L102" s="531"/>
      <c r="M102">
        <f t="shared" si="74"/>
        <v>8.35</v>
      </c>
      <c r="N102">
        <f t="shared" si="75"/>
        <v>12.05</v>
      </c>
      <c r="O102">
        <f t="shared" si="76"/>
        <v>17.5</v>
      </c>
      <c r="P102">
        <f t="shared" si="77"/>
        <v>22.9</v>
      </c>
      <c r="Q102">
        <f t="shared" si="78"/>
        <v>31.25</v>
      </c>
      <c r="R102">
        <f t="shared" si="79"/>
        <v>39.700000000000003</v>
      </c>
      <c r="S102">
        <f t="shared" si="80"/>
        <v>49.599999999999994</v>
      </c>
      <c r="T102">
        <f t="shared" si="81"/>
        <v>59.2</v>
      </c>
      <c r="U102">
        <f t="shared" si="82"/>
        <v>79.300000000000011</v>
      </c>
      <c r="V102">
        <f t="shared" si="83"/>
        <v>0</v>
      </c>
      <c r="W102">
        <f t="shared" si="84"/>
        <v>0</v>
      </c>
      <c r="X102">
        <f t="shared" si="85"/>
        <v>0</v>
      </c>
      <c r="Y102">
        <f t="shared" si="86"/>
        <v>0</v>
      </c>
      <c r="Z102">
        <f t="shared" si="87"/>
        <v>0</v>
      </c>
      <c r="AA102">
        <f t="shared" si="88"/>
        <v>0</v>
      </c>
      <c r="AB102">
        <f t="shared" si="89"/>
        <v>0</v>
      </c>
      <c r="AC102">
        <f t="shared" si="90"/>
        <v>0</v>
      </c>
    </row>
    <row r="103" spans="1:29" x14ac:dyDescent="0.3">
      <c r="A103" s="542" t="s">
        <v>1799</v>
      </c>
      <c r="B103" s="1504">
        <v>25</v>
      </c>
      <c r="C103" s="1505">
        <v>1</v>
      </c>
      <c r="D103" s="1506">
        <v>4</v>
      </c>
      <c r="E103" s="1507">
        <f>7/8</f>
        <v>0.875</v>
      </c>
      <c r="F103" s="1504" t="s">
        <v>1701</v>
      </c>
      <c r="G103" s="1358" t="str">
        <f t="shared" si="73"/>
        <v>24</v>
      </c>
      <c r="H103" s="1504">
        <v>125</v>
      </c>
      <c r="I103" s="1504">
        <v>125</v>
      </c>
      <c r="J103" s="1504"/>
      <c r="K103" s="1508">
        <f>HLOOKUP(F103,M100:AC120,4,0)</f>
        <v>61.7</v>
      </c>
      <c r="L103" s="531"/>
      <c r="M103">
        <f t="shared" si="74"/>
        <v>8.85</v>
      </c>
      <c r="N103">
        <f t="shared" si="75"/>
        <v>12.8</v>
      </c>
      <c r="O103">
        <f t="shared" si="76"/>
        <v>18.5</v>
      </c>
      <c r="P103">
        <f t="shared" si="77"/>
        <v>24.25</v>
      </c>
      <c r="Q103">
        <f t="shared" si="78"/>
        <v>32.900000000000006</v>
      </c>
      <c r="R103">
        <f t="shared" si="79"/>
        <v>41.75</v>
      </c>
      <c r="S103">
        <f t="shared" si="80"/>
        <v>52.15</v>
      </c>
      <c r="T103">
        <f t="shared" si="81"/>
        <v>61.7</v>
      </c>
      <c r="U103">
        <f t="shared" si="82"/>
        <v>83.1</v>
      </c>
      <c r="V103">
        <f t="shared" si="83"/>
        <v>109</v>
      </c>
      <c r="W103">
        <f t="shared" si="84"/>
        <v>0</v>
      </c>
      <c r="X103">
        <f t="shared" si="85"/>
        <v>0</v>
      </c>
      <c r="Y103">
        <f t="shared" si="86"/>
        <v>0</v>
      </c>
      <c r="Z103">
        <f t="shared" si="87"/>
        <v>0</v>
      </c>
      <c r="AA103">
        <f t="shared" si="88"/>
        <v>0</v>
      </c>
      <c r="AB103">
        <f t="shared" si="89"/>
        <v>0</v>
      </c>
      <c r="AC103">
        <f t="shared" si="90"/>
        <v>0</v>
      </c>
    </row>
    <row r="104" spans="1:29" x14ac:dyDescent="0.3">
      <c r="A104" s="542" t="s">
        <v>1800</v>
      </c>
      <c r="B104" s="1504">
        <v>32</v>
      </c>
      <c r="C104" s="1505">
        <v>1.25</v>
      </c>
      <c r="D104" s="1506">
        <v>4</v>
      </c>
      <c r="E104" s="1507">
        <f>7/8</f>
        <v>0.875</v>
      </c>
      <c r="F104" s="1504" t="s">
        <v>1701</v>
      </c>
      <c r="G104" s="1358" t="str">
        <f t="shared" si="73"/>
        <v>24</v>
      </c>
      <c r="H104" s="1504">
        <v>125</v>
      </c>
      <c r="I104" s="1504">
        <v>125</v>
      </c>
      <c r="J104" s="1504"/>
      <c r="K104" s="1508">
        <f>HLOOKUP(F104,M100:AC120,5,0)</f>
        <v>61.7</v>
      </c>
      <c r="L104" s="531"/>
      <c r="M104">
        <f t="shared" si="74"/>
        <v>8.85</v>
      </c>
      <c r="N104">
        <f t="shared" si="75"/>
        <v>12.8</v>
      </c>
      <c r="O104">
        <f t="shared" si="76"/>
        <v>18.5</v>
      </c>
      <c r="P104">
        <f t="shared" si="77"/>
        <v>24.25</v>
      </c>
      <c r="Q104">
        <f t="shared" si="78"/>
        <v>32.900000000000006</v>
      </c>
      <c r="R104">
        <f t="shared" si="79"/>
        <v>41.75</v>
      </c>
      <c r="S104">
        <f t="shared" si="80"/>
        <v>52.15</v>
      </c>
      <c r="T104">
        <f t="shared" si="81"/>
        <v>61.7</v>
      </c>
      <c r="U104">
        <f t="shared" si="82"/>
        <v>83.1</v>
      </c>
      <c r="V104">
        <f t="shared" si="83"/>
        <v>109</v>
      </c>
      <c r="W104">
        <f t="shared" si="84"/>
        <v>0</v>
      </c>
      <c r="X104">
        <f t="shared" si="85"/>
        <v>0</v>
      </c>
      <c r="Y104">
        <f t="shared" si="86"/>
        <v>0</v>
      </c>
      <c r="Z104">
        <f t="shared" si="87"/>
        <v>0</v>
      </c>
      <c r="AA104">
        <f t="shared" si="88"/>
        <v>0</v>
      </c>
      <c r="AB104">
        <f t="shared" si="89"/>
        <v>0</v>
      </c>
      <c r="AC104">
        <f t="shared" si="90"/>
        <v>0</v>
      </c>
    </row>
    <row r="105" spans="1:29" x14ac:dyDescent="0.3">
      <c r="A105" s="542" t="s">
        <v>1801</v>
      </c>
      <c r="B105" s="1504">
        <v>40</v>
      </c>
      <c r="C105" s="1505">
        <v>1.5</v>
      </c>
      <c r="D105" s="1506">
        <v>4</v>
      </c>
      <c r="E105" s="1507">
        <v>1</v>
      </c>
      <c r="F105" s="1504" t="s">
        <v>1702</v>
      </c>
      <c r="G105" s="1358" t="str">
        <f t="shared" si="73"/>
        <v>27</v>
      </c>
      <c r="H105" s="1504">
        <v>140</v>
      </c>
      <c r="I105" s="1504">
        <v>140</v>
      </c>
      <c r="J105" s="1504"/>
      <c r="K105" s="1508">
        <f>HLOOKUP(F105,M100:AC120,6,0)</f>
        <v>88.9</v>
      </c>
      <c r="L105" s="531"/>
      <c r="M105">
        <f t="shared" si="74"/>
        <v>9.6</v>
      </c>
      <c r="N105">
        <f t="shared" si="75"/>
        <v>14.2</v>
      </c>
      <c r="O105">
        <f t="shared" si="76"/>
        <v>20</v>
      </c>
      <c r="P105">
        <f t="shared" si="77"/>
        <v>26.2</v>
      </c>
      <c r="Q105">
        <f t="shared" si="78"/>
        <v>35.4</v>
      </c>
      <c r="R105">
        <f t="shared" si="79"/>
        <v>44.9</v>
      </c>
      <c r="S105">
        <f t="shared" si="80"/>
        <v>55.9</v>
      </c>
      <c r="T105">
        <f t="shared" si="81"/>
        <v>66.2</v>
      </c>
      <c r="U105">
        <f t="shared" si="82"/>
        <v>88.9</v>
      </c>
      <c r="V105">
        <f t="shared" si="83"/>
        <v>116</v>
      </c>
      <c r="W105">
        <f t="shared" si="84"/>
        <v>147</v>
      </c>
      <c r="X105">
        <f t="shared" si="85"/>
        <v>185</v>
      </c>
      <c r="Y105">
        <f t="shared" si="86"/>
        <v>0</v>
      </c>
      <c r="Z105">
        <f t="shared" si="87"/>
        <v>0</v>
      </c>
      <c r="AA105">
        <f t="shared" si="88"/>
        <v>0</v>
      </c>
      <c r="AB105">
        <f t="shared" si="89"/>
        <v>0</v>
      </c>
      <c r="AC105">
        <f t="shared" si="90"/>
        <v>0</v>
      </c>
    </row>
    <row r="106" spans="1:29" x14ac:dyDescent="0.3">
      <c r="A106" s="542" t="s">
        <v>1802</v>
      </c>
      <c r="B106" s="1504">
        <v>50</v>
      </c>
      <c r="C106" s="1505">
        <v>2</v>
      </c>
      <c r="D106" s="1506">
        <v>8</v>
      </c>
      <c r="E106" s="1507">
        <f>7/8</f>
        <v>0.875</v>
      </c>
      <c r="F106" s="1504" t="s">
        <v>1701</v>
      </c>
      <c r="G106" s="1358" t="str">
        <f t="shared" si="73"/>
        <v>24</v>
      </c>
      <c r="H106" s="1504">
        <v>145</v>
      </c>
      <c r="I106" s="1504">
        <v>145</v>
      </c>
      <c r="J106" s="1504"/>
      <c r="K106" s="1508">
        <f>HLOOKUP(F106,M100:AC120,7,0)</f>
        <v>67.7</v>
      </c>
      <c r="L106" s="531"/>
      <c r="M106">
        <f t="shared" si="74"/>
        <v>9.85</v>
      </c>
      <c r="N106">
        <f t="shared" si="75"/>
        <v>14.55</v>
      </c>
      <c r="O106">
        <f t="shared" si="76"/>
        <v>20.399999999999999</v>
      </c>
      <c r="P106">
        <f t="shared" si="77"/>
        <v>26.85</v>
      </c>
      <c r="Q106">
        <f t="shared" si="78"/>
        <v>36.15</v>
      </c>
      <c r="R106">
        <f t="shared" si="79"/>
        <v>45.9</v>
      </c>
      <c r="S106">
        <f t="shared" si="80"/>
        <v>57.2</v>
      </c>
      <c r="T106">
        <f t="shared" si="81"/>
        <v>67.7</v>
      </c>
      <c r="U106">
        <f t="shared" si="82"/>
        <v>90.800000000000011</v>
      </c>
      <c r="V106">
        <f t="shared" si="83"/>
        <v>118.5</v>
      </c>
      <c r="W106">
        <f t="shared" si="84"/>
        <v>150</v>
      </c>
      <c r="X106">
        <f t="shared" si="85"/>
        <v>188.5</v>
      </c>
      <c r="Y106">
        <f t="shared" si="86"/>
        <v>0</v>
      </c>
      <c r="Z106">
        <f t="shared" si="87"/>
        <v>0</v>
      </c>
      <c r="AA106">
        <f t="shared" si="88"/>
        <v>0</v>
      </c>
      <c r="AB106">
        <f t="shared" si="89"/>
        <v>0</v>
      </c>
      <c r="AC106">
        <f t="shared" si="90"/>
        <v>0</v>
      </c>
    </row>
    <row r="107" spans="1:29" x14ac:dyDescent="0.3">
      <c r="A107" s="542" t="s">
        <v>1803</v>
      </c>
      <c r="B107" s="1504">
        <v>65</v>
      </c>
      <c r="C107" s="1505">
        <v>2.5</v>
      </c>
      <c r="D107" s="1506">
        <v>8</v>
      </c>
      <c r="E107" s="1507">
        <v>1</v>
      </c>
      <c r="F107" s="1504" t="s">
        <v>1702</v>
      </c>
      <c r="G107" s="1358" t="str">
        <f t="shared" si="73"/>
        <v>27</v>
      </c>
      <c r="H107" s="1504">
        <v>160</v>
      </c>
      <c r="I107" s="1504">
        <v>160</v>
      </c>
      <c r="J107" s="1504"/>
      <c r="K107" s="1508">
        <f>HLOOKUP(F107,M100:AC120,8,0)</f>
        <v>96.6</v>
      </c>
      <c r="L107" s="531"/>
      <c r="M107">
        <f t="shared" si="74"/>
        <v>10.6</v>
      </c>
      <c r="N107">
        <f t="shared" si="75"/>
        <v>15.6</v>
      </c>
      <c r="O107">
        <f t="shared" si="76"/>
        <v>21.8</v>
      </c>
      <c r="P107">
        <f t="shared" si="77"/>
        <v>29.1</v>
      </c>
      <c r="Q107">
        <f t="shared" si="78"/>
        <v>38.6</v>
      </c>
      <c r="R107">
        <f t="shared" si="79"/>
        <v>49</v>
      </c>
      <c r="S107">
        <f t="shared" si="80"/>
        <v>61</v>
      </c>
      <c r="T107">
        <f t="shared" si="81"/>
        <v>72.2</v>
      </c>
      <c r="U107">
        <f t="shared" si="82"/>
        <v>96.6</v>
      </c>
      <c r="V107">
        <f t="shared" si="83"/>
        <v>126</v>
      </c>
      <c r="W107">
        <f t="shared" si="84"/>
        <v>159</v>
      </c>
      <c r="X107">
        <f t="shared" si="85"/>
        <v>199</v>
      </c>
      <c r="Y107">
        <f t="shared" si="86"/>
        <v>245</v>
      </c>
      <c r="Z107">
        <f t="shared" si="87"/>
        <v>302</v>
      </c>
      <c r="AA107">
        <f t="shared" si="88"/>
        <v>0</v>
      </c>
      <c r="AB107">
        <f t="shared" si="89"/>
        <v>0</v>
      </c>
      <c r="AC107">
        <f t="shared" si="90"/>
        <v>0</v>
      </c>
    </row>
    <row r="108" spans="1:29" x14ac:dyDescent="0.3">
      <c r="A108" s="542" t="s">
        <v>1804</v>
      </c>
      <c r="B108" s="1504">
        <v>80</v>
      </c>
      <c r="C108" s="1505">
        <v>3</v>
      </c>
      <c r="D108" s="1506">
        <v>8</v>
      </c>
      <c r="E108" s="1507">
        <f>7/8</f>
        <v>0.875</v>
      </c>
      <c r="F108" s="1504" t="s">
        <v>1701</v>
      </c>
      <c r="G108" s="1358" t="str">
        <f t="shared" si="73"/>
        <v>24</v>
      </c>
      <c r="H108" s="1504">
        <v>145</v>
      </c>
      <c r="I108" s="1504">
        <v>145</v>
      </c>
      <c r="J108" s="1504"/>
      <c r="K108" s="1508">
        <f>HLOOKUP(F108,M100:AC120,9,0)</f>
        <v>67.7</v>
      </c>
      <c r="L108" s="531"/>
      <c r="M108">
        <f t="shared" si="74"/>
        <v>9.85</v>
      </c>
      <c r="N108">
        <f t="shared" si="75"/>
        <v>14.55</v>
      </c>
      <c r="O108">
        <f t="shared" si="76"/>
        <v>20.399999999999999</v>
      </c>
      <c r="P108">
        <f t="shared" si="77"/>
        <v>26.85</v>
      </c>
      <c r="Q108">
        <f t="shared" si="78"/>
        <v>36.15</v>
      </c>
      <c r="R108">
        <f t="shared" si="79"/>
        <v>45.9</v>
      </c>
      <c r="S108">
        <f t="shared" si="80"/>
        <v>57.2</v>
      </c>
      <c r="T108">
        <f t="shared" si="81"/>
        <v>67.7</v>
      </c>
      <c r="U108">
        <f t="shared" si="82"/>
        <v>90.800000000000011</v>
      </c>
      <c r="V108">
        <f t="shared" si="83"/>
        <v>118.5</v>
      </c>
      <c r="W108">
        <f t="shared" si="84"/>
        <v>150</v>
      </c>
      <c r="X108">
        <f t="shared" si="85"/>
        <v>188.5</v>
      </c>
      <c r="Y108">
        <f t="shared" si="86"/>
        <v>0</v>
      </c>
      <c r="Z108">
        <f t="shared" si="87"/>
        <v>0</v>
      </c>
      <c r="AA108">
        <f t="shared" si="88"/>
        <v>0</v>
      </c>
      <c r="AB108">
        <f t="shared" si="89"/>
        <v>0</v>
      </c>
      <c r="AC108">
        <f t="shared" si="90"/>
        <v>0</v>
      </c>
    </row>
    <row r="109" spans="1:29" x14ac:dyDescent="0.3">
      <c r="A109" s="542" t="s">
        <v>1805</v>
      </c>
      <c r="B109" s="1504">
        <v>100</v>
      </c>
      <c r="C109" s="1505">
        <v>4</v>
      </c>
      <c r="D109" s="1506">
        <v>8</v>
      </c>
      <c r="E109" s="1507">
        <f>1+1/8</f>
        <v>1.125</v>
      </c>
      <c r="F109" s="1504" t="s">
        <v>1703</v>
      </c>
      <c r="G109" s="1358" t="str">
        <f t="shared" si="73"/>
        <v>30</v>
      </c>
      <c r="H109" s="1504">
        <v>170</v>
      </c>
      <c r="I109" s="1504">
        <v>170</v>
      </c>
      <c r="J109" s="1504"/>
      <c r="K109" s="1508">
        <f>HLOOKUP(F109,M100:AC120,10,0)</f>
        <v>130</v>
      </c>
      <c r="L109" s="531"/>
      <c r="M109">
        <f t="shared" si="74"/>
        <v>0</v>
      </c>
      <c r="N109">
        <f t="shared" si="75"/>
        <v>16.399999999999999</v>
      </c>
      <c r="O109">
        <f t="shared" si="76"/>
        <v>22.8</v>
      </c>
      <c r="P109">
        <f t="shared" si="77"/>
        <v>30.4</v>
      </c>
      <c r="Q109">
        <f t="shared" si="78"/>
        <v>40.200000000000003</v>
      </c>
      <c r="R109">
        <f t="shared" si="79"/>
        <v>51.1</v>
      </c>
      <c r="S109">
        <f t="shared" si="80"/>
        <v>63.5</v>
      </c>
      <c r="T109">
        <f t="shared" si="81"/>
        <v>75.2</v>
      </c>
      <c r="U109">
        <f t="shared" si="82"/>
        <v>101</v>
      </c>
      <c r="V109">
        <f t="shared" si="83"/>
        <v>130</v>
      </c>
      <c r="W109">
        <f t="shared" si="84"/>
        <v>165</v>
      </c>
      <c r="X109">
        <f t="shared" si="85"/>
        <v>206</v>
      </c>
      <c r="Y109">
        <f t="shared" si="86"/>
        <v>253</v>
      </c>
      <c r="Z109">
        <f t="shared" si="87"/>
        <v>312</v>
      </c>
      <c r="AA109">
        <f t="shared" si="88"/>
        <v>378</v>
      </c>
      <c r="AB109">
        <f t="shared" si="89"/>
        <v>0</v>
      </c>
      <c r="AC109">
        <f t="shared" si="90"/>
        <v>0</v>
      </c>
    </row>
    <row r="110" spans="1:29" x14ac:dyDescent="0.3">
      <c r="A110" s="542" t="s">
        <v>1806</v>
      </c>
      <c r="B110" s="1504">
        <v>125</v>
      </c>
      <c r="C110" s="1505">
        <v>5</v>
      </c>
      <c r="D110" s="1506">
        <v>8</v>
      </c>
      <c r="E110" s="1507">
        <f>1+ 1/4</f>
        <v>1.25</v>
      </c>
      <c r="F110" s="1504" t="s">
        <v>1704</v>
      </c>
      <c r="G110" s="1358" t="str">
        <f t="shared" si="73"/>
        <v>33</v>
      </c>
      <c r="H110" s="1504">
        <v>190</v>
      </c>
      <c r="I110" s="1504">
        <v>190</v>
      </c>
      <c r="J110" s="1504"/>
      <c r="K110" s="1508">
        <f>HLOOKUP(F110,M100:AC120,11,0)</f>
        <v>176</v>
      </c>
      <c r="L110" s="531"/>
      <c r="M110">
        <f t="shared" si="74"/>
        <v>0</v>
      </c>
      <c r="N110">
        <f t="shared" si="75"/>
        <v>0</v>
      </c>
      <c r="O110">
        <f t="shared" si="76"/>
        <v>0</v>
      </c>
      <c r="P110">
        <f t="shared" si="77"/>
        <v>33.1</v>
      </c>
      <c r="Q110">
        <f t="shared" si="78"/>
        <v>43.5</v>
      </c>
      <c r="R110">
        <f t="shared" si="79"/>
        <v>54.4</v>
      </c>
      <c r="S110">
        <f t="shared" si="80"/>
        <v>68.400000000000006</v>
      </c>
      <c r="T110">
        <f t="shared" si="81"/>
        <v>81.099999999999994</v>
      </c>
      <c r="U110">
        <f t="shared" si="82"/>
        <v>109</v>
      </c>
      <c r="V110">
        <f t="shared" si="83"/>
        <v>140</v>
      </c>
      <c r="W110">
        <f t="shared" si="84"/>
        <v>176</v>
      </c>
      <c r="X110">
        <f t="shared" si="85"/>
        <v>219</v>
      </c>
      <c r="Y110">
        <f t="shared" si="86"/>
        <v>269</v>
      </c>
      <c r="Z110">
        <f t="shared" si="87"/>
        <v>332</v>
      </c>
      <c r="AA110">
        <f t="shared" si="88"/>
        <v>400</v>
      </c>
      <c r="AB110">
        <f t="shared" si="89"/>
        <v>480</v>
      </c>
      <c r="AC110">
        <f t="shared" si="90"/>
        <v>566</v>
      </c>
    </row>
    <row r="111" spans="1:29" x14ac:dyDescent="0.3">
      <c r="A111" s="542" t="s">
        <v>1807</v>
      </c>
      <c r="B111" s="1504">
        <v>150</v>
      </c>
      <c r="C111" s="1505">
        <v>6</v>
      </c>
      <c r="D111" s="1506">
        <v>12</v>
      </c>
      <c r="E111" s="1507">
        <f>1+1/8</f>
        <v>1.125</v>
      </c>
      <c r="F111" s="1504" t="s">
        <v>1703</v>
      </c>
      <c r="G111" s="1358" t="str">
        <f t="shared" si="73"/>
        <v>30</v>
      </c>
      <c r="H111" s="1504">
        <v>190</v>
      </c>
      <c r="I111" s="1504">
        <v>195</v>
      </c>
      <c r="J111" s="1504"/>
      <c r="K111" s="1508">
        <f>HLOOKUP(F111,M100:AC120,12,0)</f>
        <v>142</v>
      </c>
      <c r="L111" s="531"/>
      <c r="M111">
        <f t="shared" si="74"/>
        <v>0</v>
      </c>
      <c r="N111">
        <f t="shared" si="75"/>
        <v>0</v>
      </c>
      <c r="O111">
        <f t="shared" si="76"/>
        <v>0</v>
      </c>
      <c r="P111">
        <f t="shared" si="77"/>
        <v>33.799999999999997</v>
      </c>
      <c r="Q111">
        <f t="shared" si="78"/>
        <v>44.35</v>
      </c>
      <c r="R111">
        <f t="shared" si="79"/>
        <v>55.45</v>
      </c>
      <c r="S111">
        <f t="shared" si="80"/>
        <v>69.7</v>
      </c>
      <c r="T111">
        <f t="shared" si="81"/>
        <v>82.55</v>
      </c>
      <c r="U111">
        <f t="shared" si="82"/>
        <v>111</v>
      </c>
      <c r="V111">
        <f t="shared" si="83"/>
        <v>142</v>
      </c>
      <c r="W111">
        <f t="shared" si="84"/>
        <v>179</v>
      </c>
      <c r="X111">
        <f t="shared" si="85"/>
        <v>222.5</v>
      </c>
      <c r="Y111">
        <f t="shared" si="86"/>
        <v>273.5</v>
      </c>
      <c r="Z111">
        <f t="shared" si="87"/>
        <v>337</v>
      </c>
      <c r="AA111">
        <f t="shared" si="88"/>
        <v>405.5</v>
      </c>
      <c r="AB111">
        <f t="shared" si="89"/>
        <v>486.5</v>
      </c>
      <c r="AC111">
        <f t="shared" si="90"/>
        <v>573.5</v>
      </c>
    </row>
    <row r="112" spans="1:29" x14ac:dyDescent="0.3">
      <c r="A112" s="542" t="s">
        <v>1808</v>
      </c>
      <c r="B112" s="1504">
        <v>200</v>
      </c>
      <c r="C112" s="1505">
        <v>8</v>
      </c>
      <c r="D112" s="1506">
        <v>12</v>
      </c>
      <c r="E112" s="1507">
        <f>1+ 3/8</f>
        <v>1.375</v>
      </c>
      <c r="F112" s="1504" t="s">
        <v>1705</v>
      </c>
      <c r="G112" s="1358" t="str">
        <f t="shared" si="73"/>
        <v>36</v>
      </c>
      <c r="H112" s="1504">
        <v>220</v>
      </c>
      <c r="I112" s="1504">
        <v>220</v>
      </c>
      <c r="J112" s="1504"/>
      <c r="K112" s="1508">
        <f>HLOOKUP(F112,M100:AC120,13,0)</f>
        <v>240</v>
      </c>
      <c r="L112" s="531"/>
      <c r="M112">
        <f t="shared" si="74"/>
        <v>0</v>
      </c>
      <c r="N112">
        <f t="shared" si="75"/>
        <v>0</v>
      </c>
      <c r="O112">
        <f t="shared" si="76"/>
        <v>0</v>
      </c>
      <c r="P112">
        <f t="shared" si="77"/>
        <v>37.1</v>
      </c>
      <c r="Q112">
        <f t="shared" si="78"/>
        <v>48.4</v>
      </c>
      <c r="R112">
        <f t="shared" si="79"/>
        <v>60.6</v>
      </c>
      <c r="S112">
        <f t="shared" si="80"/>
        <v>76.099999999999994</v>
      </c>
      <c r="T112">
        <f t="shared" si="81"/>
        <v>91.4</v>
      </c>
      <c r="U112">
        <f t="shared" si="82"/>
        <v>124</v>
      </c>
      <c r="V112">
        <f t="shared" si="83"/>
        <v>154</v>
      </c>
      <c r="W112">
        <f t="shared" si="84"/>
        <v>194</v>
      </c>
      <c r="X112">
        <f t="shared" si="85"/>
        <v>240</v>
      </c>
      <c r="Y112">
        <f t="shared" si="86"/>
        <v>294</v>
      </c>
      <c r="Z112">
        <f t="shared" si="87"/>
        <v>362</v>
      </c>
      <c r="AA112">
        <f t="shared" si="88"/>
        <v>434</v>
      </c>
      <c r="AB112">
        <f t="shared" si="89"/>
        <v>519</v>
      </c>
      <c r="AC112">
        <f t="shared" si="90"/>
        <v>612</v>
      </c>
    </row>
    <row r="113" spans="1:29" x14ac:dyDescent="0.3">
      <c r="A113" s="542" t="s">
        <v>1809</v>
      </c>
      <c r="B113" s="1504">
        <v>250</v>
      </c>
      <c r="C113" s="1505">
        <v>10</v>
      </c>
      <c r="D113" s="1506">
        <v>16</v>
      </c>
      <c r="E113" s="1507">
        <f>1+ 3/8</f>
        <v>1.375</v>
      </c>
      <c r="F113" s="1504" t="s">
        <v>1705</v>
      </c>
      <c r="G113" s="1358" t="str">
        <f t="shared" si="73"/>
        <v>36</v>
      </c>
      <c r="H113" s="1504">
        <v>235</v>
      </c>
      <c r="I113" s="1504">
        <v>235</v>
      </c>
      <c r="J113" s="1504"/>
      <c r="K113" s="1508">
        <f>HLOOKUP(F113,M100:AC120,14,0)</f>
        <v>250</v>
      </c>
      <c r="L113" s="531"/>
      <c r="M113">
        <f t="shared" si="74"/>
        <v>0</v>
      </c>
      <c r="N113">
        <f t="shared" si="75"/>
        <v>0</v>
      </c>
      <c r="O113">
        <f t="shared" si="76"/>
        <v>0</v>
      </c>
      <c r="P113">
        <f t="shared" si="77"/>
        <v>39.15</v>
      </c>
      <c r="Q113">
        <f t="shared" si="78"/>
        <v>50.900000000000006</v>
      </c>
      <c r="R113">
        <f t="shared" si="79"/>
        <v>63.650000000000006</v>
      </c>
      <c r="S113">
        <f t="shared" si="80"/>
        <v>79.900000000000006</v>
      </c>
      <c r="T113">
        <f t="shared" si="81"/>
        <v>95.9</v>
      </c>
      <c r="U113">
        <f t="shared" si="82"/>
        <v>129</v>
      </c>
      <c r="V113">
        <f t="shared" si="83"/>
        <v>161.5</v>
      </c>
      <c r="W113">
        <f t="shared" si="84"/>
        <v>204.5</v>
      </c>
      <c r="X113">
        <f t="shared" si="85"/>
        <v>250</v>
      </c>
      <c r="Y113">
        <f t="shared" si="86"/>
        <v>306</v>
      </c>
      <c r="Z113">
        <f t="shared" si="87"/>
        <v>377</v>
      </c>
      <c r="AA113">
        <f t="shared" si="88"/>
        <v>451.5</v>
      </c>
      <c r="AB113">
        <f t="shared" si="89"/>
        <v>538.5</v>
      </c>
      <c r="AC113">
        <f t="shared" si="90"/>
        <v>635</v>
      </c>
    </row>
    <row r="114" spans="1:29" x14ac:dyDescent="0.3">
      <c r="A114" s="542" t="s">
        <v>1810</v>
      </c>
      <c r="B114" s="1504">
        <v>300</v>
      </c>
      <c r="C114" s="1505">
        <v>12</v>
      </c>
      <c r="D114" s="1506">
        <v>20</v>
      </c>
      <c r="E114" s="1507">
        <f>1+ 3/8</f>
        <v>1.375</v>
      </c>
      <c r="F114" s="1504" t="s">
        <v>1705</v>
      </c>
      <c r="G114" s="1358" t="str">
        <f t="shared" si="73"/>
        <v>36</v>
      </c>
      <c r="H114" s="1504">
        <v>255</v>
      </c>
      <c r="I114" s="1504">
        <v>255</v>
      </c>
      <c r="J114" s="1504"/>
      <c r="K114" s="1508">
        <f>HLOOKUP(F114,M100:AC120,15,0)</f>
        <v>263.5</v>
      </c>
      <c r="L114" s="531"/>
      <c r="M114">
        <f t="shared" si="74"/>
        <v>0</v>
      </c>
      <c r="N114">
        <f t="shared" si="75"/>
        <v>0</v>
      </c>
      <c r="O114">
        <f t="shared" si="76"/>
        <v>0</v>
      </c>
      <c r="P114">
        <f t="shared" si="77"/>
        <v>0</v>
      </c>
      <c r="Q114">
        <f t="shared" si="78"/>
        <v>54.2</v>
      </c>
      <c r="R114">
        <f t="shared" si="79"/>
        <v>67.8</v>
      </c>
      <c r="S114">
        <f t="shared" si="80"/>
        <v>85</v>
      </c>
      <c r="T114">
        <f t="shared" si="81"/>
        <v>101.5</v>
      </c>
      <c r="U114">
        <f t="shared" si="82"/>
        <v>137</v>
      </c>
      <c r="V114">
        <f t="shared" si="83"/>
        <v>174.5</v>
      </c>
      <c r="W114">
        <f t="shared" si="84"/>
        <v>217</v>
      </c>
      <c r="X114">
        <f t="shared" si="85"/>
        <v>263.5</v>
      </c>
      <c r="Y114">
        <f t="shared" si="86"/>
        <v>323</v>
      </c>
      <c r="Z114">
        <f t="shared" si="87"/>
        <v>396</v>
      </c>
      <c r="AA114">
        <f t="shared" si="88"/>
        <v>474</v>
      </c>
      <c r="AB114">
        <f t="shared" si="89"/>
        <v>564.5</v>
      </c>
      <c r="AC114">
        <f t="shared" si="90"/>
        <v>666</v>
      </c>
    </row>
    <row r="115" spans="1:29" x14ac:dyDescent="0.3">
      <c r="A115" s="542" t="s">
        <v>1811</v>
      </c>
      <c r="B115" s="1504">
        <v>350</v>
      </c>
      <c r="C115" s="1505">
        <v>14</v>
      </c>
      <c r="D115" s="1506">
        <v>20</v>
      </c>
      <c r="E115" s="1507">
        <f>1+ 1/2</f>
        <v>1.5</v>
      </c>
      <c r="F115" s="1504" t="s">
        <v>1706</v>
      </c>
      <c r="G115" s="1358" t="str">
        <f t="shared" si="73"/>
        <v>39</v>
      </c>
      <c r="H115" s="1504">
        <v>275</v>
      </c>
      <c r="I115" s="1504">
        <v>280</v>
      </c>
      <c r="J115" s="1504"/>
      <c r="K115" s="1508">
        <f>HLOOKUP(F115,M100:AC120,16,0)</f>
        <v>343</v>
      </c>
      <c r="L115" s="531"/>
      <c r="M115">
        <f t="shared" si="74"/>
        <v>0</v>
      </c>
      <c r="N115">
        <f t="shared" si="75"/>
        <v>0</v>
      </c>
      <c r="O115">
        <f t="shared" si="76"/>
        <v>0</v>
      </c>
      <c r="P115">
        <f t="shared" si="77"/>
        <v>0</v>
      </c>
      <c r="Q115">
        <f t="shared" si="78"/>
        <v>58.3</v>
      </c>
      <c r="R115">
        <f t="shared" si="79"/>
        <v>73</v>
      </c>
      <c r="S115">
        <f t="shared" si="80"/>
        <v>91.4</v>
      </c>
      <c r="T115">
        <f t="shared" si="81"/>
        <v>109</v>
      </c>
      <c r="U115">
        <f t="shared" si="82"/>
        <v>146</v>
      </c>
      <c r="V115">
        <f t="shared" si="83"/>
        <v>187</v>
      </c>
      <c r="W115">
        <f t="shared" si="84"/>
        <v>230</v>
      </c>
      <c r="X115">
        <f t="shared" si="85"/>
        <v>281</v>
      </c>
      <c r="Y115">
        <f t="shared" si="86"/>
        <v>343</v>
      </c>
      <c r="Z115">
        <f t="shared" si="87"/>
        <v>421</v>
      </c>
      <c r="AA115">
        <f t="shared" si="88"/>
        <v>505</v>
      </c>
      <c r="AB115">
        <f t="shared" si="89"/>
        <v>597</v>
      </c>
      <c r="AC115">
        <f t="shared" si="90"/>
        <v>705</v>
      </c>
    </row>
    <row r="116" spans="1:29" x14ac:dyDescent="0.3">
      <c r="A116" s="542" t="s">
        <v>1812</v>
      </c>
      <c r="B116" s="1504">
        <v>400</v>
      </c>
      <c r="C116" s="1505">
        <v>16</v>
      </c>
      <c r="D116" s="1506">
        <v>20</v>
      </c>
      <c r="E116" s="1507">
        <f>1+ 5/8</f>
        <v>1.625</v>
      </c>
      <c r="F116" s="1504" t="s">
        <v>1707</v>
      </c>
      <c r="G116" s="1358" t="str">
        <f t="shared" si="73"/>
        <v>42</v>
      </c>
      <c r="H116" s="1504">
        <v>285</v>
      </c>
      <c r="I116" s="1504">
        <v>295</v>
      </c>
      <c r="J116" s="1504"/>
      <c r="K116" s="1508">
        <f>HLOOKUP(F116,M100:AC120,17,0)</f>
        <v>436</v>
      </c>
      <c r="L116" s="531"/>
      <c r="M116">
        <f t="shared" si="74"/>
        <v>0</v>
      </c>
      <c r="N116">
        <f t="shared" si="75"/>
        <v>0</v>
      </c>
      <c r="O116">
        <f t="shared" si="76"/>
        <v>0</v>
      </c>
      <c r="P116">
        <f t="shared" si="77"/>
        <v>0</v>
      </c>
      <c r="Q116">
        <f t="shared" si="78"/>
        <v>0</v>
      </c>
      <c r="R116">
        <f t="shared" si="79"/>
        <v>76.05</v>
      </c>
      <c r="S116">
        <f t="shared" si="80"/>
        <v>95.2</v>
      </c>
      <c r="T116">
        <f t="shared" si="81"/>
        <v>113.5</v>
      </c>
      <c r="U116">
        <f t="shared" si="82"/>
        <v>152</v>
      </c>
      <c r="V116">
        <f t="shared" si="83"/>
        <v>194</v>
      </c>
      <c r="W116">
        <f t="shared" si="84"/>
        <v>238.5</v>
      </c>
      <c r="X116">
        <f t="shared" si="85"/>
        <v>294.5</v>
      </c>
      <c r="Y116">
        <f t="shared" si="86"/>
        <v>364</v>
      </c>
      <c r="Z116">
        <f t="shared" si="87"/>
        <v>436</v>
      </c>
      <c r="AA116">
        <f t="shared" si="88"/>
        <v>523.5</v>
      </c>
      <c r="AB116">
        <f t="shared" si="89"/>
        <v>616.5</v>
      </c>
      <c r="AC116">
        <f t="shared" si="90"/>
        <v>728</v>
      </c>
    </row>
    <row r="117" spans="1:29" x14ac:dyDescent="0.3">
      <c r="A117" s="542" t="s">
        <v>1813</v>
      </c>
      <c r="B117" s="1504">
        <v>450</v>
      </c>
      <c r="C117" s="1505">
        <v>18</v>
      </c>
      <c r="D117" s="1506">
        <v>20</v>
      </c>
      <c r="E117" s="1507">
        <f>1+ 7/8</f>
        <v>1.875</v>
      </c>
      <c r="F117" s="1504" t="s">
        <v>1709</v>
      </c>
      <c r="G117" s="1358" t="str">
        <f t="shared" si="73"/>
        <v>48</v>
      </c>
      <c r="H117" s="1504">
        <v>325</v>
      </c>
      <c r="I117" s="1504">
        <v>340</v>
      </c>
      <c r="J117" s="1504"/>
      <c r="K117" s="1508">
        <f>HLOOKUP(F117,M100:AC120,18,0)</f>
        <v>676</v>
      </c>
      <c r="L117" s="531"/>
      <c r="M117">
        <f t="shared" si="74"/>
        <v>0</v>
      </c>
      <c r="N117">
        <f t="shared" si="75"/>
        <v>0</v>
      </c>
      <c r="O117">
        <f t="shared" si="76"/>
        <v>0</v>
      </c>
      <c r="P117">
        <f t="shared" si="77"/>
        <v>0</v>
      </c>
      <c r="Q117">
        <f t="shared" si="78"/>
        <v>0</v>
      </c>
      <c r="R117">
        <f t="shared" si="79"/>
        <v>0</v>
      </c>
      <c r="S117">
        <f t="shared" si="80"/>
        <v>0</v>
      </c>
      <c r="T117">
        <f t="shared" si="81"/>
        <v>127</v>
      </c>
      <c r="U117">
        <f t="shared" si="82"/>
        <v>169</v>
      </c>
      <c r="V117">
        <f t="shared" si="83"/>
        <v>215</v>
      </c>
      <c r="W117">
        <f t="shared" si="84"/>
        <v>265</v>
      </c>
      <c r="X117">
        <f t="shared" si="85"/>
        <v>326</v>
      </c>
      <c r="Y117">
        <f t="shared" si="86"/>
        <v>395</v>
      </c>
      <c r="Z117">
        <f t="shared" si="87"/>
        <v>480</v>
      </c>
      <c r="AA117">
        <f t="shared" si="88"/>
        <v>570</v>
      </c>
      <c r="AB117">
        <f t="shared" si="89"/>
        <v>676</v>
      </c>
      <c r="AC117">
        <f t="shared" si="90"/>
        <v>795</v>
      </c>
    </row>
    <row r="118" spans="1:29" x14ac:dyDescent="0.3">
      <c r="A118" s="542" t="s">
        <v>1814</v>
      </c>
      <c r="B118" s="1504">
        <v>500</v>
      </c>
      <c r="C118" s="1505">
        <v>20</v>
      </c>
      <c r="D118" s="1506">
        <v>20</v>
      </c>
      <c r="E118" s="1507">
        <v>2</v>
      </c>
      <c r="F118" s="1504" t="s">
        <v>1710</v>
      </c>
      <c r="G118" s="1358" t="str">
        <f t="shared" si="73"/>
        <v>52</v>
      </c>
      <c r="H118" s="1504">
        <v>350</v>
      </c>
      <c r="I118" s="1504">
        <v>360</v>
      </c>
      <c r="J118" s="1504"/>
      <c r="K118" s="1508">
        <f>HLOOKUP(F118,M100:AC120,19,0)</f>
        <v>826</v>
      </c>
      <c r="L118" s="531"/>
      <c r="M118">
        <f t="shared" si="74"/>
        <v>0</v>
      </c>
      <c r="N118">
        <f t="shared" si="75"/>
        <v>0</v>
      </c>
      <c r="O118">
        <f t="shared" si="76"/>
        <v>0</v>
      </c>
      <c r="P118">
        <f t="shared" si="77"/>
        <v>0</v>
      </c>
      <c r="Q118">
        <f t="shared" si="78"/>
        <v>0</v>
      </c>
      <c r="R118">
        <f t="shared" si="79"/>
        <v>0</v>
      </c>
      <c r="S118">
        <f t="shared" si="80"/>
        <v>0</v>
      </c>
      <c r="T118">
        <f t="shared" si="81"/>
        <v>133</v>
      </c>
      <c r="U118">
        <f t="shared" si="82"/>
        <v>177</v>
      </c>
      <c r="V118">
        <f t="shared" si="83"/>
        <v>224</v>
      </c>
      <c r="W118">
        <f t="shared" si="84"/>
        <v>276</v>
      </c>
      <c r="X118">
        <f t="shared" si="85"/>
        <v>340</v>
      </c>
      <c r="Y118">
        <f t="shared" si="86"/>
        <v>411</v>
      </c>
      <c r="Z118">
        <f t="shared" si="87"/>
        <v>495</v>
      </c>
      <c r="AA118">
        <f t="shared" si="88"/>
        <v>592</v>
      </c>
      <c r="AB118">
        <f t="shared" si="89"/>
        <v>702</v>
      </c>
      <c r="AC118">
        <f t="shared" si="90"/>
        <v>826</v>
      </c>
    </row>
    <row r="119" spans="1:29" ht="15" thickBot="1" x14ac:dyDescent="0.35">
      <c r="A119" s="542" t="s">
        <v>1815</v>
      </c>
      <c r="B119" s="1504">
        <v>600</v>
      </c>
      <c r="C119" s="1505">
        <v>24</v>
      </c>
      <c r="D119" s="1506">
        <v>20</v>
      </c>
      <c r="E119" s="1507">
        <f>2+ 1/2</f>
        <v>2.5</v>
      </c>
      <c r="F119" s="1504" t="s">
        <v>1816</v>
      </c>
      <c r="G119" s="1358" t="str">
        <f t="shared" si="73"/>
        <v>64</v>
      </c>
      <c r="H119" s="1504">
        <v>440</v>
      </c>
      <c r="I119" s="1504">
        <v>455</v>
      </c>
      <c r="J119" s="1504"/>
      <c r="K119" s="1508">
        <v>1610</v>
      </c>
      <c r="L119" s="531"/>
      <c r="M119">
        <f t="shared" si="74"/>
        <v>0</v>
      </c>
      <c r="N119">
        <f t="shared" si="75"/>
        <v>0</v>
      </c>
      <c r="O119">
        <f t="shared" si="76"/>
        <v>0</v>
      </c>
      <c r="P119">
        <f t="shared" si="77"/>
        <v>0</v>
      </c>
      <c r="Q119">
        <f t="shared" si="78"/>
        <v>0</v>
      </c>
      <c r="R119">
        <f t="shared" si="79"/>
        <v>0</v>
      </c>
      <c r="S119">
        <f t="shared" si="80"/>
        <v>0</v>
      </c>
      <c r="T119">
        <f t="shared" si="81"/>
        <v>0</v>
      </c>
      <c r="U119">
        <f t="shared" si="82"/>
        <v>215</v>
      </c>
      <c r="V119">
        <f t="shared" si="83"/>
        <v>267.75</v>
      </c>
      <c r="W119">
        <f t="shared" si="84"/>
        <v>329.25</v>
      </c>
      <c r="X119">
        <f t="shared" si="85"/>
        <v>405.5</v>
      </c>
      <c r="Y119">
        <f t="shared" si="86"/>
        <v>488</v>
      </c>
      <c r="Z119">
        <f t="shared" si="87"/>
        <v>581.25</v>
      </c>
      <c r="AA119">
        <f t="shared" si="88"/>
        <v>671.25</v>
      </c>
      <c r="AB119">
        <f t="shared" si="89"/>
        <v>825.5</v>
      </c>
      <c r="AC119">
        <f t="shared" si="90"/>
        <v>973.25</v>
      </c>
    </row>
    <row r="120" spans="1:29" ht="15" thickBot="1" x14ac:dyDescent="0.35">
      <c r="A120" s="560" t="s">
        <v>1817</v>
      </c>
      <c r="B120" s="561"/>
      <c r="C120" s="562"/>
      <c r="D120" s="561"/>
      <c r="E120" s="562"/>
      <c r="F120" s="561"/>
      <c r="G120" s="585"/>
      <c r="H120" s="561"/>
      <c r="I120" s="563"/>
      <c r="J120" s="1752" t="s">
        <v>1684</v>
      </c>
      <c r="K120" s="1753"/>
      <c r="L120" s="531"/>
    </row>
    <row r="121" spans="1:29" ht="15" thickBot="1" x14ac:dyDescent="0.35">
      <c r="A121" s="1432">
        <v>1500</v>
      </c>
      <c r="B121" s="1756" t="s">
        <v>59</v>
      </c>
      <c r="C121" s="1759" t="s">
        <v>1685</v>
      </c>
      <c r="D121" s="1756" t="s">
        <v>1686</v>
      </c>
      <c r="E121" s="1762" t="s">
        <v>1687</v>
      </c>
      <c r="F121" s="1762"/>
      <c r="G121" s="579"/>
      <c r="H121" s="1762" t="s">
        <v>1688</v>
      </c>
      <c r="I121" s="1763"/>
      <c r="J121" s="1754"/>
      <c r="K121" s="1755"/>
      <c r="L121" s="531"/>
      <c r="M121" s="1750" t="s">
        <v>1689</v>
      </c>
      <c r="N121" s="1750"/>
      <c r="O121" s="1750"/>
      <c r="P121" s="1750"/>
      <c r="Q121" s="1750"/>
      <c r="R121" s="1750"/>
      <c r="S121" s="1750"/>
      <c r="T121" s="1750"/>
      <c r="U121" s="1750"/>
      <c r="V121" s="1750"/>
      <c r="W121" s="1750"/>
      <c r="X121" s="1750"/>
      <c r="Y121" s="1750"/>
      <c r="Z121" s="1750"/>
      <c r="AA121" s="1750"/>
      <c r="AB121" s="1750"/>
      <c r="AC121" s="1750"/>
    </row>
    <row r="122" spans="1:29" ht="29.4" thickBot="1" x14ac:dyDescent="0.35">
      <c r="A122" s="1496"/>
      <c r="B122" s="1757"/>
      <c r="C122" s="1760"/>
      <c r="D122" s="1757"/>
      <c r="E122" s="1498" t="s">
        <v>1690</v>
      </c>
      <c r="F122" s="1497" t="s">
        <v>1691</v>
      </c>
      <c r="G122" s="1359" t="s">
        <v>1691</v>
      </c>
      <c r="H122" s="1497" t="s">
        <v>1692</v>
      </c>
      <c r="I122" s="1501" t="s">
        <v>1689</v>
      </c>
      <c r="J122" s="1502" t="s">
        <v>1690</v>
      </c>
      <c r="K122" s="1503" t="s">
        <v>1691</v>
      </c>
      <c r="L122" s="531"/>
      <c r="M122" s="1751" t="s">
        <v>1691</v>
      </c>
      <c r="N122" s="1751"/>
      <c r="O122" s="1751"/>
      <c r="P122" s="1751"/>
      <c r="Q122" s="1751"/>
      <c r="R122" s="1751"/>
      <c r="S122" s="1751"/>
      <c r="T122" s="1751"/>
      <c r="U122" s="1751"/>
      <c r="V122" s="1751"/>
      <c r="W122" s="1751"/>
      <c r="X122" s="1751"/>
      <c r="Y122" s="1751"/>
      <c r="Z122" s="1751"/>
      <c r="AA122" s="1751"/>
      <c r="AB122" s="1751"/>
      <c r="AC122" s="1751"/>
    </row>
    <row r="123" spans="1:29" ht="15" thickBot="1" x14ac:dyDescent="0.35">
      <c r="A123" s="534" t="s">
        <v>1693</v>
      </c>
      <c r="B123" s="1758"/>
      <c r="C123" s="1761"/>
      <c r="D123" s="1758"/>
      <c r="E123" s="535" t="s">
        <v>1082</v>
      </c>
      <c r="F123" s="547" t="s">
        <v>93</v>
      </c>
      <c r="G123" s="580" t="s">
        <v>93</v>
      </c>
      <c r="H123" s="547" t="s">
        <v>93</v>
      </c>
      <c r="I123" s="539" t="s">
        <v>93</v>
      </c>
      <c r="J123" s="535" t="s">
        <v>222</v>
      </c>
      <c r="K123" s="536" t="s">
        <v>222</v>
      </c>
      <c r="L123" s="531"/>
      <c r="M123" s="540" t="s">
        <v>1694</v>
      </c>
      <c r="N123" s="540" t="s">
        <v>1695</v>
      </c>
      <c r="O123" s="540" t="s">
        <v>1696</v>
      </c>
      <c r="P123" s="540" t="s">
        <v>1697</v>
      </c>
      <c r="Q123" s="540" t="s">
        <v>1698</v>
      </c>
      <c r="R123" s="540" t="s">
        <v>1699</v>
      </c>
      <c r="S123" s="540" t="s">
        <v>1700</v>
      </c>
      <c r="T123" s="540" t="s">
        <v>1701</v>
      </c>
      <c r="U123" s="540" t="s">
        <v>1702</v>
      </c>
      <c r="V123" s="540" t="s">
        <v>1703</v>
      </c>
      <c r="W123" s="540" t="s">
        <v>1704</v>
      </c>
      <c r="X123" s="540" t="s">
        <v>1705</v>
      </c>
      <c r="Y123" s="540" t="s">
        <v>1706</v>
      </c>
      <c r="Z123" s="540" t="s">
        <v>1707</v>
      </c>
      <c r="AA123" s="540" t="s">
        <v>1708</v>
      </c>
      <c r="AB123" s="540" t="s">
        <v>1709</v>
      </c>
      <c r="AC123" s="541" t="s">
        <v>1710</v>
      </c>
    </row>
    <row r="124" spans="1:29" x14ac:dyDescent="0.3">
      <c r="A124" s="542" t="s">
        <v>1818</v>
      </c>
      <c r="B124" s="1504">
        <v>15</v>
      </c>
      <c r="C124" s="1505">
        <v>0.5</v>
      </c>
      <c r="D124" s="1506">
        <v>4</v>
      </c>
      <c r="E124" s="1505">
        <v>0.75</v>
      </c>
      <c r="F124" s="1504" t="s">
        <v>1699</v>
      </c>
      <c r="G124" s="1358" t="str">
        <f t="shared" ref="G124:G142" si="91">RIGHT(F124,2)</f>
        <v>20</v>
      </c>
      <c r="H124" s="1504">
        <v>105</v>
      </c>
      <c r="I124" s="1504">
        <v>105</v>
      </c>
      <c r="J124" s="1504"/>
      <c r="K124" s="1508">
        <f>HLOOKUP(F124,M123:AC143,2,0)</f>
        <v>37.700000000000003</v>
      </c>
      <c r="L124" s="531"/>
      <c r="M124">
        <f t="shared" ref="M124:M142" si="92">VLOOKUP(I124,$A$170:$R$240,2,0)</f>
        <v>7.85</v>
      </c>
      <c r="N124">
        <f t="shared" ref="N124:N142" si="93">VLOOKUP(I124,$A$170:$R$240,3,0)</f>
        <v>11.35</v>
      </c>
      <c r="O124">
        <f t="shared" ref="O124:O142" si="94">VLOOKUP(I124,$A$170:$R$240,4,0)</f>
        <v>16.5</v>
      </c>
      <c r="P124">
        <f t="shared" ref="P124:P142" si="95">VLOOKUP(I124,$A$170:$R$240,5,0)</f>
        <v>21.6</v>
      </c>
      <c r="Q124">
        <f t="shared" ref="Q124:Q142" si="96">VLOOKUP(I124,$A$170:$R$240,6,0)</f>
        <v>29.6</v>
      </c>
      <c r="R124">
        <f t="shared" ref="R124:R142" si="97">VLOOKUP(I124,$A$170:$R$240,7,0)</f>
        <v>37.700000000000003</v>
      </c>
      <c r="S124">
        <f t="shared" ref="S124:S142" si="98">VLOOKUP(I124,$A$170:$R$240,8,0)</f>
        <v>47.75</v>
      </c>
      <c r="T124">
        <f t="shared" ref="T124:T142" si="99">VLOOKUP(I124,$A$170:$R$240,9,0)</f>
        <v>56.2</v>
      </c>
      <c r="U124">
        <f t="shared" ref="U124:U142" si="100">VLOOKUP(I124,$A$170:$R$240,10,0)</f>
        <v>0</v>
      </c>
      <c r="V124">
        <f t="shared" ref="V124:V142" si="101">VLOOKUP(I124,$A$170:$R$240,11,0)</f>
        <v>0</v>
      </c>
      <c r="W124">
        <f t="shared" ref="W124:W142" si="102">VLOOKUP(I124,$A$170:$R$240,12,0)</f>
        <v>0</v>
      </c>
      <c r="X124">
        <f t="shared" ref="X124:X142" si="103">VLOOKUP(I124,$A$170:$R$240,13,0)</f>
        <v>0</v>
      </c>
      <c r="Y124">
        <f t="shared" ref="Y124:Y142" si="104">VLOOKUP(I124,$A$170:$R$240,14,0)</f>
        <v>0</v>
      </c>
      <c r="Z124">
        <f t="shared" ref="Z124:Z142" si="105">VLOOKUP(I124,$A$170:$R$240,15,0)</f>
        <v>0</v>
      </c>
      <c r="AA124">
        <f t="shared" ref="AA124:AA142" si="106">VLOOKUP(I124,$A$170:$R$240,16,0)</f>
        <v>0</v>
      </c>
      <c r="AB124">
        <f t="shared" ref="AB124:AB142" si="107">VLOOKUP(I124,$A$170:$R$240,17,0)</f>
        <v>0</v>
      </c>
      <c r="AC124">
        <f t="shared" ref="AC124:AC142" si="108">VLOOKUP(I124,$A$170:$R$240,18,0)</f>
        <v>0</v>
      </c>
    </row>
    <row r="125" spans="1:29" x14ac:dyDescent="0.3">
      <c r="A125" s="542" t="s">
        <v>1819</v>
      </c>
      <c r="B125" s="1504">
        <v>20</v>
      </c>
      <c r="C125" s="1505">
        <v>0.75</v>
      </c>
      <c r="D125" s="1506">
        <v>4</v>
      </c>
      <c r="E125" s="1505">
        <v>0.75</v>
      </c>
      <c r="F125" s="1504" t="s">
        <v>1699</v>
      </c>
      <c r="G125" s="1358" t="str">
        <f t="shared" si="91"/>
        <v>20</v>
      </c>
      <c r="H125" s="1504">
        <v>115</v>
      </c>
      <c r="I125" s="1504">
        <v>115</v>
      </c>
      <c r="J125" s="1504"/>
      <c r="K125" s="1508">
        <f>HLOOKUP(F125,M123:AC143,3,0)</f>
        <v>39.700000000000003</v>
      </c>
      <c r="L125" s="531"/>
      <c r="M125">
        <f t="shared" si="92"/>
        <v>8.35</v>
      </c>
      <c r="N125">
        <f t="shared" si="93"/>
        <v>12.05</v>
      </c>
      <c r="O125">
        <f t="shared" si="94"/>
        <v>17.5</v>
      </c>
      <c r="P125">
        <f t="shared" si="95"/>
        <v>22.9</v>
      </c>
      <c r="Q125">
        <f t="shared" si="96"/>
        <v>31.25</v>
      </c>
      <c r="R125">
        <f t="shared" si="97"/>
        <v>39.700000000000003</v>
      </c>
      <c r="S125">
        <f t="shared" si="98"/>
        <v>49.599999999999994</v>
      </c>
      <c r="T125">
        <f t="shared" si="99"/>
        <v>59.2</v>
      </c>
      <c r="U125">
        <f t="shared" si="100"/>
        <v>79.300000000000011</v>
      </c>
      <c r="V125">
        <f t="shared" si="101"/>
        <v>0</v>
      </c>
      <c r="W125">
        <f t="shared" si="102"/>
        <v>0</v>
      </c>
      <c r="X125">
        <f t="shared" si="103"/>
        <v>0</v>
      </c>
      <c r="Y125">
        <f t="shared" si="104"/>
        <v>0</v>
      </c>
      <c r="Z125">
        <f t="shared" si="105"/>
        <v>0</v>
      </c>
      <c r="AA125">
        <f t="shared" si="106"/>
        <v>0</v>
      </c>
      <c r="AB125">
        <f t="shared" si="107"/>
        <v>0</v>
      </c>
      <c r="AC125">
        <f t="shared" si="108"/>
        <v>0</v>
      </c>
    </row>
    <row r="126" spans="1:29" x14ac:dyDescent="0.3">
      <c r="A126" s="542" t="s">
        <v>1820</v>
      </c>
      <c r="B126" s="1504">
        <v>25</v>
      </c>
      <c r="C126" s="1505">
        <v>1</v>
      </c>
      <c r="D126" s="1506">
        <v>4</v>
      </c>
      <c r="E126" s="1507">
        <f>7/8</f>
        <v>0.875</v>
      </c>
      <c r="F126" s="1504" t="s">
        <v>1701</v>
      </c>
      <c r="G126" s="1358" t="str">
        <f t="shared" si="91"/>
        <v>24</v>
      </c>
      <c r="H126" s="1504">
        <v>125</v>
      </c>
      <c r="I126" s="1504">
        <v>125</v>
      </c>
      <c r="J126" s="1504"/>
      <c r="K126" s="1508">
        <f>HLOOKUP(F126,M123:AC143,4,0)</f>
        <v>61.7</v>
      </c>
      <c r="L126" s="531"/>
      <c r="M126">
        <f t="shared" si="92"/>
        <v>8.85</v>
      </c>
      <c r="N126">
        <f t="shared" si="93"/>
        <v>12.8</v>
      </c>
      <c r="O126">
        <f t="shared" si="94"/>
        <v>18.5</v>
      </c>
      <c r="P126">
        <f t="shared" si="95"/>
        <v>24.25</v>
      </c>
      <c r="Q126">
        <f t="shared" si="96"/>
        <v>32.900000000000006</v>
      </c>
      <c r="R126">
        <f t="shared" si="97"/>
        <v>41.75</v>
      </c>
      <c r="S126">
        <f t="shared" si="98"/>
        <v>52.15</v>
      </c>
      <c r="T126">
        <f t="shared" si="99"/>
        <v>61.7</v>
      </c>
      <c r="U126">
        <f t="shared" si="100"/>
        <v>83.1</v>
      </c>
      <c r="V126">
        <f t="shared" si="101"/>
        <v>109</v>
      </c>
      <c r="W126">
        <f t="shared" si="102"/>
        <v>0</v>
      </c>
      <c r="X126">
        <f t="shared" si="103"/>
        <v>0</v>
      </c>
      <c r="Y126">
        <f t="shared" si="104"/>
        <v>0</v>
      </c>
      <c r="Z126">
        <f t="shared" si="105"/>
        <v>0</v>
      </c>
      <c r="AA126">
        <f t="shared" si="106"/>
        <v>0</v>
      </c>
      <c r="AB126">
        <f t="shared" si="107"/>
        <v>0</v>
      </c>
      <c r="AC126">
        <f t="shared" si="108"/>
        <v>0</v>
      </c>
    </row>
    <row r="127" spans="1:29" x14ac:dyDescent="0.3">
      <c r="A127" s="542" t="s">
        <v>1821</v>
      </c>
      <c r="B127" s="1504">
        <v>32</v>
      </c>
      <c r="C127" s="1505">
        <v>1.25</v>
      </c>
      <c r="D127" s="1506">
        <v>4</v>
      </c>
      <c r="E127" s="1507">
        <f>7/8</f>
        <v>0.875</v>
      </c>
      <c r="F127" s="1504" t="s">
        <v>1701</v>
      </c>
      <c r="G127" s="1358" t="str">
        <f t="shared" si="91"/>
        <v>24</v>
      </c>
      <c r="H127" s="1504">
        <v>125</v>
      </c>
      <c r="I127" s="1504">
        <v>125</v>
      </c>
      <c r="J127" s="1504"/>
      <c r="K127" s="1508">
        <f>HLOOKUP(F127,M123:AC143,5,0)</f>
        <v>61.7</v>
      </c>
      <c r="L127" s="531"/>
      <c r="M127">
        <f t="shared" si="92"/>
        <v>8.85</v>
      </c>
      <c r="N127">
        <f t="shared" si="93"/>
        <v>12.8</v>
      </c>
      <c r="O127">
        <f t="shared" si="94"/>
        <v>18.5</v>
      </c>
      <c r="P127">
        <f t="shared" si="95"/>
        <v>24.25</v>
      </c>
      <c r="Q127">
        <f t="shared" si="96"/>
        <v>32.900000000000006</v>
      </c>
      <c r="R127">
        <f t="shared" si="97"/>
        <v>41.75</v>
      </c>
      <c r="S127">
        <f t="shared" si="98"/>
        <v>52.15</v>
      </c>
      <c r="T127">
        <f t="shared" si="99"/>
        <v>61.7</v>
      </c>
      <c r="U127">
        <f t="shared" si="100"/>
        <v>83.1</v>
      </c>
      <c r="V127">
        <f t="shared" si="101"/>
        <v>109</v>
      </c>
      <c r="W127">
        <f t="shared" si="102"/>
        <v>0</v>
      </c>
      <c r="X127">
        <f t="shared" si="103"/>
        <v>0</v>
      </c>
      <c r="Y127">
        <f t="shared" si="104"/>
        <v>0</v>
      </c>
      <c r="Z127">
        <f t="shared" si="105"/>
        <v>0</v>
      </c>
      <c r="AA127">
        <f t="shared" si="106"/>
        <v>0</v>
      </c>
      <c r="AB127">
        <f t="shared" si="107"/>
        <v>0</v>
      </c>
      <c r="AC127">
        <f t="shared" si="108"/>
        <v>0</v>
      </c>
    </row>
    <row r="128" spans="1:29" x14ac:dyDescent="0.3">
      <c r="A128" s="542" t="s">
        <v>1822</v>
      </c>
      <c r="B128" s="1504">
        <v>40</v>
      </c>
      <c r="C128" s="1505">
        <v>1.5</v>
      </c>
      <c r="D128" s="1506">
        <v>4</v>
      </c>
      <c r="E128" s="1507">
        <v>1</v>
      </c>
      <c r="F128" s="1504" t="s">
        <v>1702</v>
      </c>
      <c r="G128" s="1358" t="str">
        <f t="shared" si="91"/>
        <v>27</v>
      </c>
      <c r="H128" s="1504">
        <v>140</v>
      </c>
      <c r="I128" s="1504">
        <v>140</v>
      </c>
      <c r="J128" s="1504"/>
      <c r="K128" s="1508">
        <f>HLOOKUP(F128,M123:AC143,6,0)</f>
        <v>88.9</v>
      </c>
      <c r="L128" s="531"/>
      <c r="M128">
        <f t="shared" si="92"/>
        <v>9.6</v>
      </c>
      <c r="N128">
        <f t="shared" si="93"/>
        <v>14.2</v>
      </c>
      <c r="O128">
        <f t="shared" si="94"/>
        <v>20</v>
      </c>
      <c r="P128">
        <f t="shared" si="95"/>
        <v>26.2</v>
      </c>
      <c r="Q128">
        <f t="shared" si="96"/>
        <v>35.4</v>
      </c>
      <c r="R128">
        <f t="shared" si="97"/>
        <v>44.9</v>
      </c>
      <c r="S128">
        <f t="shared" si="98"/>
        <v>55.9</v>
      </c>
      <c r="T128">
        <f t="shared" si="99"/>
        <v>66.2</v>
      </c>
      <c r="U128">
        <f t="shared" si="100"/>
        <v>88.9</v>
      </c>
      <c r="V128">
        <f t="shared" si="101"/>
        <v>116</v>
      </c>
      <c r="W128">
        <f t="shared" si="102"/>
        <v>147</v>
      </c>
      <c r="X128">
        <f t="shared" si="103"/>
        <v>185</v>
      </c>
      <c r="Y128">
        <f t="shared" si="104"/>
        <v>0</v>
      </c>
      <c r="Z128">
        <f t="shared" si="105"/>
        <v>0</v>
      </c>
      <c r="AA128">
        <f t="shared" si="106"/>
        <v>0</v>
      </c>
      <c r="AB128">
        <f t="shared" si="107"/>
        <v>0</v>
      </c>
      <c r="AC128">
        <f t="shared" si="108"/>
        <v>0</v>
      </c>
    </row>
    <row r="129" spans="1:29" x14ac:dyDescent="0.3">
      <c r="A129" s="542" t="s">
        <v>1823</v>
      </c>
      <c r="B129" s="1504">
        <v>50</v>
      </c>
      <c r="C129" s="1505">
        <v>2</v>
      </c>
      <c r="D129" s="1506">
        <v>8</v>
      </c>
      <c r="E129" s="1507">
        <f>7/8</f>
        <v>0.875</v>
      </c>
      <c r="F129" s="1504" t="s">
        <v>1701</v>
      </c>
      <c r="G129" s="1358" t="str">
        <f t="shared" si="91"/>
        <v>24</v>
      </c>
      <c r="H129" s="1504">
        <v>145</v>
      </c>
      <c r="I129" s="1504">
        <v>145</v>
      </c>
      <c r="J129" s="1504"/>
      <c r="K129" s="1508">
        <f>HLOOKUP(F129,M123:AC143,7,0)</f>
        <v>67.7</v>
      </c>
      <c r="L129" s="531"/>
      <c r="M129">
        <f t="shared" si="92"/>
        <v>9.85</v>
      </c>
      <c r="N129">
        <f t="shared" si="93"/>
        <v>14.55</v>
      </c>
      <c r="O129">
        <f t="shared" si="94"/>
        <v>20.399999999999999</v>
      </c>
      <c r="P129">
        <f t="shared" si="95"/>
        <v>26.85</v>
      </c>
      <c r="Q129">
        <f t="shared" si="96"/>
        <v>36.15</v>
      </c>
      <c r="R129">
        <f t="shared" si="97"/>
        <v>45.9</v>
      </c>
      <c r="S129">
        <f t="shared" si="98"/>
        <v>57.2</v>
      </c>
      <c r="T129">
        <f t="shared" si="99"/>
        <v>67.7</v>
      </c>
      <c r="U129">
        <f t="shared" si="100"/>
        <v>90.800000000000011</v>
      </c>
      <c r="V129">
        <f t="shared" si="101"/>
        <v>118.5</v>
      </c>
      <c r="W129">
        <f t="shared" si="102"/>
        <v>150</v>
      </c>
      <c r="X129">
        <f t="shared" si="103"/>
        <v>188.5</v>
      </c>
      <c r="Y129">
        <f t="shared" si="104"/>
        <v>0</v>
      </c>
      <c r="Z129">
        <f t="shared" si="105"/>
        <v>0</v>
      </c>
      <c r="AA129">
        <f t="shared" si="106"/>
        <v>0</v>
      </c>
      <c r="AB129">
        <f t="shared" si="107"/>
        <v>0</v>
      </c>
      <c r="AC129">
        <f t="shared" si="108"/>
        <v>0</v>
      </c>
    </row>
    <row r="130" spans="1:29" x14ac:dyDescent="0.3">
      <c r="A130" s="542" t="s">
        <v>1824</v>
      </c>
      <c r="B130" s="1504">
        <v>65</v>
      </c>
      <c r="C130" s="1505">
        <v>2.5</v>
      </c>
      <c r="D130" s="1506">
        <v>8</v>
      </c>
      <c r="E130" s="1507">
        <v>1</v>
      </c>
      <c r="F130" s="1504" t="s">
        <v>1702</v>
      </c>
      <c r="G130" s="1358" t="str">
        <f t="shared" si="91"/>
        <v>27</v>
      </c>
      <c r="H130" s="1504">
        <v>160</v>
      </c>
      <c r="I130" s="1504">
        <v>160</v>
      </c>
      <c r="J130" s="1504"/>
      <c r="K130" s="1508">
        <f>HLOOKUP(F130,M123:AC143,8,0)</f>
        <v>96.6</v>
      </c>
      <c r="L130" s="531"/>
      <c r="M130">
        <f t="shared" si="92"/>
        <v>10.6</v>
      </c>
      <c r="N130">
        <f t="shared" si="93"/>
        <v>15.6</v>
      </c>
      <c r="O130">
        <f t="shared" si="94"/>
        <v>21.8</v>
      </c>
      <c r="P130">
        <f t="shared" si="95"/>
        <v>29.1</v>
      </c>
      <c r="Q130">
        <f t="shared" si="96"/>
        <v>38.6</v>
      </c>
      <c r="R130">
        <f t="shared" si="97"/>
        <v>49</v>
      </c>
      <c r="S130">
        <f t="shared" si="98"/>
        <v>61</v>
      </c>
      <c r="T130">
        <f t="shared" si="99"/>
        <v>72.2</v>
      </c>
      <c r="U130">
        <f t="shared" si="100"/>
        <v>96.6</v>
      </c>
      <c r="V130">
        <f t="shared" si="101"/>
        <v>126</v>
      </c>
      <c r="W130">
        <f t="shared" si="102"/>
        <v>159</v>
      </c>
      <c r="X130">
        <f t="shared" si="103"/>
        <v>199</v>
      </c>
      <c r="Y130">
        <f t="shared" si="104"/>
        <v>245</v>
      </c>
      <c r="Z130">
        <f t="shared" si="105"/>
        <v>302</v>
      </c>
      <c r="AA130">
        <f t="shared" si="106"/>
        <v>0</v>
      </c>
      <c r="AB130">
        <f t="shared" si="107"/>
        <v>0</v>
      </c>
      <c r="AC130">
        <f t="shared" si="108"/>
        <v>0</v>
      </c>
    </row>
    <row r="131" spans="1:29" x14ac:dyDescent="0.3">
      <c r="A131" s="542" t="s">
        <v>1825</v>
      </c>
      <c r="B131" s="1504">
        <v>80</v>
      </c>
      <c r="C131" s="1505">
        <v>3</v>
      </c>
      <c r="D131" s="1506">
        <v>8</v>
      </c>
      <c r="E131" s="1507">
        <f>1+1/8</f>
        <v>1.125</v>
      </c>
      <c r="F131" s="1504" t="s">
        <v>1703</v>
      </c>
      <c r="G131" s="1358" t="str">
        <f t="shared" si="91"/>
        <v>30</v>
      </c>
      <c r="H131" s="1504">
        <v>180</v>
      </c>
      <c r="I131" s="1504">
        <v>180</v>
      </c>
      <c r="J131" s="1504"/>
      <c r="K131" s="1508">
        <f>HLOOKUP(F131,M123:AC143,9,0)</f>
        <v>135</v>
      </c>
      <c r="L131" s="531"/>
      <c r="M131">
        <f t="shared" si="92"/>
        <v>0</v>
      </c>
      <c r="N131">
        <f t="shared" si="93"/>
        <v>0</v>
      </c>
      <c r="O131">
        <f t="shared" si="94"/>
        <v>23.8</v>
      </c>
      <c r="P131">
        <f t="shared" si="95"/>
        <v>31.8</v>
      </c>
      <c r="Q131">
        <f t="shared" si="96"/>
        <v>41.9</v>
      </c>
      <c r="R131">
        <f t="shared" si="97"/>
        <v>52.3</v>
      </c>
      <c r="S131">
        <f t="shared" si="98"/>
        <v>66.099999999999994</v>
      </c>
      <c r="T131">
        <f t="shared" si="99"/>
        <v>78.099999999999994</v>
      </c>
      <c r="U131">
        <f t="shared" si="100"/>
        <v>105</v>
      </c>
      <c r="V131">
        <f t="shared" si="101"/>
        <v>135</v>
      </c>
      <c r="W131">
        <f t="shared" si="102"/>
        <v>171</v>
      </c>
      <c r="X131">
        <f t="shared" si="103"/>
        <v>213</v>
      </c>
      <c r="Y131">
        <f t="shared" si="104"/>
        <v>261</v>
      </c>
      <c r="Z131">
        <f t="shared" si="105"/>
        <v>322</v>
      </c>
      <c r="AA131">
        <f t="shared" si="106"/>
        <v>389</v>
      </c>
      <c r="AB131">
        <f t="shared" si="107"/>
        <v>467</v>
      </c>
      <c r="AC131">
        <f t="shared" si="108"/>
        <v>0</v>
      </c>
    </row>
    <row r="132" spans="1:29" x14ac:dyDescent="0.3">
      <c r="A132" s="542" t="s">
        <v>1826</v>
      </c>
      <c r="B132" s="1504">
        <v>100</v>
      </c>
      <c r="C132" s="1505">
        <v>4</v>
      </c>
      <c r="D132" s="1506">
        <v>8</v>
      </c>
      <c r="E132" s="1507">
        <f>1+ 1/4</f>
        <v>1.25</v>
      </c>
      <c r="F132" s="1504" t="s">
        <v>1704</v>
      </c>
      <c r="G132" s="1358" t="str">
        <f t="shared" si="91"/>
        <v>33</v>
      </c>
      <c r="H132" s="1504">
        <v>200</v>
      </c>
      <c r="I132" s="1504">
        <v>200</v>
      </c>
      <c r="J132" s="1504"/>
      <c r="K132" s="1508">
        <f>HLOOKUP(F132,M123:AC143,10,0)</f>
        <v>182</v>
      </c>
      <c r="L132" s="531"/>
      <c r="M132">
        <f t="shared" si="92"/>
        <v>0</v>
      </c>
      <c r="N132">
        <f t="shared" si="93"/>
        <v>0</v>
      </c>
      <c r="O132">
        <f t="shared" si="94"/>
        <v>0</v>
      </c>
      <c r="P132">
        <f t="shared" si="95"/>
        <v>34.5</v>
      </c>
      <c r="Q132">
        <f t="shared" si="96"/>
        <v>45.2</v>
      </c>
      <c r="R132">
        <f t="shared" si="97"/>
        <v>56.5</v>
      </c>
      <c r="S132">
        <f t="shared" si="98"/>
        <v>71</v>
      </c>
      <c r="T132">
        <f t="shared" si="99"/>
        <v>84</v>
      </c>
      <c r="U132">
        <f t="shared" si="100"/>
        <v>113</v>
      </c>
      <c r="V132">
        <f t="shared" si="101"/>
        <v>144</v>
      </c>
      <c r="W132">
        <f t="shared" si="102"/>
        <v>182</v>
      </c>
      <c r="X132">
        <f t="shared" si="103"/>
        <v>226</v>
      </c>
      <c r="Y132">
        <f t="shared" si="104"/>
        <v>278</v>
      </c>
      <c r="Z132">
        <f t="shared" si="105"/>
        <v>342</v>
      </c>
      <c r="AA132">
        <f t="shared" si="106"/>
        <v>411</v>
      </c>
      <c r="AB132">
        <f t="shared" si="107"/>
        <v>493</v>
      </c>
      <c r="AC132">
        <f t="shared" si="108"/>
        <v>581</v>
      </c>
    </row>
    <row r="133" spans="1:29" x14ac:dyDescent="0.3">
      <c r="A133" s="542" t="s">
        <v>1827</v>
      </c>
      <c r="B133" s="1504">
        <v>125</v>
      </c>
      <c r="C133" s="1505">
        <v>5</v>
      </c>
      <c r="D133" s="1506">
        <v>8</v>
      </c>
      <c r="E133" s="1507">
        <f>1+ 1/2</f>
        <v>1.5</v>
      </c>
      <c r="F133" s="1504" t="s">
        <v>1706</v>
      </c>
      <c r="G133" s="1358" t="str">
        <f t="shared" si="91"/>
        <v>39</v>
      </c>
      <c r="H133" s="1504">
        <v>250</v>
      </c>
      <c r="I133" s="1504">
        <v>250</v>
      </c>
      <c r="J133" s="1504"/>
      <c r="K133" s="1508">
        <f>HLOOKUP(F133,M123:AC143,11,0)</f>
        <v>319</v>
      </c>
      <c r="L133" s="531"/>
      <c r="M133">
        <f t="shared" si="92"/>
        <v>0</v>
      </c>
      <c r="N133">
        <f t="shared" si="93"/>
        <v>0</v>
      </c>
      <c r="O133">
        <f t="shared" si="94"/>
        <v>0</v>
      </c>
      <c r="P133">
        <f t="shared" si="95"/>
        <v>41.1</v>
      </c>
      <c r="Q133">
        <f t="shared" si="96"/>
        <v>53.4</v>
      </c>
      <c r="R133">
        <f t="shared" si="97"/>
        <v>66.8</v>
      </c>
      <c r="S133">
        <f t="shared" si="98"/>
        <v>83.7</v>
      </c>
      <c r="T133">
        <f t="shared" si="99"/>
        <v>100</v>
      </c>
      <c r="U133">
        <f t="shared" si="100"/>
        <v>135</v>
      </c>
      <c r="V133">
        <f t="shared" si="101"/>
        <v>172</v>
      </c>
      <c r="W133">
        <f t="shared" si="102"/>
        <v>214</v>
      </c>
      <c r="X133">
        <f t="shared" si="103"/>
        <v>260</v>
      </c>
      <c r="Y133">
        <f t="shared" si="104"/>
        <v>319</v>
      </c>
      <c r="Z133">
        <f t="shared" si="105"/>
        <v>391</v>
      </c>
      <c r="AA133">
        <f t="shared" si="106"/>
        <v>468</v>
      </c>
      <c r="AB133">
        <f t="shared" si="107"/>
        <v>558</v>
      </c>
      <c r="AC133">
        <f t="shared" si="108"/>
        <v>658</v>
      </c>
    </row>
    <row r="134" spans="1:29" x14ac:dyDescent="0.3">
      <c r="A134" s="542" t="s">
        <v>1828</v>
      </c>
      <c r="B134" s="1504">
        <v>150</v>
      </c>
      <c r="C134" s="1505">
        <v>6</v>
      </c>
      <c r="D134" s="1506">
        <v>12</v>
      </c>
      <c r="E134" s="1507">
        <f>1+ 3/8</f>
        <v>1.375</v>
      </c>
      <c r="F134" s="1504" t="s">
        <v>1705</v>
      </c>
      <c r="G134" s="1358" t="str">
        <f t="shared" si="91"/>
        <v>36</v>
      </c>
      <c r="H134" s="1504">
        <v>260</v>
      </c>
      <c r="I134" s="1504">
        <v>265</v>
      </c>
      <c r="J134" s="1504"/>
      <c r="K134" s="1508">
        <f>HLOOKUP(F134,M123:AC143,12,0)</f>
        <v>270.5</v>
      </c>
      <c r="L134" s="531"/>
      <c r="M134">
        <f t="shared" si="92"/>
        <v>0</v>
      </c>
      <c r="N134">
        <f t="shared" si="93"/>
        <v>0</v>
      </c>
      <c r="O134">
        <f t="shared" si="94"/>
        <v>0</v>
      </c>
      <c r="P134">
        <f t="shared" si="95"/>
        <v>0</v>
      </c>
      <c r="Q134">
        <f t="shared" si="96"/>
        <v>55.8</v>
      </c>
      <c r="R134">
        <f t="shared" si="97"/>
        <v>69.849999999999994</v>
      </c>
      <c r="S134">
        <f t="shared" si="98"/>
        <v>87.55</v>
      </c>
      <c r="T134">
        <f t="shared" si="99"/>
        <v>104.5</v>
      </c>
      <c r="U134">
        <f t="shared" si="100"/>
        <v>141</v>
      </c>
      <c r="V134">
        <f t="shared" si="101"/>
        <v>179.5</v>
      </c>
      <c r="W134">
        <f t="shared" si="102"/>
        <v>222</v>
      </c>
      <c r="X134">
        <f t="shared" si="103"/>
        <v>270.5</v>
      </c>
      <c r="Y134">
        <f t="shared" si="104"/>
        <v>331</v>
      </c>
      <c r="Z134">
        <f t="shared" si="105"/>
        <v>406</v>
      </c>
      <c r="AA134">
        <f t="shared" si="106"/>
        <v>486</v>
      </c>
      <c r="AB134">
        <f t="shared" si="107"/>
        <v>577.5</v>
      </c>
      <c r="AC134">
        <f t="shared" si="108"/>
        <v>681.5</v>
      </c>
    </row>
    <row r="135" spans="1:29" x14ac:dyDescent="0.3">
      <c r="A135" s="542" t="s">
        <v>1829</v>
      </c>
      <c r="B135" s="1504">
        <v>200</v>
      </c>
      <c r="C135" s="1505">
        <v>8</v>
      </c>
      <c r="D135" s="1506">
        <v>12</v>
      </c>
      <c r="E135" s="1507">
        <f>1+ 5/8</f>
        <v>1.625</v>
      </c>
      <c r="F135" s="1504" t="s">
        <v>1707</v>
      </c>
      <c r="G135" s="1358" t="str">
        <f t="shared" si="91"/>
        <v>42</v>
      </c>
      <c r="H135" s="1504">
        <v>290</v>
      </c>
      <c r="I135" s="1504">
        <v>320</v>
      </c>
      <c r="J135" s="1504"/>
      <c r="K135" s="1508">
        <f>HLOOKUP(F135,M123:AC143,13,0)</f>
        <v>461</v>
      </c>
      <c r="L135" s="531"/>
      <c r="M135">
        <f t="shared" si="92"/>
        <v>0</v>
      </c>
      <c r="N135">
        <f t="shared" si="93"/>
        <v>0</v>
      </c>
      <c r="O135">
        <f t="shared" si="94"/>
        <v>0</v>
      </c>
      <c r="P135">
        <f t="shared" si="95"/>
        <v>0</v>
      </c>
      <c r="Q135">
        <f t="shared" si="96"/>
        <v>0</v>
      </c>
      <c r="R135">
        <f t="shared" si="97"/>
        <v>0</v>
      </c>
      <c r="S135">
        <f t="shared" si="98"/>
        <v>102</v>
      </c>
      <c r="T135">
        <f t="shared" si="99"/>
        <v>121</v>
      </c>
      <c r="U135">
        <f t="shared" si="100"/>
        <v>162</v>
      </c>
      <c r="V135">
        <f t="shared" si="101"/>
        <v>206</v>
      </c>
      <c r="W135">
        <f t="shared" si="102"/>
        <v>253</v>
      </c>
      <c r="X135">
        <f t="shared" si="103"/>
        <v>312</v>
      </c>
      <c r="Y135">
        <f t="shared" si="104"/>
        <v>380</v>
      </c>
      <c r="Z135">
        <f t="shared" si="105"/>
        <v>461</v>
      </c>
      <c r="AA135">
        <f t="shared" si="106"/>
        <v>553</v>
      </c>
      <c r="AB135">
        <f t="shared" si="107"/>
        <v>649</v>
      </c>
      <c r="AC135">
        <f t="shared" si="108"/>
        <v>767</v>
      </c>
    </row>
    <row r="136" spans="1:29" x14ac:dyDescent="0.3">
      <c r="A136" s="542" t="s">
        <v>1830</v>
      </c>
      <c r="B136" s="1504">
        <v>250</v>
      </c>
      <c r="C136" s="1505">
        <v>10</v>
      </c>
      <c r="D136" s="1506">
        <v>12</v>
      </c>
      <c r="E136" s="1507">
        <f>1+ 7/8</f>
        <v>1.875</v>
      </c>
      <c r="F136" s="1504" t="s">
        <v>1709</v>
      </c>
      <c r="G136" s="1358" t="str">
        <f t="shared" si="91"/>
        <v>48</v>
      </c>
      <c r="H136" s="1504">
        <v>335</v>
      </c>
      <c r="I136" s="1504">
        <v>345</v>
      </c>
      <c r="J136" s="1504"/>
      <c r="K136" s="1508">
        <f>HLOOKUP(F136,M123:AC143,14,0)</f>
        <v>682.5</v>
      </c>
      <c r="L136" s="531"/>
      <c r="M136">
        <f t="shared" si="92"/>
        <v>0</v>
      </c>
      <c r="N136">
        <f t="shared" si="93"/>
        <v>0</v>
      </c>
      <c r="O136">
        <f t="shared" si="94"/>
        <v>0</v>
      </c>
      <c r="P136">
        <f t="shared" si="95"/>
        <v>0</v>
      </c>
      <c r="Q136">
        <f t="shared" si="96"/>
        <v>0</v>
      </c>
      <c r="R136">
        <f t="shared" si="97"/>
        <v>0</v>
      </c>
      <c r="S136">
        <f t="shared" si="98"/>
        <v>0</v>
      </c>
      <c r="T136">
        <f t="shared" si="99"/>
        <v>128.5</v>
      </c>
      <c r="U136">
        <f t="shared" si="100"/>
        <v>171</v>
      </c>
      <c r="V136">
        <f t="shared" si="101"/>
        <v>217.25</v>
      </c>
      <c r="W136">
        <f t="shared" si="102"/>
        <v>267.75</v>
      </c>
      <c r="X136">
        <f t="shared" si="103"/>
        <v>329.5</v>
      </c>
      <c r="Y136">
        <f t="shared" si="104"/>
        <v>399</v>
      </c>
      <c r="Z136">
        <f t="shared" si="105"/>
        <v>483.75</v>
      </c>
      <c r="AA136">
        <f t="shared" si="106"/>
        <v>575.5</v>
      </c>
      <c r="AB136">
        <f t="shared" si="107"/>
        <v>682.5</v>
      </c>
      <c r="AC136">
        <f t="shared" si="108"/>
        <v>802.75</v>
      </c>
    </row>
    <row r="137" spans="1:29" x14ac:dyDescent="0.3">
      <c r="A137" s="542" t="s">
        <v>1831</v>
      </c>
      <c r="B137" s="1504">
        <v>300</v>
      </c>
      <c r="C137" s="1505">
        <v>12</v>
      </c>
      <c r="D137" s="1506">
        <v>16</v>
      </c>
      <c r="E137" s="1507">
        <v>2</v>
      </c>
      <c r="F137" s="1504" t="s">
        <v>1710</v>
      </c>
      <c r="G137" s="1358" t="str">
        <f t="shared" si="91"/>
        <v>52</v>
      </c>
      <c r="H137" s="1504">
        <v>375</v>
      </c>
      <c r="I137" s="1504">
        <v>390</v>
      </c>
      <c r="J137" s="1504"/>
      <c r="K137" s="1508">
        <f>HLOOKUP(F137,M123:AC143,15,0)</f>
        <v>872.5</v>
      </c>
      <c r="L137" s="531"/>
      <c r="M137">
        <f t="shared" si="92"/>
        <v>0</v>
      </c>
      <c r="N137">
        <f t="shared" si="93"/>
        <v>0</v>
      </c>
      <c r="O137">
        <f t="shared" si="94"/>
        <v>0</v>
      </c>
      <c r="P137">
        <f t="shared" si="95"/>
        <v>0</v>
      </c>
      <c r="Q137">
        <f t="shared" si="96"/>
        <v>0</v>
      </c>
      <c r="R137">
        <f t="shared" si="97"/>
        <v>0</v>
      </c>
      <c r="S137">
        <f t="shared" si="98"/>
        <v>0</v>
      </c>
      <c r="T137">
        <f t="shared" si="99"/>
        <v>0</v>
      </c>
      <c r="U137">
        <f t="shared" si="100"/>
        <v>189</v>
      </c>
      <c r="V137">
        <f t="shared" si="101"/>
        <v>238.5</v>
      </c>
      <c r="W137">
        <f t="shared" si="102"/>
        <v>293.5</v>
      </c>
      <c r="X137">
        <f t="shared" si="103"/>
        <v>360</v>
      </c>
      <c r="Y137">
        <f t="shared" si="104"/>
        <v>436</v>
      </c>
      <c r="Z137">
        <f t="shared" si="105"/>
        <v>519.5</v>
      </c>
      <c r="AA137">
        <f t="shared" si="106"/>
        <v>622.5</v>
      </c>
      <c r="AB137">
        <f t="shared" si="107"/>
        <v>741</v>
      </c>
      <c r="AC137">
        <f t="shared" si="108"/>
        <v>872.5</v>
      </c>
    </row>
    <row r="138" spans="1:29" x14ac:dyDescent="0.3">
      <c r="A138" s="542" t="s">
        <v>1832</v>
      </c>
      <c r="B138" s="1504">
        <v>350</v>
      </c>
      <c r="C138" s="1505">
        <v>14</v>
      </c>
      <c r="D138" s="1506">
        <v>16</v>
      </c>
      <c r="E138" s="1507">
        <f>2+ 1/4</f>
        <v>2.25</v>
      </c>
      <c r="F138" s="1504" t="s">
        <v>1833</v>
      </c>
      <c r="G138" s="1358" t="str">
        <f t="shared" si="91"/>
        <v>56</v>
      </c>
      <c r="H138" s="1504">
        <v>405</v>
      </c>
      <c r="I138" s="1504">
        <v>425</v>
      </c>
      <c r="J138" s="1504"/>
      <c r="K138" s="1508">
        <v>1234</v>
      </c>
      <c r="L138" s="531"/>
      <c r="M138">
        <f t="shared" si="92"/>
        <v>0</v>
      </c>
      <c r="N138">
        <f t="shared" si="93"/>
        <v>0</v>
      </c>
      <c r="O138">
        <f t="shared" si="94"/>
        <v>0</v>
      </c>
      <c r="P138">
        <f t="shared" si="95"/>
        <v>0</v>
      </c>
      <c r="Q138">
        <f t="shared" si="96"/>
        <v>0</v>
      </c>
      <c r="R138">
        <f t="shared" si="97"/>
        <v>0</v>
      </c>
      <c r="S138">
        <f t="shared" si="98"/>
        <v>0</v>
      </c>
      <c r="T138">
        <f t="shared" si="99"/>
        <v>0</v>
      </c>
      <c r="U138">
        <f t="shared" si="100"/>
        <v>203</v>
      </c>
      <c r="V138">
        <f t="shared" si="101"/>
        <v>254.25</v>
      </c>
      <c r="W138">
        <f t="shared" si="102"/>
        <v>312.75</v>
      </c>
      <c r="X138">
        <f t="shared" si="103"/>
        <v>384.5</v>
      </c>
      <c r="Y138">
        <f t="shared" si="104"/>
        <v>464</v>
      </c>
      <c r="Z138">
        <f t="shared" si="105"/>
        <v>552.75</v>
      </c>
      <c r="AA138">
        <f t="shared" si="106"/>
        <v>648.75</v>
      </c>
      <c r="AB138">
        <f t="shared" si="107"/>
        <v>786.5</v>
      </c>
      <c r="AC138">
        <f t="shared" si="108"/>
        <v>926.75</v>
      </c>
    </row>
    <row r="139" spans="1:29" x14ac:dyDescent="0.3">
      <c r="A139" s="542" t="s">
        <v>1834</v>
      </c>
      <c r="B139" s="1504">
        <v>400</v>
      </c>
      <c r="C139" s="1505">
        <v>16</v>
      </c>
      <c r="D139" s="1506">
        <v>16</v>
      </c>
      <c r="E139" s="1507">
        <f>2+ 1/2</f>
        <v>2.5</v>
      </c>
      <c r="F139" s="1504" t="s">
        <v>1816</v>
      </c>
      <c r="G139" s="1358" t="str">
        <f t="shared" si="91"/>
        <v>64</v>
      </c>
      <c r="H139" s="1504">
        <v>445</v>
      </c>
      <c r="I139" s="1504">
        <v>470</v>
      </c>
      <c r="J139" s="1504"/>
      <c r="K139" s="1508">
        <v>1687</v>
      </c>
      <c r="L139" s="531"/>
      <c r="M139">
        <f t="shared" si="92"/>
        <v>0</v>
      </c>
      <c r="N139">
        <f t="shared" si="93"/>
        <v>0</v>
      </c>
      <c r="O139">
        <f t="shared" si="94"/>
        <v>0</v>
      </c>
      <c r="P139">
        <f t="shared" si="95"/>
        <v>0</v>
      </c>
      <c r="Q139">
        <f t="shared" si="96"/>
        <v>0</v>
      </c>
      <c r="R139">
        <f t="shared" si="97"/>
        <v>0</v>
      </c>
      <c r="S139">
        <f t="shared" si="98"/>
        <v>0</v>
      </c>
      <c r="T139">
        <f t="shared" si="99"/>
        <v>0</v>
      </c>
      <c r="U139">
        <f t="shared" si="100"/>
        <v>221</v>
      </c>
      <c r="V139">
        <f t="shared" si="101"/>
        <v>274.5</v>
      </c>
      <c r="W139">
        <f t="shared" si="102"/>
        <v>337.5</v>
      </c>
      <c r="X139">
        <f t="shared" si="103"/>
        <v>416</v>
      </c>
      <c r="Y139">
        <f t="shared" si="104"/>
        <v>500</v>
      </c>
      <c r="Z139">
        <f t="shared" si="105"/>
        <v>595.5</v>
      </c>
      <c r="AA139">
        <f t="shared" si="106"/>
        <v>682.5</v>
      </c>
      <c r="AB139">
        <f t="shared" si="107"/>
        <v>845</v>
      </c>
      <c r="AC139">
        <f t="shared" si="108"/>
        <v>996.5</v>
      </c>
    </row>
    <row r="140" spans="1:29" x14ac:dyDescent="0.3">
      <c r="A140" s="542" t="s">
        <v>1835</v>
      </c>
      <c r="B140" s="1504">
        <v>450</v>
      </c>
      <c r="C140" s="1505">
        <v>18</v>
      </c>
      <c r="D140" s="1506">
        <v>16</v>
      </c>
      <c r="E140" s="1507">
        <f>2+ 3/4</f>
        <v>2.75</v>
      </c>
      <c r="F140" s="1504" t="s">
        <v>1836</v>
      </c>
      <c r="G140" s="1358" t="str">
        <f t="shared" si="91"/>
        <v>70</v>
      </c>
      <c r="H140" s="1504">
        <v>495</v>
      </c>
      <c r="I140" s="1504">
        <v>530</v>
      </c>
      <c r="J140" s="1504"/>
      <c r="K140" s="1508">
        <v>2282</v>
      </c>
      <c r="L140" s="531"/>
      <c r="M140">
        <f t="shared" si="92"/>
        <v>0</v>
      </c>
      <c r="N140">
        <f t="shared" si="93"/>
        <v>0</v>
      </c>
      <c r="O140">
        <f t="shared" si="94"/>
        <v>0</v>
      </c>
      <c r="P140">
        <f t="shared" si="95"/>
        <v>0</v>
      </c>
      <c r="Q140">
        <f t="shared" si="96"/>
        <v>0</v>
      </c>
      <c r="R140">
        <f t="shared" si="97"/>
        <v>0</v>
      </c>
      <c r="S140">
        <f t="shared" si="98"/>
        <v>0</v>
      </c>
      <c r="T140">
        <f t="shared" si="99"/>
        <v>0</v>
      </c>
      <c r="U140">
        <f t="shared" si="100"/>
        <v>245</v>
      </c>
      <c r="V140">
        <f t="shared" si="101"/>
        <v>301.5</v>
      </c>
      <c r="W140">
        <f t="shared" si="102"/>
        <v>370.5</v>
      </c>
      <c r="X140">
        <f t="shared" si="103"/>
        <v>458</v>
      </c>
      <c r="Y140">
        <f t="shared" si="104"/>
        <v>548</v>
      </c>
      <c r="Z140">
        <f t="shared" si="105"/>
        <v>652.50000000000011</v>
      </c>
      <c r="AA140">
        <f t="shared" si="106"/>
        <v>727.5</v>
      </c>
      <c r="AB140">
        <f t="shared" si="107"/>
        <v>923</v>
      </c>
      <c r="AC140">
        <f t="shared" si="108"/>
        <v>1089.5</v>
      </c>
    </row>
    <row r="141" spans="1:29" x14ac:dyDescent="0.3">
      <c r="A141" s="542" t="s">
        <v>1837</v>
      </c>
      <c r="B141" s="1504">
        <v>500</v>
      </c>
      <c r="C141" s="1505">
        <v>20</v>
      </c>
      <c r="D141" s="1506">
        <v>16</v>
      </c>
      <c r="E141" s="1507">
        <v>3</v>
      </c>
      <c r="F141" s="1504" t="s">
        <v>1838</v>
      </c>
      <c r="G141" s="1358" t="str">
        <f t="shared" si="91"/>
        <v>76</v>
      </c>
      <c r="H141" s="1504">
        <v>540</v>
      </c>
      <c r="I141" s="1504">
        <v>565</v>
      </c>
      <c r="J141" s="1504"/>
      <c r="K141" s="1508">
        <v>2903</v>
      </c>
      <c r="L141" s="531"/>
      <c r="M141">
        <f t="shared" si="92"/>
        <v>0</v>
      </c>
      <c r="N141">
        <f t="shared" si="93"/>
        <v>0</v>
      </c>
      <c r="O141">
        <f t="shared" si="94"/>
        <v>0</v>
      </c>
      <c r="P141">
        <f t="shared" si="95"/>
        <v>0</v>
      </c>
      <c r="Q141">
        <f t="shared" si="96"/>
        <v>0</v>
      </c>
      <c r="R141">
        <f t="shared" si="97"/>
        <v>0</v>
      </c>
      <c r="S141">
        <f t="shared" si="98"/>
        <v>0</v>
      </c>
      <c r="T141">
        <f t="shared" si="99"/>
        <v>0</v>
      </c>
      <c r="U141">
        <f t="shared" si="100"/>
        <v>259</v>
      </c>
      <c r="V141">
        <f t="shared" si="101"/>
        <v>317.25</v>
      </c>
      <c r="W141">
        <f t="shared" si="102"/>
        <v>389.75</v>
      </c>
      <c r="X141">
        <f t="shared" si="103"/>
        <v>482.5</v>
      </c>
      <c r="Y141">
        <f t="shared" si="104"/>
        <v>576</v>
      </c>
      <c r="Z141">
        <f t="shared" si="105"/>
        <v>685.75000000000011</v>
      </c>
      <c r="AA141">
        <f t="shared" si="106"/>
        <v>753.75</v>
      </c>
      <c r="AB141">
        <f t="shared" si="107"/>
        <v>968.5</v>
      </c>
      <c r="AC141">
        <f t="shared" si="108"/>
        <v>1143.75</v>
      </c>
    </row>
    <row r="142" spans="1:29" ht="15" thickBot="1" x14ac:dyDescent="0.35">
      <c r="A142" s="542" t="s">
        <v>1839</v>
      </c>
      <c r="B142" s="1504">
        <v>600</v>
      </c>
      <c r="C142" s="1505">
        <v>24</v>
      </c>
      <c r="D142" s="1506">
        <v>16</v>
      </c>
      <c r="E142" s="1507">
        <f>3.5</f>
        <v>3.5</v>
      </c>
      <c r="F142" s="1504" t="s">
        <v>1840</v>
      </c>
      <c r="G142" s="1358" t="str">
        <f t="shared" si="91"/>
        <v>90</v>
      </c>
      <c r="H142" s="1504">
        <v>615</v>
      </c>
      <c r="I142" s="1504">
        <v>645</v>
      </c>
      <c r="J142" s="1504"/>
      <c r="K142" s="1508">
        <v>4536</v>
      </c>
      <c r="L142" s="531"/>
      <c r="M142">
        <f t="shared" si="92"/>
        <v>0</v>
      </c>
      <c r="N142">
        <f t="shared" si="93"/>
        <v>0</v>
      </c>
      <c r="O142">
        <f t="shared" si="94"/>
        <v>0</v>
      </c>
      <c r="P142">
        <f t="shared" si="95"/>
        <v>0</v>
      </c>
      <c r="Q142">
        <f t="shared" si="96"/>
        <v>0</v>
      </c>
      <c r="R142">
        <f t="shared" si="97"/>
        <v>0</v>
      </c>
      <c r="S142">
        <f t="shared" si="98"/>
        <v>0</v>
      </c>
      <c r="T142">
        <f t="shared" si="99"/>
        <v>0</v>
      </c>
      <c r="U142">
        <f t="shared" si="100"/>
        <v>291</v>
      </c>
      <c r="V142">
        <f t="shared" si="101"/>
        <v>353.25</v>
      </c>
      <c r="W142">
        <f t="shared" si="102"/>
        <v>433.75</v>
      </c>
      <c r="X142">
        <f t="shared" si="103"/>
        <v>538.5</v>
      </c>
      <c r="Y142">
        <f t="shared" si="104"/>
        <v>640</v>
      </c>
      <c r="Z142">
        <f t="shared" si="105"/>
        <v>761.75000000000011</v>
      </c>
      <c r="AA142">
        <f t="shared" si="106"/>
        <v>813.75</v>
      </c>
      <c r="AB142">
        <f t="shared" si="107"/>
        <v>1072.5</v>
      </c>
      <c r="AC142">
        <f t="shared" si="108"/>
        <v>1267.75</v>
      </c>
    </row>
    <row r="143" spans="1:29" ht="15" thickBot="1" x14ac:dyDescent="0.35">
      <c r="A143" s="564" t="s">
        <v>1841</v>
      </c>
      <c r="B143" s="565"/>
      <c r="C143" s="566"/>
      <c r="D143" s="565"/>
      <c r="E143" s="566"/>
      <c r="F143" s="565"/>
      <c r="G143" s="586"/>
      <c r="H143" s="565"/>
      <c r="I143" s="567"/>
      <c r="J143" s="1752" t="s">
        <v>1684</v>
      </c>
      <c r="K143" s="1753"/>
      <c r="L143" s="531"/>
    </row>
    <row r="144" spans="1:29" ht="15" thickBot="1" x14ac:dyDescent="0.35">
      <c r="A144" s="1432">
        <v>2500</v>
      </c>
      <c r="B144" s="1756" t="s">
        <v>59</v>
      </c>
      <c r="C144" s="1759" t="s">
        <v>1685</v>
      </c>
      <c r="D144" s="1756" t="s">
        <v>1686</v>
      </c>
      <c r="E144" s="1762" t="s">
        <v>1687</v>
      </c>
      <c r="F144" s="1765"/>
      <c r="G144" s="579"/>
      <c r="H144" s="1766" t="s">
        <v>1688</v>
      </c>
      <c r="I144" s="1763"/>
      <c r="J144" s="1754"/>
      <c r="K144" s="1755"/>
      <c r="L144" s="531"/>
      <c r="M144" s="1750" t="s">
        <v>1689</v>
      </c>
      <c r="N144" s="1750"/>
      <c r="O144" s="1750"/>
      <c r="P144" s="1750"/>
      <c r="Q144" s="1750"/>
      <c r="R144" s="1750"/>
      <c r="S144" s="1750"/>
      <c r="T144" s="1750"/>
      <c r="U144" s="1750"/>
      <c r="V144" s="1750"/>
      <c r="W144" s="1750"/>
      <c r="X144" s="1750"/>
      <c r="Y144" s="1750"/>
      <c r="Z144" s="1750"/>
      <c r="AA144" s="1750"/>
      <c r="AB144" s="1750"/>
      <c r="AC144" s="1750"/>
    </row>
    <row r="145" spans="1:29" ht="29.4" thickBot="1" x14ac:dyDescent="0.35">
      <c r="A145" s="1496"/>
      <c r="B145" s="1757"/>
      <c r="C145" s="1760"/>
      <c r="D145" s="1757"/>
      <c r="E145" s="1498" t="s">
        <v>1690</v>
      </c>
      <c r="F145" s="1499" t="s">
        <v>1691</v>
      </c>
      <c r="G145" s="1359" t="s">
        <v>1691</v>
      </c>
      <c r="H145" s="1500" t="s">
        <v>1692</v>
      </c>
      <c r="I145" s="1501" t="s">
        <v>1689</v>
      </c>
      <c r="J145" s="1502" t="s">
        <v>1690</v>
      </c>
      <c r="K145" s="1503" t="s">
        <v>1691</v>
      </c>
      <c r="L145" s="531"/>
      <c r="M145" s="1751" t="s">
        <v>1691</v>
      </c>
      <c r="N145" s="1751"/>
      <c r="O145" s="1751"/>
      <c r="P145" s="1751"/>
      <c r="Q145" s="1751"/>
      <c r="R145" s="1751"/>
      <c r="S145" s="1751"/>
      <c r="T145" s="1751"/>
      <c r="U145" s="1751"/>
      <c r="V145" s="1751"/>
      <c r="W145" s="1751"/>
      <c r="X145" s="1751"/>
      <c r="Y145" s="1751"/>
      <c r="Z145" s="1751"/>
      <c r="AA145" s="1751"/>
      <c r="AB145" s="1751"/>
      <c r="AC145" s="1751"/>
    </row>
    <row r="146" spans="1:29" ht="15" thickBot="1" x14ac:dyDescent="0.35">
      <c r="A146" s="534" t="s">
        <v>1693</v>
      </c>
      <c r="B146" s="1758"/>
      <c r="C146" s="1761"/>
      <c r="D146" s="1758"/>
      <c r="E146" s="535" t="s">
        <v>1082</v>
      </c>
      <c r="F146" s="536" t="s">
        <v>93</v>
      </c>
      <c r="G146" s="580" t="s">
        <v>93</v>
      </c>
      <c r="H146" s="538" t="s">
        <v>93</v>
      </c>
      <c r="I146" s="539" t="s">
        <v>93</v>
      </c>
      <c r="J146" s="535" t="s">
        <v>222</v>
      </c>
      <c r="K146" s="536" t="s">
        <v>222</v>
      </c>
      <c r="L146" s="531"/>
      <c r="M146" s="540" t="s">
        <v>1694</v>
      </c>
      <c r="N146" s="540" t="s">
        <v>1695</v>
      </c>
      <c r="O146" s="540" t="s">
        <v>1696</v>
      </c>
      <c r="P146" s="540" t="s">
        <v>1697</v>
      </c>
      <c r="Q146" s="540" t="s">
        <v>1698</v>
      </c>
      <c r="R146" s="540" t="s">
        <v>1699</v>
      </c>
      <c r="S146" s="540" t="s">
        <v>1700</v>
      </c>
      <c r="T146" s="540" t="s">
        <v>1701</v>
      </c>
      <c r="U146" s="540" t="s">
        <v>1702</v>
      </c>
      <c r="V146" s="540" t="s">
        <v>1703</v>
      </c>
      <c r="W146" s="540" t="s">
        <v>1704</v>
      </c>
      <c r="X146" s="540" t="s">
        <v>1705</v>
      </c>
      <c r="Y146" s="540" t="s">
        <v>1706</v>
      </c>
      <c r="Z146" s="540" t="s">
        <v>1707</v>
      </c>
      <c r="AA146" s="540" t="s">
        <v>1708</v>
      </c>
      <c r="AB146" s="540" t="s">
        <v>1709</v>
      </c>
      <c r="AC146" s="541" t="s">
        <v>1710</v>
      </c>
    </row>
    <row r="147" spans="1:29" x14ac:dyDescent="0.3">
      <c r="A147" s="542" t="s">
        <v>1842</v>
      </c>
      <c r="B147" s="1504">
        <v>15</v>
      </c>
      <c r="C147" s="1505">
        <v>0.5</v>
      </c>
      <c r="D147" s="1506">
        <v>4</v>
      </c>
      <c r="E147" s="1505">
        <v>0.75</v>
      </c>
      <c r="F147" s="1508" t="s">
        <v>1699</v>
      </c>
      <c r="G147" s="1358" t="str">
        <f t="shared" ref="G147:G160" si="109">RIGHT(F147,2)</f>
        <v>20</v>
      </c>
      <c r="H147" s="1506">
        <v>120</v>
      </c>
      <c r="I147" s="1504">
        <v>120</v>
      </c>
      <c r="J147" s="1506"/>
      <c r="K147" s="1508">
        <f>HLOOKUP(F147,M146:AC172,2,0)</f>
        <v>40.700000000000003</v>
      </c>
      <c r="L147" s="531"/>
      <c r="M147">
        <f t="shared" ref="M147:M160" si="110">VLOOKUP(I147,$A$170:$R$240,2,0)</f>
        <v>8.6</v>
      </c>
      <c r="N147">
        <f t="shared" ref="N147:N160" si="111">VLOOKUP(I147,$A$170:$R$240,3,0)</f>
        <v>12.4</v>
      </c>
      <c r="O147">
        <f t="shared" ref="O147:O160" si="112">VLOOKUP(I147,$A$170:$R$240,4,0)</f>
        <v>18</v>
      </c>
      <c r="P147">
        <f t="shared" ref="P147:P160" si="113">VLOOKUP(I147,$A$170:$R$240,5,0)</f>
        <v>23.6</v>
      </c>
      <c r="Q147">
        <f t="shared" ref="Q147:Q160" si="114">VLOOKUP(I147,$A$170:$R$240,6,0)</f>
        <v>32.1</v>
      </c>
      <c r="R147">
        <f t="shared" ref="R147:R160" si="115">VLOOKUP(I147,$A$170:$R$240,7,0)</f>
        <v>40.700000000000003</v>
      </c>
      <c r="S147">
        <f t="shared" ref="S147:S160" si="116">VLOOKUP(I147,$A$170:$R$240,8,0)</f>
        <v>50.9</v>
      </c>
      <c r="T147">
        <f t="shared" ref="T147:T160" si="117">VLOOKUP(I147,$A$170:$R$240,9,0)</f>
        <v>60.2</v>
      </c>
      <c r="U147">
        <f t="shared" ref="U147:U160" si="118">VLOOKUP(I147,$A$170:$R$240,10,0)</f>
        <v>81.2</v>
      </c>
      <c r="V147">
        <f t="shared" ref="V147:V160" si="119">VLOOKUP(I147,$A$170:$R$240,11,0)</f>
        <v>107</v>
      </c>
      <c r="W147">
        <f t="shared" ref="W147:W160" si="120">VLOOKUP(I147,$A$170:$R$240,12,0)</f>
        <v>0</v>
      </c>
      <c r="X147">
        <f t="shared" ref="X147:X160" si="121">VLOOKUP(I147,$A$170:$R$240,13,0)</f>
        <v>0</v>
      </c>
      <c r="Y147">
        <f t="shared" ref="Y147:Y160" si="122">VLOOKUP(I147,$A$170:$R$240,14,0)</f>
        <v>0</v>
      </c>
      <c r="Z147">
        <f t="shared" ref="Z147:Z160" si="123">VLOOKUP(I147,$A$170:$R$240,15,0)</f>
        <v>0</v>
      </c>
      <c r="AA147">
        <f t="shared" ref="AA147:AA160" si="124">VLOOKUP(I147,$A$170:$R$240,16,0)</f>
        <v>0</v>
      </c>
      <c r="AB147">
        <f t="shared" ref="AB147:AB160" si="125">VLOOKUP(I147,$A$170:$R$240,17,0)</f>
        <v>0</v>
      </c>
      <c r="AC147">
        <f t="shared" ref="AC147:AC160" si="126">VLOOKUP(I147,$A$170:$R$240,18,0)</f>
        <v>0</v>
      </c>
    </row>
    <row r="148" spans="1:29" x14ac:dyDescent="0.3">
      <c r="A148" s="542" t="s">
        <v>1843</v>
      </c>
      <c r="B148" s="1504">
        <v>20</v>
      </c>
      <c r="C148" s="1505">
        <v>0.75</v>
      </c>
      <c r="D148" s="1506">
        <v>4</v>
      </c>
      <c r="E148" s="1505">
        <v>0.75</v>
      </c>
      <c r="F148" s="1508" t="s">
        <v>1699</v>
      </c>
      <c r="G148" s="1358" t="str">
        <f t="shared" si="109"/>
        <v>20</v>
      </c>
      <c r="H148" s="1506">
        <v>125</v>
      </c>
      <c r="I148" s="1504">
        <v>125</v>
      </c>
      <c r="J148" s="1506"/>
      <c r="K148" s="1508">
        <f>HLOOKUP(F148,M146:AC172,3,0)</f>
        <v>41.75</v>
      </c>
      <c r="L148" s="531"/>
      <c r="M148">
        <f t="shared" si="110"/>
        <v>8.85</v>
      </c>
      <c r="N148">
        <f t="shared" si="111"/>
        <v>12.8</v>
      </c>
      <c r="O148">
        <f t="shared" si="112"/>
        <v>18.5</v>
      </c>
      <c r="P148">
        <f t="shared" si="113"/>
        <v>24.25</v>
      </c>
      <c r="Q148">
        <f t="shared" si="114"/>
        <v>32.900000000000006</v>
      </c>
      <c r="R148">
        <f t="shared" si="115"/>
        <v>41.75</v>
      </c>
      <c r="S148">
        <f t="shared" si="116"/>
        <v>52.15</v>
      </c>
      <c r="T148">
        <f t="shared" si="117"/>
        <v>61.7</v>
      </c>
      <c r="U148">
        <f t="shared" si="118"/>
        <v>83.1</v>
      </c>
      <c r="V148">
        <f t="shared" si="119"/>
        <v>109</v>
      </c>
      <c r="W148">
        <f t="shared" si="120"/>
        <v>0</v>
      </c>
      <c r="X148">
        <f t="shared" si="121"/>
        <v>0</v>
      </c>
      <c r="Y148">
        <f t="shared" si="122"/>
        <v>0</v>
      </c>
      <c r="Z148">
        <f t="shared" si="123"/>
        <v>0</v>
      </c>
      <c r="AA148">
        <f t="shared" si="124"/>
        <v>0</v>
      </c>
      <c r="AB148">
        <f t="shared" si="125"/>
        <v>0</v>
      </c>
      <c r="AC148">
        <f t="shared" si="126"/>
        <v>0</v>
      </c>
    </row>
    <row r="149" spans="1:29" x14ac:dyDescent="0.3">
      <c r="A149" s="542" t="s">
        <v>1844</v>
      </c>
      <c r="B149" s="1504">
        <v>25</v>
      </c>
      <c r="C149" s="1505">
        <v>1</v>
      </c>
      <c r="D149" s="1506">
        <v>4</v>
      </c>
      <c r="E149" s="1507">
        <f>7/8</f>
        <v>0.875</v>
      </c>
      <c r="F149" s="1508" t="s">
        <v>1701</v>
      </c>
      <c r="G149" s="1358" t="str">
        <f t="shared" si="109"/>
        <v>24</v>
      </c>
      <c r="H149" s="1506">
        <v>140</v>
      </c>
      <c r="I149" s="1504">
        <v>140</v>
      </c>
      <c r="J149" s="1506"/>
      <c r="K149" s="1508">
        <f>HLOOKUP(F149,M146:AC172,4,0)</f>
        <v>66.2</v>
      </c>
      <c r="L149" s="531"/>
      <c r="M149">
        <f t="shared" si="110"/>
        <v>9.6</v>
      </c>
      <c r="N149">
        <f t="shared" si="111"/>
        <v>14.2</v>
      </c>
      <c r="O149">
        <f t="shared" si="112"/>
        <v>20</v>
      </c>
      <c r="P149">
        <f t="shared" si="113"/>
        <v>26.2</v>
      </c>
      <c r="Q149">
        <f t="shared" si="114"/>
        <v>35.4</v>
      </c>
      <c r="R149">
        <f t="shared" si="115"/>
        <v>44.9</v>
      </c>
      <c r="S149">
        <f t="shared" si="116"/>
        <v>55.9</v>
      </c>
      <c r="T149">
        <f t="shared" si="117"/>
        <v>66.2</v>
      </c>
      <c r="U149">
        <f t="shared" si="118"/>
        <v>88.9</v>
      </c>
      <c r="V149">
        <f t="shared" si="119"/>
        <v>116</v>
      </c>
      <c r="W149">
        <f t="shared" si="120"/>
        <v>147</v>
      </c>
      <c r="X149">
        <f t="shared" si="121"/>
        <v>185</v>
      </c>
      <c r="Y149">
        <f t="shared" si="122"/>
        <v>0</v>
      </c>
      <c r="Z149">
        <f t="shared" si="123"/>
        <v>0</v>
      </c>
      <c r="AA149">
        <f t="shared" si="124"/>
        <v>0</v>
      </c>
      <c r="AB149">
        <f t="shared" si="125"/>
        <v>0</v>
      </c>
      <c r="AC149">
        <f t="shared" si="126"/>
        <v>0</v>
      </c>
    </row>
    <row r="150" spans="1:29" x14ac:dyDescent="0.3">
      <c r="A150" s="542" t="s">
        <v>1845</v>
      </c>
      <c r="B150" s="1504">
        <v>32</v>
      </c>
      <c r="C150" s="1505">
        <v>1.25</v>
      </c>
      <c r="D150" s="1506">
        <v>4</v>
      </c>
      <c r="E150" s="1507">
        <v>1</v>
      </c>
      <c r="F150" s="1508" t="s">
        <v>1702</v>
      </c>
      <c r="G150" s="1358" t="str">
        <f t="shared" si="109"/>
        <v>27</v>
      </c>
      <c r="H150" s="1506">
        <v>150</v>
      </c>
      <c r="I150" s="1504">
        <v>150</v>
      </c>
      <c r="J150" s="1506"/>
      <c r="K150" s="1508">
        <f>HLOOKUP(F150,M146:AC172,5,0)</f>
        <v>92.7</v>
      </c>
      <c r="L150" s="531"/>
      <c r="M150">
        <f t="shared" si="110"/>
        <v>10.1</v>
      </c>
      <c r="N150">
        <f t="shared" si="111"/>
        <v>14.9</v>
      </c>
      <c r="O150">
        <f t="shared" si="112"/>
        <v>20.8</v>
      </c>
      <c r="P150">
        <f t="shared" si="113"/>
        <v>27.5</v>
      </c>
      <c r="Q150">
        <f t="shared" si="114"/>
        <v>36.9</v>
      </c>
      <c r="R150">
        <f t="shared" si="115"/>
        <v>46.9</v>
      </c>
      <c r="S150">
        <f t="shared" si="116"/>
        <v>58.5</v>
      </c>
      <c r="T150">
        <f t="shared" si="117"/>
        <v>69.2</v>
      </c>
      <c r="U150">
        <f t="shared" si="118"/>
        <v>92.7</v>
      </c>
      <c r="V150">
        <f t="shared" si="119"/>
        <v>121</v>
      </c>
      <c r="W150">
        <f t="shared" si="120"/>
        <v>153</v>
      </c>
      <c r="X150">
        <f t="shared" si="121"/>
        <v>192</v>
      </c>
      <c r="Y150">
        <f t="shared" si="122"/>
        <v>237</v>
      </c>
      <c r="Z150">
        <f t="shared" si="123"/>
        <v>0</v>
      </c>
      <c r="AA150">
        <f t="shared" si="124"/>
        <v>0</v>
      </c>
      <c r="AB150">
        <f t="shared" si="125"/>
        <v>0</v>
      </c>
      <c r="AC150">
        <f t="shared" si="126"/>
        <v>0</v>
      </c>
    </row>
    <row r="151" spans="1:29" x14ac:dyDescent="0.3">
      <c r="A151" s="542" t="s">
        <v>1846</v>
      </c>
      <c r="B151" s="1504">
        <v>40</v>
      </c>
      <c r="C151" s="1505">
        <v>1.5</v>
      </c>
      <c r="D151" s="1506">
        <v>4</v>
      </c>
      <c r="E151" s="1507">
        <f>1+1/8</f>
        <v>1.125</v>
      </c>
      <c r="F151" s="1508" t="s">
        <v>1703</v>
      </c>
      <c r="G151" s="1358" t="str">
        <f t="shared" si="109"/>
        <v>30</v>
      </c>
      <c r="H151" s="1506">
        <v>170</v>
      </c>
      <c r="I151" s="1504">
        <v>170</v>
      </c>
      <c r="J151" s="1506"/>
      <c r="K151" s="1508">
        <f>HLOOKUP(F151,M146:AC172,6,0)</f>
        <v>130</v>
      </c>
      <c r="L151" s="531"/>
      <c r="M151">
        <f t="shared" si="110"/>
        <v>0</v>
      </c>
      <c r="N151">
        <f t="shared" si="111"/>
        <v>16.399999999999999</v>
      </c>
      <c r="O151">
        <f t="shared" si="112"/>
        <v>22.8</v>
      </c>
      <c r="P151">
        <f t="shared" si="113"/>
        <v>30.4</v>
      </c>
      <c r="Q151">
        <f t="shared" si="114"/>
        <v>40.200000000000003</v>
      </c>
      <c r="R151">
        <f t="shared" si="115"/>
        <v>51.1</v>
      </c>
      <c r="S151">
        <f t="shared" si="116"/>
        <v>63.5</v>
      </c>
      <c r="T151">
        <f t="shared" si="117"/>
        <v>75.2</v>
      </c>
      <c r="U151">
        <f t="shared" si="118"/>
        <v>101</v>
      </c>
      <c r="V151">
        <f t="shared" si="119"/>
        <v>130</v>
      </c>
      <c r="W151">
        <f t="shared" si="120"/>
        <v>165</v>
      </c>
      <c r="X151">
        <f t="shared" si="121"/>
        <v>206</v>
      </c>
      <c r="Y151">
        <f t="shared" si="122"/>
        <v>253</v>
      </c>
      <c r="Z151">
        <f t="shared" si="123"/>
        <v>312</v>
      </c>
      <c r="AA151">
        <f t="shared" si="124"/>
        <v>378</v>
      </c>
      <c r="AB151">
        <f t="shared" si="125"/>
        <v>0</v>
      </c>
      <c r="AC151">
        <f t="shared" si="126"/>
        <v>0</v>
      </c>
    </row>
    <row r="152" spans="1:29" x14ac:dyDescent="0.3">
      <c r="A152" s="542" t="s">
        <v>1847</v>
      </c>
      <c r="B152" s="1504">
        <v>50</v>
      </c>
      <c r="C152" s="1505">
        <v>2</v>
      </c>
      <c r="D152" s="1506">
        <v>8</v>
      </c>
      <c r="E152" s="1507">
        <v>1</v>
      </c>
      <c r="F152" s="1508" t="s">
        <v>1702</v>
      </c>
      <c r="G152" s="1358" t="str">
        <f t="shared" si="109"/>
        <v>27</v>
      </c>
      <c r="H152" s="1506">
        <v>180</v>
      </c>
      <c r="I152" s="1504">
        <v>180</v>
      </c>
      <c r="J152" s="1506"/>
      <c r="K152" s="1508">
        <f>HLOOKUP(F152,M146:AC172,7,0)</f>
        <v>105</v>
      </c>
      <c r="L152" s="531"/>
      <c r="M152">
        <f t="shared" si="110"/>
        <v>0</v>
      </c>
      <c r="N152">
        <f t="shared" si="111"/>
        <v>0</v>
      </c>
      <c r="O152">
        <f t="shared" si="112"/>
        <v>23.8</v>
      </c>
      <c r="P152">
        <f t="shared" si="113"/>
        <v>31.8</v>
      </c>
      <c r="Q152">
        <f t="shared" si="114"/>
        <v>41.9</v>
      </c>
      <c r="R152">
        <f t="shared" si="115"/>
        <v>52.3</v>
      </c>
      <c r="S152">
        <f t="shared" si="116"/>
        <v>66.099999999999994</v>
      </c>
      <c r="T152">
        <f t="shared" si="117"/>
        <v>78.099999999999994</v>
      </c>
      <c r="U152">
        <f t="shared" si="118"/>
        <v>105</v>
      </c>
      <c r="V152">
        <f t="shared" si="119"/>
        <v>135</v>
      </c>
      <c r="W152">
        <f t="shared" si="120"/>
        <v>171</v>
      </c>
      <c r="X152">
        <f t="shared" si="121"/>
        <v>213</v>
      </c>
      <c r="Y152">
        <f t="shared" si="122"/>
        <v>261</v>
      </c>
      <c r="Z152">
        <f t="shared" si="123"/>
        <v>322</v>
      </c>
      <c r="AA152">
        <f t="shared" si="124"/>
        <v>389</v>
      </c>
      <c r="AB152">
        <f t="shared" si="125"/>
        <v>467</v>
      </c>
      <c r="AC152">
        <f t="shared" si="126"/>
        <v>0</v>
      </c>
    </row>
    <row r="153" spans="1:29" x14ac:dyDescent="0.3">
      <c r="A153" s="542" t="s">
        <v>1848</v>
      </c>
      <c r="B153" s="1504">
        <v>65</v>
      </c>
      <c r="C153" s="1505">
        <v>2.5</v>
      </c>
      <c r="D153" s="1506">
        <v>8</v>
      </c>
      <c r="E153" s="1507">
        <f>1+1/8</f>
        <v>1.125</v>
      </c>
      <c r="F153" s="1508" t="s">
        <v>1703</v>
      </c>
      <c r="G153" s="1358" t="str">
        <f t="shared" si="109"/>
        <v>30</v>
      </c>
      <c r="H153" s="1506">
        <v>195</v>
      </c>
      <c r="I153" s="1504">
        <v>205</v>
      </c>
      <c r="J153" s="1506"/>
      <c r="K153" s="1508">
        <f>HLOOKUP(F153,M146:AC172,8,0)</f>
        <v>146.5</v>
      </c>
      <c r="L153" s="531"/>
      <c r="M153">
        <f t="shared" si="110"/>
        <v>0</v>
      </c>
      <c r="N153">
        <f t="shared" si="111"/>
        <v>0</v>
      </c>
      <c r="O153">
        <f t="shared" si="112"/>
        <v>0</v>
      </c>
      <c r="P153">
        <f t="shared" si="113"/>
        <v>35.15</v>
      </c>
      <c r="Q153">
        <f t="shared" si="114"/>
        <v>46</v>
      </c>
      <c r="R153">
        <f t="shared" si="115"/>
        <v>57.5</v>
      </c>
      <c r="S153">
        <f t="shared" si="116"/>
        <v>72.25</v>
      </c>
      <c r="T153">
        <f t="shared" si="117"/>
        <v>86.2</v>
      </c>
      <c r="U153">
        <f t="shared" si="118"/>
        <v>116.5</v>
      </c>
      <c r="V153">
        <f t="shared" si="119"/>
        <v>146.5</v>
      </c>
      <c r="W153">
        <f t="shared" si="120"/>
        <v>185</v>
      </c>
      <c r="X153">
        <f t="shared" si="121"/>
        <v>229.5</v>
      </c>
      <c r="Y153">
        <f t="shared" si="122"/>
        <v>282</v>
      </c>
      <c r="Z153">
        <f t="shared" si="123"/>
        <v>347</v>
      </c>
      <c r="AA153">
        <f t="shared" si="124"/>
        <v>417</v>
      </c>
      <c r="AB153">
        <f t="shared" si="125"/>
        <v>499.5</v>
      </c>
      <c r="AC153">
        <f t="shared" si="126"/>
        <v>588.5</v>
      </c>
    </row>
    <row r="154" spans="1:29" x14ac:dyDescent="0.3">
      <c r="A154" s="542" t="s">
        <v>1849</v>
      </c>
      <c r="B154" s="1504">
        <v>80</v>
      </c>
      <c r="C154" s="1505">
        <v>3</v>
      </c>
      <c r="D154" s="1506">
        <v>8</v>
      </c>
      <c r="E154" s="1507">
        <f>1+ 1/4</f>
        <v>1.25</v>
      </c>
      <c r="F154" s="1508" t="s">
        <v>1704</v>
      </c>
      <c r="G154" s="1358" t="str">
        <f t="shared" si="109"/>
        <v>33</v>
      </c>
      <c r="H154" s="1506">
        <v>220</v>
      </c>
      <c r="I154" s="1504">
        <v>230</v>
      </c>
      <c r="J154" s="1506"/>
      <c r="K154" s="1508">
        <f>HLOOKUP(F154,M146:AC172,9,0)</f>
        <v>201</v>
      </c>
      <c r="L154" s="531"/>
      <c r="M154">
        <f t="shared" si="110"/>
        <v>0</v>
      </c>
      <c r="N154">
        <f t="shared" si="111"/>
        <v>0</v>
      </c>
      <c r="O154">
        <f t="shared" si="112"/>
        <v>0</v>
      </c>
      <c r="P154">
        <f t="shared" si="113"/>
        <v>38.5</v>
      </c>
      <c r="Q154">
        <f t="shared" si="114"/>
        <v>50.1</v>
      </c>
      <c r="R154">
        <f t="shared" si="115"/>
        <v>62.6</v>
      </c>
      <c r="S154">
        <f t="shared" si="116"/>
        <v>78.599999999999994</v>
      </c>
      <c r="T154">
        <f t="shared" si="117"/>
        <v>94.4</v>
      </c>
      <c r="U154">
        <f t="shared" si="118"/>
        <v>127</v>
      </c>
      <c r="V154">
        <f t="shared" si="119"/>
        <v>159</v>
      </c>
      <c r="W154">
        <f t="shared" si="120"/>
        <v>201</v>
      </c>
      <c r="X154">
        <f t="shared" si="121"/>
        <v>247</v>
      </c>
      <c r="Y154">
        <f t="shared" si="122"/>
        <v>302</v>
      </c>
      <c r="Z154">
        <f t="shared" si="123"/>
        <v>372</v>
      </c>
      <c r="AA154">
        <f t="shared" si="124"/>
        <v>446</v>
      </c>
      <c r="AB154">
        <f t="shared" si="125"/>
        <v>532</v>
      </c>
      <c r="AC154">
        <f t="shared" si="126"/>
        <v>627</v>
      </c>
    </row>
    <row r="155" spans="1:29" x14ac:dyDescent="0.3">
      <c r="A155" s="542" t="s">
        <v>1850</v>
      </c>
      <c r="B155" s="1504">
        <v>100</v>
      </c>
      <c r="C155" s="1505">
        <v>4</v>
      </c>
      <c r="D155" s="1506">
        <v>8</v>
      </c>
      <c r="E155" s="1507">
        <f>1+ 1/2</f>
        <v>1.5</v>
      </c>
      <c r="F155" s="1508" t="s">
        <v>1706</v>
      </c>
      <c r="G155" s="1358" t="str">
        <f t="shared" si="109"/>
        <v>39</v>
      </c>
      <c r="H155" s="1506">
        <v>255</v>
      </c>
      <c r="I155" s="1504">
        <v>260</v>
      </c>
      <c r="J155" s="1506"/>
      <c r="K155" s="1508">
        <f>HLOOKUP(F155,M146:AC172,10,0)</f>
        <v>327</v>
      </c>
      <c r="L155" s="531"/>
      <c r="M155">
        <f t="shared" si="110"/>
        <v>0</v>
      </c>
      <c r="N155">
        <f t="shared" si="111"/>
        <v>0</v>
      </c>
      <c r="O155">
        <f t="shared" si="112"/>
        <v>0</v>
      </c>
      <c r="P155">
        <f t="shared" si="113"/>
        <v>0</v>
      </c>
      <c r="Q155">
        <f t="shared" si="114"/>
        <v>55</v>
      </c>
      <c r="R155">
        <f t="shared" si="115"/>
        <v>68.8</v>
      </c>
      <c r="S155">
        <f t="shared" si="116"/>
        <v>86.3</v>
      </c>
      <c r="T155">
        <f t="shared" si="117"/>
        <v>103</v>
      </c>
      <c r="U155">
        <f t="shared" si="118"/>
        <v>139</v>
      </c>
      <c r="V155">
        <f t="shared" si="119"/>
        <v>177</v>
      </c>
      <c r="W155">
        <f t="shared" si="120"/>
        <v>220</v>
      </c>
      <c r="X155">
        <f t="shared" si="121"/>
        <v>267</v>
      </c>
      <c r="Y155">
        <f t="shared" si="122"/>
        <v>327</v>
      </c>
      <c r="Z155">
        <f t="shared" si="123"/>
        <v>401</v>
      </c>
      <c r="AA155">
        <f t="shared" si="124"/>
        <v>480</v>
      </c>
      <c r="AB155">
        <f t="shared" si="125"/>
        <v>571</v>
      </c>
      <c r="AC155">
        <f t="shared" si="126"/>
        <v>674</v>
      </c>
    </row>
    <row r="156" spans="1:29" x14ac:dyDescent="0.3">
      <c r="A156" s="542" t="s">
        <v>1851</v>
      </c>
      <c r="B156" s="1504">
        <v>125</v>
      </c>
      <c r="C156" s="1505">
        <v>5</v>
      </c>
      <c r="D156" s="1506">
        <v>8</v>
      </c>
      <c r="E156" s="1507">
        <f>1+ 3/4</f>
        <v>1.75</v>
      </c>
      <c r="F156" s="1508" t="s">
        <v>1708</v>
      </c>
      <c r="G156" s="1358" t="str">
        <f t="shared" si="109"/>
        <v>45</v>
      </c>
      <c r="H156" s="1506">
        <v>300</v>
      </c>
      <c r="I156" s="1504">
        <v>310</v>
      </c>
      <c r="J156" s="1506"/>
      <c r="K156" s="1508">
        <f>HLOOKUP(F156,M146:AC172,11,0)</f>
        <v>541.5</v>
      </c>
      <c r="L156" s="531"/>
      <c r="M156">
        <f t="shared" si="110"/>
        <v>0</v>
      </c>
      <c r="N156">
        <f t="shared" si="111"/>
        <v>0</v>
      </c>
      <c r="O156">
        <f t="shared" si="112"/>
        <v>0</v>
      </c>
      <c r="P156">
        <f t="shared" si="113"/>
        <v>0</v>
      </c>
      <c r="Q156">
        <f t="shared" si="114"/>
        <v>0</v>
      </c>
      <c r="R156">
        <f t="shared" si="115"/>
        <v>0</v>
      </c>
      <c r="S156">
        <f t="shared" si="116"/>
        <v>99.25</v>
      </c>
      <c r="T156">
        <f t="shared" si="117"/>
        <v>118</v>
      </c>
      <c r="U156">
        <f t="shared" si="118"/>
        <v>158</v>
      </c>
      <c r="V156">
        <f t="shared" si="119"/>
        <v>201</v>
      </c>
      <c r="W156">
        <f t="shared" si="120"/>
        <v>247</v>
      </c>
      <c r="X156">
        <f t="shared" si="121"/>
        <v>305</v>
      </c>
      <c r="Y156">
        <f t="shared" si="122"/>
        <v>374</v>
      </c>
      <c r="Z156">
        <f t="shared" si="123"/>
        <v>451</v>
      </c>
      <c r="AA156">
        <f t="shared" si="124"/>
        <v>541.5</v>
      </c>
      <c r="AB156">
        <f t="shared" si="125"/>
        <v>636</v>
      </c>
      <c r="AC156">
        <f t="shared" si="126"/>
        <v>751.5</v>
      </c>
    </row>
    <row r="157" spans="1:29" x14ac:dyDescent="0.3">
      <c r="A157" s="542" t="s">
        <v>1852</v>
      </c>
      <c r="B157" s="1504">
        <v>150</v>
      </c>
      <c r="C157" s="1505">
        <v>6</v>
      </c>
      <c r="D157" s="1506">
        <v>8</v>
      </c>
      <c r="E157" s="1507">
        <v>2</v>
      </c>
      <c r="F157" s="1508" t="s">
        <v>1710</v>
      </c>
      <c r="G157" s="1358" t="str">
        <f t="shared" si="109"/>
        <v>52</v>
      </c>
      <c r="H157" s="1506">
        <v>345</v>
      </c>
      <c r="I157" s="1504">
        <v>355</v>
      </c>
      <c r="J157" s="1506"/>
      <c r="K157" s="1508">
        <f>HLOOKUP(F157,M146:AC172,12,0)</f>
        <v>818.25</v>
      </c>
      <c r="L157" s="531"/>
      <c r="M157">
        <f t="shared" si="110"/>
        <v>0</v>
      </c>
      <c r="N157">
        <f t="shared" si="111"/>
        <v>0</v>
      </c>
      <c r="O157">
        <f t="shared" si="112"/>
        <v>0</v>
      </c>
      <c r="P157">
        <f t="shared" si="113"/>
        <v>0</v>
      </c>
      <c r="Q157">
        <f t="shared" si="114"/>
        <v>0</v>
      </c>
      <c r="R157">
        <f t="shared" si="115"/>
        <v>0</v>
      </c>
      <c r="S157">
        <f t="shared" si="116"/>
        <v>0</v>
      </c>
      <c r="T157">
        <f t="shared" si="117"/>
        <v>131.5</v>
      </c>
      <c r="U157">
        <f t="shared" si="118"/>
        <v>175</v>
      </c>
      <c r="V157">
        <f t="shared" si="119"/>
        <v>221.75</v>
      </c>
      <c r="W157">
        <f t="shared" si="120"/>
        <v>273.25</v>
      </c>
      <c r="X157">
        <f t="shared" si="121"/>
        <v>336.5</v>
      </c>
      <c r="Y157">
        <f t="shared" si="122"/>
        <v>407</v>
      </c>
      <c r="Z157">
        <f t="shared" si="123"/>
        <v>491.25</v>
      </c>
      <c r="AA157">
        <f t="shared" si="124"/>
        <v>586.5</v>
      </c>
      <c r="AB157">
        <f t="shared" si="125"/>
        <v>695.5</v>
      </c>
      <c r="AC157">
        <f t="shared" si="126"/>
        <v>818.25</v>
      </c>
    </row>
    <row r="158" spans="1:29" x14ac:dyDescent="0.3">
      <c r="A158" s="542" t="s">
        <v>1853</v>
      </c>
      <c r="B158" s="1504">
        <v>200</v>
      </c>
      <c r="C158" s="1505">
        <v>8</v>
      </c>
      <c r="D158" s="1506">
        <v>12</v>
      </c>
      <c r="E158" s="1507">
        <v>2</v>
      </c>
      <c r="F158" s="1508" t="s">
        <v>1710</v>
      </c>
      <c r="G158" s="1358" t="str">
        <f t="shared" si="109"/>
        <v>52</v>
      </c>
      <c r="H158" s="1506">
        <v>380</v>
      </c>
      <c r="I158" s="1504">
        <v>395</v>
      </c>
      <c r="J158" s="1506"/>
      <c r="K158" s="1508">
        <f>HLOOKUP(F158,M146:AC172,13,0)</f>
        <v>880.25</v>
      </c>
      <c r="L158" s="531"/>
      <c r="M158">
        <f t="shared" si="110"/>
        <v>0</v>
      </c>
      <c r="N158">
        <f t="shared" si="111"/>
        <v>0</v>
      </c>
      <c r="O158">
        <f t="shared" si="112"/>
        <v>0</v>
      </c>
      <c r="P158">
        <f t="shared" si="113"/>
        <v>0</v>
      </c>
      <c r="Q158">
        <f t="shared" si="114"/>
        <v>0</v>
      </c>
      <c r="R158">
        <f t="shared" si="115"/>
        <v>0</v>
      </c>
      <c r="S158">
        <f t="shared" si="116"/>
        <v>0</v>
      </c>
      <c r="T158">
        <f t="shared" si="117"/>
        <v>0</v>
      </c>
      <c r="U158">
        <f t="shared" si="118"/>
        <v>191</v>
      </c>
      <c r="V158">
        <f t="shared" si="119"/>
        <v>240.75</v>
      </c>
      <c r="W158">
        <f t="shared" si="120"/>
        <v>296.25</v>
      </c>
      <c r="X158">
        <f t="shared" si="121"/>
        <v>363.5</v>
      </c>
      <c r="Y158">
        <f t="shared" si="122"/>
        <v>440</v>
      </c>
      <c r="Z158">
        <f t="shared" si="123"/>
        <v>524.25</v>
      </c>
      <c r="AA158">
        <f t="shared" si="124"/>
        <v>626.25</v>
      </c>
      <c r="AB158">
        <f t="shared" si="125"/>
        <v>747.5</v>
      </c>
      <c r="AC158">
        <f t="shared" si="126"/>
        <v>880.25</v>
      </c>
    </row>
    <row r="159" spans="1:29" x14ac:dyDescent="0.3">
      <c r="A159" s="542" t="s">
        <v>1854</v>
      </c>
      <c r="B159" s="1504">
        <v>250</v>
      </c>
      <c r="C159" s="1505">
        <v>10</v>
      </c>
      <c r="D159" s="1506">
        <v>12</v>
      </c>
      <c r="E159" s="1507">
        <f>2+ 1/2</f>
        <v>2.5</v>
      </c>
      <c r="F159" s="1508" t="s">
        <v>1816</v>
      </c>
      <c r="G159" s="1358" t="str">
        <f t="shared" si="109"/>
        <v>64</v>
      </c>
      <c r="H159" s="1506">
        <v>490</v>
      </c>
      <c r="I159" s="1504">
        <v>510</v>
      </c>
      <c r="J159" s="1506"/>
      <c r="K159" s="1508">
        <v>1787</v>
      </c>
      <c r="L159" s="531"/>
      <c r="M159">
        <f t="shared" si="110"/>
        <v>0</v>
      </c>
      <c r="N159">
        <f t="shared" si="111"/>
        <v>0</v>
      </c>
      <c r="O159">
        <f t="shared" si="112"/>
        <v>0</v>
      </c>
      <c r="P159">
        <f t="shared" si="113"/>
        <v>0</v>
      </c>
      <c r="Q159">
        <f t="shared" si="114"/>
        <v>0</v>
      </c>
      <c r="R159">
        <f t="shared" si="115"/>
        <v>0</v>
      </c>
      <c r="S159">
        <f t="shared" si="116"/>
        <v>0</v>
      </c>
      <c r="T159">
        <f t="shared" si="117"/>
        <v>0</v>
      </c>
      <c r="U159">
        <f t="shared" si="118"/>
        <v>237</v>
      </c>
      <c r="V159">
        <f t="shared" si="119"/>
        <v>292.5</v>
      </c>
      <c r="W159">
        <f t="shared" si="120"/>
        <v>359.5</v>
      </c>
      <c r="X159">
        <f t="shared" si="121"/>
        <v>444</v>
      </c>
      <c r="Y159">
        <f t="shared" si="122"/>
        <v>532</v>
      </c>
      <c r="Z159">
        <f t="shared" si="123"/>
        <v>633.50000000000011</v>
      </c>
      <c r="AA159">
        <f t="shared" si="124"/>
        <v>712.5</v>
      </c>
      <c r="AB159">
        <f t="shared" si="125"/>
        <v>897</v>
      </c>
      <c r="AC159">
        <f t="shared" si="126"/>
        <v>1058.5</v>
      </c>
    </row>
    <row r="160" spans="1:29" ht="15" thickBot="1" x14ac:dyDescent="0.35">
      <c r="A160" s="542" t="s">
        <v>1855</v>
      </c>
      <c r="B160" s="1504">
        <v>300</v>
      </c>
      <c r="C160" s="1505">
        <v>12</v>
      </c>
      <c r="D160" s="1506">
        <v>12</v>
      </c>
      <c r="E160" s="1507">
        <f>2+ 3/4</f>
        <v>2.75</v>
      </c>
      <c r="F160" s="1508" t="s">
        <v>1836</v>
      </c>
      <c r="G160" s="581" t="str">
        <f t="shared" si="109"/>
        <v>70</v>
      </c>
      <c r="H160" s="1506">
        <v>540</v>
      </c>
      <c r="I160" s="1504">
        <v>560</v>
      </c>
      <c r="J160" s="1506"/>
      <c r="K160" s="1508">
        <v>2368</v>
      </c>
      <c r="L160" s="531"/>
      <c r="M160">
        <f t="shared" si="110"/>
        <v>0</v>
      </c>
      <c r="N160">
        <f t="shared" si="111"/>
        <v>0</v>
      </c>
      <c r="O160">
        <f t="shared" si="112"/>
        <v>0</v>
      </c>
      <c r="P160">
        <f t="shared" si="113"/>
        <v>0</v>
      </c>
      <c r="Q160">
        <f t="shared" si="114"/>
        <v>0</v>
      </c>
      <c r="R160">
        <f t="shared" si="115"/>
        <v>0</v>
      </c>
      <c r="S160">
        <f t="shared" si="116"/>
        <v>0</v>
      </c>
      <c r="T160">
        <f t="shared" si="117"/>
        <v>0</v>
      </c>
      <c r="U160">
        <f t="shared" si="118"/>
        <v>257</v>
      </c>
      <c r="V160">
        <f t="shared" si="119"/>
        <v>315</v>
      </c>
      <c r="W160">
        <f t="shared" si="120"/>
        <v>387</v>
      </c>
      <c r="X160">
        <f t="shared" si="121"/>
        <v>479</v>
      </c>
      <c r="Y160">
        <f t="shared" si="122"/>
        <v>572</v>
      </c>
      <c r="Z160">
        <f t="shared" si="123"/>
        <v>681.00000000000011</v>
      </c>
      <c r="AA160">
        <f t="shared" si="124"/>
        <v>750</v>
      </c>
      <c r="AB160">
        <f t="shared" si="125"/>
        <v>962</v>
      </c>
      <c r="AC160">
        <f t="shared" si="126"/>
        <v>1136</v>
      </c>
    </row>
    <row r="161" spans="1:18" x14ac:dyDescent="0.3">
      <c r="A161" s="542" t="s">
        <v>1856</v>
      </c>
      <c r="B161" s="205"/>
      <c r="C161" s="568"/>
      <c r="D161" s="205"/>
      <c r="E161" s="568"/>
      <c r="F161" s="205"/>
      <c r="G161" s="205"/>
      <c r="H161" s="205"/>
      <c r="I161" s="205"/>
      <c r="J161" s="205"/>
      <c r="K161" s="205">
        <v>0</v>
      </c>
      <c r="L161" s="569"/>
    </row>
    <row r="162" spans="1:18" x14ac:dyDescent="0.3">
      <c r="A162" s="542" t="s">
        <v>1857</v>
      </c>
      <c r="B162" s="205"/>
      <c r="C162" s="568"/>
      <c r="D162" s="205"/>
      <c r="E162" s="568"/>
      <c r="F162" s="205"/>
      <c r="G162" s="205"/>
      <c r="H162" s="205"/>
      <c r="I162" s="205"/>
      <c r="J162" s="205"/>
      <c r="K162" s="205">
        <v>0</v>
      </c>
      <c r="L162" s="569"/>
    </row>
    <row r="163" spans="1:18" x14ac:dyDescent="0.3">
      <c r="A163" s="542" t="s">
        <v>1858</v>
      </c>
      <c r="B163" s="205"/>
      <c r="C163" s="568"/>
      <c r="D163" s="205"/>
      <c r="E163" s="568"/>
      <c r="F163" s="205"/>
      <c r="G163" s="205"/>
      <c r="H163" s="205"/>
      <c r="I163" s="205"/>
      <c r="J163" s="205"/>
      <c r="K163" s="205">
        <v>0</v>
      </c>
      <c r="L163" s="569"/>
    </row>
    <row r="164" spans="1:18" x14ac:dyDescent="0.3">
      <c r="A164" s="542" t="s">
        <v>1859</v>
      </c>
      <c r="B164" s="205"/>
      <c r="C164" s="568"/>
      <c r="D164" s="205"/>
      <c r="E164" s="568"/>
      <c r="F164" s="205"/>
      <c r="G164" s="205"/>
      <c r="H164" s="205"/>
      <c r="I164" s="205"/>
      <c r="J164" s="205"/>
      <c r="K164" s="205">
        <v>0</v>
      </c>
      <c r="L164" s="569"/>
    </row>
    <row r="165" spans="1:18" x14ac:dyDescent="0.3">
      <c r="A165" s="542" t="s">
        <v>1860</v>
      </c>
      <c r="B165" s="205"/>
      <c r="C165" s="568"/>
      <c r="D165" s="205"/>
      <c r="E165" s="568"/>
      <c r="F165" s="205"/>
      <c r="G165" s="205"/>
      <c r="H165" s="205"/>
      <c r="I165" s="205"/>
      <c r="J165" s="205"/>
      <c r="K165" s="205">
        <v>0</v>
      </c>
      <c r="L165" s="569"/>
    </row>
    <row r="166" spans="1:18" x14ac:dyDescent="0.3">
      <c r="A166" s="542" t="s">
        <v>1861</v>
      </c>
      <c r="B166" s="205"/>
      <c r="C166" s="568"/>
      <c r="D166" s="205"/>
      <c r="E166" s="568"/>
      <c r="F166" s="205"/>
      <c r="G166" s="205"/>
      <c r="H166" s="205"/>
      <c r="I166" s="205"/>
      <c r="J166" s="205"/>
      <c r="K166" s="205">
        <v>0</v>
      </c>
      <c r="L166" s="569"/>
    </row>
    <row r="167" spans="1:18" ht="15" thickBot="1" x14ac:dyDescent="0.35">
      <c r="A167" s="542" t="s">
        <v>1862</v>
      </c>
      <c r="K167" s="205">
        <v>0</v>
      </c>
    </row>
    <row r="168" spans="1:18" ht="15" thickBot="1" x14ac:dyDescent="0.35">
      <c r="A168" s="570" t="s">
        <v>1863</v>
      </c>
      <c r="B168" s="571"/>
      <c r="C168" s="572"/>
      <c r="D168" s="571"/>
      <c r="E168" s="572"/>
      <c r="F168" s="571"/>
      <c r="G168" s="571"/>
      <c r="H168" s="571"/>
      <c r="I168" s="571"/>
      <c r="J168" s="571"/>
      <c r="K168" s="571"/>
      <c r="L168" s="571"/>
      <c r="M168" s="571"/>
      <c r="N168" s="571"/>
      <c r="O168" s="571"/>
      <c r="P168" s="571"/>
      <c r="Q168" s="571"/>
      <c r="R168" s="573"/>
    </row>
    <row r="169" spans="1:18" ht="15" thickBot="1" x14ac:dyDescent="0.35">
      <c r="A169" s="574"/>
      <c r="B169" s="540">
        <v>10</v>
      </c>
      <c r="C169" s="540">
        <v>12</v>
      </c>
      <c r="D169" s="540">
        <v>14</v>
      </c>
      <c r="E169" s="540">
        <v>16</v>
      </c>
      <c r="F169" s="540">
        <v>18</v>
      </c>
      <c r="G169" s="540">
        <v>20</v>
      </c>
      <c r="H169" s="540">
        <v>22</v>
      </c>
      <c r="I169" s="540">
        <v>24</v>
      </c>
      <c r="J169" s="540">
        <v>27</v>
      </c>
      <c r="K169" s="540">
        <v>30</v>
      </c>
      <c r="L169" s="540">
        <v>33</v>
      </c>
      <c r="M169" s="540">
        <v>36</v>
      </c>
      <c r="N169" s="540">
        <v>39</v>
      </c>
      <c r="O169" s="540">
        <v>42</v>
      </c>
      <c r="P169" s="540">
        <v>45</v>
      </c>
      <c r="Q169" s="540">
        <v>48</v>
      </c>
      <c r="R169" s="541">
        <v>52</v>
      </c>
    </row>
    <row r="170" spans="1:18" x14ac:dyDescent="0.3">
      <c r="A170" s="575">
        <v>60</v>
      </c>
      <c r="B170" s="1509">
        <v>5.6</v>
      </c>
      <c r="C170" s="1510">
        <v>8.1</v>
      </c>
      <c r="D170" s="1511">
        <v>12</v>
      </c>
      <c r="E170" s="1512">
        <v>15.6</v>
      </c>
      <c r="F170" s="1512"/>
      <c r="G170" s="1512"/>
      <c r="H170" s="1512"/>
      <c r="I170" s="1512"/>
      <c r="J170" s="1512"/>
      <c r="K170" s="1512"/>
      <c r="L170" s="1512"/>
      <c r="M170" s="1512"/>
      <c r="N170" s="1512"/>
      <c r="O170" s="1512"/>
      <c r="P170" s="1512"/>
      <c r="Q170" s="1512"/>
      <c r="R170" s="1512"/>
    </row>
    <row r="171" spans="1:18" x14ac:dyDescent="0.3">
      <c r="A171" s="575">
        <v>65</v>
      </c>
      <c r="B171" s="1513">
        <v>5.85</v>
      </c>
      <c r="C171" s="1514">
        <v>8.5</v>
      </c>
      <c r="D171" s="1515">
        <v>12.5</v>
      </c>
      <c r="E171" s="1516">
        <v>16.25</v>
      </c>
      <c r="F171" s="1516"/>
      <c r="G171" s="1516"/>
      <c r="H171" s="1516"/>
      <c r="I171" s="1516"/>
      <c r="J171" s="1516"/>
      <c r="K171" s="1516"/>
      <c r="L171" s="1516"/>
      <c r="M171" s="1516"/>
      <c r="N171" s="1516"/>
      <c r="O171" s="1516"/>
      <c r="P171" s="1516"/>
      <c r="Q171" s="1516"/>
      <c r="R171" s="1516"/>
    </row>
    <row r="172" spans="1:18" x14ac:dyDescent="0.3">
      <c r="A172" s="575">
        <v>70</v>
      </c>
      <c r="B172" s="1513">
        <v>6.1</v>
      </c>
      <c r="C172" s="1514">
        <v>8.9</v>
      </c>
      <c r="D172" s="1515">
        <v>13</v>
      </c>
      <c r="E172" s="1516">
        <v>16.899999999999999</v>
      </c>
      <c r="F172" s="1516">
        <v>23.7</v>
      </c>
      <c r="G172" s="1516"/>
      <c r="H172" s="1516"/>
      <c r="I172" s="1516"/>
      <c r="J172" s="1516"/>
      <c r="K172" s="1516"/>
      <c r="L172" s="1516"/>
      <c r="M172" s="1516"/>
      <c r="N172" s="1516"/>
      <c r="O172" s="1516"/>
      <c r="P172" s="1516"/>
      <c r="Q172" s="1516"/>
      <c r="R172" s="1516"/>
    </row>
    <row r="173" spans="1:18" x14ac:dyDescent="0.3">
      <c r="A173" s="575">
        <v>75</v>
      </c>
      <c r="B173" s="1513">
        <v>6.35</v>
      </c>
      <c r="C173" s="1514">
        <v>9.25</v>
      </c>
      <c r="D173" s="1515">
        <v>13.5</v>
      </c>
      <c r="E173" s="1516">
        <v>17.549999999999997</v>
      </c>
      <c r="F173" s="1516">
        <v>24.549999999999997</v>
      </c>
      <c r="G173" s="1516"/>
      <c r="H173" s="1516"/>
      <c r="I173" s="1516"/>
      <c r="J173" s="1516"/>
      <c r="K173" s="1516"/>
      <c r="L173" s="1516"/>
      <c r="M173" s="1516"/>
      <c r="N173" s="1516"/>
      <c r="O173" s="1516"/>
      <c r="P173" s="1516"/>
      <c r="Q173" s="1516"/>
      <c r="R173" s="1516"/>
    </row>
    <row r="174" spans="1:18" x14ac:dyDescent="0.3">
      <c r="A174" s="575">
        <v>80</v>
      </c>
      <c r="B174" s="1513">
        <v>6.6</v>
      </c>
      <c r="C174" s="1514">
        <v>9.6</v>
      </c>
      <c r="D174" s="1515">
        <v>14</v>
      </c>
      <c r="E174" s="1516">
        <v>18.2</v>
      </c>
      <c r="F174" s="1516">
        <v>25.4</v>
      </c>
      <c r="G174" s="1516">
        <v>32.5</v>
      </c>
      <c r="H174" s="1516"/>
      <c r="I174" s="1516"/>
      <c r="J174" s="1516"/>
      <c r="K174" s="1516"/>
      <c r="L174" s="1516"/>
      <c r="M174" s="1516"/>
      <c r="N174" s="1516"/>
      <c r="O174" s="1516"/>
      <c r="P174" s="1516"/>
      <c r="Q174" s="1516"/>
      <c r="R174" s="1516"/>
    </row>
    <row r="175" spans="1:18" x14ac:dyDescent="0.3">
      <c r="A175" s="575">
        <v>85</v>
      </c>
      <c r="B175" s="1513">
        <v>6.85</v>
      </c>
      <c r="C175" s="1514">
        <v>9.9499999999999993</v>
      </c>
      <c r="D175" s="1515">
        <v>14.5</v>
      </c>
      <c r="E175" s="1516">
        <v>18.899999999999999</v>
      </c>
      <c r="F175" s="1516">
        <v>26.25</v>
      </c>
      <c r="G175" s="1516">
        <v>33.5</v>
      </c>
      <c r="H175" s="1516"/>
      <c r="I175" s="1516"/>
      <c r="J175" s="1516"/>
      <c r="K175" s="1516"/>
      <c r="L175" s="1516"/>
      <c r="M175" s="1516"/>
      <c r="N175" s="1516"/>
      <c r="O175" s="1516"/>
      <c r="P175" s="1516"/>
      <c r="Q175" s="1516"/>
      <c r="R175" s="1516"/>
    </row>
    <row r="176" spans="1:18" x14ac:dyDescent="0.3">
      <c r="A176" s="575">
        <v>90</v>
      </c>
      <c r="B176" s="1513">
        <v>7.1</v>
      </c>
      <c r="C176" s="1514">
        <v>10.3</v>
      </c>
      <c r="D176" s="1515">
        <v>15</v>
      </c>
      <c r="E176" s="1516">
        <v>19.600000000000001</v>
      </c>
      <c r="F176" s="1516">
        <v>27.1</v>
      </c>
      <c r="G176" s="1516">
        <v>34.5</v>
      </c>
      <c r="H176" s="1516">
        <v>45.5</v>
      </c>
      <c r="I176" s="1516"/>
      <c r="J176" s="1516"/>
      <c r="K176" s="1516"/>
      <c r="L176" s="1516"/>
      <c r="M176" s="1516"/>
      <c r="N176" s="1516"/>
      <c r="O176" s="1516"/>
      <c r="P176" s="1516"/>
      <c r="Q176" s="1516"/>
      <c r="R176" s="1516"/>
    </row>
    <row r="177" spans="1:18" x14ac:dyDescent="0.3">
      <c r="A177" s="575">
        <v>95</v>
      </c>
      <c r="B177" s="1513">
        <v>7.35</v>
      </c>
      <c r="C177" s="1514">
        <v>10.65</v>
      </c>
      <c r="D177" s="1515">
        <v>15.5</v>
      </c>
      <c r="E177" s="1516">
        <v>20.3</v>
      </c>
      <c r="F177" s="1516">
        <v>27.950000000000003</v>
      </c>
      <c r="G177" s="1516">
        <v>35.6</v>
      </c>
      <c r="H177" s="1516">
        <v>46.35</v>
      </c>
      <c r="I177" s="1516"/>
      <c r="J177" s="1516"/>
      <c r="K177" s="1516"/>
      <c r="L177" s="1516"/>
      <c r="M177" s="1516"/>
      <c r="N177" s="1516"/>
      <c r="O177" s="1516"/>
      <c r="P177" s="1516"/>
      <c r="Q177" s="1516"/>
      <c r="R177" s="1516"/>
    </row>
    <row r="178" spans="1:18" x14ac:dyDescent="0.3">
      <c r="A178" s="575">
        <v>100</v>
      </c>
      <c r="B178" s="1513">
        <v>7.6</v>
      </c>
      <c r="C178" s="1514">
        <v>11</v>
      </c>
      <c r="D178" s="1515">
        <v>16</v>
      </c>
      <c r="E178" s="1516">
        <v>21</v>
      </c>
      <c r="F178" s="1516">
        <v>28.8</v>
      </c>
      <c r="G178" s="1516">
        <v>36.700000000000003</v>
      </c>
      <c r="H178" s="1516">
        <v>47.2</v>
      </c>
      <c r="I178" s="1516">
        <v>54.2</v>
      </c>
      <c r="J178" s="1516"/>
      <c r="K178" s="1516"/>
      <c r="L178" s="1516"/>
      <c r="M178" s="1516"/>
      <c r="N178" s="1516"/>
      <c r="O178" s="1516"/>
      <c r="P178" s="1516"/>
      <c r="Q178" s="1516"/>
      <c r="R178" s="1516"/>
    </row>
    <row r="179" spans="1:18" x14ac:dyDescent="0.3">
      <c r="A179" s="575">
        <v>105</v>
      </c>
      <c r="B179" s="1513">
        <v>7.85</v>
      </c>
      <c r="C179" s="1514">
        <v>11.35</v>
      </c>
      <c r="D179" s="1515">
        <v>16.5</v>
      </c>
      <c r="E179" s="1516">
        <v>21.6</v>
      </c>
      <c r="F179" s="1516">
        <v>29.6</v>
      </c>
      <c r="G179" s="1516">
        <v>37.700000000000003</v>
      </c>
      <c r="H179" s="1516">
        <v>47.75</v>
      </c>
      <c r="I179" s="1516">
        <v>56.2</v>
      </c>
      <c r="J179" s="1516"/>
      <c r="K179" s="1516"/>
      <c r="L179" s="1516"/>
      <c r="M179" s="1516"/>
      <c r="N179" s="1516"/>
      <c r="O179" s="1516"/>
      <c r="P179" s="1516"/>
      <c r="Q179" s="1516"/>
      <c r="R179" s="1516"/>
    </row>
    <row r="180" spans="1:18" x14ac:dyDescent="0.3">
      <c r="A180" s="575">
        <v>110</v>
      </c>
      <c r="B180" s="1513">
        <v>8.1</v>
      </c>
      <c r="C180" s="1514">
        <v>11.7</v>
      </c>
      <c r="D180" s="1515">
        <v>17</v>
      </c>
      <c r="E180" s="1516">
        <v>22.2</v>
      </c>
      <c r="F180" s="1516">
        <v>30.4</v>
      </c>
      <c r="G180" s="1516">
        <v>38.700000000000003</v>
      </c>
      <c r="H180" s="1516">
        <v>48.3</v>
      </c>
      <c r="I180" s="1516">
        <v>58.2</v>
      </c>
      <c r="J180" s="1516">
        <v>77.400000000000006</v>
      </c>
      <c r="K180" s="1516"/>
      <c r="L180" s="1516"/>
      <c r="M180" s="1516"/>
      <c r="N180" s="1516"/>
      <c r="O180" s="1516"/>
      <c r="P180" s="1516"/>
      <c r="Q180" s="1516"/>
      <c r="R180" s="1516"/>
    </row>
    <row r="181" spans="1:18" x14ac:dyDescent="0.3">
      <c r="A181" s="575">
        <v>115</v>
      </c>
      <c r="B181" s="1513">
        <v>8.35</v>
      </c>
      <c r="C181" s="1514">
        <v>12.05</v>
      </c>
      <c r="D181" s="1515">
        <v>17.5</v>
      </c>
      <c r="E181" s="1516">
        <v>22.9</v>
      </c>
      <c r="F181" s="1516">
        <v>31.25</v>
      </c>
      <c r="G181" s="1516">
        <v>39.700000000000003</v>
      </c>
      <c r="H181" s="1516">
        <v>49.599999999999994</v>
      </c>
      <c r="I181" s="1516">
        <v>59.2</v>
      </c>
      <c r="J181" s="1516">
        <v>79.300000000000011</v>
      </c>
      <c r="K181" s="1516"/>
      <c r="L181" s="1516"/>
      <c r="M181" s="1516"/>
      <c r="N181" s="1516"/>
      <c r="O181" s="1516"/>
      <c r="P181" s="1516"/>
      <c r="Q181" s="1516"/>
      <c r="R181" s="1516"/>
    </row>
    <row r="182" spans="1:18" x14ac:dyDescent="0.3">
      <c r="A182" s="575">
        <v>120</v>
      </c>
      <c r="B182" s="1513">
        <v>8.6</v>
      </c>
      <c r="C182" s="1514">
        <v>12.4</v>
      </c>
      <c r="D182" s="1515">
        <v>18</v>
      </c>
      <c r="E182" s="1516">
        <v>23.6</v>
      </c>
      <c r="F182" s="1516">
        <v>32.1</v>
      </c>
      <c r="G182" s="1516">
        <v>40.700000000000003</v>
      </c>
      <c r="H182" s="1516">
        <v>50.9</v>
      </c>
      <c r="I182" s="1516">
        <v>60.2</v>
      </c>
      <c r="J182" s="1516">
        <v>81.2</v>
      </c>
      <c r="K182" s="1516">
        <v>107</v>
      </c>
      <c r="L182" s="1516"/>
      <c r="M182" s="1516"/>
      <c r="N182" s="1516"/>
      <c r="O182" s="1516"/>
      <c r="P182" s="1516"/>
      <c r="Q182" s="1516"/>
      <c r="R182" s="1516"/>
    </row>
    <row r="183" spans="1:18" x14ac:dyDescent="0.3">
      <c r="A183" s="575">
        <v>125</v>
      </c>
      <c r="B183" s="1513">
        <v>8.85</v>
      </c>
      <c r="C183" s="1514">
        <v>12.8</v>
      </c>
      <c r="D183" s="1515">
        <v>18.5</v>
      </c>
      <c r="E183" s="1516">
        <v>24.25</v>
      </c>
      <c r="F183" s="1516">
        <v>32.900000000000006</v>
      </c>
      <c r="G183" s="1516">
        <v>41.75</v>
      </c>
      <c r="H183" s="1516">
        <v>52.15</v>
      </c>
      <c r="I183" s="1516">
        <v>61.7</v>
      </c>
      <c r="J183" s="1516">
        <v>83.1</v>
      </c>
      <c r="K183" s="1516">
        <v>109</v>
      </c>
      <c r="L183" s="1516"/>
      <c r="M183" s="1516"/>
      <c r="N183" s="1516"/>
      <c r="O183" s="1516"/>
      <c r="P183" s="1516"/>
      <c r="Q183" s="1516"/>
      <c r="R183" s="1516"/>
    </row>
    <row r="184" spans="1:18" x14ac:dyDescent="0.3">
      <c r="A184" s="575">
        <v>130</v>
      </c>
      <c r="B184" s="1513">
        <v>9.1</v>
      </c>
      <c r="C184" s="1514">
        <v>13.2</v>
      </c>
      <c r="D184" s="1515">
        <v>19</v>
      </c>
      <c r="E184" s="1516">
        <v>24.9</v>
      </c>
      <c r="F184" s="1516">
        <v>33.700000000000003</v>
      </c>
      <c r="G184" s="1516">
        <v>42.8</v>
      </c>
      <c r="H184" s="1516">
        <v>53.4</v>
      </c>
      <c r="I184" s="1516">
        <v>63.2</v>
      </c>
      <c r="J184" s="1516">
        <v>85</v>
      </c>
      <c r="K184" s="1516">
        <v>111</v>
      </c>
      <c r="L184" s="1516">
        <v>141</v>
      </c>
      <c r="M184" s="1516"/>
      <c r="N184" s="1516"/>
      <c r="O184" s="1516"/>
      <c r="P184" s="1516"/>
      <c r="Q184" s="1516"/>
      <c r="R184" s="1516"/>
    </row>
    <row r="185" spans="1:18" x14ac:dyDescent="0.3">
      <c r="A185" s="575">
        <v>135</v>
      </c>
      <c r="B185" s="1513">
        <v>9.35</v>
      </c>
      <c r="C185" s="1514">
        <v>13.7</v>
      </c>
      <c r="D185" s="1515">
        <v>19.5</v>
      </c>
      <c r="E185" s="1516">
        <v>25.549999999999997</v>
      </c>
      <c r="F185" s="1516">
        <v>34.549999999999997</v>
      </c>
      <c r="G185" s="1516">
        <v>43.849999999999994</v>
      </c>
      <c r="H185" s="1516">
        <v>54.65</v>
      </c>
      <c r="I185" s="1516">
        <v>64.7</v>
      </c>
      <c r="J185" s="1516">
        <v>86.95</v>
      </c>
      <c r="K185" s="1516">
        <v>113.5</v>
      </c>
      <c r="L185" s="1516">
        <v>144</v>
      </c>
      <c r="M185" s="1516"/>
      <c r="N185" s="1516"/>
      <c r="O185" s="1516"/>
      <c r="P185" s="1516"/>
      <c r="Q185" s="1516"/>
      <c r="R185" s="1516"/>
    </row>
    <row r="186" spans="1:18" x14ac:dyDescent="0.3">
      <c r="A186" s="575">
        <v>140</v>
      </c>
      <c r="B186" s="1513">
        <v>9.6</v>
      </c>
      <c r="C186" s="1514">
        <v>14.2</v>
      </c>
      <c r="D186" s="1515">
        <v>20</v>
      </c>
      <c r="E186" s="1516">
        <v>26.2</v>
      </c>
      <c r="F186" s="1516">
        <v>35.4</v>
      </c>
      <c r="G186" s="1516">
        <v>44.9</v>
      </c>
      <c r="H186" s="1516">
        <v>55.9</v>
      </c>
      <c r="I186" s="1516">
        <v>66.2</v>
      </c>
      <c r="J186" s="1516">
        <v>88.9</v>
      </c>
      <c r="K186" s="1516">
        <v>116</v>
      </c>
      <c r="L186" s="1516">
        <v>147</v>
      </c>
      <c r="M186" s="1516">
        <v>185</v>
      </c>
      <c r="N186" s="1516"/>
      <c r="O186" s="1516"/>
      <c r="P186" s="1516"/>
      <c r="Q186" s="1516"/>
      <c r="R186" s="1516"/>
    </row>
    <row r="187" spans="1:18" x14ac:dyDescent="0.3">
      <c r="A187" s="575">
        <v>145</v>
      </c>
      <c r="B187" s="1513">
        <v>9.85</v>
      </c>
      <c r="C187" s="1514">
        <v>14.55</v>
      </c>
      <c r="D187" s="1515">
        <v>20.399999999999999</v>
      </c>
      <c r="E187" s="1516">
        <v>26.85</v>
      </c>
      <c r="F187" s="1516">
        <v>36.15</v>
      </c>
      <c r="G187" s="1516">
        <v>45.9</v>
      </c>
      <c r="H187" s="1516">
        <v>57.2</v>
      </c>
      <c r="I187" s="1516">
        <v>67.7</v>
      </c>
      <c r="J187" s="1516">
        <v>90.800000000000011</v>
      </c>
      <c r="K187" s="1516">
        <v>118.5</v>
      </c>
      <c r="L187" s="1516">
        <v>150</v>
      </c>
      <c r="M187" s="1516">
        <v>188.5</v>
      </c>
      <c r="N187" s="1516"/>
      <c r="O187" s="1516"/>
      <c r="P187" s="1516"/>
      <c r="Q187" s="1516"/>
      <c r="R187" s="1516"/>
    </row>
    <row r="188" spans="1:18" x14ac:dyDescent="0.3">
      <c r="A188" s="575">
        <v>150</v>
      </c>
      <c r="B188" s="1513">
        <v>10.1</v>
      </c>
      <c r="C188" s="1514">
        <v>14.9</v>
      </c>
      <c r="D188" s="1515">
        <v>20.8</v>
      </c>
      <c r="E188" s="1516">
        <v>27.5</v>
      </c>
      <c r="F188" s="1516">
        <v>36.9</v>
      </c>
      <c r="G188" s="1516">
        <v>46.9</v>
      </c>
      <c r="H188" s="1516">
        <v>58.5</v>
      </c>
      <c r="I188" s="1516">
        <v>69.2</v>
      </c>
      <c r="J188" s="1516">
        <v>92.7</v>
      </c>
      <c r="K188" s="1516">
        <v>121</v>
      </c>
      <c r="L188" s="1516">
        <v>153</v>
      </c>
      <c r="M188" s="1516">
        <v>192</v>
      </c>
      <c r="N188" s="1516">
        <v>237</v>
      </c>
      <c r="O188" s="1516"/>
      <c r="P188" s="1516"/>
      <c r="Q188" s="1516"/>
      <c r="R188" s="1516"/>
    </row>
    <row r="189" spans="1:18" x14ac:dyDescent="0.3">
      <c r="A189" s="575">
        <v>155</v>
      </c>
      <c r="B189" s="1513">
        <v>10.35</v>
      </c>
      <c r="C189" s="1514">
        <v>15.25</v>
      </c>
      <c r="D189" s="1515">
        <v>21.3</v>
      </c>
      <c r="E189" s="1516">
        <v>28.3</v>
      </c>
      <c r="F189" s="1516">
        <v>37.75</v>
      </c>
      <c r="G189" s="1516">
        <v>47.95</v>
      </c>
      <c r="H189" s="1516">
        <v>59.75</v>
      </c>
      <c r="I189" s="1516">
        <v>70.7</v>
      </c>
      <c r="J189" s="1516">
        <v>94.65</v>
      </c>
      <c r="K189" s="1516">
        <v>123.5</v>
      </c>
      <c r="L189" s="1516">
        <v>156</v>
      </c>
      <c r="M189" s="1516">
        <v>195.5</v>
      </c>
      <c r="N189" s="1516">
        <v>241</v>
      </c>
      <c r="O189" s="1516"/>
      <c r="P189" s="1516"/>
      <c r="Q189" s="1516"/>
      <c r="R189" s="1516"/>
    </row>
    <row r="190" spans="1:18" x14ac:dyDescent="0.3">
      <c r="A190" s="575">
        <v>160</v>
      </c>
      <c r="B190" s="1513">
        <v>10.6</v>
      </c>
      <c r="C190" s="1514">
        <v>15.6</v>
      </c>
      <c r="D190" s="1515">
        <v>21.8</v>
      </c>
      <c r="E190" s="1516">
        <v>29.1</v>
      </c>
      <c r="F190" s="1516">
        <v>38.6</v>
      </c>
      <c r="G190" s="1516">
        <v>49</v>
      </c>
      <c r="H190" s="1516">
        <v>61</v>
      </c>
      <c r="I190" s="1516">
        <v>72.2</v>
      </c>
      <c r="J190" s="1516">
        <v>96.6</v>
      </c>
      <c r="K190" s="1516">
        <v>126</v>
      </c>
      <c r="L190" s="1516">
        <v>159</v>
      </c>
      <c r="M190" s="1516">
        <v>199</v>
      </c>
      <c r="N190" s="1516">
        <v>245</v>
      </c>
      <c r="O190" s="1516">
        <v>302</v>
      </c>
      <c r="P190" s="1516"/>
      <c r="Q190" s="1516"/>
      <c r="R190" s="1516"/>
    </row>
    <row r="191" spans="1:18" x14ac:dyDescent="0.3">
      <c r="A191" s="575">
        <v>165</v>
      </c>
      <c r="B191" s="1513"/>
      <c r="C191" s="1514">
        <v>16</v>
      </c>
      <c r="D191" s="1515">
        <v>22.3</v>
      </c>
      <c r="E191" s="1516">
        <v>29.75</v>
      </c>
      <c r="F191" s="1516">
        <v>39.400000000000006</v>
      </c>
      <c r="G191" s="1516">
        <v>50.05</v>
      </c>
      <c r="H191" s="1516">
        <v>62.25</v>
      </c>
      <c r="I191" s="1516">
        <v>73.7</v>
      </c>
      <c r="J191" s="1516">
        <v>98.8</v>
      </c>
      <c r="K191" s="1516">
        <v>128</v>
      </c>
      <c r="L191" s="1516">
        <v>162</v>
      </c>
      <c r="M191" s="1516">
        <v>202.5</v>
      </c>
      <c r="N191" s="1516">
        <v>249</v>
      </c>
      <c r="O191" s="1516">
        <v>307</v>
      </c>
      <c r="P191" s="1516"/>
      <c r="Q191" s="1516"/>
      <c r="R191" s="1516"/>
    </row>
    <row r="192" spans="1:18" x14ac:dyDescent="0.3">
      <c r="A192" s="575">
        <v>170</v>
      </c>
      <c r="B192" s="1513"/>
      <c r="C192" s="1514">
        <v>16.399999999999999</v>
      </c>
      <c r="D192" s="1515">
        <v>22.8</v>
      </c>
      <c r="E192" s="1516">
        <v>30.4</v>
      </c>
      <c r="F192" s="1516">
        <v>40.200000000000003</v>
      </c>
      <c r="G192" s="1516">
        <v>51.1</v>
      </c>
      <c r="H192" s="1516">
        <v>63.5</v>
      </c>
      <c r="I192" s="1516">
        <v>75.2</v>
      </c>
      <c r="J192" s="1516">
        <v>101</v>
      </c>
      <c r="K192" s="1516">
        <v>130</v>
      </c>
      <c r="L192" s="1516">
        <v>165</v>
      </c>
      <c r="M192" s="1516">
        <v>206</v>
      </c>
      <c r="N192" s="1516">
        <v>253</v>
      </c>
      <c r="O192" s="1516">
        <v>312</v>
      </c>
      <c r="P192" s="1516">
        <v>378</v>
      </c>
      <c r="Q192" s="1516"/>
      <c r="R192" s="1516"/>
    </row>
    <row r="193" spans="1:18" x14ac:dyDescent="0.3">
      <c r="A193" s="575">
        <v>175</v>
      </c>
      <c r="B193" s="1513"/>
      <c r="C193" s="1514"/>
      <c r="D193" s="1515">
        <v>23.3</v>
      </c>
      <c r="E193" s="1516">
        <v>31.1</v>
      </c>
      <c r="F193" s="1516">
        <v>41.05</v>
      </c>
      <c r="G193" s="1516">
        <v>51.7</v>
      </c>
      <c r="H193" s="1516">
        <v>64.8</v>
      </c>
      <c r="I193" s="1516">
        <v>76.650000000000006</v>
      </c>
      <c r="J193" s="1516">
        <v>103</v>
      </c>
      <c r="K193" s="1516">
        <v>132.5</v>
      </c>
      <c r="L193" s="1516">
        <v>168</v>
      </c>
      <c r="M193" s="1516">
        <v>209.5</v>
      </c>
      <c r="N193" s="1516">
        <v>257</v>
      </c>
      <c r="O193" s="1516">
        <v>317</v>
      </c>
      <c r="P193" s="1516">
        <v>383.5</v>
      </c>
      <c r="Q193" s="1516"/>
      <c r="R193" s="1516"/>
    </row>
    <row r="194" spans="1:18" x14ac:dyDescent="0.3">
      <c r="A194" s="575">
        <v>180</v>
      </c>
      <c r="B194" s="1513"/>
      <c r="C194" s="1514"/>
      <c r="D194" s="1515">
        <v>23.8</v>
      </c>
      <c r="E194" s="1516">
        <v>31.8</v>
      </c>
      <c r="F194" s="1516">
        <v>41.9</v>
      </c>
      <c r="G194" s="1516">
        <v>52.3</v>
      </c>
      <c r="H194" s="1516">
        <v>66.099999999999994</v>
      </c>
      <c r="I194" s="1516">
        <v>78.099999999999994</v>
      </c>
      <c r="J194" s="1516">
        <v>105</v>
      </c>
      <c r="K194" s="1516">
        <v>135</v>
      </c>
      <c r="L194" s="1516">
        <v>171</v>
      </c>
      <c r="M194" s="1516">
        <v>213</v>
      </c>
      <c r="N194" s="1516">
        <v>261</v>
      </c>
      <c r="O194" s="1516">
        <v>322</v>
      </c>
      <c r="P194" s="1516">
        <v>389</v>
      </c>
      <c r="Q194" s="1516">
        <v>467</v>
      </c>
      <c r="R194" s="1516"/>
    </row>
    <row r="195" spans="1:18" x14ac:dyDescent="0.3">
      <c r="A195" s="575">
        <v>185</v>
      </c>
      <c r="B195" s="1513"/>
      <c r="C195" s="1514"/>
      <c r="D195" s="1515"/>
      <c r="E195" s="1516">
        <v>32.450000000000003</v>
      </c>
      <c r="F195" s="1516">
        <v>42.7</v>
      </c>
      <c r="G195" s="1516">
        <v>53.349999999999994</v>
      </c>
      <c r="H195" s="1516">
        <v>67.25</v>
      </c>
      <c r="I195" s="1516">
        <v>79.599999999999994</v>
      </c>
      <c r="J195" s="1516">
        <v>107</v>
      </c>
      <c r="K195" s="1516">
        <v>137.5</v>
      </c>
      <c r="L195" s="1516">
        <v>173.5</v>
      </c>
      <c r="M195" s="1516">
        <v>216</v>
      </c>
      <c r="N195" s="1516">
        <v>265</v>
      </c>
      <c r="O195" s="1516">
        <v>327</v>
      </c>
      <c r="P195" s="1516">
        <v>394.5</v>
      </c>
      <c r="Q195" s="1516">
        <v>473.5</v>
      </c>
      <c r="R195" s="1516"/>
    </row>
    <row r="196" spans="1:18" x14ac:dyDescent="0.3">
      <c r="A196" s="575">
        <v>190</v>
      </c>
      <c r="B196" s="1513"/>
      <c r="C196" s="1514"/>
      <c r="D196" s="1515"/>
      <c r="E196" s="1516">
        <v>33.1</v>
      </c>
      <c r="F196" s="1516">
        <v>43.5</v>
      </c>
      <c r="G196" s="1516">
        <v>54.4</v>
      </c>
      <c r="H196" s="1516">
        <v>68.400000000000006</v>
      </c>
      <c r="I196" s="1516">
        <v>81.099999999999994</v>
      </c>
      <c r="J196" s="1516">
        <v>109</v>
      </c>
      <c r="K196" s="1516">
        <v>140</v>
      </c>
      <c r="L196" s="1516">
        <v>176</v>
      </c>
      <c r="M196" s="1516">
        <v>219</v>
      </c>
      <c r="N196" s="1516">
        <v>269</v>
      </c>
      <c r="O196" s="1516">
        <v>332</v>
      </c>
      <c r="P196" s="1516">
        <v>400</v>
      </c>
      <c r="Q196" s="1516">
        <v>480</v>
      </c>
      <c r="R196" s="1516">
        <v>566</v>
      </c>
    </row>
    <row r="197" spans="1:18" x14ac:dyDescent="0.3">
      <c r="A197" s="575">
        <v>195</v>
      </c>
      <c r="B197" s="1513"/>
      <c r="C197" s="1514"/>
      <c r="D197" s="1515"/>
      <c r="E197" s="1516">
        <v>33.799999999999997</v>
      </c>
      <c r="F197" s="1516">
        <v>44.35</v>
      </c>
      <c r="G197" s="1516">
        <v>55.45</v>
      </c>
      <c r="H197" s="1516">
        <v>69.7</v>
      </c>
      <c r="I197" s="1516">
        <v>82.55</v>
      </c>
      <c r="J197" s="1516">
        <v>111</v>
      </c>
      <c r="K197" s="1516">
        <v>142</v>
      </c>
      <c r="L197" s="1516">
        <v>179</v>
      </c>
      <c r="M197" s="1516">
        <v>222.5</v>
      </c>
      <c r="N197" s="1516">
        <v>273.5</v>
      </c>
      <c r="O197" s="1516">
        <v>337</v>
      </c>
      <c r="P197" s="1516">
        <v>405.5</v>
      </c>
      <c r="Q197" s="1516">
        <v>486.5</v>
      </c>
      <c r="R197" s="1516">
        <v>573.5</v>
      </c>
    </row>
    <row r="198" spans="1:18" x14ac:dyDescent="0.3">
      <c r="A198" s="575">
        <v>200</v>
      </c>
      <c r="B198" s="1513"/>
      <c r="C198" s="1514"/>
      <c r="D198" s="1515"/>
      <c r="E198" s="1516">
        <v>34.5</v>
      </c>
      <c r="F198" s="1516">
        <v>45.2</v>
      </c>
      <c r="G198" s="1516">
        <v>56.5</v>
      </c>
      <c r="H198" s="1516">
        <v>71</v>
      </c>
      <c r="I198" s="1516">
        <v>84</v>
      </c>
      <c r="J198" s="1516">
        <v>113</v>
      </c>
      <c r="K198" s="1516">
        <v>144</v>
      </c>
      <c r="L198" s="1516">
        <v>182</v>
      </c>
      <c r="M198" s="1516">
        <v>226</v>
      </c>
      <c r="N198" s="1516">
        <v>278</v>
      </c>
      <c r="O198" s="1516">
        <v>342</v>
      </c>
      <c r="P198" s="1516">
        <v>411</v>
      </c>
      <c r="Q198" s="1516">
        <v>493</v>
      </c>
      <c r="R198" s="1516">
        <v>581</v>
      </c>
    </row>
    <row r="199" spans="1:18" x14ac:dyDescent="0.3">
      <c r="A199" s="575">
        <v>205</v>
      </c>
      <c r="B199" s="1513"/>
      <c r="C199" s="1514"/>
      <c r="D199" s="1515"/>
      <c r="E199" s="1516">
        <v>35.15</v>
      </c>
      <c r="F199" s="1516">
        <v>46</v>
      </c>
      <c r="G199" s="1516">
        <v>57.5</v>
      </c>
      <c r="H199" s="1516">
        <v>72.25</v>
      </c>
      <c r="I199" s="1516">
        <v>86.2</v>
      </c>
      <c r="J199" s="1516">
        <v>116.5</v>
      </c>
      <c r="K199" s="1516">
        <v>146.5</v>
      </c>
      <c r="L199" s="1516">
        <v>185</v>
      </c>
      <c r="M199" s="1516">
        <v>229.5</v>
      </c>
      <c r="N199" s="1516">
        <v>282</v>
      </c>
      <c r="O199" s="1516">
        <v>347</v>
      </c>
      <c r="P199" s="1516">
        <v>417</v>
      </c>
      <c r="Q199" s="1516">
        <v>499.5</v>
      </c>
      <c r="R199" s="1516">
        <v>588.5</v>
      </c>
    </row>
    <row r="200" spans="1:18" x14ac:dyDescent="0.3">
      <c r="A200" s="575">
        <v>210</v>
      </c>
      <c r="B200" s="1513"/>
      <c r="C200" s="1514"/>
      <c r="D200" s="1515"/>
      <c r="E200" s="1516">
        <v>35.799999999999997</v>
      </c>
      <c r="F200" s="1516">
        <v>46.8</v>
      </c>
      <c r="G200" s="1516">
        <v>58.5</v>
      </c>
      <c r="H200" s="1516">
        <v>73.5</v>
      </c>
      <c r="I200" s="1516">
        <v>88.4</v>
      </c>
      <c r="J200" s="1516">
        <v>120</v>
      </c>
      <c r="K200" s="1516">
        <v>149</v>
      </c>
      <c r="L200" s="1516">
        <v>188</v>
      </c>
      <c r="M200" s="1516">
        <v>233</v>
      </c>
      <c r="N200" s="1516">
        <v>286</v>
      </c>
      <c r="O200" s="1516">
        <v>352</v>
      </c>
      <c r="P200" s="1516">
        <v>423</v>
      </c>
      <c r="Q200" s="1516">
        <v>506</v>
      </c>
      <c r="R200" s="1516">
        <v>596</v>
      </c>
    </row>
    <row r="201" spans="1:18" x14ac:dyDescent="0.3">
      <c r="A201" s="575">
        <v>215</v>
      </c>
      <c r="B201" s="1513"/>
      <c r="C201" s="1514"/>
      <c r="D201" s="1515"/>
      <c r="E201" s="1516">
        <v>36.450000000000003</v>
      </c>
      <c r="F201" s="1516">
        <v>47.599999999999994</v>
      </c>
      <c r="G201" s="1516">
        <v>59.55</v>
      </c>
      <c r="H201" s="1516">
        <v>74.8</v>
      </c>
      <c r="I201" s="1516">
        <v>89.9</v>
      </c>
      <c r="J201" s="1516">
        <v>122</v>
      </c>
      <c r="K201" s="1516">
        <v>151.5</v>
      </c>
      <c r="L201" s="1516">
        <v>191</v>
      </c>
      <c r="M201" s="1516">
        <v>236.5</v>
      </c>
      <c r="N201" s="1516">
        <v>290</v>
      </c>
      <c r="O201" s="1516">
        <v>357</v>
      </c>
      <c r="P201" s="1516">
        <v>428.5</v>
      </c>
      <c r="Q201" s="1516">
        <v>512.5</v>
      </c>
      <c r="R201" s="1516">
        <v>604</v>
      </c>
    </row>
    <row r="202" spans="1:18" x14ac:dyDescent="0.3">
      <c r="A202" s="575">
        <v>220</v>
      </c>
      <c r="B202" s="1513"/>
      <c r="C202" s="1514"/>
      <c r="D202" s="1515"/>
      <c r="E202" s="1516">
        <v>37.1</v>
      </c>
      <c r="F202" s="1516">
        <v>48.4</v>
      </c>
      <c r="G202" s="1516">
        <v>60.6</v>
      </c>
      <c r="H202" s="1516">
        <v>76.099999999999994</v>
      </c>
      <c r="I202" s="1516">
        <v>91.4</v>
      </c>
      <c r="J202" s="1516">
        <v>124</v>
      </c>
      <c r="K202" s="1516">
        <v>154</v>
      </c>
      <c r="L202" s="1516">
        <v>194</v>
      </c>
      <c r="M202" s="1516">
        <v>240</v>
      </c>
      <c r="N202" s="1516">
        <v>294</v>
      </c>
      <c r="O202" s="1516">
        <v>362</v>
      </c>
      <c r="P202" s="1516">
        <v>434</v>
      </c>
      <c r="Q202" s="1516">
        <v>519</v>
      </c>
      <c r="R202" s="1516">
        <v>612</v>
      </c>
    </row>
    <row r="203" spans="1:18" x14ac:dyDescent="0.3">
      <c r="A203" s="575">
        <v>225</v>
      </c>
      <c r="B203" s="1513"/>
      <c r="C203" s="1514"/>
      <c r="D203" s="1515"/>
      <c r="E203" s="1516">
        <v>37.799999999999997</v>
      </c>
      <c r="F203" s="1516">
        <v>49.25</v>
      </c>
      <c r="G203" s="1516">
        <v>61.6</v>
      </c>
      <c r="H203" s="1516">
        <v>77.349999999999994</v>
      </c>
      <c r="I203" s="1516">
        <v>92.9</v>
      </c>
      <c r="J203" s="1516">
        <v>125.5</v>
      </c>
      <c r="K203" s="1516">
        <v>156.5</v>
      </c>
      <c r="L203" s="1516">
        <v>197.5</v>
      </c>
      <c r="M203" s="1516">
        <v>243.5</v>
      </c>
      <c r="N203" s="1516">
        <v>298</v>
      </c>
      <c r="O203" s="1516">
        <v>367</v>
      </c>
      <c r="P203" s="1516">
        <v>440</v>
      </c>
      <c r="Q203" s="1516">
        <v>525.5</v>
      </c>
      <c r="R203" s="1516">
        <v>619.5</v>
      </c>
    </row>
    <row r="204" spans="1:18" x14ac:dyDescent="0.3">
      <c r="A204" s="575">
        <v>230</v>
      </c>
      <c r="B204" s="1513"/>
      <c r="C204" s="1514"/>
      <c r="D204" s="1515"/>
      <c r="E204" s="1516">
        <v>38.5</v>
      </c>
      <c r="F204" s="1516">
        <v>50.1</v>
      </c>
      <c r="G204" s="1516">
        <v>62.6</v>
      </c>
      <c r="H204" s="1516">
        <v>78.599999999999994</v>
      </c>
      <c r="I204" s="1516">
        <v>94.4</v>
      </c>
      <c r="J204" s="1516">
        <v>127</v>
      </c>
      <c r="K204" s="1516">
        <v>159</v>
      </c>
      <c r="L204" s="1516">
        <v>201</v>
      </c>
      <c r="M204" s="1516">
        <v>247</v>
      </c>
      <c r="N204" s="1516">
        <v>302</v>
      </c>
      <c r="O204" s="1516">
        <v>372</v>
      </c>
      <c r="P204" s="1516">
        <v>446</v>
      </c>
      <c r="Q204" s="1516">
        <v>532</v>
      </c>
      <c r="R204" s="1516">
        <v>627</v>
      </c>
    </row>
    <row r="205" spans="1:18" x14ac:dyDescent="0.3">
      <c r="A205" s="575">
        <v>235</v>
      </c>
      <c r="B205" s="1513"/>
      <c r="C205" s="1514"/>
      <c r="D205" s="1515"/>
      <c r="E205" s="1516">
        <v>39.15</v>
      </c>
      <c r="F205" s="1516">
        <v>50.900000000000006</v>
      </c>
      <c r="G205" s="1516">
        <v>63.650000000000006</v>
      </c>
      <c r="H205" s="1516">
        <v>79.900000000000006</v>
      </c>
      <c r="I205" s="1516">
        <v>95.9</v>
      </c>
      <c r="J205" s="1516">
        <v>129</v>
      </c>
      <c r="K205" s="1516">
        <v>161.5</v>
      </c>
      <c r="L205" s="1516">
        <v>204.5</v>
      </c>
      <c r="M205" s="1516">
        <v>250</v>
      </c>
      <c r="N205" s="1516">
        <v>306</v>
      </c>
      <c r="O205" s="1516">
        <v>377</v>
      </c>
      <c r="P205" s="1516">
        <v>451.5</v>
      </c>
      <c r="Q205" s="1516">
        <v>538.5</v>
      </c>
      <c r="R205" s="1516">
        <v>635</v>
      </c>
    </row>
    <row r="206" spans="1:18" x14ac:dyDescent="0.3">
      <c r="A206" s="575">
        <v>240</v>
      </c>
      <c r="B206" s="1513"/>
      <c r="C206" s="1514"/>
      <c r="D206" s="1515"/>
      <c r="E206" s="1516">
        <v>39.799999999999997</v>
      </c>
      <c r="F206" s="1516">
        <v>51.7</v>
      </c>
      <c r="G206" s="1516">
        <v>64.7</v>
      </c>
      <c r="H206" s="1516">
        <v>81.2</v>
      </c>
      <c r="I206" s="1516">
        <v>97.4</v>
      </c>
      <c r="J206" s="1516">
        <v>131</v>
      </c>
      <c r="K206" s="1516">
        <v>164</v>
      </c>
      <c r="L206" s="1516">
        <v>208</v>
      </c>
      <c r="M206" s="1516">
        <v>253</v>
      </c>
      <c r="N206" s="1516">
        <v>310</v>
      </c>
      <c r="O206" s="1516">
        <v>382</v>
      </c>
      <c r="P206" s="1516">
        <v>457</v>
      </c>
      <c r="Q206" s="1516">
        <v>545</v>
      </c>
      <c r="R206" s="1516">
        <v>643</v>
      </c>
    </row>
    <row r="207" spans="1:18" x14ac:dyDescent="0.3">
      <c r="A207" s="575">
        <v>245</v>
      </c>
      <c r="B207" s="1513"/>
      <c r="C207" s="1514"/>
      <c r="D207" s="1515"/>
      <c r="E207" s="1516">
        <v>40.450000000000003</v>
      </c>
      <c r="F207" s="1516">
        <v>52.55</v>
      </c>
      <c r="G207" s="1516">
        <v>65.75</v>
      </c>
      <c r="H207" s="1516">
        <v>82.45</v>
      </c>
      <c r="I207" s="1516">
        <v>98.7</v>
      </c>
      <c r="J207" s="1516">
        <v>133</v>
      </c>
      <c r="K207" s="1516">
        <v>168</v>
      </c>
      <c r="L207" s="1516">
        <v>211</v>
      </c>
      <c r="M207" s="1516">
        <v>256.5</v>
      </c>
      <c r="N207" s="1516">
        <v>314.5</v>
      </c>
      <c r="O207" s="1516">
        <v>386.5</v>
      </c>
      <c r="P207" s="1516">
        <v>462.5</v>
      </c>
      <c r="Q207" s="1516">
        <v>551.5</v>
      </c>
      <c r="R207" s="1516">
        <v>650.5</v>
      </c>
    </row>
    <row r="208" spans="1:18" x14ac:dyDescent="0.3">
      <c r="A208" s="575">
        <v>250</v>
      </c>
      <c r="B208" s="1513"/>
      <c r="C208" s="1514"/>
      <c r="D208" s="1515"/>
      <c r="E208" s="1516">
        <v>41.1</v>
      </c>
      <c r="F208" s="1516">
        <v>53.4</v>
      </c>
      <c r="G208" s="1516">
        <v>66.8</v>
      </c>
      <c r="H208" s="1516">
        <v>83.7</v>
      </c>
      <c r="I208" s="1516">
        <v>100</v>
      </c>
      <c r="J208" s="1516">
        <v>135</v>
      </c>
      <c r="K208" s="1516">
        <v>172</v>
      </c>
      <c r="L208" s="1516">
        <v>214</v>
      </c>
      <c r="M208" s="1516">
        <v>260</v>
      </c>
      <c r="N208" s="1516">
        <v>319</v>
      </c>
      <c r="O208" s="1516">
        <v>391</v>
      </c>
      <c r="P208" s="1516">
        <v>468</v>
      </c>
      <c r="Q208" s="1516">
        <v>558</v>
      </c>
      <c r="R208" s="1516">
        <v>658</v>
      </c>
    </row>
    <row r="209" spans="1:18" x14ac:dyDescent="0.3">
      <c r="A209" s="575">
        <v>255</v>
      </c>
      <c r="B209" s="1513"/>
      <c r="C209" s="1514"/>
      <c r="D209" s="1515"/>
      <c r="E209" s="1516"/>
      <c r="F209" s="1516">
        <v>54.2</v>
      </c>
      <c r="G209" s="1516">
        <v>67.8</v>
      </c>
      <c r="H209" s="1516">
        <v>85</v>
      </c>
      <c r="I209" s="1516">
        <v>101.5</v>
      </c>
      <c r="J209" s="1516">
        <v>137</v>
      </c>
      <c r="K209" s="1516">
        <v>174.5</v>
      </c>
      <c r="L209" s="1516">
        <v>217</v>
      </c>
      <c r="M209" s="1516">
        <v>263.5</v>
      </c>
      <c r="N209" s="1516">
        <v>323</v>
      </c>
      <c r="O209" s="1516">
        <v>396</v>
      </c>
      <c r="P209" s="1516">
        <v>474</v>
      </c>
      <c r="Q209" s="1516">
        <v>564.5</v>
      </c>
      <c r="R209" s="1516">
        <v>666</v>
      </c>
    </row>
    <row r="210" spans="1:18" x14ac:dyDescent="0.3">
      <c r="A210" s="575">
        <v>260</v>
      </c>
      <c r="B210" s="1513"/>
      <c r="C210" s="1514"/>
      <c r="D210" s="1515"/>
      <c r="E210" s="1516"/>
      <c r="F210" s="1516">
        <v>55</v>
      </c>
      <c r="G210" s="1516">
        <v>68.8</v>
      </c>
      <c r="H210" s="1516">
        <v>86.3</v>
      </c>
      <c r="I210" s="1516">
        <v>103</v>
      </c>
      <c r="J210" s="1516">
        <v>139</v>
      </c>
      <c r="K210" s="1516">
        <v>177</v>
      </c>
      <c r="L210" s="1516">
        <v>220</v>
      </c>
      <c r="M210" s="1516">
        <v>267</v>
      </c>
      <c r="N210" s="1516">
        <v>327</v>
      </c>
      <c r="O210" s="1516">
        <v>401</v>
      </c>
      <c r="P210" s="1516">
        <v>480</v>
      </c>
      <c r="Q210" s="1516">
        <v>571</v>
      </c>
      <c r="R210" s="1516">
        <v>674</v>
      </c>
    </row>
    <row r="211" spans="1:18" x14ac:dyDescent="0.3">
      <c r="A211" s="575">
        <v>265</v>
      </c>
      <c r="B211" s="1513"/>
      <c r="C211" s="1514"/>
      <c r="D211" s="1515"/>
      <c r="E211" s="1516"/>
      <c r="F211" s="1516">
        <v>55.8</v>
      </c>
      <c r="G211" s="1516">
        <v>69.849999999999994</v>
      </c>
      <c r="H211" s="1516">
        <v>87.55</v>
      </c>
      <c r="I211" s="1516">
        <v>104.5</v>
      </c>
      <c r="J211" s="1516">
        <v>141</v>
      </c>
      <c r="K211" s="1516">
        <v>179.5</v>
      </c>
      <c r="L211" s="1516">
        <v>222</v>
      </c>
      <c r="M211" s="1516">
        <v>270.5</v>
      </c>
      <c r="N211" s="1516">
        <v>331</v>
      </c>
      <c r="O211" s="1516">
        <v>406</v>
      </c>
      <c r="P211" s="1516">
        <v>486</v>
      </c>
      <c r="Q211" s="1516">
        <v>577.5</v>
      </c>
      <c r="R211" s="1516">
        <v>681.5</v>
      </c>
    </row>
    <row r="212" spans="1:18" x14ac:dyDescent="0.3">
      <c r="A212" s="575">
        <v>270</v>
      </c>
      <c r="B212" s="1513"/>
      <c r="C212" s="1514"/>
      <c r="D212" s="1515"/>
      <c r="E212" s="1516"/>
      <c r="F212" s="1516">
        <v>56.6</v>
      </c>
      <c r="G212" s="1516">
        <v>70.900000000000006</v>
      </c>
      <c r="H212" s="1516">
        <v>88.8</v>
      </c>
      <c r="I212" s="1516">
        <v>106</v>
      </c>
      <c r="J212" s="1516">
        <v>143</v>
      </c>
      <c r="K212" s="1516">
        <v>182</v>
      </c>
      <c r="L212" s="1516">
        <v>224</v>
      </c>
      <c r="M212" s="1516">
        <v>274</v>
      </c>
      <c r="N212" s="1516">
        <v>335</v>
      </c>
      <c r="O212" s="1516">
        <v>411</v>
      </c>
      <c r="P212" s="1516">
        <v>492</v>
      </c>
      <c r="Q212" s="1516">
        <v>584</v>
      </c>
      <c r="R212" s="1516">
        <v>689</v>
      </c>
    </row>
    <row r="213" spans="1:18" x14ac:dyDescent="0.3">
      <c r="A213" s="575">
        <v>275</v>
      </c>
      <c r="B213" s="1513"/>
      <c r="C213" s="1514"/>
      <c r="D213" s="1515"/>
      <c r="E213" s="1516"/>
      <c r="F213" s="1516">
        <v>57.45</v>
      </c>
      <c r="G213" s="1516">
        <v>71.95</v>
      </c>
      <c r="H213" s="1516">
        <v>90.1</v>
      </c>
      <c r="I213" s="1516">
        <v>107.5</v>
      </c>
      <c r="J213" s="1516">
        <v>144.5</v>
      </c>
      <c r="K213" s="1516">
        <v>184.5</v>
      </c>
      <c r="L213" s="1516">
        <v>227</v>
      </c>
      <c r="M213" s="1516">
        <v>277.5</v>
      </c>
      <c r="N213" s="1516">
        <v>339</v>
      </c>
      <c r="O213" s="1516">
        <v>416</v>
      </c>
      <c r="P213" s="1516">
        <v>498.5</v>
      </c>
      <c r="Q213" s="1516">
        <v>590.5</v>
      </c>
      <c r="R213" s="1516">
        <v>697</v>
      </c>
    </row>
    <row r="214" spans="1:18" x14ac:dyDescent="0.3">
      <c r="A214" s="575">
        <v>280</v>
      </c>
      <c r="B214" s="1513"/>
      <c r="C214" s="1514"/>
      <c r="D214" s="1515"/>
      <c r="E214" s="1516"/>
      <c r="F214" s="1516">
        <v>58.3</v>
      </c>
      <c r="G214" s="1516">
        <v>73</v>
      </c>
      <c r="H214" s="1516">
        <v>91.4</v>
      </c>
      <c r="I214" s="1516">
        <v>109</v>
      </c>
      <c r="J214" s="1516">
        <v>146</v>
      </c>
      <c r="K214" s="1516">
        <v>187</v>
      </c>
      <c r="L214" s="1516">
        <v>230</v>
      </c>
      <c r="M214" s="1516">
        <v>281</v>
      </c>
      <c r="N214" s="1516">
        <v>343</v>
      </c>
      <c r="O214" s="1516">
        <v>421</v>
      </c>
      <c r="P214" s="1516">
        <v>505</v>
      </c>
      <c r="Q214" s="1516">
        <v>597</v>
      </c>
      <c r="R214" s="1516">
        <v>705</v>
      </c>
    </row>
    <row r="215" spans="1:18" x14ac:dyDescent="0.3">
      <c r="A215" s="575">
        <v>285</v>
      </c>
      <c r="B215" s="1513"/>
      <c r="C215" s="1514"/>
      <c r="D215" s="1515"/>
      <c r="E215" s="1516"/>
      <c r="F215" s="1516"/>
      <c r="G215" s="1516">
        <v>74</v>
      </c>
      <c r="H215" s="1516">
        <v>92.65</v>
      </c>
      <c r="I215" s="1516">
        <v>110.5</v>
      </c>
      <c r="J215" s="1516">
        <v>148</v>
      </c>
      <c r="K215" s="1516">
        <v>189.5</v>
      </c>
      <c r="L215" s="1516">
        <v>233</v>
      </c>
      <c r="M215" s="1516">
        <v>286</v>
      </c>
      <c r="N215" s="1516">
        <v>351.5</v>
      </c>
      <c r="O215" s="1516">
        <v>426</v>
      </c>
      <c r="P215" s="1516">
        <v>511</v>
      </c>
      <c r="Q215" s="1516">
        <v>603.5</v>
      </c>
      <c r="R215" s="1516">
        <v>712.5</v>
      </c>
    </row>
    <row r="216" spans="1:18" x14ac:dyDescent="0.3">
      <c r="A216" s="575">
        <v>290</v>
      </c>
      <c r="B216" s="1513"/>
      <c r="C216" s="1514"/>
      <c r="D216" s="1515"/>
      <c r="E216" s="1516"/>
      <c r="F216" s="1516"/>
      <c r="G216" s="1516">
        <v>75</v>
      </c>
      <c r="H216" s="1516">
        <v>93.9</v>
      </c>
      <c r="I216" s="1516">
        <v>112</v>
      </c>
      <c r="J216" s="1516">
        <v>150</v>
      </c>
      <c r="K216" s="1516">
        <v>192</v>
      </c>
      <c r="L216" s="1516">
        <v>236</v>
      </c>
      <c r="M216" s="1516">
        <v>291</v>
      </c>
      <c r="N216" s="1516">
        <v>360</v>
      </c>
      <c r="O216" s="1516">
        <v>431</v>
      </c>
      <c r="P216" s="1516">
        <v>517</v>
      </c>
      <c r="Q216" s="1516">
        <v>610</v>
      </c>
      <c r="R216" s="1516">
        <v>720</v>
      </c>
    </row>
    <row r="217" spans="1:18" x14ac:dyDescent="0.3">
      <c r="A217" s="575">
        <v>295</v>
      </c>
      <c r="B217" s="1513"/>
      <c r="C217" s="1514"/>
      <c r="D217" s="1515"/>
      <c r="E217" s="1516"/>
      <c r="F217" s="1516"/>
      <c r="G217" s="1516">
        <v>76.05</v>
      </c>
      <c r="H217" s="1516">
        <v>95.2</v>
      </c>
      <c r="I217" s="1516">
        <v>113.5</v>
      </c>
      <c r="J217" s="1516">
        <v>152</v>
      </c>
      <c r="K217" s="1516">
        <v>194</v>
      </c>
      <c r="L217" s="1516">
        <v>238.5</v>
      </c>
      <c r="M217" s="1516">
        <v>294.5</v>
      </c>
      <c r="N217" s="1516">
        <v>364</v>
      </c>
      <c r="O217" s="1516">
        <v>436</v>
      </c>
      <c r="P217" s="1516">
        <v>523.5</v>
      </c>
      <c r="Q217" s="1516">
        <v>616.5</v>
      </c>
      <c r="R217" s="1516">
        <v>728</v>
      </c>
    </row>
    <row r="218" spans="1:18" x14ac:dyDescent="0.3">
      <c r="A218" s="575">
        <v>300</v>
      </c>
      <c r="B218" s="1513"/>
      <c r="C218" s="1514"/>
      <c r="D218" s="1515"/>
      <c r="E218" s="1516"/>
      <c r="F218" s="1516"/>
      <c r="G218" s="1516">
        <v>77.099999999999994</v>
      </c>
      <c r="H218" s="1516">
        <v>96.5</v>
      </c>
      <c r="I218" s="1516">
        <v>115</v>
      </c>
      <c r="J218" s="1516">
        <v>154</v>
      </c>
      <c r="K218" s="1516">
        <v>196</v>
      </c>
      <c r="L218" s="1516">
        <v>241</v>
      </c>
      <c r="M218" s="1516">
        <v>298</v>
      </c>
      <c r="N218" s="1516">
        <v>368</v>
      </c>
      <c r="O218" s="1516">
        <v>441</v>
      </c>
      <c r="P218" s="1516">
        <v>530</v>
      </c>
      <c r="Q218" s="1516">
        <v>623</v>
      </c>
      <c r="R218" s="1516">
        <v>736</v>
      </c>
    </row>
    <row r="219" spans="1:18" x14ac:dyDescent="0.3">
      <c r="A219" s="575">
        <v>310</v>
      </c>
      <c r="B219" s="1513"/>
      <c r="C219" s="1514"/>
      <c r="D219" s="1515"/>
      <c r="E219" s="1516"/>
      <c r="F219" s="1516"/>
      <c r="G219" s="1516"/>
      <c r="H219" s="1516">
        <v>99.25</v>
      </c>
      <c r="I219" s="1516">
        <v>118</v>
      </c>
      <c r="J219" s="1516">
        <v>158</v>
      </c>
      <c r="K219" s="1516">
        <v>201</v>
      </c>
      <c r="L219" s="1516">
        <v>247</v>
      </c>
      <c r="M219" s="1516">
        <v>305</v>
      </c>
      <c r="N219" s="1516">
        <v>374</v>
      </c>
      <c r="O219" s="1516">
        <v>451</v>
      </c>
      <c r="P219" s="1516">
        <v>541.5</v>
      </c>
      <c r="Q219" s="1516">
        <v>636</v>
      </c>
      <c r="R219" s="1516">
        <v>751.5</v>
      </c>
    </row>
    <row r="220" spans="1:18" x14ac:dyDescent="0.3">
      <c r="A220" s="575">
        <v>320</v>
      </c>
      <c r="B220" s="1513"/>
      <c r="C220" s="1514"/>
      <c r="D220" s="1515"/>
      <c r="E220" s="1516"/>
      <c r="F220" s="1516"/>
      <c r="G220" s="1516"/>
      <c r="H220" s="1516">
        <v>102</v>
      </c>
      <c r="I220" s="1516">
        <v>121</v>
      </c>
      <c r="J220" s="1516">
        <v>162</v>
      </c>
      <c r="K220" s="1516">
        <v>206</v>
      </c>
      <c r="L220" s="1516">
        <v>253</v>
      </c>
      <c r="M220" s="1516">
        <v>312</v>
      </c>
      <c r="N220" s="1516">
        <v>380</v>
      </c>
      <c r="O220" s="1516">
        <v>461</v>
      </c>
      <c r="P220" s="1516">
        <v>553</v>
      </c>
      <c r="Q220" s="1516">
        <v>649</v>
      </c>
      <c r="R220" s="1516">
        <v>767</v>
      </c>
    </row>
    <row r="221" spans="1:18" x14ac:dyDescent="0.3">
      <c r="A221" s="575">
        <v>330</v>
      </c>
      <c r="B221" s="1513"/>
      <c r="C221" s="1514"/>
      <c r="D221" s="1515"/>
      <c r="E221" s="1516"/>
      <c r="F221" s="1516"/>
      <c r="G221" s="1516"/>
      <c r="H221" s="1516"/>
      <c r="I221" s="1516">
        <v>124</v>
      </c>
      <c r="J221" s="1516">
        <v>165.5</v>
      </c>
      <c r="K221" s="1516">
        <v>210.5</v>
      </c>
      <c r="L221" s="1516">
        <v>259</v>
      </c>
      <c r="M221" s="1516">
        <v>319</v>
      </c>
      <c r="N221" s="1516">
        <v>387.5</v>
      </c>
      <c r="O221" s="1516">
        <v>470.5</v>
      </c>
      <c r="P221" s="1516">
        <v>561.5</v>
      </c>
      <c r="Q221" s="1516">
        <v>662.5</v>
      </c>
      <c r="R221" s="1516">
        <v>781</v>
      </c>
    </row>
    <row r="222" spans="1:18" x14ac:dyDescent="0.3">
      <c r="A222" s="575">
        <v>335</v>
      </c>
      <c r="B222" s="1513"/>
      <c r="C222" s="1514"/>
      <c r="D222" s="1515"/>
      <c r="E222" s="1516"/>
      <c r="F222" s="1516"/>
      <c r="G222" s="1516"/>
      <c r="H222" s="1516"/>
      <c r="I222" s="1516">
        <f t="shared" ref="I222:R222" si="127">(I221+I223)/2</f>
        <v>125.5</v>
      </c>
      <c r="J222" s="1516">
        <f t="shared" si="127"/>
        <v>167.25</v>
      </c>
      <c r="K222" s="1516">
        <f t="shared" si="127"/>
        <v>212.75</v>
      </c>
      <c r="L222" s="1516">
        <f t="shared" si="127"/>
        <v>262</v>
      </c>
      <c r="M222" s="1516">
        <f t="shared" si="127"/>
        <v>322.5</v>
      </c>
      <c r="N222" s="1516">
        <f t="shared" si="127"/>
        <v>391.25</v>
      </c>
      <c r="O222" s="1516">
        <f t="shared" si="127"/>
        <v>475.25</v>
      </c>
      <c r="P222" s="1516">
        <f t="shared" si="127"/>
        <v>565.75</v>
      </c>
      <c r="Q222" s="1516">
        <f t="shared" si="127"/>
        <v>669.25</v>
      </c>
      <c r="R222" s="1516">
        <f t="shared" si="127"/>
        <v>788</v>
      </c>
    </row>
    <row r="223" spans="1:18" x14ac:dyDescent="0.3">
      <c r="A223" s="575">
        <v>340</v>
      </c>
      <c r="B223" s="1513"/>
      <c r="C223" s="1514"/>
      <c r="D223" s="1515"/>
      <c r="E223" s="1516"/>
      <c r="F223" s="1516"/>
      <c r="G223" s="1516"/>
      <c r="H223" s="1516"/>
      <c r="I223" s="1516">
        <v>127</v>
      </c>
      <c r="J223" s="1516">
        <v>169</v>
      </c>
      <c r="K223" s="1516">
        <v>215</v>
      </c>
      <c r="L223" s="1516">
        <v>265</v>
      </c>
      <c r="M223" s="1516">
        <v>326</v>
      </c>
      <c r="N223" s="1516">
        <v>395</v>
      </c>
      <c r="O223" s="1516">
        <v>480</v>
      </c>
      <c r="P223" s="1516">
        <v>570</v>
      </c>
      <c r="Q223" s="1516">
        <v>676</v>
      </c>
      <c r="R223" s="1516">
        <v>795</v>
      </c>
    </row>
    <row r="224" spans="1:18" x14ac:dyDescent="0.3">
      <c r="A224" s="575">
        <v>425</v>
      </c>
      <c r="B224" s="1513"/>
      <c r="C224" s="1514"/>
      <c r="D224" s="1515"/>
      <c r="E224" s="1516"/>
      <c r="F224" s="1516"/>
      <c r="G224" s="1516"/>
      <c r="H224" s="1516"/>
      <c r="I224" s="1516"/>
      <c r="J224" s="1517">
        <f>J244</f>
        <v>203</v>
      </c>
      <c r="K224" s="1517">
        <f t="shared" ref="K224:R224" si="128">K244</f>
        <v>254.25</v>
      </c>
      <c r="L224" s="1517">
        <f t="shared" si="128"/>
        <v>312.75</v>
      </c>
      <c r="M224" s="1517">
        <f t="shared" si="128"/>
        <v>384.5</v>
      </c>
      <c r="N224" s="1517">
        <f t="shared" si="128"/>
        <v>464</v>
      </c>
      <c r="O224" s="1517">
        <f t="shared" si="128"/>
        <v>552.75</v>
      </c>
      <c r="P224" s="1517">
        <f t="shared" si="128"/>
        <v>648.75</v>
      </c>
      <c r="Q224" s="1517">
        <f t="shared" si="128"/>
        <v>786.5</v>
      </c>
      <c r="R224" s="1517">
        <f t="shared" si="128"/>
        <v>926.75</v>
      </c>
    </row>
    <row r="225" spans="1:18" x14ac:dyDescent="0.3">
      <c r="A225" s="575">
        <v>455</v>
      </c>
      <c r="B225" s="1513"/>
      <c r="C225" s="1514"/>
      <c r="D225" s="1515"/>
      <c r="E225" s="1516"/>
      <c r="F225" s="1516"/>
      <c r="G225" s="1516"/>
      <c r="H225" s="1516"/>
      <c r="I225" s="1516"/>
      <c r="J225" s="1517">
        <f t="shared" ref="J225:R231" si="129">J245</f>
        <v>215</v>
      </c>
      <c r="K225" s="1517">
        <f t="shared" si="129"/>
        <v>267.75</v>
      </c>
      <c r="L225" s="1517">
        <f t="shared" si="129"/>
        <v>329.25</v>
      </c>
      <c r="M225" s="1517">
        <f t="shared" si="129"/>
        <v>405.5</v>
      </c>
      <c r="N225" s="1517">
        <f t="shared" si="129"/>
        <v>488</v>
      </c>
      <c r="O225" s="1517">
        <f t="shared" si="129"/>
        <v>581.25</v>
      </c>
      <c r="P225" s="1517">
        <f t="shared" si="129"/>
        <v>671.25</v>
      </c>
      <c r="Q225" s="1517">
        <f t="shared" si="129"/>
        <v>825.5</v>
      </c>
      <c r="R225" s="1517">
        <f t="shared" si="129"/>
        <v>973.25</v>
      </c>
    </row>
    <row r="226" spans="1:18" x14ac:dyDescent="0.3">
      <c r="A226" s="575">
        <v>470</v>
      </c>
      <c r="B226" s="1513"/>
      <c r="C226" s="1514"/>
      <c r="D226" s="1515"/>
      <c r="E226" s="1516"/>
      <c r="F226" s="1516"/>
      <c r="G226" s="1516"/>
      <c r="H226" s="1516"/>
      <c r="I226" s="1516"/>
      <c r="J226" s="1517">
        <f t="shared" si="129"/>
        <v>221</v>
      </c>
      <c r="K226" s="1517">
        <f t="shared" si="129"/>
        <v>274.5</v>
      </c>
      <c r="L226" s="1517">
        <f t="shared" si="129"/>
        <v>337.5</v>
      </c>
      <c r="M226" s="1517">
        <f t="shared" si="129"/>
        <v>416</v>
      </c>
      <c r="N226" s="1517">
        <f t="shared" si="129"/>
        <v>500</v>
      </c>
      <c r="O226" s="1517">
        <f t="shared" si="129"/>
        <v>595.5</v>
      </c>
      <c r="P226" s="1517">
        <f t="shared" si="129"/>
        <v>682.5</v>
      </c>
      <c r="Q226" s="1517">
        <f t="shared" si="129"/>
        <v>845</v>
      </c>
      <c r="R226" s="1517">
        <f t="shared" si="129"/>
        <v>996.5</v>
      </c>
    </row>
    <row r="227" spans="1:18" x14ac:dyDescent="0.3">
      <c r="A227" s="575">
        <v>510</v>
      </c>
      <c r="B227" s="1513"/>
      <c r="C227" s="1514"/>
      <c r="D227" s="1515"/>
      <c r="E227" s="1516"/>
      <c r="F227" s="1516"/>
      <c r="G227" s="1516"/>
      <c r="H227" s="1516"/>
      <c r="I227" s="1516"/>
      <c r="J227" s="1517">
        <f t="shared" si="129"/>
        <v>237</v>
      </c>
      <c r="K227" s="1517">
        <f t="shared" si="129"/>
        <v>292.5</v>
      </c>
      <c r="L227" s="1517">
        <f t="shared" si="129"/>
        <v>359.5</v>
      </c>
      <c r="M227" s="1517">
        <f t="shared" si="129"/>
        <v>444</v>
      </c>
      <c r="N227" s="1517">
        <f t="shared" si="129"/>
        <v>532</v>
      </c>
      <c r="O227" s="1517">
        <f t="shared" si="129"/>
        <v>633.50000000000011</v>
      </c>
      <c r="P227" s="1517">
        <f t="shared" si="129"/>
        <v>712.5</v>
      </c>
      <c r="Q227" s="1517">
        <f t="shared" si="129"/>
        <v>897</v>
      </c>
      <c r="R227" s="1517">
        <f t="shared" si="129"/>
        <v>1058.5</v>
      </c>
    </row>
    <row r="228" spans="1:18" x14ac:dyDescent="0.3">
      <c r="A228" s="575">
        <v>530</v>
      </c>
      <c r="B228" s="1513"/>
      <c r="C228" s="1514"/>
      <c r="D228" s="1515"/>
      <c r="E228" s="1516"/>
      <c r="F228" s="1516"/>
      <c r="G228" s="1516"/>
      <c r="H228" s="1516"/>
      <c r="I228" s="1516"/>
      <c r="J228" s="1517">
        <f t="shared" si="129"/>
        <v>245</v>
      </c>
      <c r="K228" s="1517">
        <f t="shared" si="129"/>
        <v>301.5</v>
      </c>
      <c r="L228" s="1517">
        <f t="shared" si="129"/>
        <v>370.5</v>
      </c>
      <c r="M228" s="1517">
        <f t="shared" si="129"/>
        <v>458</v>
      </c>
      <c r="N228" s="1517">
        <f t="shared" si="129"/>
        <v>548</v>
      </c>
      <c r="O228" s="1517">
        <f t="shared" si="129"/>
        <v>652.50000000000011</v>
      </c>
      <c r="P228" s="1517">
        <f t="shared" si="129"/>
        <v>727.5</v>
      </c>
      <c r="Q228" s="1517">
        <f t="shared" si="129"/>
        <v>923</v>
      </c>
      <c r="R228" s="1517">
        <f t="shared" si="129"/>
        <v>1089.5</v>
      </c>
    </row>
    <row r="229" spans="1:18" x14ac:dyDescent="0.3">
      <c r="A229" s="575">
        <v>560</v>
      </c>
      <c r="B229" s="1513"/>
      <c r="C229" s="1514"/>
      <c r="D229" s="1515"/>
      <c r="E229" s="1516"/>
      <c r="F229" s="1516"/>
      <c r="G229" s="1516"/>
      <c r="H229" s="1516"/>
      <c r="I229" s="1516"/>
      <c r="J229" s="1517">
        <f t="shared" si="129"/>
        <v>257</v>
      </c>
      <c r="K229" s="1517">
        <f t="shared" si="129"/>
        <v>315</v>
      </c>
      <c r="L229" s="1517">
        <f t="shared" si="129"/>
        <v>387</v>
      </c>
      <c r="M229" s="1517">
        <f t="shared" si="129"/>
        <v>479</v>
      </c>
      <c r="N229" s="1517">
        <f t="shared" si="129"/>
        <v>572</v>
      </c>
      <c r="O229" s="1517">
        <f t="shared" si="129"/>
        <v>681.00000000000011</v>
      </c>
      <c r="P229" s="1517">
        <f t="shared" si="129"/>
        <v>750</v>
      </c>
      <c r="Q229" s="1517">
        <f t="shared" si="129"/>
        <v>962</v>
      </c>
      <c r="R229" s="1517">
        <f t="shared" si="129"/>
        <v>1136</v>
      </c>
    </row>
    <row r="230" spans="1:18" x14ac:dyDescent="0.3">
      <c r="A230" s="575">
        <v>565</v>
      </c>
      <c r="B230" s="1513"/>
      <c r="C230" s="1514"/>
      <c r="D230" s="1515"/>
      <c r="E230" s="1516"/>
      <c r="F230" s="1516"/>
      <c r="G230" s="1516"/>
      <c r="H230" s="1516"/>
      <c r="I230" s="1516"/>
      <c r="J230" s="1517">
        <f t="shared" si="129"/>
        <v>259</v>
      </c>
      <c r="K230" s="1517">
        <f t="shared" si="129"/>
        <v>317.25</v>
      </c>
      <c r="L230" s="1517">
        <f t="shared" si="129"/>
        <v>389.75</v>
      </c>
      <c r="M230" s="1517">
        <f t="shared" si="129"/>
        <v>482.5</v>
      </c>
      <c r="N230" s="1517">
        <f t="shared" si="129"/>
        <v>576</v>
      </c>
      <c r="O230" s="1517">
        <f t="shared" si="129"/>
        <v>685.75000000000011</v>
      </c>
      <c r="P230" s="1517">
        <f t="shared" si="129"/>
        <v>753.75</v>
      </c>
      <c r="Q230" s="1517">
        <f t="shared" si="129"/>
        <v>968.5</v>
      </c>
      <c r="R230" s="1517">
        <f t="shared" si="129"/>
        <v>1143.75</v>
      </c>
    </row>
    <row r="231" spans="1:18" x14ac:dyDescent="0.3">
      <c r="A231" s="575">
        <v>645</v>
      </c>
      <c r="B231" s="1513"/>
      <c r="C231" s="1514"/>
      <c r="D231" s="1515"/>
      <c r="E231" s="1516"/>
      <c r="F231" s="1516"/>
      <c r="G231" s="1516"/>
      <c r="H231" s="1516"/>
      <c r="I231" s="1516"/>
      <c r="J231" s="1517">
        <f t="shared" si="129"/>
        <v>291</v>
      </c>
      <c r="K231" s="1517">
        <f t="shared" si="129"/>
        <v>353.25</v>
      </c>
      <c r="L231" s="1517">
        <f t="shared" si="129"/>
        <v>433.75</v>
      </c>
      <c r="M231" s="1517">
        <f t="shared" si="129"/>
        <v>538.5</v>
      </c>
      <c r="N231" s="1517">
        <f t="shared" si="129"/>
        <v>640</v>
      </c>
      <c r="O231" s="1517">
        <f t="shared" si="129"/>
        <v>761.75000000000011</v>
      </c>
      <c r="P231" s="1517">
        <f t="shared" si="129"/>
        <v>813.75</v>
      </c>
      <c r="Q231" s="1517">
        <f t="shared" si="129"/>
        <v>1072.5</v>
      </c>
      <c r="R231" s="1517">
        <f t="shared" si="129"/>
        <v>1267.75</v>
      </c>
    </row>
    <row r="232" spans="1:18" x14ac:dyDescent="0.3">
      <c r="A232" s="575">
        <v>345</v>
      </c>
      <c r="B232" s="1513"/>
      <c r="C232" s="1514"/>
      <c r="D232" s="1515"/>
      <c r="E232" s="1516"/>
      <c r="F232" s="1516"/>
      <c r="G232" s="1516"/>
      <c r="H232" s="1516"/>
      <c r="I232" s="1516">
        <f t="shared" ref="I232:R232" si="130">(I223+I233)/2</f>
        <v>128.5</v>
      </c>
      <c r="J232" s="1516">
        <f t="shared" si="130"/>
        <v>171</v>
      </c>
      <c r="K232" s="1516">
        <f t="shared" si="130"/>
        <v>217.25</v>
      </c>
      <c r="L232" s="1516">
        <f t="shared" si="130"/>
        <v>267.75</v>
      </c>
      <c r="M232" s="1516">
        <f t="shared" si="130"/>
        <v>329.5</v>
      </c>
      <c r="N232" s="1516">
        <f t="shared" si="130"/>
        <v>399</v>
      </c>
      <c r="O232" s="1516">
        <f t="shared" si="130"/>
        <v>483.75</v>
      </c>
      <c r="P232" s="1516">
        <f t="shared" si="130"/>
        <v>575.5</v>
      </c>
      <c r="Q232" s="1516">
        <f t="shared" si="130"/>
        <v>682.5</v>
      </c>
      <c r="R232" s="1516">
        <f t="shared" si="130"/>
        <v>802.75</v>
      </c>
    </row>
    <row r="233" spans="1:18" x14ac:dyDescent="0.3">
      <c r="A233" s="575">
        <v>350</v>
      </c>
      <c r="B233" s="1513"/>
      <c r="C233" s="1514"/>
      <c r="D233" s="1515"/>
      <c r="E233" s="1516"/>
      <c r="F233" s="1516"/>
      <c r="G233" s="1516"/>
      <c r="H233" s="1516"/>
      <c r="I233" s="1516">
        <v>130</v>
      </c>
      <c r="J233" s="1516">
        <v>173</v>
      </c>
      <c r="K233" s="1516">
        <v>219.5</v>
      </c>
      <c r="L233" s="1516">
        <v>270.5</v>
      </c>
      <c r="M233" s="1516">
        <v>333</v>
      </c>
      <c r="N233" s="1516">
        <v>403</v>
      </c>
      <c r="O233" s="1516">
        <v>487.5</v>
      </c>
      <c r="P233" s="1516">
        <v>581</v>
      </c>
      <c r="Q233" s="1516">
        <v>689</v>
      </c>
      <c r="R233" s="1516">
        <v>810.5</v>
      </c>
    </row>
    <row r="234" spans="1:18" x14ac:dyDescent="0.3">
      <c r="A234" s="575">
        <v>355</v>
      </c>
      <c r="B234" s="1513"/>
      <c r="C234" s="1514"/>
      <c r="D234" s="1515"/>
      <c r="E234" s="1516"/>
      <c r="F234" s="1516"/>
      <c r="G234" s="1516"/>
      <c r="H234" s="1516"/>
      <c r="I234" s="1516">
        <f t="shared" ref="I234:R234" si="131">(I233+I235)/2</f>
        <v>131.5</v>
      </c>
      <c r="J234" s="1516">
        <f t="shared" si="131"/>
        <v>175</v>
      </c>
      <c r="K234" s="1516">
        <f t="shared" si="131"/>
        <v>221.75</v>
      </c>
      <c r="L234" s="1516">
        <f t="shared" si="131"/>
        <v>273.25</v>
      </c>
      <c r="M234" s="1516">
        <f t="shared" si="131"/>
        <v>336.5</v>
      </c>
      <c r="N234" s="1516">
        <f t="shared" si="131"/>
        <v>407</v>
      </c>
      <c r="O234" s="1516">
        <f t="shared" si="131"/>
        <v>491.25</v>
      </c>
      <c r="P234" s="1516">
        <f t="shared" si="131"/>
        <v>586.5</v>
      </c>
      <c r="Q234" s="1516">
        <f t="shared" si="131"/>
        <v>695.5</v>
      </c>
      <c r="R234" s="1516">
        <f t="shared" si="131"/>
        <v>818.25</v>
      </c>
    </row>
    <row r="235" spans="1:18" x14ac:dyDescent="0.3">
      <c r="A235" s="575">
        <v>360</v>
      </c>
      <c r="B235" s="1513"/>
      <c r="C235" s="1514"/>
      <c r="D235" s="1515"/>
      <c r="E235" s="1516"/>
      <c r="F235" s="1516"/>
      <c r="G235" s="1516"/>
      <c r="H235" s="1516"/>
      <c r="I235" s="1516">
        <v>133</v>
      </c>
      <c r="J235" s="1516">
        <v>177</v>
      </c>
      <c r="K235" s="1516">
        <v>224</v>
      </c>
      <c r="L235" s="1516">
        <v>276</v>
      </c>
      <c r="M235" s="1516">
        <v>340</v>
      </c>
      <c r="N235" s="1516">
        <v>411</v>
      </c>
      <c r="O235" s="1516">
        <v>495</v>
      </c>
      <c r="P235" s="1516">
        <v>592</v>
      </c>
      <c r="Q235" s="1516">
        <v>702</v>
      </c>
      <c r="R235" s="1516">
        <v>826</v>
      </c>
    </row>
    <row r="236" spans="1:18" x14ac:dyDescent="0.3">
      <c r="A236" s="575">
        <v>370</v>
      </c>
      <c r="B236" s="1513"/>
      <c r="C236" s="1514"/>
      <c r="D236" s="1515"/>
      <c r="E236" s="1516"/>
      <c r="F236" s="1516"/>
      <c r="G236" s="1516"/>
      <c r="H236" s="1516"/>
      <c r="I236" s="1516"/>
      <c r="J236" s="1516">
        <v>181</v>
      </c>
      <c r="K236" s="1516">
        <v>229</v>
      </c>
      <c r="L236" s="1516">
        <v>282</v>
      </c>
      <c r="M236" s="1516">
        <v>346.5</v>
      </c>
      <c r="N236" s="1516">
        <v>419.5</v>
      </c>
      <c r="O236" s="1516">
        <v>502.5</v>
      </c>
      <c r="P236" s="1516">
        <v>603.5</v>
      </c>
      <c r="Q236" s="1516">
        <v>715</v>
      </c>
      <c r="R236" s="1516">
        <v>841.5</v>
      </c>
    </row>
    <row r="237" spans="1:18" x14ac:dyDescent="0.3">
      <c r="A237" s="575">
        <v>380</v>
      </c>
      <c r="B237" s="1513"/>
      <c r="C237" s="1514"/>
      <c r="D237" s="1515"/>
      <c r="E237" s="1516"/>
      <c r="F237" s="1516"/>
      <c r="G237" s="1516"/>
      <c r="H237" s="1516"/>
      <c r="I237" s="1516"/>
      <c r="J237" s="1516">
        <v>185</v>
      </c>
      <c r="K237" s="1516">
        <v>234</v>
      </c>
      <c r="L237" s="1516">
        <v>288</v>
      </c>
      <c r="M237" s="1516">
        <v>353</v>
      </c>
      <c r="N237" s="1516">
        <v>428</v>
      </c>
      <c r="O237" s="1516">
        <v>510</v>
      </c>
      <c r="P237" s="1516">
        <v>615</v>
      </c>
      <c r="Q237" s="1516">
        <v>728</v>
      </c>
      <c r="R237" s="1516">
        <v>857</v>
      </c>
    </row>
    <row r="238" spans="1:18" x14ac:dyDescent="0.3">
      <c r="A238" s="575">
        <v>390</v>
      </c>
      <c r="B238" s="1513"/>
      <c r="C238" s="1514"/>
      <c r="D238" s="1515"/>
      <c r="E238" s="1516"/>
      <c r="F238" s="1516"/>
      <c r="G238" s="1516"/>
      <c r="H238" s="1516"/>
      <c r="I238" s="1516"/>
      <c r="J238" s="1516">
        <v>189</v>
      </c>
      <c r="K238" s="1516">
        <v>238.5</v>
      </c>
      <c r="L238" s="1516">
        <v>293.5</v>
      </c>
      <c r="M238" s="1516">
        <v>360</v>
      </c>
      <c r="N238" s="1516">
        <v>436</v>
      </c>
      <c r="O238" s="1516">
        <v>519.5</v>
      </c>
      <c r="P238" s="1516">
        <v>622.5</v>
      </c>
      <c r="Q238" s="1516">
        <v>741</v>
      </c>
      <c r="R238" s="1516">
        <v>872.5</v>
      </c>
    </row>
    <row r="239" spans="1:18" x14ac:dyDescent="0.3">
      <c r="A239" s="575">
        <v>395</v>
      </c>
      <c r="B239" s="1513"/>
      <c r="C239" s="1514"/>
      <c r="D239" s="1515"/>
      <c r="E239" s="1516"/>
      <c r="F239" s="1516"/>
      <c r="G239" s="1516"/>
      <c r="H239" s="1516"/>
      <c r="I239" s="1516"/>
      <c r="J239" s="1516">
        <f t="shared" ref="J239:R239" si="132">(J238+J240)/2</f>
        <v>191</v>
      </c>
      <c r="K239" s="1516">
        <f t="shared" si="132"/>
        <v>240.75</v>
      </c>
      <c r="L239" s="1516">
        <f t="shared" si="132"/>
        <v>296.25</v>
      </c>
      <c r="M239" s="1516">
        <f t="shared" si="132"/>
        <v>363.5</v>
      </c>
      <c r="N239" s="1516">
        <f t="shared" si="132"/>
        <v>440</v>
      </c>
      <c r="O239" s="1516">
        <f t="shared" si="132"/>
        <v>524.25</v>
      </c>
      <c r="P239" s="1516">
        <f t="shared" si="132"/>
        <v>626.25</v>
      </c>
      <c r="Q239" s="1516">
        <f t="shared" si="132"/>
        <v>747.5</v>
      </c>
      <c r="R239" s="1516">
        <f t="shared" si="132"/>
        <v>880.25</v>
      </c>
    </row>
    <row r="240" spans="1:18" ht="15" thickBot="1" x14ac:dyDescent="0.35">
      <c r="A240" s="576">
        <v>400</v>
      </c>
      <c r="B240" s="1513"/>
      <c r="C240" s="1514"/>
      <c r="D240" s="1515"/>
      <c r="E240" s="1516"/>
      <c r="F240" s="1516"/>
      <c r="G240" s="1516"/>
      <c r="H240" s="1516"/>
      <c r="I240" s="1516"/>
      <c r="J240" s="1516">
        <v>193</v>
      </c>
      <c r="K240" s="1516">
        <v>243</v>
      </c>
      <c r="L240" s="1516">
        <v>299</v>
      </c>
      <c r="M240" s="1516">
        <v>367</v>
      </c>
      <c r="N240" s="1516">
        <v>444</v>
      </c>
      <c r="O240" s="1516">
        <v>529</v>
      </c>
      <c r="P240" s="1516">
        <v>630</v>
      </c>
      <c r="Q240" s="1516">
        <v>754</v>
      </c>
      <c r="R240" s="1516">
        <v>888</v>
      </c>
    </row>
    <row r="242" spans="1:18" x14ac:dyDescent="0.3">
      <c r="A242" t="s">
        <v>12</v>
      </c>
      <c r="I242" s="577"/>
      <c r="J242" s="577">
        <f>($A$239-$A$240)/(J239-J240)</f>
        <v>2.5</v>
      </c>
      <c r="K242" s="577">
        <f t="shared" ref="K242:R242" si="133">($A$239-$A$240)/(K239-K240)</f>
        <v>2.2222222222222223</v>
      </c>
      <c r="L242" s="577">
        <f t="shared" si="133"/>
        <v>1.8181818181818181</v>
      </c>
      <c r="M242" s="577">
        <f t="shared" si="133"/>
        <v>1.4285714285714286</v>
      </c>
      <c r="N242" s="577">
        <f t="shared" si="133"/>
        <v>1.25</v>
      </c>
      <c r="O242" s="577">
        <f t="shared" si="133"/>
        <v>1.0526315789473684</v>
      </c>
      <c r="P242" s="577">
        <f t="shared" si="133"/>
        <v>1.3333333333333333</v>
      </c>
      <c r="Q242" s="577">
        <f t="shared" si="133"/>
        <v>0.76923076923076927</v>
      </c>
      <c r="R242" s="577">
        <f t="shared" si="133"/>
        <v>0.64516129032258063</v>
      </c>
    </row>
    <row r="243" spans="1:18" x14ac:dyDescent="0.3">
      <c r="A243" t="s">
        <v>1864</v>
      </c>
      <c r="I243" s="577"/>
      <c r="J243" s="577">
        <f>$A$240-(($A$240-$A$239)*J240/(J240-J239))</f>
        <v>-82.5</v>
      </c>
      <c r="K243" s="577">
        <f t="shared" ref="K243:R243" si="134">$A$240-(($A$240-$A$239)*K240/(K240-K239))</f>
        <v>-140</v>
      </c>
      <c r="L243" s="577">
        <f t="shared" si="134"/>
        <v>-143.63636363636363</v>
      </c>
      <c r="M243" s="577">
        <f t="shared" si="134"/>
        <v>-124.28571428571433</v>
      </c>
      <c r="N243" s="577">
        <f t="shared" si="134"/>
        <v>-155</v>
      </c>
      <c r="O243" s="577">
        <f t="shared" si="134"/>
        <v>-156.84210526315792</v>
      </c>
      <c r="P243" s="577">
        <f t="shared" si="134"/>
        <v>-440</v>
      </c>
      <c r="Q243" s="577">
        <f t="shared" si="134"/>
        <v>-180</v>
      </c>
      <c r="R243" s="577">
        <f t="shared" si="134"/>
        <v>-172.90322580645159</v>
      </c>
    </row>
    <row r="244" spans="1:18" x14ac:dyDescent="0.3">
      <c r="A244" s="575">
        <v>425</v>
      </c>
      <c r="B244" s="1518"/>
      <c r="C244" s="1519"/>
      <c r="D244" s="1520"/>
      <c r="E244" s="1521"/>
      <c r="F244" s="1521"/>
      <c r="G244" s="1521"/>
      <c r="H244" s="1521"/>
      <c r="I244" s="1522"/>
      <c r="J244" s="1522">
        <f>($A$244-J243)/J242</f>
        <v>203</v>
      </c>
      <c r="K244" s="1522">
        <f>(A244-$K$243)/$K$242</f>
        <v>254.25</v>
      </c>
      <c r="L244" s="1522">
        <f>(A244-$L$243)/$L$242</f>
        <v>312.75</v>
      </c>
      <c r="M244" s="1522">
        <f>(A244-$M$243)/$M$242</f>
        <v>384.5</v>
      </c>
      <c r="N244" s="1522">
        <f>(A244-$N$243)/$N$242</f>
        <v>464</v>
      </c>
      <c r="O244" s="1522">
        <f>(A244-$O$243)/$O$242</f>
        <v>552.75</v>
      </c>
      <c r="P244" s="1522">
        <f>(A244-$P$243)/$P$242</f>
        <v>648.75</v>
      </c>
      <c r="Q244" s="1522">
        <f>(A244-$Q$243)/$Q$242</f>
        <v>786.5</v>
      </c>
      <c r="R244" s="1522">
        <f>(A244-$R$243)/$R$242</f>
        <v>926.75</v>
      </c>
    </row>
    <row r="245" spans="1:18" x14ac:dyDescent="0.3">
      <c r="A245" s="575">
        <v>455</v>
      </c>
      <c r="B245" s="1523"/>
      <c r="C245" s="1524"/>
      <c r="D245" s="1525"/>
      <c r="E245" s="1526"/>
      <c r="F245" s="1526"/>
      <c r="G245" s="1526"/>
      <c r="H245" s="1526"/>
      <c r="I245" s="1522"/>
      <c r="J245" s="1522">
        <f t="shared" ref="J245:J251" si="135">(A245-$J$243)/$J$242</f>
        <v>215</v>
      </c>
      <c r="K245" s="1522">
        <f t="shared" ref="K245:K251" si="136">(A245-$K$243)/$K$242</f>
        <v>267.75</v>
      </c>
      <c r="L245" s="1522">
        <f t="shared" ref="L245:L251" si="137">(A245-$L$243)/$L$242</f>
        <v>329.25</v>
      </c>
      <c r="M245" s="1522">
        <f t="shared" ref="M245:M251" si="138">(A245-$M$243)/$M$242</f>
        <v>405.5</v>
      </c>
      <c r="N245" s="1522">
        <f t="shared" ref="N245:N251" si="139">(A245-$N$243)/$N$242</f>
        <v>488</v>
      </c>
      <c r="O245" s="1522">
        <f t="shared" ref="O245:O251" si="140">(A245-$O$243)/$O$242</f>
        <v>581.25</v>
      </c>
      <c r="P245" s="1522">
        <f t="shared" ref="P245:P251" si="141">(A245-$P$243)/$P$242</f>
        <v>671.25</v>
      </c>
      <c r="Q245" s="1522">
        <f t="shared" ref="Q245:Q251" si="142">(A245-$Q$243)/$Q$242</f>
        <v>825.5</v>
      </c>
      <c r="R245" s="1522">
        <f t="shared" ref="R245:R251" si="143">(A245-$R$243)/$R$242</f>
        <v>973.25</v>
      </c>
    </row>
    <row r="246" spans="1:18" x14ac:dyDescent="0.3">
      <c r="A246" s="575">
        <v>470</v>
      </c>
      <c r="B246" s="1523"/>
      <c r="C246" s="1524"/>
      <c r="D246" s="1525"/>
      <c r="E246" s="1526"/>
      <c r="F246" s="1526"/>
      <c r="G246" s="1526"/>
      <c r="H246" s="1526"/>
      <c r="I246" s="1522"/>
      <c r="J246" s="1522">
        <f t="shared" si="135"/>
        <v>221</v>
      </c>
      <c r="K246" s="1522">
        <f t="shared" si="136"/>
        <v>274.5</v>
      </c>
      <c r="L246" s="1522">
        <f t="shared" si="137"/>
        <v>337.5</v>
      </c>
      <c r="M246" s="1522">
        <f t="shared" si="138"/>
        <v>416</v>
      </c>
      <c r="N246" s="1522">
        <f t="shared" si="139"/>
        <v>500</v>
      </c>
      <c r="O246" s="1522">
        <f t="shared" si="140"/>
        <v>595.5</v>
      </c>
      <c r="P246" s="1522">
        <f t="shared" si="141"/>
        <v>682.5</v>
      </c>
      <c r="Q246" s="1522">
        <f t="shared" si="142"/>
        <v>845</v>
      </c>
      <c r="R246" s="1522">
        <f t="shared" si="143"/>
        <v>996.5</v>
      </c>
    </row>
    <row r="247" spans="1:18" x14ac:dyDescent="0.3">
      <c r="A247" s="575">
        <v>510</v>
      </c>
      <c r="B247" s="1523"/>
      <c r="C247" s="1524"/>
      <c r="D247" s="1525"/>
      <c r="E247" s="1526"/>
      <c r="F247" s="1526"/>
      <c r="G247" s="1526"/>
      <c r="H247" s="1526"/>
      <c r="I247" s="1522"/>
      <c r="J247" s="1522">
        <f t="shared" si="135"/>
        <v>237</v>
      </c>
      <c r="K247" s="1522">
        <f t="shared" si="136"/>
        <v>292.5</v>
      </c>
      <c r="L247" s="1522">
        <f t="shared" si="137"/>
        <v>359.5</v>
      </c>
      <c r="M247" s="1522">
        <f t="shared" si="138"/>
        <v>444</v>
      </c>
      <c r="N247" s="1522">
        <f t="shared" si="139"/>
        <v>532</v>
      </c>
      <c r="O247" s="1522">
        <f t="shared" si="140"/>
        <v>633.50000000000011</v>
      </c>
      <c r="P247" s="1522">
        <f t="shared" si="141"/>
        <v>712.5</v>
      </c>
      <c r="Q247" s="1522">
        <f t="shared" si="142"/>
        <v>897</v>
      </c>
      <c r="R247" s="1522">
        <f t="shared" si="143"/>
        <v>1058.5</v>
      </c>
    </row>
    <row r="248" spans="1:18" x14ac:dyDescent="0.3">
      <c r="A248" s="575">
        <v>530</v>
      </c>
      <c r="B248" s="1523"/>
      <c r="C248" s="1524"/>
      <c r="D248" s="1525"/>
      <c r="E248" s="1526"/>
      <c r="F248" s="1526"/>
      <c r="G248" s="1526"/>
      <c r="H248" s="1526"/>
      <c r="I248" s="1522"/>
      <c r="J248" s="1522">
        <f t="shared" si="135"/>
        <v>245</v>
      </c>
      <c r="K248" s="1522">
        <f t="shared" si="136"/>
        <v>301.5</v>
      </c>
      <c r="L248" s="1522">
        <f t="shared" si="137"/>
        <v>370.5</v>
      </c>
      <c r="M248" s="1522">
        <f t="shared" si="138"/>
        <v>458</v>
      </c>
      <c r="N248" s="1522">
        <f t="shared" si="139"/>
        <v>548</v>
      </c>
      <c r="O248" s="1522">
        <f t="shared" si="140"/>
        <v>652.50000000000011</v>
      </c>
      <c r="P248" s="1522">
        <f t="shared" si="141"/>
        <v>727.5</v>
      </c>
      <c r="Q248" s="1522">
        <f t="shared" si="142"/>
        <v>923</v>
      </c>
      <c r="R248" s="1522">
        <f t="shared" si="143"/>
        <v>1089.5</v>
      </c>
    </row>
    <row r="249" spans="1:18" x14ac:dyDescent="0.3">
      <c r="A249" s="575">
        <v>560</v>
      </c>
      <c r="B249" s="1523"/>
      <c r="C249" s="1524"/>
      <c r="D249" s="1525"/>
      <c r="E249" s="1526"/>
      <c r="F249" s="1526"/>
      <c r="G249" s="1526"/>
      <c r="H249" s="1526"/>
      <c r="I249" s="1522"/>
      <c r="J249" s="1522">
        <f t="shared" si="135"/>
        <v>257</v>
      </c>
      <c r="K249" s="1522">
        <f t="shared" si="136"/>
        <v>315</v>
      </c>
      <c r="L249" s="1522">
        <f t="shared" si="137"/>
        <v>387</v>
      </c>
      <c r="M249" s="1522">
        <f t="shared" si="138"/>
        <v>479</v>
      </c>
      <c r="N249" s="1522">
        <f t="shared" si="139"/>
        <v>572</v>
      </c>
      <c r="O249" s="1522">
        <f t="shared" si="140"/>
        <v>681.00000000000011</v>
      </c>
      <c r="P249" s="1522">
        <f t="shared" si="141"/>
        <v>750</v>
      </c>
      <c r="Q249" s="1522">
        <f t="shared" si="142"/>
        <v>962</v>
      </c>
      <c r="R249" s="1522">
        <f t="shared" si="143"/>
        <v>1136</v>
      </c>
    </row>
    <row r="250" spans="1:18" x14ac:dyDescent="0.3">
      <c r="A250" s="575">
        <v>565</v>
      </c>
      <c r="B250" s="1523"/>
      <c r="C250" s="1524"/>
      <c r="D250" s="1525"/>
      <c r="E250" s="1526"/>
      <c r="F250" s="1526"/>
      <c r="G250" s="1526"/>
      <c r="H250" s="1526"/>
      <c r="I250" s="1522"/>
      <c r="J250" s="1522">
        <f t="shared" si="135"/>
        <v>259</v>
      </c>
      <c r="K250" s="1522">
        <f t="shared" si="136"/>
        <v>317.25</v>
      </c>
      <c r="L250" s="1522">
        <f t="shared" si="137"/>
        <v>389.75</v>
      </c>
      <c r="M250" s="1522">
        <f t="shared" si="138"/>
        <v>482.5</v>
      </c>
      <c r="N250" s="1522">
        <f t="shared" si="139"/>
        <v>576</v>
      </c>
      <c r="O250" s="1522">
        <f t="shared" si="140"/>
        <v>685.75000000000011</v>
      </c>
      <c r="P250" s="1522">
        <f t="shared" si="141"/>
        <v>753.75</v>
      </c>
      <c r="Q250" s="1522">
        <f t="shared" si="142"/>
        <v>968.5</v>
      </c>
      <c r="R250" s="1522">
        <f t="shared" si="143"/>
        <v>1143.75</v>
      </c>
    </row>
    <row r="251" spans="1:18" x14ac:dyDescent="0.3">
      <c r="A251" s="575">
        <v>645</v>
      </c>
      <c r="B251" s="1527"/>
      <c r="C251" s="1528"/>
      <c r="D251" s="1529"/>
      <c r="E251" s="1530"/>
      <c r="F251" s="1530"/>
      <c r="G251" s="1530"/>
      <c r="H251" s="1530"/>
      <c r="I251" s="1522"/>
      <c r="J251" s="1522">
        <f t="shared" si="135"/>
        <v>291</v>
      </c>
      <c r="K251" s="1522">
        <f t="shared" si="136"/>
        <v>353.25</v>
      </c>
      <c r="L251" s="1522">
        <f t="shared" si="137"/>
        <v>433.75</v>
      </c>
      <c r="M251" s="1522">
        <f t="shared" si="138"/>
        <v>538.5</v>
      </c>
      <c r="N251" s="1522">
        <f t="shared" si="139"/>
        <v>640</v>
      </c>
      <c r="O251" s="1522">
        <f t="shared" si="140"/>
        <v>761.75000000000011</v>
      </c>
      <c r="P251" s="1522">
        <f t="shared" si="141"/>
        <v>813.75</v>
      </c>
      <c r="Q251" s="1522">
        <f t="shared" si="142"/>
        <v>1072.5</v>
      </c>
      <c r="R251" s="1522">
        <f t="shared" si="143"/>
        <v>1267.75</v>
      </c>
    </row>
  </sheetData>
  <mergeCells count="56">
    <mergeCell ref="M144:AC144"/>
    <mergeCell ref="M145:AC145"/>
    <mergeCell ref="J143:K144"/>
    <mergeCell ref="B144:B146"/>
    <mergeCell ref="C144:C146"/>
    <mergeCell ref="D144:D146"/>
    <mergeCell ref="E144:F144"/>
    <mergeCell ref="H144:I144"/>
    <mergeCell ref="M98:AC98"/>
    <mergeCell ref="M99:AC99"/>
    <mergeCell ref="J120:K121"/>
    <mergeCell ref="B121:B123"/>
    <mergeCell ref="C121:C123"/>
    <mergeCell ref="D121:D123"/>
    <mergeCell ref="E121:F121"/>
    <mergeCell ref="H121:I121"/>
    <mergeCell ref="M121:AC121"/>
    <mergeCell ref="M122:AC122"/>
    <mergeCell ref="J97:K98"/>
    <mergeCell ref="B98:B100"/>
    <mergeCell ref="C98:C100"/>
    <mergeCell ref="D98:D100"/>
    <mergeCell ref="E98:F98"/>
    <mergeCell ref="H98:I98"/>
    <mergeCell ref="M50:AC50"/>
    <mergeCell ref="M51:AC51"/>
    <mergeCell ref="J73:K74"/>
    <mergeCell ref="B74:B76"/>
    <mergeCell ref="C74:C76"/>
    <mergeCell ref="D74:D76"/>
    <mergeCell ref="E74:F74"/>
    <mergeCell ref="H74:I74"/>
    <mergeCell ref="M74:AC74"/>
    <mergeCell ref="M75:AC75"/>
    <mergeCell ref="J49:K50"/>
    <mergeCell ref="B50:B52"/>
    <mergeCell ref="C50:C52"/>
    <mergeCell ref="D50:D52"/>
    <mergeCell ref="E50:F50"/>
    <mergeCell ref="H50:I50"/>
    <mergeCell ref="M2:AC2"/>
    <mergeCell ref="M3:AC3"/>
    <mergeCell ref="J25:K26"/>
    <mergeCell ref="B26:B28"/>
    <mergeCell ref="C26:C28"/>
    <mergeCell ref="D26:D28"/>
    <mergeCell ref="E26:F26"/>
    <mergeCell ref="H26:I26"/>
    <mergeCell ref="M26:AC26"/>
    <mergeCell ref="M27:AC27"/>
    <mergeCell ref="J1:K2"/>
    <mergeCell ref="B2:B4"/>
    <mergeCell ref="C2:C4"/>
    <mergeCell ref="D2:D4"/>
    <mergeCell ref="E2:F2"/>
    <mergeCell ref="H2:I2"/>
  </mergeCells>
  <pageMargins left="0.7" right="0.7" top="0.75" bottom="0.75" header="0.3" footer="0.3"/>
  <pageSetup paperSize="9" orientation="portrait" r:id="rId1"/>
  <headerFooter>
    <oddHeader>&amp;R&amp;"Calibri"&amp;8&amp;K000000Document classified as: 2 - Company Confidential&amp;1#</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O29"/>
  <sheetViews>
    <sheetView view="pageBreakPreview" zoomScaleNormal="100" zoomScaleSheetLayoutView="100" workbookViewId="0">
      <selection activeCell="D5" sqref="D5:D9"/>
    </sheetView>
  </sheetViews>
  <sheetFormatPr defaultRowHeight="14.4" x14ac:dyDescent="0.3"/>
  <cols>
    <col min="9" max="9" width="9.77734375" bestFit="1" customWidth="1"/>
  </cols>
  <sheetData>
    <row r="1" spans="1:15" ht="21.6" thickBot="1" x14ac:dyDescent="0.35">
      <c r="A1" s="770" t="s">
        <v>1865</v>
      </c>
      <c r="B1" s="403"/>
      <c r="C1" s="750"/>
      <c r="D1" s="403"/>
      <c r="E1" s="403"/>
      <c r="F1" s="403"/>
      <c r="G1" s="403"/>
      <c r="H1" s="403"/>
      <c r="I1" s="403"/>
      <c r="J1" s="403"/>
      <c r="K1" s="403"/>
      <c r="L1" s="403"/>
      <c r="M1" s="403"/>
      <c r="N1" s="403"/>
      <c r="O1" s="1051"/>
    </row>
    <row r="2" spans="1:15" ht="15" thickBot="1" x14ac:dyDescent="0.35">
      <c r="A2" s="1052" t="s">
        <v>59</v>
      </c>
      <c r="B2" s="521" t="s">
        <v>1866</v>
      </c>
      <c r="C2" s="521" t="str">
        <f>List!$BH$2</f>
        <v>CS-150#</v>
      </c>
      <c r="D2" s="521" t="str">
        <f>List!$BH$3</f>
        <v>SS-300#</v>
      </c>
      <c r="E2" s="521" t="str">
        <f>List!$BH$4</f>
        <v>X</v>
      </c>
      <c r="F2" s="521" t="str">
        <f>List!$BH$5</f>
        <v>X</v>
      </c>
      <c r="G2" s="521" t="str">
        <f>List!$BH$6</f>
        <v>X</v>
      </c>
      <c r="H2" s="521" t="str">
        <f>List!$BH$7</f>
        <v>X</v>
      </c>
      <c r="I2" s="521" t="str">
        <f>List!$BH$8</f>
        <v>X</v>
      </c>
      <c r="J2" s="521" t="str">
        <f>List!$BH$9</f>
        <v>X</v>
      </c>
      <c r="K2" s="521" t="str">
        <f>List!$BH$10</f>
        <v>X</v>
      </c>
      <c r="L2" s="521" t="str">
        <f>List!$BH$11</f>
        <v>X</v>
      </c>
      <c r="M2" s="521" t="str">
        <f>List!$BH$12</f>
        <v>X</v>
      </c>
      <c r="N2" s="521" t="str">
        <f>List!$BH$13</f>
        <v>X</v>
      </c>
      <c r="O2" s="1053" t="str">
        <f>List!$BH$14</f>
        <v>X</v>
      </c>
    </row>
    <row r="3" spans="1:15" x14ac:dyDescent="0.3">
      <c r="A3" s="1054">
        <v>0.5</v>
      </c>
      <c r="B3" s="392">
        <f t="shared" ref="B3:B29" si="0">SUM(C3:O3)</f>
        <v>34</v>
      </c>
      <c r="C3" s="392">
        <f>SUMPRODUCT('Valve List'!$AV$3:$AV$99,'Valve List'!BX3:BX99,'Valve List'!$BE$3:$BE$99)*2+SUMPRODUCT('Instrument List'!$DM$4:$DM$43,'Instrument List'!$Z$4:$Z$43,'Instrument List'!DQ4:DQ43,'Instrument List'!$CJ$4:$CJ$43)*2</f>
        <v>0</v>
      </c>
      <c r="D3" s="390">
        <f>SUMPRODUCT('Valve List'!$AV$3:$AV$99,'Valve List'!BY3:BY99,'Valve List'!$BE$3:$BE$99)*2+SUMPRODUCT('Instrument List'!$DM$4:$DM$43,'Instrument List'!$Z$4:$Z$43,'Instrument List'!DR4:DR43,'Instrument List'!$CJ$4:$CJ$43)*2</f>
        <v>34</v>
      </c>
      <c r="E3" s="390">
        <f>SUMPRODUCT('Valve List'!$AV$3:$AV$99,'Valve List'!BZ3:BZ99,'Valve List'!$BE$3:$BE$99)*2+SUMPRODUCT('Instrument List'!$DM$4:$DM$43,'Instrument List'!$Z$4:$Z$43,'Instrument List'!DS4:DS43,'Instrument List'!$CJ$4:$CJ$43)*2</f>
        <v>0</v>
      </c>
      <c r="F3" s="390">
        <f>SUMPRODUCT('Valve List'!$AV$3:$AV$99,'Valve List'!CA3:CA99,'Valve List'!$BE$3:$BE$99)*2+SUMPRODUCT('Instrument List'!$DM$4:$DM$43,'Instrument List'!$Z$4:$Z$43,'Instrument List'!DT4:DT43,'Instrument List'!$CJ$4:$CJ$43)*2</f>
        <v>0</v>
      </c>
      <c r="G3" s="390">
        <f>SUMPRODUCT('Valve List'!$AV$3:$AV$99,'Valve List'!CB3:CB99,'Valve List'!$BE$3:$BE$99)*2+SUMPRODUCT('Instrument List'!$DM$4:$DM$43,'Instrument List'!$Z$4:$Z$43,'Instrument List'!DU4:DU43,'Instrument List'!$CJ$4:$CJ$43)*2</f>
        <v>0</v>
      </c>
      <c r="H3" s="390">
        <f>SUMPRODUCT('Valve List'!$AV$3:$AV$99,'Valve List'!CC3:CC99,'Valve List'!$BE$3:$BE$99)*2+SUMPRODUCT('Instrument List'!$DM$4:$DM$43,'Instrument List'!$Z$4:$Z$43,'Instrument List'!DV4:DV43,'Instrument List'!$CJ$4:$CJ$43)*2</f>
        <v>0</v>
      </c>
      <c r="I3" s="390">
        <f>SUMPRODUCT('Valve List'!$AV$3:$AV$99,'Valve List'!CD3:CD99,'Valve List'!$BE$3:$BE$99)*2+SUMPRODUCT('Instrument List'!$DM$4:$DM$43,'Instrument List'!$Z$4:$Z$43,'Instrument List'!DW4:DW43,'Instrument List'!$CJ$4:$CJ$43)*2</f>
        <v>0</v>
      </c>
      <c r="J3" s="390">
        <f>SUMPRODUCT('Valve List'!$AV$3:$AV$99,'Valve List'!CE3:CE99,'Valve List'!$BE$3:$BE$99)*2+SUMPRODUCT('Instrument List'!$DM$4:$DM$43,'Instrument List'!$Z$4:$Z$43,'Instrument List'!DX4:DX43,'Instrument List'!$CJ$4:$CJ$43)*2</f>
        <v>0</v>
      </c>
      <c r="K3" s="390">
        <f>SUMPRODUCT('Valve List'!$AV$3:$AV$99,'Valve List'!CF3:CF99,'Valve List'!$BE$3:$BE$99)*2+SUMPRODUCT('Instrument List'!$DM$4:$DM$43,'Instrument List'!$Z$4:$Z$43,'Instrument List'!DY4:DY43,'Instrument List'!$CJ$4:$CJ$43)*2</f>
        <v>0</v>
      </c>
      <c r="L3" s="390">
        <f>SUMPRODUCT('Valve List'!$AV$3:$AV$99,'Valve List'!CG3:CG99,'Valve List'!$BE$3:$BE$99)*2+SUMPRODUCT('Instrument List'!$DM$4:$DM$43,'Instrument List'!$Z$4:$Z$43,'Instrument List'!DZ4:DZ43,'Instrument List'!$CJ$4:$CJ$43)*2</f>
        <v>0</v>
      </c>
      <c r="M3" s="390">
        <f>SUMPRODUCT('Valve List'!$AV$3:$AV$99,'Valve List'!CH3:CH99,'Valve List'!$BE$3:$BE$99)*2+SUMPRODUCT('Instrument List'!$DM$4:$DM$43,'Instrument List'!$Z$4:$Z$43,'Instrument List'!EA4:EA43,'Instrument List'!$CJ$4:$CJ$43)*2</f>
        <v>0</v>
      </c>
      <c r="N3" s="390">
        <f>SUMPRODUCT('Valve List'!$AV$3:$AV$99,'Valve List'!CI3:CI99,'Valve List'!$BE$3:$BE$99)*2+SUMPRODUCT('Instrument List'!$DM$4:$DM$43,'Instrument List'!$Z$4:$Z$43,'Instrument List'!EB4:EB43,'Instrument List'!$CJ$4:$CJ$43)*2</f>
        <v>0</v>
      </c>
      <c r="O3" s="1055">
        <f>SUMPRODUCT('Valve List'!$AV$3:$AV$99,'Valve List'!CJ3:CJ99,'Valve List'!$BE$3:$BE$99)*2+SUMPRODUCT('Instrument List'!$DM$4:$DM$43,'Instrument List'!$Z$4:$Z$43,'Instrument List'!EC4:EC43,'Instrument List'!$CJ$4:$CJ$43)*2</f>
        <v>0</v>
      </c>
    </row>
    <row r="4" spans="1:15" x14ac:dyDescent="0.3">
      <c r="A4" s="1056">
        <v>0.75</v>
      </c>
      <c r="B4" s="522">
        <f t="shared" si="0"/>
        <v>0</v>
      </c>
      <c r="C4" s="522">
        <f>SUMPRODUCT('Valve List'!$AV$3:$AV$99,'Valve List'!BX3:BX99,'Valve List'!$BF$3:$BF$99)*2+SUMPRODUCT('Instrument List'!$DM$4:$DM$43,'Instrument List'!$Z$4:$Z$43,'Instrument List'!DQ4:DQ43,'Instrument List'!$CK$4:$CK$43)*2</f>
        <v>0</v>
      </c>
      <c r="D4" s="523">
        <f>SUMPRODUCT('Valve List'!$AV$3:$AV$99,'Valve List'!BY3:BY99,'Valve List'!$BF$3:$BF$99)*2+SUMPRODUCT('Instrument List'!$DM$4:$DM$43,'Instrument List'!$Z$4:$Z$43,'Instrument List'!DR4:DR43,'Instrument List'!$CK$4:$CK$43)*2</f>
        <v>0</v>
      </c>
      <c r="E4" s="523">
        <f>SUMPRODUCT('Valve List'!$AV$3:$AV$99,'Valve List'!BZ3:BZ99,'Valve List'!$BF$3:$BF$99)*2+SUMPRODUCT('Instrument List'!$DM$4:$DM$43,'Instrument List'!$Z$4:$Z$43,'Instrument List'!DS4:DS43,'Instrument List'!$CK$4:$CK$43)*2</f>
        <v>0</v>
      </c>
      <c r="F4" s="523">
        <f>SUMPRODUCT('Valve List'!$AV$3:$AV$99,'Valve List'!CA3:CA99,'Valve List'!$BF$3:$BF$99)*2+SUMPRODUCT('Instrument List'!$DM$4:$DM$43,'Instrument List'!$Z$4:$Z$43,'Instrument List'!DT4:DT43,'Instrument List'!$CK$4:$CK$43)*2</f>
        <v>0</v>
      </c>
      <c r="G4" s="523">
        <f>SUMPRODUCT('Valve List'!$AV$3:$AV$99,'Valve List'!CB3:CB99,'Valve List'!$BF$3:$BF$99)*2+SUMPRODUCT('Instrument List'!$DM$4:$DM$43,'Instrument List'!$Z$4:$Z$43,'Instrument List'!DU4:DU43,'Instrument List'!$CK$4:$CK$43)*2</f>
        <v>0</v>
      </c>
      <c r="H4" s="523">
        <f>SUMPRODUCT('Valve List'!$AV$3:$AV$99,'Valve List'!CC3:CC99,'Valve List'!$BF$3:$BF$99)*2+SUMPRODUCT('Instrument List'!$DM$4:$DM$43,'Instrument List'!$Z$4:$Z$43,'Instrument List'!DV4:DV43,'Instrument List'!$CK$4:$CK$43)*2</f>
        <v>0</v>
      </c>
      <c r="I4" s="523">
        <f>SUMPRODUCT('Valve List'!$AV$3:$AV$99,'Valve List'!CD3:CD99,'Valve List'!$BF$3:$BF$99)*2+SUMPRODUCT('Instrument List'!$DM$4:$DM$43,'Instrument List'!$Z$4:$Z$43,'Instrument List'!DW4:DW43,'Instrument List'!$CK$4:$CK$43)*2</f>
        <v>0</v>
      </c>
      <c r="J4" s="523">
        <f>SUMPRODUCT('Valve List'!$AV$3:$AV$99,'Valve List'!CE3:CE99,'Valve List'!$BF$3:$BF$99)*2+SUMPRODUCT('Instrument List'!$DM$4:$DM$43,'Instrument List'!$Z$4:$Z$43,'Instrument List'!DX4:DX43,'Instrument List'!$CK$4:$CK$43)*2</f>
        <v>0</v>
      </c>
      <c r="K4" s="523">
        <f>SUMPRODUCT('Valve List'!$AV$3:$AV$99,'Valve List'!CF3:CF99,'Valve List'!$BF$3:$BF$99)*2+SUMPRODUCT('Instrument List'!$DM$4:$DM$43,'Instrument List'!$Z$4:$Z$43,'Instrument List'!DY4:DY43,'Instrument List'!$CK$4:$CK$43)*2</f>
        <v>0</v>
      </c>
      <c r="L4" s="523">
        <f>SUMPRODUCT('Valve List'!$AV$3:$AV$99,'Valve List'!CG3:CG99,'Valve List'!$BF$3:$BF$99)*2+SUMPRODUCT('Instrument List'!$DM$4:$DM$43,'Instrument List'!$Z$4:$Z$43,'Instrument List'!DZ4:DZ43,'Instrument List'!$CK$4:$CK$43)*2</f>
        <v>0</v>
      </c>
      <c r="M4" s="523">
        <f>SUMPRODUCT('Valve List'!$AV$3:$AV$99,'Valve List'!CH3:CH99,'Valve List'!$BF$3:$BF$99)*2+SUMPRODUCT('Instrument List'!$DM$4:$DM$43,'Instrument List'!$Z$4:$Z$43,'Instrument List'!EA4:EA43,'Instrument List'!$CK$4:$CK$43)*2</f>
        <v>0</v>
      </c>
      <c r="N4" s="523">
        <f>SUMPRODUCT('Valve List'!$AV$3:$AV$99,'Valve List'!CI3:CI99,'Valve List'!$BF$3:$BF$99)*2+SUMPRODUCT('Instrument List'!$DM$4:$DM$43,'Instrument List'!$Z$4:$Z$43,'Instrument List'!EB4:EB43,'Instrument List'!$CK$4:$CK$43)*2</f>
        <v>0</v>
      </c>
      <c r="O4" s="1057">
        <f>SUMPRODUCT('Valve List'!$AV$3:$AV$99,'Valve List'!CJ3:CJ99,'Valve List'!$BF$3:$BF$99)*2+SUMPRODUCT('Instrument List'!$DM$4:$DM$43,'Instrument List'!$Z$4:$Z$43,'Instrument List'!EC4:EC43,'Instrument List'!$CK$4:$CK$43)*2</f>
        <v>0</v>
      </c>
    </row>
    <row r="5" spans="1:15" x14ac:dyDescent="0.3">
      <c r="A5" s="1056">
        <v>1</v>
      </c>
      <c r="B5" s="522">
        <f t="shared" si="0"/>
        <v>14</v>
      </c>
      <c r="C5" s="522">
        <f>SUMPRODUCT('Valve List'!$AV$3:$AV$99,'Valve List'!BX3:BX99,'Valve List'!$BG$3:$BG$99)*2+SUMPRODUCT('Instrument List'!$DM$4:$DM$43,'Instrument List'!$Z$4:$Z$43,'Instrument List'!DQ4:DQ43,'Instrument List'!$CL$4:$CL$43)*2</f>
        <v>4</v>
      </c>
      <c r="D5" s="523">
        <f>SUMPRODUCT('Valve List'!$AV$3:$AV$99,'Valve List'!BY3:BY99,'Valve List'!$BG$3:$BG$99)*2+SUMPRODUCT('Instrument List'!$DM$4:$DM$43,'Instrument List'!$Z$4:$Z$43,'Instrument List'!DR4:DR43,'Instrument List'!$CL$4:$CL$43)*2</f>
        <v>10</v>
      </c>
      <c r="E5" s="523">
        <f>SUMPRODUCT('Valve List'!$AV$3:$AV$99,'Valve List'!BZ3:BZ99,'Valve List'!$BG$3:$BG$99)*2+SUMPRODUCT('Instrument List'!$DM$4:$DM$43,'Instrument List'!$Z$4:$Z$43,'Instrument List'!DS4:DS43,'Instrument List'!$CL$4:$CL$43)*2</f>
        <v>0</v>
      </c>
      <c r="F5" s="523">
        <f>SUMPRODUCT('Valve List'!$AV$3:$AV$99,'Valve List'!CA3:CA99,'Valve List'!$BG$3:$BG$99)*2+SUMPRODUCT('Instrument List'!$DM$4:$DM$43,'Instrument List'!$Z$4:$Z$43,'Instrument List'!DT4:DT43,'Instrument List'!$CL$4:$CL$43)*2</f>
        <v>0</v>
      </c>
      <c r="G5" s="523">
        <f>SUMPRODUCT('Valve List'!$AV$3:$AV$99,'Valve List'!CB3:CB99,'Valve List'!$BG$3:$BG$99)*2+SUMPRODUCT('Instrument List'!$DM$4:$DM$43,'Instrument List'!$Z$4:$Z$43,'Instrument List'!DU4:DU43,'Instrument List'!$CL$4:$CL$43)*2</f>
        <v>0</v>
      </c>
      <c r="H5" s="523">
        <f>SUMPRODUCT('Valve List'!$AV$3:$AV$99,'Valve List'!CC3:CC99,'Valve List'!$BG$3:$BG$99)*2+SUMPRODUCT('Instrument List'!$DM$4:$DM$43,'Instrument List'!$Z$4:$Z$43,'Instrument List'!DV4:DV43,'Instrument List'!$CL$4:$CL$43)*2</f>
        <v>0</v>
      </c>
      <c r="I5" s="523">
        <f>SUMPRODUCT('Valve List'!$AV$3:$AV$99,'Valve List'!CD3:CD99,'Valve List'!$BG$3:$BG$99)*2+SUMPRODUCT('Instrument List'!$DM$4:$DM$43,'Instrument List'!$Z$4:$Z$43,'Instrument List'!DW4:DW43,'Instrument List'!$CL$4:$CL$43)*2</f>
        <v>0</v>
      </c>
      <c r="J5" s="523">
        <f>SUMPRODUCT('Valve List'!$AV$3:$AV$99,'Valve List'!CE3:CE99,'Valve List'!$BG$3:$BG$99)*2+SUMPRODUCT('Instrument List'!$DM$4:$DM$43,'Instrument List'!$Z$4:$Z$43,'Instrument List'!DX4:DX43,'Instrument List'!$CL$4:$CL$43)*2</f>
        <v>0</v>
      </c>
      <c r="K5" s="523">
        <f>SUMPRODUCT('Valve List'!$AV$3:$AV$99,'Valve List'!CF3:CF99,'Valve List'!$BG$3:$BG$99)*2+SUMPRODUCT('Instrument List'!$DM$4:$DM$43,'Instrument List'!$Z$4:$Z$43,'Instrument List'!DY4:DY43,'Instrument List'!$CL$4:$CL$43)*2</f>
        <v>0</v>
      </c>
      <c r="L5" s="523">
        <f>SUMPRODUCT('Valve List'!$AV$3:$AV$99,'Valve List'!CG3:CG99,'Valve List'!$BG$3:$BG$99)*2+SUMPRODUCT('Instrument List'!$DM$4:$DM$43,'Instrument List'!$Z$4:$Z$43,'Instrument List'!DZ4:DZ43,'Instrument List'!$CL$4:$CL$43)*2</f>
        <v>0</v>
      </c>
      <c r="M5" s="523">
        <f>SUMPRODUCT('Valve List'!$AV$3:$AV$99,'Valve List'!CH3:CH99,'Valve List'!$BG$3:$BG$99)*2+SUMPRODUCT('Instrument List'!$DM$4:$DM$43,'Instrument List'!$Z$4:$Z$43,'Instrument List'!EA4:EA43,'Instrument List'!$CL$4:$CL$43)*2</f>
        <v>0</v>
      </c>
      <c r="N5" s="523">
        <f>SUMPRODUCT('Valve List'!$AV$3:$AV$99,'Valve List'!CI3:CI99,'Valve List'!$BG$3:$BG$99)*2+SUMPRODUCT('Instrument List'!$DM$4:$DM$43,'Instrument List'!$Z$4:$Z$43,'Instrument List'!EB4:EB43,'Instrument List'!$CL$4:$CL$43)*2</f>
        <v>0</v>
      </c>
      <c r="O5" s="1057">
        <f>SUMPRODUCT('Valve List'!$AV$3:$AV$99,'Valve List'!CJ3:CJ99,'Valve List'!$BG$3:$BG$99)*2+SUMPRODUCT('Instrument List'!$DM$4:$DM$43,'Instrument List'!$Z$4:$Z$43,'Instrument List'!EC4:EC43,'Instrument List'!$CL$4:$CL$43)*2</f>
        <v>0</v>
      </c>
    </row>
    <row r="6" spans="1:15" x14ac:dyDescent="0.3">
      <c r="A6" s="1056">
        <v>1.5</v>
      </c>
      <c r="B6" s="522">
        <f t="shared" si="0"/>
        <v>2</v>
      </c>
      <c r="C6" s="522">
        <f>SUMPRODUCT('Valve List'!$AV$3:$AV$99,'Valve List'!BX3:BX99,'Valve List'!$BH$3:$BH$99)*2+SUMPRODUCT('Instrument List'!$DM$4:$DM$43,'Instrument List'!$Z$4:$Z$43,'Instrument List'!DQ4:DQ43,'Instrument List'!$CM$4:$CM$43)*2</f>
        <v>0</v>
      </c>
      <c r="D6" s="523">
        <f>SUMPRODUCT('Valve List'!$AV$3:$AV$99,'Valve List'!BY3:BY99,'Valve List'!$BH$3:$BH$99)*2+SUMPRODUCT('Instrument List'!$DM$4:$DM$43,'Instrument List'!$Z$4:$Z$43,'Instrument List'!DR4:DR43,'Instrument List'!$CM$4:$CM$43)*2</f>
        <v>2</v>
      </c>
      <c r="E6" s="523">
        <f>SUMPRODUCT('Valve List'!$AV$3:$AV$99,'Valve List'!BZ3:BZ99,'Valve List'!$BH$3:$BH$99)*2+SUMPRODUCT('Instrument List'!$DM$4:$DM$43,'Instrument List'!$Z$4:$Z$43,'Instrument List'!DS4:DS43,'Instrument List'!$CM$4:$CM$43)*2</f>
        <v>0</v>
      </c>
      <c r="F6" s="523">
        <f>SUMPRODUCT('Valve List'!$AV$3:$AV$99,'Valve List'!CA3:CA99,'Valve List'!$BH$3:$BH$99)*2+SUMPRODUCT('Instrument List'!$DM$4:$DM$43,'Instrument List'!$Z$4:$Z$43,'Instrument List'!DT4:DT43,'Instrument List'!$CM$4:$CM$43)*2</f>
        <v>0</v>
      </c>
      <c r="G6" s="523">
        <f>SUMPRODUCT('Valve List'!$AV$3:$AV$99,'Valve List'!CB3:CB99,'Valve List'!$BH$3:$BH$99)*2+SUMPRODUCT('Instrument List'!$DM$4:$DM$43,'Instrument List'!$Z$4:$Z$43,'Instrument List'!DU4:DU43,'Instrument List'!$CM$4:$CM$43)*2</f>
        <v>0</v>
      </c>
      <c r="H6" s="523">
        <f>SUMPRODUCT('Valve List'!$AV$3:$AV$99,'Valve List'!CC3:CC99,'Valve List'!$BH$3:$BH$99)*2+SUMPRODUCT('Instrument List'!$DM$4:$DM$43,'Instrument List'!$Z$4:$Z$43,'Instrument List'!DV4:DV43,'Instrument List'!$CM$4:$CM$43)*2</f>
        <v>0</v>
      </c>
      <c r="I6" s="523">
        <f>SUMPRODUCT('Valve List'!$AV$3:$AV$99,'Valve List'!CD3:CD99,'Valve List'!$BH$3:$BH$99)*2+SUMPRODUCT('Instrument List'!$DM$4:$DM$43,'Instrument List'!$Z$4:$Z$43,'Instrument List'!DW4:DW43,'Instrument List'!$CM$4:$CM$43)*2</f>
        <v>0</v>
      </c>
      <c r="J6" s="523">
        <f>SUMPRODUCT('Valve List'!$AV$3:$AV$99,'Valve List'!CE3:CE99,'Valve List'!$BH$3:$BH$99)*2+SUMPRODUCT('Instrument List'!$DM$4:$DM$43,'Instrument List'!$Z$4:$Z$43,'Instrument List'!DX4:DX43,'Instrument List'!$CM$4:$CM$43)*2</f>
        <v>0</v>
      </c>
      <c r="K6" s="523">
        <f>SUMPRODUCT('Valve List'!$AV$3:$AV$99,'Valve List'!CF3:CF99,'Valve List'!$BH$3:$BH$99)*2+SUMPRODUCT('Instrument List'!$DM$4:$DM$43,'Instrument List'!$Z$4:$Z$43,'Instrument List'!DY4:DY43,'Instrument List'!$CM$4:$CM$43)*2</f>
        <v>0</v>
      </c>
      <c r="L6" s="523">
        <f>SUMPRODUCT('Valve List'!$AV$3:$AV$99,'Valve List'!CG3:CG99,'Valve List'!$BH$3:$BH$99)*2+SUMPRODUCT('Instrument List'!$DM$4:$DM$43,'Instrument List'!$Z$4:$Z$43,'Instrument List'!DZ4:DZ43,'Instrument List'!$CM$4:$CM$43)*2</f>
        <v>0</v>
      </c>
      <c r="M6" s="523">
        <f>SUMPRODUCT('Valve List'!$AV$3:$AV$99,'Valve List'!CH3:CH99,'Valve List'!$BH$3:$BH$99)*2+SUMPRODUCT('Instrument List'!$DM$4:$DM$43,'Instrument List'!$Z$4:$Z$43,'Instrument List'!EA4:EA43,'Instrument List'!$CM$4:$CM$43)*2</f>
        <v>0</v>
      </c>
      <c r="N6" s="523">
        <f>SUMPRODUCT('Valve List'!$AV$3:$AV$99,'Valve List'!CI3:CI99,'Valve List'!$BH$3:$BH$99)*2+SUMPRODUCT('Instrument List'!$DM$4:$DM$43,'Instrument List'!$Z$4:$Z$43,'Instrument List'!EB4:EB43,'Instrument List'!$CM$4:$CM$43)*2</f>
        <v>0</v>
      </c>
      <c r="O6" s="1057">
        <f>SUMPRODUCT('Valve List'!$AV$3:$AV$99,'Valve List'!CJ3:CJ99,'Valve List'!$BH$3:$BH$99)*2+SUMPRODUCT('Instrument List'!$DM$4:$DM$43,'Instrument List'!$Z$4:$Z$43,'Instrument List'!EC4:EC43,'Instrument List'!$CM$4:$CM$43)*2</f>
        <v>0</v>
      </c>
    </row>
    <row r="7" spans="1:15" x14ac:dyDescent="0.3">
      <c r="A7" s="1056">
        <v>2</v>
      </c>
      <c r="B7" s="522">
        <f t="shared" si="0"/>
        <v>4</v>
      </c>
      <c r="C7" s="522">
        <f>SUMPRODUCT('Valve List'!$AV$3:$AV$99,'Valve List'!BX3:BX99,'Valve List'!$BI$3:$BI$99)*2+SUMPRODUCT('Instrument List'!$DM$4:$DM$43,'Instrument List'!$Z$4:$Z$43,'Instrument List'!DQ4:DQ43,'Instrument List'!$CN$4:$CN$43)*2</f>
        <v>0</v>
      </c>
      <c r="D7" s="523">
        <f>SUMPRODUCT('Valve List'!$AV$3:$AV$99,'Valve List'!BY3:BY99,'Valve List'!$BI$3:$BI$99)*2+SUMPRODUCT('Instrument List'!$DM$4:$DM$43,'Instrument List'!$Z$4:$Z$43,'Instrument List'!DR4:DR43,'Instrument List'!$CN$4:$CN$43)*2</f>
        <v>4</v>
      </c>
      <c r="E7" s="523">
        <f>SUMPRODUCT('Valve List'!$AV$3:$AV$99,'Valve List'!BZ3:BZ99,'Valve List'!$BI$3:$BI$99)*2+SUMPRODUCT('Instrument List'!$DM$4:$DM$43,'Instrument List'!$Z$4:$Z$43,'Instrument List'!DS4:DS43,'Instrument List'!$CN$4:$CN$43)*2</f>
        <v>0</v>
      </c>
      <c r="F7" s="523">
        <f>SUMPRODUCT('Valve List'!$AV$3:$AV$99,'Valve List'!CA3:CA99,'Valve List'!$BI$3:$BI$99)*2+SUMPRODUCT('Instrument List'!$DM$4:$DM$43,'Instrument List'!$Z$4:$Z$43,'Instrument List'!DT4:DT43,'Instrument List'!$CN$4:$CN$43)*2</f>
        <v>0</v>
      </c>
      <c r="G7" s="523">
        <f>SUMPRODUCT('Valve List'!$AV$3:$AV$99,'Valve List'!CB3:CB99,'Valve List'!$BI$3:$BI$99)*2+SUMPRODUCT('Instrument List'!$DM$4:$DM$43,'Instrument List'!$Z$4:$Z$43,'Instrument List'!DU4:DU43,'Instrument List'!$CN$4:$CN$43)*2</f>
        <v>0</v>
      </c>
      <c r="H7" s="523">
        <f>SUMPRODUCT('Valve List'!$AV$3:$AV$99,'Valve List'!CC3:CC99,'Valve List'!$BI$3:$BI$99)*2+SUMPRODUCT('Instrument List'!$DM$4:$DM$43,'Instrument List'!$Z$4:$Z$43,'Instrument List'!DV4:DV43,'Instrument List'!$CN$4:$CN$43)*2</f>
        <v>0</v>
      </c>
      <c r="I7" s="523">
        <f>SUMPRODUCT('Valve List'!$AV$3:$AV$99,'Valve List'!CD3:CD99,'Valve List'!$BI$3:$BI$99)*2+SUMPRODUCT('Instrument List'!$DM$4:$DM$43,'Instrument List'!$Z$4:$Z$43,'Instrument List'!DW4:DW43,'Instrument List'!$CN$4:$CN$43)*2</f>
        <v>0</v>
      </c>
      <c r="J7" s="523">
        <f>SUMPRODUCT('Valve List'!$AV$3:$AV$99,'Valve List'!CE3:CE99,'Valve List'!$BI$3:$BI$99)*2+SUMPRODUCT('Instrument List'!$DM$4:$DM$43,'Instrument List'!$Z$4:$Z$43,'Instrument List'!DX4:DX43,'Instrument List'!$CN$4:$CN$43)*2</f>
        <v>0</v>
      </c>
      <c r="K7" s="523">
        <f>SUMPRODUCT('Valve List'!$AV$3:$AV$99,'Valve List'!CF3:CF99,'Valve List'!$BI$3:$BI$99)*2+SUMPRODUCT('Instrument List'!$DM$4:$DM$43,'Instrument List'!$Z$4:$Z$43,'Instrument List'!DY4:DY43,'Instrument List'!$CN$4:$CN$43)*2</f>
        <v>0</v>
      </c>
      <c r="L7" s="523">
        <f>SUMPRODUCT('Valve List'!$AV$3:$AV$99,'Valve List'!CG3:CG99,'Valve List'!$BI$3:$BI$99)*2+SUMPRODUCT('Instrument List'!$DM$4:$DM$43,'Instrument List'!$Z$4:$Z$43,'Instrument List'!DZ4:DZ43,'Instrument List'!$CN$4:$CN$43)*2</f>
        <v>0</v>
      </c>
      <c r="M7" s="523">
        <f>SUMPRODUCT('Valve List'!$AV$3:$AV$99,'Valve List'!CH3:CH99,'Valve List'!$BI$3:$BI$99)*2+SUMPRODUCT('Instrument List'!$DM$4:$DM$43,'Instrument List'!$Z$4:$Z$43,'Instrument List'!EA4:EA43,'Instrument List'!$CN$4:$CN$43)*2</f>
        <v>0</v>
      </c>
      <c r="N7" s="523">
        <f>SUMPRODUCT('Valve List'!$AV$3:$AV$99,'Valve List'!CI3:CI99,'Valve List'!$BI$3:$BI$99)*2+SUMPRODUCT('Instrument List'!$DM$4:$DM$43,'Instrument List'!$Z$4:$Z$43,'Instrument List'!EB4:EB43,'Instrument List'!$CN$4:$CN$43)*2</f>
        <v>0</v>
      </c>
      <c r="O7" s="1057">
        <f>SUMPRODUCT('Valve List'!$AV$3:$AV$99,'Valve List'!CJ3:CJ99,'Valve List'!$BI$3:$BI$99)*2+SUMPRODUCT('Instrument List'!$DM$4:$DM$43,'Instrument List'!$Z$4:$Z$43,'Instrument List'!EC4:EC43,'Instrument List'!$CN$4:$CN$43)*2</f>
        <v>0</v>
      </c>
    </row>
    <row r="8" spans="1:15" x14ac:dyDescent="0.3">
      <c r="A8" s="1056">
        <v>2.5</v>
      </c>
      <c r="B8" s="522">
        <f t="shared" si="0"/>
        <v>0</v>
      </c>
      <c r="C8" s="522">
        <f>SUMPRODUCT('Valve List'!$AV$3:$AV$99,'Valve List'!BX3:BX99,'Valve List'!$BJ$3:$BJ$99)*2++SUMPRODUCT('Instrument List'!$DM$4:$DM$43,'Instrument List'!$Z$4:$Z$43,'Instrument List'!DQ4:DQ43,'Instrument List'!$CO$4:$CO$43)*2</f>
        <v>0</v>
      </c>
      <c r="D8" s="523">
        <f>SUMPRODUCT('Valve List'!$AV$3:$AV$99,'Valve List'!BY3:BY99,'Valve List'!$BJ$3:$BJ$99)*2++SUMPRODUCT('Instrument List'!$DM$4:$DM$43,'Instrument List'!$Z$4:$Z$43,'Instrument List'!DR4:DR43,'Instrument List'!$CO$4:$CO$43)*2</f>
        <v>0</v>
      </c>
      <c r="E8" s="523">
        <f>SUMPRODUCT('Valve List'!$AV$3:$AV$99,'Valve List'!BZ3:BZ99,'Valve List'!$BJ$3:$BJ$99)*2++SUMPRODUCT('Instrument List'!$DM$4:$DM$43,'Instrument List'!$Z$4:$Z$43,'Instrument List'!DS4:DS43,'Instrument List'!$CO$4:$CO$43)*2</f>
        <v>0</v>
      </c>
      <c r="F8" s="523">
        <f>SUMPRODUCT('Valve List'!$AV$3:$AV$99,'Valve List'!CA3:CA99,'Valve List'!$BJ$3:$BJ$99)*2++SUMPRODUCT('Instrument List'!$DM$4:$DM$43,'Instrument List'!$Z$4:$Z$43,'Instrument List'!DT4:DT43,'Instrument List'!$CO$4:$CO$43)*2</f>
        <v>0</v>
      </c>
      <c r="G8" s="523">
        <f>SUMPRODUCT('Valve List'!$AV$3:$AV$99,'Valve List'!CB3:CB99,'Valve List'!$BJ$3:$BJ$99)*2++SUMPRODUCT('Instrument List'!$DM$4:$DM$43,'Instrument List'!$Z$4:$Z$43,'Instrument List'!DU4:DU43,'Instrument List'!$CO$4:$CO$43)*2</f>
        <v>0</v>
      </c>
      <c r="H8" s="523">
        <f>SUMPRODUCT('Valve List'!$AV$3:$AV$99,'Valve List'!CC3:CC99,'Valve List'!$BJ$3:$BJ$99)*2++SUMPRODUCT('Instrument List'!$DM$4:$DM$43,'Instrument List'!$Z$4:$Z$43,'Instrument List'!DV4:DV43,'Instrument List'!$CO$4:$CO$43)*2</f>
        <v>0</v>
      </c>
      <c r="I8" s="523">
        <f>SUMPRODUCT('Valve List'!$AV$3:$AV$99,'Valve List'!CD3:CD99,'Valve List'!$BJ$3:$BJ$99)*2++SUMPRODUCT('Instrument List'!$DM$4:$DM$43,'Instrument List'!$Z$4:$Z$43,'Instrument List'!DW4:DW43,'Instrument List'!$CO$4:$CO$43)*2</f>
        <v>0</v>
      </c>
      <c r="J8" s="523">
        <f>SUMPRODUCT('Valve List'!$AV$3:$AV$99,'Valve List'!CE3:CE99,'Valve List'!$BJ$3:$BJ$99)*2++SUMPRODUCT('Instrument List'!$DM$4:$DM$43,'Instrument List'!$Z$4:$Z$43,'Instrument List'!DX4:DX43,'Instrument List'!$CO$4:$CO$43)*2</f>
        <v>0</v>
      </c>
      <c r="K8" s="523">
        <f>SUMPRODUCT('Valve List'!$AV$3:$AV$99,'Valve List'!CF3:CF99,'Valve List'!$BJ$3:$BJ$99)*2++SUMPRODUCT('Instrument List'!$DM$4:$DM$43,'Instrument List'!$Z$4:$Z$43,'Instrument List'!DY4:DY43,'Instrument List'!$CO$4:$CO$43)*2</f>
        <v>0</v>
      </c>
      <c r="L8" s="523">
        <f>SUMPRODUCT('Valve List'!$AV$3:$AV$99,'Valve List'!CG3:CG99,'Valve List'!$BJ$3:$BJ$99)*2++SUMPRODUCT('Instrument List'!$DM$4:$DM$43,'Instrument List'!$Z$4:$Z$43,'Instrument List'!DZ4:DZ43,'Instrument List'!$CO$4:$CO$43)*2</f>
        <v>0</v>
      </c>
      <c r="M8" s="523">
        <f>SUMPRODUCT('Valve List'!$AV$3:$AV$99,'Valve List'!CH3:CH99,'Valve List'!$BJ$3:$BJ$99)*2++SUMPRODUCT('Instrument List'!$DM$4:$DM$43,'Instrument List'!$Z$4:$Z$43,'Instrument List'!EA4:EA43,'Instrument List'!$CO$4:$CO$43)*2</f>
        <v>0</v>
      </c>
      <c r="N8" s="523">
        <f>SUMPRODUCT('Valve List'!$AV$3:$AV$99,'Valve List'!CI3:CI99,'Valve List'!$BJ$3:$BJ$99)*2++SUMPRODUCT('Instrument List'!$DM$4:$DM$43,'Instrument List'!$Z$4:$Z$43,'Instrument List'!EB4:EB43,'Instrument List'!$CO$4:$CO$43)*2</f>
        <v>0</v>
      </c>
      <c r="O8" s="1057">
        <f>SUMPRODUCT('Valve List'!$AV$3:$AV$99,'Valve List'!CJ3:CJ99,'Valve List'!$BJ$3:$BJ$99)*2++SUMPRODUCT('Instrument List'!$DM$4:$DM$43,'Instrument List'!$Z$4:$Z$43,'Instrument List'!EC4:EC43,'Instrument List'!$CO$4:$CO$43)*2</f>
        <v>0</v>
      </c>
    </row>
    <row r="9" spans="1:15" x14ac:dyDescent="0.3">
      <c r="A9" s="1056">
        <v>3</v>
      </c>
      <c r="B9" s="522">
        <f t="shared" si="0"/>
        <v>2</v>
      </c>
      <c r="C9" s="522">
        <f>SUMPRODUCT('Valve List'!$AV$3:$AV$99,'Valve List'!BX3:BX99,'Valve List'!$BK$3:$BK$99)*2+SUMPRODUCT('Instrument List'!$DM$4:$DM$43,'Instrument List'!$Z$4:$Z$43,'Instrument List'!DQ4:DQ43,'Instrument List'!$CP$4:$CP$43)*2</f>
        <v>0</v>
      </c>
      <c r="D9" s="523">
        <f>SUMPRODUCT('Valve List'!$AV$3:$AV$99,'Valve List'!BY3:BY99,'Valve List'!$BK$3:$BK$99)*2+SUMPRODUCT('Instrument List'!$DM$4:$DM$43,'Instrument List'!$Z$4:$Z$43,'Instrument List'!DR4:DR43,'Instrument List'!$CP$4:$CP$43)*2</f>
        <v>2</v>
      </c>
      <c r="E9" s="523">
        <f>SUMPRODUCT('Valve List'!$AV$3:$AV$99,'Valve List'!BZ3:BZ99,'Valve List'!$BK$3:$BK$99)*2+SUMPRODUCT('Instrument List'!$DM$4:$DM$43,'Instrument List'!$Z$4:$Z$43,'Instrument List'!DS4:DS43,'Instrument List'!$CP$4:$CP$43)*2</f>
        <v>0</v>
      </c>
      <c r="F9" s="523">
        <f>SUMPRODUCT('Valve List'!$AV$3:$AV$99,'Valve List'!CA3:CA99,'Valve List'!$BK$3:$BK$99)*2+SUMPRODUCT('Instrument List'!$DM$4:$DM$43,'Instrument List'!$Z$4:$Z$43,'Instrument List'!DT4:DT43,'Instrument List'!$CP$4:$CP$43)*2</f>
        <v>0</v>
      </c>
      <c r="G9" s="523">
        <f>SUMPRODUCT('Valve List'!$AV$3:$AV$99,'Valve List'!CB3:CB99,'Valve List'!$BK$3:$BK$99)*2+SUMPRODUCT('Instrument List'!$DM$4:$DM$43,'Instrument List'!$Z$4:$Z$43,'Instrument List'!DU4:DU43,'Instrument List'!$CP$4:$CP$43)*2</f>
        <v>0</v>
      </c>
      <c r="H9" s="523">
        <f>SUMPRODUCT('Valve List'!$AV$3:$AV$99,'Valve List'!CC3:CC99,'Valve List'!$BK$3:$BK$99)*2+SUMPRODUCT('Instrument List'!$DM$4:$DM$43,'Instrument List'!$Z$4:$Z$43,'Instrument List'!DV4:DV43,'Instrument List'!$CP$4:$CP$43)*2</f>
        <v>0</v>
      </c>
      <c r="I9" s="523">
        <f>SUMPRODUCT('Valve List'!$AV$3:$AV$99,'Valve List'!CD3:CD99,'Valve List'!$BK$3:$BK$99)*2+SUMPRODUCT('Instrument List'!$DM$4:$DM$43,'Instrument List'!$Z$4:$Z$43,'Instrument List'!DW4:DW43,'Instrument List'!$CP$4:$CP$43)*2</f>
        <v>0</v>
      </c>
      <c r="J9" s="523">
        <f>SUMPRODUCT('Valve List'!$AV$3:$AV$99,'Valve List'!CE3:CE99,'Valve List'!$BK$3:$BK$99)*2+SUMPRODUCT('Instrument List'!$DM$4:$DM$43,'Instrument List'!$Z$4:$Z$43,'Instrument List'!DX4:DX43,'Instrument List'!$CP$4:$CP$43)*2</f>
        <v>0</v>
      </c>
      <c r="K9" s="523">
        <f>SUMPRODUCT('Valve List'!$AV$3:$AV$99,'Valve List'!CF3:CF99,'Valve List'!$BK$3:$BK$99)*2+SUMPRODUCT('Instrument List'!$DM$4:$DM$43,'Instrument List'!$Z$4:$Z$43,'Instrument List'!DY4:DY43,'Instrument List'!$CP$4:$CP$43)*2</f>
        <v>0</v>
      </c>
      <c r="L9" s="523">
        <f>SUMPRODUCT('Valve List'!$AV$3:$AV$99,'Valve List'!CG3:CG99,'Valve List'!$BK$3:$BK$99)*2+SUMPRODUCT('Instrument List'!$DM$4:$DM$43,'Instrument List'!$Z$4:$Z$43,'Instrument List'!DZ4:DZ43,'Instrument List'!$CP$4:$CP$43)*2</f>
        <v>0</v>
      </c>
      <c r="M9" s="523">
        <f>SUMPRODUCT('Valve List'!$AV$3:$AV$99,'Valve List'!CH3:CH99,'Valve List'!$BK$3:$BK$99)*2+SUMPRODUCT('Instrument List'!$DM$4:$DM$43,'Instrument List'!$Z$4:$Z$43,'Instrument List'!EA4:EA43,'Instrument List'!$CP$4:$CP$43)*2</f>
        <v>0</v>
      </c>
      <c r="N9" s="523">
        <f>SUMPRODUCT('Valve List'!$AV$3:$AV$99,'Valve List'!CI3:CI99,'Valve List'!$BK$3:$BK$99)*2+SUMPRODUCT('Instrument List'!$DM$4:$DM$43,'Instrument List'!$Z$4:$Z$43,'Instrument List'!EB4:EB43,'Instrument List'!$CP$4:$CP$43)*2</f>
        <v>0</v>
      </c>
      <c r="O9" s="1057">
        <f>SUMPRODUCT('Valve List'!$AV$3:$AV$99,'Valve List'!CJ3:CJ99,'Valve List'!$BK$3:$BK$99)*2+SUMPRODUCT('Instrument List'!$DM$4:$DM$43,'Instrument List'!$Z$4:$Z$43,'Instrument List'!EC4:EC43,'Instrument List'!$CP$4:$CP$43)*2</f>
        <v>0</v>
      </c>
    </row>
    <row r="10" spans="1:15" x14ac:dyDescent="0.3">
      <c r="A10" s="1056">
        <v>4</v>
      </c>
      <c r="B10" s="522">
        <f t="shared" si="0"/>
        <v>52</v>
      </c>
      <c r="C10" s="522">
        <f>SUMPRODUCT('Valve List'!$AV$3:$AV$99,'Valve List'!BX3:BX99,'Valve List'!$BL$3:$BL$99)*2+SUMPRODUCT('Instrument List'!$DM$4:$DM$43,'Instrument List'!$Z$4:$Z$43,'Instrument List'!DQ4:DQ43,'Instrument List'!$CQ$4:$CQ$43)*2</f>
        <v>8</v>
      </c>
      <c r="D10" s="523">
        <f>SUMPRODUCT('Valve List'!$AV$3:$AV$99,'Valve List'!BY3:BY99,'Valve List'!$BL$3:$BL$99)*2+SUMPRODUCT('Instrument List'!$DM$4:$DM$43,'Instrument List'!$Z$4:$Z$43,'Instrument List'!DR4:DR43,'Instrument List'!$CQ$4:$CQ$43)*2</f>
        <v>44</v>
      </c>
      <c r="E10" s="523">
        <f>SUMPRODUCT('Valve List'!$AV$3:$AV$99,'Valve List'!BZ3:BZ99,'Valve List'!$BL$3:$BL$99)*2+SUMPRODUCT('Instrument List'!$DM$4:$DM$43,'Instrument List'!$Z$4:$Z$43,'Instrument List'!DS4:DS43,'Instrument List'!$CQ$4:$CQ$43)*2</f>
        <v>0</v>
      </c>
      <c r="F10" s="523">
        <f>SUMPRODUCT('Valve List'!$AV$3:$AV$99,'Valve List'!CA3:CA99,'Valve List'!$BL$3:$BL$99)*2+SUMPRODUCT('Instrument List'!$DM$4:$DM$43,'Instrument List'!$Z$4:$Z$43,'Instrument List'!DT4:DT43,'Instrument List'!$CQ$4:$CQ$43)*2</f>
        <v>0</v>
      </c>
      <c r="G10" s="523">
        <f>SUMPRODUCT('Valve List'!$AV$3:$AV$99,'Valve List'!CB3:CB99,'Valve List'!$BL$3:$BL$99)*2+SUMPRODUCT('Instrument List'!$DM$4:$DM$43,'Instrument List'!$Z$4:$Z$43,'Instrument List'!DU4:DU43,'Instrument List'!$CQ$4:$CQ$43)*2</f>
        <v>0</v>
      </c>
      <c r="H10" s="523">
        <f>SUMPRODUCT('Valve List'!$AV$3:$AV$99,'Valve List'!CC3:CC99,'Valve List'!$BL$3:$BL$99)*2+SUMPRODUCT('Instrument List'!$DM$4:$DM$43,'Instrument List'!$Z$4:$Z$43,'Instrument List'!DV4:DV43,'Instrument List'!$CQ$4:$CQ$43)*2</f>
        <v>0</v>
      </c>
      <c r="I10" s="523">
        <f>SUMPRODUCT('Valve List'!$AV$3:$AV$99,'Valve List'!CD3:CD99,'Valve List'!$BL$3:$BL$99)*2+SUMPRODUCT('Instrument List'!$DM$4:$DM$43,'Instrument List'!$Z$4:$Z$43,'Instrument List'!DW4:DW43,'Instrument List'!$CQ$4:$CQ$43)*2</f>
        <v>0</v>
      </c>
      <c r="J10" s="523">
        <f>SUMPRODUCT('Valve List'!$AV$3:$AV$99,'Valve List'!CE3:CE99,'Valve List'!$BL$3:$BL$99)*2+SUMPRODUCT('Instrument List'!$DM$4:$DM$43,'Instrument List'!$Z$4:$Z$43,'Instrument List'!DX4:DX43,'Instrument List'!$CQ$4:$CQ$43)*2</f>
        <v>0</v>
      </c>
      <c r="K10" s="523">
        <f>SUMPRODUCT('Valve List'!$AV$3:$AV$99,'Valve List'!CF3:CF99,'Valve List'!$BL$3:$BL$99)*2+SUMPRODUCT('Instrument List'!$DM$4:$DM$43,'Instrument List'!$Z$4:$Z$43,'Instrument List'!DY4:DY43,'Instrument List'!$CQ$4:$CQ$43)*2</f>
        <v>0</v>
      </c>
      <c r="L10" s="523">
        <f>SUMPRODUCT('Valve List'!$AV$3:$AV$99,'Valve List'!CG3:CG99,'Valve List'!$BL$3:$BL$99)*2+SUMPRODUCT('Instrument List'!$DM$4:$DM$43,'Instrument List'!$Z$4:$Z$43,'Instrument List'!DZ4:DZ43,'Instrument List'!$CQ$4:$CQ$43)*2</f>
        <v>0</v>
      </c>
      <c r="M10" s="523">
        <f>SUMPRODUCT('Valve List'!$AV$3:$AV$99,'Valve List'!CH3:CH99,'Valve List'!$BL$3:$BL$99)*2+SUMPRODUCT('Instrument List'!$DM$4:$DM$43,'Instrument List'!$Z$4:$Z$43,'Instrument List'!EA4:EA43,'Instrument List'!$CQ$4:$CQ$43)*2</f>
        <v>0</v>
      </c>
      <c r="N10" s="523">
        <f>SUMPRODUCT('Valve List'!$AV$3:$AV$99,'Valve List'!CI3:CI99,'Valve List'!$BL$3:$BL$99)*2+SUMPRODUCT('Instrument List'!$DM$4:$DM$43,'Instrument List'!$Z$4:$Z$43,'Instrument List'!EB4:EB43,'Instrument List'!$CQ$4:$CQ$43)*2</f>
        <v>0</v>
      </c>
      <c r="O10" s="1057">
        <f>SUMPRODUCT('Valve List'!$AV$3:$AV$99,'Valve List'!CJ3:CJ99,'Valve List'!$BL$3:$BL$99)*2+SUMPRODUCT('Instrument List'!$DM$4:$DM$43,'Instrument List'!$Z$4:$Z$43,'Instrument List'!EC4:EC43,'Instrument List'!$CQ$4:$CQ$43)*2</f>
        <v>0</v>
      </c>
    </row>
    <row r="11" spans="1:15" x14ac:dyDescent="0.3">
      <c r="A11" s="1056">
        <v>6</v>
      </c>
      <c r="B11" s="522">
        <f t="shared" si="0"/>
        <v>40</v>
      </c>
      <c r="C11" s="522">
        <f>SUMPRODUCT('Valve List'!$AV$3:$AV$99,'Valve List'!BX3:BX99,'Valve List'!$BM$3:$BM$99)*2+SUMPRODUCT('Instrument List'!$DM$4:$DM$43,'Instrument List'!$Z$4:$Z$43,'Instrument List'!DQ4:DQ43,'Instrument List'!$CR$4:$CR$43)*2</f>
        <v>0</v>
      </c>
      <c r="D11" s="523">
        <f>SUMPRODUCT('Valve List'!$AV$3:$AV$99,'Valve List'!BY3:BY99,'Valve List'!$BM$3:$BM$99)*2+SUMPRODUCT('Instrument List'!$DM$4:$DM$43,'Instrument List'!$Z$4:$Z$43,'Instrument List'!DR4:DR43,'Instrument List'!$CR$4:$CR$43)*2</f>
        <v>40</v>
      </c>
      <c r="E11" s="523">
        <f>SUMPRODUCT('Valve List'!$AV$3:$AV$99,'Valve List'!BZ3:BZ99,'Valve List'!$BM$3:$BM$99)*2+SUMPRODUCT('Instrument List'!$DM$4:$DM$43,'Instrument List'!$Z$4:$Z$43,'Instrument List'!DS4:DS43,'Instrument List'!$CR$4:$CR$43)*2</f>
        <v>0</v>
      </c>
      <c r="F11" s="523">
        <f>SUMPRODUCT('Valve List'!$AV$3:$AV$99,'Valve List'!CA3:CA99,'Valve List'!$BM$3:$BM$99)*2+SUMPRODUCT('Instrument List'!$DM$4:$DM$43,'Instrument List'!$Z$4:$Z$43,'Instrument List'!DT4:DT43,'Instrument List'!$CR$4:$CR$43)*2</f>
        <v>0</v>
      </c>
      <c r="G11" s="523">
        <f>SUMPRODUCT('Valve List'!$AV$3:$AV$99,'Valve List'!CB3:CB99,'Valve List'!$BM$3:$BM$99)*2+SUMPRODUCT('Instrument List'!$DM$4:$DM$43,'Instrument List'!$Z$4:$Z$43,'Instrument List'!DU4:DU43,'Instrument List'!$CR$4:$CR$43)*2</f>
        <v>0</v>
      </c>
      <c r="H11" s="523">
        <f>SUMPRODUCT('Valve List'!$AV$3:$AV$99,'Valve List'!CC3:CC99,'Valve List'!$BM$3:$BM$99)*2+SUMPRODUCT('Instrument List'!$DM$4:$DM$43,'Instrument List'!$Z$4:$Z$43,'Instrument List'!DV4:DV43,'Instrument List'!$CR$4:$CR$43)*2</f>
        <v>0</v>
      </c>
      <c r="I11" s="523">
        <f>SUMPRODUCT('Valve List'!$AV$3:$AV$99,'Valve List'!CD3:CD99,'Valve List'!$BM$3:$BM$99)*2+SUMPRODUCT('Instrument List'!$DM$4:$DM$43,'Instrument List'!$Z$4:$Z$43,'Instrument List'!DW4:DW43,'Instrument List'!$CR$4:$CR$43)*2</f>
        <v>0</v>
      </c>
      <c r="J11" s="523">
        <f>SUMPRODUCT('Valve List'!$AV$3:$AV$99,'Valve List'!CE3:CE99,'Valve List'!$BM$3:$BM$99)*2+SUMPRODUCT('Instrument List'!$DM$4:$DM$43,'Instrument List'!$Z$4:$Z$43,'Instrument List'!DX4:DX43,'Instrument List'!$CR$4:$CR$43)*2</f>
        <v>0</v>
      </c>
      <c r="K11" s="523">
        <f>SUMPRODUCT('Valve List'!$AV$3:$AV$99,'Valve List'!CF3:CF99,'Valve List'!$BM$3:$BM$99)*2+SUMPRODUCT('Instrument List'!$DM$4:$DM$43,'Instrument List'!$Z$4:$Z$43,'Instrument List'!DY4:DY43,'Instrument List'!$CR$4:$CR$43)*2</f>
        <v>0</v>
      </c>
      <c r="L11" s="523">
        <f>SUMPRODUCT('Valve List'!$AV$3:$AV$99,'Valve List'!CG3:CG99,'Valve List'!$BM$3:$BM$99)*2+SUMPRODUCT('Instrument List'!$DM$4:$DM$43,'Instrument List'!$Z$4:$Z$43,'Instrument List'!DZ4:DZ43,'Instrument List'!$CR$4:$CR$43)*2</f>
        <v>0</v>
      </c>
      <c r="M11" s="523">
        <f>SUMPRODUCT('Valve List'!$AV$3:$AV$99,'Valve List'!CH3:CH99,'Valve List'!$BM$3:$BM$99)*2+SUMPRODUCT('Instrument List'!$DM$4:$DM$43,'Instrument List'!$Z$4:$Z$43,'Instrument List'!EA4:EA43,'Instrument List'!$CR$4:$CR$43)*2</f>
        <v>0</v>
      </c>
      <c r="N11" s="523">
        <f>SUMPRODUCT('Valve List'!$AV$3:$AV$99,'Valve List'!CI3:CI99,'Valve List'!$BM$3:$BM$99)*2+SUMPRODUCT('Instrument List'!$DM$4:$DM$43,'Instrument List'!$Z$4:$Z$43,'Instrument List'!EB4:EB43,'Instrument List'!$CR$4:$CR$43)*2</f>
        <v>0</v>
      </c>
      <c r="O11" s="1057">
        <f>SUMPRODUCT('Valve List'!$AV$3:$AV$99,'Valve List'!CJ3:CJ99,'Valve List'!$BM$3:$BM$99)*2+SUMPRODUCT('Instrument List'!$DM$4:$DM$43,'Instrument List'!$Z$4:$Z$43,'Instrument List'!EC4:EC43,'Instrument List'!$CR$4:$CR$43)*2</f>
        <v>0</v>
      </c>
    </row>
    <row r="12" spans="1:15" x14ac:dyDescent="0.3">
      <c r="A12" s="1056">
        <v>8</v>
      </c>
      <c r="B12" s="522">
        <f t="shared" si="0"/>
        <v>0</v>
      </c>
      <c r="C12" s="522">
        <f>SUMPRODUCT('Valve List'!$AV$3:$AV$99,'Valve List'!BX3:BX99,'Valve List'!$BN$3:$BN$99)*2+SUMPRODUCT('Instrument List'!$DM$4:$DM$43,'Instrument List'!$Z$4:$Z$43,'Instrument List'!DQ4:DQ43,'Instrument List'!$CS$4:$CS$43)*2</f>
        <v>0</v>
      </c>
      <c r="D12" s="523">
        <f>SUMPRODUCT('Valve List'!$AV$3:$AV$99,'Valve List'!BY3:BY99,'Valve List'!$BN$3:$BN$99)*2+SUMPRODUCT('Instrument List'!$DM$4:$DM$43,'Instrument List'!$Z$4:$Z$43,'Instrument List'!DR4:DR43,'Instrument List'!$CS$4:$CS$43)*2</f>
        <v>0</v>
      </c>
      <c r="E12" s="523">
        <f>SUMPRODUCT('Valve List'!$AV$3:$AV$99,'Valve List'!BZ3:BZ99,'Valve List'!$BN$3:$BN$99)*2+SUMPRODUCT('Instrument List'!$DM$4:$DM$43,'Instrument List'!$Z$4:$Z$43,'Instrument List'!DS4:DS43,'Instrument List'!$CS$4:$CS$43)*2</f>
        <v>0</v>
      </c>
      <c r="F12" s="523">
        <f>SUMPRODUCT('Valve List'!$AV$3:$AV$99,'Valve List'!CA3:CA99,'Valve List'!$BN$3:$BN$99)*2+SUMPRODUCT('Instrument List'!$DM$4:$DM$43,'Instrument List'!$Z$4:$Z$43,'Instrument List'!DT4:DT43,'Instrument List'!$CS$4:$CS$43)*2</f>
        <v>0</v>
      </c>
      <c r="G12" s="523">
        <f>SUMPRODUCT('Valve List'!$AV$3:$AV$99,'Valve List'!CB3:CB99,'Valve List'!$BN$3:$BN$99)*2+SUMPRODUCT('Instrument List'!$DM$4:$DM$43,'Instrument List'!$Z$4:$Z$43,'Instrument List'!DU4:DU43,'Instrument List'!$CS$4:$CS$43)*2</f>
        <v>0</v>
      </c>
      <c r="H12" s="523">
        <f>SUMPRODUCT('Valve List'!$AV$3:$AV$99,'Valve List'!CC3:CC99,'Valve List'!$BN$3:$BN$99)*2+SUMPRODUCT('Instrument List'!$DM$4:$DM$43,'Instrument List'!$Z$4:$Z$43,'Instrument List'!DV4:DV43,'Instrument List'!$CS$4:$CS$43)*2</f>
        <v>0</v>
      </c>
      <c r="I12" s="523">
        <f>SUMPRODUCT('Valve List'!$AV$3:$AV$99,'Valve List'!CD3:CD99,'Valve List'!$BN$3:$BN$99)*2+SUMPRODUCT('Instrument List'!$DM$4:$DM$43,'Instrument List'!$Z$4:$Z$43,'Instrument List'!DW4:DW43,'Instrument List'!$CS$4:$CS$43)*2</f>
        <v>0</v>
      </c>
      <c r="J12" s="523">
        <f>SUMPRODUCT('Valve List'!$AV$3:$AV$99,'Valve List'!CE3:CE99,'Valve List'!$BN$3:$BN$99)*2+SUMPRODUCT('Instrument List'!$DM$4:$DM$43,'Instrument List'!$Z$4:$Z$43,'Instrument List'!DX4:DX43,'Instrument List'!$CS$4:$CS$43)*2</f>
        <v>0</v>
      </c>
      <c r="K12" s="523">
        <f>SUMPRODUCT('Valve List'!$AV$3:$AV$99,'Valve List'!CF3:CF99,'Valve List'!$BN$3:$BN$99)*2+SUMPRODUCT('Instrument List'!$DM$4:$DM$43,'Instrument List'!$Z$4:$Z$43,'Instrument List'!DY4:DY43,'Instrument List'!$CS$4:$CS$43)*2</f>
        <v>0</v>
      </c>
      <c r="L12" s="523">
        <f>SUMPRODUCT('Valve List'!$AV$3:$AV$99,'Valve List'!CG3:CG99,'Valve List'!$BN$3:$BN$99)*2+SUMPRODUCT('Instrument List'!$DM$4:$DM$43,'Instrument List'!$Z$4:$Z$43,'Instrument List'!DZ4:DZ43,'Instrument List'!$CS$4:$CS$43)*2</f>
        <v>0</v>
      </c>
      <c r="M12" s="523">
        <f>SUMPRODUCT('Valve List'!$AV$3:$AV$99,'Valve List'!CH3:CH99,'Valve List'!$BN$3:$BN$99)*2+SUMPRODUCT('Instrument List'!$DM$4:$DM$43,'Instrument List'!$Z$4:$Z$43,'Instrument List'!EA4:EA43,'Instrument List'!$CS$4:$CS$43)*2</f>
        <v>0</v>
      </c>
      <c r="N12" s="523">
        <f>SUMPRODUCT('Valve List'!$AV$3:$AV$99,'Valve List'!CI3:CI99,'Valve List'!$BN$3:$BN$99)*2+SUMPRODUCT('Instrument List'!$DM$4:$DM$43,'Instrument List'!$Z$4:$Z$43,'Instrument List'!EB4:EB43,'Instrument List'!$CS$4:$CS$43)*2</f>
        <v>0</v>
      </c>
      <c r="O12" s="1057">
        <f>SUMPRODUCT('Valve List'!$AV$3:$AV$99,'Valve List'!CJ3:CJ99,'Valve List'!$BN$3:$BN$99)*2+SUMPRODUCT('Instrument List'!$DM$4:$DM$43,'Instrument List'!$Z$4:$Z$43,'Instrument List'!EC4:EC43,'Instrument List'!$CS$4:$CS$43)*2</f>
        <v>0</v>
      </c>
    </row>
    <row r="13" spans="1:15" x14ac:dyDescent="0.3">
      <c r="A13" s="1056">
        <v>10</v>
      </c>
      <c r="B13" s="522">
        <f t="shared" si="0"/>
        <v>0</v>
      </c>
      <c r="C13" s="522">
        <f>SUMPRODUCT('Valve List'!$AV$3:$AV$99,'Valve List'!BX3:BX99,'Valve List'!$BO$3:$BO$99)*2+SUMPRODUCT('Instrument List'!$DM$4:$DM$43,'Instrument List'!$Z$4:$Z$43,'Instrument List'!DQ4:DQ43,'Instrument List'!$CT$4:$CT$43)*2</f>
        <v>0</v>
      </c>
      <c r="D13" s="523">
        <f>SUMPRODUCT('Valve List'!$AV$3:$AV$99,'Valve List'!BY3:BY99,'Valve List'!$BO$3:$BO$99)*2+SUMPRODUCT('Instrument List'!$DM$4:$DM$43,'Instrument List'!$Z$4:$Z$43,'Instrument List'!DR4:DR43,'Instrument List'!$CT$4:$CT$43)*2</f>
        <v>0</v>
      </c>
      <c r="E13" s="523">
        <f>SUMPRODUCT('Valve List'!$AV$3:$AV$99,'Valve List'!BZ3:BZ99,'Valve List'!$BO$3:$BO$99)*2+SUMPRODUCT('Instrument List'!$DM$4:$DM$43,'Instrument List'!$Z$4:$Z$43,'Instrument List'!DS4:DS43,'Instrument List'!$CT$4:$CT$43)*2</f>
        <v>0</v>
      </c>
      <c r="F13" s="523">
        <f>SUMPRODUCT('Valve List'!$AV$3:$AV$99,'Valve List'!CA3:CA99,'Valve List'!$BO$3:$BO$99)*2+SUMPRODUCT('Instrument List'!$DM$4:$DM$43,'Instrument List'!$Z$4:$Z$43,'Instrument List'!DT4:DT43,'Instrument List'!$CT$4:$CT$43)*2</f>
        <v>0</v>
      </c>
      <c r="G13" s="523">
        <f>SUMPRODUCT('Valve List'!$AV$3:$AV$99,'Valve List'!CB3:CB99,'Valve List'!$BO$3:$BO$99)*2+SUMPRODUCT('Instrument List'!$DM$4:$DM$43,'Instrument List'!$Z$4:$Z$43,'Instrument List'!DU4:DU43,'Instrument List'!$CT$4:$CT$43)*2</f>
        <v>0</v>
      </c>
      <c r="H13" s="523">
        <f>SUMPRODUCT('Valve List'!$AV$3:$AV$99,'Valve List'!CC3:CC99,'Valve List'!$BO$3:$BO$99)*2+SUMPRODUCT('Instrument List'!$DM$4:$DM$43,'Instrument List'!$Z$4:$Z$43,'Instrument List'!DV4:DV43,'Instrument List'!$CT$4:$CT$43)*2</f>
        <v>0</v>
      </c>
      <c r="I13" s="523">
        <f>SUMPRODUCT('Valve List'!$AV$3:$AV$99,'Valve List'!CD3:CD99,'Valve List'!$BO$3:$BO$99)*2+SUMPRODUCT('Instrument List'!$DM$4:$DM$43,'Instrument List'!$Z$4:$Z$43,'Instrument List'!DW4:DW43,'Instrument List'!$CT$4:$CT$43)*2</f>
        <v>0</v>
      </c>
      <c r="J13" s="523">
        <f>SUMPRODUCT('Valve List'!$AV$3:$AV$99,'Valve List'!CE3:CE99,'Valve List'!$BO$3:$BO$99)*2+SUMPRODUCT('Instrument List'!$DM$4:$DM$43,'Instrument List'!$Z$4:$Z$43,'Instrument List'!DX4:DX43,'Instrument List'!$CT$4:$CT$43)*2</f>
        <v>0</v>
      </c>
      <c r="K13" s="523">
        <f>SUMPRODUCT('Valve List'!$AV$3:$AV$99,'Valve List'!CF3:CF99,'Valve List'!$BO$3:$BO$99)*2+SUMPRODUCT('Instrument List'!$DM$4:$DM$43,'Instrument List'!$Z$4:$Z$43,'Instrument List'!DY4:DY43,'Instrument List'!$CT$4:$CT$43)*2</f>
        <v>0</v>
      </c>
      <c r="L13" s="523">
        <f>SUMPRODUCT('Valve List'!$AV$3:$AV$99,'Valve List'!CG3:CG99,'Valve List'!$BO$3:$BO$99)*2+SUMPRODUCT('Instrument List'!$DM$4:$DM$43,'Instrument List'!$Z$4:$Z$43,'Instrument List'!DZ4:DZ43,'Instrument List'!$CT$4:$CT$43)*2</f>
        <v>0</v>
      </c>
      <c r="M13" s="523">
        <f>SUMPRODUCT('Valve List'!$AV$3:$AV$99,'Valve List'!CH3:CH99,'Valve List'!$BO$3:$BO$99)*2+SUMPRODUCT('Instrument List'!$DM$4:$DM$43,'Instrument List'!$Z$4:$Z$43,'Instrument List'!EA4:EA43,'Instrument List'!$CT$4:$CT$43)*2</f>
        <v>0</v>
      </c>
      <c r="N13" s="523">
        <f>SUMPRODUCT('Valve List'!$AV$3:$AV$99,'Valve List'!CI3:CI99,'Valve List'!$BO$3:$BO$99)*2+SUMPRODUCT('Instrument List'!$DM$4:$DM$43,'Instrument List'!$Z$4:$Z$43,'Instrument List'!EB4:EB43,'Instrument List'!$CT$4:$CT$43)*2</f>
        <v>0</v>
      </c>
      <c r="O13" s="1057">
        <f>SUMPRODUCT('Valve List'!$AV$3:$AV$99,'Valve List'!CJ3:CJ99,'Valve List'!$BO$3:$BO$99)*2+SUMPRODUCT('Instrument List'!$DM$4:$DM$43,'Instrument List'!$Z$4:$Z$43,'Instrument List'!EC4:EC43,'Instrument List'!$CT$4:$CT$43)*2</f>
        <v>0</v>
      </c>
    </row>
    <row r="14" spans="1:15" x14ac:dyDescent="0.3">
      <c r="A14" s="1056">
        <v>12</v>
      </c>
      <c r="B14" s="522">
        <f t="shared" si="0"/>
        <v>0</v>
      </c>
      <c r="C14" s="522">
        <f>SUMPRODUCT('Valve List'!$AV$3:$AV$99,'Valve List'!BX3:BX99,'Valve List'!$BP$3:$BP$99)*2+SUMPRODUCT('Instrument List'!$DM$4:$DM$43,'Instrument List'!$Z$4:$Z$43,'Instrument List'!DQ4:DQ43,'Instrument List'!$CU$4:$CU$43)*2</f>
        <v>0</v>
      </c>
      <c r="D14" s="523">
        <f>SUMPRODUCT('Valve List'!$AV$3:$AV$99,'Valve List'!BY3:BY99,'Valve List'!$BP$3:$BP$99)*2+SUMPRODUCT('Instrument List'!$DM$4:$DM$43,'Instrument List'!$Z$4:$Z$43,'Instrument List'!DR4:DR43,'Instrument List'!$CU$4:$CU$43)*2</f>
        <v>0</v>
      </c>
      <c r="E14" s="523">
        <f>SUMPRODUCT('Valve List'!$AV$3:$AV$99,'Valve List'!BZ3:BZ99,'Valve List'!$BP$3:$BP$99)*2+SUMPRODUCT('Instrument List'!$DM$4:$DM$43,'Instrument List'!$Z$4:$Z$43,'Instrument List'!DS4:DS43,'Instrument List'!$CU$4:$CU$43)*2</f>
        <v>0</v>
      </c>
      <c r="F14" s="523">
        <f>SUMPRODUCT('Valve List'!$AV$3:$AV$99,'Valve List'!CA3:CA99,'Valve List'!$BP$3:$BP$99)*2+SUMPRODUCT('Instrument List'!$DM$4:$DM$43,'Instrument List'!$Z$4:$Z$43,'Instrument List'!DT4:DT43,'Instrument List'!$CU$4:$CU$43)*2</f>
        <v>0</v>
      </c>
      <c r="G14" s="523">
        <f>SUMPRODUCT('Valve List'!$AV$3:$AV$99,'Valve List'!CB3:CB99,'Valve List'!$BP$3:$BP$99)*2+SUMPRODUCT('Instrument List'!$DM$4:$DM$43,'Instrument List'!$Z$4:$Z$43,'Instrument List'!DU4:DU43,'Instrument List'!$CU$4:$CU$43)*2</f>
        <v>0</v>
      </c>
      <c r="H14" s="523">
        <f>SUMPRODUCT('Valve List'!$AV$3:$AV$99,'Valve List'!CC3:CC99,'Valve List'!$BP$3:$BP$99)*2+SUMPRODUCT('Instrument List'!$DM$4:$DM$43,'Instrument List'!$Z$4:$Z$43,'Instrument List'!DV4:DV43,'Instrument List'!$CU$4:$CU$43)*2</f>
        <v>0</v>
      </c>
      <c r="I14" s="523">
        <f>SUMPRODUCT('Valve List'!$AV$3:$AV$99,'Valve List'!CD3:CD99,'Valve List'!$BP$3:$BP$99)*2+SUMPRODUCT('Instrument List'!$DM$4:$DM$43,'Instrument List'!$Z$4:$Z$43,'Instrument List'!DW4:DW43,'Instrument List'!$CU$4:$CU$43)*2</f>
        <v>0</v>
      </c>
      <c r="J14" s="523">
        <f>SUMPRODUCT('Valve List'!$AV$3:$AV$99,'Valve List'!CE3:CE99,'Valve List'!$BP$3:$BP$99)*2+SUMPRODUCT('Instrument List'!$DM$4:$DM$43,'Instrument List'!$Z$4:$Z$43,'Instrument List'!DX4:DX43,'Instrument List'!$CU$4:$CU$43)*2</f>
        <v>0</v>
      </c>
      <c r="K14" s="523">
        <f>SUMPRODUCT('Valve List'!$AV$3:$AV$99,'Valve List'!CF3:CF99,'Valve List'!$BP$3:$BP$99)*2+SUMPRODUCT('Instrument List'!$DM$4:$DM$43,'Instrument List'!$Z$4:$Z$43,'Instrument List'!DY4:DY43,'Instrument List'!$CU$4:$CU$43)*2</f>
        <v>0</v>
      </c>
      <c r="L14" s="523">
        <f>SUMPRODUCT('Valve List'!$AV$3:$AV$99,'Valve List'!CG3:CG99,'Valve List'!$BP$3:$BP$99)*2+SUMPRODUCT('Instrument List'!$DM$4:$DM$43,'Instrument List'!$Z$4:$Z$43,'Instrument List'!DZ4:DZ43,'Instrument List'!$CU$4:$CU$43)*2</f>
        <v>0</v>
      </c>
      <c r="M14" s="523">
        <f>SUMPRODUCT('Valve List'!$AV$3:$AV$99,'Valve List'!CH3:CH99,'Valve List'!$BP$3:$BP$99)*2+SUMPRODUCT('Instrument List'!$DM$4:$DM$43,'Instrument List'!$Z$4:$Z$43,'Instrument List'!EA4:EA43,'Instrument List'!$CU$4:$CU$43)*2</f>
        <v>0</v>
      </c>
      <c r="N14" s="523">
        <f>SUMPRODUCT('Valve List'!$AV$3:$AV$99,'Valve List'!CI3:CI99,'Valve List'!$BP$3:$BP$99)*2+SUMPRODUCT('Instrument List'!$DM$4:$DM$43,'Instrument List'!$Z$4:$Z$43,'Instrument List'!EB4:EB43,'Instrument List'!$CU$4:$CU$43)*2</f>
        <v>0</v>
      </c>
      <c r="O14" s="1057">
        <f>SUMPRODUCT('Valve List'!$AV$3:$AV$99,'Valve List'!CJ3:CJ99,'Valve List'!$BP$3:$BP$99)*2+SUMPRODUCT('Instrument List'!$DM$4:$DM$43,'Instrument List'!$Z$4:$Z$43,'Instrument List'!EC4:EC43,'Instrument List'!$CU$4:$CU$43)*2</f>
        <v>0</v>
      </c>
    </row>
    <row r="15" spans="1:15" x14ac:dyDescent="0.3">
      <c r="A15" s="1056">
        <v>14</v>
      </c>
      <c r="B15" s="522">
        <f t="shared" si="0"/>
        <v>0</v>
      </c>
      <c r="C15" s="522">
        <f>SUMPRODUCT('Valve List'!$AV$3:$AV$99,'Valve List'!BX3:BX99,'Valve List'!$BQ$3:$BQ$99)*2+SUMPRODUCT('Instrument List'!$DM$4:$DM$43,'Instrument List'!$Z$4:$Z$43,'Instrument List'!DQ4:DQ43,'Instrument List'!$CV$4:$CV$43)*2</f>
        <v>0</v>
      </c>
      <c r="D15" s="523">
        <f>SUMPRODUCT('Valve List'!$AV$3:$AV$99,'Valve List'!BY3:BY99,'Valve List'!$BQ$3:$BQ$99)*2+SUMPRODUCT('Instrument List'!$DM$4:$DM$43,'Instrument List'!$Z$4:$Z$43,'Instrument List'!DR4:DR43,'Instrument List'!$CV$4:$CV$43)*2</f>
        <v>0</v>
      </c>
      <c r="E15" s="523">
        <f>SUMPRODUCT('Valve List'!$AV$3:$AV$99,'Valve List'!BZ3:BZ99,'Valve List'!$BQ$3:$BQ$99)*2+SUMPRODUCT('Instrument List'!$DM$4:$DM$43,'Instrument List'!$Z$4:$Z$43,'Instrument List'!DS4:DS43,'Instrument List'!$CV$4:$CV$43)*2</f>
        <v>0</v>
      </c>
      <c r="F15" s="523">
        <f>SUMPRODUCT('Valve List'!$AV$3:$AV$99,'Valve List'!CA3:CA99,'Valve List'!$BQ$3:$BQ$99)*2+SUMPRODUCT('Instrument List'!$DM$4:$DM$43,'Instrument List'!$Z$4:$Z$43,'Instrument List'!DT4:DT43,'Instrument List'!$CV$4:$CV$43)*2</f>
        <v>0</v>
      </c>
      <c r="G15" s="523">
        <f>SUMPRODUCT('Valve List'!$AV$3:$AV$99,'Valve List'!CB3:CB99,'Valve List'!$BQ$3:$BQ$99)*2+SUMPRODUCT('Instrument List'!$DM$4:$DM$43,'Instrument List'!$Z$4:$Z$43,'Instrument List'!DU4:DU43,'Instrument List'!$CV$4:$CV$43)*2</f>
        <v>0</v>
      </c>
      <c r="H15" s="523">
        <f>SUMPRODUCT('Valve List'!$AV$3:$AV$99,'Valve List'!CC3:CC99,'Valve List'!$BQ$3:$BQ$99)*2+SUMPRODUCT('Instrument List'!$DM$4:$DM$43,'Instrument List'!$Z$4:$Z$43,'Instrument List'!DV4:DV43,'Instrument List'!$CV$4:$CV$43)*2</f>
        <v>0</v>
      </c>
      <c r="I15" s="523">
        <f>SUMPRODUCT('Valve List'!$AV$3:$AV$99,'Valve List'!CD3:CD99,'Valve List'!$BQ$3:$BQ$99)*2+SUMPRODUCT('Instrument List'!$DM$4:$DM$43,'Instrument List'!$Z$4:$Z$43,'Instrument List'!DW4:DW43,'Instrument List'!$CV$4:$CV$43)*2</f>
        <v>0</v>
      </c>
      <c r="J15" s="523">
        <f>SUMPRODUCT('Valve List'!$AV$3:$AV$99,'Valve List'!CE3:CE99,'Valve List'!$BQ$3:$BQ$99)*2+SUMPRODUCT('Instrument List'!$DM$4:$DM$43,'Instrument List'!$Z$4:$Z$43,'Instrument List'!DX4:DX43,'Instrument List'!$CV$4:$CV$43)*2</f>
        <v>0</v>
      </c>
      <c r="K15" s="523">
        <f>SUMPRODUCT('Valve List'!$AV$3:$AV$99,'Valve List'!CF3:CF99,'Valve List'!$BQ$3:$BQ$99)*2+SUMPRODUCT('Instrument List'!$DM$4:$DM$43,'Instrument List'!$Z$4:$Z$43,'Instrument List'!DY4:DY43,'Instrument List'!$CV$4:$CV$43)*2</f>
        <v>0</v>
      </c>
      <c r="L15" s="523">
        <f>SUMPRODUCT('Valve List'!$AV$3:$AV$99,'Valve List'!CG3:CG99,'Valve List'!$BQ$3:$BQ$99)*2+SUMPRODUCT('Instrument List'!$DM$4:$DM$43,'Instrument List'!$Z$4:$Z$43,'Instrument List'!DZ4:DZ43,'Instrument List'!$CV$4:$CV$43)*2</f>
        <v>0</v>
      </c>
      <c r="M15" s="523">
        <f>SUMPRODUCT('Valve List'!$AV$3:$AV$99,'Valve List'!CH3:CH99,'Valve List'!$BQ$3:$BQ$99)*2+SUMPRODUCT('Instrument List'!$DM$4:$DM$43,'Instrument List'!$Z$4:$Z$43,'Instrument List'!EA4:EA43,'Instrument List'!$CV$4:$CV$43)*2</f>
        <v>0</v>
      </c>
      <c r="N15" s="523">
        <f>SUMPRODUCT('Valve List'!$AV$3:$AV$99,'Valve List'!CI3:CI99,'Valve List'!$BQ$3:$BQ$99)*2+SUMPRODUCT('Instrument List'!$DM$4:$DM$43,'Instrument List'!$Z$4:$Z$43,'Instrument List'!EB4:EB43,'Instrument List'!$CV$4:$CV$43)*2</f>
        <v>0</v>
      </c>
      <c r="O15" s="1057">
        <f>SUMPRODUCT('Valve List'!$AV$3:$AV$99,'Valve List'!CJ3:CJ99,'Valve List'!$BQ$3:$BQ$99)*2+SUMPRODUCT('Instrument List'!$DM$4:$DM$43,'Instrument List'!$Z$4:$Z$43,'Instrument List'!EC4:EC43,'Instrument List'!$CV$4:$CV$43)*2</f>
        <v>0</v>
      </c>
    </row>
    <row r="16" spans="1:15" x14ac:dyDescent="0.3">
      <c r="A16" s="1056">
        <v>16</v>
      </c>
      <c r="B16" s="522">
        <f t="shared" si="0"/>
        <v>0</v>
      </c>
      <c r="C16" s="522">
        <f>SUMPRODUCT('Valve List'!$AV$3:$AV$99,'Valve List'!BX3:BX99,'Valve List'!$BR$3:$BR$99)*2+SUMPRODUCT('Instrument List'!$DM$4:$DM$43,'Instrument List'!$Z$4:$Z$43,'Instrument List'!DQ4:DQ43,'Instrument List'!$CW$4:$CW$43)*2</f>
        <v>0</v>
      </c>
      <c r="D16" s="523">
        <f>SUMPRODUCT('Valve List'!$AV$3:$AV$99,'Valve List'!BY3:BY99,'Valve List'!$BR$3:$BR$99)*2+SUMPRODUCT('Instrument List'!$DM$4:$DM$43,'Instrument List'!$Z$4:$Z$43,'Instrument List'!DR4:DR43,'Instrument List'!$CW$4:$CW$43)*2</f>
        <v>0</v>
      </c>
      <c r="E16" s="523">
        <f>SUMPRODUCT('Valve List'!$AV$3:$AV$99,'Valve List'!BZ3:BZ99,'Valve List'!$BR$3:$BR$99)*2+SUMPRODUCT('Instrument List'!$DM$4:$DM$43,'Instrument List'!$Z$4:$Z$43,'Instrument List'!DS4:DS43,'Instrument List'!$CW$4:$CW$43)*2</f>
        <v>0</v>
      </c>
      <c r="F16" s="523">
        <f>SUMPRODUCT('Valve List'!$AV$3:$AV$99,'Valve List'!CA3:CA99,'Valve List'!$BR$3:$BR$99)*2+SUMPRODUCT('Instrument List'!$DM$4:$DM$43,'Instrument List'!$Z$4:$Z$43,'Instrument List'!DT4:DT43,'Instrument List'!$CW$4:$CW$43)*2</f>
        <v>0</v>
      </c>
      <c r="G16" s="523">
        <f>SUMPRODUCT('Valve List'!$AV$3:$AV$99,'Valve List'!CB3:CB99,'Valve List'!$BR$3:$BR$99)*2+SUMPRODUCT('Instrument List'!$DM$4:$DM$43,'Instrument List'!$Z$4:$Z$43,'Instrument List'!DU4:DU43,'Instrument List'!$CW$4:$CW$43)*2</f>
        <v>0</v>
      </c>
      <c r="H16" s="523">
        <f>SUMPRODUCT('Valve List'!$AV$3:$AV$99,'Valve List'!CC3:CC99,'Valve List'!$BR$3:$BR$99)*2+SUMPRODUCT('Instrument List'!$DM$4:$DM$43,'Instrument List'!$Z$4:$Z$43,'Instrument List'!DV4:DV43,'Instrument List'!$CW$4:$CW$43)*2</f>
        <v>0</v>
      </c>
      <c r="I16" s="523">
        <f>SUMPRODUCT('Valve List'!$AV$3:$AV$99,'Valve List'!CD3:CD99,'Valve List'!$BR$3:$BR$99)*2+SUMPRODUCT('Instrument List'!$DM$4:$DM$43,'Instrument List'!$Z$4:$Z$43,'Instrument List'!DW4:DW43,'Instrument List'!$CW$4:$CW$43)*2</f>
        <v>0</v>
      </c>
      <c r="J16" s="523">
        <f>SUMPRODUCT('Valve List'!$AV$3:$AV$99,'Valve List'!CE3:CE99,'Valve List'!$BR$3:$BR$99)*2+SUMPRODUCT('Instrument List'!$DM$4:$DM$43,'Instrument List'!$Z$4:$Z$43,'Instrument List'!DX4:DX43,'Instrument List'!$CW$4:$CW$43)*2</f>
        <v>0</v>
      </c>
      <c r="K16" s="523">
        <f>SUMPRODUCT('Valve List'!$AV$3:$AV$99,'Valve List'!CF3:CF99,'Valve List'!$BR$3:$BR$99)*2+SUMPRODUCT('Instrument List'!$DM$4:$DM$43,'Instrument List'!$Z$4:$Z$43,'Instrument List'!DY4:DY43,'Instrument List'!$CW$4:$CW$43)*2</f>
        <v>0</v>
      </c>
      <c r="L16" s="523">
        <f>SUMPRODUCT('Valve List'!$AV$3:$AV$99,'Valve List'!CG3:CG99,'Valve List'!$BR$3:$BR$99)*2+SUMPRODUCT('Instrument List'!$DM$4:$DM$43,'Instrument List'!$Z$4:$Z$43,'Instrument List'!DZ4:DZ43,'Instrument List'!$CW$4:$CW$43)*2</f>
        <v>0</v>
      </c>
      <c r="M16" s="523">
        <f>SUMPRODUCT('Valve List'!$AV$3:$AV$99,'Valve List'!CH3:CH99,'Valve List'!$BR$3:$BR$99)*2+SUMPRODUCT('Instrument List'!$DM$4:$DM$43,'Instrument List'!$Z$4:$Z$43,'Instrument List'!EA4:EA43,'Instrument List'!$CW$4:$CW$43)*2</f>
        <v>0</v>
      </c>
      <c r="N16" s="523">
        <f>SUMPRODUCT('Valve List'!$AV$3:$AV$99,'Valve List'!CI3:CI99,'Valve List'!$BR$3:$BR$99)*2+SUMPRODUCT('Instrument List'!$DM$4:$DM$43,'Instrument List'!$Z$4:$Z$43,'Instrument List'!EB4:EB43,'Instrument List'!$CW$4:$CW$43)*2</f>
        <v>0</v>
      </c>
      <c r="O16" s="1057">
        <f>SUMPRODUCT('Valve List'!$AV$3:$AV$99,'Valve List'!CJ3:CJ99,'Valve List'!$BR$3:$BR$99)*2+SUMPRODUCT('Instrument List'!$DM$4:$DM$43,'Instrument List'!$Z$4:$Z$43,'Instrument List'!EC4:EC43,'Instrument List'!$CW$4:$CW$43)*2</f>
        <v>0</v>
      </c>
    </row>
    <row r="17" spans="1:15" x14ac:dyDescent="0.3">
      <c r="A17" s="1056">
        <v>18</v>
      </c>
      <c r="B17" s="522">
        <f t="shared" si="0"/>
        <v>0</v>
      </c>
      <c r="C17" s="522">
        <f>SUMPRODUCT('Valve List'!$AV$3:$AV$99,'Valve List'!BX3:BX99,'Valve List'!$BS$3:$BS$99)*2+SUMPRODUCT('Instrument List'!$DM$4:$DM$43,'Instrument List'!$Z$4:$Z$43,'Instrument List'!DQ4:DQ43,'Instrument List'!$CX$4:$CX$43)*2</f>
        <v>0</v>
      </c>
      <c r="D17" s="523">
        <f>SUMPRODUCT('Valve List'!$AV$3:$AV$99,'Valve List'!BY3:BY99,'Valve List'!$BS$3:$BS$99)*2+SUMPRODUCT('Instrument List'!$DM$4:$DM$43,'Instrument List'!$Z$4:$Z$43,'Instrument List'!DR4:DR43,'Instrument List'!$CX$4:$CX$43)*2</f>
        <v>0</v>
      </c>
      <c r="E17" s="523">
        <f>SUMPRODUCT('Valve List'!$AV$3:$AV$99,'Valve List'!BZ3:BZ99,'Valve List'!$BS$3:$BS$99)*2+SUMPRODUCT('Instrument List'!$DM$4:$DM$43,'Instrument List'!$Z$4:$Z$43,'Instrument List'!DS4:DS43,'Instrument List'!$CX$4:$CX$43)*2</f>
        <v>0</v>
      </c>
      <c r="F17" s="523">
        <f>SUMPRODUCT('Valve List'!$AV$3:$AV$99,'Valve List'!CA3:CA99,'Valve List'!$BS$3:$BS$99)*2+SUMPRODUCT('Instrument List'!$DM$4:$DM$43,'Instrument List'!$Z$4:$Z$43,'Instrument List'!DT4:DT43,'Instrument List'!$CX$4:$CX$43)*2</f>
        <v>0</v>
      </c>
      <c r="G17" s="523">
        <f>SUMPRODUCT('Valve List'!$AV$3:$AV$99,'Valve List'!CB3:CB99,'Valve List'!$BS$3:$BS$99)*2+SUMPRODUCT('Instrument List'!$DM$4:$DM$43,'Instrument List'!$Z$4:$Z$43,'Instrument List'!DU4:DU43,'Instrument List'!$CX$4:$CX$43)*2</f>
        <v>0</v>
      </c>
      <c r="H17" s="523">
        <f>SUMPRODUCT('Valve List'!$AV$3:$AV$99,'Valve List'!CC3:CC99,'Valve List'!$BS$3:$BS$99)*2+SUMPRODUCT('Instrument List'!$DM$4:$DM$43,'Instrument List'!$Z$4:$Z$43,'Instrument List'!DV4:DV43,'Instrument List'!$CX$4:$CX$43)*2</f>
        <v>0</v>
      </c>
      <c r="I17" s="523">
        <f>SUMPRODUCT('Valve List'!$AV$3:$AV$99,'Valve List'!CD3:CD99,'Valve List'!$BS$3:$BS$99)*2+SUMPRODUCT('Instrument List'!$DM$4:$DM$43,'Instrument List'!$Z$4:$Z$43,'Instrument List'!DW4:DW43,'Instrument List'!$CX$4:$CX$43)*2</f>
        <v>0</v>
      </c>
      <c r="J17" s="523">
        <f>SUMPRODUCT('Valve List'!$AV$3:$AV$99,'Valve List'!CE3:CE99,'Valve List'!$BS$3:$BS$99)*2+SUMPRODUCT('Instrument List'!$DM$4:$DM$43,'Instrument List'!$Z$4:$Z$43,'Instrument List'!DX4:DX43,'Instrument List'!$CX$4:$CX$43)*2</f>
        <v>0</v>
      </c>
      <c r="K17" s="523">
        <f>SUMPRODUCT('Valve List'!$AV$3:$AV$99,'Valve List'!CF3:CF99,'Valve List'!$BS$3:$BS$99)*2+SUMPRODUCT('Instrument List'!$DM$4:$DM$43,'Instrument List'!$Z$4:$Z$43,'Instrument List'!DY4:DY43,'Instrument List'!$CX$4:$CX$43)*2</f>
        <v>0</v>
      </c>
      <c r="L17" s="523">
        <f>SUMPRODUCT('Valve List'!$AV$3:$AV$99,'Valve List'!CG3:CG99,'Valve List'!$BS$3:$BS$99)*2+SUMPRODUCT('Instrument List'!$DM$4:$DM$43,'Instrument List'!$Z$4:$Z$43,'Instrument List'!DZ4:DZ43,'Instrument List'!$CX$4:$CX$43)*2</f>
        <v>0</v>
      </c>
      <c r="M17" s="523">
        <f>SUMPRODUCT('Valve List'!$AV$3:$AV$99,'Valve List'!CH3:CH99,'Valve List'!$BS$3:$BS$99)*2+SUMPRODUCT('Instrument List'!$DM$4:$DM$43,'Instrument List'!$Z$4:$Z$43,'Instrument List'!EA4:EA43,'Instrument List'!$CX$4:$CX$43)*2</f>
        <v>0</v>
      </c>
      <c r="N17" s="523">
        <f>SUMPRODUCT('Valve List'!$AV$3:$AV$99,'Valve List'!CI3:CI99,'Valve List'!$BS$3:$BS$99)*2+SUMPRODUCT('Instrument List'!$DM$4:$DM$43,'Instrument List'!$Z$4:$Z$43,'Instrument List'!EB4:EB43,'Instrument List'!$CX$4:$CX$43)*2</f>
        <v>0</v>
      </c>
      <c r="O17" s="1057">
        <f>SUMPRODUCT('Valve List'!$AV$3:$AV$99,'Valve List'!CJ3:CJ99,'Valve List'!$BS$3:$BS$99)*2+SUMPRODUCT('Instrument List'!$DM$4:$DM$43,'Instrument List'!$Z$4:$Z$43,'Instrument List'!EC4:EC43,'Instrument List'!$CX$4:$CX$43)*2</f>
        <v>0</v>
      </c>
    </row>
    <row r="18" spans="1:15" x14ac:dyDescent="0.3">
      <c r="A18" s="1056">
        <v>20</v>
      </c>
      <c r="B18" s="522">
        <f t="shared" si="0"/>
        <v>0</v>
      </c>
      <c r="C18" s="522">
        <f>SUMPRODUCT('Valve List'!$AV$3:$AV$99,'Valve List'!BX3:BX99,'Valve List'!$BT$3:$BT$99)*2+SUMPRODUCT('Instrument List'!$DM$4:$DM$43,'Instrument List'!$Z$4:$Z$43,'Instrument List'!DQ4:DQ43,'Instrument List'!$CY$4:$CY$43)*2</f>
        <v>0</v>
      </c>
      <c r="D18" s="523">
        <f>SUMPRODUCT('Valve List'!$AV$3:$AV$99,'Valve List'!BY3:BY99,'Valve List'!$BT$3:$BT$99)*2+SUMPRODUCT('Instrument List'!$DM$4:$DM$43,'Instrument List'!$Z$4:$Z$43,'Instrument List'!DR4:DR43,'Instrument List'!$CY$4:$CY$43)*2</f>
        <v>0</v>
      </c>
      <c r="E18" s="523">
        <f>SUMPRODUCT('Valve List'!$AV$3:$AV$99,'Valve List'!BZ3:BZ99,'Valve List'!$BT$3:$BT$99)*2+SUMPRODUCT('Instrument List'!$DM$4:$DM$43,'Instrument List'!$Z$4:$Z$43,'Instrument List'!DS4:DS43,'Instrument List'!$CY$4:$CY$43)*2</f>
        <v>0</v>
      </c>
      <c r="F18" s="523">
        <f>SUMPRODUCT('Valve List'!$AV$3:$AV$99,'Valve List'!CA3:CA99,'Valve List'!$BT$3:$BT$99)*2+SUMPRODUCT('Instrument List'!$DM$4:$DM$43,'Instrument List'!$Z$4:$Z$43,'Instrument List'!DT4:DT43,'Instrument List'!$CY$4:$CY$43)*2</f>
        <v>0</v>
      </c>
      <c r="G18" s="523">
        <f>SUMPRODUCT('Valve List'!$AV$3:$AV$99,'Valve List'!CB3:CB99,'Valve List'!$BT$3:$BT$99)*2+SUMPRODUCT('Instrument List'!$DM$4:$DM$43,'Instrument List'!$Z$4:$Z$43,'Instrument List'!DU4:DU43,'Instrument List'!$CY$4:$CY$43)*2</f>
        <v>0</v>
      </c>
      <c r="H18" s="523">
        <f>SUMPRODUCT('Valve List'!$AV$3:$AV$99,'Valve List'!CC3:CC99,'Valve List'!$BT$3:$BT$99)*2+SUMPRODUCT('Instrument List'!$DM$4:$DM$43,'Instrument List'!$Z$4:$Z$43,'Instrument List'!DV4:DV43,'Instrument List'!$CY$4:$CY$43)*2</f>
        <v>0</v>
      </c>
      <c r="I18" s="523">
        <f>SUMPRODUCT('Valve List'!$AV$3:$AV$99,'Valve List'!CD3:CD99,'Valve List'!$BT$3:$BT$99)*2+SUMPRODUCT('Instrument List'!$DM$4:$DM$43,'Instrument List'!$Z$4:$Z$43,'Instrument List'!DW4:DW43,'Instrument List'!$CY$4:$CY$43)*2</f>
        <v>0</v>
      </c>
      <c r="J18" s="523">
        <f>SUMPRODUCT('Valve List'!$AV$3:$AV$99,'Valve List'!CE3:CE99,'Valve List'!$BT$3:$BT$99)*2+SUMPRODUCT('Instrument List'!$DM$4:$DM$43,'Instrument List'!$Z$4:$Z$43,'Instrument List'!DX4:DX43,'Instrument List'!$CY$4:$CY$43)*2</f>
        <v>0</v>
      </c>
      <c r="K18" s="523">
        <f>SUMPRODUCT('Valve List'!$AV$3:$AV$99,'Valve List'!CF3:CF99,'Valve List'!$BT$3:$BT$99)*2+SUMPRODUCT('Instrument List'!$DM$4:$DM$43,'Instrument List'!$Z$4:$Z$43,'Instrument List'!DY4:DY43,'Instrument List'!$CY$4:$CY$43)*2</f>
        <v>0</v>
      </c>
      <c r="L18" s="523">
        <f>SUMPRODUCT('Valve List'!$AV$3:$AV$99,'Valve List'!CG3:CG99,'Valve List'!$BT$3:$BT$99)*2+SUMPRODUCT('Instrument List'!$DM$4:$DM$43,'Instrument List'!$Z$4:$Z$43,'Instrument List'!DZ4:DZ43,'Instrument List'!$CY$4:$CY$43)*2</f>
        <v>0</v>
      </c>
      <c r="M18" s="523">
        <f>SUMPRODUCT('Valve List'!$AV$3:$AV$99,'Valve List'!CH3:CH99,'Valve List'!$BT$3:$BT$99)*2+SUMPRODUCT('Instrument List'!$DM$4:$DM$43,'Instrument List'!$Z$4:$Z$43,'Instrument List'!EA4:EA43,'Instrument List'!$CY$4:$CY$43)*2</f>
        <v>0</v>
      </c>
      <c r="N18" s="523">
        <f>SUMPRODUCT('Valve List'!$AV$3:$AV$99,'Valve List'!CI3:CI99,'Valve List'!$BT$3:$BT$99)*2+SUMPRODUCT('Instrument List'!$DM$4:$DM$43,'Instrument List'!$Z$4:$Z$43,'Instrument List'!EB4:EB43,'Instrument List'!$CY$4:$CY$43)*2</f>
        <v>0</v>
      </c>
      <c r="O18" s="1057">
        <f>SUMPRODUCT('Valve List'!$AV$3:$AV$99,'Valve List'!CJ3:CJ99,'Valve List'!$BT$3:$BT$99)*2+SUMPRODUCT('Instrument List'!$DM$4:$DM$43,'Instrument List'!$Z$4:$Z$43,'Instrument List'!EC4:EC43,'Instrument List'!$CY$4:$CY$43)*2</f>
        <v>0</v>
      </c>
    </row>
    <row r="19" spans="1:15" x14ac:dyDescent="0.3">
      <c r="A19" s="1056">
        <v>22</v>
      </c>
      <c r="B19" s="522">
        <f t="shared" si="0"/>
        <v>0</v>
      </c>
      <c r="C19" s="522">
        <f>SUMPRODUCT('Valve List'!$AV$3:$AV$99,'Valve List'!BX3:BX99,'Valve List'!$BU$3:$BU$99)*2+SUMPRODUCT('Instrument List'!$DM$4:$DM$43,'Instrument List'!$Z$4:$Z$43,'Instrument List'!DQ4:DQ43,'Instrument List'!$CZ$4:$CZ$43)*2</f>
        <v>0</v>
      </c>
      <c r="D19" s="523">
        <f>SUMPRODUCT('Valve List'!$AV$3:$AV$99,'Valve List'!BY3:BY99,'Valve List'!$BU$3:$BU$99)*2+SUMPRODUCT('Instrument List'!$DM$4:$DM$43,'Instrument List'!$Z$4:$Z$43,'Instrument List'!DR4:DR43,'Instrument List'!$CZ$4:$CZ$43)*2</f>
        <v>0</v>
      </c>
      <c r="E19" s="523">
        <f>SUMPRODUCT('Valve List'!$AV$3:$AV$99,'Valve List'!BZ3:BZ99,'Valve List'!$BU$3:$BU$99)*2+SUMPRODUCT('Instrument List'!$DM$4:$DM$43,'Instrument List'!$Z$4:$Z$43,'Instrument List'!DS4:DS43,'Instrument List'!$CZ$4:$CZ$43)*2</f>
        <v>0</v>
      </c>
      <c r="F19" s="523">
        <f>SUMPRODUCT('Valve List'!$AV$3:$AV$99,'Valve List'!CA3:CA99,'Valve List'!$BU$3:$BU$99)*2+SUMPRODUCT('Instrument List'!$DM$4:$DM$43,'Instrument List'!$Z$4:$Z$43,'Instrument List'!DT4:DT43,'Instrument List'!$CZ$4:$CZ$43)*2</f>
        <v>0</v>
      </c>
      <c r="G19" s="523">
        <f>SUMPRODUCT('Valve List'!$AV$3:$AV$99,'Valve List'!CB3:CB99,'Valve List'!$BU$3:$BU$99)*2+SUMPRODUCT('Instrument List'!$DM$4:$DM$43,'Instrument List'!$Z$4:$Z$43,'Instrument List'!DU4:DU43,'Instrument List'!$CZ$4:$CZ$43)*2</f>
        <v>0</v>
      </c>
      <c r="H19" s="523">
        <f>SUMPRODUCT('Valve List'!$AV$3:$AV$99,'Valve List'!CC3:CC99,'Valve List'!$BU$3:$BU$99)*2+SUMPRODUCT('Instrument List'!$DM$4:$DM$43,'Instrument List'!$Z$4:$Z$43,'Instrument List'!DV4:DV43,'Instrument List'!$CZ$4:$CZ$43)*2</f>
        <v>0</v>
      </c>
      <c r="I19" s="523">
        <f>SUMPRODUCT('Valve List'!$AV$3:$AV$99,'Valve List'!CD3:CD99,'Valve List'!$BU$3:$BU$99)*2+SUMPRODUCT('Instrument List'!$DM$4:$DM$43,'Instrument List'!$Z$4:$Z$43,'Instrument List'!DW4:DW43,'Instrument List'!$CZ$4:$CZ$43)*2</f>
        <v>0</v>
      </c>
      <c r="J19" s="523">
        <f>SUMPRODUCT('Valve List'!$AV$3:$AV$99,'Valve List'!CE3:CE99,'Valve List'!$BU$3:$BU$99)*2+SUMPRODUCT('Instrument List'!$DM$4:$DM$43,'Instrument List'!$Z$4:$Z$43,'Instrument List'!DX4:DX43,'Instrument List'!$CZ$4:$CZ$43)*2</f>
        <v>0</v>
      </c>
      <c r="K19" s="523">
        <f>SUMPRODUCT('Valve List'!$AV$3:$AV$99,'Valve List'!CF3:CF99,'Valve List'!$BU$3:$BU$99)*2+SUMPRODUCT('Instrument List'!$DM$4:$DM$43,'Instrument List'!$Z$4:$Z$43,'Instrument List'!DY4:DY43,'Instrument List'!$CZ$4:$CZ$43)*2</f>
        <v>0</v>
      </c>
      <c r="L19" s="523">
        <f>SUMPRODUCT('Valve List'!$AV$3:$AV$99,'Valve List'!CG3:CG99,'Valve List'!$BU$3:$BU$99)*2+SUMPRODUCT('Instrument List'!$DM$4:$DM$43,'Instrument List'!$Z$4:$Z$43,'Instrument List'!DZ4:DZ43,'Instrument List'!$CZ$4:$CZ$43)*2</f>
        <v>0</v>
      </c>
      <c r="M19" s="523">
        <f>SUMPRODUCT('Valve List'!$AV$3:$AV$99,'Valve List'!CH3:CH99,'Valve List'!$BU$3:$BU$99)*2+SUMPRODUCT('Instrument List'!$DM$4:$DM$43,'Instrument List'!$Z$4:$Z$43,'Instrument List'!EA4:EA43,'Instrument List'!$CZ$4:$CZ$43)*2</f>
        <v>0</v>
      </c>
      <c r="N19" s="523">
        <f>SUMPRODUCT('Valve List'!$AV$3:$AV$99,'Valve List'!CI3:CI99,'Valve List'!$BU$3:$BU$99)*2+SUMPRODUCT('Instrument List'!$DM$4:$DM$43,'Instrument List'!$Z$4:$Z$43,'Instrument List'!EB4:EB43,'Instrument List'!$CZ$4:$CZ$43)*2</f>
        <v>0</v>
      </c>
      <c r="O19" s="1057">
        <f>SUMPRODUCT('Valve List'!$AV$3:$AV$99,'Valve List'!CJ3:CJ99,'Valve List'!$BU$3:$BU$99)*2+SUMPRODUCT('Instrument List'!$DM$4:$DM$43,'Instrument List'!$Z$4:$Z$43,'Instrument List'!EC4:EC43,'Instrument List'!$CZ$4:$CZ$43)*2</f>
        <v>0</v>
      </c>
    </row>
    <row r="20" spans="1:15" x14ac:dyDescent="0.3">
      <c r="A20" s="1056">
        <v>24</v>
      </c>
      <c r="B20" s="522">
        <f t="shared" si="0"/>
        <v>0</v>
      </c>
      <c r="C20" s="522">
        <f>SUMPRODUCT('Valve List'!$AV$3:$AV$99,'Valve List'!BX3:BX99,'Valve List'!$BV$3:$BV$99)*2+SUMPRODUCT('Instrument List'!$DM$4:$DM$43,'Instrument List'!$Z$4:$Z$43,'Instrument List'!DQ4:DQ43,'Instrument List'!$DA$4:$DA$43)*2</f>
        <v>0</v>
      </c>
      <c r="D20" s="523">
        <f>SUMPRODUCT('Valve List'!$AV$3:$AV$99,'Valve List'!BY3:BY99,'Valve List'!$BV$3:$BV$99)*2+SUMPRODUCT('Instrument List'!$DM$4:$DM$43,'Instrument List'!$Z$4:$Z$43,'Instrument List'!DR4:DR43,'Instrument List'!$DA$4:$DA$43)*2</f>
        <v>0</v>
      </c>
      <c r="E20" s="523">
        <f>SUMPRODUCT('Valve List'!$AV$3:$AV$99,'Valve List'!BZ3:BZ99,'Valve List'!$BV$3:$BV$99)*2+SUMPRODUCT('Instrument List'!$DM$4:$DM$43,'Instrument List'!$Z$4:$Z$43,'Instrument List'!DS4:DS43,'Instrument List'!$DA$4:$DA$43)*2</f>
        <v>0</v>
      </c>
      <c r="F20" s="523">
        <f>SUMPRODUCT('Valve List'!$AV$3:$AV$99,'Valve List'!CA3:CA99,'Valve List'!$BV$3:$BV$99)*2+SUMPRODUCT('Instrument List'!$DM$4:$DM$43,'Instrument List'!$Z$4:$Z$43,'Instrument List'!DT4:DT43,'Instrument List'!$DA$4:$DA$43)*2</f>
        <v>0</v>
      </c>
      <c r="G20" s="523">
        <f>SUMPRODUCT('Valve List'!$AV$3:$AV$99,'Valve List'!CB3:CB99,'Valve List'!$BV$3:$BV$99)*2+SUMPRODUCT('Instrument List'!$DM$4:$DM$43,'Instrument List'!$Z$4:$Z$43,'Instrument List'!DU4:DU43,'Instrument List'!$DA$4:$DA$43)*2</f>
        <v>0</v>
      </c>
      <c r="H20" s="523">
        <f>SUMPRODUCT('Valve List'!$AV$3:$AV$99,'Valve List'!CC3:CC99,'Valve List'!$BV$3:$BV$99)*2+SUMPRODUCT('Instrument List'!$DM$4:$DM$43,'Instrument List'!$Z$4:$Z$43,'Instrument List'!DV4:DV43,'Instrument List'!$DA$4:$DA$43)*2</f>
        <v>0</v>
      </c>
      <c r="I20" s="523">
        <f>SUMPRODUCT('Valve List'!$AV$3:$AV$99,'Valve List'!CD3:CD99,'Valve List'!$BV$3:$BV$99)*2+SUMPRODUCT('Instrument List'!$DM$4:$DM$43,'Instrument List'!$Z$4:$Z$43,'Instrument List'!DW4:DW43,'Instrument List'!$DA$4:$DA$43)*2</f>
        <v>0</v>
      </c>
      <c r="J20" s="523">
        <f>SUMPRODUCT('Valve List'!$AV$3:$AV$99,'Valve List'!CE3:CE99,'Valve List'!$BV$3:$BV$99)*2+SUMPRODUCT('Instrument List'!$DM$4:$DM$43,'Instrument List'!$Z$4:$Z$43,'Instrument List'!DX4:DX43,'Instrument List'!$DA$4:$DA$43)*2</f>
        <v>0</v>
      </c>
      <c r="K20" s="523">
        <f>SUMPRODUCT('Valve List'!$AV$3:$AV$99,'Valve List'!CF3:CF99,'Valve List'!$BV$3:$BV$99)*2+SUMPRODUCT('Instrument List'!$DM$4:$DM$43,'Instrument List'!$Z$4:$Z$43,'Instrument List'!DY4:DY43,'Instrument List'!$DA$4:$DA$43)*2</f>
        <v>0</v>
      </c>
      <c r="L20" s="523">
        <f>SUMPRODUCT('Valve List'!$AV$3:$AV$99,'Valve List'!CG3:CG99,'Valve List'!$BV$3:$BV$99)*2+SUMPRODUCT('Instrument List'!$DM$4:$DM$43,'Instrument List'!$Z$4:$Z$43,'Instrument List'!DZ4:DZ43,'Instrument List'!$DA$4:$DA$43)*2</f>
        <v>0</v>
      </c>
      <c r="M20" s="523">
        <f>SUMPRODUCT('Valve List'!$AV$3:$AV$99,'Valve List'!CH3:CH99,'Valve List'!$BV$3:$BV$99)*2+SUMPRODUCT('Instrument List'!$DM$4:$DM$43,'Instrument List'!$Z$4:$Z$43,'Instrument List'!EA4:EA43,'Instrument List'!$DA$4:$DA$43)*2</f>
        <v>0</v>
      </c>
      <c r="N20" s="523">
        <f>SUMPRODUCT('Valve List'!$AV$3:$AV$99,'Valve List'!CI3:CI99,'Valve List'!$BV$3:$BV$99)*2+SUMPRODUCT('Instrument List'!$DM$4:$DM$43,'Instrument List'!$Z$4:$Z$43,'Instrument List'!EB4:EB43,'Instrument List'!$DA$4:$DA$43)*2</f>
        <v>0</v>
      </c>
      <c r="O20" s="1057">
        <f>SUMPRODUCT('Valve List'!$AV$3:$AV$99,'Valve List'!CJ3:CJ99,'Valve List'!$BV$3:$BV$99)*2+SUMPRODUCT('Instrument List'!$DM$4:$DM$43,'Instrument List'!$Z$4:$Z$43,'Instrument List'!EC4:EC43,'Instrument List'!$DA$4:$DA$43)*2</f>
        <v>0</v>
      </c>
    </row>
    <row r="21" spans="1:15" x14ac:dyDescent="0.3">
      <c r="A21" s="1056">
        <v>26</v>
      </c>
      <c r="B21" s="522">
        <f t="shared" si="0"/>
        <v>0</v>
      </c>
      <c r="C21" s="522">
        <f>SUMPRODUCT('Valve List'!$AV$3:$AV$99,'Valve List'!BX4:BX100,'Valve List'!$BV$3:$BV$99)*2+SUMPRODUCT('Instrument List'!$DM$4:$DM$43,'Instrument List'!$Z$4:$Z$43,'Instrument List'!DQ5:DQ44,'Instrument List'!$DB$4:$DB$43)*2</f>
        <v>0</v>
      </c>
      <c r="D21" s="523">
        <f>SUMPRODUCT('Valve List'!$AV$3:$AV$99,'Valve List'!BY4:BY100,'Valve List'!$BV$3:$BV$99)*2+SUMPRODUCT('Instrument List'!$DM$4:$DM$43,'Instrument List'!$Z$4:$Z$43,'Instrument List'!DR5:DR44,'Instrument List'!$DB$4:$DB$43)*2</f>
        <v>0</v>
      </c>
      <c r="E21" s="523">
        <f>SUMPRODUCT('Valve List'!$AV$3:$AV$99,'Valve List'!BZ4:BZ100,'Valve List'!$BV$3:$BV$99)*2+SUMPRODUCT('Instrument List'!$DM$4:$DM$43,'Instrument List'!$Z$4:$Z$43,'Instrument List'!DS5:DS44,'Instrument List'!$DB$4:$DB$43)*2</f>
        <v>0</v>
      </c>
      <c r="F21" s="523">
        <f>SUMPRODUCT('Valve List'!$AV$3:$AV$99,'Valve List'!CA4:CA100,'Valve List'!$BV$3:$BV$99)*2+SUMPRODUCT('Instrument List'!$DM$4:$DM$43,'Instrument List'!$Z$4:$Z$43,'Instrument List'!DT5:DT44,'Instrument List'!$DB$4:$DB$43)*2</f>
        <v>0</v>
      </c>
      <c r="G21" s="523">
        <f>SUMPRODUCT('Valve List'!$AV$3:$AV$99,'Valve List'!CB4:CB100,'Valve List'!$BV$3:$BV$99)*2+SUMPRODUCT('Instrument List'!$DM$4:$DM$43,'Instrument List'!$Z$4:$Z$43,'Instrument List'!DU5:DU44,'Instrument List'!$DB$4:$DB$43)*2</f>
        <v>0</v>
      </c>
      <c r="H21" s="523">
        <f>SUMPRODUCT('Valve List'!$AV$3:$AV$99,'Valve List'!CC4:CC100,'Valve List'!$BV$3:$BV$99)*2+SUMPRODUCT('Instrument List'!$DM$4:$DM$43,'Instrument List'!$Z$4:$Z$43,'Instrument List'!DV5:DV44,'Instrument List'!$DB$4:$DB$43)*2</f>
        <v>0</v>
      </c>
      <c r="I21" s="523">
        <f>SUMPRODUCT('Valve List'!$AV$3:$AV$99,'Valve List'!CD4:CD100,'Valve List'!$BV$3:$BV$99)*2+SUMPRODUCT('Instrument List'!$DM$4:$DM$43,'Instrument List'!$Z$4:$Z$43,'Instrument List'!DW5:DW44,'Instrument List'!$DB$4:$DB$43)*2</f>
        <v>0</v>
      </c>
      <c r="J21" s="523">
        <f>SUMPRODUCT('Valve List'!$AV$3:$AV$99,'Valve List'!CE4:CE100,'Valve List'!$BV$3:$BV$99)*2+SUMPRODUCT('Instrument List'!$DM$4:$DM$43,'Instrument List'!$Z$4:$Z$43,'Instrument List'!DX5:DX44,'Instrument List'!$DB$4:$DB$43)*2</f>
        <v>0</v>
      </c>
      <c r="K21" s="523">
        <f>SUMPRODUCT('Valve List'!$AV$3:$AV$99,'Valve List'!CF4:CF100,'Valve List'!$BV$3:$BV$99)*2+SUMPRODUCT('Instrument List'!$DM$4:$DM$43,'Instrument List'!$Z$4:$Z$43,'Instrument List'!DY5:DY44,'Instrument List'!$DB$4:$DB$43)*2</f>
        <v>0</v>
      </c>
      <c r="L21" s="523">
        <f>SUMPRODUCT('Valve List'!$AV$3:$AV$99,'Valve List'!CG4:CG100,'Valve List'!$BV$3:$BV$99)*2+SUMPRODUCT('Instrument List'!$DM$4:$DM$43,'Instrument List'!$Z$4:$Z$43,'Instrument List'!DZ5:DZ44,'Instrument List'!$DB$4:$DB$43)*2</f>
        <v>0</v>
      </c>
      <c r="M21" s="523">
        <f>SUMPRODUCT('Valve List'!$AV$3:$AV$99,'Valve List'!CH4:CH100,'Valve List'!$BV$3:$BV$99)*2+SUMPRODUCT('Instrument List'!$DM$4:$DM$43,'Instrument List'!$Z$4:$Z$43,'Instrument List'!EA5:EA44,'Instrument List'!$DB$4:$DB$43)*2</f>
        <v>0</v>
      </c>
      <c r="N21" s="523">
        <f>SUMPRODUCT('Valve List'!$AV$3:$AV$99,'Valve List'!CI4:CI100,'Valve List'!$BV$3:$BV$99)*2+SUMPRODUCT('Instrument List'!$DM$4:$DM$43,'Instrument List'!$Z$4:$Z$43,'Instrument List'!EB5:EB44,'Instrument List'!$DB$4:$DB$43)*2</f>
        <v>0</v>
      </c>
      <c r="O21" s="1057">
        <f>SUMPRODUCT('Valve List'!$AV$3:$AV$99,'Valve List'!CJ4:CJ100,'Valve List'!$BV$3:$BV$99)*2+SUMPRODUCT('Instrument List'!$DM$4:$DM$43,'Instrument List'!$Z$4:$Z$43,'Instrument List'!EC5:EC44,'Instrument List'!$DB$4:$DB$43)*2</f>
        <v>0</v>
      </c>
    </row>
    <row r="22" spans="1:15" x14ac:dyDescent="0.3">
      <c r="A22" s="1056">
        <v>28</v>
      </c>
      <c r="B22" s="522">
        <f t="shared" si="0"/>
        <v>0</v>
      </c>
      <c r="C22" s="522">
        <f>SUMPRODUCT('Valve List'!$AV$3:$AV$99,'Valve List'!BX5:BX101,'Valve List'!$BV$3:$BV$99)*2+SUMPRODUCT('Instrument List'!$DM$4:$DM$43,'Instrument List'!$Z$4:$Z$43,'Instrument List'!DQ6:DQ45,'Instrument List'!$DC$4:$DC$43)*2</f>
        <v>0</v>
      </c>
      <c r="D22" s="523">
        <f>SUMPRODUCT('Valve List'!$AV$3:$AV$99,'Valve List'!BY5:BY101,'Valve List'!$BV$3:$BV$99)*2+SUMPRODUCT('Instrument List'!$DM$4:$DM$43,'Instrument List'!$Z$4:$Z$43,'Instrument List'!DR6:DR45,'Instrument List'!$DC$4:$DC$43)*2</f>
        <v>0</v>
      </c>
      <c r="E22" s="523">
        <f>SUMPRODUCT('Valve List'!$AV$3:$AV$99,'Valve List'!BZ5:BZ101,'Valve List'!$BV$3:$BV$99)*2+SUMPRODUCT('Instrument List'!$DM$4:$DM$43,'Instrument List'!$Z$4:$Z$43,'Instrument List'!DS6:DS45,'Instrument List'!$DC$4:$DC$43)*2</f>
        <v>0</v>
      </c>
      <c r="F22" s="523">
        <f>SUMPRODUCT('Valve List'!$AV$3:$AV$99,'Valve List'!CA5:CA101,'Valve List'!$BV$3:$BV$99)*2+SUMPRODUCT('Instrument List'!$DM$4:$DM$43,'Instrument List'!$Z$4:$Z$43,'Instrument List'!DT6:DT45,'Instrument List'!$DC$4:$DC$43)*2</f>
        <v>0</v>
      </c>
      <c r="G22" s="523">
        <f>SUMPRODUCT('Valve List'!$AV$3:$AV$99,'Valve List'!CB5:CB101,'Valve List'!$BV$3:$BV$99)*2+SUMPRODUCT('Instrument List'!$DM$4:$DM$43,'Instrument List'!$Z$4:$Z$43,'Instrument List'!DU6:DU45,'Instrument List'!$DC$4:$DC$43)*2</f>
        <v>0</v>
      </c>
      <c r="H22" s="523">
        <f>SUMPRODUCT('Valve List'!$AV$3:$AV$99,'Valve List'!CC5:CC101,'Valve List'!$BV$3:$BV$99)*2+SUMPRODUCT('Instrument List'!$DM$4:$DM$43,'Instrument List'!$Z$4:$Z$43,'Instrument List'!DV6:DV45,'Instrument List'!$DC$4:$DC$43)*2</f>
        <v>0</v>
      </c>
      <c r="I22" s="523">
        <f>SUMPRODUCT('Valve List'!$AV$3:$AV$99,'Valve List'!CD5:CD101,'Valve List'!$BV$3:$BV$99)*2+SUMPRODUCT('Instrument List'!$DM$4:$DM$43,'Instrument List'!$Z$4:$Z$43,'Instrument List'!DW6:DW45,'Instrument List'!$DC$4:$DC$43)*2</f>
        <v>0</v>
      </c>
      <c r="J22" s="523">
        <f>SUMPRODUCT('Valve List'!$AV$3:$AV$99,'Valve List'!CE5:CE101,'Valve List'!$BV$3:$BV$99)*2+SUMPRODUCT('Instrument List'!$DM$4:$DM$43,'Instrument List'!$Z$4:$Z$43,'Instrument List'!DX6:DX45,'Instrument List'!$DC$4:$DC$43)*2</f>
        <v>0</v>
      </c>
      <c r="K22" s="523">
        <f>SUMPRODUCT('Valve List'!$AV$3:$AV$99,'Valve List'!CF5:CF101,'Valve List'!$BV$3:$BV$99)*2+SUMPRODUCT('Instrument List'!$DM$4:$DM$43,'Instrument List'!$Z$4:$Z$43,'Instrument List'!DY6:DY45,'Instrument List'!$DC$4:$DC$43)*2</f>
        <v>0</v>
      </c>
      <c r="L22" s="523">
        <f>SUMPRODUCT('Valve List'!$AV$3:$AV$99,'Valve List'!CG5:CG101,'Valve List'!$BV$3:$BV$99)*2+SUMPRODUCT('Instrument List'!$DM$4:$DM$43,'Instrument List'!$Z$4:$Z$43,'Instrument List'!DZ6:DZ45,'Instrument List'!$DC$4:$DC$43)*2</f>
        <v>0</v>
      </c>
      <c r="M22" s="523">
        <f>SUMPRODUCT('Valve List'!$AV$3:$AV$99,'Valve List'!CH5:CH101,'Valve List'!$BV$3:$BV$99)*2+SUMPRODUCT('Instrument List'!$DM$4:$DM$43,'Instrument List'!$Z$4:$Z$43,'Instrument List'!EA6:EA45,'Instrument List'!$DC$4:$DC$43)*2</f>
        <v>0</v>
      </c>
      <c r="N22" s="523">
        <f>SUMPRODUCT('Valve List'!$AV$3:$AV$99,'Valve List'!CI5:CI101,'Valve List'!$BV$3:$BV$99)*2+SUMPRODUCT('Instrument List'!$DM$4:$DM$43,'Instrument List'!$Z$4:$Z$43,'Instrument List'!EB6:EB45,'Instrument List'!$DC$4:$DC$43)*2</f>
        <v>0</v>
      </c>
      <c r="O22" s="1057">
        <f>SUMPRODUCT('Valve List'!$AV$3:$AV$99,'Valve List'!CJ5:CJ101,'Valve List'!$BV$3:$BV$99)*2+SUMPRODUCT('Instrument List'!$DM$4:$DM$43,'Instrument List'!$Z$4:$Z$43,'Instrument List'!EC6:EC45,'Instrument List'!$DC$4:$DC$43)*2</f>
        <v>0</v>
      </c>
    </row>
    <row r="23" spans="1:15" x14ac:dyDescent="0.3">
      <c r="A23" s="1056">
        <v>30</v>
      </c>
      <c r="B23" s="522">
        <f t="shared" si="0"/>
        <v>0</v>
      </c>
      <c r="C23" s="522">
        <f>SUMPRODUCT('Valve List'!$AV$3:$AV$99,'Valve List'!BX6:BX102,'Valve List'!$BV$3:$BV$99)*2+SUMPRODUCT('Instrument List'!$DM$4:$DM$43,'Instrument List'!$Z$4:$Z$43,'Instrument List'!DQ7:DQ46,'Instrument List'!$DD$4:$DD$43)*2</f>
        <v>0</v>
      </c>
      <c r="D23" s="523">
        <f>SUMPRODUCT('Valve List'!$AV$3:$AV$99,'Valve List'!BY6:BY102,'Valve List'!$BV$3:$BV$99)*2+SUMPRODUCT('Instrument List'!$DM$4:$DM$43,'Instrument List'!$Z$4:$Z$43,'Instrument List'!DR7:DR46,'Instrument List'!$DD$4:$DD$43)*2</f>
        <v>0</v>
      </c>
      <c r="E23" s="523">
        <f>SUMPRODUCT('Valve List'!$AV$3:$AV$99,'Valve List'!BZ6:BZ102,'Valve List'!$BV$3:$BV$99)*2+SUMPRODUCT('Instrument List'!$DM$4:$DM$43,'Instrument List'!$Z$4:$Z$43,'Instrument List'!DS7:DS46,'Instrument List'!$DD$4:$DD$43)*2</f>
        <v>0</v>
      </c>
      <c r="F23" s="523">
        <f>SUMPRODUCT('Valve List'!$AV$3:$AV$99,'Valve List'!CA6:CA102,'Valve List'!$BV$3:$BV$99)*2+SUMPRODUCT('Instrument List'!$DM$4:$DM$43,'Instrument List'!$Z$4:$Z$43,'Instrument List'!DT7:DT46,'Instrument List'!$DD$4:$DD$43)*2</f>
        <v>0</v>
      </c>
      <c r="G23" s="523">
        <f>SUMPRODUCT('Valve List'!$AV$3:$AV$99,'Valve List'!CB6:CB102,'Valve List'!$BV$3:$BV$99)*2+SUMPRODUCT('Instrument List'!$DM$4:$DM$43,'Instrument List'!$Z$4:$Z$43,'Instrument List'!DU7:DU46,'Instrument List'!$DD$4:$DD$43)*2</f>
        <v>0</v>
      </c>
      <c r="H23" s="523">
        <f>SUMPRODUCT('Valve List'!$AV$3:$AV$99,'Valve List'!CC6:CC102,'Valve List'!$BV$3:$BV$99)*2+SUMPRODUCT('Instrument List'!$DM$4:$DM$43,'Instrument List'!$Z$4:$Z$43,'Instrument List'!DV7:DV46,'Instrument List'!$DD$4:$DD$43)*2</f>
        <v>0</v>
      </c>
      <c r="I23" s="523">
        <f>SUMPRODUCT('Valve List'!$AV$3:$AV$99,'Valve List'!CD6:CD102,'Valve List'!$BV$3:$BV$99)*2+SUMPRODUCT('Instrument List'!$DM$4:$DM$43,'Instrument List'!$Z$4:$Z$43,'Instrument List'!DW7:DW46,'Instrument List'!$DD$4:$DD$43)*2</f>
        <v>0</v>
      </c>
      <c r="J23" s="523">
        <f>SUMPRODUCT('Valve List'!$AV$3:$AV$99,'Valve List'!CE6:CE102,'Valve List'!$BV$3:$BV$99)*2+SUMPRODUCT('Instrument List'!$DM$4:$DM$43,'Instrument List'!$Z$4:$Z$43,'Instrument List'!DX7:DX46,'Instrument List'!$DD$4:$DD$43)*2</f>
        <v>0</v>
      </c>
      <c r="K23" s="523">
        <f>SUMPRODUCT('Valve List'!$AV$3:$AV$99,'Valve List'!CF6:CF102,'Valve List'!$BV$3:$BV$99)*2+SUMPRODUCT('Instrument List'!$DM$4:$DM$43,'Instrument List'!$Z$4:$Z$43,'Instrument List'!DY7:DY46,'Instrument List'!$DD$4:$DD$43)*2</f>
        <v>0</v>
      </c>
      <c r="L23" s="523">
        <f>SUMPRODUCT('Valve List'!$AV$3:$AV$99,'Valve List'!CG6:CG102,'Valve List'!$BV$3:$BV$99)*2+SUMPRODUCT('Instrument List'!$DM$4:$DM$43,'Instrument List'!$Z$4:$Z$43,'Instrument List'!DZ7:DZ46,'Instrument List'!$DD$4:$DD$43)*2</f>
        <v>0</v>
      </c>
      <c r="M23" s="523">
        <f>SUMPRODUCT('Valve List'!$AV$3:$AV$99,'Valve List'!CH6:CH102,'Valve List'!$BV$3:$BV$99)*2+SUMPRODUCT('Instrument List'!$DM$4:$DM$43,'Instrument List'!$Z$4:$Z$43,'Instrument List'!EA7:EA46,'Instrument List'!$DD$4:$DD$43)*2</f>
        <v>0</v>
      </c>
      <c r="N23" s="523">
        <f>SUMPRODUCT('Valve List'!$AV$3:$AV$99,'Valve List'!CI6:CI102,'Valve List'!$BV$3:$BV$99)*2+SUMPRODUCT('Instrument List'!$DM$4:$DM$43,'Instrument List'!$Z$4:$Z$43,'Instrument List'!EB7:EB46,'Instrument List'!$DD$4:$DD$43)*2</f>
        <v>0</v>
      </c>
      <c r="O23" s="1057">
        <f>SUMPRODUCT('Valve List'!$AV$3:$AV$99,'Valve List'!CJ6:CJ102,'Valve List'!$BV$3:$BV$99)*2+SUMPRODUCT('Instrument List'!$DM$4:$DM$43,'Instrument List'!$Z$4:$Z$43,'Instrument List'!EC7:EC46,'Instrument List'!$DD$4:$DD$43)*2</f>
        <v>0</v>
      </c>
    </row>
    <row r="24" spans="1:15" x14ac:dyDescent="0.3">
      <c r="A24" s="1056">
        <v>32</v>
      </c>
      <c r="B24" s="522">
        <f t="shared" si="0"/>
        <v>0</v>
      </c>
      <c r="C24" s="522">
        <f>SUMPRODUCT('Valve List'!$AV$3:$AV$99,'Valve List'!BX7:BX103,'Valve List'!$BV$3:$BV$99)*2+SUMPRODUCT('Instrument List'!$DM$4:$DM$43,'Instrument List'!$Z$4:$Z$43,'Instrument List'!DQ8:DQ47,'Instrument List'!$DE$4:$DE$43)*2</f>
        <v>0</v>
      </c>
      <c r="D24" s="523">
        <f>SUMPRODUCT('Valve List'!$AV$3:$AV$99,'Valve List'!BY7:BY103,'Valve List'!$BV$3:$BV$99)*2+SUMPRODUCT('Instrument List'!$DM$4:$DM$43,'Instrument List'!$Z$4:$Z$43,'Instrument List'!DR8:DR47,'Instrument List'!$DE$4:$DE$43)*2</f>
        <v>0</v>
      </c>
      <c r="E24" s="523">
        <f>SUMPRODUCT('Valve List'!$AV$3:$AV$99,'Valve List'!BZ7:BZ103,'Valve List'!$BV$3:$BV$99)*2+SUMPRODUCT('Instrument List'!$DM$4:$DM$43,'Instrument List'!$Z$4:$Z$43,'Instrument List'!DS8:DS47,'Instrument List'!$DE$4:$DE$43)*2</f>
        <v>0</v>
      </c>
      <c r="F24" s="523">
        <f>SUMPRODUCT('Valve List'!$AV$3:$AV$99,'Valve List'!CA7:CA103,'Valve List'!$BV$3:$BV$99)*2+SUMPRODUCT('Instrument List'!$DM$4:$DM$43,'Instrument List'!$Z$4:$Z$43,'Instrument List'!DT8:DT47,'Instrument List'!$DE$4:$DE$43)*2</f>
        <v>0</v>
      </c>
      <c r="G24" s="523">
        <f>SUMPRODUCT('Valve List'!$AV$3:$AV$99,'Valve List'!CB7:CB103,'Valve List'!$BV$3:$BV$99)*2+SUMPRODUCT('Instrument List'!$DM$4:$DM$43,'Instrument List'!$Z$4:$Z$43,'Instrument List'!DU8:DU47,'Instrument List'!$DE$4:$DE$43)*2</f>
        <v>0</v>
      </c>
      <c r="H24" s="523">
        <f>SUMPRODUCT('Valve List'!$AV$3:$AV$99,'Valve List'!CC7:CC103,'Valve List'!$BV$3:$BV$99)*2+SUMPRODUCT('Instrument List'!$DM$4:$DM$43,'Instrument List'!$Z$4:$Z$43,'Instrument List'!DV8:DV47,'Instrument List'!$DE$4:$DE$43)*2</f>
        <v>0</v>
      </c>
      <c r="I24" s="523">
        <f>SUMPRODUCT('Valve List'!$AV$3:$AV$99,'Valve List'!CD7:CD103,'Valve List'!$BV$3:$BV$99)*2+SUMPRODUCT('Instrument List'!$DM$4:$DM$43,'Instrument List'!$Z$4:$Z$43,'Instrument List'!DW8:DW47,'Instrument List'!$DE$4:$DE$43)*2</f>
        <v>0</v>
      </c>
      <c r="J24" s="523">
        <f>SUMPRODUCT('Valve List'!$AV$3:$AV$99,'Valve List'!CE7:CE103,'Valve List'!$BV$3:$BV$99)*2+SUMPRODUCT('Instrument List'!$DM$4:$DM$43,'Instrument List'!$Z$4:$Z$43,'Instrument List'!DX8:DX47,'Instrument List'!$DE$4:$DE$43)*2</f>
        <v>0</v>
      </c>
      <c r="K24" s="523">
        <f>SUMPRODUCT('Valve List'!$AV$3:$AV$99,'Valve List'!CF7:CF103,'Valve List'!$BV$3:$BV$99)*2+SUMPRODUCT('Instrument List'!$DM$4:$DM$43,'Instrument List'!$Z$4:$Z$43,'Instrument List'!DY8:DY47,'Instrument List'!$DE$4:$DE$43)*2</f>
        <v>0</v>
      </c>
      <c r="L24" s="523">
        <f>SUMPRODUCT('Valve List'!$AV$3:$AV$99,'Valve List'!CG7:CG103,'Valve List'!$BV$3:$BV$99)*2+SUMPRODUCT('Instrument List'!$DM$4:$DM$43,'Instrument List'!$Z$4:$Z$43,'Instrument List'!DZ8:DZ47,'Instrument List'!$DE$4:$DE$43)*2</f>
        <v>0</v>
      </c>
      <c r="M24" s="523">
        <f>SUMPRODUCT('Valve List'!$AV$3:$AV$99,'Valve List'!CH7:CH103,'Valve List'!$BV$3:$BV$99)*2+SUMPRODUCT('Instrument List'!$DM$4:$DM$43,'Instrument List'!$Z$4:$Z$43,'Instrument List'!EA8:EA47,'Instrument List'!$DE$4:$DE$43)*2</f>
        <v>0</v>
      </c>
      <c r="N24" s="523">
        <f>SUMPRODUCT('Valve List'!$AV$3:$AV$99,'Valve List'!CI7:CI103,'Valve List'!$BV$3:$BV$99)*2+SUMPRODUCT('Instrument List'!$DM$4:$DM$43,'Instrument List'!$Z$4:$Z$43,'Instrument List'!EB8:EB47,'Instrument List'!$DE$4:$DE$43)*2</f>
        <v>0</v>
      </c>
      <c r="O24" s="1057">
        <f>SUMPRODUCT('Valve List'!$AV$3:$AV$99,'Valve List'!CJ7:CJ103,'Valve List'!$BV$3:$BV$99)*2+SUMPRODUCT('Instrument List'!$DM$4:$DM$43,'Instrument List'!$Z$4:$Z$43,'Instrument List'!EC8:EC47,'Instrument List'!$DE$4:$DE$43)*2</f>
        <v>0</v>
      </c>
    </row>
    <row r="25" spans="1:15" x14ac:dyDescent="0.3">
      <c r="A25" s="1056">
        <v>34</v>
      </c>
      <c r="B25" s="522">
        <f t="shared" si="0"/>
        <v>0</v>
      </c>
      <c r="C25" s="522">
        <f>SUMPRODUCT('Valve List'!$AV$3:$AV$99,'Valve List'!BX8:BX104,'Valve List'!$BV$3:$BV$99)*2+SUMPRODUCT('Instrument List'!$DM$4:$DM$43,'Instrument List'!$Z$4:$Z$43,'Instrument List'!DQ9:DQ48,'Instrument List'!$DF$4:$DF$43)*2</f>
        <v>0</v>
      </c>
      <c r="D25" s="523">
        <f>SUMPRODUCT('Valve List'!$AV$3:$AV$99,'Valve List'!BY8:BY104,'Valve List'!$BV$3:$BV$99)*2+SUMPRODUCT('Instrument List'!$DM$4:$DM$43,'Instrument List'!$Z$4:$Z$43,'Instrument List'!DR9:DR48,'Instrument List'!$DF$4:$DF$43)*2</f>
        <v>0</v>
      </c>
      <c r="E25" s="523">
        <f>SUMPRODUCT('Valve List'!$AV$3:$AV$99,'Valve List'!BZ8:BZ104,'Valve List'!$BV$3:$BV$99)*2+SUMPRODUCT('Instrument List'!$DM$4:$DM$43,'Instrument List'!$Z$4:$Z$43,'Instrument List'!DS9:DS48,'Instrument List'!$DF$4:$DF$43)*2</f>
        <v>0</v>
      </c>
      <c r="F25" s="523">
        <f>SUMPRODUCT('Valve List'!$AV$3:$AV$99,'Valve List'!CA8:CA104,'Valve List'!$BV$3:$BV$99)*2+SUMPRODUCT('Instrument List'!$DM$4:$DM$43,'Instrument List'!$Z$4:$Z$43,'Instrument List'!DT9:DT48,'Instrument List'!$DF$4:$DF$43)*2</f>
        <v>0</v>
      </c>
      <c r="G25" s="523">
        <f>SUMPRODUCT('Valve List'!$AV$3:$AV$99,'Valve List'!CB8:CB104,'Valve List'!$BV$3:$BV$99)*2+SUMPRODUCT('Instrument List'!$DM$4:$DM$43,'Instrument List'!$Z$4:$Z$43,'Instrument List'!DU9:DU48,'Instrument List'!$DF$4:$DF$43)*2</f>
        <v>0</v>
      </c>
      <c r="H25" s="523">
        <f>SUMPRODUCT('Valve List'!$AV$3:$AV$99,'Valve List'!CC8:CC104,'Valve List'!$BV$3:$BV$99)*2+SUMPRODUCT('Instrument List'!$DM$4:$DM$43,'Instrument List'!$Z$4:$Z$43,'Instrument List'!DV9:DV48,'Instrument List'!$DF$4:$DF$43)*2</f>
        <v>0</v>
      </c>
      <c r="I25" s="523">
        <f>SUMPRODUCT('Valve List'!$AV$3:$AV$99,'Valve List'!CD8:CD104,'Valve List'!$BV$3:$BV$99)*2+SUMPRODUCT('Instrument List'!$DM$4:$DM$43,'Instrument List'!$Z$4:$Z$43,'Instrument List'!DW9:DW48,'Instrument List'!$DF$4:$DF$43)*2</f>
        <v>0</v>
      </c>
      <c r="J25" s="523">
        <f>SUMPRODUCT('Valve List'!$AV$3:$AV$99,'Valve List'!CE8:CE104,'Valve List'!$BV$3:$BV$99)*2+SUMPRODUCT('Instrument List'!$DM$4:$DM$43,'Instrument List'!$Z$4:$Z$43,'Instrument List'!DX9:DX48,'Instrument List'!$DF$4:$DF$43)*2</f>
        <v>0</v>
      </c>
      <c r="K25" s="523">
        <f>SUMPRODUCT('Valve List'!$AV$3:$AV$99,'Valve List'!CF8:CF104,'Valve List'!$BV$3:$BV$99)*2+SUMPRODUCT('Instrument List'!$DM$4:$DM$43,'Instrument List'!$Z$4:$Z$43,'Instrument List'!DY9:DY48,'Instrument List'!$DF$4:$DF$43)*2</f>
        <v>0</v>
      </c>
      <c r="L25" s="523">
        <f>SUMPRODUCT('Valve List'!$AV$3:$AV$99,'Valve List'!CG8:CG104,'Valve List'!$BV$3:$BV$99)*2+SUMPRODUCT('Instrument List'!$DM$4:$DM$43,'Instrument List'!$Z$4:$Z$43,'Instrument List'!DZ9:DZ48,'Instrument List'!$DF$4:$DF$43)*2</f>
        <v>0</v>
      </c>
      <c r="M25" s="523">
        <f>SUMPRODUCT('Valve List'!$AV$3:$AV$99,'Valve List'!CH8:CH104,'Valve List'!$BV$3:$BV$99)*2+SUMPRODUCT('Instrument List'!$DM$4:$DM$43,'Instrument List'!$Z$4:$Z$43,'Instrument List'!EA9:EA48,'Instrument List'!$DF$4:$DF$43)*2</f>
        <v>0</v>
      </c>
      <c r="N25" s="523">
        <f>SUMPRODUCT('Valve List'!$AV$3:$AV$99,'Valve List'!CI8:CI104,'Valve List'!$BV$3:$BV$99)*2+SUMPRODUCT('Instrument List'!$DM$4:$DM$43,'Instrument List'!$Z$4:$Z$43,'Instrument List'!EB9:EB48,'Instrument List'!$DF$4:$DF$43)*2</f>
        <v>0</v>
      </c>
      <c r="O25" s="1057">
        <f>SUMPRODUCT('Valve List'!$AV$3:$AV$99,'Valve List'!CJ8:CJ104,'Valve List'!$BV$3:$BV$99)*2+SUMPRODUCT('Instrument List'!$DM$4:$DM$43,'Instrument List'!$Z$4:$Z$43,'Instrument List'!EC9:EC48,'Instrument List'!$DF$4:$DF$43)*2</f>
        <v>0</v>
      </c>
    </row>
    <row r="26" spans="1:15" x14ac:dyDescent="0.3">
      <c r="A26" s="1056">
        <v>36</v>
      </c>
      <c r="B26" s="522">
        <f t="shared" si="0"/>
        <v>0</v>
      </c>
      <c r="C26" s="522">
        <f>SUMPRODUCT('Valve List'!$AV$3:$AV$99,'Valve List'!BX9:BX105,'Valve List'!$BV$3:$BV$99)*2+SUMPRODUCT('Instrument List'!$DM$4:$DM$43,'Instrument List'!$Z$4:$Z$43,'Instrument List'!DQ10:DQ49,'Instrument List'!$DG$4:$DG$43)*2</f>
        <v>0</v>
      </c>
      <c r="D26" s="523">
        <f>SUMPRODUCT('Valve List'!$AV$3:$AV$99,'Valve List'!BY9:BY105,'Valve List'!$BV$3:$BV$99)*2+SUMPRODUCT('Instrument List'!$DM$4:$DM$43,'Instrument List'!$Z$4:$Z$43,'Instrument List'!DR10:DR49,'Instrument List'!$DG$4:$DG$43)*2</f>
        <v>0</v>
      </c>
      <c r="E26" s="523">
        <f>SUMPRODUCT('Valve List'!$AV$3:$AV$99,'Valve List'!BZ9:BZ105,'Valve List'!$BV$3:$BV$99)*2+SUMPRODUCT('Instrument List'!$DM$4:$DM$43,'Instrument List'!$Z$4:$Z$43,'Instrument List'!DS10:DS49,'Instrument List'!$DG$4:$DG$43)*2</f>
        <v>0</v>
      </c>
      <c r="F26" s="523">
        <f>SUMPRODUCT('Valve List'!$AV$3:$AV$99,'Valve List'!CA9:CA105,'Valve List'!$BV$3:$BV$99)*2+SUMPRODUCT('Instrument List'!$DM$4:$DM$43,'Instrument List'!$Z$4:$Z$43,'Instrument List'!DT10:DT49,'Instrument List'!$DG$4:$DG$43)*2</f>
        <v>0</v>
      </c>
      <c r="G26" s="523">
        <f>SUMPRODUCT('Valve List'!$AV$3:$AV$99,'Valve List'!CB9:CB105,'Valve List'!$BV$3:$BV$99)*2+SUMPRODUCT('Instrument List'!$DM$4:$DM$43,'Instrument List'!$Z$4:$Z$43,'Instrument List'!DU10:DU49,'Instrument List'!$DG$4:$DG$43)*2</f>
        <v>0</v>
      </c>
      <c r="H26" s="523">
        <f>SUMPRODUCT('Valve List'!$AV$3:$AV$99,'Valve List'!CC9:CC105,'Valve List'!$BV$3:$BV$99)*2+SUMPRODUCT('Instrument List'!$DM$4:$DM$43,'Instrument List'!$Z$4:$Z$43,'Instrument List'!DV10:DV49,'Instrument List'!$DG$4:$DG$43)*2</f>
        <v>0</v>
      </c>
      <c r="I26" s="523">
        <f>SUMPRODUCT('Valve List'!$AV$3:$AV$99,'Valve List'!CD9:CD105,'Valve List'!$BV$3:$BV$99)*2+SUMPRODUCT('Instrument List'!$DM$4:$DM$43,'Instrument List'!$Z$4:$Z$43,'Instrument List'!DW10:DW49,'Instrument List'!$DG$4:$DG$43)*2</f>
        <v>0</v>
      </c>
      <c r="J26" s="523">
        <f>SUMPRODUCT('Valve List'!$AV$3:$AV$99,'Valve List'!CE9:CE105,'Valve List'!$BV$3:$BV$99)*2+SUMPRODUCT('Instrument List'!$DM$4:$DM$43,'Instrument List'!$Z$4:$Z$43,'Instrument List'!DX10:DX49,'Instrument List'!$DG$4:$DG$43)*2</f>
        <v>0</v>
      </c>
      <c r="K26" s="523">
        <f>SUMPRODUCT('Valve List'!$AV$3:$AV$99,'Valve List'!CF9:CF105,'Valve List'!$BV$3:$BV$99)*2+SUMPRODUCT('Instrument List'!$DM$4:$DM$43,'Instrument List'!$Z$4:$Z$43,'Instrument List'!DY10:DY49,'Instrument List'!$DG$4:$DG$43)*2</f>
        <v>0</v>
      </c>
      <c r="L26" s="523">
        <f>SUMPRODUCT('Valve List'!$AV$3:$AV$99,'Valve List'!CG9:CG105,'Valve List'!$BV$3:$BV$99)*2+SUMPRODUCT('Instrument List'!$DM$4:$DM$43,'Instrument List'!$Z$4:$Z$43,'Instrument List'!DZ10:DZ49,'Instrument List'!$DG$4:$DG$43)*2</f>
        <v>0</v>
      </c>
      <c r="M26" s="523">
        <f>SUMPRODUCT('Valve List'!$AV$3:$AV$99,'Valve List'!CH9:CH105,'Valve List'!$BV$3:$BV$99)*2+SUMPRODUCT('Instrument List'!$DM$4:$DM$43,'Instrument List'!$Z$4:$Z$43,'Instrument List'!EA10:EA49,'Instrument List'!$DG$4:$DG$43)*2</f>
        <v>0</v>
      </c>
      <c r="N26" s="523">
        <f>SUMPRODUCT('Valve List'!$AV$3:$AV$99,'Valve List'!CI9:CI105,'Valve List'!$BV$3:$BV$99)*2+SUMPRODUCT('Instrument List'!$DM$4:$DM$43,'Instrument List'!$Z$4:$Z$43,'Instrument List'!EB10:EB49,'Instrument List'!$DG$4:$DG$43)*2</f>
        <v>0</v>
      </c>
      <c r="O26" s="1057">
        <f>SUMPRODUCT('Valve List'!$AV$3:$AV$99,'Valve List'!CJ9:CJ105,'Valve List'!$BV$3:$BV$99)*2+SUMPRODUCT('Instrument List'!$DM$4:$DM$43,'Instrument List'!$Z$4:$Z$43,'Instrument List'!EC10:EC49,'Instrument List'!$DG$4:$DG$43)*2</f>
        <v>0</v>
      </c>
    </row>
    <row r="27" spans="1:15" x14ac:dyDescent="0.3">
      <c r="A27" s="1056">
        <v>38</v>
      </c>
      <c r="B27" s="522">
        <f t="shared" si="0"/>
        <v>0</v>
      </c>
      <c r="C27" s="522">
        <f>SUMPRODUCT('Valve List'!$AV$3:$AV$99,'Valve List'!BX10:BX106,'Valve List'!$BV$3:$BV$99)*2+SUMPRODUCT('Instrument List'!$DM$4:$DM$43,'Instrument List'!$Z$4:$Z$43,'Instrument List'!DQ11:DQ50,'Instrument List'!$DH$4:$DH$43)*2</f>
        <v>0</v>
      </c>
      <c r="D27" s="523">
        <f>SUMPRODUCT('Valve List'!$AV$3:$AV$99,'Valve List'!BY10:BY106,'Valve List'!$BV$3:$BV$99)*2+SUMPRODUCT('Instrument List'!$DM$4:$DM$43,'Instrument List'!$Z$4:$Z$43,'Instrument List'!DR11:DR50,'Instrument List'!$DH$4:$DH$43)*2</f>
        <v>0</v>
      </c>
      <c r="E27" s="523">
        <f>SUMPRODUCT('Valve List'!$AV$3:$AV$99,'Valve List'!BZ10:BZ106,'Valve List'!$BV$3:$BV$99)*2+SUMPRODUCT('Instrument List'!$DM$4:$DM$43,'Instrument List'!$Z$4:$Z$43,'Instrument List'!DS11:DS50,'Instrument List'!$DH$4:$DH$43)*2</f>
        <v>0</v>
      </c>
      <c r="F27" s="523">
        <f>SUMPRODUCT('Valve List'!$AV$3:$AV$99,'Valve List'!CA10:CA106,'Valve List'!$BV$3:$BV$99)*2+SUMPRODUCT('Instrument List'!$DM$4:$DM$43,'Instrument List'!$Z$4:$Z$43,'Instrument List'!DT11:DT50,'Instrument List'!$DH$4:$DH$43)*2</f>
        <v>0</v>
      </c>
      <c r="G27" s="523">
        <f>SUMPRODUCT('Valve List'!$AV$3:$AV$99,'Valve List'!CB10:CB106,'Valve List'!$BV$3:$BV$99)*2+SUMPRODUCT('Instrument List'!$DM$4:$DM$43,'Instrument List'!$Z$4:$Z$43,'Instrument List'!DU11:DU50,'Instrument List'!$DH$4:$DH$43)*2</f>
        <v>0</v>
      </c>
      <c r="H27" s="523">
        <f>SUMPRODUCT('Valve List'!$AV$3:$AV$99,'Valve List'!CC10:CC106,'Valve List'!$BV$3:$BV$99)*2+SUMPRODUCT('Instrument List'!$DM$4:$DM$43,'Instrument List'!$Z$4:$Z$43,'Instrument List'!DV11:DV50,'Instrument List'!$DH$4:$DH$43)*2</f>
        <v>0</v>
      </c>
      <c r="I27" s="523">
        <f>SUMPRODUCT('Valve List'!$AV$3:$AV$99,'Valve List'!CD10:CD106,'Valve List'!$BV$3:$BV$99)*2+SUMPRODUCT('Instrument List'!$DM$4:$DM$43,'Instrument List'!$Z$4:$Z$43,'Instrument List'!DW11:DW50,'Instrument List'!$DH$4:$DH$43)*2</f>
        <v>0</v>
      </c>
      <c r="J27" s="523">
        <f>SUMPRODUCT('Valve List'!$AV$3:$AV$99,'Valve List'!CE10:CE106,'Valve List'!$BV$3:$BV$99)*2+SUMPRODUCT('Instrument List'!$DM$4:$DM$43,'Instrument List'!$Z$4:$Z$43,'Instrument List'!DX11:DX50,'Instrument List'!$DH$4:$DH$43)*2</f>
        <v>0</v>
      </c>
      <c r="K27" s="523">
        <f>SUMPRODUCT('Valve List'!$AV$3:$AV$99,'Valve List'!CF10:CF106,'Valve List'!$BV$3:$BV$99)*2+SUMPRODUCT('Instrument List'!$DM$4:$DM$43,'Instrument List'!$Z$4:$Z$43,'Instrument List'!DY11:DY50,'Instrument List'!$DH$4:$DH$43)*2</f>
        <v>0</v>
      </c>
      <c r="L27" s="523">
        <f>SUMPRODUCT('Valve List'!$AV$3:$AV$99,'Valve List'!CG10:CG106,'Valve List'!$BV$3:$BV$99)*2+SUMPRODUCT('Instrument List'!$DM$4:$DM$43,'Instrument List'!$Z$4:$Z$43,'Instrument List'!DZ11:DZ50,'Instrument List'!$DH$4:$DH$43)*2</f>
        <v>0</v>
      </c>
      <c r="M27" s="523">
        <f>SUMPRODUCT('Valve List'!$AV$3:$AV$99,'Valve List'!CH10:CH106,'Valve List'!$BV$3:$BV$99)*2+SUMPRODUCT('Instrument List'!$DM$4:$DM$43,'Instrument List'!$Z$4:$Z$43,'Instrument List'!EA11:EA50,'Instrument List'!$DH$4:$DH$43)*2</f>
        <v>0</v>
      </c>
      <c r="N27" s="523">
        <f>SUMPRODUCT('Valve List'!$AV$3:$AV$99,'Valve List'!CI10:CI106,'Valve List'!$BV$3:$BV$99)*2+SUMPRODUCT('Instrument List'!$DM$4:$DM$43,'Instrument List'!$Z$4:$Z$43,'Instrument List'!EB11:EB50,'Instrument List'!$DH$4:$DH$43)*2</f>
        <v>0</v>
      </c>
      <c r="O27" s="1057">
        <f>SUMPRODUCT('Valve List'!$AV$3:$AV$99,'Valve List'!CJ10:CJ106,'Valve List'!$BV$3:$BV$99)*2+SUMPRODUCT('Instrument List'!$DM$4:$DM$43,'Instrument List'!$Z$4:$Z$43,'Instrument List'!EC11:EC50,'Instrument List'!$DH$4:$DH$43)*2</f>
        <v>0</v>
      </c>
    </row>
    <row r="28" spans="1:15" x14ac:dyDescent="0.3">
      <c r="A28" s="1056">
        <v>40</v>
      </c>
      <c r="B28" s="522">
        <f t="shared" si="0"/>
        <v>0</v>
      </c>
      <c r="C28" s="522">
        <f>SUMPRODUCT('Valve List'!$AV$3:$AV$99,'Valve List'!BX11:BX107,'Valve List'!$BV$3:$BV$99)*2+SUMPRODUCT('Instrument List'!$DM$4:$DM$43,'Instrument List'!$Z$4:$Z$43,'Instrument List'!DQ12:DQ51,'Instrument List'!$DH$4:$DH$43)*2</f>
        <v>0</v>
      </c>
      <c r="D28" s="523">
        <f>SUMPRODUCT('Valve List'!$AV$3:$AV$99,'Valve List'!BY11:BY107,'Valve List'!$BV$3:$BV$99)*2+SUMPRODUCT('Instrument List'!$DM$4:$DM$43,'Instrument List'!$Z$4:$Z$43,'Instrument List'!DR12:DR51,'Instrument List'!$DH$4:$DH$43)*2</f>
        <v>0</v>
      </c>
      <c r="E28" s="523">
        <f>SUMPRODUCT('Valve List'!$AV$3:$AV$99,'Valve List'!BZ11:BZ107,'Valve List'!$BV$3:$BV$99)*2+SUMPRODUCT('Instrument List'!$DM$4:$DM$43,'Instrument List'!$Z$4:$Z$43,'Instrument List'!DS12:DS51,'Instrument List'!$DH$4:$DH$43)*2</f>
        <v>0</v>
      </c>
      <c r="F28" s="523">
        <f>SUMPRODUCT('Valve List'!$AV$3:$AV$99,'Valve List'!CA11:CA107,'Valve List'!$BV$3:$BV$99)*2+SUMPRODUCT('Instrument List'!$DM$4:$DM$43,'Instrument List'!$Z$4:$Z$43,'Instrument List'!DT12:DT51,'Instrument List'!$DH$4:$DH$43)*2</f>
        <v>0</v>
      </c>
      <c r="G28" s="523">
        <f>SUMPRODUCT('Valve List'!$AV$3:$AV$99,'Valve List'!CB11:CB107,'Valve List'!$BV$3:$BV$99)*2+SUMPRODUCT('Instrument List'!$DM$4:$DM$43,'Instrument List'!$Z$4:$Z$43,'Instrument List'!DU12:DU51,'Instrument List'!$DH$4:$DH$43)*2</f>
        <v>0</v>
      </c>
      <c r="H28" s="523">
        <f>SUMPRODUCT('Valve List'!$AV$3:$AV$99,'Valve List'!CC11:CC107,'Valve List'!$BV$3:$BV$99)*2+SUMPRODUCT('Instrument List'!$DM$4:$DM$43,'Instrument List'!$Z$4:$Z$43,'Instrument List'!DV12:DV51,'Instrument List'!$DH$4:$DH$43)*2</f>
        <v>0</v>
      </c>
      <c r="I28" s="523">
        <f>SUMPRODUCT('Valve List'!$AV$3:$AV$99,'Valve List'!CD11:CD107,'Valve List'!$BV$3:$BV$99)*2+SUMPRODUCT('Instrument List'!$DM$4:$DM$43,'Instrument List'!$Z$4:$Z$43,'Instrument List'!DW12:DW51,'Instrument List'!$DH$4:$DH$43)*2</f>
        <v>0</v>
      </c>
      <c r="J28" s="523">
        <f>SUMPRODUCT('Valve List'!$AV$3:$AV$99,'Valve List'!CE11:CE107,'Valve List'!$BV$3:$BV$99)*2+SUMPRODUCT('Instrument List'!$DM$4:$DM$43,'Instrument List'!$Z$4:$Z$43,'Instrument List'!DX12:DX51,'Instrument List'!$DH$4:$DH$43)*2</f>
        <v>0</v>
      </c>
      <c r="K28" s="523">
        <f>SUMPRODUCT('Valve List'!$AV$3:$AV$99,'Valve List'!CF11:CF107,'Valve List'!$BV$3:$BV$99)*2+SUMPRODUCT('Instrument List'!$DM$4:$DM$43,'Instrument List'!$Z$4:$Z$43,'Instrument List'!DY12:DY51,'Instrument List'!$DH$4:$DH$43)*2</f>
        <v>0</v>
      </c>
      <c r="L28" s="523">
        <f>SUMPRODUCT('Valve List'!$AV$3:$AV$99,'Valve List'!CG11:CG107,'Valve List'!$BV$3:$BV$99)*2+SUMPRODUCT('Instrument List'!$DM$4:$DM$43,'Instrument List'!$Z$4:$Z$43,'Instrument List'!DZ12:DZ51,'Instrument List'!$DH$4:$DH$43)*2</f>
        <v>0</v>
      </c>
      <c r="M28" s="523">
        <f>SUMPRODUCT('Valve List'!$AV$3:$AV$99,'Valve List'!CH11:CH107,'Valve List'!$BV$3:$BV$99)*2+SUMPRODUCT('Instrument List'!$DM$4:$DM$43,'Instrument List'!$Z$4:$Z$43,'Instrument List'!EA12:EA51,'Instrument List'!$DH$4:$DH$43)*2</f>
        <v>0</v>
      </c>
      <c r="N28" s="523">
        <f>SUMPRODUCT('Valve List'!$AV$3:$AV$99,'Valve List'!CI11:CI107,'Valve List'!$BV$3:$BV$99)*2+SUMPRODUCT('Instrument List'!$DM$4:$DM$43,'Instrument List'!$Z$4:$Z$43,'Instrument List'!EB12:EB51,'Instrument List'!$DH$4:$DH$43)*2</f>
        <v>0</v>
      </c>
      <c r="O28" s="1057">
        <f>SUMPRODUCT('Valve List'!$AV$3:$AV$99,'Valve List'!CJ11:CJ107,'Valve List'!$BV$3:$BV$99)*2+SUMPRODUCT('Instrument List'!$DM$4:$DM$43,'Instrument List'!$Z$4:$Z$43,'Instrument List'!EC12:EC51,'Instrument List'!$DH$4:$DH$43)*2</f>
        <v>0</v>
      </c>
    </row>
    <row r="29" spans="1:15" ht="15" thickBot="1" x14ac:dyDescent="0.35">
      <c r="A29" s="1058">
        <v>42</v>
      </c>
      <c r="B29" s="524">
        <f t="shared" si="0"/>
        <v>0</v>
      </c>
      <c r="C29" s="524">
        <f>SUMPRODUCT('Valve List'!$AV$3:$AV$99,'Valve List'!BX12:BX108,'Valve List'!$BV$3:$BV$99)*2+SUMPRODUCT('Instrument List'!$DM$4:$DM$43,'Instrument List'!$Z$4:$Z$43,'Instrument List'!DQ13:DQ52,'Instrument List'!$DL$4:$DL$43)*2</f>
        <v>0</v>
      </c>
      <c r="D29" s="525">
        <f>SUMPRODUCT('Valve List'!$AV$3:$AV$99,'Valve List'!BY12:BY108,'Valve List'!$BV$3:$BV$99)*2+SUMPRODUCT('Instrument List'!$DM$4:$DM$43,'Instrument List'!$Z$4:$Z$43,'Instrument List'!DR13:DR52,'Instrument List'!$DL$4:$DL$43)*2</f>
        <v>0</v>
      </c>
      <c r="E29" s="525">
        <f>SUMPRODUCT('Valve List'!$AV$3:$AV$99,'Valve List'!BZ12:BZ108,'Valve List'!$BV$3:$BV$99)*2+SUMPRODUCT('Instrument List'!$DM$4:$DM$43,'Instrument List'!$Z$4:$Z$43,'Instrument List'!DS13:DS52,'Instrument List'!$DL$4:$DL$43)*2</f>
        <v>0</v>
      </c>
      <c r="F29" s="525">
        <f>SUMPRODUCT('Valve List'!$AV$3:$AV$99,'Valve List'!CA12:CA108,'Valve List'!$BV$3:$BV$99)*2+SUMPRODUCT('Instrument List'!$DM$4:$DM$43,'Instrument List'!$Z$4:$Z$43,'Instrument List'!DT13:DT52,'Instrument List'!$DL$4:$DL$43)*2</f>
        <v>0</v>
      </c>
      <c r="G29" s="525">
        <f>SUMPRODUCT('Valve List'!$AV$3:$AV$99,'Valve List'!CB12:CB108,'Valve List'!$BV$3:$BV$99)*2+SUMPRODUCT('Instrument List'!$DM$4:$DM$43,'Instrument List'!$Z$4:$Z$43,'Instrument List'!DU13:DU52,'Instrument List'!$DL$4:$DL$43)*2</f>
        <v>0</v>
      </c>
      <c r="H29" s="525">
        <f>SUMPRODUCT('Valve List'!$AV$3:$AV$99,'Valve List'!CC12:CC108,'Valve List'!$BV$3:$BV$99)*2+SUMPRODUCT('Instrument List'!$DM$4:$DM$43,'Instrument List'!$Z$4:$Z$43,'Instrument List'!DV13:DV52,'Instrument List'!$DL$4:$DL$43)*2</f>
        <v>0</v>
      </c>
      <c r="I29" s="525">
        <f>SUMPRODUCT('Valve List'!$AV$3:$AV$99,'Valve List'!CD12:CD108,'Valve List'!$BV$3:$BV$99)*2+SUMPRODUCT('Instrument List'!$DM$4:$DM$43,'Instrument List'!$Z$4:$Z$43,'Instrument List'!DW13:DW52,'Instrument List'!$DL$4:$DL$43)*2</f>
        <v>0</v>
      </c>
      <c r="J29" s="525">
        <f>SUMPRODUCT('Valve List'!$AV$3:$AV$99,'Valve List'!CE12:CE108,'Valve List'!$BV$3:$BV$99)*2+SUMPRODUCT('Instrument List'!$DM$4:$DM$43,'Instrument List'!$Z$4:$Z$43,'Instrument List'!DX13:DX52,'Instrument List'!$DL$4:$DL$43)*2</f>
        <v>0</v>
      </c>
      <c r="K29" s="525">
        <f>SUMPRODUCT('Valve List'!$AV$3:$AV$99,'Valve List'!CF12:CF108,'Valve List'!$BV$3:$BV$99)*2+SUMPRODUCT('Instrument List'!$DM$4:$DM$43,'Instrument List'!$Z$4:$Z$43,'Instrument List'!DY13:DY52,'Instrument List'!$DL$4:$DL$43)*2</f>
        <v>0</v>
      </c>
      <c r="L29" s="525">
        <f>SUMPRODUCT('Valve List'!$AV$3:$AV$99,'Valve List'!CG12:CG108,'Valve List'!$BV$3:$BV$99)*2+SUMPRODUCT('Instrument List'!$DM$4:$DM$43,'Instrument List'!$Z$4:$Z$43,'Instrument List'!DZ13:DZ52,'Instrument List'!$DL$4:$DL$43)*2</f>
        <v>0</v>
      </c>
      <c r="M29" s="525">
        <f>SUMPRODUCT('Valve List'!$AV$3:$AV$99,'Valve List'!CH12:CH108,'Valve List'!$BV$3:$BV$99)*2+SUMPRODUCT('Instrument List'!$DM$4:$DM$43,'Instrument List'!$Z$4:$Z$43,'Instrument List'!EA13:EA52,'Instrument List'!$DL$4:$DL$43)*2</f>
        <v>0</v>
      </c>
      <c r="N29" s="525">
        <f>SUMPRODUCT('Valve List'!$AV$3:$AV$99,'Valve List'!CI12:CI108,'Valve List'!$BV$3:$BV$99)*2+SUMPRODUCT('Instrument List'!$DM$4:$DM$43,'Instrument List'!$Z$4:$Z$43,'Instrument List'!EB13:EB52,'Instrument List'!$DL$4:$DL$43)*2</f>
        <v>0</v>
      </c>
      <c r="O29" s="1059">
        <f>SUMPRODUCT('Valve List'!$AV$3:$AV$99,'Valve List'!CJ12:CJ108,'Valve List'!$BV$3:$BV$99)*2+SUMPRODUCT('Instrument List'!$DM$4:$DM$43,'Instrument List'!$Z$4:$Z$43,'Instrument List'!EC13:EC52,'Instrument List'!$DL$4:$DL$43)*2</f>
        <v>0</v>
      </c>
    </row>
  </sheetData>
  <sheetProtection algorithmName="SHA-512" hashValue="Zi0wqIdMMSQ7p1PcznkfeTxO2SOoaSrdgjhvixHhtJPiAC97ozz75Z9Fqzmt/OXStKETvj9yk24wFjUVhBfHnw==" saltValue="waWDoZNcvH/sJq0Xw9UfiA==" spinCount="100000" sheet="1" objects="1" scenarios="1"/>
  <conditionalFormatting sqref="A1:O29">
    <cfRule type="cellIs" dxfId="293" priority="1" operator="equal">
      <formula>0</formula>
    </cfRule>
  </conditionalFormatting>
  <pageMargins left="0.70866141732283472" right="0.70866141732283472" top="0.74803149606299213" bottom="0.74803149606299213" header="0.31496062992125984" footer="0.31496062992125984"/>
  <pageSetup scale="67" fitToHeight="0" orientation="portrait" r:id="rId1"/>
  <headerFooter>
    <oddHeader>&amp;LMCE Vers. 1.0&amp;C&amp;F&amp;R&amp;"Calibri,Normale"&amp;8 Document classified as: 2 - Company Confidential&amp;1#</oddHeader>
    <oddFooter>&amp;C&amp;A - &amp;P&amp;R&amp;D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oglio8">
    <tabColor theme="4" tint="-0.249977111117893"/>
    <pageSetUpPr fitToPage="1"/>
  </sheetPr>
  <dimension ref="A1:GD139"/>
  <sheetViews>
    <sheetView zoomScale="70" zoomScaleNormal="70" workbookViewId="0">
      <selection activeCell="I22" sqref="I22"/>
    </sheetView>
  </sheetViews>
  <sheetFormatPr defaultColWidth="9.21875" defaultRowHeight="14.4" x14ac:dyDescent="0.3"/>
  <cols>
    <col min="1" max="1" width="9.21875" style="958" bestFit="1" customWidth="1"/>
    <col min="2" max="2" width="12" style="958" customWidth="1"/>
    <col min="3" max="3" width="17.77734375" style="958" customWidth="1"/>
    <col min="4" max="4" width="10.44140625" style="958" customWidth="1"/>
    <col min="5" max="5" width="33.77734375" style="958" customWidth="1"/>
    <col min="6" max="6" width="11.21875" style="960" customWidth="1"/>
    <col min="7" max="7" width="11.21875" style="958" customWidth="1"/>
    <col min="8" max="8" width="11.21875" style="958" bestFit="1" customWidth="1"/>
    <col min="9" max="9" width="11.77734375" style="958" customWidth="1"/>
    <col min="10" max="14" width="8.77734375" style="958" customWidth="1"/>
    <col min="15" max="15" width="15.5546875" style="958" customWidth="1"/>
    <col min="16" max="16" width="13.44140625" style="958" customWidth="1"/>
    <col min="17" max="17" width="21.44140625" style="958" customWidth="1"/>
    <col min="18" max="18" width="9.21875" style="958" bestFit="1" customWidth="1"/>
    <col min="19" max="19" width="9.21875" style="958"/>
    <col min="20" max="20" width="11" style="958" customWidth="1"/>
    <col min="21" max="21" width="13.5546875" style="958" customWidth="1"/>
    <col min="22" max="22" width="11" style="1002" customWidth="1"/>
    <col min="23" max="23" width="15.5546875" style="1002" customWidth="1"/>
    <col min="24" max="24" width="3.77734375" style="958" customWidth="1"/>
    <col min="25" max="25" width="16" style="958" customWidth="1"/>
    <col min="26" max="30" width="13.5546875" style="958" customWidth="1"/>
    <col min="31" max="33" width="9.44140625" style="958" customWidth="1"/>
    <col min="34" max="39" width="9.21875" style="958" bestFit="1" customWidth="1"/>
    <col min="40" max="40" width="9.44140625" style="958" customWidth="1"/>
    <col min="41" max="43" width="11.21875" style="958" customWidth="1"/>
    <col min="44" max="44" width="29.21875" style="958" customWidth="1"/>
    <col min="45" max="45" width="9.21875" style="958" customWidth="1"/>
    <col min="46" max="46" width="9.21875" style="958" bestFit="1" customWidth="1"/>
    <col min="47" max="47" width="28" style="958" customWidth="1"/>
    <col min="48" max="48" width="12.77734375" style="958" customWidth="1"/>
    <col min="49" max="51" width="10.21875" style="958" customWidth="1"/>
    <col min="52" max="53" width="9.77734375" style="958" customWidth="1"/>
    <col min="54" max="54" width="9.5546875" style="958" customWidth="1"/>
    <col min="55" max="55" width="10.77734375" style="958" customWidth="1"/>
    <col min="56" max="56" width="9.5546875" style="958" customWidth="1"/>
    <col min="57" max="57" width="10.77734375" style="958" customWidth="1"/>
    <col min="58" max="61" width="9.5546875" style="958" customWidth="1"/>
    <col min="62" max="78" width="10.5546875" style="958" customWidth="1"/>
    <col min="79" max="79" width="9.21875" style="958" customWidth="1"/>
    <col min="80" max="81" width="9.77734375" style="958" customWidth="1"/>
    <col min="82" max="82" width="9.5546875" style="958" customWidth="1"/>
    <col min="83" max="83" width="10.77734375" style="958" customWidth="1"/>
    <col min="84" max="84" width="9.5546875" style="958" customWidth="1"/>
    <col min="85" max="85" width="10.77734375" style="958" customWidth="1"/>
    <col min="86" max="89" width="9.5546875" style="958" customWidth="1"/>
    <col min="90" max="106" width="10.5546875" style="958" customWidth="1"/>
    <col min="107" max="107" width="9.21875" style="958" customWidth="1"/>
    <col min="108" max="108" width="11.77734375" style="958" customWidth="1"/>
    <col min="109" max="118" width="9.21875" style="958" customWidth="1"/>
    <col min="119" max="121" width="10.5546875" style="958" customWidth="1"/>
    <col min="122" max="122" width="9.21875" style="958" customWidth="1"/>
    <col min="123" max="124" width="10.5546875" style="958" customWidth="1"/>
    <col min="125" max="125" width="9.21875" style="958" customWidth="1"/>
    <col min="126" max="126" width="10.5546875" style="958" customWidth="1"/>
    <col min="127" max="130" width="11.5546875" style="958" customWidth="1"/>
    <col min="131" max="138" width="9.21875" style="958" customWidth="1"/>
    <col min="139" max="139" width="10.5546875" style="958" customWidth="1"/>
    <col min="140" max="140" width="9.21875" style="958" customWidth="1"/>
    <col min="141" max="143" width="11.5546875" style="958" customWidth="1"/>
    <col min="144" max="162" width="9.21875" style="958" customWidth="1"/>
    <col min="163" max="16384" width="9.21875" style="958"/>
  </cols>
  <sheetData>
    <row r="1" spans="1:186" ht="21" thickBot="1" x14ac:dyDescent="0.35">
      <c r="A1" s="1767" t="s">
        <v>366</v>
      </c>
      <c r="B1" s="1769" t="s">
        <v>334</v>
      </c>
      <c r="C1" s="1769" t="s">
        <v>335</v>
      </c>
      <c r="D1" s="1769" t="s">
        <v>58</v>
      </c>
      <c r="E1" s="1769" t="s">
        <v>175</v>
      </c>
      <c r="F1" s="1773" t="s">
        <v>81</v>
      </c>
      <c r="G1" s="1769" t="s">
        <v>82</v>
      </c>
      <c r="H1" s="1769" t="s">
        <v>86</v>
      </c>
      <c r="I1" s="1420" t="s">
        <v>1867</v>
      </c>
      <c r="J1" s="1420" t="s">
        <v>1868</v>
      </c>
      <c r="K1" s="1771" t="s">
        <v>1869</v>
      </c>
      <c r="L1" s="1772"/>
      <c r="M1" s="1771" t="s">
        <v>1870</v>
      </c>
      <c r="N1" s="1772"/>
      <c r="O1" s="1769" t="s">
        <v>87</v>
      </c>
      <c r="P1" s="1769" t="s">
        <v>88</v>
      </c>
      <c r="Q1" s="1775" t="s">
        <v>1871</v>
      </c>
      <c r="R1" s="1775" t="s">
        <v>292</v>
      </c>
      <c r="S1" s="1775" t="s">
        <v>1872</v>
      </c>
      <c r="T1" s="1420" t="s">
        <v>184</v>
      </c>
      <c r="U1" s="949" t="s">
        <v>313</v>
      </c>
      <c r="V1" s="1421" t="s">
        <v>1873</v>
      </c>
      <c r="W1" s="1421" t="s">
        <v>1874</v>
      </c>
      <c r="X1" s="998"/>
      <c r="Y1" s="1775" t="s">
        <v>104</v>
      </c>
      <c r="Z1" s="949" t="s">
        <v>188</v>
      </c>
      <c r="AA1" s="949" t="s">
        <v>327</v>
      </c>
      <c r="AB1" s="949" t="s">
        <v>1875</v>
      </c>
      <c r="AC1" s="949" t="s">
        <v>1876</v>
      </c>
      <c r="AD1" s="949" t="s">
        <v>1877</v>
      </c>
      <c r="AE1" s="950" t="s">
        <v>1878</v>
      </c>
      <c r="AF1" s="951" t="s">
        <v>1879</v>
      </c>
      <c r="AG1" s="952" t="s">
        <v>955</v>
      </c>
      <c r="AH1" s="950" t="s">
        <v>89</v>
      </c>
      <c r="AI1" s="951" t="s">
        <v>90</v>
      </c>
      <c r="AJ1" s="951" t="s">
        <v>91</v>
      </c>
      <c r="AK1" s="951" t="s">
        <v>92</v>
      </c>
      <c r="AL1" s="951" t="s">
        <v>1880</v>
      </c>
      <c r="AM1" s="953" t="s">
        <v>1881</v>
      </c>
      <c r="AN1" s="954" t="s">
        <v>1882</v>
      </c>
      <c r="AO1" s="955" t="s">
        <v>1883</v>
      </c>
      <c r="AP1" s="955" t="s">
        <v>1884</v>
      </c>
      <c r="AQ1" s="951" t="s">
        <v>1885</v>
      </c>
      <c r="AR1" s="1769" t="s">
        <v>74</v>
      </c>
      <c r="AS1" s="1422" t="s">
        <v>1886</v>
      </c>
      <c r="AT1" s="951" t="s">
        <v>1887</v>
      </c>
      <c r="AU1" s="1769" t="s">
        <v>1888</v>
      </c>
      <c r="AV1" s="951" t="s">
        <v>184</v>
      </c>
      <c r="AW1" s="951" t="s">
        <v>184</v>
      </c>
      <c r="AX1" s="951" t="s">
        <v>313</v>
      </c>
      <c r="AY1" s="956"/>
      <c r="AZ1" s="957"/>
      <c r="BA1" s="957"/>
      <c r="BB1" s="957"/>
      <c r="BC1" s="957"/>
      <c r="BD1" s="957"/>
      <c r="BE1" s="957"/>
      <c r="BF1" s="957"/>
      <c r="BG1" s="957"/>
      <c r="BH1" s="957"/>
      <c r="BI1" s="957"/>
      <c r="BJ1" s="957"/>
      <c r="BK1" s="957"/>
      <c r="BL1" s="957"/>
      <c r="BM1" s="957"/>
      <c r="BN1" s="957"/>
      <c r="BO1" s="957"/>
      <c r="BP1" s="957"/>
      <c r="BQ1" s="957"/>
      <c r="BR1" s="957"/>
      <c r="BS1" s="957"/>
      <c r="BT1" s="957"/>
      <c r="BU1" s="957"/>
      <c r="BV1" s="957"/>
      <c r="BW1" s="957"/>
      <c r="BX1" s="957"/>
      <c r="BY1" s="957"/>
      <c r="BZ1" s="957"/>
      <c r="CB1" s="957"/>
      <c r="CC1" s="957"/>
      <c r="CD1" s="957"/>
      <c r="CE1" s="957"/>
      <c r="CF1" s="957"/>
      <c r="CG1" s="957"/>
      <c r="CH1" s="957"/>
      <c r="CI1" s="957"/>
      <c r="CJ1" s="957"/>
      <c r="CK1" s="957"/>
      <c r="CL1" s="957"/>
      <c r="CM1" s="957"/>
      <c r="CN1" s="957"/>
      <c r="CO1" s="957"/>
      <c r="CP1" s="957"/>
      <c r="CQ1" s="957"/>
      <c r="CR1" s="957"/>
      <c r="CS1" s="957"/>
      <c r="CT1" s="957"/>
      <c r="CU1" s="957"/>
      <c r="CV1" s="957"/>
      <c r="CW1" s="957"/>
      <c r="CX1" s="957"/>
      <c r="CY1" s="957"/>
      <c r="CZ1" s="957"/>
      <c r="DA1" s="957"/>
      <c r="DB1" s="957"/>
      <c r="DC1" s="957"/>
      <c r="DD1" s="957"/>
      <c r="DE1" s="957"/>
      <c r="DF1" s="957"/>
      <c r="DG1" s="957"/>
      <c r="DH1" s="957"/>
      <c r="FB1"/>
      <c r="FC1"/>
      <c r="FD1"/>
      <c r="FE1"/>
      <c r="FF1"/>
      <c r="FH1"/>
      <c r="FI1"/>
      <c r="FJ1"/>
      <c r="FK1"/>
      <c r="FL1"/>
      <c r="FM1"/>
      <c r="FN1"/>
      <c r="FO1"/>
      <c r="FP1"/>
      <c r="FQ1"/>
      <c r="FR1"/>
      <c r="FS1"/>
      <c r="FT1"/>
      <c r="FV1"/>
      <c r="FW1"/>
      <c r="FX1"/>
      <c r="FY1"/>
      <c r="FZ1"/>
      <c r="GA1"/>
      <c r="GB1"/>
      <c r="GC1"/>
      <c r="GD1"/>
    </row>
    <row r="2" spans="1:186" ht="43.8" thickBot="1" x14ac:dyDescent="0.35">
      <c r="A2" s="1768"/>
      <c r="B2" s="1770"/>
      <c r="C2" s="1770"/>
      <c r="D2" s="1770"/>
      <c r="E2" s="1770"/>
      <c r="F2" s="1774"/>
      <c r="G2" s="1770"/>
      <c r="H2" s="1770"/>
      <c r="I2" s="1531" t="s">
        <v>1889</v>
      </c>
      <c r="J2" s="1531" t="s">
        <v>1889</v>
      </c>
      <c r="K2" s="1532" t="s">
        <v>93</v>
      </c>
      <c r="L2" s="1533" t="s">
        <v>1145</v>
      </c>
      <c r="M2" s="1532" t="s">
        <v>93</v>
      </c>
      <c r="N2" s="1533" t="s">
        <v>1145</v>
      </c>
      <c r="O2" s="1770"/>
      <c r="P2" s="1770"/>
      <c r="Q2" s="1776"/>
      <c r="R2" s="1776"/>
      <c r="S2" s="1776"/>
      <c r="T2" s="1534" t="s">
        <v>1890</v>
      </c>
      <c r="U2" s="1535" t="s">
        <v>222</v>
      </c>
      <c r="V2" s="1536" t="s">
        <v>1068</v>
      </c>
      <c r="W2" s="1536" t="s">
        <v>375</v>
      </c>
      <c r="X2" s="999"/>
      <c r="Y2" s="1776"/>
      <c r="Z2" s="1535" t="s">
        <v>1891</v>
      </c>
      <c r="AA2" s="1535" t="s">
        <v>228</v>
      </c>
      <c r="AB2" s="1535" t="s">
        <v>93</v>
      </c>
      <c r="AC2" s="1535" t="s">
        <v>1891</v>
      </c>
      <c r="AD2" s="1535" t="s">
        <v>228</v>
      </c>
      <c r="AE2" s="1184">
        <v>0.8</v>
      </c>
      <c r="AF2" s="1185">
        <v>0.8</v>
      </c>
      <c r="AG2" s="1537" t="s">
        <v>388</v>
      </c>
      <c r="AH2" s="1538" t="s">
        <v>95</v>
      </c>
      <c r="AI2" s="1531" t="s">
        <v>95</v>
      </c>
      <c r="AJ2" s="1531" t="s">
        <v>95</v>
      </c>
      <c r="AK2" s="1531" t="s">
        <v>95</v>
      </c>
      <c r="AL2" s="1531" t="s">
        <v>95</v>
      </c>
      <c r="AM2" s="1539" t="s">
        <v>95</v>
      </c>
      <c r="AN2" s="1186" t="s">
        <v>222</v>
      </c>
      <c r="AO2" s="1540" t="s">
        <v>1892</v>
      </c>
      <c r="AP2" s="1531" t="s">
        <v>301</v>
      </c>
      <c r="AQ2" s="1531" t="s">
        <v>301</v>
      </c>
      <c r="AR2" s="1770"/>
      <c r="AS2" s="1187" t="s">
        <v>1690</v>
      </c>
      <c r="AT2" s="1531" t="s">
        <v>93</v>
      </c>
      <c r="AU2" s="1770"/>
      <c r="AV2" s="1541" t="s">
        <v>1893</v>
      </c>
      <c r="AW2" s="1541" t="s">
        <v>1894</v>
      </c>
      <c r="AX2" s="1541" t="s">
        <v>222</v>
      </c>
      <c r="AY2" s="956"/>
      <c r="AZ2" s="1542">
        <v>0.5</v>
      </c>
      <c r="BA2" s="1542">
        <v>0.75</v>
      </c>
      <c r="BB2" s="1542">
        <v>1</v>
      </c>
      <c r="BC2" s="1542">
        <v>1.5</v>
      </c>
      <c r="BD2" s="1542">
        <v>2</v>
      </c>
      <c r="BE2" s="1542">
        <v>2.5</v>
      </c>
      <c r="BF2" s="1542">
        <v>3</v>
      </c>
      <c r="BG2" s="1542">
        <v>4</v>
      </c>
      <c r="BH2" s="1542">
        <v>6</v>
      </c>
      <c r="BI2" s="1542">
        <v>8</v>
      </c>
      <c r="BJ2" s="1542">
        <v>10</v>
      </c>
      <c r="BK2" s="1542">
        <v>12</v>
      </c>
      <c r="BL2" s="1542">
        <v>14</v>
      </c>
      <c r="BM2" s="1542">
        <v>16</v>
      </c>
      <c r="BN2" s="1542">
        <v>18</v>
      </c>
      <c r="BO2" s="1542">
        <v>20</v>
      </c>
      <c r="BP2" s="1542">
        <v>22</v>
      </c>
      <c r="BQ2" s="1542">
        <v>24</v>
      </c>
      <c r="BR2" s="1542">
        <v>26</v>
      </c>
      <c r="BS2" s="1542">
        <v>28</v>
      </c>
      <c r="BT2" s="1542">
        <v>30</v>
      </c>
      <c r="BU2" s="1542">
        <v>32</v>
      </c>
      <c r="BV2" s="1542">
        <v>34</v>
      </c>
      <c r="BW2" s="1542">
        <v>36</v>
      </c>
      <c r="BX2" s="1542">
        <v>38</v>
      </c>
      <c r="BY2" s="1542">
        <v>40</v>
      </c>
      <c r="BZ2" s="1542">
        <v>42</v>
      </c>
      <c r="CB2" s="1542">
        <v>0.5</v>
      </c>
      <c r="CC2" s="1542">
        <v>0.75</v>
      </c>
      <c r="CD2" s="1542">
        <v>1</v>
      </c>
      <c r="CE2" s="1542">
        <v>1.5</v>
      </c>
      <c r="CF2" s="1542">
        <v>2</v>
      </c>
      <c r="CG2" s="1542">
        <v>2.5</v>
      </c>
      <c r="CH2" s="1542">
        <v>3</v>
      </c>
      <c r="CI2" s="1542">
        <v>4</v>
      </c>
      <c r="CJ2" s="1542">
        <v>6</v>
      </c>
      <c r="CK2" s="1542">
        <v>8</v>
      </c>
      <c r="CL2" s="1542">
        <v>10</v>
      </c>
      <c r="CM2" s="1542">
        <v>12</v>
      </c>
      <c r="CN2" s="1542">
        <v>14</v>
      </c>
      <c r="CO2" s="1542">
        <v>16</v>
      </c>
      <c r="CP2" s="1542">
        <v>18</v>
      </c>
      <c r="CQ2" s="1542">
        <v>20</v>
      </c>
      <c r="CR2" s="1542">
        <v>22</v>
      </c>
      <c r="CS2" s="1542">
        <v>24</v>
      </c>
      <c r="CT2" s="1542">
        <v>26</v>
      </c>
      <c r="CU2" s="1542">
        <v>28</v>
      </c>
      <c r="CV2" s="1542">
        <v>30</v>
      </c>
      <c r="CW2" s="1542">
        <v>32</v>
      </c>
      <c r="CX2" s="1542">
        <v>34</v>
      </c>
      <c r="CY2" s="1542">
        <v>36</v>
      </c>
      <c r="CZ2" s="1542">
        <v>38</v>
      </c>
      <c r="DA2" s="1542">
        <v>40</v>
      </c>
      <c r="DB2" s="1542">
        <v>42</v>
      </c>
      <c r="DC2" s="959"/>
      <c r="DD2" s="1542" t="s">
        <v>1895</v>
      </c>
      <c r="DE2" s="1542" t="s">
        <v>1896</v>
      </c>
      <c r="DF2" s="1542" t="s">
        <v>1897</v>
      </c>
      <c r="DG2" s="1542" t="s">
        <v>1898</v>
      </c>
      <c r="DH2" s="959"/>
      <c r="DI2" s="1542" t="s">
        <v>99</v>
      </c>
      <c r="DJ2" s="1542" t="s">
        <v>1899</v>
      </c>
      <c r="DK2" s="1542" t="s">
        <v>102</v>
      </c>
      <c r="DL2" s="1542" t="s">
        <v>1900</v>
      </c>
      <c r="DM2" s="1542" t="s">
        <v>1901</v>
      </c>
      <c r="DO2" s="1542">
        <f>'Thickness Tab'!D1</f>
        <v>10</v>
      </c>
      <c r="DP2" s="1542">
        <f>'Thickness Tab'!E1</f>
        <v>20</v>
      </c>
      <c r="DQ2" s="1542">
        <f>'Thickness Tab'!F1</f>
        <v>30</v>
      </c>
      <c r="DR2" s="1542" t="str">
        <f>'Thickness Tab'!G1</f>
        <v>STD</v>
      </c>
      <c r="DS2" s="1542">
        <f>'Thickness Tab'!H1</f>
        <v>40</v>
      </c>
      <c r="DT2" s="1542">
        <f>'Thickness Tab'!I1</f>
        <v>60</v>
      </c>
      <c r="DU2" s="1542" t="str">
        <f>'Thickness Tab'!J1</f>
        <v>XS</v>
      </c>
      <c r="DV2" s="1542">
        <f>'Thickness Tab'!K1</f>
        <v>80</v>
      </c>
      <c r="DW2" s="1542">
        <f>'Thickness Tab'!L1</f>
        <v>100</v>
      </c>
      <c r="DX2" s="1542">
        <f>'Thickness Tab'!M1</f>
        <v>120</v>
      </c>
      <c r="DY2" s="1542">
        <f>'Thickness Tab'!N1</f>
        <v>140</v>
      </c>
      <c r="DZ2" s="1542">
        <f>'Thickness Tab'!O1</f>
        <v>160</v>
      </c>
      <c r="EA2" s="1542" t="str">
        <f>'Thickness Tab'!P1</f>
        <v>XXS</v>
      </c>
      <c r="EB2" s="1542" t="str">
        <f>'Thickness Tab'!Q1</f>
        <v>5S</v>
      </c>
      <c r="EC2" s="1542" t="str">
        <f>'Thickness Tab'!R1</f>
        <v>10S</v>
      </c>
      <c r="ED2" s="1542" t="str">
        <f>'Thickness Tab'!S1</f>
        <v>20S</v>
      </c>
      <c r="EE2" s="1542" t="str">
        <f>'Thickness Tab'!T1</f>
        <v>40S</v>
      </c>
      <c r="EF2" s="1542" t="str">
        <f>'Thickness Tab'!U1</f>
        <v>80S</v>
      </c>
      <c r="EH2" s="1542" t="s">
        <v>1902</v>
      </c>
      <c r="EI2" s="1542">
        <v>60</v>
      </c>
      <c r="EJ2" s="1542" t="s">
        <v>1903</v>
      </c>
      <c r="EK2" s="1542">
        <v>100</v>
      </c>
      <c r="EL2" s="1542">
        <v>120</v>
      </c>
      <c r="EM2" s="1542">
        <v>140</v>
      </c>
      <c r="EN2" s="1542" t="s">
        <v>1904</v>
      </c>
      <c r="EP2" s="1542" t="str">
        <f>List!$BF$2</f>
        <v>Loose</v>
      </c>
      <c r="EQ2" s="1542" t="str">
        <f>List!$BF$3</f>
        <v>SKID 1 MODULO PIANO 1</v>
      </c>
      <c r="ER2" s="1542" t="str">
        <f>List!$BF$4</f>
        <v>SKID 1 MODULO PIANO 2</v>
      </c>
      <c r="ES2" s="1542" t="str">
        <f>List!$BF$5</f>
        <v>SKID 2 MODULO PIANO 1</v>
      </c>
      <c r="ET2" s="1542" t="str">
        <f>List!$BF$6</f>
        <v>X</v>
      </c>
      <c r="EU2" s="1542" t="str">
        <f>List!$BF$7</f>
        <v>X</v>
      </c>
      <c r="EV2" s="1542" t="str">
        <f>List!$BF$8</f>
        <v>X</v>
      </c>
      <c r="EW2" s="1542" t="str">
        <f>List!$BF$9</f>
        <v>X</v>
      </c>
      <c r="EX2" s="1542" t="str">
        <f>List!$BF$10</f>
        <v>X</v>
      </c>
      <c r="EY2" s="1542" t="str">
        <f>List!$BF$11</f>
        <v>X</v>
      </c>
      <c r="EZ2" s="1542" t="str">
        <f>List!$BF$12</f>
        <v>X</v>
      </c>
      <c r="FA2" s="1542" t="str">
        <f>List!$BF$13</f>
        <v>X</v>
      </c>
      <c r="FB2" s="1542" t="str">
        <f>List!$BF$14</f>
        <v>X</v>
      </c>
      <c r="FC2" s="1542" t="str">
        <f>List!$BF$15</f>
        <v>X</v>
      </c>
      <c r="FD2" s="1542" t="str">
        <f>List!$BF$16</f>
        <v>X</v>
      </c>
      <c r="FE2" s="1542" t="str">
        <f>List!$BF$17</f>
        <v>X</v>
      </c>
      <c r="FF2" s="1542" t="s">
        <v>1905</v>
      </c>
      <c r="FH2" s="1542" t="str">
        <f>List!BK2</f>
        <v>Cycle 1</v>
      </c>
      <c r="FI2" s="1542" t="str">
        <f>List!BK3</f>
        <v>Cycle 2</v>
      </c>
      <c r="FJ2" s="1542" t="str">
        <f>List!BK4</f>
        <v>Cycle 3</v>
      </c>
      <c r="FK2" s="1542" t="str">
        <f>List!BK5</f>
        <v>X</v>
      </c>
      <c r="FL2" s="1542" t="str">
        <f>List!BK6</f>
        <v>X</v>
      </c>
      <c r="FM2" s="1542" t="str">
        <f>List!BK7</f>
        <v>X</v>
      </c>
      <c r="FN2" s="1542" t="str">
        <f>List!BK8</f>
        <v>X</v>
      </c>
      <c r="FO2" s="1542" t="str">
        <f>List!BK9</f>
        <v>X</v>
      </c>
      <c r="FP2" s="1542" t="str">
        <f>List!BK10</f>
        <v>X</v>
      </c>
      <c r="FQ2" s="1542" t="str">
        <f>List!BK11</f>
        <v>X</v>
      </c>
      <c r="FR2" s="1542" t="str">
        <f>List!BK12</f>
        <v>X</v>
      </c>
      <c r="FS2" s="1542" t="str">
        <f>List!BK13</f>
        <v>X</v>
      </c>
      <c r="FT2" s="1542" t="str">
        <f>List!BK14</f>
        <v>Insulated</v>
      </c>
      <c r="FV2" s="1542">
        <f>List!BL2</f>
        <v>0</v>
      </c>
      <c r="FW2" s="1542">
        <f>List!BL3</f>
        <v>30</v>
      </c>
      <c r="FX2" s="1542">
        <f>List!BL4</f>
        <v>40</v>
      </c>
      <c r="FY2" s="1542">
        <f>List!BL5</f>
        <v>50</v>
      </c>
      <c r="FZ2" s="1542">
        <f>List!BL6</f>
        <v>60</v>
      </c>
      <c r="GA2" s="1542">
        <f>List!BL7</f>
        <v>70</v>
      </c>
      <c r="GB2" s="1542">
        <f>List!BL8</f>
        <v>80</v>
      </c>
      <c r="GC2" s="1542">
        <f>List!BL9</f>
        <v>90</v>
      </c>
      <c r="GD2" s="1542">
        <f>List!BL10</f>
        <v>100</v>
      </c>
    </row>
    <row r="3" spans="1:186" s="982" customFormat="1" ht="15.6" x14ac:dyDescent="0.3">
      <c r="A3" s="961">
        <v>1</v>
      </c>
      <c r="B3" s="962" t="s">
        <v>1071</v>
      </c>
      <c r="C3" s="963" t="s">
        <v>1906</v>
      </c>
      <c r="D3" s="962" t="s">
        <v>61</v>
      </c>
      <c r="E3" s="964" t="str">
        <f>IFERROR(VLOOKUP($D3&amp;"."&amp;B3,'Piping Class'!$1:$1048576,MATCH($I3,'Piping Class'!$2:$2,0),0),"")</f>
        <v xml:space="preserve">ASTM 106 Gr.B </v>
      </c>
      <c r="F3" s="965" t="str">
        <f>IFERROR(IF(B3="Flange",VLOOKUP($D3,'Piping Class'!$88:$102,MATCH(F$1,'Piping Class'!$88:$88,0),0),""),"")</f>
        <v/>
      </c>
      <c r="G3" s="964" t="str">
        <f>IFERROR(IF(B3="Flange",VLOOKUP($D3,'Piping Class'!$88:$102,MATCH(G$1,'Piping Class'!$88:$88,0),0),""),"")</f>
        <v/>
      </c>
      <c r="H3" s="964" t="str">
        <f>IFERROR(VLOOKUP($D3,'Piping Class'!$88:$102,MATCH(H$1,'Piping Class'!$88:$88,0),0),"")</f>
        <v>CS</v>
      </c>
      <c r="I3" s="966">
        <v>1</v>
      </c>
      <c r="J3" s="967"/>
      <c r="K3" s="964">
        <f>IFERROR(VLOOKUP(I3,'Thickness Tab'!$1:$1048576,MATCH(L3,'Thickness Tab'!$1:$1,0),0),"")</f>
        <v>4.55</v>
      </c>
      <c r="L3" s="972">
        <f>IFERROR(VLOOKUP($D3,'Piping Class'!$1:$1048576,MATCH($I3,'Piping Class'!$2:$2,0),0),"")</f>
        <v>80</v>
      </c>
      <c r="M3" s="964" t="str">
        <f>IFERROR(VLOOKUP(J3,'Thickness Tab'!$1:$1048576,MATCH(N3,'Thickness Tab'!$1:$1,0),0),"")</f>
        <v/>
      </c>
      <c r="N3" s="972" t="str">
        <f>IFERROR(VLOOKUP($D3,'Piping Class'!$1:$1048576,MATCH($J3,'Piping Class'!$2:$2,0),0),"")</f>
        <v/>
      </c>
      <c r="O3" s="964" t="str">
        <f>IFERROR(VLOOKUP($D3,'Piping Class'!$88:$102,MATCH(O$1,'Piping Class'!$88:$88,0),0),"")</f>
        <v>B31.3 / B16.5</v>
      </c>
      <c r="P3" s="964" t="str">
        <f>IFERROR(VLOOKUP($D3,'Piping Class'!$88:$102,MATCH(P$1,'Piping Class'!$88:$88,0),0),"")</f>
        <v>3.1</v>
      </c>
      <c r="Q3" s="962"/>
      <c r="R3" s="971">
        <v>0</v>
      </c>
      <c r="S3" s="972" t="str">
        <f>IF(B3="","",IF(B3="piping","m","cad"))</f>
        <v>m</v>
      </c>
      <c r="T3" s="968">
        <f>IFERROR(VLOOKUP(I3&amp;"."&amp;L3,'Fitting Chart'!$1:$1048576,MATCH(C3,'Fitting Chart'!$1:$1,0),0),0)+IF(B3="piping",PI()*K3*(VLOOKUP(I3,'Thickness Tab'!$1:$1048576,3,0)-K3)*7.86/1000,0)+IF(B3="Flange",VLOOKUP(I3&amp;"F"&amp;F3,'Flanges Chart'!$1:$1048576,MATCH(C3&amp;"."&amp;T$1,'Flanges Chart'!$1:$1,0),0),0)</f>
        <v>3.2413776473290712</v>
      </c>
      <c r="U3" s="989">
        <f t="shared" ref="U3:U35" si="0">T3*R3</f>
        <v>0</v>
      </c>
      <c r="V3" s="1242">
        <v>3</v>
      </c>
      <c r="W3" s="1000">
        <f>V3*U3</f>
        <v>0</v>
      </c>
      <c r="X3" s="1188"/>
      <c r="Y3" s="962" t="s">
        <v>105</v>
      </c>
      <c r="Z3" s="973">
        <f>IF(B3="Piping",VLOOKUP(I3,'Thickness Tab'!$1:$1048576,3,0)/1000*PI(),0)+IFERROR(VLOOKUP(I3&amp;"F"&amp;F3,'Flanges Chart'!$1:$1048576,MATCH(C3&amp;".Unit Surface",'Flanges Chart'!$1:$1,0),0),0)+IF(B3="Fitting",VLOOKUP(I3,'Thickness Tab'!$1:$1048576,3,0)/1000*PI(),0)</f>
        <v>0.10492919462989908</v>
      </c>
      <c r="AA3" s="973">
        <f>Z3*R3</f>
        <v>0</v>
      </c>
      <c r="AB3" s="962">
        <v>50</v>
      </c>
      <c r="AC3" s="973">
        <f>Z3+2*PI()*AB3/1000</f>
        <v>0.41908845998887839</v>
      </c>
      <c r="AD3" s="973">
        <f>AC3*R3</f>
        <v>0</v>
      </c>
      <c r="AE3" s="961">
        <f>(IFERROR(VLOOKUP($C3,List!$J:$L,2,0),0)*R3+IF(B3="piping",R3,0)+IF(C3="Welding Neck",1,0)*R3)*$AE$2</f>
        <v>0</v>
      </c>
      <c r="AF3" s="1189">
        <f>IFERROR(VLOOKUP($C3,List!$J:$L,3,0),0)*R3*$AF$2</f>
        <v>0</v>
      </c>
      <c r="AG3" s="975">
        <f t="shared" ref="AG3:AG34" si="1">AE3*I3+J3*AF3</f>
        <v>0</v>
      </c>
      <c r="AH3" s="1190">
        <f>IFERROR(VLOOKUP($D3,'Piping Class'!$88:$102,MATCH(AH$1,'Piping Class'!$88:$88,0),0),"")</f>
        <v>0.1</v>
      </c>
      <c r="AI3" s="1191">
        <f>IFERROR(VLOOKUP($D3,'Piping Class'!$88:$102,MATCH(AI$1,'Piping Class'!$88:$88,0),0),"")</f>
        <v>0</v>
      </c>
      <c r="AJ3" s="1191">
        <f>IFERROR(VLOOKUP($D3,'Piping Class'!$88:$102,MATCH(AJ$1,'Piping Class'!$88:$88,0),0),"")</f>
        <v>1</v>
      </c>
      <c r="AK3" s="1191">
        <f>IFERROR(VLOOKUP($D3,'Piping Class'!$88:$102,MATCH(AK$1,'Piping Class'!$88:$88,0),0),"")</f>
        <v>0</v>
      </c>
      <c r="AL3" s="1191">
        <f t="shared" ref="AL3:AL12" si="2">IF(H3="SS",1,0)</f>
        <v>0</v>
      </c>
      <c r="AM3" s="1192" t="str">
        <f>IFERROR(VLOOKUP($D3,'Piping Class'!$88:$102,MATCH(AM$1,'Piping Class'!$88:$88,0),0),"")</f>
        <v/>
      </c>
      <c r="AN3" s="976">
        <f>U3*0.18</f>
        <v>0</v>
      </c>
      <c r="AO3" s="977">
        <f>IFERROR(VLOOKUP(I3&amp;"B"&amp;F3,'Bolting Chart'!$1:$1048576,4,0),0)</f>
        <v>0</v>
      </c>
      <c r="AP3" s="977">
        <f>IFERROR(AO3*R3,0)</f>
        <v>0</v>
      </c>
      <c r="AQ3" s="977">
        <f>IF(AO3=0,0,R3)</f>
        <v>0</v>
      </c>
      <c r="AR3" s="977">
        <f>IF(AO3=0,0,VLOOKUP(D3&amp;".bolting",'Piping Class'!$1:$1048576,MATCH(I3,'Piping Class'!$2:$2,0),0))</f>
        <v>0</v>
      </c>
      <c r="AS3" s="978">
        <f>IFERROR(VLOOKUP(I3&amp;"B"&amp;F3,'Bolting Chart'!$1:$1048576,IF(AS$2="UNC",5,6),0),0)</f>
        <v>0</v>
      </c>
      <c r="AT3" s="979">
        <f>IFERROR(VLOOKUP(I3&amp;"B"&amp;F3,'Bolting Chart'!$1:$1048576,IF(G3="RF",8,9),0),0)</f>
        <v>0</v>
      </c>
      <c r="AU3" s="977">
        <f>IF(AO3=0,0,VLOOKUP(D3&amp;".gasket",'Piping Class'!$1:$1048576,MATCH(I3,'Piping Class'!$2:$2,0),0))</f>
        <v>0</v>
      </c>
      <c r="AV3" s="980">
        <f>(IFERROR(INDEX('Bolting Chart'!$A$169:$R$251,MATCH(AT3,'Bolting Chart'!$A$170:$A$251,0),MATCH(IFERROR(VLOOKUP(I3&amp;"B"&amp;F3,'Bolting Chart'!$1:$1048576,7,0),0)+0,'Bolting Chart'!$A$169:$R$169,0)),0))/100</f>
        <v>0</v>
      </c>
      <c r="AW3" s="980">
        <f t="shared" ref="AW3:AW34" si="3">AV3*AO3</f>
        <v>0</v>
      </c>
      <c r="AX3" s="1193">
        <f t="shared" ref="AX3:AX34" si="4">AV3*AP3</f>
        <v>0</v>
      </c>
      <c r="AY3" s="981"/>
      <c r="AZ3" s="1543">
        <f>IF($I3=AZ$2,1,0)</f>
        <v>0</v>
      </c>
      <c r="BA3" s="1543">
        <f t="shared" ref="BA3:BQ17" si="5">IF($I3=BA$2,1,0)</f>
        <v>0</v>
      </c>
      <c r="BB3" s="1543">
        <f t="shared" si="5"/>
        <v>1</v>
      </c>
      <c r="BC3" s="1543">
        <f t="shared" si="5"/>
        <v>0</v>
      </c>
      <c r="BD3" s="1543">
        <f t="shared" si="5"/>
        <v>0</v>
      </c>
      <c r="BE3" s="1543">
        <f t="shared" si="5"/>
        <v>0</v>
      </c>
      <c r="BF3" s="1543">
        <f t="shared" si="5"/>
        <v>0</v>
      </c>
      <c r="BG3" s="1543">
        <f t="shared" si="5"/>
        <v>0</v>
      </c>
      <c r="BH3" s="1543">
        <f t="shared" si="5"/>
        <v>0</v>
      </c>
      <c r="BI3" s="1543">
        <f t="shared" si="5"/>
        <v>0</v>
      </c>
      <c r="BJ3" s="1543">
        <f t="shared" si="5"/>
        <v>0</v>
      </c>
      <c r="BK3" s="1543">
        <f t="shared" si="5"/>
        <v>0</v>
      </c>
      <c r="BL3" s="1543">
        <f t="shared" si="5"/>
        <v>0</v>
      </c>
      <c r="BM3" s="1543">
        <f t="shared" si="5"/>
        <v>0</v>
      </c>
      <c r="BN3" s="1543">
        <f t="shared" si="5"/>
        <v>0</v>
      </c>
      <c r="BO3" s="1543">
        <f t="shared" si="5"/>
        <v>0</v>
      </c>
      <c r="BP3" s="1543">
        <f t="shared" si="5"/>
        <v>0</v>
      </c>
      <c r="BQ3" s="1543">
        <f t="shared" si="5"/>
        <v>0</v>
      </c>
      <c r="BR3" s="1543">
        <f t="shared" ref="BR3:BZ17" si="6">IF($I3=BR$2,1,0)</f>
        <v>0</v>
      </c>
      <c r="BS3" s="1543">
        <f t="shared" si="6"/>
        <v>0</v>
      </c>
      <c r="BT3" s="1543">
        <f t="shared" si="6"/>
        <v>0</v>
      </c>
      <c r="BU3" s="1543">
        <f t="shared" si="6"/>
        <v>0</v>
      </c>
      <c r="BV3" s="1543">
        <f t="shared" si="6"/>
        <v>0</v>
      </c>
      <c r="BW3" s="1543">
        <f t="shared" si="6"/>
        <v>0</v>
      </c>
      <c r="BX3" s="1543">
        <f t="shared" si="6"/>
        <v>0</v>
      </c>
      <c r="BY3" s="1543">
        <f t="shared" si="6"/>
        <v>0</v>
      </c>
      <c r="BZ3" s="1543">
        <f t="shared" si="6"/>
        <v>0</v>
      </c>
      <c r="CB3" s="1543">
        <f>IF($J3=CB$2,1,0)</f>
        <v>0</v>
      </c>
      <c r="CC3" s="1543">
        <f t="shared" ref="CC3:CS17" si="7">IF($J3=CC$2,1,0)</f>
        <v>0</v>
      </c>
      <c r="CD3" s="1543">
        <f t="shared" si="7"/>
        <v>0</v>
      </c>
      <c r="CE3" s="1543">
        <f t="shared" si="7"/>
        <v>0</v>
      </c>
      <c r="CF3" s="1543">
        <f t="shared" si="7"/>
        <v>0</v>
      </c>
      <c r="CG3" s="1543">
        <f t="shared" si="7"/>
        <v>0</v>
      </c>
      <c r="CH3" s="1543">
        <f t="shared" si="7"/>
        <v>0</v>
      </c>
      <c r="CI3" s="1543">
        <f t="shared" si="7"/>
        <v>0</v>
      </c>
      <c r="CJ3" s="1543">
        <f t="shared" si="7"/>
        <v>0</v>
      </c>
      <c r="CK3" s="1543">
        <f t="shared" si="7"/>
        <v>0</v>
      </c>
      <c r="CL3" s="1543">
        <f t="shared" si="7"/>
        <v>0</v>
      </c>
      <c r="CM3" s="1543">
        <f t="shared" si="7"/>
        <v>0</v>
      </c>
      <c r="CN3" s="1543">
        <f t="shared" si="7"/>
        <v>0</v>
      </c>
      <c r="CO3" s="1543">
        <f t="shared" si="7"/>
        <v>0</v>
      </c>
      <c r="CP3" s="1543">
        <f t="shared" si="7"/>
        <v>0</v>
      </c>
      <c r="CQ3" s="1543">
        <f t="shared" si="7"/>
        <v>0</v>
      </c>
      <c r="CR3" s="1543">
        <f t="shared" si="7"/>
        <v>0</v>
      </c>
      <c r="CS3" s="1543">
        <f t="shared" si="7"/>
        <v>0</v>
      </c>
      <c r="CT3" s="1543">
        <f t="shared" ref="CT3:DB18" si="8">IF($I3=CT$2,1,0)</f>
        <v>0</v>
      </c>
      <c r="CU3" s="1543">
        <f t="shared" si="8"/>
        <v>0</v>
      </c>
      <c r="CV3" s="1543">
        <f t="shared" si="8"/>
        <v>0</v>
      </c>
      <c r="CW3" s="1543">
        <f t="shared" si="8"/>
        <v>0</v>
      </c>
      <c r="CX3" s="1543">
        <f t="shared" si="8"/>
        <v>0</v>
      </c>
      <c r="CY3" s="1543">
        <f t="shared" si="8"/>
        <v>0</v>
      </c>
      <c r="CZ3" s="1543">
        <f t="shared" si="8"/>
        <v>0</v>
      </c>
      <c r="DA3" s="1543">
        <f t="shared" si="8"/>
        <v>0</v>
      </c>
      <c r="DB3" s="1543">
        <f t="shared" si="8"/>
        <v>0</v>
      </c>
      <c r="DD3" s="1543">
        <f t="shared" ref="DD3:DD34" si="9">SUM(AZ3:BC3)</f>
        <v>1</v>
      </c>
      <c r="DE3" s="1543">
        <f t="shared" ref="DE3:DE34" si="10">SUM(BD3:BH3)</f>
        <v>0</v>
      </c>
      <c r="DF3" s="1543">
        <f t="shared" ref="DF3:DF34" si="11">SUM(BI3:BL3)</f>
        <v>0</v>
      </c>
      <c r="DG3" s="1543">
        <f>SUM(BM3:BZ3)</f>
        <v>0</v>
      </c>
      <c r="DI3" s="1543">
        <f>IF($H3=DI$2,1,0)+DJ3</f>
        <v>1</v>
      </c>
      <c r="DJ3" s="1543">
        <f t="shared" ref="DJ3:DM18" si="12">IF($H3=DJ$2,1,0)</f>
        <v>0</v>
      </c>
      <c r="DK3" s="1543">
        <f t="shared" si="12"/>
        <v>0</v>
      </c>
      <c r="DL3" s="1543">
        <f t="shared" si="12"/>
        <v>0</v>
      </c>
      <c r="DM3" s="1543">
        <f t="shared" si="12"/>
        <v>0</v>
      </c>
      <c r="DO3" s="1543">
        <f t="shared" ref="DO3:DO35" si="13">IF($L3=DO$2,1,0)</f>
        <v>0</v>
      </c>
      <c r="DP3" s="1543">
        <f t="shared" ref="DP3:EE18" si="14">IF($L3=DP$2,1,0)</f>
        <v>0</v>
      </c>
      <c r="DQ3" s="1543">
        <f t="shared" si="14"/>
        <v>0</v>
      </c>
      <c r="DR3" s="1543">
        <f t="shared" si="14"/>
        <v>0</v>
      </c>
      <c r="DS3" s="1543">
        <f t="shared" si="14"/>
        <v>0</v>
      </c>
      <c r="DT3" s="1543">
        <f t="shared" si="14"/>
        <v>0</v>
      </c>
      <c r="DU3" s="1543">
        <f t="shared" si="14"/>
        <v>0</v>
      </c>
      <c r="DV3" s="1543">
        <f t="shared" si="14"/>
        <v>1</v>
      </c>
      <c r="DW3" s="1543">
        <f t="shared" si="14"/>
        <v>0</v>
      </c>
      <c r="DX3" s="1543">
        <f t="shared" si="14"/>
        <v>0</v>
      </c>
      <c r="DY3" s="1543">
        <f t="shared" si="14"/>
        <v>0</v>
      </c>
      <c r="DZ3" s="1543">
        <f t="shared" si="14"/>
        <v>0</v>
      </c>
      <c r="EA3" s="1543">
        <f t="shared" si="14"/>
        <v>0</v>
      </c>
      <c r="EB3" s="1543">
        <f t="shared" si="14"/>
        <v>0</v>
      </c>
      <c r="EC3" s="1543">
        <f t="shared" si="14"/>
        <v>0</v>
      </c>
      <c r="ED3" s="1543">
        <f t="shared" si="14"/>
        <v>0</v>
      </c>
      <c r="EE3" s="1543">
        <f t="shared" si="14"/>
        <v>0</v>
      </c>
      <c r="EF3" s="1543">
        <f t="shared" ref="EB3:EF18" si="15">IF($L3=EF$2,1,0)</f>
        <v>0</v>
      </c>
      <c r="EH3" s="1543">
        <f>SUM(DO3:DS3,EB3:EE3)</f>
        <v>0</v>
      </c>
      <c r="EI3" s="1543">
        <f>DT3</f>
        <v>0</v>
      </c>
      <c r="EJ3" s="1543">
        <f>SUM(DU3:DV3,EF3)</f>
        <v>1</v>
      </c>
      <c r="EK3" s="1543">
        <f>DW3</f>
        <v>0</v>
      </c>
      <c r="EL3" s="1543">
        <f>DX3</f>
        <v>0</v>
      </c>
      <c r="EM3" s="1543">
        <f>DY3</f>
        <v>0</v>
      </c>
      <c r="EN3" s="1543">
        <f>SUM(DZ3:EA3)</f>
        <v>0</v>
      </c>
      <c r="EP3" s="1543">
        <f t="shared" ref="EP3:ES18" si="16">IF(EP$2="X",0,IF($Q3=EP$2,1,0))</f>
        <v>0</v>
      </c>
      <c r="EQ3" s="1543">
        <f t="shared" si="16"/>
        <v>0</v>
      </c>
      <c r="ER3" s="1543">
        <f t="shared" si="16"/>
        <v>0</v>
      </c>
      <c r="ES3" s="1543">
        <f>IF(ES$2="X",0,IF($Q3=ES$2,1,0))</f>
        <v>0</v>
      </c>
      <c r="ET3" s="1543">
        <f t="shared" ref="ET3:FE18" si="17">IF(ET$2="X",0,IF($Q3=ET$2,1,0))</f>
        <v>0</v>
      </c>
      <c r="EU3" s="1543">
        <f t="shared" si="17"/>
        <v>0</v>
      </c>
      <c r="EV3" s="1543">
        <f t="shared" si="17"/>
        <v>0</v>
      </c>
      <c r="EW3" s="1543">
        <f t="shared" si="17"/>
        <v>0</v>
      </c>
      <c r="EX3" s="1543">
        <f t="shared" si="17"/>
        <v>0</v>
      </c>
      <c r="EY3" s="1543">
        <f t="shared" si="17"/>
        <v>0</v>
      </c>
      <c r="EZ3" s="1543">
        <f t="shared" si="17"/>
        <v>0</v>
      </c>
      <c r="FA3" s="1543">
        <f t="shared" si="17"/>
        <v>0</v>
      </c>
      <c r="FB3" s="1543">
        <f t="shared" si="17"/>
        <v>0</v>
      </c>
      <c r="FC3" s="1543">
        <f t="shared" si="17"/>
        <v>0</v>
      </c>
      <c r="FD3" s="1543">
        <f t="shared" si="17"/>
        <v>0</v>
      </c>
      <c r="FE3" s="1543">
        <f t="shared" si="17"/>
        <v>0</v>
      </c>
      <c r="FF3" s="1543">
        <f>IF(FF$2="X",0,IF($Q3="",1,0))</f>
        <v>1</v>
      </c>
      <c r="FH3" s="1543">
        <f t="shared" ref="FH3:FH19" si="18">IF($FT3=1,0,IF(FH$2=$Y3,1,0))</f>
        <v>0</v>
      </c>
      <c r="FI3" s="1543">
        <f t="shared" ref="FI3:FS18" si="19">IF($FT3=1,0,IF(FI$2=$Y3,1,0))</f>
        <v>0</v>
      </c>
      <c r="FJ3" s="1543">
        <f t="shared" si="19"/>
        <v>0</v>
      </c>
      <c r="FK3" s="1543">
        <f t="shared" si="19"/>
        <v>0</v>
      </c>
      <c r="FL3" s="1543">
        <f t="shared" si="19"/>
        <v>0</v>
      </c>
      <c r="FM3" s="1543">
        <f t="shared" si="19"/>
        <v>0</v>
      </c>
      <c r="FN3" s="1543">
        <f t="shared" si="19"/>
        <v>0</v>
      </c>
      <c r="FO3" s="1543">
        <f t="shared" si="19"/>
        <v>0</v>
      </c>
      <c r="FP3" s="1543">
        <f t="shared" si="19"/>
        <v>0</v>
      </c>
      <c r="FQ3" s="1543">
        <f t="shared" si="19"/>
        <v>0</v>
      </c>
      <c r="FR3" s="1543">
        <f t="shared" si="19"/>
        <v>0</v>
      </c>
      <c r="FS3" s="1543">
        <f t="shared" si="19"/>
        <v>0</v>
      </c>
      <c r="FT3" s="1543">
        <f>IF(FV3=1,0,1)</f>
        <v>1</v>
      </c>
      <c r="FV3" s="1543">
        <f t="shared" ref="FV3:FV19" si="20">IF($AB3=FV$2,1,0)</f>
        <v>0</v>
      </c>
      <c r="FW3" s="1543">
        <f t="shared" ref="FW3:GD18" si="21">IF($AB3=FW$2,1,0)</f>
        <v>0</v>
      </c>
      <c r="FX3" s="1543">
        <f t="shared" si="21"/>
        <v>0</v>
      </c>
      <c r="FY3" s="1543">
        <f t="shared" si="21"/>
        <v>1</v>
      </c>
      <c r="FZ3" s="1543">
        <f t="shared" si="21"/>
        <v>0</v>
      </c>
      <c r="GA3" s="1543">
        <f t="shared" si="21"/>
        <v>0</v>
      </c>
      <c r="GB3" s="1543">
        <f t="shared" si="21"/>
        <v>0</v>
      </c>
      <c r="GC3" s="1543">
        <f t="shared" si="21"/>
        <v>0</v>
      </c>
      <c r="GD3" s="1543">
        <f t="shared" si="21"/>
        <v>0</v>
      </c>
    </row>
    <row r="4" spans="1:186" s="982" customFormat="1" ht="15.6" x14ac:dyDescent="0.3">
      <c r="A4" s="974">
        <v>2</v>
      </c>
      <c r="B4" s="983" t="s">
        <v>1071</v>
      </c>
      <c r="C4" s="984" t="s">
        <v>1906</v>
      </c>
      <c r="D4" s="983" t="s">
        <v>61</v>
      </c>
      <c r="E4" s="968" t="str">
        <f>IFERROR(VLOOKUP($D4&amp;"."&amp;B4,'Piping Class'!$1:$1048576,MATCH($I4,'Piping Class'!$2:$2,0),0),"")</f>
        <v xml:space="preserve">ASTM 106 Gr.B </v>
      </c>
      <c r="F4" s="985" t="str">
        <f>IFERROR(IF(B4="Flange",VLOOKUP($D4,'Piping Class'!$88:$102,MATCH(F$1,'Piping Class'!$88:$88,0),0),""),"")</f>
        <v/>
      </c>
      <c r="G4" s="968" t="str">
        <f>IFERROR(IF(B4="Flange",VLOOKUP($D4,'Piping Class'!$88:$102,MATCH(G$1,'Piping Class'!$88:$88,0),0),""),"")</f>
        <v/>
      </c>
      <c r="H4" s="968" t="str">
        <f>IFERROR(VLOOKUP($D4,'Piping Class'!$88:$102,MATCH(H$1,'Piping Class'!$88:$88,0),0),"")</f>
        <v>CS</v>
      </c>
      <c r="I4" s="986">
        <v>4</v>
      </c>
      <c r="J4" s="987"/>
      <c r="K4" s="968">
        <f>IFERROR(VLOOKUP(I4,'Thickness Tab'!$1:$1048576,MATCH(L4,'Thickness Tab'!$1:$1,0),0),"")</f>
        <v>6.02</v>
      </c>
      <c r="L4" s="969">
        <f>IFERROR(VLOOKUP($D4,'Piping Class'!$1:$1048576,MATCH($I4,'Piping Class'!$2:$2,0),0),"")</f>
        <v>40</v>
      </c>
      <c r="M4" s="968" t="str">
        <f>IFERROR(VLOOKUP(J4,'Thickness Tab'!$1:$1048576,MATCH(N4,'Thickness Tab'!$1:$1,0),0),"")</f>
        <v/>
      </c>
      <c r="N4" s="969" t="str">
        <f>IFERROR(VLOOKUP($D4,'Piping Class'!$1:$1048576,MATCH($J4,'Piping Class'!$2:$2,0),0),"")</f>
        <v/>
      </c>
      <c r="O4" s="968" t="str">
        <f>IFERROR(VLOOKUP($D4,'Piping Class'!$88:$102,MATCH(O$1,'Piping Class'!$88:$88,0),0),"")</f>
        <v>B31.3 / B16.5</v>
      </c>
      <c r="P4" s="968" t="str">
        <f>IFERROR(VLOOKUP($D4,'Piping Class'!$88:$102,MATCH(P$1,'Piping Class'!$88:$88,0),0),"")</f>
        <v>3.1</v>
      </c>
      <c r="Q4" s="983"/>
      <c r="R4" s="988">
        <v>20</v>
      </c>
      <c r="S4" s="969" t="str">
        <f>IF(B4="","",IF(B4="piping","m","cad"))</f>
        <v>m</v>
      </c>
      <c r="T4" s="968">
        <f>IFERROR(VLOOKUP(I4&amp;"."&amp;L4,'Fitting Chart'!$1:$1048576,MATCH(C4,'Fitting Chart'!$1:$1,0),0),0)+IF(B4="piping",PI()*K4*(VLOOKUP(I4,'Thickness Tab'!$1:$1048576,3,0)-K4)*7.86/1000,0)+IF(B4="Flange",VLOOKUP(I4&amp;"F"&amp;F4,'Flanges Chart'!$1:$1048576,MATCH(C4&amp;"."&amp;T$1,'Flanges Chart'!$1:$1,0),0),0)</f>
        <v>16.09597011712577</v>
      </c>
      <c r="U4" s="989">
        <f t="shared" si="0"/>
        <v>321.91940234251541</v>
      </c>
      <c r="V4" s="1003">
        <v>3</v>
      </c>
      <c r="W4" s="1001">
        <f t="shared" ref="W4:W40" si="22">V4*U4</f>
        <v>965.75820702754618</v>
      </c>
      <c r="X4" s="997"/>
      <c r="Y4" s="983" t="s">
        <v>105</v>
      </c>
      <c r="Z4" s="989">
        <f>IF(B4="Piping",VLOOKUP(I4,'Thickness Tab'!$1:$1048576,3,0)/1000*PI(),0)+IFERROR(VLOOKUP(I4&amp;"F"&amp;F4,'Flanges Chart'!$1:$1048576,MATCH(C4&amp;".Unit Surface",'Flanges Chart'!$1:$1,0),0),0)+IF(B4="Fitting",VLOOKUP(I4,'Thickness Tab'!$1:$1048576,3,0)/1000*PI(),0)</f>
        <v>0.35908404030531332</v>
      </c>
      <c r="AA4" s="989">
        <f t="shared" ref="AA4:AA40" si="23">Z4*R4</f>
        <v>7.1816808061062662</v>
      </c>
      <c r="AB4" s="983">
        <v>50</v>
      </c>
      <c r="AC4" s="989">
        <f t="shared" ref="AC4:AC67" si="24">Z4+2*PI()*AB4/1000</f>
        <v>0.67324330566429258</v>
      </c>
      <c r="AD4" s="989">
        <f t="shared" ref="AD4:AD67" si="25">AC4*R4</f>
        <v>13.464866113285851</v>
      </c>
      <c r="AE4" s="974">
        <f>(IFERROR(VLOOKUP($C4,List!$J:$L,2,0),0)*R4+IF(B4="piping",R4,0)+IF(C4="Welding Neck",1,0)*R4)*$AE$2</f>
        <v>16</v>
      </c>
      <c r="AF4" s="970">
        <f>IFERROR(VLOOKUP($C4,List!$J:$L,3,0),0)*R4*$AF$2</f>
        <v>0</v>
      </c>
      <c r="AG4" s="990">
        <f t="shared" si="1"/>
        <v>64</v>
      </c>
      <c r="AH4" s="1118">
        <f>IFERROR(VLOOKUP($D4,'Piping Class'!$88:$102,MATCH(AH$1,'Piping Class'!$88:$88,0),0),"")</f>
        <v>0.1</v>
      </c>
      <c r="AI4" s="991">
        <f>IFERROR(VLOOKUP($D4,'Piping Class'!$88:$102,MATCH(AI$1,'Piping Class'!$88:$88,0),0),"")</f>
        <v>0</v>
      </c>
      <c r="AJ4" s="991">
        <f>IFERROR(VLOOKUP($D4,'Piping Class'!$88:$102,MATCH(AJ$1,'Piping Class'!$88:$88,0),0),"")</f>
        <v>1</v>
      </c>
      <c r="AK4" s="991">
        <f>IFERROR(VLOOKUP($D4,'Piping Class'!$88:$102,MATCH(AK$1,'Piping Class'!$88:$88,0),0),"")</f>
        <v>0</v>
      </c>
      <c r="AL4" s="991">
        <f t="shared" si="2"/>
        <v>0</v>
      </c>
      <c r="AM4" s="1119" t="str">
        <f>IFERROR(VLOOKUP($D4,'Piping Class'!$88:$102,MATCH(AM$1,'Piping Class'!$88:$88,0),0),"")</f>
        <v/>
      </c>
      <c r="AN4" s="992">
        <f t="shared" ref="AN4:AN67" si="26">U4*0.18</f>
        <v>57.945492421652773</v>
      </c>
      <c r="AO4" s="993">
        <f>IFERROR(VLOOKUP(I4&amp;"B"&amp;F4,'Bolting Chart'!$1:$1048576,4,0),0)</f>
        <v>0</v>
      </c>
      <c r="AP4" s="993">
        <f t="shared" ref="AP4:AP40" si="27">IFERROR(AO4*R4,0)</f>
        <v>0</v>
      </c>
      <c r="AQ4" s="993">
        <f t="shared" ref="AQ4:AQ40" si="28">IF(AO4=0,0,R4)</f>
        <v>0</v>
      </c>
      <c r="AR4" s="993">
        <f>IF(AO4=0,0,VLOOKUP(D4&amp;".bolting",'Piping Class'!$1:$1048576,MATCH(I4,'Piping Class'!$2:$2,0),0))</f>
        <v>0</v>
      </c>
      <c r="AS4" s="994">
        <f>IFERROR(VLOOKUP(I4&amp;"B"&amp;F4,'Bolting Chart'!$1:$1048576,IF(AS$2="UNC",5,6),0),0)</f>
        <v>0</v>
      </c>
      <c r="AT4" s="995">
        <f>IFERROR(VLOOKUP(I4&amp;"B"&amp;F4,'Bolting Chart'!$1:$1048576,IF(G4="RF",8,9),0),0)</f>
        <v>0</v>
      </c>
      <c r="AU4" s="993">
        <f>IF(AO4=0,0,VLOOKUP(D4&amp;".gasket",'Piping Class'!$1:$1048576,MATCH(I4,'Piping Class'!$2:$2,0),0))</f>
        <v>0</v>
      </c>
      <c r="AV4" s="996">
        <f>(IFERROR(INDEX('Bolting Chart'!$A$169:$R$251,MATCH(AT4,'Bolting Chart'!$A$170:$A$251,0),MATCH(IFERROR(VLOOKUP(I4&amp;"B"&amp;F4,'Bolting Chart'!$1:$1048576,7,0),0)+0,'Bolting Chart'!$A$169:$R$169,0)),0))/100</f>
        <v>0</v>
      </c>
      <c r="AW4" s="996">
        <f t="shared" si="3"/>
        <v>0</v>
      </c>
      <c r="AX4" s="1194">
        <f t="shared" si="4"/>
        <v>0</v>
      </c>
      <c r="AY4" s="981"/>
      <c r="AZ4" s="1543">
        <f t="shared" ref="AZ4:BO33" si="29">IF($I4=AZ$2,1,0)</f>
        <v>0</v>
      </c>
      <c r="BA4" s="1543">
        <f t="shared" si="5"/>
        <v>0</v>
      </c>
      <c r="BB4" s="1543">
        <f t="shared" si="5"/>
        <v>0</v>
      </c>
      <c r="BC4" s="1543">
        <f t="shared" si="5"/>
        <v>0</v>
      </c>
      <c r="BD4" s="1543">
        <f t="shared" si="5"/>
        <v>0</v>
      </c>
      <c r="BE4" s="1543">
        <f t="shared" si="5"/>
        <v>0</v>
      </c>
      <c r="BF4" s="1543">
        <f t="shared" si="5"/>
        <v>0</v>
      </c>
      <c r="BG4" s="1543">
        <f t="shared" si="5"/>
        <v>1</v>
      </c>
      <c r="BH4" s="1543">
        <f t="shared" si="5"/>
        <v>0</v>
      </c>
      <c r="BI4" s="1543">
        <f t="shared" si="5"/>
        <v>0</v>
      </c>
      <c r="BJ4" s="1543">
        <f t="shared" si="5"/>
        <v>0</v>
      </c>
      <c r="BK4" s="1543">
        <f t="shared" si="5"/>
        <v>0</v>
      </c>
      <c r="BL4" s="1543">
        <f t="shared" si="5"/>
        <v>0</v>
      </c>
      <c r="BM4" s="1543">
        <f t="shared" si="5"/>
        <v>0</v>
      </c>
      <c r="BN4" s="1543">
        <f t="shared" si="5"/>
        <v>0</v>
      </c>
      <c r="BO4" s="1543">
        <f t="shared" si="5"/>
        <v>0</v>
      </c>
      <c r="BP4" s="1543">
        <f t="shared" si="5"/>
        <v>0</v>
      </c>
      <c r="BQ4" s="1543">
        <f t="shared" si="5"/>
        <v>0</v>
      </c>
      <c r="BR4" s="1543">
        <f t="shared" si="6"/>
        <v>0</v>
      </c>
      <c r="BS4" s="1543">
        <f t="shared" si="6"/>
        <v>0</v>
      </c>
      <c r="BT4" s="1543">
        <f t="shared" si="6"/>
        <v>0</v>
      </c>
      <c r="BU4" s="1543">
        <f t="shared" si="6"/>
        <v>0</v>
      </c>
      <c r="BV4" s="1543">
        <f t="shared" si="6"/>
        <v>0</v>
      </c>
      <c r="BW4" s="1543">
        <f t="shared" si="6"/>
        <v>0</v>
      </c>
      <c r="BX4" s="1543">
        <f t="shared" si="6"/>
        <v>0</v>
      </c>
      <c r="BY4" s="1543">
        <f t="shared" si="6"/>
        <v>0</v>
      </c>
      <c r="BZ4" s="1543">
        <f t="shared" si="6"/>
        <v>0</v>
      </c>
      <c r="CB4" s="1543">
        <f t="shared" ref="CB4:CQ33" si="30">IF($J4=CB$2,1,0)</f>
        <v>0</v>
      </c>
      <c r="CC4" s="1543">
        <f t="shared" si="7"/>
        <v>0</v>
      </c>
      <c r="CD4" s="1543">
        <f t="shared" si="7"/>
        <v>0</v>
      </c>
      <c r="CE4" s="1543">
        <f t="shared" si="7"/>
        <v>0</v>
      </c>
      <c r="CF4" s="1543">
        <f t="shared" si="7"/>
        <v>0</v>
      </c>
      <c r="CG4" s="1543">
        <f t="shared" si="7"/>
        <v>0</v>
      </c>
      <c r="CH4" s="1543">
        <f t="shared" si="7"/>
        <v>0</v>
      </c>
      <c r="CI4" s="1543">
        <f t="shared" si="7"/>
        <v>0</v>
      </c>
      <c r="CJ4" s="1543">
        <f t="shared" si="7"/>
        <v>0</v>
      </c>
      <c r="CK4" s="1543">
        <f t="shared" si="7"/>
        <v>0</v>
      </c>
      <c r="CL4" s="1543">
        <f t="shared" si="7"/>
        <v>0</v>
      </c>
      <c r="CM4" s="1543">
        <f t="shared" si="7"/>
        <v>0</v>
      </c>
      <c r="CN4" s="1543">
        <f t="shared" si="7"/>
        <v>0</v>
      </c>
      <c r="CO4" s="1543">
        <f t="shared" si="7"/>
        <v>0</v>
      </c>
      <c r="CP4" s="1543">
        <f t="shared" si="7"/>
        <v>0</v>
      </c>
      <c r="CQ4" s="1543">
        <f t="shared" si="7"/>
        <v>0</v>
      </c>
      <c r="CR4" s="1543">
        <f t="shared" si="7"/>
        <v>0</v>
      </c>
      <c r="CS4" s="1543">
        <f t="shared" si="7"/>
        <v>0</v>
      </c>
      <c r="CT4" s="1543">
        <f t="shared" si="8"/>
        <v>0</v>
      </c>
      <c r="CU4" s="1543">
        <f t="shared" si="8"/>
        <v>0</v>
      </c>
      <c r="CV4" s="1543">
        <f t="shared" si="8"/>
        <v>0</v>
      </c>
      <c r="CW4" s="1543">
        <f t="shared" si="8"/>
        <v>0</v>
      </c>
      <c r="CX4" s="1543">
        <f t="shared" si="8"/>
        <v>0</v>
      </c>
      <c r="CY4" s="1543">
        <f t="shared" si="8"/>
        <v>0</v>
      </c>
      <c r="CZ4" s="1543">
        <f t="shared" si="8"/>
        <v>0</v>
      </c>
      <c r="DA4" s="1543">
        <f t="shared" si="8"/>
        <v>0</v>
      </c>
      <c r="DB4" s="1543">
        <f t="shared" si="8"/>
        <v>0</v>
      </c>
      <c r="DD4" s="1543">
        <f t="shared" si="9"/>
        <v>0</v>
      </c>
      <c r="DE4" s="1543">
        <f t="shared" si="10"/>
        <v>1</v>
      </c>
      <c r="DF4" s="1543">
        <f t="shared" si="11"/>
        <v>0</v>
      </c>
      <c r="DG4" s="1543">
        <f t="shared" ref="DG4:DG67" si="31">SUM(BM4:BZ4)</f>
        <v>0</v>
      </c>
      <c r="DI4" s="1543">
        <f t="shared" ref="DI4:DI67" si="32">IF($H4=DI$2,1,0)+DJ4</f>
        <v>1</v>
      </c>
      <c r="DJ4" s="1543">
        <f t="shared" si="12"/>
        <v>0</v>
      </c>
      <c r="DK4" s="1543">
        <f t="shared" si="12"/>
        <v>0</v>
      </c>
      <c r="DL4" s="1543">
        <f t="shared" si="12"/>
        <v>0</v>
      </c>
      <c r="DM4" s="1543">
        <f t="shared" si="12"/>
        <v>0</v>
      </c>
      <c r="DO4" s="1543">
        <f t="shared" si="13"/>
        <v>0</v>
      </c>
      <c r="DP4" s="1543">
        <f t="shared" si="14"/>
        <v>0</v>
      </c>
      <c r="DQ4" s="1543">
        <f t="shared" si="14"/>
        <v>0</v>
      </c>
      <c r="DR4" s="1543">
        <f t="shared" si="14"/>
        <v>0</v>
      </c>
      <c r="DS4" s="1543">
        <f t="shared" si="14"/>
        <v>1</v>
      </c>
      <c r="DT4" s="1543">
        <f t="shared" si="14"/>
        <v>0</v>
      </c>
      <c r="DU4" s="1543">
        <f t="shared" si="14"/>
        <v>0</v>
      </c>
      <c r="DV4" s="1543">
        <f t="shared" si="14"/>
        <v>0</v>
      </c>
      <c r="DW4" s="1543">
        <f t="shared" si="14"/>
        <v>0</v>
      </c>
      <c r="DX4" s="1543">
        <f t="shared" si="14"/>
        <v>0</v>
      </c>
      <c r="DY4" s="1543">
        <f t="shared" si="14"/>
        <v>0</v>
      </c>
      <c r="DZ4" s="1543">
        <f t="shared" si="14"/>
        <v>0</v>
      </c>
      <c r="EA4" s="1543">
        <f t="shared" si="14"/>
        <v>0</v>
      </c>
      <c r="EB4" s="1543">
        <f t="shared" si="15"/>
        <v>0</v>
      </c>
      <c r="EC4" s="1543">
        <f t="shared" si="15"/>
        <v>0</v>
      </c>
      <c r="ED4" s="1543">
        <f t="shared" si="15"/>
        <v>0</v>
      </c>
      <c r="EE4" s="1543">
        <f t="shared" si="15"/>
        <v>0</v>
      </c>
      <c r="EF4" s="1543">
        <f t="shared" si="15"/>
        <v>0</v>
      </c>
      <c r="EH4" s="1543">
        <f t="shared" ref="EH4:EH40" si="33">SUM(DO4:DS4,EB4:EE4)</f>
        <v>1</v>
      </c>
      <c r="EI4" s="1543">
        <f t="shared" ref="EI4:EI40" si="34">DT4</f>
        <v>0</v>
      </c>
      <c r="EJ4" s="1543">
        <f t="shared" ref="EJ4:EJ40" si="35">SUM(DU4:DV4,EF4)</f>
        <v>0</v>
      </c>
      <c r="EK4" s="1543">
        <f t="shared" ref="EK4:EK40" si="36">DW4</f>
        <v>0</v>
      </c>
      <c r="EL4" s="1543">
        <f t="shared" ref="EL4:EL40" si="37">DX4</f>
        <v>0</v>
      </c>
      <c r="EM4" s="1543">
        <f t="shared" ref="EM4:EM40" si="38">DY4</f>
        <v>0</v>
      </c>
      <c r="EN4" s="1543">
        <f t="shared" ref="EN4:EN40" si="39">SUM(DZ4:EA4)</f>
        <v>0</v>
      </c>
      <c r="EP4" s="1543">
        <f t="shared" si="16"/>
        <v>0</v>
      </c>
      <c r="EQ4" s="1543">
        <f t="shared" si="16"/>
        <v>0</v>
      </c>
      <c r="ER4" s="1543">
        <f t="shared" si="16"/>
        <v>0</v>
      </c>
      <c r="ES4" s="1543">
        <f t="shared" si="16"/>
        <v>0</v>
      </c>
      <c r="ET4" s="1543">
        <f t="shared" si="17"/>
        <v>0</v>
      </c>
      <c r="EU4" s="1543">
        <f t="shared" si="17"/>
        <v>0</v>
      </c>
      <c r="EV4" s="1543">
        <f t="shared" si="17"/>
        <v>0</v>
      </c>
      <c r="EW4" s="1543">
        <f t="shared" si="17"/>
        <v>0</v>
      </c>
      <c r="EX4" s="1543">
        <f t="shared" si="17"/>
        <v>0</v>
      </c>
      <c r="EY4" s="1543">
        <f t="shared" si="17"/>
        <v>0</v>
      </c>
      <c r="EZ4" s="1543">
        <f t="shared" si="17"/>
        <v>0</v>
      </c>
      <c r="FA4" s="1543">
        <f t="shared" si="17"/>
        <v>0</v>
      </c>
      <c r="FB4" s="1543">
        <f t="shared" si="17"/>
        <v>0</v>
      </c>
      <c r="FC4" s="1543">
        <f t="shared" si="17"/>
        <v>0</v>
      </c>
      <c r="FD4" s="1543">
        <f t="shared" si="17"/>
        <v>0</v>
      </c>
      <c r="FE4" s="1543">
        <f t="shared" si="17"/>
        <v>0</v>
      </c>
      <c r="FF4" s="1543">
        <f t="shared" ref="FF4:FF67" si="40">IF(FF$2="X",0,IF($Q4="",1,0))</f>
        <v>1</v>
      </c>
      <c r="FH4" s="1543">
        <f t="shared" si="18"/>
        <v>0</v>
      </c>
      <c r="FI4" s="1543">
        <f t="shared" si="19"/>
        <v>0</v>
      </c>
      <c r="FJ4" s="1543">
        <f t="shared" si="19"/>
        <v>0</v>
      </c>
      <c r="FK4" s="1543">
        <f t="shared" si="19"/>
        <v>0</v>
      </c>
      <c r="FL4" s="1543">
        <f t="shared" si="19"/>
        <v>0</v>
      </c>
      <c r="FM4" s="1543">
        <f t="shared" si="19"/>
        <v>0</v>
      </c>
      <c r="FN4" s="1543">
        <f t="shared" si="19"/>
        <v>0</v>
      </c>
      <c r="FO4" s="1543">
        <f t="shared" si="19"/>
        <v>0</v>
      </c>
      <c r="FP4" s="1543">
        <f t="shared" si="19"/>
        <v>0</v>
      </c>
      <c r="FQ4" s="1543">
        <f t="shared" si="19"/>
        <v>0</v>
      </c>
      <c r="FR4" s="1543">
        <f t="shared" si="19"/>
        <v>0</v>
      </c>
      <c r="FS4" s="1543">
        <f t="shared" si="19"/>
        <v>0</v>
      </c>
      <c r="FT4" s="1543">
        <f t="shared" ref="FT4:FT67" si="41">IF(FV4=1,0,1)</f>
        <v>1</v>
      </c>
      <c r="FV4" s="1543">
        <f t="shared" si="20"/>
        <v>0</v>
      </c>
      <c r="FW4" s="1543">
        <f t="shared" si="21"/>
        <v>0</v>
      </c>
      <c r="FX4" s="1543">
        <f t="shared" si="21"/>
        <v>0</v>
      </c>
      <c r="FY4" s="1543">
        <f t="shared" si="21"/>
        <v>1</v>
      </c>
      <c r="FZ4" s="1543">
        <f t="shared" si="21"/>
        <v>0</v>
      </c>
      <c r="GA4" s="1543">
        <f t="shared" si="21"/>
        <v>0</v>
      </c>
      <c r="GB4" s="1543">
        <f t="shared" si="21"/>
        <v>0</v>
      </c>
      <c r="GC4" s="1543">
        <f t="shared" si="21"/>
        <v>0</v>
      </c>
      <c r="GD4" s="1543">
        <f t="shared" si="21"/>
        <v>0</v>
      </c>
    </row>
    <row r="5" spans="1:186" s="982" customFormat="1" ht="15.6" x14ac:dyDescent="0.3">
      <c r="A5" s="974">
        <v>3</v>
      </c>
      <c r="B5" s="983" t="s">
        <v>1071</v>
      </c>
      <c r="C5" s="984" t="s">
        <v>1906</v>
      </c>
      <c r="D5" s="983" t="s">
        <v>61</v>
      </c>
      <c r="E5" s="968" t="str">
        <f>IFERROR(VLOOKUP($D5&amp;"."&amp;B5,'Piping Class'!$1:$1048576,MATCH($I5,'Piping Class'!$2:$2,0),0),"")</f>
        <v xml:space="preserve">ASTM 106 Gr.B </v>
      </c>
      <c r="F5" s="985" t="str">
        <f>IFERROR(IF(B5="Flange",VLOOKUP($D5,'Piping Class'!$88:$102,MATCH(F$1,'Piping Class'!$88:$88,0),0),""),"")</f>
        <v/>
      </c>
      <c r="G5" s="968" t="str">
        <f>IFERROR(IF(B5="Flange",VLOOKUP($D5,'Piping Class'!$88:$102,MATCH(G$1,'Piping Class'!$88:$88,0),0),""),"")</f>
        <v/>
      </c>
      <c r="H5" s="968" t="str">
        <f>IFERROR(VLOOKUP($D5,'Piping Class'!$88:$102,MATCH(H$1,'Piping Class'!$88:$88,0),0),"")</f>
        <v>CS</v>
      </c>
      <c r="I5" s="986">
        <v>3</v>
      </c>
      <c r="J5" s="987"/>
      <c r="K5" s="968">
        <f>IFERROR(VLOOKUP(I5,'Thickness Tab'!$1:$1048576,MATCH(L5,'Thickness Tab'!$1:$1,0),0),"")</f>
        <v>5.49</v>
      </c>
      <c r="L5" s="969">
        <f>IFERROR(VLOOKUP($D5,'Piping Class'!$1:$1048576,MATCH($I5,'Piping Class'!$2:$2,0),0),"")</f>
        <v>40</v>
      </c>
      <c r="M5" s="968" t="str">
        <f>IFERROR(VLOOKUP(J5,'Thickness Tab'!$1:$1048576,MATCH(N5,'Thickness Tab'!$1:$1,0),0),"")</f>
        <v/>
      </c>
      <c r="N5" s="969" t="str">
        <f>IFERROR(VLOOKUP($D5,'Piping Class'!$1:$1048576,MATCH($J5,'Piping Class'!$2:$2,0),0),"")</f>
        <v/>
      </c>
      <c r="O5" s="968" t="str">
        <f>IFERROR(VLOOKUP($D5,'Piping Class'!$88:$102,MATCH(O$1,'Piping Class'!$88:$88,0),0),"")</f>
        <v>B31.3 / B16.5</v>
      </c>
      <c r="P5" s="968" t="str">
        <f>IFERROR(VLOOKUP($D5,'Piping Class'!$88:$102,MATCH(P$1,'Piping Class'!$88:$88,0),0),"")</f>
        <v>3.1</v>
      </c>
      <c r="Q5" s="983"/>
      <c r="R5" s="988">
        <v>0</v>
      </c>
      <c r="S5" s="969" t="str">
        <f>IF(B5="","",IF(B5="piping","m","cad"))</f>
        <v>m</v>
      </c>
      <c r="T5" s="968">
        <f>IFERROR(VLOOKUP(I5&amp;"."&amp;L5,'Fitting Chart'!$1:$1048576,MATCH(C5,'Fitting Chart'!$1:$1,0),0),0)+IF(B5="piping",PI()*K5*(VLOOKUP(I5,'Thickness Tab'!$1:$1048576,3,0)-K5)*7.86/1000,0)+IF(B5="Flange",VLOOKUP(I5&amp;"F"&amp;F5,'Flanges Chart'!$1:$1048576,MATCH(C5&amp;"."&amp;T$1,'Flanges Chart'!$1:$1,0),0),0)</f>
        <v>11.307403351970681</v>
      </c>
      <c r="U5" s="989">
        <f t="shared" si="0"/>
        <v>0</v>
      </c>
      <c r="V5" s="1003">
        <v>3</v>
      </c>
      <c r="W5" s="1001">
        <f t="shared" si="22"/>
        <v>0</v>
      </c>
      <c r="X5" s="997"/>
      <c r="Y5" s="983" t="s">
        <v>105</v>
      </c>
      <c r="Z5" s="989">
        <f>IF(B5="Piping",VLOOKUP(I5,'Thickness Tab'!$1:$1048576,3,0)/1000*PI(),0)+IFERROR(VLOOKUP(I5&amp;"F"&amp;F5,'Flanges Chart'!$1:$1048576,MATCH(C5&amp;".Unit Surface",'Flanges Chart'!$1:$1,0),0),0)+IF(B5="Fitting",VLOOKUP(I5,'Thickness Tab'!$1:$1048576,3,0)/1000*PI(),0)</f>
        <v>0.27928758690413263</v>
      </c>
      <c r="AA5" s="989">
        <f t="shared" si="23"/>
        <v>0</v>
      </c>
      <c r="AB5" s="983">
        <v>50</v>
      </c>
      <c r="AC5" s="989">
        <f t="shared" si="24"/>
        <v>0.593446852263112</v>
      </c>
      <c r="AD5" s="989">
        <f t="shared" si="25"/>
        <v>0</v>
      </c>
      <c r="AE5" s="974">
        <f>(IFERROR(VLOOKUP($C5,List!$J:$L,2,0),0)*R5+IF(B5="piping",R5,0)+IF(C5="Welding Neck",1,0)*R5)*$AE$2</f>
        <v>0</v>
      </c>
      <c r="AF5" s="970">
        <f>IFERROR(VLOOKUP($C5,List!$J:$L,3,0),0)*R5*$AF$2</f>
        <v>0</v>
      </c>
      <c r="AG5" s="990">
        <f t="shared" si="1"/>
        <v>0</v>
      </c>
      <c r="AH5" s="1118">
        <f>IFERROR(VLOOKUP($D5,'Piping Class'!$88:$102,MATCH(AH$1,'Piping Class'!$88:$88,0),0),"")</f>
        <v>0.1</v>
      </c>
      <c r="AI5" s="991">
        <f>IFERROR(VLOOKUP($D5,'Piping Class'!$88:$102,MATCH(AI$1,'Piping Class'!$88:$88,0),0),"")</f>
        <v>0</v>
      </c>
      <c r="AJ5" s="991">
        <f>IFERROR(VLOOKUP($D5,'Piping Class'!$88:$102,MATCH(AJ$1,'Piping Class'!$88:$88,0),0),"")</f>
        <v>1</v>
      </c>
      <c r="AK5" s="991">
        <f>IFERROR(VLOOKUP($D5,'Piping Class'!$88:$102,MATCH(AK$1,'Piping Class'!$88:$88,0),0),"")</f>
        <v>0</v>
      </c>
      <c r="AL5" s="991">
        <f t="shared" si="2"/>
        <v>0</v>
      </c>
      <c r="AM5" s="1119" t="str">
        <f>IFERROR(VLOOKUP($D5,'Piping Class'!$88:$102,MATCH(AM$1,'Piping Class'!$88:$88,0),0),"")</f>
        <v/>
      </c>
      <c r="AN5" s="992">
        <f t="shared" si="26"/>
        <v>0</v>
      </c>
      <c r="AO5" s="993">
        <f>IFERROR(VLOOKUP(I5&amp;"B"&amp;F5,'Bolting Chart'!$1:$1048576,4,0),0)</f>
        <v>0</v>
      </c>
      <c r="AP5" s="993">
        <f t="shared" si="27"/>
        <v>0</v>
      </c>
      <c r="AQ5" s="993">
        <f t="shared" si="28"/>
        <v>0</v>
      </c>
      <c r="AR5" s="993">
        <f>IF(AO5=0,0,VLOOKUP(D5&amp;".bolting",'Piping Class'!$1:$1048576,MATCH(I5,'Piping Class'!$2:$2,0),0))</f>
        <v>0</v>
      </c>
      <c r="AS5" s="994">
        <f>IFERROR(VLOOKUP(I5&amp;"B"&amp;F5,'Bolting Chart'!$1:$1048576,IF(AS$2="UNC",5,6),0),0)</f>
        <v>0</v>
      </c>
      <c r="AT5" s="995">
        <f>IFERROR(VLOOKUP(I5&amp;"B"&amp;F5,'Bolting Chart'!$1:$1048576,IF(G5="RF",8,9),0),0)</f>
        <v>0</v>
      </c>
      <c r="AU5" s="993">
        <f>IF(AO5=0,0,VLOOKUP(D5&amp;".gasket",'Piping Class'!$1:$1048576,MATCH(I5,'Piping Class'!$2:$2,0),0))</f>
        <v>0</v>
      </c>
      <c r="AV5" s="996">
        <f>(IFERROR(INDEX('Bolting Chart'!$A$169:$R$251,MATCH(AT5,'Bolting Chart'!$A$170:$A$251,0),MATCH(IFERROR(VLOOKUP(I5&amp;"B"&amp;F5,'Bolting Chart'!$1:$1048576,7,0),0)+0,'Bolting Chart'!$A$169:$R$169,0)),0))/100</f>
        <v>0</v>
      </c>
      <c r="AW5" s="996">
        <f t="shared" si="3"/>
        <v>0</v>
      </c>
      <c r="AX5" s="1194">
        <f t="shared" si="4"/>
        <v>0</v>
      </c>
      <c r="AY5" s="981"/>
      <c r="AZ5" s="1543">
        <f t="shared" si="29"/>
        <v>0</v>
      </c>
      <c r="BA5" s="1543">
        <f t="shared" si="5"/>
        <v>0</v>
      </c>
      <c r="BB5" s="1543">
        <f t="shared" si="5"/>
        <v>0</v>
      </c>
      <c r="BC5" s="1543">
        <f t="shared" si="5"/>
        <v>0</v>
      </c>
      <c r="BD5" s="1543">
        <f t="shared" si="5"/>
        <v>0</v>
      </c>
      <c r="BE5" s="1543">
        <f t="shared" si="5"/>
        <v>0</v>
      </c>
      <c r="BF5" s="1543">
        <f t="shared" si="5"/>
        <v>1</v>
      </c>
      <c r="BG5" s="1543">
        <f t="shared" si="5"/>
        <v>0</v>
      </c>
      <c r="BH5" s="1543">
        <f t="shared" si="5"/>
        <v>0</v>
      </c>
      <c r="BI5" s="1543">
        <f t="shared" si="5"/>
        <v>0</v>
      </c>
      <c r="BJ5" s="1543">
        <f t="shared" si="5"/>
        <v>0</v>
      </c>
      <c r="BK5" s="1543">
        <f t="shared" si="5"/>
        <v>0</v>
      </c>
      <c r="BL5" s="1543">
        <f t="shared" si="5"/>
        <v>0</v>
      </c>
      <c r="BM5" s="1543">
        <f t="shared" si="5"/>
        <v>0</v>
      </c>
      <c r="BN5" s="1543">
        <f t="shared" si="5"/>
        <v>0</v>
      </c>
      <c r="BO5" s="1543">
        <f t="shared" si="5"/>
        <v>0</v>
      </c>
      <c r="BP5" s="1543">
        <f t="shared" si="5"/>
        <v>0</v>
      </c>
      <c r="BQ5" s="1543">
        <f t="shared" si="5"/>
        <v>0</v>
      </c>
      <c r="BR5" s="1543">
        <f t="shared" si="6"/>
        <v>0</v>
      </c>
      <c r="BS5" s="1543">
        <f t="shared" si="6"/>
        <v>0</v>
      </c>
      <c r="BT5" s="1543">
        <f t="shared" si="6"/>
        <v>0</v>
      </c>
      <c r="BU5" s="1543">
        <f t="shared" si="6"/>
        <v>0</v>
      </c>
      <c r="BV5" s="1543">
        <f t="shared" si="6"/>
        <v>0</v>
      </c>
      <c r="BW5" s="1543">
        <f t="shared" si="6"/>
        <v>0</v>
      </c>
      <c r="BX5" s="1543">
        <f t="shared" si="6"/>
        <v>0</v>
      </c>
      <c r="BY5" s="1543">
        <f t="shared" si="6"/>
        <v>0</v>
      </c>
      <c r="BZ5" s="1543">
        <f t="shared" si="6"/>
        <v>0</v>
      </c>
      <c r="CB5" s="1543">
        <f t="shared" si="30"/>
        <v>0</v>
      </c>
      <c r="CC5" s="1543">
        <f t="shared" si="7"/>
        <v>0</v>
      </c>
      <c r="CD5" s="1543">
        <f t="shared" si="7"/>
        <v>0</v>
      </c>
      <c r="CE5" s="1543">
        <f t="shared" si="7"/>
        <v>0</v>
      </c>
      <c r="CF5" s="1543">
        <f t="shared" si="7"/>
        <v>0</v>
      </c>
      <c r="CG5" s="1543">
        <f t="shared" si="7"/>
        <v>0</v>
      </c>
      <c r="CH5" s="1543">
        <f t="shared" si="7"/>
        <v>0</v>
      </c>
      <c r="CI5" s="1543">
        <f t="shared" si="7"/>
        <v>0</v>
      </c>
      <c r="CJ5" s="1543">
        <f t="shared" si="7"/>
        <v>0</v>
      </c>
      <c r="CK5" s="1543">
        <f t="shared" si="7"/>
        <v>0</v>
      </c>
      <c r="CL5" s="1543">
        <f t="shared" si="7"/>
        <v>0</v>
      </c>
      <c r="CM5" s="1543">
        <f t="shared" si="7"/>
        <v>0</v>
      </c>
      <c r="CN5" s="1543">
        <f t="shared" si="7"/>
        <v>0</v>
      </c>
      <c r="CO5" s="1543">
        <f t="shared" si="7"/>
        <v>0</v>
      </c>
      <c r="CP5" s="1543">
        <f t="shared" si="7"/>
        <v>0</v>
      </c>
      <c r="CQ5" s="1543">
        <f t="shared" si="7"/>
        <v>0</v>
      </c>
      <c r="CR5" s="1543">
        <f t="shared" si="7"/>
        <v>0</v>
      </c>
      <c r="CS5" s="1543">
        <f t="shared" si="7"/>
        <v>0</v>
      </c>
      <c r="CT5" s="1543">
        <f t="shared" si="8"/>
        <v>0</v>
      </c>
      <c r="CU5" s="1543">
        <f t="shared" si="8"/>
        <v>0</v>
      </c>
      <c r="CV5" s="1543">
        <f t="shared" si="8"/>
        <v>0</v>
      </c>
      <c r="CW5" s="1543">
        <f t="shared" si="8"/>
        <v>0</v>
      </c>
      <c r="CX5" s="1543">
        <f t="shared" si="8"/>
        <v>0</v>
      </c>
      <c r="CY5" s="1543">
        <f t="shared" si="8"/>
        <v>0</v>
      </c>
      <c r="CZ5" s="1543">
        <f t="shared" si="8"/>
        <v>0</v>
      </c>
      <c r="DA5" s="1543">
        <f t="shared" si="8"/>
        <v>0</v>
      </c>
      <c r="DB5" s="1543">
        <f t="shared" si="8"/>
        <v>0</v>
      </c>
      <c r="DD5" s="1543">
        <f t="shared" si="9"/>
        <v>0</v>
      </c>
      <c r="DE5" s="1543">
        <f t="shared" si="10"/>
        <v>1</v>
      </c>
      <c r="DF5" s="1543">
        <f t="shared" si="11"/>
        <v>0</v>
      </c>
      <c r="DG5" s="1543">
        <f t="shared" si="31"/>
        <v>0</v>
      </c>
      <c r="DI5" s="1543">
        <f t="shared" si="32"/>
        <v>1</v>
      </c>
      <c r="DJ5" s="1543">
        <f t="shared" si="12"/>
        <v>0</v>
      </c>
      <c r="DK5" s="1543">
        <f t="shared" si="12"/>
        <v>0</v>
      </c>
      <c r="DL5" s="1543">
        <f t="shared" si="12"/>
        <v>0</v>
      </c>
      <c r="DM5" s="1543">
        <f t="shared" si="12"/>
        <v>0</v>
      </c>
      <c r="DO5" s="1543">
        <f t="shared" si="13"/>
        <v>0</v>
      </c>
      <c r="DP5" s="1543">
        <f t="shared" si="14"/>
        <v>0</v>
      </c>
      <c r="DQ5" s="1543">
        <f t="shared" si="14"/>
        <v>0</v>
      </c>
      <c r="DR5" s="1543">
        <f t="shared" si="14"/>
        <v>0</v>
      </c>
      <c r="DS5" s="1543">
        <f t="shared" si="14"/>
        <v>1</v>
      </c>
      <c r="DT5" s="1543">
        <f t="shared" si="14"/>
        <v>0</v>
      </c>
      <c r="DU5" s="1543">
        <f t="shared" si="14"/>
        <v>0</v>
      </c>
      <c r="DV5" s="1543">
        <f t="shared" si="14"/>
        <v>0</v>
      </c>
      <c r="DW5" s="1543">
        <f t="shared" si="14"/>
        <v>0</v>
      </c>
      <c r="DX5" s="1543">
        <f t="shared" si="14"/>
        <v>0</v>
      </c>
      <c r="DY5" s="1543">
        <f t="shared" si="14"/>
        <v>0</v>
      </c>
      <c r="DZ5" s="1543">
        <f t="shared" si="14"/>
        <v>0</v>
      </c>
      <c r="EA5" s="1543">
        <f t="shared" si="14"/>
        <v>0</v>
      </c>
      <c r="EB5" s="1543">
        <f t="shared" si="15"/>
        <v>0</v>
      </c>
      <c r="EC5" s="1543">
        <f t="shared" si="15"/>
        <v>0</v>
      </c>
      <c r="ED5" s="1543">
        <f t="shared" si="15"/>
        <v>0</v>
      </c>
      <c r="EE5" s="1543">
        <f t="shared" si="15"/>
        <v>0</v>
      </c>
      <c r="EF5" s="1543">
        <f t="shared" si="15"/>
        <v>0</v>
      </c>
      <c r="EH5" s="1543">
        <f t="shared" si="33"/>
        <v>1</v>
      </c>
      <c r="EI5" s="1543">
        <f t="shared" si="34"/>
        <v>0</v>
      </c>
      <c r="EJ5" s="1543">
        <f t="shared" si="35"/>
        <v>0</v>
      </c>
      <c r="EK5" s="1543">
        <f t="shared" si="36"/>
        <v>0</v>
      </c>
      <c r="EL5" s="1543">
        <f t="shared" si="37"/>
        <v>0</v>
      </c>
      <c r="EM5" s="1543">
        <f t="shared" si="38"/>
        <v>0</v>
      </c>
      <c r="EN5" s="1543">
        <f t="shared" si="39"/>
        <v>0</v>
      </c>
      <c r="EP5" s="1543">
        <f t="shared" si="16"/>
        <v>0</v>
      </c>
      <c r="EQ5" s="1543">
        <f t="shared" si="16"/>
        <v>0</v>
      </c>
      <c r="ER5" s="1543">
        <f t="shared" si="16"/>
        <v>0</v>
      </c>
      <c r="ES5" s="1543">
        <f t="shared" si="16"/>
        <v>0</v>
      </c>
      <c r="ET5" s="1543">
        <f t="shared" si="17"/>
        <v>0</v>
      </c>
      <c r="EU5" s="1543">
        <f t="shared" si="17"/>
        <v>0</v>
      </c>
      <c r="EV5" s="1543">
        <f t="shared" si="17"/>
        <v>0</v>
      </c>
      <c r="EW5" s="1543">
        <f t="shared" si="17"/>
        <v>0</v>
      </c>
      <c r="EX5" s="1543">
        <f t="shared" si="17"/>
        <v>0</v>
      </c>
      <c r="EY5" s="1543">
        <f t="shared" si="17"/>
        <v>0</v>
      </c>
      <c r="EZ5" s="1543">
        <f t="shared" si="17"/>
        <v>0</v>
      </c>
      <c r="FA5" s="1543">
        <f t="shared" si="17"/>
        <v>0</v>
      </c>
      <c r="FB5" s="1543">
        <f t="shared" si="17"/>
        <v>0</v>
      </c>
      <c r="FC5" s="1543">
        <f t="shared" si="17"/>
        <v>0</v>
      </c>
      <c r="FD5" s="1543">
        <f t="shared" si="17"/>
        <v>0</v>
      </c>
      <c r="FE5" s="1543">
        <f t="shared" si="17"/>
        <v>0</v>
      </c>
      <c r="FF5" s="1543">
        <f t="shared" si="40"/>
        <v>1</v>
      </c>
      <c r="FH5" s="1543">
        <f t="shared" si="18"/>
        <v>0</v>
      </c>
      <c r="FI5" s="1543">
        <f t="shared" si="19"/>
        <v>0</v>
      </c>
      <c r="FJ5" s="1543">
        <f t="shared" si="19"/>
        <v>0</v>
      </c>
      <c r="FK5" s="1543">
        <f t="shared" si="19"/>
        <v>0</v>
      </c>
      <c r="FL5" s="1543">
        <f t="shared" si="19"/>
        <v>0</v>
      </c>
      <c r="FM5" s="1543">
        <f t="shared" si="19"/>
        <v>0</v>
      </c>
      <c r="FN5" s="1543">
        <f t="shared" si="19"/>
        <v>0</v>
      </c>
      <c r="FO5" s="1543">
        <f t="shared" si="19"/>
        <v>0</v>
      </c>
      <c r="FP5" s="1543">
        <f t="shared" si="19"/>
        <v>0</v>
      </c>
      <c r="FQ5" s="1543">
        <f t="shared" si="19"/>
        <v>0</v>
      </c>
      <c r="FR5" s="1543">
        <f t="shared" si="19"/>
        <v>0</v>
      </c>
      <c r="FS5" s="1543">
        <f t="shared" si="19"/>
        <v>0</v>
      </c>
      <c r="FT5" s="1543">
        <f t="shared" si="41"/>
        <v>1</v>
      </c>
      <c r="FV5" s="1543">
        <f t="shared" si="20"/>
        <v>0</v>
      </c>
      <c r="FW5" s="1543">
        <f t="shared" si="21"/>
        <v>0</v>
      </c>
      <c r="FX5" s="1543">
        <f t="shared" si="21"/>
        <v>0</v>
      </c>
      <c r="FY5" s="1543">
        <f t="shared" si="21"/>
        <v>1</v>
      </c>
      <c r="FZ5" s="1543">
        <f t="shared" si="21"/>
        <v>0</v>
      </c>
      <c r="GA5" s="1543">
        <f t="shared" si="21"/>
        <v>0</v>
      </c>
      <c r="GB5" s="1543">
        <f t="shared" si="21"/>
        <v>0</v>
      </c>
      <c r="GC5" s="1543">
        <f t="shared" si="21"/>
        <v>0</v>
      </c>
      <c r="GD5" s="1543">
        <f t="shared" si="21"/>
        <v>0</v>
      </c>
    </row>
    <row r="6" spans="1:186" s="982" customFormat="1" ht="15.6" x14ac:dyDescent="0.3">
      <c r="A6" s="974">
        <v>4</v>
      </c>
      <c r="B6" s="983" t="s">
        <v>1071</v>
      </c>
      <c r="C6" s="984" t="s">
        <v>1906</v>
      </c>
      <c r="D6" s="983" t="s">
        <v>67</v>
      </c>
      <c r="E6" s="968" t="str">
        <f>IFERROR(VLOOKUP($D6&amp;"."&amp;B6,'Piping Class'!$1:$1048576,MATCH($I6,'Piping Class'!$2:$2,0),0),"")</f>
        <v>ASTM A312-
TP316/316L</v>
      </c>
      <c r="F6" s="985" t="str">
        <f>IFERROR(IF(B6="Flange",VLOOKUP($D6,'Piping Class'!$88:$102,MATCH(F$1,'Piping Class'!$88:$88,0),0),""),"")</f>
        <v/>
      </c>
      <c r="G6" s="968" t="str">
        <f>IFERROR(IF(B6="Flange",VLOOKUP($D6,'Piping Class'!$88:$102,MATCH(G$1,'Piping Class'!$88:$88,0),0),""),"")</f>
        <v/>
      </c>
      <c r="H6" s="968" t="str">
        <f>IFERROR(VLOOKUP($D6,'Piping Class'!$88:$102,MATCH(H$1,'Piping Class'!$88:$88,0),0),"")</f>
        <v>SS</v>
      </c>
      <c r="I6" s="986">
        <v>6</v>
      </c>
      <c r="J6" s="987"/>
      <c r="K6" s="968">
        <f>IFERROR(VLOOKUP(I6,'Thickness Tab'!$1:$1048576,MATCH(L6,'Thickness Tab'!$1:$1,0),0),"")</f>
        <v>7.11</v>
      </c>
      <c r="L6" s="969">
        <f>IFERROR(VLOOKUP($D6,'Piping Class'!$1:$1048576,MATCH($I6,'Piping Class'!$2:$2,0),0),"")</f>
        <v>40</v>
      </c>
      <c r="M6" s="968" t="str">
        <f>IFERROR(VLOOKUP(J6,'Thickness Tab'!$1:$1048576,MATCH(N6,'Thickness Tab'!$1:$1,0),0),"")</f>
        <v/>
      </c>
      <c r="N6" s="969" t="str">
        <f>IFERROR(VLOOKUP($D6,'Piping Class'!$1:$1048576,MATCH($J6,'Piping Class'!$2:$2,0),0),"")</f>
        <v/>
      </c>
      <c r="O6" s="968" t="str">
        <f>IFERROR(VLOOKUP($D6,'Piping Class'!$88:$102,MATCH(O$1,'Piping Class'!$88:$88,0),0),"")</f>
        <v>B31.3 / B16.5</v>
      </c>
      <c r="P6" s="968" t="str">
        <f>IFERROR(VLOOKUP($D6,'Piping Class'!$88:$102,MATCH(P$1,'Piping Class'!$88:$88,0),0),"")</f>
        <v>3.1</v>
      </c>
      <c r="Q6" s="983"/>
      <c r="R6" s="988">
        <v>28</v>
      </c>
      <c r="S6" s="969" t="str">
        <f t="shared" ref="S6:S11" si="42">IF(B6="","",IF(B6="piping","m","cad"))</f>
        <v>m</v>
      </c>
      <c r="T6" s="968">
        <f>IFERROR(VLOOKUP(I6&amp;"."&amp;L6,'Fitting Chart'!$1:$1048576,MATCH(C6,'Fitting Chart'!$1:$1,0),0),0)+IF(B6="piping",PI()*K6*(VLOOKUP(I6,'Thickness Tab'!$1:$1048576,3,0)-K6)*7.86/1000,0)+IF(B6="Flange",VLOOKUP(I6&amp;"F"&amp;F6,'Flanges Chart'!$1:$1048576,MATCH(C6&amp;"."&amp;T$1,'Flanges Chart'!$1:$1,0),0),0)</f>
        <v>28.299588121491141</v>
      </c>
      <c r="U6" s="989">
        <f t="shared" si="0"/>
        <v>792.388467401752</v>
      </c>
      <c r="V6" s="1003">
        <v>15</v>
      </c>
      <c r="W6" s="1001">
        <f t="shared" si="22"/>
        <v>11885.82701102628</v>
      </c>
      <c r="X6" s="997"/>
      <c r="Y6" s="983"/>
      <c r="Z6" s="989">
        <f>IF(B6="Piping",VLOOKUP(I6,'Thickness Tab'!$1:$1048576,3,0)/1000*PI(),0)+IFERROR(VLOOKUP(I6&amp;"F"&amp;F6,'Flanges Chart'!$1:$1048576,MATCH(C6&amp;".Unit Surface",'Flanges Chart'!$1:$1,0),0),0)+IF(B6="Fitting",VLOOKUP(I6,'Thickness Tab'!$1:$1048576,3,0)/1000*PI(),0)</f>
        <v>0.5287300435991622</v>
      </c>
      <c r="AA6" s="989">
        <f t="shared" si="23"/>
        <v>14.804441220776543</v>
      </c>
      <c r="AB6" s="983">
        <v>50</v>
      </c>
      <c r="AC6" s="989">
        <f t="shared" si="24"/>
        <v>0.84288930895814151</v>
      </c>
      <c r="AD6" s="989">
        <f t="shared" si="25"/>
        <v>23.600900650827963</v>
      </c>
      <c r="AE6" s="974">
        <f>(IFERROR(VLOOKUP($C6,List!$J:$L,2,0),0)*R6+IF(B6="piping",R6,0)+IF(C6="Welding Neck",1,0)*R6)*$AE$2</f>
        <v>22.400000000000002</v>
      </c>
      <c r="AF6" s="970">
        <f>IFERROR(VLOOKUP($C6,List!$J:$L,3,0),0)*R6*$AF$2</f>
        <v>0</v>
      </c>
      <c r="AG6" s="990">
        <f t="shared" si="1"/>
        <v>134.4</v>
      </c>
      <c r="AH6" s="1118">
        <f>IFERROR(VLOOKUP($D6,'Piping Class'!$88:$102,MATCH(AH$1,'Piping Class'!$88:$88,0),0),"")</f>
        <v>0.1</v>
      </c>
      <c r="AI6" s="991">
        <f>IFERROR(VLOOKUP($D6,'Piping Class'!$88:$102,MATCH(AI$1,'Piping Class'!$88:$88,0),0),"")</f>
        <v>1</v>
      </c>
      <c r="AJ6" s="991">
        <f>IFERROR(VLOOKUP($D6,'Piping Class'!$88:$102,MATCH(AJ$1,'Piping Class'!$88:$88,0),0),"")</f>
        <v>1</v>
      </c>
      <c r="AK6" s="991">
        <f>IFERROR(VLOOKUP($D6,'Piping Class'!$88:$102,MATCH(AK$1,'Piping Class'!$88:$88,0),0),"")</f>
        <v>0</v>
      </c>
      <c r="AL6" s="991">
        <f t="shared" si="2"/>
        <v>1</v>
      </c>
      <c r="AM6" s="1119" t="str">
        <f>IFERROR(VLOOKUP($D6,'Piping Class'!$88:$102,MATCH(AM$1,'Piping Class'!$88:$88,0),0),"")</f>
        <v/>
      </c>
      <c r="AN6" s="992">
        <f t="shared" si="26"/>
        <v>142.62992413231535</v>
      </c>
      <c r="AO6" s="993">
        <f>IFERROR(VLOOKUP(I6&amp;"B"&amp;F6,'Bolting Chart'!$1:$1048576,4,0),0)</f>
        <v>0</v>
      </c>
      <c r="AP6" s="993">
        <f t="shared" si="27"/>
        <v>0</v>
      </c>
      <c r="AQ6" s="993">
        <f t="shared" si="28"/>
        <v>0</v>
      </c>
      <c r="AR6" s="993">
        <f>IF(AO6=0,0,VLOOKUP(D6&amp;".bolting",'Piping Class'!$1:$1048576,MATCH(I6,'Piping Class'!$2:$2,0),0))</f>
        <v>0</v>
      </c>
      <c r="AS6" s="994">
        <f>IFERROR(VLOOKUP(I6&amp;"B"&amp;F6,'Bolting Chart'!$1:$1048576,IF(AS$2="UNC",5,6),0),0)</f>
        <v>0</v>
      </c>
      <c r="AT6" s="995">
        <f>IFERROR(VLOOKUP(I6&amp;"B"&amp;F6,'Bolting Chart'!$1:$1048576,IF(G6="RF",8,9),0),0)</f>
        <v>0</v>
      </c>
      <c r="AU6" s="993">
        <f>IF(AO6=0,0,VLOOKUP(D6&amp;".gasket",'Piping Class'!$1:$1048576,MATCH(I6,'Piping Class'!$2:$2,0),0))</f>
        <v>0</v>
      </c>
      <c r="AV6" s="996">
        <f>(IFERROR(INDEX('Bolting Chart'!$A$169:$R$251,MATCH(AT6,'Bolting Chart'!$A$170:$A$251,0),MATCH(IFERROR(VLOOKUP(I6&amp;"B"&amp;F6,'Bolting Chart'!$1:$1048576,7,0),0)+0,'Bolting Chart'!$A$169:$R$169,0)),0))/100</f>
        <v>0</v>
      </c>
      <c r="AW6" s="996">
        <f t="shared" si="3"/>
        <v>0</v>
      </c>
      <c r="AX6" s="1194">
        <f t="shared" si="4"/>
        <v>0</v>
      </c>
      <c r="AY6" s="981"/>
      <c r="AZ6" s="1543">
        <f t="shared" si="29"/>
        <v>0</v>
      </c>
      <c r="BA6" s="1543">
        <f t="shared" si="5"/>
        <v>0</v>
      </c>
      <c r="BB6" s="1543">
        <f t="shared" si="5"/>
        <v>0</v>
      </c>
      <c r="BC6" s="1543">
        <f t="shared" si="5"/>
        <v>0</v>
      </c>
      <c r="BD6" s="1543">
        <f t="shared" si="5"/>
        <v>0</v>
      </c>
      <c r="BE6" s="1543">
        <f t="shared" si="5"/>
        <v>0</v>
      </c>
      <c r="BF6" s="1543">
        <f t="shared" si="5"/>
        <v>0</v>
      </c>
      <c r="BG6" s="1543">
        <f t="shared" si="5"/>
        <v>0</v>
      </c>
      <c r="BH6" s="1543">
        <f t="shared" si="5"/>
        <v>1</v>
      </c>
      <c r="BI6" s="1543">
        <f t="shared" si="5"/>
        <v>0</v>
      </c>
      <c r="BJ6" s="1543">
        <f t="shared" si="5"/>
        <v>0</v>
      </c>
      <c r="BK6" s="1543">
        <f t="shared" si="5"/>
        <v>0</v>
      </c>
      <c r="BL6" s="1543">
        <f t="shared" si="5"/>
        <v>0</v>
      </c>
      <c r="BM6" s="1543">
        <f t="shared" si="5"/>
        <v>0</v>
      </c>
      <c r="BN6" s="1543">
        <f t="shared" si="5"/>
        <v>0</v>
      </c>
      <c r="BO6" s="1543">
        <f t="shared" si="5"/>
        <v>0</v>
      </c>
      <c r="BP6" s="1543">
        <f t="shared" si="5"/>
        <v>0</v>
      </c>
      <c r="BQ6" s="1543">
        <f t="shared" si="5"/>
        <v>0</v>
      </c>
      <c r="BR6" s="1543">
        <f t="shared" si="6"/>
        <v>0</v>
      </c>
      <c r="BS6" s="1543">
        <f t="shared" si="6"/>
        <v>0</v>
      </c>
      <c r="BT6" s="1543">
        <f t="shared" si="6"/>
        <v>0</v>
      </c>
      <c r="BU6" s="1543">
        <f t="shared" si="6"/>
        <v>0</v>
      </c>
      <c r="BV6" s="1543">
        <f t="shared" si="6"/>
        <v>0</v>
      </c>
      <c r="BW6" s="1543">
        <f t="shared" si="6"/>
        <v>0</v>
      </c>
      <c r="BX6" s="1543">
        <f t="shared" si="6"/>
        <v>0</v>
      </c>
      <c r="BY6" s="1543">
        <f t="shared" si="6"/>
        <v>0</v>
      </c>
      <c r="BZ6" s="1543">
        <f t="shared" si="6"/>
        <v>0</v>
      </c>
      <c r="CB6" s="1543">
        <f t="shared" si="30"/>
        <v>0</v>
      </c>
      <c r="CC6" s="1543">
        <f t="shared" si="7"/>
        <v>0</v>
      </c>
      <c r="CD6" s="1543">
        <f t="shared" si="7"/>
        <v>0</v>
      </c>
      <c r="CE6" s="1543">
        <f t="shared" si="7"/>
        <v>0</v>
      </c>
      <c r="CF6" s="1543">
        <f t="shared" si="7"/>
        <v>0</v>
      </c>
      <c r="CG6" s="1543">
        <f t="shared" si="7"/>
        <v>0</v>
      </c>
      <c r="CH6" s="1543">
        <f t="shared" si="7"/>
        <v>0</v>
      </c>
      <c r="CI6" s="1543">
        <f t="shared" si="7"/>
        <v>0</v>
      </c>
      <c r="CJ6" s="1543">
        <f t="shared" si="7"/>
        <v>0</v>
      </c>
      <c r="CK6" s="1543">
        <f t="shared" si="7"/>
        <v>0</v>
      </c>
      <c r="CL6" s="1543">
        <f t="shared" si="7"/>
        <v>0</v>
      </c>
      <c r="CM6" s="1543">
        <f t="shared" si="7"/>
        <v>0</v>
      </c>
      <c r="CN6" s="1543">
        <f t="shared" si="7"/>
        <v>0</v>
      </c>
      <c r="CO6" s="1543">
        <f t="shared" si="7"/>
        <v>0</v>
      </c>
      <c r="CP6" s="1543">
        <f t="shared" si="7"/>
        <v>0</v>
      </c>
      <c r="CQ6" s="1543">
        <f t="shared" si="7"/>
        <v>0</v>
      </c>
      <c r="CR6" s="1543">
        <f t="shared" si="7"/>
        <v>0</v>
      </c>
      <c r="CS6" s="1543">
        <f t="shared" si="7"/>
        <v>0</v>
      </c>
      <c r="CT6" s="1543">
        <f t="shared" si="8"/>
        <v>0</v>
      </c>
      <c r="CU6" s="1543">
        <f t="shared" si="8"/>
        <v>0</v>
      </c>
      <c r="CV6" s="1543">
        <f t="shared" si="8"/>
        <v>0</v>
      </c>
      <c r="CW6" s="1543">
        <f t="shared" si="8"/>
        <v>0</v>
      </c>
      <c r="CX6" s="1543">
        <f t="shared" si="8"/>
        <v>0</v>
      </c>
      <c r="CY6" s="1543">
        <f t="shared" si="8"/>
        <v>0</v>
      </c>
      <c r="CZ6" s="1543">
        <f t="shared" si="8"/>
        <v>0</v>
      </c>
      <c r="DA6" s="1543">
        <f t="shared" si="8"/>
        <v>0</v>
      </c>
      <c r="DB6" s="1543">
        <f t="shared" si="8"/>
        <v>0</v>
      </c>
      <c r="DD6" s="1543">
        <f t="shared" si="9"/>
        <v>0</v>
      </c>
      <c r="DE6" s="1543">
        <f t="shared" si="10"/>
        <v>1</v>
      </c>
      <c r="DF6" s="1543">
        <f t="shared" si="11"/>
        <v>0</v>
      </c>
      <c r="DG6" s="1543">
        <f t="shared" si="31"/>
        <v>0</v>
      </c>
      <c r="DI6" s="1543">
        <f t="shared" si="32"/>
        <v>0</v>
      </c>
      <c r="DJ6" s="1543">
        <f t="shared" si="12"/>
        <v>0</v>
      </c>
      <c r="DK6" s="1543">
        <f t="shared" si="12"/>
        <v>1</v>
      </c>
      <c r="DL6" s="1543">
        <f t="shared" si="12"/>
        <v>0</v>
      </c>
      <c r="DM6" s="1543">
        <f t="shared" si="12"/>
        <v>0</v>
      </c>
      <c r="DO6" s="1543">
        <f t="shared" si="13"/>
        <v>0</v>
      </c>
      <c r="DP6" s="1543">
        <f t="shared" si="14"/>
        <v>0</v>
      </c>
      <c r="DQ6" s="1543">
        <f t="shared" si="14"/>
        <v>0</v>
      </c>
      <c r="DR6" s="1543">
        <f t="shared" si="14"/>
        <v>0</v>
      </c>
      <c r="DS6" s="1543">
        <f t="shared" si="14"/>
        <v>1</v>
      </c>
      <c r="DT6" s="1543">
        <f t="shared" si="14"/>
        <v>0</v>
      </c>
      <c r="DU6" s="1543">
        <f t="shared" si="14"/>
        <v>0</v>
      </c>
      <c r="DV6" s="1543">
        <f t="shared" si="14"/>
        <v>0</v>
      </c>
      <c r="DW6" s="1543">
        <f t="shared" si="14"/>
        <v>0</v>
      </c>
      <c r="DX6" s="1543">
        <f t="shared" si="14"/>
        <v>0</v>
      </c>
      <c r="DY6" s="1543">
        <f t="shared" si="14"/>
        <v>0</v>
      </c>
      <c r="DZ6" s="1543">
        <f t="shared" si="14"/>
        <v>0</v>
      </c>
      <c r="EA6" s="1543">
        <f t="shared" si="14"/>
        <v>0</v>
      </c>
      <c r="EB6" s="1543">
        <f t="shared" si="15"/>
        <v>0</v>
      </c>
      <c r="EC6" s="1543">
        <f t="shared" si="15"/>
        <v>0</v>
      </c>
      <c r="ED6" s="1543">
        <f t="shared" si="15"/>
        <v>0</v>
      </c>
      <c r="EE6" s="1543">
        <f t="shared" si="15"/>
        <v>0</v>
      </c>
      <c r="EF6" s="1543">
        <f t="shared" si="15"/>
        <v>0</v>
      </c>
      <c r="EH6" s="1543">
        <f t="shared" si="33"/>
        <v>1</v>
      </c>
      <c r="EI6" s="1543">
        <f t="shared" si="34"/>
        <v>0</v>
      </c>
      <c r="EJ6" s="1543">
        <f t="shared" si="35"/>
        <v>0</v>
      </c>
      <c r="EK6" s="1543">
        <f t="shared" si="36"/>
        <v>0</v>
      </c>
      <c r="EL6" s="1543">
        <f t="shared" si="37"/>
        <v>0</v>
      </c>
      <c r="EM6" s="1543">
        <f t="shared" si="38"/>
        <v>0</v>
      </c>
      <c r="EN6" s="1543">
        <f t="shared" si="39"/>
        <v>0</v>
      </c>
      <c r="EP6" s="1543">
        <f t="shared" si="16"/>
        <v>0</v>
      </c>
      <c r="EQ6" s="1543">
        <f t="shared" si="16"/>
        <v>0</v>
      </c>
      <c r="ER6" s="1543">
        <f t="shared" si="16"/>
        <v>0</v>
      </c>
      <c r="ES6" s="1543">
        <f t="shared" si="16"/>
        <v>0</v>
      </c>
      <c r="ET6" s="1543">
        <f t="shared" si="17"/>
        <v>0</v>
      </c>
      <c r="EU6" s="1543">
        <f t="shared" si="17"/>
        <v>0</v>
      </c>
      <c r="EV6" s="1543">
        <f t="shared" si="17"/>
        <v>0</v>
      </c>
      <c r="EW6" s="1543">
        <f t="shared" si="17"/>
        <v>0</v>
      </c>
      <c r="EX6" s="1543">
        <f t="shared" si="17"/>
        <v>0</v>
      </c>
      <c r="EY6" s="1543">
        <f t="shared" si="17"/>
        <v>0</v>
      </c>
      <c r="EZ6" s="1543">
        <f t="shared" si="17"/>
        <v>0</v>
      </c>
      <c r="FA6" s="1543">
        <f t="shared" si="17"/>
        <v>0</v>
      </c>
      <c r="FB6" s="1543">
        <f t="shared" si="17"/>
        <v>0</v>
      </c>
      <c r="FC6" s="1543">
        <f t="shared" si="17"/>
        <v>0</v>
      </c>
      <c r="FD6" s="1543">
        <f t="shared" si="17"/>
        <v>0</v>
      </c>
      <c r="FE6" s="1543">
        <f t="shared" si="17"/>
        <v>0</v>
      </c>
      <c r="FF6" s="1543">
        <f t="shared" si="40"/>
        <v>1</v>
      </c>
      <c r="FH6" s="1543">
        <f t="shared" si="18"/>
        <v>0</v>
      </c>
      <c r="FI6" s="1543">
        <f t="shared" si="19"/>
        <v>0</v>
      </c>
      <c r="FJ6" s="1543">
        <f t="shared" si="19"/>
        <v>0</v>
      </c>
      <c r="FK6" s="1543">
        <f t="shared" si="19"/>
        <v>0</v>
      </c>
      <c r="FL6" s="1543">
        <f t="shared" si="19"/>
        <v>0</v>
      </c>
      <c r="FM6" s="1543">
        <f t="shared" si="19"/>
        <v>0</v>
      </c>
      <c r="FN6" s="1543">
        <f t="shared" si="19"/>
        <v>0</v>
      </c>
      <c r="FO6" s="1543">
        <f t="shared" si="19"/>
        <v>0</v>
      </c>
      <c r="FP6" s="1543">
        <f t="shared" si="19"/>
        <v>0</v>
      </c>
      <c r="FQ6" s="1543">
        <f t="shared" si="19"/>
        <v>0</v>
      </c>
      <c r="FR6" s="1543">
        <f t="shared" si="19"/>
        <v>0</v>
      </c>
      <c r="FS6" s="1543">
        <f t="shared" si="19"/>
        <v>0</v>
      </c>
      <c r="FT6" s="1543">
        <f t="shared" si="41"/>
        <v>1</v>
      </c>
      <c r="FV6" s="1543">
        <f t="shared" si="20"/>
        <v>0</v>
      </c>
      <c r="FW6" s="1543">
        <f t="shared" si="21"/>
        <v>0</v>
      </c>
      <c r="FX6" s="1543">
        <f t="shared" si="21"/>
        <v>0</v>
      </c>
      <c r="FY6" s="1543">
        <f t="shared" si="21"/>
        <v>1</v>
      </c>
      <c r="FZ6" s="1543">
        <f t="shared" si="21"/>
        <v>0</v>
      </c>
      <c r="GA6" s="1543">
        <f t="shared" si="21"/>
        <v>0</v>
      </c>
      <c r="GB6" s="1543">
        <f t="shared" si="21"/>
        <v>0</v>
      </c>
      <c r="GC6" s="1543">
        <f t="shared" si="21"/>
        <v>0</v>
      </c>
      <c r="GD6" s="1543">
        <f t="shared" si="21"/>
        <v>0</v>
      </c>
    </row>
    <row r="7" spans="1:186" s="982" customFormat="1" ht="15.6" x14ac:dyDescent="0.3">
      <c r="A7" s="974">
        <v>5</v>
      </c>
      <c r="B7" s="983" t="s">
        <v>1071</v>
      </c>
      <c r="C7" s="984" t="s">
        <v>1906</v>
      </c>
      <c r="D7" s="983" t="s">
        <v>67</v>
      </c>
      <c r="E7" s="968" t="str">
        <f>IFERROR(VLOOKUP($D7&amp;"."&amp;B7,'Piping Class'!$1:$1048576,MATCH($I7,'Piping Class'!$2:$2,0),0),"")</f>
        <v>ASTM A312-
TP316/316L</v>
      </c>
      <c r="F7" s="985" t="str">
        <f>IFERROR(IF(B7="Flange",VLOOKUP($D7,'Piping Class'!$88:$102,MATCH(F$1,'Piping Class'!$88:$88,0),0),""),"")</f>
        <v/>
      </c>
      <c r="G7" s="968" t="str">
        <f>IFERROR(IF(B7="Flange",VLOOKUP($D7,'Piping Class'!$88:$102,MATCH(G$1,'Piping Class'!$88:$88,0),0),""),"")</f>
        <v/>
      </c>
      <c r="H7" s="968" t="str">
        <f>IFERROR(VLOOKUP($D7,'Piping Class'!$88:$102,MATCH(H$1,'Piping Class'!$88:$88,0),0),"")</f>
        <v>SS</v>
      </c>
      <c r="I7" s="986">
        <v>3</v>
      </c>
      <c r="J7" s="987"/>
      <c r="K7" s="968">
        <f>IFERROR(VLOOKUP(I7,'Thickness Tab'!$1:$1048576,MATCH(L7,'Thickness Tab'!$1:$1,0),0),"")</f>
        <v>5.49</v>
      </c>
      <c r="L7" s="969" t="str">
        <f>IFERROR(VLOOKUP($D7,'Piping Class'!$1:$1048576,MATCH($I7,'Piping Class'!$2:$2,0),0),"")</f>
        <v>40S</v>
      </c>
      <c r="M7" s="968" t="str">
        <f>IFERROR(VLOOKUP(J7,'Thickness Tab'!$1:$1048576,MATCH(N7,'Thickness Tab'!$1:$1,0),0),"")</f>
        <v/>
      </c>
      <c r="N7" s="969" t="str">
        <f>IFERROR(VLOOKUP($D7,'Piping Class'!$1:$1048576,MATCH($J7,'Piping Class'!$2:$2,0),0),"")</f>
        <v/>
      </c>
      <c r="O7" s="968" t="str">
        <f>IFERROR(VLOOKUP($D7,'Piping Class'!$88:$102,MATCH(O$1,'Piping Class'!$88:$88,0),0),"")</f>
        <v>B31.3 / B16.5</v>
      </c>
      <c r="P7" s="968" t="str">
        <f>IFERROR(VLOOKUP($D7,'Piping Class'!$88:$102,MATCH(P$1,'Piping Class'!$88:$88,0),0),"")</f>
        <v>3.1</v>
      </c>
      <c r="Q7" s="983"/>
      <c r="R7" s="988">
        <v>28</v>
      </c>
      <c r="S7" s="969" t="str">
        <f t="shared" si="42"/>
        <v>m</v>
      </c>
      <c r="T7" s="968">
        <f>IFERROR(VLOOKUP(I7&amp;"."&amp;L7,'Fitting Chart'!$1:$1048576,MATCH(C7,'Fitting Chart'!$1:$1,0),0),0)+IF(B7="piping",PI()*K7*(VLOOKUP(I7,'Thickness Tab'!$1:$1048576,3,0)-K7)*7.86/1000,0)+IF(B7="Flange",VLOOKUP(I7&amp;"F"&amp;F7,'Flanges Chart'!$1:$1048576,MATCH(C7&amp;"."&amp;T$1,'Flanges Chart'!$1:$1,0),0),0)</f>
        <v>11.307403351970681</v>
      </c>
      <c r="U7" s="989">
        <f t="shared" si="0"/>
        <v>316.60729385517908</v>
      </c>
      <c r="V7" s="1003">
        <v>15</v>
      </c>
      <c r="W7" s="1001">
        <f t="shared" si="22"/>
        <v>4749.1094078276865</v>
      </c>
      <c r="X7" s="997"/>
      <c r="Y7" s="983"/>
      <c r="Z7" s="989">
        <f>IF(B7="Piping",VLOOKUP(I7,'Thickness Tab'!$1:$1048576,3,0)/1000*PI(),0)+IFERROR(VLOOKUP(I7&amp;"F"&amp;F7,'Flanges Chart'!$1:$1048576,MATCH(C7&amp;".Unit Surface",'Flanges Chart'!$1:$1,0),0),0)+IF(B7="Fitting",VLOOKUP(I7,'Thickness Tab'!$1:$1048576,3,0)/1000*PI(),0)</f>
        <v>0.27928758690413263</v>
      </c>
      <c r="AA7" s="989">
        <f t="shared" si="23"/>
        <v>7.8200524333157135</v>
      </c>
      <c r="AB7" s="983">
        <v>50</v>
      </c>
      <c r="AC7" s="989">
        <f t="shared" si="24"/>
        <v>0.593446852263112</v>
      </c>
      <c r="AD7" s="989">
        <f t="shared" si="25"/>
        <v>16.616511863367137</v>
      </c>
      <c r="AE7" s="974">
        <f>(IFERROR(VLOOKUP($C7,List!$J:$L,2,0),0)*R7+IF(B7="piping",R7,0)+IF(C7="Welding Neck",1,0)*R7)*$AE$2</f>
        <v>22.400000000000002</v>
      </c>
      <c r="AF7" s="970">
        <f>IFERROR(VLOOKUP($C7,List!$J:$L,3,0),0)*R7*$AF$2</f>
        <v>0</v>
      </c>
      <c r="AG7" s="990">
        <f t="shared" si="1"/>
        <v>67.2</v>
      </c>
      <c r="AH7" s="1118">
        <f>IFERROR(VLOOKUP($D7,'Piping Class'!$88:$102,MATCH(AH$1,'Piping Class'!$88:$88,0),0),"")</f>
        <v>0.1</v>
      </c>
      <c r="AI7" s="991">
        <f>IFERROR(VLOOKUP($D7,'Piping Class'!$88:$102,MATCH(AI$1,'Piping Class'!$88:$88,0),0),"")</f>
        <v>1</v>
      </c>
      <c r="AJ7" s="991">
        <f>IFERROR(VLOOKUP($D7,'Piping Class'!$88:$102,MATCH(AJ$1,'Piping Class'!$88:$88,0),0),"")</f>
        <v>1</v>
      </c>
      <c r="AK7" s="991">
        <f>IFERROR(VLOOKUP($D7,'Piping Class'!$88:$102,MATCH(AK$1,'Piping Class'!$88:$88,0),0),"")</f>
        <v>0</v>
      </c>
      <c r="AL7" s="991">
        <f t="shared" si="2"/>
        <v>1</v>
      </c>
      <c r="AM7" s="1119" t="str">
        <f>IFERROR(VLOOKUP($D7,'Piping Class'!$88:$102,MATCH(AM$1,'Piping Class'!$88:$88,0),0),"")</f>
        <v/>
      </c>
      <c r="AN7" s="992">
        <f t="shared" si="26"/>
        <v>56.98931289393223</v>
      </c>
      <c r="AO7" s="993">
        <f>IFERROR(VLOOKUP(I7&amp;"B"&amp;F7,'Bolting Chart'!$1:$1048576,4,0),0)</f>
        <v>0</v>
      </c>
      <c r="AP7" s="993">
        <f t="shared" si="27"/>
        <v>0</v>
      </c>
      <c r="AQ7" s="993">
        <f t="shared" si="28"/>
        <v>0</v>
      </c>
      <c r="AR7" s="993">
        <f>IF(AO7=0,0,VLOOKUP(D7&amp;".bolting",'Piping Class'!$1:$1048576,MATCH(I7,'Piping Class'!$2:$2,0),0))</f>
        <v>0</v>
      </c>
      <c r="AS7" s="994">
        <f>IFERROR(VLOOKUP(I7&amp;"B"&amp;F7,'Bolting Chart'!$1:$1048576,IF(AS$2="UNC",5,6),0),0)</f>
        <v>0</v>
      </c>
      <c r="AT7" s="995">
        <f>IFERROR(VLOOKUP(I7&amp;"B"&amp;F7,'Bolting Chart'!$1:$1048576,IF(G7="RF",8,9),0),0)</f>
        <v>0</v>
      </c>
      <c r="AU7" s="993">
        <f>IF(AO7=0,0,VLOOKUP(D7&amp;".gasket",'Piping Class'!$1:$1048576,MATCH(I7,'Piping Class'!$2:$2,0),0))</f>
        <v>0</v>
      </c>
      <c r="AV7" s="996">
        <f>(IFERROR(INDEX('Bolting Chart'!$A$169:$R$251,MATCH(AT7,'Bolting Chart'!$A$170:$A$251,0),MATCH(IFERROR(VLOOKUP(I7&amp;"B"&amp;F7,'Bolting Chart'!$1:$1048576,7,0),0)+0,'Bolting Chart'!$A$169:$R$169,0)),0))/100</f>
        <v>0</v>
      </c>
      <c r="AW7" s="996">
        <f t="shared" si="3"/>
        <v>0</v>
      </c>
      <c r="AX7" s="1194">
        <f t="shared" si="4"/>
        <v>0</v>
      </c>
      <c r="AY7" s="981"/>
      <c r="AZ7" s="1543">
        <f t="shared" si="29"/>
        <v>0</v>
      </c>
      <c r="BA7" s="1543">
        <f t="shared" si="5"/>
        <v>0</v>
      </c>
      <c r="BB7" s="1543">
        <f t="shared" si="5"/>
        <v>0</v>
      </c>
      <c r="BC7" s="1543">
        <f t="shared" si="5"/>
        <v>0</v>
      </c>
      <c r="BD7" s="1543">
        <f t="shared" si="5"/>
        <v>0</v>
      </c>
      <c r="BE7" s="1543">
        <f t="shared" si="5"/>
        <v>0</v>
      </c>
      <c r="BF7" s="1543">
        <f t="shared" si="5"/>
        <v>1</v>
      </c>
      <c r="BG7" s="1543">
        <f t="shared" si="5"/>
        <v>0</v>
      </c>
      <c r="BH7" s="1543">
        <f t="shared" si="5"/>
        <v>0</v>
      </c>
      <c r="BI7" s="1543">
        <f t="shared" si="5"/>
        <v>0</v>
      </c>
      <c r="BJ7" s="1543">
        <f t="shared" si="5"/>
        <v>0</v>
      </c>
      <c r="BK7" s="1543">
        <f t="shared" si="5"/>
        <v>0</v>
      </c>
      <c r="BL7" s="1543">
        <f t="shared" si="5"/>
        <v>0</v>
      </c>
      <c r="BM7" s="1543">
        <f t="shared" si="5"/>
        <v>0</v>
      </c>
      <c r="BN7" s="1543">
        <f t="shared" si="5"/>
        <v>0</v>
      </c>
      <c r="BO7" s="1543">
        <f t="shared" si="5"/>
        <v>0</v>
      </c>
      <c r="BP7" s="1543">
        <f t="shared" si="5"/>
        <v>0</v>
      </c>
      <c r="BQ7" s="1543">
        <f t="shared" si="5"/>
        <v>0</v>
      </c>
      <c r="BR7" s="1543">
        <f t="shared" si="6"/>
        <v>0</v>
      </c>
      <c r="BS7" s="1543">
        <f t="shared" si="6"/>
        <v>0</v>
      </c>
      <c r="BT7" s="1543">
        <f t="shared" si="6"/>
        <v>0</v>
      </c>
      <c r="BU7" s="1543">
        <f t="shared" si="6"/>
        <v>0</v>
      </c>
      <c r="BV7" s="1543">
        <f t="shared" si="6"/>
        <v>0</v>
      </c>
      <c r="BW7" s="1543">
        <f t="shared" si="6"/>
        <v>0</v>
      </c>
      <c r="BX7" s="1543">
        <f t="shared" si="6"/>
        <v>0</v>
      </c>
      <c r="BY7" s="1543">
        <f t="shared" si="6"/>
        <v>0</v>
      </c>
      <c r="BZ7" s="1543">
        <f t="shared" si="6"/>
        <v>0</v>
      </c>
      <c r="CB7" s="1543">
        <f t="shared" si="30"/>
        <v>0</v>
      </c>
      <c r="CC7" s="1543">
        <f t="shared" si="7"/>
        <v>0</v>
      </c>
      <c r="CD7" s="1543">
        <f t="shared" si="7"/>
        <v>0</v>
      </c>
      <c r="CE7" s="1543">
        <f t="shared" si="7"/>
        <v>0</v>
      </c>
      <c r="CF7" s="1543">
        <f t="shared" si="7"/>
        <v>0</v>
      </c>
      <c r="CG7" s="1543">
        <f t="shared" si="7"/>
        <v>0</v>
      </c>
      <c r="CH7" s="1543">
        <f t="shared" si="7"/>
        <v>0</v>
      </c>
      <c r="CI7" s="1543">
        <f t="shared" si="7"/>
        <v>0</v>
      </c>
      <c r="CJ7" s="1543">
        <f t="shared" si="7"/>
        <v>0</v>
      </c>
      <c r="CK7" s="1543">
        <f t="shared" si="7"/>
        <v>0</v>
      </c>
      <c r="CL7" s="1543">
        <f t="shared" si="7"/>
        <v>0</v>
      </c>
      <c r="CM7" s="1543">
        <f t="shared" si="7"/>
        <v>0</v>
      </c>
      <c r="CN7" s="1543">
        <f t="shared" si="7"/>
        <v>0</v>
      </c>
      <c r="CO7" s="1543">
        <f t="shared" si="7"/>
        <v>0</v>
      </c>
      <c r="CP7" s="1543">
        <f t="shared" si="7"/>
        <v>0</v>
      </c>
      <c r="CQ7" s="1543">
        <f t="shared" si="7"/>
        <v>0</v>
      </c>
      <c r="CR7" s="1543">
        <f t="shared" si="7"/>
        <v>0</v>
      </c>
      <c r="CS7" s="1543">
        <f t="shared" si="7"/>
        <v>0</v>
      </c>
      <c r="CT7" s="1543">
        <f t="shared" si="8"/>
        <v>0</v>
      </c>
      <c r="CU7" s="1543">
        <f t="shared" si="8"/>
        <v>0</v>
      </c>
      <c r="CV7" s="1543">
        <f t="shared" si="8"/>
        <v>0</v>
      </c>
      <c r="CW7" s="1543">
        <f t="shared" si="8"/>
        <v>0</v>
      </c>
      <c r="CX7" s="1543">
        <f t="shared" si="8"/>
        <v>0</v>
      </c>
      <c r="CY7" s="1543">
        <f t="shared" si="8"/>
        <v>0</v>
      </c>
      <c r="CZ7" s="1543">
        <f t="shared" si="8"/>
        <v>0</v>
      </c>
      <c r="DA7" s="1543">
        <f t="shared" si="8"/>
        <v>0</v>
      </c>
      <c r="DB7" s="1543">
        <f t="shared" si="8"/>
        <v>0</v>
      </c>
      <c r="DD7" s="1543">
        <f t="shared" si="9"/>
        <v>0</v>
      </c>
      <c r="DE7" s="1543">
        <f t="shared" si="10"/>
        <v>1</v>
      </c>
      <c r="DF7" s="1543">
        <f t="shared" si="11"/>
        <v>0</v>
      </c>
      <c r="DG7" s="1543">
        <f t="shared" si="31"/>
        <v>0</v>
      </c>
      <c r="DI7" s="1543">
        <f t="shared" si="32"/>
        <v>0</v>
      </c>
      <c r="DJ7" s="1543">
        <f t="shared" si="12"/>
        <v>0</v>
      </c>
      <c r="DK7" s="1543">
        <f t="shared" si="12"/>
        <v>1</v>
      </c>
      <c r="DL7" s="1543">
        <f t="shared" si="12"/>
        <v>0</v>
      </c>
      <c r="DM7" s="1543">
        <f t="shared" si="12"/>
        <v>0</v>
      </c>
      <c r="DO7" s="1543">
        <f t="shared" si="13"/>
        <v>0</v>
      </c>
      <c r="DP7" s="1543">
        <f t="shared" si="14"/>
        <v>0</v>
      </c>
      <c r="DQ7" s="1543">
        <f t="shared" si="14"/>
        <v>0</v>
      </c>
      <c r="DR7" s="1543">
        <f t="shared" si="14"/>
        <v>0</v>
      </c>
      <c r="DS7" s="1543">
        <f t="shared" si="14"/>
        <v>0</v>
      </c>
      <c r="DT7" s="1543">
        <f t="shared" si="14"/>
        <v>0</v>
      </c>
      <c r="DU7" s="1543">
        <f t="shared" si="14"/>
        <v>0</v>
      </c>
      <c r="DV7" s="1543">
        <f t="shared" si="14"/>
        <v>0</v>
      </c>
      <c r="DW7" s="1543">
        <f t="shared" si="14"/>
        <v>0</v>
      </c>
      <c r="DX7" s="1543">
        <f t="shared" si="14"/>
        <v>0</v>
      </c>
      <c r="DY7" s="1543">
        <f t="shared" si="14"/>
        <v>0</v>
      </c>
      <c r="DZ7" s="1543">
        <f t="shared" si="14"/>
        <v>0</v>
      </c>
      <c r="EA7" s="1543">
        <f t="shared" si="14"/>
        <v>0</v>
      </c>
      <c r="EB7" s="1543">
        <f t="shared" si="15"/>
        <v>0</v>
      </c>
      <c r="EC7" s="1543">
        <f t="shared" si="15"/>
        <v>0</v>
      </c>
      <c r="ED7" s="1543">
        <f t="shared" si="15"/>
        <v>0</v>
      </c>
      <c r="EE7" s="1543">
        <f t="shared" si="15"/>
        <v>1</v>
      </c>
      <c r="EF7" s="1543">
        <f t="shared" si="15"/>
        <v>0</v>
      </c>
      <c r="EH7" s="1543">
        <f t="shared" si="33"/>
        <v>1</v>
      </c>
      <c r="EI7" s="1543">
        <f t="shared" si="34"/>
        <v>0</v>
      </c>
      <c r="EJ7" s="1543">
        <f t="shared" si="35"/>
        <v>0</v>
      </c>
      <c r="EK7" s="1543">
        <f t="shared" si="36"/>
        <v>0</v>
      </c>
      <c r="EL7" s="1543">
        <f t="shared" si="37"/>
        <v>0</v>
      </c>
      <c r="EM7" s="1543">
        <f t="shared" si="38"/>
        <v>0</v>
      </c>
      <c r="EN7" s="1543">
        <f t="shared" si="39"/>
        <v>0</v>
      </c>
      <c r="EP7" s="1543">
        <f t="shared" si="16"/>
        <v>0</v>
      </c>
      <c r="EQ7" s="1543">
        <f t="shared" si="16"/>
        <v>0</v>
      </c>
      <c r="ER7" s="1543">
        <f t="shared" si="16"/>
        <v>0</v>
      </c>
      <c r="ES7" s="1543">
        <f t="shared" si="16"/>
        <v>0</v>
      </c>
      <c r="ET7" s="1543">
        <f t="shared" si="17"/>
        <v>0</v>
      </c>
      <c r="EU7" s="1543">
        <f t="shared" si="17"/>
        <v>0</v>
      </c>
      <c r="EV7" s="1543">
        <f t="shared" si="17"/>
        <v>0</v>
      </c>
      <c r="EW7" s="1543">
        <f t="shared" si="17"/>
        <v>0</v>
      </c>
      <c r="EX7" s="1543">
        <f t="shared" si="17"/>
        <v>0</v>
      </c>
      <c r="EY7" s="1543">
        <f t="shared" si="17"/>
        <v>0</v>
      </c>
      <c r="EZ7" s="1543">
        <f t="shared" si="17"/>
        <v>0</v>
      </c>
      <c r="FA7" s="1543">
        <f t="shared" si="17"/>
        <v>0</v>
      </c>
      <c r="FB7" s="1543">
        <f t="shared" si="17"/>
        <v>0</v>
      </c>
      <c r="FC7" s="1543">
        <f t="shared" si="17"/>
        <v>0</v>
      </c>
      <c r="FD7" s="1543">
        <f t="shared" si="17"/>
        <v>0</v>
      </c>
      <c r="FE7" s="1543">
        <f t="shared" si="17"/>
        <v>0</v>
      </c>
      <c r="FF7" s="1543">
        <f t="shared" si="40"/>
        <v>1</v>
      </c>
      <c r="FH7" s="1543">
        <f t="shared" si="18"/>
        <v>0</v>
      </c>
      <c r="FI7" s="1543">
        <f t="shared" si="19"/>
        <v>0</v>
      </c>
      <c r="FJ7" s="1543">
        <f t="shared" si="19"/>
        <v>0</v>
      </c>
      <c r="FK7" s="1543">
        <f t="shared" si="19"/>
        <v>0</v>
      </c>
      <c r="FL7" s="1543">
        <f t="shared" si="19"/>
        <v>0</v>
      </c>
      <c r="FM7" s="1543">
        <f t="shared" si="19"/>
        <v>0</v>
      </c>
      <c r="FN7" s="1543">
        <f t="shared" si="19"/>
        <v>0</v>
      </c>
      <c r="FO7" s="1543">
        <f t="shared" si="19"/>
        <v>0</v>
      </c>
      <c r="FP7" s="1543">
        <f t="shared" si="19"/>
        <v>0</v>
      </c>
      <c r="FQ7" s="1543">
        <f t="shared" si="19"/>
        <v>0</v>
      </c>
      <c r="FR7" s="1543">
        <f t="shared" si="19"/>
        <v>0</v>
      </c>
      <c r="FS7" s="1543">
        <f t="shared" si="19"/>
        <v>0</v>
      </c>
      <c r="FT7" s="1543">
        <f t="shared" si="41"/>
        <v>1</v>
      </c>
      <c r="FV7" s="1543">
        <f t="shared" si="20"/>
        <v>0</v>
      </c>
      <c r="FW7" s="1543">
        <f t="shared" si="21"/>
        <v>0</v>
      </c>
      <c r="FX7" s="1543">
        <f t="shared" si="21"/>
        <v>0</v>
      </c>
      <c r="FY7" s="1543">
        <f t="shared" si="21"/>
        <v>1</v>
      </c>
      <c r="FZ7" s="1543">
        <f t="shared" si="21"/>
        <v>0</v>
      </c>
      <c r="GA7" s="1543">
        <f t="shared" si="21"/>
        <v>0</v>
      </c>
      <c r="GB7" s="1543">
        <f t="shared" si="21"/>
        <v>0</v>
      </c>
      <c r="GC7" s="1543">
        <f t="shared" si="21"/>
        <v>0</v>
      </c>
      <c r="GD7" s="1543">
        <f t="shared" si="21"/>
        <v>0</v>
      </c>
    </row>
    <row r="8" spans="1:186" s="982" customFormat="1" ht="15.6" x14ac:dyDescent="0.3">
      <c r="A8" s="974">
        <v>6</v>
      </c>
      <c r="B8" s="983" t="s">
        <v>1071</v>
      </c>
      <c r="C8" s="984" t="s">
        <v>1906</v>
      </c>
      <c r="D8" s="983" t="s">
        <v>67</v>
      </c>
      <c r="E8" s="968" t="str">
        <f>IFERROR(VLOOKUP($D8&amp;"."&amp;B8,'Piping Class'!$1:$1048576,MATCH($I8,'Piping Class'!$2:$2,0),0),"")</f>
        <v>ASTM A312-
TP316/316L</v>
      </c>
      <c r="F8" s="985" t="str">
        <f>IFERROR(IF(B8="Flange",VLOOKUP($D8,'Piping Class'!$88:$102,MATCH(F$1,'Piping Class'!$88:$88,0),0),""),"")</f>
        <v/>
      </c>
      <c r="G8" s="968" t="str">
        <f>IFERROR(IF(B8="Flange",VLOOKUP($D8,'Piping Class'!$88:$102,MATCH(G$1,'Piping Class'!$88:$88,0),0),""),"")</f>
        <v/>
      </c>
      <c r="H8" s="968" t="str">
        <f>IFERROR(VLOOKUP($D8,'Piping Class'!$88:$102,MATCH(H$1,'Piping Class'!$88:$88,0),0),"")</f>
        <v>SS</v>
      </c>
      <c r="I8" s="986">
        <v>1.5</v>
      </c>
      <c r="J8" s="987"/>
      <c r="K8" s="968">
        <f>IFERROR(VLOOKUP(I8,'Thickness Tab'!$1:$1048576,MATCH(L8,'Thickness Tab'!$1:$1,0),0),"")</f>
        <v>5.08</v>
      </c>
      <c r="L8" s="969" t="str">
        <f>IFERROR(VLOOKUP($D8,'Piping Class'!$1:$1048576,MATCH($I8,'Piping Class'!$2:$2,0),0),"")</f>
        <v>80S</v>
      </c>
      <c r="M8" s="968" t="str">
        <f>IFERROR(VLOOKUP(J8,'Thickness Tab'!$1:$1048576,MATCH(N8,'Thickness Tab'!$1:$1,0),0),"")</f>
        <v/>
      </c>
      <c r="N8" s="969" t="str">
        <f>IFERROR(VLOOKUP($D8,'Piping Class'!$1:$1048576,MATCH($J8,'Piping Class'!$2:$2,0),0),"")</f>
        <v/>
      </c>
      <c r="O8" s="968" t="str">
        <f>IFERROR(VLOOKUP($D8,'Piping Class'!$88:$102,MATCH(O$1,'Piping Class'!$88:$88,0),0),"")</f>
        <v>B31.3 / B16.5</v>
      </c>
      <c r="P8" s="968" t="str">
        <f>IFERROR(VLOOKUP($D8,'Piping Class'!$88:$102,MATCH(P$1,'Piping Class'!$88:$88,0),0),"")</f>
        <v>3.1</v>
      </c>
      <c r="Q8" s="983"/>
      <c r="R8" s="988">
        <v>0</v>
      </c>
      <c r="S8" s="969" t="str">
        <f t="shared" si="42"/>
        <v>m</v>
      </c>
      <c r="T8" s="968">
        <f>IFERROR(VLOOKUP(I8&amp;"."&amp;L8,'Fitting Chart'!$1:$1048576,MATCH(C8,'Fitting Chart'!$1:$1,0),0),0)+IF(B8="piping",PI()*K8*(VLOOKUP(I8,'Thickness Tab'!$1:$1048576,3,0)-K8)*7.86/1000,0)+IF(B8="Flange",VLOOKUP(I8&amp;"F"&amp;F8,'Flanges Chart'!$1:$1048576,MATCH(C8&amp;"."&amp;T$1,'Flanges Chart'!$1:$1,0),0),0)</f>
        <v>5.4165002685606121</v>
      </c>
      <c r="U8" s="989">
        <f t="shared" si="0"/>
        <v>0</v>
      </c>
      <c r="V8" s="1003">
        <v>15</v>
      </c>
      <c r="W8" s="1001">
        <f t="shared" si="22"/>
        <v>0</v>
      </c>
      <c r="X8" s="997"/>
      <c r="Y8" s="983"/>
      <c r="Z8" s="989">
        <f>IF(B8="Piping",VLOOKUP(I8,'Thickness Tab'!$1:$1048576,3,0)/1000*PI(),0)+IFERROR(VLOOKUP(I8&amp;"F"&amp;F8,'Flanges Chart'!$1:$1048576,MATCH(C8&amp;".Unit Surface",'Flanges Chart'!$1:$1,0),0),0)+IF(B8="Fitting",VLOOKUP(I8,'Thickness Tab'!$1:$1048576,3,0)/1000*PI(),0)</f>
        <v>0.15161326146224341</v>
      </c>
      <c r="AA8" s="989">
        <f t="shared" si="23"/>
        <v>0</v>
      </c>
      <c r="AB8" s="983">
        <v>50</v>
      </c>
      <c r="AC8" s="989">
        <f t="shared" si="24"/>
        <v>0.46577252682122272</v>
      </c>
      <c r="AD8" s="989">
        <f t="shared" si="25"/>
        <v>0</v>
      </c>
      <c r="AE8" s="974">
        <f>(IFERROR(VLOOKUP($C8,List!$J:$L,2,0),0)*R8+IF(B8="piping",R8,0)+IF(C8="Welding Neck",1,0)*R8)*$AE$2</f>
        <v>0</v>
      </c>
      <c r="AF8" s="970">
        <f>IFERROR(VLOOKUP($C8,List!$J:$L,3,0),0)*R8*$AF$2</f>
        <v>0</v>
      </c>
      <c r="AG8" s="990">
        <f t="shared" si="1"/>
        <v>0</v>
      </c>
      <c r="AH8" s="1118">
        <f>IFERROR(VLOOKUP($D8,'Piping Class'!$88:$102,MATCH(AH$1,'Piping Class'!$88:$88,0),0),"")</f>
        <v>0.1</v>
      </c>
      <c r="AI8" s="991">
        <f>IFERROR(VLOOKUP($D8,'Piping Class'!$88:$102,MATCH(AI$1,'Piping Class'!$88:$88,0),0),"")</f>
        <v>1</v>
      </c>
      <c r="AJ8" s="991">
        <f>IFERROR(VLOOKUP($D8,'Piping Class'!$88:$102,MATCH(AJ$1,'Piping Class'!$88:$88,0),0),"")</f>
        <v>1</v>
      </c>
      <c r="AK8" s="991">
        <f>IFERROR(VLOOKUP($D8,'Piping Class'!$88:$102,MATCH(AK$1,'Piping Class'!$88:$88,0),0),"")</f>
        <v>0</v>
      </c>
      <c r="AL8" s="991">
        <f t="shared" si="2"/>
        <v>1</v>
      </c>
      <c r="AM8" s="1119" t="str">
        <f>IFERROR(VLOOKUP($D8,'Piping Class'!$88:$102,MATCH(AM$1,'Piping Class'!$88:$88,0),0),"")</f>
        <v/>
      </c>
      <c r="AN8" s="992">
        <f t="shared" si="26"/>
        <v>0</v>
      </c>
      <c r="AO8" s="993">
        <f>IFERROR(VLOOKUP(I8&amp;"B"&amp;F8,'Bolting Chart'!$1:$1048576,4,0),0)</f>
        <v>0</v>
      </c>
      <c r="AP8" s="993">
        <f t="shared" si="27"/>
        <v>0</v>
      </c>
      <c r="AQ8" s="993">
        <f t="shared" si="28"/>
        <v>0</v>
      </c>
      <c r="AR8" s="993">
        <f>IF(AO8=0,0,VLOOKUP(D8&amp;".bolting",'Piping Class'!$1:$1048576,MATCH(I8,'Piping Class'!$2:$2,0),0))</f>
        <v>0</v>
      </c>
      <c r="AS8" s="994">
        <f>IFERROR(VLOOKUP(I8&amp;"B"&amp;F8,'Bolting Chart'!$1:$1048576,IF(AS$2="UNC",5,6),0),0)</f>
        <v>0</v>
      </c>
      <c r="AT8" s="995">
        <f>IFERROR(VLOOKUP(I8&amp;"B"&amp;F8,'Bolting Chart'!$1:$1048576,IF(G8="RF",8,9),0),0)</f>
        <v>0</v>
      </c>
      <c r="AU8" s="993">
        <f>IF(AO8=0,0,VLOOKUP(D8&amp;".gasket",'Piping Class'!$1:$1048576,MATCH(I8,'Piping Class'!$2:$2,0),0))</f>
        <v>0</v>
      </c>
      <c r="AV8" s="996">
        <f>(IFERROR(INDEX('Bolting Chart'!$A$169:$R$251,MATCH(AT8,'Bolting Chart'!$A$170:$A$251,0),MATCH(IFERROR(VLOOKUP(I8&amp;"B"&amp;F8,'Bolting Chart'!$1:$1048576,7,0),0)+0,'Bolting Chart'!$A$169:$R$169,0)),0))/100</f>
        <v>0</v>
      </c>
      <c r="AW8" s="996">
        <f t="shared" si="3"/>
        <v>0</v>
      </c>
      <c r="AX8" s="1194">
        <f t="shared" si="4"/>
        <v>0</v>
      </c>
      <c r="AY8" s="981"/>
      <c r="AZ8" s="1543">
        <f t="shared" si="29"/>
        <v>0</v>
      </c>
      <c r="BA8" s="1543">
        <f t="shared" si="5"/>
        <v>0</v>
      </c>
      <c r="BB8" s="1543">
        <f t="shared" si="5"/>
        <v>0</v>
      </c>
      <c r="BC8" s="1543">
        <f t="shared" si="5"/>
        <v>1</v>
      </c>
      <c r="BD8" s="1543">
        <f t="shared" si="5"/>
        <v>0</v>
      </c>
      <c r="BE8" s="1543">
        <f t="shared" si="5"/>
        <v>0</v>
      </c>
      <c r="BF8" s="1543">
        <f t="shared" si="5"/>
        <v>0</v>
      </c>
      <c r="BG8" s="1543">
        <f t="shared" si="5"/>
        <v>0</v>
      </c>
      <c r="BH8" s="1543">
        <f t="shared" si="5"/>
        <v>0</v>
      </c>
      <c r="BI8" s="1543">
        <f t="shared" si="5"/>
        <v>0</v>
      </c>
      <c r="BJ8" s="1543">
        <f t="shared" si="5"/>
        <v>0</v>
      </c>
      <c r="BK8" s="1543">
        <f t="shared" si="5"/>
        <v>0</v>
      </c>
      <c r="BL8" s="1543">
        <f t="shared" si="5"/>
        <v>0</v>
      </c>
      <c r="BM8" s="1543">
        <f t="shared" si="5"/>
        <v>0</v>
      </c>
      <c r="BN8" s="1543">
        <f t="shared" si="5"/>
        <v>0</v>
      </c>
      <c r="BO8" s="1543">
        <f t="shared" si="5"/>
        <v>0</v>
      </c>
      <c r="BP8" s="1543">
        <f t="shared" si="5"/>
        <v>0</v>
      </c>
      <c r="BQ8" s="1543">
        <f t="shared" si="5"/>
        <v>0</v>
      </c>
      <c r="BR8" s="1543">
        <f t="shared" si="6"/>
        <v>0</v>
      </c>
      <c r="BS8" s="1543">
        <f t="shared" si="6"/>
        <v>0</v>
      </c>
      <c r="BT8" s="1543">
        <f t="shared" si="6"/>
        <v>0</v>
      </c>
      <c r="BU8" s="1543">
        <f t="shared" si="6"/>
        <v>0</v>
      </c>
      <c r="BV8" s="1543">
        <f t="shared" si="6"/>
        <v>0</v>
      </c>
      <c r="BW8" s="1543">
        <f t="shared" si="6"/>
        <v>0</v>
      </c>
      <c r="BX8" s="1543">
        <f t="shared" si="6"/>
        <v>0</v>
      </c>
      <c r="BY8" s="1543">
        <f t="shared" si="6"/>
        <v>0</v>
      </c>
      <c r="BZ8" s="1543">
        <f t="shared" si="6"/>
        <v>0</v>
      </c>
      <c r="CB8" s="1543">
        <f t="shared" si="30"/>
        <v>0</v>
      </c>
      <c r="CC8" s="1543">
        <f t="shared" si="7"/>
        <v>0</v>
      </c>
      <c r="CD8" s="1543">
        <f t="shared" si="7"/>
        <v>0</v>
      </c>
      <c r="CE8" s="1543">
        <f t="shared" si="7"/>
        <v>0</v>
      </c>
      <c r="CF8" s="1543">
        <f t="shared" si="7"/>
        <v>0</v>
      </c>
      <c r="CG8" s="1543">
        <f t="shared" si="7"/>
        <v>0</v>
      </c>
      <c r="CH8" s="1543">
        <f t="shared" si="7"/>
        <v>0</v>
      </c>
      <c r="CI8" s="1543">
        <f t="shared" si="7"/>
        <v>0</v>
      </c>
      <c r="CJ8" s="1543">
        <f t="shared" si="7"/>
        <v>0</v>
      </c>
      <c r="CK8" s="1543">
        <f t="shared" si="7"/>
        <v>0</v>
      </c>
      <c r="CL8" s="1543">
        <f t="shared" si="7"/>
        <v>0</v>
      </c>
      <c r="CM8" s="1543">
        <f t="shared" si="7"/>
        <v>0</v>
      </c>
      <c r="CN8" s="1543">
        <f t="shared" si="7"/>
        <v>0</v>
      </c>
      <c r="CO8" s="1543">
        <f t="shared" si="7"/>
        <v>0</v>
      </c>
      <c r="CP8" s="1543">
        <f t="shared" si="7"/>
        <v>0</v>
      </c>
      <c r="CQ8" s="1543">
        <f t="shared" si="7"/>
        <v>0</v>
      </c>
      <c r="CR8" s="1543">
        <f t="shared" si="7"/>
        <v>0</v>
      </c>
      <c r="CS8" s="1543">
        <f t="shared" si="7"/>
        <v>0</v>
      </c>
      <c r="CT8" s="1543">
        <f t="shared" si="8"/>
        <v>0</v>
      </c>
      <c r="CU8" s="1543">
        <f t="shared" si="8"/>
        <v>0</v>
      </c>
      <c r="CV8" s="1543">
        <f t="shared" si="8"/>
        <v>0</v>
      </c>
      <c r="CW8" s="1543">
        <f t="shared" si="8"/>
        <v>0</v>
      </c>
      <c r="CX8" s="1543">
        <f t="shared" si="8"/>
        <v>0</v>
      </c>
      <c r="CY8" s="1543">
        <f t="shared" si="8"/>
        <v>0</v>
      </c>
      <c r="CZ8" s="1543">
        <f t="shared" si="8"/>
        <v>0</v>
      </c>
      <c r="DA8" s="1543">
        <f t="shared" si="8"/>
        <v>0</v>
      </c>
      <c r="DB8" s="1543">
        <f t="shared" si="8"/>
        <v>0</v>
      </c>
      <c r="DD8" s="1543">
        <f t="shared" si="9"/>
        <v>1</v>
      </c>
      <c r="DE8" s="1543">
        <f t="shared" si="10"/>
        <v>0</v>
      </c>
      <c r="DF8" s="1543">
        <f t="shared" si="11"/>
        <v>0</v>
      </c>
      <c r="DG8" s="1543">
        <f t="shared" si="31"/>
        <v>0</v>
      </c>
      <c r="DI8" s="1543">
        <f t="shared" si="32"/>
        <v>0</v>
      </c>
      <c r="DJ8" s="1543">
        <f t="shared" si="12"/>
        <v>0</v>
      </c>
      <c r="DK8" s="1543">
        <f t="shared" si="12"/>
        <v>1</v>
      </c>
      <c r="DL8" s="1543">
        <f t="shared" si="12"/>
        <v>0</v>
      </c>
      <c r="DM8" s="1543">
        <f t="shared" si="12"/>
        <v>0</v>
      </c>
      <c r="DO8" s="1543">
        <f t="shared" si="13"/>
        <v>0</v>
      </c>
      <c r="DP8" s="1543">
        <f t="shared" si="14"/>
        <v>0</v>
      </c>
      <c r="DQ8" s="1543">
        <f t="shared" si="14"/>
        <v>0</v>
      </c>
      <c r="DR8" s="1543">
        <f t="shared" si="14"/>
        <v>0</v>
      </c>
      <c r="DS8" s="1543">
        <f t="shared" si="14"/>
        <v>0</v>
      </c>
      <c r="DT8" s="1543">
        <f t="shared" si="14"/>
        <v>0</v>
      </c>
      <c r="DU8" s="1543">
        <f t="shared" si="14"/>
        <v>0</v>
      </c>
      <c r="DV8" s="1543">
        <f t="shared" si="14"/>
        <v>0</v>
      </c>
      <c r="DW8" s="1543">
        <f t="shared" si="14"/>
        <v>0</v>
      </c>
      <c r="DX8" s="1543">
        <f t="shared" si="14"/>
        <v>0</v>
      </c>
      <c r="DY8" s="1543">
        <f t="shared" si="14"/>
        <v>0</v>
      </c>
      <c r="DZ8" s="1543">
        <f t="shared" si="14"/>
        <v>0</v>
      </c>
      <c r="EA8" s="1543">
        <f t="shared" si="14"/>
        <v>0</v>
      </c>
      <c r="EB8" s="1543">
        <f t="shared" si="15"/>
        <v>0</v>
      </c>
      <c r="EC8" s="1543">
        <f t="shared" si="15"/>
        <v>0</v>
      </c>
      <c r="ED8" s="1543">
        <f t="shared" si="15"/>
        <v>0</v>
      </c>
      <c r="EE8" s="1543">
        <f t="shared" si="15"/>
        <v>0</v>
      </c>
      <c r="EF8" s="1543">
        <f t="shared" si="15"/>
        <v>1</v>
      </c>
      <c r="EH8" s="1543">
        <f t="shared" si="33"/>
        <v>0</v>
      </c>
      <c r="EI8" s="1543">
        <f t="shared" si="34"/>
        <v>0</v>
      </c>
      <c r="EJ8" s="1543">
        <f t="shared" si="35"/>
        <v>1</v>
      </c>
      <c r="EK8" s="1543">
        <f t="shared" si="36"/>
        <v>0</v>
      </c>
      <c r="EL8" s="1543">
        <f t="shared" si="37"/>
        <v>0</v>
      </c>
      <c r="EM8" s="1543">
        <f t="shared" si="38"/>
        <v>0</v>
      </c>
      <c r="EN8" s="1543">
        <f t="shared" si="39"/>
        <v>0</v>
      </c>
      <c r="EP8" s="1543">
        <f t="shared" si="16"/>
        <v>0</v>
      </c>
      <c r="EQ8" s="1543">
        <f t="shared" si="16"/>
        <v>0</v>
      </c>
      <c r="ER8" s="1543">
        <f t="shared" si="16"/>
        <v>0</v>
      </c>
      <c r="ES8" s="1543">
        <f t="shared" si="16"/>
        <v>0</v>
      </c>
      <c r="ET8" s="1543">
        <f t="shared" si="17"/>
        <v>0</v>
      </c>
      <c r="EU8" s="1543">
        <f t="shared" si="17"/>
        <v>0</v>
      </c>
      <c r="EV8" s="1543">
        <f t="shared" si="17"/>
        <v>0</v>
      </c>
      <c r="EW8" s="1543">
        <f t="shared" si="17"/>
        <v>0</v>
      </c>
      <c r="EX8" s="1543">
        <f t="shared" si="17"/>
        <v>0</v>
      </c>
      <c r="EY8" s="1543">
        <f t="shared" si="17"/>
        <v>0</v>
      </c>
      <c r="EZ8" s="1543">
        <f t="shared" si="17"/>
        <v>0</v>
      </c>
      <c r="FA8" s="1543">
        <f t="shared" si="17"/>
        <v>0</v>
      </c>
      <c r="FB8" s="1543">
        <f t="shared" si="17"/>
        <v>0</v>
      </c>
      <c r="FC8" s="1543">
        <f t="shared" si="17"/>
        <v>0</v>
      </c>
      <c r="FD8" s="1543">
        <f t="shared" si="17"/>
        <v>0</v>
      </c>
      <c r="FE8" s="1543">
        <f t="shared" si="17"/>
        <v>0</v>
      </c>
      <c r="FF8" s="1543">
        <f t="shared" si="40"/>
        <v>1</v>
      </c>
      <c r="FH8" s="1543">
        <f t="shared" si="18"/>
        <v>0</v>
      </c>
      <c r="FI8" s="1543">
        <f t="shared" si="19"/>
        <v>0</v>
      </c>
      <c r="FJ8" s="1543">
        <f t="shared" si="19"/>
        <v>0</v>
      </c>
      <c r="FK8" s="1543">
        <f t="shared" si="19"/>
        <v>0</v>
      </c>
      <c r="FL8" s="1543">
        <f t="shared" si="19"/>
        <v>0</v>
      </c>
      <c r="FM8" s="1543">
        <f t="shared" si="19"/>
        <v>0</v>
      </c>
      <c r="FN8" s="1543">
        <f t="shared" si="19"/>
        <v>0</v>
      </c>
      <c r="FO8" s="1543">
        <f t="shared" si="19"/>
        <v>0</v>
      </c>
      <c r="FP8" s="1543">
        <f t="shared" si="19"/>
        <v>0</v>
      </c>
      <c r="FQ8" s="1543">
        <f t="shared" si="19"/>
        <v>0</v>
      </c>
      <c r="FR8" s="1543">
        <f t="shared" si="19"/>
        <v>0</v>
      </c>
      <c r="FS8" s="1543">
        <f t="shared" si="19"/>
        <v>0</v>
      </c>
      <c r="FT8" s="1543">
        <f t="shared" si="41"/>
        <v>1</v>
      </c>
      <c r="FV8" s="1543">
        <f t="shared" si="20"/>
        <v>0</v>
      </c>
      <c r="FW8" s="1543">
        <f t="shared" si="21"/>
        <v>0</v>
      </c>
      <c r="FX8" s="1543">
        <f t="shared" si="21"/>
        <v>0</v>
      </c>
      <c r="FY8" s="1543">
        <f t="shared" si="21"/>
        <v>1</v>
      </c>
      <c r="FZ8" s="1543">
        <f t="shared" si="21"/>
        <v>0</v>
      </c>
      <c r="GA8" s="1543">
        <f t="shared" si="21"/>
        <v>0</v>
      </c>
      <c r="GB8" s="1543">
        <f t="shared" si="21"/>
        <v>0</v>
      </c>
      <c r="GC8" s="1543">
        <f t="shared" si="21"/>
        <v>0</v>
      </c>
      <c r="GD8" s="1543">
        <f t="shared" si="21"/>
        <v>0</v>
      </c>
    </row>
    <row r="9" spans="1:186" s="982" customFormat="1" ht="15.6" x14ac:dyDescent="0.3">
      <c r="A9" s="974">
        <v>7</v>
      </c>
      <c r="B9" s="983" t="s">
        <v>1071</v>
      </c>
      <c r="C9" s="984" t="s">
        <v>1906</v>
      </c>
      <c r="D9" s="983" t="s">
        <v>67</v>
      </c>
      <c r="E9" s="968" t="str">
        <f>IFERROR(VLOOKUP($D9&amp;"."&amp;B9,'Piping Class'!$1:$1048576,MATCH($I9,'Piping Class'!$2:$2,0),0),"")</f>
        <v>ASTM A312-
TP316/316L</v>
      </c>
      <c r="F9" s="985" t="str">
        <f>IFERROR(IF(B9="Flange",VLOOKUP($D9,'Piping Class'!$88:$102,MATCH(F$1,'Piping Class'!$88:$88,0),0),""),"")</f>
        <v/>
      </c>
      <c r="G9" s="968" t="str">
        <f>IFERROR(IF(B9="Flange",VLOOKUP($D9,'Piping Class'!$88:$102,MATCH(G$1,'Piping Class'!$88:$88,0),0),""),"")</f>
        <v/>
      </c>
      <c r="H9" s="968" t="str">
        <f>IFERROR(VLOOKUP($D9,'Piping Class'!$88:$102,MATCH(H$1,'Piping Class'!$88:$88,0),0),"")</f>
        <v>SS</v>
      </c>
      <c r="I9" s="986">
        <v>2</v>
      </c>
      <c r="J9" s="987"/>
      <c r="K9" s="968">
        <f>IFERROR(VLOOKUP(I9,'Thickness Tab'!$1:$1048576,MATCH(L9,'Thickness Tab'!$1:$1,0),0),"")</f>
        <v>3.91</v>
      </c>
      <c r="L9" s="969" t="str">
        <f>IFERROR(VLOOKUP($D9,'Piping Class'!$1:$1048576,MATCH($I9,'Piping Class'!$2:$2,0),0),"")</f>
        <v>40S</v>
      </c>
      <c r="M9" s="968" t="str">
        <f>IFERROR(VLOOKUP(J9,'Thickness Tab'!$1:$1048576,MATCH(N9,'Thickness Tab'!$1:$1,0),0),"")</f>
        <v/>
      </c>
      <c r="N9" s="969" t="str">
        <f>IFERROR(VLOOKUP($D9,'Piping Class'!$1:$1048576,MATCH($J9,'Piping Class'!$2:$2,0),0),"")</f>
        <v/>
      </c>
      <c r="O9" s="968" t="str">
        <f>IFERROR(VLOOKUP($D9,'Piping Class'!$88:$102,MATCH(O$1,'Piping Class'!$88:$88,0),0),"")</f>
        <v>B31.3 / B16.5</v>
      </c>
      <c r="P9" s="968" t="str">
        <f>IFERROR(VLOOKUP($D9,'Piping Class'!$88:$102,MATCH(P$1,'Piping Class'!$88:$88,0),0),"")</f>
        <v>3.1</v>
      </c>
      <c r="Q9" s="983"/>
      <c r="R9" s="988">
        <v>0</v>
      </c>
      <c r="S9" s="969" t="str">
        <f t="shared" si="42"/>
        <v>m</v>
      </c>
      <c r="T9" s="968">
        <f>IFERROR(VLOOKUP(I9&amp;"."&amp;L9,'Fitting Chart'!$1:$1048576,MATCH(C9,'Fitting Chart'!$1:$1,0),0),0)+IF(B9="piping",PI()*K9*(VLOOKUP(I9,'Thickness Tab'!$1:$1048576,3,0)-K9)*7.86/1000,0)+IF(B9="Flange",VLOOKUP(I9&amp;"F"&amp;F9,'Flanges Chart'!$1:$1048576,MATCH(C9&amp;"."&amp;T$1,'Flanges Chart'!$1:$1,0),0),0)</f>
        <v>5.4463465988581081</v>
      </c>
      <c r="U9" s="989">
        <f t="shared" si="0"/>
        <v>0</v>
      </c>
      <c r="V9" s="1003">
        <v>15</v>
      </c>
      <c r="W9" s="1001">
        <f t="shared" si="22"/>
        <v>0</v>
      </c>
      <c r="X9" s="997"/>
      <c r="Y9" s="983"/>
      <c r="Z9" s="989">
        <f>IF(B9="Piping",VLOOKUP(I9,'Thickness Tab'!$1:$1048576,3,0)/1000*PI(),0)+IFERROR(VLOOKUP(I9&amp;"F"&amp;F9,'Flanges Chart'!$1:$1048576,MATCH(C9&amp;".Unit Surface",'Flanges Chart'!$1:$1,0),0),0)+IF(B9="Fitting",VLOOKUP(I9,'Thickness Tab'!$1:$1048576,3,0)/1000*PI(),0)</f>
        <v>0.18950086886453632</v>
      </c>
      <c r="AA9" s="989">
        <f t="shared" si="23"/>
        <v>0</v>
      </c>
      <c r="AB9" s="983">
        <v>50</v>
      </c>
      <c r="AC9" s="989">
        <f t="shared" si="24"/>
        <v>0.50366013422351563</v>
      </c>
      <c r="AD9" s="989">
        <f t="shared" si="25"/>
        <v>0</v>
      </c>
      <c r="AE9" s="974">
        <f>(IFERROR(VLOOKUP($C9,List!$J:$L,2,0),0)*R9+IF(B9="piping",R9,0)+IF(C9="Welding Neck",1,0)*R9)*$AE$2</f>
        <v>0</v>
      </c>
      <c r="AF9" s="970">
        <f>IFERROR(VLOOKUP($C9,List!$J:$L,3,0),0)*R9*$AF$2</f>
        <v>0</v>
      </c>
      <c r="AG9" s="990">
        <f t="shared" si="1"/>
        <v>0</v>
      </c>
      <c r="AH9" s="1118">
        <f>IFERROR(VLOOKUP($D9,'Piping Class'!$88:$102,MATCH(AH$1,'Piping Class'!$88:$88,0),0),"")</f>
        <v>0.1</v>
      </c>
      <c r="AI9" s="991">
        <f>IFERROR(VLOOKUP($D9,'Piping Class'!$88:$102,MATCH(AI$1,'Piping Class'!$88:$88,0),0),"")</f>
        <v>1</v>
      </c>
      <c r="AJ9" s="991">
        <f>IFERROR(VLOOKUP($D9,'Piping Class'!$88:$102,MATCH(AJ$1,'Piping Class'!$88:$88,0),0),"")</f>
        <v>1</v>
      </c>
      <c r="AK9" s="991">
        <f>IFERROR(VLOOKUP($D9,'Piping Class'!$88:$102,MATCH(AK$1,'Piping Class'!$88:$88,0),0),"")</f>
        <v>0</v>
      </c>
      <c r="AL9" s="991">
        <f t="shared" si="2"/>
        <v>1</v>
      </c>
      <c r="AM9" s="1119" t="str">
        <f>IFERROR(VLOOKUP($D9,'Piping Class'!$88:$102,MATCH(AM$1,'Piping Class'!$88:$88,0),0),"")</f>
        <v/>
      </c>
      <c r="AN9" s="992">
        <f t="shared" si="26"/>
        <v>0</v>
      </c>
      <c r="AO9" s="993">
        <f>IFERROR(VLOOKUP(I9&amp;"B"&amp;F9,'Bolting Chart'!$1:$1048576,4,0),0)</f>
        <v>0</v>
      </c>
      <c r="AP9" s="993">
        <f t="shared" si="27"/>
        <v>0</v>
      </c>
      <c r="AQ9" s="993">
        <f t="shared" si="28"/>
        <v>0</v>
      </c>
      <c r="AR9" s="993">
        <f>IF(AO9=0,0,VLOOKUP(D9&amp;".bolting",'Piping Class'!$1:$1048576,MATCH(I9,'Piping Class'!$2:$2,0),0))</f>
        <v>0</v>
      </c>
      <c r="AS9" s="994">
        <f>IFERROR(VLOOKUP(I9&amp;"B"&amp;F9,'Bolting Chart'!$1:$1048576,IF(AS$2="UNC",5,6),0),0)</f>
        <v>0</v>
      </c>
      <c r="AT9" s="995">
        <f>IFERROR(VLOOKUP(I9&amp;"B"&amp;F9,'Bolting Chart'!$1:$1048576,IF(G9="RF",8,9),0),0)</f>
        <v>0</v>
      </c>
      <c r="AU9" s="993">
        <f>IF(AO9=0,0,VLOOKUP(D9&amp;".gasket",'Piping Class'!$1:$1048576,MATCH(I9,'Piping Class'!$2:$2,0),0))</f>
        <v>0</v>
      </c>
      <c r="AV9" s="996">
        <f>(IFERROR(INDEX('Bolting Chart'!$A$169:$R$251,MATCH(AT9,'Bolting Chart'!$A$170:$A$251,0),MATCH(IFERROR(VLOOKUP(I9&amp;"B"&amp;F9,'Bolting Chart'!$1:$1048576,7,0),0)+0,'Bolting Chart'!$A$169:$R$169,0)),0))/100</f>
        <v>0</v>
      </c>
      <c r="AW9" s="996">
        <f t="shared" si="3"/>
        <v>0</v>
      </c>
      <c r="AX9" s="1194">
        <f t="shared" si="4"/>
        <v>0</v>
      </c>
      <c r="AY9" s="981"/>
      <c r="AZ9" s="1543">
        <f t="shared" si="29"/>
        <v>0</v>
      </c>
      <c r="BA9" s="1543">
        <f t="shared" si="5"/>
        <v>0</v>
      </c>
      <c r="BB9" s="1543">
        <f t="shared" si="5"/>
        <v>0</v>
      </c>
      <c r="BC9" s="1543">
        <f t="shared" si="5"/>
        <v>0</v>
      </c>
      <c r="BD9" s="1543">
        <f t="shared" si="5"/>
        <v>1</v>
      </c>
      <c r="BE9" s="1543">
        <f t="shared" si="5"/>
        <v>0</v>
      </c>
      <c r="BF9" s="1543">
        <f t="shared" si="5"/>
        <v>0</v>
      </c>
      <c r="BG9" s="1543">
        <f t="shared" si="5"/>
        <v>0</v>
      </c>
      <c r="BH9" s="1543">
        <f t="shared" si="5"/>
        <v>0</v>
      </c>
      <c r="BI9" s="1543">
        <f t="shared" si="5"/>
        <v>0</v>
      </c>
      <c r="BJ9" s="1543">
        <f t="shared" si="5"/>
        <v>0</v>
      </c>
      <c r="BK9" s="1543">
        <f t="shared" si="5"/>
        <v>0</v>
      </c>
      <c r="BL9" s="1543">
        <f t="shared" si="5"/>
        <v>0</v>
      </c>
      <c r="BM9" s="1543">
        <f t="shared" si="5"/>
        <v>0</v>
      </c>
      <c r="BN9" s="1543">
        <f t="shared" si="5"/>
        <v>0</v>
      </c>
      <c r="BO9" s="1543">
        <f t="shared" si="5"/>
        <v>0</v>
      </c>
      <c r="BP9" s="1543">
        <f t="shared" si="5"/>
        <v>0</v>
      </c>
      <c r="BQ9" s="1543">
        <f t="shared" si="5"/>
        <v>0</v>
      </c>
      <c r="BR9" s="1543">
        <f t="shared" si="6"/>
        <v>0</v>
      </c>
      <c r="BS9" s="1543">
        <f t="shared" si="6"/>
        <v>0</v>
      </c>
      <c r="BT9" s="1543">
        <f t="shared" si="6"/>
        <v>0</v>
      </c>
      <c r="BU9" s="1543">
        <f t="shared" si="6"/>
        <v>0</v>
      </c>
      <c r="BV9" s="1543">
        <f t="shared" si="6"/>
        <v>0</v>
      </c>
      <c r="BW9" s="1543">
        <f t="shared" si="6"/>
        <v>0</v>
      </c>
      <c r="BX9" s="1543">
        <f t="shared" si="6"/>
        <v>0</v>
      </c>
      <c r="BY9" s="1543">
        <f t="shared" si="6"/>
        <v>0</v>
      </c>
      <c r="BZ9" s="1543">
        <f t="shared" si="6"/>
        <v>0</v>
      </c>
      <c r="CB9" s="1543">
        <f t="shared" si="30"/>
        <v>0</v>
      </c>
      <c r="CC9" s="1543">
        <f t="shared" si="7"/>
        <v>0</v>
      </c>
      <c r="CD9" s="1543">
        <f t="shared" si="7"/>
        <v>0</v>
      </c>
      <c r="CE9" s="1543">
        <f t="shared" si="7"/>
        <v>0</v>
      </c>
      <c r="CF9" s="1543">
        <f t="shared" si="7"/>
        <v>0</v>
      </c>
      <c r="CG9" s="1543">
        <f t="shared" si="7"/>
        <v>0</v>
      </c>
      <c r="CH9" s="1543">
        <f t="shared" si="7"/>
        <v>0</v>
      </c>
      <c r="CI9" s="1543">
        <f t="shared" si="7"/>
        <v>0</v>
      </c>
      <c r="CJ9" s="1543">
        <f t="shared" si="7"/>
        <v>0</v>
      </c>
      <c r="CK9" s="1543">
        <f t="shared" si="7"/>
        <v>0</v>
      </c>
      <c r="CL9" s="1543">
        <f t="shared" si="7"/>
        <v>0</v>
      </c>
      <c r="CM9" s="1543">
        <f t="shared" si="7"/>
        <v>0</v>
      </c>
      <c r="CN9" s="1543">
        <f t="shared" si="7"/>
        <v>0</v>
      </c>
      <c r="CO9" s="1543">
        <f t="shared" si="7"/>
        <v>0</v>
      </c>
      <c r="CP9" s="1543">
        <f t="shared" si="7"/>
        <v>0</v>
      </c>
      <c r="CQ9" s="1543">
        <f t="shared" si="7"/>
        <v>0</v>
      </c>
      <c r="CR9" s="1543">
        <f t="shared" si="7"/>
        <v>0</v>
      </c>
      <c r="CS9" s="1543">
        <f t="shared" si="7"/>
        <v>0</v>
      </c>
      <c r="CT9" s="1543">
        <f t="shared" si="8"/>
        <v>0</v>
      </c>
      <c r="CU9" s="1543">
        <f t="shared" si="8"/>
        <v>0</v>
      </c>
      <c r="CV9" s="1543">
        <f t="shared" si="8"/>
        <v>0</v>
      </c>
      <c r="CW9" s="1543">
        <f t="shared" si="8"/>
        <v>0</v>
      </c>
      <c r="CX9" s="1543">
        <f t="shared" si="8"/>
        <v>0</v>
      </c>
      <c r="CY9" s="1543">
        <f t="shared" si="8"/>
        <v>0</v>
      </c>
      <c r="CZ9" s="1543">
        <f t="shared" si="8"/>
        <v>0</v>
      </c>
      <c r="DA9" s="1543">
        <f t="shared" si="8"/>
        <v>0</v>
      </c>
      <c r="DB9" s="1543">
        <f t="shared" si="8"/>
        <v>0</v>
      </c>
      <c r="DD9" s="1543">
        <f t="shared" si="9"/>
        <v>0</v>
      </c>
      <c r="DE9" s="1543">
        <f t="shared" si="10"/>
        <v>1</v>
      </c>
      <c r="DF9" s="1543">
        <f t="shared" si="11"/>
        <v>0</v>
      </c>
      <c r="DG9" s="1543">
        <f t="shared" si="31"/>
        <v>0</v>
      </c>
      <c r="DI9" s="1543">
        <f t="shared" si="32"/>
        <v>0</v>
      </c>
      <c r="DJ9" s="1543">
        <f t="shared" si="12"/>
        <v>0</v>
      </c>
      <c r="DK9" s="1543">
        <f t="shared" si="12"/>
        <v>1</v>
      </c>
      <c r="DL9" s="1543">
        <f t="shared" si="12"/>
        <v>0</v>
      </c>
      <c r="DM9" s="1543">
        <f t="shared" si="12"/>
        <v>0</v>
      </c>
      <c r="DO9" s="1543">
        <f t="shared" si="13"/>
        <v>0</v>
      </c>
      <c r="DP9" s="1543">
        <f t="shared" si="14"/>
        <v>0</v>
      </c>
      <c r="DQ9" s="1543">
        <f t="shared" si="14"/>
        <v>0</v>
      </c>
      <c r="DR9" s="1543">
        <f t="shared" si="14"/>
        <v>0</v>
      </c>
      <c r="DS9" s="1543">
        <f t="shared" si="14"/>
        <v>0</v>
      </c>
      <c r="DT9" s="1543">
        <f t="shared" si="14"/>
        <v>0</v>
      </c>
      <c r="DU9" s="1543">
        <f t="shared" si="14"/>
        <v>0</v>
      </c>
      <c r="DV9" s="1543">
        <f t="shared" si="14"/>
        <v>0</v>
      </c>
      <c r="DW9" s="1543">
        <f t="shared" si="14"/>
        <v>0</v>
      </c>
      <c r="DX9" s="1543">
        <f t="shared" si="14"/>
        <v>0</v>
      </c>
      <c r="DY9" s="1543">
        <f t="shared" si="14"/>
        <v>0</v>
      </c>
      <c r="DZ9" s="1543">
        <f t="shared" si="14"/>
        <v>0</v>
      </c>
      <c r="EA9" s="1543">
        <f t="shared" si="14"/>
        <v>0</v>
      </c>
      <c r="EB9" s="1543">
        <f t="shared" si="15"/>
        <v>0</v>
      </c>
      <c r="EC9" s="1543">
        <f t="shared" si="15"/>
        <v>0</v>
      </c>
      <c r="ED9" s="1543">
        <f t="shared" si="15"/>
        <v>0</v>
      </c>
      <c r="EE9" s="1543">
        <f t="shared" si="15"/>
        <v>1</v>
      </c>
      <c r="EF9" s="1543">
        <f t="shared" si="15"/>
        <v>0</v>
      </c>
      <c r="EH9" s="1543">
        <f t="shared" si="33"/>
        <v>1</v>
      </c>
      <c r="EI9" s="1543">
        <f t="shared" si="34"/>
        <v>0</v>
      </c>
      <c r="EJ9" s="1543">
        <f t="shared" si="35"/>
        <v>0</v>
      </c>
      <c r="EK9" s="1543">
        <f t="shared" si="36"/>
        <v>0</v>
      </c>
      <c r="EL9" s="1543">
        <f t="shared" si="37"/>
        <v>0</v>
      </c>
      <c r="EM9" s="1543">
        <f t="shared" si="38"/>
        <v>0</v>
      </c>
      <c r="EN9" s="1543">
        <f t="shared" si="39"/>
        <v>0</v>
      </c>
      <c r="EP9" s="1543">
        <f t="shared" si="16"/>
        <v>0</v>
      </c>
      <c r="EQ9" s="1543">
        <f t="shared" si="16"/>
        <v>0</v>
      </c>
      <c r="ER9" s="1543">
        <f t="shared" si="16"/>
        <v>0</v>
      </c>
      <c r="ES9" s="1543">
        <f t="shared" si="16"/>
        <v>0</v>
      </c>
      <c r="ET9" s="1543">
        <f t="shared" si="17"/>
        <v>0</v>
      </c>
      <c r="EU9" s="1543">
        <f t="shared" si="17"/>
        <v>0</v>
      </c>
      <c r="EV9" s="1543">
        <f t="shared" si="17"/>
        <v>0</v>
      </c>
      <c r="EW9" s="1543">
        <f t="shared" si="17"/>
        <v>0</v>
      </c>
      <c r="EX9" s="1543">
        <f t="shared" si="17"/>
        <v>0</v>
      </c>
      <c r="EY9" s="1543">
        <f t="shared" si="17"/>
        <v>0</v>
      </c>
      <c r="EZ9" s="1543">
        <f t="shared" si="17"/>
        <v>0</v>
      </c>
      <c r="FA9" s="1543">
        <f t="shared" si="17"/>
        <v>0</v>
      </c>
      <c r="FB9" s="1543">
        <f t="shared" si="17"/>
        <v>0</v>
      </c>
      <c r="FC9" s="1543">
        <f t="shared" si="17"/>
        <v>0</v>
      </c>
      <c r="FD9" s="1543">
        <f t="shared" si="17"/>
        <v>0</v>
      </c>
      <c r="FE9" s="1543">
        <f t="shared" si="17"/>
        <v>0</v>
      </c>
      <c r="FF9" s="1543">
        <f t="shared" si="40"/>
        <v>1</v>
      </c>
      <c r="FH9" s="1543">
        <f t="shared" si="18"/>
        <v>0</v>
      </c>
      <c r="FI9" s="1543">
        <f t="shared" si="19"/>
        <v>0</v>
      </c>
      <c r="FJ9" s="1543">
        <f t="shared" si="19"/>
        <v>0</v>
      </c>
      <c r="FK9" s="1543">
        <f t="shared" si="19"/>
        <v>0</v>
      </c>
      <c r="FL9" s="1543">
        <f t="shared" si="19"/>
        <v>0</v>
      </c>
      <c r="FM9" s="1543">
        <f t="shared" si="19"/>
        <v>0</v>
      </c>
      <c r="FN9" s="1543">
        <f t="shared" si="19"/>
        <v>0</v>
      </c>
      <c r="FO9" s="1543">
        <f t="shared" si="19"/>
        <v>0</v>
      </c>
      <c r="FP9" s="1543">
        <f t="shared" si="19"/>
        <v>0</v>
      </c>
      <c r="FQ9" s="1543">
        <f t="shared" si="19"/>
        <v>0</v>
      </c>
      <c r="FR9" s="1543">
        <f t="shared" si="19"/>
        <v>0</v>
      </c>
      <c r="FS9" s="1543">
        <f t="shared" si="19"/>
        <v>0</v>
      </c>
      <c r="FT9" s="1543">
        <f t="shared" si="41"/>
        <v>1</v>
      </c>
      <c r="FV9" s="1543">
        <f t="shared" si="20"/>
        <v>0</v>
      </c>
      <c r="FW9" s="1543">
        <f t="shared" si="21"/>
        <v>0</v>
      </c>
      <c r="FX9" s="1543">
        <f t="shared" si="21"/>
        <v>0</v>
      </c>
      <c r="FY9" s="1543">
        <f t="shared" si="21"/>
        <v>1</v>
      </c>
      <c r="FZ9" s="1543">
        <f t="shared" si="21"/>
        <v>0</v>
      </c>
      <c r="GA9" s="1543">
        <f t="shared" si="21"/>
        <v>0</v>
      </c>
      <c r="GB9" s="1543">
        <f t="shared" si="21"/>
        <v>0</v>
      </c>
      <c r="GC9" s="1543">
        <f t="shared" si="21"/>
        <v>0</v>
      </c>
      <c r="GD9" s="1543">
        <f t="shared" si="21"/>
        <v>0</v>
      </c>
    </row>
    <row r="10" spans="1:186" s="982" customFormat="1" ht="15.6" x14ac:dyDescent="0.3">
      <c r="A10" s="974">
        <v>8</v>
      </c>
      <c r="B10" s="983" t="s">
        <v>1071</v>
      </c>
      <c r="C10" s="984" t="s">
        <v>1906</v>
      </c>
      <c r="D10" s="983" t="s">
        <v>67</v>
      </c>
      <c r="E10" s="968" t="str">
        <f>IFERROR(VLOOKUP($D10&amp;"."&amp;B10,'Piping Class'!$1:$1048576,MATCH($I10,'Piping Class'!$2:$2,0),0),"")</f>
        <v>ASTM A312-
TP316/316L</v>
      </c>
      <c r="F10" s="985" t="str">
        <f>IFERROR(IF(B10="Flange",VLOOKUP($D10,'Piping Class'!$88:$102,MATCH(F$1,'Piping Class'!$88:$88,0),0),""),"")</f>
        <v/>
      </c>
      <c r="G10" s="968" t="str">
        <f>IFERROR(IF(B10="Flange",VLOOKUP($D10,'Piping Class'!$88:$102,MATCH(G$1,'Piping Class'!$88:$88,0),0),""),"")</f>
        <v/>
      </c>
      <c r="H10" s="968" t="str">
        <f>IFERROR(VLOOKUP($D10,'Piping Class'!$88:$102,MATCH(H$1,'Piping Class'!$88:$88,0),0),"")</f>
        <v>SS</v>
      </c>
      <c r="I10" s="986">
        <v>4</v>
      </c>
      <c r="J10" s="987"/>
      <c r="K10" s="968">
        <f>IFERROR(VLOOKUP(I10,'Thickness Tab'!$1:$1048576,MATCH(L10,'Thickness Tab'!$1:$1,0),0),"")</f>
        <v>6.02</v>
      </c>
      <c r="L10" s="969" t="str">
        <f>IFERROR(VLOOKUP($D10,'Piping Class'!$1:$1048576,MATCH($I10,'Piping Class'!$2:$2,0),0),"")</f>
        <v>40S</v>
      </c>
      <c r="M10" s="968" t="str">
        <f>IFERROR(VLOOKUP(J10,'Thickness Tab'!$1:$1048576,MATCH(N10,'Thickness Tab'!$1:$1,0),0),"")</f>
        <v/>
      </c>
      <c r="N10" s="969" t="str">
        <f>IFERROR(VLOOKUP($D10,'Piping Class'!$1:$1048576,MATCH($J10,'Piping Class'!$2:$2,0),0),"")</f>
        <v/>
      </c>
      <c r="O10" s="968" t="str">
        <f>IFERROR(VLOOKUP($D10,'Piping Class'!$88:$102,MATCH(O$1,'Piping Class'!$88:$88,0),0),"")</f>
        <v>B31.3 / B16.5</v>
      </c>
      <c r="P10" s="968" t="str">
        <f>IFERROR(VLOOKUP($D10,'Piping Class'!$88:$102,MATCH(P$1,'Piping Class'!$88:$88,0),0),"")</f>
        <v>3.1</v>
      </c>
      <c r="Q10" s="983"/>
      <c r="R10" s="988">
        <v>0</v>
      </c>
      <c r="S10" s="969" t="str">
        <f t="shared" si="42"/>
        <v>m</v>
      </c>
      <c r="T10" s="968">
        <f>IFERROR(VLOOKUP(I10&amp;"."&amp;L10,'Fitting Chart'!$1:$1048576,MATCH(C10,'Fitting Chart'!$1:$1,0),0),0)+IF(B10="piping",PI()*K10*(VLOOKUP(I10,'Thickness Tab'!$1:$1048576,3,0)-K10)*7.86/1000,0)+IF(B10="Flange",VLOOKUP(I10&amp;"F"&amp;F10,'Flanges Chart'!$1:$1048576,MATCH(C10&amp;"."&amp;T$1,'Flanges Chart'!$1:$1,0),0),0)</f>
        <v>16.09597011712577</v>
      </c>
      <c r="U10" s="989">
        <f t="shared" si="0"/>
        <v>0</v>
      </c>
      <c r="V10" s="1003">
        <v>15</v>
      </c>
      <c r="W10" s="1001">
        <f t="shared" si="22"/>
        <v>0</v>
      </c>
      <c r="X10" s="997"/>
      <c r="Y10" s="983"/>
      <c r="Z10" s="989">
        <f>IF(B10="Piping",VLOOKUP(I10,'Thickness Tab'!$1:$1048576,3,0)/1000*PI(),0)+IFERROR(VLOOKUP(I10&amp;"F"&amp;F10,'Flanges Chart'!$1:$1048576,MATCH(C10&amp;".Unit Surface",'Flanges Chart'!$1:$1,0),0),0)+IF(B10="Fitting",VLOOKUP(I10,'Thickness Tab'!$1:$1048576,3,0)/1000*PI(),0)</f>
        <v>0.35908404030531332</v>
      </c>
      <c r="AA10" s="989">
        <f t="shared" si="23"/>
        <v>0</v>
      </c>
      <c r="AB10" s="983">
        <v>50</v>
      </c>
      <c r="AC10" s="989">
        <f t="shared" si="24"/>
        <v>0.67324330566429258</v>
      </c>
      <c r="AD10" s="989">
        <f t="shared" si="25"/>
        <v>0</v>
      </c>
      <c r="AE10" s="974">
        <f>(IFERROR(VLOOKUP($C10,List!$J:$L,2,0),0)*R10+IF(B10="piping",R10,0)+IF(C10="Welding Neck",1,0)*R10)*$AE$2</f>
        <v>0</v>
      </c>
      <c r="AF10" s="970">
        <f>IFERROR(VLOOKUP($C10,List!$J:$L,3,0),0)*R10*$AF$2</f>
        <v>0</v>
      </c>
      <c r="AG10" s="990">
        <f t="shared" si="1"/>
        <v>0</v>
      </c>
      <c r="AH10" s="1118">
        <f>IFERROR(VLOOKUP($D10,'Piping Class'!$88:$102,MATCH(AH$1,'Piping Class'!$88:$88,0),0),"")</f>
        <v>0.1</v>
      </c>
      <c r="AI10" s="991">
        <f>IFERROR(VLOOKUP($D10,'Piping Class'!$88:$102,MATCH(AI$1,'Piping Class'!$88:$88,0),0),"")</f>
        <v>1</v>
      </c>
      <c r="AJ10" s="991">
        <f>IFERROR(VLOOKUP($D10,'Piping Class'!$88:$102,MATCH(AJ$1,'Piping Class'!$88:$88,0),0),"")</f>
        <v>1</v>
      </c>
      <c r="AK10" s="991">
        <f>IFERROR(VLOOKUP($D10,'Piping Class'!$88:$102,MATCH(AK$1,'Piping Class'!$88:$88,0),0),"")</f>
        <v>0</v>
      </c>
      <c r="AL10" s="991">
        <f t="shared" si="2"/>
        <v>1</v>
      </c>
      <c r="AM10" s="1119" t="str">
        <f>IFERROR(VLOOKUP($D10,'Piping Class'!$88:$102,MATCH(AM$1,'Piping Class'!$88:$88,0),0),"")</f>
        <v/>
      </c>
      <c r="AN10" s="992">
        <f t="shared" si="26"/>
        <v>0</v>
      </c>
      <c r="AO10" s="993">
        <f>IFERROR(VLOOKUP(I10&amp;"B"&amp;F10,'Bolting Chart'!$1:$1048576,4,0),0)</f>
        <v>0</v>
      </c>
      <c r="AP10" s="993">
        <f t="shared" si="27"/>
        <v>0</v>
      </c>
      <c r="AQ10" s="993">
        <f t="shared" si="28"/>
        <v>0</v>
      </c>
      <c r="AR10" s="993">
        <f>IF(AO10=0,0,VLOOKUP(D10&amp;".bolting",'Piping Class'!$1:$1048576,MATCH(I10,'Piping Class'!$2:$2,0),0))</f>
        <v>0</v>
      </c>
      <c r="AS10" s="994">
        <f>IFERROR(VLOOKUP(I10&amp;"B"&amp;F10,'Bolting Chart'!$1:$1048576,IF(AS$2="UNC",5,6),0),0)</f>
        <v>0</v>
      </c>
      <c r="AT10" s="995">
        <f>IFERROR(VLOOKUP(I10&amp;"B"&amp;F10,'Bolting Chart'!$1:$1048576,IF(G10="RF",8,9),0),0)</f>
        <v>0</v>
      </c>
      <c r="AU10" s="993">
        <f>IF(AO10=0,0,VLOOKUP(D10&amp;".gasket",'Piping Class'!$1:$1048576,MATCH(I10,'Piping Class'!$2:$2,0),0))</f>
        <v>0</v>
      </c>
      <c r="AV10" s="996">
        <f>(IFERROR(INDEX('Bolting Chart'!$A$169:$R$251,MATCH(AT10,'Bolting Chart'!$A$170:$A$251,0),MATCH(IFERROR(VLOOKUP(I10&amp;"B"&amp;F10,'Bolting Chart'!$1:$1048576,7,0),0)+0,'Bolting Chart'!$A$169:$R$169,0)),0))/100</f>
        <v>0</v>
      </c>
      <c r="AW10" s="996">
        <f t="shared" si="3"/>
        <v>0</v>
      </c>
      <c r="AX10" s="1194">
        <f t="shared" si="4"/>
        <v>0</v>
      </c>
      <c r="AY10" s="981"/>
      <c r="AZ10" s="1543">
        <f t="shared" si="29"/>
        <v>0</v>
      </c>
      <c r="BA10" s="1543">
        <f t="shared" si="5"/>
        <v>0</v>
      </c>
      <c r="BB10" s="1543">
        <f t="shared" si="5"/>
        <v>0</v>
      </c>
      <c r="BC10" s="1543">
        <f t="shared" si="5"/>
        <v>0</v>
      </c>
      <c r="BD10" s="1543">
        <f t="shared" si="5"/>
        <v>0</v>
      </c>
      <c r="BE10" s="1543">
        <f t="shared" si="5"/>
        <v>0</v>
      </c>
      <c r="BF10" s="1543">
        <f t="shared" si="5"/>
        <v>0</v>
      </c>
      <c r="BG10" s="1543">
        <f t="shared" si="5"/>
        <v>1</v>
      </c>
      <c r="BH10" s="1543">
        <f t="shared" si="5"/>
        <v>0</v>
      </c>
      <c r="BI10" s="1543">
        <f t="shared" si="5"/>
        <v>0</v>
      </c>
      <c r="BJ10" s="1543">
        <f t="shared" si="5"/>
        <v>0</v>
      </c>
      <c r="BK10" s="1543">
        <f t="shared" si="5"/>
        <v>0</v>
      </c>
      <c r="BL10" s="1543">
        <f t="shared" si="5"/>
        <v>0</v>
      </c>
      <c r="BM10" s="1543">
        <f t="shared" si="5"/>
        <v>0</v>
      </c>
      <c r="BN10" s="1543">
        <f t="shared" si="5"/>
        <v>0</v>
      </c>
      <c r="BO10" s="1543">
        <f t="shared" si="5"/>
        <v>0</v>
      </c>
      <c r="BP10" s="1543">
        <f t="shared" si="5"/>
        <v>0</v>
      </c>
      <c r="BQ10" s="1543">
        <f t="shared" si="5"/>
        <v>0</v>
      </c>
      <c r="BR10" s="1543">
        <f t="shared" si="6"/>
        <v>0</v>
      </c>
      <c r="BS10" s="1543">
        <f t="shared" si="6"/>
        <v>0</v>
      </c>
      <c r="BT10" s="1543">
        <f t="shared" si="6"/>
        <v>0</v>
      </c>
      <c r="BU10" s="1543">
        <f t="shared" si="6"/>
        <v>0</v>
      </c>
      <c r="BV10" s="1543">
        <f t="shared" si="6"/>
        <v>0</v>
      </c>
      <c r="BW10" s="1543">
        <f t="shared" si="6"/>
        <v>0</v>
      </c>
      <c r="BX10" s="1543">
        <f t="shared" si="6"/>
        <v>0</v>
      </c>
      <c r="BY10" s="1543">
        <f t="shared" si="6"/>
        <v>0</v>
      </c>
      <c r="BZ10" s="1543">
        <f t="shared" si="6"/>
        <v>0</v>
      </c>
      <c r="CB10" s="1543">
        <f t="shared" si="30"/>
        <v>0</v>
      </c>
      <c r="CC10" s="1543">
        <f t="shared" si="7"/>
        <v>0</v>
      </c>
      <c r="CD10" s="1543">
        <f t="shared" si="7"/>
        <v>0</v>
      </c>
      <c r="CE10" s="1543">
        <f t="shared" si="7"/>
        <v>0</v>
      </c>
      <c r="CF10" s="1543">
        <f t="shared" si="7"/>
        <v>0</v>
      </c>
      <c r="CG10" s="1543">
        <f t="shared" si="7"/>
        <v>0</v>
      </c>
      <c r="CH10" s="1543">
        <f t="shared" si="7"/>
        <v>0</v>
      </c>
      <c r="CI10" s="1543">
        <f t="shared" si="7"/>
        <v>0</v>
      </c>
      <c r="CJ10" s="1543">
        <f t="shared" si="7"/>
        <v>0</v>
      </c>
      <c r="CK10" s="1543">
        <f t="shared" si="7"/>
        <v>0</v>
      </c>
      <c r="CL10" s="1543">
        <f t="shared" si="7"/>
        <v>0</v>
      </c>
      <c r="CM10" s="1543">
        <f t="shared" si="7"/>
        <v>0</v>
      </c>
      <c r="CN10" s="1543">
        <f t="shared" si="7"/>
        <v>0</v>
      </c>
      <c r="CO10" s="1543">
        <f t="shared" si="7"/>
        <v>0</v>
      </c>
      <c r="CP10" s="1543">
        <f t="shared" si="7"/>
        <v>0</v>
      </c>
      <c r="CQ10" s="1543">
        <f t="shared" si="7"/>
        <v>0</v>
      </c>
      <c r="CR10" s="1543">
        <f t="shared" si="7"/>
        <v>0</v>
      </c>
      <c r="CS10" s="1543">
        <f t="shared" si="7"/>
        <v>0</v>
      </c>
      <c r="CT10" s="1543">
        <f t="shared" si="8"/>
        <v>0</v>
      </c>
      <c r="CU10" s="1543">
        <f t="shared" si="8"/>
        <v>0</v>
      </c>
      <c r="CV10" s="1543">
        <f t="shared" si="8"/>
        <v>0</v>
      </c>
      <c r="CW10" s="1543">
        <f t="shared" si="8"/>
        <v>0</v>
      </c>
      <c r="CX10" s="1543">
        <f t="shared" si="8"/>
        <v>0</v>
      </c>
      <c r="CY10" s="1543">
        <f t="shared" si="8"/>
        <v>0</v>
      </c>
      <c r="CZ10" s="1543">
        <f t="shared" si="8"/>
        <v>0</v>
      </c>
      <c r="DA10" s="1543">
        <f t="shared" si="8"/>
        <v>0</v>
      </c>
      <c r="DB10" s="1543">
        <f t="shared" si="8"/>
        <v>0</v>
      </c>
      <c r="DD10" s="1543">
        <f t="shared" si="9"/>
        <v>0</v>
      </c>
      <c r="DE10" s="1543">
        <f t="shared" si="10"/>
        <v>1</v>
      </c>
      <c r="DF10" s="1543">
        <f t="shared" si="11"/>
        <v>0</v>
      </c>
      <c r="DG10" s="1543">
        <f t="shared" si="31"/>
        <v>0</v>
      </c>
      <c r="DI10" s="1543">
        <f t="shared" si="32"/>
        <v>0</v>
      </c>
      <c r="DJ10" s="1543">
        <f t="shared" si="12"/>
        <v>0</v>
      </c>
      <c r="DK10" s="1543">
        <f t="shared" si="12"/>
        <v>1</v>
      </c>
      <c r="DL10" s="1543">
        <f t="shared" si="12"/>
        <v>0</v>
      </c>
      <c r="DM10" s="1543">
        <f t="shared" si="12"/>
        <v>0</v>
      </c>
      <c r="DO10" s="1543">
        <f t="shared" si="13"/>
        <v>0</v>
      </c>
      <c r="DP10" s="1543">
        <f t="shared" si="14"/>
        <v>0</v>
      </c>
      <c r="DQ10" s="1543">
        <f t="shared" si="14"/>
        <v>0</v>
      </c>
      <c r="DR10" s="1543">
        <f t="shared" si="14"/>
        <v>0</v>
      </c>
      <c r="DS10" s="1543">
        <f t="shared" si="14"/>
        <v>0</v>
      </c>
      <c r="DT10" s="1543">
        <f t="shared" si="14"/>
        <v>0</v>
      </c>
      <c r="DU10" s="1543">
        <f t="shared" si="14"/>
        <v>0</v>
      </c>
      <c r="DV10" s="1543">
        <f t="shared" si="14"/>
        <v>0</v>
      </c>
      <c r="DW10" s="1543">
        <f t="shared" si="14"/>
        <v>0</v>
      </c>
      <c r="DX10" s="1543">
        <f t="shared" si="14"/>
        <v>0</v>
      </c>
      <c r="DY10" s="1543">
        <f t="shared" si="14"/>
        <v>0</v>
      </c>
      <c r="DZ10" s="1543">
        <f t="shared" si="14"/>
        <v>0</v>
      </c>
      <c r="EA10" s="1543">
        <f t="shared" si="14"/>
        <v>0</v>
      </c>
      <c r="EB10" s="1543">
        <f t="shared" si="15"/>
        <v>0</v>
      </c>
      <c r="EC10" s="1543">
        <f t="shared" si="15"/>
        <v>0</v>
      </c>
      <c r="ED10" s="1543">
        <f t="shared" si="15"/>
        <v>0</v>
      </c>
      <c r="EE10" s="1543">
        <f t="shared" si="15"/>
        <v>1</v>
      </c>
      <c r="EF10" s="1543">
        <f t="shared" si="15"/>
        <v>0</v>
      </c>
      <c r="EH10" s="1543">
        <f t="shared" si="33"/>
        <v>1</v>
      </c>
      <c r="EI10" s="1543">
        <f t="shared" si="34"/>
        <v>0</v>
      </c>
      <c r="EJ10" s="1543">
        <f t="shared" si="35"/>
        <v>0</v>
      </c>
      <c r="EK10" s="1543">
        <f t="shared" si="36"/>
        <v>0</v>
      </c>
      <c r="EL10" s="1543">
        <f t="shared" si="37"/>
        <v>0</v>
      </c>
      <c r="EM10" s="1543">
        <f t="shared" si="38"/>
        <v>0</v>
      </c>
      <c r="EN10" s="1543">
        <f t="shared" si="39"/>
        <v>0</v>
      </c>
      <c r="EP10" s="1543">
        <f t="shared" si="16"/>
        <v>0</v>
      </c>
      <c r="EQ10" s="1543">
        <f t="shared" si="16"/>
        <v>0</v>
      </c>
      <c r="ER10" s="1543">
        <f t="shared" si="16"/>
        <v>0</v>
      </c>
      <c r="ES10" s="1543">
        <f t="shared" si="16"/>
        <v>0</v>
      </c>
      <c r="ET10" s="1543">
        <f t="shared" si="17"/>
        <v>0</v>
      </c>
      <c r="EU10" s="1543">
        <f t="shared" si="17"/>
        <v>0</v>
      </c>
      <c r="EV10" s="1543">
        <f t="shared" si="17"/>
        <v>0</v>
      </c>
      <c r="EW10" s="1543">
        <f t="shared" si="17"/>
        <v>0</v>
      </c>
      <c r="EX10" s="1543">
        <f t="shared" si="17"/>
        <v>0</v>
      </c>
      <c r="EY10" s="1543">
        <f t="shared" si="17"/>
        <v>0</v>
      </c>
      <c r="EZ10" s="1543">
        <f t="shared" si="17"/>
        <v>0</v>
      </c>
      <c r="FA10" s="1543">
        <f t="shared" si="17"/>
        <v>0</v>
      </c>
      <c r="FB10" s="1543">
        <f t="shared" si="17"/>
        <v>0</v>
      </c>
      <c r="FC10" s="1543">
        <f t="shared" si="17"/>
        <v>0</v>
      </c>
      <c r="FD10" s="1543">
        <f t="shared" si="17"/>
        <v>0</v>
      </c>
      <c r="FE10" s="1543">
        <f t="shared" si="17"/>
        <v>0</v>
      </c>
      <c r="FF10" s="1543">
        <f t="shared" si="40"/>
        <v>1</v>
      </c>
      <c r="FH10" s="1543">
        <f t="shared" si="18"/>
        <v>0</v>
      </c>
      <c r="FI10" s="1543">
        <f t="shared" si="19"/>
        <v>0</v>
      </c>
      <c r="FJ10" s="1543">
        <f t="shared" si="19"/>
        <v>0</v>
      </c>
      <c r="FK10" s="1543">
        <f t="shared" si="19"/>
        <v>0</v>
      </c>
      <c r="FL10" s="1543">
        <f t="shared" si="19"/>
        <v>0</v>
      </c>
      <c r="FM10" s="1543">
        <f t="shared" si="19"/>
        <v>0</v>
      </c>
      <c r="FN10" s="1543">
        <f t="shared" si="19"/>
        <v>0</v>
      </c>
      <c r="FO10" s="1543">
        <f t="shared" si="19"/>
        <v>0</v>
      </c>
      <c r="FP10" s="1543">
        <f t="shared" si="19"/>
        <v>0</v>
      </c>
      <c r="FQ10" s="1543">
        <f t="shared" si="19"/>
        <v>0</v>
      </c>
      <c r="FR10" s="1543">
        <f t="shared" si="19"/>
        <v>0</v>
      </c>
      <c r="FS10" s="1543">
        <f t="shared" si="19"/>
        <v>0</v>
      </c>
      <c r="FT10" s="1543">
        <f t="shared" si="41"/>
        <v>1</v>
      </c>
      <c r="FV10" s="1543">
        <f t="shared" si="20"/>
        <v>0</v>
      </c>
      <c r="FW10" s="1543">
        <f t="shared" si="21"/>
        <v>0</v>
      </c>
      <c r="FX10" s="1543">
        <f t="shared" si="21"/>
        <v>0</v>
      </c>
      <c r="FY10" s="1543">
        <f t="shared" si="21"/>
        <v>1</v>
      </c>
      <c r="FZ10" s="1543">
        <f t="shared" si="21"/>
        <v>0</v>
      </c>
      <c r="GA10" s="1543">
        <f t="shared" si="21"/>
        <v>0</v>
      </c>
      <c r="GB10" s="1543">
        <f t="shared" si="21"/>
        <v>0</v>
      </c>
      <c r="GC10" s="1543">
        <f t="shared" si="21"/>
        <v>0</v>
      </c>
      <c r="GD10" s="1543">
        <f t="shared" si="21"/>
        <v>0</v>
      </c>
    </row>
    <row r="11" spans="1:186" s="982" customFormat="1" ht="15.6" x14ac:dyDescent="0.3">
      <c r="A11" s="974">
        <v>9</v>
      </c>
      <c r="B11" s="983" t="s">
        <v>141</v>
      </c>
      <c r="C11" s="984" t="s">
        <v>338</v>
      </c>
      <c r="D11" s="983" t="s">
        <v>61</v>
      </c>
      <c r="E11" s="968" t="str">
        <f>IFERROR(VLOOKUP($D11&amp;"."&amp;B11,'Piping Class'!$1:$1048576,MATCH($I11,'Piping Class'!$2:$2,0),0),"")</f>
        <v xml:space="preserve">ASTM 106 Gr.B </v>
      </c>
      <c r="F11" s="985">
        <f>IFERROR(IF(B11="Flange",VLOOKUP($D11,'Piping Class'!$88:$102,MATCH(F$1,'Piping Class'!$88:$88,0),0),""),"")</f>
        <v>150</v>
      </c>
      <c r="G11" s="968" t="str">
        <f>IFERROR(IF(B11="Flange",VLOOKUP($D11,'Piping Class'!$88:$102,MATCH(G$1,'Piping Class'!$88:$88,0),0),""),"")</f>
        <v>RF</v>
      </c>
      <c r="H11" s="968" t="str">
        <f>IFERROR(VLOOKUP($D11,'Piping Class'!$88:$102,MATCH(H$1,'Piping Class'!$88:$88,0),0),"")</f>
        <v>CS</v>
      </c>
      <c r="I11" s="986">
        <v>1</v>
      </c>
      <c r="J11" s="987"/>
      <c r="K11" s="968">
        <f>IFERROR(VLOOKUP(I11,'Thickness Tab'!$1:$1048576,MATCH(L11,'Thickness Tab'!$1:$1,0),0),"")</f>
        <v>4.55</v>
      </c>
      <c r="L11" s="969">
        <f>IFERROR(VLOOKUP($D11,'Piping Class'!$1:$1048576,MATCH($I11,'Piping Class'!$2:$2,0),0),"")</f>
        <v>80</v>
      </c>
      <c r="M11" s="968" t="str">
        <f>IFERROR(VLOOKUP(J11,'Thickness Tab'!$1:$1048576,MATCH(N11,'Thickness Tab'!$1:$1,0),0),"")</f>
        <v/>
      </c>
      <c r="N11" s="969" t="str">
        <f>IFERROR(VLOOKUP($D11,'Piping Class'!$1:$1048576,MATCH($J11,'Piping Class'!$2:$2,0),0),"")</f>
        <v/>
      </c>
      <c r="O11" s="968" t="str">
        <f>IFERROR(VLOOKUP($D11,'Piping Class'!$88:$102,MATCH(O$1,'Piping Class'!$88:$88,0),0),"")</f>
        <v>B31.3 / B16.5</v>
      </c>
      <c r="P11" s="968" t="str">
        <f>IFERROR(VLOOKUP($D11,'Piping Class'!$88:$102,MATCH(P$1,'Piping Class'!$88:$88,0),0),"")</f>
        <v>3.1</v>
      </c>
      <c r="Q11" s="983"/>
      <c r="R11" s="988">
        <v>0</v>
      </c>
      <c r="S11" s="969" t="str">
        <f t="shared" si="42"/>
        <v>cad</v>
      </c>
      <c r="T11" s="968">
        <f>IFERROR(VLOOKUP(I11&amp;"."&amp;L11,'Fitting Chart'!$1:$1048576,MATCH(C11,'Fitting Chart'!$1:$1,0),0),0)+IF(B11="piping",PI()*K11*(VLOOKUP(I11,'Thickness Tab'!$1:$1048576,3,0)-K11)*7.86/1000,0)+IF(B11="Flange",VLOOKUP(I11&amp;"F"&amp;F11,'Flanges Chart'!$1:$1048576,MATCH(C11&amp;"."&amp;T$1,'Flanges Chart'!$1:$1,0),0),0)</f>
        <v>1.1000000000000001</v>
      </c>
      <c r="U11" s="989">
        <f t="shared" si="0"/>
        <v>0</v>
      </c>
      <c r="V11" s="1003">
        <v>3</v>
      </c>
      <c r="W11" s="1001">
        <f t="shared" si="22"/>
        <v>0</v>
      </c>
      <c r="X11" s="997"/>
      <c r="Y11" s="983" t="s">
        <v>105</v>
      </c>
      <c r="Z11" s="989">
        <f>IF(B11="Piping",VLOOKUP(I11,'Thickness Tab'!$1:$1048576,3,0)/1000*PI(),0)+IFERROR(VLOOKUP(I11&amp;"F"&amp;F11,'Flanges Chart'!$1:$1048576,MATCH(C11&amp;".Unit Surface",'Flanges Chart'!$1:$1,0),0),0)+IF(B11="Fitting",VLOOKUP(I11,'Thickness Tab'!$1:$1048576,3,0)/1000*PI(),0)</f>
        <v>1.8388307288138707E-2</v>
      </c>
      <c r="AA11" s="989">
        <f t="shared" si="23"/>
        <v>0</v>
      </c>
      <c r="AB11" s="983">
        <v>50</v>
      </c>
      <c r="AC11" s="989">
        <f t="shared" si="24"/>
        <v>0.33254757264711804</v>
      </c>
      <c r="AD11" s="989">
        <f t="shared" si="25"/>
        <v>0</v>
      </c>
      <c r="AE11" s="974">
        <f>(IFERROR(VLOOKUP($C11,List!$J:$L,2,0),0)*R11+IF(B11="piping",R11,0)+IF(C11="Welding Neck",1,0)*R11)*$AE$2</f>
        <v>0</v>
      </c>
      <c r="AF11" s="970">
        <f>IFERROR(VLOOKUP($C11,List!$J:$L,3,0),0)*R11*$AF$2</f>
        <v>0</v>
      </c>
      <c r="AG11" s="990">
        <f t="shared" si="1"/>
        <v>0</v>
      </c>
      <c r="AH11" s="1118">
        <f>IFERROR(VLOOKUP($D11,'Piping Class'!$88:$102,MATCH(AH$1,'Piping Class'!$88:$88,0),0),"")</f>
        <v>0.1</v>
      </c>
      <c r="AI11" s="991">
        <f>IFERROR(VLOOKUP($D11,'Piping Class'!$88:$102,MATCH(AI$1,'Piping Class'!$88:$88,0),0),"")</f>
        <v>0</v>
      </c>
      <c r="AJ11" s="991">
        <f>IFERROR(VLOOKUP($D11,'Piping Class'!$88:$102,MATCH(AJ$1,'Piping Class'!$88:$88,0),0),"")</f>
        <v>1</v>
      </c>
      <c r="AK11" s="991">
        <f>IFERROR(VLOOKUP($D11,'Piping Class'!$88:$102,MATCH(AK$1,'Piping Class'!$88:$88,0),0),"")</f>
        <v>0</v>
      </c>
      <c r="AL11" s="991">
        <f t="shared" si="2"/>
        <v>0</v>
      </c>
      <c r="AM11" s="1119" t="str">
        <f>IFERROR(VLOOKUP($D11,'Piping Class'!$88:$102,MATCH(AM$1,'Piping Class'!$88:$88,0),0),"")</f>
        <v/>
      </c>
      <c r="AN11" s="992">
        <f t="shared" si="26"/>
        <v>0</v>
      </c>
      <c r="AO11" s="993">
        <f>IFERROR(VLOOKUP(I11&amp;"B"&amp;F11,'Bolting Chart'!$1:$1048576,4,0),0)</f>
        <v>4</v>
      </c>
      <c r="AP11" s="993">
        <f t="shared" si="27"/>
        <v>0</v>
      </c>
      <c r="AQ11" s="993">
        <f t="shared" si="28"/>
        <v>0</v>
      </c>
      <c r="AR11" s="993" t="str">
        <f>IF(AO11=0,0,VLOOKUP(D11&amp;".bolting",'Piping Class'!$1:$1048576,MATCH(I11,'Piping Class'!$2:$2,0),0))</f>
        <v>ASTM A320 Gr.7 / A194 Gr.4 S3 - HDG</v>
      </c>
      <c r="AS11" s="994">
        <f>IFERROR(VLOOKUP(I11&amp;"B"&amp;F11,'Bolting Chart'!$1:$1048576,IF(AS$2="UNC",5,6),0),0)</f>
        <v>0.5</v>
      </c>
      <c r="AT11" s="995">
        <f>IFERROR(VLOOKUP(I11&amp;"B"&amp;F11,'Bolting Chart'!$1:$1048576,IF(G11="RF",8,9),0),0)</f>
        <v>65</v>
      </c>
      <c r="AU11" s="993" t="str">
        <f>IF(AO11=0,0,VLOOKUP(D11&amp;".gasket",'Piping Class'!$1:$1048576,MATCH(I11,'Piping Class'!$2:$2,0),0))</f>
        <v>Spiral Wound / SS 316 IE</v>
      </c>
      <c r="AV11" s="996">
        <f>(IFERROR(INDEX('Bolting Chart'!$A$169:$R$251,MATCH(AT11,'Bolting Chart'!$A$170:$A$251,0),MATCH(IFERROR(VLOOKUP(I11&amp;"B"&amp;F11,'Bolting Chart'!$1:$1048576,7,0),0)+0,'Bolting Chart'!$A$169:$R$169,0)),0))/100</f>
        <v>0.12</v>
      </c>
      <c r="AW11" s="996">
        <f t="shared" si="3"/>
        <v>0.48</v>
      </c>
      <c r="AX11" s="1194">
        <f t="shared" si="4"/>
        <v>0</v>
      </c>
      <c r="AY11" s="981"/>
      <c r="AZ11" s="1543">
        <f t="shared" si="29"/>
        <v>0</v>
      </c>
      <c r="BA11" s="1543">
        <f t="shared" si="5"/>
        <v>0</v>
      </c>
      <c r="BB11" s="1543">
        <f t="shared" si="5"/>
        <v>1</v>
      </c>
      <c r="BC11" s="1543">
        <f t="shared" si="5"/>
        <v>0</v>
      </c>
      <c r="BD11" s="1543">
        <f t="shared" si="5"/>
        <v>0</v>
      </c>
      <c r="BE11" s="1543">
        <f t="shared" si="5"/>
        <v>0</v>
      </c>
      <c r="BF11" s="1543">
        <f t="shared" si="5"/>
        <v>0</v>
      </c>
      <c r="BG11" s="1543">
        <f t="shared" si="5"/>
        <v>0</v>
      </c>
      <c r="BH11" s="1543">
        <f t="shared" si="5"/>
        <v>0</v>
      </c>
      <c r="BI11" s="1543">
        <f t="shared" si="5"/>
        <v>0</v>
      </c>
      <c r="BJ11" s="1543">
        <f t="shared" si="5"/>
        <v>0</v>
      </c>
      <c r="BK11" s="1543">
        <f t="shared" si="5"/>
        <v>0</v>
      </c>
      <c r="BL11" s="1543">
        <f t="shared" si="5"/>
        <v>0</v>
      </c>
      <c r="BM11" s="1543">
        <f t="shared" si="5"/>
        <v>0</v>
      </c>
      <c r="BN11" s="1543">
        <f t="shared" si="5"/>
        <v>0</v>
      </c>
      <c r="BO11" s="1543">
        <f t="shared" si="5"/>
        <v>0</v>
      </c>
      <c r="BP11" s="1543">
        <f t="shared" si="5"/>
        <v>0</v>
      </c>
      <c r="BQ11" s="1543">
        <f t="shared" si="5"/>
        <v>0</v>
      </c>
      <c r="BR11" s="1543">
        <f t="shared" si="6"/>
        <v>0</v>
      </c>
      <c r="BS11" s="1543">
        <f t="shared" si="6"/>
        <v>0</v>
      </c>
      <c r="BT11" s="1543">
        <f t="shared" si="6"/>
        <v>0</v>
      </c>
      <c r="BU11" s="1543">
        <f t="shared" si="6"/>
        <v>0</v>
      </c>
      <c r="BV11" s="1543">
        <f t="shared" si="6"/>
        <v>0</v>
      </c>
      <c r="BW11" s="1543">
        <f t="shared" si="6"/>
        <v>0</v>
      </c>
      <c r="BX11" s="1543">
        <f t="shared" si="6"/>
        <v>0</v>
      </c>
      <c r="BY11" s="1543">
        <f t="shared" si="6"/>
        <v>0</v>
      </c>
      <c r="BZ11" s="1543">
        <f t="shared" si="6"/>
        <v>0</v>
      </c>
      <c r="CB11" s="1543">
        <f t="shared" si="30"/>
        <v>0</v>
      </c>
      <c r="CC11" s="1543">
        <f t="shared" si="7"/>
        <v>0</v>
      </c>
      <c r="CD11" s="1543">
        <f t="shared" si="7"/>
        <v>0</v>
      </c>
      <c r="CE11" s="1543">
        <f t="shared" si="7"/>
        <v>0</v>
      </c>
      <c r="CF11" s="1543">
        <f t="shared" si="7"/>
        <v>0</v>
      </c>
      <c r="CG11" s="1543">
        <f t="shared" si="7"/>
        <v>0</v>
      </c>
      <c r="CH11" s="1543">
        <f t="shared" si="7"/>
        <v>0</v>
      </c>
      <c r="CI11" s="1543">
        <f t="shared" si="7"/>
        <v>0</v>
      </c>
      <c r="CJ11" s="1543">
        <f t="shared" si="7"/>
        <v>0</v>
      </c>
      <c r="CK11" s="1543">
        <f t="shared" si="7"/>
        <v>0</v>
      </c>
      <c r="CL11" s="1543">
        <f t="shared" si="7"/>
        <v>0</v>
      </c>
      <c r="CM11" s="1543">
        <f t="shared" si="7"/>
        <v>0</v>
      </c>
      <c r="CN11" s="1543">
        <f t="shared" si="7"/>
        <v>0</v>
      </c>
      <c r="CO11" s="1543">
        <f t="shared" si="7"/>
        <v>0</v>
      </c>
      <c r="CP11" s="1543">
        <f t="shared" si="7"/>
        <v>0</v>
      </c>
      <c r="CQ11" s="1543">
        <f t="shared" si="7"/>
        <v>0</v>
      </c>
      <c r="CR11" s="1543">
        <f t="shared" si="7"/>
        <v>0</v>
      </c>
      <c r="CS11" s="1543">
        <f t="shared" si="7"/>
        <v>0</v>
      </c>
      <c r="CT11" s="1543">
        <f t="shared" si="8"/>
        <v>0</v>
      </c>
      <c r="CU11" s="1543">
        <f t="shared" si="8"/>
        <v>0</v>
      </c>
      <c r="CV11" s="1543">
        <f t="shared" si="8"/>
        <v>0</v>
      </c>
      <c r="CW11" s="1543">
        <f t="shared" si="8"/>
        <v>0</v>
      </c>
      <c r="CX11" s="1543">
        <f t="shared" si="8"/>
        <v>0</v>
      </c>
      <c r="CY11" s="1543">
        <f t="shared" si="8"/>
        <v>0</v>
      </c>
      <c r="CZ11" s="1543">
        <f t="shared" si="8"/>
        <v>0</v>
      </c>
      <c r="DA11" s="1543">
        <f t="shared" si="8"/>
        <v>0</v>
      </c>
      <c r="DB11" s="1543">
        <f t="shared" si="8"/>
        <v>0</v>
      </c>
      <c r="DD11" s="1543">
        <f t="shared" si="9"/>
        <v>1</v>
      </c>
      <c r="DE11" s="1543">
        <f t="shared" si="10"/>
        <v>0</v>
      </c>
      <c r="DF11" s="1543">
        <f t="shared" si="11"/>
        <v>0</v>
      </c>
      <c r="DG11" s="1543">
        <f t="shared" si="31"/>
        <v>0</v>
      </c>
      <c r="DI11" s="1543">
        <f t="shared" si="32"/>
        <v>1</v>
      </c>
      <c r="DJ11" s="1543">
        <f t="shared" si="12"/>
        <v>0</v>
      </c>
      <c r="DK11" s="1543">
        <f t="shared" si="12"/>
        <v>0</v>
      </c>
      <c r="DL11" s="1543">
        <f t="shared" si="12"/>
        <v>0</v>
      </c>
      <c r="DM11" s="1543">
        <f t="shared" si="12"/>
        <v>0</v>
      </c>
      <c r="DO11" s="1543">
        <f t="shared" si="13"/>
        <v>0</v>
      </c>
      <c r="DP11" s="1543">
        <f t="shared" si="14"/>
        <v>0</v>
      </c>
      <c r="DQ11" s="1543">
        <f t="shared" si="14"/>
        <v>0</v>
      </c>
      <c r="DR11" s="1543">
        <f t="shared" si="14"/>
        <v>0</v>
      </c>
      <c r="DS11" s="1543">
        <f t="shared" si="14"/>
        <v>0</v>
      </c>
      <c r="DT11" s="1543">
        <f t="shared" si="14"/>
        <v>0</v>
      </c>
      <c r="DU11" s="1543">
        <f t="shared" si="14"/>
        <v>0</v>
      </c>
      <c r="DV11" s="1543">
        <f t="shared" si="14"/>
        <v>1</v>
      </c>
      <c r="DW11" s="1543">
        <f t="shared" si="14"/>
        <v>0</v>
      </c>
      <c r="DX11" s="1543">
        <f t="shared" si="14"/>
        <v>0</v>
      </c>
      <c r="DY11" s="1543">
        <f t="shared" si="14"/>
        <v>0</v>
      </c>
      <c r="DZ11" s="1543">
        <f t="shared" si="14"/>
        <v>0</v>
      </c>
      <c r="EA11" s="1543">
        <f t="shared" si="14"/>
        <v>0</v>
      </c>
      <c r="EB11" s="1543">
        <f t="shared" si="15"/>
        <v>0</v>
      </c>
      <c r="EC11" s="1543">
        <f t="shared" si="15"/>
        <v>0</v>
      </c>
      <c r="ED11" s="1543">
        <f t="shared" si="15"/>
        <v>0</v>
      </c>
      <c r="EE11" s="1543">
        <f t="shared" si="15"/>
        <v>0</v>
      </c>
      <c r="EF11" s="1543">
        <f t="shared" si="15"/>
        <v>0</v>
      </c>
      <c r="EH11" s="1543">
        <f t="shared" si="33"/>
        <v>0</v>
      </c>
      <c r="EI11" s="1543">
        <f t="shared" si="34"/>
        <v>0</v>
      </c>
      <c r="EJ11" s="1543">
        <f t="shared" si="35"/>
        <v>1</v>
      </c>
      <c r="EK11" s="1543">
        <f t="shared" si="36"/>
        <v>0</v>
      </c>
      <c r="EL11" s="1543">
        <f t="shared" si="37"/>
        <v>0</v>
      </c>
      <c r="EM11" s="1543">
        <f t="shared" si="38"/>
        <v>0</v>
      </c>
      <c r="EN11" s="1543">
        <f t="shared" si="39"/>
        <v>0</v>
      </c>
      <c r="EP11" s="1543">
        <f t="shared" si="16"/>
        <v>0</v>
      </c>
      <c r="EQ11" s="1543">
        <f t="shared" si="16"/>
        <v>0</v>
      </c>
      <c r="ER11" s="1543">
        <f t="shared" si="16"/>
        <v>0</v>
      </c>
      <c r="ES11" s="1543">
        <f t="shared" si="16"/>
        <v>0</v>
      </c>
      <c r="ET11" s="1543">
        <f t="shared" si="17"/>
        <v>0</v>
      </c>
      <c r="EU11" s="1543">
        <f t="shared" si="17"/>
        <v>0</v>
      </c>
      <c r="EV11" s="1543">
        <f t="shared" si="17"/>
        <v>0</v>
      </c>
      <c r="EW11" s="1543">
        <f t="shared" si="17"/>
        <v>0</v>
      </c>
      <c r="EX11" s="1543">
        <f t="shared" si="17"/>
        <v>0</v>
      </c>
      <c r="EY11" s="1543">
        <f t="shared" si="17"/>
        <v>0</v>
      </c>
      <c r="EZ11" s="1543">
        <f t="shared" si="17"/>
        <v>0</v>
      </c>
      <c r="FA11" s="1543">
        <f t="shared" si="17"/>
        <v>0</v>
      </c>
      <c r="FB11" s="1543">
        <f t="shared" si="17"/>
        <v>0</v>
      </c>
      <c r="FC11" s="1543">
        <f t="shared" si="17"/>
        <v>0</v>
      </c>
      <c r="FD11" s="1543">
        <f t="shared" si="17"/>
        <v>0</v>
      </c>
      <c r="FE11" s="1543">
        <f t="shared" si="17"/>
        <v>0</v>
      </c>
      <c r="FF11" s="1543">
        <f t="shared" si="40"/>
        <v>1</v>
      </c>
      <c r="FH11" s="1543">
        <f t="shared" si="18"/>
        <v>0</v>
      </c>
      <c r="FI11" s="1543">
        <f t="shared" si="19"/>
        <v>0</v>
      </c>
      <c r="FJ11" s="1543">
        <f t="shared" si="19"/>
        <v>0</v>
      </c>
      <c r="FK11" s="1543">
        <f t="shared" si="19"/>
        <v>0</v>
      </c>
      <c r="FL11" s="1543">
        <f t="shared" si="19"/>
        <v>0</v>
      </c>
      <c r="FM11" s="1543">
        <f t="shared" si="19"/>
        <v>0</v>
      </c>
      <c r="FN11" s="1543">
        <f t="shared" si="19"/>
        <v>0</v>
      </c>
      <c r="FO11" s="1543">
        <f t="shared" si="19"/>
        <v>0</v>
      </c>
      <c r="FP11" s="1543">
        <f t="shared" si="19"/>
        <v>0</v>
      </c>
      <c r="FQ11" s="1543">
        <f t="shared" si="19"/>
        <v>0</v>
      </c>
      <c r="FR11" s="1543">
        <f t="shared" si="19"/>
        <v>0</v>
      </c>
      <c r="FS11" s="1543">
        <f t="shared" si="19"/>
        <v>0</v>
      </c>
      <c r="FT11" s="1543">
        <f t="shared" si="41"/>
        <v>1</v>
      </c>
      <c r="FV11" s="1543">
        <f t="shared" si="20"/>
        <v>0</v>
      </c>
      <c r="FW11" s="1543">
        <f t="shared" si="21"/>
        <v>0</v>
      </c>
      <c r="FX11" s="1543">
        <f t="shared" si="21"/>
        <v>0</v>
      </c>
      <c r="FY11" s="1543">
        <f t="shared" si="21"/>
        <v>1</v>
      </c>
      <c r="FZ11" s="1543">
        <f t="shared" si="21"/>
        <v>0</v>
      </c>
      <c r="GA11" s="1543">
        <f t="shared" si="21"/>
        <v>0</v>
      </c>
      <c r="GB11" s="1543">
        <f t="shared" si="21"/>
        <v>0</v>
      </c>
      <c r="GC11" s="1543">
        <f t="shared" si="21"/>
        <v>0</v>
      </c>
      <c r="GD11" s="1543">
        <f t="shared" si="21"/>
        <v>0</v>
      </c>
    </row>
    <row r="12" spans="1:186" s="982" customFormat="1" ht="15.6" x14ac:dyDescent="0.3">
      <c r="A12" s="974">
        <v>10</v>
      </c>
      <c r="B12" s="983" t="s">
        <v>141</v>
      </c>
      <c r="C12" s="984" t="s">
        <v>338</v>
      </c>
      <c r="D12" s="983" t="s">
        <v>61</v>
      </c>
      <c r="E12" s="968" t="str">
        <f>IFERROR(VLOOKUP($D12&amp;"."&amp;B12,'Piping Class'!$1:$1048576,MATCH($I12,'Piping Class'!$2:$2,0),0),"")</f>
        <v xml:space="preserve">ASTM 106 Gr.B </v>
      </c>
      <c r="F12" s="985">
        <f>IFERROR(IF(B12="Flange",VLOOKUP($D12,'Piping Class'!$88:$102,MATCH(F$1,'Piping Class'!$88:$88,0),0),""),"")</f>
        <v>150</v>
      </c>
      <c r="G12" s="968" t="str">
        <f>IFERROR(IF(B12="Flange",VLOOKUP($D12,'Piping Class'!$88:$102,MATCH(G$1,'Piping Class'!$88:$88,0),0),""),"")</f>
        <v>RF</v>
      </c>
      <c r="H12" s="968" t="str">
        <f>IFERROR(VLOOKUP($D12,'Piping Class'!$88:$102,MATCH(H$1,'Piping Class'!$88:$88,0),0),"")</f>
        <v>CS</v>
      </c>
      <c r="I12" s="986">
        <v>3</v>
      </c>
      <c r="J12" s="987"/>
      <c r="K12" s="968">
        <f>IFERROR(VLOOKUP(I12,'Thickness Tab'!$1:$1048576,MATCH(L12,'Thickness Tab'!$1:$1,0),0),"")</f>
        <v>5.49</v>
      </c>
      <c r="L12" s="969">
        <f>IFERROR(VLOOKUP($D12,'Piping Class'!$1:$1048576,MATCH($I12,'Piping Class'!$2:$2,0),0),"")</f>
        <v>40</v>
      </c>
      <c r="M12" s="968" t="str">
        <f>IFERROR(VLOOKUP(J12,'Thickness Tab'!$1:$1048576,MATCH(N12,'Thickness Tab'!$1:$1,0),0),"")</f>
        <v/>
      </c>
      <c r="N12" s="969" t="str">
        <f>IFERROR(VLOOKUP($D12,'Piping Class'!$1:$1048576,MATCH($J12,'Piping Class'!$2:$2,0),0),"")</f>
        <v/>
      </c>
      <c r="O12" s="968" t="str">
        <f>IFERROR(VLOOKUP($D12,'Piping Class'!$88:$102,MATCH(O$1,'Piping Class'!$88:$88,0),0),"")</f>
        <v>B31.3 / B16.5</v>
      </c>
      <c r="P12" s="968" t="str">
        <f>IFERROR(VLOOKUP($D12,'Piping Class'!$88:$102,MATCH(P$1,'Piping Class'!$88:$88,0),0),"")</f>
        <v>3.1</v>
      </c>
      <c r="Q12" s="983"/>
      <c r="R12" s="988">
        <v>12</v>
      </c>
      <c r="S12" s="969" t="str">
        <f t="shared" ref="S12:S21" si="43">IF(B12="","",IF(B12="piping","m","cad"))</f>
        <v>cad</v>
      </c>
      <c r="T12" s="968">
        <f>IFERROR(VLOOKUP(I12&amp;"."&amp;L12,'Fitting Chart'!$1:$1048576,MATCH(C12,'Fitting Chart'!$1:$1,0),0),0)+IF(B12="piping",PI()*K12*(VLOOKUP(I12,'Thickness Tab'!$1:$1048576,3,0)-K12)*7.86/1000,0)+IF(B12="Flange",VLOOKUP(I12&amp;"F"&amp;F12,'Flanges Chart'!$1:$1048576,MATCH(C12&amp;"."&amp;T$1,'Flanges Chart'!$1:$1,0),0),0)</f>
        <v>4.5</v>
      </c>
      <c r="U12" s="989">
        <f t="shared" si="0"/>
        <v>54</v>
      </c>
      <c r="V12" s="1003">
        <v>3</v>
      </c>
      <c r="W12" s="1001">
        <f t="shared" si="22"/>
        <v>162</v>
      </c>
      <c r="X12" s="997"/>
      <c r="Y12" s="983" t="s">
        <v>105</v>
      </c>
      <c r="Z12" s="989">
        <f>IF(B12="Piping",VLOOKUP(I12,'Thickness Tab'!$1:$1048576,3,0)/1000*PI(),0)+IFERROR(VLOOKUP(I12&amp;"F"&amp;F12,'Flanges Chart'!$1:$1048576,MATCH(C12&amp;".Unit Surface",'Flanges Chart'!$1:$1,0),0),0)+IF(B12="Fitting",VLOOKUP(I12,'Thickness Tab'!$1:$1048576,3,0)/1000*PI(),0)</f>
        <v>5.5494003694879647E-2</v>
      </c>
      <c r="AA12" s="989">
        <f t="shared" si="23"/>
        <v>0.66592804433855579</v>
      </c>
      <c r="AB12" s="983">
        <v>50</v>
      </c>
      <c r="AC12" s="989">
        <f t="shared" si="24"/>
        <v>0.36965326905385898</v>
      </c>
      <c r="AD12" s="989">
        <f t="shared" si="25"/>
        <v>4.4358392286463078</v>
      </c>
      <c r="AE12" s="974">
        <f>(IFERROR(VLOOKUP($C12,List!$J:$L,2,0),0)*R12+IF(B12="piping",R12,0)+IF(C12="Welding Neck",1,0)*R12)*$AE$2</f>
        <v>9.6000000000000014</v>
      </c>
      <c r="AF12" s="970">
        <f>IFERROR(VLOOKUP($C12,List!$J:$L,3,0),0)*R12*$AF$2</f>
        <v>0</v>
      </c>
      <c r="AG12" s="990">
        <f t="shared" si="1"/>
        <v>28.800000000000004</v>
      </c>
      <c r="AH12" s="1118">
        <f>IFERROR(VLOOKUP($D12,'Piping Class'!$88:$102,MATCH(AH$1,'Piping Class'!$88:$88,0),0),"")</f>
        <v>0.1</v>
      </c>
      <c r="AI12" s="991">
        <f>IFERROR(VLOOKUP($D12,'Piping Class'!$88:$102,MATCH(AI$1,'Piping Class'!$88:$88,0),0),"")</f>
        <v>0</v>
      </c>
      <c r="AJ12" s="991">
        <f>IFERROR(VLOOKUP($D12,'Piping Class'!$88:$102,MATCH(AJ$1,'Piping Class'!$88:$88,0),0),"")</f>
        <v>1</v>
      </c>
      <c r="AK12" s="991">
        <f>IFERROR(VLOOKUP($D12,'Piping Class'!$88:$102,MATCH(AK$1,'Piping Class'!$88:$88,0),0),"")</f>
        <v>0</v>
      </c>
      <c r="AL12" s="991">
        <f t="shared" si="2"/>
        <v>0</v>
      </c>
      <c r="AM12" s="1119" t="str">
        <f>IFERROR(VLOOKUP($D12,'Piping Class'!$88:$102,MATCH(AM$1,'Piping Class'!$88:$88,0),0),"")</f>
        <v/>
      </c>
      <c r="AN12" s="992">
        <f t="shared" si="26"/>
        <v>9.7199999999999989</v>
      </c>
      <c r="AO12" s="993">
        <f>IFERROR(VLOOKUP(I12&amp;"B"&amp;F12,'Bolting Chart'!$1:$1048576,4,0),0)</f>
        <v>4</v>
      </c>
      <c r="AP12" s="993">
        <f t="shared" si="27"/>
        <v>48</v>
      </c>
      <c r="AQ12" s="993">
        <f t="shared" si="28"/>
        <v>12</v>
      </c>
      <c r="AR12" s="993" t="str">
        <f>IF(AO12=0,0,VLOOKUP(D12&amp;".bolting",'Piping Class'!$1:$1048576,MATCH(I12,'Piping Class'!$2:$2,0),0))</f>
        <v>ASTM A320 Gr.7 / A194 Gr.4 S3 - HDG</v>
      </c>
      <c r="AS12" s="994">
        <f>IFERROR(VLOOKUP(I12&amp;"B"&amp;F12,'Bolting Chart'!$1:$1048576,IF(AS$2="UNC",5,6),0),0)</f>
        <v>0.625</v>
      </c>
      <c r="AT12" s="995">
        <f>IFERROR(VLOOKUP(I12&amp;"B"&amp;F12,'Bolting Chart'!$1:$1048576,IF(G12="RF",8,9),0),0)</f>
        <v>90</v>
      </c>
      <c r="AU12" s="993" t="str">
        <f>IF(AO12=0,0,VLOOKUP(D12&amp;".gasket",'Piping Class'!$1:$1048576,MATCH(I12,'Piping Class'!$2:$2,0),0))</f>
        <v>Spiral Wound / SS 316 IE</v>
      </c>
      <c r="AV12" s="996">
        <f>(IFERROR(INDEX('Bolting Chart'!$A$169:$R$251,MATCH(AT12,'Bolting Chart'!$A$170:$A$251,0),MATCH(IFERROR(VLOOKUP(I12&amp;"B"&amp;F12,'Bolting Chart'!$1:$1048576,7,0),0)+0,'Bolting Chart'!$A$169:$R$169,0)),0))/100</f>
        <v>0.18899999999999997</v>
      </c>
      <c r="AW12" s="996">
        <f t="shared" si="3"/>
        <v>0.75599999999999989</v>
      </c>
      <c r="AX12" s="1194">
        <f t="shared" si="4"/>
        <v>9.0719999999999992</v>
      </c>
      <c r="AY12" s="981"/>
      <c r="AZ12" s="1543">
        <f t="shared" si="29"/>
        <v>0</v>
      </c>
      <c r="BA12" s="1543">
        <f t="shared" si="5"/>
        <v>0</v>
      </c>
      <c r="BB12" s="1543">
        <f t="shared" si="5"/>
        <v>0</v>
      </c>
      <c r="BC12" s="1543">
        <f t="shared" si="5"/>
        <v>0</v>
      </c>
      <c r="BD12" s="1543">
        <f t="shared" si="5"/>
        <v>0</v>
      </c>
      <c r="BE12" s="1543">
        <f t="shared" si="5"/>
        <v>0</v>
      </c>
      <c r="BF12" s="1543">
        <f t="shared" si="5"/>
        <v>1</v>
      </c>
      <c r="BG12" s="1543">
        <f t="shared" si="5"/>
        <v>0</v>
      </c>
      <c r="BH12" s="1543">
        <f t="shared" si="5"/>
        <v>0</v>
      </c>
      <c r="BI12" s="1543">
        <f t="shared" si="5"/>
        <v>0</v>
      </c>
      <c r="BJ12" s="1543">
        <f t="shared" si="5"/>
        <v>0</v>
      </c>
      <c r="BK12" s="1543">
        <f t="shared" si="5"/>
        <v>0</v>
      </c>
      <c r="BL12" s="1543">
        <f t="shared" si="5"/>
        <v>0</v>
      </c>
      <c r="BM12" s="1543">
        <f t="shared" si="5"/>
        <v>0</v>
      </c>
      <c r="BN12" s="1543">
        <f t="shared" si="5"/>
        <v>0</v>
      </c>
      <c r="BO12" s="1543">
        <f t="shared" si="5"/>
        <v>0</v>
      </c>
      <c r="BP12" s="1543">
        <f t="shared" si="5"/>
        <v>0</v>
      </c>
      <c r="BQ12" s="1543">
        <f t="shared" si="5"/>
        <v>0</v>
      </c>
      <c r="BR12" s="1543">
        <f t="shared" si="6"/>
        <v>0</v>
      </c>
      <c r="BS12" s="1543">
        <f t="shared" si="6"/>
        <v>0</v>
      </c>
      <c r="BT12" s="1543">
        <f t="shared" si="6"/>
        <v>0</v>
      </c>
      <c r="BU12" s="1543">
        <f t="shared" si="6"/>
        <v>0</v>
      </c>
      <c r="BV12" s="1543">
        <f t="shared" si="6"/>
        <v>0</v>
      </c>
      <c r="BW12" s="1543">
        <f t="shared" si="6"/>
        <v>0</v>
      </c>
      <c r="BX12" s="1543">
        <f t="shared" si="6"/>
        <v>0</v>
      </c>
      <c r="BY12" s="1543">
        <f t="shared" si="6"/>
        <v>0</v>
      </c>
      <c r="BZ12" s="1543">
        <f t="shared" si="6"/>
        <v>0</v>
      </c>
      <c r="CB12" s="1543">
        <f t="shared" si="30"/>
        <v>0</v>
      </c>
      <c r="CC12" s="1543">
        <f t="shared" si="7"/>
        <v>0</v>
      </c>
      <c r="CD12" s="1543">
        <f t="shared" si="7"/>
        <v>0</v>
      </c>
      <c r="CE12" s="1543">
        <f t="shared" si="7"/>
        <v>0</v>
      </c>
      <c r="CF12" s="1543">
        <f t="shared" si="7"/>
        <v>0</v>
      </c>
      <c r="CG12" s="1543">
        <f t="shared" si="7"/>
        <v>0</v>
      </c>
      <c r="CH12" s="1543">
        <f t="shared" si="7"/>
        <v>0</v>
      </c>
      <c r="CI12" s="1543">
        <f t="shared" si="7"/>
        <v>0</v>
      </c>
      <c r="CJ12" s="1543">
        <f t="shared" si="7"/>
        <v>0</v>
      </c>
      <c r="CK12" s="1543">
        <f t="shared" si="7"/>
        <v>0</v>
      </c>
      <c r="CL12" s="1543">
        <f t="shared" si="7"/>
        <v>0</v>
      </c>
      <c r="CM12" s="1543">
        <f t="shared" si="7"/>
        <v>0</v>
      </c>
      <c r="CN12" s="1543">
        <f t="shared" si="7"/>
        <v>0</v>
      </c>
      <c r="CO12" s="1543">
        <f t="shared" si="7"/>
        <v>0</v>
      </c>
      <c r="CP12" s="1543">
        <f t="shared" si="7"/>
        <v>0</v>
      </c>
      <c r="CQ12" s="1543">
        <f t="shared" si="7"/>
        <v>0</v>
      </c>
      <c r="CR12" s="1543">
        <f t="shared" si="7"/>
        <v>0</v>
      </c>
      <c r="CS12" s="1543">
        <f t="shared" si="7"/>
        <v>0</v>
      </c>
      <c r="CT12" s="1543">
        <f t="shared" si="8"/>
        <v>0</v>
      </c>
      <c r="CU12" s="1543">
        <f t="shared" si="8"/>
        <v>0</v>
      </c>
      <c r="CV12" s="1543">
        <f t="shared" si="8"/>
        <v>0</v>
      </c>
      <c r="CW12" s="1543">
        <f t="shared" si="8"/>
        <v>0</v>
      </c>
      <c r="CX12" s="1543">
        <f t="shared" si="8"/>
        <v>0</v>
      </c>
      <c r="CY12" s="1543">
        <f t="shared" si="8"/>
        <v>0</v>
      </c>
      <c r="CZ12" s="1543">
        <f t="shared" si="8"/>
        <v>0</v>
      </c>
      <c r="DA12" s="1543">
        <f t="shared" si="8"/>
        <v>0</v>
      </c>
      <c r="DB12" s="1543">
        <f t="shared" si="8"/>
        <v>0</v>
      </c>
      <c r="DD12" s="1543">
        <f t="shared" si="9"/>
        <v>0</v>
      </c>
      <c r="DE12" s="1543">
        <f t="shared" si="10"/>
        <v>1</v>
      </c>
      <c r="DF12" s="1543">
        <f t="shared" si="11"/>
        <v>0</v>
      </c>
      <c r="DG12" s="1543">
        <f t="shared" si="31"/>
        <v>0</v>
      </c>
      <c r="DI12" s="1543">
        <f t="shared" si="32"/>
        <v>1</v>
      </c>
      <c r="DJ12" s="1543">
        <f t="shared" si="12"/>
        <v>0</v>
      </c>
      <c r="DK12" s="1543">
        <f t="shared" si="12"/>
        <v>0</v>
      </c>
      <c r="DL12" s="1543">
        <f t="shared" si="12"/>
        <v>0</v>
      </c>
      <c r="DM12" s="1543">
        <f t="shared" si="12"/>
        <v>0</v>
      </c>
      <c r="DO12" s="1543">
        <f t="shared" si="13"/>
        <v>0</v>
      </c>
      <c r="DP12" s="1543">
        <f t="shared" si="14"/>
        <v>0</v>
      </c>
      <c r="DQ12" s="1543">
        <f t="shared" si="14"/>
        <v>0</v>
      </c>
      <c r="DR12" s="1543">
        <f t="shared" si="14"/>
        <v>0</v>
      </c>
      <c r="DS12" s="1543">
        <f t="shared" si="14"/>
        <v>1</v>
      </c>
      <c r="DT12" s="1543">
        <f t="shared" si="14"/>
        <v>0</v>
      </c>
      <c r="DU12" s="1543">
        <f t="shared" si="14"/>
        <v>0</v>
      </c>
      <c r="DV12" s="1543">
        <f t="shared" si="14"/>
        <v>0</v>
      </c>
      <c r="DW12" s="1543">
        <f t="shared" si="14"/>
        <v>0</v>
      </c>
      <c r="DX12" s="1543">
        <f t="shared" si="14"/>
        <v>0</v>
      </c>
      <c r="DY12" s="1543">
        <f t="shared" si="14"/>
        <v>0</v>
      </c>
      <c r="DZ12" s="1543">
        <f t="shared" si="14"/>
        <v>0</v>
      </c>
      <c r="EA12" s="1543">
        <f t="shared" si="14"/>
        <v>0</v>
      </c>
      <c r="EB12" s="1543">
        <f t="shared" si="15"/>
        <v>0</v>
      </c>
      <c r="EC12" s="1543">
        <f t="shared" si="15"/>
        <v>0</v>
      </c>
      <c r="ED12" s="1543">
        <f t="shared" si="15"/>
        <v>0</v>
      </c>
      <c r="EE12" s="1543">
        <f t="shared" si="15"/>
        <v>0</v>
      </c>
      <c r="EF12" s="1543">
        <f t="shared" si="15"/>
        <v>0</v>
      </c>
      <c r="EH12" s="1543">
        <f t="shared" si="33"/>
        <v>1</v>
      </c>
      <c r="EI12" s="1543">
        <f t="shared" si="34"/>
        <v>0</v>
      </c>
      <c r="EJ12" s="1543">
        <f t="shared" si="35"/>
        <v>0</v>
      </c>
      <c r="EK12" s="1543">
        <f t="shared" si="36"/>
        <v>0</v>
      </c>
      <c r="EL12" s="1543">
        <f t="shared" si="37"/>
        <v>0</v>
      </c>
      <c r="EM12" s="1543">
        <f t="shared" si="38"/>
        <v>0</v>
      </c>
      <c r="EN12" s="1543">
        <f t="shared" si="39"/>
        <v>0</v>
      </c>
      <c r="EP12" s="1543">
        <f t="shared" si="16"/>
        <v>0</v>
      </c>
      <c r="EQ12" s="1543">
        <f t="shared" si="16"/>
        <v>0</v>
      </c>
      <c r="ER12" s="1543">
        <f t="shared" si="16"/>
        <v>0</v>
      </c>
      <c r="ES12" s="1543">
        <f t="shared" si="16"/>
        <v>0</v>
      </c>
      <c r="ET12" s="1543">
        <f t="shared" si="17"/>
        <v>0</v>
      </c>
      <c r="EU12" s="1543">
        <f t="shared" si="17"/>
        <v>0</v>
      </c>
      <c r="EV12" s="1543">
        <f t="shared" si="17"/>
        <v>0</v>
      </c>
      <c r="EW12" s="1543">
        <f t="shared" si="17"/>
        <v>0</v>
      </c>
      <c r="EX12" s="1543">
        <f t="shared" si="17"/>
        <v>0</v>
      </c>
      <c r="EY12" s="1543">
        <f t="shared" si="17"/>
        <v>0</v>
      </c>
      <c r="EZ12" s="1543">
        <f t="shared" si="17"/>
        <v>0</v>
      </c>
      <c r="FA12" s="1543">
        <f t="shared" si="17"/>
        <v>0</v>
      </c>
      <c r="FB12" s="1543">
        <f t="shared" si="17"/>
        <v>0</v>
      </c>
      <c r="FC12" s="1543">
        <f t="shared" si="17"/>
        <v>0</v>
      </c>
      <c r="FD12" s="1543">
        <f t="shared" si="17"/>
        <v>0</v>
      </c>
      <c r="FE12" s="1543">
        <f t="shared" si="17"/>
        <v>0</v>
      </c>
      <c r="FF12" s="1543">
        <f t="shared" si="40"/>
        <v>1</v>
      </c>
      <c r="FH12" s="1543">
        <f t="shared" si="18"/>
        <v>0</v>
      </c>
      <c r="FI12" s="1543">
        <f t="shared" si="19"/>
        <v>0</v>
      </c>
      <c r="FJ12" s="1543">
        <f t="shared" si="19"/>
        <v>0</v>
      </c>
      <c r="FK12" s="1543">
        <f t="shared" si="19"/>
        <v>0</v>
      </c>
      <c r="FL12" s="1543">
        <f t="shared" si="19"/>
        <v>0</v>
      </c>
      <c r="FM12" s="1543">
        <f t="shared" si="19"/>
        <v>0</v>
      </c>
      <c r="FN12" s="1543">
        <f t="shared" si="19"/>
        <v>0</v>
      </c>
      <c r="FO12" s="1543">
        <f t="shared" si="19"/>
        <v>0</v>
      </c>
      <c r="FP12" s="1543">
        <f t="shared" si="19"/>
        <v>0</v>
      </c>
      <c r="FQ12" s="1543">
        <f t="shared" si="19"/>
        <v>0</v>
      </c>
      <c r="FR12" s="1543">
        <f t="shared" si="19"/>
        <v>0</v>
      </c>
      <c r="FS12" s="1543">
        <f t="shared" si="19"/>
        <v>0</v>
      </c>
      <c r="FT12" s="1543">
        <f t="shared" si="41"/>
        <v>1</v>
      </c>
      <c r="FV12" s="1543">
        <f t="shared" si="20"/>
        <v>0</v>
      </c>
      <c r="FW12" s="1543">
        <f t="shared" si="21"/>
        <v>0</v>
      </c>
      <c r="FX12" s="1543">
        <f t="shared" si="21"/>
        <v>0</v>
      </c>
      <c r="FY12" s="1543">
        <f t="shared" si="21"/>
        <v>1</v>
      </c>
      <c r="FZ12" s="1543">
        <f t="shared" si="21"/>
        <v>0</v>
      </c>
      <c r="GA12" s="1543">
        <f t="shared" si="21"/>
        <v>0</v>
      </c>
      <c r="GB12" s="1543">
        <f t="shared" si="21"/>
        <v>0</v>
      </c>
      <c r="GC12" s="1543">
        <f t="shared" si="21"/>
        <v>0</v>
      </c>
      <c r="GD12" s="1543">
        <f t="shared" si="21"/>
        <v>0</v>
      </c>
    </row>
    <row r="13" spans="1:186" s="982" customFormat="1" ht="15.6" x14ac:dyDescent="0.3">
      <c r="A13" s="974">
        <v>11</v>
      </c>
      <c r="B13" s="983" t="s">
        <v>141</v>
      </c>
      <c r="C13" s="984" t="s">
        <v>338</v>
      </c>
      <c r="D13" s="983" t="s">
        <v>61</v>
      </c>
      <c r="E13" s="968" t="str">
        <f>IFERROR(VLOOKUP($D13&amp;"."&amp;B13,'Piping Class'!$1:$1048576,MATCH($I13,'Piping Class'!$2:$2,0),0),"")</f>
        <v xml:space="preserve">ASTM 106 Gr.B </v>
      </c>
      <c r="F13" s="985">
        <f>IFERROR(IF(B13="Flange",VLOOKUP($D13,'Piping Class'!$88:$102,MATCH(F$1,'Piping Class'!$88:$88,0),0),""),"")</f>
        <v>150</v>
      </c>
      <c r="G13" s="968" t="str">
        <f>IFERROR(IF(B13="Flange",VLOOKUP($D13,'Piping Class'!$88:$102,MATCH(G$1,'Piping Class'!$88:$88,0),0),""),"")</f>
        <v>RF</v>
      </c>
      <c r="H13" s="968" t="str">
        <f>IFERROR(VLOOKUP($D13,'Piping Class'!$88:$102,MATCH(H$1,'Piping Class'!$88:$88,0),0),"")</f>
        <v>CS</v>
      </c>
      <c r="I13" s="986">
        <v>3</v>
      </c>
      <c r="J13" s="987"/>
      <c r="K13" s="968">
        <f>IFERROR(VLOOKUP(I13,'Thickness Tab'!$1:$1048576,MATCH(L13,'Thickness Tab'!$1:$1,0),0),"")</f>
        <v>5.49</v>
      </c>
      <c r="L13" s="969">
        <f>IFERROR(VLOOKUP($D13,'Piping Class'!$1:$1048576,MATCH($I13,'Piping Class'!$2:$2,0),0),"")</f>
        <v>40</v>
      </c>
      <c r="M13" s="968" t="str">
        <f>IFERROR(VLOOKUP(J13,'Thickness Tab'!$1:$1048576,MATCH(N13,'Thickness Tab'!$1:$1,0),0),"")</f>
        <v/>
      </c>
      <c r="N13" s="969" t="str">
        <f>IFERROR(VLOOKUP($D13,'Piping Class'!$1:$1048576,MATCH($J13,'Piping Class'!$2:$2,0),0),"")</f>
        <v/>
      </c>
      <c r="O13" s="968" t="str">
        <f>IFERROR(VLOOKUP($D13,'Piping Class'!$88:$102,MATCH(O$1,'Piping Class'!$88:$88,0),0),"")</f>
        <v>B31.3 / B16.5</v>
      </c>
      <c r="P13" s="968" t="str">
        <f>IFERROR(VLOOKUP($D13,'Piping Class'!$88:$102,MATCH(P$1,'Piping Class'!$88:$88,0),0),"")</f>
        <v>3.1</v>
      </c>
      <c r="Q13" s="983"/>
      <c r="R13" s="988">
        <v>0</v>
      </c>
      <c r="S13" s="969" t="str">
        <f t="shared" si="43"/>
        <v>cad</v>
      </c>
      <c r="T13" s="968">
        <f>IFERROR(VLOOKUP(I13&amp;"."&amp;L13,'Fitting Chart'!$1:$1048576,MATCH(C13,'Fitting Chart'!$1:$1,0),0),0)+IF(B13="piping",PI()*K13*(VLOOKUP(I13,'Thickness Tab'!$1:$1048576,3,0)-K13)*7.86/1000,0)+IF(B13="Flange",VLOOKUP(I13&amp;"F"&amp;F13,'Flanges Chart'!$1:$1048576,MATCH(C13&amp;"."&amp;T$1,'Flanges Chart'!$1:$1,0),0),0)</f>
        <v>4.5</v>
      </c>
      <c r="U13" s="989">
        <f t="shared" si="0"/>
        <v>0</v>
      </c>
      <c r="V13" s="1003">
        <v>3</v>
      </c>
      <c r="W13" s="1001">
        <f t="shared" si="22"/>
        <v>0</v>
      </c>
      <c r="X13" s="997"/>
      <c r="Y13" s="983" t="s">
        <v>105</v>
      </c>
      <c r="Z13" s="989">
        <f>IF(B13="Piping",VLOOKUP(I13,'Thickness Tab'!$1:$1048576,3,0)/1000*PI(),0)+IFERROR(VLOOKUP(I13&amp;"F"&amp;F13,'Flanges Chart'!$1:$1048576,MATCH(C13&amp;".Unit Surface",'Flanges Chart'!$1:$1,0),0),0)+IF(B13="Fitting",VLOOKUP(I13,'Thickness Tab'!$1:$1048576,3,0)/1000*PI(),0)</f>
        <v>5.5494003694879647E-2</v>
      </c>
      <c r="AA13" s="989">
        <f t="shared" si="23"/>
        <v>0</v>
      </c>
      <c r="AB13" s="983">
        <v>50</v>
      </c>
      <c r="AC13" s="989">
        <f t="shared" si="24"/>
        <v>0.36965326905385898</v>
      </c>
      <c r="AD13" s="989">
        <f t="shared" si="25"/>
        <v>0</v>
      </c>
      <c r="AE13" s="974">
        <f>(IFERROR(VLOOKUP($C13,List!$J:$L,2,0),0)*R13+IF(B13="piping",R13,0)+IF(C13="Welding Neck",1,0)*R13)*$AE$2</f>
        <v>0</v>
      </c>
      <c r="AF13" s="970">
        <f>IFERROR(VLOOKUP($C13,List!$J:$L,3,0),0)*R13*$AF$2</f>
        <v>0</v>
      </c>
      <c r="AG13" s="990">
        <f t="shared" si="1"/>
        <v>0</v>
      </c>
      <c r="AH13" s="1118">
        <f>IFERROR(VLOOKUP($D13,'Piping Class'!$88:$102,MATCH(AH$1,'Piping Class'!$88:$88,0),0),"")</f>
        <v>0.1</v>
      </c>
      <c r="AI13" s="991">
        <f>IFERROR(VLOOKUP($D13,'Piping Class'!$88:$102,MATCH(AI$1,'Piping Class'!$88:$88,0),0),"")</f>
        <v>0</v>
      </c>
      <c r="AJ13" s="991">
        <f>IFERROR(VLOOKUP($D13,'Piping Class'!$88:$102,MATCH(AJ$1,'Piping Class'!$88:$88,0),0),"")</f>
        <v>1</v>
      </c>
      <c r="AK13" s="991">
        <f>IFERROR(VLOOKUP($D13,'Piping Class'!$88:$102,MATCH(AK$1,'Piping Class'!$88:$88,0),0),"")</f>
        <v>0</v>
      </c>
      <c r="AL13" s="991">
        <f>IF(H13="SS",1,0)</f>
        <v>0</v>
      </c>
      <c r="AM13" s="1119" t="str">
        <f>IFERROR(VLOOKUP($D13,'Piping Class'!$88:$102,MATCH(AM$1,'Piping Class'!$88:$88,0),0),"")</f>
        <v/>
      </c>
      <c r="AN13" s="992">
        <f t="shared" si="26"/>
        <v>0</v>
      </c>
      <c r="AO13" s="993">
        <f>IFERROR(VLOOKUP(I13&amp;"B"&amp;F13,'Bolting Chart'!$1:$1048576,4,0),0)</f>
        <v>4</v>
      </c>
      <c r="AP13" s="993">
        <f t="shared" si="27"/>
        <v>0</v>
      </c>
      <c r="AQ13" s="993">
        <f t="shared" si="28"/>
        <v>0</v>
      </c>
      <c r="AR13" s="993" t="str">
        <f>IF(AO13=0,0,VLOOKUP(D13&amp;".bolting",'Piping Class'!$1:$1048576,MATCH(I13,'Piping Class'!$2:$2,0),0))</f>
        <v>ASTM A320 Gr.7 / A194 Gr.4 S3 - HDG</v>
      </c>
      <c r="AS13" s="994">
        <f>IFERROR(VLOOKUP(I13&amp;"B"&amp;F13,'Bolting Chart'!$1:$1048576,IF(AS$2="UNC",5,6),0),0)</f>
        <v>0.625</v>
      </c>
      <c r="AT13" s="995">
        <f>IFERROR(VLOOKUP(I13&amp;"B"&amp;F13,'Bolting Chart'!$1:$1048576,IF(G13="RF",8,9),0),0)</f>
        <v>90</v>
      </c>
      <c r="AU13" s="993" t="str">
        <f>IF(AO13=0,0,VLOOKUP(D13&amp;".gasket",'Piping Class'!$1:$1048576,MATCH(I13,'Piping Class'!$2:$2,0),0))</f>
        <v>Spiral Wound / SS 316 IE</v>
      </c>
      <c r="AV13" s="996">
        <f>(IFERROR(INDEX('Bolting Chart'!$A$169:$R$251,MATCH(AT13,'Bolting Chart'!$A$170:$A$251,0),MATCH(IFERROR(VLOOKUP(I13&amp;"B"&amp;F13,'Bolting Chart'!$1:$1048576,7,0),0)+0,'Bolting Chart'!$A$169:$R$169,0)),0))/100</f>
        <v>0.18899999999999997</v>
      </c>
      <c r="AW13" s="996">
        <f t="shared" si="3"/>
        <v>0.75599999999999989</v>
      </c>
      <c r="AX13" s="1194">
        <f t="shared" si="4"/>
        <v>0</v>
      </c>
      <c r="AY13" s="981"/>
      <c r="AZ13" s="1543">
        <f t="shared" si="29"/>
        <v>0</v>
      </c>
      <c r="BA13" s="1543">
        <f t="shared" si="5"/>
        <v>0</v>
      </c>
      <c r="BB13" s="1543">
        <f t="shared" si="5"/>
        <v>0</v>
      </c>
      <c r="BC13" s="1543">
        <f t="shared" si="5"/>
        <v>0</v>
      </c>
      <c r="BD13" s="1543">
        <f t="shared" si="5"/>
        <v>0</v>
      </c>
      <c r="BE13" s="1543">
        <f t="shared" si="5"/>
        <v>0</v>
      </c>
      <c r="BF13" s="1543">
        <f t="shared" si="5"/>
        <v>1</v>
      </c>
      <c r="BG13" s="1543">
        <f t="shared" si="5"/>
        <v>0</v>
      </c>
      <c r="BH13" s="1543">
        <f t="shared" si="5"/>
        <v>0</v>
      </c>
      <c r="BI13" s="1543">
        <f t="shared" si="5"/>
        <v>0</v>
      </c>
      <c r="BJ13" s="1543">
        <f t="shared" si="5"/>
        <v>0</v>
      </c>
      <c r="BK13" s="1543">
        <f t="shared" si="5"/>
        <v>0</v>
      </c>
      <c r="BL13" s="1543">
        <f t="shared" si="5"/>
        <v>0</v>
      </c>
      <c r="BM13" s="1543">
        <f t="shared" si="5"/>
        <v>0</v>
      </c>
      <c r="BN13" s="1543">
        <f t="shared" si="5"/>
        <v>0</v>
      </c>
      <c r="BO13" s="1543">
        <f t="shared" si="5"/>
        <v>0</v>
      </c>
      <c r="BP13" s="1543">
        <f t="shared" si="5"/>
        <v>0</v>
      </c>
      <c r="BQ13" s="1543">
        <f t="shared" si="5"/>
        <v>0</v>
      </c>
      <c r="BR13" s="1543">
        <f t="shared" si="6"/>
        <v>0</v>
      </c>
      <c r="BS13" s="1543">
        <f t="shared" si="6"/>
        <v>0</v>
      </c>
      <c r="BT13" s="1543">
        <f t="shared" si="6"/>
        <v>0</v>
      </c>
      <c r="BU13" s="1543">
        <f t="shared" si="6"/>
        <v>0</v>
      </c>
      <c r="BV13" s="1543">
        <f t="shared" si="6"/>
        <v>0</v>
      </c>
      <c r="BW13" s="1543">
        <f t="shared" si="6"/>
        <v>0</v>
      </c>
      <c r="BX13" s="1543">
        <f t="shared" si="6"/>
        <v>0</v>
      </c>
      <c r="BY13" s="1543">
        <f t="shared" si="6"/>
        <v>0</v>
      </c>
      <c r="BZ13" s="1543">
        <f t="shared" si="6"/>
        <v>0</v>
      </c>
      <c r="CB13" s="1543">
        <f t="shared" si="30"/>
        <v>0</v>
      </c>
      <c r="CC13" s="1543">
        <f t="shared" si="7"/>
        <v>0</v>
      </c>
      <c r="CD13" s="1543">
        <f t="shared" si="7"/>
        <v>0</v>
      </c>
      <c r="CE13" s="1543">
        <f t="shared" si="7"/>
        <v>0</v>
      </c>
      <c r="CF13" s="1543">
        <f t="shared" si="7"/>
        <v>0</v>
      </c>
      <c r="CG13" s="1543">
        <f t="shared" si="7"/>
        <v>0</v>
      </c>
      <c r="CH13" s="1543">
        <f t="shared" si="7"/>
        <v>0</v>
      </c>
      <c r="CI13" s="1543">
        <f t="shared" si="7"/>
        <v>0</v>
      </c>
      <c r="CJ13" s="1543">
        <f t="shared" si="7"/>
        <v>0</v>
      </c>
      <c r="CK13" s="1543">
        <f t="shared" si="7"/>
        <v>0</v>
      </c>
      <c r="CL13" s="1543">
        <f t="shared" si="7"/>
        <v>0</v>
      </c>
      <c r="CM13" s="1543">
        <f t="shared" si="7"/>
        <v>0</v>
      </c>
      <c r="CN13" s="1543">
        <f t="shared" si="7"/>
        <v>0</v>
      </c>
      <c r="CO13" s="1543">
        <f t="shared" si="7"/>
        <v>0</v>
      </c>
      <c r="CP13" s="1543">
        <f t="shared" si="7"/>
        <v>0</v>
      </c>
      <c r="CQ13" s="1543">
        <f t="shared" si="7"/>
        <v>0</v>
      </c>
      <c r="CR13" s="1543">
        <f t="shared" si="7"/>
        <v>0</v>
      </c>
      <c r="CS13" s="1543">
        <f t="shared" si="7"/>
        <v>0</v>
      </c>
      <c r="CT13" s="1543">
        <f t="shared" si="8"/>
        <v>0</v>
      </c>
      <c r="CU13" s="1543">
        <f t="shared" si="8"/>
        <v>0</v>
      </c>
      <c r="CV13" s="1543">
        <f t="shared" si="8"/>
        <v>0</v>
      </c>
      <c r="CW13" s="1543">
        <f t="shared" si="8"/>
        <v>0</v>
      </c>
      <c r="CX13" s="1543">
        <f t="shared" si="8"/>
        <v>0</v>
      </c>
      <c r="CY13" s="1543">
        <f t="shared" si="8"/>
        <v>0</v>
      </c>
      <c r="CZ13" s="1543">
        <f t="shared" si="8"/>
        <v>0</v>
      </c>
      <c r="DA13" s="1543">
        <f t="shared" si="8"/>
        <v>0</v>
      </c>
      <c r="DB13" s="1543">
        <f t="shared" si="8"/>
        <v>0</v>
      </c>
      <c r="DD13" s="1543">
        <f t="shared" si="9"/>
        <v>0</v>
      </c>
      <c r="DE13" s="1543">
        <f t="shared" si="10"/>
        <v>1</v>
      </c>
      <c r="DF13" s="1543">
        <f t="shared" si="11"/>
        <v>0</v>
      </c>
      <c r="DG13" s="1543">
        <f t="shared" si="31"/>
        <v>0</v>
      </c>
      <c r="DI13" s="1543">
        <f t="shared" si="32"/>
        <v>1</v>
      </c>
      <c r="DJ13" s="1543">
        <f t="shared" si="12"/>
        <v>0</v>
      </c>
      <c r="DK13" s="1543">
        <f t="shared" si="12"/>
        <v>0</v>
      </c>
      <c r="DL13" s="1543">
        <f t="shared" si="12"/>
        <v>0</v>
      </c>
      <c r="DM13" s="1543">
        <f t="shared" si="12"/>
        <v>0</v>
      </c>
      <c r="DO13" s="1543">
        <f t="shared" si="13"/>
        <v>0</v>
      </c>
      <c r="DP13" s="1543">
        <f t="shared" si="14"/>
        <v>0</v>
      </c>
      <c r="DQ13" s="1543">
        <f t="shared" si="14"/>
        <v>0</v>
      </c>
      <c r="DR13" s="1543">
        <f t="shared" si="14"/>
        <v>0</v>
      </c>
      <c r="DS13" s="1543">
        <f t="shared" si="14"/>
        <v>1</v>
      </c>
      <c r="DT13" s="1543">
        <f t="shared" si="14"/>
        <v>0</v>
      </c>
      <c r="DU13" s="1543">
        <f t="shared" si="14"/>
        <v>0</v>
      </c>
      <c r="DV13" s="1543">
        <f t="shared" si="14"/>
        <v>0</v>
      </c>
      <c r="DW13" s="1543">
        <f t="shared" si="14"/>
        <v>0</v>
      </c>
      <c r="DX13" s="1543">
        <f t="shared" si="14"/>
        <v>0</v>
      </c>
      <c r="DY13" s="1543">
        <f t="shared" si="14"/>
        <v>0</v>
      </c>
      <c r="DZ13" s="1543">
        <f t="shared" si="14"/>
        <v>0</v>
      </c>
      <c r="EA13" s="1543">
        <f t="shared" si="14"/>
        <v>0</v>
      </c>
      <c r="EB13" s="1543">
        <f t="shared" si="15"/>
        <v>0</v>
      </c>
      <c r="EC13" s="1543">
        <f t="shared" si="15"/>
        <v>0</v>
      </c>
      <c r="ED13" s="1543">
        <f t="shared" si="15"/>
        <v>0</v>
      </c>
      <c r="EE13" s="1543">
        <f t="shared" si="15"/>
        <v>0</v>
      </c>
      <c r="EF13" s="1543">
        <f t="shared" si="15"/>
        <v>0</v>
      </c>
      <c r="EH13" s="1543">
        <f t="shared" si="33"/>
        <v>1</v>
      </c>
      <c r="EI13" s="1543">
        <f t="shared" si="34"/>
        <v>0</v>
      </c>
      <c r="EJ13" s="1543">
        <f t="shared" si="35"/>
        <v>0</v>
      </c>
      <c r="EK13" s="1543">
        <f t="shared" si="36"/>
        <v>0</v>
      </c>
      <c r="EL13" s="1543">
        <f t="shared" si="37"/>
        <v>0</v>
      </c>
      <c r="EM13" s="1543">
        <f t="shared" si="38"/>
        <v>0</v>
      </c>
      <c r="EN13" s="1543">
        <f t="shared" si="39"/>
        <v>0</v>
      </c>
      <c r="EP13" s="1543">
        <f t="shared" si="16"/>
        <v>0</v>
      </c>
      <c r="EQ13" s="1543">
        <f t="shared" si="16"/>
        <v>0</v>
      </c>
      <c r="ER13" s="1543">
        <f t="shared" si="16"/>
        <v>0</v>
      </c>
      <c r="ES13" s="1543">
        <f t="shared" si="16"/>
        <v>0</v>
      </c>
      <c r="ET13" s="1543">
        <f t="shared" si="17"/>
        <v>0</v>
      </c>
      <c r="EU13" s="1543">
        <f t="shared" si="17"/>
        <v>0</v>
      </c>
      <c r="EV13" s="1543">
        <f t="shared" si="17"/>
        <v>0</v>
      </c>
      <c r="EW13" s="1543">
        <f t="shared" si="17"/>
        <v>0</v>
      </c>
      <c r="EX13" s="1543">
        <f t="shared" si="17"/>
        <v>0</v>
      </c>
      <c r="EY13" s="1543">
        <f t="shared" si="17"/>
        <v>0</v>
      </c>
      <c r="EZ13" s="1543">
        <f t="shared" si="17"/>
        <v>0</v>
      </c>
      <c r="FA13" s="1543">
        <f t="shared" si="17"/>
        <v>0</v>
      </c>
      <c r="FB13" s="1543">
        <f t="shared" si="17"/>
        <v>0</v>
      </c>
      <c r="FC13" s="1543">
        <f t="shared" si="17"/>
        <v>0</v>
      </c>
      <c r="FD13" s="1543">
        <f t="shared" si="17"/>
        <v>0</v>
      </c>
      <c r="FE13" s="1543">
        <f t="shared" si="17"/>
        <v>0</v>
      </c>
      <c r="FF13" s="1543">
        <f t="shared" si="40"/>
        <v>1</v>
      </c>
      <c r="FH13" s="1543">
        <f t="shared" si="18"/>
        <v>0</v>
      </c>
      <c r="FI13" s="1543">
        <f t="shared" si="19"/>
        <v>0</v>
      </c>
      <c r="FJ13" s="1543">
        <f t="shared" si="19"/>
        <v>0</v>
      </c>
      <c r="FK13" s="1543">
        <f t="shared" si="19"/>
        <v>0</v>
      </c>
      <c r="FL13" s="1543">
        <f t="shared" si="19"/>
        <v>0</v>
      </c>
      <c r="FM13" s="1543">
        <f t="shared" si="19"/>
        <v>0</v>
      </c>
      <c r="FN13" s="1543">
        <f t="shared" si="19"/>
        <v>0</v>
      </c>
      <c r="FO13" s="1543">
        <f t="shared" si="19"/>
        <v>0</v>
      </c>
      <c r="FP13" s="1543">
        <f t="shared" si="19"/>
        <v>0</v>
      </c>
      <c r="FQ13" s="1543">
        <f t="shared" si="19"/>
        <v>0</v>
      </c>
      <c r="FR13" s="1543">
        <f t="shared" si="19"/>
        <v>0</v>
      </c>
      <c r="FS13" s="1543">
        <f t="shared" si="19"/>
        <v>0</v>
      </c>
      <c r="FT13" s="1543">
        <f t="shared" si="41"/>
        <v>1</v>
      </c>
      <c r="FV13" s="1543">
        <f t="shared" si="20"/>
        <v>0</v>
      </c>
      <c r="FW13" s="1543">
        <f t="shared" si="21"/>
        <v>0</v>
      </c>
      <c r="FX13" s="1543">
        <f t="shared" si="21"/>
        <v>0</v>
      </c>
      <c r="FY13" s="1543">
        <f t="shared" si="21"/>
        <v>1</v>
      </c>
      <c r="FZ13" s="1543">
        <f t="shared" si="21"/>
        <v>0</v>
      </c>
      <c r="GA13" s="1543">
        <f t="shared" si="21"/>
        <v>0</v>
      </c>
      <c r="GB13" s="1543">
        <f t="shared" si="21"/>
        <v>0</v>
      </c>
      <c r="GC13" s="1543">
        <f t="shared" si="21"/>
        <v>0</v>
      </c>
      <c r="GD13" s="1543">
        <f t="shared" si="21"/>
        <v>0</v>
      </c>
    </row>
    <row r="14" spans="1:186" s="982" customFormat="1" ht="15.6" x14ac:dyDescent="0.3">
      <c r="A14" s="974">
        <v>12</v>
      </c>
      <c r="B14" s="983" t="s">
        <v>141</v>
      </c>
      <c r="C14" s="984" t="s">
        <v>338</v>
      </c>
      <c r="D14" s="983" t="s">
        <v>67</v>
      </c>
      <c r="E14" s="968" t="str">
        <f>IFERROR(VLOOKUP($D14&amp;"."&amp;B14,'Piping Class'!$1:$1048576,MATCH($I14,'Piping Class'!$2:$2,0),0),"")</f>
        <v>ASTM A312-
TP316/316L</v>
      </c>
      <c r="F14" s="985">
        <f>IFERROR(IF(B14="Flange",VLOOKUP($D14,'Piping Class'!$88:$102,MATCH(F$1,'Piping Class'!$88:$88,0),0),""),"")</f>
        <v>300</v>
      </c>
      <c r="G14" s="968" t="str">
        <f>IFERROR(IF(B14="Flange",VLOOKUP($D14,'Piping Class'!$88:$102,MATCH(G$1,'Piping Class'!$88:$88,0),0),""),"")</f>
        <v>RF</v>
      </c>
      <c r="H14" s="968" t="str">
        <f>IFERROR(VLOOKUP($D14,'Piping Class'!$88:$102,MATCH(H$1,'Piping Class'!$88:$88,0),0),"")</f>
        <v>SS</v>
      </c>
      <c r="I14" s="986">
        <v>6</v>
      </c>
      <c r="J14" s="987"/>
      <c r="K14" s="968">
        <f>IFERROR(VLOOKUP(I14,'Thickness Tab'!$1:$1048576,MATCH(L14,'Thickness Tab'!$1:$1,0),0),"")</f>
        <v>7.11</v>
      </c>
      <c r="L14" s="969">
        <f>IFERROR(VLOOKUP($D14,'Piping Class'!$1:$1048576,MATCH($I14,'Piping Class'!$2:$2,0),0),"")</f>
        <v>40</v>
      </c>
      <c r="M14" s="968" t="str">
        <f>IFERROR(VLOOKUP(J14,'Thickness Tab'!$1:$1048576,MATCH(N14,'Thickness Tab'!$1:$1,0),0),"")</f>
        <v/>
      </c>
      <c r="N14" s="969" t="str">
        <f>IFERROR(VLOOKUP($D14,'Piping Class'!$1:$1048576,MATCH($J14,'Piping Class'!$2:$2,0),0),"")</f>
        <v/>
      </c>
      <c r="O14" s="968" t="str">
        <f>IFERROR(VLOOKUP($D14,'Piping Class'!$88:$102,MATCH(O$1,'Piping Class'!$88:$88,0),0),"")</f>
        <v>B31.3 / B16.5</v>
      </c>
      <c r="P14" s="968" t="str">
        <f>IFERROR(VLOOKUP($D14,'Piping Class'!$88:$102,MATCH(P$1,'Piping Class'!$88:$88,0),0),"")</f>
        <v>3.1</v>
      </c>
      <c r="Q14" s="983"/>
      <c r="R14" s="988">
        <v>32</v>
      </c>
      <c r="S14" s="969" t="str">
        <f t="shared" si="43"/>
        <v>cad</v>
      </c>
      <c r="T14" s="968">
        <f>IFERROR(VLOOKUP(I14&amp;"."&amp;L14,'Fitting Chart'!$1:$1048576,MATCH(C14,'Fitting Chart'!$1:$1,0),0),0)+IF(B14="piping",PI()*K14*(VLOOKUP(I14,'Thickness Tab'!$1:$1048576,3,0)-K14)*7.86/1000,0)+IF(B14="Flange",VLOOKUP(I14&amp;"F"&amp;F14,'Flanges Chart'!$1:$1048576,MATCH(C14&amp;"."&amp;T$1,'Flanges Chart'!$1:$1,0),0),0)</f>
        <v>19</v>
      </c>
      <c r="U14" s="989">
        <f t="shared" si="0"/>
        <v>608</v>
      </c>
      <c r="V14" s="1003">
        <v>15</v>
      </c>
      <c r="W14" s="1001">
        <f t="shared" si="22"/>
        <v>9120</v>
      </c>
      <c r="X14" s="997"/>
      <c r="Y14" s="983"/>
      <c r="Z14" s="989">
        <f>IF(B14="Piping",VLOOKUP(I14,'Thickness Tab'!$1:$1048576,3,0)/1000*PI(),0)+IFERROR(VLOOKUP(I14&amp;"F"&amp;F14,'Flanges Chart'!$1:$1048576,MATCH(C14&amp;".Unit Surface",'Flanges Chart'!$1:$1,0),0),0)+IF(B14="Fitting",VLOOKUP(I14,'Thickness Tab'!$1:$1048576,3,0)/1000*PI(),0)</f>
        <v>0.14845099712899298</v>
      </c>
      <c r="AA14" s="989">
        <f t="shared" si="23"/>
        <v>4.7504319081277755</v>
      </c>
      <c r="AB14" s="983">
        <v>50</v>
      </c>
      <c r="AC14" s="989">
        <f t="shared" si="24"/>
        <v>0.46261026248797232</v>
      </c>
      <c r="AD14" s="989">
        <f t="shared" si="25"/>
        <v>14.803528399615114</v>
      </c>
      <c r="AE14" s="974">
        <f>(IFERROR(VLOOKUP($C14,List!$J:$L,2,0),0)*R14+IF(B14="piping",R14,0)+IF(C14="Welding Neck",1,0)*R14)*$AE$2</f>
        <v>25.6</v>
      </c>
      <c r="AF14" s="970">
        <f>IFERROR(VLOOKUP($C14,List!$J:$L,3,0),0)*R14*$AF$2</f>
        <v>0</v>
      </c>
      <c r="AG14" s="990">
        <f t="shared" si="1"/>
        <v>153.60000000000002</v>
      </c>
      <c r="AH14" s="1118">
        <f>IFERROR(VLOOKUP($D14,'Piping Class'!$88:$102,MATCH(AH$1,'Piping Class'!$88:$88,0),0),"")</f>
        <v>0.1</v>
      </c>
      <c r="AI14" s="991">
        <f>IFERROR(VLOOKUP($D14,'Piping Class'!$88:$102,MATCH(AI$1,'Piping Class'!$88:$88,0),0),"")</f>
        <v>1</v>
      </c>
      <c r="AJ14" s="991">
        <f>IFERROR(VLOOKUP($D14,'Piping Class'!$88:$102,MATCH(AJ$1,'Piping Class'!$88:$88,0),0),"")</f>
        <v>1</v>
      </c>
      <c r="AK14" s="991">
        <f>IFERROR(VLOOKUP($D14,'Piping Class'!$88:$102,MATCH(AK$1,'Piping Class'!$88:$88,0),0),"")</f>
        <v>0</v>
      </c>
      <c r="AL14" s="991">
        <f t="shared" ref="AL14:AL77" si="44">IF(H14="SS",1,0)</f>
        <v>1</v>
      </c>
      <c r="AM14" s="1119" t="str">
        <f>IFERROR(VLOOKUP($D14,'Piping Class'!$88:$102,MATCH(AM$1,'Piping Class'!$88:$88,0),0),"")</f>
        <v/>
      </c>
      <c r="AN14" s="992">
        <f t="shared" si="26"/>
        <v>109.44</v>
      </c>
      <c r="AO14" s="993">
        <f>IFERROR(VLOOKUP(I14&amp;"B"&amp;F14,'Bolting Chart'!$1:$1048576,4,0),0)</f>
        <v>12</v>
      </c>
      <c r="AP14" s="993">
        <f t="shared" si="27"/>
        <v>384</v>
      </c>
      <c r="AQ14" s="993">
        <f t="shared" si="28"/>
        <v>32</v>
      </c>
      <c r="AR14" s="993" t="str">
        <f>IF(AO14=0,0,VLOOKUP(D14&amp;".bolting",'Piping Class'!$1:$1048576,MATCH(I14,'Piping Class'!$2:$2,0),0))</f>
        <v>ASTM A193 Gr.B7M / A194 Gr.2HM</v>
      </c>
      <c r="AS14" s="994">
        <f>IFERROR(VLOOKUP(I14&amp;"B"&amp;F14,'Bolting Chart'!$1:$1048576,IF(AS$2="UNC",5,6),0),0)</f>
        <v>0.75</v>
      </c>
      <c r="AT14" s="995">
        <f>IFERROR(VLOOKUP(I14&amp;"B"&amp;F14,'Bolting Chart'!$1:$1048576,IF(G14="RF",8,9),0),0)</f>
        <v>125</v>
      </c>
      <c r="AU14" s="993" t="str">
        <f>IF(AO14=0,0,VLOOKUP(D14&amp;".gasket",'Piping Class'!$1:$1048576,MATCH(I14,'Piping Class'!$2:$2,0),0))</f>
        <v>Spiral Wound / SS 316 IE</v>
      </c>
      <c r="AV14" s="996">
        <f>(IFERROR(INDEX('Bolting Chart'!$A$169:$R$251,MATCH(AT14,'Bolting Chart'!$A$170:$A$251,0),MATCH(IFERROR(VLOOKUP(I14&amp;"B"&amp;F14,'Bolting Chart'!$1:$1048576,7,0),0)+0,'Bolting Chart'!$A$169:$R$169,0)),0))/100</f>
        <v>0.40700000000000003</v>
      </c>
      <c r="AW14" s="996">
        <f t="shared" si="3"/>
        <v>4.8840000000000003</v>
      </c>
      <c r="AX14" s="1194">
        <f t="shared" si="4"/>
        <v>156.28800000000001</v>
      </c>
      <c r="AY14" s="981"/>
      <c r="AZ14" s="1543">
        <f t="shared" si="29"/>
        <v>0</v>
      </c>
      <c r="BA14" s="1543">
        <f t="shared" si="5"/>
        <v>0</v>
      </c>
      <c r="BB14" s="1543">
        <f t="shared" si="5"/>
        <v>0</v>
      </c>
      <c r="BC14" s="1543">
        <f t="shared" si="5"/>
        <v>0</v>
      </c>
      <c r="BD14" s="1543">
        <f t="shared" si="5"/>
        <v>0</v>
      </c>
      <c r="BE14" s="1543">
        <f t="shared" si="5"/>
        <v>0</v>
      </c>
      <c r="BF14" s="1543">
        <f t="shared" si="5"/>
        <v>0</v>
      </c>
      <c r="BG14" s="1543">
        <f t="shared" si="5"/>
        <v>0</v>
      </c>
      <c r="BH14" s="1543">
        <f t="shared" si="5"/>
        <v>1</v>
      </c>
      <c r="BI14" s="1543">
        <f t="shared" si="5"/>
        <v>0</v>
      </c>
      <c r="BJ14" s="1543">
        <f t="shared" si="5"/>
        <v>0</v>
      </c>
      <c r="BK14" s="1543">
        <f t="shared" si="5"/>
        <v>0</v>
      </c>
      <c r="BL14" s="1543">
        <f t="shared" si="5"/>
        <v>0</v>
      </c>
      <c r="BM14" s="1543">
        <f t="shared" si="5"/>
        <v>0</v>
      </c>
      <c r="BN14" s="1543">
        <f t="shared" si="5"/>
        <v>0</v>
      </c>
      <c r="BO14" s="1543">
        <f t="shared" si="5"/>
        <v>0</v>
      </c>
      <c r="BP14" s="1543">
        <f t="shared" si="5"/>
        <v>0</v>
      </c>
      <c r="BQ14" s="1543">
        <f t="shared" si="5"/>
        <v>0</v>
      </c>
      <c r="BR14" s="1543">
        <f t="shared" si="6"/>
        <v>0</v>
      </c>
      <c r="BS14" s="1543">
        <f t="shared" si="6"/>
        <v>0</v>
      </c>
      <c r="BT14" s="1543">
        <f t="shared" si="6"/>
        <v>0</v>
      </c>
      <c r="BU14" s="1543">
        <f t="shared" si="6"/>
        <v>0</v>
      </c>
      <c r="BV14" s="1543">
        <f t="shared" si="6"/>
        <v>0</v>
      </c>
      <c r="BW14" s="1543">
        <f t="shared" si="6"/>
        <v>0</v>
      </c>
      <c r="BX14" s="1543">
        <f t="shared" si="6"/>
        <v>0</v>
      </c>
      <c r="BY14" s="1543">
        <f t="shared" si="6"/>
        <v>0</v>
      </c>
      <c r="BZ14" s="1543">
        <f t="shared" si="6"/>
        <v>0</v>
      </c>
      <c r="CB14" s="1543">
        <f t="shared" si="30"/>
        <v>0</v>
      </c>
      <c r="CC14" s="1543">
        <f t="shared" si="7"/>
        <v>0</v>
      </c>
      <c r="CD14" s="1543">
        <f t="shared" si="7"/>
        <v>0</v>
      </c>
      <c r="CE14" s="1543">
        <f t="shared" si="7"/>
        <v>0</v>
      </c>
      <c r="CF14" s="1543">
        <f t="shared" si="7"/>
        <v>0</v>
      </c>
      <c r="CG14" s="1543">
        <f t="shared" si="7"/>
        <v>0</v>
      </c>
      <c r="CH14" s="1543">
        <f t="shared" si="7"/>
        <v>0</v>
      </c>
      <c r="CI14" s="1543">
        <f t="shared" si="7"/>
        <v>0</v>
      </c>
      <c r="CJ14" s="1543">
        <f t="shared" si="7"/>
        <v>0</v>
      </c>
      <c r="CK14" s="1543">
        <f t="shared" si="7"/>
        <v>0</v>
      </c>
      <c r="CL14" s="1543">
        <f t="shared" si="7"/>
        <v>0</v>
      </c>
      <c r="CM14" s="1543">
        <f t="shared" si="7"/>
        <v>0</v>
      </c>
      <c r="CN14" s="1543">
        <f t="shared" si="7"/>
        <v>0</v>
      </c>
      <c r="CO14" s="1543">
        <f t="shared" si="7"/>
        <v>0</v>
      </c>
      <c r="CP14" s="1543">
        <f t="shared" si="7"/>
        <v>0</v>
      </c>
      <c r="CQ14" s="1543">
        <f t="shared" si="7"/>
        <v>0</v>
      </c>
      <c r="CR14" s="1543">
        <f t="shared" si="7"/>
        <v>0</v>
      </c>
      <c r="CS14" s="1543">
        <f t="shared" si="7"/>
        <v>0</v>
      </c>
      <c r="CT14" s="1543">
        <f t="shared" si="8"/>
        <v>0</v>
      </c>
      <c r="CU14" s="1543">
        <f t="shared" si="8"/>
        <v>0</v>
      </c>
      <c r="CV14" s="1543">
        <f t="shared" si="8"/>
        <v>0</v>
      </c>
      <c r="CW14" s="1543">
        <f t="shared" si="8"/>
        <v>0</v>
      </c>
      <c r="CX14" s="1543">
        <f t="shared" si="8"/>
        <v>0</v>
      </c>
      <c r="CY14" s="1543">
        <f t="shared" si="8"/>
        <v>0</v>
      </c>
      <c r="CZ14" s="1543">
        <f t="shared" si="8"/>
        <v>0</v>
      </c>
      <c r="DA14" s="1543">
        <f t="shared" si="8"/>
        <v>0</v>
      </c>
      <c r="DB14" s="1543">
        <f t="shared" si="8"/>
        <v>0</v>
      </c>
      <c r="DD14" s="1543">
        <f t="shared" si="9"/>
        <v>0</v>
      </c>
      <c r="DE14" s="1543">
        <f t="shared" si="10"/>
        <v>1</v>
      </c>
      <c r="DF14" s="1543">
        <f t="shared" si="11"/>
        <v>0</v>
      </c>
      <c r="DG14" s="1543">
        <f t="shared" si="31"/>
        <v>0</v>
      </c>
      <c r="DI14" s="1543">
        <f t="shared" si="32"/>
        <v>0</v>
      </c>
      <c r="DJ14" s="1543">
        <f t="shared" si="12"/>
        <v>0</v>
      </c>
      <c r="DK14" s="1543">
        <f t="shared" si="12"/>
        <v>1</v>
      </c>
      <c r="DL14" s="1543">
        <f t="shared" si="12"/>
        <v>0</v>
      </c>
      <c r="DM14" s="1543">
        <f t="shared" si="12"/>
        <v>0</v>
      </c>
      <c r="DO14" s="1543">
        <f t="shared" si="13"/>
        <v>0</v>
      </c>
      <c r="DP14" s="1543">
        <f t="shared" si="14"/>
        <v>0</v>
      </c>
      <c r="DQ14" s="1543">
        <f t="shared" si="14"/>
        <v>0</v>
      </c>
      <c r="DR14" s="1543">
        <f t="shared" si="14"/>
        <v>0</v>
      </c>
      <c r="DS14" s="1543">
        <f t="shared" si="14"/>
        <v>1</v>
      </c>
      <c r="DT14" s="1543">
        <f t="shared" si="14"/>
        <v>0</v>
      </c>
      <c r="DU14" s="1543">
        <f t="shared" si="14"/>
        <v>0</v>
      </c>
      <c r="DV14" s="1543">
        <f t="shared" si="14"/>
        <v>0</v>
      </c>
      <c r="DW14" s="1543">
        <f t="shared" si="14"/>
        <v>0</v>
      </c>
      <c r="DX14" s="1543">
        <f t="shared" si="14"/>
        <v>0</v>
      </c>
      <c r="DY14" s="1543">
        <f t="shared" si="14"/>
        <v>0</v>
      </c>
      <c r="DZ14" s="1543">
        <f t="shared" si="14"/>
        <v>0</v>
      </c>
      <c r="EA14" s="1543">
        <f t="shared" si="14"/>
        <v>0</v>
      </c>
      <c r="EB14" s="1543">
        <f t="shared" si="15"/>
        <v>0</v>
      </c>
      <c r="EC14" s="1543">
        <f t="shared" si="15"/>
        <v>0</v>
      </c>
      <c r="ED14" s="1543">
        <f t="shared" si="15"/>
        <v>0</v>
      </c>
      <c r="EE14" s="1543">
        <f t="shared" si="15"/>
        <v>0</v>
      </c>
      <c r="EF14" s="1543">
        <f t="shared" si="15"/>
        <v>0</v>
      </c>
      <c r="EH14" s="1543">
        <f t="shared" si="33"/>
        <v>1</v>
      </c>
      <c r="EI14" s="1543">
        <f t="shared" si="34"/>
        <v>0</v>
      </c>
      <c r="EJ14" s="1543">
        <f t="shared" si="35"/>
        <v>0</v>
      </c>
      <c r="EK14" s="1543">
        <f t="shared" si="36"/>
        <v>0</v>
      </c>
      <c r="EL14" s="1543">
        <f t="shared" si="37"/>
        <v>0</v>
      </c>
      <c r="EM14" s="1543">
        <f t="shared" si="38"/>
        <v>0</v>
      </c>
      <c r="EN14" s="1543">
        <f t="shared" si="39"/>
        <v>0</v>
      </c>
      <c r="EP14" s="1543">
        <f t="shared" si="16"/>
        <v>0</v>
      </c>
      <c r="EQ14" s="1543">
        <f t="shared" si="16"/>
        <v>0</v>
      </c>
      <c r="ER14" s="1543">
        <f t="shared" si="16"/>
        <v>0</v>
      </c>
      <c r="ES14" s="1543">
        <f t="shared" si="16"/>
        <v>0</v>
      </c>
      <c r="ET14" s="1543">
        <f t="shared" si="17"/>
        <v>0</v>
      </c>
      <c r="EU14" s="1543">
        <f t="shared" si="17"/>
        <v>0</v>
      </c>
      <c r="EV14" s="1543">
        <f t="shared" si="17"/>
        <v>0</v>
      </c>
      <c r="EW14" s="1543">
        <f t="shared" si="17"/>
        <v>0</v>
      </c>
      <c r="EX14" s="1543">
        <f t="shared" si="17"/>
        <v>0</v>
      </c>
      <c r="EY14" s="1543">
        <f t="shared" si="17"/>
        <v>0</v>
      </c>
      <c r="EZ14" s="1543">
        <f t="shared" si="17"/>
        <v>0</v>
      </c>
      <c r="FA14" s="1543">
        <f t="shared" si="17"/>
        <v>0</v>
      </c>
      <c r="FB14" s="1543">
        <f t="shared" si="17"/>
        <v>0</v>
      </c>
      <c r="FC14" s="1543">
        <f t="shared" si="17"/>
        <v>0</v>
      </c>
      <c r="FD14" s="1543">
        <f t="shared" si="17"/>
        <v>0</v>
      </c>
      <c r="FE14" s="1543">
        <f t="shared" si="17"/>
        <v>0</v>
      </c>
      <c r="FF14" s="1543">
        <f t="shared" si="40"/>
        <v>1</v>
      </c>
      <c r="FH14" s="1543">
        <f t="shared" si="18"/>
        <v>0</v>
      </c>
      <c r="FI14" s="1543">
        <f t="shared" si="19"/>
        <v>0</v>
      </c>
      <c r="FJ14" s="1543">
        <f t="shared" si="19"/>
        <v>0</v>
      </c>
      <c r="FK14" s="1543">
        <f t="shared" si="19"/>
        <v>0</v>
      </c>
      <c r="FL14" s="1543">
        <f t="shared" si="19"/>
        <v>0</v>
      </c>
      <c r="FM14" s="1543">
        <f t="shared" si="19"/>
        <v>0</v>
      </c>
      <c r="FN14" s="1543">
        <f t="shared" si="19"/>
        <v>0</v>
      </c>
      <c r="FO14" s="1543">
        <f t="shared" si="19"/>
        <v>0</v>
      </c>
      <c r="FP14" s="1543">
        <f t="shared" si="19"/>
        <v>0</v>
      </c>
      <c r="FQ14" s="1543">
        <f t="shared" si="19"/>
        <v>0</v>
      </c>
      <c r="FR14" s="1543">
        <f t="shared" si="19"/>
        <v>0</v>
      </c>
      <c r="FS14" s="1543">
        <f t="shared" si="19"/>
        <v>0</v>
      </c>
      <c r="FT14" s="1543">
        <f t="shared" si="41"/>
        <v>1</v>
      </c>
      <c r="FV14" s="1543">
        <f t="shared" si="20"/>
        <v>0</v>
      </c>
      <c r="FW14" s="1543">
        <f t="shared" si="21"/>
        <v>0</v>
      </c>
      <c r="FX14" s="1543">
        <f t="shared" si="21"/>
        <v>0</v>
      </c>
      <c r="FY14" s="1543">
        <f t="shared" si="21"/>
        <v>1</v>
      </c>
      <c r="FZ14" s="1543">
        <f t="shared" si="21"/>
        <v>0</v>
      </c>
      <c r="GA14" s="1543">
        <f t="shared" si="21"/>
        <v>0</v>
      </c>
      <c r="GB14" s="1543">
        <f t="shared" si="21"/>
        <v>0</v>
      </c>
      <c r="GC14" s="1543">
        <f t="shared" si="21"/>
        <v>0</v>
      </c>
      <c r="GD14" s="1543">
        <f t="shared" si="21"/>
        <v>0</v>
      </c>
    </row>
    <row r="15" spans="1:186" s="982" customFormat="1" ht="15.6" x14ac:dyDescent="0.3">
      <c r="A15" s="974">
        <v>13</v>
      </c>
      <c r="B15" s="983" t="s">
        <v>141</v>
      </c>
      <c r="C15" s="984" t="s">
        <v>338</v>
      </c>
      <c r="D15" s="983" t="s">
        <v>67</v>
      </c>
      <c r="E15" s="968" t="str">
        <f>IFERROR(VLOOKUP($D15&amp;"."&amp;B15,'Piping Class'!$1:$1048576,MATCH($I15,'Piping Class'!$2:$2,0),0),"")</f>
        <v>ASTM A312-
TP316/316L</v>
      </c>
      <c r="F15" s="985">
        <f>IFERROR(IF(B15="Flange",VLOOKUP($D15,'Piping Class'!$88:$102,MATCH(F$1,'Piping Class'!$88:$88,0),0),""),"")</f>
        <v>300</v>
      </c>
      <c r="G15" s="968" t="str">
        <f>IFERROR(IF(B15="Flange",VLOOKUP($D15,'Piping Class'!$88:$102,MATCH(G$1,'Piping Class'!$88:$88,0),0),""),"")</f>
        <v>RF</v>
      </c>
      <c r="H15" s="968" t="str">
        <f>IFERROR(VLOOKUP($D15,'Piping Class'!$88:$102,MATCH(H$1,'Piping Class'!$88:$88,0),0),"")</f>
        <v>SS</v>
      </c>
      <c r="I15" s="986">
        <v>4</v>
      </c>
      <c r="J15" s="987"/>
      <c r="K15" s="968">
        <f>IFERROR(VLOOKUP(I15,'Thickness Tab'!$1:$1048576,MATCH(L15,'Thickness Tab'!$1:$1,0),0),"")</f>
        <v>6.02</v>
      </c>
      <c r="L15" s="969" t="str">
        <f>IFERROR(VLOOKUP($D15,'Piping Class'!$1:$1048576,MATCH($I15,'Piping Class'!$2:$2,0),0),"")</f>
        <v>40S</v>
      </c>
      <c r="M15" s="968" t="str">
        <f>IFERROR(VLOOKUP(J15,'Thickness Tab'!$1:$1048576,MATCH(N15,'Thickness Tab'!$1:$1,0),0),"")</f>
        <v/>
      </c>
      <c r="N15" s="969" t="str">
        <f>IFERROR(VLOOKUP($D15,'Piping Class'!$1:$1048576,MATCH($J15,'Piping Class'!$2:$2,0),0),"")</f>
        <v/>
      </c>
      <c r="O15" s="968" t="str">
        <f>IFERROR(VLOOKUP($D15,'Piping Class'!$88:$102,MATCH(O$1,'Piping Class'!$88:$88,0),0),"")</f>
        <v>B31.3 / B16.5</v>
      </c>
      <c r="P15" s="968" t="str">
        <f>IFERROR(VLOOKUP($D15,'Piping Class'!$88:$102,MATCH(P$1,'Piping Class'!$88:$88,0),0),"")</f>
        <v>3.1</v>
      </c>
      <c r="Q15" s="983"/>
      <c r="R15" s="988"/>
      <c r="S15" s="969" t="str">
        <f t="shared" si="43"/>
        <v>cad</v>
      </c>
      <c r="T15" s="968">
        <f>IFERROR(VLOOKUP(I15&amp;"."&amp;L15,'Fitting Chart'!$1:$1048576,MATCH(C15,'Fitting Chart'!$1:$1,0),0),0)+IF(B15="piping",PI()*K15*(VLOOKUP(I15,'Thickness Tab'!$1:$1048576,3,0)-K15)*7.86/1000,0)+IF(B15="Flange",VLOOKUP(I15&amp;"F"&amp;F15,'Flanges Chart'!$1:$1048576,MATCH(C15&amp;"."&amp;T$1,'Flanges Chart'!$1:$1,0),0),0)</f>
        <v>11</v>
      </c>
      <c r="U15" s="989">
        <f t="shared" si="0"/>
        <v>0</v>
      </c>
      <c r="V15" s="1003">
        <v>15</v>
      </c>
      <c r="W15" s="1001">
        <f t="shared" si="22"/>
        <v>0</v>
      </c>
      <c r="X15" s="997"/>
      <c r="Y15" s="983"/>
      <c r="Z15" s="989">
        <f>IF(B15="Piping",VLOOKUP(I15,'Thickness Tab'!$1:$1048576,3,0)/1000*PI(),0)+IFERROR(VLOOKUP(I15&amp;"F"&amp;F15,'Flanges Chart'!$1:$1048576,MATCH(C15&amp;".Unit Surface",'Flanges Chart'!$1:$1,0),0),0)+IF(B15="Fitting",VLOOKUP(I15,'Thickness Tab'!$1:$1048576,3,0)/1000*PI(),0)</f>
        <v>9.5508375075873231E-2</v>
      </c>
      <c r="AA15" s="989">
        <f t="shared" si="23"/>
        <v>0</v>
      </c>
      <c r="AB15" s="983">
        <v>50</v>
      </c>
      <c r="AC15" s="989">
        <f t="shared" si="24"/>
        <v>0.40966764043485254</v>
      </c>
      <c r="AD15" s="989">
        <f t="shared" si="25"/>
        <v>0</v>
      </c>
      <c r="AE15" s="974">
        <f>(IFERROR(VLOOKUP($C15,List!$J:$L,2,0),0)*R15+IF(B15="piping",R15,0)+IF(C15="Welding Neck",1,0)*R15)*$AE$2</f>
        <v>0</v>
      </c>
      <c r="AF15" s="970">
        <f>IFERROR(VLOOKUP($C15,List!$J:$L,3,0),0)*R15*$AF$2</f>
        <v>0</v>
      </c>
      <c r="AG15" s="990">
        <f t="shared" si="1"/>
        <v>0</v>
      </c>
      <c r="AH15" s="1118">
        <f>IFERROR(VLOOKUP($D15,'Piping Class'!$88:$102,MATCH(AH$1,'Piping Class'!$88:$88,0),0),"")</f>
        <v>0.1</v>
      </c>
      <c r="AI15" s="991">
        <f>IFERROR(VLOOKUP($D15,'Piping Class'!$88:$102,MATCH(AI$1,'Piping Class'!$88:$88,0),0),"")</f>
        <v>1</v>
      </c>
      <c r="AJ15" s="991">
        <f>IFERROR(VLOOKUP($D15,'Piping Class'!$88:$102,MATCH(AJ$1,'Piping Class'!$88:$88,0),0),"")</f>
        <v>1</v>
      </c>
      <c r="AK15" s="991">
        <f>IFERROR(VLOOKUP($D15,'Piping Class'!$88:$102,MATCH(AK$1,'Piping Class'!$88:$88,0),0),"")</f>
        <v>0</v>
      </c>
      <c r="AL15" s="991">
        <f t="shared" si="44"/>
        <v>1</v>
      </c>
      <c r="AM15" s="1119" t="str">
        <f>IFERROR(VLOOKUP($D15,'Piping Class'!$88:$102,MATCH(AM$1,'Piping Class'!$88:$88,0),0),"")</f>
        <v/>
      </c>
      <c r="AN15" s="992">
        <f t="shared" si="26"/>
        <v>0</v>
      </c>
      <c r="AO15" s="993">
        <f>IFERROR(VLOOKUP(I15&amp;"B"&amp;F15,'Bolting Chart'!$1:$1048576,4,0),0)</f>
        <v>8</v>
      </c>
      <c r="AP15" s="993">
        <f t="shared" si="27"/>
        <v>0</v>
      </c>
      <c r="AQ15" s="993">
        <f t="shared" si="28"/>
        <v>0</v>
      </c>
      <c r="AR15" s="993" t="str">
        <f>IF(AO15=0,0,VLOOKUP(D15&amp;".bolting",'Piping Class'!$1:$1048576,MATCH(I15,'Piping Class'!$2:$2,0),0))</f>
        <v>ASTM A193 Gr.B7M / A194 Gr.2HM</v>
      </c>
      <c r="AS15" s="994">
        <f>IFERROR(VLOOKUP(I15&amp;"B"&amp;F15,'Bolting Chart'!$1:$1048576,IF(AS$2="UNC",5,6),0),0)</f>
        <v>0.75</v>
      </c>
      <c r="AT15" s="995">
        <f>IFERROR(VLOOKUP(I15&amp;"B"&amp;F15,'Bolting Chart'!$1:$1048576,IF(G15="RF",8,9),0),0)</f>
        <v>115</v>
      </c>
      <c r="AU15" s="993" t="str">
        <f>IF(AO15=0,0,VLOOKUP(D15&amp;".gasket",'Piping Class'!$1:$1048576,MATCH(I15,'Piping Class'!$2:$2,0),0))</f>
        <v>Spiral Wound / SS 316 IE</v>
      </c>
      <c r="AV15" s="996">
        <f>(IFERROR(INDEX('Bolting Chart'!$A$169:$R$251,MATCH(AT15,'Bolting Chart'!$A$170:$A$251,0),MATCH(IFERROR(VLOOKUP(I15&amp;"B"&amp;F15,'Bolting Chart'!$1:$1048576,7,0),0)+0,'Bolting Chart'!$A$169:$R$169,0)),0))/100</f>
        <v>0.38700000000000001</v>
      </c>
      <c r="AW15" s="996">
        <f t="shared" si="3"/>
        <v>3.0960000000000001</v>
      </c>
      <c r="AX15" s="1194">
        <f t="shared" si="4"/>
        <v>0</v>
      </c>
      <c r="AY15" s="981"/>
      <c r="AZ15" s="1543">
        <f t="shared" si="29"/>
        <v>0</v>
      </c>
      <c r="BA15" s="1543">
        <f t="shared" si="5"/>
        <v>0</v>
      </c>
      <c r="BB15" s="1543">
        <f t="shared" si="5"/>
        <v>0</v>
      </c>
      <c r="BC15" s="1543">
        <f t="shared" si="5"/>
        <v>0</v>
      </c>
      <c r="BD15" s="1543">
        <f t="shared" si="5"/>
        <v>0</v>
      </c>
      <c r="BE15" s="1543">
        <f t="shared" si="5"/>
        <v>0</v>
      </c>
      <c r="BF15" s="1543">
        <f t="shared" si="5"/>
        <v>0</v>
      </c>
      <c r="BG15" s="1543">
        <f t="shared" si="5"/>
        <v>1</v>
      </c>
      <c r="BH15" s="1543">
        <f t="shared" si="5"/>
        <v>0</v>
      </c>
      <c r="BI15" s="1543">
        <f t="shared" si="5"/>
        <v>0</v>
      </c>
      <c r="BJ15" s="1543">
        <f t="shared" si="5"/>
        <v>0</v>
      </c>
      <c r="BK15" s="1543">
        <f t="shared" si="5"/>
        <v>0</v>
      </c>
      <c r="BL15" s="1543">
        <f t="shared" si="5"/>
        <v>0</v>
      </c>
      <c r="BM15" s="1543">
        <f t="shared" si="5"/>
        <v>0</v>
      </c>
      <c r="BN15" s="1543">
        <f t="shared" si="5"/>
        <v>0</v>
      </c>
      <c r="BO15" s="1543">
        <f t="shared" si="5"/>
        <v>0</v>
      </c>
      <c r="BP15" s="1543">
        <f t="shared" si="5"/>
        <v>0</v>
      </c>
      <c r="BQ15" s="1543">
        <f t="shared" si="5"/>
        <v>0</v>
      </c>
      <c r="BR15" s="1543">
        <f t="shared" si="6"/>
        <v>0</v>
      </c>
      <c r="BS15" s="1543">
        <f t="shared" si="6"/>
        <v>0</v>
      </c>
      <c r="BT15" s="1543">
        <f t="shared" si="6"/>
        <v>0</v>
      </c>
      <c r="BU15" s="1543">
        <f t="shared" si="6"/>
        <v>0</v>
      </c>
      <c r="BV15" s="1543">
        <f t="shared" si="6"/>
        <v>0</v>
      </c>
      <c r="BW15" s="1543">
        <f t="shared" si="6"/>
        <v>0</v>
      </c>
      <c r="BX15" s="1543">
        <f t="shared" si="6"/>
        <v>0</v>
      </c>
      <c r="BY15" s="1543">
        <f t="shared" si="6"/>
        <v>0</v>
      </c>
      <c r="BZ15" s="1543">
        <f t="shared" si="6"/>
        <v>0</v>
      </c>
      <c r="CB15" s="1543">
        <f t="shared" si="30"/>
        <v>0</v>
      </c>
      <c r="CC15" s="1543">
        <f t="shared" si="7"/>
        <v>0</v>
      </c>
      <c r="CD15" s="1543">
        <f t="shared" si="7"/>
        <v>0</v>
      </c>
      <c r="CE15" s="1543">
        <f t="shared" si="7"/>
        <v>0</v>
      </c>
      <c r="CF15" s="1543">
        <f t="shared" si="7"/>
        <v>0</v>
      </c>
      <c r="CG15" s="1543">
        <f t="shared" si="7"/>
        <v>0</v>
      </c>
      <c r="CH15" s="1543">
        <f t="shared" si="7"/>
        <v>0</v>
      </c>
      <c r="CI15" s="1543">
        <f t="shared" si="7"/>
        <v>0</v>
      </c>
      <c r="CJ15" s="1543">
        <f t="shared" si="7"/>
        <v>0</v>
      </c>
      <c r="CK15" s="1543">
        <f t="shared" si="7"/>
        <v>0</v>
      </c>
      <c r="CL15" s="1543">
        <f t="shared" si="7"/>
        <v>0</v>
      </c>
      <c r="CM15" s="1543">
        <f t="shared" si="7"/>
        <v>0</v>
      </c>
      <c r="CN15" s="1543">
        <f t="shared" si="7"/>
        <v>0</v>
      </c>
      <c r="CO15" s="1543">
        <f t="shared" si="7"/>
        <v>0</v>
      </c>
      <c r="CP15" s="1543">
        <f t="shared" si="7"/>
        <v>0</v>
      </c>
      <c r="CQ15" s="1543">
        <f t="shared" si="7"/>
        <v>0</v>
      </c>
      <c r="CR15" s="1543">
        <f t="shared" si="7"/>
        <v>0</v>
      </c>
      <c r="CS15" s="1543">
        <f t="shared" si="7"/>
        <v>0</v>
      </c>
      <c r="CT15" s="1543">
        <f t="shared" si="8"/>
        <v>0</v>
      </c>
      <c r="CU15" s="1543">
        <f t="shared" si="8"/>
        <v>0</v>
      </c>
      <c r="CV15" s="1543">
        <f t="shared" si="8"/>
        <v>0</v>
      </c>
      <c r="CW15" s="1543">
        <f t="shared" si="8"/>
        <v>0</v>
      </c>
      <c r="CX15" s="1543">
        <f t="shared" si="8"/>
        <v>0</v>
      </c>
      <c r="CY15" s="1543">
        <f t="shared" si="8"/>
        <v>0</v>
      </c>
      <c r="CZ15" s="1543">
        <f t="shared" si="8"/>
        <v>0</v>
      </c>
      <c r="DA15" s="1543">
        <f t="shared" si="8"/>
        <v>0</v>
      </c>
      <c r="DB15" s="1543">
        <f t="shared" si="8"/>
        <v>0</v>
      </c>
      <c r="DD15" s="1543">
        <f t="shared" si="9"/>
        <v>0</v>
      </c>
      <c r="DE15" s="1543">
        <f t="shared" si="10"/>
        <v>1</v>
      </c>
      <c r="DF15" s="1543">
        <f t="shared" si="11"/>
        <v>0</v>
      </c>
      <c r="DG15" s="1543">
        <f t="shared" si="31"/>
        <v>0</v>
      </c>
      <c r="DI15" s="1543">
        <f t="shared" si="32"/>
        <v>0</v>
      </c>
      <c r="DJ15" s="1543">
        <f t="shared" si="12"/>
        <v>0</v>
      </c>
      <c r="DK15" s="1543">
        <f t="shared" si="12"/>
        <v>1</v>
      </c>
      <c r="DL15" s="1543">
        <f t="shared" si="12"/>
        <v>0</v>
      </c>
      <c r="DM15" s="1543">
        <f t="shared" si="12"/>
        <v>0</v>
      </c>
      <c r="DO15" s="1543">
        <f t="shared" si="13"/>
        <v>0</v>
      </c>
      <c r="DP15" s="1543">
        <f t="shared" si="14"/>
        <v>0</v>
      </c>
      <c r="DQ15" s="1543">
        <f t="shared" si="14"/>
        <v>0</v>
      </c>
      <c r="DR15" s="1543">
        <f t="shared" si="14"/>
        <v>0</v>
      </c>
      <c r="DS15" s="1543">
        <f t="shared" si="14"/>
        <v>0</v>
      </c>
      <c r="DT15" s="1543">
        <f t="shared" si="14"/>
        <v>0</v>
      </c>
      <c r="DU15" s="1543">
        <f t="shared" si="14"/>
        <v>0</v>
      </c>
      <c r="DV15" s="1543">
        <f t="shared" si="14"/>
        <v>0</v>
      </c>
      <c r="DW15" s="1543">
        <f t="shared" si="14"/>
        <v>0</v>
      </c>
      <c r="DX15" s="1543">
        <f t="shared" si="14"/>
        <v>0</v>
      </c>
      <c r="DY15" s="1543">
        <f t="shared" si="14"/>
        <v>0</v>
      </c>
      <c r="DZ15" s="1543">
        <f t="shared" si="14"/>
        <v>0</v>
      </c>
      <c r="EA15" s="1543">
        <f t="shared" si="14"/>
        <v>0</v>
      </c>
      <c r="EB15" s="1543">
        <f t="shared" si="15"/>
        <v>0</v>
      </c>
      <c r="EC15" s="1543">
        <f t="shared" si="15"/>
        <v>0</v>
      </c>
      <c r="ED15" s="1543">
        <f t="shared" si="15"/>
        <v>0</v>
      </c>
      <c r="EE15" s="1543">
        <f t="shared" si="15"/>
        <v>1</v>
      </c>
      <c r="EF15" s="1543">
        <f t="shared" si="15"/>
        <v>0</v>
      </c>
      <c r="EH15" s="1543">
        <f t="shared" si="33"/>
        <v>1</v>
      </c>
      <c r="EI15" s="1543">
        <f t="shared" si="34"/>
        <v>0</v>
      </c>
      <c r="EJ15" s="1543">
        <f t="shared" si="35"/>
        <v>0</v>
      </c>
      <c r="EK15" s="1543">
        <f t="shared" si="36"/>
        <v>0</v>
      </c>
      <c r="EL15" s="1543">
        <f t="shared" si="37"/>
        <v>0</v>
      </c>
      <c r="EM15" s="1543">
        <f t="shared" si="38"/>
        <v>0</v>
      </c>
      <c r="EN15" s="1543">
        <f t="shared" si="39"/>
        <v>0</v>
      </c>
      <c r="EP15" s="1543">
        <f t="shared" si="16"/>
        <v>0</v>
      </c>
      <c r="EQ15" s="1543">
        <f t="shared" si="16"/>
        <v>0</v>
      </c>
      <c r="ER15" s="1543">
        <f t="shared" si="16"/>
        <v>0</v>
      </c>
      <c r="ES15" s="1543">
        <f t="shared" si="16"/>
        <v>0</v>
      </c>
      <c r="ET15" s="1543">
        <f t="shared" si="17"/>
        <v>0</v>
      </c>
      <c r="EU15" s="1543">
        <f t="shared" si="17"/>
        <v>0</v>
      </c>
      <c r="EV15" s="1543">
        <f t="shared" si="17"/>
        <v>0</v>
      </c>
      <c r="EW15" s="1543">
        <f t="shared" si="17"/>
        <v>0</v>
      </c>
      <c r="EX15" s="1543">
        <f t="shared" si="17"/>
        <v>0</v>
      </c>
      <c r="EY15" s="1543">
        <f t="shared" si="17"/>
        <v>0</v>
      </c>
      <c r="EZ15" s="1543">
        <f t="shared" si="17"/>
        <v>0</v>
      </c>
      <c r="FA15" s="1543">
        <f t="shared" si="17"/>
        <v>0</v>
      </c>
      <c r="FB15" s="1543">
        <f t="shared" si="17"/>
        <v>0</v>
      </c>
      <c r="FC15" s="1543">
        <f t="shared" si="17"/>
        <v>0</v>
      </c>
      <c r="FD15" s="1543">
        <f t="shared" si="17"/>
        <v>0</v>
      </c>
      <c r="FE15" s="1543">
        <f t="shared" si="17"/>
        <v>0</v>
      </c>
      <c r="FF15" s="1543">
        <f t="shared" si="40"/>
        <v>1</v>
      </c>
      <c r="FH15" s="1543">
        <f t="shared" si="18"/>
        <v>0</v>
      </c>
      <c r="FI15" s="1543">
        <f t="shared" si="19"/>
        <v>0</v>
      </c>
      <c r="FJ15" s="1543">
        <f t="shared" si="19"/>
        <v>0</v>
      </c>
      <c r="FK15" s="1543">
        <f t="shared" si="19"/>
        <v>0</v>
      </c>
      <c r="FL15" s="1543">
        <f t="shared" si="19"/>
        <v>0</v>
      </c>
      <c r="FM15" s="1543">
        <f t="shared" si="19"/>
        <v>0</v>
      </c>
      <c r="FN15" s="1543">
        <f t="shared" si="19"/>
        <v>0</v>
      </c>
      <c r="FO15" s="1543">
        <f t="shared" si="19"/>
        <v>0</v>
      </c>
      <c r="FP15" s="1543">
        <f t="shared" si="19"/>
        <v>0</v>
      </c>
      <c r="FQ15" s="1543">
        <f t="shared" si="19"/>
        <v>0</v>
      </c>
      <c r="FR15" s="1543">
        <f t="shared" si="19"/>
        <v>0</v>
      </c>
      <c r="FS15" s="1543">
        <f t="shared" si="19"/>
        <v>0</v>
      </c>
      <c r="FT15" s="1543">
        <f t="shared" si="41"/>
        <v>1</v>
      </c>
      <c r="FV15" s="1543">
        <f t="shared" si="20"/>
        <v>0</v>
      </c>
      <c r="FW15" s="1543">
        <f t="shared" si="21"/>
        <v>0</v>
      </c>
      <c r="FX15" s="1543">
        <f t="shared" si="21"/>
        <v>0</v>
      </c>
      <c r="FY15" s="1543">
        <f t="shared" si="21"/>
        <v>1</v>
      </c>
      <c r="FZ15" s="1543">
        <f t="shared" si="21"/>
        <v>0</v>
      </c>
      <c r="GA15" s="1543">
        <f t="shared" si="21"/>
        <v>0</v>
      </c>
      <c r="GB15" s="1543">
        <f t="shared" si="21"/>
        <v>0</v>
      </c>
      <c r="GC15" s="1543">
        <f t="shared" si="21"/>
        <v>0</v>
      </c>
      <c r="GD15" s="1543">
        <f t="shared" si="21"/>
        <v>0</v>
      </c>
    </row>
    <row r="16" spans="1:186" s="982" customFormat="1" ht="15.6" x14ac:dyDescent="0.3">
      <c r="A16" s="974">
        <v>14</v>
      </c>
      <c r="B16" s="983" t="s">
        <v>141</v>
      </c>
      <c r="C16" s="984" t="s">
        <v>338</v>
      </c>
      <c r="D16" s="983" t="s">
        <v>67</v>
      </c>
      <c r="E16" s="968" t="str">
        <f>IFERROR(VLOOKUP($D16&amp;"."&amp;B16,'Piping Class'!$1:$1048576,MATCH($I16,'Piping Class'!$2:$2,0),0),"")</f>
        <v>ASTM A312-
TP316/316L</v>
      </c>
      <c r="F16" s="985">
        <f>IFERROR(IF(B16="Flange",VLOOKUP($D16,'Piping Class'!$88:$102,MATCH(F$1,'Piping Class'!$88:$88,0),0),""),"")</f>
        <v>300</v>
      </c>
      <c r="G16" s="968" t="str">
        <f>IFERROR(IF(B16="Flange",VLOOKUP($D16,'Piping Class'!$88:$102,MATCH(G$1,'Piping Class'!$88:$88,0),0),""),"")</f>
        <v>RF</v>
      </c>
      <c r="H16" s="968" t="str">
        <f>IFERROR(VLOOKUP($D16,'Piping Class'!$88:$102,MATCH(H$1,'Piping Class'!$88:$88,0),0),"")</f>
        <v>SS</v>
      </c>
      <c r="I16" s="986">
        <v>3</v>
      </c>
      <c r="J16" s="987"/>
      <c r="K16" s="968">
        <f>IFERROR(VLOOKUP(I16,'Thickness Tab'!$1:$1048576,MATCH(L16,'Thickness Tab'!$1:$1,0),0),"")</f>
        <v>5.49</v>
      </c>
      <c r="L16" s="969" t="str">
        <f>IFERROR(VLOOKUP($D16,'Piping Class'!$1:$1048576,MATCH($I16,'Piping Class'!$2:$2,0),0),"")</f>
        <v>40S</v>
      </c>
      <c r="M16" s="968" t="str">
        <f>IFERROR(VLOOKUP(J16,'Thickness Tab'!$1:$1048576,MATCH(N16,'Thickness Tab'!$1:$1,0),0),"")</f>
        <v/>
      </c>
      <c r="N16" s="969" t="str">
        <f>IFERROR(VLOOKUP($D16,'Piping Class'!$1:$1048576,MATCH($J16,'Piping Class'!$2:$2,0),0),"")</f>
        <v/>
      </c>
      <c r="O16" s="968" t="str">
        <f>IFERROR(VLOOKUP($D16,'Piping Class'!$88:$102,MATCH(O$1,'Piping Class'!$88:$88,0),0),"")</f>
        <v>B31.3 / B16.5</v>
      </c>
      <c r="P16" s="968" t="str">
        <f>IFERROR(VLOOKUP($D16,'Piping Class'!$88:$102,MATCH(P$1,'Piping Class'!$88:$88,0),0),"")</f>
        <v>3.1</v>
      </c>
      <c r="Q16" s="983"/>
      <c r="R16" s="988">
        <v>36</v>
      </c>
      <c r="S16" s="969" t="str">
        <f t="shared" si="43"/>
        <v>cad</v>
      </c>
      <c r="T16" s="968">
        <f>IFERROR(VLOOKUP(I16&amp;"."&amp;L16,'Fitting Chart'!$1:$1048576,MATCH(C16,'Fitting Chart'!$1:$1,0),0),0)+IF(B16="piping",PI()*K16*(VLOOKUP(I16,'Thickness Tab'!$1:$1048576,3,0)-K16)*7.86/1000,0)+IF(B16="Flange",VLOOKUP(I16&amp;"F"&amp;F16,'Flanges Chart'!$1:$1048576,MATCH(C16&amp;"."&amp;T$1,'Flanges Chart'!$1:$1,0),0),0)</f>
        <v>7</v>
      </c>
      <c r="U16" s="989">
        <f t="shared" si="0"/>
        <v>252</v>
      </c>
      <c r="V16" s="1003">
        <v>15</v>
      </c>
      <c r="W16" s="1001">
        <f t="shared" si="22"/>
        <v>3780</v>
      </c>
      <c r="X16" s="997"/>
      <c r="Y16" s="983"/>
      <c r="Z16" s="989">
        <f>IF(B16="Piping",VLOOKUP(I16,'Thickness Tab'!$1:$1048576,3,0)/1000*PI(),0)+IFERROR(VLOOKUP(I16&amp;"F"&amp;F16,'Flanges Chart'!$1:$1048576,MATCH(C16&amp;".Unit Surface",'Flanges Chart'!$1:$1,0),0),0)+IF(B16="Fitting",VLOOKUP(I16,'Thickness Tab'!$1:$1048576,3,0)/1000*PI(),0)</f>
        <v>6.7504469489186106E-2</v>
      </c>
      <c r="AA16" s="989">
        <f t="shared" si="23"/>
        <v>2.4301609016106998</v>
      </c>
      <c r="AB16" s="983">
        <v>50</v>
      </c>
      <c r="AC16" s="989">
        <f t="shared" si="24"/>
        <v>0.3816637348481654</v>
      </c>
      <c r="AD16" s="989">
        <f t="shared" si="25"/>
        <v>13.739894454533955</v>
      </c>
      <c r="AE16" s="974">
        <f>(IFERROR(VLOOKUP($C16,List!$J:$L,2,0),0)*R16+IF(B16="piping",R16,0)+IF(C16="Welding Neck",1,0)*R16)*$AE$2</f>
        <v>28.8</v>
      </c>
      <c r="AF16" s="970">
        <f>IFERROR(VLOOKUP($C16,List!$J:$L,3,0),0)*R16*$AF$2</f>
        <v>0</v>
      </c>
      <c r="AG16" s="990">
        <f t="shared" si="1"/>
        <v>86.4</v>
      </c>
      <c r="AH16" s="1118">
        <f>IFERROR(VLOOKUP($D16,'Piping Class'!$88:$102,MATCH(AH$1,'Piping Class'!$88:$88,0),0),"")</f>
        <v>0.1</v>
      </c>
      <c r="AI16" s="991">
        <f>IFERROR(VLOOKUP($D16,'Piping Class'!$88:$102,MATCH(AI$1,'Piping Class'!$88:$88,0),0),"")</f>
        <v>1</v>
      </c>
      <c r="AJ16" s="991">
        <f>IFERROR(VLOOKUP($D16,'Piping Class'!$88:$102,MATCH(AJ$1,'Piping Class'!$88:$88,0),0),"")</f>
        <v>1</v>
      </c>
      <c r="AK16" s="991">
        <f>IFERROR(VLOOKUP($D16,'Piping Class'!$88:$102,MATCH(AK$1,'Piping Class'!$88:$88,0),0),"")</f>
        <v>0</v>
      </c>
      <c r="AL16" s="991">
        <f t="shared" si="44"/>
        <v>1</v>
      </c>
      <c r="AM16" s="1119" t="str">
        <f>IFERROR(VLOOKUP($D16,'Piping Class'!$88:$102,MATCH(AM$1,'Piping Class'!$88:$88,0),0),"")</f>
        <v/>
      </c>
      <c r="AN16" s="992">
        <f t="shared" si="26"/>
        <v>45.36</v>
      </c>
      <c r="AO16" s="993">
        <f>IFERROR(VLOOKUP(I16&amp;"B"&amp;F16,'Bolting Chart'!$1:$1048576,4,0),0)</f>
        <v>8</v>
      </c>
      <c r="AP16" s="993">
        <f t="shared" si="27"/>
        <v>288</v>
      </c>
      <c r="AQ16" s="993">
        <f t="shared" si="28"/>
        <v>36</v>
      </c>
      <c r="AR16" s="993" t="str">
        <f>IF(AO16=0,0,VLOOKUP(D16&amp;".bolting",'Piping Class'!$1:$1048576,MATCH(I16,'Piping Class'!$2:$2,0),0))</f>
        <v>ASTM A193 Gr.B7M / A194 Gr.2HM</v>
      </c>
      <c r="AS16" s="994">
        <f>IFERROR(VLOOKUP(I16&amp;"B"&amp;F16,'Bolting Chart'!$1:$1048576,IF(AS$2="UNC",5,6),0),0)</f>
        <v>0.75</v>
      </c>
      <c r="AT16" s="995">
        <f>IFERROR(VLOOKUP(I16&amp;"B"&amp;F16,'Bolting Chart'!$1:$1048576,IF(G16="RF",8,9),0),0)</f>
        <v>110</v>
      </c>
      <c r="AU16" s="993" t="str">
        <f>IF(AO16=0,0,VLOOKUP(D16&amp;".gasket",'Piping Class'!$1:$1048576,MATCH(I16,'Piping Class'!$2:$2,0),0))</f>
        <v>Spiral Wound / SS 316 IE</v>
      </c>
      <c r="AV16" s="996">
        <f>(IFERROR(INDEX('Bolting Chart'!$A$169:$R$251,MATCH(AT16,'Bolting Chart'!$A$170:$A$251,0),MATCH(IFERROR(VLOOKUP(I16&amp;"B"&amp;F16,'Bolting Chart'!$1:$1048576,7,0),0)+0,'Bolting Chart'!$A$169:$R$169,0)),0))/100</f>
        <v>0.377</v>
      </c>
      <c r="AW16" s="996">
        <f t="shared" si="3"/>
        <v>3.016</v>
      </c>
      <c r="AX16" s="1194">
        <f t="shared" si="4"/>
        <v>108.57599999999999</v>
      </c>
      <c r="AY16" s="981"/>
      <c r="AZ16" s="1543">
        <f t="shared" si="29"/>
        <v>0</v>
      </c>
      <c r="BA16" s="1543">
        <f t="shared" si="5"/>
        <v>0</v>
      </c>
      <c r="BB16" s="1543">
        <f t="shared" si="5"/>
        <v>0</v>
      </c>
      <c r="BC16" s="1543">
        <f t="shared" si="5"/>
        <v>0</v>
      </c>
      <c r="BD16" s="1543">
        <f t="shared" si="5"/>
        <v>0</v>
      </c>
      <c r="BE16" s="1543">
        <f t="shared" si="5"/>
        <v>0</v>
      </c>
      <c r="BF16" s="1543">
        <f t="shared" si="5"/>
        <v>1</v>
      </c>
      <c r="BG16" s="1543">
        <f t="shared" si="5"/>
        <v>0</v>
      </c>
      <c r="BH16" s="1543">
        <f t="shared" si="5"/>
        <v>0</v>
      </c>
      <c r="BI16" s="1543">
        <f t="shared" si="5"/>
        <v>0</v>
      </c>
      <c r="BJ16" s="1543">
        <f t="shared" si="5"/>
        <v>0</v>
      </c>
      <c r="BK16" s="1543">
        <f t="shared" si="5"/>
        <v>0</v>
      </c>
      <c r="BL16" s="1543">
        <f t="shared" si="5"/>
        <v>0</v>
      </c>
      <c r="BM16" s="1543">
        <f t="shared" si="5"/>
        <v>0</v>
      </c>
      <c r="BN16" s="1543">
        <f t="shared" si="5"/>
        <v>0</v>
      </c>
      <c r="BO16" s="1543">
        <f t="shared" si="5"/>
        <v>0</v>
      </c>
      <c r="BP16" s="1543">
        <f t="shared" si="5"/>
        <v>0</v>
      </c>
      <c r="BQ16" s="1543">
        <f t="shared" si="5"/>
        <v>0</v>
      </c>
      <c r="BR16" s="1543">
        <f t="shared" si="6"/>
        <v>0</v>
      </c>
      <c r="BS16" s="1543">
        <f t="shared" si="6"/>
        <v>0</v>
      </c>
      <c r="BT16" s="1543">
        <f t="shared" si="6"/>
        <v>0</v>
      </c>
      <c r="BU16" s="1543">
        <f t="shared" si="6"/>
        <v>0</v>
      </c>
      <c r="BV16" s="1543">
        <f t="shared" si="6"/>
        <v>0</v>
      </c>
      <c r="BW16" s="1543">
        <f t="shared" si="6"/>
        <v>0</v>
      </c>
      <c r="BX16" s="1543">
        <f t="shared" si="6"/>
        <v>0</v>
      </c>
      <c r="BY16" s="1543">
        <f t="shared" si="6"/>
        <v>0</v>
      </c>
      <c r="BZ16" s="1543">
        <f t="shared" si="6"/>
        <v>0</v>
      </c>
      <c r="CB16" s="1543">
        <f t="shared" si="30"/>
        <v>0</v>
      </c>
      <c r="CC16" s="1543">
        <f t="shared" si="7"/>
        <v>0</v>
      </c>
      <c r="CD16" s="1543">
        <f t="shared" si="7"/>
        <v>0</v>
      </c>
      <c r="CE16" s="1543">
        <f t="shared" si="7"/>
        <v>0</v>
      </c>
      <c r="CF16" s="1543">
        <f t="shared" si="7"/>
        <v>0</v>
      </c>
      <c r="CG16" s="1543">
        <f t="shared" si="7"/>
        <v>0</v>
      </c>
      <c r="CH16" s="1543">
        <f t="shared" si="7"/>
        <v>0</v>
      </c>
      <c r="CI16" s="1543">
        <f t="shared" si="7"/>
        <v>0</v>
      </c>
      <c r="CJ16" s="1543">
        <f t="shared" si="7"/>
        <v>0</v>
      </c>
      <c r="CK16" s="1543">
        <f t="shared" si="7"/>
        <v>0</v>
      </c>
      <c r="CL16" s="1543">
        <f t="shared" si="7"/>
        <v>0</v>
      </c>
      <c r="CM16" s="1543">
        <f t="shared" si="7"/>
        <v>0</v>
      </c>
      <c r="CN16" s="1543">
        <f t="shared" si="7"/>
        <v>0</v>
      </c>
      <c r="CO16" s="1543">
        <f t="shared" si="7"/>
        <v>0</v>
      </c>
      <c r="CP16" s="1543">
        <f t="shared" si="7"/>
        <v>0</v>
      </c>
      <c r="CQ16" s="1543">
        <f t="shared" si="7"/>
        <v>0</v>
      </c>
      <c r="CR16" s="1543">
        <f t="shared" si="7"/>
        <v>0</v>
      </c>
      <c r="CS16" s="1543">
        <f t="shared" si="7"/>
        <v>0</v>
      </c>
      <c r="CT16" s="1543">
        <f t="shared" si="8"/>
        <v>0</v>
      </c>
      <c r="CU16" s="1543">
        <f t="shared" si="8"/>
        <v>0</v>
      </c>
      <c r="CV16" s="1543">
        <f t="shared" si="8"/>
        <v>0</v>
      </c>
      <c r="CW16" s="1543">
        <f t="shared" si="8"/>
        <v>0</v>
      </c>
      <c r="CX16" s="1543">
        <f t="shared" si="8"/>
        <v>0</v>
      </c>
      <c r="CY16" s="1543">
        <f t="shared" si="8"/>
        <v>0</v>
      </c>
      <c r="CZ16" s="1543">
        <f t="shared" si="8"/>
        <v>0</v>
      </c>
      <c r="DA16" s="1543">
        <f t="shared" si="8"/>
        <v>0</v>
      </c>
      <c r="DB16" s="1543">
        <f t="shared" si="8"/>
        <v>0</v>
      </c>
      <c r="DD16" s="1543">
        <f t="shared" si="9"/>
        <v>0</v>
      </c>
      <c r="DE16" s="1543">
        <f t="shared" si="10"/>
        <v>1</v>
      </c>
      <c r="DF16" s="1543">
        <f t="shared" si="11"/>
        <v>0</v>
      </c>
      <c r="DG16" s="1543">
        <f t="shared" si="31"/>
        <v>0</v>
      </c>
      <c r="DI16" s="1543">
        <f t="shared" si="32"/>
        <v>0</v>
      </c>
      <c r="DJ16" s="1543">
        <f t="shared" si="12"/>
        <v>0</v>
      </c>
      <c r="DK16" s="1543">
        <f t="shared" si="12"/>
        <v>1</v>
      </c>
      <c r="DL16" s="1543">
        <f t="shared" si="12"/>
        <v>0</v>
      </c>
      <c r="DM16" s="1543">
        <f t="shared" si="12"/>
        <v>0</v>
      </c>
      <c r="DO16" s="1543">
        <f t="shared" si="13"/>
        <v>0</v>
      </c>
      <c r="DP16" s="1543">
        <f t="shared" si="14"/>
        <v>0</v>
      </c>
      <c r="DQ16" s="1543">
        <f t="shared" si="14"/>
        <v>0</v>
      </c>
      <c r="DR16" s="1543">
        <f t="shared" si="14"/>
        <v>0</v>
      </c>
      <c r="DS16" s="1543">
        <f t="shared" si="14"/>
        <v>0</v>
      </c>
      <c r="DT16" s="1543">
        <f t="shared" si="14"/>
        <v>0</v>
      </c>
      <c r="DU16" s="1543">
        <f t="shared" si="14"/>
        <v>0</v>
      </c>
      <c r="DV16" s="1543">
        <f t="shared" si="14"/>
        <v>0</v>
      </c>
      <c r="DW16" s="1543">
        <f t="shared" si="14"/>
        <v>0</v>
      </c>
      <c r="DX16" s="1543">
        <f t="shared" si="14"/>
        <v>0</v>
      </c>
      <c r="DY16" s="1543">
        <f t="shared" si="14"/>
        <v>0</v>
      </c>
      <c r="DZ16" s="1543">
        <f t="shared" si="14"/>
        <v>0</v>
      </c>
      <c r="EA16" s="1543">
        <f t="shared" si="14"/>
        <v>0</v>
      </c>
      <c r="EB16" s="1543">
        <f t="shared" si="15"/>
        <v>0</v>
      </c>
      <c r="EC16" s="1543">
        <f t="shared" si="15"/>
        <v>0</v>
      </c>
      <c r="ED16" s="1543">
        <f t="shared" si="15"/>
        <v>0</v>
      </c>
      <c r="EE16" s="1543">
        <f t="shared" si="15"/>
        <v>1</v>
      </c>
      <c r="EF16" s="1543">
        <f t="shared" si="15"/>
        <v>0</v>
      </c>
      <c r="EH16" s="1543">
        <f t="shared" si="33"/>
        <v>1</v>
      </c>
      <c r="EI16" s="1543">
        <f t="shared" si="34"/>
        <v>0</v>
      </c>
      <c r="EJ16" s="1543">
        <f t="shared" si="35"/>
        <v>0</v>
      </c>
      <c r="EK16" s="1543">
        <f t="shared" si="36"/>
        <v>0</v>
      </c>
      <c r="EL16" s="1543">
        <f t="shared" si="37"/>
        <v>0</v>
      </c>
      <c r="EM16" s="1543">
        <f t="shared" si="38"/>
        <v>0</v>
      </c>
      <c r="EN16" s="1543">
        <f t="shared" si="39"/>
        <v>0</v>
      </c>
      <c r="EP16" s="1543">
        <f t="shared" si="16"/>
        <v>0</v>
      </c>
      <c r="EQ16" s="1543">
        <f t="shared" si="16"/>
        <v>0</v>
      </c>
      <c r="ER16" s="1543">
        <f t="shared" si="16"/>
        <v>0</v>
      </c>
      <c r="ES16" s="1543">
        <f t="shared" si="16"/>
        <v>0</v>
      </c>
      <c r="ET16" s="1543">
        <f t="shared" si="17"/>
        <v>0</v>
      </c>
      <c r="EU16" s="1543">
        <f t="shared" si="17"/>
        <v>0</v>
      </c>
      <c r="EV16" s="1543">
        <f t="shared" si="17"/>
        <v>0</v>
      </c>
      <c r="EW16" s="1543">
        <f t="shared" si="17"/>
        <v>0</v>
      </c>
      <c r="EX16" s="1543">
        <f t="shared" si="17"/>
        <v>0</v>
      </c>
      <c r="EY16" s="1543">
        <f t="shared" si="17"/>
        <v>0</v>
      </c>
      <c r="EZ16" s="1543">
        <f t="shared" si="17"/>
        <v>0</v>
      </c>
      <c r="FA16" s="1543">
        <f t="shared" si="17"/>
        <v>0</v>
      </c>
      <c r="FB16" s="1543">
        <f t="shared" si="17"/>
        <v>0</v>
      </c>
      <c r="FC16" s="1543">
        <f t="shared" si="17"/>
        <v>0</v>
      </c>
      <c r="FD16" s="1543">
        <f t="shared" si="17"/>
        <v>0</v>
      </c>
      <c r="FE16" s="1543">
        <f t="shared" si="17"/>
        <v>0</v>
      </c>
      <c r="FF16" s="1543">
        <f t="shared" si="40"/>
        <v>1</v>
      </c>
      <c r="FH16" s="1543">
        <f t="shared" si="18"/>
        <v>0</v>
      </c>
      <c r="FI16" s="1543">
        <f t="shared" si="19"/>
        <v>0</v>
      </c>
      <c r="FJ16" s="1543">
        <f t="shared" si="19"/>
        <v>0</v>
      </c>
      <c r="FK16" s="1543">
        <f t="shared" si="19"/>
        <v>0</v>
      </c>
      <c r="FL16" s="1543">
        <f t="shared" si="19"/>
        <v>0</v>
      </c>
      <c r="FM16" s="1543">
        <f t="shared" si="19"/>
        <v>0</v>
      </c>
      <c r="FN16" s="1543">
        <f t="shared" si="19"/>
        <v>0</v>
      </c>
      <c r="FO16" s="1543">
        <f t="shared" si="19"/>
        <v>0</v>
      </c>
      <c r="FP16" s="1543">
        <f t="shared" si="19"/>
        <v>0</v>
      </c>
      <c r="FQ16" s="1543">
        <f t="shared" si="19"/>
        <v>0</v>
      </c>
      <c r="FR16" s="1543">
        <f t="shared" si="19"/>
        <v>0</v>
      </c>
      <c r="FS16" s="1543">
        <f t="shared" si="19"/>
        <v>0</v>
      </c>
      <c r="FT16" s="1543">
        <f t="shared" si="41"/>
        <v>1</v>
      </c>
      <c r="FV16" s="1543">
        <f t="shared" si="20"/>
        <v>0</v>
      </c>
      <c r="FW16" s="1543">
        <f t="shared" si="21"/>
        <v>0</v>
      </c>
      <c r="FX16" s="1543">
        <f t="shared" si="21"/>
        <v>0</v>
      </c>
      <c r="FY16" s="1543">
        <f t="shared" si="21"/>
        <v>1</v>
      </c>
      <c r="FZ16" s="1543">
        <f t="shared" si="21"/>
        <v>0</v>
      </c>
      <c r="GA16" s="1543">
        <f t="shared" si="21"/>
        <v>0</v>
      </c>
      <c r="GB16" s="1543">
        <f t="shared" si="21"/>
        <v>0</v>
      </c>
      <c r="GC16" s="1543">
        <f t="shared" si="21"/>
        <v>0</v>
      </c>
      <c r="GD16" s="1543">
        <f t="shared" si="21"/>
        <v>0</v>
      </c>
    </row>
    <row r="17" spans="1:186" s="982" customFormat="1" ht="15.6" x14ac:dyDescent="0.3">
      <c r="A17" s="974">
        <v>15</v>
      </c>
      <c r="B17" s="983" t="s">
        <v>141</v>
      </c>
      <c r="C17" s="984" t="s">
        <v>338</v>
      </c>
      <c r="D17" s="983" t="s">
        <v>67</v>
      </c>
      <c r="E17" s="968" t="str">
        <f>IFERROR(VLOOKUP($D17&amp;"."&amp;B17,'Piping Class'!$1:$1048576,MATCH($I17,'Piping Class'!$2:$2,0),0),"")</f>
        <v>ASTM A312-
TP316/316L</v>
      </c>
      <c r="F17" s="985">
        <f>IFERROR(IF(B17="Flange",VLOOKUP($D17,'Piping Class'!$88:$102,MATCH(F$1,'Piping Class'!$88:$88,0),0),""),"")</f>
        <v>300</v>
      </c>
      <c r="G17" s="968" t="str">
        <f>IFERROR(IF(B17="Flange",VLOOKUP($D17,'Piping Class'!$88:$102,MATCH(G$1,'Piping Class'!$88:$88,0),0),""),"")</f>
        <v>RF</v>
      </c>
      <c r="H17" s="968" t="str">
        <f>IFERROR(VLOOKUP($D17,'Piping Class'!$88:$102,MATCH(H$1,'Piping Class'!$88:$88,0),0),"")</f>
        <v>SS</v>
      </c>
      <c r="I17" s="986">
        <v>2</v>
      </c>
      <c r="J17" s="987"/>
      <c r="K17" s="968">
        <f>IFERROR(VLOOKUP(I17,'Thickness Tab'!$1:$1048576,MATCH(L17,'Thickness Tab'!$1:$1,0),0),"")</f>
        <v>3.91</v>
      </c>
      <c r="L17" s="969" t="str">
        <f>IFERROR(VLOOKUP($D17,'Piping Class'!$1:$1048576,MATCH($I17,'Piping Class'!$2:$2,0),0),"")</f>
        <v>40S</v>
      </c>
      <c r="M17" s="968" t="str">
        <f>IFERROR(VLOOKUP(J17,'Thickness Tab'!$1:$1048576,MATCH(N17,'Thickness Tab'!$1:$1,0),0),"")</f>
        <v/>
      </c>
      <c r="N17" s="969" t="str">
        <f>IFERROR(VLOOKUP($D17,'Piping Class'!$1:$1048576,MATCH($J17,'Piping Class'!$2:$2,0),0),"")</f>
        <v/>
      </c>
      <c r="O17" s="968" t="str">
        <f>IFERROR(VLOOKUP($D17,'Piping Class'!$88:$102,MATCH(O$1,'Piping Class'!$88:$88,0),0),"")</f>
        <v>B31.3 / B16.5</v>
      </c>
      <c r="P17" s="968" t="str">
        <f>IFERROR(VLOOKUP($D17,'Piping Class'!$88:$102,MATCH(P$1,'Piping Class'!$88:$88,0),0),"")</f>
        <v>3.1</v>
      </c>
      <c r="Q17" s="983"/>
      <c r="R17" s="988">
        <v>0</v>
      </c>
      <c r="S17" s="969" t="str">
        <f t="shared" si="43"/>
        <v>cad</v>
      </c>
      <c r="T17" s="968">
        <f>IFERROR(VLOOKUP(I17&amp;"."&amp;L17,'Fitting Chart'!$1:$1048576,MATCH(C17,'Fitting Chart'!$1:$1,0),0),0)+IF(B17="piping",PI()*K17*(VLOOKUP(I17,'Thickness Tab'!$1:$1048576,3,0)-K17)*7.86/1000,0)+IF(B17="Flange",VLOOKUP(I17&amp;"F"&amp;F17,'Flanges Chart'!$1:$1048576,MATCH(C17&amp;"."&amp;T$1,'Flanges Chart'!$1:$1,0),0),0)</f>
        <v>4</v>
      </c>
      <c r="U17" s="989">
        <f t="shared" si="0"/>
        <v>0</v>
      </c>
      <c r="V17" s="1003">
        <v>15</v>
      </c>
      <c r="W17" s="1001">
        <f t="shared" si="22"/>
        <v>0</v>
      </c>
      <c r="X17" s="997"/>
      <c r="Y17" s="983"/>
      <c r="Z17" s="989">
        <f>IF(B17="Piping",VLOOKUP(I17,'Thickness Tab'!$1:$1048576,3,0)/1000*PI(),0)+IFERROR(VLOOKUP(I17&amp;"F"&amp;F17,'Flanges Chart'!$1:$1048576,MATCH(C17&amp;".Unit Surface",'Flanges Chart'!$1:$1,0),0),0)+IF(B17="Fitting",VLOOKUP(I17,'Thickness Tab'!$1:$1048576,3,0)/1000*PI(),0)</f>
        <v>4.2011042007909116E-2</v>
      </c>
      <c r="AA17" s="989">
        <f t="shared" si="23"/>
        <v>0</v>
      </c>
      <c r="AB17" s="983">
        <v>50</v>
      </c>
      <c r="AC17" s="989">
        <f t="shared" si="24"/>
        <v>0.35617030736688843</v>
      </c>
      <c r="AD17" s="989">
        <f t="shared" si="25"/>
        <v>0</v>
      </c>
      <c r="AE17" s="974">
        <f>(IFERROR(VLOOKUP($C17,List!$J:$L,2,0),0)*R17+IF(B17="piping",R17,0)+IF(C17="Welding Neck",1,0)*R17)*$AE$2</f>
        <v>0</v>
      </c>
      <c r="AF17" s="970">
        <f>IFERROR(VLOOKUP($C17,List!$J:$L,3,0),0)*R17*$AF$2</f>
        <v>0</v>
      </c>
      <c r="AG17" s="990">
        <f t="shared" si="1"/>
        <v>0</v>
      </c>
      <c r="AH17" s="1118">
        <f>IFERROR(VLOOKUP($D17,'Piping Class'!$88:$102,MATCH(AH$1,'Piping Class'!$88:$88,0),0),"")</f>
        <v>0.1</v>
      </c>
      <c r="AI17" s="991">
        <f>IFERROR(VLOOKUP($D17,'Piping Class'!$88:$102,MATCH(AI$1,'Piping Class'!$88:$88,0),0),"")</f>
        <v>1</v>
      </c>
      <c r="AJ17" s="991">
        <f>IFERROR(VLOOKUP($D17,'Piping Class'!$88:$102,MATCH(AJ$1,'Piping Class'!$88:$88,0),0),"")</f>
        <v>1</v>
      </c>
      <c r="AK17" s="991">
        <f>IFERROR(VLOOKUP($D17,'Piping Class'!$88:$102,MATCH(AK$1,'Piping Class'!$88:$88,0),0),"")</f>
        <v>0</v>
      </c>
      <c r="AL17" s="991">
        <f t="shared" si="44"/>
        <v>1</v>
      </c>
      <c r="AM17" s="1119" t="str">
        <f>IFERROR(VLOOKUP($D17,'Piping Class'!$88:$102,MATCH(AM$1,'Piping Class'!$88:$88,0),0),"")</f>
        <v/>
      </c>
      <c r="AN17" s="992">
        <f t="shared" si="26"/>
        <v>0</v>
      </c>
      <c r="AO17" s="993">
        <f>IFERROR(VLOOKUP(I17&amp;"B"&amp;F17,'Bolting Chart'!$1:$1048576,4,0),0)</f>
        <v>8</v>
      </c>
      <c r="AP17" s="993">
        <f t="shared" si="27"/>
        <v>0</v>
      </c>
      <c r="AQ17" s="993">
        <f t="shared" si="28"/>
        <v>0</v>
      </c>
      <c r="AR17" s="993" t="str">
        <f>IF(AO17=0,0,VLOOKUP(D17&amp;".bolting",'Piping Class'!$1:$1048576,MATCH(I17,'Piping Class'!$2:$2,0),0))</f>
        <v>ASTM A193 Gr.B7M / A194 Gr.2HM</v>
      </c>
      <c r="AS17" s="994">
        <f>IFERROR(VLOOKUP(I17&amp;"B"&amp;F17,'Bolting Chart'!$1:$1048576,IF(AS$2="UNC",5,6),0),0)</f>
        <v>0.625</v>
      </c>
      <c r="AT17" s="995">
        <f>IFERROR(VLOOKUP(I17&amp;"B"&amp;F17,'Bolting Chart'!$1:$1048576,IF(G17="RF",8,9),0),0)</f>
        <v>90</v>
      </c>
      <c r="AU17" s="993" t="str">
        <f>IF(AO17=0,0,VLOOKUP(D17&amp;".gasket",'Piping Class'!$1:$1048576,MATCH(I17,'Piping Class'!$2:$2,0),0))</f>
        <v>Spiral Wound / SS 316 IE</v>
      </c>
      <c r="AV17" s="996">
        <f>(IFERROR(INDEX('Bolting Chart'!$A$169:$R$251,MATCH(AT17,'Bolting Chart'!$A$170:$A$251,0),MATCH(IFERROR(VLOOKUP(I17&amp;"B"&amp;F17,'Bolting Chart'!$1:$1048576,7,0),0)+0,'Bolting Chart'!$A$169:$R$169,0)),0))/100</f>
        <v>0.18899999999999997</v>
      </c>
      <c r="AW17" s="996">
        <f t="shared" si="3"/>
        <v>1.5119999999999998</v>
      </c>
      <c r="AX17" s="1194">
        <f t="shared" si="4"/>
        <v>0</v>
      </c>
      <c r="AY17" s="981"/>
      <c r="AZ17" s="1543">
        <f t="shared" si="29"/>
        <v>0</v>
      </c>
      <c r="BA17" s="1543">
        <f t="shared" si="5"/>
        <v>0</v>
      </c>
      <c r="BB17" s="1543">
        <f t="shared" si="5"/>
        <v>0</v>
      </c>
      <c r="BC17" s="1543">
        <f t="shared" si="5"/>
        <v>0</v>
      </c>
      <c r="BD17" s="1543">
        <f t="shared" si="5"/>
        <v>1</v>
      </c>
      <c r="BE17" s="1543">
        <f t="shared" si="5"/>
        <v>0</v>
      </c>
      <c r="BF17" s="1543">
        <f t="shared" si="5"/>
        <v>0</v>
      </c>
      <c r="BG17" s="1543">
        <f t="shared" si="5"/>
        <v>0</v>
      </c>
      <c r="BH17" s="1543">
        <f t="shared" si="5"/>
        <v>0</v>
      </c>
      <c r="BI17" s="1543">
        <f t="shared" si="5"/>
        <v>0</v>
      </c>
      <c r="BJ17" s="1543">
        <f t="shared" si="5"/>
        <v>0</v>
      </c>
      <c r="BK17" s="1543">
        <f t="shared" si="5"/>
        <v>0</v>
      </c>
      <c r="BL17" s="1543">
        <f t="shared" si="5"/>
        <v>0</v>
      </c>
      <c r="BM17" s="1543">
        <f t="shared" si="5"/>
        <v>0</v>
      </c>
      <c r="BN17" s="1543">
        <f t="shared" si="5"/>
        <v>0</v>
      </c>
      <c r="BO17" s="1543">
        <f t="shared" si="5"/>
        <v>0</v>
      </c>
      <c r="BP17" s="1543">
        <f t="shared" si="5"/>
        <v>0</v>
      </c>
      <c r="BQ17" s="1543">
        <f t="shared" si="5"/>
        <v>0</v>
      </c>
      <c r="BR17" s="1543">
        <f t="shared" si="6"/>
        <v>0</v>
      </c>
      <c r="BS17" s="1543">
        <f t="shared" si="6"/>
        <v>0</v>
      </c>
      <c r="BT17" s="1543">
        <f t="shared" si="6"/>
        <v>0</v>
      </c>
      <c r="BU17" s="1543">
        <f t="shared" si="6"/>
        <v>0</v>
      </c>
      <c r="BV17" s="1543">
        <f t="shared" si="6"/>
        <v>0</v>
      </c>
      <c r="BW17" s="1543">
        <f t="shared" si="6"/>
        <v>0</v>
      </c>
      <c r="BX17" s="1543">
        <f t="shared" si="6"/>
        <v>0</v>
      </c>
      <c r="BY17" s="1543">
        <f t="shared" si="6"/>
        <v>0</v>
      </c>
      <c r="BZ17" s="1543">
        <f t="shared" si="6"/>
        <v>0</v>
      </c>
      <c r="CB17" s="1543">
        <f t="shared" si="30"/>
        <v>0</v>
      </c>
      <c r="CC17" s="1543">
        <f t="shared" si="7"/>
        <v>0</v>
      </c>
      <c r="CD17" s="1543">
        <f t="shared" si="7"/>
        <v>0</v>
      </c>
      <c r="CE17" s="1543">
        <f t="shared" si="7"/>
        <v>0</v>
      </c>
      <c r="CF17" s="1543">
        <f t="shared" si="7"/>
        <v>0</v>
      </c>
      <c r="CG17" s="1543">
        <f t="shared" si="7"/>
        <v>0</v>
      </c>
      <c r="CH17" s="1543">
        <f t="shared" si="7"/>
        <v>0</v>
      </c>
      <c r="CI17" s="1543">
        <f t="shared" si="7"/>
        <v>0</v>
      </c>
      <c r="CJ17" s="1543">
        <f t="shared" si="7"/>
        <v>0</v>
      </c>
      <c r="CK17" s="1543">
        <f t="shared" si="7"/>
        <v>0</v>
      </c>
      <c r="CL17" s="1543">
        <f t="shared" si="7"/>
        <v>0</v>
      </c>
      <c r="CM17" s="1543">
        <f t="shared" si="7"/>
        <v>0</v>
      </c>
      <c r="CN17" s="1543">
        <f t="shared" si="7"/>
        <v>0</v>
      </c>
      <c r="CO17" s="1543">
        <f t="shared" si="7"/>
        <v>0</v>
      </c>
      <c r="CP17" s="1543">
        <f t="shared" si="7"/>
        <v>0</v>
      </c>
      <c r="CQ17" s="1543">
        <f t="shared" si="7"/>
        <v>0</v>
      </c>
      <c r="CR17" s="1543">
        <f t="shared" si="7"/>
        <v>0</v>
      </c>
      <c r="CS17" s="1543">
        <f t="shared" si="7"/>
        <v>0</v>
      </c>
      <c r="CT17" s="1543">
        <f t="shared" si="8"/>
        <v>0</v>
      </c>
      <c r="CU17" s="1543">
        <f t="shared" si="8"/>
        <v>0</v>
      </c>
      <c r="CV17" s="1543">
        <f t="shared" si="8"/>
        <v>0</v>
      </c>
      <c r="CW17" s="1543">
        <f t="shared" si="8"/>
        <v>0</v>
      </c>
      <c r="CX17" s="1543">
        <f t="shared" si="8"/>
        <v>0</v>
      </c>
      <c r="CY17" s="1543">
        <f t="shared" si="8"/>
        <v>0</v>
      </c>
      <c r="CZ17" s="1543">
        <f t="shared" si="8"/>
        <v>0</v>
      </c>
      <c r="DA17" s="1543">
        <f t="shared" si="8"/>
        <v>0</v>
      </c>
      <c r="DB17" s="1543">
        <f t="shared" si="8"/>
        <v>0</v>
      </c>
      <c r="DD17" s="1543">
        <f t="shared" si="9"/>
        <v>0</v>
      </c>
      <c r="DE17" s="1543">
        <f t="shared" si="10"/>
        <v>1</v>
      </c>
      <c r="DF17" s="1543">
        <f t="shared" si="11"/>
        <v>0</v>
      </c>
      <c r="DG17" s="1543">
        <f t="shared" si="31"/>
        <v>0</v>
      </c>
      <c r="DI17" s="1543">
        <f t="shared" si="32"/>
        <v>0</v>
      </c>
      <c r="DJ17" s="1543">
        <f t="shared" si="12"/>
        <v>0</v>
      </c>
      <c r="DK17" s="1543">
        <f t="shared" si="12"/>
        <v>1</v>
      </c>
      <c r="DL17" s="1543">
        <f t="shared" si="12"/>
        <v>0</v>
      </c>
      <c r="DM17" s="1543">
        <f t="shared" si="12"/>
        <v>0</v>
      </c>
      <c r="DO17" s="1543">
        <f t="shared" si="13"/>
        <v>0</v>
      </c>
      <c r="DP17" s="1543">
        <f t="shared" si="14"/>
        <v>0</v>
      </c>
      <c r="DQ17" s="1543">
        <f t="shared" si="14"/>
        <v>0</v>
      </c>
      <c r="DR17" s="1543">
        <f t="shared" si="14"/>
        <v>0</v>
      </c>
      <c r="DS17" s="1543">
        <f t="shared" si="14"/>
        <v>0</v>
      </c>
      <c r="DT17" s="1543">
        <f t="shared" si="14"/>
        <v>0</v>
      </c>
      <c r="DU17" s="1543">
        <f t="shared" si="14"/>
        <v>0</v>
      </c>
      <c r="DV17" s="1543">
        <f t="shared" si="14"/>
        <v>0</v>
      </c>
      <c r="DW17" s="1543">
        <f t="shared" si="14"/>
        <v>0</v>
      </c>
      <c r="DX17" s="1543">
        <f t="shared" si="14"/>
        <v>0</v>
      </c>
      <c r="DY17" s="1543">
        <f t="shared" si="14"/>
        <v>0</v>
      </c>
      <c r="DZ17" s="1543">
        <f t="shared" si="14"/>
        <v>0</v>
      </c>
      <c r="EA17" s="1543">
        <f t="shared" si="14"/>
        <v>0</v>
      </c>
      <c r="EB17" s="1543">
        <f t="shared" si="15"/>
        <v>0</v>
      </c>
      <c r="EC17" s="1543">
        <f t="shared" si="15"/>
        <v>0</v>
      </c>
      <c r="ED17" s="1543">
        <f t="shared" si="15"/>
        <v>0</v>
      </c>
      <c r="EE17" s="1543">
        <f t="shared" si="15"/>
        <v>1</v>
      </c>
      <c r="EF17" s="1543">
        <f t="shared" si="15"/>
        <v>0</v>
      </c>
      <c r="EH17" s="1543">
        <f t="shared" si="33"/>
        <v>1</v>
      </c>
      <c r="EI17" s="1543">
        <f t="shared" si="34"/>
        <v>0</v>
      </c>
      <c r="EJ17" s="1543">
        <f t="shared" si="35"/>
        <v>0</v>
      </c>
      <c r="EK17" s="1543">
        <f t="shared" si="36"/>
        <v>0</v>
      </c>
      <c r="EL17" s="1543">
        <f t="shared" si="37"/>
        <v>0</v>
      </c>
      <c r="EM17" s="1543">
        <f t="shared" si="38"/>
        <v>0</v>
      </c>
      <c r="EN17" s="1543">
        <f t="shared" si="39"/>
        <v>0</v>
      </c>
      <c r="EP17" s="1543">
        <f t="shared" si="16"/>
        <v>0</v>
      </c>
      <c r="EQ17" s="1543">
        <f t="shared" si="16"/>
        <v>0</v>
      </c>
      <c r="ER17" s="1543">
        <f t="shared" si="16"/>
        <v>0</v>
      </c>
      <c r="ES17" s="1543">
        <f t="shared" si="16"/>
        <v>0</v>
      </c>
      <c r="ET17" s="1543">
        <f t="shared" si="17"/>
        <v>0</v>
      </c>
      <c r="EU17" s="1543">
        <f t="shared" si="17"/>
        <v>0</v>
      </c>
      <c r="EV17" s="1543">
        <f t="shared" si="17"/>
        <v>0</v>
      </c>
      <c r="EW17" s="1543">
        <f t="shared" si="17"/>
        <v>0</v>
      </c>
      <c r="EX17" s="1543">
        <f t="shared" si="17"/>
        <v>0</v>
      </c>
      <c r="EY17" s="1543">
        <f t="shared" si="17"/>
        <v>0</v>
      </c>
      <c r="EZ17" s="1543">
        <f t="shared" si="17"/>
        <v>0</v>
      </c>
      <c r="FA17" s="1543">
        <f t="shared" si="17"/>
        <v>0</v>
      </c>
      <c r="FB17" s="1543">
        <f t="shared" si="17"/>
        <v>0</v>
      </c>
      <c r="FC17" s="1543">
        <f t="shared" si="17"/>
        <v>0</v>
      </c>
      <c r="FD17" s="1543">
        <f t="shared" si="17"/>
        <v>0</v>
      </c>
      <c r="FE17" s="1543">
        <f t="shared" si="17"/>
        <v>0</v>
      </c>
      <c r="FF17" s="1543">
        <f t="shared" si="40"/>
        <v>1</v>
      </c>
      <c r="FH17" s="1543">
        <f t="shared" si="18"/>
        <v>0</v>
      </c>
      <c r="FI17" s="1543">
        <f t="shared" si="19"/>
        <v>0</v>
      </c>
      <c r="FJ17" s="1543">
        <f t="shared" si="19"/>
        <v>0</v>
      </c>
      <c r="FK17" s="1543">
        <f t="shared" si="19"/>
        <v>0</v>
      </c>
      <c r="FL17" s="1543">
        <f t="shared" si="19"/>
        <v>0</v>
      </c>
      <c r="FM17" s="1543">
        <f t="shared" si="19"/>
        <v>0</v>
      </c>
      <c r="FN17" s="1543">
        <f t="shared" si="19"/>
        <v>0</v>
      </c>
      <c r="FO17" s="1543">
        <f t="shared" si="19"/>
        <v>0</v>
      </c>
      <c r="FP17" s="1543">
        <f t="shared" si="19"/>
        <v>0</v>
      </c>
      <c r="FQ17" s="1543">
        <f t="shared" si="19"/>
        <v>0</v>
      </c>
      <c r="FR17" s="1543">
        <f t="shared" si="19"/>
        <v>0</v>
      </c>
      <c r="FS17" s="1543">
        <f t="shared" si="19"/>
        <v>0</v>
      </c>
      <c r="FT17" s="1543">
        <f t="shared" si="41"/>
        <v>1</v>
      </c>
      <c r="FV17" s="1543">
        <f t="shared" si="20"/>
        <v>0</v>
      </c>
      <c r="FW17" s="1543">
        <f t="shared" si="21"/>
        <v>0</v>
      </c>
      <c r="FX17" s="1543">
        <f t="shared" si="21"/>
        <v>0</v>
      </c>
      <c r="FY17" s="1543">
        <f t="shared" si="21"/>
        <v>1</v>
      </c>
      <c r="FZ17" s="1543">
        <f t="shared" si="21"/>
        <v>0</v>
      </c>
      <c r="GA17" s="1543">
        <f t="shared" si="21"/>
        <v>0</v>
      </c>
      <c r="GB17" s="1543">
        <f t="shared" si="21"/>
        <v>0</v>
      </c>
      <c r="GC17" s="1543">
        <f t="shared" si="21"/>
        <v>0</v>
      </c>
      <c r="GD17" s="1543">
        <f t="shared" si="21"/>
        <v>0</v>
      </c>
    </row>
    <row r="18" spans="1:186" s="982" customFormat="1" ht="15.6" x14ac:dyDescent="0.3">
      <c r="A18" s="974">
        <v>16</v>
      </c>
      <c r="B18" s="983" t="s">
        <v>141</v>
      </c>
      <c r="C18" s="984" t="s">
        <v>338</v>
      </c>
      <c r="D18" s="983" t="s">
        <v>67</v>
      </c>
      <c r="E18" s="968" t="str">
        <f>IFERROR(VLOOKUP($D18&amp;"."&amp;B18,'Piping Class'!$1:$1048576,MATCH($I18,'Piping Class'!$2:$2,0),0),"")</f>
        <v>ASTM A312-
TP316/316L</v>
      </c>
      <c r="F18" s="985">
        <f>IFERROR(IF(B18="Flange",VLOOKUP($D18,'Piping Class'!$88:$102,MATCH(F$1,'Piping Class'!$88:$88,0),0),""),"")</f>
        <v>300</v>
      </c>
      <c r="G18" s="968" t="str">
        <f>IFERROR(IF(B18="Flange",VLOOKUP($D18,'Piping Class'!$88:$102,MATCH(G$1,'Piping Class'!$88:$88,0),0),""),"")</f>
        <v>RF</v>
      </c>
      <c r="H18" s="968" t="str">
        <f>IFERROR(VLOOKUP($D18,'Piping Class'!$88:$102,MATCH(H$1,'Piping Class'!$88:$88,0),0),"")</f>
        <v>SS</v>
      </c>
      <c r="I18" s="1329">
        <v>3</v>
      </c>
      <c r="J18" s="987"/>
      <c r="K18" s="968">
        <f>IFERROR(VLOOKUP(I18,'Thickness Tab'!$1:$1048576,MATCH(L18,'Thickness Tab'!$1:$1,0),0),"")</f>
        <v>5.49</v>
      </c>
      <c r="L18" s="969" t="str">
        <f>IFERROR(VLOOKUP($D18,'Piping Class'!$1:$1048576,MATCH($I18,'Piping Class'!$2:$2,0),0),"")</f>
        <v>40S</v>
      </c>
      <c r="M18" s="968" t="str">
        <f>IFERROR(VLOOKUP(J18,'Thickness Tab'!$1:$1048576,MATCH(N18,'Thickness Tab'!$1:$1,0),0),"")</f>
        <v/>
      </c>
      <c r="N18" s="969" t="str">
        <f>IFERROR(VLOOKUP($D18,'Piping Class'!$1:$1048576,MATCH($J18,'Piping Class'!$2:$2,0),0),"")</f>
        <v/>
      </c>
      <c r="O18" s="968" t="str">
        <f>IFERROR(VLOOKUP($D18,'Piping Class'!$88:$102,MATCH(O$1,'Piping Class'!$88:$88,0),0),"")</f>
        <v>B31.3 / B16.5</v>
      </c>
      <c r="P18" s="968" t="str">
        <f>IFERROR(VLOOKUP($D18,'Piping Class'!$88:$102,MATCH(P$1,'Piping Class'!$88:$88,0),0),"")</f>
        <v>3.1</v>
      </c>
      <c r="Q18" s="983"/>
      <c r="R18" s="988">
        <v>0</v>
      </c>
      <c r="S18" s="969" t="str">
        <f t="shared" si="43"/>
        <v>cad</v>
      </c>
      <c r="T18" s="968">
        <f>IFERROR(VLOOKUP(I18&amp;"."&amp;L18,'Fitting Chart'!$1:$1048576,MATCH(C18,'Fitting Chart'!$1:$1,0),0),0)+IF(B18="piping",PI()*K18*(VLOOKUP(I18,'Thickness Tab'!$1:$1048576,3,0)-K18)*7.86/1000,0)+IF(B18="Flange",VLOOKUP(I18&amp;"F"&amp;F18,'Flanges Chart'!$1:$1048576,MATCH(C18&amp;"."&amp;T$1,'Flanges Chart'!$1:$1,0),0),0)</f>
        <v>7</v>
      </c>
      <c r="U18" s="989">
        <f t="shared" si="0"/>
        <v>0</v>
      </c>
      <c r="V18" s="1003">
        <v>15</v>
      </c>
      <c r="W18" s="1001">
        <f t="shared" si="22"/>
        <v>0</v>
      </c>
      <c r="X18" s="997"/>
      <c r="Y18" s="983"/>
      <c r="Z18" s="989">
        <f>IF(B18="Piping",VLOOKUP(I18,'Thickness Tab'!$1:$1048576,3,0)/1000*PI(),0)+IFERROR(VLOOKUP(I18&amp;"F"&amp;F18,'Flanges Chart'!$1:$1048576,MATCH(C18&amp;".Unit Surface",'Flanges Chart'!$1:$1,0),0),0)+IF(B18="Fitting",VLOOKUP(I18,'Thickness Tab'!$1:$1048576,3,0)/1000*PI(),0)</f>
        <v>6.7504469489186106E-2</v>
      </c>
      <c r="AA18" s="989">
        <f t="shared" si="23"/>
        <v>0</v>
      </c>
      <c r="AB18" s="983">
        <v>50</v>
      </c>
      <c r="AC18" s="989">
        <f t="shared" si="24"/>
        <v>0.3816637348481654</v>
      </c>
      <c r="AD18" s="989">
        <f t="shared" si="25"/>
        <v>0</v>
      </c>
      <c r="AE18" s="974">
        <f>(IFERROR(VLOOKUP($C18,List!$J:$L,2,0),0)*R18+IF(B18="piping",R18,0)+IF(C18="Welding Neck",1,0)*R18)*$AE$2</f>
        <v>0</v>
      </c>
      <c r="AF18" s="970">
        <f>IFERROR(VLOOKUP($C18,List!$J:$L,3,0),0)*R18*$AF$2</f>
        <v>0</v>
      </c>
      <c r="AG18" s="990">
        <f t="shared" si="1"/>
        <v>0</v>
      </c>
      <c r="AH18" s="1118">
        <f>IFERROR(VLOOKUP($D18,'Piping Class'!$88:$102,MATCH(AH$1,'Piping Class'!$88:$88,0),0),"")</f>
        <v>0.1</v>
      </c>
      <c r="AI18" s="991">
        <f>IFERROR(VLOOKUP($D18,'Piping Class'!$88:$102,MATCH(AI$1,'Piping Class'!$88:$88,0),0),"")</f>
        <v>1</v>
      </c>
      <c r="AJ18" s="991">
        <f>IFERROR(VLOOKUP($D18,'Piping Class'!$88:$102,MATCH(AJ$1,'Piping Class'!$88:$88,0),0),"")</f>
        <v>1</v>
      </c>
      <c r="AK18" s="991">
        <f>IFERROR(VLOOKUP($D18,'Piping Class'!$88:$102,MATCH(AK$1,'Piping Class'!$88:$88,0),0),"")</f>
        <v>0</v>
      </c>
      <c r="AL18" s="991">
        <f t="shared" si="44"/>
        <v>1</v>
      </c>
      <c r="AM18" s="1119" t="str">
        <f>IFERROR(VLOOKUP($D18,'Piping Class'!$88:$102,MATCH(AM$1,'Piping Class'!$88:$88,0),0),"")</f>
        <v/>
      </c>
      <c r="AN18" s="992">
        <f t="shared" si="26"/>
        <v>0</v>
      </c>
      <c r="AO18" s="993">
        <f>IFERROR(VLOOKUP(I18&amp;"B"&amp;F18,'Bolting Chart'!$1:$1048576,4,0),0)</f>
        <v>8</v>
      </c>
      <c r="AP18" s="993">
        <f t="shared" si="27"/>
        <v>0</v>
      </c>
      <c r="AQ18" s="993">
        <f t="shared" si="28"/>
        <v>0</v>
      </c>
      <c r="AR18" s="993" t="str">
        <f>IF(AO18=0,0,VLOOKUP(D18&amp;".bolting",'Piping Class'!$1:$1048576,MATCH(I18,'Piping Class'!$2:$2,0),0))</f>
        <v>ASTM A193 Gr.B7M / A194 Gr.2HM</v>
      </c>
      <c r="AS18" s="994">
        <f>IFERROR(VLOOKUP(I18&amp;"B"&amp;F18,'Bolting Chart'!$1:$1048576,IF(AS$2="UNC",5,6),0),0)</f>
        <v>0.75</v>
      </c>
      <c r="AT18" s="995">
        <f>IFERROR(VLOOKUP(I18&amp;"B"&amp;F18,'Bolting Chart'!$1:$1048576,IF(G18="RF",8,9),0),0)</f>
        <v>110</v>
      </c>
      <c r="AU18" s="993" t="str">
        <f>IF(AO18=0,0,VLOOKUP(D18&amp;".gasket",'Piping Class'!$1:$1048576,MATCH(I18,'Piping Class'!$2:$2,0),0))</f>
        <v>Spiral Wound / SS 316 IE</v>
      </c>
      <c r="AV18" s="996">
        <f>(IFERROR(INDEX('Bolting Chart'!$A$169:$R$251,MATCH(AT18,'Bolting Chart'!$A$170:$A$251,0),MATCH(IFERROR(VLOOKUP(I18&amp;"B"&amp;F18,'Bolting Chart'!$1:$1048576,7,0),0)+0,'Bolting Chart'!$A$169:$R$169,0)),0))/100</f>
        <v>0.377</v>
      </c>
      <c r="AW18" s="996">
        <f t="shared" si="3"/>
        <v>3.016</v>
      </c>
      <c r="AX18" s="1194">
        <f t="shared" si="4"/>
        <v>0</v>
      </c>
      <c r="AY18" s="981"/>
      <c r="AZ18" s="1543">
        <f t="shared" si="29"/>
        <v>0</v>
      </c>
      <c r="BA18" s="1543">
        <f t="shared" si="29"/>
        <v>0</v>
      </c>
      <c r="BB18" s="1543">
        <f t="shared" si="29"/>
        <v>0</v>
      </c>
      <c r="BC18" s="1543">
        <f t="shared" si="29"/>
        <v>0</v>
      </c>
      <c r="BD18" s="1543">
        <f t="shared" si="29"/>
        <v>0</v>
      </c>
      <c r="BE18" s="1543">
        <f t="shared" si="29"/>
        <v>0</v>
      </c>
      <c r="BF18" s="1543">
        <f t="shared" si="29"/>
        <v>1</v>
      </c>
      <c r="BG18" s="1543">
        <f t="shared" si="29"/>
        <v>0</v>
      </c>
      <c r="BH18" s="1543">
        <f t="shared" si="29"/>
        <v>0</v>
      </c>
      <c r="BI18" s="1543">
        <f t="shared" si="29"/>
        <v>0</v>
      </c>
      <c r="BJ18" s="1543">
        <f t="shared" si="29"/>
        <v>0</v>
      </c>
      <c r="BK18" s="1543">
        <f t="shared" si="29"/>
        <v>0</v>
      </c>
      <c r="BL18" s="1543">
        <f t="shared" si="29"/>
        <v>0</v>
      </c>
      <c r="BM18" s="1543">
        <f t="shared" si="29"/>
        <v>0</v>
      </c>
      <c r="BN18" s="1543">
        <f t="shared" si="29"/>
        <v>0</v>
      </c>
      <c r="BO18" s="1543">
        <f t="shared" si="29"/>
        <v>0</v>
      </c>
      <c r="BP18" s="1543">
        <f t="shared" ref="BP18:BZ32" si="45">IF($I18=BP$2,1,0)</f>
        <v>0</v>
      </c>
      <c r="BQ18" s="1543">
        <f t="shared" si="45"/>
        <v>0</v>
      </c>
      <c r="BR18" s="1543">
        <f t="shared" si="45"/>
        <v>0</v>
      </c>
      <c r="BS18" s="1543">
        <f t="shared" si="45"/>
        <v>0</v>
      </c>
      <c r="BT18" s="1543">
        <f t="shared" si="45"/>
        <v>0</v>
      </c>
      <c r="BU18" s="1543">
        <f t="shared" si="45"/>
        <v>0</v>
      </c>
      <c r="BV18" s="1543">
        <f t="shared" si="45"/>
        <v>0</v>
      </c>
      <c r="BW18" s="1543">
        <f t="shared" si="45"/>
        <v>0</v>
      </c>
      <c r="BX18" s="1543">
        <f t="shared" si="45"/>
        <v>0</v>
      </c>
      <c r="BY18" s="1543">
        <f t="shared" si="45"/>
        <v>0</v>
      </c>
      <c r="BZ18" s="1543">
        <f t="shared" si="45"/>
        <v>0</v>
      </c>
      <c r="CB18" s="1543">
        <f t="shared" si="30"/>
        <v>0</v>
      </c>
      <c r="CC18" s="1543">
        <f t="shared" si="30"/>
        <v>0</v>
      </c>
      <c r="CD18" s="1543">
        <f t="shared" si="30"/>
        <v>0</v>
      </c>
      <c r="CE18" s="1543">
        <f t="shared" si="30"/>
        <v>0</v>
      </c>
      <c r="CF18" s="1543">
        <f t="shared" si="30"/>
        <v>0</v>
      </c>
      <c r="CG18" s="1543">
        <f t="shared" si="30"/>
        <v>0</v>
      </c>
      <c r="CH18" s="1543">
        <f t="shared" si="30"/>
        <v>0</v>
      </c>
      <c r="CI18" s="1543">
        <f t="shared" si="30"/>
        <v>0</v>
      </c>
      <c r="CJ18" s="1543">
        <f t="shared" si="30"/>
        <v>0</v>
      </c>
      <c r="CK18" s="1543">
        <f t="shared" si="30"/>
        <v>0</v>
      </c>
      <c r="CL18" s="1543">
        <f t="shared" si="30"/>
        <v>0</v>
      </c>
      <c r="CM18" s="1543">
        <f t="shared" si="30"/>
        <v>0</v>
      </c>
      <c r="CN18" s="1543">
        <f t="shared" si="30"/>
        <v>0</v>
      </c>
      <c r="CO18" s="1543">
        <f t="shared" si="30"/>
        <v>0</v>
      </c>
      <c r="CP18" s="1543">
        <f t="shared" si="30"/>
        <v>0</v>
      </c>
      <c r="CQ18" s="1543">
        <f t="shared" si="30"/>
        <v>0</v>
      </c>
      <c r="CR18" s="1543">
        <f t="shared" ref="CR18:CS64" si="46">IF($J18=CR$2,1,0)</f>
        <v>0</v>
      </c>
      <c r="CS18" s="1543">
        <f t="shared" si="46"/>
        <v>0</v>
      </c>
      <c r="CT18" s="1543">
        <f t="shared" si="8"/>
        <v>0</v>
      </c>
      <c r="CU18" s="1543">
        <f t="shared" si="8"/>
        <v>0</v>
      </c>
      <c r="CV18" s="1543">
        <f t="shared" si="8"/>
        <v>0</v>
      </c>
      <c r="CW18" s="1543">
        <f t="shared" si="8"/>
        <v>0</v>
      </c>
      <c r="CX18" s="1543">
        <f t="shared" si="8"/>
        <v>0</v>
      </c>
      <c r="CY18" s="1543">
        <f t="shared" si="8"/>
        <v>0</v>
      </c>
      <c r="CZ18" s="1543">
        <f t="shared" si="8"/>
        <v>0</v>
      </c>
      <c r="DA18" s="1543">
        <f t="shared" si="8"/>
        <v>0</v>
      </c>
      <c r="DB18" s="1543">
        <f t="shared" si="8"/>
        <v>0</v>
      </c>
      <c r="DD18" s="1543">
        <f t="shared" si="9"/>
        <v>0</v>
      </c>
      <c r="DE18" s="1543">
        <f t="shared" si="10"/>
        <v>1</v>
      </c>
      <c r="DF18" s="1543">
        <f t="shared" si="11"/>
        <v>0</v>
      </c>
      <c r="DG18" s="1543">
        <f t="shared" si="31"/>
        <v>0</v>
      </c>
      <c r="DI18" s="1543">
        <f t="shared" si="32"/>
        <v>0</v>
      </c>
      <c r="DJ18" s="1543">
        <f t="shared" si="12"/>
        <v>0</v>
      </c>
      <c r="DK18" s="1543">
        <f t="shared" si="12"/>
        <v>1</v>
      </c>
      <c r="DL18" s="1543">
        <f t="shared" si="12"/>
        <v>0</v>
      </c>
      <c r="DM18" s="1543">
        <f t="shared" si="12"/>
        <v>0</v>
      </c>
      <c r="DO18" s="1543">
        <f t="shared" si="13"/>
        <v>0</v>
      </c>
      <c r="DP18" s="1543">
        <f t="shared" si="14"/>
        <v>0</v>
      </c>
      <c r="DQ18" s="1543">
        <f t="shared" si="14"/>
        <v>0</v>
      </c>
      <c r="DR18" s="1543">
        <f t="shared" si="14"/>
        <v>0</v>
      </c>
      <c r="DS18" s="1543">
        <f t="shared" si="14"/>
        <v>0</v>
      </c>
      <c r="DT18" s="1543">
        <f t="shared" si="14"/>
        <v>0</v>
      </c>
      <c r="DU18" s="1543">
        <f t="shared" si="14"/>
        <v>0</v>
      </c>
      <c r="DV18" s="1543">
        <f t="shared" si="14"/>
        <v>0</v>
      </c>
      <c r="DW18" s="1543">
        <f t="shared" si="14"/>
        <v>0</v>
      </c>
      <c r="DX18" s="1543">
        <f t="shared" si="14"/>
        <v>0</v>
      </c>
      <c r="DY18" s="1543">
        <f t="shared" si="14"/>
        <v>0</v>
      </c>
      <c r="DZ18" s="1543">
        <f t="shared" si="14"/>
        <v>0</v>
      </c>
      <c r="EA18" s="1543">
        <f t="shared" si="14"/>
        <v>0</v>
      </c>
      <c r="EB18" s="1543">
        <f t="shared" si="15"/>
        <v>0</v>
      </c>
      <c r="EC18" s="1543">
        <f t="shared" si="15"/>
        <v>0</v>
      </c>
      <c r="ED18" s="1543">
        <f t="shared" si="15"/>
        <v>0</v>
      </c>
      <c r="EE18" s="1543">
        <f t="shared" si="15"/>
        <v>1</v>
      </c>
      <c r="EF18" s="1543">
        <f t="shared" si="15"/>
        <v>0</v>
      </c>
      <c r="EH18" s="1543">
        <f t="shared" si="33"/>
        <v>1</v>
      </c>
      <c r="EI18" s="1543">
        <f t="shared" si="34"/>
        <v>0</v>
      </c>
      <c r="EJ18" s="1543">
        <f t="shared" si="35"/>
        <v>0</v>
      </c>
      <c r="EK18" s="1543">
        <f t="shared" si="36"/>
        <v>0</v>
      </c>
      <c r="EL18" s="1543">
        <f t="shared" si="37"/>
        <v>0</v>
      </c>
      <c r="EM18" s="1543">
        <f t="shared" si="38"/>
        <v>0</v>
      </c>
      <c r="EN18" s="1543">
        <f t="shared" si="39"/>
        <v>0</v>
      </c>
      <c r="EP18" s="1543">
        <f t="shared" si="16"/>
        <v>0</v>
      </c>
      <c r="EQ18" s="1543">
        <f t="shared" si="16"/>
        <v>0</v>
      </c>
      <c r="ER18" s="1543">
        <f t="shared" si="16"/>
        <v>0</v>
      </c>
      <c r="ES18" s="1543">
        <f t="shared" si="16"/>
        <v>0</v>
      </c>
      <c r="ET18" s="1543">
        <f t="shared" si="17"/>
        <v>0</v>
      </c>
      <c r="EU18" s="1543">
        <f t="shared" si="17"/>
        <v>0</v>
      </c>
      <c r="EV18" s="1543">
        <f t="shared" si="17"/>
        <v>0</v>
      </c>
      <c r="EW18" s="1543">
        <f t="shared" si="17"/>
        <v>0</v>
      </c>
      <c r="EX18" s="1543">
        <f t="shared" si="17"/>
        <v>0</v>
      </c>
      <c r="EY18" s="1543">
        <f t="shared" si="17"/>
        <v>0</v>
      </c>
      <c r="EZ18" s="1543">
        <f t="shared" si="17"/>
        <v>0</v>
      </c>
      <c r="FA18" s="1543">
        <f t="shared" si="17"/>
        <v>0</v>
      </c>
      <c r="FB18" s="1543">
        <f t="shared" si="17"/>
        <v>0</v>
      </c>
      <c r="FC18" s="1543">
        <f t="shared" si="17"/>
        <v>0</v>
      </c>
      <c r="FD18" s="1543">
        <f t="shared" si="17"/>
        <v>0</v>
      </c>
      <c r="FE18" s="1543">
        <f t="shared" si="17"/>
        <v>0</v>
      </c>
      <c r="FF18" s="1543">
        <f t="shared" si="40"/>
        <v>1</v>
      </c>
      <c r="FH18" s="1543">
        <f t="shared" si="18"/>
        <v>0</v>
      </c>
      <c r="FI18" s="1543">
        <f t="shared" si="19"/>
        <v>0</v>
      </c>
      <c r="FJ18" s="1543">
        <f t="shared" si="19"/>
        <v>0</v>
      </c>
      <c r="FK18" s="1543">
        <f t="shared" si="19"/>
        <v>0</v>
      </c>
      <c r="FL18" s="1543">
        <f t="shared" si="19"/>
        <v>0</v>
      </c>
      <c r="FM18" s="1543">
        <f t="shared" si="19"/>
        <v>0</v>
      </c>
      <c r="FN18" s="1543">
        <f t="shared" si="19"/>
        <v>0</v>
      </c>
      <c r="FO18" s="1543">
        <f t="shared" si="19"/>
        <v>0</v>
      </c>
      <c r="FP18" s="1543">
        <f t="shared" si="19"/>
        <v>0</v>
      </c>
      <c r="FQ18" s="1543">
        <f t="shared" si="19"/>
        <v>0</v>
      </c>
      <c r="FR18" s="1543">
        <f t="shared" si="19"/>
        <v>0</v>
      </c>
      <c r="FS18" s="1543">
        <f t="shared" si="19"/>
        <v>0</v>
      </c>
      <c r="FT18" s="1543">
        <f t="shared" si="41"/>
        <v>1</v>
      </c>
      <c r="FV18" s="1543">
        <f t="shared" si="20"/>
        <v>0</v>
      </c>
      <c r="FW18" s="1543">
        <f t="shared" si="21"/>
        <v>0</v>
      </c>
      <c r="FX18" s="1543">
        <f t="shared" si="21"/>
        <v>0</v>
      </c>
      <c r="FY18" s="1543">
        <f t="shared" si="21"/>
        <v>1</v>
      </c>
      <c r="FZ18" s="1543">
        <f t="shared" si="21"/>
        <v>0</v>
      </c>
      <c r="GA18" s="1543">
        <f t="shared" si="21"/>
        <v>0</v>
      </c>
      <c r="GB18" s="1543">
        <f t="shared" si="21"/>
        <v>0</v>
      </c>
      <c r="GC18" s="1543">
        <f t="shared" si="21"/>
        <v>0</v>
      </c>
      <c r="GD18" s="1543">
        <f t="shared" si="21"/>
        <v>0</v>
      </c>
    </row>
    <row r="19" spans="1:186" s="982" customFormat="1" ht="15.6" x14ac:dyDescent="0.3">
      <c r="A19" s="974">
        <v>17</v>
      </c>
      <c r="B19" s="983" t="s">
        <v>1907</v>
      </c>
      <c r="C19" s="984" t="s">
        <v>1908</v>
      </c>
      <c r="D19" s="983" t="s">
        <v>61</v>
      </c>
      <c r="E19" s="968" t="str">
        <f>IFERROR(VLOOKUP($D19&amp;"."&amp;B19,'Piping Class'!$1:$1048576,MATCH($I19,'Piping Class'!$2:$2,0),0),"")</f>
        <v xml:space="preserve">ASTM 106 Gr.B </v>
      </c>
      <c r="F19" s="985" t="str">
        <f>IFERROR(IF(B19="Flange",VLOOKUP($D19,'Piping Class'!$88:$102,MATCH(F$1,'Piping Class'!$88:$88,0),0),""),"")</f>
        <v/>
      </c>
      <c r="G19" s="968" t="str">
        <f>IFERROR(IF(B19="Flange",VLOOKUP($D19,'Piping Class'!$88:$102,MATCH(G$1,'Piping Class'!$88:$88,0),0),""),"")</f>
        <v/>
      </c>
      <c r="H19" s="968" t="str">
        <f>IFERROR(VLOOKUP($D19,'Piping Class'!$88:$102,MATCH(H$1,'Piping Class'!$88:$88,0),0),"")</f>
        <v>CS</v>
      </c>
      <c r="I19" s="987">
        <v>1</v>
      </c>
      <c r="J19" s="987"/>
      <c r="K19" s="968">
        <f>IFERROR(VLOOKUP(I19,'Thickness Tab'!$1:$1048576,MATCH(L19,'Thickness Tab'!$1:$1,0),0),"")</f>
        <v>4.55</v>
      </c>
      <c r="L19" s="969">
        <f>IFERROR(VLOOKUP($D19,'Piping Class'!$1:$1048576,MATCH($I19,'Piping Class'!$2:$2,0),0),"")</f>
        <v>80</v>
      </c>
      <c r="M19" s="968" t="str">
        <f>IFERROR(VLOOKUP(J19,'Thickness Tab'!$1:$1048576,MATCH(N19,'Thickness Tab'!$1:$1,0),0),"")</f>
        <v/>
      </c>
      <c r="N19" s="969" t="str">
        <f>IFERROR(VLOOKUP($D19,'Piping Class'!$1:$1048576,MATCH($J19,'Piping Class'!$2:$2,0),0),"")</f>
        <v/>
      </c>
      <c r="O19" s="968" t="str">
        <f>IFERROR(VLOOKUP($D19,'Piping Class'!$88:$102,MATCH(O$1,'Piping Class'!$88:$88,0),0),"")</f>
        <v>B31.3 / B16.5</v>
      </c>
      <c r="P19" s="968" t="str">
        <f>IFERROR(VLOOKUP($D19,'Piping Class'!$88:$102,MATCH(P$1,'Piping Class'!$88:$88,0),0),"")</f>
        <v>3.1</v>
      </c>
      <c r="Q19" s="983"/>
      <c r="R19" s="988">
        <v>0</v>
      </c>
      <c r="S19" s="969" t="str">
        <f t="shared" si="43"/>
        <v>cad</v>
      </c>
      <c r="T19" s="968">
        <f>IFERROR(VLOOKUP(I19&amp;"."&amp;L19,'Fitting Chart'!$1:$1048576,MATCH(C19,'Fitting Chart'!$1:$1,0),0),0)+IF(B19="piping",PI()*K19*(VLOOKUP(I19,'Thickness Tab'!$1:$1048576,3,0)-K19)*7.86/1000,0)+IF(B19="Flange",VLOOKUP(I19&amp;"F"&amp;F19,'Flanges Chart'!$1:$1048576,MATCH(C19&amp;"."&amp;T$1,'Flanges Chart'!$1:$1,0),0),0)</f>
        <v>0.20411656650000001</v>
      </c>
      <c r="U19" s="989">
        <f t="shared" si="0"/>
        <v>0</v>
      </c>
      <c r="V19" s="1003">
        <v>3</v>
      </c>
      <c r="W19" s="1001">
        <f t="shared" si="22"/>
        <v>0</v>
      </c>
      <c r="X19" s="997"/>
      <c r="Y19" s="983" t="s">
        <v>105</v>
      </c>
      <c r="Z19" s="989">
        <f>IF(B19="Piping",VLOOKUP(I19,'Thickness Tab'!$1:$1048576,3,0)/1000*PI(),0)+IFERROR(VLOOKUP(I19&amp;"F"&amp;F19,'Flanges Chart'!$1:$1048576,MATCH(C19&amp;".Unit Surface",'Flanges Chart'!$1:$1,0),0),0)+IF(B19="Fitting",VLOOKUP(I19,'Thickness Tab'!$1:$1048576,3,0)/1000*PI(),0)</f>
        <v>0.10492919462989908</v>
      </c>
      <c r="AA19" s="989">
        <f t="shared" si="23"/>
        <v>0</v>
      </c>
      <c r="AB19" s="983">
        <v>50</v>
      </c>
      <c r="AC19" s="989">
        <f t="shared" si="24"/>
        <v>0.41908845998887839</v>
      </c>
      <c r="AD19" s="989">
        <f t="shared" si="25"/>
        <v>0</v>
      </c>
      <c r="AE19" s="974">
        <f>(IFERROR(VLOOKUP($C19,List!$J:$L,2,0),0)*R19+IF(B19="piping",R19,0)+IF(C19="Welding Neck",1,0)*R19)*$AE$2</f>
        <v>0</v>
      </c>
      <c r="AF19" s="970">
        <f>IFERROR(VLOOKUP($C19,List!$J:$L,3,0),0)*R19*$AF$2</f>
        <v>0</v>
      </c>
      <c r="AG19" s="990">
        <f t="shared" si="1"/>
        <v>0</v>
      </c>
      <c r="AH19" s="1118">
        <f>IFERROR(VLOOKUP($D19,'Piping Class'!$88:$102,MATCH(AH$1,'Piping Class'!$88:$88,0),0),"")</f>
        <v>0.1</v>
      </c>
      <c r="AI19" s="991">
        <f>IFERROR(VLOOKUP($D19,'Piping Class'!$88:$102,MATCH(AI$1,'Piping Class'!$88:$88,0),0),"")</f>
        <v>0</v>
      </c>
      <c r="AJ19" s="991">
        <f>IFERROR(VLOOKUP($D19,'Piping Class'!$88:$102,MATCH(AJ$1,'Piping Class'!$88:$88,0),0),"")</f>
        <v>1</v>
      </c>
      <c r="AK19" s="991">
        <f>IFERROR(VLOOKUP($D19,'Piping Class'!$88:$102,MATCH(AK$1,'Piping Class'!$88:$88,0),0),"")</f>
        <v>0</v>
      </c>
      <c r="AL19" s="991">
        <f t="shared" si="44"/>
        <v>0</v>
      </c>
      <c r="AM19" s="1119" t="str">
        <f>IFERROR(VLOOKUP($D19,'Piping Class'!$88:$102,MATCH(AM$1,'Piping Class'!$88:$88,0),0),"")</f>
        <v/>
      </c>
      <c r="AN19" s="992">
        <f t="shared" si="26"/>
        <v>0</v>
      </c>
      <c r="AO19" s="993">
        <f>IFERROR(VLOOKUP(I19&amp;"B"&amp;F19,'Bolting Chart'!$1:$1048576,4,0),0)</f>
        <v>0</v>
      </c>
      <c r="AP19" s="993">
        <f t="shared" si="27"/>
        <v>0</v>
      </c>
      <c r="AQ19" s="993">
        <f t="shared" si="28"/>
        <v>0</v>
      </c>
      <c r="AR19" s="993">
        <f>IF(AO19=0,0,VLOOKUP(D19&amp;".bolting",'Piping Class'!$1:$1048576,MATCH(I19,'Piping Class'!$2:$2,0),0))</f>
        <v>0</v>
      </c>
      <c r="AS19" s="994">
        <f>IFERROR(VLOOKUP(I19&amp;"B"&amp;F19,'Bolting Chart'!$1:$1048576,IF(AS$2="UNC",5,6),0),0)</f>
        <v>0</v>
      </c>
      <c r="AT19" s="995">
        <f>IFERROR(VLOOKUP(I19&amp;"B"&amp;F19,'Bolting Chart'!$1:$1048576,IF(G19="RF",8,9),0),0)</f>
        <v>0</v>
      </c>
      <c r="AU19" s="993">
        <f>IF(AO19=0,0,VLOOKUP(D19&amp;".gasket",'Piping Class'!$1:$1048576,MATCH(I19,'Piping Class'!$2:$2,0),0))</f>
        <v>0</v>
      </c>
      <c r="AV19" s="996">
        <f>(IFERROR(INDEX('Bolting Chart'!$A$169:$R$251,MATCH(AT19,'Bolting Chart'!$A$170:$A$251,0),MATCH(IFERROR(VLOOKUP(I19&amp;"B"&amp;F19,'Bolting Chart'!$1:$1048576,7,0),0)+0,'Bolting Chart'!$A$169:$R$169,0)),0))/100</f>
        <v>0</v>
      </c>
      <c r="AW19" s="996">
        <f t="shared" si="3"/>
        <v>0</v>
      </c>
      <c r="AX19" s="1194">
        <f t="shared" si="4"/>
        <v>0</v>
      </c>
      <c r="AY19" s="981"/>
      <c r="AZ19" s="1543">
        <f t="shared" si="29"/>
        <v>0</v>
      </c>
      <c r="BA19" s="1543">
        <f t="shared" si="29"/>
        <v>0</v>
      </c>
      <c r="BB19" s="1543">
        <f t="shared" si="29"/>
        <v>1</v>
      </c>
      <c r="BC19" s="1543">
        <f t="shared" si="29"/>
        <v>0</v>
      </c>
      <c r="BD19" s="1543">
        <f t="shared" si="29"/>
        <v>0</v>
      </c>
      <c r="BE19" s="1543">
        <f t="shared" si="29"/>
        <v>0</v>
      </c>
      <c r="BF19" s="1543">
        <f t="shared" si="29"/>
        <v>0</v>
      </c>
      <c r="BG19" s="1543">
        <f t="shared" si="29"/>
        <v>0</v>
      </c>
      <c r="BH19" s="1543">
        <f t="shared" si="29"/>
        <v>0</v>
      </c>
      <c r="BI19" s="1543">
        <f t="shared" si="29"/>
        <v>0</v>
      </c>
      <c r="BJ19" s="1543">
        <f t="shared" si="29"/>
        <v>0</v>
      </c>
      <c r="BK19" s="1543">
        <f t="shared" si="29"/>
        <v>0</v>
      </c>
      <c r="BL19" s="1543">
        <f t="shared" si="29"/>
        <v>0</v>
      </c>
      <c r="BM19" s="1543">
        <f t="shared" si="29"/>
        <v>0</v>
      </c>
      <c r="BN19" s="1543">
        <f t="shared" si="29"/>
        <v>0</v>
      </c>
      <c r="BO19" s="1543">
        <f t="shared" si="29"/>
        <v>0</v>
      </c>
      <c r="BP19" s="1543">
        <f t="shared" si="45"/>
        <v>0</v>
      </c>
      <c r="BQ19" s="1543">
        <f t="shared" si="45"/>
        <v>0</v>
      </c>
      <c r="BR19" s="1543">
        <f t="shared" si="45"/>
        <v>0</v>
      </c>
      <c r="BS19" s="1543">
        <f t="shared" si="45"/>
        <v>0</v>
      </c>
      <c r="BT19" s="1543">
        <f t="shared" si="45"/>
        <v>0</v>
      </c>
      <c r="BU19" s="1543">
        <f t="shared" si="45"/>
        <v>0</v>
      </c>
      <c r="BV19" s="1543">
        <f t="shared" si="45"/>
        <v>0</v>
      </c>
      <c r="BW19" s="1543">
        <f t="shared" si="45"/>
        <v>0</v>
      </c>
      <c r="BX19" s="1543">
        <f t="shared" si="45"/>
        <v>0</v>
      </c>
      <c r="BY19" s="1543">
        <f t="shared" si="45"/>
        <v>0</v>
      </c>
      <c r="BZ19" s="1543">
        <f t="shared" si="45"/>
        <v>0</v>
      </c>
      <c r="CB19" s="1543">
        <f t="shared" si="30"/>
        <v>0</v>
      </c>
      <c r="CC19" s="1543">
        <f t="shared" si="30"/>
        <v>0</v>
      </c>
      <c r="CD19" s="1543">
        <f t="shared" si="30"/>
        <v>0</v>
      </c>
      <c r="CE19" s="1543">
        <f t="shared" si="30"/>
        <v>0</v>
      </c>
      <c r="CF19" s="1543">
        <f t="shared" si="30"/>
        <v>0</v>
      </c>
      <c r="CG19" s="1543">
        <f t="shared" si="30"/>
        <v>0</v>
      </c>
      <c r="CH19" s="1543">
        <f t="shared" si="30"/>
        <v>0</v>
      </c>
      <c r="CI19" s="1543">
        <f t="shared" si="30"/>
        <v>0</v>
      </c>
      <c r="CJ19" s="1543">
        <f t="shared" si="30"/>
        <v>0</v>
      </c>
      <c r="CK19" s="1543">
        <f t="shared" si="30"/>
        <v>0</v>
      </c>
      <c r="CL19" s="1543">
        <f t="shared" si="30"/>
        <v>0</v>
      </c>
      <c r="CM19" s="1543">
        <f t="shared" si="30"/>
        <v>0</v>
      </c>
      <c r="CN19" s="1543">
        <f t="shared" si="30"/>
        <v>0</v>
      </c>
      <c r="CO19" s="1543">
        <f t="shared" si="30"/>
        <v>0</v>
      </c>
      <c r="CP19" s="1543">
        <f t="shared" si="30"/>
        <v>0</v>
      </c>
      <c r="CQ19" s="1543">
        <f t="shared" si="30"/>
        <v>0</v>
      </c>
      <c r="CR19" s="1543">
        <f t="shared" si="46"/>
        <v>0</v>
      </c>
      <c r="CS19" s="1543">
        <f t="shared" si="46"/>
        <v>0</v>
      </c>
      <c r="CT19" s="1543">
        <f t="shared" ref="CT19:DB47" si="47">IF($I19=CT$2,1,0)</f>
        <v>0</v>
      </c>
      <c r="CU19" s="1543">
        <f t="shared" si="47"/>
        <v>0</v>
      </c>
      <c r="CV19" s="1543">
        <f t="shared" si="47"/>
        <v>0</v>
      </c>
      <c r="CW19" s="1543">
        <f t="shared" si="47"/>
        <v>0</v>
      </c>
      <c r="CX19" s="1543">
        <f t="shared" si="47"/>
        <v>0</v>
      </c>
      <c r="CY19" s="1543">
        <f t="shared" si="47"/>
        <v>0</v>
      </c>
      <c r="CZ19" s="1543">
        <f t="shared" si="47"/>
        <v>0</v>
      </c>
      <c r="DA19" s="1543">
        <f t="shared" si="47"/>
        <v>0</v>
      </c>
      <c r="DB19" s="1543">
        <f t="shared" si="47"/>
        <v>0</v>
      </c>
      <c r="DD19" s="1543">
        <f t="shared" si="9"/>
        <v>1</v>
      </c>
      <c r="DE19" s="1543">
        <f t="shared" si="10"/>
        <v>0</v>
      </c>
      <c r="DF19" s="1543">
        <f t="shared" si="11"/>
        <v>0</v>
      </c>
      <c r="DG19" s="1543">
        <f t="shared" si="31"/>
        <v>0</v>
      </c>
      <c r="DI19" s="1543">
        <f t="shared" si="32"/>
        <v>1</v>
      </c>
      <c r="DJ19" s="1543">
        <f t="shared" ref="DJ19:DM35" si="48">IF($H19=DJ$2,1,0)</f>
        <v>0</v>
      </c>
      <c r="DK19" s="1543">
        <f t="shared" si="48"/>
        <v>0</v>
      </c>
      <c r="DL19" s="1543">
        <f t="shared" si="48"/>
        <v>0</v>
      </c>
      <c r="DM19" s="1543">
        <f t="shared" si="48"/>
        <v>0</v>
      </c>
      <c r="DO19" s="1543">
        <f t="shared" si="13"/>
        <v>0</v>
      </c>
      <c r="DP19" s="1543">
        <f t="shared" ref="DP19:ED19" si="49">IF($L19=DP$2,1,0)</f>
        <v>0</v>
      </c>
      <c r="DQ19" s="1543">
        <f t="shared" si="49"/>
        <v>0</v>
      </c>
      <c r="DR19" s="1543">
        <f t="shared" si="49"/>
        <v>0</v>
      </c>
      <c r="DS19" s="1543">
        <f t="shared" si="49"/>
        <v>0</v>
      </c>
      <c r="DT19" s="1543">
        <f t="shared" si="49"/>
        <v>0</v>
      </c>
      <c r="DU19" s="1543">
        <f t="shared" si="49"/>
        <v>0</v>
      </c>
      <c r="DV19" s="1543">
        <f t="shared" si="49"/>
        <v>1</v>
      </c>
      <c r="DW19" s="1543">
        <f t="shared" si="49"/>
        <v>0</v>
      </c>
      <c r="DX19" s="1543">
        <f t="shared" si="49"/>
        <v>0</v>
      </c>
      <c r="DY19" s="1543">
        <f t="shared" si="49"/>
        <v>0</v>
      </c>
      <c r="DZ19" s="1543">
        <f t="shared" si="49"/>
        <v>0</v>
      </c>
      <c r="EA19" s="1543">
        <f t="shared" si="49"/>
        <v>0</v>
      </c>
      <c r="EB19" s="1543">
        <f t="shared" si="49"/>
        <v>0</v>
      </c>
      <c r="EC19" s="1543">
        <f t="shared" si="49"/>
        <v>0</v>
      </c>
      <c r="ED19" s="1543">
        <f t="shared" si="49"/>
        <v>0</v>
      </c>
      <c r="EE19" s="1543">
        <f t="shared" ref="EB19:EF34" si="50">IF($L19=EE$2,1,0)</f>
        <v>0</v>
      </c>
      <c r="EF19" s="1543">
        <f t="shared" si="50"/>
        <v>0</v>
      </c>
      <c r="EH19" s="1543">
        <f t="shared" si="33"/>
        <v>0</v>
      </c>
      <c r="EI19" s="1543">
        <f t="shared" si="34"/>
        <v>0</v>
      </c>
      <c r="EJ19" s="1543">
        <f t="shared" si="35"/>
        <v>1</v>
      </c>
      <c r="EK19" s="1543">
        <f t="shared" si="36"/>
        <v>0</v>
      </c>
      <c r="EL19" s="1543">
        <f t="shared" si="37"/>
        <v>0</v>
      </c>
      <c r="EM19" s="1543">
        <f t="shared" si="38"/>
        <v>0</v>
      </c>
      <c r="EN19" s="1543">
        <f t="shared" si="39"/>
        <v>0</v>
      </c>
      <c r="EP19" s="1543">
        <f t="shared" ref="EP19:FD34" si="51">IF(EP$2="X",0,IF($Q19=EP$2,1,0))</f>
        <v>0</v>
      </c>
      <c r="EQ19" s="1543">
        <f t="shared" si="51"/>
        <v>0</v>
      </c>
      <c r="ER19" s="1543">
        <f t="shared" si="51"/>
        <v>0</v>
      </c>
      <c r="ES19" s="1543">
        <f t="shared" si="51"/>
        <v>0</v>
      </c>
      <c r="ET19" s="1543">
        <f t="shared" si="51"/>
        <v>0</v>
      </c>
      <c r="EU19" s="1543">
        <f t="shared" si="51"/>
        <v>0</v>
      </c>
      <c r="EV19" s="1543">
        <f t="shared" si="51"/>
        <v>0</v>
      </c>
      <c r="EW19" s="1543">
        <f t="shared" si="51"/>
        <v>0</v>
      </c>
      <c r="EX19" s="1543">
        <f t="shared" si="51"/>
        <v>0</v>
      </c>
      <c r="EY19" s="1543">
        <f t="shared" si="51"/>
        <v>0</v>
      </c>
      <c r="EZ19" s="1543">
        <f t="shared" si="51"/>
        <v>0</v>
      </c>
      <c r="FA19" s="1543">
        <f t="shared" si="51"/>
        <v>0</v>
      </c>
      <c r="FB19" s="1543">
        <f t="shared" si="51"/>
        <v>0</v>
      </c>
      <c r="FC19" s="1543">
        <f t="shared" si="51"/>
        <v>0</v>
      </c>
      <c r="FD19" s="1543">
        <f t="shared" si="51"/>
        <v>0</v>
      </c>
      <c r="FE19" s="1543">
        <f t="shared" ref="FE19:FE82" si="52">IF(FE$2="X",0,IF($Q19=FE$2,1,0))</f>
        <v>0</v>
      </c>
      <c r="FF19" s="1543">
        <f t="shared" si="40"/>
        <v>1</v>
      </c>
      <c r="FH19" s="1543">
        <f t="shared" si="18"/>
        <v>0</v>
      </c>
      <c r="FI19" s="1543">
        <f t="shared" ref="FI19:FS19" si="53">IF($FT19=1,0,IF(FI$2=$Y19,1,0))</f>
        <v>0</v>
      </c>
      <c r="FJ19" s="1543">
        <f t="shared" si="53"/>
        <v>0</v>
      </c>
      <c r="FK19" s="1543">
        <f t="shared" si="53"/>
        <v>0</v>
      </c>
      <c r="FL19" s="1543">
        <f t="shared" si="53"/>
        <v>0</v>
      </c>
      <c r="FM19" s="1543">
        <f t="shared" si="53"/>
        <v>0</v>
      </c>
      <c r="FN19" s="1543">
        <f t="shared" si="53"/>
        <v>0</v>
      </c>
      <c r="FO19" s="1543">
        <f t="shared" si="53"/>
        <v>0</v>
      </c>
      <c r="FP19" s="1543">
        <f t="shared" si="53"/>
        <v>0</v>
      </c>
      <c r="FQ19" s="1543">
        <f t="shared" si="53"/>
        <v>0</v>
      </c>
      <c r="FR19" s="1543">
        <f t="shared" si="53"/>
        <v>0</v>
      </c>
      <c r="FS19" s="1543">
        <f t="shared" si="53"/>
        <v>0</v>
      </c>
      <c r="FT19" s="1543">
        <f t="shared" si="41"/>
        <v>1</v>
      </c>
      <c r="FV19" s="1543">
        <f t="shared" si="20"/>
        <v>0</v>
      </c>
      <c r="FW19" s="1543">
        <f t="shared" ref="FW19:GD19" si="54">IF($AB19=FW$2,1,0)</f>
        <v>0</v>
      </c>
      <c r="FX19" s="1543">
        <f t="shared" si="54"/>
        <v>0</v>
      </c>
      <c r="FY19" s="1543">
        <f t="shared" si="54"/>
        <v>1</v>
      </c>
      <c r="FZ19" s="1543">
        <f t="shared" si="54"/>
        <v>0</v>
      </c>
      <c r="GA19" s="1543">
        <f t="shared" si="54"/>
        <v>0</v>
      </c>
      <c r="GB19" s="1543">
        <f t="shared" si="54"/>
        <v>0</v>
      </c>
      <c r="GC19" s="1543">
        <f t="shared" si="54"/>
        <v>0</v>
      </c>
      <c r="GD19" s="1543">
        <f t="shared" si="54"/>
        <v>0</v>
      </c>
    </row>
    <row r="20" spans="1:186" s="982" customFormat="1" ht="15.6" x14ac:dyDescent="0.3">
      <c r="A20" s="974">
        <v>18</v>
      </c>
      <c r="B20" s="983" t="s">
        <v>1907</v>
      </c>
      <c r="C20" s="984" t="s">
        <v>1908</v>
      </c>
      <c r="D20" s="983" t="s">
        <v>61</v>
      </c>
      <c r="E20" s="968" t="str">
        <f>IFERROR(VLOOKUP($D20&amp;"."&amp;B20,'Piping Class'!$1:$1048576,MATCH($I20,'Piping Class'!$2:$2,0),0),"")</f>
        <v xml:space="preserve">ASTM 106 Gr.B </v>
      </c>
      <c r="F20" s="985" t="str">
        <f>IFERROR(IF(B20="Flange",VLOOKUP($D20,'Piping Class'!$88:$102,MATCH(F$1,'Piping Class'!$88:$88,0),0),""),"")</f>
        <v/>
      </c>
      <c r="G20" s="968" t="str">
        <f>IFERROR(IF(B20="Flange",VLOOKUP($D20,'Piping Class'!$88:$102,MATCH(G$1,'Piping Class'!$88:$88,0),0),""),"")</f>
        <v/>
      </c>
      <c r="H20" s="968" t="str">
        <f>IFERROR(VLOOKUP($D20,'Piping Class'!$88:$102,MATCH(H$1,'Piping Class'!$88:$88,0),0),"")</f>
        <v>CS</v>
      </c>
      <c r="I20" s="986">
        <v>4</v>
      </c>
      <c r="J20" s="987"/>
      <c r="K20" s="968">
        <f>IFERROR(VLOOKUP(I20,'Thickness Tab'!$1:$1048576,MATCH(L20,'Thickness Tab'!$1:$1,0),0),"")</f>
        <v>6.02</v>
      </c>
      <c r="L20" s="969">
        <f>IFERROR(VLOOKUP($D20,'Piping Class'!$1:$1048576,MATCH($I20,'Piping Class'!$2:$2,0),0),"")</f>
        <v>40</v>
      </c>
      <c r="M20" s="968" t="str">
        <f>IFERROR(VLOOKUP(J20,'Thickness Tab'!$1:$1048576,MATCH(N20,'Thickness Tab'!$1:$1,0),0),"")</f>
        <v/>
      </c>
      <c r="N20" s="969" t="str">
        <f>IFERROR(VLOOKUP($D20,'Piping Class'!$1:$1048576,MATCH($J20,'Piping Class'!$2:$2,0),0),"")</f>
        <v/>
      </c>
      <c r="O20" s="968" t="str">
        <f>IFERROR(VLOOKUP($D20,'Piping Class'!$88:$102,MATCH(O$1,'Piping Class'!$88:$88,0),0),"")</f>
        <v>B31.3 / B16.5</v>
      </c>
      <c r="P20" s="968" t="str">
        <f>IFERROR(VLOOKUP($D20,'Piping Class'!$88:$102,MATCH(P$1,'Piping Class'!$88:$88,0),0),"")</f>
        <v>3.1</v>
      </c>
      <c r="Q20" s="983"/>
      <c r="R20" s="988">
        <v>12</v>
      </c>
      <c r="S20" s="969" t="str">
        <f t="shared" si="43"/>
        <v>cad</v>
      </c>
      <c r="T20" s="968">
        <f>IFERROR(VLOOKUP(I20&amp;"."&amp;L20,'Fitting Chart'!$1:$1048576,MATCH(C20,'Fitting Chart'!$1:$1,0),0),0)+IF(B20="piping",PI()*K20*(VLOOKUP(I20,'Thickness Tab'!$1:$1048576,3,0)-K20)*7.86/1000,0)+IF(B20="Flange",VLOOKUP(I20&amp;"F"&amp;F20,'Flanges Chart'!$1:$1048576,MATCH(C20&amp;"."&amp;T$1,'Flanges Chart'!$1:$1,0),0),0)</f>
        <v>4.0823313300000006</v>
      </c>
      <c r="U20" s="989">
        <f t="shared" si="0"/>
        <v>48.987975960000007</v>
      </c>
      <c r="V20" s="1003">
        <v>3</v>
      </c>
      <c r="W20" s="1001">
        <f t="shared" si="22"/>
        <v>146.96392788000003</v>
      </c>
      <c r="X20" s="997"/>
      <c r="Y20" s="983" t="s">
        <v>105</v>
      </c>
      <c r="Z20" s="989">
        <f>IF(B20="Piping",VLOOKUP(I20,'Thickness Tab'!$1:$1048576,3,0)/1000*PI(),0)+IFERROR(VLOOKUP(I20&amp;"F"&amp;F20,'Flanges Chart'!$1:$1048576,MATCH(C20&amp;".Unit Surface",'Flanges Chart'!$1:$1,0),0),0)+IF(B20="Fitting",VLOOKUP(I20,'Thickness Tab'!$1:$1048576,3,0)/1000*PI(),0)</f>
        <v>0.35908404030531332</v>
      </c>
      <c r="AA20" s="989">
        <f t="shared" si="23"/>
        <v>4.3090084836637601</v>
      </c>
      <c r="AB20" s="983">
        <v>50</v>
      </c>
      <c r="AC20" s="989">
        <f t="shared" si="24"/>
        <v>0.67324330566429258</v>
      </c>
      <c r="AD20" s="989">
        <f t="shared" si="25"/>
        <v>8.0789196679715118</v>
      </c>
      <c r="AE20" s="974">
        <f>(IFERROR(VLOOKUP($C20,List!$J:$L,2,0),0)*R20+IF(B20="piping",R20,0)+IF(C20="Welding Neck",1,0)*R20)*$AE$2</f>
        <v>19.200000000000003</v>
      </c>
      <c r="AF20" s="970">
        <f>IFERROR(VLOOKUP($C20,List!$J:$L,3,0),0)*R20*$AF$2</f>
        <v>0</v>
      </c>
      <c r="AG20" s="990">
        <f t="shared" si="1"/>
        <v>76.800000000000011</v>
      </c>
      <c r="AH20" s="1118">
        <f>IFERROR(VLOOKUP($D20,'Piping Class'!$88:$102,MATCH(AH$1,'Piping Class'!$88:$88,0),0),"")</f>
        <v>0.1</v>
      </c>
      <c r="AI20" s="991">
        <f>IFERROR(VLOOKUP($D20,'Piping Class'!$88:$102,MATCH(AI$1,'Piping Class'!$88:$88,0),0),"")</f>
        <v>0</v>
      </c>
      <c r="AJ20" s="991">
        <f>IFERROR(VLOOKUP($D20,'Piping Class'!$88:$102,MATCH(AJ$1,'Piping Class'!$88:$88,0),0),"")</f>
        <v>1</v>
      </c>
      <c r="AK20" s="991">
        <f>IFERROR(VLOOKUP($D20,'Piping Class'!$88:$102,MATCH(AK$1,'Piping Class'!$88:$88,0),0),"")</f>
        <v>0</v>
      </c>
      <c r="AL20" s="991">
        <f t="shared" si="44"/>
        <v>0</v>
      </c>
      <c r="AM20" s="1119" t="str">
        <f>IFERROR(VLOOKUP($D20,'Piping Class'!$88:$102,MATCH(AM$1,'Piping Class'!$88:$88,0),0),"")</f>
        <v/>
      </c>
      <c r="AN20" s="992">
        <f t="shared" si="26"/>
        <v>8.8178356728000011</v>
      </c>
      <c r="AO20" s="993">
        <f>IFERROR(VLOOKUP(I20&amp;"B"&amp;F20,'Bolting Chart'!$1:$1048576,4,0),0)</f>
        <v>0</v>
      </c>
      <c r="AP20" s="993">
        <f t="shared" si="27"/>
        <v>0</v>
      </c>
      <c r="AQ20" s="993">
        <f t="shared" si="28"/>
        <v>0</v>
      </c>
      <c r="AR20" s="993">
        <f>IF(AO20=0,0,VLOOKUP(D20&amp;".bolting",'Piping Class'!$1:$1048576,MATCH(I20,'Piping Class'!$2:$2,0),0))</f>
        <v>0</v>
      </c>
      <c r="AS20" s="994">
        <f>IFERROR(VLOOKUP(I20&amp;"B"&amp;F20,'Bolting Chart'!$1:$1048576,IF(AS$2="UNC",5,6),0),0)</f>
        <v>0</v>
      </c>
      <c r="AT20" s="995">
        <f>IFERROR(VLOOKUP(I20&amp;"B"&amp;F20,'Bolting Chart'!$1:$1048576,IF(G20="RF",8,9),0),0)</f>
        <v>0</v>
      </c>
      <c r="AU20" s="993">
        <f>IF(AO20=0,0,VLOOKUP(D20&amp;".gasket",'Piping Class'!$1:$1048576,MATCH(I20,'Piping Class'!$2:$2,0),0))</f>
        <v>0</v>
      </c>
      <c r="AV20" s="996">
        <f>(IFERROR(INDEX('Bolting Chart'!$A$169:$R$251,MATCH(AT20,'Bolting Chart'!$A$170:$A$251,0),MATCH(IFERROR(VLOOKUP(I20&amp;"B"&amp;F20,'Bolting Chart'!$1:$1048576,7,0),0)+0,'Bolting Chart'!$A$169:$R$169,0)),0))/100</f>
        <v>0</v>
      </c>
      <c r="AW20" s="996">
        <f t="shared" si="3"/>
        <v>0</v>
      </c>
      <c r="AX20" s="1194">
        <f t="shared" si="4"/>
        <v>0</v>
      </c>
      <c r="AY20" s="981"/>
      <c r="AZ20" s="1543">
        <f t="shared" si="29"/>
        <v>0</v>
      </c>
      <c r="BA20" s="1543">
        <f t="shared" si="29"/>
        <v>0</v>
      </c>
      <c r="BB20" s="1543">
        <f t="shared" si="29"/>
        <v>0</v>
      </c>
      <c r="BC20" s="1543">
        <f t="shared" si="29"/>
        <v>0</v>
      </c>
      <c r="BD20" s="1543">
        <f t="shared" si="29"/>
        <v>0</v>
      </c>
      <c r="BE20" s="1543">
        <f t="shared" si="29"/>
        <v>0</v>
      </c>
      <c r="BF20" s="1543">
        <f t="shared" si="29"/>
        <v>0</v>
      </c>
      <c r="BG20" s="1543">
        <f t="shared" si="29"/>
        <v>1</v>
      </c>
      <c r="BH20" s="1543">
        <f t="shared" si="29"/>
        <v>0</v>
      </c>
      <c r="BI20" s="1543">
        <f t="shared" si="29"/>
        <v>0</v>
      </c>
      <c r="BJ20" s="1543">
        <f t="shared" si="29"/>
        <v>0</v>
      </c>
      <c r="BK20" s="1543">
        <f t="shared" si="29"/>
        <v>0</v>
      </c>
      <c r="BL20" s="1543">
        <f t="shared" si="29"/>
        <v>0</v>
      </c>
      <c r="BM20" s="1543">
        <f t="shared" si="29"/>
        <v>0</v>
      </c>
      <c r="BN20" s="1543">
        <f t="shared" si="29"/>
        <v>0</v>
      </c>
      <c r="BO20" s="1543">
        <f t="shared" si="29"/>
        <v>0</v>
      </c>
      <c r="BP20" s="1543">
        <f t="shared" si="45"/>
        <v>0</v>
      </c>
      <c r="BQ20" s="1543">
        <f t="shared" si="45"/>
        <v>0</v>
      </c>
      <c r="BR20" s="1543">
        <f t="shared" si="45"/>
        <v>0</v>
      </c>
      <c r="BS20" s="1543">
        <f t="shared" si="45"/>
        <v>0</v>
      </c>
      <c r="BT20" s="1543">
        <f t="shared" si="45"/>
        <v>0</v>
      </c>
      <c r="BU20" s="1543">
        <f t="shared" si="45"/>
        <v>0</v>
      </c>
      <c r="BV20" s="1543">
        <f t="shared" si="45"/>
        <v>0</v>
      </c>
      <c r="BW20" s="1543">
        <f t="shared" si="45"/>
        <v>0</v>
      </c>
      <c r="BX20" s="1543">
        <f t="shared" si="45"/>
        <v>0</v>
      </c>
      <c r="BY20" s="1543">
        <f t="shared" si="45"/>
        <v>0</v>
      </c>
      <c r="BZ20" s="1543">
        <f t="shared" si="45"/>
        <v>0</v>
      </c>
      <c r="CB20" s="1543">
        <f t="shared" si="30"/>
        <v>0</v>
      </c>
      <c r="CC20" s="1543">
        <f t="shared" si="30"/>
        <v>0</v>
      </c>
      <c r="CD20" s="1543">
        <f t="shared" si="30"/>
        <v>0</v>
      </c>
      <c r="CE20" s="1543">
        <f t="shared" si="30"/>
        <v>0</v>
      </c>
      <c r="CF20" s="1543">
        <f t="shared" si="30"/>
        <v>0</v>
      </c>
      <c r="CG20" s="1543">
        <f t="shared" si="30"/>
        <v>0</v>
      </c>
      <c r="CH20" s="1543">
        <f t="shared" si="30"/>
        <v>0</v>
      </c>
      <c r="CI20" s="1543">
        <f t="shared" si="30"/>
        <v>0</v>
      </c>
      <c r="CJ20" s="1543">
        <f t="shared" si="30"/>
        <v>0</v>
      </c>
      <c r="CK20" s="1543">
        <f t="shared" si="30"/>
        <v>0</v>
      </c>
      <c r="CL20" s="1543">
        <f t="shared" si="30"/>
        <v>0</v>
      </c>
      <c r="CM20" s="1543">
        <f t="shared" si="30"/>
        <v>0</v>
      </c>
      <c r="CN20" s="1543">
        <f t="shared" si="30"/>
        <v>0</v>
      </c>
      <c r="CO20" s="1543">
        <f t="shared" si="30"/>
        <v>0</v>
      </c>
      <c r="CP20" s="1543">
        <f t="shared" si="30"/>
        <v>0</v>
      </c>
      <c r="CQ20" s="1543">
        <f t="shared" si="30"/>
        <v>0</v>
      </c>
      <c r="CR20" s="1543">
        <f t="shared" si="46"/>
        <v>0</v>
      </c>
      <c r="CS20" s="1543">
        <f t="shared" si="46"/>
        <v>0</v>
      </c>
      <c r="CT20" s="1543">
        <f t="shared" si="47"/>
        <v>0</v>
      </c>
      <c r="CU20" s="1543">
        <f t="shared" si="47"/>
        <v>0</v>
      </c>
      <c r="CV20" s="1543">
        <f t="shared" si="47"/>
        <v>0</v>
      </c>
      <c r="CW20" s="1543">
        <f t="shared" si="47"/>
        <v>0</v>
      </c>
      <c r="CX20" s="1543">
        <f t="shared" si="47"/>
        <v>0</v>
      </c>
      <c r="CY20" s="1543">
        <f t="shared" si="47"/>
        <v>0</v>
      </c>
      <c r="CZ20" s="1543">
        <f t="shared" si="47"/>
        <v>0</v>
      </c>
      <c r="DA20" s="1543">
        <f t="shared" si="47"/>
        <v>0</v>
      </c>
      <c r="DB20" s="1543">
        <f t="shared" si="47"/>
        <v>0</v>
      </c>
      <c r="DD20" s="1543">
        <f t="shared" si="9"/>
        <v>0</v>
      </c>
      <c r="DE20" s="1543">
        <f t="shared" si="10"/>
        <v>1</v>
      </c>
      <c r="DF20" s="1543">
        <f t="shared" si="11"/>
        <v>0</v>
      </c>
      <c r="DG20" s="1543">
        <f t="shared" si="31"/>
        <v>0</v>
      </c>
      <c r="DI20" s="1543">
        <f t="shared" si="32"/>
        <v>1</v>
      </c>
      <c r="DJ20" s="1543">
        <f t="shared" si="48"/>
        <v>0</v>
      </c>
      <c r="DK20" s="1543">
        <f t="shared" si="48"/>
        <v>0</v>
      </c>
      <c r="DL20" s="1543">
        <f t="shared" si="48"/>
        <v>0</v>
      </c>
      <c r="DM20" s="1543">
        <f t="shared" si="48"/>
        <v>0</v>
      </c>
      <c r="DO20" s="1543">
        <f t="shared" si="13"/>
        <v>0</v>
      </c>
      <c r="DP20" s="1543">
        <f t="shared" ref="DP20:EA29" si="55">IF($L20=DP$2,1,0)</f>
        <v>0</v>
      </c>
      <c r="DQ20" s="1543">
        <f t="shared" si="55"/>
        <v>0</v>
      </c>
      <c r="DR20" s="1543">
        <f t="shared" si="55"/>
        <v>0</v>
      </c>
      <c r="DS20" s="1543">
        <f t="shared" si="55"/>
        <v>1</v>
      </c>
      <c r="DT20" s="1543">
        <f t="shared" si="55"/>
        <v>0</v>
      </c>
      <c r="DU20" s="1543">
        <f t="shared" si="55"/>
        <v>0</v>
      </c>
      <c r="DV20" s="1543">
        <f t="shared" si="55"/>
        <v>0</v>
      </c>
      <c r="DW20" s="1543">
        <f t="shared" si="55"/>
        <v>0</v>
      </c>
      <c r="DX20" s="1543">
        <f t="shared" si="55"/>
        <v>0</v>
      </c>
      <c r="DY20" s="1543">
        <f t="shared" si="55"/>
        <v>0</v>
      </c>
      <c r="DZ20" s="1543">
        <f t="shared" si="55"/>
        <v>0</v>
      </c>
      <c r="EA20" s="1543">
        <f t="shared" si="55"/>
        <v>0</v>
      </c>
      <c r="EB20" s="1543">
        <f t="shared" si="50"/>
        <v>0</v>
      </c>
      <c r="EC20" s="1543">
        <f t="shared" si="50"/>
        <v>0</v>
      </c>
      <c r="ED20" s="1543">
        <f t="shared" si="50"/>
        <v>0</v>
      </c>
      <c r="EE20" s="1543">
        <f t="shared" si="50"/>
        <v>0</v>
      </c>
      <c r="EF20" s="1543">
        <f t="shared" si="50"/>
        <v>0</v>
      </c>
      <c r="EH20" s="1543">
        <f t="shared" si="33"/>
        <v>1</v>
      </c>
      <c r="EI20" s="1543">
        <f t="shared" si="34"/>
        <v>0</v>
      </c>
      <c r="EJ20" s="1543">
        <f t="shared" si="35"/>
        <v>0</v>
      </c>
      <c r="EK20" s="1543">
        <f t="shared" si="36"/>
        <v>0</v>
      </c>
      <c r="EL20" s="1543">
        <f t="shared" si="37"/>
        <v>0</v>
      </c>
      <c r="EM20" s="1543">
        <f t="shared" si="38"/>
        <v>0</v>
      </c>
      <c r="EN20" s="1543">
        <f t="shared" si="39"/>
        <v>0</v>
      </c>
      <c r="EP20" s="1543">
        <f t="shared" si="51"/>
        <v>0</v>
      </c>
      <c r="EQ20" s="1543">
        <f t="shared" si="51"/>
        <v>0</v>
      </c>
      <c r="ER20" s="1543">
        <f t="shared" si="51"/>
        <v>0</v>
      </c>
      <c r="ES20" s="1543">
        <f t="shared" si="51"/>
        <v>0</v>
      </c>
      <c r="ET20" s="1543">
        <f t="shared" si="51"/>
        <v>0</v>
      </c>
      <c r="EU20" s="1543">
        <f t="shared" si="51"/>
        <v>0</v>
      </c>
      <c r="EV20" s="1543">
        <f t="shared" si="51"/>
        <v>0</v>
      </c>
      <c r="EW20" s="1543">
        <f t="shared" si="51"/>
        <v>0</v>
      </c>
      <c r="EX20" s="1543">
        <f t="shared" si="51"/>
        <v>0</v>
      </c>
      <c r="EY20" s="1543">
        <f t="shared" si="51"/>
        <v>0</v>
      </c>
      <c r="EZ20" s="1543">
        <f t="shared" si="51"/>
        <v>0</v>
      </c>
      <c r="FA20" s="1543">
        <f t="shared" si="51"/>
        <v>0</v>
      </c>
      <c r="FB20" s="1543">
        <f t="shared" si="51"/>
        <v>0</v>
      </c>
      <c r="FC20" s="1543">
        <f t="shared" si="51"/>
        <v>0</v>
      </c>
      <c r="FD20" s="1543">
        <f t="shared" si="51"/>
        <v>0</v>
      </c>
      <c r="FE20" s="1543">
        <f t="shared" si="52"/>
        <v>0</v>
      </c>
      <c r="FF20" s="1543">
        <f t="shared" si="40"/>
        <v>1</v>
      </c>
      <c r="FH20" s="1543">
        <f t="shared" ref="FH20:FS35" si="56">IF($FT20=1,0,IF(FH$2=$Y20,1,0))</f>
        <v>0</v>
      </c>
      <c r="FI20" s="1543">
        <f t="shared" si="56"/>
        <v>0</v>
      </c>
      <c r="FJ20" s="1543">
        <f t="shared" si="56"/>
        <v>0</v>
      </c>
      <c r="FK20" s="1543">
        <f t="shared" si="56"/>
        <v>0</v>
      </c>
      <c r="FL20" s="1543">
        <f t="shared" si="56"/>
        <v>0</v>
      </c>
      <c r="FM20" s="1543">
        <f t="shared" si="56"/>
        <v>0</v>
      </c>
      <c r="FN20" s="1543">
        <f t="shared" si="56"/>
        <v>0</v>
      </c>
      <c r="FO20" s="1543">
        <f t="shared" si="56"/>
        <v>0</v>
      </c>
      <c r="FP20" s="1543">
        <f t="shared" si="56"/>
        <v>0</v>
      </c>
      <c r="FQ20" s="1543">
        <f t="shared" si="56"/>
        <v>0</v>
      </c>
      <c r="FR20" s="1543">
        <f t="shared" si="56"/>
        <v>0</v>
      </c>
      <c r="FS20" s="1543">
        <f t="shared" si="56"/>
        <v>0</v>
      </c>
      <c r="FT20" s="1543">
        <f t="shared" si="41"/>
        <v>1</v>
      </c>
      <c r="FV20" s="1543">
        <f t="shared" ref="FV20:GD35" si="57">IF($AB20=FV$2,1,0)</f>
        <v>0</v>
      </c>
      <c r="FW20" s="1543">
        <f t="shared" si="57"/>
        <v>0</v>
      </c>
      <c r="FX20" s="1543">
        <f t="shared" si="57"/>
        <v>0</v>
      </c>
      <c r="FY20" s="1543">
        <f t="shared" si="57"/>
        <v>1</v>
      </c>
      <c r="FZ20" s="1543">
        <f t="shared" si="57"/>
        <v>0</v>
      </c>
      <c r="GA20" s="1543">
        <f t="shared" si="57"/>
        <v>0</v>
      </c>
      <c r="GB20" s="1543">
        <f t="shared" si="57"/>
        <v>0</v>
      </c>
      <c r="GC20" s="1543">
        <f t="shared" si="57"/>
        <v>0</v>
      </c>
      <c r="GD20" s="1543">
        <f t="shared" si="57"/>
        <v>0</v>
      </c>
    </row>
    <row r="21" spans="1:186" s="982" customFormat="1" ht="15.6" x14ac:dyDescent="0.3">
      <c r="A21" s="974">
        <v>19</v>
      </c>
      <c r="B21" s="983" t="s">
        <v>1907</v>
      </c>
      <c r="C21" s="984" t="s">
        <v>1908</v>
      </c>
      <c r="D21" s="983" t="s">
        <v>61</v>
      </c>
      <c r="E21" s="968" t="str">
        <f>IFERROR(VLOOKUP($D21&amp;"."&amp;B21,'Piping Class'!$1:$1048576,MATCH($I21,'Piping Class'!$2:$2,0),0),"")</f>
        <v xml:space="preserve">ASTM 106 Gr.B </v>
      </c>
      <c r="F21" s="985" t="str">
        <f>IFERROR(IF(B21="Flange",VLOOKUP($D21,'Piping Class'!$88:$102,MATCH(F$1,'Piping Class'!$88:$88,0),0),""),"")</f>
        <v/>
      </c>
      <c r="G21" s="968" t="str">
        <f>IFERROR(IF(B21="Flange",VLOOKUP($D21,'Piping Class'!$88:$102,MATCH(G$1,'Piping Class'!$88:$88,0),0),""),"")</f>
        <v/>
      </c>
      <c r="H21" s="968" t="str">
        <f>IFERROR(VLOOKUP($D21,'Piping Class'!$88:$102,MATCH(H$1,'Piping Class'!$88:$88,0),0),"")</f>
        <v>CS</v>
      </c>
      <c r="I21" s="986">
        <v>3</v>
      </c>
      <c r="J21" s="987"/>
      <c r="K21" s="968">
        <f>IFERROR(VLOOKUP(I21,'Thickness Tab'!$1:$1048576,MATCH(L21,'Thickness Tab'!$1:$1,0),0),"")</f>
        <v>5.49</v>
      </c>
      <c r="L21" s="969">
        <f>IFERROR(VLOOKUP($D21,'Piping Class'!$1:$1048576,MATCH($I21,'Piping Class'!$2:$2,0),0),"")</f>
        <v>40</v>
      </c>
      <c r="M21" s="968" t="str">
        <f>IFERROR(VLOOKUP(J21,'Thickness Tab'!$1:$1048576,MATCH(N21,'Thickness Tab'!$1:$1,0),0),"")</f>
        <v/>
      </c>
      <c r="N21" s="969" t="str">
        <f>IFERROR(VLOOKUP($D21,'Piping Class'!$1:$1048576,MATCH($J21,'Piping Class'!$2:$2,0),0),"")</f>
        <v/>
      </c>
      <c r="O21" s="968" t="str">
        <f>IFERROR(VLOOKUP($D21,'Piping Class'!$88:$102,MATCH(O$1,'Piping Class'!$88:$88,0),0),"")</f>
        <v>B31.3 / B16.5</v>
      </c>
      <c r="P21" s="968" t="str">
        <f>IFERROR(VLOOKUP($D21,'Piping Class'!$88:$102,MATCH(P$1,'Piping Class'!$88:$88,0),0),"")</f>
        <v>3.1</v>
      </c>
      <c r="Q21" s="983"/>
      <c r="R21" s="988">
        <v>0</v>
      </c>
      <c r="S21" s="969" t="str">
        <f t="shared" si="43"/>
        <v>cad</v>
      </c>
      <c r="T21" s="968">
        <f>IFERROR(VLOOKUP(I21&amp;"."&amp;L21,'Fitting Chart'!$1:$1048576,MATCH(C21,'Fitting Chart'!$1:$1,0),0),0)+IF(B21="piping",PI()*K21*(VLOOKUP(I21,'Thickness Tab'!$1:$1048576,3,0)-K21)*7.86/1000,0)+IF(B21="Flange",VLOOKUP(I21&amp;"F"&amp;F21,'Flanges Chart'!$1:$1048576,MATCH(C21&amp;"."&amp;T$1,'Flanges Chart'!$1:$1,0),0),0)</f>
        <v>2.1318841390000003</v>
      </c>
      <c r="U21" s="989">
        <f t="shared" si="0"/>
        <v>0</v>
      </c>
      <c r="V21" s="1003">
        <v>3</v>
      </c>
      <c r="W21" s="1001">
        <f t="shared" si="22"/>
        <v>0</v>
      </c>
      <c r="X21" s="997"/>
      <c r="Y21" s="983" t="s">
        <v>105</v>
      </c>
      <c r="Z21" s="989">
        <f>IF(B21="Piping",VLOOKUP(I21,'Thickness Tab'!$1:$1048576,3,0)/1000*PI(),0)+IFERROR(VLOOKUP(I21&amp;"F"&amp;F21,'Flanges Chart'!$1:$1048576,MATCH(C21&amp;".Unit Surface",'Flanges Chart'!$1:$1,0),0),0)+IF(B21="Fitting",VLOOKUP(I21,'Thickness Tab'!$1:$1048576,3,0)/1000*PI(),0)</f>
        <v>0.27928758690413263</v>
      </c>
      <c r="AA21" s="989">
        <f t="shared" si="23"/>
        <v>0</v>
      </c>
      <c r="AB21" s="983">
        <v>50</v>
      </c>
      <c r="AC21" s="989">
        <f t="shared" si="24"/>
        <v>0.593446852263112</v>
      </c>
      <c r="AD21" s="989">
        <f t="shared" si="25"/>
        <v>0</v>
      </c>
      <c r="AE21" s="974">
        <f>(IFERROR(VLOOKUP($C21,List!$J:$L,2,0),0)*R21+IF(B21="piping",R21,0)+IF(C21="Welding Neck",1,0)*R21)*$AE$2</f>
        <v>0</v>
      </c>
      <c r="AF21" s="970">
        <f>IFERROR(VLOOKUP($C21,List!$J:$L,3,0),0)*R21*$AF$2</f>
        <v>0</v>
      </c>
      <c r="AG21" s="990">
        <f t="shared" si="1"/>
        <v>0</v>
      </c>
      <c r="AH21" s="1118">
        <f>IFERROR(VLOOKUP($D21,'Piping Class'!$88:$102,MATCH(AH$1,'Piping Class'!$88:$88,0),0),"")</f>
        <v>0.1</v>
      </c>
      <c r="AI21" s="991">
        <f>IFERROR(VLOOKUP($D21,'Piping Class'!$88:$102,MATCH(AI$1,'Piping Class'!$88:$88,0),0),"")</f>
        <v>0</v>
      </c>
      <c r="AJ21" s="991">
        <f>IFERROR(VLOOKUP($D21,'Piping Class'!$88:$102,MATCH(AJ$1,'Piping Class'!$88:$88,0),0),"")</f>
        <v>1</v>
      </c>
      <c r="AK21" s="991">
        <f>IFERROR(VLOOKUP($D21,'Piping Class'!$88:$102,MATCH(AK$1,'Piping Class'!$88:$88,0),0),"")</f>
        <v>0</v>
      </c>
      <c r="AL21" s="991">
        <f t="shared" si="44"/>
        <v>0</v>
      </c>
      <c r="AM21" s="1119" t="str">
        <f>IFERROR(VLOOKUP($D21,'Piping Class'!$88:$102,MATCH(AM$1,'Piping Class'!$88:$88,0),0),"")</f>
        <v/>
      </c>
      <c r="AN21" s="992">
        <f t="shared" si="26"/>
        <v>0</v>
      </c>
      <c r="AO21" s="993">
        <f>IFERROR(VLOOKUP(I21&amp;"B"&amp;F21,'Bolting Chart'!$1:$1048576,4,0),0)</f>
        <v>0</v>
      </c>
      <c r="AP21" s="993">
        <f t="shared" si="27"/>
        <v>0</v>
      </c>
      <c r="AQ21" s="993">
        <f t="shared" si="28"/>
        <v>0</v>
      </c>
      <c r="AR21" s="993">
        <f>IF(AO21=0,0,VLOOKUP(D21&amp;".bolting",'Piping Class'!$1:$1048576,MATCH(I21,'Piping Class'!$2:$2,0),0))</f>
        <v>0</v>
      </c>
      <c r="AS21" s="994">
        <f>IFERROR(VLOOKUP(I21&amp;"B"&amp;F21,'Bolting Chart'!$1:$1048576,IF(AS$2="UNC",5,6),0),0)</f>
        <v>0</v>
      </c>
      <c r="AT21" s="995">
        <f>IFERROR(VLOOKUP(I21&amp;"B"&amp;F21,'Bolting Chart'!$1:$1048576,IF(G21="RF",8,9),0),0)</f>
        <v>0</v>
      </c>
      <c r="AU21" s="993">
        <f>IF(AO21=0,0,VLOOKUP(D21&amp;".gasket",'Piping Class'!$1:$1048576,MATCH(I21,'Piping Class'!$2:$2,0),0))</f>
        <v>0</v>
      </c>
      <c r="AV21" s="996">
        <f>(IFERROR(INDEX('Bolting Chart'!$A$169:$R$251,MATCH(AT21,'Bolting Chart'!$A$170:$A$251,0),MATCH(IFERROR(VLOOKUP(I21&amp;"B"&amp;F21,'Bolting Chart'!$1:$1048576,7,0),0)+0,'Bolting Chart'!$A$169:$R$169,0)),0))/100</f>
        <v>0</v>
      </c>
      <c r="AW21" s="996">
        <f t="shared" si="3"/>
        <v>0</v>
      </c>
      <c r="AX21" s="1194">
        <f t="shared" si="4"/>
        <v>0</v>
      </c>
      <c r="AY21" s="981"/>
      <c r="AZ21" s="1543">
        <f t="shared" si="29"/>
        <v>0</v>
      </c>
      <c r="BA21" s="1543">
        <f t="shared" si="29"/>
        <v>0</v>
      </c>
      <c r="BB21" s="1543">
        <f t="shared" si="29"/>
        <v>0</v>
      </c>
      <c r="BC21" s="1543">
        <f t="shared" si="29"/>
        <v>0</v>
      </c>
      <c r="BD21" s="1543">
        <f t="shared" si="29"/>
        <v>0</v>
      </c>
      <c r="BE21" s="1543">
        <f t="shared" si="29"/>
        <v>0</v>
      </c>
      <c r="BF21" s="1543">
        <f t="shared" si="29"/>
        <v>1</v>
      </c>
      <c r="BG21" s="1543">
        <f t="shared" si="29"/>
        <v>0</v>
      </c>
      <c r="BH21" s="1543">
        <f t="shared" si="29"/>
        <v>0</v>
      </c>
      <c r="BI21" s="1543">
        <f t="shared" si="29"/>
        <v>0</v>
      </c>
      <c r="BJ21" s="1543">
        <f t="shared" si="29"/>
        <v>0</v>
      </c>
      <c r="BK21" s="1543">
        <f t="shared" si="29"/>
        <v>0</v>
      </c>
      <c r="BL21" s="1543">
        <f t="shared" si="29"/>
        <v>0</v>
      </c>
      <c r="BM21" s="1543">
        <f t="shared" si="29"/>
        <v>0</v>
      </c>
      <c r="BN21" s="1543">
        <f t="shared" si="29"/>
        <v>0</v>
      </c>
      <c r="BO21" s="1543">
        <f t="shared" si="29"/>
        <v>0</v>
      </c>
      <c r="BP21" s="1543">
        <f t="shared" si="45"/>
        <v>0</v>
      </c>
      <c r="BQ21" s="1543">
        <f t="shared" si="45"/>
        <v>0</v>
      </c>
      <c r="BR21" s="1543">
        <f t="shared" si="45"/>
        <v>0</v>
      </c>
      <c r="BS21" s="1543">
        <f t="shared" si="45"/>
        <v>0</v>
      </c>
      <c r="BT21" s="1543">
        <f t="shared" si="45"/>
        <v>0</v>
      </c>
      <c r="BU21" s="1543">
        <f t="shared" si="45"/>
        <v>0</v>
      </c>
      <c r="BV21" s="1543">
        <f t="shared" si="45"/>
        <v>0</v>
      </c>
      <c r="BW21" s="1543">
        <f t="shared" si="45"/>
        <v>0</v>
      </c>
      <c r="BX21" s="1543">
        <f t="shared" si="45"/>
        <v>0</v>
      </c>
      <c r="BY21" s="1543">
        <f t="shared" si="45"/>
        <v>0</v>
      </c>
      <c r="BZ21" s="1543">
        <f t="shared" si="45"/>
        <v>0</v>
      </c>
      <c r="CB21" s="1543">
        <f t="shared" si="30"/>
        <v>0</v>
      </c>
      <c r="CC21" s="1543">
        <f t="shared" si="30"/>
        <v>0</v>
      </c>
      <c r="CD21" s="1543">
        <f t="shared" si="30"/>
        <v>0</v>
      </c>
      <c r="CE21" s="1543">
        <f t="shared" si="30"/>
        <v>0</v>
      </c>
      <c r="CF21" s="1543">
        <f t="shared" si="30"/>
        <v>0</v>
      </c>
      <c r="CG21" s="1543">
        <f t="shared" si="30"/>
        <v>0</v>
      </c>
      <c r="CH21" s="1543">
        <f t="shared" si="30"/>
        <v>0</v>
      </c>
      <c r="CI21" s="1543">
        <f t="shared" si="30"/>
        <v>0</v>
      </c>
      <c r="CJ21" s="1543">
        <f t="shared" si="30"/>
        <v>0</v>
      </c>
      <c r="CK21" s="1543">
        <f t="shared" si="30"/>
        <v>0</v>
      </c>
      <c r="CL21" s="1543">
        <f t="shared" si="30"/>
        <v>0</v>
      </c>
      <c r="CM21" s="1543">
        <f t="shared" si="30"/>
        <v>0</v>
      </c>
      <c r="CN21" s="1543">
        <f t="shared" si="30"/>
        <v>0</v>
      </c>
      <c r="CO21" s="1543">
        <f t="shared" si="30"/>
        <v>0</v>
      </c>
      <c r="CP21" s="1543">
        <f t="shared" si="30"/>
        <v>0</v>
      </c>
      <c r="CQ21" s="1543">
        <f t="shared" si="30"/>
        <v>0</v>
      </c>
      <c r="CR21" s="1543">
        <f t="shared" si="46"/>
        <v>0</v>
      </c>
      <c r="CS21" s="1543">
        <f t="shared" si="46"/>
        <v>0</v>
      </c>
      <c r="CT21" s="1543">
        <f t="shared" si="47"/>
        <v>0</v>
      </c>
      <c r="CU21" s="1543">
        <f t="shared" si="47"/>
        <v>0</v>
      </c>
      <c r="CV21" s="1543">
        <f t="shared" si="47"/>
        <v>0</v>
      </c>
      <c r="CW21" s="1543">
        <f t="shared" si="47"/>
        <v>0</v>
      </c>
      <c r="CX21" s="1543">
        <f t="shared" si="47"/>
        <v>0</v>
      </c>
      <c r="CY21" s="1543">
        <f t="shared" si="47"/>
        <v>0</v>
      </c>
      <c r="CZ21" s="1543">
        <f t="shared" si="47"/>
        <v>0</v>
      </c>
      <c r="DA21" s="1543">
        <f t="shared" si="47"/>
        <v>0</v>
      </c>
      <c r="DB21" s="1543">
        <f t="shared" si="47"/>
        <v>0</v>
      </c>
      <c r="DD21" s="1543">
        <f t="shared" si="9"/>
        <v>0</v>
      </c>
      <c r="DE21" s="1543">
        <f t="shared" si="10"/>
        <v>1</v>
      </c>
      <c r="DF21" s="1543">
        <f t="shared" si="11"/>
        <v>0</v>
      </c>
      <c r="DG21" s="1543">
        <f t="shared" si="31"/>
        <v>0</v>
      </c>
      <c r="DI21" s="1543">
        <f t="shared" si="32"/>
        <v>1</v>
      </c>
      <c r="DJ21" s="1543">
        <f t="shared" si="48"/>
        <v>0</v>
      </c>
      <c r="DK21" s="1543">
        <f t="shared" si="48"/>
        <v>0</v>
      </c>
      <c r="DL21" s="1543">
        <f t="shared" si="48"/>
        <v>0</v>
      </c>
      <c r="DM21" s="1543">
        <f t="shared" si="48"/>
        <v>0</v>
      </c>
      <c r="DO21" s="1543">
        <f t="shared" si="13"/>
        <v>0</v>
      </c>
      <c r="DP21" s="1543">
        <f t="shared" si="55"/>
        <v>0</v>
      </c>
      <c r="DQ21" s="1543">
        <f t="shared" si="55"/>
        <v>0</v>
      </c>
      <c r="DR21" s="1543">
        <f t="shared" si="55"/>
        <v>0</v>
      </c>
      <c r="DS21" s="1543">
        <f t="shared" si="55"/>
        <v>1</v>
      </c>
      <c r="DT21" s="1543">
        <f t="shared" si="55"/>
        <v>0</v>
      </c>
      <c r="DU21" s="1543">
        <f t="shared" si="55"/>
        <v>0</v>
      </c>
      <c r="DV21" s="1543">
        <f t="shared" si="55"/>
        <v>0</v>
      </c>
      <c r="DW21" s="1543">
        <f t="shared" si="55"/>
        <v>0</v>
      </c>
      <c r="DX21" s="1543">
        <f t="shared" si="55"/>
        <v>0</v>
      </c>
      <c r="DY21" s="1543">
        <f t="shared" si="55"/>
        <v>0</v>
      </c>
      <c r="DZ21" s="1543">
        <f t="shared" si="55"/>
        <v>0</v>
      </c>
      <c r="EA21" s="1543">
        <f t="shared" si="55"/>
        <v>0</v>
      </c>
      <c r="EB21" s="1543">
        <f t="shared" si="50"/>
        <v>0</v>
      </c>
      <c r="EC21" s="1543">
        <f t="shared" si="50"/>
        <v>0</v>
      </c>
      <c r="ED21" s="1543">
        <f t="shared" si="50"/>
        <v>0</v>
      </c>
      <c r="EE21" s="1543">
        <f t="shared" si="50"/>
        <v>0</v>
      </c>
      <c r="EF21" s="1543">
        <f t="shared" si="50"/>
        <v>0</v>
      </c>
      <c r="EH21" s="1543">
        <f t="shared" si="33"/>
        <v>1</v>
      </c>
      <c r="EI21" s="1543">
        <f t="shared" si="34"/>
        <v>0</v>
      </c>
      <c r="EJ21" s="1543">
        <f t="shared" si="35"/>
        <v>0</v>
      </c>
      <c r="EK21" s="1543">
        <f t="shared" si="36"/>
        <v>0</v>
      </c>
      <c r="EL21" s="1543">
        <f t="shared" si="37"/>
        <v>0</v>
      </c>
      <c r="EM21" s="1543">
        <f t="shared" si="38"/>
        <v>0</v>
      </c>
      <c r="EN21" s="1543">
        <f t="shared" si="39"/>
        <v>0</v>
      </c>
      <c r="EP21" s="1543">
        <f t="shared" si="51"/>
        <v>0</v>
      </c>
      <c r="EQ21" s="1543">
        <f t="shared" si="51"/>
        <v>0</v>
      </c>
      <c r="ER21" s="1543">
        <f t="shared" si="51"/>
        <v>0</v>
      </c>
      <c r="ES21" s="1543">
        <f t="shared" si="51"/>
        <v>0</v>
      </c>
      <c r="ET21" s="1543">
        <f t="shared" si="51"/>
        <v>0</v>
      </c>
      <c r="EU21" s="1543">
        <f t="shared" si="51"/>
        <v>0</v>
      </c>
      <c r="EV21" s="1543">
        <f t="shared" si="51"/>
        <v>0</v>
      </c>
      <c r="EW21" s="1543">
        <f t="shared" si="51"/>
        <v>0</v>
      </c>
      <c r="EX21" s="1543">
        <f t="shared" si="51"/>
        <v>0</v>
      </c>
      <c r="EY21" s="1543">
        <f t="shared" si="51"/>
        <v>0</v>
      </c>
      <c r="EZ21" s="1543">
        <f t="shared" si="51"/>
        <v>0</v>
      </c>
      <c r="FA21" s="1543">
        <f t="shared" si="51"/>
        <v>0</v>
      </c>
      <c r="FB21" s="1543">
        <f t="shared" si="51"/>
        <v>0</v>
      </c>
      <c r="FC21" s="1543">
        <f t="shared" si="51"/>
        <v>0</v>
      </c>
      <c r="FD21" s="1543">
        <f t="shared" si="51"/>
        <v>0</v>
      </c>
      <c r="FE21" s="1543">
        <f t="shared" si="52"/>
        <v>0</v>
      </c>
      <c r="FF21" s="1543">
        <f t="shared" si="40"/>
        <v>1</v>
      </c>
      <c r="FH21" s="1543">
        <f t="shared" si="56"/>
        <v>0</v>
      </c>
      <c r="FI21" s="1543">
        <f t="shared" si="56"/>
        <v>0</v>
      </c>
      <c r="FJ21" s="1543">
        <f t="shared" si="56"/>
        <v>0</v>
      </c>
      <c r="FK21" s="1543">
        <f t="shared" si="56"/>
        <v>0</v>
      </c>
      <c r="FL21" s="1543">
        <f t="shared" si="56"/>
        <v>0</v>
      </c>
      <c r="FM21" s="1543">
        <f t="shared" si="56"/>
        <v>0</v>
      </c>
      <c r="FN21" s="1543">
        <f t="shared" si="56"/>
        <v>0</v>
      </c>
      <c r="FO21" s="1543">
        <f t="shared" si="56"/>
        <v>0</v>
      </c>
      <c r="FP21" s="1543">
        <f t="shared" si="56"/>
        <v>0</v>
      </c>
      <c r="FQ21" s="1543">
        <f t="shared" si="56"/>
        <v>0</v>
      </c>
      <c r="FR21" s="1543">
        <f t="shared" si="56"/>
        <v>0</v>
      </c>
      <c r="FS21" s="1543">
        <f t="shared" si="56"/>
        <v>0</v>
      </c>
      <c r="FT21" s="1543">
        <f t="shared" si="41"/>
        <v>1</v>
      </c>
      <c r="FV21" s="1543">
        <f t="shared" si="57"/>
        <v>0</v>
      </c>
      <c r="FW21" s="1543">
        <f t="shared" si="57"/>
        <v>0</v>
      </c>
      <c r="FX21" s="1543">
        <f t="shared" si="57"/>
        <v>0</v>
      </c>
      <c r="FY21" s="1543">
        <f t="shared" si="57"/>
        <v>1</v>
      </c>
      <c r="FZ21" s="1543">
        <f t="shared" si="57"/>
        <v>0</v>
      </c>
      <c r="GA21" s="1543">
        <f t="shared" si="57"/>
        <v>0</v>
      </c>
      <c r="GB21" s="1543">
        <f t="shared" si="57"/>
        <v>0</v>
      </c>
      <c r="GC21" s="1543">
        <f t="shared" si="57"/>
        <v>0</v>
      </c>
      <c r="GD21" s="1543">
        <f t="shared" si="57"/>
        <v>0</v>
      </c>
    </row>
    <row r="22" spans="1:186" s="982" customFormat="1" ht="15.6" x14ac:dyDescent="0.3">
      <c r="A22" s="974">
        <v>20</v>
      </c>
      <c r="B22" s="983" t="s">
        <v>1907</v>
      </c>
      <c r="C22" s="984" t="s">
        <v>1908</v>
      </c>
      <c r="D22" s="983" t="s">
        <v>67</v>
      </c>
      <c r="E22" s="968" t="str">
        <f>IFERROR(VLOOKUP($D22&amp;"."&amp;B22,'Piping Class'!$1:$1048576,MATCH($I22,'Piping Class'!$2:$2,0),0),"")</f>
        <v>ASTM A312-
TP316/316L</v>
      </c>
      <c r="F22" s="985" t="str">
        <f>IFERROR(IF(B22="Flange",VLOOKUP($D22,'Piping Class'!$88:$102,MATCH(F$1,'Piping Class'!$88:$88,0),0),""),"")</f>
        <v/>
      </c>
      <c r="G22" s="968" t="str">
        <f>IFERROR(IF(B22="Flange",VLOOKUP($D22,'Piping Class'!$88:$102,MATCH(G$1,'Piping Class'!$88:$88,0),0),""),"")</f>
        <v/>
      </c>
      <c r="H22" s="968" t="str">
        <f>IFERROR(VLOOKUP($D22,'Piping Class'!$88:$102,MATCH(H$1,'Piping Class'!$88:$88,0),0),"")</f>
        <v>SS</v>
      </c>
      <c r="I22" s="986">
        <v>6</v>
      </c>
      <c r="J22" s="986"/>
      <c r="K22" s="968">
        <f>IFERROR(VLOOKUP(I22,'Thickness Tab'!$1:$1048576,MATCH(L22,'Thickness Tab'!$1:$1,0),0),"")</f>
        <v>7.11</v>
      </c>
      <c r="L22" s="969">
        <f>IFERROR(VLOOKUP($D22,'Piping Class'!$1:$1048576,MATCH($I22,'Piping Class'!$2:$2,0),0),"")</f>
        <v>40</v>
      </c>
      <c r="M22" s="968" t="str">
        <f>IFERROR(VLOOKUP(J22,'Thickness Tab'!$1:$1048576,MATCH(N22,'Thickness Tab'!$1:$1,0),0),"")</f>
        <v/>
      </c>
      <c r="N22" s="969" t="str">
        <f>IFERROR(VLOOKUP($D22,'Piping Class'!$1:$1048576,MATCH($J22,'Piping Class'!$2:$2,0),0),"")</f>
        <v/>
      </c>
      <c r="O22" s="968" t="str">
        <f>IFERROR(VLOOKUP($D22,'Piping Class'!$88:$102,MATCH(O$1,'Piping Class'!$88:$88,0),0),"")</f>
        <v>B31.3 / B16.5</v>
      </c>
      <c r="P22" s="968" t="str">
        <f>IFERROR(VLOOKUP($D22,'Piping Class'!$88:$102,MATCH(P$1,'Piping Class'!$88:$88,0),0),"")</f>
        <v>3.1</v>
      </c>
      <c r="Q22" s="983"/>
      <c r="R22" s="988">
        <v>32</v>
      </c>
      <c r="S22" s="969" t="str">
        <f t="shared" ref="S22:S39" si="58">IF(B22="","",IF(B22="piping","m","cad"))</f>
        <v>cad</v>
      </c>
      <c r="T22" s="968">
        <f>IFERROR(VLOOKUP(I22&amp;"."&amp;L22,'Fitting Chart'!$1:$1048576,MATCH(C22,'Fitting Chart'!$1:$1,0),0),0)+IF(B22="piping",PI()*K22*(VLOOKUP(I22,'Thickness Tab'!$1:$1048576,3,0)-K22)*7.86/1000,0)+IF(B22="Flange",VLOOKUP(I22&amp;"F"&amp;F22,'Flanges Chart'!$1:$1048576,MATCH(C22&amp;"."&amp;T$1,'Flanges Chart'!$1:$1,0),0),0)</f>
        <v>10.886216880000001</v>
      </c>
      <c r="U22" s="989">
        <f t="shared" si="0"/>
        <v>348.35894016000003</v>
      </c>
      <c r="V22" s="1003">
        <v>15</v>
      </c>
      <c r="W22" s="1001">
        <f t="shared" si="22"/>
        <v>5225.3841024000003</v>
      </c>
      <c r="X22" s="997"/>
      <c r="Y22" s="983"/>
      <c r="Z22" s="989">
        <f>IF(B22="Piping",VLOOKUP(I22,'Thickness Tab'!$1:$1048576,3,0)/1000*PI(),0)+IFERROR(VLOOKUP(I22&amp;"F"&amp;F22,'Flanges Chart'!$1:$1048576,MATCH(C22&amp;".Unit Surface",'Flanges Chart'!$1:$1,0),0),0)+IF(B22="Fitting",VLOOKUP(I22,'Thickness Tab'!$1:$1048576,3,0)/1000*PI(),0)</f>
        <v>0.5287300435991622</v>
      </c>
      <c r="AA22" s="989">
        <f t="shared" si="23"/>
        <v>16.91936139517319</v>
      </c>
      <c r="AB22" s="983">
        <v>50</v>
      </c>
      <c r="AC22" s="989">
        <f t="shared" si="24"/>
        <v>0.84288930895814151</v>
      </c>
      <c r="AD22" s="989">
        <f t="shared" si="25"/>
        <v>26.972457886660528</v>
      </c>
      <c r="AE22" s="974">
        <f>(IFERROR(VLOOKUP($C22,List!$J:$L,2,0),0)*R22+IF(B22="piping",R22,0)+IF(C22="Welding Neck",1,0)*R22)*$AE$2</f>
        <v>51.2</v>
      </c>
      <c r="AF22" s="970">
        <f>IFERROR(VLOOKUP($C22,List!$J:$L,3,0),0)*R22*$AF$2</f>
        <v>0</v>
      </c>
      <c r="AG22" s="990">
        <f t="shared" si="1"/>
        <v>307.20000000000005</v>
      </c>
      <c r="AH22" s="1118">
        <f>IFERROR(VLOOKUP($D22,'Piping Class'!$88:$102,MATCH(AH$1,'Piping Class'!$88:$88,0),0),"")</f>
        <v>0.1</v>
      </c>
      <c r="AI22" s="991">
        <f>IFERROR(VLOOKUP($D22,'Piping Class'!$88:$102,MATCH(AI$1,'Piping Class'!$88:$88,0),0),"")</f>
        <v>1</v>
      </c>
      <c r="AJ22" s="991">
        <f>IFERROR(VLOOKUP($D22,'Piping Class'!$88:$102,MATCH(AJ$1,'Piping Class'!$88:$88,0),0),"")</f>
        <v>1</v>
      </c>
      <c r="AK22" s="991">
        <f>IFERROR(VLOOKUP($D22,'Piping Class'!$88:$102,MATCH(AK$1,'Piping Class'!$88:$88,0),0),"")</f>
        <v>0</v>
      </c>
      <c r="AL22" s="991">
        <f t="shared" si="44"/>
        <v>1</v>
      </c>
      <c r="AM22" s="1119" t="str">
        <f>IFERROR(VLOOKUP($D22,'Piping Class'!$88:$102,MATCH(AM$1,'Piping Class'!$88:$88,0),0),"")</f>
        <v/>
      </c>
      <c r="AN22" s="992">
        <f t="shared" si="26"/>
        <v>62.704609228800003</v>
      </c>
      <c r="AO22" s="993">
        <f>IFERROR(VLOOKUP(I22&amp;"B"&amp;F22,'Bolting Chart'!$1:$1048576,4,0),0)</f>
        <v>0</v>
      </c>
      <c r="AP22" s="993">
        <f t="shared" si="27"/>
        <v>0</v>
      </c>
      <c r="AQ22" s="993">
        <f t="shared" si="28"/>
        <v>0</v>
      </c>
      <c r="AR22" s="993">
        <f>IF(AO22=0,0,VLOOKUP(D22&amp;".bolting",'Piping Class'!$1:$1048576,MATCH(I22,'Piping Class'!$2:$2,0),0))</f>
        <v>0</v>
      </c>
      <c r="AS22" s="994">
        <f>IFERROR(VLOOKUP(I22&amp;"B"&amp;F22,'Bolting Chart'!$1:$1048576,IF(AS$2="UNC",5,6),0),0)</f>
        <v>0</v>
      </c>
      <c r="AT22" s="995">
        <f>IFERROR(VLOOKUP(I22&amp;"B"&amp;F22,'Bolting Chart'!$1:$1048576,IF(G22="RF",8,9),0),0)</f>
        <v>0</v>
      </c>
      <c r="AU22" s="993">
        <f>IF(AO22=0,0,VLOOKUP(D22&amp;".gasket",'Piping Class'!$1:$1048576,MATCH(I22,'Piping Class'!$2:$2,0),0))</f>
        <v>0</v>
      </c>
      <c r="AV22" s="996">
        <f>(IFERROR(INDEX('Bolting Chart'!$A$169:$R$251,MATCH(AT22,'Bolting Chart'!$A$170:$A$251,0),MATCH(IFERROR(VLOOKUP(I22&amp;"B"&amp;F22,'Bolting Chart'!$1:$1048576,7,0),0)+0,'Bolting Chart'!$A$169:$R$169,0)),0))/100</f>
        <v>0</v>
      </c>
      <c r="AW22" s="996">
        <f t="shared" si="3"/>
        <v>0</v>
      </c>
      <c r="AX22" s="1194">
        <f t="shared" si="4"/>
        <v>0</v>
      </c>
      <c r="AY22" s="981"/>
      <c r="AZ22" s="1543">
        <f t="shared" si="29"/>
        <v>0</v>
      </c>
      <c r="BA22" s="1543">
        <f t="shared" si="29"/>
        <v>0</v>
      </c>
      <c r="BB22" s="1543">
        <f t="shared" si="29"/>
        <v>0</v>
      </c>
      <c r="BC22" s="1543">
        <f t="shared" si="29"/>
        <v>0</v>
      </c>
      <c r="BD22" s="1543">
        <f t="shared" si="29"/>
        <v>0</v>
      </c>
      <c r="BE22" s="1543">
        <f t="shared" si="29"/>
        <v>0</v>
      </c>
      <c r="BF22" s="1543">
        <f t="shared" si="29"/>
        <v>0</v>
      </c>
      <c r="BG22" s="1543">
        <f t="shared" si="29"/>
        <v>0</v>
      </c>
      <c r="BH22" s="1543">
        <f t="shared" si="29"/>
        <v>1</v>
      </c>
      <c r="BI22" s="1543">
        <f t="shared" si="29"/>
        <v>0</v>
      </c>
      <c r="BJ22" s="1543">
        <f t="shared" si="29"/>
        <v>0</v>
      </c>
      <c r="BK22" s="1543">
        <f t="shared" si="29"/>
        <v>0</v>
      </c>
      <c r="BL22" s="1543">
        <f t="shared" si="29"/>
        <v>0</v>
      </c>
      <c r="BM22" s="1543">
        <f t="shared" si="29"/>
        <v>0</v>
      </c>
      <c r="BN22" s="1543">
        <f t="shared" si="29"/>
        <v>0</v>
      </c>
      <c r="BO22" s="1543">
        <f t="shared" si="29"/>
        <v>0</v>
      </c>
      <c r="BP22" s="1543">
        <f t="shared" si="45"/>
        <v>0</v>
      </c>
      <c r="BQ22" s="1543">
        <f t="shared" si="45"/>
        <v>0</v>
      </c>
      <c r="BR22" s="1543">
        <f t="shared" si="45"/>
        <v>0</v>
      </c>
      <c r="BS22" s="1543">
        <f t="shared" si="45"/>
        <v>0</v>
      </c>
      <c r="BT22" s="1543">
        <f t="shared" si="45"/>
        <v>0</v>
      </c>
      <c r="BU22" s="1543">
        <f t="shared" si="45"/>
        <v>0</v>
      </c>
      <c r="BV22" s="1543">
        <f t="shared" si="45"/>
        <v>0</v>
      </c>
      <c r="BW22" s="1543">
        <f t="shared" si="45"/>
        <v>0</v>
      </c>
      <c r="BX22" s="1543">
        <f t="shared" si="45"/>
        <v>0</v>
      </c>
      <c r="BY22" s="1543">
        <f t="shared" si="45"/>
        <v>0</v>
      </c>
      <c r="BZ22" s="1543">
        <f t="shared" si="45"/>
        <v>0</v>
      </c>
      <c r="CB22" s="1543">
        <f t="shared" si="30"/>
        <v>0</v>
      </c>
      <c r="CC22" s="1543">
        <f t="shared" si="30"/>
        <v>0</v>
      </c>
      <c r="CD22" s="1543">
        <f t="shared" si="30"/>
        <v>0</v>
      </c>
      <c r="CE22" s="1543">
        <f t="shared" si="30"/>
        <v>0</v>
      </c>
      <c r="CF22" s="1543">
        <f t="shared" si="30"/>
        <v>0</v>
      </c>
      <c r="CG22" s="1543">
        <f t="shared" si="30"/>
        <v>0</v>
      </c>
      <c r="CH22" s="1543">
        <f t="shared" si="30"/>
        <v>0</v>
      </c>
      <c r="CI22" s="1543">
        <f t="shared" si="30"/>
        <v>0</v>
      </c>
      <c r="CJ22" s="1543">
        <f t="shared" si="30"/>
        <v>0</v>
      </c>
      <c r="CK22" s="1543">
        <f t="shared" si="30"/>
        <v>0</v>
      </c>
      <c r="CL22" s="1543">
        <f t="shared" si="30"/>
        <v>0</v>
      </c>
      <c r="CM22" s="1543">
        <f t="shared" si="30"/>
        <v>0</v>
      </c>
      <c r="CN22" s="1543">
        <f t="shared" si="30"/>
        <v>0</v>
      </c>
      <c r="CO22" s="1543">
        <f t="shared" si="30"/>
        <v>0</v>
      </c>
      <c r="CP22" s="1543">
        <f t="shared" si="30"/>
        <v>0</v>
      </c>
      <c r="CQ22" s="1543">
        <f t="shared" si="30"/>
        <v>0</v>
      </c>
      <c r="CR22" s="1543">
        <f t="shared" si="46"/>
        <v>0</v>
      </c>
      <c r="CS22" s="1543">
        <f t="shared" si="46"/>
        <v>0</v>
      </c>
      <c r="CT22" s="1543">
        <f t="shared" si="47"/>
        <v>0</v>
      </c>
      <c r="CU22" s="1543">
        <f t="shared" si="47"/>
        <v>0</v>
      </c>
      <c r="CV22" s="1543">
        <f t="shared" si="47"/>
        <v>0</v>
      </c>
      <c r="CW22" s="1543">
        <f t="shared" si="47"/>
        <v>0</v>
      </c>
      <c r="CX22" s="1543">
        <f t="shared" si="47"/>
        <v>0</v>
      </c>
      <c r="CY22" s="1543">
        <f t="shared" si="47"/>
        <v>0</v>
      </c>
      <c r="CZ22" s="1543">
        <f t="shared" si="47"/>
        <v>0</v>
      </c>
      <c r="DA22" s="1543">
        <f t="shared" si="47"/>
        <v>0</v>
      </c>
      <c r="DB22" s="1543">
        <f t="shared" si="47"/>
        <v>0</v>
      </c>
      <c r="DD22" s="1543">
        <f t="shared" si="9"/>
        <v>0</v>
      </c>
      <c r="DE22" s="1543">
        <f t="shared" si="10"/>
        <v>1</v>
      </c>
      <c r="DF22" s="1543">
        <f t="shared" si="11"/>
        <v>0</v>
      </c>
      <c r="DG22" s="1543">
        <f t="shared" si="31"/>
        <v>0</v>
      </c>
      <c r="DI22" s="1543">
        <f t="shared" si="32"/>
        <v>0</v>
      </c>
      <c r="DJ22" s="1543">
        <f t="shared" si="48"/>
        <v>0</v>
      </c>
      <c r="DK22" s="1543">
        <f t="shared" si="48"/>
        <v>1</v>
      </c>
      <c r="DL22" s="1543">
        <f t="shared" si="48"/>
        <v>0</v>
      </c>
      <c r="DM22" s="1543">
        <f t="shared" si="48"/>
        <v>0</v>
      </c>
      <c r="DO22" s="1543">
        <f t="shared" si="13"/>
        <v>0</v>
      </c>
      <c r="DP22" s="1543">
        <f t="shared" si="55"/>
        <v>0</v>
      </c>
      <c r="DQ22" s="1543">
        <f t="shared" si="55"/>
        <v>0</v>
      </c>
      <c r="DR22" s="1543">
        <f t="shared" si="55"/>
        <v>0</v>
      </c>
      <c r="DS22" s="1543">
        <f t="shared" si="55"/>
        <v>1</v>
      </c>
      <c r="DT22" s="1543">
        <f t="shared" si="55"/>
        <v>0</v>
      </c>
      <c r="DU22" s="1543">
        <f t="shared" si="55"/>
        <v>0</v>
      </c>
      <c r="DV22" s="1543">
        <f t="shared" si="55"/>
        <v>0</v>
      </c>
      <c r="DW22" s="1543">
        <f t="shared" si="55"/>
        <v>0</v>
      </c>
      <c r="DX22" s="1543">
        <f t="shared" si="55"/>
        <v>0</v>
      </c>
      <c r="DY22" s="1543">
        <f t="shared" si="55"/>
        <v>0</v>
      </c>
      <c r="DZ22" s="1543">
        <f t="shared" si="55"/>
        <v>0</v>
      </c>
      <c r="EA22" s="1543">
        <f t="shared" si="55"/>
        <v>0</v>
      </c>
      <c r="EB22" s="1543">
        <f t="shared" si="50"/>
        <v>0</v>
      </c>
      <c r="EC22" s="1543">
        <f t="shared" si="50"/>
        <v>0</v>
      </c>
      <c r="ED22" s="1543">
        <f t="shared" si="50"/>
        <v>0</v>
      </c>
      <c r="EE22" s="1543">
        <f t="shared" si="50"/>
        <v>0</v>
      </c>
      <c r="EF22" s="1543">
        <f t="shared" si="50"/>
        <v>0</v>
      </c>
      <c r="EH22" s="1543">
        <f t="shared" si="33"/>
        <v>1</v>
      </c>
      <c r="EI22" s="1543">
        <f t="shared" si="34"/>
        <v>0</v>
      </c>
      <c r="EJ22" s="1543">
        <f t="shared" si="35"/>
        <v>0</v>
      </c>
      <c r="EK22" s="1543">
        <f t="shared" si="36"/>
        <v>0</v>
      </c>
      <c r="EL22" s="1543">
        <f t="shared" si="37"/>
        <v>0</v>
      </c>
      <c r="EM22" s="1543">
        <f t="shared" si="38"/>
        <v>0</v>
      </c>
      <c r="EN22" s="1543">
        <f t="shared" si="39"/>
        <v>0</v>
      </c>
      <c r="EP22" s="1543">
        <f t="shared" si="51"/>
        <v>0</v>
      </c>
      <c r="EQ22" s="1543">
        <f t="shared" si="51"/>
        <v>0</v>
      </c>
      <c r="ER22" s="1543">
        <f t="shared" si="51"/>
        <v>0</v>
      </c>
      <c r="ES22" s="1543">
        <f t="shared" si="51"/>
        <v>0</v>
      </c>
      <c r="ET22" s="1543">
        <f t="shared" si="51"/>
        <v>0</v>
      </c>
      <c r="EU22" s="1543">
        <f t="shared" si="51"/>
        <v>0</v>
      </c>
      <c r="EV22" s="1543">
        <f t="shared" si="51"/>
        <v>0</v>
      </c>
      <c r="EW22" s="1543">
        <f t="shared" si="51"/>
        <v>0</v>
      </c>
      <c r="EX22" s="1543">
        <f t="shared" si="51"/>
        <v>0</v>
      </c>
      <c r="EY22" s="1543">
        <f t="shared" si="51"/>
        <v>0</v>
      </c>
      <c r="EZ22" s="1543">
        <f t="shared" si="51"/>
        <v>0</v>
      </c>
      <c r="FA22" s="1543">
        <f t="shared" si="51"/>
        <v>0</v>
      </c>
      <c r="FB22" s="1543">
        <f t="shared" si="51"/>
        <v>0</v>
      </c>
      <c r="FC22" s="1543">
        <f t="shared" si="51"/>
        <v>0</v>
      </c>
      <c r="FD22" s="1543">
        <f t="shared" si="51"/>
        <v>0</v>
      </c>
      <c r="FE22" s="1543">
        <f t="shared" si="52"/>
        <v>0</v>
      </c>
      <c r="FF22" s="1543">
        <f t="shared" si="40"/>
        <v>1</v>
      </c>
      <c r="FH22" s="1543">
        <f t="shared" si="56"/>
        <v>0</v>
      </c>
      <c r="FI22" s="1543">
        <f t="shared" si="56"/>
        <v>0</v>
      </c>
      <c r="FJ22" s="1543">
        <f t="shared" si="56"/>
        <v>0</v>
      </c>
      <c r="FK22" s="1543">
        <f t="shared" si="56"/>
        <v>0</v>
      </c>
      <c r="FL22" s="1543">
        <f t="shared" si="56"/>
        <v>0</v>
      </c>
      <c r="FM22" s="1543">
        <f t="shared" si="56"/>
        <v>0</v>
      </c>
      <c r="FN22" s="1543">
        <f t="shared" si="56"/>
        <v>0</v>
      </c>
      <c r="FO22" s="1543">
        <f t="shared" si="56"/>
        <v>0</v>
      </c>
      <c r="FP22" s="1543">
        <f t="shared" si="56"/>
        <v>0</v>
      </c>
      <c r="FQ22" s="1543">
        <f t="shared" si="56"/>
        <v>0</v>
      </c>
      <c r="FR22" s="1543">
        <f t="shared" si="56"/>
        <v>0</v>
      </c>
      <c r="FS22" s="1543">
        <f t="shared" si="56"/>
        <v>0</v>
      </c>
      <c r="FT22" s="1543">
        <f t="shared" si="41"/>
        <v>1</v>
      </c>
      <c r="FV22" s="1543">
        <f t="shared" si="57"/>
        <v>0</v>
      </c>
      <c r="FW22" s="1543">
        <f t="shared" si="57"/>
        <v>0</v>
      </c>
      <c r="FX22" s="1543">
        <f t="shared" si="57"/>
        <v>0</v>
      </c>
      <c r="FY22" s="1543">
        <f t="shared" si="57"/>
        <v>1</v>
      </c>
      <c r="FZ22" s="1543">
        <f t="shared" si="57"/>
        <v>0</v>
      </c>
      <c r="GA22" s="1543">
        <f t="shared" si="57"/>
        <v>0</v>
      </c>
      <c r="GB22" s="1543">
        <f t="shared" si="57"/>
        <v>0</v>
      </c>
      <c r="GC22" s="1543">
        <f t="shared" si="57"/>
        <v>0</v>
      </c>
      <c r="GD22" s="1543">
        <f t="shared" si="57"/>
        <v>0</v>
      </c>
    </row>
    <row r="23" spans="1:186" s="982" customFormat="1" ht="15.6" x14ac:dyDescent="0.3">
      <c r="A23" s="974">
        <v>21</v>
      </c>
      <c r="B23" s="983" t="s">
        <v>1907</v>
      </c>
      <c r="C23" s="984" t="s">
        <v>1908</v>
      </c>
      <c r="D23" s="983" t="s">
        <v>67</v>
      </c>
      <c r="E23" s="968" t="str">
        <f>IFERROR(VLOOKUP($D23&amp;"."&amp;B23,'Piping Class'!$1:$1048576,MATCH($I23,'Piping Class'!$2:$2,0),0),"")</f>
        <v>ASTM A312-
TP316/316L</v>
      </c>
      <c r="F23" s="985" t="str">
        <f>IFERROR(IF(B23="Flange",VLOOKUP($D23,'Piping Class'!$88:$102,MATCH(F$1,'Piping Class'!$88:$88,0),0),""),"")</f>
        <v/>
      </c>
      <c r="G23" s="968" t="str">
        <f>IFERROR(IF(B23="Flange",VLOOKUP($D23,'Piping Class'!$88:$102,MATCH(G$1,'Piping Class'!$88:$88,0),0),""),"")</f>
        <v/>
      </c>
      <c r="H23" s="968" t="str">
        <f>IFERROR(VLOOKUP($D23,'Piping Class'!$88:$102,MATCH(H$1,'Piping Class'!$88:$88,0),0),"")</f>
        <v>SS</v>
      </c>
      <c r="I23" s="986">
        <v>1</v>
      </c>
      <c r="J23" s="986"/>
      <c r="K23" s="968">
        <f>IFERROR(VLOOKUP(I23,'Thickness Tab'!$1:$1048576,MATCH(L23,'Thickness Tab'!$1:$1,0),0),"")</f>
        <v>4.55</v>
      </c>
      <c r="L23" s="969" t="str">
        <f>IFERROR(VLOOKUP($D23,'Piping Class'!$1:$1048576,MATCH($I23,'Piping Class'!$2:$2,0),0),"")</f>
        <v>80S</v>
      </c>
      <c r="M23" s="968" t="str">
        <f>IFERROR(VLOOKUP(J23,'Thickness Tab'!$1:$1048576,MATCH(N23,'Thickness Tab'!$1:$1,0),0),"")</f>
        <v/>
      </c>
      <c r="N23" s="969" t="str">
        <f>IFERROR(VLOOKUP($D23,'Piping Class'!$1:$1048576,MATCH($J23,'Piping Class'!$2:$2,0),0),"")</f>
        <v/>
      </c>
      <c r="O23" s="968" t="str">
        <f>IFERROR(VLOOKUP($D23,'Piping Class'!$88:$102,MATCH(O$1,'Piping Class'!$88:$88,0),0),"")</f>
        <v>B31.3 / B16.5</v>
      </c>
      <c r="P23" s="968" t="str">
        <f>IFERROR(VLOOKUP($D23,'Piping Class'!$88:$102,MATCH(P$1,'Piping Class'!$88:$88,0),0),"")</f>
        <v>3.1</v>
      </c>
      <c r="Q23" s="983"/>
      <c r="R23" s="988">
        <v>0</v>
      </c>
      <c r="S23" s="969" t="str">
        <f t="shared" si="58"/>
        <v>cad</v>
      </c>
      <c r="T23" s="968">
        <f>IFERROR(VLOOKUP(I23&amp;"."&amp;L23,'Fitting Chart'!$1:$1048576,MATCH(C23,'Fitting Chart'!$1:$1,0),0),0)+IF(B23="piping",PI()*K23*(VLOOKUP(I23,'Thickness Tab'!$1:$1048576,3,0)-K23)*7.86/1000,0)+IF(B23="Flange",VLOOKUP(I23&amp;"F"&amp;F23,'Flanges Chart'!$1:$1048576,MATCH(C23&amp;"."&amp;T$1,'Flanges Chart'!$1:$1,0),0),0)</f>
        <v>0.20411656650000001</v>
      </c>
      <c r="U23" s="989">
        <f t="shared" si="0"/>
        <v>0</v>
      </c>
      <c r="V23" s="1003">
        <v>15</v>
      </c>
      <c r="W23" s="1001">
        <f t="shared" si="22"/>
        <v>0</v>
      </c>
      <c r="X23" s="997"/>
      <c r="Y23" s="983"/>
      <c r="Z23" s="989">
        <f>IF(B23="Piping",VLOOKUP(I23,'Thickness Tab'!$1:$1048576,3,0)/1000*PI(),0)+IFERROR(VLOOKUP(I23&amp;"F"&amp;F23,'Flanges Chart'!$1:$1048576,MATCH(C23&amp;".Unit Surface",'Flanges Chart'!$1:$1,0),0),0)+IF(B23="Fitting",VLOOKUP(I23,'Thickness Tab'!$1:$1048576,3,0)/1000*PI(),0)</f>
        <v>0.10492919462989908</v>
      </c>
      <c r="AA23" s="989">
        <f t="shared" si="23"/>
        <v>0</v>
      </c>
      <c r="AB23" s="983">
        <v>50</v>
      </c>
      <c r="AC23" s="989">
        <f t="shared" si="24"/>
        <v>0.41908845998887839</v>
      </c>
      <c r="AD23" s="989">
        <f t="shared" si="25"/>
        <v>0</v>
      </c>
      <c r="AE23" s="974">
        <f>(IFERROR(VLOOKUP($C23,List!$J:$L,2,0),0)*R23+IF(B23="piping",R23,0)+IF(C23="Welding Neck",1,0)*R23)*$AE$2</f>
        <v>0</v>
      </c>
      <c r="AF23" s="970">
        <f>IFERROR(VLOOKUP($C23,List!$J:$L,3,0),0)*R23*$AF$2</f>
        <v>0</v>
      </c>
      <c r="AG23" s="990">
        <f t="shared" si="1"/>
        <v>0</v>
      </c>
      <c r="AH23" s="1118">
        <f>IFERROR(VLOOKUP($D23,'Piping Class'!$88:$102,MATCH(AH$1,'Piping Class'!$88:$88,0),0),"")</f>
        <v>0.1</v>
      </c>
      <c r="AI23" s="991">
        <f>IFERROR(VLOOKUP($D23,'Piping Class'!$88:$102,MATCH(AI$1,'Piping Class'!$88:$88,0),0),"")</f>
        <v>1</v>
      </c>
      <c r="AJ23" s="991">
        <f>IFERROR(VLOOKUP($D23,'Piping Class'!$88:$102,MATCH(AJ$1,'Piping Class'!$88:$88,0),0),"")</f>
        <v>1</v>
      </c>
      <c r="AK23" s="991">
        <f>IFERROR(VLOOKUP($D23,'Piping Class'!$88:$102,MATCH(AK$1,'Piping Class'!$88:$88,0),0),"")</f>
        <v>0</v>
      </c>
      <c r="AL23" s="991">
        <f t="shared" si="44"/>
        <v>1</v>
      </c>
      <c r="AM23" s="1119" t="str">
        <f>IFERROR(VLOOKUP($D23,'Piping Class'!$88:$102,MATCH(AM$1,'Piping Class'!$88:$88,0),0),"")</f>
        <v/>
      </c>
      <c r="AN23" s="992">
        <f t="shared" si="26"/>
        <v>0</v>
      </c>
      <c r="AO23" s="993">
        <f>IFERROR(VLOOKUP(I23&amp;"B"&amp;F23,'Bolting Chart'!$1:$1048576,4,0),0)</f>
        <v>0</v>
      </c>
      <c r="AP23" s="993">
        <f t="shared" si="27"/>
        <v>0</v>
      </c>
      <c r="AQ23" s="993">
        <f t="shared" si="28"/>
        <v>0</v>
      </c>
      <c r="AR23" s="993">
        <f>IF(AO23=0,0,VLOOKUP(D23&amp;".bolting",'Piping Class'!$1:$1048576,MATCH(I23,'Piping Class'!$2:$2,0),0))</f>
        <v>0</v>
      </c>
      <c r="AS23" s="994">
        <f>IFERROR(VLOOKUP(I23&amp;"B"&amp;F23,'Bolting Chart'!$1:$1048576,IF(AS$2="UNC",5,6),0),0)</f>
        <v>0</v>
      </c>
      <c r="AT23" s="995">
        <f>IFERROR(VLOOKUP(I23&amp;"B"&amp;F23,'Bolting Chart'!$1:$1048576,IF(G23="RF",8,9),0),0)</f>
        <v>0</v>
      </c>
      <c r="AU23" s="993">
        <f>IF(AO23=0,0,VLOOKUP(D23&amp;".gasket",'Piping Class'!$1:$1048576,MATCH(I23,'Piping Class'!$2:$2,0),0))</f>
        <v>0</v>
      </c>
      <c r="AV23" s="996">
        <f>(IFERROR(INDEX('Bolting Chart'!$A$169:$R$251,MATCH(AT23,'Bolting Chart'!$A$170:$A$251,0),MATCH(IFERROR(VLOOKUP(I23&amp;"B"&amp;F23,'Bolting Chart'!$1:$1048576,7,0),0)+0,'Bolting Chart'!$A$169:$R$169,0)),0))/100</f>
        <v>0</v>
      </c>
      <c r="AW23" s="996">
        <f t="shared" si="3"/>
        <v>0</v>
      </c>
      <c r="AX23" s="1194">
        <f t="shared" si="4"/>
        <v>0</v>
      </c>
      <c r="AY23" s="981"/>
      <c r="AZ23" s="1543">
        <f t="shared" si="29"/>
        <v>0</v>
      </c>
      <c r="BA23" s="1543">
        <f t="shared" si="29"/>
        <v>0</v>
      </c>
      <c r="BB23" s="1543">
        <f t="shared" si="29"/>
        <v>1</v>
      </c>
      <c r="BC23" s="1543">
        <f t="shared" si="29"/>
        <v>0</v>
      </c>
      <c r="BD23" s="1543">
        <f t="shared" si="29"/>
        <v>0</v>
      </c>
      <c r="BE23" s="1543">
        <f t="shared" si="29"/>
        <v>0</v>
      </c>
      <c r="BF23" s="1543">
        <f t="shared" si="29"/>
        <v>0</v>
      </c>
      <c r="BG23" s="1543">
        <f t="shared" si="29"/>
        <v>0</v>
      </c>
      <c r="BH23" s="1543">
        <f t="shared" si="29"/>
        <v>0</v>
      </c>
      <c r="BI23" s="1543">
        <f t="shared" si="29"/>
        <v>0</v>
      </c>
      <c r="BJ23" s="1543">
        <f t="shared" si="29"/>
        <v>0</v>
      </c>
      <c r="BK23" s="1543">
        <f t="shared" si="29"/>
        <v>0</v>
      </c>
      <c r="BL23" s="1543">
        <f t="shared" si="29"/>
        <v>0</v>
      </c>
      <c r="BM23" s="1543">
        <f t="shared" si="29"/>
        <v>0</v>
      </c>
      <c r="BN23" s="1543">
        <f t="shared" si="29"/>
        <v>0</v>
      </c>
      <c r="BO23" s="1543">
        <f t="shared" si="29"/>
        <v>0</v>
      </c>
      <c r="BP23" s="1543">
        <f t="shared" si="45"/>
        <v>0</v>
      </c>
      <c r="BQ23" s="1543">
        <f t="shared" si="45"/>
        <v>0</v>
      </c>
      <c r="BR23" s="1543">
        <f t="shared" si="45"/>
        <v>0</v>
      </c>
      <c r="BS23" s="1543">
        <f t="shared" si="45"/>
        <v>0</v>
      </c>
      <c r="BT23" s="1543">
        <f t="shared" si="45"/>
        <v>0</v>
      </c>
      <c r="BU23" s="1543">
        <f t="shared" si="45"/>
        <v>0</v>
      </c>
      <c r="BV23" s="1543">
        <f t="shared" si="45"/>
        <v>0</v>
      </c>
      <c r="BW23" s="1543">
        <f t="shared" si="45"/>
        <v>0</v>
      </c>
      <c r="BX23" s="1543">
        <f t="shared" si="45"/>
        <v>0</v>
      </c>
      <c r="BY23" s="1543">
        <f t="shared" si="45"/>
        <v>0</v>
      </c>
      <c r="BZ23" s="1543">
        <f t="shared" si="45"/>
        <v>0</v>
      </c>
      <c r="CB23" s="1543">
        <f t="shared" si="30"/>
        <v>0</v>
      </c>
      <c r="CC23" s="1543">
        <f t="shared" si="30"/>
        <v>0</v>
      </c>
      <c r="CD23" s="1543">
        <f t="shared" si="30"/>
        <v>0</v>
      </c>
      <c r="CE23" s="1543">
        <f t="shared" si="30"/>
        <v>0</v>
      </c>
      <c r="CF23" s="1543">
        <f t="shared" si="30"/>
        <v>0</v>
      </c>
      <c r="CG23" s="1543">
        <f t="shared" si="30"/>
        <v>0</v>
      </c>
      <c r="CH23" s="1543">
        <f t="shared" si="30"/>
        <v>0</v>
      </c>
      <c r="CI23" s="1543">
        <f t="shared" si="30"/>
        <v>0</v>
      </c>
      <c r="CJ23" s="1543">
        <f t="shared" si="30"/>
        <v>0</v>
      </c>
      <c r="CK23" s="1543">
        <f t="shared" si="30"/>
        <v>0</v>
      </c>
      <c r="CL23" s="1543">
        <f t="shared" si="30"/>
        <v>0</v>
      </c>
      <c r="CM23" s="1543">
        <f t="shared" si="30"/>
        <v>0</v>
      </c>
      <c r="CN23" s="1543">
        <f t="shared" si="30"/>
        <v>0</v>
      </c>
      <c r="CO23" s="1543">
        <f t="shared" si="30"/>
        <v>0</v>
      </c>
      <c r="CP23" s="1543">
        <f t="shared" si="30"/>
        <v>0</v>
      </c>
      <c r="CQ23" s="1543">
        <f t="shared" si="30"/>
        <v>0</v>
      </c>
      <c r="CR23" s="1543">
        <f t="shared" si="46"/>
        <v>0</v>
      </c>
      <c r="CS23" s="1543">
        <f t="shared" si="46"/>
        <v>0</v>
      </c>
      <c r="CT23" s="1543">
        <f t="shared" si="47"/>
        <v>0</v>
      </c>
      <c r="CU23" s="1543">
        <f t="shared" si="47"/>
        <v>0</v>
      </c>
      <c r="CV23" s="1543">
        <f t="shared" si="47"/>
        <v>0</v>
      </c>
      <c r="CW23" s="1543">
        <f t="shared" si="47"/>
        <v>0</v>
      </c>
      <c r="CX23" s="1543">
        <f t="shared" si="47"/>
        <v>0</v>
      </c>
      <c r="CY23" s="1543">
        <f t="shared" si="47"/>
        <v>0</v>
      </c>
      <c r="CZ23" s="1543">
        <f t="shared" si="47"/>
        <v>0</v>
      </c>
      <c r="DA23" s="1543">
        <f t="shared" si="47"/>
        <v>0</v>
      </c>
      <c r="DB23" s="1543">
        <f t="shared" si="47"/>
        <v>0</v>
      </c>
      <c r="DD23" s="1543">
        <f t="shared" si="9"/>
        <v>1</v>
      </c>
      <c r="DE23" s="1543">
        <f t="shared" si="10"/>
        <v>0</v>
      </c>
      <c r="DF23" s="1543">
        <f t="shared" si="11"/>
        <v>0</v>
      </c>
      <c r="DG23" s="1543">
        <f t="shared" si="31"/>
        <v>0</v>
      </c>
      <c r="DI23" s="1543">
        <f t="shared" si="32"/>
        <v>0</v>
      </c>
      <c r="DJ23" s="1543">
        <f t="shared" si="48"/>
        <v>0</v>
      </c>
      <c r="DK23" s="1543">
        <f t="shared" si="48"/>
        <v>1</v>
      </c>
      <c r="DL23" s="1543">
        <f t="shared" si="48"/>
        <v>0</v>
      </c>
      <c r="DM23" s="1543">
        <f t="shared" si="48"/>
        <v>0</v>
      </c>
      <c r="DO23" s="1543">
        <f t="shared" si="13"/>
        <v>0</v>
      </c>
      <c r="DP23" s="1543">
        <f t="shared" si="55"/>
        <v>0</v>
      </c>
      <c r="DQ23" s="1543">
        <f t="shared" si="55"/>
        <v>0</v>
      </c>
      <c r="DR23" s="1543">
        <f t="shared" si="55"/>
        <v>0</v>
      </c>
      <c r="DS23" s="1543">
        <f t="shared" si="55"/>
        <v>0</v>
      </c>
      <c r="DT23" s="1543">
        <f t="shared" si="55"/>
        <v>0</v>
      </c>
      <c r="DU23" s="1543">
        <f t="shared" si="55"/>
        <v>0</v>
      </c>
      <c r="DV23" s="1543">
        <f t="shared" si="55"/>
        <v>0</v>
      </c>
      <c r="DW23" s="1543">
        <f t="shared" si="55"/>
        <v>0</v>
      </c>
      <c r="DX23" s="1543">
        <f t="shared" si="55"/>
        <v>0</v>
      </c>
      <c r="DY23" s="1543">
        <f t="shared" si="55"/>
        <v>0</v>
      </c>
      <c r="DZ23" s="1543">
        <f t="shared" si="55"/>
        <v>0</v>
      </c>
      <c r="EA23" s="1543">
        <f t="shared" si="55"/>
        <v>0</v>
      </c>
      <c r="EB23" s="1543">
        <f t="shared" si="50"/>
        <v>0</v>
      </c>
      <c r="EC23" s="1543">
        <f t="shared" si="50"/>
        <v>0</v>
      </c>
      <c r="ED23" s="1543">
        <f t="shared" si="50"/>
        <v>0</v>
      </c>
      <c r="EE23" s="1543">
        <f t="shared" si="50"/>
        <v>0</v>
      </c>
      <c r="EF23" s="1543">
        <f t="shared" si="50"/>
        <v>1</v>
      </c>
      <c r="EH23" s="1543">
        <f t="shared" si="33"/>
        <v>0</v>
      </c>
      <c r="EI23" s="1543">
        <f t="shared" si="34"/>
        <v>0</v>
      </c>
      <c r="EJ23" s="1543">
        <f t="shared" si="35"/>
        <v>1</v>
      </c>
      <c r="EK23" s="1543">
        <f t="shared" si="36"/>
        <v>0</v>
      </c>
      <c r="EL23" s="1543">
        <f t="shared" si="37"/>
        <v>0</v>
      </c>
      <c r="EM23" s="1543">
        <f t="shared" si="38"/>
        <v>0</v>
      </c>
      <c r="EN23" s="1543">
        <f t="shared" si="39"/>
        <v>0</v>
      </c>
      <c r="EP23" s="1543">
        <f t="shared" si="51"/>
        <v>0</v>
      </c>
      <c r="EQ23" s="1543">
        <f t="shared" si="51"/>
        <v>0</v>
      </c>
      <c r="ER23" s="1543">
        <f t="shared" si="51"/>
        <v>0</v>
      </c>
      <c r="ES23" s="1543">
        <f t="shared" si="51"/>
        <v>0</v>
      </c>
      <c r="ET23" s="1543">
        <f t="shared" si="51"/>
        <v>0</v>
      </c>
      <c r="EU23" s="1543">
        <f t="shared" si="51"/>
        <v>0</v>
      </c>
      <c r="EV23" s="1543">
        <f t="shared" si="51"/>
        <v>0</v>
      </c>
      <c r="EW23" s="1543">
        <f t="shared" si="51"/>
        <v>0</v>
      </c>
      <c r="EX23" s="1543">
        <f t="shared" si="51"/>
        <v>0</v>
      </c>
      <c r="EY23" s="1543">
        <f t="shared" si="51"/>
        <v>0</v>
      </c>
      <c r="EZ23" s="1543">
        <f t="shared" si="51"/>
        <v>0</v>
      </c>
      <c r="FA23" s="1543">
        <f t="shared" si="51"/>
        <v>0</v>
      </c>
      <c r="FB23" s="1543">
        <f t="shared" si="51"/>
        <v>0</v>
      </c>
      <c r="FC23" s="1543">
        <f t="shared" si="51"/>
        <v>0</v>
      </c>
      <c r="FD23" s="1543">
        <f t="shared" si="51"/>
        <v>0</v>
      </c>
      <c r="FE23" s="1543">
        <f t="shared" si="52"/>
        <v>0</v>
      </c>
      <c r="FF23" s="1543">
        <f t="shared" si="40"/>
        <v>1</v>
      </c>
      <c r="FH23" s="1543">
        <f t="shared" si="56"/>
        <v>0</v>
      </c>
      <c r="FI23" s="1543">
        <f t="shared" si="56"/>
        <v>0</v>
      </c>
      <c r="FJ23" s="1543">
        <f t="shared" si="56"/>
        <v>0</v>
      </c>
      <c r="FK23" s="1543">
        <f t="shared" si="56"/>
        <v>0</v>
      </c>
      <c r="FL23" s="1543">
        <f t="shared" si="56"/>
        <v>0</v>
      </c>
      <c r="FM23" s="1543">
        <f t="shared" si="56"/>
        <v>0</v>
      </c>
      <c r="FN23" s="1543">
        <f t="shared" si="56"/>
        <v>0</v>
      </c>
      <c r="FO23" s="1543">
        <f t="shared" si="56"/>
        <v>0</v>
      </c>
      <c r="FP23" s="1543">
        <f t="shared" si="56"/>
        <v>0</v>
      </c>
      <c r="FQ23" s="1543">
        <f t="shared" si="56"/>
        <v>0</v>
      </c>
      <c r="FR23" s="1543">
        <f t="shared" si="56"/>
        <v>0</v>
      </c>
      <c r="FS23" s="1543">
        <f t="shared" si="56"/>
        <v>0</v>
      </c>
      <c r="FT23" s="1543">
        <f t="shared" si="41"/>
        <v>1</v>
      </c>
      <c r="FV23" s="1543">
        <f t="shared" si="57"/>
        <v>0</v>
      </c>
      <c r="FW23" s="1543">
        <f t="shared" si="57"/>
        <v>0</v>
      </c>
      <c r="FX23" s="1543">
        <f t="shared" si="57"/>
        <v>0</v>
      </c>
      <c r="FY23" s="1543">
        <f t="shared" si="57"/>
        <v>1</v>
      </c>
      <c r="FZ23" s="1543">
        <f t="shared" si="57"/>
        <v>0</v>
      </c>
      <c r="GA23" s="1543">
        <f t="shared" si="57"/>
        <v>0</v>
      </c>
      <c r="GB23" s="1543">
        <f t="shared" si="57"/>
        <v>0</v>
      </c>
      <c r="GC23" s="1543">
        <f t="shared" si="57"/>
        <v>0</v>
      </c>
      <c r="GD23" s="1543">
        <f t="shared" si="57"/>
        <v>0</v>
      </c>
    </row>
    <row r="24" spans="1:186" s="982" customFormat="1" ht="15.6" x14ac:dyDescent="0.3">
      <c r="A24" s="974">
        <v>22</v>
      </c>
      <c r="B24" s="983" t="s">
        <v>1907</v>
      </c>
      <c r="C24" s="984" t="s">
        <v>1908</v>
      </c>
      <c r="D24" s="983" t="s">
        <v>67</v>
      </c>
      <c r="E24" s="968" t="str">
        <f>IFERROR(VLOOKUP($D24&amp;"."&amp;B24,'Piping Class'!$1:$1048576,MATCH($I24,'Piping Class'!$2:$2,0),0),"")</f>
        <v>ASTM A312-
TP316/316L</v>
      </c>
      <c r="F24" s="985" t="str">
        <f>IFERROR(IF(B24="Flange",VLOOKUP($D24,'Piping Class'!$88:$102,MATCH(F$1,'Piping Class'!$88:$88,0),0),""),"")</f>
        <v/>
      </c>
      <c r="G24" s="968" t="str">
        <f>IFERROR(IF(B24="Flange",VLOOKUP($D24,'Piping Class'!$88:$102,MATCH(G$1,'Piping Class'!$88:$88,0),0),""),"")</f>
        <v/>
      </c>
      <c r="H24" s="968" t="str">
        <f>IFERROR(VLOOKUP($D24,'Piping Class'!$88:$102,MATCH(H$1,'Piping Class'!$88:$88,0),0),"")</f>
        <v>SS</v>
      </c>
      <c r="I24" s="986">
        <v>3</v>
      </c>
      <c r="J24" s="986"/>
      <c r="K24" s="968">
        <f>IFERROR(VLOOKUP(I24,'Thickness Tab'!$1:$1048576,MATCH(L24,'Thickness Tab'!$1:$1,0),0),"")</f>
        <v>5.49</v>
      </c>
      <c r="L24" s="969" t="str">
        <f>IFERROR(VLOOKUP($D24,'Piping Class'!$1:$1048576,MATCH($I24,'Piping Class'!$2:$2,0),0),"")</f>
        <v>40S</v>
      </c>
      <c r="M24" s="968" t="str">
        <f>IFERROR(VLOOKUP(J24,'Thickness Tab'!$1:$1048576,MATCH(N24,'Thickness Tab'!$1:$1,0),0),"")</f>
        <v/>
      </c>
      <c r="N24" s="969" t="str">
        <f>IFERROR(VLOOKUP($D24,'Piping Class'!$1:$1048576,MATCH($J24,'Piping Class'!$2:$2,0),0),"")</f>
        <v/>
      </c>
      <c r="O24" s="968" t="str">
        <f>IFERROR(VLOOKUP($D24,'Piping Class'!$88:$102,MATCH(O$1,'Piping Class'!$88:$88,0),0),"")</f>
        <v>B31.3 / B16.5</v>
      </c>
      <c r="P24" s="968" t="str">
        <f>IFERROR(VLOOKUP($D24,'Piping Class'!$88:$102,MATCH(P$1,'Piping Class'!$88:$88,0),0),"")</f>
        <v>3.1</v>
      </c>
      <c r="Q24" s="983"/>
      <c r="R24" s="988">
        <v>34</v>
      </c>
      <c r="S24" s="969" t="str">
        <f t="shared" si="58"/>
        <v>cad</v>
      </c>
      <c r="T24" s="968">
        <f>IFERROR(VLOOKUP(I24&amp;"."&amp;L24,'Fitting Chart'!$1:$1048576,MATCH(C24,'Fitting Chart'!$1:$1,0),0),0)+IF(B24="piping",PI()*K24*(VLOOKUP(I24,'Thickness Tab'!$1:$1048576,3,0)-K24)*7.86/1000,0)+IF(B24="Flange",VLOOKUP(I24&amp;"F"&amp;F24,'Flanges Chart'!$1:$1048576,MATCH(C24&amp;"."&amp;T$1,'Flanges Chart'!$1:$1,0),0),0)</f>
        <v>2.1318841390000003</v>
      </c>
      <c r="U24" s="989">
        <f t="shared" si="0"/>
        <v>72.48406072600001</v>
      </c>
      <c r="V24" s="1003">
        <v>15</v>
      </c>
      <c r="W24" s="1001">
        <f t="shared" si="22"/>
        <v>1087.2609108900001</v>
      </c>
      <c r="X24" s="997"/>
      <c r="Y24" s="983"/>
      <c r="Z24" s="989">
        <f>IF(B24="Piping",VLOOKUP(I24,'Thickness Tab'!$1:$1048576,3,0)/1000*PI(),0)+IFERROR(VLOOKUP(I24&amp;"F"&amp;F24,'Flanges Chart'!$1:$1048576,MATCH(C24&amp;".Unit Surface",'Flanges Chart'!$1:$1,0),0),0)+IF(B24="Fitting",VLOOKUP(I24,'Thickness Tab'!$1:$1048576,3,0)/1000*PI(),0)</f>
        <v>0.27928758690413263</v>
      </c>
      <c r="AA24" s="989">
        <f t="shared" si="23"/>
        <v>9.4957779547405092</v>
      </c>
      <c r="AB24" s="983">
        <v>50</v>
      </c>
      <c r="AC24" s="989">
        <f t="shared" si="24"/>
        <v>0.593446852263112</v>
      </c>
      <c r="AD24" s="989">
        <f t="shared" si="25"/>
        <v>20.177192976945808</v>
      </c>
      <c r="AE24" s="974">
        <f>(IFERROR(VLOOKUP($C24,List!$J:$L,2,0),0)*R24+IF(B24="piping",R24,0)+IF(C24="Welding Neck",1,0)*R24)*$AE$2</f>
        <v>54.400000000000006</v>
      </c>
      <c r="AF24" s="970">
        <f>IFERROR(VLOOKUP($C24,List!$J:$L,3,0),0)*R24*$AF$2</f>
        <v>0</v>
      </c>
      <c r="AG24" s="990">
        <f t="shared" si="1"/>
        <v>163.20000000000002</v>
      </c>
      <c r="AH24" s="1118">
        <f>IFERROR(VLOOKUP($D24,'Piping Class'!$88:$102,MATCH(AH$1,'Piping Class'!$88:$88,0),0),"")</f>
        <v>0.1</v>
      </c>
      <c r="AI24" s="991">
        <f>IFERROR(VLOOKUP($D24,'Piping Class'!$88:$102,MATCH(AI$1,'Piping Class'!$88:$88,0),0),"")</f>
        <v>1</v>
      </c>
      <c r="AJ24" s="991">
        <f>IFERROR(VLOOKUP($D24,'Piping Class'!$88:$102,MATCH(AJ$1,'Piping Class'!$88:$88,0),0),"")</f>
        <v>1</v>
      </c>
      <c r="AK24" s="991">
        <f>IFERROR(VLOOKUP($D24,'Piping Class'!$88:$102,MATCH(AK$1,'Piping Class'!$88:$88,0),0),"")</f>
        <v>0</v>
      </c>
      <c r="AL24" s="991">
        <f t="shared" si="44"/>
        <v>1</v>
      </c>
      <c r="AM24" s="1119" t="str">
        <f>IFERROR(VLOOKUP($D24,'Piping Class'!$88:$102,MATCH(AM$1,'Piping Class'!$88:$88,0),0),"")</f>
        <v/>
      </c>
      <c r="AN24" s="992">
        <f t="shared" si="26"/>
        <v>13.047130930680002</v>
      </c>
      <c r="AO24" s="993">
        <f>IFERROR(VLOOKUP(I24&amp;"B"&amp;F24,'Bolting Chart'!$1:$1048576,4,0),0)</f>
        <v>0</v>
      </c>
      <c r="AP24" s="993">
        <f t="shared" si="27"/>
        <v>0</v>
      </c>
      <c r="AQ24" s="993">
        <f t="shared" si="28"/>
        <v>0</v>
      </c>
      <c r="AR24" s="993">
        <f>IF(AO24=0,0,VLOOKUP(D24&amp;".bolting",'Piping Class'!$1:$1048576,MATCH(I24,'Piping Class'!$2:$2,0),0))</f>
        <v>0</v>
      </c>
      <c r="AS24" s="994">
        <f>IFERROR(VLOOKUP(I24&amp;"B"&amp;F24,'Bolting Chart'!$1:$1048576,IF(AS$2="UNC",5,6),0),0)</f>
        <v>0</v>
      </c>
      <c r="AT24" s="995">
        <f>IFERROR(VLOOKUP(I24&amp;"B"&amp;F24,'Bolting Chart'!$1:$1048576,IF(G24="RF",8,9),0),0)</f>
        <v>0</v>
      </c>
      <c r="AU24" s="993">
        <f>IF(AO24=0,0,VLOOKUP(D24&amp;".gasket",'Piping Class'!$1:$1048576,MATCH(I24,'Piping Class'!$2:$2,0),0))</f>
        <v>0</v>
      </c>
      <c r="AV24" s="996">
        <f>(IFERROR(INDEX('Bolting Chart'!$A$169:$R$251,MATCH(AT24,'Bolting Chart'!$A$170:$A$251,0),MATCH(IFERROR(VLOOKUP(I24&amp;"B"&amp;F24,'Bolting Chart'!$1:$1048576,7,0),0)+0,'Bolting Chart'!$A$169:$R$169,0)),0))/100</f>
        <v>0</v>
      </c>
      <c r="AW24" s="996">
        <f t="shared" si="3"/>
        <v>0</v>
      </c>
      <c r="AX24" s="1194">
        <f t="shared" si="4"/>
        <v>0</v>
      </c>
      <c r="AY24" s="981"/>
      <c r="AZ24" s="1543">
        <f t="shared" si="29"/>
        <v>0</v>
      </c>
      <c r="BA24" s="1543">
        <f t="shared" si="29"/>
        <v>0</v>
      </c>
      <c r="BB24" s="1543">
        <f t="shared" si="29"/>
        <v>0</v>
      </c>
      <c r="BC24" s="1543">
        <f t="shared" si="29"/>
        <v>0</v>
      </c>
      <c r="BD24" s="1543">
        <f t="shared" si="29"/>
        <v>0</v>
      </c>
      <c r="BE24" s="1543">
        <f t="shared" si="29"/>
        <v>0</v>
      </c>
      <c r="BF24" s="1543">
        <f t="shared" si="29"/>
        <v>1</v>
      </c>
      <c r="BG24" s="1543">
        <f t="shared" si="29"/>
        <v>0</v>
      </c>
      <c r="BH24" s="1543">
        <f t="shared" si="29"/>
        <v>0</v>
      </c>
      <c r="BI24" s="1543">
        <f t="shared" si="29"/>
        <v>0</v>
      </c>
      <c r="BJ24" s="1543">
        <f t="shared" si="29"/>
        <v>0</v>
      </c>
      <c r="BK24" s="1543">
        <f t="shared" si="29"/>
        <v>0</v>
      </c>
      <c r="BL24" s="1543">
        <f t="shared" si="29"/>
        <v>0</v>
      </c>
      <c r="BM24" s="1543">
        <f t="shared" si="29"/>
        <v>0</v>
      </c>
      <c r="BN24" s="1543">
        <f t="shared" si="29"/>
        <v>0</v>
      </c>
      <c r="BO24" s="1543">
        <f t="shared" si="29"/>
        <v>0</v>
      </c>
      <c r="BP24" s="1543">
        <f t="shared" si="45"/>
        <v>0</v>
      </c>
      <c r="BQ24" s="1543">
        <f t="shared" si="45"/>
        <v>0</v>
      </c>
      <c r="BR24" s="1543">
        <f t="shared" si="45"/>
        <v>0</v>
      </c>
      <c r="BS24" s="1543">
        <f t="shared" si="45"/>
        <v>0</v>
      </c>
      <c r="BT24" s="1543">
        <f t="shared" si="45"/>
        <v>0</v>
      </c>
      <c r="BU24" s="1543">
        <f t="shared" si="45"/>
        <v>0</v>
      </c>
      <c r="BV24" s="1543">
        <f t="shared" si="45"/>
        <v>0</v>
      </c>
      <c r="BW24" s="1543">
        <f t="shared" si="45"/>
        <v>0</v>
      </c>
      <c r="BX24" s="1543">
        <f t="shared" si="45"/>
        <v>0</v>
      </c>
      <c r="BY24" s="1543">
        <f t="shared" si="45"/>
        <v>0</v>
      </c>
      <c r="BZ24" s="1543">
        <f t="shared" si="45"/>
        <v>0</v>
      </c>
      <c r="CB24" s="1543">
        <f t="shared" si="30"/>
        <v>0</v>
      </c>
      <c r="CC24" s="1543">
        <f t="shared" si="30"/>
        <v>0</v>
      </c>
      <c r="CD24" s="1543">
        <f t="shared" si="30"/>
        <v>0</v>
      </c>
      <c r="CE24" s="1543">
        <f t="shared" si="30"/>
        <v>0</v>
      </c>
      <c r="CF24" s="1543">
        <f t="shared" si="30"/>
        <v>0</v>
      </c>
      <c r="CG24" s="1543">
        <f t="shared" si="30"/>
        <v>0</v>
      </c>
      <c r="CH24" s="1543">
        <f t="shared" si="30"/>
        <v>0</v>
      </c>
      <c r="CI24" s="1543">
        <f t="shared" si="30"/>
        <v>0</v>
      </c>
      <c r="CJ24" s="1543">
        <f t="shared" si="30"/>
        <v>0</v>
      </c>
      <c r="CK24" s="1543">
        <f t="shared" si="30"/>
        <v>0</v>
      </c>
      <c r="CL24" s="1543">
        <f t="shared" si="30"/>
        <v>0</v>
      </c>
      <c r="CM24" s="1543">
        <f t="shared" si="30"/>
        <v>0</v>
      </c>
      <c r="CN24" s="1543">
        <f t="shared" si="30"/>
        <v>0</v>
      </c>
      <c r="CO24" s="1543">
        <f t="shared" si="30"/>
        <v>0</v>
      </c>
      <c r="CP24" s="1543">
        <f t="shared" si="30"/>
        <v>0</v>
      </c>
      <c r="CQ24" s="1543">
        <f t="shared" si="30"/>
        <v>0</v>
      </c>
      <c r="CR24" s="1543">
        <f t="shared" si="46"/>
        <v>0</v>
      </c>
      <c r="CS24" s="1543">
        <f t="shared" si="46"/>
        <v>0</v>
      </c>
      <c r="CT24" s="1543">
        <f t="shared" si="47"/>
        <v>0</v>
      </c>
      <c r="CU24" s="1543">
        <f t="shared" si="47"/>
        <v>0</v>
      </c>
      <c r="CV24" s="1543">
        <f t="shared" si="47"/>
        <v>0</v>
      </c>
      <c r="CW24" s="1543">
        <f t="shared" si="47"/>
        <v>0</v>
      </c>
      <c r="CX24" s="1543">
        <f t="shared" si="47"/>
        <v>0</v>
      </c>
      <c r="CY24" s="1543">
        <f t="shared" si="47"/>
        <v>0</v>
      </c>
      <c r="CZ24" s="1543">
        <f t="shared" si="47"/>
        <v>0</v>
      </c>
      <c r="DA24" s="1543">
        <f t="shared" si="47"/>
        <v>0</v>
      </c>
      <c r="DB24" s="1543">
        <f t="shared" si="47"/>
        <v>0</v>
      </c>
      <c r="DD24" s="1543">
        <f t="shared" si="9"/>
        <v>0</v>
      </c>
      <c r="DE24" s="1543">
        <f t="shared" si="10"/>
        <v>1</v>
      </c>
      <c r="DF24" s="1543">
        <f t="shared" si="11"/>
        <v>0</v>
      </c>
      <c r="DG24" s="1543">
        <f t="shared" si="31"/>
        <v>0</v>
      </c>
      <c r="DI24" s="1543">
        <f t="shared" si="32"/>
        <v>0</v>
      </c>
      <c r="DJ24" s="1543">
        <f t="shared" si="48"/>
        <v>0</v>
      </c>
      <c r="DK24" s="1543">
        <f t="shared" si="48"/>
        <v>1</v>
      </c>
      <c r="DL24" s="1543">
        <f t="shared" si="48"/>
        <v>0</v>
      </c>
      <c r="DM24" s="1543">
        <f t="shared" si="48"/>
        <v>0</v>
      </c>
      <c r="DO24" s="1543">
        <f t="shared" si="13"/>
        <v>0</v>
      </c>
      <c r="DP24" s="1543">
        <f t="shared" si="55"/>
        <v>0</v>
      </c>
      <c r="DQ24" s="1543">
        <f t="shared" si="55"/>
        <v>0</v>
      </c>
      <c r="DR24" s="1543">
        <f t="shared" si="55"/>
        <v>0</v>
      </c>
      <c r="DS24" s="1543">
        <f t="shared" si="55"/>
        <v>0</v>
      </c>
      <c r="DT24" s="1543">
        <f t="shared" si="55"/>
        <v>0</v>
      </c>
      <c r="DU24" s="1543">
        <f t="shared" si="55"/>
        <v>0</v>
      </c>
      <c r="DV24" s="1543">
        <f t="shared" si="55"/>
        <v>0</v>
      </c>
      <c r="DW24" s="1543">
        <f t="shared" si="55"/>
        <v>0</v>
      </c>
      <c r="DX24" s="1543">
        <f t="shared" si="55"/>
        <v>0</v>
      </c>
      <c r="DY24" s="1543">
        <f t="shared" si="55"/>
        <v>0</v>
      </c>
      <c r="DZ24" s="1543">
        <f t="shared" si="55"/>
        <v>0</v>
      </c>
      <c r="EA24" s="1543">
        <f t="shared" si="55"/>
        <v>0</v>
      </c>
      <c r="EB24" s="1543">
        <f t="shared" si="50"/>
        <v>0</v>
      </c>
      <c r="EC24" s="1543">
        <f t="shared" si="50"/>
        <v>0</v>
      </c>
      <c r="ED24" s="1543">
        <f t="shared" si="50"/>
        <v>0</v>
      </c>
      <c r="EE24" s="1543">
        <f t="shared" si="50"/>
        <v>1</v>
      </c>
      <c r="EF24" s="1543">
        <f t="shared" si="50"/>
        <v>0</v>
      </c>
      <c r="EH24" s="1543">
        <f t="shared" si="33"/>
        <v>1</v>
      </c>
      <c r="EI24" s="1543">
        <f t="shared" si="34"/>
        <v>0</v>
      </c>
      <c r="EJ24" s="1543">
        <f t="shared" si="35"/>
        <v>0</v>
      </c>
      <c r="EK24" s="1543">
        <f t="shared" si="36"/>
        <v>0</v>
      </c>
      <c r="EL24" s="1543">
        <f t="shared" si="37"/>
        <v>0</v>
      </c>
      <c r="EM24" s="1543">
        <f t="shared" si="38"/>
        <v>0</v>
      </c>
      <c r="EN24" s="1543">
        <f t="shared" si="39"/>
        <v>0</v>
      </c>
      <c r="EP24" s="1543">
        <f t="shared" si="51"/>
        <v>0</v>
      </c>
      <c r="EQ24" s="1543">
        <f t="shared" si="51"/>
        <v>0</v>
      </c>
      <c r="ER24" s="1543">
        <f t="shared" si="51"/>
        <v>0</v>
      </c>
      <c r="ES24" s="1543">
        <f t="shared" si="51"/>
        <v>0</v>
      </c>
      <c r="ET24" s="1543">
        <f t="shared" si="51"/>
        <v>0</v>
      </c>
      <c r="EU24" s="1543">
        <f t="shared" si="51"/>
        <v>0</v>
      </c>
      <c r="EV24" s="1543">
        <f t="shared" si="51"/>
        <v>0</v>
      </c>
      <c r="EW24" s="1543">
        <f t="shared" si="51"/>
        <v>0</v>
      </c>
      <c r="EX24" s="1543">
        <f t="shared" si="51"/>
        <v>0</v>
      </c>
      <c r="EY24" s="1543">
        <f t="shared" si="51"/>
        <v>0</v>
      </c>
      <c r="EZ24" s="1543">
        <f t="shared" si="51"/>
        <v>0</v>
      </c>
      <c r="FA24" s="1543">
        <f t="shared" si="51"/>
        <v>0</v>
      </c>
      <c r="FB24" s="1543">
        <f t="shared" si="51"/>
        <v>0</v>
      </c>
      <c r="FC24" s="1543">
        <f t="shared" si="51"/>
        <v>0</v>
      </c>
      <c r="FD24" s="1543">
        <f t="shared" si="51"/>
        <v>0</v>
      </c>
      <c r="FE24" s="1543">
        <f t="shared" si="52"/>
        <v>0</v>
      </c>
      <c r="FF24" s="1543">
        <f t="shared" si="40"/>
        <v>1</v>
      </c>
      <c r="FH24" s="1543">
        <f t="shared" si="56"/>
        <v>0</v>
      </c>
      <c r="FI24" s="1543">
        <f t="shared" si="56"/>
        <v>0</v>
      </c>
      <c r="FJ24" s="1543">
        <f t="shared" si="56"/>
        <v>0</v>
      </c>
      <c r="FK24" s="1543">
        <f t="shared" si="56"/>
        <v>0</v>
      </c>
      <c r="FL24" s="1543">
        <f t="shared" si="56"/>
        <v>0</v>
      </c>
      <c r="FM24" s="1543">
        <f t="shared" si="56"/>
        <v>0</v>
      </c>
      <c r="FN24" s="1543">
        <f t="shared" si="56"/>
        <v>0</v>
      </c>
      <c r="FO24" s="1543">
        <f t="shared" si="56"/>
        <v>0</v>
      </c>
      <c r="FP24" s="1543">
        <f t="shared" si="56"/>
        <v>0</v>
      </c>
      <c r="FQ24" s="1543">
        <f t="shared" si="56"/>
        <v>0</v>
      </c>
      <c r="FR24" s="1543">
        <f t="shared" si="56"/>
        <v>0</v>
      </c>
      <c r="FS24" s="1543">
        <f t="shared" si="56"/>
        <v>0</v>
      </c>
      <c r="FT24" s="1543">
        <f t="shared" si="41"/>
        <v>1</v>
      </c>
      <c r="FV24" s="1543">
        <f t="shared" si="57"/>
        <v>0</v>
      </c>
      <c r="FW24" s="1543">
        <f t="shared" si="57"/>
        <v>0</v>
      </c>
      <c r="FX24" s="1543">
        <f t="shared" si="57"/>
        <v>0</v>
      </c>
      <c r="FY24" s="1543">
        <f t="shared" si="57"/>
        <v>1</v>
      </c>
      <c r="FZ24" s="1543">
        <f t="shared" si="57"/>
        <v>0</v>
      </c>
      <c r="GA24" s="1543">
        <f t="shared" si="57"/>
        <v>0</v>
      </c>
      <c r="GB24" s="1543">
        <f t="shared" si="57"/>
        <v>0</v>
      </c>
      <c r="GC24" s="1543">
        <f t="shared" si="57"/>
        <v>0</v>
      </c>
      <c r="GD24" s="1543">
        <f t="shared" si="57"/>
        <v>0</v>
      </c>
    </row>
    <row r="25" spans="1:186" s="982" customFormat="1" ht="15.6" x14ac:dyDescent="0.3">
      <c r="A25" s="974">
        <v>23</v>
      </c>
      <c r="B25" s="983" t="s">
        <v>1907</v>
      </c>
      <c r="C25" s="984" t="s">
        <v>1908</v>
      </c>
      <c r="D25" s="983" t="s">
        <v>67</v>
      </c>
      <c r="E25" s="968" t="str">
        <f>IFERROR(VLOOKUP($D25&amp;"."&amp;B25,'Piping Class'!$1:$1048576,MATCH($I25,'Piping Class'!$2:$2,0),0),"")</f>
        <v>ASTM A312-
TP316/316L</v>
      </c>
      <c r="F25" s="985" t="str">
        <f>IFERROR(IF(B25="Flange",VLOOKUP($D25,'Piping Class'!$88:$102,MATCH(F$1,'Piping Class'!$88:$88,0),0),""),"")</f>
        <v/>
      </c>
      <c r="G25" s="968" t="str">
        <f>IFERROR(IF(B25="Flange",VLOOKUP($D25,'Piping Class'!$88:$102,MATCH(G$1,'Piping Class'!$88:$88,0),0),""),"")</f>
        <v/>
      </c>
      <c r="H25" s="968" t="str">
        <f>IFERROR(VLOOKUP($D25,'Piping Class'!$88:$102,MATCH(H$1,'Piping Class'!$88:$88,0),0),"")</f>
        <v>SS</v>
      </c>
      <c r="I25" s="986">
        <v>2</v>
      </c>
      <c r="J25" s="986"/>
      <c r="K25" s="968">
        <f>IFERROR(VLOOKUP(I25,'Thickness Tab'!$1:$1048576,MATCH(L25,'Thickness Tab'!$1:$1,0),0),"")</f>
        <v>3.91</v>
      </c>
      <c r="L25" s="969" t="str">
        <f>IFERROR(VLOOKUP($D25,'Piping Class'!$1:$1048576,MATCH($I25,'Piping Class'!$2:$2,0),0),"")</f>
        <v>40S</v>
      </c>
      <c r="M25" s="968" t="str">
        <f>IFERROR(VLOOKUP(J25,'Thickness Tab'!$1:$1048576,MATCH(N25,'Thickness Tab'!$1:$1,0),0),"")</f>
        <v/>
      </c>
      <c r="N25" s="969" t="str">
        <f>IFERROR(VLOOKUP($D25,'Piping Class'!$1:$1048576,MATCH($J25,'Piping Class'!$2:$2,0),0),"")</f>
        <v/>
      </c>
      <c r="O25" s="968" t="str">
        <f>IFERROR(VLOOKUP($D25,'Piping Class'!$88:$102,MATCH(O$1,'Piping Class'!$88:$88,0),0),"")</f>
        <v>B31.3 / B16.5</v>
      </c>
      <c r="P25" s="968" t="str">
        <f>IFERROR(VLOOKUP($D25,'Piping Class'!$88:$102,MATCH(P$1,'Piping Class'!$88:$88,0),0),"")</f>
        <v>3.1</v>
      </c>
      <c r="Q25" s="983"/>
      <c r="R25" s="988">
        <v>0</v>
      </c>
      <c r="S25" s="969" t="str">
        <f t="shared" si="58"/>
        <v>cad</v>
      </c>
      <c r="T25" s="968">
        <f>IFERROR(VLOOKUP(I25&amp;"."&amp;L25,'Fitting Chart'!$1:$1048576,MATCH(C25,'Fitting Chart'!$1:$1,0),0),0)+IF(B25="piping",PI()*K25*(VLOOKUP(I25,'Thickness Tab'!$1:$1048576,3,0)-K25)*7.86/1000,0)+IF(B25="Flange",VLOOKUP(I25&amp;"F"&amp;F25,'Flanges Chart'!$1:$1048576,MATCH(C25&amp;"."&amp;T$1,'Flanges Chart'!$1:$1,0),0),0)</f>
        <v>0.68038855500000006</v>
      </c>
      <c r="U25" s="989">
        <f t="shared" si="0"/>
        <v>0</v>
      </c>
      <c r="V25" s="1003">
        <v>15</v>
      </c>
      <c r="W25" s="1001">
        <f t="shared" si="22"/>
        <v>0</v>
      </c>
      <c r="X25" s="997"/>
      <c r="Y25" s="983"/>
      <c r="Z25" s="989">
        <f>IF(B25="Piping",VLOOKUP(I25,'Thickness Tab'!$1:$1048576,3,0)/1000*PI(),0)+IFERROR(VLOOKUP(I25&amp;"F"&amp;F25,'Flanges Chart'!$1:$1048576,MATCH(C25&amp;".Unit Surface",'Flanges Chart'!$1:$1,0),0),0)+IF(B25="Fitting",VLOOKUP(I25,'Thickness Tab'!$1:$1048576,3,0)/1000*PI(),0)</f>
        <v>0.18950086886453632</v>
      </c>
      <c r="AA25" s="989">
        <f t="shared" si="23"/>
        <v>0</v>
      </c>
      <c r="AB25" s="983">
        <v>50</v>
      </c>
      <c r="AC25" s="989">
        <f t="shared" si="24"/>
        <v>0.50366013422351563</v>
      </c>
      <c r="AD25" s="989">
        <f t="shared" si="25"/>
        <v>0</v>
      </c>
      <c r="AE25" s="974">
        <f>(IFERROR(VLOOKUP($C25,List!$J:$L,2,0),0)*R25+IF(B25="piping",R25,0)+IF(C25="Welding Neck",1,0)*R25)*$AE$2</f>
        <v>0</v>
      </c>
      <c r="AF25" s="970">
        <f>IFERROR(VLOOKUP($C25,List!$J:$L,3,0),0)*R25*$AF$2</f>
        <v>0</v>
      </c>
      <c r="AG25" s="990">
        <f t="shared" si="1"/>
        <v>0</v>
      </c>
      <c r="AH25" s="1118">
        <f>IFERROR(VLOOKUP($D25,'Piping Class'!$88:$102,MATCH(AH$1,'Piping Class'!$88:$88,0),0),"")</f>
        <v>0.1</v>
      </c>
      <c r="AI25" s="991">
        <f>IFERROR(VLOOKUP($D25,'Piping Class'!$88:$102,MATCH(AI$1,'Piping Class'!$88:$88,0),0),"")</f>
        <v>1</v>
      </c>
      <c r="AJ25" s="991">
        <f>IFERROR(VLOOKUP($D25,'Piping Class'!$88:$102,MATCH(AJ$1,'Piping Class'!$88:$88,0),0),"")</f>
        <v>1</v>
      </c>
      <c r="AK25" s="991">
        <f>IFERROR(VLOOKUP($D25,'Piping Class'!$88:$102,MATCH(AK$1,'Piping Class'!$88:$88,0),0),"")</f>
        <v>0</v>
      </c>
      <c r="AL25" s="991">
        <f t="shared" si="44"/>
        <v>1</v>
      </c>
      <c r="AM25" s="1119" t="str">
        <f>IFERROR(VLOOKUP($D25,'Piping Class'!$88:$102,MATCH(AM$1,'Piping Class'!$88:$88,0),0),"")</f>
        <v/>
      </c>
      <c r="AN25" s="992">
        <f t="shared" si="26"/>
        <v>0</v>
      </c>
      <c r="AO25" s="993">
        <f>IFERROR(VLOOKUP(I25&amp;"B"&amp;F25,'Bolting Chart'!$1:$1048576,4,0),0)</f>
        <v>0</v>
      </c>
      <c r="AP25" s="993">
        <f t="shared" si="27"/>
        <v>0</v>
      </c>
      <c r="AQ25" s="993">
        <f t="shared" si="28"/>
        <v>0</v>
      </c>
      <c r="AR25" s="993">
        <f>IF(AO25=0,0,VLOOKUP(D25&amp;".bolting",'Piping Class'!$1:$1048576,MATCH(I25,'Piping Class'!$2:$2,0),0))</f>
        <v>0</v>
      </c>
      <c r="AS25" s="994">
        <f>IFERROR(VLOOKUP(I25&amp;"B"&amp;F25,'Bolting Chart'!$1:$1048576,IF(AS$2="UNC",5,6),0),0)</f>
        <v>0</v>
      </c>
      <c r="AT25" s="995">
        <f>IFERROR(VLOOKUP(I25&amp;"B"&amp;F25,'Bolting Chart'!$1:$1048576,IF(G25="RF",8,9),0),0)</f>
        <v>0</v>
      </c>
      <c r="AU25" s="993">
        <f>IF(AO25=0,0,VLOOKUP(D25&amp;".gasket",'Piping Class'!$1:$1048576,MATCH(I25,'Piping Class'!$2:$2,0),0))</f>
        <v>0</v>
      </c>
      <c r="AV25" s="996">
        <f>(IFERROR(INDEX('Bolting Chart'!$A$169:$R$251,MATCH(AT25,'Bolting Chart'!$A$170:$A$251,0),MATCH(IFERROR(VLOOKUP(I25&amp;"B"&amp;F25,'Bolting Chart'!$1:$1048576,7,0),0)+0,'Bolting Chart'!$A$169:$R$169,0)),0))/100</f>
        <v>0</v>
      </c>
      <c r="AW25" s="996">
        <f t="shared" si="3"/>
        <v>0</v>
      </c>
      <c r="AX25" s="1194">
        <f t="shared" si="4"/>
        <v>0</v>
      </c>
      <c r="AY25" s="981"/>
      <c r="AZ25" s="1543">
        <f t="shared" si="29"/>
        <v>0</v>
      </c>
      <c r="BA25" s="1543">
        <f t="shared" si="29"/>
        <v>0</v>
      </c>
      <c r="BB25" s="1543">
        <f t="shared" si="29"/>
        <v>0</v>
      </c>
      <c r="BC25" s="1543">
        <f t="shared" si="29"/>
        <v>0</v>
      </c>
      <c r="BD25" s="1543">
        <f t="shared" si="29"/>
        <v>1</v>
      </c>
      <c r="BE25" s="1543">
        <f t="shared" si="29"/>
        <v>0</v>
      </c>
      <c r="BF25" s="1543">
        <f t="shared" si="29"/>
        <v>0</v>
      </c>
      <c r="BG25" s="1543">
        <f t="shared" si="29"/>
        <v>0</v>
      </c>
      <c r="BH25" s="1543">
        <f t="shared" si="29"/>
        <v>0</v>
      </c>
      <c r="BI25" s="1543">
        <f t="shared" si="29"/>
        <v>0</v>
      </c>
      <c r="BJ25" s="1543">
        <f t="shared" si="29"/>
        <v>0</v>
      </c>
      <c r="BK25" s="1543">
        <f t="shared" si="29"/>
        <v>0</v>
      </c>
      <c r="BL25" s="1543">
        <f t="shared" si="29"/>
        <v>0</v>
      </c>
      <c r="BM25" s="1543">
        <f t="shared" si="29"/>
        <v>0</v>
      </c>
      <c r="BN25" s="1543">
        <f t="shared" si="29"/>
        <v>0</v>
      </c>
      <c r="BO25" s="1543">
        <f t="shared" si="29"/>
        <v>0</v>
      </c>
      <c r="BP25" s="1543">
        <f t="shared" si="45"/>
        <v>0</v>
      </c>
      <c r="BQ25" s="1543">
        <f t="shared" si="45"/>
        <v>0</v>
      </c>
      <c r="BR25" s="1543">
        <f t="shared" si="45"/>
        <v>0</v>
      </c>
      <c r="BS25" s="1543">
        <f t="shared" si="45"/>
        <v>0</v>
      </c>
      <c r="BT25" s="1543">
        <f t="shared" si="45"/>
        <v>0</v>
      </c>
      <c r="BU25" s="1543">
        <f t="shared" si="45"/>
        <v>0</v>
      </c>
      <c r="BV25" s="1543">
        <f t="shared" si="45"/>
        <v>0</v>
      </c>
      <c r="BW25" s="1543">
        <f t="shared" si="45"/>
        <v>0</v>
      </c>
      <c r="BX25" s="1543">
        <f t="shared" si="45"/>
        <v>0</v>
      </c>
      <c r="BY25" s="1543">
        <f t="shared" si="45"/>
        <v>0</v>
      </c>
      <c r="BZ25" s="1543">
        <f t="shared" si="45"/>
        <v>0</v>
      </c>
      <c r="CB25" s="1543">
        <f t="shared" si="30"/>
        <v>0</v>
      </c>
      <c r="CC25" s="1543">
        <f t="shared" si="30"/>
        <v>0</v>
      </c>
      <c r="CD25" s="1543">
        <f t="shared" si="30"/>
        <v>0</v>
      </c>
      <c r="CE25" s="1543">
        <f t="shared" si="30"/>
        <v>0</v>
      </c>
      <c r="CF25" s="1543">
        <f t="shared" si="30"/>
        <v>0</v>
      </c>
      <c r="CG25" s="1543">
        <f t="shared" si="30"/>
        <v>0</v>
      </c>
      <c r="CH25" s="1543">
        <f t="shared" si="30"/>
        <v>0</v>
      </c>
      <c r="CI25" s="1543">
        <f t="shared" si="30"/>
        <v>0</v>
      </c>
      <c r="CJ25" s="1543">
        <f t="shared" si="30"/>
        <v>0</v>
      </c>
      <c r="CK25" s="1543">
        <f t="shared" si="30"/>
        <v>0</v>
      </c>
      <c r="CL25" s="1543">
        <f t="shared" si="30"/>
        <v>0</v>
      </c>
      <c r="CM25" s="1543">
        <f t="shared" si="30"/>
        <v>0</v>
      </c>
      <c r="CN25" s="1543">
        <f t="shared" si="30"/>
        <v>0</v>
      </c>
      <c r="CO25" s="1543">
        <f t="shared" si="30"/>
        <v>0</v>
      </c>
      <c r="CP25" s="1543">
        <f t="shared" si="30"/>
        <v>0</v>
      </c>
      <c r="CQ25" s="1543">
        <f t="shared" si="30"/>
        <v>0</v>
      </c>
      <c r="CR25" s="1543">
        <f t="shared" si="46"/>
        <v>0</v>
      </c>
      <c r="CS25" s="1543">
        <f t="shared" si="46"/>
        <v>0</v>
      </c>
      <c r="CT25" s="1543">
        <f t="shared" si="47"/>
        <v>0</v>
      </c>
      <c r="CU25" s="1543">
        <f t="shared" si="47"/>
        <v>0</v>
      </c>
      <c r="CV25" s="1543">
        <f t="shared" si="47"/>
        <v>0</v>
      </c>
      <c r="CW25" s="1543">
        <f t="shared" si="47"/>
        <v>0</v>
      </c>
      <c r="CX25" s="1543">
        <f t="shared" si="47"/>
        <v>0</v>
      </c>
      <c r="CY25" s="1543">
        <f t="shared" si="47"/>
        <v>0</v>
      </c>
      <c r="CZ25" s="1543">
        <f t="shared" si="47"/>
        <v>0</v>
      </c>
      <c r="DA25" s="1543">
        <f t="shared" si="47"/>
        <v>0</v>
      </c>
      <c r="DB25" s="1543">
        <f t="shared" si="47"/>
        <v>0</v>
      </c>
      <c r="DD25" s="1543">
        <f t="shared" si="9"/>
        <v>0</v>
      </c>
      <c r="DE25" s="1543">
        <f t="shared" si="10"/>
        <v>1</v>
      </c>
      <c r="DF25" s="1543">
        <f t="shared" si="11"/>
        <v>0</v>
      </c>
      <c r="DG25" s="1543">
        <f t="shared" si="31"/>
        <v>0</v>
      </c>
      <c r="DI25" s="1543">
        <f t="shared" si="32"/>
        <v>0</v>
      </c>
      <c r="DJ25" s="1543">
        <f t="shared" si="48"/>
        <v>0</v>
      </c>
      <c r="DK25" s="1543">
        <f t="shared" si="48"/>
        <v>1</v>
      </c>
      <c r="DL25" s="1543">
        <f t="shared" si="48"/>
        <v>0</v>
      </c>
      <c r="DM25" s="1543">
        <f t="shared" si="48"/>
        <v>0</v>
      </c>
      <c r="DO25" s="1543">
        <f t="shared" si="13"/>
        <v>0</v>
      </c>
      <c r="DP25" s="1543">
        <f t="shared" si="55"/>
        <v>0</v>
      </c>
      <c r="DQ25" s="1543">
        <f t="shared" si="55"/>
        <v>0</v>
      </c>
      <c r="DR25" s="1543">
        <f t="shared" si="55"/>
        <v>0</v>
      </c>
      <c r="DS25" s="1543">
        <f t="shared" si="55"/>
        <v>0</v>
      </c>
      <c r="DT25" s="1543">
        <f t="shared" si="55"/>
        <v>0</v>
      </c>
      <c r="DU25" s="1543">
        <f t="shared" si="55"/>
        <v>0</v>
      </c>
      <c r="DV25" s="1543">
        <f t="shared" si="55"/>
        <v>0</v>
      </c>
      <c r="DW25" s="1543">
        <f t="shared" si="55"/>
        <v>0</v>
      </c>
      <c r="DX25" s="1543">
        <f t="shared" si="55"/>
        <v>0</v>
      </c>
      <c r="DY25" s="1543">
        <f t="shared" si="55"/>
        <v>0</v>
      </c>
      <c r="DZ25" s="1543">
        <f t="shared" si="55"/>
        <v>0</v>
      </c>
      <c r="EA25" s="1543">
        <f t="shared" si="55"/>
        <v>0</v>
      </c>
      <c r="EB25" s="1543">
        <f t="shared" si="50"/>
        <v>0</v>
      </c>
      <c r="EC25" s="1543">
        <f t="shared" si="50"/>
        <v>0</v>
      </c>
      <c r="ED25" s="1543">
        <f t="shared" si="50"/>
        <v>0</v>
      </c>
      <c r="EE25" s="1543">
        <f t="shared" si="50"/>
        <v>1</v>
      </c>
      <c r="EF25" s="1543">
        <f t="shared" si="50"/>
        <v>0</v>
      </c>
      <c r="EH25" s="1543">
        <f t="shared" si="33"/>
        <v>1</v>
      </c>
      <c r="EI25" s="1543">
        <f t="shared" si="34"/>
        <v>0</v>
      </c>
      <c r="EJ25" s="1543">
        <f t="shared" si="35"/>
        <v>0</v>
      </c>
      <c r="EK25" s="1543">
        <f t="shared" si="36"/>
        <v>0</v>
      </c>
      <c r="EL25" s="1543">
        <f t="shared" si="37"/>
        <v>0</v>
      </c>
      <c r="EM25" s="1543">
        <f t="shared" si="38"/>
        <v>0</v>
      </c>
      <c r="EN25" s="1543">
        <f t="shared" si="39"/>
        <v>0</v>
      </c>
      <c r="EP25" s="1543">
        <f t="shared" si="51"/>
        <v>0</v>
      </c>
      <c r="EQ25" s="1543">
        <f t="shared" si="51"/>
        <v>0</v>
      </c>
      <c r="ER25" s="1543">
        <f t="shared" si="51"/>
        <v>0</v>
      </c>
      <c r="ES25" s="1543">
        <f t="shared" si="51"/>
        <v>0</v>
      </c>
      <c r="ET25" s="1543">
        <f t="shared" si="51"/>
        <v>0</v>
      </c>
      <c r="EU25" s="1543">
        <f t="shared" si="51"/>
        <v>0</v>
      </c>
      <c r="EV25" s="1543">
        <f t="shared" si="51"/>
        <v>0</v>
      </c>
      <c r="EW25" s="1543">
        <f t="shared" si="51"/>
        <v>0</v>
      </c>
      <c r="EX25" s="1543">
        <f t="shared" si="51"/>
        <v>0</v>
      </c>
      <c r="EY25" s="1543">
        <f t="shared" si="51"/>
        <v>0</v>
      </c>
      <c r="EZ25" s="1543">
        <f t="shared" si="51"/>
        <v>0</v>
      </c>
      <c r="FA25" s="1543">
        <f t="shared" si="51"/>
        <v>0</v>
      </c>
      <c r="FB25" s="1543">
        <f t="shared" si="51"/>
        <v>0</v>
      </c>
      <c r="FC25" s="1543">
        <f t="shared" si="51"/>
        <v>0</v>
      </c>
      <c r="FD25" s="1543">
        <f t="shared" si="51"/>
        <v>0</v>
      </c>
      <c r="FE25" s="1543">
        <f t="shared" si="52"/>
        <v>0</v>
      </c>
      <c r="FF25" s="1543">
        <f t="shared" si="40"/>
        <v>1</v>
      </c>
      <c r="FH25" s="1543">
        <f t="shared" si="56"/>
        <v>0</v>
      </c>
      <c r="FI25" s="1543">
        <f t="shared" si="56"/>
        <v>0</v>
      </c>
      <c r="FJ25" s="1543">
        <f t="shared" si="56"/>
        <v>0</v>
      </c>
      <c r="FK25" s="1543">
        <f t="shared" si="56"/>
        <v>0</v>
      </c>
      <c r="FL25" s="1543">
        <f t="shared" si="56"/>
        <v>0</v>
      </c>
      <c r="FM25" s="1543">
        <f t="shared" si="56"/>
        <v>0</v>
      </c>
      <c r="FN25" s="1543">
        <f t="shared" si="56"/>
        <v>0</v>
      </c>
      <c r="FO25" s="1543">
        <f t="shared" si="56"/>
        <v>0</v>
      </c>
      <c r="FP25" s="1543">
        <f t="shared" si="56"/>
        <v>0</v>
      </c>
      <c r="FQ25" s="1543">
        <f t="shared" si="56"/>
        <v>0</v>
      </c>
      <c r="FR25" s="1543">
        <f t="shared" si="56"/>
        <v>0</v>
      </c>
      <c r="FS25" s="1543">
        <f t="shared" si="56"/>
        <v>0</v>
      </c>
      <c r="FT25" s="1543">
        <f t="shared" si="41"/>
        <v>1</v>
      </c>
      <c r="FV25" s="1543">
        <f t="shared" si="57"/>
        <v>0</v>
      </c>
      <c r="FW25" s="1543">
        <f t="shared" si="57"/>
        <v>0</v>
      </c>
      <c r="FX25" s="1543">
        <f t="shared" si="57"/>
        <v>0</v>
      </c>
      <c r="FY25" s="1543">
        <f t="shared" si="57"/>
        <v>1</v>
      </c>
      <c r="FZ25" s="1543">
        <f t="shared" si="57"/>
        <v>0</v>
      </c>
      <c r="GA25" s="1543">
        <f t="shared" si="57"/>
        <v>0</v>
      </c>
      <c r="GB25" s="1543">
        <f t="shared" si="57"/>
        <v>0</v>
      </c>
      <c r="GC25" s="1543">
        <f t="shared" si="57"/>
        <v>0</v>
      </c>
      <c r="GD25" s="1543">
        <f t="shared" si="57"/>
        <v>0</v>
      </c>
    </row>
    <row r="26" spans="1:186" s="982" customFormat="1" ht="15.6" x14ac:dyDescent="0.3">
      <c r="A26" s="974">
        <v>24</v>
      </c>
      <c r="B26" s="983" t="s">
        <v>1907</v>
      </c>
      <c r="C26" s="984" t="s">
        <v>1908</v>
      </c>
      <c r="D26" s="983" t="s">
        <v>67</v>
      </c>
      <c r="E26" s="968" t="str">
        <f>IFERROR(VLOOKUP($D26&amp;"."&amp;B26,'Piping Class'!$1:$1048576,MATCH($I26,'Piping Class'!$2:$2,0),0),"")</f>
        <v>ASTM A312-
TP316/316L</v>
      </c>
      <c r="F26" s="985" t="str">
        <f>IFERROR(IF(B26="Flange",VLOOKUP($D26,'Piping Class'!$88:$102,MATCH(F$1,'Piping Class'!$88:$88,0),0),""),"")</f>
        <v/>
      </c>
      <c r="G26" s="968" t="str">
        <f>IFERROR(IF(B26="Flange",VLOOKUP($D26,'Piping Class'!$88:$102,MATCH(G$1,'Piping Class'!$88:$88,0),0),""),"")</f>
        <v/>
      </c>
      <c r="H26" s="968" t="str">
        <f>IFERROR(VLOOKUP($D26,'Piping Class'!$88:$102,MATCH(H$1,'Piping Class'!$88:$88,0),0),"")</f>
        <v>SS</v>
      </c>
      <c r="I26" s="986">
        <v>3</v>
      </c>
      <c r="J26" s="986"/>
      <c r="K26" s="968">
        <f>IFERROR(VLOOKUP(I26,'Thickness Tab'!$1:$1048576,MATCH(L26,'Thickness Tab'!$1:$1,0),0),"")</f>
        <v>5.49</v>
      </c>
      <c r="L26" s="969" t="str">
        <f>IFERROR(VLOOKUP($D26,'Piping Class'!$1:$1048576,MATCH($I26,'Piping Class'!$2:$2,0),0),"")</f>
        <v>40S</v>
      </c>
      <c r="M26" s="968" t="str">
        <f>IFERROR(VLOOKUP(J26,'Thickness Tab'!$1:$1048576,MATCH(N26,'Thickness Tab'!$1:$1,0),0),"")</f>
        <v/>
      </c>
      <c r="N26" s="969" t="str">
        <f>IFERROR(VLOOKUP($D26,'Piping Class'!$1:$1048576,MATCH($J26,'Piping Class'!$2:$2,0),0),"")</f>
        <v/>
      </c>
      <c r="O26" s="968" t="str">
        <f>IFERROR(VLOOKUP($D26,'Piping Class'!$88:$102,MATCH(O$1,'Piping Class'!$88:$88,0),0),"")</f>
        <v>B31.3 / B16.5</v>
      </c>
      <c r="P26" s="968" t="str">
        <f>IFERROR(VLOOKUP($D26,'Piping Class'!$88:$102,MATCH(P$1,'Piping Class'!$88:$88,0),0),"")</f>
        <v>3.1</v>
      </c>
      <c r="Q26" s="983"/>
      <c r="R26" s="988">
        <v>0</v>
      </c>
      <c r="S26" s="969" t="str">
        <f t="shared" si="58"/>
        <v>cad</v>
      </c>
      <c r="T26" s="968">
        <f>IFERROR(VLOOKUP(I26&amp;"."&amp;L26,'Fitting Chart'!$1:$1048576,MATCH(C26,'Fitting Chart'!$1:$1,0),0),0)+IF(B26="piping",PI()*K26*(VLOOKUP(I26,'Thickness Tab'!$1:$1048576,3,0)-K26)*7.86/1000,0)+IF(B26="Flange",VLOOKUP(I26&amp;"F"&amp;F26,'Flanges Chart'!$1:$1048576,MATCH(C26&amp;"."&amp;T$1,'Flanges Chart'!$1:$1,0),0),0)</f>
        <v>2.1318841390000003</v>
      </c>
      <c r="U26" s="989">
        <f t="shared" si="0"/>
        <v>0</v>
      </c>
      <c r="V26" s="1003">
        <v>15</v>
      </c>
      <c r="W26" s="1001">
        <f t="shared" si="22"/>
        <v>0</v>
      </c>
      <c r="X26" s="997"/>
      <c r="Y26" s="983"/>
      <c r="Z26" s="989">
        <f>IF(B26="Piping",VLOOKUP(I26,'Thickness Tab'!$1:$1048576,3,0)/1000*PI(),0)+IFERROR(VLOOKUP(I26&amp;"F"&amp;F26,'Flanges Chart'!$1:$1048576,MATCH(C26&amp;".Unit Surface",'Flanges Chart'!$1:$1,0),0),0)+IF(B26="Fitting",VLOOKUP(I26,'Thickness Tab'!$1:$1048576,3,0)/1000*PI(),0)</f>
        <v>0.27928758690413263</v>
      </c>
      <c r="AA26" s="989">
        <f t="shared" si="23"/>
        <v>0</v>
      </c>
      <c r="AB26" s="983">
        <v>50</v>
      </c>
      <c r="AC26" s="989">
        <f t="shared" si="24"/>
        <v>0.593446852263112</v>
      </c>
      <c r="AD26" s="989">
        <f t="shared" si="25"/>
        <v>0</v>
      </c>
      <c r="AE26" s="974">
        <f>(IFERROR(VLOOKUP($C26,List!$J:$L,2,0),0)*R26+IF(B26="piping",R26,0)+IF(C26="Welding Neck",1,0)*R26)*$AE$2</f>
        <v>0</v>
      </c>
      <c r="AF26" s="970">
        <f>IFERROR(VLOOKUP($C26,List!$J:$L,3,0),0)*R26*$AF$2</f>
        <v>0</v>
      </c>
      <c r="AG26" s="990">
        <f t="shared" si="1"/>
        <v>0</v>
      </c>
      <c r="AH26" s="1118">
        <f>IFERROR(VLOOKUP($D26,'Piping Class'!$88:$102,MATCH(AH$1,'Piping Class'!$88:$88,0),0),"")</f>
        <v>0.1</v>
      </c>
      <c r="AI26" s="991">
        <f>IFERROR(VLOOKUP($D26,'Piping Class'!$88:$102,MATCH(AI$1,'Piping Class'!$88:$88,0),0),"")</f>
        <v>1</v>
      </c>
      <c r="AJ26" s="991">
        <f>IFERROR(VLOOKUP($D26,'Piping Class'!$88:$102,MATCH(AJ$1,'Piping Class'!$88:$88,0),0),"")</f>
        <v>1</v>
      </c>
      <c r="AK26" s="991">
        <f>IFERROR(VLOOKUP($D26,'Piping Class'!$88:$102,MATCH(AK$1,'Piping Class'!$88:$88,0),0),"")</f>
        <v>0</v>
      </c>
      <c r="AL26" s="991">
        <f t="shared" si="44"/>
        <v>1</v>
      </c>
      <c r="AM26" s="1119" t="str">
        <f>IFERROR(VLOOKUP($D26,'Piping Class'!$88:$102,MATCH(AM$1,'Piping Class'!$88:$88,0),0),"")</f>
        <v/>
      </c>
      <c r="AN26" s="992">
        <f t="shared" si="26"/>
        <v>0</v>
      </c>
      <c r="AO26" s="993">
        <f>IFERROR(VLOOKUP(I26&amp;"B"&amp;F26,'Bolting Chart'!$1:$1048576,4,0),0)</f>
        <v>0</v>
      </c>
      <c r="AP26" s="993">
        <f t="shared" si="27"/>
        <v>0</v>
      </c>
      <c r="AQ26" s="993">
        <f t="shared" si="28"/>
        <v>0</v>
      </c>
      <c r="AR26" s="993">
        <f>IF(AO26=0,0,VLOOKUP(D26&amp;".bolting",'Piping Class'!$1:$1048576,MATCH(I26,'Piping Class'!$2:$2,0),0))</f>
        <v>0</v>
      </c>
      <c r="AS26" s="994">
        <f>IFERROR(VLOOKUP(I26&amp;"B"&amp;F26,'Bolting Chart'!$1:$1048576,IF(AS$2="UNC",5,6),0),0)</f>
        <v>0</v>
      </c>
      <c r="AT26" s="995">
        <f>IFERROR(VLOOKUP(I26&amp;"B"&amp;F26,'Bolting Chart'!$1:$1048576,IF(G26="RF",8,9),0),0)</f>
        <v>0</v>
      </c>
      <c r="AU26" s="993">
        <f>IF(AO26=0,0,VLOOKUP(D26&amp;".gasket",'Piping Class'!$1:$1048576,MATCH(I26,'Piping Class'!$2:$2,0),0))</f>
        <v>0</v>
      </c>
      <c r="AV26" s="996">
        <f>(IFERROR(INDEX('Bolting Chart'!$A$169:$R$251,MATCH(AT26,'Bolting Chart'!$A$170:$A$251,0),MATCH(IFERROR(VLOOKUP(I26&amp;"B"&amp;F26,'Bolting Chart'!$1:$1048576,7,0),0)+0,'Bolting Chart'!$A$169:$R$169,0)),0))/100</f>
        <v>0</v>
      </c>
      <c r="AW26" s="996">
        <f t="shared" si="3"/>
        <v>0</v>
      </c>
      <c r="AX26" s="1194">
        <f t="shared" si="4"/>
        <v>0</v>
      </c>
      <c r="AY26" s="981"/>
      <c r="AZ26" s="1543">
        <f t="shared" si="29"/>
        <v>0</v>
      </c>
      <c r="BA26" s="1543">
        <f t="shared" si="29"/>
        <v>0</v>
      </c>
      <c r="BB26" s="1543">
        <f t="shared" si="29"/>
        <v>0</v>
      </c>
      <c r="BC26" s="1543">
        <f t="shared" si="29"/>
        <v>0</v>
      </c>
      <c r="BD26" s="1543">
        <f t="shared" si="29"/>
        <v>0</v>
      </c>
      <c r="BE26" s="1543">
        <f t="shared" si="29"/>
        <v>0</v>
      </c>
      <c r="BF26" s="1543">
        <f t="shared" si="29"/>
        <v>1</v>
      </c>
      <c r="BG26" s="1543">
        <f t="shared" si="29"/>
        <v>0</v>
      </c>
      <c r="BH26" s="1543">
        <f t="shared" si="29"/>
        <v>0</v>
      </c>
      <c r="BI26" s="1543">
        <f t="shared" si="29"/>
        <v>0</v>
      </c>
      <c r="BJ26" s="1543">
        <f t="shared" si="29"/>
        <v>0</v>
      </c>
      <c r="BK26" s="1543">
        <f t="shared" si="29"/>
        <v>0</v>
      </c>
      <c r="BL26" s="1543">
        <f t="shared" si="29"/>
        <v>0</v>
      </c>
      <c r="BM26" s="1543">
        <f t="shared" si="29"/>
        <v>0</v>
      </c>
      <c r="BN26" s="1543">
        <f t="shared" si="29"/>
        <v>0</v>
      </c>
      <c r="BO26" s="1543">
        <f t="shared" si="29"/>
        <v>0</v>
      </c>
      <c r="BP26" s="1543">
        <f t="shared" si="45"/>
        <v>0</v>
      </c>
      <c r="BQ26" s="1543">
        <f t="shared" si="45"/>
        <v>0</v>
      </c>
      <c r="BR26" s="1543">
        <f t="shared" si="45"/>
        <v>0</v>
      </c>
      <c r="BS26" s="1543">
        <f t="shared" si="45"/>
        <v>0</v>
      </c>
      <c r="BT26" s="1543">
        <f t="shared" si="45"/>
        <v>0</v>
      </c>
      <c r="BU26" s="1543">
        <f t="shared" si="45"/>
        <v>0</v>
      </c>
      <c r="BV26" s="1543">
        <f t="shared" si="45"/>
        <v>0</v>
      </c>
      <c r="BW26" s="1543">
        <f t="shared" si="45"/>
        <v>0</v>
      </c>
      <c r="BX26" s="1543">
        <f t="shared" si="45"/>
        <v>0</v>
      </c>
      <c r="BY26" s="1543">
        <f t="shared" si="45"/>
        <v>0</v>
      </c>
      <c r="BZ26" s="1543">
        <f t="shared" si="45"/>
        <v>0</v>
      </c>
      <c r="CB26" s="1543">
        <f t="shared" si="30"/>
        <v>0</v>
      </c>
      <c r="CC26" s="1543">
        <f t="shared" si="30"/>
        <v>0</v>
      </c>
      <c r="CD26" s="1543">
        <f t="shared" si="30"/>
        <v>0</v>
      </c>
      <c r="CE26" s="1543">
        <f t="shared" si="30"/>
        <v>0</v>
      </c>
      <c r="CF26" s="1543">
        <f t="shared" si="30"/>
        <v>0</v>
      </c>
      <c r="CG26" s="1543">
        <f t="shared" si="30"/>
        <v>0</v>
      </c>
      <c r="CH26" s="1543">
        <f t="shared" si="30"/>
        <v>0</v>
      </c>
      <c r="CI26" s="1543">
        <f t="shared" si="30"/>
        <v>0</v>
      </c>
      <c r="CJ26" s="1543">
        <f t="shared" si="30"/>
        <v>0</v>
      </c>
      <c r="CK26" s="1543">
        <f t="shared" si="30"/>
        <v>0</v>
      </c>
      <c r="CL26" s="1543">
        <f t="shared" si="30"/>
        <v>0</v>
      </c>
      <c r="CM26" s="1543">
        <f t="shared" si="30"/>
        <v>0</v>
      </c>
      <c r="CN26" s="1543">
        <f t="shared" si="30"/>
        <v>0</v>
      </c>
      <c r="CO26" s="1543">
        <f t="shared" si="30"/>
        <v>0</v>
      </c>
      <c r="CP26" s="1543">
        <f t="shared" si="30"/>
        <v>0</v>
      </c>
      <c r="CQ26" s="1543">
        <f t="shared" si="30"/>
        <v>0</v>
      </c>
      <c r="CR26" s="1543">
        <f t="shared" si="46"/>
        <v>0</v>
      </c>
      <c r="CS26" s="1543">
        <f t="shared" si="46"/>
        <v>0</v>
      </c>
      <c r="CT26" s="1543">
        <f t="shared" si="47"/>
        <v>0</v>
      </c>
      <c r="CU26" s="1543">
        <f t="shared" si="47"/>
        <v>0</v>
      </c>
      <c r="CV26" s="1543">
        <f t="shared" si="47"/>
        <v>0</v>
      </c>
      <c r="CW26" s="1543">
        <f t="shared" si="47"/>
        <v>0</v>
      </c>
      <c r="CX26" s="1543">
        <f t="shared" si="47"/>
        <v>0</v>
      </c>
      <c r="CY26" s="1543">
        <f t="shared" si="47"/>
        <v>0</v>
      </c>
      <c r="CZ26" s="1543">
        <f t="shared" si="47"/>
        <v>0</v>
      </c>
      <c r="DA26" s="1543">
        <f t="shared" si="47"/>
        <v>0</v>
      </c>
      <c r="DB26" s="1543">
        <f t="shared" si="47"/>
        <v>0</v>
      </c>
      <c r="DD26" s="1543">
        <f t="shared" si="9"/>
        <v>0</v>
      </c>
      <c r="DE26" s="1543">
        <f t="shared" si="10"/>
        <v>1</v>
      </c>
      <c r="DF26" s="1543">
        <f t="shared" si="11"/>
        <v>0</v>
      </c>
      <c r="DG26" s="1543">
        <f t="shared" si="31"/>
        <v>0</v>
      </c>
      <c r="DI26" s="1543">
        <f t="shared" si="32"/>
        <v>0</v>
      </c>
      <c r="DJ26" s="1543">
        <f t="shared" si="48"/>
        <v>0</v>
      </c>
      <c r="DK26" s="1543">
        <f t="shared" si="48"/>
        <v>1</v>
      </c>
      <c r="DL26" s="1543">
        <f t="shared" si="48"/>
        <v>0</v>
      </c>
      <c r="DM26" s="1543">
        <f t="shared" si="48"/>
        <v>0</v>
      </c>
      <c r="DO26" s="1543">
        <f t="shared" si="13"/>
        <v>0</v>
      </c>
      <c r="DP26" s="1543">
        <f t="shared" si="55"/>
        <v>0</v>
      </c>
      <c r="DQ26" s="1543">
        <f t="shared" si="55"/>
        <v>0</v>
      </c>
      <c r="DR26" s="1543">
        <f t="shared" si="55"/>
        <v>0</v>
      </c>
      <c r="DS26" s="1543">
        <f t="shared" si="55"/>
        <v>0</v>
      </c>
      <c r="DT26" s="1543">
        <f t="shared" si="55"/>
        <v>0</v>
      </c>
      <c r="DU26" s="1543">
        <f t="shared" si="55"/>
        <v>0</v>
      </c>
      <c r="DV26" s="1543">
        <f t="shared" si="55"/>
        <v>0</v>
      </c>
      <c r="DW26" s="1543">
        <f t="shared" si="55"/>
        <v>0</v>
      </c>
      <c r="DX26" s="1543">
        <f t="shared" si="55"/>
        <v>0</v>
      </c>
      <c r="DY26" s="1543">
        <f t="shared" si="55"/>
        <v>0</v>
      </c>
      <c r="DZ26" s="1543">
        <f t="shared" si="55"/>
        <v>0</v>
      </c>
      <c r="EA26" s="1543">
        <f t="shared" si="55"/>
        <v>0</v>
      </c>
      <c r="EB26" s="1543">
        <f t="shared" si="50"/>
        <v>0</v>
      </c>
      <c r="EC26" s="1543">
        <f t="shared" si="50"/>
        <v>0</v>
      </c>
      <c r="ED26" s="1543">
        <f t="shared" si="50"/>
        <v>0</v>
      </c>
      <c r="EE26" s="1543">
        <f t="shared" si="50"/>
        <v>1</v>
      </c>
      <c r="EF26" s="1543">
        <f t="shared" si="50"/>
        <v>0</v>
      </c>
      <c r="EH26" s="1543">
        <f t="shared" si="33"/>
        <v>1</v>
      </c>
      <c r="EI26" s="1543">
        <f t="shared" si="34"/>
        <v>0</v>
      </c>
      <c r="EJ26" s="1543">
        <f t="shared" si="35"/>
        <v>0</v>
      </c>
      <c r="EK26" s="1543">
        <f t="shared" si="36"/>
        <v>0</v>
      </c>
      <c r="EL26" s="1543">
        <f t="shared" si="37"/>
        <v>0</v>
      </c>
      <c r="EM26" s="1543">
        <f t="shared" si="38"/>
        <v>0</v>
      </c>
      <c r="EN26" s="1543">
        <f t="shared" si="39"/>
        <v>0</v>
      </c>
      <c r="EP26" s="1543">
        <f t="shared" si="51"/>
        <v>0</v>
      </c>
      <c r="EQ26" s="1543">
        <f t="shared" si="51"/>
        <v>0</v>
      </c>
      <c r="ER26" s="1543">
        <f t="shared" si="51"/>
        <v>0</v>
      </c>
      <c r="ES26" s="1543">
        <f t="shared" si="51"/>
        <v>0</v>
      </c>
      <c r="ET26" s="1543">
        <f t="shared" si="51"/>
        <v>0</v>
      </c>
      <c r="EU26" s="1543">
        <f t="shared" si="51"/>
        <v>0</v>
      </c>
      <c r="EV26" s="1543">
        <f t="shared" si="51"/>
        <v>0</v>
      </c>
      <c r="EW26" s="1543">
        <f t="shared" si="51"/>
        <v>0</v>
      </c>
      <c r="EX26" s="1543">
        <f t="shared" si="51"/>
        <v>0</v>
      </c>
      <c r="EY26" s="1543">
        <f t="shared" si="51"/>
        <v>0</v>
      </c>
      <c r="EZ26" s="1543">
        <f t="shared" si="51"/>
        <v>0</v>
      </c>
      <c r="FA26" s="1543">
        <f t="shared" si="51"/>
        <v>0</v>
      </c>
      <c r="FB26" s="1543">
        <f t="shared" si="51"/>
        <v>0</v>
      </c>
      <c r="FC26" s="1543">
        <f t="shared" si="51"/>
        <v>0</v>
      </c>
      <c r="FD26" s="1543">
        <f t="shared" si="51"/>
        <v>0</v>
      </c>
      <c r="FE26" s="1543">
        <f t="shared" si="52"/>
        <v>0</v>
      </c>
      <c r="FF26" s="1543">
        <f t="shared" si="40"/>
        <v>1</v>
      </c>
      <c r="FH26" s="1543">
        <f t="shared" si="56"/>
        <v>0</v>
      </c>
      <c r="FI26" s="1543">
        <f t="shared" si="56"/>
        <v>0</v>
      </c>
      <c r="FJ26" s="1543">
        <f t="shared" si="56"/>
        <v>0</v>
      </c>
      <c r="FK26" s="1543">
        <f t="shared" si="56"/>
        <v>0</v>
      </c>
      <c r="FL26" s="1543">
        <f t="shared" si="56"/>
        <v>0</v>
      </c>
      <c r="FM26" s="1543">
        <f t="shared" si="56"/>
        <v>0</v>
      </c>
      <c r="FN26" s="1543">
        <f t="shared" si="56"/>
        <v>0</v>
      </c>
      <c r="FO26" s="1543">
        <f t="shared" si="56"/>
        <v>0</v>
      </c>
      <c r="FP26" s="1543">
        <f t="shared" si="56"/>
        <v>0</v>
      </c>
      <c r="FQ26" s="1543">
        <f t="shared" si="56"/>
        <v>0</v>
      </c>
      <c r="FR26" s="1543">
        <f t="shared" si="56"/>
        <v>0</v>
      </c>
      <c r="FS26" s="1543">
        <f t="shared" si="56"/>
        <v>0</v>
      </c>
      <c r="FT26" s="1543">
        <f t="shared" si="41"/>
        <v>1</v>
      </c>
      <c r="FV26" s="1543">
        <f t="shared" si="57"/>
        <v>0</v>
      </c>
      <c r="FW26" s="1543">
        <f t="shared" si="57"/>
        <v>0</v>
      </c>
      <c r="FX26" s="1543">
        <f t="shared" si="57"/>
        <v>0</v>
      </c>
      <c r="FY26" s="1543">
        <f t="shared" si="57"/>
        <v>1</v>
      </c>
      <c r="FZ26" s="1543">
        <f t="shared" si="57"/>
        <v>0</v>
      </c>
      <c r="GA26" s="1543">
        <f t="shared" si="57"/>
        <v>0</v>
      </c>
      <c r="GB26" s="1543">
        <f t="shared" si="57"/>
        <v>0</v>
      </c>
      <c r="GC26" s="1543">
        <f t="shared" si="57"/>
        <v>0</v>
      </c>
      <c r="GD26" s="1543">
        <f t="shared" si="57"/>
        <v>0</v>
      </c>
    </row>
    <row r="27" spans="1:186" s="982" customFormat="1" ht="15.6" x14ac:dyDescent="0.3">
      <c r="A27" s="974">
        <v>25</v>
      </c>
      <c r="B27" s="983" t="s">
        <v>1907</v>
      </c>
      <c r="C27" s="984" t="s">
        <v>1909</v>
      </c>
      <c r="D27" s="983" t="s">
        <v>61</v>
      </c>
      <c r="E27" s="968" t="str">
        <f>IFERROR(VLOOKUP($D27&amp;"."&amp;B27,'Piping Class'!$1:$1048576,MATCH($I27,'Piping Class'!$2:$2,0),0),"")</f>
        <v xml:space="preserve">ASTM 106 Gr.B </v>
      </c>
      <c r="F27" s="985" t="str">
        <f>IFERROR(IF(B27="Flange",VLOOKUP($D27,'Piping Class'!$88:$102,MATCH(F$1,'Piping Class'!$88:$88,0),0),""),"")</f>
        <v/>
      </c>
      <c r="G27" s="968" t="str">
        <f>IFERROR(IF(B27="Flange",VLOOKUP($D27,'Piping Class'!$88:$102,MATCH(G$1,'Piping Class'!$88:$88,0),0),""),"")</f>
        <v/>
      </c>
      <c r="H27" s="968" t="str">
        <f>IFERROR(VLOOKUP($D27,'Piping Class'!$88:$102,MATCH(H$1,'Piping Class'!$88:$88,0),0),"")</f>
        <v>CS</v>
      </c>
      <c r="I27" s="986">
        <v>1</v>
      </c>
      <c r="J27" s="986"/>
      <c r="K27" s="968">
        <f>IFERROR(VLOOKUP(I27,'Thickness Tab'!$1:$1048576,MATCH(L27,'Thickness Tab'!$1:$1,0),0),"")</f>
        <v>4.55</v>
      </c>
      <c r="L27" s="969">
        <f>IFERROR(VLOOKUP($D27,'Piping Class'!$1:$1048576,MATCH($I27,'Piping Class'!$2:$2,0),0),"")</f>
        <v>80</v>
      </c>
      <c r="M27" s="968" t="str">
        <f>IFERROR(VLOOKUP(J27,'Thickness Tab'!$1:$1048576,MATCH(N27,'Thickness Tab'!$1:$1,0),0),"")</f>
        <v/>
      </c>
      <c r="N27" s="969" t="str">
        <f>IFERROR(VLOOKUP($D27,'Piping Class'!$1:$1048576,MATCH($J27,'Piping Class'!$2:$2,0),0),"")</f>
        <v/>
      </c>
      <c r="O27" s="968" t="str">
        <f>IFERROR(VLOOKUP($D27,'Piping Class'!$88:$102,MATCH(O$1,'Piping Class'!$88:$88,0),0),"")</f>
        <v>B31.3 / B16.5</v>
      </c>
      <c r="P27" s="968" t="str">
        <f>IFERROR(VLOOKUP($D27,'Piping Class'!$88:$102,MATCH(P$1,'Piping Class'!$88:$88,0),0),"")</f>
        <v>3.1</v>
      </c>
      <c r="Q27" s="983"/>
      <c r="R27" s="988">
        <v>0</v>
      </c>
      <c r="S27" s="969" t="str">
        <f t="shared" si="58"/>
        <v>cad</v>
      </c>
      <c r="T27" s="968">
        <f>IFERROR(VLOOKUP(I27&amp;"."&amp;L27,'Fitting Chart'!$1:$1048576,MATCH(C27,'Fitting Chart'!$1:$1,0),0),0)+IF(B27="piping",PI()*K27*(VLOOKUP(I27,'Thickness Tab'!$1:$1048576,3,0)-K27)*7.86/1000,0)+IF(B27="Flange",VLOOKUP(I27&amp;"F"&amp;F27,'Flanges Chart'!$1:$1048576,MATCH(C27&amp;"."&amp;T$1,'Flanges Chart'!$1:$1,0),0),0)</f>
        <v>0.35380204860000003</v>
      </c>
      <c r="U27" s="989">
        <f t="shared" si="0"/>
        <v>0</v>
      </c>
      <c r="V27" s="1003">
        <v>3</v>
      </c>
      <c r="W27" s="1001">
        <f t="shared" si="22"/>
        <v>0</v>
      </c>
      <c r="X27" s="997"/>
      <c r="Y27" s="983" t="s">
        <v>105</v>
      </c>
      <c r="Z27" s="989">
        <f>IF(B27="Piping",VLOOKUP(I27,'Thickness Tab'!$1:$1048576,3,0)/1000*PI(),0)+IFERROR(VLOOKUP(I27&amp;"F"&amp;F27,'Flanges Chart'!$1:$1048576,MATCH(C27&amp;".Unit Surface",'Flanges Chart'!$1:$1,0),0),0)+IF(B27="Fitting",VLOOKUP(I27,'Thickness Tab'!$1:$1048576,3,0)/1000*PI(),0)</f>
        <v>0.10492919462989908</v>
      </c>
      <c r="AA27" s="989">
        <f t="shared" si="23"/>
        <v>0</v>
      </c>
      <c r="AB27" s="983">
        <v>50</v>
      </c>
      <c r="AC27" s="989">
        <f t="shared" si="24"/>
        <v>0.41908845998887839</v>
      </c>
      <c r="AD27" s="989">
        <f t="shared" si="25"/>
        <v>0</v>
      </c>
      <c r="AE27" s="974">
        <f>(IFERROR(VLOOKUP($C27,List!$J:$L,2,0),0)*R27+IF(B27="piping",R27,0)+IF(C27="Welding Neck",1,0)*R27)*$AE$2</f>
        <v>0</v>
      </c>
      <c r="AF27" s="970">
        <f>IFERROR(VLOOKUP($C27,List!$J:$L,3,0),0)*R27*$AF$2</f>
        <v>0</v>
      </c>
      <c r="AG27" s="990">
        <f t="shared" si="1"/>
        <v>0</v>
      </c>
      <c r="AH27" s="1118">
        <f>IFERROR(VLOOKUP($D27,'Piping Class'!$88:$102,MATCH(AH$1,'Piping Class'!$88:$88,0),0),"")</f>
        <v>0.1</v>
      </c>
      <c r="AI27" s="991">
        <f>IFERROR(VLOOKUP($D27,'Piping Class'!$88:$102,MATCH(AI$1,'Piping Class'!$88:$88,0),0),"")</f>
        <v>0</v>
      </c>
      <c r="AJ27" s="991">
        <f>IFERROR(VLOOKUP($D27,'Piping Class'!$88:$102,MATCH(AJ$1,'Piping Class'!$88:$88,0),0),"")</f>
        <v>1</v>
      </c>
      <c r="AK27" s="991">
        <f>IFERROR(VLOOKUP($D27,'Piping Class'!$88:$102,MATCH(AK$1,'Piping Class'!$88:$88,0),0),"")</f>
        <v>0</v>
      </c>
      <c r="AL27" s="991">
        <f t="shared" si="44"/>
        <v>0</v>
      </c>
      <c r="AM27" s="1119" t="str">
        <f>IFERROR(VLOOKUP($D27,'Piping Class'!$88:$102,MATCH(AM$1,'Piping Class'!$88:$88,0),0),"")</f>
        <v/>
      </c>
      <c r="AN27" s="992">
        <f t="shared" si="26"/>
        <v>0</v>
      </c>
      <c r="AO27" s="993">
        <f>IFERROR(VLOOKUP(I27&amp;"B"&amp;F27,'Bolting Chart'!$1:$1048576,4,0),0)</f>
        <v>0</v>
      </c>
      <c r="AP27" s="993">
        <f t="shared" si="27"/>
        <v>0</v>
      </c>
      <c r="AQ27" s="993">
        <f t="shared" si="28"/>
        <v>0</v>
      </c>
      <c r="AR27" s="993">
        <f>IF(AO27=0,0,VLOOKUP(D27&amp;".bolting",'Piping Class'!$1:$1048576,MATCH(I27,'Piping Class'!$2:$2,0),0))</f>
        <v>0</v>
      </c>
      <c r="AS27" s="994">
        <f>IFERROR(VLOOKUP(I27&amp;"B"&amp;F27,'Bolting Chart'!$1:$1048576,IF(AS$2="UNC",5,6),0),0)</f>
        <v>0</v>
      </c>
      <c r="AT27" s="995">
        <f>IFERROR(VLOOKUP(I27&amp;"B"&amp;F27,'Bolting Chart'!$1:$1048576,IF(G27="RF",8,9),0),0)</f>
        <v>0</v>
      </c>
      <c r="AU27" s="993">
        <f>IF(AO27=0,0,VLOOKUP(D27&amp;".gasket",'Piping Class'!$1:$1048576,MATCH(I27,'Piping Class'!$2:$2,0),0))</f>
        <v>0</v>
      </c>
      <c r="AV27" s="996">
        <f>(IFERROR(INDEX('Bolting Chart'!$A$169:$R$251,MATCH(AT27,'Bolting Chart'!$A$170:$A$251,0),MATCH(IFERROR(VLOOKUP(I27&amp;"B"&amp;F27,'Bolting Chart'!$1:$1048576,7,0),0)+0,'Bolting Chart'!$A$169:$R$169,0)),0))/100</f>
        <v>0</v>
      </c>
      <c r="AW27" s="996">
        <f t="shared" si="3"/>
        <v>0</v>
      </c>
      <c r="AX27" s="1194">
        <f t="shared" si="4"/>
        <v>0</v>
      </c>
      <c r="AY27" s="981"/>
      <c r="AZ27" s="1543">
        <f t="shared" si="29"/>
        <v>0</v>
      </c>
      <c r="BA27" s="1543">
        <f t="shared" si="29"/>
        <v>0</v>
      </c>
      <c r="BB27" s="1543">
        <f t="shared" si="29"/>
        <v>1</v>
      </c>
      <c r="BC27" s="1543">
        <f t="shared" si="29"/>
        <v>0</v>
      </c>
      <c r="BD27" s="1543">
        <f t="shared" si="29"/>
        <v>0</v>
      </c>
      <c r="BE27" s="1543">
        <f t="shared" si="29"/>
        <v>0</v>
      </c>
      <c r="BF27" s="1543">
        <f t="shared" si="29"/>
        <v>0</v>
      </c>
      <c r="BG27" s="1543">
        <f t="shared" si="29"/>
        <v>0</v>
      </c>
      <c r="BH27" s="1543">
        <f t="shared" si="29"/>
        <v>0</v>
      </c>
      <c r="BI27" s="1543">
        <f t="shared" si="29"/>
        <v>0</v>
      </c>
      <c r="BJ27" s="1543">
        <f t="shared" si="29"/>
        <v>0</v>
      </c>
      <c r="BK27" s="1543">
        <f t="shared" si="29"/>
        <v>0</v>
      </c>
      <c r="BL27" s="1543">
        <f t="shared" si="29"/>
        <v>0</v>
      </c>
      <c r="BM27" s="1543">
        <f t="shared" si="29"/>
        <v>0</v>
      </c>
      <c r="BN27" s="1543">
        <f t="shared" si="29"/>
        <v>0</v>
      </c>
      <c r="BO27" s="1543">
        <f t="shared" si="29"/>
        <v>0</v>
      </c>
      <c r="BP27" s="1543">
        <f t="shared" si="45"/>
        <v>0</v>
      </c>
      <c r="BQ27" s="1543">
        <f t="shared" si="45"/>
        <v>0</v>
      </c>
      <c r="BR27" s="1543">
        <f t="shared" si="45"/>
        <v>0</v>
      </c>
      <c r="BS27" s="1543">
        <f t="shared" si="45"/>
        <v>0</v>
      </c>
      <c r="BT27" s="1543">
        <f t="shared" si="45"/>
        <v>0</v>
      </c>
      <c r="BU27" s="1543">
        <f t="shared" si="45"/>
        <v>0</v>
      </c>
      <c r="BV27" s="1543">
        <f t="shared" si="45"/>
        <v>0</v>
      </c>
      <c r="BW27" s="1543">
        <f t="shared" si="45"/>
        <v>0</v>
      </c>
      <c r="BX27" s="1543">
        <f t="shared" si="45"/>
        <v>0</v>
      </c>
      <c r="BY27" s="1543">
        <f t="shared" si="45"/>
        <v>0</v>
      </c>
      <c r="BZ27" s="1543">
        <f t="shared" si="45"/>
        <v>0</v>
      </c>
      <c r="CB27" s="1543">
        <f t="shared" si="30"/>
        <v>0</v>
      </c>
      <c r="CC27" s="1543">
        <f t="shared" si="30"/>
        <v>0</v>
      </c>
      <c r="CD27" s="1543">
        <f t="shared" si="30"/>
        <v>0</v>
      </c>
      <c r="CE27" s="1543">
        <f t="shared" si="30"/>
        <v>0</v>
      </c>
      <c r="CF27" s="1543">
        <f t="shared" si="30"/>
        <v>0</v>
      </c>
      <c r="CG27" s="1543">
        <f t="shared" si="30"/>
        <v>0</v>
      </c>
      <c r="CH27" s="1543">
        <f t="shared" si="30"/>
        <v>0</v>
      </c>
      <c r="CI27" s="1543">
        <f t="shared" si="30"/>
        <v>0</v>
      </c>
      <c r="CJ27" s="1543">
        <f t="shared" si="30"/>
        <v>0</v>
      </c>
      <c r="CK27" s="1543">
        <f t="shared" si="30"/>
        <v>0</v>
      </c>
      <c r="CL27" s="1543">
        <f t="shared" si="30"/>
        <v>0</v>
      </c>
      <c r="CM27" s="1543">
        <f t="shared" si="30"/>
        <v>0</v>
      </c>
      <c r="CN27" s="1543">
        <f t="shared" si="30"/>
        <v>0</v>
      </c>
      <c r="CO27" s="1543">
        <f t="shared" si="30"/>
        <v>0</v>
      </c>
      <c r="CP27" s="1543">
        <f t="shared" si="30"/>
        <v>0</v>
      </c>
      <c r="CQ27" s="1543">
        <f t="shared" si="30"/>
        <v>0</v>
      </c>
      <c r="CR27" s="1543">
        <f t="shared" si="46"/>
        <v>0</v>
      </c>
      <c r="CS27" s="1543">
        <f t="shared" si="46"/>
        <v>0</v>
      </c>
      <c r="CT27" s="1543">
        <f t="shared" si="47"/>
        <v>0</v>
      </c>
      <c r="CU27" s="1543">
        <f t="shared" si="47"/>
        <v>0</v>
      </c>
      <c r="CV27" s="1543">
        <f t="shared" si="47"/>
        <v>0</v>
      </c>
      <c r="CW27" s="1543">
        <f t="shared" si="47"/>
        <v>0</v>
      </c>
      <c r="CX27" s="1543">
        <f t="shared" si="47"/>
        <v>0</v>
      </c>
      <c r="CY27" s="1543">
        <f t="shared" si="47"/>
        <v>0</v>
      </c>
      <c r="CZ27" s="1543">
        <f t="shared" si="47"/>
        <v>0</v>
      </c>
      <c r="DA27" s="1543">
        <f t="shared" si="47"/>
        <v>0</v>
      </c>
      <c r="DB27" s="1543">
        <f t="shared" si="47"/>
        <v>0</v>
      </c>
      <c r="DD27" s="1543">
        <f t="shared" si="9"/>
        <v>1</v>
      </c>
      <c r="DE27" s="1543">
        <f t="shared" si="10"/>
        <v>0</v>
      </c>
      <c r="DF27" s="1543">
        <f t="shared" si="11"/>
        <v>0</v>
      </c>
      <c r="DG27" s="1543">
        <f t="shared" si="31"/>
        <v>0</v>
      </c>
      <c r="DI27" s="1543">
        <f t="shared" si="32"/>
        <v>1</v>
      </c>
      <c r="DJ27" s="1543">
        <f t="shared" si="48"/>
        <v>0</v>
      </c>
      <c r="DK27" s="1543">
        <f t="shared" si="48"/>
        <v>0</v>
      </c>
      <c r="DL27" s="1543">
        <f t="shared" si="48"/>
        <v>0</v>
      </c>
      <c r="DM27" s="1543">
        <f t="shared" si="48"/>
        <v>0</v>
      </c>
      <c r="DO27" s="1543">
        <f t="shared" si="13"/>
        <v>0</v>
      </c>
      <c r="DP27" s="1543">
        <f t="shared" si="55"/>
        <v>0</v>
      </c>
      <c r="DQ27" s="1543">
        <f t="shared" si="55"/>
        <v>0</v>
      </c>
      <c r="DR27" s="1543">
        <f t="shared" si="55"/>
        <v>0</v>
      </c>
      <c r="DS27" s="1543">
        <f t="shared" si="55"/>
        <v>0</v>
      </c>
      <c r="DT27" s="1543">
        <f t="shared" si="55"/>
        <v>0</v>
      </c>
      <c r="DU27" s="1543">
        <f t="shared" si="55"/>
        <v>0</v>
      </c>
      <c r="DV27" s="1543">
        <f t="shared" si="55"/>
        <v>1</v>
      </c>
      <c r="DW27" s="1543">
        <f t="shared" si="55"/>
        <v>0</v>
      </c>
      <c r="DX27" s="1543">
        <f t="shared" si="55"/>
        <v>0</v>
      </c>
      <c r="DY27" s="1543">
        <f t="shared" si="55"/>
        <v>0</v>
      </c>
      <c r="DZ27" s="1543">
        <f t="shared" si="55"/>
        <v>0</v>
      </c>
      <c r="EA27" s="1543">
        <f t="shared" si="55"/>
        <v>0</v>
      </c>
      <c r="EB27" s="1543">
        <f t="shared" si="50"/>
        <v>0</v>
      </c>
      <c r="EC27" s="1543">
        <f t="shared" si="50"/>
        <v>0</v>
      </c>
      <c r="ED27" s="1543">
        <f t="shared" si="50"/>
        <v>0</v>
      </c>
      <c r="EE27" s="1543">
        <f t="shared" si="50"/>
        <v>0</v>
      </c>
      <c r="EF27" s="1543">
        <f t="shared" si="50"/>
        <v>0</v>
      </c>
      <c r="EH27" s="1543">
        <f t="shared" si="33"/>
        <v>0</v>
      </c>
      <c r="EI27" s="1543">
        <f t="shared" si="34"/>
        <v>0</v>
      </c>
      <c r="EJ27" s="1543">
        <f t="shared" si="35"/>
        <v>1</v>
      </c>
      <c r="EK27" s="1543">
        <f t="shared" si="36"/>
        <v>0</v>
      </c>
      <c r="EL27" s="1543">
        <f t="shared" si="37"/>
        <v>0</v>
      </c>
      <c r="EM27" s="1543">
        <f t="shared" si="38"/>
        <v>0</v>
      </c>
      <c r="EN27" s="1543">
        <f t="shared" si="39"/>
        <v>0</v>
      </c>
      <c r="EP27" s="1543">
        <f t="shared" si="51"/>
        <v>0</v>
      </c>
      <c r="EQ27" s="1543">
        <f t="shared" si="51"/>
        <v>0</v>
      </c>
      <c r="ER27" s="1543">
        <f t="shared" si="51"/>
        <v>0</v>
      </c>
      <c r="ES27" s="1543">
        <f t="shared" si="51"/>
        <v>0</v>
      </c>
      <c r="ET27" s="1543">
        <f t="shared" si="51"/>
        <v>0</v>
      </c>
      <c r="EU27" s="1543">
        <f t="shared" si="51"/>
        <v>0</v>
      </c>
      <c r="EV27" s="1543">
        <f t="shared" si="51"/>
        <v>0</v>
      </c>
      <c r="EW27" s="1543">
        <f t="shared" si="51"/>
        <v>0</v>
      </c>
      <c r="EX27" s="1543">
        <f t="shared" si="51"/>
        <v>0</v>
      </c>
      <c r="EY27" s="1543">
        <f t="shared" si="51"/>
        <v>0</v>
      </c>
      <c r="EZ27" s="1543">
        <f t="shared" si="51"/>
        <v>0</v>
      </c>
      <c r="FA27" s="1543">
        <f t="shared" si="51"/>
        <v>0</v>
      </c>
      <c r="FB27" s="1543">
        <f t="shared" si="51"/>
        <v>0</v>
      </c>
      <c r="FC27" s="1543">
        <f t="shared" si="51"/>
        <v>0</v>
      </c>
      <c r="FD27" s="1543">
        <f t="shared" si="51"/>
        <v>0</v>
      </c>
      <c r="FE27" s="1543">
        <f t="shared" si="52"/>
        <v>0</v>
      </c>
      <c r="FF27" s="1543">
        <f t="shared" si="40"/>
        <v>1</v>
      </c>
      <c r="FH27" s="1543">
        <f t="shared" si="56"/>
        <v>0</v>
      </c>
      <c r="FI27" s="1543">
        <f t="shared" si="56"/>
        <v>0</v>
      </c>
      <c r="FJ27" s="1543">
        <f t="shared" si="56"/>
        <v>0</v>
      </c>
      <c r="FK27" s="1543">
        <f t="shared" si="56"/>
        <v>0</v>
      </c>
      <c r="FL27" s="1543">
        <f t="shared" si="56"/>
        <v>0</v>
      </c>
      <c r="FM27" s="1543">
        <f t="shared" si="56"/>
        <v>0</v>
      </c>
      <c r="FN27" s="1543">
        <f t="shared" si="56"/>
        <v>0</v>
      </c>
      <c r="FO27" s="1543">
        <f t="shared" si="56"/>
        <v>0</v>
      </c>
      <c r="FP27" s="1543">
        <f t="shared" si="56"/>
        <v>0</v>
      </c>
      <c r="FQ27" s="1543">
        <f t="shared" si="56"/>
        <v>0</v>
      </c>
      <c r="FR27" s="1543">
        <f t="shared" si="56"/>
        <v>0</v>
      </c>
      <c r="FS27" s="1543">
        <f t="shared" si="56"/>
        <v>0</v>
      </c>
      <c r="FT27" s="1543">
        <f t="shared" si="41"/>
        <v>1</v>
      </c>
      <c r="FV27" s="1543">
        <f t="shared" si="57"/>
        <v>0</v>
      </c>
      <c r="FW27" s="1543">
        <f t="shared" si="57"/>
        <v>0</v>
      </c>
      <c r="FX27" s="1543">
        <f t="shared" si="57"/>
        <v>0</v>
      </c>
      <c r="FY27" s="1543">
        <f t="shared" si="57"/>
        <v>1</v>
      </c>
      <c r="FZ27" s="1543">
        <f t="shared" si="57"/>
        <v>0</v>
      </c>
      <c r="GA27" s="1543">
        <f t="shared" si="57"/>
        <v>0</v>
      </c>
      <c r="GB27" s="1543">
        <f t="shared" si="57"/>
        <v>0</v>
      </c>
      <c r="GC27" s="1543">
        <f t="shared" si="57"/>
        <v>0</v>
      </c>
      <c r="GD27" s="1543">
        <f t="shared" si="57"/>
        <v>0</v>
      </c>
    </row>
    <row r="28" spans="1:186" s="982" customFormat="1" ht="15.6" x14ac:dyDescent="0.3">
      <c r="A28" s="974">
        <v>26</v>
      </c>
      <c r="B28" s="983" t="s">
        <v>1907</v>
      </c>
      <c r="C28" s="984" t="s">
        <v>1909</v>
      </c>
      <c r="D28" s="983" t="s">
        <v>61</v>
      </c>
      <c r="E28" s="968" t="str">
        <f>IFERROR(VLOOKUP($D28&amp;"."&amp;B28,'Piping Class'!$1:$1048576,MATCH($I28,'Piping Class'!$2:$2,0),0),"")</f>
        <v xml:space="preserve">ASTM 106 Gr.B </v>
      </c>
      <c r="F28" s="985" t="str">
        <f>IFERROR(IF(B28="Flange",VLOOKUP($D28,'Piping Class'!$88:$102,MATCH(F$1,'Piping Class'!$88:$88,0),0),""),"")</f>
        <v/>
      </c>
      <c r="G28" s="968" t="str">
        <f>IFERROR(IF(B28="Flange",VLOOKUP($D28,'Piping Class'!$88:$102,MATCH(G$1,'Piping Class'!$88:$88,0),0),""),"")</f>
        <v/>
      </c>
      <c r="H28" s="968" t="str">
        <f>IFERROR(VLOOKUP($D28,'Piping Class'!$88:$102,MATCH(H$1,'Piping Class'!$88:$88,0),0),"")</f>
        <v>CS</v>
      </c>
      <c r="I28" s="986">
        <v>4</v>
      </c>
      <c r="J28" s="986"/>
      <c r="K28" s="968">
        <f>IFERROR(VLOOKUP(I28,'Thickness Tab'!$1:$1048576,MATCH(L28,'Thickness Tab'!$1:$1,0),0),"")</f>
        <v>6.02</v>
      </c>
      <c r="L28" s="969">
        <f>IFERROR(VLOOKUP($D28,'Piping Class'!$1:$1048576,MATCH($I28,'Piping Class'!$2:$2,0),0),"")</f>
        <v>40</v>
      </c>
      <c r="M28" s="968" t="str">
        <f>IFERROR(VLOOKUP(J28,'Thickness Tab'!$1:$1048576,MATCH(N28,'Thickness Tab'!$1:$1,0),0),"")</f>
        <v/>
      </c>
      <c r="N28" s="969" t="str">
        <f>IFERROR(VLOOKUP($D28,'Piping Class'!$1:$1048576,MATCH($J28,'Piping Class'!$2:$2,0),0),"")</f>
        <v/>
      </c>
      <c r="O28" s="968" t="str">
        <f>IFERROR(VLOOKUP($D28,'Piping Class'!$88:$102,MATCH(O$1,'Piping Class'!$88:$88,0),0),"")</f>
        <v>B31.3 / B16.5</v>
      </c>
      <c r="P28" s="968" t="str">
        <f>IFERROR(VLOOKUP($D28,'Piping Class'!$88:$102,MATCH(P$1,'Piping Class'!$88:$88,0),0),"")</f>
        <v>3.1</v>
      </c>
      <c r="Q28" s="983"/>
      <c r="R28" s="988">
        <v>12</v>
      </c>
      <c r="S28" s="969" t="str">
        <f t="shared" si="58"/>
        <v>cad</v>
      </c>
      <c r="T28" s="968">
        <f>IFERROR(VLOOKUP(I28&amp;"."&amp;L28,'Fitting Chart'!$1:$1048576,MATCH(C28,'Fitting Chart'!$1:$1,0),0),0)+IF(B28="piping",PI()*K28*(VLOOKUP(I28,'Thickness Tab'!$1:$1048576,3,0)-K28)*7.86/1000,0)+IF(B28="Flange",VLOOKUP(I28&amp;"F"&amp;F28,'Flanges Chart'!$1:$1048576,MATCH(C28&amp;"."&amp;T$1,'Flanges Chart'!$1:$1,0),0),0)</f>
        <v>5.8967008100000005</v>
      </c>
      <c r="U28" s="989">
        <f t="shared" si="0"/>
        <v>70.760409720000013</v>
      </c>
      <c r="V28" s="1003">
        <v>3</v>
      </c>
      <c r="W28" s="1001">
        <f t="shared" si="22"/>
        <v>212.28122916000004</v>
      </c>
      <c r="X28" s="997"/>
      <c r="Y28" s="983" t="s">
        <v>105</v>
      </c>
      <c r="Z28" s="989">
        <f>IF(B28="Piping",VLOOKUP(I28,'Thickness Tab'!$1:$1048576,3,0)/1000*PI(),0)+IFERROR(VLOOKUP(I28&amp;"F"&amp;F28,'Flanges Chart'!$1:$1048576,MATCH(C28&amp;".Unit Surface",'Flanges Chart'!$1:$1,0),0),0)+IF(B28="Fitting",VLOOKUP(I28,'Thickness Tab'!$1:$1048576,3,0)/1000*PI(),0)</f>
        <v>0.35908404030531332</v>
      </c>
      <c r="AA28" s="989">
        <f t="shared" si="23"/>
        <v>4.3090084836637601</v>
      </c>
      <c r="AB28" s="983">
        <v>50</v>
      </c>
      <c r="AC28" s="989">
        <f t="shared" si="24"/>
        <v>0.67324330566429258</v>
      </c>
      <c r="AD28" s="989">
        <f t="shared" si="25"/>
        <v>8.0789196679715118</v>
      </c>
      <c r="AE28" s="974">
        <f>(IFERROR(VLOOKUP($C28,List!$J:$L,2,0),0)*R28+IF(B28="piping",R28,0)+IF(C28="Welding Neck",1,0)*R28)*$AE$2</f>
        <v>28.8</v>
      </c>
      <c r="AF28" s="970">
        <f>IFERROR(VLOOKUP($C28,List!$J:$L,3,0),0)*R28*$AF$2</f>
        <v>0</v>
      </c>
      <c r="AG28" s="990">
        <f t="shared" si="1"/>
        <v>115.2</v>
      </c>
      <c r="AH28" s="1118">
        <f>IFERROR(VLOOKUP($D28,'Piping Class'!$88:$102,MATCH(AH$1,'Piping Class'!$88:$88,0),0),"")</f>
        <v>0.1</v>
      </c>
      <c r="AI28" s="991">
        <f>IFERROR(VLOOKUP($D28,'Piping Class'!$88:$102,MATCH(AI$1,'Piping Class'!$88:$88,0),0),"")</f>
        <v>0</v>
      </c>
      <c r="AJ28" s="991">
        <f>IFERROR(VLOOKUP($D28,'Piping Class'!$88:$102,MATCH(AJ$1,'Piping Class'!$88:$88,0),0),"")</f>
        <v>1</v>
      </c>
      <c r="AK28" s="991">
        <f>IFERROR(VLOOKUP($D28,'Piping Class'!$88:$102,MATCH(AK$1,'Piping Class'!$88:$88,0),0),"")</f>
        <v>0</v>
      </c>
      <c r="AL28" s="991">
        <f t="shared" si="44"/>
        <v>0</v>
      </c>
      <c r="AM28" s="1119" t="str">
        <f>IFERROR(VLOOKUP($D28,'Piping Class'!$88:$102,MATCH(AM$1,'Piping Class'!$88:$88,0),0),"")</f>
        <v/>
      </c>
      <c r="AN28" s="992">
        <f t="shared" si="26"/>
        <v>12.736873749600003</v>
      </c>
      <c r="AO28" s="993">
        <f>IFERROR(VLOOKUP(I28&amp;"B"&amp;F28,'Bolting Chart'!$1:$1048576,4,0),0)</f>
        <v>0</v>
      </c>
      <c r="AP28" s="993">
        <f t="shared" si="27"/>
        <v>0</v>
      </c>
      <c r="AQ28" s="993">
        <f t="shared" si="28"/>
        <v>0</v>
      </c>
      <c r="AR28" s="993">
        <f>IF(AO28=0,0,VLOOKUP(D28&amp;".bolting",'Piping Class'!$1:$1048576,MATCH(I28,'Piping Class'!$2:$2,0),0))</f>
        <v>0</v>
      </c>
      <c r="AS28" s="994">
        <f>IFERROR(VLOOKUP(I28&amp;"B"&amp;F28,'Bolting Chart'!$1:$1048576,IF(AS$2="UNC",5,6),0),0)</f>
        <v>0</v>
      </c>
      <c r="AT28" s="995">
        <f>IFERROR(VLOOKUP(I28&amp;"B"&amp;F28,'Bolting Chart'!$1:$1048576,IF(G28="RF",8,9),0),0)</f>
        <v>0</v>
      </c>
      <c r="AU28" s="993">
        <f>IF(AO28=0,0,VLOOKUP(D28&amp;".gasket",'Piping Class'!$1:$1048576,MATCH(I28,'Piping Class'!$2:$2,0),0))</f>
        <v>0</v>
      </c>
      <c r="AV28" s="996">
        <f>(IFERROR(INDEX('Bolting Chart'!$A$169:$R$251,MATCH(AT28,'Bolting Chart'!$A$170:$A$251,0),MATCH(IFERROR(VLOOKUP(I28&amp;"B"&amp;F28,'Bolting Chart'!$1:$1048576,7,0),0)+0,'Bolting Chart'!$A$169:$R$169,0)),0))/100</f>
        <v>0</v>
      </c>
      <c r="AW28" s="996">
        <f t="shared" si="3"/>
        <v>0</v>
      </c>
      <c r="AX28" s="1194">
        <f t="shared" si="4"/>
        <v>0</v>
      </c>
      <c r="AY28" s="981"/>
      <c r="AZ28" s="1543">
        <f t="shared" si="29"/>
        <v>0</v>
      </c>
      <c r="BA28" s="1543">
        <f t="shared" si="29"/>
        <v>0</v>
      </c>
      <c r="BB28" s="1543">
        <f t="shared" si="29"/>
        <v>0</v>
      </c>
      <c r="BC28" s="1543">
        <f t="shared" si="29"/>
        <v>0</v>
      </c>
      <c r="BD28" s="1543">
        <f t="shared" si="29"/>
        <v>0</v>
      </c>
      <c r="BE28" s="1543">
        <f t="shared" si="29"/>
        <v>0</v>
      </c>
      <c r="BF28" s="1543">
        <f t="shared" si="29"/>
        <v>0</v>
      </c>
      <c r="BG28" s="1543">
        <f t="shared" si="29"/>
        <v>1</v>
      </c>
      <c r="BH28" s="1543">
        <f t="shared" si="29"/>
        <v>0</v>
      </c>
      <c r="BI28" s="1543">
        <f t="shared" si="29"/>
        <v>0</v>
      </c>
      <c r="BJ28" s="1543">
        <f t="shared" si="29"/>
        <v>0</v>
      </c>
      <c r="BK28" s="1543">
        <f t="shared" si="29"/>
        <v>0</v>
      </c>
      <c r="BL28" s="1543">
        <f t="shared" si="29"/>
        <v>0</v>
      </c>
      <c r="BM28" s="1543">
        <f t="shared" si="29"/>
        <v>0</v>
      </c>
      <c r="BN28" s="1543">
        <f t="shared" si="29"/>
        <v>0</v>
      </c>
      <c r="BO28" s="1543">
        <f t="shared" si="29"/>
        <v>0</v>
      </c>
      <c r="BP28" s="1543">
        <f t="shared" si="45"/>
        <v>0</v>
      </c>
      <c r="BQ28" s="1543">
        <f t="shared" si="45"/>
        <v>0</v>
      </c>
      <c r="BR28" s="1543">
        <f t="shared" si="45"/>
        <v>0</v>
      </c>
      <c r="BS28" s="1543">
        <f t="shared" si="45"/>
        <v>0</v>
      </c>
      <c r="BT28" s="1543">
        <f t="shared" si="45"/>
        <v>0</v>
      </c>
      <c r="BU28" s="1543">
        <f t="shared" si="45"/>
        <v>0</v>
      </c>
      <c r="BV28" s="1543">
        <f t="shared" si="45"/>
        <v>0</v>
      </c>
      <c r="BW28" s="1543">
        <f t="shared" si="45"/>
        <v>0</v>
      </c>
      <c r="BX28" s="1543">
        <f t="shared" si="45"/>
        <v>0</v>
      </c>
      <c r="BY28" s="1543">
        <f t="shared" si="45"/>
        <v>0</v>
      </c>
      <c r="BZ28" s="1543">
        <f t="shared" si="45"/>
        <v>0</v>
      </c>
      <c r="CB28" s="1543">
        <f t="shared" si="30"/>
        <v>0</v>
      </c>
      <c r="CC28" s="1543">
        <f t="shared" si="30"/>
        <v>0</v>
      </c>
      <c r="CD28" s="1543">
        <f t="shared" si="30"/>
        <v>0</v>
      </c>
      <c r="CE28" s="1543">
        <f t="shared" si="30"/>
        <v>0</v>
      </c>
      <c r="CF28" s="1543">
        <f t="shared" si="30"/>
        <v>0</v>
      </c>
      <c r="CG28" s="1543">
        <f t="shared" si="30"/>
        <v>0</v>
      </c>
      <c r="CH28" s="1543">
        <f t="shared" si="30"/>
        <v>0</v>
      </c>
      <c r="CI28" s="1543">
        <f t="shared" si="30"/>
        <v>0</v>
      </c>
      <c r="CJ28" s="1543">
        <f t="shared" si="30"/>
        <v>0</v>
      </c>
      <c r="CK28" s="1543">
        <f t="shared" si="30"/>
        <v>0</v>
      </c>
      <c r="CL28" s="1543">
        <f t="shared" si="30"/>
        <v>0</v>
      </c>
      <c r="CM28" s="1543">
        <f t="shared" si="30"/>
        <v>0</v>
      </c>
      <c r="CN28" s="1543">
        <f t="shared" si="30"/>
        <v>0</v>
      </c>
      <c r="CO28" s="1543">
        <f t="shared" si="30"/>
        <v>0</v>
      </c>
      <c r="CP28" s="1543">
        <f t="shared" si="30"/>
        <v>0</v>
      </c>
      <c r="CQ28" s="1543">
        <f t="shared" si="30"/>
        <v>0</v>
      </c>
      <c r="CR28" s="1543">
        <f t="shared" si="46"/>
        <v>0</v>
      </c>
      <c r="CS28" s="1543">
        <f t="shared" si="46"/>
        <v>0</v>
      </c>
      <c r="CT28" s="1543">
        <f t="shared" si="47"/>
        <v>0</v>
      </c>
      <c r="CU28" s="1543">
        <f t="shared" si="47"/>
        <v>0</v>
      </c>
      <c r="CV28" s="1543">
        <f t="shared" si="47"/>
        <v>0</v>
      </c>
      <c r="CW28" s="1543">
        <f t="shared" si="47"/>
        <v>0</v>
      </c>
      <c r="CX28" s="1543">
        <f t="shared" si="47"/>
        <v>0</v>
      </c>
      <c r="CY28" s="1543">
        <f t="shared" si="47"/>
        <v>0</v>
      </c>
      <c r="CZ28" s="1543">
        <f t="shared" si="47"/>
        <v>0</v>
      </c>
      <c r="DA28" s="1543">
        <f t="shared" si="47"/>
        <v>0</v>
      </c>
      <c r="DB28" s="1543">
        <f t="shared" si="47"/>
        <v>0</v>
      </c>
      <c r="DD28" s="1543">
        <f t="shared" si="9"/>
        <v>0</v>
      </c>
      <c r="DE28" s="1543">
        <f t="shared" si="10"/>
        <v>1</v>
      </c>
      <c r="DF28" s="1543">
        <f t="shared" si="11"/>
        <v>0</v>
      </c>
      <c r="DG28" s="1543">
        <f t="shared" si="31"/>
        <v>0</v>
      </c>
      <c r="DI28" s="1543">
        <f t="shared" si="32"/>
        <v>1</v>
      </c>
      <c r="DJ28" s="1543">
        <f t="shared" si="48"/>
        <v>0</v>
      </c>
      <c r="DK28" s="1543">
        <f t="shared" si="48"/>
        <v>0</v>
      </c>
      <c r="DL28" s="1543">
        <f t="shared" si="48"/>
        <v>0</v>
      </c>
      <c r="DM28" s="1543">
        <f t="shared" si="48"/>
        <v>0</v>
      </c>
      <c r="DO28" s="1543">
        <f t="shared" si="13"/>
        <v>0</v>
      </c>
      <c r="DP28" s="1543">
        <f t="shared" si="55"/>
        <v>0</v>
      </c>
      <c r="DQ28" s="1543">
        <f t="shared" si="55"/>
        <v>0</v>
      </c>
      <c r="DR28" s="1543">
        <f t="shared" si="55"/>
        <v>0</v>
      </c>
      <c r="DS28" s="1543">
        <f t="shared" si="55"/>
        <v>1</v>
      </c>
      <c r="DT28" s="1543">
        <f t="shared" si="55"/>
        <v>0</v>
      </c>
      <c r="DU28" s="1543">
        <f t="shared" si="55"/>
        <v>0</v>
      </c>
      <c r="DV28" s="1543">
        <f t="shared" si="55"/>
        <v>0</v>
      </c>
      <c r="DW28" s="1543">
        <f t="shared" si="55"/>
        <v>0</v>
      </c>
      <c r="DX28" s="1543">
        <f t="shared" si="55"/>
        <v>0</v>
      </c>
      <c r="DY28" s="1543">
        <f t="shared" si="55"/>
        <v>0</v>
      </c>
      <c r="DZ28" s="1543">
        <f t="shared" si="55"/>
        <v>0</v>
      </c>
      <c r="EA28" s="1543">
        <f t="shared" si="55"/>
        <v>0</v>
      </c>
      <c r="EB28" s="1543">
        <f t="shared" si="50"/>
        <v>0</v>
      </c>
      <c r="EC28" s="1543">
        <f t="shared" si="50"/>
        <v>0</v>
      </c>
      <c r="ED28" s="1543">
        <f t="shared" si="50"/>
        <v>0</v>
      </c>
      <c r="EE28" s="1543">
        <f t="shared" si="50"/>
        <v>0</v>
      </c>
      <c r="EF28" s="1543">
        <f t="shared" si="50"/>
        <v>0</v>
      </c>
      <c r="EH28" s="1543">
        <f t="shared" si="33"/>
        <v>1</v>
      </c>
      <c r="EI28" s="1543">
        <f t="shared" si="34"/>
        <v>0</v>
      </c>
      <c r="EJ28" s="1543">
        <f t="shared" si="35"/>
        <v>0</v>
      </c>
      <c r="EK28" s="1543">
        <f t="shared" si="36"/>
        <v>0</v>
      </c>
      <c r="EL28" s="1543">
        <f t="shared" si="37"/>
        <v>0</v>
      </c>
      <c r="EM28" s="1543">
        <f t="shared" si="38"/>
        <v>0</v>
      </c>
      <c r="EN28" s="1543">
        <f t="shared" si="39"/>
        <v>0</v>
      </c>
      <c r="EP28" s="1543">
        <f t="shared" si="51"/>
        <v>0</v>
      </c>
      <c r="EQ28" s="1543">
        <f t="shared" si="51"/>
        <v>0</v>
      </c>
      <c r="ER28" s="1543">
        <f t="shared" si="51"/>
        <v>0</v>
      </c>
      <c r="ES28" s="1543">
        <f t="shared" si="51"/>
        <v>0</v>
      </c>
      <c r="ET28" s="1543">
        <f t="shared" si="51"/>
        <v>0</v>
      </c>
      <c r="EU28" s="1543">
        <f t="shared" si="51"/>
        <v>0</v>
      </c>
      <c r="EV28" s="1543">
        <f t="shared" si="51"/>
        <v>0</v>
      </c>
      <c r="EW28" s="1543">
        <f t="shared" si="51"/>
        <v>0</v>
      </c>
      <c r="EX28" s="1543">
        <f t="shared" si="51"/>
        <v>0</v>
      </c>
      <c r="EY28" s="1543">
        <f t="shared" si="51"/>
        <v>0</v>
      </c>
      <c r="EZ28" s="1543">
        <f t="shared" si="51"/>
        <v>0</v>
      </c>
      <c r="FA28" s="1543">
        <f t="shared" si="51"/>
        <v>0</v>
      </c>
      <c r="FB28" s="1543">
        <f t="shared" si="51"/>
        <v>0</v>
      </c>
      <c r="FC28" s="1543">
        <f t="shared" si="51"/>
        <v>0</v>
      </c>
      <c r="FD28" s="1543">
        <f t="shared" si="51"/>
        <v>0</v>
      </c>
      <c r="FE28" s="1543">
        <f t="shared" si="52"/>
        <v>0</v>
      </c>
      <c r="FF28" s="1543">
        <f t="shared" si="40"/>
        <v>1</v>
      </c>
      <c r="FH28" s="1543">
        <f t="shared" si="56"/>
        <v>0</v>
      </c>
      <c r="FI28" s="1543">
        <f t="shared" si="56"/>
        <v>0</v>
      </c>
      <c r="FJ28" s="1543">
        <f t="shared" si="56"/>
        <v>0</v>
      </c>
      <c r="FK28" s="1543">
        <f t="shared" si="56"/>
        <v>0</v>
      </c>
      <c r="FL28" s="1543">
        <f t="shared" si="56"/>
        <v>0</v>
      </c>
      <c r="FM28" s="1543">
        <f t="shared" si="56"/>
        <v>0</v>
      </c>
      <c r="FN28" s="1543">
        <f t="shared" si="56"/>
        <v>0</v>
      </c>
      <c r="FO28" s="1543">
        <f t="shared" si="56"/>
        <v>0</v>
      </c>
      <c r="FP28" s="1543">
        <f t="shared" si="56"/>
        <v>0</v>
      </c>
      <c r="FQ28" s="1543">
        <f t="shared" si="56"/>
        <v>0</v>
      </c>
      <c r="FR28" s="1543">
        <f t="shared" si="56"/>
        <v>0</v>
      </c>
      <c r="FS28" s="1543">
        <f t="shared" si="56"/>
        <v>0</v>
      </c>
      <c r="FT28" s="1543">
        <f t="shared" si="41"/>
        <v>1</v>
      </c>
      <c r="FV28" s="1543">
        <f t="shared" si="57"/>
        <v>0</v>
      </c>
      <c r="FW28" s="1543">
        <f t="shared" si="57"/>
        <v>0</v>
      </c>
      <c r="FX28" s="1543">
        <f t="shared" si="57"/>
        <v>0</v>
      </c>
      <c r="FY28" s="1543">
        <f t="shared" si="57"/>
        <v>1</v>
      </c>
      <c r="FZ28" s="1543">
        <f t="shared" si="57"/>
        <v>0</v>
      </c>
      <c r="GA28" s="1543">
        <f t="shared" si="57"/>
        <v>0</v>
      </c>
      <c r="GB28" s="1543">
        <f t="shared" si="57"/>
        <v>0</v>
      </c>
      <c r="GC28" s="1543">
        <f t="shared" si="57"/>
        <v>0</v>
      </c>
      <c r="GD28" s="1543">
        <f t="shared" si="57"/>
        <v>0</v>
      </c>
    </row>
    <row r="29" spans="1:186" s="982" customFormat="1" ht="15.6" x14ac:dyDescent="0.3">
      <c r="A29" s="974">
        <v>27</v>
      </c>
      <c r="B29" s="983" t="s">
        <v>1907</v>
      </c>
      <c r="C29" s="984" t="s">
        <v>1909</v>
      </c>
      <c r="D29" s="983" t="s">
        <v>61</v>
      </c>
      <c r="E29" s="968" t="str">
        <f>IFERROR(VLOOKUP($D29&amp;"."&amp;B29,'Piping Class'!$1:$1048576,MATCH($I29,'Piping Class'!$2:$2,0),0),"")</f>
        <v xml:space="preserve">ASTM 106 Gr.B </v>
      </c>
      <c r="F29" s="985" t="str">
        <f>IFERROR(IF(B29="Flange",VLOOKUP($D29,'Piping Class'!$88:$102,MATCH(F$1,'Piping Class'!$88:$88,0),0),""),"")</f>
        <v/>
      </c>
      <c r="G29" s="968" t="str">
        <f>IFERROR(IF(B29="Flange",VLOOKUP($D29,'Piping Class'!$88:$102,MATCH(G$1,'Piping Class'!$88:$88,0),0),""),"")</f>
        <v/>
      </c>
      <c r="H29" s="968" t="str">
        <f>IFERROR(VLOOKUP($D29,'Piping Class'!$88:$102,MATCH(H$1,'Piping Class'!$88:$88,0),0),"")</f>
        <v>CS</v>
      </c>
      <c r="I29" s="986">
        <v>3</v>
      </c>
      <c r="J29" s="986"/>
      <c r="K29" s="968">
        <f>IFERROR(VLOOKUP(I29,'Thickness Tab'!$1:$1048576,MATCH(L29,'Thickness Tab'!$1:$1,0),0),"")</f>
        <v>5.49</v>
      </c>
      <c r="L29" s="969">
        <f>IFERROR(VLOOKUP($D29,'Piping Class'!$1:$1048576,MATCH($I29,'Piping Class'!$2:$2,0),0),"")</f>
        <v>40</v>
      </c>
      <c r="M29" s="968" t="str">
        <f>IFERROR(VLOOKUP(J29,'Thickness Tab'!$1:$1048576,MATCH(N29,'Thickness Tab'!$1:$1,0),0),"")</f>
        <v/>
      </c>
      <c r="N29" s="969" t="str">
        <f>IFERROR(VLOOKUP($D29,'Piping Class'!$1:$1048576,MATCH($J29,'Piping Class'!$2:$2,0),0),"")</f>
        <v/>
      </c>
      <c r="O29" s="968" t="str">
        <f>IFERROR(VLOOKUP($D29,'Piping Class'!$88:$102,MATCH(O$1,'Piping Class'!$88:$88,0),0),"")</f>
        <v>B31.3 / B16.5</v>
      </c>
      <c r="P29" s="968" t="str">
        <f>IFERROR(VLOOKUP($D29,'Piping Class'!$88:$102,MATCH(P$1,'Piping Class'!$88:$88,0),0),"")</f>
        <v>3.1</v>
      </c>
      <c r="Q29" s="983"/>
      <c r="R29" s="988">
        <v>0</v>
      </c>
      <c r="S29" s="969" t="str">
        <f t="shared" si="58"/>
        <v>cad</v>
      </c>
      <c r="T29" s="968">
        <f>IFERROR(VLOOKUP(I29&amp;"."&amp;L29,'Fitting Chart'!$1:$1048576,MATCH(C29,'Fitting Chart'!$1:$1,0),0),0)+IF(B29="piping",PI()*K29*(VLOOKUP(I29,'Thickness Tab'!$1:$1048576,3,0)-K29)*7.86/1000,0)+IF(B29="Flange",VLOOKUP(I29&amp;"F"&amp;F29,'Flanges Chart'!$1:$1048576,MATCH(C29&amp;"."&amp;T$1,'Flanges Chart'!$1:$1,0),0),0)</f>
        <v>3.8101759080000002</v>
      </c>
      <c r="U29" s="989">
        <f t="shared" si="0"/>
        <v>0</v>
      </c>
      <c r="V29" s="1003">
        <v>3</v>
      </c>
      <c r="W29" s="1001">
        <f t="shared" si="22"/>
        <v>0</v>
      </c>
      <c r="X29" s="997"/>
      <c r="Y29" s="983" t="s">
        <v>105</v>
      </c>
      <c r="Z29" s="989">
        <f>IF(B29="Piping",VLOOKUP(I29,'Thickness Tab'!$1:$1048576,3,0)/1000*PI(),0)+IFERROR(VLOOKUP(I29&amp;"F"&amp;F29,'Flanges Chart'!$1:$1048576,MATCH(C29&amp;".Unit Surface",'Flanges Chart'!$1:$1,0),0),0)+IF(B29="Fitting",VLOOKUP(I29,'Thickness Tab'!$1:$1048576,3,0)/1000*PI(),0)</f>
        <v>0.27928758690413263</v>
      </c>
      <c r="AA29" s="989">
        <f t="shared" si="23"/>
        <v>0</v>
      </c>
      <c r="AB29" s="983">
        <v>50</v>
      </c>
      <c r="AC29" s="989">
        <f t="shared" si="24"/>
        <v>0.593446852263112</v>
      </c>
      <c r="AD29" s="989">
        <f t="shared" si="25"/>
        <v>0</v>
      </c>
      <c r="AE29" s="974">
        <f>(IFERROR(VLOOKUP($C29,List!$J:$L,2,0),0)*R29+IF(B29="piping",R29,0)+IF(C29="Welding Neck",1,0)*R29)*$AE$2</f>
        <v>0</v>
      </c>
      <c r="AF29" s="970">
        <f>IFERROR(VLOOKUP($C29,List!$J:$L,3,0),0)*R29*$AF$2</f>
        <v>0</v>
      </c>
      <c r="AG29" s="990">
        <f t="shared" si="1"/>
        <v>0</v>
      </c>
      <c r="AH29" s="1118">
        <f>IFERROR(VLOOKUP($D29,'Piping Class'!$88:$102,MATCH(AH$1,'Piping Class'!$88:$88,0),0),"")</f>
        <v>0.1</v>
      </c>
      <c r="AI29" s="991">
        <f>IFERROR(VLOOKUP($D29,'Piping Class'!$88:$102,MATCH(AI$1,'Piping Class'!$88:$88,0),0),"")</f>
        <v>0</v>
      </c>
      <c r="AJ29" s="991">
        <f>IFERROR(VLOOKUP($D29,'Piping Class'!$88:$102,MATCH(AJ$1,'Piping Class'!$88:$88,0),0),"")</f>
        <v>1</v>
      </c>
      <c r="AK29" s="991">
        <f>IFERROR(VLOOKUP($D29,'Piping Class'!$88:$102,MATCH(AK$1,'Piping Class'!$88:$88,0),0),"")</f>
        <v>0</v>
      </c>
      <c r="AL29" s="991">
        <f t="shared" si="44"/>
        <v>0</v>
      </c>
      <c r="AM29" s="1119" t="str">
        <f>IFERROR(VLOOKUP($D29,'Piping Class'!$88:$102,MATCH(AM$1,'Piping Class'!$88:$88,0),0),"")</f>
        <v/>
      </c>
      <c r="AN29" s="992">
        <f t="shared" si="26"/>
        <v>0</v>
      </c>
      <c r="AO29" s="993">
        <f>IFERROR(VLOOKUP(I29&amp;"B"&amp;F29,'Bolting Chart'!$1:$1048576,4,0),0)</f>
        <v>0</v>
      </c>
      <c r="AP29" s="993">
        <f t="shared" si="27"/>
        <v>0</v>
      </c>
      <c r="AQ29" s="993">
        <f t="shared" si="28"/>
        <v>0</v>
      </c>
      <c r="AR29" s="993">
        <f>IF(AO29=0,0,VLOOKUP(D29&amp;".bolting",'Piping Class'!$1:$1048576,MATCH(I29,'Piping Class'!$2:$2,0),0))</f>
        <v>0</v>
      </c>
      <c r="AS29" s="994">
        <f>IFERROR(VLOOKUP(I29&amp;"B"&amp;F29,'Bolting Chart'!$1:$1048576,IF(AS$2="UNC",5,6),0),0)</f>
        <v>0</v>
      </c>
      <c r="AT29" s="995">
        <f>IFERROR(VLOOKUP(I29&amp;"B"&amp;F29,'Bolting Chart'!$1:$1048576,IF(G29="RF",8,9),0),0)</f>
        <v>0</v>
      </c>
      <c r="AU29" s="993">
        <f>IF(AO29=0,0,VLOOKUP(D29&amp;".gasket",'Piping Class'!$1:$1048576,MATCH(I29,'Piping Class'!$2:$2,0),0))</f>
        <v>0</v>
      </c>
      <c r="AV29" s="996">
        <f>(IFERROR(INDEX('Bolting Chart'!$A$169:$R$251,MATCH(AT29,'Bolting Chart'!$A$170:$A$251,0),MATCH(IFERROR(VLOOKUP(I29&amp;"B"&amp;F29,'Bolting Chart'!$1:$1048576,7,0),0)+0,'Bolting Chart'!$A$169:$R$169,0)),0))/100</f>
        <v>0</v>
      </c>
      <c r="AW29" s="996">
        <f t="shared" si="3"/>
        <v>0</v>
      </c>
      <c r="AX29" s="1194">
        <f t="shared" si="4"/>
        <v>0</v>
      </c>
      <c r="AY29" s="981"/>
      <c r="AZ29" s="1543">
        <f t="shared" si="29"/>
        <v>0</v>
      </c>
      <c r="BA29" s="1543">
        <f t="shared" si="29"/>
        <v>0</v>
      </c>
      <c r="BB29" s="1543">
        <f t="shared" si="29"/>
        <v>0</v>
      </c>
      <c r="BC29" s="1543">
        <f t="shared" si="29"/>
        <v>0</v>
      </c>
      <c r="BD29" s="1543">
        <f t="shared" si="29"/>
        <v>0</v>
      </c>
      <c r="BE29" s="1543">
        <f t="shared" si="29"/>
        <v>0</v>
      </c>
      <c r="BF29" s="1543">
        <f t="shared" si="29"/>
        <v>1</v>
      </c>
      <c r="BG29" s="1543">
        <f t="shared" si="29"/>
        <v>0</v>
      </c>
      <c r="BH29" s="1543">
        <f t="shared" si="29"/>
        <v>0</v>
      </c>
      <c r="BI29" s="1543">
        <f t="shared" si="29"/>
        <v>0</v>
      </c>
      <c r="BJ29" s="1543">
        <f t="shared" si="29"/>
        <v>0</v>
      </c>
      <c r="BK29" s="1543">
        <f t="shared" si="29"/>
        <v>0</v>
      </c>
      <c r="BL29" s="1543">
        <f t="shared" si="29"/>
        <v>0</v>
      </c>
      <c r="BM29" s="1543">
        <f t="shared" si="29"/>
        <v>0</v>
      </c>
      <c r="BN29" s="1543">
        <f t="shared" si="29"/>
        <v>0</v>
      </c>
      <c r="BO29" s="1543">
        <f t="shared" si="29"/>
        <v>0</v>
      </c>
      <c r="BP29" s="1543">
        <f t="shared" si="45"/>
        <v>0</v>
      </c>
      <c r="BQ29" s="1543">
        <f t="shared" si="45"/>
        <v>0</v>
      </c>
      <c r="BR29" s="1543">
        <f t="shared" si="45"/>
        <v>0</v>
      </c>
      <c r="BS29" s="1543">
        <f t="shared" si="45"/>
        <v>0</v>
      </c>
      <c r="BT29" s="1543">
        <f t="shared" si="45"/>
        <v>0</v>
      </c>
      <c r="BU29" s="1543">
        <f t="shared" si="45"/>
        <v>0</v>
      </c>
      <c r="BV29" s="1543">
        <f t="shared" si="45"/>
        <v>0</v>
      </c>
      <c r="BW29" s="1543">
        <f t="shared" si="45"/>
        <v>0</v>
      </c>
      <c r="BX29" s="1543">
        <f t="shared" si="45"/>
        <v>0</v>
      </c>
      <c r="BY29" s="1543">
        <f t="shared" si="45"/>
        <v>0</v>
      </c>
      <c r="BZ29" s="1543">
        <f t="shared" si="45"/>
        <v>0</v>
      </c>
      <c r="CB29" s="1543">
        <f t="shared" si="30"/>
        <v>0</v>
      </c>
      <c r="CC29" s="1543">
        <f t="shared" si="30"/>
        <v>0</v>
      </c>
      <c r="CD29" s="1543">
        <f t="shared" si="30"/>
        <v>0</v>
      </c>
      <c r="CE29" s="1543">
        <f t="shared" si="30"/>
        <v>0</v>
      </c>
      <c r="CF29" s="1543">
        <f t="shared" si="30"/>
        <v>0</v>
      </c>
      <c r="CG29" s="1543">
        <f t="shared" si="30"/>
        <v>0</v>
      </c>
      <c r="CH29" s="1543">
        <f t="shared" si="30"/>
        <v>0</v>
      </c>
      <c r="CI29" s="1543">
        <f t="shared" si="30"/>
        <v>0</v>
      </c>
      <c r="CJ29" s="1543">
        <f t="shared" si="30"/>
        <v>0</v>
      </c>
      <c r="CK29" s="1543">
        <f t="shared" si="30"/>
        <v>0</v>
      </c>
      <c r="CL29" s="1543">
        <f t="shared" si="30"/>
        <v>0</v>
      </c>
      <c r="CM29" s="1543">
        <f t="shared" si="30"/>
        <v>0</v>
      </c>
      <c r="CN29" s="1543">
        <f t="shared" si="30"/>
        <v>0</v>
      </c>
      <c r="CO29" s="1543">
        <f t="shared" si="30"/>
        <v>0</v>
      </c>
      <c r="CP29" s="1543">
        <f t="shared" si="30"/>
        <v>0</v>
      </c>
      <c r="CQ29" s="1543">
        <f t="shared" si="30"/>
        <v>0</v>
      </c>
      <c r="CR29" s="1543">
        <f t="shared" si="46"/>
        <v>0</v>
      </c>
      <c r="CS29" s="1543">
        <f t="shared" si="46"/>
        <v>0</v>
      </c>
      <c r="CT29" s="1543">
        <f t="shared" si="47"/>
        <v>0</v>
      </c>
      <c r="CU29" s="1543">
        <f t="shared" si="47"/>
        <v>0</v>
      </c>
      <c r="CV29" s="1543">
        <f t="shared" si="47"/>
        <v>0</v>
      </c>
      <c r="CW29" s="1543">
        <f t="shared" si="47"/>
        <v>0</v>
      </c>
      <c r="CX29" s="1543">
        <f t="shared" si="47"/>
        <v>0</v>
      </c>
      <c r="CY29" s="1543">
        <f t="shared" si="47"/>
        <v>0</v>
      </c>
      <c r="CZ29" s="1543">
        <f t="shared" si="47"/>
        <v>0</v>
      </c>
      <c r="DA29" s="1543">
        <f t="shared" si="47"/>
        <v>0</v>
      </c>
      <c r="DB29" s="1543">
        <f t="shared" si="47"/>
        <v>0</v>
      </c>
      <c r="DD29" s="1543">
        <f t="shared" si="9"/>
        <v>0</v>
      </c>
      <c r="DE29" s="1543">
        <f t="shared" si="10"/>
        <v>1</v>
      </c>
      <c r="DF29" s="1543">
        <f t="shared" si="11"/>
        <v>0</v>
      </c>
      <c r="DG29" s="1543">
        <f t="shared" si="31"/>
        <v>0</v>
      </c>
      <c r="DI29" s="1543">
        <f t="shared" si="32"/>
        <v>1</v>
      </c>
      <c r="DJ29" s="1543">
        <f t="shared" si="48"/>
        <v>0</v>
      </c>
      <c r="DK29" s="1543">
        <f t="shared" si="48"/>
        <v>0</v>
      </c>
      <c r="DL29" s="1543">
        <f t="shared" si="48"/>
        <v>0</v>
      </c>
      <c r="DM29" s="1543">
        <f t="shared" si="48"/>
        <v>0</v>
      </c>
      <c r="DO29" s="1543">
        <f t="shared" si="13"/>
        <v>0</v>
      </c>
      <c r="DP29" s="1543">
        <f t="shared" si="55"/>
        <v>0</v>
      </c>
      <c r="DQ29" s="1543">
        <f t="shared" si="55"/>
        <v>0</v>
      </c>
      <c r="DR29" s="1543">
        <f t="shared" si="55"/>
        <v>0</v>
      </c>
      <c r="DS29" s="1543">
        <f t="shared" si="55"/>
        <v>1</v>
      </c>
      <c r="DT29" s="1543">
        <f t="shared" si="55"/>
        <v>0</v>
      </c>
      <c r="DU29" s="1543">
        <f t="shared" si="55"/>
        <v>0</v>
      </c>
      <c r="DV29" s="1543">
        <f t="shared" si="55"/>
        <v>0</v>
      </c>
      <c r="DW29" s="1543">
        <f t="shared" si="55"/>
        <v>0</v>
      </c>
      <c r="DX29" s="1543">
        <f t="shared" si="55"/>
        <v>0</v>
      </c>
      <c r="DY29" s="1543">
        <f t="shared" si="55"/>
        <v>0</v>
      </c>
      <c r="DZ29" s="1543">
        <f t="shared" si="55"/>
        <v>0</v>
      </c>
      <c r="EA29" s="1543">
        <f t="shared" si="55"/>
        <v>0</v>
      </c>
      <c r="EB29" s="1543">
        <f t="shared" si="50"/>
        <v>0</v>
      </c>
      <c r="EC29" s="1543">
        <f t="shared" si="50"/>
        <v>0</v>
      </c>
      <c r="ED29" s="1543">
        <f t="shared" si="50"/>
        <v>0</v>
      </c>
      <c r="EE29" s="1543">
        <f t="shared" si="50"/>
        <v>0</v>
      </c>
      <c r="EF29" s="1543">
        <f t="shared" si="50"/>
        <v>0</v>
      </c>
      <c r="EH29" s="1543">
        <f t="shared" si="33"/>
        <v>1</v>
      </c>
      <c r="EI29" s="1543">
        <f t="shared" si="34"/>
        <v>0</v>
      </c>
      <c r="EJ29" s="1543">
        <f t="shared" si="35"/>
        <v>0</v>
      </c>
      <c r="EK29" s="1543">
        <f t="shared" si="36"/>
        <v>0</v>
      </c>
      <c r="EL29" s="1543">
        <f t="shared" si="37"/>
        <v>0</v>
      </c>
      <c r="EM29" s="1543">
        <f t="shared" si="38"/>
        <v>0</v>
      </c>
      <c r="EN29" s="1543">
        <f t="shared" si="39"/>
        <v>0</v>
      </c>
      <c r="EP29" s="1543">
        <f t="shared" si="51"/>
        <v>0</v>
      </c>
      <c r="EQ29" s="1543">
        <f t="shared" si="51"/>
        <v>0</v>
      </c>
      <c r="ER29" s="1543">
        <f t="shared" si="51"/>
        <v>0</v>
      </c>
      <c r="ES29" s="1543">
        <f t="shared" si="51"/>
        <v>0</v>
      </c>
      <c r="ET29" s="1543">
        <f t="shared" si="51"/>
        <v>0</v>
      </c>
      <c r="EU29" s="1543">
        <f t="shared" si="51"/>
        <v>0</v>
      </c>
      <c r="EV29" s="1543">
        <f t="shared" si="51"/>
        <v>0</v>
      </c>
      <c r="EW29" s="1543">
        <f t="shared" si="51"/>
        <v>0</v>
      </c>
      <c r="EX29" s="1543">
        <f t="shared" si="51"/>
        <v>0</v>
      </c>
      <c r="EY29" s="1543">
        <f t="shared" si="51"/>
        <v>0</v>
      </c>
      <c r="EZ29" s="1543">
        <f t="shared" si="51"/>
        <v>0</v>
      </c>
      <c r="FA29" s="1543">
        <f t="shared" si="51"/>
        <v>0</v>
      </c>
      <c r="FB29" s="1543">
        <f t="shared" si="51"/>
        <v>0</v>
      </c>
      <c r="FC29" s="1543">
        <f t="shared" si="51"/>
        <v>0</v>
      </c>
      <c r="FD29" s="1543">
        <f t="shared" si="51"/>
        <v>0</v>
      </c>
      <c r="FE29" s="1543">
        <f t="shared" si="52"/>
        <v>0</v>
      </c>
      <c r="FF29" s="1543">
        <f t="shared" si="40"/>
        <v>1</v>
      </c>
      <c r="FH29" s="1543">
        <f t="shared" si="56"/>
        <v>0</v>
      </c>
      <c r="FI29" s="1543">
        <f t="shared" si="56"/>
        <v>0</v>
      </c>
      <c r="FJ29" s="1543">
        <f t="shared" si="56"/>
        <v>0</v>
      </c>
      <c r="FK29" s="1543">
        <f t="shared" si="56"/>
        <v>0</v>
      </c>
      <c r="FL29" s="1543">
        <f t="shared" si="56"/>
        <v>0</v>
      </c>
      <c r="FM29" s="1543">
        <f t="shared" si="56"/>
        <v>0</v>
      </c>
      <c r="FN29" s="1543">
        <f t="shared" si="56"/>
        <v>0</v>
      </c>
      <c r="FO29" s="1543">
        <f t="shared" si="56"/>
        <v>0</v>
      </c>
      <c r="FP29" s="1543">
        <f t="shared" si="56"/>
        <v>0</v>
      </c>
      <c r="FQ29" s="1543">
        <f t="shared" si="56"/>
        <v>0</v>
      </c>
      <c r="FR29" s="1543">
        <f t="shared" si="56"/>
        <v>0</v>
      </c>
      <c r="FS29" s="1543">
        <f t="shared" si="56"/>
        <v>0</v>
      </c>
      <c r="FT29" s="1543">
        <f t="shared" si="41"/>
        <v>1</v>
      </c>
      <c r="FV29" s="1543">
        <f t="shared" si="57"/>
        <v>0</v>
      </c>
      <c r="FW29" s="1543">
        <f t="shared" si="57"/>
        <v>0</v>
      </c>
      <c r="FX29" s="1543">
        <f t="shared" si="57"/>
        <v>0</v>
      </c>
      <c r="FY29" s="1543">
        <f t="shared" si="57"/>
        <v>1</v>
      </c>
      <c r="FZ29" s="1543">
        <f t="shared" si="57"/>
        <v>0</v>
      </c>
      <c r="GA29" s="1543">
        <f t="shared" si="57"/>
        <v>0</v>
      </c>
      <c r="GB29" s="1543">
        <f t="shared" si="57"/>
        <v>0</v>
      </c>
      <c r="GC29" s="1543">
        <f t="shared" si="57"/>
        <v>0</v>
      </c>
      <c r="GD29" s="1543">
        <f t="shared" si="57"/>
        <v>0</v>
      </c>
    </row>
    <row r="30" spans="1:186" s="982" customFormat="1" ht="15.6" x14ac:dyDescent="0.3">
      <c r="A30" s="974">
        <v>28</v>
      </c>
      <c r="B30" s="983" t="s">
        <v>1907</v>
      </c>
      <c r="C30" s="984" t="s">
        <v>1909</v>
      </c>
      <c r="D30" s="983" t="s">
        <v>67</v>
      </c>
      <c r="E30" s="968" t="str">
        <f>IFERROR(VLOOKUP($D30&amp;"."&amp;B30,'Piping Class'!$1:$1048576,MATCH($I30,'Piping Class'!$2:$2,0),0),"")</f>
        <v>ASTM A312-
TP316/316L</v>
      </c>
      <c r="F30" s="985" t="str">
        <f>IFERROR(IF(B30="Flange",VLOOKUP($D30,'Piping Class'!$88:$102,MATCH(F$1,'Piping Class'!$88:$88,0),0),""),"")</f>
        <v/>
      </c>
      <c r="G30" s="968" t="str">
        <f>IFERROR(IF(B30="Flange",VLOOKUP($D30,'Piping Class'!$88:$102,MATCH(G$1,'Piping Class'!$88:$88,0),0),""),"")</f>
        <v/>
      </c>
      <c r="H30" s="968" t="str">
        <f>IFERROR(VLOOKUP($D30,'Piping Class'!$88:$102,MATCH(H$1,'Piping Class'!$88:$88,0),0),"")</f>
        <v>SS</v>
      </c>
      <c r="I30" s="986">
        <v>6</v>
      </c>
      <c r="J30" s="986"/>
      <c r="K30" s="968">
        <f>IFERROR(VLOOKUP(I30,'Thickness Tab'!$1:$1048576,MATCH(L30,'Thickness Tab'!$1:$1,0),0),"")</f>
        <v>7.11</v>
      </c>
      <c r="L30" s="969">
        <f>IFERROR(VLOOKUP($D30,'Piping Class'!$1:$1048576,MATCH($I30,'Piping Class'!$2:$2,0),0),"")</f>
        <v>40</v>
      </c>
      <c r="M30" s="968" t="str">
        <f>IFERROR(VLOOKUP(J30,'Thickness Tab'!$1:$1048576,MATCH(N30,'Thickness Tab'!$1:$1,0),0),"")</f>
        <v/>
      </c>
      <c r="N30" s="969" t="str">
        <f>IFERROR(VLOOKUP($D30,'Piping Class'!$1:$1048576,MATCH($J30,'Piping Class'!$2:$2,0),0),"")</f>
        <v/>
      </c>
      <c r="O30" s="968" t="str">
        <f>IFERROR(VLOOKUP($D30,'Piping Class'!$88:$102,MATCH(O$1,'Piping Class'!$88:$88,0),0),"")</f>
        <v>B31.3 / B16.5</v>
      </c>
      <c r="P30" s="968" t="str">
        <f>IFERROR(VLOOKUP($D30,'Piping Class'!$88:$102,MATCH(P$1,'Piping Class'!$88:$88,0),0),"")</f>
        <v>3.1</v>
      </c>
      <c r="Q30" s="983"/>
      <c r="R30" s="988">
        <v>24</v>
      </c>
      <c r="S30" s="969" t="str">
        <f t="shared" si="58"/>
        <v>cad</v>
      </c>
      <c r="T30" s="968">
        <f>IFERROR(VLOOKUP(I30&amp;"."&amp;L30,'Fitting Chart'!$1:$1048576,MATCH(C30,'Fitting Chart'!$1:$1,0),0),0)+IF(B30="piping",PI()*K30*(VLOOKUP(I30,'Thickness Tab'!$1:$1048576,3,0)-K30)*7.86/1000,0)+IF(B30="Flange",VLOOKUP(I30&amp;"F"&amp;F30,'Flanges Chart'!$1:$1048576,MATCH(C30&amp;"."&amp;T$1,'Flanges Chart'!$1:$1,0),0),0)</f>
        <v>16.329325320000002</v>
      </c>
      <c r="U30" s="989">
        <f t="shared" si="0"/>
        <v>391.90380768000006</v>
      </c>
      <c r="V30" s="1003">
        <v>15</v>
      </c>
      <c r="W30" s="1001">
        <f t="shared" si="22"/>
        <v>5878.5571152000011</v>
      </c>
      <c r="X30" s="997"/>
      <c r="Y30" s="983"/>
      <c r="Z30" s="989">
        <f>IF(B30="Piping",VLOOKUP(I30,'Thickness Tab'!$1:$1048576,3,0)/1000*PI(),0)+IFERROR(VLOOKUP(I30&amp;"F"&amp;F30,'Flanges Chart'!$1:$1048576,MATCH(C30&amp;".Unit Surface",'Flanges Chart'!$1:$1,0),0),0)+IF(B30="Fitting",VLOOKUP(I30,'Thickness Tab'!$1:$1048576,3,0)/1000*PI(),0)</f>
        <v>0.5287300435991622</v>
      </c>
      <c r="AA30" s="989">
        <f t="shared" si="23"/>
        <v>12.689521046379893</v>
      </c>
      <c r="AB30" s="983">
        <v>50</v>
      </c>
      <c r="AC30" s="989">
        <f t="shared" si="24"/>
        <v>0.84288930895814151</v>
      </c>
      <c r="AD30" s="989">
        <f t="shared" si="25"/>
        <v>20.229343414995398</v>
      </c>
      <c r="AE30" s="974">
        <f>(IFERROR(VLOOKUP($C30,List!$J:$L,2,0),0)*R30+IF(B30="piping",R30,0)+IF(C30="Welding Neck",1,0)*R30)*$AE$2</f>
        <v>57.6</v>
      </c>
      <c r="AF30" s="970">
        <f>IFERROR(VLOOKUP($C30,List!$J:$L,3,0),0)*R30*$AF$2</f>
        <v>0</v>
      </c>
      <c r="AG30" s="990">
        <f t="shared" si="1"/>
        <v>345.6</v>
      </c>
      <c r="AH30" s="1118">
        <f>IFERROR(VLOOKUP($D30,'Piping Class'!$88:$102,MATCH(AH$1,'Piping Class'!$88:$88,0),0),"")</f>
        <v>0.1</v>
      </c>
      <c r="AI30" s="991">
        <f>IFERROR(VLOOKUP($D30,'Piping Class'!$88:$102,MATCH(AI$1,'Piping Class'!$88:$88,0),0),"")</f>
        <v>1</v>
      </c>
      <c r="AJ30" s="991">
        <f>IFERROR(VLOOKUP($D30,'Piping Class'!$88:$102,MATCH(AJ$1,'Piping Class'!$88:$88,0),0),"")</f>
        <v>1</v>
      </c>
      <c r="AK30" s="991">
        <f>IFERROR(VLOOKUP($D30,'Piping Class'!$88:$102,MATCH(AK$1,'Piping Class'!$88:$88,0),0),"")</f>
        <v>0</v>
      </c>
      <c r="AL30" s="991">
        <f t="shared" si="44"/>
        <v>1</v>
      </c>
      <c r="AM30" s="1119" t="str">
        <f>IFERROR(VLOOKUP($D30,'Piping Class'!$88:$102,MATCH(AM$1,'Piping Class'!$88:$88,0),0),"")</f>
        <v/>
      </c>
      <c r="AN30" s="992">
        <f t="shared" si="26"/>
        <v>70.542685382400009</v>
      </c>
      <c r="AO30" s="993">
        <f>IFERROR(VLOOKUP(I30&amp;"B"&amp;F30,'Bolting Chart'!$1:$1048576,4,0),0)</f>
        <v>0</v>
      </c>
      <c r="AP30" s="993">
        <f t="shared" si="27"/>
        <v>0</v>
      </c>
      <c r="AQ30" s="993">
        <f t="shared" si="28"/>
        <v>0</v>
      </c>
      <c r="AR30" s="993">
        <f>IF(AO30=0,0,VLOOKUP(D30&amp;".bolting",'Piping Class'!$1:$1048576,MATCH(I30,'Piping Class'!$2:$2,0),0))</f>
        <v>0</v>
      </c>
      <c r="AS30" s="994">
        <f>IFERROR(VLOOKUP(I30&amp;"B"&amp;F30,'Bolting Chart'!$1:$1048576,IF(AS$2="UNC",5,6),0),0)</f>
        <v>0</v>
      </c>
      <c r="AT30" s="995">
        <f>IFERROR(VLOOKUP(I30&amp;"B"&amp;F30,'Bolting Chart'!$1:$1048576,IF(G30="RF",8,9),0),0)</f>
        <v>0</v>
      </c>
      <c r="AU30" s="993">
        <f>IF(AO30=0,0,VLOOKUP(D30&amp;".gasket",'Piping Class'!$1:$1048576,MATCH(I30,'Piping Class'!$2:$2,0),0))</f>
        <v>0</v>
      </c>
      <c r="AV30" s="996">
        <f>(IFERROR(INDEX('Bolting Chart'!$A$169:$R$251,MATCH(AT30,'Bolting Chart'!$A$170:$A$251,0),MATCH(IFERROR(VLOOKUP(I30&amp;"B"&amp;F30,'Bolting Chart'!$1:$1048576,7,0),0)+0,'Bolting Chart'!$A$169:$R$169,0)),0))/100</f>
        <v>0</v>
      </c>
      <c r="AW30" s="996">
        <f t="shared" si="3"/>
        <v>0</v>
      </c>
      <c r="AX30" s="1194">
        <f t="shared" si="4"/>
        <v>0</v>
      </c>
      <c r="AY30" s="981"/>
      <c r="AZ30" s="1543">
        <f t="shared" si="29"/>
        <v>0</v>
      </c>
      <c r="BA30" s="1543">
        <f t="shared" si="29"/>
        <v>0</v>
      </c>
      <c r="BB30" s="1543">
        <f t="shared" si="29"/>
        <v>0</v>
      </c>
      <c r="BC30" s="1543">
        <f t="shared" si="29"/>
        <v>0</v>
      </c>
      <c r="BD30" s="1543">
        <f t="shared" si="29"/>
        <v>0</v>
      </c>
      <c r="BE30" s="1543">
        <f t="shared" si="29"/>
        <v>0</v>
      </c>
      <c r="BF30" s="1543">
        <f t="shared" si="29"/>
        <v>0</v>
      </c>
      <c r="BG30" s="1543">
        <f t="shared" si="29"/>
        <v>0</v>
      </c>
      <c r="BH30" s="1543">
        <f t="shared" si="29"/>
        <v>1</v>
      </c>
      <c r="BI30" s="1543">
        <f t="shared" si="29"/>
        <v>0</v>
      </c>
      <c r="BJ30" s="1543">
        <f t="shared" si="29"/>
        <v>0</v>
      </c>
      <c r="BK30" s="1543">
        <f t="shared" si="29"/>
        <v>0</v>
      </c>
      <c r="BL30" s="1543">
        <f t="shared" si="29"/>
        <v>0</v>
      </c>
      <c r="BM30" s="1543">
        <f t="shared" si="29"/>
        <v>0</v>
      </c>
      <c r="BN30" s="1543">
        <f t="shared" si="29"/>
        <v>0</v>
      </c>
      <c r="BO30" s="1543">
        <f t="shared" si="29"/>
        <v>0</v>
      </c>
      <c r="BP30" s="1543">
        <f t="shared" si="45"/>
        <v>0</v>
      </c>
      <c r="BQ30" s="1543">
        <f t="shared" si="45"/>
        <v>0</v>
      </c>
      <c r="BR30" s="1543">
        <f t="shared" si="45"/>
        <v>0</v>
      </c>
      <c r="BS30" s="1543">
        <f t="shared" si="45"/>
        <v>0</v>
      </c>
      <c r="BT30" s="1543">
        <f t="shared" si="45"/>
        <v>0</v>
      </c>
      <c r="BU30" s="1543">
        <f t="shared" si="45"/>
        <v>0</v>
      </c>
      <c r="BV30" s="1543">
        <f t="shared" si="45"/>
        <v>0</v>
      </c>
      <c r="BW30" s="1543">
        <f t="shared" si="45"/>
        <v>0</v>
      </c>
      <c r="BX30" s="1543">
        <f t="shared" si="45"/>
        <v>0</v>
      </c>
      <c r="BY30" s="1543">
        <f t="shared" si="45"/>
        <v>0</v>
      </c>
      <c r="BZ30" s="1543">
        <f t="shared" si="45"/>
        <v>0</v>
      </c>
      <c r="CB30" s="1543">
        <f t="shared" si="30"/>
        <v>0</v>
      </c>
      <c r="CC30" s="1543">
        <f t="shared" si="30"/>
        <v>0</v>
      </c>
      <c r="CD30" s="1543">
        <f t="shared" si="30"/>
        <v>0</v>
      </c>
      <c r="CE30" s="1543">
        <f t="shared" si="30"/>
        <v>0</v>
      </c>
      <c r="CF30" s="1543">
        <f t="shared" si="30"/>
        <v>0</v>
      </c>
      <c r="CG30" s="1543">
        <f t="shared" si="30"/>
        <v>0</v>
      </c>
      <c r="CH30" s="1543">
        <f t="shared" si="30"/>
        <v>0</v>
      </c>
      <c r="CI30" s="1543">
        <f t="shared" si="30"/>
        <v>0</v>
      </c>
      <c r="CJ30" s="1543">
        <f t="shared" si="30"/>
        <v>0</v>
      </c>
      <c r="CK30" s="1543">
        <f t="shared" si="30"/>
        <v>0</v>
      </c>
      <c r="CL30" s="1543">
        <f t="shared" si="30"/>
        <v>0</v>
      </c>
      <c r="CM30" s="1543">
        <f t="shared" si="30"/>
        <v>0</v>
      </c>
      <c r="CN30" s="1543">
        <f t="shared" si="30"/>
        <v>0</v>
      </c>
      <c r="CO30" s="1543">
        <f t="shared" si="30"/>
        <v>0</v>
      </c>
      <c r="CP30" s="1543">
        <f t="shared" si="30"/>
        <v>0</v>
      </c>
      <c r="CQ30" s="1543">
        <f t="shared" si="30"/>
        <v>0</v>
      </c>
      <c r="CR30" s="1543">
        <f t="shared" si="46"/>
        <v>0</v>
      </c>
      <c r="CS30" s="1543">
        <f t="shared" si="46"/>
        <v>0</v>
      </c>
      <c r="CT30" s="1543">
        <f t="shared" si="47"/>
        <v>0</v>
      </c>
      <c r="CU30" s="1543">
        <f t="shared" si="47"/>
        <v>0</v>
      </c>
      <c r="CV30" s="1543">
        <f t="shared" si="47"/>
        <v>0</v>
      </c>
      <c r="CW30" s="1543">
        <f t="shared" si="47"/>
        <v>0</v>
      </c>
      <c r="CX30" s="1543">
        <f t="shared" si="47"/>
        <v>0</v>
      </c>
      <c r="CY30" s="1543">
        <f t="shared" si="47"/>
        <v>0</v>
      </c>
      <c r="CZ30" s="1543">
        <f t="shared" si="47"/>
        <v>0</v>
      </c>
      <c r="DA30" s="1543">
        <f t="shared" si="47"/>
        <v>0</v>
      </c>
      <c r="DB30" s="1543">
        <f t="shared" si="47"/>
        <v>0</v>
      </c>
      <c r="DD30" s="1543">
        <f t="shared" si="9"/>
        <v>0</v>
      </c>
      <c r="DE30" s="1543">
        <f t="shared" si="10"/>
        <v>1</v>
      </c>
      <c r="DF30" s="1543">
        <f t="shared" si="11"/>
        <v>0</v>
      </c>
      <c r="DG30" s="1543">
        <f t="shared" si="31"/>
        <v>0</v>
      </c>
      <c r="DI30" s="1543">
        <f t="shared" si="32"/>
        <v>0</v>
      </c>
      <c r="DJ30" s="1543">
        <f t="shared" si="48"/>
        <v>0</v>
      </c>
      <c r="DK30" s="1543">
        <f t="shared" si="48"/>
        <v>1</v>
      </c>
      <c r="DL30" s="1543">
        <f t="shared" si="48"/>
        <v>0</v>
      </c>
      <c r="DM30" s="1543">
        <f t="shared" si="48"/>
        <v>0</v>
      </c>
      <c r="DO30" s="1543">
        <f t="shared" si="13"/>
        <v>0</v>
      </c>
      <c r="DP30" s="1543">
        <f t="shared" ref="DP30:EA35" si="59">IF($L30=DP$2,1,0)</f>
        <v>0</v>
      </c>
      <c r="DQ30" s="1543">
        <f t="shared" si="59"/>
        <v>0</v>
      </c>
      <c r="DR30" s="1543">
        <f t="shared" si="59"/>
        <v>0</v>
      </c>
      <c r="DS30" s="1543">
        <f t="shared" si="59"/>
        <v>1</v>
      </c>
      <c r="DT30" s="1543">
        <f t="shared" si="59"/>
        <v>0</v>
      </c>
      <c r="DU30" s="1543">
        <f t="shared" si="59"/>
        <v>0</v>
      </c>
      <c r="DV30" s="1543">
        <f t="shared" si="59"/>
        <v>0</v>
      </c>
      <c r="DW30" s="1543">
        <f t="shared" si="59"/>
        <v>0</v>
      </c>
      <c r="DX30" s="1543">
        <f t="shared" si="59"/>
        <v>0</v>
      </c>
      <c r="DY30" s="1543">
        <f t="shared" si="59"/>
        <v>0</v>
      </c>
      <c r="DZ30" s="1543">
        <f t="shared" si="59"/>
        <v>0</v>
      </c>
      <c r="EA30" s="1543">
        <f t="shared" si="59"/>
        <v>0</v>
      </c>
      <c r="EB30" s="1543">
        <f t="shared" si="50"/>
        <v>0</v>
      </c>
      <c r="EC30" s="1543">
        <f t="shared" si="50"/>
        <v>0</v>
      </c>
      <c r="ED30" s="1543">
        <f t="shared" si="50"/>
        <v>0</v>
      </c>
      <c r="EE30" s="1543">
        <f t="shared" si="50"/>
        <v>0</v>
      </c>
      <c r="EF30" s="1543">
        <f t="shared" si="50"/>
        <v>0</v>
      </c>
      <c r="EH30" s="1543">
        <f t="shared" si="33"/>
        <v>1</v>
      </c>
      <c r="EI30" s="1543">
        <f t="shared" si="34"/>
        <v>0</v>
      </c>
      <c r="EJ30" s="1543">
        <f t="shared" si="35"/>
        <v>0</v>
      </c>
      <c r="EK30" s="1543">
        <f t="shared" si="36"/>
        <v>0</v>
      </c>
      <c r="EL30" s="1543">
        <f t="shared" si="37"/>
        <v>0</v>
      </c>
      <c r="EM30" s="1543">
        <f t="shared" si="38"/>
        <v>0</v>
      </c>
      <c r="EN30" s="1543">
        <f t="shared" si="39"/>
        <v>0</v>
      </c>
      <c r="EP30" s="1543">
        <f t="shared" si="51"/>
        <v>0</v>
      </c>
      <c r="EQ30" s="1543">
        <f t="shared" si="51"/>
        <v>0</v>
      </c>
      <c r="ER30" s="1543">
        <f t="shared" si="51"/>
        <v>0</v>
      </c>
      <c r="ES30" s="1543">
        <f t="shared" si="51"/>
        <v>0</v>
      </c>
      <c r="ET30" s="1543">
        <f t="shared" si="51"/>
        <v>0</v>
      </c>
      <c r="EU30" s="1543">
        <f t="shared" si="51"/>
        <v>0</v>
      </c>
      <c r="EV30" s="1543">
        <f t="shared" si="51"/>
        <v>0</v>
      </c>
      <c r="EW30" s="1543">
        <f t="shared" si="51"/>
        <v>0</v>
      </c>
      <c r="EX30" s="1543">
        <f t="shared" si="51"/>
        <v>0</v>
      </c>
      <c r="EY30" s="1543">
        <f t="shared" si="51"/>
        <v>0</v>
      </c>
      <c r="EZ30" s="1543">
        <f t="shared" si="51"/>
        <v>0</v>
      </c>
      <c r="FA30" s="1543">
        <f t="shared" si="51"/>
        <v>0</v>
      </c>
      <c r="FB30" s="1543">
        <f t="shared" si="51"/>
        <v>0</v>
      </c>
      <c r="FC30" s="1543">
        <f t="shared" si="51"/>
        <v>0</v>
      </c>
      <c r="FD30" s="1543">
        <f t="shared" si="51"/>
        <v>0</v>
      </c>
      <c r="FE30" s="1543">
        <f t="shared" si="52"/>
        <v>0</v>
      </c>
      <c r="FF30" s="1543">
        <f t="shared" si="40"/>
        <v>1</v>
      </c>
      <c r="FH30" s="1543">
        <f t="shared" si="56"/>
        <v>0</v>
      </c>
      <c r="FI30" s="1543">
        <f t="shared" si="56"/>
        <v>0</v>
      </c>
      <c r="FJ30" s="1543">
        <f t="shared" si="56"/>
        <v>0</v>
      </c>
      <c r="FK30" s="1543">
        <f t="shared" si="56"/>
        <v>0</v>
      </c>
      <c r="FL30" s="1543">
        <f t="shared" si="56"/>
        <v>0</v>
      </c>
      <c r="FM30" s="1543">
        <f t="shared" si="56"/>
        <v>0</v>
      </c>
      <c r="FN30" s="1543">
        <f t="shared" si="56"/>
        <v>0</v>
      </c>
      <c r="FO30" s="1543">
        <f t="shared" si="56"/>
        <v>0</v>
      </c>
      <c r="FP30" s="1543">
        <f t="shared" si="56"/>
        <v>0</v>
      </c>
      <c r="FQ30" s="1543">
        <f t="shared" si="56"/>
        <v>0</v>
      </c>
      <c r="FR30" s="1543">
        <f t="shared" si="56"/>
        <v>0</v>
      </c>
      <c r="FS30" s="1543">
        <f t="shared" si="56"/>
        <v>0</v>
      </c>
      <c r="FT30" s="1543">
        <f t="shared" si="41"/>
        <v>1</v>
      </c>
      <c r="FV30" s="1543">
        <f t="shared" si="57"/>
        <v>0</v>
      </c>
      <c r="FW30" s="1543">
        <f t="shared" si="57"/>
        <v>0</v>
      </c>
      <c r="FX30" s="1543">
        <f t="shared" si="57"/>
        <v>0</v>
      </c>
      <c r="FY30" s="1543">
        <f t="shared" si="57"/>
        <v>1</v>
      </c>
      <c r="FZ30" s="1543">
        <f t="shared" si="57"/>
        <v>0</v>
      </c>
      <c r="GA30" s="1543">
        <f t="shared" si="57"/>
        <v>0</v>
      </c>
      <c r="GB30" s="1543">
        <f t="shared" si="57"/>
        <v>0</v>
      </c>
      <c r="GC30" s="1543">
        <f t="shared" si="57"/>
        <v>0</v>
      </c>
      <c r="GD30" s="1543">
        <f t="shared" si="57"/>
        <v>0</v>
      </c>
    </row>
    <row r="31" spans="1:186" s="982" customFormat="1" ht="15.6" x14ac:dyDescent="0.3">
      <c r="A31" s="974">
        <v>29</v>
      </c>
      <c r="B31" s="983" t="s">
        <v>1907</v>
      </c>
      <c r="C31" s="984" t="s">
        <v>1909</v>
      </c>
      <c r="D31" s="983" t="s">
        <v>67</v>
      </c>
      <c r="E31" s="968" t="str">
        <f>IFERROR(VLOOKUP($D31&amp;"."&amp;B31,'Piping Class'!$1:$1048576,MATCH($I31,'Piping Class'!$2:$2,0),0),"")</f>
        <v>ASTM A312-
TP316/316L</v>
      </c>
      <c r="F31" s="985" t="str">
        <f>IFERROR(IF(B31="Flange",VLOOKUP($D31,'Piping Class'!$88:$102,MATCH(F$1,'Piping Class'!$88:$88,0),0),""),"")</f>
        <v/>
      </c>
      <c r="G31" s="968" t="str">
        <f>IFERROR(IF(B31="Flange",VLOOKUP($D31,'Piping Class'!$88:$102,MATCH(G$1,'Piping Class'!$88:$88,0),0),""),"")</f>
        <v/>
      </c>
      <c r="H31" s="968" t="str">
        <f>IFERROR(VLOOKUP($D31,'Piping Class'!$88:$102,MATCH(H$1,'Piping Class'!$88:$88,0),0),"")</f>
        <v>SS</v>
      </c>
      <c r="I31" s="986">
        <v>1</v>
      </c>
      <c r="J31" s="986"/>
      <c r="K31" s="968">
        <f>IFERROR(VLOOKUP(I31,'Thickness Tab'!$1:$1048576,MATCH(L31,'Thickness Tab'!$1:$1,0),0),"")</f>
        <v>4.55</v>
      </c>
      <c r="L31" s="969" t="str">
        <f>IFERROR(VLOOKUP($D31,'Piping Class'!$1:$1048576,MATCH($I31,'Piping Class'!$2:$2,0),0),"")</f>
        <v>80S</v>
      </c>
      <c r="M31" s="968" t="str">
        <f>IFERROR(VLOOKUP(J31,'Thickness Tab'!$1:$1048576,MATCH(N31,'Thickness Tab'!$1:$1,0),0),"")</f>
        <v/>
      </c>
      <c r="N31" s="969" t="str">
        <f>IFERROR(VLOOKUP($D31,'Piping Class'!$1:$1048576,MATCH($J31,'Piping Class'!$2:$2,0),0),"")</f>
        <v/>
      </c>
      <c r="O31" s="968" t="str">
        <f>IFERROR(VLOOKUP($D31,'Piping Class'!$88:$102,MATCH(O$1,'Piping Class'!$88:$88,0),0),"")</f>
        <v>B31.3 / B16.5</v>
      </c>
      <c r="P31" s="968" t="str">
        <f>IFERROR(VLOOKUP($D31,'Piping Class'!$88:$102,MATCH(P$1,'Piping Class'!$88:$88,0),0),"")</f>
        <v>3.1</v>
      </c>
      <c r="Q31" s="983"/>
      <c r="R31" s="988"/>
      <c r="S31" s="969" t="str">
        <f t="shared" si="58"/>
        <v>cad</v>
      </c>
      <c r="T31" s="968">
        <f>IFERROR(VLOOKUP(I31&amp;"."&amp;L31,'Fitting Chart'!$1:$1048576,MATCH(C31,'Fitting Chart'!$1:$1,0),0),0)+IF(B31="piping",PI()*K31*(VLOOKUP(I31,'Thickness Tab'!$1:$1048576,3,0)-K31)*7.86/1000,0)+IF(B31="Flange",VLOOKUP(I31&amp;"F"&amp;F31,'Flanges Chart'!$1:$1048576,MATCH(C31&amp;"."&amp;T$1,'Flanges Chart'!$1:$1,0),0),0)</f>
        <v>0.35380204860000003</v>
      </c>
      <c r="U31" s="989">
        <f t="shared" si="0"/>
        <v>0</v>
      </c>
      <c r="V31" s="1003">
        <v>15</v>
      </c>
      <c r="W31" s="1001">
        <f t="shared" si="22"/>
        <v>0</v>
      </c>
      <c r="X31" s="997"/>
      <c r="Y31" s="983"/>
      <c r="Z31" s="989">
        <f>IF(B31="Piping",VLOOKUP(I31,'Thickness Tab'!$1:$1048576,3,0)/1000*PI(),0)+IFERROR(VLOOKUP(I31&amp;"F"&amp;F31,'Flanges Chart'!$1:$1048576,MATCH(C31&amp;".Unit Surface",'Flanges Chart'!$1:$1,0),0),0)+IF(B31="Fitting",VLOOKUP(I31,'Thickness Tab'!$1:$1048576,3,0)/1000*PI(),0)</f>
        <v>0.10492919462989908</v>
      </c>
      <c r="AA31" s="989">
        <f t="shared" si="23"/>
        <v>0</v>
      </c>
      <c r="AB31" s="983">
        <v>50</v>
      </c>
      <c r="AC31" s="989">
        <f t="shared" si="24"/>
        <v>0.41908845998887839</v>
      </c>
      <c r="AD31" s="989">
        <f t="shared" si="25"/>
        <v>0</v>
      </c>
      <c r="AE31" s="974">
        <f>(IFERROR(VLOOKUP($C31,List!$J:$L,2,0),0)*R31+IF(B31="piping",R31,0)+IF(C31="Welding Neck",1,0)*R31)*$AE$2</f>
        <v>0</v>
      </c>
      <c r="AF31" s="970">
        <f>IFERROR(VLOOKUP($C31,List!$J:$L,3,0),0)*R31*$AF$2</f>
        <v>0</v>
      </c>
      <c r="AG31" s="990">
        <f t="shared" si="1"/>
        <v>0</v>
      </c>
      <c r="AH31" s="1118">
        <f>IFERROR(VLOOKUP($D31,'Piping Class'!$88:$102,MATCH(AH$1,'Piping Class'!$88:$88,0),0),"")</f>
        <v>0.1</v>
      </c>
      <c r="AI31" s="991">
        <f>IFERROR(VLOOKUP($D31,'Piping Class'!$88:$102,MATCH(AI$1,'Piping Class'!$88:$88,0),0),"")</f>
        <v>1</v>
      </c>
      <c r="AJ31" s="991">
        <f>IFERROR(VLOOKUP($D31,'Piping Class'!$88:$102,MATCH(AJ$1,'Piping Class'!$88:$88,0),0),"")</f>
        <v>1</v>
      </c>
      <c r="AK31" s="991">
        <f>IFERROR(VLOOKUP($D31,'Piping Class'!$88:$102,MATCH(AK$1,'Piping Class'!$88:$88,0),0),"")</f>
        <v>0</v>
      </c>
      <c r="AL31" s="991">
        <f t="shared" si="44"/>
        <v>1</v>
      </c>
      <c r="AM31" s="1119" t="str">
        <f>IFERROR(VLOOKUP($D31,'Piping Class'!$88:$102,MATCH(AM$1,'Piping Class'!$88:$88,0),0),"")</f>
        <v/>
      </c>
      <c r="AN31" s="992">
        <f t="shared" si="26"/>
        <v>0</v>
      </c>
      <c r="AO31" s="993">
        <f>IFERROR(VLOOKUP(I31&amp;"B"&amp;F31,'Bolting Chart'!$1:$1048576,4,0),0)</f>
        <v>0</v>
      </c>
      <c r="AP31" s="993">
        <f t="shared" si="27"/>
        <v>0</v>
      </c>
      <c r="AQ31" s="993">
        <f t="shared" si="28"/>
        <v>0</v>
      </c>
      <c r="AR31" s="993">
        <f>IF(AO31=0,0,VLOOKUP(D31&amp;".bolting",'Piping Class'!$1:$1048576,MATCH(I31,'Piping Class'!$2:$2,0),0))</f>
        <v>0</v>
      </c>
      <c r="AS31" s="994">
        <f>IFERROR(VLOOKUP(I31&amp;"B"&amp;F31,'Bolting Chart'!$1:$1048576,IF(AS$2="UNC",5,6),0),0)</f>
        <v>0</v>
      </c>
      <c r="AT31" s="995">
        <f>IFERROR(VLOOKUP(I31&amp;"B"&amp;F31,'Bolting Chart'!$1:$1048576,IF(G31="RF",8,9),0),0)</f>
        <v>0</v>
      </c>
      <c r="AU31" s="993">
        <f>IF(AO31=0,0,VLOOKUP(D31&amp;".gasket",'Piping Class'!$1:$1048576,MATCH(I31,'Piping Class'!$2:$2,0),0))</f>
        <v>0</v>
      </c>
      <c r="AV31" s="996">
        <f>(IFERROR(INDEX('Bolting Chart'!$A$169:$R$251,MATCH(AT31,'Bolting Chart'!$A$170:$A$251,0),MATCH(IFERROR(VLOOKUP(I31&amp;"B"&amp;F31,'Bolting Chart'!$1:$1048576,7,0),0)+0,'Bolting Chart'!$A$169:$R$169,0)),0))/100</f>
        <v>0</v>
      </c>
      <c r="AW31" s="996">
        <f t="shared" si="3"/>
        <v>0</v>
      </c>
      <c r="AX31" s="1194">
        <f t="shared" si="4"/>
        <v>0</v>
      </c>
      <c r="AY31" s="981"/>
      <c r="AZ31" s="1543">
        <f t="shared" si="29"/>
        <v>0</v>
      </c>
      <c r="BA31" s="1543">
        <f t="shared" si="29"/>
        <v>0</v>
      </c>
      <c r="BB31" s="1543">
        <f t="shared" si="29"/>
        <v>1</v>
      </c>
      <c r="BC31" s="1543">
        <f t="shared" si="29"/>
        <v>0</v>
      </c>
      <c r="BD31" s="1543">
        <f t="shared" si="29"/>
        <v>0</v>
      </c>
      <c r="BE31" s="1543">
        <f t="shared" si="29"/>
        <v>0</v>
      </c>
      <c r="BF31" s="1543">
        <f t="shared" si="29"/>
        <v>0</v>
      </c>
      <c r="BG31" s="1543">
        <f t="shared" si="29"/>
        <v>0</v>
      </c>
      <c r="BH31" s="1543">
        <f t="shared" si="29"/>
        <v>0</v>
      </c>
      <c r="BI31" s="1543">
        <f t="shared" si="29"/>
        <v>0</v>
      </c>
      <c r="BJ31" s="1543">
        <f t="shared" si="29"/>
        <v>0</v>
      </c>
      <c r="BK31" s="1543">
        <f t="shared" si="29"/>
        <v>0</v>
      </c>
      <c r="BL31" s="1543">
        <f t="shared" si="29"/>
        <v>0</v>
      </c>
      <c r="BM31" s="1543">
        <f t="shared" si="29"/>
        <v>0</v>
      </c>
      <c r="BN31" s="1543">
        <f t="shared" si="29"/>
        <v>0</v>
      </c>
      <c r="BO31" s="1543">
        <f t="shared" si="29"/>
        <v>0</v>
      </c>
      <c r="BP31" s="1543">
        <f t="shared" si="45"/>
        <v>0</v>
      </c>
      <c r="BQ31" s="1543">
        <f t="shared" si="45"/>
        <v>0</v>
      </c>
      <c r="BR31" s="1543">
        <f t="shared" si="45"/>
        <v>0</v>
      </c>
      <c r="BS31" s="1543">
        <f t="shared" si="45"/>
        <v>0</v>
      </c>
      <c r="BT31" s="1543">
        <f t="shared" si="45"/>
        <v>0</v>
      </c>
      <c r="BU31" s="1543">
        <f t="shared" si="45"/>
        <v>0</v>
      </c>
      <c r="BV31" s="1543">
        <f t="shared" si="45"/>
        <v>0</v>
      </c>
      <c r="BW31" s="1543">
        <f t="shared" si="45"/>
        <v>0</v>
      </c>
      <c r="BX31" s="1543">
        <f t="shared" si="45"/>
        <v>0</v>
      </c>
      <c r="BY31" s="1543">
        <f t="shared" si="45"/>
        <v>0</v>
      </c>
      <c r="BZ31" s="1543">
        <f t="shared" si="45"/>
        <v>0</v>
      </c>
      <c r="CB31" s="1543">
        <f t="shared" si="30"/>
        <v>0</v>
      </c>
      <c r="CC31" s="1543">
        <f t="shared" si="30"/>
        <v>0</v>
      </c>
      <c r="CD31" s="1543">
        <f t="shared" si="30"/>
        <v>0</v>
      </c>
      <c r="CE31" s="1543">
        <f t="shared" si="30"/>
        <v>0</v>
      </c>
      <c r="CF31" s="1543">
        <f t="shared" si="30"/>
        <v>0</v>
      </c>
      <c r="CG31" s="1543">
        <f t="shared" si="30"/>
        <v>0</v>
      </c>
      <c r="CH31" s="1543">
        <f t="shared" si="30"/>
        <v>0</v>
      </c>
      <c r="CI31" s="1543">
        <f t="shared" si="30"/>
        <v>0</v>
      </c>
      <c r="CJ31" s="1543">
        <f t="shared" si="30"/>
        <v>0</v>
      </c>
      <c r="CK31" s="1543">
        <f t="shared" si="30"/>
        <v>0</v>
      </c>
      <c r="CL31" s="1543">
        <f t="shared" si="30"/>
        <v>0</v>
      </c>
      <c r="CM31" s="1543">
        <f t="shared" si="30"/>
        <v>0</v>
      </c>
      <c r="CN31" s="1543">
        <f t="shared" si="30"/>
        <v>0</v>
      </c>
      <c r="CO31" s="1543">
        <f t="shared" si="30"/>
        <v>0</v>
      </c>
      <c r="CP31" s="1543">
        <f t="shared" si="30"/>
        <v>0</v>
      </c>
      <c r="CQ31" s="1543">
        <f t="shared" si="30"/>
        <v>0</v>
      </c>
      <c r="CR31" s="1543">
        <f t="shared" si="46"/>
        <v>0</v>
      </c>
      <c r="CS31" s="1543">
        <f t="shared" si="46"/>
        <v>0</v>
      </c>
      <c r="CT31" s="1543">
        <f t="shared" si="47"/>
        <v>0</v>
      </c>
      <c r="CU31" s="1543">
        <f t="shared" si="47"/>
        <v>0</v>
      </c>
      <c r="CV31" s="1543">
        <f t="shared" si="47"/>
        <v>0</v>
      </c>
      <c r="CW31" s="1543">
        <f t="shared" si="47"/>
        <v>0</v>
      </c>
      <c r="CX31" s="1543">
        <f t="shared" si="47"/>
        <v>0</v>
      </c>
      <c r="CY31" s="1543">
        <f t="shared" si="47"/>
        <v>0</v>
      </c>
      <c r="CZ31" s="1543">
        <f t="shared" si="47"/>
        <v>0</v>
      </c>
      <c r="DA31" s="1543">
        <f t="shared" si="47"/>
        <v>0</v>
      </c>
      <c r="DB31" s="1543">
        <f t="shared" si="47"/>
        <v>0</v>
      </c>
      <c r="DD31" s="1543">
        <f t="shared" si="9"/>
        <v>1</v>
      </c>
      <c r="DE31" s="1543">
        <f t="shared" si="10"/>
        <v>0</v>
      </c>
      <c r="DF31" s="1543">
        <f t="shared" si="11"/>
        <v>0</v>
      </c>
      <c r="DG31" s="1543">
        <f t="shared" si="31"/>
        <v>0</v>
      </c>
      <c r="DI31" s="1543">
        <f t="shared" si="32"/>
        <v>0</v>
      </c>
      <c r="DJ31" s="1543">
        <f t="shared" si="48"/>
        <v>0</v>
      </c>
      <c r="DK31" s="1543">
        <f t="shared" si="48"/>
        <v>1</v>
      </c>
      <c r="DL31" s="1543">
        <f t="shared" si="48"/>
        <v>0</v>
      </c>
      <c r="DM31" s="1543">
        <f t="shared" si="48"/>
        <v>0</v>
      </c>
      <c r="DO31" s="1543">
        <f t="shared" si="13"/>
        <v>0</v>
      </c>
      <c r="DP31" s="1543">
        <f t="shared" si="59"/>
        <v>0</v>
      </c>
      <c r="DQ31" s="1543">
        <f t="shared" si="59"/>
        <v>0</v>
      </c>
      <c r="DR31" s="1543">
        <f t="shared" si="59"/>
        <v>0</v>
      </c>
      <c r="DS31" s="1543">
        <f t="shared" si="59"/>
        <v>0</v>
      </c>
      <c r="DT31" s="1543">
        <f t="shared" si="59"/>
        <v>0</v>
      </c>
      <c r="DU31" s="1543">
        <f t="shared" si="59"/>
        <v>0</v>
      </c>
      <c r="DV31" s="1543">
        <f t="shared" si="59"/>
        <v>0</v>
      </c>
      <c r="DW31" s="1543">
        <f t="shared" si="59"/>
        <v>0</v>
      </c>
      <c r="DX31" s="1543">
        <f t="shared" si="59"/>
        <v>0</v>
      </c>
      <c r="DY31" s="1543">
        <f t="shared" si="59"/>
        <v>0</v>
      </c>
      <c r="DZ31" s="1543">
        <f t="shared" si="59"/>
        <v>0</v>
      </c>
      <c r="EA31" s="1543">
        <f t="shared" si="59"/>
        <v>0</v>
      </c>
      <c r="EB31" s="1543">
        <f t="shared" si="50"/>
        <v>0</v>
      </c>
      <c r="EC31" s="1543">
        <f t="shared" si="50"/>
        <v>0</v>
      </c>
      <c r="ED31" s="1543">
        <f t="shared" si="50"/>
        <v>0</v>
      </c>
      <c r="EE31" s="1543">
        <f t="shared" si="50"/>
        <v>0</v>
      </c>
      <c r="EF31" s="1543">
        <f t="shared" si="50"/>
        <v>1</v>
      </c>
      <c r="EH31" s="1543">
        <f t="shared" si="33"/>
        <v>0</v>
      </c>
      <c r="EI31" s="1543">
        <f t="shared" si="34"/>
        <v>0</v>
      </c>
      <c r="EJ31" s="1543">
        <f t="shared" si="35"/>
        <v>1</v>
      </c>
      <c r="EK31" s="1543">
        <f t="shared" si="36"/>
        <v>0</v>
      </c>
      <c r="EL31" s="1543">
        <f t="shared" si="37"/>
        <v>0</v>
      </c>
      <c r="EM31" s="1543">
        <f t="shared" si="38"/>
        <v>0</v>
      </c>
      <c r="EN31" s="1543">
        <f t="shared" si="39"/>
        <v>0</v>
      </c>
      <c r="EP31" s="1543">
        <f t="shared" si="51"/>
        <v>0</v>
      </c>
      <c r="EQ31" s="1543">
        <f t="shared" si="51"/>
        <v>0</v>
      </c>
      <c r="ER31" s="1543">
        <f t="shared" si="51"/>
        <v>0</v>
      </c>
      <c r="ES31" s="1543">
        <f t="shared" si="51"/>
        <v>0</v>
      </c>
      <c r="ET31" s="1543">
        <f t="shared" si="51"/>
        <v>0</v>
      </c>
      <c r="EU31" s="1543">
        <f t="shared" si="51"/>
        <v>0</v>
      </c>
      <c r="EV31" s="1543">
        <f t="shared" si="51"/>
        <v>0</v>
      </c>
      <c r="EW31" s="1543">
        <f t="shared" si="51"/>
        <v>0</v>
      </c>
      <c r="EX31" s="1543">
        <f t="shared" si="51"/>
        <v>0</v>
      </c>
      <c r="EY31" s="1543">
        <f t="shared" si="51"/>
        <v>0</v>
      </c>
      <c r="EZ31" s="1543">
        <f t="shared" si="51"/>
        <v>0</v>
      </c>
      <c r="FA31" s="1543">
        <f t="shared" si="51"/>
        <v>0</v>
      </c>
      <c r="FB31" s="1543">
        <f t="shared" si="51"/>
        <v>0</v>
      </c>
      <c r="FC31" s="1543">
        <f t="shared" si="51"/>
        <v>0</v>
      </c>
      <c r="FD31" s="1543">
        <f t="shared" si="51"/>
        <v>0</v>
      </c>
      <c r="FE31" s="1543">
        <f t="shared" si="52"/>
        <v>0</v>
      </c>
      <c r="FF31" s="1543">
        <f t="shared" si="40"/>
        <v>1</v>
      </c>
      <c r="FH31" s="1543">
        <f t="shared" si="56"/>
        <v>0</v>
      </c>
      <c r="FI31" s="1543">
        <f t="shared" si="56"/>
        <v>0</v>
      </c>
      <c r="FJ31" s="1543">
        <f t="shared" si="56"/>
        <v>0</v>
      </c>
      <c r="FK31" s="1543">
        <f t="shared" si="56"/>
        <v>0</v>
      </c>
      <c r="FL31" s="1543">
        <f t="shared" si="56"/>
        <v>0</v>
      </c>
      <c r="FM31" s="1543">
        <f t="shared" si="56"/>
        <v>0</v>
      </c>
      <c r="FN31" s="1543">
        <f t="shared" si="56"/>
        <v>0</v>
      </c>
      <c r="FO31" s="1543">
        <f t="shared" si="56"/>
        <v>0</v>
      </c>
      <c r="FP31" s="1543">
        <f t="shared" si="56"/>
        <v>0</v>
      </c>
      <c r="FQ31" s="1543">
        <f t="shared" si="56"/>
        <v>0</v>
      </c>
      <c r="FR31" s="1543">
        <f t="shared" si="56"/>
        <v>0</v>
      </c>
      <c r="FS31" s="1543">
        <f t="shared" si="56"/>
        <v>0</v>
      </c>
      <c r="FT31" s="1543">
        <f t="shared" si="41"/>
        <v>1</v>
      </c>
      <c r="FV31" s="1543">
        <f t="shared" si="57"/>
        <v>0</v>
      </c>
      <c r="FW31" s="1543">
        <f t="shared" si="57"/>
        <v>0</v>
      </c>
      <c r="FX31" s="1543">
        <f t="shared" si="57"/>
        <v>0</v>
      </c>
      <c r="FY31" s="1543">
        <f t="shared" si="57"/>
        <v>1</v>
      </c>
      <c r="FZ31" s="1543">
        <f t="shared" si="57"/>
        <v>0</v>
      </c>
      <c r="GA31" s="1543">
        <f t="shared" si="57"/>
        <v>0</v>
      </c>
      <c r="GB31" s="1543">
        <f t="shared" si="57"/>
        <v>0</v>
      </c>
      <c r="GC31" s="1543">
        <f t="shared" si="57"/>
        <v>0</v>
      </c>
      <c r="GD31" s="1543">
        <f t="shared" si="57"/>
        <v>0</v>
      </c>
    </row>
    <row r="32" spans="1:186" s="982" customFormat="1" ht="15.6" x14ac:dyDescent="0.3">
      <c r="A32" s="974">
        <v>30</v>
      </c>
      <c r="B32" s="983" t="s">
        <v>1907</v>
      </c>
      <c r="C32" s="984" t="s">
        <v>1909</v>
      </c>
      <c r="D32" s="983" t="s">
        <v>67</v>
      </c>
      <c r="E32" s="968" t="str">
        <f>IFERROR(VLOOKUP($D32&amp;"."&amp;B32,'Piping Class'!$1:$1048576,MATCH($I32,'Piping Class'!$2:$2,0),0),"")</f>
        <v>ASTM A312-
TP316/316L</v>
      </c>
      <c r="F32" s="985" t="str">
        <f>IFERROR(IF(B32="Flange",VLOOKUP($D32,'Piping Class'!$88:$102,MATCH(F$1,'Piping Class'!$88:$88,0),0),""),"")</f>
        <v/>
      </c>
      <c r="G32" s="968" t="str">
        <f>IFERROR(IF(B32="Flange",VLOOKUP($D32,'Piping Class'!$88:$102,MATCH(G$1,'Piping Class'!$88:$88,0),0),""),"")</f>
        <v/>
      </c>
      <c r="H32" s="968" t="str">
        <f>IFERROR(VLOOKUP($D32,'Piping Class'!$88:$102,MATCH(H$1,'Piping Class'!$88:$88,0),0),"")</f>
        <v>SS</v>
      </c>
      <c r="I32" s="986">
        <v>3</v>
      </c>
      <c r="J32" s="986"/>
      <c r="K32" s="968">
        <f>IFERROR(VLOOKUP(I32,'Thickness Tab'!$1:$1048576,MATCH(L32,'Thickness Tab'!$1:$1,0),0),"")</f>
        <v>5.49</v>
      </c>
      <c r="L32" s="969" t="str">
        <f>IFERROR(VLOOKUP($D32,'Piping Class'!$1:$1048576,MATCH($I32,'Piping Class'!$2:$2,0),0),"")</f>
        <v>40S</v>
      </c>
      <c r="M32" s="968" t="str">
        <f>IFERROR(VLOOKUP(J32,'Thickness Tab'!$1:$1048576,MATCH(N32,'Thickness Tab'!$1:$1,0),0),"")</f>
        <v/>
      </c>
      <c r="N32" s="969" t="str">
        <f>IFERROR(VLOOKUP($D32,'Piping Class'!$1:$1048576,MATCH($J32,'Piping Class'!$2:$2,0),0),"")</f>
        <v/>
      </c>
      <c r="O32" s="968" t="str">
        <f>IFERROR(VLOOKUP($D32,'Piping Class'!$88:$102,MATCH(O$1,'Piping Class'!$88:$88,0),0),"")</f>
        <v>B31.3 / B16.5</v>
      </c>
      <c r="P32" s="968" t="str">
        <f>IFERROR(VLOOKUP($D32,'Piping Class'!$88:$102,MATCH(P$1,'Piping Class'!$88:$88,0),0),"")</f>
        <v>3.1</v>
      </c>
      <c r="Q32" s="983"/>
      <c r="R32" s="988">
        <v>16</v>
      </c>
      <c r="S32" s="969" t="str">
        <f t="shared" si="58"/>
        <v>cad</v>
      </c>
      <c r="T32" s="968">
        <f>IFERROR(VLOOKUP(I32&amp;"."&amp;L32,'Fitting Chart'!$1:$1048576,MATCH(C32,'Fitting Chart'!$1:$1,0),0),0)+IF(B32="piping",PI()*K32*(VLOOKUP(I32,'Thickness Tab'!$1:$1048576,3,0)-K32)*7.86/1000,0)+IF(B32="Flange",VLOOKUP(I32&amp;"F"&amp;F32,'Flanges Chart'!$1:$1048576,MATCH(C32&amp;"."&amp;T$1,'Flanges Chart'!$1:$1,0),0),0)</f>
        <v>3.8101759080000002</v>
      </c>
      <c r="U32" s="989">
        <f t="shared" si="0"/>
        <v>60.962814528000003</v>
      </c>
      <c r="V32" s="1003">
        <v>15</v>
      </c>
      <c r="W32" s="1001">
        <f t="shared" si="22"/>
        <v>914.44221792000008</v>
      </c>
      <c r="X32" s="997"/>
      <c r="Y32" s="983"/>
      <c r="Z32" s="989">
        <f>IF(B32="Piping",VLOOKUP(I32,'Thickness Tab'!$1:$1048576,3,0)/1000*PI(),0)+IFERROR(VLOOKUP(I32&amp;"F"&amp;F32,'Flanges Chart'!$1:$1048576,MATCH(C32&amp;".Unit Surface",'Flanges Chart'!$1:$1,0),0),0)+IF(B32="Fitting",VLOOKUP(I32,'Thickness Tab'!$1:$1048576,3,0)/1000*PI(),0)</f>
        <v>0.27928758690413263</v>
      </c>
      <c r="AA32" s="989">
        <f t="shared" si="23"/>
        <v>4.4686013904661221</v>
      </c>
      <c r="AB32" s="983">
        <v>50</v>
      </c>
      <c r="AC32" s="989">
        <f t="shared" si="24"/>
        <v>0.593446852263112</v>
      </c>
      <c r="AD32" s="989">
        <f t="shared" si="25"/>
        <v>9.495149636209792</v>
      </c>
      <c r="AE32" s="974">
        <f>(IFERROR(VLOOKUP($C32,List!$J:$L,2,0),0)*R32+IF(B32="piping",R32,0)+IF(C32="Welding Neck",1,0)*R32)*$AE$2</f>
        <v>38.400000000000006</v>
      </c>
      <c r="AF32" s="970">
        <f>IFERROR(VLOOKUP($C32,List!$J:$L,3,0),0)*R32*$AF$2</f>
        <v>0</v>
      </c>
      <c r="AG32" s="990">
        <f t="shared" si="1"/>
        <v>115.20000000000002</v>
      </c>
      <c r="AH32" s="1118">
        <f>IFERROR(VLOOKUP($D32,'Piping Class'!$88:$102,MATCH(AH$1,'Piping Class'!$88:$88,0),0),"")</f>
        <v>0.1</v>
      </c>
      <c r="AI32" s="991">
        <f>IFERROR(VLOOKUP($D32,'Piping Class'!$88:$102,MATCH(AI$1,'Piping Class'!$88:$88,0),0),"")</f>
        <v>1</v>
      </c>
      <c r="AJ32" s="991">
        <f>IFERROR(VLOOKUP($D32,'Piping Class'!$88:$102,MATCH(AJ$1,'Piping Class'!$88:$88,0),0),"")</f>
        <v>1</v>
      </c>
      <c r="AK32" s="991">
        <f>IFERROR(VLOOKUP($D32,'Piping Class'!$88:$102,MATCH(AK$1,'Piping Class'!$88:$88,0),0),"")</f>
        <v>0</v>
      </c>
      <c r="AL32" s="991">
        <f t="shared" si="44"/>
        <v>1</v>
      </c>
      <c r="AM32" s="1119" t="str">
        <f>IFERROR(VLOOKUP($D32,'Piping Class'!$88:$102,MATCH(AM$1,'Piping Class'!$88:$88,0),0),"")</f>
        <v/>
      </c>
      <c r="AN32" s="992">
        <f t="shared" si="26"/>
        <v>10.97330661504</v>
      </c>
      <c r="AO32" s="993">
        <f>IFERROR(VLOOKUP(I32&amp;"B"&amp;F32,'Bolting Chart'!$1:$1048576,4,0),0)</f>
        <v>0</v>
      </c>
      <c r="AP32" s="993">
        <f t="shared" si="27"/>
        <v>0</v>
      </c>
      <c r="AQ32" s="993">
        <f t="shared" si="28"/>
        <v>0</v>
      </c>
      <c r="AR32" s="993">
        <f>IF(AO32=0,0,VLOOKUP(D32&amp;".bolting",'Piping Class'!$1:$1048576,MATCH(I32,'Piping Class'!$2:$2,0),0))</f>
        <v>0</v>
      </c>
      <c r="AS32" s="994">
        <f>IFERROR(VLOOKUP(I32&amp;"B"&amp;F32,'Bolting Chart'!$1:$1048576,IF(AS$2="UNC",5,6),0),0)</f>
        <v>0</v>
      </c>
      <c r="AT32" s="995">
        <f>IFERROR(VLOOKUP(I32&amp;"B"&amp;F32,'Bolting Chart'!$1:$1048576,IF(G32="RF",8,9),0),0)</f>
        <v>0</v>
      </c>
      <c r="AU32" s="993">
        <f>IF(AO32=0,0,VLOOKUP(D32&amp;".gasket",'Piping Class'!$1:$1048576,MATCH(I32,'Piping Class'!$2:$2,0),0))</f>
        <v>0</v>
      </c>
      <c r="AV32" s="996">
        <f>(IFERROR(INDEX('Bolting Chart'!$A$169:$R$251,MATCH(AT32,'Bolting Chart'!$A$170:$A$251,0),MATCH(IFERROR(VLOOKUP(I32&amp;"B"&amp;F32,'Bolting Chart'!$1:$1048576,7,0),0)+0,'Bolting Chart'!$A$169:$R$169,0)),0))/100</f>
        <v>0</v>
      </c>
      <c r="AW32" s="996">
        <f t="shared" si="3"/>
        <v>0</v>
      </c>
      <c r="AX32" s="1194">
        <f t="shared" si="4"/>
        <v>0</v>
      </c>
      <c r="AY32" s="981"/>
      <c r="AZ32" s="1543">
        <f t="shared" si="29"/>
        <v>0</v>
      </c>
      <c r="BA32" s="1543">
        <f t="shared" si="29"/>
        <v>0</v>
      </c>
      <c r="BB32" s="1543">
        <f t="shared" si="29"/>
        <v>0</v>
      </c>
      <c r="BC32" s="1543">
        <f t="shared" si="29"/>
        <v>0</v>
      </c>
      <c r="BD32" s="1543">
        <f t="shared" si="29"/>
        <v>0</v>
      </c>
      <c r="BE32" s="1543">
        <f t="shared" si="29"/>
        <v>0</v>
      </c>
      <c r="BF32" s="1543">
        <f t="shared" si="29"/>
        <v>1</v>
      </c>
      <c r="BG32" s="1543">
        <f t="shared" si="29"/>
        <v>0</v>
      </c>
      <c r="BH32" s="1543">
        <f t="shared" si="29"/>
        <v>0</v>
      </c>
      <c r="BI32" s="1543">
        <f t="shared" si="29"/>
        <v>0</v>
      </c>
      <c r="BJ32" s="1543">
        <f t="shared" si="29"/>
        <v>0</v>
      </c>
      <c r="BK32" s="1543">
        <f t="shared" si="29"/>
        <v>0</v>
      </c>
      <c r="BL32" s="1543">
        <f t="shared" si="29"/>
        <v>0</v>
      </c>
      <c r="BM32" s="1543">
        <f t="shared" si="29"/>
        <v>0</v>
      </c>
      <c r="BN32" s="1543">
        <f t="shared" si="29"/>
        <v>0</v>
      </c>
      <c r="BO32" s="1543">
        <f t="shared" si="29"/>
        <v>0</v>
      </c>
      <c r="BP32" s="1543">
        <f t="shared" si="45"/>
        <v>0</v>
      </c>
      <c r="BQ32" s="1543">
        <f t="shared" si="45"/>
        <v>0</v>
      </c>
      <c r="BR32" s="1543">
        <f t="shared" si="45"/>
        <v>0</v>
      </c>
      <c r="BS32" s="1543">
        <f t="shared" si="45"/>
        <v>0</v>
      </c>
      <c r="BT32" s="1543">
        <f t="shared" si="45"/>
        <v>0</v>
      </c>
      <c r="BU32" s="1543">
        <f t="shared" si="45"/>
        <v>0</v>
      </c>
      <c r="BV32" s="1543">
        <f t="shared" si="45"/>
        <v>0</v>
      </c>
      <c r="BW32" s="1543">
        <f t="shared" si="45"/>
        <v>0</v>
      </c>
      <c r="BX32" s="1543">
        <f t="shared" si="45"/>
        <v>0</v>
      </c>
      <c r="BY32" s="1543">
        <f t="shared" si="45"/>
        <v>0</v>
      </c>
      <c r="BZ32" s="1543">
        <f t="shared" si="45"/>
        <v>0</v>
      </c>
      <c r="CB32" s="1543">
        <f t="shared" si="30"/>
        <v>0</v>
      </c>
      <c r="CC32" s="1543">
        <f t="shared" si="30"/>
        <v>0</v>
      </c>
      <c r="CD32" s="1543">
        <f t="shared" si="30"/>
        <v>0</v>
      </c>
      <c r="CE32" s="1543">
        <f t="shared" si="30"/>
        <v>0</v>
      </c>
      <c r="CF32" s="1543">
        <f t="shared" si="30"/>
        <v>0</v>
      </c>
      <c r="CG32" s="1543">
        <f t="shared" si="30"/>
        <v>0</v>
      </c>
      <c r="CH32" s="1543">
        <f t="shared" si="30"/>
        <v>0</v>
      </c>
      <c r="CI32" s="1543">
        <f t="shared" si="30"/>
        <v>0</v>
      </c>
      <c r="CJ32" s="1543">
        <f t="shared" si="30"/>
        <v>0</v>
      </c>
      <c r="CK32" s="1543">
        <f t="shared" si="30"/>
        <v>0</v>
      </c>
      <c r="CL32" s="1543">
        <f t="shared" si="30"/>
        <v>0</v>
      </c>
      <c r="CM32" s="1543">
        <f t="shared" si="30"/>
        <v>0</v>
      </c>
      <c r="CN32" s="1543">
        <f t="shared" si="30"/>
        <v>0</v>
      </c>
      <c r="CO32" s="1543">
        <f t="shared" si="30"/>
        <v>0</v>
      </c>
      <c r="CP32" s="1543">
        <f t="shared" si="30"/>
        <v>0</v>
      </c>
      <c r="CQ32" s="1543">
        <f t="shared" si="30"/>
        <v>0</v>
      </c>
      <c r="CR32" s="1543">
        <f t="shared" si="46"/>
        <v>0</v>
      </c>
      <c r="CS32" s="1543">
        <f t="shared" si="46"/>
        <v>0</v>
      </c>
      <c r="CT32" s="1543">
        <f t="shared" si="47"/>
        <v>0</v>
      </c>
      <c r="CU32" s="1543">
        <f t="shared" si="47"/>
        <v>0</v>
      </c>
      <c r="CV32" s="1543">
        <f t="shared" si="47"/>
        <v>0</v>
      </c>
      <c r="CW32" s="1543">
        <f t="shared" si="47"/>
        <v>0</v>
      </c>
      <c r="CX32" s="1543">
        <f t="shared" si="47"/>
        <v>0</v>
      </c>
      <c r="CY32" s="1543">
        <f t="shared" si="47"/>
        <v>0</v>
      </c>
      <c r="CZ32" s="1543">
        <f t="shared" si="47"/>
        <v>0</v>
      </c>
      <c r="DA32" s="1543">
        <f t="shared" si="47"/>
        <v>0</v>
      </c>
      <c r="DB32" s="1543">
        <f t="shared" si="47"/>
        <v>0</v>
      </c>
      <c r="DD32" s="1543">
        <f t="shared" si="9"/>
        <v>0</v>
      </c>
      <c r="DE32" s="1543">
        <f t="shared" si="10"/>
        <v>1</v>
      </c>
      <c r="DF32" s="1543">
        <f t="shared" si="11"/>
        <v>0</v>
      </c>
      <c r="DG32" s="1543">
        <f t="shared" si="31"/>
        <v>0</v>
      </c>
      <c r="DI32" s="1543">
        <f t="shared" si="32"/>
        <v>0</v>
      </c>
      <c r="DJ32" s="1543">
        <f t="shared" si="48"/>
        <v>0</v>
      </c>
      <c r="DK32" s="1543">
        <f t="shared" si="48"/>
        <v>1</v>
      </c>
      <c r="DL32" s="1543">
        <f t="shared" si="48"/>
        <v>0</v>
      </c>
      <c r="DM32" s="1543">
        <f t="shared" si="48"/>
        <v>0</v>
      </c>
      <c r="DO32" s="1543">
        <f t="shared" si="13"/>
        <v>0</v>
      </c>
      <c r="DP32" s="1543">
        <f t="shared" si="59"/>
        <v>0</v>
      </c>
      <c r="DQ32" s="1543">
        <f t="shared" si="59"/>
        <v>0</v>
      </c>
      <c r="DR32" s="1543">
        <f t="shared" si="59"/>
        <v>0</v>
      </c>
      <c r="DS32" s="1543">
        <f t="shared" si="59"/>
        <v>0</v>
      </c>
      <c r="DT32" s="1543">
        <f t="shared" si="59"/>
        <v>0</v>
      </c>
      <c r="DU32" s="1543">
        <f t="shared" si="59"/>
        <v>0</v>
      </c>
      <c r="DV32" s="1543">
        <f t="shared" si="59"/>
        <v>0</v>
      </c>
      <c r="DW32" s="1543">
        <f t="shared" si="59"/>
        <v>0</v>
      </c>
      <c r="DX32" s="1543">
        <f t="shared" si="59"/>
        <v>0</v>
      </c>
      <c r="DY32" s="1543">
        <f t="shared" si="59"/>
        <v>0</v>
      </c>
      <c r="DZ32" s="1543">
        <f t="shared" si="59"/>
        <v>0</v>
      </c>
      <c r="EA32" s="1543">
        <f t="shared" si="59"/>
        <v>0</v>
      </c>
      <c r="EB32" s="1543">
        <f t="shared" si="50"/>
        <v>0</v>
      </c>
      <c r="EC32" s="1543">
        <f t="shared" si="50"/>
        <v>0</v>
      </c>
      <c r="ED32" s="1543">
        <f t="shared" si="50"/>
        <v>0</v>
      </c>
      <c r="EE32" s="1543">
        <f t="shared" si="50"/>
        <v>1</v>
      </c>
      <c r="EF32" s="1543">
        <f t="shared" si="50"/>
        <v>0</v>
      </c>
      <c r="EH32" s="1543">
        <f t="shared" si="33"/>
        <v>1</v>
      </c>
      <c r="EI32" s="1543">
        <f t="shared" si="34"/>
        <v>0</v>
      </c>
      <c r="EJ32" s="1543">
        <f t="shared" si="35"/>
        <v>0</v>
      </c>
      <c r="EK32" s="1543">
        <f t="shared" si="36"/>
        <v>0</v>
      </c>
      <c r="EL32" s="1543">
        <f t="shared" si="37"/>
        <v>0</v>
      </c>
      <c r="EM32" s="1543">
        <f t="shared" si="38"/>
        <v>0</v>
      </c>
      <c r="EN32" s="1543">
        <f t="shared" si="39"/>
        <v>0</v>
      </c>
      <c r="EP32" s="1543">
        <f t="shared" si="51"/>
        <v>0</v>
      </c>
      <c r="EQ32" s="1543">
        <f t="shared" si="51"/>
        <v>0</v>
      </c>
      <c r="ER32" s="1543">
        <f t="shared" si="51"/>
        <v>0</v>
      </c>
      <c r="ES32" s="1543">
        <f t="shared" si="51"/>
        <v>0</v>
      </c>
      <c r="ET32" s="1543">
        <f t="shared" si="51"/>
        <v>0</v>
      </c>
      <c r="EU32" s="1543">
        <f t="shared" si="51"/>
        <v>0</v>
      </c>
      <c r="EV32" s="1543">
        <f t="shared" si="51"/>
        <v>0</v>
      </c>
      <c r="EW32" s="1543">
        <f t="shared" si="51"/>
        <v>0</v>
      </c>
      <c r="EX32" s="1543">
        <f t="shared" si="51"/>
        <v>0</v>
      </c>
      <c r="EY32" s="1543">
        <f t="shared" si="51"/>
        <v>0</v>
      </c>
      <c r="EZ32" s="1543">
        <f t="shared" si="51"/>
        <v>0</v>
      </c>
      <c r="FA32" s="1543">
        <f t="shared" si="51"/>
        <v>0</v>
      </c>
      <c r="FB32" s="1543">
        <f t="shared" si="51"/>
        <v>0</v>
      </c>
      <c r="FC32" s="1543">
        <f t="shared" si="51"/>
        <v>0</v>
      </c>
      <c r="FD32" s="1543">
        <f t="shared" si="51"/>
        <v>0</v>
      </c>
      <c r="FE32" s="1543">
        <f t="shared" si="52"/>
        <v>0</v>
      </c>
      <c r="FF32" s="1543">
        <f t="shared" si="40"/>
        <v>1</v>
      </c>
      <c r="FH32" s="1543">
        <f t="shared" si="56"/>
        <v>0</v>
      </c>
      <c r="FI32" s="1543">
        <f t="shared" si="56"/>
        <v>0</v>
      </c>
      <c r="FJ32" s="1543">
        <f t="shared" si="56"/>
        <v>0</v>
      </c>
      <c r="FK32" s="1543">
        <f t="shared" si="56"/>
        <v>0</v>
      </c>
      <c r="FL32" s="1543">
        <f t="shared" si="56"/>
        <v>0</v>
      </c>
      <c r="FM32" s="1543">
        <f t="shared" si="56"/>
        <v>0</v>
      </c>
      <c r="FN32" s="1543">
        <f t="shared" si="56"/>
        <v>0</v>
      </c>
      <c r="FO32" s="1543">
        <f t="shared" si="56"/>
        <v>0</v>
      </c>
      <c r="FP32" s="1543">
        <f t="shared" si="56"/>
        <v>0</v>
      </c>
      <c r="FQ32" s="1543">
        <f t="shared" si="56"/>
        <v>0</v>
      </c>
      <c r="FR32" s="1543">
        <f t="shared" si="56"/>
        <v>0</v>
      </c>
      <c r="FS32" s="1543">
        <f t="shared" si="56"/>
        <v>0</v>
      </c>
      <c r="FT32" s="1543">
        <f t="shared" si="41"/>
        <v>1</v>
      </c>
      <c r="FV32" s="1543">
        <f t="shared" si="57"/>
        <v>0</v>
      </c>
      <c r="FW32" s="1543">
        <f t="shared" si="57"/>
        <v>0</v>
      </c>
      <c r="FX32" s="1543">
        <f t="shared" si="57"/>
        <v>0</v>
      </c>
      <c r="FY32" s="1543">
        <f t="shared" si="57"/>
        <v>1</v>
      </c>
      <c r="FZ32" s="1543">
        <f t="shared" si="57"/>
        <v>0</v>
      </c>
      <c r="GA32" s="1543">
        <f t="shared" si="57"/>
        <v>0</v>
      </c>
      <c r="GB32" s="1543">
        <f t="shared" si="57"/>
        <v>0</v>
      </c>
      <c r="GC32" s="1543">
        <f t="shared" si="57"/>
        <v>0</v>
      </c>
      <c r="GD32" s="1543">
        <f t="shared" si="57"/>
        <v>0</v>
      </c>
    </row>
    <row r="33" spans="1:186" s="982" customFormat="1" ht="15.6" x14ac:dyDescent="0.3">
      <c r="A33" s="974">
        <v>31</v>
      </c>
      <c r="B33" s="983" t="s">
        <v>1907</v>
      </c>
      <c r="C33" s="984" t="s">
        <v>1909</v>
      </c>
      <c r="D33" s="983" t="s">
        <v>67</v>
      </c>
      <c r="E33" s="968" t="str">
        <f>IFERROR(VLOOKUP($D33&amp;"."&amp;B33,'Piping Class'!$1:$1048576,MATCH($I33,'Piping Class'!$2:$2,0),0),"")</f>
        <v>ASTM A312-
TP316/316L</v>
      </c>
      <c r="F33" s="985" t="str">
        <f>IFERROR(IF(B33="Flange",VLOOKUP($D33,'Piping Class'!$88:$102,MATCH(F$1,'Piping Class'!$88:$88,0),0),""),"")</f>
        <v/>
      </c>
      <c r="G33" s="968" t="str">
        <f>IFERROR(IF(B33="Flange",VLOOKUP($D33,'Piping Class'!$88:$102,MATCH(G$1,'Piping Class'!$88:$88,0),0),""),"")</f>
        <v/>
      </c>
      <c r="H33" s="968" t="str">
        <f>IFERROR(VLOOKUP($D33,'Piping Class'!$88:$102,MATCH(H$1,'Piping Class'!$88:$88,0),0),"")</f>
        <v>SS</v>
      </c>
      <c r="I33" s="986">
        <v>2</v>
      </c>
      <c r="J33" s="986"/>
      <c r="K33" s="968">
        <f>IFERROR(VLOOKUP(I33,'Thickness Tab'!$1:$1048576,MATCH(L33,'Thickness Tab'!$1:$1,0),0),"")</f>
        <v>3.91</v>
      </c>
      <c r="L33" s="969" t="str">
        <f>IFERROR(VLOOKUP($D33,'Piping Class'!$1:$1048576,MATCH($I33,'Piping Class'!$2:$2,0),0),"")</f>
        <v>40S</v>
      </c>
      <c r="M33" s="968" t="str">
        <f>IFERROR(VLOOKUP(J33,'Thickness Tab'!$1:$1048576,MATCH(N33,'Thickness Tab'!$1:$1,0),0),"")</f>
        <v/>
      </c>
      <c r="N33" s="969" t="str">
        <f>IFERROR(VLOOKUP($D33,'Piping Class'!$1:$1048576,MATCH($J33,'Piping Class'!$2:$2,0),0),"")</f>
        <v/>
      </c>
      <c r="O33" s="968" t="str">
        <f>IFERROR(VLOOKUP($D33,'Piping Class'!$88:$102,MATCH(O$1,'Piping Class'!$88:$88,0),0),"")</f>
        <v>B31.3 / B16.5</v>
      </c>
      <c r="P33" s="968" t="str">
        <f>IFERROR(VLOOKUP($D33,'Piping Class'!$88:$102,MATCH(P$1,'Piping Class'!$88:$88,0),0),"")</f>
        <v>3.1</v>
      </c>
      <c r="Q33" s="983"/>
      <c r="R33" s="988">
        <v>0</v>
      </c>
      <c r="S33" s="969" t="str">
        <f t="shared" si="58"/>
        <v>cad</v>
      </c>
      <c r="T33" s="968">
        <f>IFERROR(VLOOKUP(I33&amp;"."&amp;L33,'Fitting Chart'!$1:$1048576,MATCH(C33,'Fitting Chart'!$1:$1,0),0),0)+IF(B33="piping",PI()*K33*(VLOOKUP(I33,'Thickness Tab'!$1:$1048576,3,0)-K33)*7.86/1000,0)+IF(B33="Flange",VLOOKUP(I33&amp;"F"&amp;F33,'Flanges Chart'!$1:$1048576,MATCH(C33&amp;"."&amp;T$1,'Flanges Chart'!$1:$1,0),0),0)</f>
        <v>1.9050879540000001</v>
      </c>
      <c r="U33" s="989">
        <f t="shared" si="0"/>
        <v>0</v>
      </c>
      <c r="V33" s="1003">
        <v>15</v>
      </c>
      <c r="W33" s="1001">
        <f t="shared" si="22"/>
        <v>0</v>
      </c>
      <c r="X33" s="997"/>
      <c r="Y33" s="983"/>
      <c r="Z33" s="989">
        <f>IF(B33="Piping",VLOOKUP(I33,'Thickness Tab'!$1:$1048576,3,0)/1000*PI(),0)+IFERROR(VLOOKUP(I33&amp;"F"&amp;F33,'Flanges Chart'!$1:$1048576,MATCH(C33&amp;".Unit Surface",'Flanges Chart'!$1:$1,0),0),0)+IF(B33="Fitting",VLOOKUP(I33,'Thickness Tab'!$1:$1048576,3,0)/1000*PI(),0)</f>
        <v>0.18950086886453632</v>
      </c>
      <c r="AA33" s="989">
        <f t="shared" si="23"/>
        <v>0</v>
      </c>
      <c r="AB33" s="983">
        <v>50</v>
      </c>
      <c r="AC33" s="989">
        <f t="shared" si="24"/>
        <v>0.50366013422351563</v>
      </c>
      <c r="AD33" s="989">
        <f t="shared" si="25"/>
        <v>0</v>
      </c>
      <c r="AE33" s="974">
        <f>(IFERROR(VLOOKUP($C33,List!$J:$L,2,0),0)*R33+IF(B33="piping",R33,0)+IF(C33="Welding Neck",1,0)*R33)*$AE$2</f>
        <v>0</v>
      </c>
      <c r="AF33" s="970">
        <f>IFERROR(VLOOKUP($C33,List!$J:$L,3,0),0)*R33*$AF$2</f>
        <v>0</v>
      </c>
      <c r="AG33" s="990">
        <f t="shared" si="1"/>
        <v>0</v>
      </c>
      <c r="AH33" s="1118">
        <f>IFERROR(VLOOKUP($D33,'Piping Class'!$88:$102,MATCH(AH$1,'Piping Class'!$88:$88,0),0),"")</f>
        <v>0.1</v>
      </c>
      <c r="AI33" s="991">
        <f>IFERROR(VLOOKUP($D33,'Piping Class'!$88:$102,MATCH(AI$1,'Piping Class'!$88:$88,0),0),"")</f>
        <v>1</v>
      </c>
      <c r="AJ33" s="991">
        <f>IFERROR(VLOOKUP($D33,'Piping Class'!$88:$102,MATCH(AJ$1,'Piping Class'!$88:$88,0),0),"")</f>
        <v>1</v>
      </c>
      <c r="AK33" s="991">
        <f>IFERROR(VLOOKUP($D33,'Piping Class'!$88:$102,MATCH(AK$1,'Piping Class'!$88:$88,0),0),"")</f>
        <v>0</v>
      </c>
      <c r="AL33" s="991">
        <f t="shared" si="44"/>
        <v>1</v>
      </c>
      <c r="AM33" s="1119" t="str">
        <f>IFERROR(VLOOKUP($D33,'Piping Class'!$88:$102,MATCH(AM$1,'Piping Class'!$88:$88,0),0),"")</f>
        <v/>
      </c>
      <c r="AN33" s="992">
        <f t="shared" si="26"/>
        <v>0</v>
      </c>
      <c r="AO33" s="993">
        <f>IFERROR(VLOOKUP(I33&amp;"B"&amp;F33,'Bolting Chart'!$1:$1048576,4,0),0)</f>
        <v>0</v>
      </c>
      <c r="AP33" s="993">
        <f t="shared" si="27"/>
        <v>0</v>
      </c>
      <c r="AQ33" s="993">
        <f t="shared" si="28"/>
        <v>0</v>
      </c>
      <c r="AR33" s="993">
        <f>IF(AO33=0,0,VLOOKUP(D33&amp;".bolting",'Piping Class'!$1:$1048576,MATCH(I33,'Piping Class'!$2:$2,0),0))</f>
        <v>0</v>
      </c>
      <c r="AS33" s="994">
        <f>IFERROR(VLOOKUP(I33&amp;"B"&amp;F33,'Bolting Chart'!$1:$1048576,IF(AS$2="UNC",5,6),0),0)</f>
        <v>0</v>
      </c>
      <c r="AT33" s="995">
        <f>IFERROR(VLOOKUP(I33&amp;"B"&amp;F33,'Bolting Chart'!$1:$1048576,IF(G33="RF",8,9),0),0)</f>
        <v>0</v>
      </c>
      <c r="AU33" s="993">
        <f>IF(AO33=0,0,VLOOKUP(D33&amp;".gasket",'Piping Class'!$1:$1048576,MATCH(I33,'Piping Class'!$2:$2,0),0))</f>
        <v>0</v>
      </c>
      <c r="AV33" s="996">
        <f>(IFERROR(INDEX('Bolting Chart'!$A$169:$R$251,MATCH(AT33,'Bolting Chart'!$A$170:$A$251,0),MATCH(IFERROR(VLOOKUP(I33&amp;"B"&amp;F33,'Bolting Chart'!$1:$1048576,7,0),0)+0,'Bolting Chart'!$A$169:$R$169,0)),0))/100</f>
        <v>0</v>
      </c>
      <c r="AW33" s="996">
        <f t="shared" si="3"/>
        <v>0</v>
      </c>
      <c r="AX33" s="1194">
        <f t="shared" si="4"/>
        <v>0</v>
      </c>
      <c r="AY33" s="981"/>
      <c r="AZ33" s="1543">
        <f t="shared" si="29"/>
        <v>0</v>
      </c>
      <c r="BA33" s="1543">
        <f t="shared" ref="BA33:BP40" si="60">IF($I33=BA$2,1,0)</f>
        <v>0</v>
      </c>
      <c r="BB33" s="1543">
        <f t="shared" si="60"/>
        <v>0</v>
      </c>
      <c r="BC33" s="1543">
        <f t="shared" si="60"/>
        <v>0</v>
      </c>
      <c r="BD33" s="1543">
        <f t="shared" si="60"/>
        <v>1</v>
      </c>
      <c r="BE33" s="1543">
        <f t="shared" si="60"/>
        <v>0</v>
      </c>
      <c r="BF33" s="1543">
        <f t="shared" si="60"/>
        <v>0</v>
      </c>
      <c r="BG33" s="1543">
        <f t="shared" si="60"/>
        <v>0</v>
      </c>
      <c r="BH33" s="1543">
        <f t="shared" si="60"/>
        <v>0</v>
      </c>
      <c r="BI33" s="1543">
        <f t="shared" si="60"/>
        <v>0</v>
      </c>
      <c r="BJ33" s="1543">
        <f t="shared" si="60"/>
        <v>0</v>
      </c>
      <c r="BK33" s="1543">
        <f t="shared" si="60"/>
        <v>0</v>
      </c>
      <c r="BL33" s="1543">
        <f t="shared" si="60"/>
        <v>0</v>
      </c>
      <c r="BM33" s="1543">
        <f t="shared" si="60"/>
        <v>0</v>
      </c>
      <c r="BN33" s="1543">
        <f t="shared" si="60"/>
        <v>0</v>
      </c>
      <c r="BO33" s="1543">
        <f t="shared" si="60"/>
        <v>0</v>
      </c>
      <c r="BP33" s="1543">
        <f t="shared" si="60"/>
        <v>0</v>
      </c>
      <c r="BQ33" s="1543">
        <f t="shared" ref="BQ33:BZ39" si="61">IF($I33=BQ$2,1,0)</f>
        <v>0</v>
      </c>
      <c r="BR33" s="1543">
        <f t="shared" si="61"/>
        <v>0</v>
      </c>
      <c r="BS33" s="1543">
        <f t="shared" si="61"/>
        <v>0</v>
      </c>
      <c r="BT33" s="1543">
        <f t="shared" si="61"/>
        <v>0</v>
      </c>
      <c r="BU33" s="1543">
        <f t="shared" si="61"/>
        <v>0</v>
      </c>
      <c r="BV33" s="1543">
        <f t="shared" si="61"/>
        <v>0</v>
      </c>
      <c r="BW33" s="1543">
        <f t="shared" si="61"/>
        <v>0</v>
      </c>
      <c r="BX33" s="1543">
        <f t="shared" si="61"/>
        <v>0</v>
      </c>
      <c r="BY33" s="1543">
        <f t="shared" si="61"/>
        <v>0</v>
      </c>
      <c r="BZ33" s="1543">
        <f t="shared" si="61"/>
        <v>0</v>
      </c>
      <c r="CB33" s="1543">
        <f t="shared" si="30"/>
        <v>0</v>
      </c>
      <c r="CC33" s="1543">
        <f t="shared" ref="CC33:CR40" si="62">IF($J33=CC$2,1,0)</f>
        <v>0</v>
      </c>
      <c r="CD33" s="1543">
        <f t="shared" si="62"/>
        <v>0</v>
      </c>
      <c r="CE33" s="1543">
        <f t="shared" si="62"/>
        <v>0</v>
      </c>
      <c r="CF33" s="1543">
        <f t="shared" si="62"/>
        <v>0</v>
      </c>
      <c r="CG33" s="1543">
        <f t="shared" si="62"/>
        <v>0</v>
      </c>
      <c r="CH33" s="1543">
        <f t="shared" si="62"/>
        <v>0</v>
      </c>
      <c r="CI33" s="1543">
        <f t="shared" si="62"/>
        <v>0</v>
      </c>
      <c r="CJ33" s="1543">
        <f t="shared" si="62"/>
        <v>0</v>
      </c>
      <c r="CK33" s="1543">
        <f t="shared" si="62"/>
        <v>0</v>
      </c>
      <c r="CL33" s="1543">
        <f t="shared" si="62"/>
        <v>0</v>
      </c>
      <c r="CM33" s="1543">
        <f t="shared" si="62"/>
        <v>0</v>
      </c>
      <c r="CN33" s="1543">
        <f t="shared" si="62"/>
        <v>0</v>
      </c>
      <c r="CO33" s="1543">
        <f t="shared" si="62"/>
        <v>0</v>
      </c>
      <c r="CP33" s="1543">
        <f t="shared" si="62"/>
        <v>0</v>
      </c>
      <c r="CQ33" s="1543">
        <f t="shared" si="62"/>
        <v>0</v>
      </c>
      <c r="CR33" s="1543">
        <f t="shared" si="62"/>
        <v>0</v>
      </c>
      <c r="CS33" s="1543">
        <f t="shared" si="46"/>
        <v>0</v>
      </c>
      <c r="CT33" s="1543">
        <f t="shared" si="47"/>
        <v>0</v>
      </c>
      <c r="CU33" s="1543">
        <f t="shared" si="47"/>
        <v>0</v>
      </c>
      <c r="CV33" s="1543">
        <f t="shared" si="47"/>
        <v>0</v>
      </c>
      <c r="CW33" s="1543">
        <f t="shared" si="47"/>
        <v>0</v>
      </c>
      <c r="CX33" s="1543">
        <f t="shared" si="47"/>
        <v>0</v>
      </c>
      <c r="CY33" s="1543">
        <f t="shared" si="47"/>
        <v>0</v>
      </c>
      <c r="CZ33" s="1543">
        <f t="shared" si="47"/>
        <v>0</v>
      </c>
      <c r="DA33" s="1543">
        <f t="shared" si="47"/>
        <v>0</v>
      </c>
      <c r="DB33" s="1543">
        <f t="shared" si="47"/>
        <v>0</v>
      </c>
      <c r="DD33" s="1543">
        <f t="shared" si="9"/>
        <v>0</v>
      </c>
      <c r="DE33" s="1543">
        <f t="shared" si="10"/>
        <v>1</v>
      </c>
      <c r="DF33" s="1543">
        <f t="shared" si="11"/>
        <v>0</v>
      </c>
      <c r="DG33" s="1543">
        <f t="shared" si="31"/>
        <v>0</v>
      </c>
      <c r="DI33" s="1543">
        <f t="shared" si="32"/>
        <v>0</v>
      </c>
      <c r="DJ33" s="1543">
        <f t="shared" si="48"/>
        <v>0</v>
      </c>
      <c r="DK33" s="1543">
        <f t="shared" si="48"/>
        <v>1</v>
      </c>
      <c r="DL33" s="1543">
        <f t="shared" si="48"/>
        <v>0</v>
      </c>
      <c r="DM33" s="1543">
        <f t="shared" si="48"/>
        <v>0</v>
      </c>
      <c r="DO33" s="1543">
        <f t="shared" si="13"/>
        <v>0</v>
      </c>
      <c r="DP33" s="1543">
        <f t="shared" si="59"/>
        <v>0</v>
      </c>
      <c r="DQ33" s="1543">
        <f t="shared" si="59"/>
        <v>0</v>
      </c>
      <c r="DR33" s="1543">
        <f t="shared" si="59"/>
        <v>0</v>
      </c>
      <c r="DS33" s="1543">
        <f t="shared" si="59"/>
        <v>0</v>
      </c>
      <c r="DT33" s="1543">
        <f t="shared" si="59"/>
        <v>0</v>
      </c>
      <c r="DU33" s="1543">
        <f t="shared" si="59"/>
        <v>0</v>
      </c>
      <c r="DV33" s="1543">
        <f t="shared" si="59"/>
        <v>0</v>
      </c>
      <c r="DW33" s="1543">
        <f t="shared" si="59"/>
        <v>0</v>
      </c>
      <c r="DX33" s="1543">
        <f t="shared" si="59"/>
        <v>0</v>
      </c>
      <c r="DY33" s="1543">
        <f t="shared" si="59"/>
        <v>0</v>
      </c>
      <c r="DZ33" s="1543">
        <f t="shared" si="59"/>
        <v>0</v>
      </c>
      <c r="EA33" s="1543">
        <f t="shared" si="59"/>
        <v>0</v>
      </c>
      <c r="EB33" s="1543">
        <f t="shared" si="50"/>
        <v>0</v>
      </c>
      <c r="EC33" s="1543">
        <f t="shared" si="50"/>
        <v>0</v>
      </c>
      <c r="ED33" s="1543">
        <f t="shared" si="50"/>
        <v>0</v>
      </c>
      <c r="EE33" s="1543">
        <f t="shared" si="50"/>
        <v>1</v>
      </c>
      <c r="EF33" s="1543">
        <f t="shared" si="50"/>
        <v>0</v>
      </c>
      <c r="EH33" s="1543">
        <f t="shared" si="33"/>
        <v>1</v>
      </c>
      <c r="EI33" s="1543">
        <f t="shared" si="34"/>
        <v>0</v>
      </c>
      <c r="EJ33" s="1543">
        <f t="shared" si="35"/>
        <v>0</v>
      </c>
      <c r="EK33" s="1543">
        <f t="shared" si="36"/>
        <v>0</v>
      </c>
      <c r="EL33" s="1543">
        <f t="shared" si="37"/>
        <v>0</v>
      </c>
      <c r="EM33" s="1543">
        <f t="shared" si="38"/>
        <v>0</v>
      </c>
      <c r="EN33" s="1543">
        <f t="shared" si="39"/>
        <v>0</v>
      </c>
      <c r="EP33" s="1543">
        <f t="shared" si="51"/>
        <v>0</v>
      </c>
      <c r="EQ33" s="1543">
        <f t="shared" si="51"/>
        <v>0</v>
      </c>
      <c r="ER33" s="1543">
        <f t="shared" si="51"/>
        <v>0</v>
      </c>
      <c r="ES33" s="1543">
        <f t="shared" si="51"/>
        <v>0</v>
      </c>
      <c r="ET33" s="1543">
        <f t="shared" si="51"/>
        <v>0</v>
      </c>
      <c r="EU33" s="1543">
        <f t="shared" si="51"/>
        <v>0</v>
      </c>
      <c r="EV33" s="1543">
        <f t="shared" si="51"/>
        <v>0</v>
      </c>
      <c r="EW33" s="1543">
        <f t="shared" si="51"/>
        <v>0</v>
      </c>
      <c r="EX33" s="1543">
        <f t="shared" si="51"/>
        <v>0</v>
      </c>
      <c r="EY33" s="1543">
        <f t="shared" si="51"/>
        <v>0</v>
      </c>
      <c r="EZ33" s="1543">
        <f t="shared" si="51"/>
        <v>0</v>
      </c>
      <c r="FA33" s="1543">
        <f t="shared" si="51"/>
        <v>0</v>
      </c>
      <c r="FB33" s="1543">
        <f t="shared" si="51"/>
        <v>0</v>
      </c>
      <c r="FC33" s="1543">
        <f t="shared" si="51"/>
        <v>0</v>
      </c>
      <c r="FD33" s="1543">
        <f t="shared" si="51"/>
        <v>0</v>
      </c>
      <c r="FE33" s="1543">
        <f t="shared" si="52"/>
        <v>0</v>
      </c>
      <c r="FF33" s="1543">
        <f t="shared" si="40"/>
        <v>1</v>
      </c>
      <c r="FH33" s="1543">
        <f t="shared" si="56"/>
        <v>0</v>
      </c>
      <c r="FI33" s="1543">
        <f t="shared" si="56"/>
        <v>0</v>
      </c>
      <c r="FJ33" s="1543">
        <f t="shared" si="56"/>
        <v>0</v>
      </c>
      <c r="FK33" s="1543">
        <f t="shared" si="56"/>
        <v>0</v>
      </c>
      <c r="FL33" s="1543">
        <f t="shared" si="56"/>
        <v>0</v>
      </c>
      <c r="FM33" s="1543">
        <f t="shared" si="56"/>
        <v>0</v>
      </c>
      <c r="FN33" s="1543">
        <f t="shared" si="56"/>
        <v>0</v>
      </c>
      <c r="FO33" s="1543">
        <f t="shared" si="56"/>
        <v>0</v>
      </c>
      <c r="FP33" s="1543">
        <f t="shared" si="56"/>
        <v>0</v>
      </c>
      <c r="FQ33" s="1543">
        <f t="shared" si="56"/>
        <v>0</v>
      </c>
      <c r="FR33" s="1543">
        <f t="shared" si="56"/>
        <v>0</v>
      </c>
      <c r="FS33" s="1543">
        <f t="shared" si="56"/>
        <v>0</v>
      </c>
      <c r="FT33" s="1543">
        <f t="shared" si="41"/>
        <v>1</v>
      </c>
      <c r="FV33" s="1543">
        <f t="shared" si="57"/>
        <v>0</v>
      </c>
      <c r="FW33" s="1543">
        <f t="shared" si="57"/>
        <v>0</v>
      </c>
      <c r="FX33" s="1543">
        <f t="shared" si="57"/>
        <v>0</v>
      </c>
      <c r="FY33" s="1543">
        <f t="shared" si="57"/>
        <v>1</v>
      </c>
      <c r="FZ33" s="1543">
        <f t="shared" si="57"/>
        <v>0</v>
      </c>
      <c r="GA33" s="1543">
        <f t="shared" si="57"/>
        <v>0</v>
      </c>
      <c r="GB33" s="1543">
        <f t="shared" si="57"/>
        <v>0</v>
      </c>
      <c r="GC33" s="1543">
        <f t="shared" si="57"/>
        <v>0</v>
      </c>
      <c r="GD33" s="1543">
        <f t="shared" si="57"/>
        <v>0</v>
      </c>
    </row>
    <row r="34" spans="1:186" s="982" customFormat="1" ht="15.6" x14ac:dyDescent="0.3">
      <c r="A34" s="974">
        <v>32</v>
      </c>
      <c r="B34" s="983" t="s">
        <v>1907</v>
      </c>
      <c r="C34" s="984" t="s">
        <v>1909</v>
      </c>
      <c r="D34" s="983" t="s">
        <v>67</v>
      </c>
      <c r="E34" s="968" t="str">
        <f>IFERROR(VLOOKUP($D34&amp;"."&amp;B34,'Piping Class'!$1:$1048576,MATCH($I34,'Piping Class'!$2:$2,0),0),"")</f>
        <v>ASTM A312-
TP316/316L</v>
      </c>
      <c r="F34" s="985" t="str">
        <f>IFERROR(IF(B34="Flange",VLOOKUP($D34,'Piping Class'!$88:$102,MATCH(F$1,'Piping Class'!$88:$88,0),0),""),"")</f>
        <v/>
      </c>
      <c r="G34" s="968" t="str">
        <f>IFERROR(IF(B34="Flange",VLOOKUP($D34,'Piping Class'!$88:$102,MATCH(G$1,'Piping Class'!$88:$88,0),0),""),"")</f>
        <v/>
      </c>
      <c r="H34" s="968" t="str">
        <f>IFERROR(VLOOKUP($D34,'Piping Class'!$88:$102,MATCH(H$1,'Piping Class'!$88:$88,0),0),"")</f>
        <v>SS</v>
      </c>
      <c r="I34" s="986">
        <v>3</v>
      </c>
      <c r="J34" s="986"/>
      <c r="K34" s="968">
        <f>IFERROR(VLOOKUP(I34,'Thickness Tab'!$1:$1048576,MATCH(L34,'Thickness Tab'!$1:$1,0),0),"")</f>
        <v>5.49</v>
      </c>
      <c r="L34" s="969" t="str">
        <f>IFERROR(VLOOKUP($D34,'Piping Class'!$1:$1048576,MATCH($I34,'Piping Class'!$2:$2,0),0),"")</f>
        <v>40S</v>
      </c>
      <c r="M34" s="968" t="str">
        <f>IFERROR(VLOOKUP(J34,'Thickness Tab'!$1:$1048576,MATCH(N34,'Thickness Tab'!$1:$1,0),0),"")</f>
        <v/>
      </c>
      <c r="N34" s="969" t="str">
        <f>IFERROR(VLOOKUP($D34,'Piping Class'!$1:$1048576,MATCH($J34,'Piping Class'!$2:$2,0),0),"")</f>
        <v/>
      </c>
      <c r="O34" s="968" t="str">
        <f>IFERROR(VLOOKUP($D34,'Piping Class'!$88:$102,MATCH(O$1,'Piping Class'!$88:$88,0),0),"")</f>
        <v>B31.3 / B16.5</v>
      </c>
      <c r="P34" s="968" t="str">
        <f>IFERROR(VLOOKUP($D34,'Piping Class'!$88:$102,MATCH(P$1,'Piping Class'!$88:$88,0),0),"")</f>
        <v>3.1</v>
      </c>
      <c r="Q34" s="983"/>
      <c r="R34" s="988">
        <v>0</v>
      </c>
      <c r="S34" s="969" t="str">
        <f t="shared" si="58"/>
        <v>cad</v>
      </c>
      <c r="T34" s="968">
        <f>IFERROR(VLOOKUP(I34&amp;"."&amp;L34,'Fitting Chart'!$1:$1048576,MATCH(C34,'Fitting Chart'!$1:$1,0),0),0)+IF(B34="piping",PI()*K34*(VLOOKUP(I34,'Thickness Tab'!$1:$1048576,3,0)-K34)*7.86/1000,0)+IF(B34="Flange",VLOOKUP(I34&amp;"F"&amp;F34,'Flanges Chart'!$1:$1048576,MATCH(C34&amp;"."&amp;T$1,'Flanges Chart'!$1:$1,0),0),0)</f>
        <v>3.8101759080000002</v>
      </c>
      <c r="U34" s="989">
        <f t="shared" si="0"/>
        <v>0</v>
      </c>
      <c r="V34" s="1003">
        <v>15</v>
      </c>
      <c r="W34" s="1001">
        <f t="shared" si="22"/>
        <v>0</v>
      </c>
      <c r="X34" s="997"/>
      <c r="Y34" s="983"/>
      <c r="Z34" s="989">
        <f>IF(B34="Piping",VLOOKUP(I34,'Thickness Tab'!$1:$1048576,3,0)/1000*PI(),0)+IFERROR(VLOOKUP(I34&amp;"F"&amp;F34,'Flanges Chart'!$1:$1048576,MATCH(C34&amp;".Unit Surface",'Flanges Chart'!$1:$1,0),0),0)+IF(B34="Fitting",VLOOKUP(I34,'Thickness Tab'!$1:$1048576,3,0)/1000*PI(),0)</f>
        <v>0.27928758690413263</v>
      </c>
      <c r="AA34" s="989">
        <f t="shared" si="23"/>
        <v>0</v>
      </c>
      <c r="AB34" s="983">
        <v>50</v>
      </c>
      <c r="AC34" s="989">
        <f t="shared" si="24"/>
        <v>0.593446852263112</v>
      </c>
      <c r="AD34" s="989">
        <f t="shared" si="25"/>
        <v>0</v>
      </c>
      <c r="AE34" s="974">
        <f>(IFERROR(VLOOKUP($C34,List!$J:$L,2,0),0)*R34+IF(B34="piping",R34,0)+IF(C34="Welding Neck",1,0)*R34)*$AE$2</f>
        <v>0</v>
      </c>
      <c r="AF34" s="970">
        <f>IFERROR(VLOOKUP($C34,List!$J:$L,3,0),0)*R34*$AF$2</f>
        <v>0</v>
      </c>
      <c r="AG34" s="990">
        <f t="shared" si="1"/>
        <v>0</v>
      </c>
      <c r="AH34" s="1118">
        <f>IFERROR(VLOOKUP($D34,'Piping Class'!$88:$102,MATCH(AH$1,'Piping Class'!$88:$88,0),0),"")</f>
        <v>0.1</v>
      </c>
      <c r="AI34" s="991">
        <f>IFERROR(VLOOKUP($D34,'Piping Class'!$88:$102,MATCH(AI$1,'Piping Class'!$88:$88,0),0),"")</f>
        <v>1</v>
      </c>
      <c r="AJ34" s="991">
        <f>IFERROR(VLOOKUP($D34,'Piping Class'!$88:$102,MATCH(AJ$1,'Piping Class'!$88:$88,0),0),"")</f>
        <v>1</v>
      </c>
      <c r="AK34" s="991">
        <f>IFERROR(VLOOKUP($D34,'Piping Class'!$88:$102,MATCH(AK$1,'Piping Class'!$88:$88,0),0),"")</f>
        <v>0</v>
      </c>
      <c r="AL34" s="991">
        <f t="shared" si="44"/>
        <v>1</v>
      </c>
      <c r="AM34" s="1119" t="str">
        <f>IFERROR(VLOOKUP($D34,'Piping Class'!$88:$102,MATCH(AM$1,'Piping Class'!$88:$88,0),0),"")</f>
        <v/>
      </c>
      <c r="AN34" s="992">
        <f t="shared" si="26"/>
        <v>0</v>
      </c>
      <c r="AO34" s="993">
        <f>IFERROR(VLOOKUP(I34&amp;"B"&amp;F34,'Bolting Chart'!$1:$1048576,4,0),0)</f>
        <v>0</v>
      </c>
      <c r="AP34" s="993">
        <f t="shared" si="27"/>
        <v>0</v>
      </c>
      <c r="AQ34" s="993">
        <f t="shared" si="28"/>
        <v>0</v>
      </c>
      <c r="AR34" s="993">
        <f>IF(AO34=0,0,VLOOKUP(D34&amp;".bolting",'Piping Class'!$1:$1048576,MATCH(I34,'Piping Class'!$2:$2,0),0))</f>
        <v>0</v>
      </c>
      <c r="AS34" s="994">
        <f>IFERROR(VLOOKUP(I34&amp;"B"&amp;F34,'Bolting Chart'!$1:$1048576,IF(AS$2="UNC",5,6),0),0)</f>
        <v>0</v>
      </c>
      <c r="AT34" s="995">
        <f>IFERROR(VLOOKUP(I34&amp;"B"&amp;F34,'Bolting Chart'!$1:$1048576,IF(G34="RF",8,9),0),0)</f>
        <v>0</v>
      </c>
      <c r="AU34" s="993">
        <f>IF(AO34=0,0,VLOOKUP(D34&amp;".gasket",'Piping Class'!$1:$1048576,MATCH(I34,'Piping Class'!$2:$2,0),0))</f>
        <v>0</v>
      </c>
      <c r="AV34" s="996">
        <f>(IFERROR(INDEX('Bolting Chart'!$A$169:$R$251,MATCH(AT34,'Bolting Chart'!$A$170:$A$251,0),MATCH(IFERROR(VLOOKUP(I34&amp;"B"&amp;F34,'Bolting Chart'!$1:$1048576,7,0),0)+0,'Bolting Chart'!$A$169:$R$169,0)),0))/100</f>
        <v>0</v>
      </c>
      <c r="AW34" s="996">
        <f t="shared" si="3"/>
        <v>0</v>
      </c>
      <c r="AX34" s="1194">
        <f t="shared" si="4"/>
        <v>0</v>
      </c>
      <c r="AY34" s="981"/>
      <c r="AZ34" s="1543">
        <f t="shared" ref="AZ34:BO61" si="63">IF($I34=AZ$2,1,0)</f>
        <v>0</v>
      </c>
      <c r="BA34" s="1543">
        <f t="shared" si="60"/>
        <v>0</v>
      </c>
      <c r="BB34" s="1543">
        <f t="shared" si="60"/>
        <v>0</v>
      </c>
      <c r="BC34" s="1543">
        <f t="shared" si="60"/>
        <v>0</v>
      </c>
      <c r="BD34" s="1543">
        <f t="shared" si="60"/>
        <v>0</v>
      </c>
      <c r="BE34" s="1543">
        <f t="shared" si="60"/>
        <v>0</v>
      </c>
      <c r="BF34" s="1543">
        <f t="shared" si="60"/>
        <v>1</v>
      </c>
      <c r="BG34" s="1543">
        <f t="shared" si="60"/>
        <v>0</v>
      </c>
      <c r="BH34" s="1543">
        <f t="shared" si="60"/>
        <v>0</v>
      </c>
      <c r="BI34" s="1543">
        <f t="shared" si="60"/>
        <v>0</v>
      </c>
      <c r="BJ34" s="1543">
        <f t="shared" si="60"/>
        <v>0</v>
      </c>
      <c r="BK34" s="1543">
        <f t="shared" si="60"/>
        <v>0</v>
      </c>
      <c r="BL34" s="1543">
        <f t="shared" si="60"/>
        <v>0</v>
      </c>
      <c r="BM34" s="1543">
        <f t="shared" si="60"/>
        <v>0</v>
      </c>
      <c r="BN34" s="1543">
        <f t="shared" si="60"/>
        <v>0</v>
      </c>
      <c r="BO34" s="1543">
        <f t="shared" si="60"/>
        <v>0</v>
      </c>
      <c r="BP34" s="1543">
        <f t="shared" si="60"/>
        <v>0</v>
      </c>
      <c r="BQ34" s="1543">
        <f t="shared" si="61"/>
        <v>0</v>
      </c>
      <c r="BR34" s="1543">
        <f t="shared" si="61"/>
        <v>0</v>
      </c>
      <c r="BS34" s="1543">
        <f t="shared" si="61"/>
        <v>0</v>
      </c>
      <c r="BT34" s="1543">
        <f t="shared" si="61"/>
        <v>0</v>
      </c>
      <c r="BU34" s="1543">
        <f t="shared" si="61"/>
        <v>0</v>
      </c>
      <c r="BV34" s="1543">
        <f t="shared" si="61"/>
        <v>0</v>
      </c>
      <c r="BW34" s="1543">
        <f t="shared" si="61"/>
        <v>0</v>
      </c>
      <c r="BX34" s="1543">
        <f t="shared" si="61"/>
        <v>0</v>
      </c>
      <c r="BY34" s="1543">
        <f t="shared" si="61"/>
        <v>0</v>
      </c>
      <c r="BZ34" s="1543">
        <f t="shared" si="61"/>
        <v>0</v>
      </c>
      <c r="CB34" s="1543">
        <f t="shared" ref="CB34:CQ61" si="64">IF($J34=CB$2,1,0)</f>
        <v>0</v>
      </c>
      <c r="CC34" s="1543">
        <f t="shared" si="62"/>
        <v>0</v>
      </c>
      <c r="CD34" s="1543">
        <f t="shared" si="62"/>
        <v>0</v>
      </c>
      <c r="CE34" s="1543">
        <f t="shared" si="62"/>
        <v>0</v>
      </c>
      <c r="CF34" s="1543">
        <f t="shared" si="62"/>
        <v>0</v>
      </c>
      <c r="CG34" s="1543">
        <f t="shared" si="62"/>
        <v>0</v>
      </c>
      <c r="CH34" s="1543">
        <f t="shared" si="62"/>
        <v>0</v>
      </c>
      <c r="CI34" s="1543">
        <f t="shared" si="62"/>
        <v>0</v>
      </c>
      <c r="CJ34" s="1543">
        <f t="shared" si="62"/>
        <v>0</v>
      </c>
      <c r="CK34" s="1543">
        <f t="shared" si="62"/>
        <v>0</v>
      </c>
      <c r="CL34" s="1543">
        <f t="shared" si="62"/>
        <v>0</v>
      </c>
      <c r="CM34" s="1543">
        <f t="shared" si="62"/>
        <v>0</v>
      </c>
      <c r="CN34" s="1543">
        <f t="shared" si="62"/>
        <v>0</v>
      </c>
      <c r="CO34" s="1543">
        <f t="shared" si="62"/>
        <v>0</v>
      </c>
      <c r="CP34" s="1543">
        <f t="shared" si="62"/>
        <v>0</v>
      </c>
      <c r="CQ34" s="1543">
        <f t="shared" si="62"/>
        <v>0</v>
      </c>
      <c r="CR34" s="1543">
        <f t="shared" si="62"/>
        <v>0</v>
      </c>
      <c r="CS34" s="1543">
        <f t="shared" si="46"/>
        <v>0</v>
      </c>
      <c r="CT34" s="1543">
        <f t="shared" si="47"/>
        <v>0</v>
      </c>
      <c r="CU34" s="1543">
        <f t="shared" si="47"/>
        <v>0</v>
      </c>
      <c r="CV34" s="1543">
        <f t="shared" si="47"/>
        <v>0</v>
      </c>
      <c r="CW34" s="1543">
        <f t="shared" si="47"/>
        <v>0</v>
      </c>
      <c r="CX34" s="1543">
        <f t="shared" si="47"/>
        <v>0</v>
      </c>
      <c r="CY34" s="1543">
        <f t="shared" si="47"/>
        <v>0</v>
      </c>
      <c r="CZ34" s="1543">
        <f t="shared" si="47"/>
        <v>0</v>
      </c>
      <c r="DA34" s="1543">
        <f t="shared" si="47"/>
        <v>0</v>
      </c>
      <c r="DB34" s="1543">
        <f t="shared" si="47"/>
        <v>0</v>
      </c>
      <c r="DD34" s="1543">
        <f t="shared" si="9"/>
        <v>0</v>
      </c>
      <c r="DE34" s="1543">
        <f t="shared" si="10"/>
        <v>1</v>
      </c>
      <c r="DF34" s="1543">
        <f t="shared" si="11"/>
        <v>0</v>
      </c>
      <c r="DG34" s="1543">
        <f t="shared" si="31"/>
        <v>0</v>
      </c>
      <c r="DI34" s="1543">
        <f t="shared" si="32"/>
        <v>0</v>
      </c>
      <c r="DJ34" s="1543">
        <f t="shared" si="48"/>
        <v>0</v>
      </c>
      <c r="DK34" s="1543">
        <f t="shared" si="48"/>
        <v>1</v>
      </c>
      <c r="DL34" s="1543">
        <f t="shared" si="48"/>
        <v>0</v>
      </c>
      <c r="DM34" s="1543">
        <f t="shared" si="48"/>
        <v>0</v>
      </c>
      <c r="DO34" s="1543">
        <f t="shared" si="13"/>
        <v>0</v>
      </c>
      <c r="DP34" s="1543">
        <f t="shared" si="59"/>
        <v>0</v>
      </c>
      <c r="DQ34" s="1543">
        <f t="shared" si="59"/>
        <v>0</v>
      </c>
      <c r="DR34" s="1543">
        <f t="shared" si="59"/>
        <v>0</v>
      </c>
      <c r="DS34" s="1543">
        <f t="shared" si="59"/>
        <v>0</v>
      </c>
      <c r="DT34" s="1543">
        <f t="shared" si="59"/>
        <v>0</v>
      </c>
      <c r="DU34" s="1543">
        <f t="shared" si="59"/>
        <v>0</v>
      </c>
      <c r="DV34" s="1543">
        <f t="shared" si="59"/>
        <v>0</v>
      </c>
      <c r="DW34" s="1543">
        <f t="shared" si="59"/>
        <v>0</v>
      </c>
      <c r="DX34" s="1543">
        <f t="shared" si="59"/>
        <v>0</v>
      </c>
      <c r="DY34" s="1543">
        <f t="shared" si="59"/>
        <v>0</v>
      </c>
      <c r="DZ34" s="1543">
        <f t="shared" si="59"/>
        <v>0</v>
      </c>
      <c r="EA34" s="1543">
        <f t="shared" si="59"/>
        <v>0</v>
      </c>
      <c r="EB34" s="1543">
        <f t="shared" si="50"/>
        <v>0</v>
      </c>
      <c r="EC34" s="1543">
        <f t="shared" si="50"/>
        <v>0</v>
      </c>
      <c r="ED34" s="1543">
        <f t="shared" si="50"/>
        <v>0</v>
      </c>
      <c r="EE34" s="1543">
        <f t="shared" si="50"/>
        <v>1</v>
      </c>
      <c r="EF34" s="1543">
        <f t="shared" si="50"/>
        <v>0</v>
      </c>
      <c r="EH34" s="1543">
        <f t="shared" si="33"/>
        <v>1</v>
      </c>
      <c r="EI34" s="1543">
        <f t="shared" si="34"/>
        <v>0</v>
      </c>
      <c r="EJ34" s="1543">
        <f t="shared" si="35"/>
        <v>0</v>
      </c>
      <c r="EK34" s="1543">
        <f t="shared" si="36"/>
        <v>0</v>
      </c>
      <c r="EL34" s="1543">
        <f t="shared" si="37"/>
        <v>0</v>
      </c>
      <c r="EM34" s="1543">
        <f t="shared" si="38"/>
        <v>0</v>
      </c>
      <c r="EN34" s="1543">
        <f t="shared" si="39"/>
        <v>0</v>
      </c>
      <c r="EP34" s="1543">
        <f t="shared" si="51"/>
        <v>0</v>
      </c>
      <c r="EQ34" s="1543">
        <f t="shared" si="51"/>
        <v>0</v>
      </c>
      <c r="ER34" s="1543">
        <f t="shared" si="51"/>
        <v>0</v>
      </c>
      <c r="ES34" s="1543">
        <f t="shared" si="51"/>
        <v>0</v>
      </c>
      <c r="ET34" s="1543">
        <f t="shared" si="51"/>
        <v>0</v>
      </c>
      <c r="EU34" s="1543">
        <f t="shared" si="51"/>
        <v>0</v>
      </c>
      <c r="EV34" s="1543">
        <f t="shared" si="51"/>
        <v>0</v>
      </c>
      <c r="EW34" s="1543">
        <f t="shared" si="51"/>
        <v>0</v>
      </c>
      <c r="EX34" s="1543">
        <f t="shared" si="51"/>
        <v>0</v>
      </c>
      <c r="EY34" s="1543">
        <f t="shared" si="51"/>
        <v>0</v>
      </c>
      <c r="EZ34" s="1543">
        <f t="shared" si="51"/>
        <v>0</v>
      </c>
      <c r="FA34" s="1543">
        <f t="shared" si="51"/>
        <v>0</v>
      </c>
      <c r="FB34" s="1543">
        <f t="shared" si="51"/>
        <v>0</v>
      </c>
      <c r="FC34" s="1543">
        <f t="shared" si="51"/>
        <v>0</v>
      </c>
      <c r="FD34" s="1543">
        <f t="shared" si="51"/>
        <v>0</v>
      </c>
      <c r="FE34" s="1543">
        <f t="shared" si="52"/>
        <v>0</v>
      </c>
      <c r="FF34" s="1543">
        <f t="shared" si="40"/>
        <v>1</v>
      </c>
      <c r="FH34" s="1543">
        <f t="shared" si="56"/>
        <v>0</v>
      </c>
      <c r="FI34" s="1543">
        <f t="shared" si="56"/>
        <v>0</v>
      </c>
      <c r="FJ34" s="1543">
        <f t="shared" si="56"/>
        <v>0</v>
      </c>
      <c r="FK34" s="1543">
        <f t="shared" si="56"/>
        <v>0</v>
      </c>
      <c r="FL34" s="1543">
        <f t="shared" si="56"/>
        <v>0</v>
      </c>
      <c r="FM34" s="1543">
        <f t="shared" si="56"/>
        <v>0</v>
      </c>
      <c r="FN34" s="1543">
        <f t="shared" si="56"/>
        <v>0</v>
      </c>
      <c r="FO34" s="1543">
        <f t="shared" si="56"/>
        <v>0</v>
      </c>
      <c r="FP34" s="1543">
        <f t="shared" si="56"/>
        <v>0</v>
      </c>
      <c r="FQ34" s="1543">
        <f t="shared" si="56"/>
        <v>0</v>
      </c>
      <c r="FR34" s="1543">
        <f t="shared" si="56"/>
        <v>0</v>
      </c>
      <c r="FS34" s="1543">
        <f t="shared" si="56"/>
        <v>0</v>
      </c>
      <c r="FT34" s="1543">
        <f t="shared" si="41"/>
        <v>1</v>
      </c>
      <c r="FV34" s="1543">
        <f t="shared" si="57"/>
        <v>0</v>
      </c>
      <c r="FW34" s="1543">
        <f t="shared" si="57"/>
        <v>0</v>
      </c>
      <c r="FX34" s="1543">
        <f t="shared" si="57"/>
        <v>0</v>
      </c>
      <c r="FY34" s="1543">
        <f t="shared" si="57"/>
        <v>1</v>
      </c>
      <c r="FZ34" s="1543">
        <f t="shared" si="57"/>
        <v>0</v>
      </c>
      <c r="GA34" s="1543">
        <f t="shared" si="57"/>
        <v>0</v>
      </c>
      <c r="GB34" s="1543">
        <f t="shared" si="57"/>
        <v>0</v>
      </c>
      <c r="GC34" s="1543">
        <f t="shared" si="57"/>
        <v>0</v>
      </c>
      <c r="GD34" s="1543">
        <f t="shared" si="57"/>
        <v>0</v>
      </c>
    </row>
    <row r="35" spans="1:186" s="982" customFormat="1" ht="15.6" x14ac:dyDescent="0.3">
      <c r="A35" s="974">
        <v>33</v>
      </c>
      <c r="B35" s="983"/>
      <c r="C35" s="984"/>
      <c r="D35" s="983"/>
      <c r="E35" s="968" t="str">
        <f>IFERROR(VLOOKUP($D35&amp;"."&amp;B35,'Piping Class'!$1:$1048576,MATCH($I35,'Piping Class'!$2:$2,0),0),"")</f>
        <v/>
      </c>
      <c r="F35" s="985" t="str">
        <f>IFERROR(IF(B35="Flange",VLOOKUP($D35,'Piping Class'!$88:$102,MATCH(F$1,'Piping Class'!$88:$88,0),0),""),"")</f>
        <v/>
      </c>
      <c r="G35" s="968" t="str">
        <f>IFERROR(IF(B35="Flange",VLOOKUP($D35,'Piping Class'!$88:$102,MATCH(G$1,'Piping Class'!$88:$88,0),0),""),"")</f>
        <v/>
      </c>
      <c r="H35" s="968"/>
      <c r="I35" s="986"/>
      <c r="J35" s="986"/>
      <c r="K35" s="968" t="str">
        <f>IFERROR(VLOOKUP(I35,'Thickness Tab'!$1:$1048576,MATCH(L35,'Thickness Tab'!$1:$1,0),0),"")</f>
        <v/>
      </c>
      <c r="L35" s="969" t="str">
        <f>IFERROR(VLOOKUP($D35,'Piping Class'!$1:$1048576,MATCH($I35,'Piping Class'!$2:$2,0),0),"")</f>
        <v/>
      </c>
      <c r="M35" s="968" t="str">
        <f>IFERROR(VLOOKUP(J35,'Thickness Tab'!$1:$1048576,MATCH(N35,'Thickness Tab'!$1:$1,0),0),"")</f>
        <v/>
      </c>
      <c r="N35" s="969" t="str">
        <f>IFERROR(VLOOKUP($D35,'Piping Class'!$1:$1048576,MATCH($J35,'Piping Class'!$2:$2,0),0),"")</f>
        <v/>
      </c>
      <c r="O35" s="968" t="str">
        <f>IFERROR(VLOOKUP($D35,'Piping Class'!$88:$102,MATCH(O$1,'Piping Class'!$88:$88,0),0),"")</f>
        <v/>
      </c>
      <c r="P35" s="968" t="str">
        <f>IFERROR(VLOOKUP($D35,'Piping Class'!$88:$102,MATCH(P$1,'Piping Class'!$88:$88,0),0),"")</f>
        <v/>
      </c>
      <c r="Q35" s="983"/>
      <c r="R35" s="988"/>
      <c r="S35" s="969" t="str">
        <f t="shared" si="58"/>
        <v/>
      </c>
      <c r="T35" s="968">
        <f>IFERROR(VLOOKUP(I35&amp;"."&amp;L35,'Fitting Chart'!$1:$1048576,MATCH(C35,'Fitting Chart'!$1:$1,0),0),0)+IF(B35="piping",PI()*K35*(VLOOKUP(I35,'Thickness Tab'!$1:$1048576,3,0)-K35)*7.86/1000,0)+IF(B35="Flange",VLOOKUP(I35&amp;"F"&amp;F35,'Flanges Chart'!$1:$1048576,MATCH(C35&amp;"."&amp;T$1,'Flanges Chart'!$1:$1,0),0),0)</f>
        <v>0</v>
      </c>
      <c r="U35" s="989">
        <f t="shared" si="0"/>
        <v>0</v>
      </c>
      <c r="V35" s="1003"/>
      <c r="W35" s="1001">
        <f t="shared" si="22"/>
        <v>0</v>
      </c>
      <c r="X35" s="997"/>
      <c r="Y35" s="983"/>
      <c r="Z35" s="989">
        <f>IF(B35="Piping",VLOOKUP(I35,'Thickness Tab'!$1:$1048576,3,0)/1000*PI(),0)+IFERROR(VLOOKUP(I35&amp;"F"&amp;F35,'Flanges Chart'!$1:$1048576,MATCH(C35&amp;".Unit Surface",'Flanges Chart'!$1:$1,0),0),0)+IF(B35="Fitting",VLOOKUP(I35,'Thickness Tab'!$1:$1048576,3,0)/1000*PI(),0)</f>
        <v>0</v>
      </c>
      <c r="AA35" s="989">
        <f t="shared" si="23"/>
        <v>0</v>
      </c>
      <c r="AB35" s="983">
        <v>0</v>
      </c>
      <c r="AC35" s="989">
        <f t="shared" si="24"/>
        <v>0</v>
      </c>
      <c r="AD35" s="989">
        <f t="shared" si="25"/>
        <v>0</v>
      </c>
      <c r="AE35" s="974">
        <f>(IFERROR(VLOOKUP($C35,List!$J:$L,2,0),0)*R35+IF(B35="piping",R35,0)+IF(C35="Welding Neck",1,0)*R35)*$AE$2</f>
        <v>0</v>
      </c>
      <c r="AF35" s="970">
        <f>IFERROR(VLOOKUP($C35,List!$J:$L,3,0),0)*R35*$AF$2</f>
        <v>0</v>
      </c>
      <c r="AG35" s="990">
        <f t="shared" ref="AG35:AG40" si="65">AE35*I35+J35*AF35</f>
        <v>0</v>
      </c>
      <c r="AH35" s="1118" t="str">
        <f>IFERROR(VLOOKUP($D35,'Piping Class'!$88:$102,MATCH(AH$1,'Piping Class'!$88:$88,0),0),"")</f>
        <v/>
      </c>
      <c r="AI35" s="991" t="str">
        <f>IFERROR(VLOOKUP($D35,'Piping Class'!$88:$102,MATCH(AI$1,'Piping Class'!$88:$88,0),0),"")</f>
        <v/>
      </c>
      <c r="AJ35" s="991" t="str">
        <f>IFERROR(VLOOKUP($D35,'Piping Class'!$88:$102,MATCH(AJ$1,'Piping Class'!$88:$88,0),0),"")</f>
        <v/>
      </c>
      <c r="AK35" s="991" t="str">
        <f>IFERROR(VLOOKUP($D35,'Piping Class'!$88:$102,MATCH(AK$1,'Piping Class'!$88:$88,0),0),"")</f>
        <v/>
      </c>
      <c r="AL35" s="991">
        <f t="shared" si="44"/>
        <v>0</v>
      </c>
      <c r="AM35" s="1119" t="str">
        <f>IFERROR(VLOOKUP($D35,'Piping Class'!$88:$102,MATCH(AM$1,'Piping Class'!$88:$88,0),0),"")</f>
        <v/>
      </c>
      <c r="AN35" s="992">
        <f t="shared" si="26"/>
        <v>0</v>
      </c>
      <c r="AO35" s="993">
        <f>IFERROR(VLOOKUP(I35&amp;"B"&amp;F35,'Bolting Chart'!$1:$1048576,4,0),0)</f>
        <v>0</v>
      </c>
      <c r="AP35" s="993">
        <f t="shared" si="27"/>
        <v>0</v>
      </c>
      <c r="AQ35" s="993">
        <f t="shared" si="28"/>
        <v>0</v>
      </c>
      <c r="AR35" s="993">
        <f>IF(AO35=0,0,VLOOKUP(D35&amp;".bolting",'Piping Class'!$1:$1048576,MATCH(I35,'Piping Class'!$2:$2,0),0))</f>
        <v>0</v>
      </c>
      <c r="AS35" s="994">
        <f>IFERROR(VLOOKUP(I35&amp;"B"&amp;F35,'Bolting Chart'!$1:$1048576,IF(AS$2="UNC",5,6),0),0)</f>
        <v>0</v>
      </c>
      <c r="AT35" s="995">
        <f>IFERROR(VLOOKUP(I35&amp;"B"&amp;F35,'Bolting Chart'!$1:$1048576,IF(G35="RF",8,9),0),0)</f>
        <v>0</v>
      </c>
      <c r="AU35" s="993">
        <f>IF(AO35=0,0,VLOOKUP(D35&amp;".gasket",'Piping Class'!$1:$1048576,MATCH(I35,'Piping Class'!$2:$2,0),0))</f>
        <v>0</v>
      </c>
      <c r="AV35" s="996">
        <f>(IFERROR(INDEX('Bolting Chart'!$A$169:$R$251,MATCH(AT35,'Bolting Chart'!$A$170:$A$251,0),MATCH(IFERROR(VLOOKUP(I35&amp;"B"&amp;F35,'Bolting Chart'!$1:$1048576,7,0),0)+0,'Bolting Chart'!$A$169:$R$169,0)),0))/100</f>
        <v>0</v>
      </c>
      <c r="AW35" s="996">
        <f t="shared" ref="AW35:AW40" si="66">AV35*AO35</f>
        <v>0</v>
      </c>
      <c r="AX35" s="1194">
        <f t="shared" ref="AX35:AX40" si="67">AV35*AP35</f>
        <v>0</v>
      </c>
      <c r="AY35" s="981"/>
      <c r="AZ35" s="1543">
        <f t="shared" si="63"/>
        <v>0</v>
      </c>
      <c r="BA35" s="1543">
        <f t="shared" si="60"/>
        <v>0</v>
      </c>
      <c r="BB35" s="1543">
        <f t="shared" si="60"/>
        <v>0</v>
      </c>
      <c r="BC35" s="1543">
        <f t="shared" si="60"/>
        <v>0</v>
      </c>
      <c r="BD35" s="1543">
        <f t="shared" si="60"/>
        <v>0</v>
      </c>
      <c r="BE35" s="1543">
        <f t="shared" si="60"/>
        <v>0</v>
      </c>
      <c r="BF35" s="1543">
        <f t="shared" si="60"/>
        <v>0</v>
      </c>
      <c r="BG35" s="1543">
        <f t="shared" si="60"/>
        <v>0</v>
      </c>
      <c r="BH35" s="1543">
        <f t="shared" si="60"/>
        <v>0</v>
      </c>
      <c r="BI35" s="1543">
        <f t="shared" si="60"/>
        <v>0</v>
      </c>
      <c r="BJ35" s="1543">
        <f t="shared" si="60"/>
        <v>0</v>
      </c>
      <c r="BK35" s="1543">
        <f t="shared" si="60"/>
        <v>0</v>
      </c>
      <c r="BL35" s="1543">
        <f t="shared" si="60"/>
        <v>0</v>
      </c>
      <c r="BM35" s="1543">
        <f t="shared" si="60"/>
        <v>0</v>
      </c>
      <c r="BN35" s="1543">
        <f t="shared" si="60"/>
        <v>0</v>
      </c>
      <c r="BO35" s="1543">
        <f t="shared" si="60"/>
        <v>0</v>
      </c>
      <c r="BP35" s="1543">
        <f t="shared" si="60"/>
        <v>0</v>
      </c>
      <c r="BQ35" s="1543">
        <f t="shared" si="61"/>
        <v>0</v>
      </c>
      <c r="BR35" s="1543">
        <f t="shared" si="61"/>
        <v>0</v>
      </c>
      <c r="BS35" s="1543">
        <f t="shared" si="61"/>
        <v>0</v>
      </c>
      <c r="BT35" s="1543">
        <f t="shared" si="61"/>
        <v>0</v>
      </c>
      <c r="BU35" s="1543">
        <f t="shared" si="61"/>
        <v>0</v>
      </c>
      <c r="BV35" s="1543">
        <f t="shared" si="61"/>
        <v>0</v>
      </c>
      <c r="BW35" s="1543">
        <f t="shared" si="61"/>
        <v>0</v>
      </c>
      <c r="BX35" s="1543">
        <f t="shared" si="61"/>
        <v>0</v>
      </c>
      <c r="BY35" s="1543">
        <f t="shared" si="61"/>
        <v>0</v>
      </c>
      <c r="BZ35" s="1543">
        <f t="shared" si="61"/>
        <v>0</v>
      </c>
      <c r="CB35" s="1543">
        <f t="shared" si="64"/>
        <v>0</v>
      </c>
      <c r="CC35" s="1543">
        <f t="shared" si="62"/>
        <v>0</v>
      </c>
      <c r="CD35" s="1543">
        <f t="shared" si="62"/>
        <v>0</v>
      </c>
      <c r="CE35" s="1543">
        <f t="shared" si="62"/>
        <v>0</v>
      </c>
      <c r="CF35" s="1543">
        <f t="shared" si="62"/>
        <v>0</v>
      </c>
      <c r="CG35" s="1543">
        <f t="shared" si="62"/>
        <v>0</v>
      </c>
      <c r="CH35" s="1543">
        <f t="shared" si="62"/>
        <v>0</v>
      </c>
      <c r="CI35" s="1543">
        <f t="shared" si="62"/>
        <v>0</v>
      </c>
      <c r="CJ35" s="1543">
        <f t="shared" si="62"/>
        <v>0</v>
      </c>
      <c r="CK35" s="1543">
        <f t="shared" si="62"/>
        <v>0</v>
      </c>
      <c r="CL35" s="1543">
        <f t="shared" si="62"/>
        <v>0</v>
      </c>
      <c r="CM35" s="1543">
        <f t="shared" si="62"/>
        <v>0</v>
      </c>
      <c r="CN35" s="1543">
        <f t="shared" si="62"/>
        <v>0</v>
      </c>
      <c r="CO35" s="1543">
        <f t="shared" si="62"/>
        <v>0</v>
      </c>
      <c r="CP35" s="1543">
        <f t="shared" si="62"/>
        <v>0</v>
      </c>
      <c r="CQ35" s="1543">
        <f t="shared" si="62"/>
        <v>0</v>
      </c>
      <c r="CR35" s="1543">
        <f t="shared" si="62"/>
        <v>0</v>
      </c>
      <c r="CS35" s="1543">
        <f t="shared" si="46"/>
        <v>0</v>
      </c>
      <c r="CT35" s="1543">
        <f t="shared" si="47"/>
        <v>0</v>
      </c>
      <c r="CU35" s="1543">
        <f t="shared" si="47"/>
        <v>0</v>
      </c>
      <c r="CV35" s="1543">
        <f t="shared" si="47"/>
        <v>0</v>
      </c>
      <c r="CW35" s="1543">
        <f t="shared" si="47"/>
        <v>0</v>
      </c>
      <c r="CX35" s="1543">
        <f t="shared" si="47"/>
        <v>0</v>
      </c>
      <c r="CY35" s="1543">
        <f t="shared" si="47"/>
        <v>0</v>
      </c>
      <c r="CZ35" s="1543">
        <f t="shared" si="47"/>
        <v>0</v>
      </c>
      <c r="DA35" s="1543">
        <f t="shared" si="47"/>
        <v>0</v>
      </c>
      <c r="DB35" s="1543">
        <f t="shared" si="47"/>
        <v>0</v>
      </c>
      <c r="DD35" s="1543">
        <f t="shared" ref="DD35:DD66" si="68">SUM(AZ35:BC35)</f>
        <v>0</v>
      </c>
      <c r="DE35" s="1543">
        <f t="shared" ref="DE35:DE66" si="69">SUM(BD35:BH35)</f>
        <v>0</v>
      </c>
      <c r="DF35" s="1543">
        <f t="shared" ref="DF35:DF66" si="70">SUM(BI35:BL35)</f>
        <v>0</v>
      </c>
      <c r="DG35" s="1543">
        <f t="shared" si="31"/>
        <v>0</v>
      </c>
      <c r="DI35" s="1543">
        <f t="shared" si="32"/>
        <v>0</v>
      </c>
      <c r="DJ35" s="1543">
        <f t="shared" si="48"/>
        <v>0</v>
      </c>
      <c r="DK35" s="1543">
        <f t="shared" si="48"/>
        <v>0</v>
      </c>
      <c r="DL35" s="1543">
        <f t="shared" si="48"/>
        <v>0</v>
      </c>
      <c r="DM35" s="1543">
        <f t="shared" si="48"/>
        <v>0</v>
      </c>
      <c r="DO35" s="1543">
        <f t="shared" si="13"/>
        <v>0</v>
      </c>
      <c r="DP35" s="1543">
        <f t="shared" si="59"/>
        <v>0</v>
      </c>
      <c r="DQ35" s="1543">
        <f t="shared" si="59"/>
        <v>0</v>
      </c>
      <c r="DR35" s="1543">
        <f t="shared" si="59"/>
        <v>0</v>
      </c>
      <c r="DS35" s="1543">
        <f t="shared" si="59"/>
        <v>0</v>
      </c>
      <c r="DT35" s="1543">
        <f t="shared" si="59"/>
        <v>0</v>
      </c>
      <c r="DU35" s="1543">
        <f t="shared" si="59"/>
        <v>0</v>
      </c>
      <c r="DV35" s="1543">
        <f t="shared" si="59"/>
        <v>0</v>
      </c>
      <c r="DW35" s="1543">
        <f t="shared" si="59"/>
        <v>0</v>
      </c>
      <c r="DX35" s="1543">
        <f t="shared" si="59"/>
        <v>0</v>
      </c>
      <c r="DY35" s="1543">
        <f t="shared" si="59"/>
        <v>0</v>
      </c>
      <c r="DZ35" s="1543">
        <f t="shared" si="59"/>
        <v>0</v>
      </c>
      <c r="EA35" s="1543">
        <f t="shared" si="59"/>
        <v>0</v>
      </c>
      <c r="EB35" s="1543">
        <f t="shared" ref="EB35:EF77" si="71">IF($L35=EB$2,1,0)</f>
        <v>0</v>
      </c>
      <c r="EC35" s="1543">
        <f t="shared" si="71"/>
        <v>0</v>
      </c>
      <c r="ED35" s="1543">
        <f t="shared" si="71"/>
        <v>0</v>
      </c>
      <c r="EE35" s="1543">
        <f t="shared" si="71"/>
        <v>0</v>
      </c>
      <c r="EF35" s="1543">
        <f t="shared" si="71"/>
        <v>0</v>
      </c>
      <c r="EH35" s="1543">
        <f t="shared" si="33"/>
        <v>0</v>
      </c>
      <c r="EI35" s="1543">
        <f t="shared" si="34"/>
        <v>0</v>
      </c>
      <c r="EJ35" s="1543">
        <f t="shared" si="35"/>
        <v>0</v>
      </c>
      <c r="EK35" s="1543">
        <f t="shared" si="36"/>
        <v>0</v>
      </c>
      <c r="EL35" s="1543">
        <f t="shared" si="37"/>
        <v>0</v>
      </c>
      <c r="EM35" s="1543">
        <f t="shared" si="38"/>
        <v>0</v>
      </c>
      <c r="EN35" s="1543">
        <f t="shared" si="39"/>
        <v>0</v>
      </c>
      <c r="EP35" s="1543">
        <f t="shared" ref="EP35:ES98" si="72">IF(EP$2="X",0,IF($Q35=EP$2,1,0))</f>
        <v>0</v>
      </c>
      <c r="EQ35" s="1543">
        <f t="shared" si="72"/>
        <v>0</v>
      </c>
      <c r="ER35" s="1543">
        <f t="shared" si="72"/>
        <v>0</v>
      </c>
      <c r="ES35" s="1543">
        <f t="shared" si="72"/>
        <v>0</v>
      </c>
      <c r="ET35" s="1543">
        <f t="shared" ref="ET35:FD56" si="73">IF(ET$2="X",0,IF($Q35=ET$2,1,0))</f>
        <v>0</v>
      </c>
      <c r="EU35" s="1543">
        <f t="shared" si="73"/>
        <v>0</v>
      </c>
      <c r="EV35" s="1543">
        <f t="shared" si="73"/>
        <v>0</v>
      </c>
      <c r="EW35" s="1543">
        <f t="shared" si="73"/>
        <v>0</v>
      </c>
      <c r="EX35" s="1543">
        <f t="shared" si="73"/>
        <v>0</v>
      </c>
      <c r="EY35" s="1543">
        <f t="shared" si="73"/>
        <v>0</v>
      </c>
      <c r="EZ35" s="1543">
        <f t="shared" si="73"/>
        <v>0</v>
      </c>
      <c r="FA35" s="1543">
        <f t="shared" si="73"/>
        <v>0</v>
      </c>
      <c r="FB35" s="1543">
        <f t="shared" si="73"/>
        <v>0</v>
      </c>
      <c r="FC35" s="1543">
        <f t="shared" si="73"/>
        <v>0</v>
      </c>
      <c r="FD35" s="1543">
        <f t="shared" si="73"/>
        <v>0</v>
      </c>
      <c r="FE35" s="1543">
        <f t="shared" si="52"/>
        <v>0</v>
      </c>
      <c r="FF35" s="1543">
        <f t="shared" si="40"/>
        <v>1</v>
      </c>
      <c r="FH35" s="1543">
        <f t="shared" si="56"/>
        <v>0</v>
      </c>
      <c r="FI35" s="1543">
        <f t="shared" si="56"/>
        <v>0</v>
      </c>
      <c r="FJ35" s="1543">
        <f t="shared" si="56"/>
        <v>0</v>
      </c>
      <c r="FK35" s="1543">
        <f t="shared" si="56"/>
        <v>0</v>
      </c>
      <c r="FL35" s="1543">
        <f t="shared" si="56"/>
        <v>0</v>
      </c>
      <c r="FM35" s="1543">
        <f t="shared" si="56"/>
        <v>0</v>
      </c>
      <c r="FN35" s="1543">
        <f t="shared" si="56"/>
        <v>0</v>
      </c>
      <c r="FO35" s="1543">
        <f t="shared" si="56"/>
        <v>0</v>
      </c>
      <c r="FP35" s="1543">
        <f t="shared" si="56"/>
        <v>0</v>
      </c>
      <c r="FQ35" s="1543">
        <f t="shared" si="56"/>
        <v>0</v>
      </c>
      <c r="FR35" s="1543">
        <f t="shared" si="56"/>
        <v>0</v>
      </c>
      <c r="FS35" s="1543">
        <f t="shared" si="56"/>
        <v>0</v>
      </c>
      <c r="FT35" s="1543">
        <f t="shared" si="41"/>
        <v>0</v>
      </c>
      <c r="FV35" s="1543">
        <f t="shared" si="57"/>
        <v>1</v>
      </c>
      <c r="FW35" s="1543">
        <f t="shared" si="57"/>
        <v>0</v>
      </c>
      <c r="FX35" s="1543">
        <f t="shared" si="57"/>
        <v>0</v>
      </c>
      <c r="FY35" s="1543">
        <f t="shared" si="57"/>
        <v>0</v>
      </c>
      <c r="FZ35" s="1543">
        <f t="shared" si="57"/>
        <v>0</v>
      </c>
      <c r="GA35" s="1543">
        <f t="shared" si="57"/>
        <v>0</v>
      </c>
      <c r="GB35" s="1543">
        <f t="shared" si="57"/>
        <v>0</v>
      </c>
      <c r="GC35" s="1543">
        <f t="shared" si="57"/>
        <v>0</v>
      </c>
      <c r="GD35" s="1543">
        <f t="shared" si="57"/>
        <v>0</v>
      </c>
    </row>
    <row r="36" spans="1:186" s="982" customFormat="1" ht="15.6" x14ac:dyDescent="0.3">
      <c r="A36" s="974">
        <v>34</v>
      </c>
      <c r="B36" s="983"/>
      <c r="C36" s="984"/>
      <c r="D36" s="983"/>
      <c r="E36" s="968" t="str">
        <f>IFERROR(VLOOKUP($D36&amp;"."&amp;B36,'Piping Class'!$1:$1048576,MATCH($I36,'Piping Class'!$2:$2,0),0),"")</f>
        <v/>
      </c>
      <c r="F36" s="985" t="str">
        <f>IFERROR(IF(B36="Flange",VLOOKUP($D36,'Piping Class'!$88:$102,MATCH(F$1,'Piping Class'!$88:$88,0),0),""),"")</f>
        <v/>
      </c>
      <c r="G36" s="968" t="str">
        <f>IFERROR(IF(B36="Flange",VLOOKUP($D36,'Piping Class'!$88:$102,MATCH(G$1,'Piping Class'!$88:$88,0),0),""),"")</f>
        <v/>
      </c>
      <c r="H36" s="968"/>
      <c r="I36" s="986"/>
      <c r="J36" s="986"/>
      <c r="K36" s="968" t="str">
        <f>IFERROR(VLOOKUP(I36,'Thickness Tab'!$1:$1048576,MATCH(L36,'Thickness Tab'!$1:$1,0),0),"")</f>
        <v/>
      </c>
      <c r="L36" s="969" t="str">
        <f>IFERROR(VLOOKUP($D36,'Piping Class'!$1:$1048576,MATCH($I36,'Piping Class'!$2:$2,0),0),"")</f>
        <v/>
      </c>
      <c r="M36" s="968" t="str">
        <f>IFERROR(VLOOKUP(J36,'Thickness Tab'!$1:$1048576,MATCH(N36,'Thickness Tab'!$1:$1,0),0),"")</f>
        <v/>
      </c>
      <c r="N36" s="969" t="str">
        <f>IFERROR(VLOOKUP($D36,'Piping Class'!$1:$1048576,MATCH($J36,'Piping Class'!$2:$2,0),0),"")</f>
        <v/>
      </c>
      <c r="O36" s="968" t="str">
        <f>IFERROR(VLOOKUP($D36,'Piping Class'!$88:$102,MATCH(O$1,'Piping Class'!$88:$88,0),0),"")</f>
        <v/>
      </c>
      <c r="P36" s="968" t="str">
        <f>IFERROR(VLOOKUP($D36,'Piping Class'!$88:$102,MATCH(P$1,'Piping Class'!$88:$88,0),0),"")</f>
        <v/>
      </c>
      <c r="Q36" s="983"/>
      <c r="R36" s="988"/>
      <c r="S36" s="969" t="str">
        <f t="shared" si="58"/>
        <v/>
      </c>
      <c r="T36" s="968">
        <f>IFERROR(VLOOKUP(I36&amp;"."&amp;L36,'Fitting Chart'!$1:$1048576,MATCH(C36,'Fitting Chart'!$1:$1,0),0),0)+IF(B36="piping",PI()*K36*(VLOOKUP(I36,'Thickness Tab'!$1:$1048576,3,0)-K36)*7.86/1000,0)+IF(B36="Flange",VLOOKUP(I36&amp;"F"&amp;F36,'Flanges Chart'!$1:$1048576,MATCH(C36&amp;"."&amp;T$1,'Flanges Chart'!$1:$1,0),0),0)</f>
        <v>0</v>
      </c>
      <c r="U36" s="989">
        <f>T36*R36</f>
        <v>0</v>
      </c>
      <c r="V36" s="1003"/>
      <c r="W36" s="1001">
        <f t="shared" si="22"/>
        <v>0</v>
      </c>
      <c r="X36" s="997"/>
      <c r="Y36" s="983"/>
      <c r="Z36" s="989">
        <f>IF(B36="Piping",VLOOKUP(I36,'Thickness Tab'!$1:$1048576,3,0)/1000*PI(),0)+IFERROR(VLOOKUP(I36&amp;"F"&amp;F36,'Flanges Chart'!$1:$1048576,MATCH(C36&amp;".Unit Surface",'Flanges Chart'!$1:$1,0),0),0)+IF(B36="Fitting",VLOOKUP(I36,'Thickness Tab'!$1:$1048576,3,0)/1000*PI(),0)</f>
        <v>0</v>
      </c>
      <c r="AA36" s="989">
        <f t="shared" si="23"/>
        <v>0</v>
      </c>
      <c r="AB36" s="983">
        <v>0</v>
      </c>
      <c r="AC36" s="989">
        <f t="shared" si="24"/>
        <v>0</v>
      </c>
      <c r="AD36" s="989">
        <f t="shared" si="25"/>
        <v>0</v>
      </c>
      <c r="AE36" s="974">
        <f>(IFERROR(VLOOKUP($C36,List!$J:$L,2,0),0)*R36+IF(B36="piping",R36,0)+IF(C36="Welding Neck",1,0)*R36)*$AE$2</f>
        <v>0</v>
      </c>
      <c r="AF36" s="970">
        <f>IFERROR(VLOOKUP($C36,List!$J:$L,3,0),0)*R36*$AF$2</f>
        <v>0</v>
      </c>
      <c r="AG36" s="990">
        <f t="shared" si="65"/>
        <v>0</v>
      </c>
      <c r="AH36" s="1118" t="str">
        <f>IFERROR(VLOOKUP($D36,'Piping Class'!$88:$102,MATCH(AH$1,'Piping Class'!$88:$88,0),0),"")</f>
        <v/>
      </c>
      <c r="AI36" s="991" t="str">
        <f>IFERROR(VLOOKUP($D36,'Piping Class'!$88:$102,MATCH(AI$1,'Piping Class'!$88:$88,0),0),"")</f>
        <v/>
      </c>
      <c r="AJ36" s="991" t="str">
        <f>IFERROR(VLOOKUP($D36,'Piping Class'!$88:$102,MATCH(AJ$1,'Piping Class'!$88:$88,0),0),"")</f>
        <v/>
      </c>
      <c r="AK36" s="991" t="str">
        <f>IFERROR(VLOOKUP($D36,'Piping Class'!$88:$102,MATCH(AK$1,'Piping Class'!$88:$88,0),0),"")</f>
        <v/>
      </c>
      <c r="AL36" s="991">
        <f t="shared" si="44"/>
        <v>0</v>
      </c>
      <c r="AM36" s="1119" t="str">
        <f>IFERROR(VLOOKUP($D36,'Piping Class'!$88:$102,MATCH(AM$1,'Piping Class'!$88:$88,0),0),"")</f>
        <v/>
      </c>
      <c r="AN36" s="992">
        <f t="shared" si="26"/>
        <v>0</v>
      </c>
      <c r="AO36" s="993">
        <f>IFERROR(VLOOKUP(I36&amp;"B"&amp;F36,'Bolting Chart'!$1:$1048576,4,0),0)</f>
        <v>0</v>
      </c>
      <c r="AP36" s="993">
        <f t="shared" si="27"/>
        <v>0</v>
      </c>
      <c r="AQ36" s="993">
        <f t="shared" si="28"/>
        <v>0</v>
      </c>
      <c r="AR36" s="993">
        <f>IF(AO36=0,0,VLOOKUP(D36&amp;".bolting",'Piping Class'!$1:$1048576,MATCH(I36,'Piping Class'!$2:$2,0),0))</f>
        <v>0</v>
      </c>
      <c r="AS36" s="994">
        <f>IFERROR(VLOOKUP(I36&amp;"B"&amp;F36,'Bolting Chart'!$1:$1048576,IF(AS$2="UNC",5,6),0),0)</f>
        <v>0</v>
      </c>
      <c r="AT36" s="995">
        <f>IFERROR(VLOOKUP(I36&amp;"B"&amp;F36,'Bolting Chart'!$1:$1048576,IF(G36="RF",8,9),0),0)</f>
        <v>0</v>
      </c>
      <c r="AU36" s="993">
        <f>IF(AO36=0,0,VLOOKUP(D36&amp;".gasket",'Piping Class'!$1:$1048576,MATCH(I36,'Piping Class'!$2:$2,0),0))</f>
        <v>0</v>
      </c>
      <c r="AV36" s="996">
        <f>(IFERROR(INDEX('Bolting Chart'!$A$169:$R$251,MATCH(AT36,'Bolting Chart'!$A$170:$A$251,0),MATCH(IFERROR(VLOOKUP(I36&amp;"B"&amp;F36,'Bolting Chart'!$1:$1048576,7,0),0)+0,'Bolting Chart'!$A$169:$R$169,0)),0))/100</f>
        <v>0</v>
      </c>
      <c r="AW36" s="996">
        <f t="shared" si="66"/>
        <v>0</v>
      </c>
      <c r="AX36" s="1194">
        <f t="shared" si="67"/>
        <v>0</v>
      </c>
      <c r="AY36" s="981"/>
      <c r="AZ36" s="1543">
        <f t="shared" si="63"/>
        <v>0</v>
      </c>
      <c r="BA36" s="1543">
        <f t="shared" si="60"/>
        <v>0</v>
      </c>
      <c r="BB36" s="1543">
        <f t="shared" si="60"/>
        <v>0</v>
      </c>
      <c r="BC36" s="1543">
        <f t="shared" si="60"/>
        <v>0</v>
      </c>
      <c r="BD36" s="1543">
        <f t="shared" si="60"/>
        <v>0</v>
      </c>
      <c r="BE36" s="1543">
        <f t="shared" si="60"/>
        <v>0</v>
      </c>
      <c r="BF36" s="1543">
        <f t="shared" si="60"/>
        <v>0</v>
      </c>
      <c r="BG36" s="1543">
        <f t="shared" si="60"/>
        <v>0</v>
      </c>
      <c r="BH36" s="1543">
        <f t="shared" si="60"/>
        <v>0</v>
      </c>
      <c r="BI36" s="1543">
        <f t="shared" si="60"/>
        <v>0</v>
      </c>
      <c r="BJ36" s="1543">
        <f t="shared" si="60"/>
        <v>0</v>
      </c>
      <c r="BK36" s="1543">
        <f t="shared" si="60"/>
        <v>0</v>
      </c>
      <c r="BL36" s="1543">
        <f t="shared" si="60"/>
        <v>0</v>
      </c>
      <c r="BM36" s="1543">
        <f t="shared" si="60"/>
        <v>0</v>
      </c>
      <c r="BN36" s="1543">
        <f t="shared" si="60"/>
        <v>0</v>
      </c>
      <c r="BO36" s="1543">
        <f t="shared" si="60"/>
        <v>0</v>
      </c>
      <c r="BP36" s="1543">
        <f t="shared" si="60"/>
        <v>0</v>
      </c>
      <c r="BQ36" s="1543">
        <f t="shared" si="61"/>
        <v>0</v>
      </c>
      <c r="BR36" s="1543">
        <f t="shared" si="61"/>
        <v>0</v>
      </c>
      <c r="BS36" s="1543">
        <f t="shared" si="61"/>
        <v>0</v>
      </c>
      <c r="BT36" s="1543">
        <f t="shared" si="61"/>
        <v>0</v>
      </c>
      <c r="BU36" s="1543">
        <f t="shared" si="61"/>
        <v>0</v>
      </c>
      <c r="BV36" s="1543">
        <f t="shared" si="61"/>
        <v>0</v>
      </c>
      <c r="BW36" s="1543">
        <f t="shared" si="61"/>
        <v>0</v>
      </c>
      <c r="BX36" s="1543">
        <f t="shared" si="61"/>
        <v>0</v>
      </c>
      <c r="BY36" s="1543">
        <f t="shared" si="61"/>
        <v>0</v>
      </c>
      <c r="BZ36" s="1543">
        <f t="shared" si="61"/>
        <v>0</v>
      </c>
      <c r="CB36" s="1543">
        <f t="shared" si="64"/>
        <v>0</v>
      </c>
      <c r="CC36" s="1543">
        <f t="shared" si="62"/>
        <v>0</v>
      </c>
      <c r="CD36" s="1543">
        <f t="shared" si="62"/>
        <v>0</v>
      </c>
      <c r="CE36" s="1543">
        <f t="shared" si="62"/>
        <v>0</v>
      </c>
      <c r="CF36" s="1543">
        <f t="shared" si="62"/>
        <v>0</v>
      </c>
      <c r="CG36" s="1543">
        <f t="shared" si="62"/>
        <v>0</v>
      </c>
      <c r="CH36" s="1543">
        <f t="shared" si="62"/>
        <v>0</v>
      </c>
      <c r="CI36" s="1543">
        <f t="shared" si="62"/>
        <v>0</v>
      </c>
      <c r="CJ36" s="1543">
        <f t="shared" si="62"/>
        <v>0</v>
      </c>
      <c r="CK36" s="1543">
        <f t="shared" si="62"/>
        <v>0</v>
      </c>
      <c r="CL36" s="1543">
        <f t="shared" si="62"/>
        <v>0</v>
      </c>
      <c r="CM36" s="1543">
        <f t="shared" si="62"/>
        <v>0</v>
      </c>
      <c r="CN36" s="1543">
        <f t="shared" si="62"/>
        <v>0</v>
      </c>
      <c r="CO36" s="1543">
        <f t="shared" si="62"/>
        <v>0</v>
      </c>
      <c r="CP36" s="1543">
        <f t="shared" si="62"/>
        <v>0</v>
      </c>
      <c r="CQ36" s="1543">
        <f t="shared" si="62"/>
        <v>0</v>
      </c>
      <c r="CR36" s="1543">
        <f t="shared" si="62"/>
        <v>0</v>
      </c>
      <c r="CS36" s="1543">
        <f t="shared" si="46"/>
        <v>0</v>
      </c>
      <c r="CT36" s="1543">
        <f t="shared" si="47"/>
        <v>0</v>
      </c>
      <c r="CU36" s="1543">
        <f t="shared" si="47"/>
        <v>0</v>
      </c>
      <c r="CV36" s="1543">
        <f t="shared" si="47"/>
        <v>0</v>
      </c>
      <c r="CW36" s="1543">
        <f t="shared" si="47"/>
        <v>0</v>
      </c>
      <c r="CX36" s="1543">
        <f t="shared" si="47"/>
        <v>0</v>
      </c>
      <c r="CY36" s="1543">
        <f t="shared" si="47"/>
        <v>0</v>
      </c>
      <c r="CZ36" s="1543">
        <f t="shared" si="47"/>
        <v>0</v>
      </c>
      <c r="DA36" s="1543">
        <f t="shared" si="47"/>
        <v>0</v>
      </c>
      <c r="DB36" s="1543">
        <f t="shared" si="47"/>
        <v>0</v>
      </c>
      <c r="DD36" s="1543">
        <f t="shared" si="68"/>
        <v>0</v>
      </c>
      <c r="DE36" s="1543">
        <f t="shared" si="69"/>
        <v>0</v>
      </c>
      <c r="DF36" s="1543">
        <f t="shared" si="70"/>
        <v>0</v>
      </c>
      <c r="DG36" s="1543">
        <f t="shared" si="31"/>
        <v>0</v>
      </c>
      <c r="DI36" s="1543">
        <f t="shared" si="32"/>
        <v>0</v>
      </c>
      <c r="DJ36" s="1543">
        <f t="shared" ref="DJ36:DM84" si="74">IF($H36=DJ$2,1,0)</f>
        <v>0</v>
      </c>
      <c r="DK36" s="1543">
        <f t="shared" si="74"/>
        <v>0</v>
      </c>
      <c r="DL36" s="1543">
        <f t="shared" si="74"/>
        <v>0</v>
      </c>
      <c r="DM36" s="1543">
        <f t="shared" si="74"/>
        <v>0</v>
      </c>
      <c r="DO36" s="1543">
        <f t="shared" ref="DO36:ED43" si="75">IF($L36=DO$2,1,0)</f>
        <v>0</v>
      </c>
      <c r="DP36" s="1543">
        <f t="shared" si="75"/>
        <v>0</v>
      </c>
      <c r="DQ36" s="1543">
        <f t="shared" si="75"/>
        <v>0</v>
      </c>
      <c r="DR36" s="1543">
        <f t="shared" si="75"/>
        <v>0</v>
      </c>
      <c r="DS36" s="1543">
        <f t="shared" si="75"/>
        <v>0</v>
      </c>
      <c r="DT36" s="1543">
        <f t="shared" si="75"/>
        <v>0</v>
      </c>
      <c r="DU36" s="1543">
        <f t="shared" si="75"/>
        <v>0</v>
      </c>
      <c r="DV36" s="1543">
        <f t="shared" si="75"/>
        <v>0</v>
      </c>
      <c r="DW36" s="1543">
        <f t="shared" si="75"/>
        <v>0</v>
      </c>
      <c r="DX36" s="1543">
        <f t="shared" si="75"/>
        <v>0</v>
      </c>
      <c r="DY36" s="1543">
        <f t="shared" si="75"/>
        <v>0</v>
      </c>
      <c r="DZ36" s="1543">
        <f t="shared" si="75"/>
        <v>0</v>
      </c>
      <c r="EA36" s="1543">
        <f t="shared" si="75"/>
        <v>0</v>
      </c>
      <c r="EB36" s="1543">
        <f t="shared" si="75"/>
        <v>0</v>
      </c>
      <c r="EC36" s="1543">
        <f t="shared" si="75"/>
        <v>0</v>
      </c>
      <c r="ED36" s="1543">
        <f t="shared" si="75"/>
        <v>0</v>
      </c>
      <c r="EE36" s="1543">
        <f t="shared" si="71"/>
        <v>0</v>
      </c>
      <c r="EF36" s="1543">
        <f t="shared" si="71"/>
        <v>0</v>
      </c>
      <c r="EH36" s="1543">
        <f t="shared" si="33"/>
        <v>0</v>
      </c>
      <c r="EI36" s="1543">
        <f t="shared" si="34"/>
        <v>0</v>
      </c>
      <c r="EJ36" s="1543">
        <f t="shared" si="35"/>
        <v>0</v>
      </c>
      <c r="EK36" s="1543">
        <f t="shared" si="36"/>
        <v>0</v>
      </c>
      <c r="EL36" s="1543">
        <f t="shared" si="37"/>
        <v>0</v>
      </c>
      <c r="EM36" s="1543">
        <f t="shared" si="38"/>
        <v>0</v>
      </c>
      <c r="EN36" s="1543">
        <f t="shared" si="39"/>
        <v>0</v>
      </c>
      <c r="EP36" s="1543">
        <f t="shared" si="72"/>
        <v>0</v>
      </c>
      <c r="EQ36" s="1543">
        <f t="shared" si="72"/>
        <v>0</v>
      </c>
      <c r="ER36" s="1543">
        <f t="shared" si="72"/>
        <v>0</v>
      </c>
      <c r="ES36" s="1543">
        <f t="shared" si="72"/>
        <v>0</v>
      </c>
      <c r="ET36" s="1543">
        <f t="shared" si="73"/>
        <v>0</v>
      </c>
      <c r="EU36" s="1543">
        <f t="shared" si="73"/>
        <v>0</v>
      </c>
      <c r="EV36" s="1543">
        <f t="shared" si="73"/>
        <v>0</v>
      </c>
      <c r="EW36" s="1543">
        <f t="shared" si="73"/>
        <v>0</v>
      </c>
      <c r="EX36" s="1543">
        <f t="shared" si="73"/>
        <v>0</v>
      </c>
      <c r="EY36" s="1543">
        <f t="shared" si="73"/>
        <v>0</v>
      </c>
      <c r="EZ36" s="1543">
        <f t="shared" si="73"/>
        <v>0</v>
      </c>
      <c r="FA36" s="1543">
        <f t="shared" si="73"/>
        <v>0</v>
      </c>
      <c r="FB36" s="1543">
        <f t="shared" si="73"/>
        <v>0</v>
      </c>
      <c r="FC36" s="1543">
        <f t="shared" si="73"/>
        <v>0</v>
      </c>
      <c r="FD36" s="1543">
        <f t="shared" si="73"/>
        <v>0</v>
      </c>
      <c r="FE36" s="1543">
        <f t="shared" si="52"/>
        <v>0</v>
      </c>
      <c r="FF36" s="1543">
        <f t="shared" si="40"/>
        <v>1</v>
      </c>
      <c r="FH36" s="1543">
        <f t="shared" ref="FH36:FS51" si="76">IF($FT36=1,0,IF(FH$2=$Y36,1,0))</f>
        <v>0</v>
      </c>
      <c r="FI36" s="1543">
        <f t="shared" si="76"/>
        <v>0</v>
      </c>
      <c r="FJ36" s="1543">
        <f t="shared" si="76"/>
        <v>0</v>
      </c>
      <c r="FK36" s="1543">
        <f t="shared" si="76"/>
        <v>0</v>
      </c>
      <c r="FL36" s="1543">
        <f t="shared" si="76"/>
        <v>0</v>
      </c>
      <c r="FM36" s="1543">
        <f t="shared" si="76"/>
        <v>0</v>
      </c>
      <c r="FN36" s="1543">
        <f t="shared" si="76"/>
        <v>0</v>
      </c>
      <c r="FO36" s="1543">
        <f t="shared" si="76"/>
        <v>0</v>
      </c>
      <c r="FP36" s="1543">
        <f t="shared" si="76"/>
        <v>0</v>
      </c>
      <c r="FQ36" s="1543">
        <f t="shared" si="76"/>
        <v>0</v>
      </c>
      <c r="FR36" s="1543">
        <f t="shared" si="76"/>
        <v>0</v>
      </c>
      <c r="FS36" s="1543">
        <f t="shared" si="76"/>
        <v>0</v>
      </c>
      <c r="FT36" s="1543">
        <f t="shared" si="41"/>
        <v>0</v>
      </c>
      <c r="FV36" s="1543">
        <f t="shared" ref="FV36:GD51" si="77">IF($AB36=FV$2,1,0)</f>
        <v>1</v>
      </c>
      <c r="FW36" s="1543">
        <f t="shared" si="77"/>
        <v>0</v>
      </c>
      <c r="FX36" s="1543">
        <f t="shared" si="77"/>
        <v>0</v>
      </c>
      <c r="FY36" s="1543">
        <f t="shared" si="77"/>
        <v>0</v>
      </c>
      <c r="FZ36" s="1543">
        <f t="shared" si="77"/>
        <v>0</v>
      </c>
      <c r="GA36" s="1543">
        <f t="shared" si="77"/>
        <v>0</v>
      </c>
      <c r="GB36" s="1543">
        <f t="shared" si="77"/>
        <v>0</v>
      </c>
      <c r="GC36" s="1543">
        <f t="shared" si="77"/>
        <v>0</v>
      </c>
      <c r="GD36" s="1543">
        <f t="shared" si="77"/>
        <v>0</v>
      </c>
    </row>
    <row r="37" spans="1:186" s="982" customFormat="1" ht="15.6" x14ac:dyDescent="0.3">
      <c r="A37" s="974">
        <v>35</v>
      </c>
      <c r="B37" s="983"/>
      <c r="C37" s="984"/>
      <c r="D37" s="983"/>
      <c r="E37" s="968" t="str">
        <f>IFERROR(VLOOKUP($D37&amp;"."&amp;B37,'Piping Class'!$1:$1048576,MATCH($I37,'Piping Class'!$2:$2,0),0),"")</f>
        <v/>
      </c>
      <c r="F37" s="985" t="str">
        <f>IFERROR(IF(B37="Flange",VLOOKUP($D37,'Piping Class'!$88:$102,MATCH(F$1,'Piping Class'!$88:$88,0),0),""),"")</f>
        <v/>
      </c>
      <c r="G37" s="968" t="str">
        <f>IFERROR(IF(B37="Flange",VLOOKUP($D37,'Piping Class'!$88:$102,MATCH(G$1,'Piping Class'!$88:$88,0),0),""),"")</f>
        <v/>
      </c>
      <c r="H37" s="968"/>
      <c r="I37" s="986"/>
      <c r="J37" s="987"/>
      <c r="K37" s="968" t="str">
        <f>IFERROR(VLOOKUP(I37,'Thickness Tab'!$1:$1048576,MATCH(L37,'Thickness Tab'!$1:$1,0),0),"")</f>
        <v/>
      </c>
      <c r="L37" s="969" t="str">
        <f>IFERROR(VLOOKUP($D37,'Piping Class'!$1:$1048576,MATCH($I37,'Piping Class'!$2:$2,0),0),"")</f>
        <v/>
      </c>
      <c r="M37" s="968" t="str">
        <f>IFERROR(VLOOKUP(J37,'Thickness Tab'!$1:$1048576,MATCH(N37,'Thickness Tab'!$1:$1,0),0),"")</f>
        <v/>
      </c>
      <c r="N37" s="969" t="str">
        <f>IFERROR(VLOOKUP($D37,'Piping Class'!$1:$1048576,MATCH($J37,'Piping Class'!$2:$2,0),0),"")</f>
        <v/>
      </c>
      <c r="O37" s="968" t="str">
        <f>IFERROR(VLOOKUP($D37,'Piping Class'!$88:$102,MATCH(O$1,'Piping Class'!$88:$88,0),0),"")</f>
        <v/>
      </c>
      <c r="P37" s="968" t="str">
        <f>IFERROR(VLOOKUP($D37,'Piping Class'!$88:$102,MATCH(P$1,'Piping Class'!$88:$88,0),0),"")</f>
        <v/>
      </c>
      <c r="Q37" s="983"/>
      <c r="R37" s="988"/>
      <c r="S37" s="969" t="str">
        <f t="shared" si="58"/>
        <v/>
      </c>
      <c r="T37" s="968">
        <f>IFERROR(VLOOKUP(I37&amp;"."&amp;L37,'Fitting Chart'!$1:$1048576,MATCH(C37,'Fitting Chart'!$1:$1,0),0),0)+IF(B37="piping",PI()*K37*(VLOOKUP(I37,'Thickness Tab'!$1:$1048576,3,0)-K37)*7.86/1000,0)+IF(B37="Flange",VLOOKUP(I37&amp;"F"&amp;F37,'Flanges Chart'!$1:$1048576,MATCH(C37&amp;"."&amp;T$1,'Flanges Chart'!$1:$1,0),0),0)</f>
        <v>0</v>
      </c>
      <c r="U37" s="989">
        <f>T37*R37</f>
        <v>0</v>
      </c>
      <c r="V37" s="1003"/>
      <c r="W37" s="1001">
        <f t="shared" si="22"/>
        <v>0</v>
      </c>
      <c r="X37" s="997"/>
      <c r="Y37" s="983"/>
      <c r="Z37" s="989">
        <f>IF(B37="Piping",VLOOKUP(I37,'Thickness Tab'!$1:$1048576,3,0)/1000*PI(),0)+IFERROR(VLOOKUP(I37&amp;"F"&amp;F37,'Flanges Chart'!$1:$1048576,MATCH(C37&amp;".Unit Surface",'Flanges Chart'!$1:$1,0),0),0)+IF(B37="Fitting",VLOOKUP(I37,'Thickness Tab'!$1:$1048576,3,0)/1000*PI(),0)</f>
        <v>0</v>
      </c>
      <c r="AA37" s="989">
        <f t="shared" si="23"/>
        <v>0</v>
      </c>
      <c r="AB37" s="983">
        <v>0</v>
      </c>
      <c r="AC37" s="989">
        <f t="shared" si="24"/>
        <v>0</v>
      </c>
      <c r="AD37" s="989">
        <f t="shared" si="25"/>
        <v>0</v>
      </c>
      <c r="AE37" s="974">
        <f>(IFERROR(VLOOKUP($C37,List!$J:$L,2,0),0)*R37+IF(B37="piping",R37,0)+IF(C37="Welding Neck",1,0)*R37)*$AE$2</f>
        <v>0</v>
      </c>
      <c r="AF37" s="970">
        <f>IFERROR(VLOOKUP($C37,List!$J:$L,3,0),0)*R37*$AF$2</f>
        <v>0</v>
      </c>
      <c r="AG37" s="990">
        <f t="shared" si="65"/>
        <v>0</v>
      </c>
      <c r="AH37" s="1118" t="str">
        <f>IFERROR(VLOOKUP($D37,'Piping Class'!$88:$102,MATCH(AH$1,'Piping Class'!$88:$88,0),0),"")</f>
        <v/>
      </c>
      <c r="AI37" s="991" t="str">
        <f>IFERROR(VLOOKUP($D37,'Piping Class'!$88:$102,MATCH(AI$1,'Piping Class'!$88:$88,0),0),"")</f>
        <v/>
      </c>
      <c r="AJ37" s="991" t="str">
        <f>IFERROR(VLOOKUP($D37,'Piping Class'!$88:$102,MATCH(AJ$1,'Piping Class'!$88:$88,0),0),"")</f>
        <v/>
      </c>
      <c r="AK37" s="991" t="str">
        <f>IFERROR(VLOOKUP($D37,'Piping Class'!$88:$102,MATCH(AK$1,'Piping Class'!$88:$88,0),0),"")</f>
        <v/>
      </c>
      <c r="AL37" s="991">
        <f t="shared" si="44"/>
        <v>0</v>
      </c>
      <c r="AM37" s="1119" t="str">
        <f>IFERROR(VLOOKUP($D37,'Piping Class'!$88:$102,MATCH(AM$1,'Piping Class'!$88:$88,0),0),"")</f>
        <v/>
      </c>
      <c r="AN37" s="992">
        <f t="shared" si="26"/>
        <v>0</v>
      </c>
      <c r="AO37" s="993">
        <f>IFERROR(VLOOKUP(I37&amp;"B"&amp;F37,'Bolting Chart'!$1:$1048576,4,0),0)</f>
        <v>0</v>
      </c>
      <c r="AP37" s="993">
        <f t="shared" si="27"/>
        <v>0</v>
      </c>
      <c r="AQ37" s="993">
        <f t="shared" si="28"/>
        <v>0</v>
      </c>
      <c r="AR37" s="993">
        <f>IF(AO37=0,0,VLOOKUP(D37&amp;".bolting",'Piping Class'!$1:$1048576,MATCH(I37,'Piping Class'!$2:$2,0),0))</f>
        <v>0</v>
      </c>
      <c r="AS37" s="994">
        <f>IFERROR(VLOOKUP(I37&amp;"B"&amp;F37,'Bolting Chart'!$1:$1048576,IF(AS$2="UNC",5,6),0),0)</f>
        <v>0</v>
      </c>
      <c r="AT37" s="995">
        <f>IFERROR(VLOOKUP(I37&amp;"B"&amp;F37,'Bolting Chart'!$1:$1048576,IF(G37="RF",8,9),0),0)</f>
        <v>0</v>
      </c>
      <c r="AU37" s="993">
        <f>IF(AO37=0,0,VLOOKUP(D37&amp;".gasket",'Piping Class'!$1:$1048576,MATCH(I37,'Piping Class'!$2:$2,0),0))</f>
        <v>0</v>
      </c>
      <c r="AV37" s="996">
        <f>(IFERROR(INDEX('Bolting Chart'!$A$169:$R$251,MATCH(AT37,'Bolting Chart'!$A$170:$A$251,0),MATCH(IFERROR(VLOOKUP(I37&amp;"B"&amp;F37,'Bolting Chart'!$1:$1048576,7,0),0)+0,'Bolting Chart'!$A$169:$R$169,0)),0))/100</f>
        <v>0</v>
      </c>
      <c r="AW37" s="996">
        <f t="shared" si="66"/>
        <v>0</v>
      </c>
      <c r="AX37" s="1194">
        <f t="shared" si="67"/>
        <v>0</v>
      </c>
      <c r="AY37" s="981"/>
      <c r="AZ37" s="1543">
        <f t="shared" si="63"/>
        <v>0</v>
      </c>
      <c r="BA37" s="1543">
        <f t="shared" si="60"/>
        <v>0</v>
      </c>
      <c r="BB37" s="1543">
        <f t="shared" si="60"/>
        <v>0</v>
      </c>
      <c r="BC37" s="1543">
        <f t="shared" si="60"/>
        <v>0</v>
      </c>
      <c r="BD37" s="1543">
        <f t="shared" si="60"/>
        <v>0</v>
      </c>
      <c r="BE37" s="1543">
        <f t="shared" si="60"/>
        <v>0</v>
      </c>
      <c r="BF37" s="1543">
        <f t="shared" si="60"/>
        <v>0</v>
      </c>
      <c r="BG37" s="1543">
        <f t="shared" si="60"/>
        <v>0</v>
      </c>
      <c r="BH37" s="1543">
        <f t="shared" si="60"/>
        <v>0</v>
      </c>
      <c r="BI37" s="1543">
        <f t="shared" si="60"/>
        <v>0</v>
      </c>
      <c r="BJ37" s="1543">
        <f t="shared" si="60"/>
        <v>0</v>
      </c>
      <c r="BK37" s="1543">
        <f t="shared" si="60"/>
        <v>0</v>
      </c>
      <c r="BL37" s="1543">
        <f t="shared" si="60"/>
        <v>0</v>
      </c>
      <c r="BM37" s="1543">
        <f t="shared" si="60"/>
        <v>0</v>
      </c>
      <c r="BN37" s="1543">
        <f t="shared" si="60"/>
        <v>0</v>
      </c>
      <c r="BO37" s="1543">
        <f t="shared" si="60"/>
        <v>0</v>
      </c>
      <c r="BP37" s="1543">
        <f t="shared" si="60"/>
        <v>0</v>
      </c>
      <c r="BQ37" s="1543">
        <f t="shared" si="61"/>
        <v>0</v>
      </c>
      <c r="BR37" s="1543">
        <f t="shared" si="61"/>
        <v>0</v>
      </c>
      <c r="BS37" s="1543">
        <f t="shared" si="61"/>
        <v>0</v>
      </c>
      <c r="BT37" s="1543">
        <f t="shared" si="61"/>
        <v>0</v>
      </c>
      <c r="BU37" s="1543">
        <f t="shared" si="61"/>
        <v>0</v>
      </c>
      <c r="BV37" s="1543">
        <f t="shared" si="61"/>
        <v>0</v>
      </c>
      <c r="BW37" s="1543">
        <f t="shared" si="61"/>
        <v>0</v>
      </c>
      <c r="BX37" s="1543">
        <f t="shared" si="61"/>
        <v>0</v>
      </c>
      <c r="BY37" s="1543">
        <f t="shared" si="61"/>
        <v>0</v>
      </c>
      <c r="BZ37" s="1543">
        <f t="shared" si="61"/>
        <v>0</v>
      </c>
      <c r="CB37" s="1543">
        <f t="shared" si="64"/>
        <v>0</v>
      </c>
      <c r="CC37" s="1543">
        <f t="shared" si="62"/>
        <v>0</v>
      </c>
      <c r="CD37" s="1543">
        <f t="shared" si="62"/>
        <v>0</v>
      </c>
      <c r="CE37" s="1543">
        <f t="shared" si="62"/>
        <v>0</v>
      </c>
      <c r="CF37" s="1543">
        <f t="shared" si="62"/>
        <v>0</v>
      </c>
      <c r="CG37" s="1543">
        <f t="shared" si="62"/>
        <v>0</v>
      </c>
      <c r="CH37" s="1543">
        <f t="shared" si="62"/>
        <v>0</v>
      </c>
      <c r="CI37" s="1543">
        <f t="shared" si="62"/>
        <v>0</v>
      </c>
      <c r="CJ37" s="1543">
        <f t="shared" si="62"/>
        <v>0</v>
      </c>
      <c r="CK37" s="1543">
        <f t="shared" si="62"/>
        <v>0</v>
      </c>
      <c r="CL37" s="1543">
        <f t="shared" si="62"/>
        <v>0</v>
      </c>
      <c r="CM37" s="1543">
        <f t="shared" si="62"/>
        <v>0</v>
      </c>
      <c r="CN37" s="1543">
        <f t="shared" si="62"/>
        <v>0</v>
      </c>
      <c r="CO37" s="1543">
        <f t="shared" si="62"/>
        <v>0</v>
      </c>
      <c r="CP37" s="1543">
        <f t="shared" si="62"/>
        <v>0</v>
      </c>
      <c r="CQ37" s="1543">
        <f t="shared" si="62"/>
        <v>0</v>
      </c>
      <c r="CR37" s="1543">
        <f t="shared" si="62"/>
        <v>0</v>
      </c>
      <c r="CS37" s="1543">
        <f t="shared" si="46"/>
        <v>0</v>
      </c>
      <c r="CT37" s="1543">
        <f t="shared" si="47"/>
        <v>0</v>
      </c>
      <c r="CU37" s="1543">
        <f t="shared" si="47"/>
        <v>0</v>
      </c>
      <c r="CV37" s="1543">
        <f t="shared" si="47"/>
        <v>0</v>
      </c>
      <c r="CW37" s="1543">
        <f t="shared" si="47"/>
        <v>0</v>
      </c>
      <c r="CX37" s="1543">
        <f t="shared" si="47"/>
        <v>0</v>
      </c>
      <c r="CY37" s="1543">
        <f t="shared" si="47"/>
        <v>0</v>
      </c>
      <c r="CZ37" s="1543">
        <f t="shared" si="47"/>
        <v>0</v>
      </c>
      <c r="DA37" s="1543">
        <f t="shared" si="47"/>
        <v>0</v>
      </c>
      <c r="DB37" s="1543">
        <f t="shared" si="47"/>
        <v>0</v>
      </c>
      <c r="DD37" s="1543">
        <f t="shared" si="68"/>
        <v>0</v>
      </c>
      <c r="DE37" s="1543">
        <f t="shared" si="69"/>
        <v>0</v>
      </c>
      <c r="DF37" s="1543">
        <f t="shared" si="70"/>
        <v>0</v>
      </c>
      <c r="DG37" s="1543">
        <f t="shared" si="31"/>
        <v>0</v>
      </c>
      <c r="DI37" s="1543">
        <f t="shared" si="32"/>
        <v>0</v>
      </c>
      <c r="DJ37" s="1543">
        <f t="shared" si="74"/>
        <v>0</v>
      </c>
      <c r="DK37" s="1543">
        <f t="shared" si="74"/>
        <v>0</v>
      </c>
      <c r="DL37" s="1543">
        <f t="shared" si="74"/>
        <v>0</v>
      </c>
      <c r="DM37" s="1543">
        <f t="shared" si="74"/>
        <v>0</v>
      </c>
      <c r="DO37" s="1543">
        <f t="shared" si="75"/>
        <v>0</v>
      </c>
      <c r="DP37" s="1543">
        <f t="shared" si="75"/>
        <v>0</v>
      </c>
      <c r="DQ37" s="1543">
        <f t="shared" si="75"/>
        <v>0</v>
      </c>
      <c r="DR37" s="1543">
        <f t="shared" si="75"/>
        <v>0</v>
      </c>
      <c r="DS37" s="1543">
        <f t="shared" si="75"/>
        <v>0</v>
      </c>
      <c r="DT37" s="1543">
        <f t="shared" si="75"/>
        <v>0</v>
      </c>
      <c r="DU37" s="1543">
        <f t="shared" si="75"/>
        <v>0</v>
      </c>
      <c r="DV37" s="1543">
        <f t="shared" si="75"/>
        <v>0</v>
      </c>
      <c r="DW37" s="1543">
        <f t="shared" si="75"/>
        <v>0</v>
      </c>
      <c r="DX37" s="1543">
        <f t="shared" si="75"/>
        <v>0</v>
      </c>
      <c r="DY37" s="1543">
        <f t="shared" si="75"/>
        <v>0</v>
      </c>
      <c r="DZ37" s="1543">
        <f t="shared" si="75"/>
        <v>0</v>
      </c>
      <c r="EA37" s="1543">
        <f t="shared" si="75"/>
        <v>0</v>
      </c>
      <c r="EB37" s="1543">
        <f t="shared" si="71"/>
        <v>0</v>
      </c>
      <c r="EC37" s="1543">
        <f t="shared" si="71"/>
        <v>0</v>
      </c>
      <c r="ED37" s="1543">
        <f t="shared" si="71"/>
        <v>0</v>
      </c>
      <c r="EE37" s="1543">
        <f t="shared" si="71"/>
        <v>0</v>
      </c>
      <c r="EF37" s="1543">
        <f t="shared" si="71"/>
        <v>0</v>
      </c>
      <c r="EH37" s="1543">
        <f t="shared" si="33"/>
        <v>0</v>
      </c>
      <c r="EI37" s="1543">
        <f t="shared" si="34"/>
        <v>0</v>
      </c>
      <c r="EJ37" s="1543">
        <f t="shared" si="35"/>
        <v>0</v>
      </c>
      <c r="EK37" s="1543">
        <f t="shared" si="36"/>
        <v>0</v>
      </c>
      <c r="EL37" s="1543">
        <f t="shared" si="37"/>
        <v>0</v>
      </c>
      <c r="EM37" s="1543">
        <f t="shared" si="38"/>
        <v>0</v>
      </c>
      <c r="EN37" s="1543">
        <f t="shared" si="39"/>
        <v>0</v>
      </c>
      <c r="EP37" s="1543">
        <f t="shared" si="72"/>
        <v>0</v>
      </c>
      <c r="EQ37" s="1543">
        <f t="shared" si="72"/>
        <v>0</v>
      </c>
      <c r="ER37" s="1543">
        <f t="shared" si="72"/>
        <v>0</v>
      </c>
      <c r="ES37" s="1543">
        <f t="shared" si="72"/>
        <v>0</v>
      </c>
      <c r="ET37" s="1543">
        <f t="shared" si="73"/>
        <v>0</v>
      </c>
      <c r="EU37" s="1543">
        <f t="shared" si="73"/>
        <v>0</v>
      </c>
      <c r="EV37" s="1543">
        <f t="shared" si="73"/>
        <v>0</v>
      </c>
      <c r="EW37" s="1543">
        <f t="shared" si="73"/>
        <v>0</v>
      </c>
      <c r="EX37" s="1543">
        <f t="shared" si="73"/>
        <v>0</v>
      </c>
      <c r="EY37" s="1543">
        <f t="shared" si="73"/>
        <v>0</v>
      </c>
      <c r="EZ37" s="1543">
        <f t="shared" si="73"/>
        <v>0</v>
      </c>
      <c r="FA37" s="1543">
        <f t="shared" si="73"/>
        <v>0</v>
      </c>
      <c r="FB37" s="1543">
        <f t="shared" si="73"/>
        <v>0</v>
      </c>
      <c r="FC37" s="1543">
        <f t="shared" si="73"/>
        <v>0</v>
      </c>
      <c r="FD37" s="1543">
        <f t="shared" si="73"/>
        <v>0</v>
      </c>
      <c r="FE37" s="1543">
        <f t="shared" si="52"/>
        <v>0</v>
      </c>
      <c r="FF37" s="1543">
        <f t="shared" si="40"/>
        <v>1</v>
      </c>
      <c r="FH37" s="1543">
        <f t="shared" si="76"/>
        <v>0</v>
      </c>
      <c r="FI37" s="1543">
        <f t="shared" si="76"/>
        <v>0</v>
      </c>
      <c r="FJ37" s="1543">
        <f t="shared" si="76"/>
        <v>0</v>
      </c>
      <c r="FK37" s="1543">
        <f t="shared" si="76"/>
        <v>0</v>
      </c>
      <c r="FL37" s="1543">
        <f t="shared" si="76"/>
        <v>0</v>
      </c>
      <c r="FM37" s="1543">
        <f t="shared" si="76"/>
        <v>0</v>
      </c>
      <c r="FN37" s="1543">
        <f t="shared" si="76"/>
        <v>0</v>
      </c>
      <c r="FO37" s="1543">
        <f t="shared" si="76"/>
        <v>0</v>
      </c>
      <c r="FP37" s="1543">
        <f t="shared" si="76"/>
        <v>0</v>
      </c>
      <c r="FQ37" s="1543">
        <f t="shared" si="76"/>
        <v>0</v>
      </c>
      <c r="FR37" s="1543">
        <f t="shared" si="76"/>
        <v>0</v>
      </c>
      <c r="FS37" s="1543">
        <f t="shared" si="76"/>
        <v>0</v>
      </c>
      <c r="FT37" s="1543">
        <f t="shared" si="41"/>
        <v>0</v>
      </c>
      <c r="FV37" s="1543">
        <f t="shared" si="77"/>
        <v>1</v>
      </c>
      <c r="FW37" s="1543">
        <f t="shared" si="77"/>
        <v>0</v>
      </c>
      <c r="FX37" s="1543">
        <f t="shared" si="77"/>
        <v>0</v>
      </c>
      <c r="FY37" s="1543">
        <f t="shared" si="77"/>
        <v>0</v>
      </c>
      <c r="FZ37" s="1543">
        <f t="shared" si="77"/>
        <v>0</v>
      </c>
      <c r="GA37" s="1543">
        <f t="shared" si="77"/>
        <v>0</v>
      </c>
      <c r="GB37" s="1543">
        <f t="shared" si="77"/>
        <v>0</v>
      </c>
      <c r="GC37" s="1543">
        <f t="shared" si="77"/>
        <v>0</v>
      </c>
      <c r="GD37" s="1543">
        <f t="shared" si="77"/>
        <v>0</v>
      </c>
    </row>
    <row r="38" spans="1:186" s="982" customFormat="1" ht="15.6" x14ac:dyDescent="0.3">
      <c r="A38" s="974">
        <v>36</v>
      </c>
      <c r="B38" s="983"/>
      <c r="C38" s="984"/>
      <c r="D38" s="983"/>
      <c r="E38" s="968" t="str">
        <f>IFERROR(VLOOKUP($D38&amp;"."&amp;B38,'Piping Class'!$1:$1048576,MATCH($I38,'Piping Class'!$2:$2,0),0),"")</f>
        <v/>
      </c>
      <c r="F38" s="985" t="str">
        <f>IFERROR(IF(B38="Flange",VLOOKUP($D38,'Piping Class'!$88:$102,MATCH(F$1,'Piping Class'!$88:$88,0),0),""),"")</f>
        <v/>
      </c>
      <c r="G38" s="968" t="str">
        <f>IFERROR(IF(B38="Flange",VLOOKUP($D38,'Piping Class'!$88:$102,MATCH(G$1,'Piping Class'!$88:$88,0),0),""),"")</f>
        <v/>
      </c>
      <c r="H38" s="968"/>
      <c r="I38" s="986"/>
      <c r="J38" s="987"/>
      <c r="K38" s="968" t="str">
        <f>IFERROR(VLOOKUP(I38,'Thickness Tab'!$1:$1048576,MATCH(L38,'Thickness Tab'!$1:$1,0),0),"")</f>
        <v/>
      </c>
      <c r="L38" s="969" t="str">
        <f>IFERROR(VLOOKUP($D38,'Piping Class'!$1:$1048576,MATCH($I38,'Piping Class'!$2:$2,0),0),"")</f>
        <v/>
      </c>
      <c r="M38" s="968" t="str">
        <f>IFERROR(VLOOKUP(J38,'Thickness Tab'!$1:$1048576,MATCH(N38,'Thickness Tab'!$1:$1,0),0),"")</f>
        <v/>
      </c>
      <c r="N38" s="969" t="str">
        <f>IFERROR(VLOOKUP($D38,'Piping Class'!$1:$1048576,MATCH($J38,'Piping Class'!$2:$2,0),0),"")</f>
        <v/>
      </c>
      <c r="O38" s="968" t="str">
        <f>IFERROR(VLOOKUP($D38,'Piping Class'!$88:$102,MATCH(O$1,'Piping Class'!$88:$88,0),0),"")</f>
        <v/>
      </c>
      <c r="P38" s="968" t="str">
        <f>IFERROR(VLOOKUP($D38,'Piping Class'!$88:$102,MATCH(P$1,'Piping Class'!$88:$88,0),0),"")</f>
        <v/>
      </c>
      <c r="Q38" s="983"/>
      <c r="R38" s="988"/>
      <c r="S38" s="969" t="str">
        <f t="shared" si="58"/>
        <v/>
      </c>
      <c r="T38" s="968">
        <f>IFERROR(VLOOKUP(I38&amp;"."&amp;L38,'Fitting Chart'!$1:$1048576,MATCH(C38,'Fitting Chart'!$1:$1,0),0),0)+IF(B38="piping",PI()*K38*(VLOOKUP(I38,'Thickness Tab'!$1:$1048576,3,0)-K38)*7.86/1000,0)+IF(B38="Flange",VLOOKUP(I38&amp;"F"&amp;F38,'Flanges Chart'!$1:$1048576,MATCH(C38&amp;"."&amp;T$1,'Flanges Chart'!$1:$1,0),0),0)</f>
        <v>0</v>
      </c>
      <c r="U38" s="989">
        <f>T38*R38</f>
        <v>0</v>
      </c>
      <c r="V38" s="1003"/>
      <c r="W38" s="1001">
        <f t="shared" si="22"/>
        <v>0</v>
      </c>
      <c r="X38" s="997"/>
      <c r="Y38" s="983"/>
      <c r="Z38" s="989">
        <f>IF(B38="Piping",VLOOKUP(I38,'Thickness Tab'!$1:$1048576,3,0)/1000*PI(),0)+IFERROR(VLOOKUP(I38&amp;"F"&amp;F38,'Flanges Chart'!$1:$1048576,MATCH(C38&amp;".Unit Surface",'Flanges Chart'!$1:$1,0),0),0)+IF(B38="Fitting",VLOOKUP(I38,'Thickness Tab'!$1:$1048576,3,0)/1000*PI(),0)</f>
        <v>0</v>
      </c>
      <c r="AA38" s="989">
        <f t="shared" si="23"/>
        <v>0</v>
      </c>
      <c r="AB38" s="983">
        <v>0</v>
      </c>
      <c r="AC38" s="989">
        <f t="shared" si="24"/>
        <v>0</v>
      </c>
      <c r="AD38" s="989">
        <f t="shared" si="25"/>
        <v>0</v>
      </c>
      <c r="AE38" s="974">
        <f>(IFERROR(VLOOKUP($C38,List!$J:$L,2,0),0)*R38+IF(B38="piping",R38,0)+IF(C38="Welding Neck",1,0)*R38)*$AE$2</f>
        <v>0</v>
      </c>
      <c r="AF38" s="970">
        <f>IFERROR(VLOOKUP($C38,List!$J:$L,3,0),0)*R38*$AF$2</f>
        <v>0</v>
      </c>
      <c r="AG38" s="990">
        <f t="shared" si="65"/>
        <v>0</v>
      </c>
      <c r="AH38" s="1118" t="str">
        <f>IFERROR(VLOOKUP($D38,'Piping Class'!$88:$102,MATCH(AH$1,'Piping Class'!$88:$88,0),0),"")</f>
        <v/>
      </c>
      <c r="AI38" s="991" t="str">
        <f>IFERROR(VLOOKUP($D38,'Piping Class'!$88:$102,MATCH(AI$1,'Piping Class'!$88:$88,0),0),"")</f>
        <v/>
      </c>
      <c r="AJ38" s="991" t="str">
        <f>IFERROR(VLOOKUP($D38,'Piping Class'!$88:$102,MATCH(AJ$1,'Piping Class'!$88:$88,0),0),"")</f>
        <v/>
      </c>
      <c r="AK38" s="991" t="str">
        <f>IFERROR(VLOOKUP($D38,'Piping Class'!$88:$102,MATCH(AK$1,'Piping Class'!$88:$88,0),0),"")</f>
        <v/>
      </c>
      <c r="AL38" s="991">
        <f t="shared" si="44"/>
        <v>0</v>
      </c>
      <c r="AM38" s="1119" t="str">
        <f>IFERROR(VLOOKUP($D38,'Piping Class'!$88:$102,MATCH(AM$1,'Piping Class'!$88:$88,0),0),"")</f>
        <v/>
      </c>
      <c r="AN38" s="992">
        <f t="shared" si="26"/>
        <v>0</v>
      </c>
      <c r="AO38" s="993">
        <f>IFERROR(VLOOKUP(I38&amp;"B"&amp;F38,'Bolting Chart'!$1:$1048576,4,0),0)</f>
        <v>0</v>
      </c>
      <c r="AP38" s="993">
        <f t="shared" si="27"/>
        <v>0</v>
      </c>
      <c r="AQ38" s="993">
        <f t="shared" si="28"/>
        <v>0</v>
      </c>
      <c r="AR38" s="993">
        <f>IF(AO38=0,0,VLOOKUP(D38&amp;".bolting",'Piping Class'!$1:$1048576,MATCH(I38,'Piping Class'!$2:$2,0),0))</f>
        <v>0</v>
      </c>
      <c r="AS38" s="994">
        <f>IFERROR(VLOOKUP(I38&amp;"B"&amp;F38,'Bolting Chart'!$1:$1048576,IF(AS$2="UNC",5,6),0),0)</f>
        <v>0</v>
      </c>
      <c r="AT38" s="995">
        <f>IFERROR(VLOOKUP(I38&amp;"B"&amp;F38,'Bolting Chart'!$1:$1048576,IF(G38="RF",8,9),0),0)</f>
        <v>0</v>
      </c>
      <c r="AU38" s="993">
        <f>IF(AO38=0,0,VLOOKUP(D38&amp;".gasket",'Piping Class'!$1:$1048576,MATCH(I38,'Piping Class'!$2:$2,0),0))</f>
        <v>0</v>
      </c>
      <c r="AV38" s="996">
        <f>(IFERROR(INDEX('Bolting Chart'!$A$169:$R$251,MATCH(AT38,'Bolting Chart'!$A$170:$A$251,0),MATCH(IFERROR(VLOOKUP(I38&amp;"B"&amp;F38,'Bolting Chart'!$1:$1048576,7,0),0)+0,'Bolting Chart'!$A$169:$R$169,0)),0))/100</f>
        <v>0</v>
      </c>
      <c r="AW38" s="996">
        <f t="shared" si="66"/>
        <v>0</v>
      </c>
      <c r="AX38" s="1194">
        <f t="shared" si="67"/>
        <v>0</v>
      </c>
      <c r="AY38" s="981"/>
      <c r="AZ38" s="1543">
        <f t="shared" si="63"/>
        <v>0</v>
      </c>
      <c r="BA38" s="1543">
        <f t="shared" si="60"/>
        <v>0</v>
      </c>
      <c r="BB38" s="1543">
        <f t="shared" si="60"/>
        <v>0</v>
      </c>
      <c r="BC38" s="1543">
        <f t="shared" si="60"/>
        <v>0</v>
      </c>
      <c r="BD38" s="1543">
        <f t="shared" si="60"/>
        <v>0</v>
      </c>
      <c r="BE38" s="1543">
        <f t="shared" si="60"/>
        <v>0</v>
      </c>
      <c r="BF38" s="1543">
        <f t="shared" si="60"/>
        <v>0</v>
      </c>
      <c r="BG38" s="1543">
        <f t="shared" si="60"/>
        <v>0</v>
      </c>
      <c r="BH38" s="1543">
        <f t="shared" si="60"/>
        <v>0</v>
      </c>
      <c r="BI38" s="1543">
        <f t="shared" si="60"/>
        <v>0</v>
      </c>
      <c r="BJ38" s="1543">
        <f t="shared" si="60"/>
        <v>0</v>
      </c>
      <c r="BK38" s="1543">
        <f t="shared" si="60"/>
        <v>0</v>
      </c>
      <c r="BL38" s="1543">
        <f t="shared" si="60"/>
        <v>0</v>
      </c>
      <c r="BM38" s="1543">
        <f t="shared" si="60"/>
        <v>0</v>
      </c>
      <c r="BN38" s="1543">
        <f t="shared" si="60"/>
        <v>0</v>
      </c>
      <c r="BO38" s="1543">
        <f t="shared" si="60"/>
        <v>0</v>
      </c>
      <c r="BP38" s="1543">
        <f t="shared" si="60"/>
        <v>0</v>
      </c>
      <c r="BQ38" s="1543">
        <f t="shared" si="61"/>
        <v>0</v>
      </c>
      <c r="BR38" s="1543">
        <f t="shared" si="61"/>
        <v>0</v>
      </c>
      <c r="BS38" s="1543">
        <f t="shared" si="61"/>
        <v>0</v>
      </c>
      <c r="BT38" s="1543">
        <f t="shared" si="61"/>
        <v>0</v>
      </c>
      <c r="BU38" s="1543">
        <f t="shared" si="61"/>
        <v>0</v>
      </c>
      <c r="BV38" s="1543">
        <f t="shared" si="61"/>
        <v>0</v>
      </c>
      <c r="BW38" s="1543">
        <f t="shared" si="61"/>
        <v>0</v>
      </c>
      <c r="BX38" s="1543">
        <f t="shared" si="61"/>
        <v>0</v>
      </c>
      <c r="BY38" s="1543">
        <f t="shared" si="61"/>
        <v>0</v>
      </c>
      <c r="BZ38" s="1543">
        <f t="shared" si="61"/>
        <v>0</v>
      </c>
      <c r="CB38" s="1543">
        <f t="shared" si="64"/>
        <v>0</v>
      </c>
      <c r="CC38" s="1543">
        <f t="shared" si="62"/>
        <v>0</v>
      </c>
      <c r="CD38" s="1543">
        <f t="shared" si="62"/>
        <v>0</v>
      </c>
      <c r="CE38" s="1543">
        <f t="shared" si="62"/>
        <v>0</v>
      </c>
      <c r="CF38" s="1543">
        <f t="shared" si="62"/>
        <v>0</v>
      </c>
      <c r="CG38" s="1543">
        <f t="shared" si="62"/>
        <v>0</v>
      </c>
      <c r="CH38" s="1543">
        <f t="shared" si="62"/>
        <v>0</v>
      </c>
      <c r="CI38" s="1543">
        <f t="shared" si="62"/>
        <v>0</v>
      </c>
      <c r="CJ38" s="1543">
        <f t="shared" si="62"/>
        <v>0</v>
      </c>
      <c r="CK38" s="1543">
        <f t="shared" si="62"/>
        <v>0</v>
      </c>
      <c r="CL38" s="1543">
        <f t="shared" si="62"/>
        <v>0</v>
      </c>
      <c r="CM38" s="1543">
        <f t="shared" si="62"/>
        <v>0</v>
      </c>
      <c r="CN38" s="1543">
        <f t="shared" si="62"/>
        <v>0</v>
      </c>
      <c r="CO38" s="1543">
        <f t="shared" si="62"/>
        <v>0</v>
      </c>
      <c r="CP38" s="1543">
        <f t="shared" si="62"/>
        <v>0</v>
      </c>
      <c r="CQ38" s="1543">
        <f t="shared" si="62"/>
        <v>0</v>
      </c>
      <c r="CR38" s="1543">
        <f t="shared" si="62"/>
        <v>0</v>
      </c>
      <c r="CS38" s="1543">
        <f t="shared" si="46"/>
        <v>0</v>
      </c>
      <c r="CT38" s="1543">
        <f t="shared" si="47"/>
        <v>0</v>
      </c>
      <c r="CU38" s="1543">
        <f t="shared" si="47"/>
        <v>0</v>
      </c>
      <c r="CV38" s="1543">
        <f t="shared" si="47"/>
        <v>0</v>
      </c>
      <c r="CW38" s="1543">
        <f t="shared" si="47"/>
        <v>0</v>
      </c>
      <c r="CX38" s="1543">
        <f t="shared" si="47"/>
        <v>0</v>
      </c>
      <c r="CY38" s="1543">
        <f t="shared" si="47"/>
        <v>0</v>
      </c>
      <c r="CZ38" s="1543">
        <f t="shared" si="47"/>
        <v>0</v>
      </c>
      <c r="DA38" s="1543">
        <f t="shared" si="47"/>
        <v>0</v>
      </c>
      <c r="DB38" s="1543">
        <f t="shared" si="47"/>
        <v>0</v>
      </c>
      <c r="DD38" s="1543">
        <f t="shared" si="68"/>
        <v>0</v>
      </c>
      <c r="DE38" s="1543">
        <f t="shared" si="69"/>
        <v>0</v>
      </c>
      <c r="DF38" s="1543">
        <f t="shared" si="70"/>
        <v>0</v>
      </c>
      <c r="DG38" s="1543">
        <f t="shared" si="31"/>
        <v>0</v>
      </c>
      <c r="DI38" s="1543">
        <f t="shared" si="32"/>
        <v>0</v>
      </c>
      <c r="DJ38" s="1543">
        <f t="shared" si="74"/>
        <v>0</v>
      </c>
      <c r="DK38" s="1543">
        <f t="shared" si="74"/>
        <v>0</v>
      </c>
      <c r="DL38" s="1543">
        <f t="shared" si="74"/>
        <v>0</v>
      </c>
      <c r="DM38" s="1543">
        <f t="shared" si="74"/>
        <v>0</v>
      </c>
      <c r="DO38" s="1543">
        <f t="shared" si="75"/>
        <v>0</v>
      </c>
      <c r="DP38" s="1543">
        <f t="shared" si="75"/>
        <v>0</v>
      </c>
      <c r="DQ38" s="1543">
        <f t="shared" si="75"/>
        <v>0</v>
      </c>
      <c r="DR38" s="1543">
        <f t="shared" si="75"/>
        <v>0</v>
      </c>
      <c r="DS38" s="1543">
        <f t="shared" si="75"/>
        <v>0</v>
      </c>
      <c r="DT38" s="1543">
        <f t="shared" si="75"/>
        <v>0</v>
      </c>
      <c r="DU38" s="1543">
        <f t="shared" si="75"/>
        <v>0</v>
      </c>
      <c r="DV38" s="1543">
        <f t="shared" si="75"/>
        <v>0</v>
      </c>
      <c r="DW38" s="1543">
        <f t="shared" si="75"/>
        <v>0</v>
      </c>
      <c r="DX38" s="1543">
        <f t="shared" si="75"/>
        <v>0</v>
      </c>
      <c r="DY38" s="1543">
        <f t="shared" si="75"/>
        <v>0</v>
      </c>
      <c r="DZ38" s="1543">
        <f t="shared" si="75"/>
        <v>0</v>
      </c>
      <c r="EA38" s="1543">
        <f t="shared" si="75"/>
        <v>0</v>
      </c>
      <c r="EB38" s="1543">
        <f t="shared" si="71"/>
        <v>0</v>
      </c>
      <c r="EC38" s="1543">
        <f t="shared" si="71"/>
        <v>0</v>
      </c>
      <c r="ED38" s="1543">
        <f t="shared" si="71"/>
        <v>0</v>
      </c>
      <c r="EE38" s="1543">
        <f t="shared" si="71"/>
        <v>0</v>
      </c>
      <c r="EF38" s="1543">
        <f t="shared" si="71"/>
        <v>0</v>
      </c>
      <c r="EH38" s="1543">
        <f t="shared" si="33"/>
        <v>0</v>
      </c>
      <c r="EI38" s="1543">
        <f t="shared" si="34"/>
        <v>0</v>
      </c>
      <c r="EJ38" s="1543">
        <f t="shared" si="35"/>
        <v>0</v>
      </c>
      <c r="EK38" s="1543">
        <f t="shared" si="36"/>
        <v>0</v>
      </c>
      <c r="EL38" s="1543">
        <f t="shared" si="37"/>
        <v>0</v>
      </c>
      <c r="EM38" s="1543">
        <f t="shared" si="38"/>
        <v>0</v>
      </c>
      <c r="EN38" s="1543">
        <f t="shared" si="39"/>
        <v>0</v>
      </c>
      <c r="EP38" s="1543">
        <f t="shared" si="72"/>
        <v>0</v>
      </c>
      <c r="EQ38" s="1543">
        <f t="shared" si="72"/>
        <v>0</v>
      </c>
      <c r="ER38" s="1543">
        <f t="shared" si="72"/>
        <v>0</v>
      </c>
      <c r="ES38" s="1543">
        <f t="shared" si="72"/>
        <v>0</v>
      </c>
      <c r="ET38" s="1543">
        <f t="shared" si="73"/>
        <v>0</v>
      </c>
      <c r="EU38" s="1543">
        <f t="shared" si="73"/>
        <v>0</v>
      </c>
      <c r="EV38" s="1543">
        <f t="shared" si="73"/>
        <v>0</v>
      </c>
      <c r="EW38" s="1543">
        <f t="shared" si="73"/>
        <v>0</v>
      </c>
      <c r="EX38" s="1543">
        <f t="shared" si="73"/>
        <v>0</v>
      </c>
      <c r="EY38" s="1543">
        <f t="shared" si="73"/>
        <v>0</v>
      </c>
      <c r="EZ38" s="1543">
        <f t="shared" si="73"/>
        <v>0</v>
      </c>
      <c r="FA38" s="1543">
        <f t="shared" si="73"/>
        <v>0</v>
      </c>
      <c r="FB38" s="1543">
        <f t="shared" si="73"/>
        <v>0</v>
      </c>
      <c r="FC38" s="1543">
        <f t="shared" si="73"/>
        <v>0</v>
      </c>
      <c r="FD38" s="1543">
        <f t="shared" si="73"/>
        <v>0</v>
      </c>
      <c r="FE38" s="1543">
        <f t="shared" si="52"/>
        <v>0</v>
      </c>
      <c r="FF38" s="1543">
        <f t="shared" si="40"/>
        <v>1</v>
      </c>
      <c r="FH38" s="1543">
        <f t="shared" si="76"/>
        <v>0</v>
      </c>
      <c r="FI38" s="1543">
        <f t="shared" si="76"/>
        <v>0</v>
      </c>
      <c r="FJ38" s="1543">
        <f t="shared" si="76"/>
        <v>0</v>
      </c>
      <c r="FK38" s="1543">
        <f t="shared" si="76"/>
        <v>0</v>
      </c>
      <c r="FL38" s="1543">
        <f t="shared" si="76"/>
        <v>0</v>
      </c>
      <c r="FM38" s="1543">
        <f t="shared" si="76"/>
        <v>0</v>
      </c>
      <c r="FN38" s="1543">
        <f t="shared" si="76"/>
        <v>0</v>
      </c>
      <c r="FO38" s="1543">
        <f t="shared" si="76"/>
        <v>0</v>
      </c>
      <c r="FP38" s="1543">
        <f t="shared" si="76"/>
        <v>0</v>
      </c>
      <c r="FQ38" s="1543">
        <f t="shared" si="76"/>
        <v>0</v>
      </c>
      <c r="FR38" s="1543">
        <f t="shared" si="76"/>
        <v>0</v>
      </c>
      <c r="FS38" s="1543">
        <f t="shared" si="76"/>
        <v>0</v>
      </c>
      <c r="FT38" s="1543">
        <f t="shared" si="41"/>
        <v>0</v>
      </c>
      <c r="FV38" s="1543">
        <f t="shared" si="77"/>
        <v>1</v>
      </c>
      <c r="FW38" s="1543">
        <f t="shared" si="77"/>
        <v>0</v>
      </c>
      <c r="FX38" s="1543">
        <f t="shared" si="77"/>
        <v>0</v>
      </c>
      <c r="FY38" s="1543">
        <f t="shared" si="77"/>
        <v>0</v>
      </c>
      <c r="FZ38" s="1543">
        <f t="shared" si="77"/>
        <v>0</v>
      </c>
      <c r="GA38" s="1543">
        <f t="shared" si="77"/>
        <v>0</v>
      </c>
      <c r="GB38" s="1543">
        <f t="shared" si="77"/>
        <v>0</v>
      </c>
      <c r="GC38" s="1543">
        <f t="shared" si="77"/>
        <v>0</v>
      </c>
      <c r="GD38" s="1543">
        <f t="shared" si="77"/>
        <v>0</v>
      </c>
    </row>
    <row r="39" spans="1:186" s="982" customFormat="1" ht="15.6" x14ac:dyDescent="0.3">
      <c r="A39" s="974">
        <v>37</v>
      </c>
      <c r="B39" s="983"/>
      <c r="C39" s="984"/>
      <c r="D39" s="983"/>
      <c r="E39" s="968" t="str">
        <f>IFERROR(VLOOKUP($D39&amp;"."&amp;B39,'Piping Class'!$1:$1048576,MATCH($I39,'Piping Class'!$2:$2,0),0),"")</f>
        <v/>
      </c>
      <c r="F39" s="985" t="str">
        <f>IFERROR(IF(B39="Flange",VLOOKUP($D39,'Piping Class'!$88:$102,MATCH(F$1,'Piping Class'!$88:$88,0),0),""),"")</f>
        <v/>
      </c>
      <c r="G39" s="968" t="str">
        <f>IFERROR(IF(B39="Flange",VLOOKUP($D39,'Piping Class'!$88:$102,MATCH(G$1,'Piping Class'!$88:$88,0),0),""),"")</f>
        <v/>
      </c>
      <c r="H39" s="968" t="str">
        <f>IFERROR(VLOOKUP($D39,'Piping Class'!$88:$102,MATCH(H$1,'Piping Class'!$88:$88,0),0),"")</f>
        <v/>
      </c>
      <c r="I39" s="986"/>
      <c r="J39" s="987"/>
      <c r="K39" s="968" t="str">
        <f>IFERROR(VLOOKUP(I39,'Thickness Tab'!$1:$1048576,MATCH(L39,'Thickness Tab'!$1:$1,0),0),"")</f>
        <v/>
      </c>
      <c r="L39" s="969" t="str">
        <f>IFERROR(VLOOKUP($D39,'Piping Class'!$1:$1048576,MATCH($I39,'Piping Class'!$2:$2,0),0),"")</f>
        <v/>
      </c>
      <c r="M39" s="968" t="str">
        <f>IFERROR(VLOOKUP(J39,'Thickness Tab'!$1:$1048576,MATCH(N39,'Thickness Tab'!$1:$1,0),0),"")</f>
        <v/>
      </c>
      <c r="N39" s="969" t="str">
        <f>IFERROR(VLOOKUP($D39,'Piping Class'!$1:$1048576,MATCH($J39,'Piping Class'!$2:$2,0),0),"")</f>
        <v/>
      </c>
      <c r="O39" s="968" t="str">
        <f>IFERROR(VLOOKUP($D39,'Piping Class'!$88:$102,MATCH(O$1,'Piping Class'!$88:$88,0),0),"")</f>
        <v/>
      </c>
      <c r="P39" s="968" t="str">
        <f>IFERROR(VLOOKUP($D39,'Piping Class'!$88:$102,MATCH(P$1,'Piping Class'!$88:$88,0),0),"")</f>
        <v/>
      </c>
      <c r="Q39" s="983"/>
      <c r="R39" s="988"/>
      <c r="S39" s="969" t="str">
        <f t="shared" si="58"/>
        <v/>
      </c>
      <c r="T39" s="968">
        <f>IFERROR(VLOOKUP(I39&amp;"."&amp;L39,'Fitting Chart'!$1:$1048576,MATCH(C39,'Fitting Chart'!$1:$1,0),0),0)+IF(B39="piping",PI()*K39*(VLOOKUP(I39,'Thickness Tab'!$1:$1048576,3,0)-K39)*7.86/1000,0)+IF(B39="Flange",VLOOKUP(I39&amp;"F"&amp;F39,'Flanges Chart'!$1:$1048576,MATCH(C39&amp;"."&amp;T$1,'Flanges Chart'!$1:$1,0),0),0)</f>
        <v>0</v>
      </c>
      <c r="U39" s="989">
        <f>T39*R39</f>
        <v>0</v>
      </c>
      <c r="V39" s="1003"/>
      <c r="W39" s="1001">
        <f t="shared" si="22"/>
        <v>0</v>
      </c>
      <c r="X39" s="997"/>
      <c r="Y39" s="983"/>
      <c r="Z39" s="989">
        <f>IF(B39="Piping",VLOOKUP(I39,'Thickness Tab'!$1:$1048576,3,0)/1000*PI(),0)+IFERROR(VLOOKUP(I39&amp;"F"&amp;F39,'Flanges Chart'!$1:$1048576,MATCH(C39&amp;".Unit Surface",'Flanges Chart'!$1:$1,0),0),0)+IF(B39="Fitting",VLOOKUP(I39,'Thickness Tab'!$1:$1048576,3,0)/1000*PI(),0)</f>
        <v>0</v>
      </c>
      <c r="AA39" s="989">
        <f t="shared" si="23"/>
        <v>0</v>
      </c>
      <c r="AB39" s="983">
        <v>0</v>
      </c>
      <c r="AC39" s="989">
        <f t="shared" si="24"/>
        <v>0</v>
      </c>
      <c r="AD39" s="989">
        <f t="shared" si="25"/>
        <v>0</v>
      </c>
      <c r="AE39" s="974">
        <f>(IFERROR(VLOOKUP($C39,List!$J:$L,2,0),0)*R39+IF(B39="piping",R39,0)+IF(C39="Welding Neck",1,0)*R39)*$AE$2</f>
        <v>0</v>
      </c>
      <c r="AF39" s="970">
        <f>IFERROR(VLOOKUP($C39,List!$J:$L,3,0),0)*R39*$AF$2</f>
        <v>0</v>
      </c>
      <c r="AG39" s="990">
        <f t="shared" si="65"/>
        <v>0</v>
      </c>
      <c r="AH39" s="1118" t="str">
        <f>IFERROR(VLOOKUP($D39,'Piping Class'!$88:$102,MATCH(AH$1,'Piping Class'!$88:$88,0),0),"")</f>
        <v/>
      </c>
      <c r="AI39" s="991" t="str">
        <f>IFERROR(VLOOKUP($D39,'Piping Class'!$88:$102,MATCH(AI$1,'Piping Class'!$88:$88,0),0),"")</f>
        <v/>
      </c>
      <c r="AJ39" s="991" t="str">
        <f>IFERROR(VLOOKUP($D39,'Piping Class'!$88:$102,MATCH(AJ$1,'Piping Class'!$88:$88,0),0),"")</f>
        <v/>
      </c>
      <c r="AK39" s="991" t="str">
        <f>IFERROR(VLOOKUP($D39,'Piping Class'!$88:$102,MATCH(AK$1,'Piping Class'!$88:$88,0),0),"")</f>
        <v/>
      </c>
      <c r="AL39" s="991">
        <f t="shared" si="44"/>
        <v>0</v>
      </c>
      <c r="AM39" s="1119" t="str">
        <f>IFERROR(VLOOKUP($D39,'Piping Class'!$88:$102,MATCH(AM$1,'Piping Class'!$88:$88,0),0),"")</f>
        <v/>
      </c>
      <c r="AN39" s="992">
        <f t="shared" si="26"/>
        <v>0</v>
      </c>
      <c r="AO39" s="993">
        <f>IFERROR(VLOOKUP(I39&amp;"B"&amp;F39,'Bolting Chart'!$1:$1048576,4,0),0)</f>
        <v>0</v>
      </c>
      <c r="AP39" s="993">
        <f t="shared" si="27"/>
        <v>0</v>
      </c>
      <c r="AQ39" s="993">
        <f t="shared" si="28"/>
        <v>0</v>
      </c>
      <c r="AR39" s="993">
        <f>IF(AO39=0,0,VLOOKUP(D39&amp;".bolting",'Piping Class'!$1:$1048576,MATCH(I39,'Piping Class'!$2:$2,0),0))</f>
        <v>0</v>
      </c>
      <c r="AS39" s="994">
        <f>IFERROR(VLOOKUP(I39&amp;"B"&amp;F39,'Bolting Chart'!$1:$1048576,IF(AS$2="UNC",5,6),0),0)</f>
        <v>0</v>
      </c>
      <c r="AT39" s="995">
        <f>IFERROR(VLOOKUP(I39&amp;"B"&amp;F39,'Bolting Chart'!$1:$1048576,IF(G39="RF",8,9),0),0)</f>
        <v>0</v>
      </c>
      <c r="AU39" s="993">
        <f>IF(AO39=0,0,VLOOKUP(D39&amp;".gasket",'Piping Class'!$1:$1048576,MATCH(I39,'Piping Class'!$2:$2,0),0))</f>
        <v>0</v>
      </c>
      <c r="AV39" s="996">
        <f>(IFERROR(INDEX('Bolting Chart'!$A$169:$R$251,MATCH(AT39,'Bolting Chart'!$A$170:$A$251,0),MATCH(IFERROR(VLOOKUP(I39&amp;"B"&amp;F39,'Bolting Chart'!$1:$1048576,7,0),0)+0,'Bolting Chart'!$A$169:$R$169,0)),0))/100</f>
        <v>0</v>
      </c>
      <c r="AW39" s="996">
        <f t="shared" si="66"/>
        <v>0</v>
      </c>
      <c r="AX39" s="1194">
        <f t="shared" si="67"/>
        <v>0</v>
      </c>
      <c r="AY39" s="981"/>
      <c r="AZ39" s="1543">
        <f t="shared" si="63"/>
        <v>0</v>
      </c>
      <c r="BA39" s="1543">
        <f t="shared" si="60"/>
        <v>0</v>
      </c>
      <c r="BB39" s="1543">
        <f t="shared" si="60"/>
        <v>0</v>
      </c>
      <c r="BC39" s="1543">
        <f t="shared" si="60"/>
        <v>0</v>
      </c>
      <c r="BD39" s="1543">
        <f t="shared" si="60"/>
        <v>0</v>
      </c>
      <c r="BE39" s="1543">
        <f t="shared" si="60"/>
        <v>0</v>
      </c>
      <c r="BF39" s="1543">
        <f t="shared" si="60"/>
        <v>0</v>
      </c>
      <c r="BG39" s="1543">
        <f t="shared" si="60"/>
        <v>0</v>
      </c>
      <c r="BH39" s="1543">
        <f t="shared" si="60"/>
        <v>0</v>
      </c>
      <c r="BI39" s="1543">
        <f t="shared" si="60"/>
        <v>0</v>
      </c>
      <c r="BJ39" s="1543">
        <f t="shared" si="60"/>
        <v>0</v>
      </c>
      <c r="BK39" s="1543">
        <f t="shared" si="60"/>
        <v>0</v>
      </c>
      <c r="BL39" s="1543">
        <f t="shared" si="60"/>
        <v>0</v>
      </c>
      <c r="BM39" s="1543">
        <f t="shared" si="60"/>
        <v>0</v>
      </c>
      <c r="BN39" s="1543">
        <f t="shared" si="60"/>
        <v>0</v>
      </c>
      <c r="BO39" s="1543">
        <f t="shared" si="60"/>
        <v>0</v>
      </c>
      <c r="BP39" s="1543">
        <f t="shared" si="60"/>
        <v>0</v>
      </c>
      <c r="BQ39" s="1543">
        <f t="shared" si="61"/>
        <v>0</v>
      </c>
      <c r="BR39" s="1543">
        <f t="shared" si="61"/>
        <v>0</v>
      </c>
      <c r="BS39" s="1543">
        <f t="shared" si="61"/>
        <v>0</v>
      </c>
      <c r="BT39" s="1543">
        <f t="shared" si="61"/>
        <v>0</v>
      </c>
      <c r="BU39" s="1543">
        <f t="shared" si="61"/>
        <v>0</v>
      </c>
      <c r="BV39" s="1543">
        <f t="shared" si="61"/>
        <v>0</v>
      </c>
      <c r="BW39" s="1543">
        <f t="shared" si="61"/>
        <v>0</v>
      </c>
      <c r="BX39" s="1543">
        <f t="shared" si="61"/>
        <v>0</v>
      </c>
      <c r="BY39" s="1543">
        <f t="shared" si="61"/>
        <v>0</v>
      </c>
      <c r="BZ39" s="1543">
        <f t="shared" si="61"/>
        <v>0</v>
      </c>
      <c r="CB39" s="1543">
        <f t="shared" si="64"/>
        <v>0</v>
      </c>
      <c r="CC39" s="1543">
        <f t="shared" si="62"/>
        <v>0</v>
      </c>
      <c r="CD39" s="1543">
        <f t="shared" si="62"/>
        <v>0</v>
      </c>
      <c r="CE39" s="1543">
        <f t="shared" si="62"/>
        <v>0</v>
      </c>
      <c r="CF39" s="1543">
        <f t="shared" si="62"/>
        <v>0</v>
      </c>
      <c r="CG39" s="1543">
        <f t="shared" si="62"/>
        <v>0</v>
      </c>
      <c r="CH39" s="1543">
        <f t="shared" si="62"/>
        <v>0</v>
      </c>
      <c r="CI39" s="1543">
        <f t="shared" si="62"/>
        <v>0</v>
      </c>
      <c r="CJ39" s="1543">
        <f t="shared" si="62"/>
        <v>0</v>
      </c>
      <c r="CK39" s="1543">
        <f t="shared" si="62"/>
        <v>0</v>
      </c>
      <c r="CL39" s="1543">
        <f t="shared" si="62"/>
        <v>0</v>
      </c>
      <c r="CM39" s="1543">
        <f t="shared" si="62"/>
        <v>0</v>
      </c>
      <c r="CN39" s="1543">
        <f t="shared" si="62"/>
        <v>0</v>
      </c>
      <c r="CO39" s="1543">
        <f t="shared" si="62"/>
        <v>0</v>
      </c>
      <c r="CP39" s="1543">
        <f t="shared" si="62"/>
        <v>0</v>
      </c>
      <c r="CQ39" s="1543">
        <f t="shared" si="62"/>
        <v>0</v>
      </c>
      <c r="CR39" s="1543">
        <f t="shared" si="62"/>
        <v>0</v>
      </c>
      <c r="CS39" s="1543">
        <f t="shared" si="46"/>
        <v>0</v>
      </c>
      <c r="CT39" s="1543">
        <f t="shared" si="47"/>
        <v>0</v>
      </c>
      <c r="CU39" s="1543">
        <f t="shared" si="47"/>
        <v>0</v>
      </c>
      <c r="CV39" s="1543">
        <f t="shared" si="47"/>
        <v>0</v>
      </c>
      <c r="CW39" s="1543">
        <f t="shared" si="47"/>
        <v>0</v>
      </c>
      <c r="CX39" s="1543">
        <f t="shared" si="47"/>
        <v>0</v>
      </c>
      <c r="CY39" s="1543">
        <f t="shared" si="47"/>
        <v>0</v>
      </c>
      <c r="CZ39" s="1543">
        <f t="shared" si="47"/>
        <v>0</v>
      </c>
      <c r="DA39" s="1543">
        <f t="shared" si="47"/>
        <v>0</v>
      </c>
      <c r="DB39" s="1543">
        <f t="shared" si="47"/>
        <v>0</v>
      </c>
      <c r="DD39" s="1543">
        <f t="shared" si="68"/>
        <v>0</v>
      </c>
      <c r="DE39" s="1543">
        <f t="shared" si="69"/>
        <v>0</v>
      </c>
      <c r="DF39" s="1543">
        <f t="shared" si="70"/>
        <v>0</v>
      </c>
      <c r="DG39" s="1543">
        <f t="shared" si="31"/>
        <v>0</v>
      </c>
      <c r="DI39" s="1543">
        <f t="shared" si="32"/>
        <v>0</v>
      </c>
      <c r="DJ39" s="1543">
        <f t="shared" si="74"/>
        <v>0</v>
      </c>
      <c r="DK39" s="1543">
        <f t="shared" si="74"/>
        <v>0</v>
      </c>
      <c r="DL39" s="1543">
        <f t="shared" si="74"/>
        <v>0</v>
      </c>
      <c r="DM39" s="1543">
        <f t="shared" si="74"/>
        <v>0</v>
      </c>
      <c r="DO39" s="1543">
        <f t="shared" si="75"/>
        <v>0</v>
      </c>
      <c r="DP39" s="1543">
        <f t="shared" si="75"/>
        <v>0</v>
      </c>
      <c r="DQ39" s="1543">
        <f t="shared" si="75"/>
        <v>0</v>
      </c>
      <c r="DR39" s="1543">
        <f t="shared" si="75"/>
        <v>0</v>
      </c>
      <c r="DS39" s="1543">
        <f t="shared" si="75"/>
        <v>0</v>
      </c>
      <c r="DT39" s="1543">
        <f t="shared" si="75"/>
        <v>0</v>
      </c>
      <c r="DU39" s="1543">
        <f t="shared" si="75"/>
        <v>0</v>
      </c>
      <c r="DV39" s="1543">
        <f t="shared" si="75"/>
        <v>0</v>
      </c>
      <c r="DW39" s="1543">
        <f t="shared" si="75"/>
        <v>0</v>
      </c>
      <c r="DX39" s="1543">
        <f t="shared" si="75"/>
        <v>0</v>
      </c>
      <c r="DY39" s="1543">
        <f t="shared" si="75"/>
        <v>0</v>
      </c>
      <c r="DZ39" s="1543">
        <f t="shared" si="75"/>
        <v>0</v>
      </c>
      <c r="EA39" s="1543">
        <f t="shared" si="75"/>
        <v>0</v>
      </c>
      <c r="EB39" s="1543">
        <f t="shared" si="71"/>
        <v>0</v>
      </c>
      <c r="EC39" s="1543">
        <f t="shared" si="71"/>
        <v>0</v>
      </c>
      <c r="ED39" s="1543">
        <f t="shared" si="71"/>
        <v>0</v>
      </c>
      <c r="EE39" s="1543">
        <f t="shared" si="71"/>
        <v>0</v>
      </c>
      <c r="EF39" s="1543">
        <f t="shared" si="71"/>
        <v>0</v>
      </c>
      <c r="EH39" s="1543">
        <f t="shared" si="33"/>
        <v>0</v>
      </c>
      <c r="EI39" s="1543">
        <f t="shared" si="34"/>
        <v>0</v>
      </c>
      <c r="EJ39" s="1543">
        <f t="shared" si="35"/>
        <v>0</v>
      </c>
      <c r="EK39" s="1543">
        <f t="shared" si="36"/>
        <v>0</v>
      </c>
      <c r="EL39" s="1543">
        <f t="shared" si="37"/>
        <v>0</v>
      </c>
      <c r="EM39" s="1543">
        <f t="shared" si="38"/>
        <v>0</v>
      </c>
      <c r="EN39" s="1543">
        <f t="shared" si="39"/>
        <v>0</v>
      </c>
      <c r="EP39" s="1543">
        <f t="shared" si="72"/>
        <v>0</v>
      </c>
      <c r="EQ39" s="1543">
        <f t="shared" si="72"/>
        <v>0</v>
      </c>
      <c r="ER39" s="1543">
        <f t="shared" si="72"/>
        <v>0</v>
      </c>
      <c r="ES39" s="1543">
        <f t="shared" si="72"/>
        <v>0</v>
      </c>
      <c r="ET39" s="1543">
        <f t="shared" si="73"/>
        <v>0</v>
      </c>
      <c r="EU39" s="1543">
        <f t="shared" si="73"/>
        <v>0</v>
      </c>
      <c r="EV39" s="1543">
        <f t="shared" si="73"/>
        <v>0</v>
      </c>
      <c r="EW39" s="1543">
        <f t="shared" si="73"/>
        <v>0</v>
      </c>
      <c r="EX39" s="1543">
        <f t="shared" si="73"/>
        <v>0</v>
      </c>
      <c r="EY39" s="1543">
        <f t="shared" si="73"/>
        <v>0</v>
      </c>
      <c r="EZ39" s="1543">
        <f t="shared" si="73"/>
        <v>0</v>
      </c>
      <c r="FA39" s="1543">
        <f t="shared" si="73"/>
        <v>0</v>
      </c>
      <c r="FB39" s="1543">
        <f t="shared" si="73"/>
        <v>0</v>
      </c>
      <c r="FC39" s="1543">
        <f t="shared" si="73"/>
        <v>0</v>
      </c>
      <c r="FD39" s="1543">
        <f t="shared" si="73"/>
        <v>0</v>
      </c>
      <c r="FE39" s="1543">
        <f t="shared" si="52"/>
        <v>0</v>
      </c>
      <c r="FF39" s="1543">
        <f t="shared" si="40"/>
        <v>1</v>
      </c>
      <c r="FH39" s="1543">
        <f t="shared" si="76"/>
        <v>0</v>
      </c>
      <c r="FI39" s="1543">
        <f t="shared" si="76"/>
        <v>0</v>
      </c>
      <c r="FJ39" s="1543">
        <f t="shared" si="76"/>
        <v>0</v>
      </c>
      <c r="FK39" s="1543">
        <f t="shared" si="76"/>
        <v>0</v>
      </c>
      <c r="FL39" s="1543">
        <f t="shared" si="76"/>
        <v>0</v>
      </c>
      <c r="FM39" s="1543">
        <f t="shared" si="76"/>
        <v>0</v>
      </c>
      <c r="FN39" s="1543">
        <f t="shared" si="76"/>
        <v>0</v>
      </c>
      <c r="FO39" s="1543">
        <f t="shared" si="76"/>
        <v>0</v>
      </c>
      <c r="FP39" s="1543">
        <f t="shared" si="76"/>
        <v>0</v>
      </c>
      <c r="FQ39" s="1543">
        <f t="shared" si="76"/>
        <v>0</v>
      </c>
      <c r="FR39" s="1543">
        <f t="shared" si="76"/>
        <v>0</v>
      </c>
      <c r="FS39" s="1543">
        <f t="shared" si="76"/>
        <v>0</v>
      </c>
      <c r="FT39" s="1543">
        <f t="shared" si="41"/>
        <v>0</v>
      </c>
      <c r="FV39" s="1543">
        <f t="shared" si="77"/>
        <v>1</v>
      </c>
      <c r="FW39" s="1543">
        <f t="shared" si="77"/>
        <v>0</v>
      </c>
      <c r="FX39" s="1543">
        <f t="shared" si="77"/>
        <v>0</v>
      </c>
      <c r="FY39" s="1543">
        <f t="shared" si="77"/>
        <v>0</v>
      </c>
      <c r="FZ39" s="1543">
        <f t="shared" si="77"/>
        <v>0</v>
      </c>
      <c r="GA39" s="1543">
        <f t="shared" si="77"/>
        <v>0</v>
      </c>
      <c r="GB39" s="1543">
        <f t="shared" si="77"/>
        <v>0</v>
      </c>
      <c r="GC39" s="1543">
        <f t="shared" si="77"/>
        <v>0</v>
      </c>
      <c r="GD39" s="1543">
        <f t="shared" si="77"/>
        <v>0</v>
      </c>
    </row>
    <row r="40" spans="1:186" s="982" customFormat="1" ht="15.6" x14ac:dyDescent="0.3">
      <c r="A40" s="974">
        <v>38</v>
      </c>
      <c r="B40" s="983"/>
      <c r="C40" s="984"/>
      <c r="D40" s="983"/>
      <c r="E40" s="968" t="str">
        <f>IFERROR(VLOOKUP($D40&amp;"."&amp;B40,'Piping Class'!$1:$1048576,MATCH($I40,'Piping Class'!$2:$2,0),0),"")</f>
        <v/>
      </c>
      <c r="F40" s="985" t="str">
        <f>IFERROR(IF(B40="Flange",VLOOKUP($D40,'Piping Class'!$88:$102,MATCH(F$1,'Piping Class'!$88:$88,0),0),""),"")</f>
        <v/>
      </c>
      <c r="G40" s="968" t="str">
        <f>IFERROR(IF(B40="Flange",VLOOKUP($D40,'Piping Class'!$88:$102,MATCH(G$1,'Piping Class'!$88:$88,0),0),""),"")</f>
        <v/>
      </c>
      <c r="H40" s="968" t="str">
        <f>IFERROR(VLOOKUP($D40,'Piping Class'!$88:$102,MATCH(H$1,'Piping Class'!$88:$88,0),0),"")</f>
        <v/>
      </c>
      <c r="I40" s="986"/>
      <c r="J40" s="987"/>
      <c r="K40" s="968" t="str">
        <f>IFERROR(VLOOKUP(I40,'Thickness Tab'!$1:$1048576,MATCH(L40,'Thickness Tab'!$1:$1,0),0),"")</f>
        <v/>
      </c>
      <c r="L40" s="969" t="str">
        <f>IFERROR(VLOOKUP($D40,'Piping Class'!$1:$1048576,MATCH($I40,'Piping Class'!$2:$2,0),0),"")</f>
        <v/>
      </c>
      <c r="M40" s="968" t="str">
        <f>IFERROR(VLOOKUP(J40,'Thickness Tab'!$1:$1048576,MATCH(N40,'Thickness Tab'!$1:$1,0),0),"")</f>
        <v/>
      </c>
      <c r="N40" s="969" t="str">
        <f>IFERROR(VLOOKUP($D40,'Piping Class'!$1:$1048576,MATCH($J40,'Piping Class'!$2:$2,0),0),"")</f>
        <v/>
      </c>
      <c r="O40" s="968" t="str">
        <f>IFERROR(VLOOKUP($D40,'Piping Class'!$88:$102,MATCH(O$1,'Piping Class'!$88:$88,0),0),"")</f>
        <v/>
      </c>
      <c r="P40" s="968" t="str">
        <f>IFERROR(VLOOKUP($D40,'Piping Class'!$88:$102,MATCH(P$1,'Piping Class'!$88:$88,0),0),"")</f>
        <v/>
      </c>
      <c r="Q40" s="983"/>
      <c r="R40" s="988"/>
      <c r="S40" s="969" t="str">
        <f>IF(B40="","",IF(B40="piping","m","cad"))</f>
        <v/>
      </c>
      <c r="T40" s="968">
        <f>IFERROR(VLOOKUP(I40&amp;"."&amp;L40,'Fitting Chart'!$1:$1048576,MATCH(C40,'Fitting Chart'!$1:$1,0),0),0)+IF(B40="piping",PI()*K40*(VLOOKUP(I40,'Thickness Tab'!$1:$1048576,3,0)-K40)*7.86/1000,0)+IF(B40="Flange",VLOOKUP(I40&amp;"F"&amp;F40,'Flanges Chart'!$1:$1048576,MATCH(C40&amp;"."&amp;T$1,'Flanges Chart'!$1:$1,0),0),0)</f>
        <v>0</v>
      </c>
      <c r="U40" s="989">
        <f>T40*R40</f>
        <v>0</v>
      </c>
      <c r="V40" s="1003"/>
      <c r="W40" s="1001">
        <f t="shared" si="22"/>
        <v>0</v>
      </c>
      <c r="X40" s="997"/>
      <c r="Y40" s="983"/>
      <c r="Z40" s="989">
        <f>IF(B40="Piping",VLOOKUP(I40,'Thickness Tab'!$1:$1048576,3,0)/1000*PI(),0)+IFERROR(VLOOKUP(I40&amp;"F"&amp;F40,'Flanges Chart'!$1:$1048576,MATCH(C40&amp;".Unit Surface",'Flanges Chart'!$1:$1,0),0),0)+IF(B40="Fitting",VLOOKUP(I40,'Thickness Tab'!$1:$1048576,3,0)/1000*PI(),0)</f>
        <v>0</v>
      </c>
      <c r="AA40" s="989">
        <f t="shared" si="23"/>
        <v>0</v>
      </c>
      <c r="AB40" s="983">
        <v>0</v>
      </c>
      <c r="AC40" s="989">
        <f t="shared" si="24"/>
        <v>0</v>
      </c>
      <c r="AD40" s="989">
        <f t="shared" si="25"/>
        <v>0</v>
      </c>
      <c r="AE40" s="974">
        <f>(IFERROR(VLOOKUP($C40,List!$J:$L,2,0),0)*R40+IF(B40="piping",R40,0)+IF(C40="Welding Neck",1,0)*R40)*$AE$2</f>
        <v>0</v>
      </c>
      <c r="AF40" s="970">
        <f>IFERROR(VLOOKUP($C40,List!$J:$L,3,0),0)*R40*$AF$2</f>
        <v>0</v>
      </c>
      <c r="AG40" s="990">
        <f t="shared" si="65"/>
        <v>0</v>
      </c>
      <c r="AH40" s="1118" t="str">
        <f>IFERROR(VLOOKUP($D40,'Piping Class'!$88:$102,MATCH(AH$1,'Piping Class'!$88:$88,0),0),"")</f>
        <v/>
      </c>
      <c r="AI40" s="991" t="str">
        <f>IFERROR(VLOOKUP($D40,'Piping Class'!$88:$102,MATCH(AI$1,'Piping Class'!$88:$88,0),0),"")</f>
        <v/>
      </c>
      <c r="AJ40" s="991" t="str">
        <f>IFERROR(VLOOKUP($D40,'Piping Class'!$88:$102,MATCH(AJ$1,'Piping Class'!$88:$88,0),0),"")</f>
        <v/>
      </c>
      <c r="AK40" s="991" t="str">
        <f>IFERROR(VLOOKUP($D40,'Piping Class'!$88:$102,MATCH(AK$1,'Piping Class'!$88:$88,0),0),"")</f>
        <v/>
      </c>
      <c r="AL40" s="991">
        <f t="shared" si="44"/>
        <v>0</v>
      </c>
      <c r="AM40" s="1119" t="str">
        <f>IFERROR(VLOOKUP($D40,'Piping Class'!$88:$102,MATCH(AM$1,'Piping Class'!$88:$88,0),0),"")</f>
        <v/>
      </c>
      <c r="AN40" s="992">
        <f t="shared" si="26"/>
        <v>0</v>
      </c>
      <c r="AO40" s="993">
        <f>IFERROR(VLOOKUP(I40&amp;"B"&amp;F40,'Bolting Chart'!$1:$1048576,4,0),0)</f>
        <v>0</v>
      </c>
      <c r="AP40" s="993">
        <f t="shared" si="27"/>
        <v>0</v>
      </c>
      <c r="AQ40" s="993">
        <f t="shared" si="28"/>
        <v>0</v>
      </c>
      <c r="AR40" s="993">
        <f>IF(AO40=0,0,VLOOKUP(D40&amp;".bolting",'Piping Class'!$1:$1048576,MATCH(I40,'Piping Class'!$2:$2,0),0))</f>
        <v>0</v>
      </c>
      <c r="AS40" s="994">
        <f>IFERROR(VLOOKUP(I40&amp;"B"&amp;F40,'Bolting Chart'!$1:$1048576,IF(AS$2="UNC",5,6),0),0)</f>
        <v>0</v>
      </c>
      <c r="AT40" s="995">
        <f>IFERROR(VLOOKUP(I40&amp;"B"&amp;F40,'Bolting Chart'!$1:$1048576,IF(G40="RF",8,9),0),0)</f>
        <v>0</v>
      </c>
      <c r="AU40" s="993">
        <f>IF(AO40=0,0,VLOOKUP(D40&amp;".gasket",'Piping Class'!$1:$1048576,MATCH(I40,'Piping Class'!$2:$2,0),0))</f>
        <v>0</v>
      </c>
      <c r="AV40" s="996">
        <f>(IFERROR(INDEX('Bolting Chart'!$A$169:$R$251,MATCH(AT40,'Bolting Chart'!$A$170:$A$251,0),MATCH(IFERROR(VLOOKUP(I40&amp;"B"&amp;F40,'Bolting Chart'!$1:$1048576,7,0),0)+0,'Bolting Chart'!$A$169:$R$169,0)),0))/100</f>
        <v>0</v>
      </c>
      <c r="AW40" s="996">
        <f t="shared" si="66"/>
        <v>0</v>
      </c>
      <c r="AX40" s="1194">
        <f t="shared" si="67"/>
        <v>0</v>
      </c>
      <c r="AY40" s="981"/>
      <c r="AZ40" s="1543">
        <f t="shared" si="63"/>
        <v>0</v>
      </c>
      <c r="BA40" s="1543">
        <f t="shared" si="60"/>
        <v>0</v>
      </c>
      <c r="BB40" s="1543">
        <f t="shared" si="60"/>
        <v>0</v>
      </c>
      <c r="BC40" s="1543">
        <f t="shared" si="60"/>
        <v>0</v>
      </c>
      <c r="BD40" s="1543">
        <f t="shared" si="60"/>
        <v>0</v>
      </c>
      <c r="BE40" s="1543">
        <f t="shared" si="60"/>
        <v>0</v>
      </c>
      <c r="BF40" s="1543">
        <f t="shared" si="60"/>
        <v>0</v>
      </c>
      <c r="BG40" s="1543">
        <f t="shared" si="60"/>
        <v>0</v>
      </c>
      <c r="BH40" s="1543">
        <f t="shared" si="60"/>
        <v>0</v>
      </c>
      <c r="BI40" s="1543">
        <f t="shared" si="60"/>
        <v>0</v>
      </c>
      <c r="BJ40" s="1543">
        <f t="shared" si="60"/>
        <v>0</v>
      </c>
      <c r="BK40" s="1543">
        <f t="shared" si="60"/>
        <v>0</v>
      </c>
      <c r="BL40" s="1543">
        <f t="shared" si="60"/>
        <v>0</v>
      </c>
      <c r="BM40" s="1543">
        <f t="shared" si="60"/>
        <v>0</v>
      </c>
      <c r="BN40" s="1543">
        <f t="shared" si="60"/>
        <v>0</v>
      </c>
      <c r="BO40" s="1543">
        <f t="shared" si="60"/>
        <v>0</v>
      </c>
      <c r="BP40" s="1543">
        <f t="shared" si="60"/>
        <v>0</v>
      </c>
      <c r="BQ40" s="1543">
        <f t="shared" ref="BQ40:BW40" si="78">IF($I40=BQ$2,1,0)</f>
        <v>0</v>
      </c>
      <c r="BR40" s="1543">
        <f t="shared" si="78"/>
        <v>0</v>
      </c>
      <c r="BS40" s="1543">
        <f t="shared" si="78"/>
        <v>0</v>
      </c>
      <c r="BT40" s="1543">
        <f t="shared" si="78"/>
        <v>0</v>
      </c>
      <c r="BU40" s="1543">
        <f t="shared" si="78"/>
        <v>0</v>
      </c>
      <c r="BV40" s="1543">
        <f t="shared" si="78"/>
        <v>0</v>
      </c>
      <c r="BW40" s="1543">
        <f t="shared" si="78"/>
        <v>0</v>
      </c>
      <c r="BX40" s="1543">
        <f t="shared" ref="BR40:BZ46" si="79">IF($I40=BX$2,1,0)</f>
        <v>0</v>
      </c>
      <c r="BY40" s="1543">
        <f t="shared" si="79"/>
        <v>0</v>
      </c>
      <c r="BZ40" s="1543">
        <f t="shared" si="79"/>
        <v>0</v>
      </c>
      <c r="CB40" s="1543">
        <f t="shared" si="64"/>
        <v>0</v>
      </c>
      <c r="CC40" s="1543">
        <f t="shared" si="62"/>
        <v>0</v>
      </c>
      <c r="CD40" s="1543">
        <f t="shared" si="62"/>
        <v>0</v>
      </c>
      <c r="CE40" s="1543">
        <f t="shared" si="62"/>
        <v>0</v>
      </c>
      <c r="CF40" s="1543">
        <f t="shared" si="62"/>
        <v>0</v>
      </c>
      <c r="CG40" s="1543">
        <f t="shared" si="62"/>
        <v>0</v>
      </c>
      <c r="CH40" s="1543">
        <f t="shared" si="62"/>
        <v>0</v>
      </c>
      <c r="CI40" s="1543">
        <f t="shared" si="62"/>
        <v>0</v>
      </c>
      <c r="CJ40" s="1543">
        <f t="shared" si="62"/>
        <v>0</v>
      </c>
      <c r="CK40" s="1543">
        <f t="shared" si="62"/>
        <v>0</v>
      </c>
      <c r="CL40" s="1543">
        <f t="shared" si="62"/>
        <v>0</v>
      </c>
      <c r="CM40" s="1543">
        <f t="shared" si="62"/>
        <v>0</v>
      </c>
      <c r="CN40" s="1543">
        <f t="shared" si="62"/>
        <v>0</v>
      </c>
      <c r="CO40" s="1543">
        <f t="shared" si="62"/>
        <v>0</v>
      </c>
      <c r="CP40" s="1543">
        <f t="shared" si="62"/>
        <v>0</v>
      </c>
      <c r="CQ40" s="1543">
        <f t="shared" si="62"/>
        <v>0</v>
      </c>
      <c r="CR40" s="1543">
        <f t="shared" si="62"/>
        <v>0</v>
      </c>
      <c r="CS40" s="1543">
        <f t="shared" si="46"/>
        <v>0</v>
      </c>
      <c r="CT40" s="1543">
        <f t="shared" si="47"/>
        <v>0</v>
      </c>
      <c r="CU40" s="1543">
        <f t="shared" si="47"/>
        <v>0</v>
      </c>
      <c r="CV40" s="1543">
        <f t="shared" si="47"/>
        <v>0</v>
      </c>
      <c r="CW40" s="1543">
        <f t="shared" si="47"/>
        <v>0</v>
      </c>
      <c r="CX40" s="1543">
        <f t="shared" si="47"/>
        <v>0</v>
      </c>
      <c r="CY40" s="1543">
        <f t="shared" si="47"/>
        <v>0</v>
      </c>
      <c r="CZ40" s="1543">
        <f t="shared" si="47"/>
        <v>0</v>
      </c>
      <c r="DA40" s="1543">
        <f t="shared" si="47"/>
        <v>0</v>
      </c>
      <c r="DB40" s="1543">
        <f t="shared" si="47"/>
        <v>0</v>
      </c>
      <c r="DD40" s="1543">
        <f t="shared" si="68"/>
        <v>0</v>
      </c>
      <c r="DE40" s="1543">
        <f t="shared" si="69"/>
        <v>0</v>
      </c>
      <c r="DF40" s="1543">
        <f t="shared" si="70"/>
        <v>0</v>
      </c>
      <c r="DG40" s="1543">
        <f t="shared" si="31"/>
        <v>0</v>
      </c>
      <c r="DI40" s="1543">
        <f t="shared" si="32"/>
        <v>0</v>
      </c>
      <c r="DJ40" s="1543">
        <f t="shared" si="74"/>
        <v>0</v>
      </c>
      <c r="DK40" s="1543">
        <f t="shared" si="74"/>
        <v>0</v>
      </c>
      <c r="DL40" s="1543">
        <f t="shared" si="74"/>
        <v>0</v>
      </c>
      <c r="DM40" s="1543">
        <f t="shared" si="74"/>
        <v>0</v>
      </c>
      <c r="DO40" s="1543">
        <f t="shared" si="75"/>
        <v>0</v>
      </c>
      <c r="DP40" s="1543">
        <f t="shared" si="75"/>
        <v>0</v>
      </c>
      <c r="DQ40" s="1543">
        <f t="shared" si="75"/>
        <v>0</v>
      </c>
      <c r="DR40" s="1543">
        <f t="shared" si="75"/>
        <v>0</v>
      </c>
      <c r="DS40" s="1543">
        <f t="shared" si="75"/>
        <v>0</v>
      </c>
      <c r="DT40" s="1543">
        <f t="shared" si="75"/>
        <v>0</v>
      </c>
      <c r="DU40" s="1543">
        <f t="shared" si="75"/>
        <v>0</v>
      </c>
      <c r="DV40" s="1543">
        <f t="shared" si="75"/>
        <v>0</v>
      </c>
      <c r="DW40" s="1543">
        <f t="shared" si="75"/>
        <v>0</v>
      </c>
      <c r="DX40" s="1543">
        <f t="shared" si="75"/>
        <v>0</v>
      </c>
      <c r="DY40" s="1543">
        <f t="shared" si="75"/>
        <v>0</v>
      </c>
      <c r="DZ40" s="1543">
        <f t="shared" si="75"/>
        <v>0</v>
      </c>
      <c r="EA40" s="1543">
        <f t="shared" si="75"/>
        <v>0</v>
      </c>
      <c r="EB40" s="1543">
        <f t="shared" si="71"/>
        <v>0</v>
      </c>
      <c r="EC40" s="1543">
        <f t="shared" si="71"/>
        <v>0</v>
      </c>
      <c r="ED40" s="1543">
        <f t="shared" si="71"/>
        <v>0</v>
      </c>
      <c r="EE40" s="1543">
        <f t="shared" si="71"/>
        <v>0</v>
      </c>
      <c r="EF40" s="1543">
        <f t="shared" si="71"/>
        <v>0</v>
      </c>
      <c r="EH40" s="1543">
        <f t="shared" si="33"/>
        <v>0</v>
      </c>
      <c r="EI40" s="1543">
        <f t="shared" si="34"/>
        <v>0</v>
      </c>
      <c r="EJ40" s="1543">
        <f t="shared" si="35"/>
        <v>0</v>
      </c>
      <c r="EK40" s="1543">
        <f t="shared" si="36"/>
        <v>0</v>
      </c>
      <c r="EL40" s="1543">
        <f t="shared" si="37"/>
        <v>0</v>
      </c>
      <c r="EM40" s="1543">
        <f t="shared" si="38"/>
        <v>0</v>
      </c>
      <c r="EN40" s="1543">
        <f t="shared" si="39"/>
        <v>0</v>
      </c>
      <c r="EP40" s="1543">
        <f t="shared" si="72"/>
        <v>0</v>
      </c>
      <c r="EQ40" s="1543">
        <f t="shared" si="72"/>
        <v>0</v>
      </c>
      <c r="ER40" s="1543">
        <f t="shared" si="72"/>
        <v>0</v>
      </c>
      <c r="ES40" s="1543">
        <f t="shared" si="72"/>
        <v>0</v>
      </c>
      <c r="ET40" s="1543">
        <f t="shared" si="73"/>
        <v>0</v>
      </c>
      <c r="EU40" s="1543">
        <f t="shared" si="73"/>
        <v>0</v>
      </c>
      <c r="EV40" s="1543">
        <f t="shared" si="73"/>
        <v>0</v>
      </c>
      <c r="EW40" s="1543">
        <f t="shared" si="73"/>
        <v>0</v>
      </c>
      <c r="EX40" s="1543">
        <f t="shared" si="73"/>
        <v>0</v>
      </c>
      <c r="EY40" s="1543">
        <f t="shared" si="73"/>
        <v>0</v>
      </c>
      <c r="EZ40" s="1543">
        <f t="shared" si="73"/>
        <v>0</v>
      </c>
      <c r="FA40" s="1543">
        <f t="shared" si="73"/>
        <v>0</v>
      </c>
      <c r="FB40" s="1543">
        <f t="shared" si="73"/>
        <v>0</v>
      </c>
      <c r="FC40" s="1543">
        <f t="shared" si="73"/>
        <v>0</v>
      </c>
      <c r="FD40" s="1543">
        <f t="shared" si="73"/>
        <v>0</v>
      </c>
      <c r="FE40" s="1543">
        <f t="shared" si="52"/>
        <v>0</v>
      </c>
      <c r="FF40" s="1543">
        <f t="shared" si="40"/>
        <v>1</v>
      </c>
      <c r="FH40" s="1543">
        <f t="shared" si="76"/>
        <v>0</v>
      </c>
      <c r="FI40" s="1543">
        <f t="shared" si="76"/>
        <v>0</v>
      </c>
      <c r="FJ40" s="1543">
        <f t="shared" si="76"/>
        <v>0</v>
      </c>
      <c r="FK40" s="1543">
        <f t="shared" si="76"/>
        <v>0</v>
      </c>
      <c r="FL40" s="1543">
        <f t="shared" si="76"/>
        <v>0</v>
      </c>
      <c r="FM40" s="1543">
        <f t="shared" si="76"/>
        <v>0</v>
      </c>
      <c r="FN40" s="1543">
        <f t="shared" si="76"/>
        <v>0</v>
      </c>
      <c r="FO40" s="1543">
        <f t="shared" si="76"/>
        <v>0</v>
      </c>
      <c r="FP40" s="1543">
        <f t="shared" si="76"/>
        <v>0</v>
      </c>
      <c r="FQ40" s="1543">
        <f t="shared" si="76"/>
        <v>0</v>
      </c>
      <c r="FR40" s="1543">
        <f t="shared" si="76"/>
        <v>0</v>
      </c>
      <c r="FS40" s="1543">
        <f t="shared" si="76"/>
        <v>0</v>
      </c>
      <c r="FT40" s="1543">
        <f t="shared" si="41"/>
        <v>0</v>
      </c>
      <c r="FV40" s="1543">
        <f t="shared" si="77"/>
        <v>1</v>
      </c>
      <c r="FW40" s="1543">
        <f t="shared" si="77"/>
        <v>0</v>
      </c>
      <c r="FX40" s="1543">
        <f t="shared" si="77"/>
        <v>0</v>
      </c>
      <c r="FY40" s="1543">
        <f t="shared" si="77"/>
        <v>0</v>
      </c>
      <c r="FZ40" s="1543">
        <f t="shared" si="77"/>
        <v>0</v>
      </c>
      <c r="GA40" s="1543">
        <f t="shared" si="77"/>
        <v>0</v>
      </c>
      <c r="GB40" s="1543">
        <f t="shared" si="77"/>
        <v>0</v>
      </c>
      <c r="GC40" s="1543">
        <f t="shared" si="77"/>
        <v>0</v>
      </c>
      <c r="GD40" s="1543">
        <f t="shared" si="77"/>
        <v>0</v>
      </c>
    </row>
    <row r="41" spans="1:186" s="982" customFormat="1" ht="15.6" x14ac:dyDescent="0.3">
      <c r="A41" s="974">
        <v>39</v>
      </c>
      <c r="B41" s="983"/>
      <c r="C41" s="984"/>
      <c r="D41" s="983"/>
      <c r="E41" s="968" t="str">
        <f>IFERROR(VLOOKUP($D41&amp;"."&amp;B41,'Piping Class'!$1:$1048576,MATCH($I41,'Piping Class'!$2:$2,0),0),"")</f>
        <v/>
      </c>
      <c r="F41" s="985" t="str">
        <f>IFERROR(IF(B41="Flange",VLOOKUP($D41,'Piping Class'!$88:$102,MATCH(F$1,'Piping Class'!$88:$88,0),0),""),"")</f>
        <v/>
      </c>
      <c r="G41" s="968" t="str">
        <f>IFERROR(IF(B41="Flange",VLOOKUP($D41,'Piping Class'!$88:$102,MATCH(G$1,'Piping Class'!$88:$88,0),0),""),"")</f>
        <v/>
      </c>
      <c r="H41" s="968" t="str">
        <f>IFERROR(VLOOKUP($D41,'Piping Class'!$88:$102,MATCH(H$1,'Piping Class'!$88:$88,0),0),"")</f>
        <v/>
      </c>
      <c r="I41" s="986"/>
      <c r="J41" s="987"/>
      <c r="K41" s="968" t="str">
        <f>IFERROR(VLOOKUP(I41,'Thickness Tab'!$1:$1048576,MATCH(L41,'Thickness Tab'!$1:$1,0),0),"")</f>
        <v/>
      </c>
      <c r="L41" s="969" t="str">
        <f>IFERROR(VLOOKUP($D41,'Piping Class'!$1:$1048576,MATCH($I41,'Piping Class'!$2:$2,0),0),"")</f>
        <v/>
      </c>
      <c r="M41" s="968" t="str">
        <f>IFERROR(VLOOKUP(J41,'Thickness Tab'!$1:$1048576,MATCH(N41,'Thickness Tab'!$1:$1,0),0),"")</f>
        <v/>
      </c>
      <c r="N41" s="969" t="str">
        <f>IFERROR(VLOOKUP($D41,'Piping Class'!$1:$1048576,MATCH($J41,'Piping Class'!$2:$2,0),0),"")</f>
        <v/>
      </c>
      <c r="O41" s="968" t="str">
        <f>IFERROR(VLOOKUP($D41,'Piping Class'!$88:$102,MATCH(O$1,'Piping Class'!$88:$88,0),0),"")</f>
        <v/>
      </c>
      <c r="P41" s="968" t="str">
        <f>IFERROR(VLOOKUP($D41,'Piping Class'!$88:$102,MATCH(P$1,'Piping Class'!$88:$88,0),0),"")</f>
        <v/>
      </c>
      <c r="Q41" s="983"/>
      <c r="R41" s="988"/>
      <c r="S41" s="969" t="str">
        <f t="shared" ref="S41:S49" si="80">IF(B41="","",IF(B41="piping","m","cad"))</f>
        <v/>
      </c>
      <c r="T41" s="968">
        <f>IFERROR(VLOOKUP(I41&amp;"."&amp;L41,'Fitting Chart'!$1:$1048576,MATCH(C41,'Fitting Chart'!$1:$1,0),0),0)+IF(B41="piping",PI()*K41*(VLOOKUP(I41,'Thickness Tab'!$1:$1048576,3,0)-K41)*7.86/1000,0)+IF(B41="Flange",VLOOKUP(I41&amp;"F"&amp;F41,'Flanges Chart'!$1:$1048576,MATCH(C41&amp;"."&amp;T$1,'Flanges Chart'!$1:$1,0),0),0)</f>
        <v>0</v>
      </c>
      <c r="U41" s="989">
        <f t="shared" ref="U41:U49" si="81">T41*R41</f>
        <v>0</v>
      </c>
      <c r="V41" s="1003"/>
      <c r="W41" s="1001">
        <f t="shared" ref="W41:W49" si="82">V41*U41</f>
        <v>0</v>
      </c>
      <c r="X41" s="997"/>
      <c r="Y41" s="983"/>
      <c r="Z41" s="989">
        <f>IF(B41="Piping",VLOOKUP(I41,'Thickness Tab'!$1:$1048576,3,0)/1000*PI(),0)+IFERROR(VLOOKUP(I41&amp;"F"&amp;F41,'Flanges Chart'!$1:$1048576,MATCH(C41&amp;".Unit Surface",'Flanges Chart'!$1:$1,0),0),0)+IF(B41="Fitting",VLOOKUP(I41,'Thickness Tab'!$1:$1048576,3,0)/1000*PI(),0)</f>
        <v>0</v>
      </c>
      <c r="AA41" s="989">
        <f t="shared" ref="AA41:AA49" si="83">Z41*R41</f>
        <v>0</v>
      </c>
      <c r="AB41" s="983">
        <v>0</v>
      </c>
      <c r="AC41" s="989">
        <f t="shared" si="24"/>
        <v>0</v>
      </c>
      <c r="AD41" s="989">
        <f t="shared" si="25"/>
        <v>0</v>
      </c>
      <c r="AE41" s="974">
        <f>(IFERROR(VLOOKUP($C41,List!$J:$L,2,0),0)*R41+IF(B41="piping",R41,0)+IF(C41="Welding Neck",1,0)*R41)*$AE$2</f>
        <v>0</v>
      </c>
      <c r="AF41" s="970">
        <f>IFERROR(VLOOKUP($C41,List!$J:$L,3,0),0)*R41*$AF$2</f>
        <v>0</v>
      </c>
      <c r="AG41" s="990">
        <f t="shared" ref="AG41:AG49" si="84">AE41*I41+J41*AF41</f>
        <v>0</v>
      </c>
      <c r="AH41" s="1118" t="str">
        <f>IFERROR(VLOOKUP($D41,'Piping Class'!$88:$102,MATCH(AH$1,'Piping Class'!$88:$88,0),0),"")</f>
        <v/>
      </c>
      <c r="AI41" s="991" t="str">
        <f>IFERROR(VLOOKUP($D41,'Piping Class'!$88:$102,MATCH(AI$1,'Piping Class'!$88:$88,0),0),"")</f>
        <v/>
      </c>
      <c r="AJ41" s="991" t="str">
        <f>IFERROR(VLOOKUP($D41,'Piping Class'!$88:$102,MATCH(AJ$1,'Piping Class'!$88:$88,0),0),"")</f>
        <v/>
      </c>
      <c r="AK41" s="991" t="str">
        <f>IFERROR(VLOOKUP($D41,'Piping Class'!$88:$102,MATCH(AK$1,'Piping Class'!$88:$88,0),0),"")</f>
        <v/>
      </c>
      <c r="AL41" s="991">
        <f t="shared" si="44"/>
        <v>0</v>
      </c>
      <c r="AM41" s="1119" t="str">
        <f>IFERROR(VLOOKUP($D41,'Piping Class'!$88:$102,MATCH(AM$1,'Piping Class'!$88:$88,0),0),"")</f>
        <v/>
      </c>
      <c r="AN41" s="992">
        <f t="shared" si="26"/>
        <v>0</v>
      </c>
      <c r="AO41" s="993">
        <f>IFERROR(VLOOKUP(I41&amp;"B"&amp;F41,'Bolting Chart'!$1:$1048576,4,0),0)</f>
        <v>0</v>
      </c>
      <c r="AP41" s="993">
        <f t="shared" ref="AP41:AP49" si="85">IFERROR(AO41*R41,0)</f>
        <v>0</v>
      </c>
      <c r="AQ41" s="993">
        <f t="shared" ref="AQ41:AQ49" si="86">IF(AO41=0,0,R41)</f>
        <v>0</v>
      </c>
      <c r="AR41" s="993">
        <f>IF(AO41=0,0,VLOOKUP(D41&amp;".bolting",'Piping Class'!$1:$1048576,MATCH(I41,'Piping Class'!$2:$2,0),0))</f>
        <v>0</v>
      </c>
      <c r="AS41" s="994">
        <f>IFERROR(VLOOKUP(I41&amp;"B"&amp;F41,'Bolting Chart'!$1:$1048576,IF(AS$2="UNC",5,6),0),0)</f>
        <v>0</v>
      </c>
      <c r="AT41" s="995">
        <f>IFERROR(VLOOKUP(I41&amp;"B"&amp;F41,'Bolting Chart'!$1:$1048576,IF(G41="RF",8,9),0),0)</f>
        <v>0</v>
      </c>
      <c r="AU41" s="993">
        <f>IF(AO41=0,0,VLOOKUP(D41&amp;".gasket",'Piping Class'!$1:$1048576,MATCH(I41,'Piping Class'!$2:$2,0),0))</f>
        <v>0</v>
      </c>
      <c r="AV41" s="996">
        <f>(IFERROR(INDEX('Bolting Chart'!$A$169:$R$251,MATCH(AT41,'Bolting Chart'!$A$170:$A$251,0),MATCH(IFERROR(VLOOKUP(I41&amp;"B"&amp;F41,'Bolting Chart'!$1:$1048576,7,0),0)+0,'Bolting Chart'!$A$169:$R$169,0)),0))/100</f>
        <v>0</v>
      </c>
      <c r="AW41" s="996">
        <f t="shared" ref="AW41:AW49" si="87">AV41*AO41</f>
        <v>0</v>
      </c>
      <c r="AX41" s="1194">
        <f t="shared" ref="AX41:AX49" si="88">AV41*AP41</f>
        <v>0</v>
      </c>
      <c r="AY41" s="981"/>
      <c r="AZ41" s="1543">
        <f t="shared" si="63"/>
        <v>0</v>
      </c>
      <c r="BA41" s="1543">
        <f t="shared" si="63"/>
        <v>0</v>
      </c>
      <c r="BB41" s="1543">
        <f t="shared" si="63"/>
        <v>0</v>
      </c>
      <c r="BC41" s="1543">
        <f t="shared" si="63"/>
        <v>0</v>
      </c>
      <c r="BD41" s="1543">
        <f t="shared" si="63"/>
        <v>0</v>
      </c>
      <c r="BE41" s="1543">
        <f t="shared" si="63"/>
        <v>0</v>
      </c>
      <c r="BF41" s="1543">
        <f t="shared" si="63"/>
        <v>0</v>
      </c>
      <c r="BG41" s="1543">
        <f t="shared" si="63"/>
        <v>0</v>
      </c>
      <c r="BH41" s="1543">
        <f t="shared" si="63"/>
        <v>0</v>
      </c>
      <c r="BI41" s="1543">
        <f t="shared" si="63"/>
        <v>0</v>
      </c>
      <c r="BJ41" s="1543">
        <f t="shared" si="63"/>
        <v>0</v>
      </c>
      <c r="BK41" s="1543">
        <f t="shared" si="63"/>
        <v>0</v>
      </c>
      <c r="BL41" s="1543">
        <f t="shared" si="63"/>
        <v>0</v>
      </c>
      <c r="BM41" s="1543">
        <f t="shared" si="63"/>
        <v>0</v>
      </c>
      <c r="BN41" s="1543">
        <f t="shared" si="63"/>
        <v>0</v>
      </c>
      <c r="BO41" s="1543">
        <f t="shared" si="63"/>
        <v>0</v>
      </c>
      <c r="BP41" s="1543">
        <f t="shared" ref="BP41:BZ60" si="89">IF($I41=BP$2,1,0)</f>
        <v>0</v>
      </c>
      <c r="BQ41" s="1543">
        <f t="shared" ref="BQ41:BQ46" si="90">IF($I41=BQ$2,1,0)</f>
        <v>0</v>
      </c>
      <c r="BR41" s="1543">
        <f t="shared" si="79"/>
        <v>0</v>
      </c>
      <c r="BS41" s="1543">
        <f t="shared" si="79"/>
        <v>0</v>
      </c>
      <c r="BT41" s="1543">
        <f t="shared" si="79"/>
        <v>0</v>
      </c>
      <c r="BU41" s="1543">
        <f t="shared" si="79"/>
        <v>0</v>
      </c>
      <c r="BV41" s="1543">
        <f t="shared" si="79"/>
        <v>0</v>
      </c>
      <c r="BW41" s="1543">
        <f t="shared" si="79"/>
        <v>0</v>
      </c>
      <c r="BX41" s="1543">
        <f t="shared" si="79"/>
        <v>0</v>
      </c>
      <c r="BY41" s="1543">
        <f t="shared" si="79"/>
        <v>0</v>
      </c>
      <c r="BZ41" s="1543">
        <f t="shared" si="79"/>
        <v>0</v>
      </c>
      <c r="CB41" s="1543">
        <f t="shared" si="64"/>
        <v>0</v>
      </c>
      <c r="CC41" s="1543">
        <f t="shared" si="64"/>
        <v>0</v>
      </c>
      <c r="CD41" s="1543">
        <f t="shared" si="64"/>
        <v>0</v>
      </c>
      <c r="CE41" s="1543">
        <f t="shared" si="64"/>
        <v>0</v>
      </c>
      <c r="CF41" s="1543">
        <f t="shared" si="64"/>
        <v>0</v>
      </c>
      <c r="CG41" s="1543">
        <f t="shared" si="64"/>
        <v>0</v>
      </c>
      <c r="CH41" s="1543">
        <f t="shared" si="64"/>
        <v>0</v>
      </c>
      <c r="CI41" s="1543">
        <f t="shared" si="64"/>
        <v>0</v>
      </c>
      <c r="CJ41" s="1543">
        <f t="shared" si="64"/>
        <v>0</v>
      </c>
      <c r="CK41" s="1543">
        <f t="shared" si="64"/>
        <v>0</v>
      </c>
      <c r="CL41" s="1543">
        <f t="shared" si="64"/>
        <v>0</v>
      </c>
      <c r="CM41" s="1543">
        <f t="shared" si="64"/>
        <v>0</v>
      </c>
      <c r="CN41" s="1543">
        <f t="shared" si="64"/>
        <v>0</v>
      </c>
      <c r="CO41" s="1543">
        <f t="shared" si="64"/>
        <v>0</v>
      </c>
      <c r="CP41" s="1543">
        <f t="shared" si="64"/>
        <v>0</v>
      </c>
      <c r="CQ41" s="1543">
        <f t="shared" si="64"/>
        <v>0</v>
      </c>
      <c r="CR41" s="1543">
        <f t="shared" ref="CR41:CS60" si="91">IF($J41=CR$2,1,0)</f>
        <v>0</v>
      </c>
      <c r="CS41" s="1543">
        <f t="shared" si="46"/>
        <v>0</v>
      </c>
      <c r="CT41" s="1543">
        <f t="shared" si="47"/>
        <v>0</v>
      </c>
      <c r="CU41" s="1543">
        <f t="shared" si="47"/>
        <v>0</v>
      </c>
      <c r="CV41" s="1543">
        <f t="shared" si="47"/>
        <v>0</v>
      </c>
      <c r="CW41" s="1543">
        <f t="shared" si="47"/>
        <v>0</v>
      </c>
      <c r="CX41" s="1543">
        <f t="shared" si="47"/>
        <v>0</v>
      </c>
      <c r="CY41" s="1543">
        <f t="shared" si="47"/>
        <v>0</v>
      </c>
      <c r="CZ41" s="1543">
        <f t="shared" si="47"/>
        <v>0</v>
      </c>
      <c r="DA41" s="1543">
        <f t="shared" si="47"/>
        <v>0</v>
      </c>
      <c r="DB41" s="1543">
        <f t="shared" si="47"/>
        <v>0</v>
      </c>
      <c r="DD41" s="1543">
        <f t="shared" si="68"/>
        <v>0</v>
      </c>
      <c r="DE41" s="1543">
        <f t="shared" si="69"/>
        <v>0</v>
      </c>
      <c r="DF41" s="1543">
        <f t="shared" si="70"/>
        <v>0</v>
      </c>
      <c r="DG41" s="1543">
        <f t="shared" si="31"/>
        <v>0</v>
      </c>
      <c r="DI41" s="1543">
        <f t="shared" si="32"/>
        <v>0</v>
      </c>
      <c r="DJ41" s="1543">
        <f t="shared" si="74"/>
        <v>0</v>
      </c>
      <c r="DK41" s="1543">
        <f t="shared" si="74"/>
        <v>0</v>
      </c>
      <c r="DL41" s="1543">
        <f t="shared" si="74"/>
        <v>0</v>
      </c>
      <c r="DM41" s="1543">
        <f t="shared" si="74"/>
        <v>0</v>
      </c>
      <c r="DO41" s="1543">
        <f t="shared" si="75"/>
        <v>0</v>
      </c>
      <c r="DP41" s="1543">
        <f t="shared" si="75"/>
        <v>0</v>
      </c>
      <c r="DQ41" s="1543">
        <f t="shared" si="75"/>
        <v>0</v>
      </c>
      <c r="DR41" s="1543">
        <f t="shared" si="75"/>
        <v>0</v>
      </c>
      <c r="DS41" s="1543">
        <f t="shared" si="75"/>
        <v>0</v>
      </c>
      <c r="DT41" s="1543">
        <f t="shared" si="75"/>
        <v>0</v>
      </c>
      <c r="DU41" s="1543">
        <f t="shared" si="75"/>
        <v>0</v>
      </c>
      <c r="DV41" s="1543">
        <f t="shared" si="75"/>
        <v>0</v>
      </c>
      <c r="DW41" s="1543">
        <f t="shared" si="75"/>
        <v>0</v>
      </c>
      <c r="DX41" s="1543">
        <f t="shared" si="75"/>
        <v>0</v>
      </c>
      <c r="DY41" s="1543">
        <f t="shared" si="75"/>
        <v>0</v>
      </c>
      <c r="DZ41" s="1543">
        <f t="shared" si="75"/>
        <v>0</v>
      </c>
      <c r="EA41" s="1543">
        <f t="shared" si="75"/>
        <v>0</v>
      </c>
      <c r="EB41" s="1543">
        <f t="shared" si="71"/>
        <v>0</v>
      </c>
      <c r="EC41" s="1543">
        <f t="shared" si="71"/>
        <v>0</v>
      </c>
      <c r="ED41" s="1543">
        <f t="shared" si="71"/>
        <v>0</v>
      </c>
      <c r="EE41" s="1543">
        <f t="shared" si="71"/>
        <v>0</v>
      </c>
      <c r="EF41" s="1543">
        <f t="shared" si="71"/>
        <v>0</v>
      </c>
      <c r="EH41" s="1543">
        <f t="shared" ref="EH41:EH49" si="92">SUM(DO41:DS41,EB41:EE41)</f>
        <v>0</v>
      </c>
      <c r="EI41" s="1543">
        <f t="shared" ref="EI41:EI49" si="93">DT41</f>
        <v>0</v>
      </c>
      <c r="EJ41" s="1543">
        <f t="shared" ref="EJ41:EJ49" si="94">SUM(DU41:DV41,EF41)</f>
        <v>0</v>
      </c>
      <c r="EK41" s="1543">
        <f t="shared" ref="EK41:EK49" si="95">DW41</f>
        <v>0</v>
      </c>
      <c r="EL41" s="1543">
        <f t="shared" ref="EL41:EL49" si="96">DX41</f>
        <v>0</v>
      </c>
      <c r="EM41" s="1543">
        <f t="shared" ref="EM41:EM49" si="97">DY41</f>
        <v>0</v>
      </c>
      <c r="EN41" s="1543">
        <f t="shared" ref="EN41:EN49" si="98">SUM(DZ41:EA41)</f>
        <v>0</v>
      </c>
      <c r="EP41" s="1543">
        <f t="shared" si="72"/>
        <v>0</v>
      </c>
      <c r="EQ41" s="1543">
        <f t="shared" si="72"/>
        <v>0</v>
      </c>
      <c r="ER41" s="1543">
        <f t="shared" si="72"/>
        <v>0</v>
      </c>
      <c r="ES41" s="1543">
        <f t="shared" si="72"/>
        <v>0</v>
      </c>
      <c r="ET41" s="1543">
        <f t="shared" si="73"/>
        <v>0</v>
      </c>
      <c r="EU41" s="1543">
        <f t="shared" si="73"/>
        <v>0</v>
      </c>
      <c r="EV41" s="1543">
        <f t="shared" si="73"/>
        <v>0</v>
      </c>
      <c r="EW41" s="1543">
        <f t="shared" si="73"/>
        <v>0</v>
      </c>
      <c r="EX41" s="1543">
        <f t="shared" si="73"/>
        <v>0</v>
      </c>
      <c r="EY41" s="1543">
        <f t="shared" si="73"/>
        <v>0</v>
      </c>
      <c r="EZ41" s="1543">
        <f t="shared" si="73"/>
        <v>0</v>
      </c>
      <c r="FA41" s="1543">
        <f t="shared" si="73"/>
        <v>0</v>
      </c>
      <c r="FB41" s="1543">
        <f t="shared" si="73"/>
        <v>0</v>
      </c>
      <c r="FC41" s="1543">
        <f t="shared" si="73"/>
        <v>0</v>
      </c>
      <c r="FD41" s="1543">
        <f t="shared" si="73"/>
        <v>0</v>
      </c>
      <c r="FE41" s="1543">
        <f t="shared" si="52"/>
        <v>0</v>
      </c>
      <c r="FF41" s="1543">
        <f t="shared" si="40"/>
        <v>1</v>
      </c>
      <c r="FH41" s="1543">
        <f t="shared" si="76"/>
        <v>0</v>
      </c>
      <c r="FI41" s="1543">
        <f t="shared" si="76"/>
        <v>0</v>
      </c>
      <c r="FJ41" s="1543">
        <f t="shared" si="76"/>
        <v>0</v>
      </c>
      <c r="FK41" s="1543">
        <f t="shared" si="76"/>
        <v>0</v>
      </c>
      <c r="FL41" s="1543">
        <f t="shared" si="76"/>
        <v>0</v>
      </c>
      <c r="FM41" s="1543">
        <f t="shared" si="76"/>
        <v>0</v>
      </c>
      <c r="FN41" s="1543">
        <f t="shared" si="76"/>
        <v>0</v>
      </c>
      <c r="FO41" s="1543">
        <f t="shared" si="76"/>
        <v>0</v>
      </c>
      <c r="FP41" s="1543">
        <f t="shared" si="76"/>
        <v>0</v>
      </c>
      <c r="FQ41" s="1543">
        <f t="shared" si="76"/>
        <v>0</v>
      </c>
      <c r="FR41" s="1543">
        <f t="shared" si="76"/>
        <v>0</v>
      </c>
      <c r="FS41" s="1543">
        <f t="shared" si="76"/>
        <v>0</v>
      </c>
      <c r="FT41" s="1543">
        <f t="shared" si="41"/>
        <v>0</v>
      </c>
      <c r="FV41" s="1543">
        <f t="shared" si="77"/>
        <v>1</v>
      </c>
      <c r="FW41" s="1543">
        <f t="shared" si="77"/>
        <v>0</v>
      </c>
      <c r="FX41" s="1543">
        <f t="shared" si="77"/>
        <v>0</v>
      </c>
      <c r="FY41" s="1543">
        <f t="shared" si="77"/>
        <v>0</v>
      </c>
      <c r="FZ41" s="1543">
        <f t="shared" si="77"/>
        <v>0</v>
      </c>
      <c r="GA41" s="1543">
        <f t="shared" si="77"/>
        <v>0</v>
      </c>
      <c r="GB41" s="1543">
        <f t="shared" si="77"/>
        <v>0</v>
      </c>
      <c r="GC41" s="1543">
        <f t="shared" si="77"/>
        <v>0</v>
      </c>
      <c r="GD41" s="1543">
        <f t="shared" si="77"/>
        <v>0</v>
      </c>
    </row>
    <row r="42" spans="1:186" s="982" customFormat="1" ht="15.6" x14ac:dyDescent="0.3">
      <c r="A42" s="974">
        <v>40</v>
      </c>
      <c r="B42" s="983"/>
      <c r="C42" s="984"/>
      <c r="D42" s="983"/>
      <c r="E42" s="968" t="str">
        <f>IFERROR(VLOOKUP($D42&amp;"."&amp;B42,'Piping Class'!$1:$1048576,MATCH($I42,'Piping Class'!$2:$2,0),0),"")</f>
        <v/>
      </c>
      <c r="F42" s="985" t="str">
        <f>IFERROR(IF(B42="Flange",VLOOKUP($D42,'Piping Class'!$88:$102,MATCH(F$1,'Piping Class'!$88:$88,0),0),""),"")</f>
        <v/>
      </c>
      <c r="G42" s="968" t="str">
        <f>IFERROR(IF(B42="Flange",VLOOKUP($D42,'Piping Class'!$88:$102,MATCH(G$1,'Piping Class'!$88:$88,0),0),""),"")</f>
        <v/>
      </c>
      <c r="H42" s="968" t="str">
        <f>IFERROR(VLOOKUP($D42,'Piping Class'!$88:$102,MATCH(H$1,'Piping Class'!$88:$88,0),0),"")</f>
        <v/>
      </c>
      <c r="I42" s="986"/>
      <c r="J42" s="987"/>
      <c r="K42" s="968" t="str">
        <f>IFERROR(VLOOKUP(I42,'Thickness Tab'!$1:$1048576,MATCH(L42,'Thickness Tab'!$1:$1,0),0),"")</f>
        <v/>
      </c>
      <c r="L42" s="969" t="str">
        <f>IFERROR(VLOOKUP($D42,'Piping Class'!$1:$1048576,MATCH($I42,'Piping Class'!$2:$2,0),0),"")</f>
        <v/>
      </c>
      <c r="M42" s="968" t="str">
        <f>IFERROR(VLOOKUP(J42,'Thickness Tab'!$1:$1048576,MATCH(N42,'Thickness Tab'!$1:$1,0),0),"")</f>
        <v/>
      </c>
      <c r="N42" s="969" t="str">
        <f>IFERROR(VLOOKUP($D42,'Piping Class'!$1:$1048576,MATCH($J42,'Piping Class'!$2:$2,0),0),"")</f>
        <v/>
      </c>
      <c r="O42" s="968" t="str">
        <f>IFERROR(VLOOKUP($D42,'Piping Class'!$88:$102,MATCH(O$1,'Piping Class'!$88:$88,0),0),"")</f>
        <v/>
      </c>
      <c r="P42" s="968" t="str">
        <f>IFERROR(VLOOKUP($D42,'Piping Class'!$88:$102,MATCH(P$1,'Piping Class'!$88:$88,0),0),"")</f>
        <v/>
      </c>
      <c r="Q42" s="983"/>
      <c r="R42" s="988"/>
      <c r="S42" s="969" t="str">
        <f t="shared" si="80"/>
        <v/>
      </c>
      <c r="T42" s="968">
        <f>IFERROR(VLOOKUP(I42&amp;"."&amp;L42,'Fitting Chart'!$1:$1048576,MATCH(C42,'Fitting Chart'!$1:$1,0),0),0)+IF(B42="piping",PI()*K42*(VLOOKUP(I42,'Thickness Tab'!$1:$1048576,3,0)-K42)*7.86/1000,0)+IF(B42="Flange",VLOOKUP(I42&amp;"F"&amp;F42,'Flanges Chart'!$1:$1048576,MATCH(C42&amp;"."&amp;T$1,'Flanges Chart'!$1:$1,0),0),0)</f>
        <v>0</v>
      </c>
      <c r="U42" s="989">
        <f t="shared" si="81"/>
        <v>0</v>
      </c>
      <c r="V42" s="1003"/>
      <c r="W42" s="1001">
        <f t="shared" si="82"/>
        <v>0</v>
      </c>
      <c r="X42" s="997"/>
      <c r="Y42" s="983"/>
      <c r="Z42" s="989">
        <f>IF(B42="Piping",VLOOKUP(I42,'Thickness Tab'!$1:$1048576,3,0)/1000*PI(),0)+IFERROR(VLOOKUP(I42&amp;"F"&amp;F42,'Flanges Chart'!$1:$1048576,MATCH(C42&amp;".Unit Surface",'Flanges Chart'!$1:$1,0),0),0)+IF(B42="Fitting",VLOOKUP(I42,'Thickness Tab'!$1:$1048576,3,0)/1000*PI(),0)</f>
        <v>0</v>
      </c>
      <c r="AA42" s="989">
        <f t="shared" si="83"/>
        <v>0</v>
      </c>
      <c r="AB42" s="983">
        <v>0</v>
      </c>
      <c r="AC42" s="989">
        <f t="shared" si="24"/>
        <v>0</v>
      </c>
      <c r="AD42" s="989">
        <f t="shared" si="25"/>
        <v>0</v>
      </c>
      <c r="AE42" s="974">
        <f>(IFERROR(VLOOKUP($C42,List!$J:$L,2,0),0)*R42+IF(B42="piping",R42,0)+IF(C42="Welding Neck",1,0)*R42)*$AE$2</f>
        <v>0</v>
      </c>
      <c r="AF42" s="970">
        <f>IFERROR(VLOOKUP($C42,List!$J:$L,3,0),0)*R42*$AF$2</f>
        <v>0</v>
      </c>
      <c r="AG42" s="990">
        <f t="shared" si="84"/>
        <v>0</v>
      </c>
      <c r="AH42" s="1118" t="str">
        <f>IFERROR(VLOOKUP($D42,'Piping Class'!$88:$102,MATCH(AH$1,'Piping Class'!$88:$88,0),0),"")</f>
        <v/>
      </c>
      <c r="AI42" s="991" t="str">
        <f>IFERROR(VLOOKUP($D42,'Piping Class'!$88:$102,MATCH(AI$1,'Piping Class'!$88:$88,0),0),"")</f>
        <v/>
      </c>
      <c r="AJ42" s="991" t="str">
        <f>IFERROR(VLOOKUP($D42,'Piping Class'!$88:$102,MATCH(AJ$1,'Piping Class'!$88:$88,0),0),"")</f>
        <v/>
      </c>
      <c r="AK42" s="991" t="str">
        <f>IFERROR(VLOOKUP($D42,'Piping Class'!$88:$102,MATCH(AK$1,'Piping Class'!$88:$88,0),0),"")</f>
        <v/>
      </c>
      <c r="AL42" s="991">
        <f t="shared" si="44"/>
        <v>0</v>
      </c>
      <c r="AM42" s="1119" t="str">
        <f>IFERROR(VLOOKUP($D42,'Piping Class'!$88:$102,MATCH(AM$1,'Piping Class'!$88:$88,0),0),"")</f>
        <v/>
      </c>
      <c r="AN42" s="992">
        <f t="shared" si="26"/>
        <v>0</v>
      </c>
      <c r="AO42" s="993">
        <f>IFERROR(VLOOKUP(I42&amp;"B"&amp;F42,'Bolting Chart'!$1:$1048576,4,0),0)</f>
        <v>0</v>
      </c>
      <c r="AP42" s="993">
        <f t="shared" si="85"/>
        <v>0</v>
      </c>
      <c r="AQ42" s="993">
        <f t="shared" si="86"/>
        <v>0</v>
      </c>
      <c r="AR42" s="993">
        <f>IF(AO42=0,0,VLOOKUP(D42&amp;".bolting",'Piping Class'!$1:$1048576,MATCH(I42,'Piping Class'!$2:$2,0),0))</f>
        <v>0</v>
      </c>
      <c r="AS42" s="994">
        <f>IFERROR(VLOOKUP(I42&amp;"B"&amp;F42,'Bolting Chart'!$1:$1048576,IF(AS$2="UNC",5,6),0),0)</f>
        <v>0</v>
      </c>
      <c r="AT42" s="995">
        <f>IFERROR(VLOOKUP(I42&amp;"B"&amp;F42,'Bolting Chart'!$1:$1048576,IF(G42="RF",8,9),0),0)</f>
        <v>0</v>
      </c>
      <c r="AU42" s="993">
        <f>IF(AO42=0,0,VLOOKUP(D42&amp;".gasket",'Piping Class'!$1:$1048576,MATCH(I42,'Piping Class'!$2:$2,0),0))</f>
        <v>0</v>
      </c>
      <c r="AV42" s="996">
        <f>(IFERROR(INDEX('Bolting Chart'!$A$169:$R$251,MATCH(AT42,'Bolting Chart'!$A$170:$A$251,0),MATCH(IFERROR(VLOOKUP(I42&amp;"B"&amp;F42,'Bolting Chart'!$1:$1048576,7,0),0)+0,'Bolting Chart'!$A$169:$R$169,0)),0))/100</f>
        <v>0</v>
      </c>
      <c r="AW42" s="996">
        <f t="shared" si="87"/>
        <v>0</v>
      </c>
      <c r="AX42" s="1194">
        <f t="shared" si="88"/>
        <v>0</v>
      </c>
      <c r="AY42" s="981"/>
      <c r="AZ42" s="1543">
        <f t="shared" si="63"/>
        <v>0</v>
      </c>
      <c r="BA42" s="1543">
        <f t="shared" si="63"/>
        <v>0</v>
      </c>
      <c r="BB42" s="1543">
        <f t="shared" si="63"/>
        <v>0</v>
      </c>
      <c r="BC42" s="1543">
        <f t="shared" si="63"/>
        <v>0</v>
      </c>
      <c r="BD42" s="1543">
        <f t="shared" si="63"/>
        <v>0</v>
      </c>
      <c r="BE42" s="1543">
        <f t="shared" si="63"/>
        <v>0</v>
      </c>
      <c r="BF42" s="1543">
        <f t="shared" si="63"/>
        <v>0</v>
      </c>
      <c r="BG42" s="1543">
        <f t="shared" si="63"/>
        <v>0</v>
      </c>
      <c r="BH42" s="1543">
        <f t="shared" si="63"/>
        <v>0</v>
      </c>
      <c r="BI42" s="1543">
        <f t="shared" si="63"/>
        <v>0</v>
      </c>
      <c r="BJ42" s="1543">
        <f t="shared" si="63"/>
        <v>0</v>
      </c>
      <c r="BK42" s="1543">
        <f t="shared" si="63"/>
        <v>0</v>
      </c>
      <c r="BL42" s="1543">
        <f t="shared" si="63"/>
        <v>0</v>
      </c>
      <c r="BM42" s="1543">
        <f t="shared" si="63"/>
        <v>0</v>
      </c>
      <c r="BN42" s="1543">
        <f t="shared" si="63"/>
        <v>0</v>
      </c>
      <c r="BO42" s="1543">
        <f t="shared" si="63"/>
        <v>0</v>
      </c>
      <c r="BP42" s="1543">
        <f t="shared" si="89"/>
        <v>0</v>
      </c>
      <c r="BQ42" s="1543">
        <f t="shared" si="90"/>
        <v>0</v>
      </c>
      <c r="BR42" s="1543">
        <f t="shared" si="79"/>
        <v>0</v>
      </c>
      <c r="BS42" s="1543">
        <f t="shared" si="79"/>
        <v>0</v>
      </c>
      <c r="BT42" s="1543">
        <f t="shared" si="79"/>
        <v>0</v>
      </c>
      <c r="BU42" s="1543">
        <f t="shared" si="79"/>
        <v>0</v>
      </c>
      <c r="BV42" s="1543">
        <f t="shared" si="79"/>
        <v>0</v>
      </c>
      <c r="BW42" s="1543">
        <f t="shared" si="79"/>
        <v>0</v>
      </c>
      <c r="BX42" s="1543">
        <f t="shared" si="79"/>
        <v>0</v>
      </c>
      <c r="BY42" s="1543">
        <f t="shared" si="79"/>
        <v>0</v>
      </c>
      <c r="BZ42" s="1543">
        <f t="shared" si="79"/>
        <v>0</v>
      </c>
      <c r="CB42" s="1543">
        <f t="shared" si="64"/>
        <v>0</v>
      </c>
      <c r="CC42" s="1543">
        <f t="shared" si="64"/>
        <v>0</v>
      </c>
      <c r="CD42" s="1543">
        <f t="shared" si="64"/>
        <v>0</v>
      </c>
      <c r="CE42" s="1543">
        <f t="shared" si="64"/>
        <v>0</v>
      </c>
      <c r="CF42" s="1543">
        <f t="shared" si="64"/>
        <v>0</v>
      </c>
      <c r="CG42" s="1543">
        <f t="shared" si="64"/>
        <v>0</v>
      </c>
      <c r="CH42" s="1543">
        <f t="shared" si="64"/>
        <v>0</v>
      </c>
      <c r="CI42" s="1543">
        <f t="shared" si="64"/>
        <v>0</v>
      </c>
      <c r="CJ42" s="1543">
        <f t="shared" si="64"/>
        <v>0</v>
      </c>
      <c r="CK42" s="1543">
        <f t="shared" si="64"/>
        <v>0</v>
      </c>
      <c r="CL42" s="1543">
        <f t="shared" si="64"/>
        <v>0</v>
      </c>
      <c r="CM42" s="1543">
        <f t="shared" si="64"/>
        <v>0</v>
      </c>
      <c r="CN42" s="1543">
        <f t="shared" si="64"/>
        <v>0</v>
      </c>
      <c r="CO42" s="1543">
        <f t="shared" si="64"/>
        <v>0</v>
      </c>
      <c r="CP42" s="1543">
        <f t="shared" si="64"/>
        <v>0</v>
      </c>
      <c r="CQ42" s="1543">
        <f t="shared" si="64"/>
        <v>0</v>
      </c>
      <c r="CR42" s="1543">
        <f t="shared" si="91"/>
        <v>0</v>
      </c>
      <c r="CS42" s="1543">
        <f t="shared" si="46"/>
        <v>0</v>
      </c>
      <c r="CT42" s="1543">
        <f t="shared" si="47"/>
        <v>0</v>
      </c>
      <c r="CU42" s="1543">
        <f t="shared" si="47"/>
        <v>0</v>
      </c>
      <c r="CV42" s="1543">
        <f t="shared" si="47"/>
        <v>0</v>
      </c>
      <c r="CW42" s="1543">
        <f t="shared" si="47"/>
        <v>0</v>
      </c>
      <c r="CX42" s="1543">
        <f t="shared" si="47"/>
        <v>0</v>
      </c>
      <c r="CY42" s="1543">
        <f t="shared" si="47"/>
        <v>0</v>
      </c>
      <c r="CZ42" s="1543">
        <f t="shared" si="47"/>
        <v>0</v>
      </c>
      <c r="DA42" s="1543">
        <f t="shared" si="47"/>
        <v>0</v>
      </c>
      <c r="DB42" s="1543">
        <f t="shared" si="47"/>
        <v>0</v>
      </c>
      <c r="DD42" s="1543">
        <f t="shared" si="68"/>
        <v>0</v>
      </c>
      <c r="DE42" s="1543">
        <f t="shared" si="69"/>
        <v>0</v>
      </c>
      <c r="DF42" s="1543">
        <f t="shared" si="70"/>
        <v>0</v>
      </c>
      <c r="DG42" s="1543">
        <f t="shared" si="31"/>
        <v>0</v>
      </c>
      <c r="DI42" s="1543">
        <f t="shared" si="32"/>
        <v>0</v>
      </c>
      <c r="DJ42" s="1543">
        <f t="shared" si="74"/>
        <v>0</v>
      </c>
      <c r="DK42" s="1543">
        <f t="shared" si="74"/>
        <v>0</v>
      </c>
      <c r="DL42" s="1543">
        <f t="shared" si="74"/>
        <v>0</v>
      </c>
      <c r="DM42" s="1543">
        <f t="shared" si="74"/>
        <v>0</v>
      </c>
      <c r="DO42" s="1543">
        <f t="shared" si="75"/>
        <v>0</v>
      </c>
      <c r="DP42" s="1543">
        <f t="shared" si="75"/>
        <v>0</v>
      </c>
      <c r="DQ42" s="1543">
        <f t="shared" si="75"/>
        <v>0</v>
      </c>
      <c r="DR42" s="1543">
        <f t="shared" si="75"/>
        <v>0</v>
      </c>
      <c r="DS42" s="1543">
        <f t="shared" si="75"/>
        <v>0</v>
      </c>
      <c r="DT42" s="1543">
        <f t="shared" si="75"/>
        <v>0</v>
      </c>
      <c r="DU42" s="1543">
        <f t="shared" si="75"/>
        <v>0</v>
      </c>
      <c r="DV42" s="1543">
        <f t="shared" si="75"/>
        <v>0</v>
      </c>
      <c r="DW42" s="1543">
        <f t="shared" si="75"/>
        <v>0</v>
      </c>
      <c r="DX42" s="1543">
        <f t="shared" si="75"/>
        <v>0</v>
      </c>
      <c r="DY42" s="1543">
        <f t="shared" si="75"/>
        <v>0</v>
      </c>
      <c r="DZ42" s="1543">
        <f t="shared" si="75"/>
        <v>0</v>
      </c>
      <c r="EA42" s="1543">
        <f t="shared" si="75"/>
        <v>0</v>
      </c>
      <c r="EB42" s="1543">
        <f t="shared" si="71"/>
        <v>0</v>
      </c>
      <c r="EC42" s="1543">
        <f t="shared" si="71"/>
        <v>0</v>
      </c>
      <c r="ED42" s="1543">
        <f t="shared" si="71"/>
        <v>0</v>
      </c>
      <c r="EE42" s="1543">
        <f t="shared" si="71"/>
        <v>0</v>
      </c>
      <c r="EF42" s="1543">
        <f t="shared" si="71"/>
        <v>0</v>
      </c>
      <c r="EH42" s="1543">
        <f t="shared" si="92"/>
        <v>0</v>
      </c>
      <c r="EI42" s="1543">
        <f t="shared" si="93"/>
        <v>0</v>
      </c>
      <c r="EJ42" s="1543">
        <f t="shared" si="94"/>
        <v>0</v>
      </c>
      <c r="EK42" s="1543">
        <f t="shared" si="95"/>
        <v>0</v>
      </c>
      <c r="EL42" s="1543">
        <f t="shared" si="96"/>
        <v>0</v>
      </c>
      <c r="EM42" s="1543">
        <f t="shared" si="97"/>
        <v>0</v>
      </c>
      <c r="EN42" s="1543">
        <f t="shared" si="98"/>
        <v>0</v>
      </c>
      <c r="EP42" s="1543">
        <f t="shared" si="72"/>
        <v>0</v>
      </c>
      <c r="EQ42" s="1543">
        <f t="shared" si="72"/>
        <v>0</v>
      </c>
      <c r="ER42" s="1543">
        <f t="shared" si="72"/>
        <v>0</v>
      </c>
      <c r="ES42" s="1543">
        <f t="shared" si="72"/>
        <v>0</v>
      </c>
      <c r="ET42" s="1543">
        <f t="shared" si="73"/>
        <v>0</v>
      </c>
      <c r="EU42" s="1543">
        <f t="shared" si="73"/>
        <v>0</v>
      </c>
      <c r="EV42" s="1543">
        <f t="shared" si="73"/>
        <v>0</v>
      </c>
      <c r="EW42" s="1543">
        <f t="shared" si="73"/>
        <v>0</v>
      </c>
      <c r="EX42" s="1543">
        <f t="shared" si="73"/>
        <v>0</v>
      </c>
      <c r="EY42" s="1543">
        <f t="shared" si="73"/>
        <v>0</v>
      </c>
      <c r="EZ42" s="1543">
        <f t="shared" si="73"/>
        <v>0</v>
      </c>
      <c r="FA42" s="1543">
        <f t="shared" si="73"/>
        <v>0</v>
      </c>
      <c r="FB42" s="1543">
        <f t="shared" si="73"/>
        <v>0</v>
      </c>
      <c r="FC42" s="1543">
        <f t="shared" si="73"/>
        <v>0</v>
      </c>
      <c r="FD42" s="1543">
        <f t="shared" si="73"/>
        <v>0</v>
      </c>
      <c r="FE42" s="1543">
        <f t="shared" si="52"/>
        <v>0</v>
      </c>
      <c r="FF42" s="1543">
        <f t="shared" si="40"/>
        <v>1</v>
      </c>
      <c r="FH42" s="1543">
        <f t="shared" si="76"/>
        <v>0</v>
      </c>
      <c r="FI42" s="1543">
        <f t="shared" si="76"/>
        <v>0</v>
      </c>
      <c r="FJ42" s="1543">
        <f t="shared" si="76"/>
        <v>0</v>
      </c>
      <c r="FK42" s="1543">
        <f t="shared" si="76"/>
        <v>0</v>
      </c>
      <c r="FL42" s="1543">
        <f t="shared" si="76"/>
        <v>0</v>
      </c>
      <c r="FM42" s="1543">
        <f t="shared" si="76"/>
        <v>0</v>
      </c>
      <c r="FN42" s="1543">
        <f t="shared" si="76"/>
        <v>0</v>
      </c>
      <c r="FO42" s="1543">
        <f t="shared" si="76"/>
        <v>0</v>
      </c>
      <c r="FP42" s="1543">
        <f t="shared" si="76"/>
        <v>0</v>
      </c>
      <c r="FQ42" s="1543">
        <f t="shared" si="76"/>
        <v>0</v>
      </c>
      <c r="FR42" s="1543">
        <f t="shared" si="76"/>
        <v>0</v>
      </c>
      <c r="FS42" s="1543">
        <f t="shared" si="76"/>
        <v>0</v>
      </c>
      <c r="FT42" s="1543">
        <f t="shared" si="41"/>
        <v>0</v>
      </c>
      <c r="FV42" s="1543">
        <f t="shared" si="77"/>
        <v>1</v>
      </c>
      <c r="FW42" s="1543">
        <f t="shared" si="77"/>
        <v>0</v>
      </c>
      <c r="FX42" s="1543">
        <f t="shared" si="77"/>
        <v>0</v>
      </c>
      <c r="FY42" s="1543">
        <f t="shared" si="77"/>
        <v>0</v>
      </c>
      <c r="FZ42" s="1543">
        <f t="shared" si="77"/>
        <v>0</v>
      </c>
      <c r="GA42" s="1543">
        <f t="shared" si="77"/>
        <v>0</v>
      </c>
      <c r="GB42" s="1543">
        <f t="shared" si="77"/>
        <v>0</v>
      </c>
      <c r="GC42" s="1543">
        <f t="shared" si="77"/>
        <v>0</v>
      </c>
      <c r="GD42" s="1543">
        <f t="shared" si="77"/>
        <v>0</v>
      </c>
    </row>
    <row r="43" spans="1:186" s="982" customFormat="1" ht="15.6" x14ac:dyDescent="0.3">
      <c r="A43" s="974">
        <v>41</v>
      </c>
      <c r="B43" s="983"/>
      <c r="C43" s="984"/>
      <c r="D43" s="983"/>
      <c r="E43" s="968" t="str">
        <f>IFERROR(VLOOKUP($D43&amp;"."&amp;B43,'Piping Class'!$1:$1048576,MATCH($I43,'Piping Class'!$2:$2,0),0),"")</f>
        <v/>
      </c>
      <c r="F43" s="985" t="str">
        <f>IFERROR(IF(B43="Flange",VLOOKUP($D43,'Piping Class'!$88:$102,MATCH(F$1,'Piping Class'!$88:$88,0),0),""),"")</f>
        <v/>
      </c>
      <c r="G43" s="968" t="str">
        <f>IFERROR(IF(B43="Flange",VLOOKUP($D43,'Piping Class'!$88:$102,MATCH(G$1,'Piping Class'!$88:$88,0),0),""),"")</f>
        <v/>
      </c>
      <c r="H43" s="968" t="str">
        <f>IFERROR(VLOOKUP($D43,'Piping Class'!$88:$102,MATCH(H$1,'Piping Class'!$88:$88,0),0),"")</f>
        <v/>
      </c>
      <c r="I43" s="986"/>
      <c r="J43" s="987"/>
      <c r="K43" s="968" t="str">
        <f>IFERROR(VLOOKUP(I43,'Thickness Tab'!$1:$1048576,MATCH(L43,'Thickness Tab'!$1:$1,0),0),"")</f>
        <v/>
      </c>
      <c r="L43" s="969" t="str">
        <f>IFERROR(VLOOKUP($D43,'Piping Class'!$1:$1048576,MATCH($I43,'Piping Class'!$2:$2,0),0),"")</f>
        <v/>
      </c>
      <c r="M43" s="968" t="str">
        <f>IFERROR(VLOOKUP(J43,'Thickness Tab'!$1:$1048576,MATCH(N43,'Thickness Tab'!$1:$1,0),0),"")</f>
        <v/>
      </c>
      <c r="N43" s="969" t="str">
        <f>IFERROR(VLOOKUP($D43,'Piping Class'!$1:$1048576,MATCH($J43,'Piping Class'!$2:$2,0),0),"")</f>
        <v/>
      </c>
      <c r="O43" s="968" t="str">
        <f>IFERROR(VLOOKUP($D43,'Piping Class'!$88:$102,MATCH(O$1,'Piping Class'!$88:$88,0),0),"")</f>
        <v/>
      </c>
      <c r="P43" s="968" t="str">
        <f>IFERROR(VLOOKUP($D43,'Piping Class'!$88:$102,MATCH(P$1,'Piping Class'!$88:$88,0),0),"")</f>
        <v/>
      </c>
      <c r="Q43" s="983"/>
      <c r="R43" s="988"/>
      <c r="S43" s="969" t="str">
        <f t="shared" si="80"/>
        <v/>
      </c>
      <c r="T43" s="968">
        <f>IFERROR(VLOOKUP(I43&amp;"."&amp;L43,'Fitting Chart'!$1:$1048576,MATCH(C43,'Fitting Chart'!$1:$1,0),0),0)+IF(B43="piping",PI()*K43*(VLOOKUP(I43,'Thickness Tab'!$1:$1048576,3,0)-K43)*7.86/1000,0)+IF(B43="Flange",VLOOKUP(I43&amp;"F"&amp;F43,'Flanges Chart'!$1:$1048576,MATCH(C43&amp;"."&amp;T$1,'Flanges Chart'!$1:$1,0),0),0)</f>
        <v>0</v>
      </c>
      <c r="U43" s="989">
        <f t="shared" si="81"/>
        <v>0</v>
      </c>
      <c r="V43" s="1003"/>
      <c r="W43" s="1001">
        <f t="shared" si="82"/>
        <v>0</v>
      </c>
      <c r="X43" s="997"/>
      <c r="Y43" s="983"/>
      <c r="Z43" s="989">
        <f>IF(B43="Piping",VLOOKUP(I43,'Thickness Tab'!$1:$1048576,3,0)/1000*PI(),0)+IFERROR(VLOOKUP(I43&amp;"F"&amp;F43,'Flanges Chart'!$1:$1048576,MATCH(C43&amp;".Unit Surface",'Flanges Chart'!$1:$1,0),0),0)+IF(B43="Fitting",VLOOKUP(I43,'Thickness Tab'!$1:$1048576,3,0)/1000*PI(),0)</f>
        <v>0</v>
      </c>
      <c r="AA43" s="989">
        <f t="shared" si="83"/>
        <v>0</v>
      </c>
      <c r="AB43" s="983">
        <v>0</v>
      </c>
      <c r="AC43" s="989">
        <f t="shared" si="24"/>
        <v>0</v>
      </c>
      <c r="AD43" s="989">
        <f t="shared" si="25"/>
        <v>0</v>
      </c>
      <c r="AE43" s="974">
        <f>(IFERROR(VLOOKUP($C43,List!$J:$L,2,0),0)*R43+IF(B43="piping",R43,0)+IF(C43="Welding Neck",1,0)*R43)*$AE$2</f>
        <v>0</v>
      </c>
      <c r="AF43" s="970">
        <f>IFERROR(VLOOKUP($C43,List!$J:$L,3,0),0)*R43*$AF$2</f>
        <v>0</v>
      </c>
      <c r="AG43" s="990">
        <f t="shared" si="84"/>
        <v>0</v>
      </c>
      <c r="AH43" s="1118" t="str">
        <f>IFERROR(VLOOKUP($D43,'Piping Class'!$88:$102,MATCH(AH$1,'Piping Class'!$88:$88,0),0),"")</f>
        <v/>
      </c>
      <c r="AI43" s="991" t="str">
        <f>IFERROR(VLOOKUP($D43,'Piping Class'!$88:$102,MATCH(AI$1,'Piping Class'!$88:$88,0),0),"")</f>
        <v/>
      </c>
      <c r="AJ43" s="991" t="str">
        <f>IFERROR(VLOOKUP($D43,'Piping Class'!$88:$102,MATCH(AJ$1,'Piping Class'!$88:$88,0),0),"")</f>
        <v/>
      </c>
      <c r="AK43" s="991" t="str">
        <f>IFERROR(VLOOKUP($D43,'Piping Class'!$88:$102,MATCH(AK$1,'Piping Class'!$88:$88,0),0),"")</f>
        <v/>
      </c>
      <c r="AL43" s="991">
        <f t="shared" si="44"/>
        <v>0</v>
      </c>
      <c r="AM43" s="1119" t="str">
        <f>IFERROR(VLOOKUP($D43,'Piping Class'!$88:$102,MATCH(AM$1,'Piping Class'!$88:$88,0),0),"")</f>
        <v/>
      </c>
      <c r="AN43" s="992">
        <f t="shared" si="26"/>
        <v>0</v>
      </c>
      <c r="AO43" s="993">
        <f>IFERROR(VLOOKUP(I43&amp;"B"&amp;F43,'Bolting Chart'!$1:$1048576,4,0),0)</f>
        <v>0</v>
      </c>
      <c r="AP43" s="993">
        <f t="shared" si="85"/>
        <v>0</v>
      </c>
      <c r="AQ43" s="993">
        <f t="shared" si="86"/>
        <v>0</v>
      </c>
      <c r="AR43" s="993">
        <f>IF(AO43=0,0,VLOOKUP(D43&amp;".bolting",'Piping Class'!$1:$1048576,MATCH(I43,'Piping Class'!$2:$2,0),0))</f>
        <v>0</v>
      </c>
      <c r="AS43" s="994">
        <f>IFERROR(VLOOKUP(I43&amp;"B"&amp;F43,'Bolting Chart'!$1:$1048576,IF(AS$2="UNC",5,6),0),0)</f>
        <v>0</v>
      </c>
      <c r="AT43" s="995">
        <f>IFERROR(VLOOKUP(I43&amp;"B"&amp;F43,'Bolting Chart'!$1:$1048576,IF(G43="RF",8,9),0),0)</f>
        <v>0</v>
      </c>
      <c r="AU43" s="993">
        <f>IF(AO43=0,0,VLOOKUP(D43&amp;".gasket",'Piping Class'!$1:$1048576,MATCH(I43,'Piping Class'!$2:$2,0),0))</f>
        <v>0</v>
      </c>
      <c r="AV43" s="996">
        <f>(IFERROR(INDEX('Bolting Chart'!$A$169:$R$251,MATCH(AT43,'Bolting Chart'!$A$170:$A$251,0),MATCH(IFERROR(VLOOKUP(I43&amp;"B"&amp;F43,'Bolting Chart'!$1:$1048576,7,0),0)+0,'Bolting Chart'!$A$169:$R$169,0)),0))/100</f>
        <v>0</v>
      </c>
      <c r="AW43" s="996">
        <f t="shared" si="87"/>
        <v>0</v>
      </c>
      <c r="AX43" s="1194">
        <f t="shared" si="88"/>
        <v>0</v>
      </c>
      <c r="AY43" s="981"/>
      <c r="AZ43" s="1543">
        <f t="shared" si="63"/>
        <v>0</v>
      </c>
      <c r="BA43" s="1543">
        <f t="shared" si="63"/>
        <v>0</v>
      </c>
      <c r="BB43" s="1543">
        <f t="shared" si="63"/>
        <v>0</v>
      </c>
      <c r="BC43" s="1543">
        <f t="shared" si="63"/>
        <v>0</v>
      </c>
      <c r="BD43" s="1543">
        <f t="shared" si="63"/>
        <v>0</v>
      </c>
      <c r="BE43" s="1543">
        <f t="shared" si="63"/>
        <v>0</v>
      </c>
      <c r="BF43" s="1543">
        <f t="shared" si="63"/>
        <v>0</v>
      </c>
      <c r="BG43" s="1543">
        <f t="shared" si="63"/>
        <v>0</v>
      </c>
      <c r="BH43" s="1543">
        <f t="shared" si="63"/>
        <v>0</v>
      </c>
      <c r="BI43" s="1543">
        <f t="shared" si="63"/>
        <v>0</v>
      </c>
      <c r="BJ43" s="1543">
        <f t="shared" si="63"/>
        <v>0</v>
      </c>
      <c r="BK43" s="1543">
        <f t="shared" si="63"/>
        <v>0</v>
      </c>
      <c r="BL43" s="1543">
        <f t="shared" si="63"/>
        <v>0</v>
      </c>
      <c r="BM43" s="1543">
        <f t="shared" si="63"/>
        <v>0</v>
      </c>
      <c r="BN43" s="1543">
        <f t="shared" si="63"/>
        <v>0</v>
      </c>
      <c r="BO43" s="1543">
        <f t="shared" si="63"/>
        <v>0</v>
      </c>
      <c r="BP43" s="1543">
        <f t="shared" si="89"/>
        <v>0</v>
      </c>
      <c r="BQ43" s="1543">
        <f t="shared" si="90"/>
        <v>0</v>
      </c>
      <c r="BR43" s="1543">
        <f t="shared" si="79"/>
        <v>0</v>
      </c>
      <c r="BS43" s="1543">
        <f t="shared" si="79"/>
        <v>0</v>
      </c>
      <c r="BT43" s="1543">
        <f t="shared" si="79"/>
        <v>0</v>
      </c>
      <c r="BU43" s="1543">
        <f t="shared" si="79"/>
        <v>0</v>
      </c>
      <c r="BV43" s="1543">
        <f t="shared" si="79"/>
        <v>0</v>
      </c>
      <c r="BW43" s="1543">
        <f t="shared" si="79"/>
        <v>0</v>
      </c>
      <c r="BX43" s="1543">
        <f t="shared" si="79"/>
        <v>0</v>
      </c>
      <c r="BY43" s="1543">
        <f t="shared" si="79"/>
        <v>0</v>
      </c>
      <c r="BZ43" s="1543">
        <f t="shared" si="79"/>
        <v>0</v>
      </c>
      <c r="CB43" s="1543">
        <f t="shared" si="64"/>
        <v>0</v>
      </c>
      <c r="CC43" s="1543">
        <f t="shared" si="64"/>
        <v>0</v>
      </c>
      <c r="CD43" s="1543">
        <f t="shared" si="64"/>
        <v>0</v>
      </c>
      <c r="CE43" s="1543">
        <f t="shared" si="64"/>
        <v>0</v>
      </c>
      <c r="CF43" s="1543">
        <f t="shared" si="64"/>
        <v>0</v>
      </c>
      <c r="CG43" s="1543">
        <f t="shared" si="64"/>
        <v>0</v>
      </c>
      <c r="CH43" s="1543">
        <f t="shared" si="64"/>
        <v>0</v>
      </c>
      <c r="CI43" s="1543">
        <f t="shared" si="64"/>
        <v>0</v>
      </c>
      <c r="CJ43" s="1543">
        <f t="shared" si="64"/>
        <v>0</v>
      </c>
      <c r="CK43" s="1543">
        <f t="shared" si="64"/>
        <v>0</v>
      </c>
      <c r="CL43" s="1543">
        <f t="shared" si="64"/>
        <v>0</v>
      </c>
      <c r="CM43" s="1543">
        <f t="shared" si="64"/>
        <v>0</v>
      </c>
      <c r="CN43" s="1543">
        <f t="shared" si="64"/>
        <v>0</v>
      </c>
      <c r="CO43" s="1543">
        <f t="shared" si="64"/>
        <v>0</v>
      </c>
      <c r="CP43" s="1543">
        <f t="shared" si="64"/>
        <v>0</v>
      </c>
      <c r="CQ43" s="1543">
        <f t="shared" si="64"/>
        <v>0</v>
      </c>
      <c r="CR43" s="1543">
        <f t="shared" si="91"/>
        <v>0</v>
      </c>
      <c r="CS43" s="1543">
        <f t="shared" si="46"/>
        <v>0</v>
      </c>
      <c r="CT43" s="1543">
        <f t="shared" si="47"/>
        <v>0</v>
      </c>
      <c r="CU43" s="1543">
        <f t="shared" si="47"/>
        <v>0</v>
      </c>
      <c r="CV43" s="1543">
        <f t="shared" si="47"/>
        <v>0</v>
      </c>
      <c r="CW43" s="1543">
        <f t="shared" si="47"/>
        <v>0</v>
      </c>
      <c r="CX43" s="1543">
        <f t="shared" si="47"/>
        <v>0</v>
      </c>
      <c r="CY43" s="1543">
        <f t="shared" si="47"/>
        <v>0</v>
      </c>
      <c r="CZ43" s="1543">
        <f t="shared" si="47"/>
        <v>0</v>
      </c>
      <c r="DA43" s="1543">
        <f t="shared" si="47"/>
        <v>0</v>
      </c>
      <c r="DB43" s="1543">
        <f t="shared" si="47"/>
        <v>0</v>
      </c>
      <c r="DD43" s="1543">
        <f t="shared" si="68"/>
        <v>0</v>
      </c>
      <c r="DE43" s="1543">
        <f t="shared" si="69"/>
        <v>0</v>
      </c>
      <c r="DF43" s="1543">
        <f t="shared" si="70"/>
        <v>0</v>
      </c>
      <c r="DG43" s="1543">
        <f t="shared" si="31"/>
        <v>0</v>
      </c>
      <c r="DI43" s="1543">
        <f t="shared" si="32"/>
        <v>0</v>
      </c>
      <c r="DJ43" s="1543">
        <f t="shared" si="74"/>
        <v>0</v>
      </c>
      <c r="DK43" s="1543">
        <f t="shared" si="74"/>
        <v>0</v>
      </c>
      <c r="DL43" s="1543">
        <f t="shared" si="74"/>
        <v>0</v>
      </c>
      <c r="DM43" s="1543">
        <f t="shared" si="74"/>
        <v>0</v>
      </c>
      <c r="DO43" s="1543">
        <f t="shared" si="75"/>
        <v>0</v>
      </c>
      <c r="DP43" s="1543">
        <f t="shared" si="75"/>
        <v>0</v>
      </c>
      <c r="DQ43" s="1543">
        <f t="shared" si="75"/>
        <v>0</v>
      </c>
      <c r="DR43" s="1543">
        <f t="shared" si="75"/>
        <v>0</v>
      </c>
      <c r="DS43" s="1543">
        <f t="shared" si="75"/>
        <v>0</v>
      </c>
      <c r="DT43" s="1543">
        <f t="shared" ref="DT43:EA43" si="99">IF($L43=DT$2,1,0)</f>
        <v>0</v>
      </c>
      <c r="DU43" s="1543">
        <f t="shared" si="99"/>
        <v>0</v>
      </c>
      <c r="DV43" s="1543">
        <f t="shared" si="99"/>
        <v>0</v>
      </c>
      <c r="DW43" s="1543">
        <f t="shared" si="99"/>
        <v>0</v>
      </c>
      <c r="DX43" s="1543">
        <f t="shared" si="99"/>
        <v>0</v>
      </c>
      <c r="DY43" s="1543">
        <f t="shared" si="99"/>
        <v>0</v>
      </c>
      <c r="DZ43" s="1543">
        <f t="shared" si="99"/>
        <v>0</v>
      </c>
      <c r="EA43" s="1543">
        <f t="shared" si="99"/>
        <v>0</v>
      </c>
      <c r="EB43" s="1543">
        <f t="shared" si="71"/>
        <v>0</v>
      </c>
      <c r="EC43" s="1543">
        <f t="shared" si="71"/>
        <v>0</v>
      </c>
      <c r="ED43" s="1543">
        <f t="shared" si="71"/>
        <v>0</v>
      </c>
      <c r="EE43" s="1543">
        <f t="shared" si="71"/>
        <v>0</v>
      </c>
      <c r="EF43" s="1543">
        <f t="shared" si="71"/>
        <v>0</v>
      </c>
      <c r="EH43" s="1543">
        <f t="shared" si="92"/>
        <v>0</v>
      </c>
      <c r="EI43" s="1543">
        <f t="shared" si="93"/>
        <v>0</v>
      </c>
      <c r="EJ43" s="1543">
        <f t="shared" si="94"/>
        <v>0</v>
      </c>
      <c r="EK43" s="1543">
        <f t="shared" si="95"/>
        <v>0</v>
      </c>
      <c r="EL43" s="1543">
        <f t="shared" si="96"/>
        <v>0</v>
      </c>
      <c r="EM43" s="1543">
        <f t="shared" si="97"/>
        <v>0</v>
      </c>
      <c r="EN43" s="1543">
        <f t="shared" si="98"/>
        <v>0</v>
      </c>
      <c r="EP43" s="1543">
        <f t="shared" si="72"/>
        <v>0</v>
      </c>
      <c r="EQ43" s="1543">
        <f t="shared" si="72"/>
        <v>0</v>
      </c>
      <c r="ER43" s="1543">
        <f t="shared" si="72"/>
        <v>0</v>
      </c>
      <c r="ES43" s="1543">
        <f t="shared" si="72"/>
        <v>0</v>
      </c>
      <c r="ET43" s="1543">
        <f t="shared" si="73"/>
        <v>0</v>
      </c>
      <c r="EU43" s="1543">
        <f t="shared" si="73"/>
        <v>0</v>
      </c>
      <c r="EV43" s="1543">
        <f t="shared" si="73"/>
        <v>0</v>
      </c>
      <c r="EW43" s="1543">
        <f t="shared" si="73"/>
        <v>0</v>
      </c>
      <c r="EX43" s="1543">
        <f t="shared" si="73"/>
        <v>0</v>
      </c>
      <c r="EY43" s="1543">
        <f t="shared" si="73"/>
        <v>0</v>
      </c>
      <c r="EZ43" s="1543">
        <f t="shared" si="73"/>
        <v>0</v>
      </c>
      <c r="FA43" s="1543">
        <f t="shared" si="73"/>
        <v>0</v>
      </c>
      <c r="FB43" s="1543">
        <f t="shared" si="73"/>
        <v>0</v>
      </c>
      <c r="FC43" s="1543">
        <f t="shared" si="73"/>
        <v>0</v>
      </c>
      <c r="FD43" s="1543">
        <f t="shared" si="73"/>
        <v>0</v>
      </c>
      <c r="FE43" s="1543">
        <f t="shared" si="52"/>
        <v>0</v>
      </c>
      <c r="FF43" s="1543">
        <f t="shared" si="40"/>
        <v>1</v>
      </c>
      <c r="FH43" s="1543">
        <f t="shared" si="76"/>
        <v>0</v>
      </c>
      <c r="FI43" s="1543">
        <f t="shared" si="76"/>
        <v>0</v>
      </c>
      <c r="FJ43" s="1543">
        <f t="shared" si="76"/>
        <v>0</v>
      </c>
      <c r="FK43" s="1543">
        <f t="shared" si="76"/>
        <v>0</v>
      </c>
      <c r="FL43" s="1543">
        <f t="shared" si="76"/>
        <v>0</v>
      </c>
      <c r="FM43" s="1543">
        <f t="shared" si="76"/>
        <v>0</v>
      </c>
      <c r="FN43" s="1543">
        <f t="shared" si="76"/>
        <v>0</v>
      </c>
      <c r="FO43" s="1543">
        <f t="shared" si="76"/>
        <v>0</v>
      </c>
      <c r="FP43" s="1543">
        <f t="shared" si="76"/>
        <v>0</v>
      </c>
      <c r="FQ43" s="1543">
        <f t="shared" si="76"/>
        <v>0</v>
      </c>
      <c r="FR43" s="1543">
        <f t="shared" si="76"/>
        <v>0</v>
      </c>
      <c r="FS43" s="1543">
        <f t="shared" si="76"/>
        <v>0</v>
      </c>
      <c r="FT43" s="1543">
        <f t="shared" si="41"/>
        <v>0</v>
      </c>
      <c r="FV43" s="1543">
        <f t="shared" si="77"/>
        <v>1</v>
      </c>
      <c r="FW43" s="1543">
        <f t="shared" si="77"/>
        <v>0</v>
      </c>
      <c r="FX43" s="1543">
        <f t="shared" si="77"/>
        <v>0</v>
      </c>
      <c r="FY43" s="1543">
        <f t="shared" si="77"/>
        <v>0</v>
      </c>
      <c r="FZ43" s="1543">
        <f t="shared" si="77"/>
        <v>0</v>
      </c>
      <c r="GA43" s="1543">
        <f t="shared" si="77"/>
        <v>0</v>
      </c>
      <c r="GB43" s="1543">
        <f t="shared" si="77"/>
        <v>0</v>
      </c>
      <c r="GC43" s="1543">
        <f t="shared" si="77"/>
        <v>0</v>
      </c>
      <c r="GD43" s="1543">
        <f t="shared" si="77"/>
        <v>0</v>
      </c>
    </row>
    <row r="44" spans="1:186" s="982" customFormat="1" ht="15.6" x14ac:dyDescent="0.3">
      <c r="A44" s="974">
        <v>42</v>
      </c>
      <c r="B44" s="983"/>
      <c r="C44" s="984"/>
      <c r="D44" s="983"/>
      <c r="E44" s="968" t="str">
        <f>IFERROR(VLOOKUP($D44&amp;"."&amp;B44,'Piping Class'!$1:$1048576,MATCH($I44,'Piping Class'!$2:$2,0),0),"")</f>
        <v/>
      </c>
      <c r="F44" s="985" t="str">
        <f>IFERROR(IF(B44="Flange",VLOOKUP($D44,'Piping Class'!$88:$102,MATCH(F$1,'Piping Class'!$88:$88,0),0),""),"")</f>
        <v/>
      </c>
      <c r="G44" s="968" t="str">
        <f>IFERROR(IF(B44="Flange",VLOOKUP($D44,'Piping Class'!$88:$102,MATCH(G$1,'Piping Class'!$88:$88,0),0),""),"")</f>
        <v/>
      </c>
      <c r="H44" s="968" t="str">
        <f>IFERROR(VLOOKUP($D44,'Piping Class'!$88:$102,MATCH(H$1,'Piping Class'!$88:$88,0),0),"")</f>
        <v/>
      </c>
      <c r="I44" s="986"/>
      <c r="J44" s="987"/>
      <c r="K44" s="968" t="str">
        <f>IFERROR(VLOOKUP(I44,'Thickness Tab'!$1:$1048576,MATCH(L44,'Thickness Tab'!$1:$1,0),0),"")</f>
        <v/>
      </c>
      <c r="L44" s="969" t="str">
        <f>IFERROR(VLOOKUP($D44,'Piping Class'!$1:$1048576,MATCH($I44,'Piping Class'!$2:$2,0),0),"")</f>
        <v/>
      </c>
      <c r="M44" s="968" t="str">
        <f>IFERROR(VLOOKUP(J44,'Thickness Tab'!$1:$1048576,MATCH(N44,'Thickness Tab'!$1:$1,0),0),"")</f>
        <v/>
      </c>
      <c r="N44" s="969" t="str">
        <f>IFERROR(VLOOKUP($D44,'Piping Class'!$1:$1048576,MATCH($J44,'Piping Class'!$2:$2,0),0),"")</f>
        <v/>
      </c>
      <c r="O44" s="968" t="str">
        <f>IFERROR(VLOOKUP($D44,'Piping Class'!$88:$102,MATCH(O$1,'Piping Class'!$88:$88,0),0),"")</f>
        <v/>
      </c>
      <c r="P44" s="968" t="str">
        <f>IFERROR(VLOOKUP($D44,'Piping Class'!$88:$102,MATCH(P$1,'Piping Class'!$88:$88,0),0),"")</f>
        <v/>
      </c>
      <c r="Q44" s="983"/>
      <c r="R44" s="988"/>
      <c r="S44" s="969" t="str">
        <f t="shared" si="80"/>
        <v/>
      </c>
      <c r="T44" s="968">
        <f>IFERROR(VLOOKUP(I44&amp;"."&amp;L44,'Fitting Chart'!$1:$1048576,MATCH(C44,'Fitting Chart'!$1:$1,0),0),0)+IF(B44="piping",PI()*K44*(VLOOKUP(I44,'Thickness Tab'!$1:$1048576,3,0)-K44)*7.86/1000,0)+IF(B44="Flange",VLOOKUP(I44&amp;"F"&amp;F44,'Flanges Chart'!$1:$1048576,MATCH(C44&amp;"."&amp;T$1,'Flanges Chart'!$1:$1,0),0),0)</f>
        <v>0</v>
      </c>
      <c r="U44" s="989">
        <f t="shared" si="81"/>
        <v>0</v>
      </c>
      <c r="V44" s="1003"/>
      <c r="W44" s="1001">
        <f t="shared" si="82"/>
        <v>0</v>
      </c>
      <c r="X44" s="997"/>
      <c r="Y44" s="983"/>
      <c r="Z44" s="989">
        <f>IF(B44="Piping",VLOOKUP(I44,'Thickness Tab'!$1:$1048576,3,0)/1000*PI(),0)+IFERROR(VLOOKUP(I44&amp;"F"&amp;F44,'Flanges Chart'!$1:$1048576,MATCH(C44&amp;".Unit Surface",'Flanges Chart'!$1:$1,0),0),0)+IF(B44="Fitting",VLOOKUP(I44,'Thickness Tab'!$1:$1048576,3,0)/1000*PI(),0)</f>
        <v>0</v>
      </c>
      <c r="AA44" s="989">
        <f t="shared" si="83"/>
        <v>0</v>
      </c>
      <c r="AB44" s="983">
        <v>0</v>
      </c>
      <c r="AC44" s="989">
        <f t="shared" si="24"/>
        <v>0</v>
      </c>
      <c r="AD44" s="989">
        <f t="shared" si="25"/>
        <v>0</v>
      </c>
      <c r="AE44" s="974">
        <f>(IFERROR(VLOOKUP($C44,List!$J:$L,2,0),0)*R44+IF(B44="piping",R44,0)+IF(C44="Welding Neck",1,0)*R44)*$AE$2</f>
        <v>0</v>
      </c>
      <c r="AF44" s="970">
        <f>IFERROR(VLOOKUP($C44,List!$J:$L,3,0),0)*R44*$AF$2</f>
        <v>0</v>
      </c>
      <c r="AG44" s="990">
        <f t="shared" si="84"/>
        <v>0</v>
      </c>
      <c r="AH44" s="1118" t="str">
        <f>IFERROR(VLOOKUP($D44,'Piping Class'!$88:$102,MATCH(AH$1,'Piping Class'!$88:$88,0),0),"")</f>
        <v/>
      </c>
      <c r="AI44" s="991" t="str">
        <f>IFERROR(VLOOKUP($D44,'Piping Class'!$88:$102,MATCH(AI$1,'Piping Class'!$88:$88,0),0),"")</f>
        <v/>
      </c>
      <c r="AJ44" s="991" t="str">
        <f>IFERROR(VLOOKUP($D44,'Piping Class'!$88:$102,MATCH(AJ$1,'Piping Class'!$88:$88,0),0),"")</f>
        <v/>
      </c>
      <c r="AK44" s="991" t="str">
        <f>IFERROR(VLOOKUP($D44,'Piping Class'!$88:$102,MATCH(AK$1,'Piping Class'!$88:$88,0),0),"")</f>
        <v/>
      </c>
      <c r="AL44" s="991">
        <f t="shared" si="44"/>
        <v>0</v>
      </c>
      <c r="AM44" s="1119" t="str">
        <f>IFERROR(VLOOKUP($D44,'Piping Class'!$88:$102,MATCH(AM$1,'Piping Class'!$88:$88,0),0),"")</f>
        <v/>
      </c>
      <c r="AN44" s="992">
        <f t="shared" si="26"/>
        <v>0</v>
      </c>
      <c r="AO44" s="993">
        <f>IFERROR(VLOOKUP(I44&amp;"B"&amp;F44,'Bolting Chart'!$1:$1048576,4,0),0)</f>
        <v>0</v>
      </c>
      <c r="AP44" s="993">
        <f t="shared" si="85"/>
        <v>0</v>
      </c>
      <c r="AQ44" s="993">
        <f t="shared" si="86"/>
        <v>0</v>
      </c>
      <c r="AR44" s="993">
        <f>IF(AO44=0,0,VLOOKUP(D44&amp;".bolting",'Piping Class'!$1:$1048576,MATCH(I44,'Piping Class'!$2:$2,0),0))</f>
        <v>0</v>
      </c>
      <c r="AS44" s="994">
        <f>IFERROR(VLOOKUP(I44&amp;"B"&amp;F44,'Bolting Chart'!$1:$1048576,IF(AS$2="UNC",5,6),0),0)</f>
        <v>0</v>
      </c>
      <c r="AT44" s="995">
        <f>IFERROR(VLOOKUP(I44&amp;"B"&amp;F44,'Bolting Chart'!$1:$1048576,IF(G44="RF",8,9),0),0)</f>
        <v>0</v>
      </c>
      <c r="AU44" s="993">
        <f>IF(AO44=0,0,VLOOKUP(D44&amp;".gasket",'Piping Class'!$1:$1048576,MATCH(I44,'Piping Class'!$2:$2,0),0))</f>
        <v>0</v>
      </c>
      <c r="AV44" s="996">
        <f>(IFERROR(INDEX('Bolting Chart'!$A$169:$R$251,MATCH(AT44,'Bolting Chart'!$A$170:$A$251,0),MATCH(IFERROR(VLOOKUP(I44&amp;"B"&amp;F44,'Bolting Chart'!$1:$1048576,7,0),0)+0,'Bolting Chart'!$A$169:$R$169,0)),0))/100</f>
        <v>0</v>
      </c>
      <c r="AW44" s="996">
        <f t="shared" si="87"/>
        <v>0</v>
      </c>
      <c r="AX44" s="1194">
        <f t="shared" si="88"/>
        <v>0</v>
      </c>
      <c r="AY44" s="981"/>
      <c r="AZ44" s="1543">
        <f t="shared" si="63"/>
        <v>0</v>
      </c>
      <c r="BA44" s="1543">
        <f t="shared" si="63"/>
        <v>0</v>
      </c>
      <c r="BB44" s="1543">
        <f t="shared" si="63"/>
        <v>0</v>
      </c>
      <c r="BC44" s="1543">
        <f t="shared" si="63"/>
        <v>0</v>
      </c>
      <c r="BD44" s="1543">
        <f t="shared" si="63"/>
        <v>0</v>
      </c>
      <c r="BE44" s="1543">
        <f t="shared" si="63"/>
        <v>0</v>
      </c>
      <c r="BF44" s="1543">
        <f t="shared" si="63"/>
        <v>0</v>
      </c>
      <c r="BG44" s="1543">
        <f t="shared" si="63"/>
        <v>0</v>
      </c>
      <c r="BH44" s="1543">
        <f t="shared" si="63"/>
        <v>0</v>
      </c>
      <c r="BI44" s="1543">
        <f t="shared" si="63"/>
        <v>0</v>
      </c>
      <c r="BJ44" s="1543">
        <f t="shared" si="63"/>
        <v>0</v>
      </c>
      <c r="BK44" s="1543">
        <f t="shared" si="63"/>
        <v>0</v>
      </c>
      <c r="BL44" s="1543">
        <f t="shared" si="63"/>
        <v>0</v>
      </c>
      <c r="BM44" s="1543">
        <f t="shared" si="63"/>
        <v>0</v>
      </c>
      <c r="BN44" s="1543">
        <f t="shared" si="63"/>
        <v>0</v>
      </c>
      <c r="BO44" s="1543">
        <f t="shared" si="63"/>
        <v>0</v>
      </c>
      <c r="BP44" s="1543">
        <f t="shared" si="89"/>
        <v>0</v>
      </c>
      <c r="BQ44" s="1543">
        <f t="shared" si="90"/>
        <v>0</v>
      </c>
      <c r="BR44" s="1543">
        <f t="shared" si="79"/>
        <v>0</v>
      </c>
      <c r="BS44" s="1543">
        <f t="shared" si="79"/>
        <v>0</v>
      </c>
      <c r="BT44" s="1543">
        <f t="shared" si="79"/>
        <v>0</v>
      </c>
      <c r="BU44" s="1543">
        <f t="shared" si="79"/>
        <v>0</v>
      </c>
      <c r="BV44" s="1543">
        <f t="shared" si="79"/>
        <v>0</v>
      </c>
      <c r="BW44" s="1543">
        <f t="shared" si="79"/>
        <v>0</v>
      </c>
      <c r="BX44" s="1543">
        <f t="shared" si="79"/>
        <v>0</v>
      </c>
      <c r="BY44" s="1543">
        <f t="shared" si="79"/>
        <v>0</v>
      </c>
      <c r="BZ44" s="1543">
        <f t="shared" si="79"/>
        <v>0</v>
      </c>
      <c r="CB44" s="1543">
        <f t="shared" si="64"/>
        <v>0</v>
      </c>
      <c r="CC44" s="1543">
        <f t="shared" si="64"/>
        <v>0</v>
      </c>
      <c r="CD44" s="1543">
        <f t="shared" si="64"/>
        <v>0</v>
      </c>
      <c r="CE44" s="1543">
        <f t="shared" si="64"/>
        <v>0</v>
      </c>
      <c r="CF44" s="1543">
        <f t="shared" si="64"/>
        <v>0</v>
      </c>
      <c r="CG44" s="1543">
        <f t="shared" si="64"/>
        <v>0</v>
      </c>
      <c r="CH44" s="1543">
        <f t="shared" si="64"/>
        <v>0</v>
      </c>
      <c r="CI44" s="1543">
        <f t="shared" si="64"/>
        <v>0</v>
      </c>
      <c r="CJ44" s="1543">
        <f t="shared" si="64"/>
        <v>0</v>
      </c>
      <c r="CK44" s="1543">
        <f t="shared" si="64"/>
        <v>0</v>
      </c>
      <c r="CL44" s="1543">
        <f t="shared" si="64"/>
        <v>0</v>
      </c>
      <c r="CM44" s="1543">
        <f t="shared" si="64"/>
        <v>0</v>
      </c>
      <c r="CN44" s="1543">
        <f t="shared" si="64"/>
        <v>0</v>
      </c>
      <c r="CO44" s="1543">
        <f t="shared" si="64"/>
        <v>0</v>
      </c>
      <c r="CP44" s="1543">
        <f t="shared" si="64"/>
        <v>0</v>
      </c>
      <c r="CQ44" s="1543">
        <f t="shared" si="64"/>
        <v>0</v>
      </c>
      <c r="CR44" s="1543">
        <f t="shared" si="91"/>
        <v>0</v>
      </c>
      <c r="CS44" s="1543">
        <f t="shared" si="46"/>
        <v>0</v>
      </c>
      <c r="CT44" s="1543">
        <f t="shared" si="47"/>
        <v>0</v>
      </c>
      <c r="CU44" s="1543">
        <f t="shared" si="47"/>
        <v>0</v>
      </c>
      <c r="CV44" s="1543">
        <f t="shared" si="47"/>
        <v>0</v>
      </c>
      <c r="CW44" s="1543">
        <f t="shared" si="47"/>
        <v>0</v>
      </c>
      <c r="CX44" s="1543">
        <f t="shared" si="47"/>
        <v>0</v>
      </c>
      <c r="CY44" s="1543">
        <f t="shared" si="47"/>
        <v>0</v>
      </c>
      <c r="CZ44" s="1543">
        <f t="shared" si="47"/>
        <v>0</v>
      </c>
      <c r="DA44" s="1543">
        <f t="shared" si="47"/>
        <v>0</v>
      </c>
      <c r="DB44" s="1543">
        <f t="shared" si="47"/>
        <v>0</v>
      </c>
      <c r="DD44" s="1543">
        <f t="shared" si="68"/>
        <v>0</v>
      </c>
      <c r="DE44" s="1543">
        <f t="shared" si="69"/>
        <v>0</v>
      </c>
      <c r="DF44" s="1543">
        <f t="shared" si="70"/>
        <v>0</v>
      </c>
      <c r="DG44" s="1543">
        <f t="shared" si="31"/>
        <v>0</v>
      </c>
      <c r="DI44" s="1543">
        <f t="shared" si="32"/>
        <v>0</v>
      </c>
      <c r="DJ44" s="1543">
        <f t="shared" si="74"/>
        <v>0</v>
      </c>
      <c r="DK44" s="1543">
        <f t="shared" si="74"/>
        <v>0</v>
      </c>
      <c r="DL44" s="1543">
        <f t="shared" si="74"/>
        <v>0</v>
      </c>
      <c r="DM44" s="1543">
        <f t="shared" si="74"/>
        <v>0</v>
      </c>
      <c r="DO44" s="1543">
        <f t="shared" ref="DO44:ED67" si="100">IF($L44=DO$2,1,0)</f>
        <v>0</v>
      </c>
      <c r="DP44" s="1543">
        <f t="shared" si="100"/>
        <v>0</v>
      </c>
      <c r="DQ44" s="1543">
        <f t="shared" si="100"/>
        <v>0</v>
      </c>
      <c r="DR44" s="1543">
        <f t="shared" si="100"/>
        <v>0</v>
      </c>
      <c r="DS44" s="1543">
        <f t="shared" si="100"/>
        <v>0</v>
      </c>
      <c r="DT44" s="1543">
        <f t="shared" si="100"/>
        <v>0</v>
      </c>
      <c r="DU44" s="1543">
        <f t="shared" si="100"/>
        <v>0</v>
      </c>
      <c r="DV44" s="1543">
        <f t="shared" si="100"/>
        <v>0</v>
      </c>
      <c r="DW44" s="1543">
        <f t="shared" si="100"/>
        <v>0</v>
      </c>
      <c r="DX44" s="1543">
        <f t="shared" si="100"/>
        <v>0</v>
      </c>
      <c r="DY44" s="1543">
        <f t="shared" si="100"/>
        <v>0</v>
      </c>
      <c r="DZ44" s="1543">
        <f t="shared" si="100"/>
        <v>0</v>
      </c>
      <c r="EA44" s="1543">
        <f t="shared" si="100"/>
        <v>0</v>
      </c>
      <c r="EB44" s="1543">
        <f t="shared" si="71"/>
        <v>0</v>
      </c>
      <c r="EC44" s="1543">
        <f t="shared" si="71"/>
        <v>0</v>
      </c>
      <c r="ED44" s="1543">
        <f t="shared" si="71"/>
        <v>0</v>
      </c>
      <c r="EE44" s="1543">
        <f t="shared" si="71"/>
        <v>0</v>
      </c>
      <c r="EF44" s="1543">
        <f t="shared" si="71"/>
        <v>0</v>
      </c>
      <c r="EH44" s="1543">
        <f t="shared" si="92"/>
        <v>0</v>
      </c>
      <c r="EI44" s="1543">
        <f t="shared" si="93"/>
        <v>0</v>
      </c>
      <c r="EJ44" s="1543">
        <f t="shared" si="94"/>
        <v>0</v>
      </c>
      <c r="EK44" s="1543">
        <f t="shared" si="95"/>
        <v>0</v>
      </c>
      <c r="EL44" s="1543">
        <f t="shared" si="96"/>
        <v>0</v>
      </c>
      <c r="EM44" s="1543">
        <f t="shared" si="97"/>
        <v>0</v>
      </c>
      <c r="EN44" s="1543">
        <f t="shared" si="98"/>
        <v>0</v>
      </c>
      <c r="EP44" s="1543">
        <f t="shared" si="72"/>
        <v>0</v>
      </c>
      <c r="EQ44" s="1543">
        <f t="shared" si="72"/>
        <v>0</v>
      </c>
      <c r="ER44" s="1543">
        <f t="shared" si="72"/>
        <v>0</v>
      </c>
      <c r="ES44" s="1543">
        <f t="shared" si="72"/>
        <v>0</v>
      </c>
      <c r="ET44" s="1543">
        <f t="shared" si="73"/>
        <v>0</v>
      </c>
      <c r="EU44" s="1543">
        <f t="shared" si="73"/>
        <v>0</v>
      </c>
      <c r="EV44" s="1543">
        <f t="shared" si="73"/>
        <v>0</v>
      </c>
      <c r="EW44" s="1543">
        <f t="shared" si="73"/>
        <v>0</v>
      </c>
      <c r="EX44" s="1543">
        <f t="shared" si="73"/>
        <v>0</v>
      </c>
      <c r="EY44" s="1543">
        <f t="shared" si="73"/>
        <v>0</v>
      </c>
      <c r="EZ44" s="1543">
        <f t="shared" si="73"/>
        <v>0</v>
      </c>
      <c r="FA44" s="1543">
        <f t="shared" si="73"/>
        <v>0</v>
      </c>
      <c r="FB44" s="1543">
        <f t="shared" si="73"/>
        <v>0</v>
      </c>
      <c r="FC44" s="1543">
        <f t="shared" si="73"/>
        <v>0</v>
      </c>
      <c r="FD44" s="1543">
        <f t="shared" si="73"/>
        <v>0</v>
      </c>
      <c r="FE44" s="1543">
        <f t="shared" si="52"/>
        <v>0</v>
      </c>
      <c r="FF44" s="1543">
        <f t="shared" si="40"/>
        <v>1</v>
      </c>
      <c r="FH44" s="1543">
        <f t="shared" si="76"/>
        <v>0</v>
      </c>
      <c r="FI44" s="1543">
        <f t="shared" si="76"/>
        <v>0</v>
      </c>
      <c r="FJ44" s="1543">
        <f t="shared" si="76"/>
        <v>0</v>
      </c>
      <c r="FK44" s="1543">
        <f t="shared" si="76"/>
        <v>0</v>
      </c>
      <c r="FL44" s="1543">
        <f t="shared" si="76"/>
        <v>0</v>
      </c>
      <c r="FM44" s="1543">
        <f t="shared" si="76"/>
        <v>0</v>
      </c>
      <c r="FN44" s="1543">
        <f t="shared" si="76"/>
        <v>0</v>
      </c>
      <c r="FO44" s="1543">
        <f t="shared" si="76"/>
        <v>0</v>
      </c>
      <c r="FP44" s="1543">
        <f t="shared" si="76"/>
        <v>0</v>
      </c>
      <c r="FQ44" s="1543">
        <f t="shared" si="76"/>
        <v>0</v>
      </c>
      <c r="FR44" s="1543">
        <f t="shared" si="76"/>
        <v>0</v>
      </c>
      <c r="FS44" s="1543">
        <f t="shared" si="76"/>
        <v>0</v>
      </c>
      <c r="FT44" s="1543">
        <f t="shared" si="41"/>
        <v>0</v>
      </c>
      <c r="FV44" s="1543">
        <f t="shared" si="77"/>
        <v>1</v>
      </c>
      <c r="FW44" s="1543">
        <f t="shared" si="77"/>
        <v>0</v>
      </c>
      <c r="FX44" s="1543">
        <f t="shared" si="77"/>
        <v>0</v>
      </c>
      <c r="FY44" s="1543">
        <f t="shared" si="77"/>
        <v>0</v>
      </c>
      <c r="FZ44" s="1543">
        <f t="shared" si="77"/>
        <v>0</v>
      </c>
      <c r="GA44" s="1543">
        <f t="shared" si="77"/>
        <v>0</v>
      </c>
      <c r="GB44" s="1543">
        <f t="shared" si="77"/>
        <v>0</v>
      </c>
      <c r="GC44" s="1543">
        <f t="shared" si="77"/>
        <v>0</v>
      </c>
      <c r="GD44" s="1543">
        <f t="shared" si="77"/>
        <v>0</v>
      </c>
    </row>
    <row r="45" spans="1:186" s="982" customFormat="1" ht="15.6" x14ac:dyDescent="0.3">
      <c r="A45" s="974">
        <v>43</v>
      </c>
      <c r="B45" s="983"/>
      <c r="C45" s="984"/>
      <c r="D45" s="983"/>
      <c r="E45" s="968" t="str">
        <f>IFERROR(VLOOKUP($D45&amp;"."&amp;B45,'Piping Class'!$1:$1048576,MATCH($I45,'Piping Class'!$2:$2,0),0),"")</f>
        <v/>
      </c>
      <c r="F45" s="985" t="str">
        <f>IFERROR(IF(B45="Flange",VLOOKUP($D45,'Piping Class'!$88:$102,MATCH(F$1,'Piping Class'!$88:$88,0),0),""),"")</f>
        <v/>
      </c>
      <c r="G45" s="968" t="str">
        <f>IFERROR(IF(B45="Flange",VLOOKUP($D45,'Piping Class'!$88:$102,MATCH(G$1,'Piping Class'!$88:$88,0),0),""),"")</f>
        <v/>
      </c>
      <c r="H45" s="968" t="str">
        <f>IFERROR(VLOOKUP($D45,'Piping Class'!$88:$102,MATCH(H$1,'Piping Class'!$88:$88,0),0),"")</f>
        <v/>
      </c>
      <c r="I45" s="986"/>
      <c r="J45" s="987"/>
      <c r="K45" s="968" t="str">
        <f>IFERROR(VLOOKUP(I45,'Thickness Tab'!$1:$1048576,MATCH(L45,'Thickness Tab'!$1:$1,0),0),"")</f>
        <v/>
      </c>
      <c r="L45" s="969" t="str">
        <f>IFERROR(VLOOKUP($D45,'Piping Class'!$1:$1048576,MATCH($I45,'Piping Class'!$2:$2,0),0),"")</f>
        <v/>
      </c>
      <c r="M45" s="968" t="str">
        <f>IFERROR(VLOOKUP(J45,'Thickness Tab'!$1:$1048576,MATCH(N45,'Thickness Tab'!$1:$1,0),0),"")</f>
        <v/>
      </c>
      <c r="N45" s="969" t="str">
        <f>IFERROR(VLOOKUP($D45,'Piping Class'!$1:$1048576,MATCH($J45,'Piping Class'!$2:$2,0),0),"")</f>
        <v/>
      </c>
      <c r="O45" s="968" t="str">
        <f>IFERROR(VLOOKUP($D45,'Piping Class'!$88:$102,MATCH(O$1,'Piping Class'!$88:$88,0),0),"")</f>
        <v/>
      </c>
      <c r="P45" s="968" t="str">
        <f>IFERROR(VLOOKUP($D45,'Piping Class'!$88:$102,MATCH(P$1,'Piping Class'!$88:$88,0),0),"")</f>
        <v/>
      </c>
      <c r="Q45" s="983"/>
      <c r="R45" s="988"/>
      <c r="S45" s="969" t="str">
        <f t="shared" si="80"/>
        <v/>
      </c>
      <c r="T45" s="968">
        <f>IFERROR(VLOOKUP(I45&amp;"."&amp;L45,'Fitting Chart'!$1:$1048576,MATCH(C45,'Fitting Chart'!$1:$1,0),0),0)+IF(B45="piping",PI()*K45*(VLOOKUP(I45,'Thickness Tab'!$1:$1048576,3,0)-K45)*7.86/1000,0)+IF(B45="Flange",VLOOKUP(I45&amp;"F"&amp;F45,'Flanges Chart'!$1:$1048576,MATCH(C45&amp;"."&amp;T$1,'Flanges Chart'!$1:$1,0),0),0)</f>
        <v>0</v>
      </c>
      <c r="U45" s="989">
        <f t="shared" si="81"/>
        <v>0</v>
      </c>
      <c r="V45" s="1003"/>
      <c r="W45" s="1001">
        <f t="shared" si="82"/>
        <v>0</v>
      </c>
      <c r="X45" s="997"/>
      <c r="Y45" s="983"/>
      <c r="Z45" s="989">
        <f>IF(B45="Piping",VLOOKUP(I45,'Thickness Tab'!$1:$1048576,3,0)/1000*PI(),0)+IFERROR(VLOOKUP(I45&amp;"F"&amp;F45,'Flanges Chart'!$1:$1048576,MATCH(C45&amp;".Unit Surface",'Flanges Chart'!$1:$1,0),0),0)+IF(B45="Fitting",VLOOKUP(I45,'Thickness Tab'!$1:$1048576,3,0)/1000*PI(),0)</f>
        <v>0</v>
      </c>
      <c r="AA45" s="989">
        <f t="shared" si="83"/>
        <v>0</v>
      </c>
      <c r="AB45" s="983">
        <v>0</v>
      </c>
      <c r="AC45" s="989">
        <f t="shared" si="24"/>
        <v>0</v>
      </c>
      <c r="AD45" s="989">
        <f t="shared" si="25"/>
        <v>0</v>
      </c>
      <c r="AE45" s="974">
        <f>(IFERROR(VLOOKUP($C45,List!$J:$L,2,0),0)*R45+IF(B45="piping",R45,0)+IF(C45="Welding Neck",1,0)*R45)*$AE$2</f>
        <v>0</v>
      </c>
      <c r="AF45" s="970">
        <f>IFERROR(VLOOKUP($C45,List!$J:$L,3,0),0)*R45*$AF$2</f>
        <v>0</v>
      </c>
      <c r="AG45" s="990">
        <f t="shared" si="84"/>
        <v>0</v>
      </c>
      <c r="AH45" s="1118" t="str">
        <f>IFERROR(VLOOKUP($D45,'Piping Class'!$88:$102,MATCH(AH$1,'Piping Class'!$88:$88,0),0),"")</f>
        <v/>
      </c>
      <c r="AI45" s="991" t="str">
        <f>IFERROR(VLOOKUP($D45,'Piping Class'!$88:$102,MATCH(AI$1,'Piping Class'!$88:$88,0),0),"")</f>
        <v/>
      </c>
      <c r="AJ45" s="991" t="str">
        <f>IFERROR(VLOOKUP($D45,'Piping Class'!$88:$102,MATCH(AJ$1,'Piping Class'!$88:$88,0),0),"")</f>
        <v/>
      </c>
      <c r="AK45" s="991" t="str">
        <f>IFERROR(VLOOKUP($D45,'Piping Class'!$88:$102,MATCH(AK$1,'Piping Class'!$88:$88,0),0),"")</f>
        <v/>
      </c>
      <c r="AL45" s="991">
        <f t="shared" si="44"/>
        <v>0</v>
      </c>
      <c r="AM45" s="1119" t="str">
        <f>IFERROR(VLOOKUP($D45,'Piping Class'!$88:$102,MATCH(AM$1,'Piping Class'!$88:$88,0),0),"")</f>
        <v/>
      </c>
      <c r="AN45" s="992">
        <f t="shared" si="26"/>
        <v>0</v>
      </c>
      <c r="AO45" s="993">
        <f>IFERROR(VLOOKUP(I45&amp;"B"&amp;F45,'Bolting Chart'!$1:$1048576,4,0),0)</f>
        <v>0</v>
      </c>
      <c r="AP45" s="993">
        <f t="shared" si="85"/>
        <v>0</v>
      </c>
      <c r="AQ45" s="993">
        <f t="shared" si="86"/>
        <v>0</v>
      </c>
      <c r="AR45" s="993">
        <f>IF(AO45=0,0,VLOOKUP(D45&amp;".bolting",'Piping Class'!$1:$1048576,MATCH(I45,'Piping Class'!$2:$2,0),0))</f>
        <v>0</v>
      </c>
      <c r="AS45" s="994">
        <f>IFERROR(VLOOKUP(I45&amp;"B"&amp;F45,'Bolting Chart'!$1:$1048576,IF(AS$2="UNC",5,6),0),0)</f>
        <v>0</v>
      </c>
      <c r="AT45" s="995">
        <f>IFERROR(VLOOKUP(I45&amp;"B"&amp;F45,'Bolting Chart'!$1:$1048576,IF(G45="RF",8,9),0),0)</f>
        <v>0</v>
      </c>
      <c r="AU45" s="993">
        <f>IF(AO45=0,0,VLOOKUP(D45&amp;".gasket",'Piping Class'!$1:$1048576,MATCH(I45,'Piping Class'!$2:$2,0),0))</f>
        <v>0</v>
      </c>
      <c r="AV45" s="996">
        <f>(IFERROR(INDEX('Bolting Chart'!$A$169:$R$251,MATCH(AT45,'Bolting Chart'!$A$170:$A$251,0),MATCH(IFERROR(VLOOKUP(I45&amp;"B"&amp;F45,'Bolting Chart'!$1:$1048576,7,0),0)+0,'Bolting Chart'!$A$169:$R$169,0)),0))/100</f>
        <v>0</v>
      </c>
      <c r="AW45" s="996">
        <f t="shared" si="87"/>
        <v>0</v>
      </c>
      <c r="AX45" s="1194">
        <f t="shared" si="88"/>
        <v>0</v>
      </c>
      <c r="AY45" s="981"/>
      <c r="AZ45" s="1543">
        <f t="shared" si="63"/>
        <v>0</v>
      </c>
      <c r="BA45" s="1543">
        <f t="shared" si="63"/>
        <v>0</v>
      </c>
      <c r="BB45" s="1543">
        <f t="shared" si="63"/>
        <v>0</v>
      </c>
      <c r="BC45" s="1543">
        <f t="shared" si="63"/>
        <v>0</v>
      </c>
      <c r="BD45" s="1543">
        <f t="shared" si="63"/>
        <v>0</v>
      </c>
      <c r="BE45" s="1543">
        <f t="shared" si="63"/>
        <v>0</v>
      </c>
      <c r="BF45" s="1543">
        <f t="shared" si="63"/>
        <v>0</v>
      </c>
      <c r="BG45" s="1543">
        <f t="shared" si="63"/>
        <v>0</v>
      </c>
      <c r="BH45" s="1543">
        <f t="shared" si="63"/>
        <v>0</v>
      </c>
      <c r="BI45" s="1543">
        <f t="shared" si="63"/>
        <v>0</v>
      </c>
      <c r="BJ45" s="1543">
        <f t="shared" si="63"/>
        <v>0</v>
      </c>
      <c r="BK45" s="1543">
        <f t="shared" si="63"/>
        <v>0</v>
      </c>
      <c r="BL45" s="1543">
        <f t="shared" si="63"/>
        <v>0</v>
      </c>
      <c r="BM45" s="1543">
        <f t="shared" si="63"/>
        <v>0</v>
      </c>
      <c r="BN45" s="1543">
        <f t="shared" si="63"/>
        <v>0</v>
      </c>
      <c r="BO45" s="1543">
        <f t="shared" si="63"/>
        <v>0</v>
      </c>
      <c r="BP45" s="1543">
        <f t="shared" si="89"/>
        <v>0</v>
      </c>
      <c r="BQ45" s="1543">
        <f t="shared" si="90"/>
        <v>0</v>
      </c>
      <c r="BR45" s="1543">
        <f t="shared" si="79"/>
        <v>0</v>
      </c>
      <c r="BS45" s="1543">
        <f t="shared" si="79"/>
        <v>0</v>
      </c>
      <c r="BT45" s="1543">
        <f t="shared" si="79"/>
        <v>0</v>
      </c>
      <c r="BU45" s="1543">
        <f t="shared" si="79"/>
        <v>0</v>
      </c>
      <c r="BV45" s="1543">
        <f t="shared" si="79"/>
        <v>0</v>
      </c>
      <c r="BW45" s="1543">
        <f t="shared" si="79"/>
        <v>0</v>
      </c>
      <c r="BX45" s="1543">
        <f t="shared" si="79"/>
        <v>0</v>
      </c>
      <c r="BY45" s="1543">
        <f t="shared" si="79"/>
        <v>0</v>
      </c>
      <c r="BZ45" s="1543">
        <f t="shared" si="79"/>
        <v>0</v>
      </c>
      <c r="CB45" s="1543">
        <f t="shared" si="64"/>
        <v>0</v>
      </c>
      <c r="CC45" s="1543">
        <f t="shared" si="64"/>
        <v>0</v>
      </c>
      <c r="CD45" s="1543">
        <f t="shared" si="64"/>
        <v>0</v>
      </c>
      <c r="CE45" s="1543">
        <f t="shared" si="64"/>
        <v>0</v>
      </c>
      <c r="CF45" s="1543">
        <f t="shared" si="64"/>
        <v>0</v>
      </c>
      <c r="CG45" s="1543">
        <f t="shared" si="64"/>
        <v>0</v>
      </c>
      <c r="CH45" s="1543">
        <f t="shared" si="64"/>
        <v>0</v>
      </c>
      <c r="CI45" s="1543">
        <f t="shared" si="64"/>
        <v>0</v>
      </c>
      <c r="CJ45" s="1543">
        <f t="shared" si="64"/>
        <v>0</v>
      </c>
      <c r="CK45" s="1543">
        <f t="shared" si="64"/>
        <v>0</v>
      </c>
      <c r="CL45" s="1543">
        <f t="shared" si="64"/>
        <v>0</v>
      </c>
      <c r="CM45" s="1543">
        <f t="shared" si="64"/>
        <v>0</v>
      </c>
      <c r="CN45" s="1543">
        <f t="shared" si="64"/>
        <v>0</v>
      </c>
      <c r="CO45" s="1543">
        <f t="shared" si="64"/>
        <v>0</v>
      </c>
      <c r="CP45" s="1543">
        <f t="shared" si="64"/>
        <v>0</v>
      </c>
      <c r="CQ45" s="1543">
        <f t="shared" si="64"/>
        <v>0</v>
      </c>
      <c r="CR45" s="1543">
        <f t="shared" si="91"/>
        <v>0</v>
      </c>
      <c r="CS45" s="1543">
        <f t="shared" si="46"/>
        <v>0</v>
      </c>
      <c r="CT45" s="1543">
        <f t="shared" si="47"/>
        <v>0</v>
      </c>
      <c r="CU45" s="1543">
        <f t="shared" si="47"/>
        <v>0</v>
      </c>
      <c r="CV45" s="1543">
        <f t="shared" si="47"/>
        <v>0</v>
      </c>
      <c r="CW45" s="1543">
        <f t="shared" si="47"/>
        <v>0</v>
      </c>
      <c r="CX45" s="1543">
        <f t="shared" si="47"/>
        <v>0</v>
      </c>
      <c r="CY45" s="1543">
        <f t="shared" si="47"/>
        <v>0</v>
      </c>
      <c r="CZ45" s="1543">
        <f t="shared" si="47"/>
        <v>0</v>
      </c>
      <c r="DA45" s="1543">
        <f t="shared" si="47"/>
        <v>0</v>
      </c>
      <c r="DB45" s="1543">
        <f t="shared" si="47"/>
        <v>0</v>
      </c>
      <c r="DD45" s="1543">
        <f t="shared" si="68"/>
        <v>0</v>
      </c>
      <c r="DE45" s="1543">
        <f t="shared" si="69"/>
        <v>0</v>
      </c>
      <c r="DF45" s="1543">
        <f t="shared" si="70"/>
        <v>0</v>
      </c>
      <c r="DG45" s="1543">
        <f t="shared" si="31"/>
        <v>0</v>
      </c>
      <c r="DI45" s="1543">
        <f t="shared" si="32"/>
        <v>0</v>
      </c>
      <c r="DJ45" s="1543">
        <f t="shared" si="74"/>
        <v>0</v>
      </c>
      <c r="DK45" s="1543">
        <f t="shared" si="74"/>
        <v>0</v>
      </c>
      <c r="DL45" s="1543">
        <f t="shared" si="74"/>
        <v>0</v>
      </c>
      <c r="DM45" s="1543">
        <f t="shared" si="74"/>
        <v>0</v>
      </c>
      <c r="DO45" s="1543">
        <f t="shared" si="100"/>
        <v>0</v>
      </c>
      <c r="DP45" s="1543">
        <f t="shared" si="100"/>
        <v>0</v>
      </c>
      <c r="DQ45" s="1543">
        <f t="shared" si="100"/>
        <v>0</v>
      </c>
      <c r="DR45" s="1543">
        <f t="shared" si="100"/>
        <v>0</v>
      </c>
      <c r="DS45" s="1543">
        <f t="shared" si="100"/>
        <v>0</v>
      </c>
      <c r="DT45" s="1543">
        <f t="shared" si="100"/>
        <v>0</v>
      </c>
      <c r="DU45" s="1543">
        <f t="shared" si="100"/>
        <v>0</v>
      </c>
      <c r="DV45" s="1543">
        <f t="shared" si="100"/>
        <v>0</v>
      </c>
      <c r="DW45" s="1543">
        <f t="shared" si="100"/>
        <v>0</v>
      </c>
      <c r="DX45" s="1543">
        <f t="shared" si="100"/>
        <v>0</v>
      </c>
      <c r="DY45" s="1543">
        <f t="shared" si="100"/>
        <v>0</v>
      </c>
      <c r="DZ45" s="1543">
        <f t="shared" si="100"/>
        <v>0</v>
      </c>
      <c r="EA45" s="1543">
        <f t="shared" si="100"/>
        <v>0</v>
      </c>
      <c r="EB45" s="1543">
        <f t="shared" si="71"/>
        <v>0</v>
      </c>
      <c r="EC45" s="1543">
        <f t="shared" si="71"/>
        <v>0</v>
      </c>
      <c r="ED45" s="1543">
        <f t="shared" si="71"/>
        <v>0</v>
      </c>
      <c r="EE45" s="1543">
        <f t="shared" si="71"/>
        <v>0</v>
      </c>
      <c r="EF45" s="1543">
        <f t="shared" si="71"/>
        <v>0</v>
      </c>
      <c r="EH45" s="1543">
        <f t="shared" si="92"/>
        <v>0</v>
      </c>
      <c r="EI45" s="1543">
        <f t="shared" si="93"/>
        <v>0</v>
      </c>
      <c r="EJ45" s="1543">
        <f t="shared" si="94"/>
        <v>0</v>
      </c>
      <c r="EK45" s="1543">
        <f t="shared" si="95"/>
        <v>0</v>
      </c>
      <c r="EL45" s="1543">
        <f t="shared" si="96"/>
        <v>0</v>
      </c>
      <c r="EM45" s="1543">
        <f t="shared" si="97"/>
        <v>0</v>
      </c>
      <c r="EN45" s="1543">
        <f t="shared" si="98"/>
        <v>0</v>
      </c>
      <c r="EP45" s="1543">
        <f t="shared" si="72"/>
        <v>0</v>
      </c>
      <c r="EQ45" s="1543">
        <f t="shared" si="72"/>
        <v>0</v>
      </c>
      <c r="ER45" s="1543">
        <f t="shared" si="72"/>
        <v>0</v>
      </c>
      <c r="ES45" s="1543">
        <f t="shared" si="72"/>
        <v>0</v>
      </c>
      <c r="ET45" s="1543">
        <f t="shared" si="73"/>
        <v>0</v>
      </c>
      <c r="EU45" s="1543">
        <f t="shared" si="73"/>
        <v>0</v>
      </c>
      <c r="EV45" s="1543">
        <f t="shared" si="73"/>
        <v>0</v>
      </c>
      <c r="EW45" s="1543">
        <f t="shared" si="73"/>
        <v>0</v>
      </c>
      <c r="EX45" s="1543">
        <f t="shared" si="73"/>
        <v>0</v>
      </c>
      <c r="EY45" s="1543">
        <f t="shared" si="73"/>
        <v>0</v>
      </c>
      <c r="EZ45" s="1543">
        <f t="shared" si="73"/>
        <v>0</v>
      </c>
      <c r="FA45" s="1543">
        <f t="shared" si="73"/>
        <v>0</v>
      </c>
      <c r="FB45" s="1543">
        <f t="shared" si="73"/>
        <v>0</v>
      </c>
      <c r="FC45" s="1543">
        <f t="shared" si="73"/>
        <v>0</v>
      </c>
      <c r="FD45" s="1543">
        <f t="shared" si="73"/>
        <v>0</v>
      </c>
      <c r="FE45" s="1543">
        <f t="shared" si="52"/>
        <v>0</v>
      </c>
      <c r="FF45" s="1543">
        <f t="shared" si="40"/>
        <v>1</v>
      </c>
      <c r="FH45" s="1543">
        <f t="shared" si="76"/>
        <v>0</v>
      </c>
      <c r="FI45" s="1543">
        <f t="shared" si="76"/>
        <v>0</v>
      </c>
      <c r="FJ45" s="1543">
        <f t="shared" si="76"/>
        <v>0</v>
      </c>
      <c r="FK45" s="1543">
        <f t="shared" si="76"/>
        <v>0</v>
      </c>
      <c r="FL45" s="1543">
        <f t="shared" si="76"/>
        <v>0</v>
      </c>
      <c r="FM45" s="1543">
        <f t="shared" si="76"/>
        <v>0</v>
      </c>
      <c r="FN45" s="1543">
        <f t="shared" si="76"/>
        <v>0</v>
      </c>
      <c r="FO45" s="1543">
        <f t="shared" si="76"/>
        <v>0</v>
      </c>
      <c r="FP45" s="1543">
        <f t="shared" si="76"/>
        <v>0</v>
      </c>
      <c r="FQ45" s="1543">
        <f t="shared" si="76"/>
        <v>0</v>
      </c>
      <c r="FR45" s="1543">
        <f t="shared" si="76"/>
        <v>0</v>
      </c>
      <c r="FS45" s="1543">
        <f t="shared" si="76"/>
        <v>0</v>
      </c>
      <c r="FT45" s="1543">
        <f t="shared" si="41"/>
        <v>0</v>
      </c>
      <c r="FV45" s="1543">
        <f t="shared" si="77"/>
        <v>1</v>
      </c>
      <c r="FW45" s="1543">
        <f t="shared" si="77"/>
        <v>0</v>
      </c>
      <c r="FX45" s="1543">
        <f t="shared" si="77"/>
        <v>0</v>
      </c>
      <c r="FY45" s="1543">
        <f t="shared" si="77"/>
        <v>0</v>
      </c>
      <c r="FZ45" s="1543">
        <f t="shared" si="77"/>
        <v>0</v>
      </c>
      <c r="GA45" s="1543">
        <f t="shared" si="77"/>
        <v>0</v>
      </c>
      <c r="GB45" s="1543">
        <f t="shared" si="77"/>
        <v>0</v>
      </c>
      <c r="GC45" s="1543">
        <f t="shared" si="77"/>
        <v>0</v>
      </c>
      <c r="GD45" s="1543">
        <f t="shared" si="77"/>
        <v>0</v>
      </c>
    </row>
    <row r="46" spans="1:186" s="982" customFormat="1" ht="15.6" x14ac:dyDescent="0.3">
      <c r="A46" s="974">
        <v>44</v>
      </c>
      <c r="B46" s="983"/>
      <c r="C46" s="984"/>
      <c r="D46" s="983"/>
      <c r="E46" s="968" t="str">
        <f>IFERROR(VLOOKUP($D46&amp;"."&amp;B46,'Piping Class'!$1:$1048576,MATCH($I46,'Piping Class'!$2:$2,0),0),"")</f>
        <v/>
      </c>
      <c r="F46" s="985" t="str">
        <f>IFERROR(IF(B46="Flange",VLOOKUP($D46,'Piping Class'!$88:$102,MATCH(F$1,'Piping Class'!$88:$88,0),0),""),"")</f>
        <v/>
      </c>
      <c r="G46" s="968" t="str">
        <f>IFERROR(IF(B46="Flange",VLOOKUP($D46,'Piping Class'!$88:$102,MATCH(G$1,'Piping Class'!$88:$88,0),0),""),"")</f>
        <v/>
      </c>
      <c r="H46" s="968" t="str">
        <f>IFERROR(VLOOKUP($D46,'Piping Class'!$88:$102,MATCH(H$1,'Piping Class'!$88:$88,0),0),"")</f>
        <v/>
      </c>
      <c r="I46" s="986"/>
      <c r="J46" s="987"/>
      <c r="K46" s="968" t="str">
        <f>IFERROR(VLOOKUP(I46,'Thickness Tab'!$1:$1048576,MATCH(L46,'Thickness Tab'!$1:$1,0),0),"")</f>
        <v/>
      </c>
      <c r="L46" s="969" t="str">
        <f>IFERROR(VLOOKUP($D46,'Piping Class'!$1:$1048576,MATCH($I46,'Piping Class'!$2:$2,0),0),"")</f>
        <v/>
      </c>
      <c r="M46" s="968" t="str">
        <f>IFERROR(VLOOKUP(J46,'Thickness Tab'!$1:$1048576,MATCH(N46,'Thickness Tab'!$1:$1,0),0),"")</f>
        <v/>
      </c>
      <c r="N46" s="969" t="str">
        <f>IFERROR(VLOOKUP($D46,'Piping Class'!$1:$1048576,MATCH($J46,'Piping Class'!$2:$2,0),0),"")</f>
        <v/>
      </c>
      <c r="O46" s="968" t="str">
        <f>IFERROR(VLOOKUP($D46,'Piping Class'!$88:$102,MATCH(O$1,'Piping Class'!$88:$88,0),0),"")</f>
        <v/>
      </c>
      <c r="P46" s="968" t="str">
        <f>IFERROR(VLOOKUP($D46,'Piping Class'!$88:$102,MATCH(P$1,'Piping Class'!$88:$88,0),0),"")</f>
        <v/>
      </c>
      <c r="Q46" s="983"/>
      <c r="R46" s="988"/>
      <c r="S46" s="969" t="str">
        <f t="shared" si="80"/>
        <v/>
      </c>
      <c r="T46" s="968">
        <f>IFERROR(VLOOKUP(I46&amp;"."&amp;L46,'Fitting Chart'!$1:$1048576,MATCH(C46,'Fitting Chart'!$1:$1,0),0),0)+IF(B46="piping",PI()*K46*(VLOOKUP(I46,'Thickness Tab'!$1:$1048576,3,0)-K46)*7.86/1000,0)+IF(B46="Flange",VLOOKUP(I46&amp;"F"&amp;F46,'Flanges Chart'!$1:$1048576,MATCH(C46&amp;"."&amp;T$1,'Flanges Chart'!$1:$1,0),0),0)</f>
        <v>0</v>
      </c>
      <c r="U46" s="989">
        <f t="shared" si="81"/>
        <v>0</v>
      </c>
      <c r="V46" s="1003"/>
      <c r="W46" s="1001">
        <f t="shared" si="82"/>
        <v>0</v>
      </c>
      <c r="X46" s="997"/>
      <c r="Y46" s="983"/>
      <c r="Z46" s="989">
        <f>IF(B46="Piping",VLOOKUP(I46,'Thickness Tab'!$1:$1048576,3,0)/1000*PI(),0)+IFERROR(VLOOKUP(I46&amp;"F"&amp;F46,'Flanges Chart'!$1:$1048576,MATCH(C46&amp;".Unit Surface",'Flanges Chart'!$1:$1,0),0),0)+IF(B46="Fitting",VLOOKUP(I46,'Thickness Tab'!$1:$1048576,3,0)/1000*PI(),0)</f>
        <v>0</v>
      </c>
      <c r="AA46" s="989">
        <f t="shared" si="83"/>
        <v>0</v>
      </c>
      <c r="AB46" s="983">
        <v>0</v>
      </c>
      <c r="AC46" s="989">
        <f t="shared" si="24"/>
        <v>0</v>
      </c>
      <c r="AD46" s="989">
        <f t="shared" si="25"/>
        <v>0</v>
      </c>
      <c r="AE46" s="974">
        <f>(IFERROR(VLOOKUP($C46,List!$J:$L,2,0),0)*R46+IF(B46="piping",R46,0)+IF(C46="Welding Neck",1,0)*R46)*$AE$2</f>
        <v>0</v>
      </c>
      <c r="AF46" s="970">
        <f>IFERROR(VLOOKUP($C46,List!$J:$L,3,0),0)*R46*$AF$2</f>
        <v>0</v>
      </c>
      <c r="AG46" s="990">
        <f t="shared" si="84"/>
        <v>0</v>
      </c>
      <c r="AH46" s="1118" t="str">
        <f>IFERROR(VLOOKUP($D46,'Piping Class'!$88:$102,MATCH(AH$1,'Piping Class'!$88:$88,0),0),"")</f>
        <v/>
      </c>
      <c r="AI46" s="991" t="str">
        <f>IFERROR(VLOOKUP($D46,'Piping Class'!$88:$102,MATCH(AI$1,'Piping Class'!$88:$88,0),0),"")</f>
        <v/>
      </c>
      <c r="AJ46" s="991" t="str">
        <f>IFERROR(VLOOKUP($D46,'Piping Class'!$88:$102,MATCH(AJ$1,'Piping Class'!$88:$88,0),0),"")</f>
        <v/>
      </c>
      <c r="AK46" s="991" t="str">
        <f>IFERROR(VLOOKUP($D46,'Piping Class'!$88:$102,MATCH(AK$1,'Piping Class'!$88:$88,0),0),"")</f>
        <v/>
      </c>
      <c r="AL46" s="991">
        <f t="shared" si="44"/>
        <v>0</v>
      </c>
      <c r="AM46" s="1119" t="str">
        <f>IFERROR(VLOOKUP($D46,'Piping Class'!$88:$102,MATCH(AM$1,'Piping Class'!$88:$88,0),0),"")</f>
        <v/>
      </c>
      <c r="AN46" s="992">
        <f t="shared" si="26"/>
        <v>0</v>
      </c>
      <c r="AO46" s="993">
        <f>IFERROR(VLOOKUP(I46&amp;"B"&amp;F46,'Bolting Chart'!$1:$1048576,4,0),0)</f>
        <v>0</v>
      </c>
      <c r="AP46" s="993">
        <f t="shared" si="85"/>
        <v>0</v>
      </c>
      <c r="AQ46" s="993">
        <f t="shared" si="86"/>
        <v>0</v>
      </c>
      <c r="AR46" s="993">
        <f>IF(AO46=0,0,VLOOKUP(D46&amp;".bolting",'Piping Class'!$1:$1048576,MATCH(I46,'Piping Class'!$2:$2,0),0))</f>
        <v>0</v>
      </c>
      <c r="AS46" s="994">
        <f>IFERROR(VLOOKUP(I46&amp;"B"&amp;F46,'Bolting Chart'!$1:$1048576,IF(AS$2="UNC",5,6),0),0)</f>
        <v>0</v>
      </c>
      <c r="AT46" s="995">
        <f>IFERROR(VLOOKUP(I46&amp;"B"&amp;F46,'Bolting Chart'!$1:$1048576,IF(G46="RF",8,9),0),0)</f>
        <v>0</v>
      </c>
      <c r="AU46" s="993">
        <f>IF(AO46=0,0,VLOOKUP(D46&amp;".gasket",'Piping Class'!$1:$1048576,MATCH(I46,'Piping Class'!$2:$2,0),0))</f>
        <v>0</v>
      </c>
      <c r="AV46" s="996">
        <f>(IFERROR(INDEX('Bolting Chart'!$A$169:$R$251,MATCH(AT46,'Bolting Chart'!$A$170:$A$251,0),MATCH(IFERROR(VLOOKUP(I46&amp;"B"&amp;F46,'Bolting Chart'!$1:$1048576,7,0),0)+0,'Bolting Chart'!$A$169:$R$169,0)),0))/100</f>
        <v>0</v>
      </c>
      <c r="AW46" s="996">
        <f t="shared" si="87"/>
        <v>0</v>
      </c>
      <c r="AX46" s="1194">
        <f t="shared" si="88"/>
        <v>0</v>
      </c>
      <c r="AY46" s="981"/>
      <c r="AZ46" s="1543">
        <f t="shared" si="63"/>
        <v>0</v>
      </c>
      <c r="BA46" s="1543">
        <f t="shared" si="63"/>
        <v>0</v>
      </c>
      <c r="BB46" s="1543">
        <f t="shared" si="63"/>
        <v>0</v>
      </c>
      <c r="BC46" s="1543">
        <f t="shared" si="63"/>
        <v>0</v>
      </c>
      <c r="BD46" s="1543">
        <f t="shared" si="63"/>
        <v>0</v>
      </c>
      <c r="BE46" s="1543">
        <f t="shared" si="63"/>
        <v>0</v>
      </c>
      <c r="BF46" s="1543">
        <f t="shared" si="63"/>
        <v>0</v>
      </c>
      <c r="BG46" s="1543">
        <f t="shared" si="63"/>
        <v>0</v>
      </c>
      <c r="BH46" s="1543">
        <f t="shared" si="63"/>
        <v>0</v>
      </c>
      <c r="BI46" s="1543">
        <f t="shared" si="63"/>
        <v>0</v>
      </c>
      <c r="BJ46" s="1543">
        <f t="shared" si="63"/>
        <v>0</v>
      </c>
      <c r="BK46" s="1543">
        <f t="shared" si="63"/>
        <v>0</v>
      </c>
      <c r="BL46" s="1543">
        <f t="shared" si="63"/>
        <v>0</v>
      </c>
      <c r="BM46" s="1543">
        <f t="shared" si="63"/>
        <v>0</v>
      </c>
      <c r="BN46" s="1543">
        <f t="shared" si="63"/>
        <v>0</v>
      </c>
      <c r="BO46" s="1543">
        <f t="shared" si="63"/>
        <v>0</v>
      </c>
      <c r="BP46" s="1543">
        <f t="shared" si="89"/>
        <v>0</v>
      </c>
      <c r="BQ46" s="1543">
        <f t="shared" si="90"/>
        <v>0</v>
      </c>
      <c r="BR46" s="1543">
        <f t="shared" si="79"/>
        <v>0</v>
      </c>
      <c r="BS46" s="1543">
        <f t="shared" si="79"/>
        <v>0</v>
      </c>
      <c r="BT46" s="1543">
        <f t="shared" si="79"/>
        <v>0</v>
      </c>
      <c r="BU46" s="1543">
        <f t="shared" si="79"/>
        <v>0</v>
      </c>
      <c r="BV46" s="1543">
        <f t="shared" si="79"/>
        <v>0</v>
      </c>
      <c r="BW46" s="1543">
        <f t="shared" si="79"/>
        <v>0</v>
      </c>
      <c r="BX46" s="1543">
        <f t="shared" si="79"/>
        <v>0</v>
      </c>
      <c r="BY46" s="1543">
        <f t="shared" si="79"/>
        <v>0</v>
      </c>
      <c r="BZ46" s="1543">
        <f t="shared" si="79"/>
        <v>0</v>
      </c>
      <c r="CB46" s="1543">
        <f t="shared" si="64"/>
        <v>0</v>
      </c>
      <c r="CC46" s="1543">
        <f t="shared" si="64"/>
        <v>0</v>
      </c>
      <c r="CD46" s="1543">
        <f t="shared" si="64"/>
        <v>0</v>
      </c>
      <c r="CE46" s="1543">
        <f t="shared" si="64"/>
        <v>0</v>
      </c>
      <c r="CF46" s="1543">
        <f t="shared" si="64"/>
        <v>0</v>
      </c>
      <c r="CG46" s="1543">
        <f t="shared" si="64"/>
        <v>0</v>
      </c>
      <c r="CH46" s="1543">
        <f t="shared" si="64"/>
        <v>0</v>
      </c>
      <c r="CI46" s="1543">
        <f t="shared" si="64"/>
        <v>0</v>
      </c>
      <c r="CJ46" s="1543">
        <f t="shared" si="64"/>
        <v>0</v>
      </c>
      <c r="CK46" s="1543">
        <f t="shared" si="64"/>
        <v>0</v>
      </c>
      <c r="CL46" s="1543">
        <f t="shared" si="64"/>
        <v>0</v>
      </c>
      <c r="CM46" s="1543">
        <f t="shared" si="64"/>
        <v>0</v>
      </c>
      <c r="CN46" s="1543">
        <f t="shared" si="64"/>
        <v>0</v>
      </c>
      <c r="CO46" s="1543">
        <f t="shared" si="64"/>
        <v>0</v>
      </c>
      <c r="CP46" s="1543">
        <f t="shared" si="64"/>
        <v>0</v>
      </c>
      <c r="CQ46" s="1543">
        <f t="shared" si="64"/>
        <v>0</v>
      </c>
      <c r="CR46" s="1543">
        <f t="shared" si="91"/>
        <v>0</v>
      </c>
      <c r="CS46" s="1543">
        <f t="shared" si="46"/>
        <v>0</v>
      </c>
      <c r="CT46" s="1543">
        <f t="shared" si="47"/>
        <v>0</v>
      </c>
      <c r="CU46" s="1543">
        <f t="shared" si="47"/>
        <v>0</v>
      </c>
      <c r="CV46" s="1543">
        <f t="shared" si="47"/>
        <v>0</v>
      </c>
      <c r="CW46" s="1543">
        <f t="shared" si="47"/>
        <v>0</v>
      </c>
      <c r="CX46" s="1543">
        <f t="shared" si="47"/>
        <v>0</v>
      </c>
      <c r="CY46" s="1543">
        <f t="shared" si="47"/>
        <v>0</v>
      </c>
      <c r="CZ46" s="1543">
        <f t="shared" si="47"/>
        <v>0</v>
      </c>
      <c r="DA46" s="1543">
        <f t="shared" si="47"/>
        <v>0</v>
      </c>
      <c r="DB46" s="1543">
        <f t="shared" si="47"/>
        <v>0</v>
      </c>
      <c r="DD46" s="1543">
        <f t="shared" si="68"/>
        <v>0</v>
      </c>
      <c r="DE46" s="1543">
        <f t="shared" si="69"/>
        <v>0</v>
      </c>
      <c r="DF46" s="1543">
        <f t="shared" si="70"/>
        <v>0</v>
      </c>
      <c r="DG46" s="1543">
        <f t="shared" si="31"/>
        <v>0</v>
      </c>
      <c r="DI46" s="1543">
        <f t="shared" si="32"/>
        <v>0</v>
      </c>
      <c r="DJ46" s="1543">
        <f t="shared" si="74"/>
        <v>0</v>
      </c>
      <c r="DK46" s="1543">
        <f t="shared" si="74"/>
        <v>0</v>
      </c>
      <c r="DL46" s="1543">
        <f t="shared" si="74"/>
        <v>0</v>
      </c>
      <c r="DM46" s="1543">
        <f t="shared" si="74"/>
        <v>0</v>
      </c>
      <c r="DO46" s="1543">
        <f t="shared" si="100"/>
        <v>0</v>
      </c>
      <c r="DP46" s="1543">
        <f t="shared" si="100"/>
        <v>0</v>
      </c>
      <c r="DQ46" s="1543">
        <f t="shared" si="100"/>
        <v>0</v>
      </c>
      <c r="DR46" s="1543">
        <f t="shared" si="100"/>
        <v>0</v>
      </c>
      <c r="DS46" s="1543">
        <f t="shared" si="100"/>
        <v>0</v>
      </c>
      <c r="DT46" s="1543">
        <f t="shared" si="100"/>
        <v>0</v>
      </c>
      <c r="DU46" s="1543">
        <f t="shared" si="100"/>
        <v>0</v>
      </c>
      <c r="DV46" s="1543">
        <f t="shared" si="100"/>
        <v>0</v>
      </c>
      <c r="DW46" s="1543">
        <f t="shared" si="100"/>
        <v>0</v>
      </c>
      <c r="DX46" s="1543">
        <f t="shared" si="100"/>
        <v>0</v>
      </c>
      <c r="DY46" s="1543">
        <f t="shared" si="100"/>
        <v>0</v>
      </c>
      <c r="DZ46" s="1543">
        <f t="shared" si="100"/>
        <v>0</v>
      </c>
      <c r="EA46" s="1543">
        <f t="shared" si="100"/>
        <v>0</v>
      </c>
      <c r="EB46" s="1543">
        <f t="shared" si="71"/>
        <v>0</v>
      </c>
      <c r="EC46" s="1543">
        <f t="shared" si="71"/>
        <v>0</v>
      </c>
      <c r="ED46" s="1543">
        <f t="shared" si="71"/>
        <v>0</v>
      </c>
      <c r="EE46" s="1543">
        <f t="shared" si="71"/>
        <v>0</v>
      </c>
      <c r="EF46" s="1543">
        <f t="shared" si="71"/>
        <v>0</v>
      </c>
      <c r="EH46" s="1543">
        <f t="shared" si="92"/>
        <v>0</v>
      </c>
      <c r="EI46" s="1543">
        <f t="shared" si="93"/>
        <v>0</v>
      </c>
      <c r="EJ46" s="1543">
        <f t="shared" si="94"/>
        <v>0</v>
      </c>
      <c r="EK46" s="1543">
        <f t="shared" si="95"/>
        <v>0</v>
      </c>
      <c r="EL46" s="1543">
        <f t="shared" si="96"/>
        <v>0</v>
      </c>
      <c r="EM46" s="1543">
        <f t="shared" si="97"/>
        <v>0</v>
      </c>
      <c r="EN46" s="1543">
        <f t="shared" si="98"/>
        <v>0</v>
      </c>
      <c r="EP46" s="1543">
        <f t="shared" si="72"/>
        <v>0</v>
      </c>
      <c r="EQ46" s="1543">
        <f t="shared" si="72"/>
        <v>0</v>
      </c>
      <c r="ER46" s="1543">
        <f t="shared" si="72"/>
        <v>0</v>
      </c>
      <c r="ES46" s="1543">
        <f t="shared" si="72"/>
        <v>0</v>
      </c>
      <c r="ET46" s="1543">
        <f t="shared" si="73"/>
        <v>0</v>
      </c>
      <c r="EU46" s="1543">
        <f t="shared" si="73"/>
        <v>0</v>
      </c>
      <c r="EV46" s="1543">
        <f t="shared" si="73"/>
        <v>0</v>
      </c>
      <c r="EW46" s="1543">
        <f t="shared" si="73"/>
        <v>0</v>
      </c>
      <c r="EX46" s="1543">
        <f t="shared" si="73"/>
        <v>0</v>
      </c>
      <c r="EY46" s="1543">
        <f t="shared" si="73"/>
        <v>0</v>
      </c>
      <c r="EZ46" s="1543">
        <f t="shared" si="73"/>
        <v>0</v>
      </c>
      <c r="FA46" s="1543">
        <f t="shared" si="73"/>
        <v>0</v>
      </c>
      <c r="FB46" s="1543">
        <f t="shared" si="73"/>
        <v>0</v>
      </c>
      <c r="FC46" s="1543">
        <f t="shared" si="73"/>
        <v>0</v>
      </c>
      <c r="FD46" s="1543">
        <f t="shared" si="73"/>
        <v>0</v>
      </c>
      <c r="FE46" s="1543">
        <f t="shared" si="52"/>
        <v>0</v>
      </c>
      <c r="FF46" s="1543">
        <f t="shared" si="40"/>
        <v>1</v>
      </c>
      <c r="FH46" s="1543">
        <f t="shared" si="76"/>
        <v>0</v>
      </c>
      <c r="FI46" s="1543">
        <f t="shared" si="76"/>
        <v>0</v>
      </c>
      <c r="FJ46" s="1543">
        <f t="shared" si="76"/>
        <v>0</v>
      </c>
      <c r="FK46" s="1543">
        <f t="shared" si="76"/>
        <v>0</v>
      </c>
      <c r="FL46" s="1543">
        <f t="shared" si="76"/>
        <v>0</v>
      </c>
      <c r="FM46" s="1543">
        <f t="shared" si="76"/>
        <v>0</v>
      </c>
      <c r="FN46" s="1543">
        <f t="shared" si="76"/>
        <v>0</v>
      </c>
      <c r="FO46" s="1543">
        <f t="shared" si="76"/>
        <v>0</v>
      </c>
      <c r="FP46" s="1543">
        <f t="shared" si="76"/>
        <v>0</v>
      </c>
      <c r="FQ46" s="1543">
        <f t="shared" si="76"/>
        <v>0</v>
      </c>
      <c r="FR46" s="1543">
        <f t="shared" si="76"/>
        <v>0</v>
      </c>
      <c r="FS46" s="1543">
        <f t="shared" si="76"/>
        <v>0</v>
      </c>
      <c r="FT46" s="1543">
        <f t="shared" si="41"/>
        <v>0</v>
      </c>
      <c r="FV46" s="1543">
        <f t="shared" si="77"/>
        <v>1</v>
      </c>
      <c r="FW46" s="1543">
        <f t="shared" si="77"/>
        <v>0</v>
      </c>
      <c r="FX46" s="1543">
        <f t="shared" si="77"/>
        <v>0</v>
      </c>
      <c r="FY46" s="1543">
        <f t="shared" si="77"/>
        <v>0</v>
      </c>
      <c r="FZ46" s="1543">
        <f t="shared" si="77"/>
        <v>0</v>
      </c>
      <c r="GA46" s="1543">
        <f t="shared" si="77"/>
        <v>0</v>
      </c>
      <c r="GB46" s="1543">
        <f t="shared" si="77"/>
        <v>0</v>
      </c>
      <c r="GC46" s="1543">
        <f t="shared" si="77"/>
        <v>0</v>
      </c>
      <c r="GD46" s="1543">
        <f t="shared" si="77"/>
        <v>0</v>
      </c>
    </row>
    <row r="47" spans="1:186" s="982" customFormat="1" ht="15.6" x14ac:dyDescent="0.3">
      <c r="A47" s="974">
        <v>45</v>
      </c>
      <c r="B47" s="983"/>
      <c r="C47" s="984"/>
      <c r="D47" s="983"/>
      <c r="E47" s="968" t="str">
        <f>IFERROR(VLOOKUP($D47&amp;"."&amp;B47,'Piping Class'!$1:$1048576,MATCH($I47,'Piping Class'!$2:$2,0),0),"")</f>
        <v/>
      </c>
      <c r="F47" s="985" t="str">
        <f>IFERROR(IF(B47="Flange",VLOOKUP($D47,'Piping Class'!$88:$102,MATCH(F$1,'Piping Class'!$88:$88,0),0),""),"")</f>
        <v/>
      </c>
      <c r="G47" s="968" t="str">
        <f>IFERROR(IF(B47="Flange",VLOOKUP($D47,'Piping Class'!$88:$102,MATCH(G$1,'Piping Class'!$88:$88,0),0),""),"")</f>
        <v/>
      </c>
      <c r="H47" s="968" t="str">
        <f>IFERROR(VLOOKUP($D47,'Piping Class'!$88:$102,MATCH(H$1,'Piping Class'!$88:$88,0),0),"")</f>
        <v/>
      </c>
      <c r="I47" s="986"/>
      <c r="J47" s="987"/>
      <c r="K47" s="968" t="str">
        <f>IFERROR(VLOOKUP(I47,'Thickness Tab'!$1:$1048576,MATCH(L47,'Thickness Tab'!$1:$1,0),0),"")</f>
        <v/>
      </c>
      <c r="L47" s="969" t="str">
        <f>IFERROR(VLOOKUP($D47,'Piping Class'!$1:$1048576,MATCH($I47,'Piping Class'!$2:$2,0),0),"")</f>
        <v/>
      </c>
      <c r="M47" s="968" t="str">
        <f>IFERROR(VLOOKUP(J47,'Thickness Tab'!$1:$1048576,MATCH(N47,'Thickness Tab'!$1:$1,0),0),"")</f>
        <v/>
      </c>
      <c r="N47" s="969" t="str">
        <f>IFERROR(VLOOKUP($D47,'Piping Class'!$1:$1048576,MATCH($J47,'Piping Class'!$2:$2,0),0),"")</f>
        <v/>
      </c>
      <c r="O47" s="968" t="str">
        <f>IFERROR(VLOOKUP($D47,'Piping Class'!$88:$102,MATCH(O$1,'Piping Class'!$88:$88,0),0),"")</f>
        <v/>
      </c>
      <c r="P47" s="968" t="str">
        <f>IFERROR(VLOOKUP($D47,'Piping Class'!$88:$102,MATCH(P$1,'Piping Class'!$88:$88,0),0),"")</f>
        <v/>
      </c>
      <c r="Q47" s="983"/>
      <c r="R47" s="988"/>
      <c r="S47" s="969" t="str">
        <f t="shared" si="80"/>
        <v/>
      </c>
      <c r="T47" s="968">
        <f>IFERROR(VLOOKUP(I47&amp;"."&amp;L47,'Fitting Chart'!$1:$1048576,MATCH(C47,'Fitting Chart'!$1:$1,0),0),0)+IF(B47="piping",PI()*K47*(VLOOKUP(I47,'Thickness Tab'!$1:$1048576,3,0)-K47)*7.86/1000,0)+IF(B47="Flange",VLOOKUP(I47&amp;"F"&amp;F47,'Flanges Chart'!$1:$1048576,MATCH(C47&amp;"."&amp;T$1,'Flanges Chart'!$1:$1,0),0),0)</f>
        <v>0</v>
      </c>
      <c r="U47" s="989">
        <f t="shared" si="81"/>
        <v>0</v>
      </c>
      <c r="V47" s="1003"/>
      <c r="W47" s="1001">
        <f t="shared" si="82"/>
        <v>0</v>
      </c>
      <c r="X47" s="997"/>
      <c r="Y47" s="983"/>
      <c r="Z47" s="989">
        <f>IF(B47="Piping",VLOOKUP(I47,'Thickness Tab'!$1:$1048576,3,0)/1000*PI(),0)+IFERROR(VLOOKUP(I47&amp;"F"&amp;F47,'Flanges Chart'!$1:$1048576,MATCH(C47&amp;".Unit Surface",'Flanges Chart'!$1:$1,0),0),0)+IF(B47="Fitting",VLOOKUP(I47,'Thickness Tab'!$1:$1048576,3,0)/1000*PI(),0)</f>
        <v>0</v>
      </c>
      <c r="AA47" s="989">
        <f t="shared" si="83"/>
        <v>0</v>
      </c>
      <c r="AB47" s="983">
        <v>0</v>
      </c>
      <c r="AC47" s="989">
        <f t="shared" si="24"/>
        <v>0</v>
      </c>
      <c r="AD47" s="989">
        <f t="shared" si="25"/>
        <v>0</v>
      </c>
      <c r="AE47" s="974">
        <f>(IFERROR(VLOOKUP($C47,List!$J:$L,2,0),0)*R47+IF(B47="piping",R47,0)+IF(C47="Welding Neck",1,0)*R47)*$AE$2</f>
        <v>0</v>
      </c>
      <c r="AF47" s="970">
        <f>IFERROR(VLOOKUP($C47,List!$J:$L,3,0),0)*R47*$AF$2</f>
        <v>0</v>
      </c>
      <c r="AG47" s="990">
        <f t="shared" si="84"/>
        <v>0</v>
      </c>
      <c r="AH47" s="1118" t="str">
        <f>IFERROR(VLOOKUP($D47,'Piping Class'!$88:$102,MATCH(AH$1,'Piping Class'!$88:$88,0),0),"")</f>
        <v/>
      </c>
      <c r="AI47" s="991" t="str">
        <f>IFERROR(VLOOKUP($D47,'Piping Class'!$88:$102,MATCH(AI$1,'Piping Class'!$88:$88,0),0),"")</f>
        <v/>
      </c>
      <c r="AJ47" s="991" t="str">
        <f>IFERROR(VLOOKUP($D47,'Piping Class'!$88:$102,MATCH(AJ$1,'Piping Class'!$88:$88,0),0),"")</f>
        <v/>
      </c>
      <c r="AK47" s="991" t="str">
        <f>IFERROR(VLOOKUP($D47,'Piping Class'!$88:$102,MATCH(AK$1,'Piping Class'!$88:$88,0),0),"")</f>
        <v/>
      </c>
      <c r="AL47" s="991">
        <f t="shared" si="44"/>
        <v>0</v>
      </c>
      <c r="AM47" s="1119" t="str">
        <f>IFERROR(VLOOKUP($D47,'Piping Class'!$88:$102,MATCH(AM$1,'Piping Class'!$88:$88,0),0),"")</f>
        <v/>
      </c>
      <c r="AN47" s="992">
        <f t="shared" si="26"/>
        <v>0</v>
      </c>
      <c r="AO47" s="993">
        <f>IFERROR(VLOOKUP(I47&amp;"B"&amp;F47,'Bolting Chart'!$1:$1048576,4,0),0)</f>
        <v>0</v>
      </c>
      <c r="AP47" s="993">
        <f t="shared" si="85"/>
        <v>0</v>
      </c>
      <c r="AQ47" s="993">
        <f t="shared" si="86"/>
        <v>0</v>
      </c>
      <c r="AR47" s="993">
        <f>IF(AO47=0,0,VLOOKUP(D47&amp;".bolting",'Piping Class'!$1:$1048576,MATCH(I47,'Piping Class'!$2:$2,0),0))</f>
        <v>0</v>
      </c>
      <c r="AS47" s="994">
        <f>IFERROR(VLOOKUP(I47&amp;"B"&amp;F47,'Bolting Chart'!$1:$1048576,IF(AS$2="UNC",5,6),0),0)</f>
        <v>0</v>
      </c>
      <c r="AT47" s="995">
        <f>IFERROR(VLOOKUP(I47&amp;"B"&amp;F47,'Bolting Chart'!$1:$1048576,IF(G47="RF",8,9),0),0)</f>
        <v>0</v>
      </c>
      <c r="AU47" s="993">
        <f>IF(AO47=0,0,VLOOKUP(D47&amp;".gasket",'Piping Class'!$1:$1048576,MATCH(I47,'Piping Class'!$2:$2,0),0))</f>
        <v>0</v>
      </c>
      <c r="AV47" s="996">
        <f>(IFERROR(INDEX('Bolting Chart'!$A$169:$R$251,MATCH(AT47,'Bolting Chart'!$A$170:$A$251,0),MATCH(IFERROR(VLOOKUP(I47&amp;"B"&amp;F47,'Bolting Chart'!$1:$1048576,7,0),0)+0,'Bolting Chart'!$A$169:$R$169,0)),0))/100</f>
        <v>0</v>
      </c>
      <c r="AW47" s="996">
        <f t="shared" si="87"/>
        <v>0</v>
      </c>
      <c r="AX47" s="1194">
        <f t="shared" si="88"/>
        <v>0</v>
      </c>
      <c r="AY47" s="981"/>
      <c r="AZ47" s="1543">
        <f t="shared" si="63"/>
        <v>0</v>
      </c>
      <c r="BA47" s="1543">
        <f t="shared" si="63"/>
        <v>0</v>
      </c>
      <c r="BB47" s="1543">
        <f t="shared" si="63"/>
        <v>0</v>
      </c>
      <c r="BC47" s="1543">
        <f t="shared" si="63"/>
        <v>0</v>
      </c>
      <c r="BD47" s="1543">
        <f t="shared" si="63"/>
        <v>0</v>
      </c>
      <c r="BE47" s="1543">
        <f t="shared" si="63"/>
        <v>0</v>
      </c>
      <c r="BF47" s="1543">
        <f t="shared" si="63"/>
        <v>0</v>
      </c>
      <c r="BG47" s="1543">
        <f t="shared" si="63"/>
        <v>0</v>
      </c>
      <c r="BH47" s="1543">
        <f t="shared" si="63"/>
        <v>0</v>
      </c>
      <c r="BI47" s="1543">
        <f t="shared" si="63"/>
        <v>0</v>
      </c>
      <c r="BJ47" s="1543">
        <f t="shared" si="63"/>
        <v>0</v>
      </c>
      <c r="BK47" s="1543">
        <f t="shared" si="63"/>
        <v>0</v>
      </c>
      <c r="BL47" s="1543">
        <f t="shared" si="63"/>
        <v>0</v>
      </c>
      <c r="BM47" s="1543">
        <f t="shared" si="63"/>
        <v>0</v>
      </c>
      <c r="BN47" s="1543">
        <f t="shared" si="63"/>
        <v>0</v>
      </c>
      <c r="BO47" s="1543">
        <f t="shared" si="63"/>
        <v>0</v>
      </c>
      <c r="BP47" s="1543">
        <f t="shared" si="89"/>
        <v>0</v>
      </c>
      <c r="BQ47" s="1543">
        <f t="shared" si="89"/>
        <v>0</v>
      </c>
      <c r="BR47" s="1543">
        <f t="shared" si="89"/>
        <v>0</v>
      </c>
      <c r="BS47" s="1543">
        <f t="shared" si="89"/>
        <v>0</v>
      </c>
      <c r="BT47" s="1543">
        <f t="shared" si="89"/>
        <v>0</v>
      </c>
      <c r="BU47" s="1543">
        <f t="shared" si="89"/>
        <v>0</v>
      </c>
      <c r="BV47" s="1543">
        <f t="shared" si="89"/>
        <v>0</v>
      </c>
      <c r="BW47" s="1543">
        <f t="shared" si="89"/>
        <v>0</v>
      </c>
      <c r="BX47" s="1543">
        <f t="shared" si="89"/>
        <v>0</v>
      </c>
      <c r="BY47" s="1543">
        <f t="shared" si="89"/>
        <v>0</v>
      </c>
      <c r="BZ47" s="1543">
        <f t="shared" si="89"/>
        <v>0</v>
      </c>
      <c r="CB47" s="1543">
        <f t="shared" si="64"/>
        <v>0</v>
      </c>
      <c r="CC47" s="1543">
        <f t="shared" si="64"/>
        <v>0</v>
      </c>
      <c r="CD47" s="1543">
        <f t="shared" si="64"/>
        <v>0</v>
      </c>
      <c r="CE47" s="1543">
        <f t="shared" si="64"/>
        <v>0</v>
      </c>
      <c r="CF47" s="1543">
        <f t="shared" si="64"/>
        <v>0</v>
      </c>
      <c r="CG47" s="1543">
        <f t="shared" si="64"/>
        <v>0</v>
      </c>
      <c r="CH47" s="1543">
        <f t="shared" si="64"/>
        <v>0</v>
      </c>
      <c r="CI47" s="1543">
        <f t="shared" si="64"/>
        <v>0</v>
      </c>
      <c r="CJ47" s="1543">
        <f t="shared" si="64"/>
        <v>0</v>
      </c>
      <c r="CK47" s="1543">
        <f t="shared" si="64"/>
        <v>0</v>
      </c>
      <c r="CL47" s="1543">
        <f t="shared" si="64"/>
        <v>0</v>
      </c>
      <c r="CM47" s="1543">
        <f t="shared" si="64"/>
        <v>0</v>
      </c>
      <c r="CN47" s="1543">
        <f t="shared" si="64"/>
        <v>0</v>
      </c>
      <c r="CO47" s="1543">
        <f t="shared" si="64"/>
        <v>0</v>
      </c>
      <c r="CP47" s="1543">
        <f t="shared" si="64"/>
        <v>0</v>
      </c>
      <c r="CQ47" s="1543">
        <f t="shared" si="64"/>
        <v>0</v>
      </c>
      <c r="CR47" s="1543">
        <f t="shared" si="91"/>
        <v>0</v>
      </c>
      <c r="CS47" s="1543">
        <f t="shared" si="91"/>
        <v>0</v>
      </c>
      <c r="CT47" s="1543">
        <f t="shared" si="47"/>
        <v>0</v>
      </c>
      <c r="CU47" s="1543">
        <f t="shared" si="47"/>
        <v>0</v>
      </c>
      <c r="CV47" s="1543">
        <f t="shared" si="47"/>
        <v>0</v>
      </c>
      <c r="CW47" s="1543">
        <f t="shared" ref="CT47:DB66" si="101">IF($I47=CW$2,1,0)</f>
        <v>0</v>
      </c>
      <c r="CX47" s="1543">
        <f t="shared" si="101"/>
        <v>0</v>
      </c>
      <c r="CY47" s="1543">
        <f t="shared" si="101"/>
        <v>0</v>
      </c>
      <c r="CZ47" s="1543">
        <f t="shared" si="101"/>
        <v>0</v>
      </c>
      <c r="DA47" s="1543">
        <f t="shared" si="101"/>
        <v>0</v>
      </c>
      <c r="DB47" s="1543">
        <f t="shared" si="101"/>
        <v>0</v>
      </c>
      <c r="DD47" s="1543">
        <f t="shared" si="68"/>
        <v>0</v>
      </c>
      <c r="DE47" s="1543">
        <f t="shared" si="69"/>
        <v>0</v>
      </c>
      <c r="DF47" s="1543">
        <f t="shared" si="70"/>
        <v>0</v>
      </c>
      <c r="DG47" s="1543">
        <f t="shared" si="31"/>
        <v>0</v>
      </c>
      <c r="DI47" s="1543">
        <f t="shared" si="32"/>
        <v>0</v>
      </c>
      <c r="DJ47" s="1543">
        <f t="shared" si="74"/>
        <v>0</v>
      </c>
      <c r="DK47" s="1543">
        <f t="shared" si="74"/>
        <v>0</v>
      </c>
      <c r="DL47" s="1543">
        <f t="shared" si="74"/>
        <v>0</v>
      </c>
      <c r="DM47" s="1543">
        <f t="shared" si="74"/>
        <v>0</v>
      </c>
      <c r="DO47" s="1543">
        <f t="shared" si="100"/>
        <v>0</v>
      </c>
      <c r="DP47" s="1543">
        <f t="shared" si="100"/>
        <v>0</v>
      </c>
      <c r="DQ47" s="1543">
        <f t="shared" si="100"/>
        <v>0</v>
      </c>
      <c r="DR47" s="1543">
        <f t="shared" si="100"/>
        <v>0</v>
      </c>
      <c r="DS47" s="1543">
        <f t="shared" si="100"/>
        <v>0</v>
      </c>
      <c r="DT47" s="1543">
        <f t="shared" si="100"/>
        <v>0</v>
      </c>
      <c r="DU47" s="1543">
        <f t="shared" si="100"/>
        <v>0</v>
      </c>
      <c r="DV47" s="1543">
        <f t="shared" si="100"/>
        <v>0</v>
      </c>
      <c r="DW47" s="1543">
        <f t="shared" si="100"/>
        <v>0</v>
      </c>
      <c r="DX47" s="1543">
        <f t="shared" si="100"/>
        <v>0</v>
      </c>
      <c r="DY47" s="1543">
        <f t="shared" si="100"/>
        <v>0</v>
      </c>
      <c r="DZ47" s="1543">
        <f t="shared" si="100"/>
        <v>0</v>
      </c>
      <c r="EA47" s="1543">
        <f t="shared" si="100"/>
        <v>0</v>
      </c>
      <c r="EB47" s="1543">
        <f t="shared" si="71"/>
        <v>0</v>
      </c>
      <c r="EC47" s="1543">
        <f t="shared" si="71"/>
        <v>0</v>
      </c>
      <c r="ED47" s="1543">
        <f t="shared" si="71"/>
        <v>0</v>
      </c>
      <c r="EE47" s="1543">
        <f t="shared" si="71"/>
        <v>0</v>
      </c>
      <c r="EF47" s="1543">
        <f t="shared" si="71"/>
        <v>0</v>
      </c>
      <c r="EH47" s="1543">
        <f t="shared" si="92"/>
        <v>0</v>
      </c>
      <c r="EI47" s="1543">
        <f t="shared" si="93"/>
        <v>0</v>
      </c>
      <c r="EJ47" s="1543">
        <f t="shared" si="94"/>
        <v>0</v>
      </c>
      <c r="EK47" s="1543">
        <f t="shared" si="95"/>
        <v>0</v>
      </c>
      <c r="EL47" s="1543">
        <f t="shared" si="96"/>
        <v>0</v>
      </c>
      <c r="EM47" s="1543">
        <f t="shared" si="97"/>
        <v>0</v>
      </c>
      <c r="EN47" s="1543">
        <f t="shared" si="98"/>
        <v>0</v>
      </c>
      <c r="EP47" s="1543">
        <f t="shared" si="72"/>
        <v>0</v>
      </c>
      <c r="EQ47" s="1543">
        <f t="shared" si="72"/>
        <v>0</v>
      </c>
      <c r="ER47" s="1543">
        <f t="shared" si="72"/>
        <v>0</v>
      </c>
      <c r="ES47" s="1543">
        <f t="shared" si="72"/>
        <v>0</v>
      </c>
      <c r="ET47" s="1543">
        <f t="shared" si="73"/>
        <v>0</v>
      </c>
      <c r="EU47" s="1543">
        <f t="shared" si="73"/>
        <v>0</v>
      </c>
      <c r="EV47" s="1543">
        <f t="shared" si="73"/>
        <v>0</v>
      </c>
      <c r="EW47" s="1543">
        <f t="shared" si="73"/>
        <v>0</v>
      </c>
      <c r="EX47" s="1543">
        <f t="shared" si="73"/>
        <v>0</v>
      </c>
      <c r="EY47" s="1543">
        <f t="shared" si="73"/>
        <v>0</v>
      </c>
      <c r="EZ47" s="1543">
        <f t="shared" si="73"/>
        <v>0</v>
      </c>
      <c r="FA47" s="1543">
        <f t="shared" si="73"/>
        <v>0</v>
      </c>
      <c r="FB47" s="1543">
        <f t="shared" si="73"/>
        <v>0</v>
      </c>
      <c r="FC47" s="1543">
        <f t="shared" si="73"/>
        <v>0</v>
      </c>
      <c r="FD47" s="1543">
        <f t="shared" si="73"/>
        <v>0</v>
      </c>
      <c r="FE47" s="1543">
        <f t="shared" si="52"/>
        <v>0</v>
      </c>
      <c r="FF47" s="1543">
        <f t="shared" si="40"/>
        <v>1</v>
      </c>
      <c r="FH47" s="1543">
        <f t="shared" si="76"/>
        <v>0</v>
      </c>
      <c r="FI47" s="1543">
        <f t="shared" si="76"/>
        <v>0</v>
      </c>
      <c r="FJ47" s="1543">
        <f t="shared" si="76"/>
        <v>0</v>
      </c>
      <c r="FK47" s="1543">
        <f t="shared" si="76"/>
        <v>0</v>
      </c>
      <c r="FL47" s="1543">
        <f t="shared" si="76"/>
        <v>0</v>
      </c>
      <c r="FM47" s="1543">
        <f t="shared" si="76"/>
        <v>0</v>
      </c>
      <c r="FN47" s="1543">
        <f t="shared" si="76"/>
        <v>0</v>
      </c>
      <c r="FO47" s="1543">
        <f t="shared" si="76"/>
        <v>0</v>
      </c>
      <c r="FP47" s="1543">
        <f t="shared" si="76"/>
        <v>0</v>
      </c>
      <c r="FQ47" s="1543">
        <f t="shared" si="76"/>
        <v>0</v>
      </c>
      <c r="FR47" s="1543">
        <f t="shared" si="76"/>
        <v>0</v>
      </c>
      <c r="FS47" s="1543">
        <f t="shared" si="76"/>
        <v>0</v>
      </c>
      <c r="FT47" s="1543">
        <f t="shared" si="41"/>
        <v>0</v>
      </c>
      <c r="FV47" s="1543">
        <f t="shared" si="77"/>
        <v>1</v>
      </c>
      <c r="FW47" s="1543">
        <f t="shared" si="77"/>
        <v>0</v>
      </c>
      <c r="FX47" s="1543">
        <f t="shared" si="77"/>
        <v>0</v>
      </c>
      <c r="FY47" s="1543">
        <f t="shared" si="77"/>
        <v>0</v>
      </c>
      <c r="FZ47" s="1543">
        <f t="shared" si="77"/>
        <v>0</v>
      </c>
      <c r="GA47" s="1543">
        <f t="shared" si="77"/>
        <v>0</v>
      </c>
      <c r="GB47" s="1543">
        <f t="shared" si="77"/>
        <v>0</v>
      </c>
      <c r="GC47" s="1543">
        <f t="shared" si="77"/>
        <v>0</v>
      </c>
      <c r="GD47" s="1543">
        <f t="shared" si="77"/>
        <v>0</v>
      </c>
    </row>
    <row r="48" spans="1:186" s="982" customFormat="1" ht="15.6" x14ac:dyDescent="0.3">
      <c r="A48" s="974">
        <v>46</v>
      </c>
      <c r="B48" s="983"/>
      <c r="C48" s="984"/>
      <c r="D48" s="983"/>
      <c r="E48" s="968" t="str">
        <f>IFERROR(VLOOKUP($D48&amp;"."&amp;B48,'Piping Class'!$1:$1048576,MATCH($I48,'Piping Class'!$2:$2,0),0),"")</f>
        <v/>
      </c>
      <c r="F48" s="985" t="str">
        <f>IFERROR(IF(B48="Flange",VLOOKUP($D48,'Piping Class'!$88:$102,MATCH(F$1,'Piping Class'!$88:$88,0),0),""),"")</f>
        <v/>
      </c>
      <c r="G48" s="968" t="str">
        <f>IFERROR(IF(B48="Flange",VLOOKUP($D48,'Piping Class'!$88:$102,MATCH(G$1,'Piping Class'!$88:$88,0),0),""),"")</f>
        <v/>
      </c>
      <c r="H48" s="968" t="str">
        <f>IFERROR(VLOOKUP($D48,'Piping Class'!$88:$102,MATCH(H$1,'Piping Class'!$88:$88,0),0),"")</f>
        <v/>
      </c>
      <c r="I48" s="986"/>
      <c r="J48" s="987"/>
      <c r="K48" s="968" t="str">
        <f>IFERROR(VLOOKUP(I48,'Thickness Tab'!$1:$1048576,MATCH(L48,'Thickness Tab'!$1:$1,0),0),"")</f>
        <v/>
      </c>
      <c r="L48" s="969" t="str">
        <f>IFERROR(VLOOKUP($D48,'Piping Class'!$1:$1048576,MATCH($I48,'Piping Class'!$2:$2,0),0),"")</f>
        <v/>
      </c>
      <c r="M48" s="968" t="str">
        <f>IFERROR(VLOOKUP(J48,'Thickness Tab'!$1:$1048576,MATCH(N48,'Thickness Tab'!$1:$1,0),0),"")</f>
        <v/>
      </c>
      <c r="N48" s="969" t="str">
        <f>IFERROR(VLOOKUP($D48,'Piping Class'!$1:$1048576,MATCH($J48,'Piping Class'!$2:$2,0),0),"")</f>
        <v/>
      </c>
      <c r="O48" s="968" t="str">
        <f>IFERROR(VLOOKUP($D48,'Piping Class'!$88:$102,MATCH(O$1,'Piping Class'!$88:$88,0),0),"")</f>
        <v/>
      </c>
      <c r="P48" s="968" t="str">
        <f>IFERROR(VLOOKUP($D48,'Piping Class'!$88:$102,MATCH(P$1,'Piping Class'!$88:$88,0),0),"")</f>
        <v/>
      </c>
      <c r="Q48" s="983"/>
      <c r="R48" s="988"/>
      <c r="S48" s="969" t="str">
        <f t="shared" si="80"/>
        <v/>
      </c>
      <c r="T48" s="968">
        <f>IFERROR(VLOOKUP(I48&amp;"."&amp;L48,'Fitting Chart'!$1:$1048576,MATCH(C48,'Fitting Chart'!$1:$1,0),0),0)+IF(B48="piping",PI()*K48*(VLOOKUP(I48,'Thickness Tab'!$1:$1048576,3,0)-K48)*7.86/1000,0)+IF(B48="Flange",VLOOKUP(I48&amp;"F"&amp;F48,'Flanges Chart'!$1:$1048576,MATCH(C48&amp;"."&amp;T$1,'Flanges Chart'!$1:$1,0),0),0)</f>
        <v>0</v>
      </c>
      <c r="U48" s="989">
        <f t="shared" si="81"/>
        <v>0</v>
      </c>
      <c r="V48" s="1003"/>
      <c r="W48" s="1001">
        <f t="shared" si="82"/>
        <v>0</v>
      </c>
      <c r="X48" s="997"/>
      <c r="Y48" s="983"/>
      <c r="Z48" s="989">
        <f>IF(B48="Piping",VLOOKUP(I48,'Thickness Tab'!$1:$1048576,3,0)/1000*PI(),0)+IFERROR(VLOOKUP(I48&amp;"F"&amp;F48,'Flanges Chart'!$1:$1048576,MATCH(C48&amp;".Unit Surface",'Flanges Chart'!$1:$1,0),0),0)+IF(B48="Fitting",VLOOKUP(I48,'Thickness Tab'!$1:$1048576,3,0)/1000*PI(),0)</f>
        <v>0</v>
      </c>
      <c r="AA48" s="989">
        <f t="shared" si="83"/>
        <v>0</v>
      </c>
      <c r="AB48" s="983">
        <v>0</v>
      </c>
      <c r="AC48" s="989">
        <f t="shared" si="24"/>
        <v>0</v>
      </c>
      <c r="AD48" s="989">
        <f t="shared" si="25"/>
        <v>0</v>
      </c>
      <c r="AE48" s="974">
        <f>(IFERROR(VLOOKUP($C48,List!$J:$L,2,0),0)*R48+IF(B48="piping",R48,0)+IF(C48="Welding Neck",1,0)*R48)*$AE$2</f>
        <v>0</v>
      </c>
      <c r="AF48" s="970">
        <f>IFERROR(VLOOKUP($C48,List!$J:$L,3,0),0)*R48*$AF$2</f>
        <v>0</v>
      </c>
      <c r="AG48" s="990">
        <f t="shared" si="84"/>
        <v>0</v>
      </c>
      <c r="AH48" s="1118" t="str">
        <f>IFERROR(VLOOKUP($D48,'Piping Class'!$88:$102,MATCH(AH$1,'Piping Class'!$88:$88,0),0),"")</f>
        <v/>
      </c>
      <c r="AI48" s="991" t="str">
        <f>IFERROR(VLOOKUP($D48,'Piping Class'!$88:$102,MATCH(AI$1,'Piping Class'!$88:$88,0),0),"")</f>
        <v/>
      </c>
      <c r="AJ48" s="991" t="str">
        <f>IFERROR(VLOOKUP($D48,'Piping Class'!$88:$102,MATCH(AJ$1,'Piping Class'!$88:$88,0),0),"")</f>
        <v/>
      </c>
      <c r="AK48" s="991" t="str">
        <f>IFERROR(VLOOKUP($D48,'Piping Class'!$88:$102,MATCH(AK$1,'Piping Class'!$88:$88,0),0),"")</f>
        <v/>
      </c>
      <c r="AL48" s="991">
        <f t="shared" si="44"/>
        <v>0</v>
      </c>
      <c r="AM48" s="1119" t="str">
        <f>IFERROR(VLOOKUP($D48,'Piping Class'!$88:$102,MATCH(AM$1,'Piping Class'!$88:$88,0),0),"")</f>
        <v/>
      </c>
      <c r="AN48" s="992">
        <f t="shared" si="26"/>
        <v>0</v>
      </c>
      <c r="AO48" s="993">
        <f>IFERROR(VLOOKUP(I48&amp;"B"&amp;F48,'Bolting Chart'!$1:$1048576,4,0),0)</f>
        <v>0</v>
      </c>
      <c r="AP48" s="993">
        <f t="shared" si="85"/>
        <v>0</v>
      </c>
      <c r="AQ48" s="993">
        <f t="shared" si="86"/>
        <v>0</v>
      </c>
      <c r="AR48" s="993">
        <f>IF(AO48=0,0,VLOOKUP(D48&amp;".bolting",'Piping Class'!$1:$1048576,MATCH(I48,'Piping Class'!$2:$2,0),0))</f>
        <v>0</v>
      </c>
      <c r="AS48" s="994">
        <f>IFERROR(VLOOKUP(I48&amp;"B"&amp;F48,'Bolting Chart'!$1:$1048576,IF(AS$2="UNC",5,6),0),0)</f>
        <v>0</v>
      </c>
      <c r="AT48" s="995">
        <f>IFERROR(VLOOKUP(I48&amp;"B"&amp;F48,'Bolting Chart'!$1:$1048576,IF(G48="RF",8,9),0),0)</f>
        <v>0</v>
      </c>
      <c r="AU48" s="993">
        <f>IF(AO48=0,0,VLOOKUP(D48&amp;".gasket",'Piping Class'!$1:$1048576,MATCH(I48,'Piping Class'!$2:$2,0),0))</f>
        <v>0</v>
      </c>
      <c r="AV48" s="996">
        <f>(IFERROR(INDEX('Bolting Chart'!$A$169:$R$251,MATCH(AT48,'Bolting Chart'!$A$170:$A$251,0),MATCH(IFERROR(VLOOKUP(I48&amp;"B"&amp;F48,'Bolting Chart'!$1:$1048576,7,0),0)+0,'Bolting Chart'!$A$169:$R$169,0)),0))/100</f>
        <v>0</v>
      </c>
      <c r="AW48" s="996">
        <f t="shared" si="87"/>
        <v>0</v>
      </c>
      <c r="AX48" s="1194">
        <f t="shared" si="88"/>
        <v>0</v>
      </c>
      <c r="AY48" s="981"/>
      <c r="AZ48" s="1543">
        <f t="shared" si="63"/>
        <v>0</v>
      </c>
      <c r="BA48" s="1543">
        <f t="shared" si="63"/>
        <v>0</v>
      </c>
      <c r="BB48" s="1543">
        <f t="shared" si="63"/>
        <v>0</v>
      </c>
      <c r="BC48" s="1543">
        <f t="shared" si="63"/>
        <v>0</v>
      </c>
      <c r="BD48" s="1543">
        <f t="shared" si="63"/>
        <v>0</v>
      </c>
      <c r="BE48" s="1543">
        <f t="shared" si="63"/>
        <v>0</v>
      </c>
      <c r="BF48" s="1543">
        <f t="shared" si="63"/>
        <v>0</v>
      </c>
      <c r="BG48" s="1543">
        <f t="shared" si="63"/>
        <v>0</v>
      </c>
      <c r="BH48" s="1543">
        <f t="shared" si="63"/>
        <v>0</v>
      </c>
      <c r="BI48" s="1543">
        <f t="shared" si="63"/>
        <v>0</v>
      </c>
      <c r="BJ48" s="1543">
        <f t="shared" si="63"/>
        <v>0</v>
      </c>
      <c r="BK48" s="1543">
        <f t="shared" si="63"/>
        <v>0</v>
      </c>
      <c r="BL48" s="1543">
        <f t="shared" si="63"/>
        <v>0</v>
      </c>
      <c r="BM48" s="1543">
        <f t="shared" si="63"/>
        <v>0</v>
      </c>
      <c r="BN48" s="1543">
        <f t="shared" si="63"/>
        <v>0</v>
      </c>
      <c r="BO48" s="1543">
        <f t="shared" si="63"/>
        <v>0</v>
      </c>
      <c r="BP48" s="1543">
        <f t="shared" si="89"/>
        <v>0</v>
      </c>
      <c r="BQ48" s="1543">
        <f t="shared" si="89"/>
        <v>0</v>
      </c>
      <c r="BR48" s="1543">
        <f t="shared" si="89"/>
        <v>0</v>
      </c>
      <c r="BS48" s="1543">
        <f t="shared" si="89"/>
        <v>0</v>
      </c>
      <c r="BT48" s="1543">
        <f t="shared" si="89"/>
        <v>0</v>
      </c>
      <c r="BU48" s="1543">
        <f t="shared" si="89"/>
        <v>0</v>
      </c>
      <c r="BV48" s="1543">
        <f t="shared" si="89"/>
        <v>0</v>
      </c>
      <c r="BW48" s="1543">
        <f t="shared" si="89"/>
        <v>0</v>
      </c>
      <c r="BX48" s="1543">
        <f t="shared" si="89"/>
        <v>0</v>
      </c>
      <c r="BY48" s="1543">
        <f t="shared" si="89"/>
        <v>0</v>
      </c>
      <c r="BZ48" s="1543">
        <f t="shared" si="89"/>
        <v>0</v>
      </c>
      <c r="CB48" s="1543">
        <f t="shared" si="64"/>
        <v>0</v>
      </c>
      <c r="CC48" s="1543">
        <f t="shared" si="64"/>
        <v>0</v>
      </c>
      <c r="CD48" s="1543">
        <f t="shared" si="64"/>
        <v>0</v>
      </c>
      <c r="CE48" s="1543">
        <f t="shared" si="64"/>
        <v>0</v>
      </c>
      <c r="CF48" s="1543">
        <f t="shared" si="64"/>
        <v>0</v>
      </c>
      <c r="CG48" s="1543">
        <f t="shared" si="64"/>
        <v>0</v>
      </c>
      <c r="CH48" s="1543">
        <f t="shared" si="64"/>
        <v>0</v>
      </c>
      <c r="CI48" s="1543">
        <f t="shared" si="64"/>
        <v>0</v>
      </c>
      <c r="CJ48" s="1543">
        <f t="shared" si="64"/>
        <v>0</v>
      </c>
      <c r="CK48" s="1543">
        <f t="shared" si="64"/>
        <v>0</v>
      </c>
      <c r="CL48" s="1543">
        <f t="shared" si="64"/>
        <v>0</v>
      </c>
      <c r="CM48" s="1543">
        <f t="shared" si="64"/>
        <v>0</v>
      </c>
      <c r="CN48" s="1543">
        <f t="shared" si="64"/>
        <v>0</v>
      </c>
      <c r="CO48" s="1543">
        <f t="shared" si="64"/>
        <v>0</v>
      </c>
      <c r="CP48" s="1543">
        <f t="shared" si="64"/>
        <v>0</v>
      </c>
      <c r="CQ48" s="1543">
        <f t="shared" si="64"/>
        <v>0</v>
      </c>
      <c r="CR48" s="1543">
        <f t="shared" si="91"/>
        <v>0</v>
      </c>
      <c r="CS48" s="1543">
        <f t="shared" si="91"/>
        <v>0</v>
      </c>
      <c r="CT48" s="1543">
        <f t="shared" si="101"/>
        <v>0</v>
      </c>
      <c r="CU48" s="1543">
        <f t="shared" si="101"/>
        <v>0</v>
      </c>
      <c r="CV48" s="1543">
        <f t="shared" si="101"/>
        <v>0</v>
      </c>
      <c r="CW48" s="1543">
        <f t="shared" si="101"/>
        <v>0</v>
      </c>
      <c r="CX48" s="1543">
        <f t="shared" si="101"/>
        <v>0</v>
      </c>
      <c r="CY48" s="1543">
        <f t="shared" si="101"/>
        <v>0</v>
      </c>
      <c r="CZ48" s="1543">
        <f t="shared" si="101"/>
        <v>0</v>
      </c>
      <c r="DA48" s="1543">
        <f t="shared" si="101"/>
        <v>0</v>
      </c>
      <c r="DB48" s="1543">
        <f t="shared" si="101"/>
        <v>0</v>
      </c>
      <c r="DD48" s="1543">
        <f t="shared" si="68"/>
        <v>0</v>
      </c>
      <c r="DE48" s="1543">
        <f t="shared" si="69"/>
        <v>0</v>
      </c>
      <c r="DF48" s="1543">
        <f t="shared" si="70"/>
        <v>0</v>
      </c>
      <c r="DG48" s="1543">
        <f t="shared" si="31"/>
        <v>0</v>
      </c>
      <c r="DI48" s="1543">
        <f t="shared" si="32"/>
        <v>0</v>
      </c>
      <c r="DJ48" s="1543">
        <f t="shared" si="74"/>
        <v>0</v>
      </c>
      <c r="DK48" s="1543">
        <f t="shared" si="74"/>
        <v>0</v>
      </c>
      <c r="DL48" s="1543">
        <f t="shared" si="74"/>
        <v>0</v>
      </c>
      <c r="DM48" s="1543">
        <f t="shared" si="74"/>
        <v>0</v>
      </c>
      <c r="DO48" s="1543">
        <f t="shared" si="100"/>
        <v>0</v>
      </c>
      <c r="DP48" s="1543">
        <f t="shared" si="100"/>
        <v>0</v>
      </c>
      <c r="DQ48" s="1543">
        <f t="shared" si="100"/>
        <v>0</v>
      </c>
      <c r="DR48" s="1543">
        <f t="shared" si="100"/>
        <v>0</v>
      </c>
      <c r="DS48" s="1543">
        <f t="shared" si="100"/>
        <v>0</v>
      </c>
      <c r="DT48" s="1543">
        <f t="shared" si="100"/>
        <v>0</v>
      </c>
      <c r="DU48" s="1543">
        <f t="shared" si="100"/>
        <v>0</v>
      </c>
      <c r="DV48" s="1543">
        <f t="shared" si="100"/>
        <v>0</v>
      </c>
      <c r="DW48" s="1543">
        <f t="shared" si="100"/>
        <v>0</v>
      </c>
      <c r="DX48" s="1543">
        <f t="shared" si="100"/>
        <v>0</v>
      </c>
      <c r="DY48" s="1543">
        <f t="shared" si="100"/>
        <v>0</v>
      </c>
      <c r="DZ48" s="1543">
        <f t="shared" si="100"/>
        <v>0</v>
      </c>
      <c r="EA48" s="1543">
        <f t="shared" si="100"/>
        <v>0</v>
      </c>
      <c r="EB48" s="1543">
        <f t="shared" si="71"/>
        <v>0</v>
      </c>
      <c r="EC48" s="1543">
        <f t="shared" si="71"/>
        <v>0</v>
      </c>
      <c r="ED48" s="1543">
        <f t="shared" si="71"/>
        <v>0</v>
      </c>
      <c r="EE48" s="1543">
        <f t="shared" si="71"/>
        <v>0</v>
      </c>
      <c r="EF48" s="1543">
        <f t="shared" si="71"/>
        <v>0</v>
      </c>
      <c r="EH48" s="1543">
        <f t="shared" si="92"/>
        <v>0</v>
      </c>
      <c r="EI48" s="1543">
        <f t="shared" si="93"/>
        <v>0</v>
      </c>
      <c r="EJ48" s="1543">
        <f t="shared" si="94"/>
        <v>0</v>
      </c>
      <c r="EK48" s="1543">
        <f t="shared" si="95"/>
        <v>0</v>
      </c>
      <c r="EL48" s="1543">
        <f t="shared" si="96"/>
        <v>0</v>
      </c>
      <c r="EM48" s="1543">
        <f t="shared" si="97"/>
        <v>0</v>
      </c>
      <c r="EN48" s="1543">
        <f t="shared" si="98"/>
        <v>0</v>
      </c>
      <c r="EP48" s="1543">
        <f t="shared" si="72"/>
        <v>0</v>
      </c>
      <c r="EQ48" s="1543">
        <f t="shared" si="72"/>
        <v>0</v>
      </c>
      <c r="ER48" s="1543">
        <f t="shared" si="72"/>
        <v>0</v>
      </c>
      <c r="ES48" s="1543">
        <f t="shared" si="72"/>
        <v>0</v>
      </c>
      <c r="ET48" s="1543">
        <f t="shared" si="73"/>
        <v>0</v>
      </c>
      <c r="EU48" s="1543">
        <f t="shared" si="73"/>
        <v>0</v>
      </c>
      <c r="EV48" s="1543">
        <f t="shared" si="73"/>
        <v>0</v>
      </c>
      <c r="EW48" s="1543">
        <f t="shared" si="73"/>
        <v>0</v>
      </c>
      <c r="EX48" s="1543">
        <f t="shared" si="73"/>
        <v>0</v>
      </c>
      <c r="EY48" s="1543">
        <f t="shared" si="73"/>
        <v>0</v>
      </c>
      <c r="EZ48" s="1543">
        <f t="shared" si="73"/>
        <v>0</v>
      </c>
      <c r="FA48" s="1543">
        <f t="shared" si="73"/>
        <v>0</v>
      </c>
      <c r="FB48" s="1543">
        <f t="shared" si="73"/>
        <v>0</v>
      </c>
      <c r="FC48" s="1543">
        <f t="shared" si="73"/>
        <v>0</v>
      </c>
      <c r="FD48" s="1543">
        <f t="shared" si="73"/>
        <v>0</v>
      </c>
      <c r="FE48" s="1543">
        <f t="shared" si="52"/>
        <v>0</v>
      </c>
      <c r="FF48" s="1543">
        <f t="shared" si="40"/>
        <v>1</v>
      </c>
      <c r="FH48" s="1543">
        <f t="shared" si="76"/>
        <v>0</v>
      </c>
      <c r="FI48" s="1543">
        <f t="shared" si="76"/>
        <v>0</v>
      </c>
      <c r="FJ48" s="1543">
        <f t="shared" si="76"/>
        <v>0</v>
      </c>
      <c r="FK48" s="1543">
        <f t="shared" si="76"/>
        <v>0</v>
      </c>
      <c r="FL48" s="1543">
        <f t="shared" si="76"/>
        <v>0</v>
      </c>
      <c r="FM48" s="1543">
        <f t="shared" si="76"/>
        <v>0</v>
      </c>
      <c r="FN48" s="1543">
        <f t="shared" si="76"/>
        <v>0</v>
      </c>
      <c r="FO48" s="1543">
        <f t="shared" si="76"/>
        <v>0</v>
      </c>
      <c r="FP48" s="1543">
        <f t="shared" si="76"/>
        <v>0</v>
      </c>
      <c r="FQ48" s="1543">
        <f t="shared" si="76"/>
        <v>0</v>
      </c>
      <c r="FR48" s="1543">
        <f t="shared" si="76"/>
        <v>0</v>
      </c>
      <c r="FS48" s="1543">
        <f t="shared" si="76"/>
        <v>0</v>
      </c>
      <c r="FT48" s="1543">
        <f t="shared" si="41"/>
        <v>0</v>
      </c>
      <c r="FV48" s="1543">
        <f t="shared" si="77"/>
        <v>1</v>
      </c>
      <c r="FW48" s="1543">
        <f t="shared" si="77"/>
        <v>0</v>
      </c>
      <c r="FX48" s="1543">
        <f t="shared" si="77"/>
        <v>0</v>
      </c>
      <c r="FY48" s="1543">
        <f t="shared" si="77"/>
        <v>0</v>
      </c>
      <c r="FZ48" s="1543">
        <f t="shared" si="77"/>
        <v>0</v>
      </c>
      <c r="GA48" s="1543">
        <f t="shared" si="77"/>
        <v>0</v>
      </c>
      <c r="GB48" s="1543">
        <f t="shared" si="77"/>
        <v>0</v>
      </c>
      <c r="GC48" s="1543">
        <f t="shared" si="77"/>
        <v>0</v>
      </c>
      <c r="GD48" s="1543">
        <f t="shared" si="77"/>
        <v>0</v>
      </c>
    </row>
    <row r="49" spans="1:186" s="982" customFormat="1" ht="15.6" x14ac:dyDescent="0.3">
      <c r="A49" s="974">
        <v>47</v>
      </c>
      <c r="B49" s="983"/>
      <c r="C49" s="984"/>
      <c r="D49" s="983"/>
      <c r="E49" s="968" t="str">
        <f>IFERROR(VLOOKUP($D49&amp;"."&amp;B49,'Piping Class'!$1:$1048576,MATCH($I49,'Piping Class'!$2:$2,0),0),"")</f>
        <v/>
      </c>
      <c r="F49" s="985" t="str">
        <f>IFERROR(IF(B49="Flange",VLOOKUP($D49,'Piping Class'!$88:$102,MATCH(F$1,'Piping Class'!$88:$88,0),0),""),"")</f>
        <v/>
      </c>
      <c r="G49" s="968" t="str">
        <f>IFERROR(IF(B49="Flange",VLOOKUP($D49,'Piping Class'!$88:$102,MATCH(G$1,'Piping Class'!$88:$88,0),0),""),"")</f>
        <v/>
      </c>
      <c r="H49" s="968" t="str">
        <f>IFERROR(VLOOKUP($D49,'Piping Class'!$88:$102,MATCH(H$1,'Piping Class'!$88:$88,0),0),"")</f>
        <v/>
      </c>
      <c r="I49" s="986"/>
      <c r="J49" s="987"/>
      <c r="K49" s="968" t="str">
        <f>IFERROR(VLOOKUP(I49,'Thickness Tab'!$1:$1048576,MATCH(L49,'Thickness Tab'!$1:$1,0),0),"")</f>
        <v/>
      </c>
      <c r="L49" s="969" t="str">
        <f>IFERROR(VLOOKUP($D49,'Piping Class'!$1:$1048576,MATCH($I49,'Piping Class'!$2:$2,0),0),"")</f>
        <v/>
      </c>
      <c r="M49" s="968" t="str">
        <f>IFERROR(VLOOKUP(J49,'Thickness Tab'!$1:$1048576,MATCH(N49,'Thickness Tab'!$1:$1,0),0),"")</f>
        <v/>
      </c>
      <c r="N49" s="969" t="str">
        <f>IFERROR(VLOOKUP($D49,'Piping Class'!$1:$1048576,MATCH($J49,'Piping Class'!$2:$2,0),0),"")</f>
        <v/>
      </c>
      <c r="O49" s="968" t="str">
        <f>IFERROR(VLOOKUP($D49,'Piping Class'!$88:$102,MATCH(O$1,'Piping Class'!$88:$88,0),0),"")</f>
        <v/>
      </c>
      <c r="P49" s="968" t="str">
        <f>IFERROR(VLOOKUP($D49,'Piping Class'!$88:$102,MATCH(P$1,'Piping Class'!$88:$88,0),0),"")</f>
        <v/>
      </c>
      <c r="Q49" s="983"/>
      <c r="R49" s="988"/>
      <c r="S49" s="969" t="str">
        <f t="shared" si="80"/>
        <v/>
      </c>
      <c r="T49" s="968">
        <f>IFERROR(VLOOKUP(I49&amp;"."&amp;L49,'Fitting Chart'!$1:$1048576,MATCH(C49,'Fitting Chart'!$1:$1,0),0),0)+IF(B49="piping",PI()*K49*(VLOOKUP(I49,'Thickness Tab'!$1:$1048576,3,0)-K49)*7.86/1000,0)+IF(B49="Flange",VLOOKUP(I49&amp;"F"&amp;F49,'Flanges Chart'!$1:$1048576,MATCH(C49&amp;"."&amp;T$1,'Flanges Chart'!$1:$1,0),0),0)</f>
        <v>0</v>
      </c>
      <c r="U49" s="989">
        <f t="shared" si="81"/>
        <v>0</v>
      </c>
      <c r="V49" s="1003"/>
      <c r="W49" s="1001">
        <f t="shared" si="82"/>
        <v>0</v>
      </c>
      <c r="X49" s="997"/>
      <c r="Y49" s="983"/>
      <c r="Z49" s="989">
        <f>IF(B49="Piping",VLOOKUP(I49,'Thickness Tab'!$1:$1048576,3,0)/1000*PI(),0)+IFERROR(VLOOKUP(I49&amp;"F"&amp;F49,'Flanges Chart'!$1:$1048576,MATCH(C49&amp;".Unit Surface",'Flanges Chart'!$1:$1,0),0),0)+IF(B49="Fitting",VLOOKUP(I49,'Thickness Tab'!$1:$1048576,3,0)/1000*PI(),0)</f>
        <v>0</v>
      </c>
      <c r="AA49" s="989">
        <f t="shared" si="83"/>
        <v>0</v>
      </c>
      <c r="AB49" s="983">
        <v>0</v>
      </c>
      <c r="AC49" s="989">
        <f t="shared" si="24"/>
        <v>0</v>
      </c>
      <c r="AD49" s="989">
        <f t="shared" si="25"/>
        <v>0</v>
      </c>
      <c r="AE49" s="974">
        <f>(IFERROR(VLOOKUP($C49,List!$J:$L,2,0),0)*R49+IF(B49="piping",R49,0)+IF(C49="Welding Neck",1,0)*R49)*$AE$2</f>
        <v>0</v>
      </c>
      <c r="AF49" s="970">
        <f>IFERROR(VLOOKUP($C49,List!$J:$L,3,0),0)*R49*$AF$2</f>
        <v>0</v>
      </c>
      <c r="AG49" s="990">
        <f t="shared" si="84"/>
        <v>0</v>
      </c>
      <c r="AH49" s="1118" t="str">
        <f>IFERROR(VLOOKUP($D49,'Piping Class'!$88:$102,MATCH(AH$1,'Piping Class'!$88:$88,0),0),"")</f>
        <v/>
      </c>
      <c r="AI49" s="991" t="str">
        <f>IFERROR(VLOOKUP($D49,'Piping Class'!$88:$102,MATCH(AI$1,'Piping Class'!$88:$88,0),0),"")</f>
        <v/>
      </c>
      <c r="AJ49" s="991" t="str">
        <f>IFERROR(VLOOKUP($D49,'Piping Class'!$88:$102,MATCH(AJ$1,'Piping Class'!$88:$88,0),0),"")</f>
        <v/>
      </c>
      <c r="AK49" s="991" t="str">
        <f>IFERROR(VLOOKUP($D49,'Piping Class'!$88:$102,MATCH(AK$1,'Piping Class'!$88:$88,0),0),"")</f>
        <v/>
      </c>
      <c r="AL49" s="991">
        <f t="shared" si="44"/>
        <v>0</v>
      </c>
      <c r="AM49" s="1119" t="str">
        <f>IFERROR(VLOOKUP($D49,'Piping Class'!$88:$102,MATCH(AM$1,'Piping Class'!$88:$88,0),0),"")</f>
        <v/>
      </c>
      <c r="AN49" s="992">
        <f t="shared" si="26"/>
        <v>0</v>
      </c>
      <c r="AO49" s="993">
        <f>IFERROR(VLOOKUP(I49&amp;"B"&amp;F49,'Bolting Chart'!$1:$1048576,4,0),0)</f>
        <v>0</v>
      </c>
      <c r="AP49" s="993">
        <f t="shared" si="85"/>
        <v>0</v>
      </c>
      <c r="AQ49" s="993">
        <f t="shared" si="86"/>
        <v>0</v>
      </c>
      <c r="AR49" s="993">
        <f>IF(AO49=0,0,VLOOKUP(D49&amp;".bolting",'Piping Class'!$1:$1048576,MATCH(I49,'Piping Class'!$2:$2,0),0))</f>
        <v>0</v>
      </c>
      <c r="AS49" s="994">
        <f>IFERROR(VLOOKUP(I49&amp;"B"&amp;F49,'Bolting Chart'!$1:$1048576,IF(AS$2="UNC",5,6),0),0)</f>
        <v>0</v>
      </c>
      <c r="AT49" s="995">
        <f>IFERROR(VLOOKUP(I49&amp;"B"&amp;F49,'Bolting Chart'!$1:$1048576,IF(G49="RF",8,9),0),0)</f>
        <v>0</v>
      </c>
      <c r="AU49" s="993">
        <f>IF(AO49=0,0,VLOOKUP(D49&amp;".gasket",'Piping Class'!$1:$1048576,MATCH(I49,'Piping Class'!$2:$2,0),0))</f>
        <v>0</v>
      </c>
      <c r="AV49" s="996">
        <f>(IFERROR(INDEX('Bolting Chart'!$A$169:$R$251,MATCH(AT49,'Bolting Chart'!$A$170:$A$251,0),MATCH(IFERROR(VLOOKUP(I49&amp;"B"&amp;F49,'Bolting Chart'!$1:$1048576,7,0),0)+0,'Bolting Chart'!$A$169:$R$169,0)),0))/100</f>
        <v>0</v>
      </c>
      <c r="AW49" s="996">
        <f t="shared" si="87"/>
        <v>0</v>
      </c>
      <c r="AX49" s="1194">
        <f t="shared" si="88"/>
        <v>0</v>
      </c>
      <c r="AY49" s="981"/>
      <c r="AZ49" s="1543">
        <f t="shared" si="63"/>
        <v>0</v>
      </c>
      <c r="BA49" s="1543">
        <f t="shared" si="63"/>
        <v>0</v>
      </c>
      <c r="BB49" s="1543">
        <f t="shared" si="63"/>
        <v>0</v>
      </c>
      <c r="BC49" s="1543">
        <f t="shared" si="63"/>
        <v>0</v>
      </c>
      <c r="BD49" s="1543">
        <f t="shared" si="63"/>
        <v>0</v>
      </c>
      <c r="BE49" s="1543">
        <f t="shared" si="63"/>
        <v>0</v>
      </c>
      <c r="BF49" s="1543">
        <f t="shared" si="63"/>
        <v>0</v>
      </c>
      <c r="BG49" s="1543">
        <f t="shared" si="63"/>
        <v>0</v>
      </c>
      <c r="BH49" s="1543">
        <f t="shared" si="63"/>
        <v>0</v>
      </c>
      <c r="BI49" s="1543">
        <f t="shared" si="63"/>
        <v>0</v>
      </c>
      <c r="BJ49" s="1543">
        <f t="shared" si="63"/>
        <v>0</v>
      </c>
      <c r="BK49" s="1543">
        <f t="shared" si="63"/>
        <v>0</v>
      </c>
      <c r="BL49" s="1543">
        <f t="shared" si="63"/>
        <v>0</v>
      </c>
      <c r="BM49" s="1543">
        <f t="shared" si="63"/>
        <v>0</v>
      </c>
      <c r="BN49" s="1543">
        <f t="shared" si="63"/>
        <v>0</v>
      </c>
      <c r="BO49" s="1543">
        <f t="shared" si="63"/>
        <v>0</v>
      </c>
      <c r="BP49" s="1543">
        <f t="shared" si="89"/>
        <v>0</v>
      </c>
      <c r="BQ49" s="1543">
        <f t="shared" si="89"/>
        <v>0</v>
      </c>
      <c r="BR49" s="1543">
        <f t="shared" si="89"/>
        <v>0</v>
      </c>
      <c r="BS49" s="1543">
        <f t="shared" si="89"/>
        <v>0</v>
      </c>
      <c r="BT49" s="1543">
        <f t="shared" si="89"/>
        <v>0</v>
      </c>
      <c r="BU49" s="1543">
        <f t="shared" si="89"/>
        <v>0</v>
      </c>
      <c r="BV49" s="1543">
        <f t="shared" si="89"/>
        <v>0</v>
      </c>
      <c r="BW49" s="1543">
        <f t="shared" si="89"/>
        <v>0</v>
      </c>
      <c r="BX49" s="1543">
        <f t="shared" si="89"/>
        <v>0</v>
      </c>
      <c r="BY49" s="1543">
        <f t="shared" si="89"/>
        <v>0</v>
      </c>
      <c r="BZ49" s="1543">
        <f t="shared" si="89"/>
        <v>0</v>
      </c>
      <c r="CB49" s="1543">
        <f t="shared" si="64"/>
        <v>0</v>
      </c>
      <c r="CC49" s="1543">
        <f t="shared" si="64"/>
        <v>0</v>
      </c>
      <c r="CD49" s="1543">
        <f t="shared" si="64"/>
        <v>0</v>
      </c>
      <c r="CE49" s="1543">
        <f t="shared" si="64"/>
        <v>0</v>
      </c>
      <c r="CF49" s="1543">
        <f t="shared" si="64"/>
        <v>0</v>
      </c>
      <c r="CG49" s="1543">
        <f t="shared" si="64"/>
        <v>0</v>
      </c>
      <c r="CH49" s="1543">
        <f t="shared" si="64"/>
        <v>0</v>
      </c>
      <c r="CI49" s="1543">
        <f t="shared" si="64"/>
        <v>0</v>
      </c>
      <c r="CJ49" s="1543">
        <f t="shared" si="64"/>
        <v>0</v>
      </c>
      <c r="CK49" s="1543">
        <f t="shared" si="64"/>
        <v>0</v>
      </c>
      <c r="CL49" s="1543">
        <f t="shared" si="64"/>
        <v>0</v>
      </c>
      <c r="CM49" s="1543">
        <f t="shared" si="64"/>
        <v>0</v>
      </c>
      <c r="CN49" s="1543">
        <f t="shared" si="64"/>
        <v>0</v>
      </c>
      <c r="CO49" s="1543">
        <f t="shared" si="64"/>
        <v>0</v>
      </c>
      <c r="CP49" s="1543">
        <f t="shared" si="64"/>
        <v>0</v>
      </c>
      <c r="CQ49" s="1543">
        <f t="shared" si="64"/>
        <v>0</v>
      </c>
      <c r="CR49" s="1543">
        <f t="shared" si="91"/>
        <v>0</v>
      </c>
      <c r="CS49" s="1543">
        <f t="shared" si="91"/>
        <v>0</v>
      </c>
      <c r="CT49" s="1543">
        <f t="shared" si="101"/>
        <v>0</v>
      </c>
      <c r="CU49" s="1543">
        <f t="shared" si="101"/>
        <v>0</v>
      </c>
      <c r="CV49" s="1543">
        <f t="shared" si="101"/>
        <v>0</v>
      </c>
      <c r="CW49" s="1543">
        <f t="shared" si="101"/>
        <v>0</v>
      </c>
      <c r="CX49" s="1543">
        <f t="shared" si="101"/>
        <v>0</v>
      </c>
      <c r="CY49" s="1543">
        <f t="shared" si="101"/>
        <v>0</v>
      </c>
      <c r="CZ49" s="1543">
        <f t="shared" si="101"/>
        <v>0</v>
      </c>
      <c r="DA49" s="1543">
        <f t="shared" si="101"/>
        <v>0</v>
      </c>
      <c r="DB49" s="1543">
        <f t="shared" si="101"/>
        <v>0</v>
      </c>
      <c r="DD49" s="1543">
        <f t="shared" si="68"/>
        <v>0</v>
      </c>
      <c r="DE49" s="1543">
        <f t="shared" si="69"/>
        <v>0</v>
      </c>
      <c r="DF49" s="1543">
        <f t="shared" si="70"/>
        <v>0</v>
      </c>
      <c r="DG49" s="1543">
        <f t="shared" si="31"/>
        <v>0</v>
      </c>
      <c r="DI49" s="1543">
        <f t="shared" si="32"/>
        <v>0</v>
      </c>
      <c r="DJ49" s="1543">
        <f t="shared" si="74"/>
        <v>0</v>
      </c>
      <c r="DK49" s="1543">
        <f t="shared" si="74"/>
        <v>0</v>
      </c>
      <c r="DL49" s="1543">
        <f t="shared" si="74"/>
        <v>0</v>
      </c>
      <c r="DM49" s="1543">
        <f t="shared" si="74"/>
        <v>0</v>
      </c>
      <c r="DO49" s="1543">
        <f t="shared" si="100"/>
        <v>0</v>
      </c>
      <c r="DP49" s="1543">
        <f t="shared" si="100"/>
        <v>0</v>
      </c>
      <c r="DQ49" s="1543">
        <f t="shared" si="100"/>
        <v>0</v>
      </c>
      <c r="DR49" s="1543">
        <f t="shared" si="100"/>
        <v>0</v>
      </c>
      <c r="DS49" s="1543">
        <f t="shared" si="100"/>
        <v>0</v>
      </c>
      <c r="DT49" s="1543">
        <f t="shared" si="100"/>
        <v>0</v>
      </c>
      <c r="DU49" s="1543">
        <f t="shared" si="100"/>
        <v>0</v>
      </c>
      <c r="DV49" s="1543">
        <f t="shared" si="100"/>
        <v>0</v>
      </c>
      <c r="DW49" s="1543">
        <f t="shared" si="100"/>
        <v>0</v>
      </c>
      <c r="DX49" s="1543">
        <f t="shared" si="100"/>
        <v>0</v>
      </c>
      <c r="DY49" s="1543">
        <f t="shared" si="100"/>
        <v>0</v>
      </c>
      <c r="DZ49" s="1543">
        <f t="shared" si="100"/>
        <v>0</v>
      </c>
      <c r="EA49" s="1543">
        <f t="shared" si="100"/>
        <v>0</v>
      </c>
      <c r="EB49" s="1543">
        <f t="shared" si="71"/>
        <v>0</v>
      </c>
      <c r="EC49" s="1543">
        <f t="shared" si="71"/>
        <v>0</v>
      </c>
      <c r="ED49" s="1543">
        <f t="shared" si="71"/>
        <v>0</v>
      </c>
      <c r="EE49" s="1543">
        <f t="shared" si="71"/>
        <v>0</v>
      </c>
      <c r="EF49" s="1543">
        <f t="shared" si="71"/>
        <v>0</v>
      </c>
      <c r="EH49" s="1543">
        <f t="shared" si="92"/>
        <v>0</v>
      </c>
      <c r="EI49" s="1543">
        <f t="shared" si="93"/>
        <v>0</v>
      </c>
      <c r="EJ49" s="1543">
        <f t="shared" si="94"/>
        <v>0</v>
      </c>
      <c r="EK49" s="1543">
        <f t="shared" si="95"/>
        <v>0</v>
      </c>
      <c r="EL49" s="1543">
        <f t="shared" si="96"/>
        <v>0</v>
      </c>
      <c r="EM49" s="1543">
        <f t="shared" si="97"/>
        <v>0</v>
      </c>
      <c r="EN49" s="1543">
        <f t="shared" si="98"/>
        <v>0</v>
      </c>
      <c r="EP49" s="1543">
        <f t="shared" si="72"/>
        <v>0</v>
      </c>
      <c r="EQ49" s="1543">
        <f t="shared" si="72"/>
        <v>0</v>
      </c>
      <c r="ER49" s="1543">
        <f t="shared" si="72"/>
        <v>0</v>
      </c>
      <c r="ES49" s="1543">
        <f t="shared" si="72"/>
        <v>0</v>
      </c>
      <c r="ET49" s="1543">
        <f t="shared" si="73"/>
        <v>0</v>
      </c>
      <c r="EU49" s="1543">
        <f t="shared" si="73"/>
        <v>0</v>
      </c>
      <c r="EV49" s="1543">
        <f t="shared" si="73"/>
        <v>0</v>
      </c>
      <c r="EW49" s="1543">
        <f t="shared" si="73"/>
        <v>0</v>
      </c>
      <c r="EX49" s="1543">
        <f t="shared" si="73"/>
        <v>0</v>
      </c>
      <c r="EY49" s="1543">
        <f t="shared" si="73"/>
        <v>0</v>
      </c>
      <c r="EZ49" s="1543">
        <f t="shared" si="73"/>
        <v>0</v>
      </c>
      <c r="FA49" s="1543">
        <f t="shared" si="73"/>
        <v>0</v>
      </c>
      <c r="FB49" s="1543">
        <f t="shared" si="73"/>
        <v>0</v>
      </c>
      <c r="FC49" s="1543">
        <f t="shared" si="73"/>
        <v>0</v>
      </c>
      <c r="FD49" s="1543">
        <f t="shared" si="73"/>
        <v>0</v>
      </c>
      <c r="FE49" s="1543">
        <f t="shared" si="52"/>
        <v>0</v>
      </c>
      <c r="FF49" s="1543">
        <f t="shared" si="40"/>
        <v>1</v>
      </c>
      <c r="FH49" s="1543">
        <f t="shared" si="76"/>
        <v>0</v>
      </c>
      <c r="FI49" s="1543">
        <f t="shared" si="76"/>
        <v>0</v>
      </c>
      <c r="FJ49" s="1543">
        <f t="shared" si="76"/>
        <v>0</v>
      </c>
      <c r="FK49" s="1543">
        <f t="shared" si="76"/>
        <v>0</v>
      </c>
      <c r="FL49" s="1543">
        <f t="shared" si="76"/>
        <v>0</v>
      </c>
      <c r="FM49" s="1543">
        <f t="shared" si="76"/>
        <v>0</v>
      </c>
      <c r="FN49" s="1543">
        <f t="shared" si="76"/>
        <v>0</v>
      </c>
      <c r="FO49" s="1543">
        <f t="shared" si="76"/>
        <v>0</v>
      </c>
      <c r="FP49" s="1543">
        <f t="shared" si="76"/>
        <v>0</v>
      </c>
      <c r="FQ49" s="1543">
        <f t="shared" si="76"/>
        <v>0</v>
      </c>
      <c r="FR49" s="1543">
        <f t="shared" si="76"/>
        <v>0</v>
      </c>
      <c r="FS49" s="1543">
        <f t="shared" si="76"/>
        <v>0</v>
      </c>
      <c r="FT49" s="1543">
        <f t="shared" si="41"/>
        <v>0</v>
      </c>
      <c r="FV49" s="1543">
        <f t="shared" si="77"/>
        <v>1</v>
      </c>
      <c r="FW49" s="1543">
        <f t="shared" si="77"/>
        <v>0</v>
      </c>
      <c r="FX49" s="1543">
        <f t="shared" si="77"/>
        <v>0</v>
      </c>
      <c r="FY49" s="1543">
        <f t="shared" si="77"/>
        <v>0</v>
      </c>
      <c r="FZ49" s="1543">
        <f t="shared" si="77"/>
        <v>0</v>
      </c>
      <c r="GA49" s="1543">
        <f t="shared" si="77"/>
        <v>0</v>
      </c>
      <c r="GB49" s="1543">
        <f t="shared" si="77"/>
        <v>0</v>
      </c>
      <c r="GC49" s="1543">
        <f t="shared" si="77"/>
        <v>0</v>
      </c>
      <c r="GD49" s="1543">
        <f t="shared" si="77"/>
        <v>0</v>
      </c>
    </row>
    <row r="50" spans="1:186" s="982" customFormat="1" ht="15.6" x14ac:dyDescent="0.3">
      <c r="A50" s="974">
        <v>48</v>
      </c>
      <c r="B50" s="983"/>
      <c r="C50" s="984"/>
      <c r="D50" s="983"/>
      <c r="E50" s="968" t="str">
        <f>IFERROR(VLOOKUP($D50&amp;"."&amp;B50,'Piping Class'!$1:$1048576,MATCH($I50,'Piping Class'!$2:$2,0),0),"")</f>
        <v/>
      </c>
      <c r="F50" s="985" t="str">
        <f>IFERROR(IF(B50="Flange",VLOOKUP($D50,'Piping Class'!$88:$102,MATCH(F$1,'Piping Class'!$88:$88,0),0),""),"")</f>
        <v/>
      </c>
      <c r="G50" s="968" t="str">
        <f>IFERROR(IF(B50="Flange",VLOOKUP($D50,'Piping Class'!$88:$102,MATCH(G$1,'Piping Class'!$88:$88,0),0),""),"")</f>
        <v/>
      </c>
      <c r="H50" s="968" t="str">
        <f>IFERROR(VLOOKUP($D50,'Piping Class'!$88:$102,MATCH(H$1,'Piping Class'!$88:$88,0),0),"")</f>
        <v/>
      </c>
      <c r="I50" s="986"/>
      <c r="J50" s="987"/>
      <c r="K50" s="968" t="str">
        <f>IFERROR(VLOOKUP(I50,'Thickness Tab'!$1:$1048576,MATCH(L50,'Thickness Tab'!$1:$1,0),0),"")</f>
        <v/>
      </c>
      <c r="L50" s="969" t="str">
        <f>IFERROR(VLOOKUP($D50,'Piping Class'!$1:$1048576,MATCH($I50,'Piping Class'!$2:$2,0),0),"")</f>
        <v/>
      </c>
      <c r="M50" s="968" t="str">
        <f>IFERROR(VLOOKUP(J50,'Thickness Tab'!$1:$1048576,MATCH(N50,'Thickness Tab'!$1:$1,0),0),"")</f>
        <v/>
      </c>
      <c r="N50" s="969" t="str">
        <f>IFERROR(VLOOKUP($D50,'Piping Class'!$1:$1048576,MATCH($J50,'Piping Class'!$2:$2,0),0),"")</f>
        <v/>
      </c>
      <c r="O50" s="968" t="str">
        <f>IFERROR(VLOOKUP($D50,'Piping Class'!$88:$102,MATCH(O$1,'Piping Class'!$88:$88,0),0),"")</f>
        <v/>
      </c>
      <c r="P50" s="968" t="str">
        <f>IFERROR(VLOOKUP($D50,'Piping Class'!$88:$102,MATCH(P$1,'Piping Class'!$88:$88,0),0),"")</f>
        <v/>
      </c>
      <c r="Q50" s="983"/>
      <c r="R50" s="988"/>
      <c r="S50" s="969" t="str">
        <f t="shared" ref="S50:S67" si="102">IF(B50="","",IF(B50="piping","m","cad"))</f>
        <v/>
      </c>
      <c r="T50" s="968">
        <f>IFERROR(VLOOKUP(I50&amp;"."&amp;L50,'Fitting Chart'!$1:$1048576,MATCH(C50,'Fitting Chart'!$1:$1,0),0),0)+IF(B50="piping",PI()*K50*(VLOOKUP(I50,'Thickness Tab'!$1:$1048576,3,0)-K50)*7.86/1000,0)+IF(B50="Flange",VLOOKUP(I50&amp;"F"&amp;F50,'Flanges Chart'!$1:$1048576,MATCH(C50&amp;"."&amp;T$1,'Flanges Chart'!$1:$1,0),0),0)</f>
        <v>0</v>
      </c>
      <c r="U50" s="989">
        <f t="shared" ref="U50:U67" si="103">T50*R50</f>
        <v>0</v>
      </c>
      <c r="V50" s="1003"/>
      <c r="W50" s="1001">
        <f t="shared" ref="W50:W56" si="104">V50*U50</f>
        <v>0</v>
      </c>
      <c r="X50" s="997"/>
      <c r="Y50" s="983"/>
      <c r="Z50" s="989">
        <f>IF(B50="Piping",VLOOKUP(I50,'Thickness Tab'!$1:$1048576,3,0)/1000*PI(),0)+IFERROR(VLOOKUP(I50&amp;"F"&amp;F50,'Flanges Chart'!$1:$1048576,MATCH(C50&amp;".Unit Surface",'Flanges Chart'!$1:$1,0),0),0)+IF(B50="Fitting",VLOOKUP(I50,'Thickness Tab'!$1:$1048576,3,0)/1000*PI(),0)</f>
        <v>0</v>
      </c>
      <c r="AA50" s="989">
        <f t="shared" ref="AA50:AA56" si="105">Z50*R50</f>
        <v>0</v>
      </c>
      <c r="AB50" s="983">
        <v>0</v>
      </c>
      <c r="AC50" s="989">
        <f t="shared" si="24"/>
        <v>0</v>
      </c>
      <c r="AD50" s="989">
        <f t="shared" si="25"/>
        <v>0</v>
      </c>
      <c r="AE50" s="974">
        <f>(IFERROR(VLOOKUP($C50,List!$J:$L,2,0),0)*R50+IF(B50="piping",R50,0)+IF(C50="Welding Neck",1,0)*R50)*$AE$2</f>
        <v>0</v>
      </c>
      <c r="AF50" s="970">
        <f>IFERROR(VLOOKUP($C50,List!$J:$L,3,0),0)*R50*$AF$2</f>
        <v>0</v>
      </c>
      <c r="AG50" s="990">
        <f t="shared" ref="AG50:AG56" si="106">AE50*I50+J50*AF50</f>
        <v>0</v>
      </c>
      <c r="AH50" s="1118" t="str">
        <f>IFERROR(VLOOKUP($D50,'Piping Class'!$88:$102,MATCH(AH$1,'Piping Class'!$88:$88,0),0),"")</f>
        <v/>
      </c>
      <c r="AI50" s="991" t="str">
        <f>IFERROR(VLOOKUP($D50,'Piping Class'!$88:$102,MATCH(AI$1,'Piping Class'!$88:$88,0),0),"")</f>
        <v/>
      </c>
      <c r="AJ50" s="991" t="str">
        <f>IFERROR(VLOOKUP($D50,'Piping Class'!$88:$102,MATCH(AJ$1,'Piping Class'!$88:$88,0),0),"")</f>
        <v/>
      </c>
      <c r="AK50" s="991" t="str">
        <f>IFERROR(VLOOKUP($D50,'Piping Class'!$88:$102,MATCH(AK$1,'Piping Class'!$88:$88,0),0),"")</f>
        <v/>
      </c>
      <c r="AL50" s="991">
        <f t="shared" si="44"/>
        <v>0</v>
      </c>
      <c r="AM50" s="1119" t="str">
        <f>IFERROR(VLOOKUP($D50,'Piping Class'!$88:$102,MATCH(AM$1,'Piping Class'!$88:$88,0),0),"")</f>
        <v/>
      </c>
      <c r="AN50" s="992">
        <f t="shared" si="26"/>
        <v>0</v>
      </c>
      <c r="AO50" s="993">
        <f>IFERROR(VLOOKUP(I50&amp;"B"&amp;F50,'Bolting Chart'!$1:$1048576,4,0),0)</f>
        <v>0</v>
      </c>
      <c r="AP50" s="993">
        <f t="shared" ref="AP50:AP56" si="107">IFERROR(AO50*R50,0)</f>
        <v>0</v>
      </c>
      <c r="AQ50" s="993">
        <f t="shared" ref="AQ50:AQ56" si="108">IF(AO50=0,0,R50)</f>
        <v>0</v>
      </c>
      <c r="AR50" s="993">
        <f>IF(AO50=0,0,VLOOKUP(D50&amp;".bolting",'Piping Class'!$1:$1048576,MATCH(I50,'Piping Class'!$2:$2,0),0))</f>
        <v>0</v>
      </c>
      <c r="AS50" s="994">
        <f>IFERROR(VLOOKUP(I50&amp;"B"&amp;F50,'Bolting Chart'!$1:$1048576,IF(AS$2="UNC",5,6),0),0)</f>
        <v>0</v>
      </c>
      <c r="AT50" s="995">
        <f>IFERROR(VLOOKUP(I50&amp;"B"&amp;F50,'Bolting Chart'!$1:$1048576,IF(G50="RF",8,9),0),0)</f>
        <v>0</v>
      </c>
      <c r="AU50" s="993">
        <f>IF(AO50=0,0,VLOOKUP(D50&amp;".gasket",'Piping Class'!$1:$1048576,MATCH(I50,'Piping Class'!$2:$2,0),0))</f>
        <v>0</v>
      </c>
      <c r="AV50" s="996">
        <f>(IFERROR(INDEX('Bolting Chart'!$A$169:$R$251,MATCH(AT50,'Bolting Chart'!$A$170:$A$251,0),MATCH(IFERROR(VLOOKUP(I50&amp;"B"&amp;F50,'Bolting Chart'!$1:$1048576,7,0),0)+0,'Bolting Chart'!$A$169:$R$169,0)),0))/100</f>
        <v>0</v>
      </c>
      <c r="AW50" s="996">
        <f t="shared" ref="AW50:AW56" si="109">AV50*AO50</f>
        <v>0</v>
      </c>
      <c r="AX50" s="1194">
        <f t="shared" ref="AX50:AX56" si="110">AV50*AP50</f>
        <v>0</v>
      </c>
      <c r="AY50" s="981"/>
      <c r="AZ50" s="1543">
        <f t="shared" ref="AZ50:BO56" si="111">IF($I50=AZ$2,1,0)</f>
        <v>0</v>
      </c>
      <c r="BA50" s="1543">
        <f t="shared" si="111"/>
        <v>0</v>
      </c>
      <c r="BB50" s="1543">
        <f t="shared" si="111"/>
        <v>0</v>
      </c>
      <c r="BC50" s="1543">
        <f t="shared" si="111"/>
        <v>0</v>
      </c>
      <c r="BD50" s="1543">
        <f t="shared" si="111"/>
        <v>0</v>
      </c>
      <c r="BE50" s="1543">
        <f t="shared" si="111"/>
        <v>0</v>
      </c>
      <c r="BF50" s="1543">
        <f t="shared" si="111"/>
        <v>0</v>
      </c>
      <c r="BG50" s="1543">
        <f t="shared" si="111"/>
        <v>0</v>
      </c>
      <c r="BH50" s="1543">
        <f t="shared" si="111"/>
        <v>0</v>
      </c>
      <c r="BI50" s="1543">
        <f t="shared" si="111"/>
        <v>0</v>
      </c>
      <c r="BJ50" s="1543">
        <f t="shared" si="111"/>
        <v>0</v>
      </c>
      <c r="BK50" s="1543">
        <f t="shared" si="111"/>
        <v>0</v>
      </c>
      <c r="BL50" s="1543">
        <f t="shared" si="111"/>
        <v>0</v>
      </c>
      <c r="BM50" s="1543">
        <f t="shared" si="111"/>
        <v>0</v>
      </c>
      <c r="BN50" s="1543">
        <f t="shared" si="111"/>
        <v>0</v>
      </c>
      <c r="BO50" s="1543">
        <f t="shared" si="111"/>
        <v>0</v>
      </c>
      <c r="BP50" s="1543">
        <f t="shared" si="89"/>
        <v>0</v>
      </c>
      <c r="BQ50" s="1543">
        <f t="shared" si="89"/>
        <v>0</v>
      </c>
      <c r="BR50" s="1543">
        <f t="shared" si="89"/>
        <v>0</v>
      </c>
      <c r="BS50" s="1543">
        <f t="shared" si="89"/>
        <v>0</v>
      </c>
      <c r="BT50" s="1543">
        <f t="shared" si="89"/>
        <v>0</v>
      </c>
      <c r="BU50" s="1543">
        <f t="shared" si="89"/>
        <v>0</v>
      </c>
      <c r="BV50" s="1543">
        <f t="shared" si="89"/>
        <v>0</v>
      </c>
      <c r="BW50" s="1543">
        <f t="shared" si="89"/>
        <v>0</v>
      </c>
      <c r="BX50" s="1543">
        <f t="shared" si="89"/>
        <v>0</v>
      </c>
      <c r="BY50" s="1543">
        <f t="shared" si="89"/>
        <v>0</v>
      </c>
      <c r="BZ50" s="1543">
        <f t="shared" si="89"/>
        <v>0</v>
      </c>
      <c r="CB50" s="1543">
        <f t="shared" ref="CB50:CQ56" si="112">IF($J50=CB$2,1,0)</f>
        <v>0</v>
      </c>
      <c r="CC50" s="1543">
        <f t="shared" si="112"/>
        <v>0</v>
      </c>
      <c r="CD50" s="1543">
        <f t="shared" si="112"/>
        <v>0</v>
      </c>
      <c r="CE50" s="1543">
        <f t="shared" si="112"/>
        <v>0</v>
      </c>
      <c r="CF50" s="1543">
        <f t="shared" si="112"/>
        <v>0</v>
      </c>
      <c r="CG50" s="1543">
        <f t="shared" si="112"/>
        <v>0</v>
      </c>
      <c r="CH50" s="1543">
        <f t="shared" si="112"/>
        <v>0</v>
      </c>
      <c r="CI50" s="1543">
        <f t="shared" si="112"/>
        <v>0</v>
      </c>
      <c r="CJ50" s="1543">
        <f t="shared" si="112"/>
        <v>0</v>
      </c>
      <c r="CK50" s="1543">
        <f t="shared" si="112"/>
        <v>0</v>
      </c>
      <c r="CL50" s="1543">
        <f t="shared" si="112"/>
        <v>0</v>
      </c>
      <c r="CM50" s="1543">
        <f t="shared" si="112"/>
        <v>0</v>
      </c>
      <c r="CN50" s="1543">
        <f t="shared" si="112"/>
        <v>0</v>
      </c>
      <c r="CO50" s="1543">
        <f t="shared" si="112"/>
        <v>0</v>
      </c>
      <c r="CP50" s="1543">
        <f t="shared" si="112"/>
        <v>0</v>
      </c>
      <c r="CQ50" s="1543">
        <f t="shared" si="112"/>
        <v>0</v>
      </c>
      <c r="CR50" s="1543">
        <f t="shared" si="91"/>
        <v>0</v>
      </c>
      <c r="CS50" s="1543">
        <f t="shared" si="91"/>
        <v>0</v>
      </c>
      <c r="CT50" s="1543">
        <f t="shared" si="101"/>
        <v>0</v>
      </c>
      <c r="CU50" s="1543">
        <f t="shared" si="101"/>
        <v>0</v>
      </c>
      <c r="CV50" s="1543">
        <f t="shared" si="101"/>
        <v>0</v>
      </c>
      <c r="CW50" s="1543">
        <f t="shared" si="101"/>
        <v>0</v>
      </c>
      <c r="CX50" s="1543">
        <f t="shared" si="101"/>
        <v>0</v>
      </c>
      <c r="CY50" s="1543">
        <f t="shared" si="101"/>
        <v>0</v>
      </c>
      <c r="CZ50" s="1543">
        <f t="shared" si="101"/>
        <v>0</v>
      </c>
      <c r="DA50" s="1543">
        <f t="shared" si="101"/>
        <v>0</v>
      </c>
      <c r="DB50" s="1543">
        <f t="shared" si="101"/>
        <v>0</v>
      </c>
      <c r="DD50" s="1543">
        <f t="shared" si="68"/>
        <v>0</v>
      </c>
      <c r="DE50" s="1543">
        <f t="shared" si="69"/>
        <v>0</v>
      </c>
      <c r="DF50" s="1543">
        <f t="shared" si="70"/>
        <v>0</v>
      </c>
      <c r="DG50" s="1543">
        <f t="shared" si="31"/>
        <v>0</v>
      </c>
      <c r="DI50" s="1543">
        <f t="shared" si="32"/>
        <v>0</v>
      </c>
      <c r="DJ50" s="1543">
        <f t="shared" si="74"/>
        <v>0</v>
      </c>
      <c r="DK50" s="1543">
        <f t="shared" si="74"/>
        <v>0</v>
      </c>
      <c r="DL50" s="1543">
        <f t="shared" si="74"/>
        <v>0</v>
      </c>
      <c r="DM50" s="1543">
        <f t="shared" si="74"/>
        <v>0</v>
      </c>
      <c r="DO50" s="1543">
        <f t="shared" ref="DO50:EA56" si="113">IF($L50=DO$2,1,0)</f>
        <v>0</v>
      </c>
      <c r="DP50" s="1543">
        <f t="shared" si="113"/>
        <v>0</v>
      </c>
      <c r="DQ50" s="1543">
        <f t="shared" si="113"/>
        <v>0</v>
      </c>
      <c r="DR50" s="1543">
        <f t="shared" si="113"/>
        <v>0</v>
      </c>
      <c r="DS50" s="1543">
        <f t="shared" si="113"/>
        <v>0</v>
      </c>
      <c r="DT50" s="1543">
        <f t="shared" si="113"/>
        <v>0</v>
      </c>
      <c r="DU50" s="1543">
        <f t="shared" si="113"/>
        <v>0</v>
      </c>
      <c r="DV50" s="1543">
        <f t="shared" si="113"/>
        <v>0</v>
      </c>
      <c r="DW50" s="1543">
        <f t="shared" si="113"/>
        <v>0</v>
      </c>
      <c r="DX50" s="1543">
        <f t="shared" si="113"/>
        <v>0</v>
      </c>
      <c r="DY50" s="1543">
        <f t="shared" si="113"/>
        <v>0</v>
      </c>
      <c r="DZ50" s="1543">
        <f t="shared" si="113"/>
        <v>0</v>
      </c>
      <c r="EA50" s="1543">
        <f t="shared" si="113"/>
        <v>0</v>
      </c>
      <c r="EB50" s="1543">
        <f t="shared" si="71"/>
        <v>0</v>
      </c>
      <c r="EC50" s="1543">
        <f t="shared" si="71"/>
        <v>0</v>
      </c>
      <c r="ED50" s="1543">
        <f t="shared" si="71"/>
        <v>0</v>
      </c>
      <c r="EE50" s="1543">
        <f t="shared" si="71"/>
        <v>0</v>
      </c>
      <c r="EF50" s="1543">
        <f t="shared" si="71"/>
        <v>0</v>
      </c>
      <c r="EH50" s="1543">
        <f t="shared" ref="EH50:EH56" si="114">SUM(DO50:DS50,EB50:EE50)</f>
        <v>0</v>
      </c>
      <c r="EI50" s="1543">
        <f t="shared" ref="EI50:EI56" si="115">DT50</f>
        <v>0</v>
      </c>
      <c r="EJ50" s="1543">
        <f t="shared" ref="EJ50:EJ56" si="116">SUM(DU50:DV50,EF50)</f>
        <v>0</v>
      </c>
      <c r="EK50" s="1543">
        <f t="shared" ref="EK50:EK56" si="117">DW50</f>
        <v>0</v>
      </c>
      <c r="EL50" s="1543">
        <f t="shared" ref="EL50:EL56" si="118">DX50</f>
        <v>0</v>
      </c>
      <c r="EM50" s="1543">
        <f t="shared" ref="EM50:EM56" si="119">DY50</f>
        <v>0</v>
      </c>
      <c r="EN50" s="1543">
        <f t="shared" ref="EN50:EN56" si="120">SUM(DZ50:EA50)</f>
        <v>0</v>
      </c>
      <c r="EP50" s="1543">
        <f t="shared" si="72"/>
        <v>0</v>
      </c>
      <c r="EQ50" s="1543">
        <f t="shared" si="72"/>
        <v>0</v>
      </c>
      <c r="ER50" s="1543">
        <f t="shared" si="72"/>
        <v>0</v>
      </c>
      <c r="ES50" s="1543">
        <f t="shared" si="72"/>
        <v>0</v>
      </c>
      <c r="ET50" s="1543">
        <f t="shared" si="73"/>
        <v>0</v>
      </c>
      <c r="EU50" s="1543">
        <f t="shared" si="73"/>
        <v>0</v>
      </c>
      <c r="EV50" s="1543">
        <f t="shared" si="73"/>
        <v>0</v>
      </c>
      <c r="EW50" s="1543">
        <f t="shared" si="73"/>
        <v>0</v>
      </c>
      <c r="EX50" s="1543">
        <f t="shared" si="73"/>
        <v>0</v>
      </c>
      <c r="EY50" s="1543">
        <f t="shared" si="73"/>
        <v>0</v>
      </c>
      <c r="EZ50" s="1543">
        <f t="shared" si="73"/>
        <v>0</v>
      </c>
      <c r="FA50" s="1543">
        <f t="shared" si="73"/>
        <v>0</v>
      </c>
      <c r="FB50" s="1543">
        <f t="shared" si="73"/>
        <v>0</v>
      </c>
      <c r="FC50" s="1543">
        <f t="shared" si="73"/>
        <v>0</v>
      </c>
      <c r="FD50" s="1543">
        <f t="shared" si="73"/>
        <v>0</v>
      </c>
      <c r="FE50" s="1543">
        <f t="shared" si="52"/>
        <v>0</v>
      </c>
      <c r="FF50" s="1543">
        <f t="shared" si="40"/>
        <v>1</v>
      </c>
      <c r="FH50" s="1543">
        <f t="shared" si="76"/>
        <v>0</v>
      </c>
      <c r="FI50" s="1543">
        <f t="shared" si="76"/>
        <v>0</v>
      </c>
      <c r="FJ50" s="1543">
        <f t="shared" si="76"/>
        <v>0</v>
      </c>
      <c r="FK50" s="1543">
        <f t="shared" si="76"/>
        <v>0</v>
      </c>
      <c r="FL50" s="1543">
        <f t="shared" si="76"/>
        <v>0</v>
      </c>
      <c r="FM50" s="1543">
        <f t="shared" si="76"/>
        <v>0</v>
      </c>
      <c r="FN50" s="1543">
        <f t="shared" si="76"/>
        <v>0</v>
      </c>
      <c r="FO50" s="1543">
        <f t="shared" si="76"/>
        <v>0</v>
      </c>
      <c r="FP50" s="1543">
        <f t="shared" si="76"/>
        <v>0</v>
      </c>
      <c r="FQ50" s="1543">
        <f t="shared" si="76"/>
        <v>0</v>
      </c>
      <c r="FR50" s="1543">
        <f t="shared" si="76"/>
        <v>0</v>
      </c>
      <c r="FS50" s="1543">
        <f t="shared" si="76"/>
        <v>0</v>
      </c>
      <c r="FT50" s="1543">
        <f t="shared" si="41"/>
        <v>0</v>
      </c>
      <c r="FV50" s="1543">
        <f t="shared" si="77"/>
        <v>1</v>
      </c>
      <c r="FW50" s="1543">
        <f t="shared" si="77"/>
        <v>0</v>
      </c>
      <c r="FX50" s="1543">
        <f t="shared" si="77"/>
        <v>0</v>
      </c>
      <c r="FY50" s="1543">
        <f t="shared" si="77"/>
        <v>0</v>
      </c>
      <c r="FZ50" s="1543">
        <f t="shared" si="77"/>
        <v>0</v>
      </c>
      <c r="GA50" s="1543">
        <f t="shared" si="77"/>
        <v>0</v>
      </c>
      <c r="GB50" s="1543">
        <f t="shared" si="77"/>
        <v>0</v>
      </c>
      <c r="GC50" s="1543">
        <f t="shared" si="77"/>
        <v>0</v>
      </c>
      <c r="GD50" s="1543">
        <f t="shared" si="77"/>
        <v>0</v>
      </c>
    </row>
    <row r="51" spans="1:186" s="982" customFormat="1" ht="15.6" x14ac:dyDescent="0.3">
      <c r="A51" s="974">
        <v>49</v>
      </c>
      <c r="B51" s="983"/>
      <c r="C51" s="984"/>
      <c r="D51" s="983"/>
      <c r="E51" s="968" t="str">
        <f>IFERROR(VLOOKUP($D51&amp;"."&amp;B51,'Piping Class'!$1:$1048576,MATCH($I51,'Piping Class'!$2:$2,0),0),"")</f>
        <v/>
      </c>
      <c r="F51" s="985" t="str">
        <f>IFERROR(IF(B51="Flange",VLOOKUP($D51,'Piping Class'!$88:$102,MATCH(F$1,'Piping Class'!$88:$88,0),0),""),"")</f>
        <v/>
      </c>
      <c r="G51" s="968" t="str">
        <f>IFERROR(IF(B51="Flange",VLOOKUP($D51,'Piping Class'!$88:$102,MATCH(G$1,'Piping Class'!$88:$88,0),0),""),"")</f>
        <v/>
      </c>
      <c r="H51" s="968" t="str">
        <f>IFERROR(VLOOKUP($D51,'Piping Class'!$88:$102,MATCH(H$1,'Piping Class'!$88:$88,0),0),"")</f>
        <v/>
      </c>
      <c r="I51" s="986"/>
      <c r="J51" s="987"/>
      <c r="K51" s="968" t="str">
        <f>IFERROR(VLOOKUP(I51,'Thickness Tab'!$1:$1048576,MATCH(L51,'Thickness Tab'!$1:$1,0),0),"")</f>
        <v/>
      </c>
      <c r="L51" s="969" t="str">
        <f>IFERROR(VLOOKUP($D51,'Piping Class'!$1:$1048576,MATCH($I51,'Piping Class'!$2:$2,0),0),"")</f>
        <v/>
      </c>
      <c r="M51" s="968" t="str">
        <f>IFERROR(VLOOKUP(J51,'Thickness Tab'!$1:$1048576,MATCH(N51,'Thickness Tab'!$1:$1,0),0),"")</f>
        <v/>
      </c>
      <c r="N51" s="969" t="str">
        <f>IFERROR(VLOOKUP($D51,'Piping Class'!$1:$1048576,MATCH($J51,'Piping Class'!$2:$2,0),0),"")</f>
        <v/>
      </c>
      <c r="O51" s="968" t="str">
        <f>IFERROR(VLOOKUP($D51,'Piping Class'!$88:$102,MATCH(O$1,'Piping Class'!$88:$88,0),0),"")</f>
        <v/>
      </c>
      <c r="P51" s="968" t="str">
        <f>IFERROR(VLOOKUP($D51,'Piping Class'!$88:$102,MATCH(P$1,'Piping Class'!$88:$88,0),0),"")</f>
        <v/>
      </c>
      <c r="Q51" s="983"/>
      <c r="R51" s="988"/>
      <c r="S51" s="969" t="str">
        <f t="shared" si="102"/>
        <v/>
      </c>
      <c r="T51" s="968">
        <f>IFERROR(VLOOKUP(I51&amp;"."&amp;L51,'Fitting Chart'!$1:$1048576,MATCH(C51,'Fitting Chart'!$1:$1,0),0),0)+IF(B51="piping",PI()*K51*(VLOOKUP(I51,'Thickness Tab'!$1:$1048576,3,0)-K51)*7.86/1000,0)+IF(B51="Flange",VLOOKUP(I51&amp;"F"&amp;F51,'Flanges Chart'!$1:$1048576,MATCH(C51&amp;"."&amp;T$1,'Flanges Chart'!$1:$1,0),0),0)</f>
        <v>0</v>
      </c>
      <c r="U51" s="989">
        <f t="shared" si="103"/>
        <v>0</v>
      </c>
      <c r="V51" s="1003"/>
      <c r="W51" s="1001">
        <f t="shared" si="104"/>
        <v>0</v>
      </c>
      <c r="X51" s="997"/>
      <c r="Y51" s="983"/>
      <c r="Z51" s="989">
        <f>IF(B51="Piping",VLOOKUP(I51,'Thickness Tab'!$1:$1048576,3,0)/1000*PI(),0)+IFERROR(VLOOKUP(I51&amp;"F"&amp;F51,'Flanges Chart'!$1:$1048576,MATCH(C51&amp;".Unit Surface",'Flanges Chart'!$1:$1,0),0),0)+IF(B51="Fitting",VLOOKUP(I51,'Thickness Tab'!$1:$1048576,3,0)/1000*PI(),0)</f>
        <v>0</v>
      </c>
      <c r="AA51" s="989">
        <f t="shared" si="105"/>
        <v>0</v>
      </c>
      <c r="AB51" s="983">
        <v>0</v>
      </c>
      <c r="AC51" s="989">
        <f t="shared" si="24"/>
        <v>0</v>
      </c>
      <c r="AD51" s="989">
        <f t="shared" si="25"/>
        <v>0</v>
      </c>
      <c r="AE51" s="974">
        <f>(IFERROR(VLOOKUP($C51,List!$J:$L,2,0),0)*R51+IF(B51="piping",R51,0)+IF(C51="Welding Neck",1,0)*R51)*$AE$2</f>
        <v>0</v>
      </c>
      <c r="AF51" s="970">
        <f>IFERROR(VLOOKUP($C51,List!$J:$L,3,0),0)*R51*$AF$2</f>
        <v>0</v>
      </c>
      <c r="AG51" s="990">
        <f t="shared" si="106"/>
        <v>0</v>
      </c>
      <c r="AH51" s="1118" t="str">
        <f>IFERROR(VLOOKUP($D51,'Piping Class'!$88:$102,MATCH(AH$1,'Piping Class'!$88:$88,0),0),"")</f>
        <v/>
      </c>
      <c r="AI51" s="991" t="str">
        <f>IFERROR(VLOOKUP($D51,'Piping Class'!$88:$102,MATCH(AI$1,'Piping Class'!$88:$88,0),0),"")</f>
        <v/>
      </c>
      <c r="AJ51" s="991" t="str">
        <f>IFERROR(VLOOKUP($D51,'Piping Class'!$88:$102,MATCH(AJ$1,'Piping Class'!$88:$88,0),0),"")</f>
        <v/>
      </c>
      <c r="AK51" s="991" t="str">
        <f>IFERROR(VLOOKUP($D51,'Piping Class'!$88:$102,MATCH(AK$1,'Piping Class'!$88:$88,0),0),"")</f>
        <v/>
      </c>
      <c r="AL51" s="991">
        <f t="shared" si="44"/>
        <v>0</v>
      </c>
      <c r="AM51" s="1119" t="str">
        <f>IFERROR(VLOOKUP($D51,'Piping Class'!$88:$102,MATCH(AM$1,'Piping Class'!$88:$88,0),0),"")</f>
        <v/>
      </c>
      <c r="AN51" s="992">
        <f t="shared" si="26"/>
        <v>0</v>
      </c>
      <c r="AO51" s="993">
        <f>IFERROR(VLOOKUP(I51&amp;"B"&amp;F51,'Bolting Chart'!$1:$1048576,4,0),0)</f>
        <v>0</v>
      </c>
      <c r="AP51" s="993">
        <f t="shared" si="107"/>
        <v>0</v>
      </c>
      <c r="AQ51" s="993">
        <f t="shared" si="108"/>
        <v>0</v>
      </c>
      <c r="AR51" s="993">
        <f>IF(AO51=0,0,VLOOKUP(D51&amp;".bolting",'Piping Class'!$1:$1048576,MATCH(I51,'Piping Class'!$2:$2,0),0))</f>
        <v>0</v>
      </c>
      <c r="AS51" s="994">
        <f>IFERROR(VLOOKUP(I51&amp;"B"&amp;F51,'Bolting Chart'!$1:$1048576,IF(AS$2="UNC",5,6),0),0)</f>
        <v>0</v>
      </c>
      <c r="AT51" s="995">
        <f>IFERROR(VLOOKUP(I51&amp;"B"&amp;F51,'Bolting Chart'!$1:$1048576,IF(G51="RF",8,9),0),0)</f>
        <v>0</v>
      </c>
      <c r="AU51" s="993">
        <f>IF(AO51=0,0,VLOOKUP(D51&amp;".gasket",'Piping Class'!$1:$1048576,MATCH(I51,'Piping Class'!$2:$2,0),0))</f>
        <v>0</v>
      </c>
      <c r="AV51" s="996">
        <f>(IFERROR(INDEX('Bolting Chart'!$A$169:$R$251,MATCH(AT51,'Bolting Chart'!$A$170:$A$251,0),MATCH(IFERROR(VLOOKUP(I51&amp;"B"&amp;F51,'Bolting Chart'!$1:$1048576,7,0),0)+0,'Bolting Chart'!$A$169:$R$169,0)),0))/100</f>
        <v>0</v>
      </c>
      <c r="AW51" s="996">
        <f t="shared" si="109"/>
        <v>0</v>
      </c>
      <c r="AX51" s="1194">
        <f t="shared" si="110"/>
        <v>0</v>
      </c>
      <c r="AY51" s="981"/>
      <c r="AZ51" s="1543">
        <f t="shared" si="111"/>
        <v>0</v>
      </c>
      <c r="BA51" s="1543">
        <f t="shared" si="111"/>
        <v>0</v>
      </c>
      <c r="BB51" s="1543">
        <f t="shared" si="111"/>
        <v>0</v>
      </c>
      <c r="BC51" s="1543">
        <f t="shared" si="111"/>
        <v>0</v>
      </c>
      <c r="BD51" s="1543">
        <f t="shared" si="111"/>
        <v>0</v>
      </c>
      <c r="BE51" s="1543">
        <f t="shared" si="111"/>
        <v>0</v>
      </c>
      <c r="BF51" s="1543">
        <f t="shared" si="111"/>
        <v>0</v>
      </c>
      <c r="BG51" s="1543">
        <f t="shared" si="111"/>
        <v>0</v>
      </c>
      <c r="BH51" s="1543">
        <f t="shared" si="111"/>
        <v>0</v>
      </c>
      <c r="BI51" s="1543">
        <f t="shared" si="111"/>
        <v>0</v>
      </c>
      <c r="BJ51" s="1543">
        <f t="shared" si="111"/>
        <v>0</v>
      </c>
      <c r="BK51" s="1543">
        <f t="shared" si="111"/>
        <v>0</v>
      </c>
      <c r="BL51" s="1543">
        <f t="shared" si="111"/>
        <v>0</v>
      </c>
      <c r="BM51" s="1543">
        <f t="shared" si="111"/>
        <v>0</v>
      </c>
      <c r="BN51" s="1543">
        <f t="shared" si="111"/>
        <v>0</v>
      </c>
      <c r="BO51" s="1543">
        <f t="shared" si="111"/>
        <v>0</v>
      </c>
      <c r="BP51" s="1543">
        <f t="shared" si="89"/>
        <v>0</v>
      </c>
      <c r="BQ51" s="1543">
        <f t="shared" si="89"/>
        <v>0</v>
      </c>
      <c r="BR51" s="1543">
        <f t="shared" si="89"/>
        <v>0</v>
      </c>
      <c r="BS51" s="1543">
        <f t="shared" si="89"/>
        <v>0</v>
      </c>
      <c r="BT51" s="1543">
        <f t="shared" si="89"/>
        <v>0</v>
      </c>
      <c r="BU51" s="1543">
        <f t="shared" si="89"/>
        <v>0</v>
      </c>
      <c r="BV51" s="1543">
        <f t="shared" si="89"/>
        <v>0</v>
      </c>
      <c r="BW51" s="1543">
        <f t="shared" si="89"/>
        <v>0</v>
      </c>
      <c r="BX51" s="1543">
        <f t="shared" si="89"/>
        <v>0</v>
      </c>
      <c r="BY51" s="1543">
        <f t="shared" si="89"/>
        <v>0</v>
      </c>
      <c r="BZ51" s="1543">
        <f t="shared" si="89"/>
        <v>0</v>
      </c>
      <c r="CB51" s="1543">
        <f t="shared" si="112"/>
        <v>0</v>
      </c>
      <c r="CC51" s="1543">
        <f t="shared" si="112"/>
        <v>0</v>
      </c>
      <c r="CD51" s="1543">
        <f t="shared" si="112"/>
        <v>0</v>
      </c>
      <c r="CE51" s="1543">
        <f t="shared" si="112"/>
        <v>0</v>
      </c>
      <c r="CF51" s="1543">
        <f t="shared" si="112"/>
        <v>0</v>
      </c>
      <c r="CG51" s="1543">
        <f t="shared" si="112"/>
        <v>0</v>
      </c>
      <c r="CH51" s="1543">
        <f t="shared" si="112"/>
        <v>0</v>
      </c>
      <c r="CI51" s="1543">
        <f t="shared" si="112"/>
        <v>0</v>
      </c>
      <c r="CJ51" s="1543">
        <f t="shared" si="112"/>
        <v>0</v>
      </c>
      <c r="CK51" s="1543">
        <f t="shared" si="112"/>
        <v>0</v>
      </c>
      <c r="CL51" s="1543">
        <f t="shared" si="112"/>
        <v>0</v>
      </c>
      <c r="CM51" s="1543">
        <f t="shared" si="112"/>
        <v>0</v>
      </c>
      <c r="CN51" s="1543">
        <f t="shared" si="112"/>
        <v>0</v>
      </c>
      <c r="CO51" s="1543">
        <f t="shared" si="112"/>
        <v>0</v>
      </c>
      <c r="CP51" s="1543">
        <f t="shared" si="112"/>
        <v>0</v>
      </c>
      <c r="CQ51" s="1543">
        <f t="shared" si="112"/>
        <v>0</v>
      </c>
      <c r="CR51" s="1543">
        <f t="shared" si="91"/>
        <v>0</v>
      </c>
      <c r="CS51" s="1543">
        <f t="shared" si="91"/>
        <v>0</v>
      </c>
      <c r="CT51" s="1543">
        <f t="shared" si="101"/>
        <v>0</v>
      </c>
      <c r="CU51" s="1543">
        <f t="shared" si="101"/>
        <v>0</v>
      </c>
      <c r="CV51" s="1543">
        <f t="shared" si="101"/>
        <v>0</v>
      </c>
      <c r="CW51" s="1543">
        <f t="shared" si="101"/>
        <v>0</v>
      </c>
      <c r="CX51" s="1543">
        <f t="shared" si="101"/>
        <v>0</v>
      </c>
      <c r="CY51" s="1543">
        <f t="shared" si="101"/>
        <v>0</v>
      </c>
      <c r="CZ51" s="1543">
        <f t="shared" si="101"/>
        <v>0</v>
      </c>
      <c r="DA51" s="1543">
        <f t="shared" si="101"/>
        <v>0</v>
      </c>
      <c r="DB51" s="1543">
        <f t="shared" si="101"/>
        <v>0</v>
      </c>
      <c r="DD51" s="1543">
        <f t="shared" si="68"/>
        <v>0</v>
      </c>
      <c r="DE51" s="1543">
        <f t="shared" si="69"/>
        <v>0</v>
      </c>
      <c r="DF51" s="1543">
        <f t="shared" si="70"/>
        <v>0</v>
      </c>
      <c r="DG51" s="1543">
        <f t="shared" si="31"/>
        <v>0</v>
      </c>
      <c r="DI51" s="1543">
        <f t="shared" si="32"/>
        <v>0</v>
      </c>
      <c r="DJ51" s="1543">
        <f t="shared" si="74"/>
        <v>0</v>
      </c>
      <c r="DK51" s="1543">
        <f t="shared" si="74"/>
        <v>0</v>
      </c>
      <c r="DL51" s="1543">
        <f t="shared" si="74"/>
        <v>0</v>
      </c>
      <c r="DM51" s="1543">
        <f t="shared" si="74"/>
        <v>0</v>
      </c>
      <c r="DO51" s="1543">
        <f t="shared" si="113"/>
        <v>0</v>
      </c>
      <c r="DP51" s="1543">
        <f t="shared" si="113"/>
        <v>0</v>
      </c>
      <c r="DQ51" s="1543">
        <f t="shared" si="113"/>
        <v>0</v>
      </c>
      <c r="DR51" s="1543">
        <f t="shared" si="113"/>
        <v>0</v>
      </c>
      <c r="DS51" s="1543">
        <f t="shared" si="113"/>
        <v>0</v>
      </c>
      <c r="DT51" s="1543">
        <f t="shared" si="113"/>
        <v>0</v>
      </c>
      <c r="DU51" s="1543">
        <f t="shared" si="113"/>
        <v>0</v>
      </c>
      <c r="DV51" s="1543">
        <f t="shared" si="113"/>
        <v>0</v>
      </c>
      <c r="DW51" s="1543">
        <f t="shared" si="113"/>
        <v>0</v>
      </c>
      <c r="DX51" s="1543">
        <f t="shared" si="113"/>
        <v>0</v>
      </c>
      <c r="DY51" s="1543">
        <f t="shared" si="113"/>
        <v>0</v>
      </c>
      <c r="DZ51" s="1543">
        <f t="shared" si="113"/>
        <v>0</v>
      </c>
      <c r="EA51" s="1543">
        <f t="shared" si="113"/>
        <v>0</v>
      </c>
      <c r="EB51" s="1543">
        <f t="shared" si="71"/>
        <v>0</v>
      </c>
      <c r="EC51" s="1543">
        <f t="shared" si="71"/>
        <v>0</v>
      </c>
      <c r="ED51" s="1543">
        <f t="shared" si="71"/>
        <v>0</v>
      </c>
      <c r="EE51" s="1543">
        <f t="shared" si="71"/>
        <v>0</v>
      </c>
      <c r="EF51" s="1543">
        <f t="shared" si="71"/>
        <v>0</v>
      </c>
      <c r="EH51" s="1543">
        <f t="shared" si="114"/>
        <v>0</v>
      </c>
      <c r="EI51" s="1543">
        <f t="shared" si="115"/>
        <v>0</v>
      </c>
      <c r="EJ51" s="1543">
        <f t="shared" si="116"/>
        <v>0</v>
      </c>
      <c r="EK51" s="1543">
        <f t="shared" si="117"/>
        <v>0</v>
      </c>
      <c r="EL51" s="1543">
        <f t="shared" si="118"/>
        <v>0</v>
      </c>
      <c r="EM51" s="1543">
        <f t="shared" si="119"/>
        <v>0</v>
      </c>
      <c r="EN51" s="1543">
        <f t="shared" si="120"/>
        <v>0</v>
      </c>
      <c r="EP51" s="1543">
        <f t="shared" si="72"/>
        <v>0</v>
      </c>
      <c r="EQ51" s="1543">
        <f t="shared" si="72"/>
        <v>0</v>
      </c>
      <c r="ER51" s="1543">
        <f t="shared" si="72"/>
        <v>0</v>
      </c>
      <c r="ES51" s="1543">
        <f t="shared" si="72"/>
        <v>0</v>
      </c>
      <c r="ET51" s="1543">
        <f t="shared" si="73"/>
        <v>0</v>
      </c>
      <c r="EU51" s="1543">
        <f t="shared" si="73"/>
        <v>0</v>
      </c>
      <c r="EV51" s="1543">
        <f t="shared" si="73"/>
        <v>0</v>
      </c>
      <c r="EW51" s="1543">
        <f t="shared" si="73"/>
        <v>0</v>
      </c>
      <c r="EX51" s="1543">
        <f t="shared" si="73"/>
        <v>0</v>
      </c>
      <c r="EY51" s="1543">
        <f t="shared" si="73"/>
        <v>0</v>
      </c>
      <c r="EZ51" s="1543">
        <f t="shared" si="73"/>
        <v>0</v>
      </c>
      <c r="FA51" s="1543">
        <f t="shared" si="73"/>
        <v>0</v>
      </c>
      <c r="FB51" s="1543">
        <f t="shared" si="73"/>
        <v>0</v>
      </c>
      <c r="FC51" s="1543">
        <f t="shared" si="73"/>
        <v>0</v>
      </c>
      <c r="FD51" s="1543">
        <f t="shared" si="73"/>
        <v>0</v>
      </c>
      <c r="FE51" s="1543">
        <f t="shared" si="52"/>
        <v>0</v>
      </c>
      <c r="FF51" s="1543">
        <f t="shared" si="40"/>
        <v>1</v>
      </c>
      <c r="FH51" s="1543">
        <f t="shared" si="76"/>
        <v>0</v>
      </c>
      <c r="FI51" s="1543">
        <f t="shared" si="76"/>
        <v>0</v>
      </c>
      <c r="FJ51" s="1543">
        <f t="shared" si="76"/>
        <v>0</v>
      </c>
      <c r="FK51" s="1543">
        <f t="shared" si="76"/>
        <v>0</v>
      </c>
      <c r="FL51" s="1543">
        <f t="shared" si="76"/>
        <v>0</v>
      </c>
      <c r="FM51" s="1543">
        <f t="shared" si="76"/>
        <v>0</v>
      </c>
      <c r="FN51" s="1543">
        <f t="shared" si="76"/>
        <v>0</v>
      </c>
      <c r="FO51" s="1543">
        <f t="shared" si="76"/>
        <v>0</v>
      </c>
      <c r="FP51" s="1543">
        <f t="shared" si="76"/>
        <v>0</v>
      </c>
      <c r="FQ51" s="1543">
        <f t="shared" si="76"/>
        <v>0</v>
      </c>
      <c r="FR51" s="1543">
        <f t="shared" si="76"/>
        <v>0</v>
      </c>
      <c r="FS51" s="1543">
        <f t="shared" si="76"/>
        <v>0</v>
      </c>
      <c r="FT51" s="1543">
        <f t="shared" si="41"/>
        <v>0</v>
      </c>
      <c r="FV51" s="1543">
        <f t="shared" si="77"/>
        <v>1</v>
      </c>
      <c r="FW51" s="1543">
        <f t="shared" si="77"/>
        <v>0</v>
      </c>
      <c r="FX51" s="1543">
        <f t="shared" si="77"/>
        <v>0</v>
      </c>
      <c r="FY51" s="1543">
        <f t="shared" si="77"/>
        <v>0</v>
      </c>
      <c r="FZ51" s="1543">
        <f t="shared" si="77"/>
        <v>0</v>
      </c>
      <c r="GA51" s="1543">
        <f t="shared" si="77"/>
        <v>0</v>
      </c>
      <c r="GB51" s="1543">
        <f t="shared" si="77"/>
        <v>0</v>
      </c>
      <c r="GC51" s="1543">
        <f t="shared" si="77"/>
        <v>0</v>
      </c>
      <c r="GD51" s="1543">
        <f t="shared" si="77"/>
        <v>0</v>
      </c>
    </row>
    <row r="52" spans="1:186" s="982" customFormat="1" ht="15.6" x14ac:dyDescent="0.3">
      <c r="A52" s="974">
        <v>50</v>
      </c>
      <c r="B52" s="983"/>
      <c r="C52" s="984"/>
      <c r="D52" s="983"/>
      <c r="E52" s="968" t="str">
        <f>IFERROR(VLOOKUP($D52&amp;"."&amp;B52,'Piping Class'!$1:$1048576,MATCH($I52,'Piping Class'!$2:$2,0),0),"")</f>
        <v/>
      </c>
      <c r="F52" s="985" t="str">
        <f>IFERROR(IF(B52="Flange",VLOOKUP($D52,'Piping Class'!$88:$102,MATCH(F$1,'Piping Class'!$88:$88,0),0),""),"")</f>
        <v/>
      </c>
      <c r="G52" s="968" t="str">
        <f>IFERROR(IF(B52="Flange",VLOOKUP($D52,'Piping Class'!$88:$102,MATCH(G$1,'Piping Class'!$88:$88,0),0),""),"")</f>
        <v/>
      </c>
      <c r="H52" s="968" t="str">
        <f>IFERROR(VLOOKUP($D52,'Piping Class'!$88:$102,MATCH(H$1,'Piping Class'!$88:$88,0),0),"")</f>
        <v/>
      </c>
      <c r="I52" s="986"/>
      <c r="J52" s="987"/>
      <c r="K52" s="968" t="str">
        <f>IFERROR(VLOOKUP(I52,'Thickness Tab'!$1:$1048576,MATCH(L52,'Thickness Tab'!$1:$1,0),0),"")</f>
        <v/>
      </c>
      <c r="L52" s="969" t="str">
        <f>IFERROR(VLOOKUP($D52,'Piping Class'!$1:$1048576,MATCH($I52,'Piping Class'!$2:$2,0),0),"")</f>
        <v/>
      </c>
      <c r="M52" s="968" t="str">
        <f>IFERROR(VLOOKUP(J52,'Thickness Tab'!$1:$1048576,MATCH(N52,'Thickness Tab'!$1:$1,0),0),"")</f>
        <v/>
      </c>
      <c r="N52" s="969" t="str">
        <f>IFERROR(VLOOKUP($D52,'Piping Class'!$1:$1048576,MATCH($J52,'Piping Class'!$2:$2,0),0),"")</f>
        <v/>
      </c>
      <c r="O52" s="968" t="str">
        <f>IFERROR(VLOOKUP($D52,'Piping Class'!$88:$102,MATCH(O$1,'Piping Class'!$88:$88,0),0),"")</f>
        <v/>
      </c>
      <c r="P52" s="968" t="str">
        <f>IFERROR(VLOOKUP($D52,'Piping Class'!$88:$102,MATCH(P$1,'Piping Class'!$88:$88,0),0),"")</f>
        <v/>
      </c>
      <c r="Q52" s="983"/>
      <c r="R52" s="988"/>
      <c r="S52" s="969" t="str">
        <f t="shared" si="102"/>
        <v/>
      </c>
      <c r="T52" s="968">
        <f>IFERROR(VLOOKUP(I52&amp;"."&amp;L52,'Fitting Chart'!$1:$1048576,MATCH(C52,'Fitting Chart'!$1:$1,0),0),0)+IF(B52="piping",PI()*K52*(VLOOKUP(I52,'Thickness Tab'!$1:$1048576,3,0)-K52)*7.86/1000,0)+IF(B52="Flange",VLOOKUP(I52&amp;"F"&amp;F52,'Flanges Chart'!$1:$1048576,MATCH(C52&amp;"."&amp;T$1,'Flanges Chart'!$1:$1,0),0),0)</f>
        <v>0</v>
      </c>
      <c r="U52" s="989">
        <f t="shared" si="103"/>
        <v>0</v>
      </c>
      <c r="V52" s="1003"/>
      <c r="W52" s="1001">
        <f t="shared" si="104"/>
        <v>0</v>
      </c>
      <c r="X52" s="997"/>
      <c r="Y52" s="983"/>
      <c r="Z52" s="989">
        <f>IF(B52="Piping",VLOOKUP(I52,'Thickness Tab'!$1:$1048576,3,0)/1000*PI(),0)+IFERROR(VLOOKUP(I52&amp;"F"&amp;F52,'Flanges Chart'!$1:$1048576,MATCH(C52&amp;".Unit Surface",'Flanges Chart'!$1:$1,0),0),0)+IF(B52="Fitting",VLOOKUP(I52,'Thickness Tab'!$1:$1048576,3,0)/1000*PI(),0)</f>
        <v>0</v>
      </c>
      <c r="AA52" s="989">
        <f t="shared" si="105"/>
        <v>0</v>
      </c>
      <c r="AB52" s="983">
        <v>0</v>
      </c>
      <c r="AC52" s="989">
        <f t="shared" si="24"/>
        <v>0</v>
      </c>
      <c r="AD52" s="989">
        <f t="shared" si="25"/>
        <v>0</v>
      </c>
      <c r="AE52" s="974">
        <f>(IFERROR(VLOOKUP($C52,List!$J:$L,2,0),0)*R52+IF(B52="piping",R52,0)+IF(C52="Welding Neck",1,0)*R52)*$AE$2</f>
        <v>0</v>
      </c>
      <c r="AF52" s="970">
        <f>IFERROR(VLOOKUP($C52,List!$J:$L,3,0),0)*R52*$AF$2</f>
        <v>0</v>
      </c>
      <c r="AG52" s="990">
        <f t="shared" si="106"/>
        <v>0</v>
      </c>
      <c r="AH52" s="1118" t="str">
        <f>IFERROR(VLOOKUP($D52,'Piping Class'!$88:$102,MATCH(AH$1,'Piping Class'!$88:$88,0),0),"")</f>
        <v/>
      </c>
      <c r="AI52" s="991" t="str">
        <f>IFERROR(VLOOKUP($D52,'Piping Class'!$88:$102,MATCH(AI$1,'Piping Class'!$88:$88,0),0),"")</f>
        <v/>
      </c>
      <c r="AJ52" s="991" t="str">
        <f>IFERROR(VLOOKUP($D52,'Piping Class'!$88:$102,MATCH(AJ$1,'Piping Class'!$88:$88,0),0),"")</f>
        <v/>
      </c>
      <c r="AK52" s="991" t="str">
        <f>IFERROR(VLOOKUP($D52,'Piping Class'!$88:$102,MATCH(AK$1,'Piping Class'!$88:$88,0),0),"")</f>
        <v/>
      </c>
      <c r="AL52" s="991">
        <f t="shared" si="44"/>
        <v>0</v>
      </c>
      <c r="AM52" s="1119" t="str">
        <f>IFERROR(VLOOKUP($D52,'Piping Class'!$88:$102,MATCH(AM$1,'Piping Class'!$88:$88,0),0),"")</f>
        <v/>
      </c>
      <c r="AN52" s="992">
        <f t="shared" si="26"/>
        <v>0</v>
      </c>
      <c r="AO52" s="993">
        <f>IFERROR(VLOOKUP(I52&amp;"B"&amp;F52,'Bolting Chart'!$1:$1048576,4,0),0)</f>
        <v>0</v>
      </c>
      <c r="AP52" s="993">
        <f t="shared" si="107"/>
        <v>0</v>
      </c>
      <c r="AQ52" s="993">
        <f t="shared" si="108"/>
        <v>0</v>
      </c>
      <c r="AR52" s="993">
        <f>IF(AO52=0,0,VLOOKUP(D52&amp;".bolting",'Piping Class'!$1:$1048576,MATCH(I52,'Piping Class'!$2:$2,0),0))</f>
        <v>0</v>
      </c>
      <c r="AS52" s="994">
        <f>IFERROR(VLOOKUP(I52&amp;"B"&amp;F52,'Bolting Chart'!$1:$1048576,IF(AS$2="UNC",5,6),0),0)</f>
        <v>0</v>
      </c>
      <c r="AT52" s="995">
        <f>IFERROR(VLOOKUP(I52&amp;"B"&amp;F52,'Bolting Chart'!$1:$1048576,IF(G52="RF",8,9),0),0)</f>
        <v>0</v>
      </c>
      <c r="AU52" s="993">
        <f>IF(AO52=0,0,VLOOKUP(D52&amp;".gasket",'Piping Class'!$1:$1048576,MATCH(I52,'Piping Class'!$2:$2,0),0))</f>
        <v>0</v>
      </c>
      <c r="AV52" s="996">
        <f>(IFERROR(INDEX('Bolting Chart'!$A$169:$R$251,MATCH(AT52,'Bolting Chart'!$A$170:$A$251,0),MATCH(IFERROR(VLOOKUP(I52&amp;"B"&amp;F52,'Bolting Chart'!$1:$1048576,7,0),0)+0,'Bolting Chart'!$A$169:$R$169,0)),0))/100</f>
        <v>0</v>
      </c>
      <c r="AW52" s="996">
        <f t="shared" si="109"/>
        <v>0</v>
      </c>
      <c r="AX52" s="1194">
        <f t="shared" si="110"/>
        <v>0</v>
      </c>
      <c r="AY52" s="981"/>
      <c r="AZ52" s="1543">
        <f t="shared" si="111"/>
        <v>0</v>
      </c>
      <c r="BA52" s="1543">
        <f t="shared" si="111"/>
        <v>0</v>
      </c>
      <c r="BB52" s="1543">
        <f t="shared" si="111"/>
        <v>0</v>
      </c>
      <c r="BC52" s="1543">
        <f t="shared" si="111"/>
        <v>0</v>
      </c>
      <c r="BD52" s="1543">
        <f t="shared" si="111"/>
        <v>0</v>
      </c>
      <c r="BE52" s="1543">
        <f t="shared" si="111"/>
        <v>0</v>
      </c>
      <c r="BF52" s="1543">
        <f t="shared" si="111"/>
        <v>0</v>
      </c>
      <c r="BG52" s="1543">
        <f t="shared" si="111"/>
        <v>0</v>
      </c>
      <c r="BH52" s="1543">
        <f t="shared" si="111"/>
        <v>0</v>
      </c>
      <c r="BI52" s="1543">
        <f t="shared" si="111"/>
        <v>0</v>
      </c>
      <c r="BJ52" s="1543">
        <f t="shared" si="111"/>
        <v>0</v>
      </c>
      <c r="BK52" s="1543">
        <f t="shared" si="111"/>
        <v>0</v>
      </c>
      <c r="BL52" s="1543">
        <f t="shared" si="111"/>
        <v>0</v>
      </c>
      <c r="BM52" s="1543">
        <f t="shared" si="111"/>
        <v>0</v>
      </c>
      <c r="BN52" s="1543">
        <f t="shared" si="111"/>
        <v>0</v>
      </c>
      <c r="BO52" s="1543">
        <f t="shared" si="111"/>
        <v>0</v>
      </c>
      <c r="BP52" s="1543">
        <f t="shared" si="89"/>
        <v>0</v>
      </c>
      <c r="BQ52" s="1543">
        <f t="shared" si="89"/>
        <v>0</v>
      </c>
      <c r="BR52" s="1543">
        <f t="shared" si="89"/>
        <v>0</v>
      </c>
      <c r="BS52" s="1543">
        <f t="shared" si="89"/>
        <v>0</v>
      </c>
      <c r="BT52" s="1543">
        <f t="shared" si="89"/>
        <v>0</v>
      </c>
      <c r="BU52" s="1543">
        <f t="shared" si="89"/>
        <v>0</v>
      </c>
      <c r="BV52" s="1543">
        <f t="shared" si="89"/>
        <v>0</v>
      </c>
      <c r="BW52" s="1543">
        <f t="shared" si="89"/>
        <v>0</v>
      </c>
      <c r="BX52" s="1543">
        <f t="shared" si="89"/>
        <v>0</v>
      </c>
      <c r="BY52" s="1543">
        <f t="shared" si="89"/>
        <v>0</v>
      </c>
      <c r="BZ52" s="1543">
        <f t="shared" si="89"/>
        <v>0</v>
      </c>
      <c r="CB52" s="1543">
        <f t="shared" si="112"/>
        <v>0</v>
      </c>
      <c r="CC52" s="1543">
        <f t="shared" si="112"/>
        <v>0</v>
      </c>
      <c r="CD52" s="1543">
        <f t="shared" si="112"/>
        <v>0</v>
      </c>
      <c r="CE52" s="1543">
        <f t="shared" si="112"/>
        <v>0</v>
      </c>
      <c r="CF52" s="1543">
        <f t="shared" si="112"/>
        <v>0</v>
      </c>
      <c r="CG52" s="1543">
        <f t="shared" si="112"/>
        <v>0</v>
      </c>
      <c r="CH52" s="1543">
        <f t="shared" si="112"/>
        <v>0</v>
      </c>
      <c r="CI52" s="1543">
        <f t="shared" si="112"/>
        <v>0</v>
      </c>
      <c r="CJ52" s="1543">
        <f t="shared" si="112"/>
        <v>0</v>
      </c>
      <c r="CK52" s="1543">
        <f t="shared" si="112"/>
        <v>0</v>
      </c>
      <c r="CL52" s="1543">
        <f t="shared" si="112"/>
        <v>0</v>
      </c>
      <c r="CM52" s="1543">
        <f t="shared" si="112"/>
        <v>0</v>
      </c>
      <c r="CN52" s="1543">
        <f t="shared" si="112"/>
        <v>0</v>
      </c>
      <c r="CO52" s="1543">
        <f t="shared" si="112"/>
        <v>0</v>
      </c>
      <c r="CP52" s="1543">
        <f t="shared" si="112"/>
        <v>0</v>
      </c>
      <c r="CQ52" s="1543">
        <f t="shared" si="112"/>
        <v>0</v>
      </c>
      <c r="CR52" s="1543">
        <f t="shared" si="91"/>
        <v>0</v>
      </c>
      <c r="CS52" s="1543">
        <f t="shared" si="91"/>
        <v>0</v>
      </c>
      <c r="CT52" s="1543">
        <f t="shared" si="101"/>
        <v>0</v>
      </c>
      <c r="CU52" s="1543">
        <f t="shared" si="101"/>
        <v>0</v>
      </c>
      <c r="CV52" s="1543">
        <f t="shared" si="101"/>
        <v>0</v>
      </c>
      <c r="CW52" s="1543">
        <f t="shared" si="101"/>
        <v>0</v>
      </c>
      <c r="CX52" s="1543">
        <f t="shared" si="101"/>
        <v>0</v>
      </c>
      <c r="CY52" s="1543">
        <f t="shared" si="101"/>
        <v>0</v>
      </c>
      <c r="CZ52" s="1543">
        <f t="shared" si="101"/>
        <v>0</v>
      </c>
      <c r="DA52" s="1543">
        <f t="shared" si="101"/>
        <v>0</v>
      </c>
      <c r="DB52" s="1543">
        <f t="shared" si="101"/>
        <v>0</v>
      </c>
      <c r="DD52" s="1543">
        <f t="shared" si="68"/>
        <v>0</v>
      </c>
      <c r="DE52" s="1543">
        <f t="shared" si="69"/>
        <v>0</v>
      </c>
      <c r="DF52" s="1543">
        <f t="shared" si="70"/>
        <v>0</v>
      </c>
      <c r="DG52" s="1543">
        <f t="shared" si="31"/>
        <v>0</v>
      </c>
      <c r="DI52" s="1543">
        <f t="shared" si="32"/>
        <v>0</v>
      </c>
      <c r="DJ52" s="1543">
        <f t="shared" si="74"/>
        <v>0</v>
      </c>
      <c r="DK52" s="1543">
        <f t="shared" si="74"/>
        <v>0</v>
      </c>
      <c r="DL52" s="1543">
        <f t="shared" si="74"/>
        <v>0</v>
      </c>
      <c r="DM52" s="1543">
        <f t="shared" si="74"/>
        <v>0</v>
      </c>
      <c r="DO52" s="1543">
        <f t="shared" si="113"/>
        <v>0</v>
      </c>
      <c r="DP52" s="1543">
        <f t="shared" si="113"/>
        <v>0</v>
      </c>
      <c r="DQ52" s="1543">
        <f t="shared" si="113"/>
        <v>0</v>
      </c>
      <c r="DR52" s="1543">
        <f t="shared" si="113"/>
        <v>0</v>
      </c>
      <c r="DS52" s="1543">
        <f t="shared" si="113"/>
        <v>0</v>
      </c>
      <c r="DT52" s="1543">
        <f t="shared" si="113"/>
        <v>0</v>
      </c>
      <c r="DU52" s="1543">
        <f t="shared" si="113"/>
        <v>0</v>
      </c>
      <c r="DV52" s="1543">
        <f t="shared" si="113"/>
        <v>0</v>
      </c>
      <c r="DW52" s="1543">
        <f t="shared" si="113"/>
        <v>0</v>
      </c>
      <c r="DX52" s="1543">
        <f t="shared" si="113"/>
        <v>0</v>
      </c>
      <c r="DY52" s="1543">
        <f t="shared" si="113"/>
        <v>0</v>
      </c>
      <c r="DZ52" s="1543">
        <f t="shared" si="113"/>
        <v>0</v>
      </c>
      <c r="EA52" s="1543">
        <f t="shared" si="113"/>
        <v>0</v>
      </c>
      <c r="EB52" s="1543">
        <f t="shared" si="71"/>
        <v>0</v>
      </c>
      <c r="EC52" s="1543">
        <f t="shared" si="71"/>
        <v>0</v>
      </c>
      <c r="ED52" s="1543">
        <f t="shared" si="71"/>
        <v>0</v>
      </c>
      <c r="EE52" s="1543">
        <f t="shared" si="71"/>
        <v>0</v>
      </c>
      <c r="EF52" s="1543">
        <f t="shared" si="71"/>
        <v>0</v>
      </c>
      <c r="EH52" s="1543">
        <f t="shared" si="114"/>
        <v>0</v>
      </c>
      <c r="EI52" s="1543">
        <f t="shared" si="115"/>
        <v>0</v>
      </c>
      <c r="EJ52" s="1543">
        <f t="shared" si="116"/>
        <v>0</v>
      </c>
      <c r="EK52" s="1543">
        <f t="shared" si="117"/>
        <v>0</v>
      </c>
      <c r="EL52" s="1543">
        <f t="shared" si="118"/>
        <v>0</v>
      </c>
      <c r="EM52" s="1543">
        <f t="shared" si="119"/>
        <v>0</v>
      </c>
      <c r="EN52" s="1543">
        <f t="shared" si="120"/>
        <v>0</v>
      </c>
      <c r="EP52" s="1543">
        <f t="shared" si="72"/>
        <v>0</v>
      </c>
      <c r="EQ52" s="1543">
        <f t="shared" si="72"/>
        <v>0</v>
      </c>
      <c r="ER52" s="1543">
        <f t="shared" si="72"/>
        <v>0</v>
      </c>
      <c r="ES52" s="1543">
        <f t="shared" si="72"/>
        <v>0</v>
      </c>
      <c r="ET52" s="1543">
        <f t="shared" si="73"/>
        <v>0</v>
      </c>
      <c r="EU52" s="1543">
        <f t="shared" si="73"/>
        <v>0</v>
      </c>
      <c r="EV52" s="1543">
        <f t="shared" si="73"/>
        <v>0</v>
      </c>
      <c r="EW52" s="1543">
        <f t="shared" si="73"/>
        <v>0</v>
      </c>
      <c r="EX52" s="1543">
        <f t="shared" si="73"/>
        <v>0</v>
      </c>
      <c r="EY52" s="1543">
        <f t="shared" si="73"/>
        <v>0</v>
      </c>
      <c r="EZ52" s="1543">
        <f t="shared" si="73"/>
        <v>0</v>
      </c>
      <c r="FA52" s="1543">
        <f t="shared" si="73"/>
        <v>0</v>
      </c>
      <c r="FB52" s="1543">
        <f t="shared" si="73"/>
        <v>0</v>
      </c>
      <c r="FC52" s="1543">
        <f t="shared" si="73"/>
        <v>0</v>
      </c>
      <c r="FD52" s="1543">
        <f t="shared" si="73"/>
        <v>0</v>
      </c>
      <c r="FE52" s="1543">
        <f t="shared" si="52"/>
        <v>0</v>
      </c>
      <c r="FF52" s="1543">
        <f t="shared" si="40"/>
        <v>1</v>
      </c>
      <c r="FH52" s="1543">
        <f t="shared" ref="FH52:FS67" si="121">IF($FT52=1,0,IF(FH$2=$Y52,1,0))</f>
        <v>0</v>
      </c>
      <c r="FI52" s="1543">
        <f t="shared" si="121"/>
        <v>0</v>
      </c>
      <c r="FJ52" s="1543">
        <f t="shared" si="121"/>
        <v>0</v>
      </c>
      <c r="FK52" s="1543">
        <f t="shared" si="121"/>
        <v>0</v>
      </c>
      <c r="FL52" s="1543">
        <f t="shared" si="121"/>
        <v>0</v>
      </c>
      <c r="FM52" s="1543">
        <f t="shared" si="121"/>
        <v>0</v>
      </c>
      <c r="FN52" s="1543">
        <f t="shared" si="121"/>
        <v>0</v>
      </c>
      <c r="FO52" s="1543">
        <f t="shared" si="121"/>
        <v>0</v>
      </c>
      <c r="FP52" s="1543">
        <f t="shared" si="121"/>
        <v>0</v>
      </c>
      <c r="FQ52" s="1543">
        <f t="shared" si="121"/>
        <v>0</v>
      </c>
      <c r="FR52" s="1543">
        <f t="shared" si="121"/>
        <v>0</v>
      </c>
      <c r="FS52" s="1543">
        <f t="shared" si="121"/>
        <v>0</v>
      </c>
      <c r="FT52" s="1543">
        <f t="shared" si="41"/>
        <v>0</v>
      </c>
      <c r="FV52" s="1543">
        <f t="shared" ref="FV52:GD67" si="122">IF($AB52=FV$2,1,0)</f>
        <v>1</v>
      </c>
      <c r="FW52" s="1543">
        <f t="shared" si="122"/>
        <v>0</v>
      </c>
      <c r="FX52" s="1543">
        <f t="shared" si="122"/>
        <v>0</v>
      </c>
      <c r="FY52" s="1543">
        <f t="shared" si="122"/>
        <v>0</v>
      </c>
      <c r="FZ52" s="1543">
        <f t="shared" si="122"/>
        <v>0</v>
      </c>
      <c r="GA52" s="1543">
        <f t="shared" si="122"/>
        <v>0</v>
      </c>
      <c r="GB52" s="1543">
        <f t="shared" si="122"/>
        <v>0</v>
      </c>
      <c r="GC52" s="1543">
        <f t="shared" si="122"/>
        <v>0</v>
      </c>
      <c r="GD52" s="1543">
        <f t="shared" si="122"/>
        <v>0</v>
      </c>
    </row>
    <row r="53" spans="1:186" s="982" customFormat="1" ht="15.6" x14ac:dyDescent="0.3">
      <c r="A53" s="974">
        <v>51</v>
      </c>
      <c r="B53" s="983"/>
      <c r="C53" s="984"/>
      <c r="D53" s="983"/>
      <c r="E53" s="968" t="str">
        <f>IFERROR(VLOOKUP($D53&amp;"."&amp;B53,'Piping Class'!$1:$1048576,MATCH($I53,'Piping Class'!$2:$2,0),0),"")</f>
        <v/>
      </c>
      <c r="F53" s="985" t="str">
        <f>IFERROR(IF(B53="Flange",VLOOKUP($D53,'Piping Class'!$88:$102,MATCH(F$1,'Piping Class'!$88:$88,0),0),""),"")</f>
        <v/>
      </c>
      <c r="G53" s="968" t="str">
        <f>IFERROR(IF(B53="Flange",VLOOKUP($D53,'Piping Class'!$88:$102,MATCH(G$1,'Piping Class'!$88:$88,0),0),""),"")</f>
        <v/>
      </c>
      <c r="H53" s="968" t="str">
        <f>IFERROR(VLOOKUP($D53,'Piping Class'!$88:$102,MATCH(H$1,'Piping Class'!$88:$88,0),0),"")</f>
        <v/>
      </c>
      <c r="I53" s="986"/>
      <c r="J53" s="987"/>
      <c r="K53" s="968" t="str">
        <f>IFERROR(VLOOKUP(I53,'Thickness Tab'!$1:$1048576,MATCH(L53,'Thickness Tab'!$1:$1,0),0),"")</f>
        <v/>
      </c>
      <c r="L53" s="969" t="str">
        <f>IFERROR(VLOOKUP($D53,'Piping Class'!$1:$1048576,MATCH($I53,'Piping Class'!$2:$2,0),0),"")</f>
        <v/>
      </c>
      <c r="M53" s="968" t="str">
        <f>IFERROR(VLOOKUP(J53,'Thickness Tab'!$1:$1048576,MATCH(N53,'Thickness Tab'!$1:$1,0),0),"")</f>
        <v/>
      </c>
      <c r="N53" s="969" t="str">
        <f>IFERROR(VLOOKUP($D53,'Piping Class'!$1:$1048576,MATCH($J53,'Piping Class'!$2:$2,0),0),"")</f>
        <v/>
      </c>
      <c r="O53" s="968" t="str">
        <f>IFERROR(VLOOKUP($D53,'Piping Class'!$88:$102,MATCH(O$1,'Piping Class'!$88:$88,0),0),"")</f>
        <v/>
      </c>
      <c r="P53" s="968" t="str">
        <f>IFERROR(VLOOKUP($D53,'Piping Class'!$88:$102,MATCH(P$1,'Piping Class'!$88:$88,0),0),"")</f>
        <v/>
      </c>
      <c r="Q53" s="983"/>
      <c r="R53" s="988"/>
      <c r="S53" s="969" t="str">
        <f t="shared" si="102"/>
        <v/>
      </c>
      <c r="T53" s="968">
        <f>IFERROR(VLOOKUP(I53&amp;"."&amp;L53,'Fitting Chart'!$1:$1048576,MATCH(C53,'Fitting Chart'!$1:$1,0),0),0)+IF(B53="piping",PI()*K53*(VLOOKUP(I53,'Thickness Tab'!$1:$1048576,3,0)-K53)*7.86/1000,0)+IF(B53="Flange",VLOOKUP(I53&amp;"F"&amp;F53,'Flanges Chart'!$1:$1048576,MATCH(C53&amp;"."&amp;T$1,'Flanges Chart'!$1:$1,0),0),0)</f>
        <v>0</v>
      </c>
      <c r="U53" s="989">
        <f t="shared" si="103"/>
        <v>0</v>
      </c>
      <c r="V53" s="1003"/>
      <c r="W53" s="1001">
        <f t="shared" si="104"/>
        <v>0</v>
      </c>
      <c r="X53" s="997"/>
      <c r="Y53" s="983"/>
      <c r="Z53" s="989">
        <f>IF(B53="Piping",VLOOKUP(I53,'Thickness Tab'!$1:$1048576,3,0)/1000*PI(),0)+IFERROR(VLOOKUP(I53&amp;"F"&amp;F53,'Flanges Chart'!$1:$1048576,MATCH(C53&amp;".Unit Surface",'Flanges Chart'!$1:$1,0),0),0)+IF(B53="Fitting",VLOOKUP(I53,'Thickness Tab'!$1:$1048576,3,0)/1000*PI(),0)</f>
        <v>0</v>
      </c>
      <c r="AA53" s="989">
        <f t="shared" si="105"/>
        <v>0</v>
      </c>
      <c r="AB53" s="983">
        <v>0</v>
      </c>
      <c r="AC53" s="989">
        <f t="shared" si="24"/>
        <v>0</v>
      </c>
      <c r="AD53" s="989">
        <f t="shared" si="25"/>
        <v>0</v>
      </c>
      <c r="AE53" s="974">
        <f>(IFERROR(VLOOKUP($C53,List!$J:$L,2,0),0)*R53+IF(B53="piping",R53,0)+IF(C53="Welding Neck",1,0)*R53)*$AE$2</f>
        <v>0</v>
      </c>
      <c r="AF53" s="970">
        <f>IFERROR(VLOOKUP($C53,List!$J:$L,3,0),0)*R53*$AF$2</f>
        <v>0</v>
      </c>
      <c r="AG53" s="990">
        <f t="shared" si="106"/>
        <v>0</v>
      </c>
      <c r="AH53" s="1118" t="str">
        <f>IFERROR(VLOOKUP($D53,'Piping Class'!$88:$102,MATCH(AH$1,'Piping Class'!$88:$88,0),0),"")</f>
        <v/>
      </c>
      <c r="AI53" s="991" t="str">
        <f>IFERROR(VLOOKUP($D53,'Piping Class'!$88:$102,MATCH(AI$1,'Piping Class'!$88:$88,0),0),"")</f>
        <v/>
      </c>
      <c r="AJ53" s="991" t="str">
        <f>IFERROR(VLOOKUP($D53,'Piping Class'!$88:$102,MATCH(AJ$1,'Piping Class'!$88:$88,0),0),"")</f>
        <v/>
      </c>
      <c r="AK53" s="991" t="str">
        <f>IFERROR(VLOOKUP($D53,'Piping Class'!$88:$102,MATCH(AK$1,'Piping Class'!$88:$88,0),0),"")</f>
        <v/>
      </c>
      <c r="AL53" s="991">
        <f t="shared" si="44"/>
        <v>0</v>
      </c>
      <c r="AM53" s="1119" t="str">
        <f>IFERROR(VLOOKUP($D53,'Piping Class'!$88:$102,MATCH(AM$1,'Piping Class'!$88:$88,0),0),"")</f>
        <v/>
      </c>
      <c r="AN53" s="992">
        <f t="shared" si="26"/>
        <v>0</v>
      </c>
      <c r="AO53" s="993">
        <f>IFERROR(VLOOKUP(I53&amp;"B"&amp;F53,'Bolting Chart'!$1:$1048576,4,0),0)</f>
        <v>0</v>
      </c>
      <c r="AP53" s="993">
        <f t="shared" si="107"/>
        <v>0</v>
      </c>
      <c r="AQ53" s="993">
        <f t="shared" si="108"/>
        <v>0</v>
      </c>
      <c r="AR53" s="993">
        <f>IF(AO53=0,0,VLOOKUP(D53&amp;".bolting",'Piping Class'!$1:$1048576,MATCH(I53,'Piping Class'!$2:$2,0),0))</f>
        <v>0</v>
      </c>
      <c r="AS53" s="994">
        <f>IFERROR(VLOOKUP(I53&amp;"B"&amp;F53,'Bolting Chart'!$1:$1048576,IF(AS$2="UNC",5,6),0),0)</f>
        <v>0</v>
      </c>
      <c r="AT53" s="995">
        <f>IFERROR(VLOOKUP(I53&amp;"B"&amp;F53,'Bolting Chart'!$1:$1048576,IF(G53="RF",8,9),0),0)</f>
        <v>0</v>
      </c>
      <c r="AU53" s="993">
        <f>IF(AO53=0,0,VLOOKUP(D53&amp;".gasket",'Piping Class'!$1:$1048576,MATCH(I53,'Piping Class'!$2:$2,0),0))</f>
        <v>0</v>
      </c>
      <c r="AV53" s="996">
        <f>(IFERROR(INDEX('Bolting Chart'!$A$169:$R$251,MATCH(AT53,'Bolting Chart'!$A$170:$A$251,0),MATCH(IFERROR(VLOOKUP(I53&amp;"B"&amp;F53,'Bolting Chart'!$1:$1048576,7,0),0)+0,'Bolting Chart'!$A$169:$R$169,0)),0))/100</f>
        <v>0</v>
      </c>
      <c r="AW53" s="996">
        <f t="shared" si="109"/>
        <v>0</v>
      </c>
      <c r="AX53" s="1194">
        <f t="shared" si="110"/>
        <v>0</v>
      </c>
      <c r="AY53" s="981"/>
      <c r="AZ53" s="1543">
        <f t="shared" si="111"/>
        <v>0</v>
      </c>
      <c r="BA53" s="1543">
        <f t="shared" si="111"/>
        <v>0</v>
      </c>
      <c r="BB53" s="1543">
        <f t="shared" si="111"/>
        <v>0</v>
      </c>
      <c r="BC53" s="1543">
        <f t="shared" si="111"/>
        <v>0</v>
      </c>
      <c r="BD53" s="1543">
        <f t="shared" si="111"/>
        <v>0</v>
      </c>
      <c r="BE53" s="1543">
        <f t="shared" si="111"/>
        <v>0</v>
      </c>
      <c r="BF53" s="1543">
        <f t="shared" si="111"/>
        <v>0</v>
      </c>
      <c r="BG53" s="1543">
        <f t="shared" si="111"/>
        <v>0</v>
      </c>
      <c r="BH53" s="1543">
        <f t="shared" si="111"/>
        <v>0</v>
      </c>
      <c r="BI53" s="1543">
        <f t="shared" si="111"/>
        <v>0</v>
      </c>
      <c r="BJ53" s="1543">
        <f t="shared" si="111"/>
        <v>0</v>
      </c>
      <c r="BK53" s="1543">
        <f t="shared" si="111"/>
        <v>0</v>
      </c>
      <c r="BL53" s="1543">
        <f t="shared" si="111"/>
        <v>0</v>
      </c>
      <c r="BM53" s="1543">
        <f t="shared" si="111"/>
        <v>0</v>
      </c>
      <c r="BN53" s="1543">
        <f t="shared" si="111"/>
        <v>0</v>
      </c>
      <c r="BO53" s="1543">
        <f t="shared" si="111"/>
        <v>0</v>
      </c>
      <c r="BP53" s="1543">
        <f t="shared" si="89"/>
        <v>0</v>
      </c>
      <c r="BQ53" s="1543">
        <f t="shared" si="89"/>
        <v>0</v>
      </c>
      <c r="BR53" s="1543">
        <f t="shared" si="89"/>
        <v>0</v>
      </c>
      <c r="BS53" s="1543">
        <f t="shared" si="89"/>
        <v>0</v>
      </c>
      <c r="BT53" s="1543">
        <f t="shared" si="89"/>
        <v>0</v>
      </c>
      <c r="BU53" s="1543">
        <f t="shared" si="89"/>
        <v>0</v>
      </c>
      <c r="BV53" s="1543">
        <f t="shared" si="89"/>
        <v>0</v>
      </c>
      <c r="BW53" s="1543">
        <f t="shared" si="89"/>
        <v>0</v>
      </c>
      <c r="BX53" s="1543">
        <f t="shared" si="89"/>
        <v>0</v>
      </c>
      <c r="BY53" s="1543">
        <f t="shared" si="89"/>
        <v>0</v>
      </c>
      <c r="BZ53" s="1543">
        <f t="shared" si="89"/>
        <v>0</v>
      </c>
      <c r="CB53" s="1543">
        <f t="shared" si="112"/>
        <v>0</v>
      </c>
      <c r="CC53" s="1543">
        <f t="shared" si="112"/>
        <v>0</v>
      </c>
      <c r="CD53" s="1543">
        <f t="shared" si="112"/>
        <v>0</v>
      </c>
      <c r="CE53" s="1543">
        <f t="shared" si="112"/>
        <v>0</v>
      </c>
      <c r="CF53" s="1543">
        <f t="shared" si="112"/>
        <v>0</v>
      </c>
      <c r="CG53" s="1543">
        <f t="shared" si="112"/>
        <v>0</v>
      </c>
      <c r="CH53" s="1543">
        <f t="shared" si="112"/>
        <v>0</v>
      </c>
      <c r="CI53" s="1543">
        <f t="shared" si="112"/>
        <v>0</v>
      </c>
      <c r="CJ53" s="1543">
        <f t="shared" si="112"/>
        <v>0</v>
      </c>
      <c r="CK53" s="1543">
        <f t="shared" si="112"/>
        <v>0</v>
      </c>
      <c r="CL53" s="1543">
        <f t="shared" si="112"/>
        <v>0</v>
      </c>
      <c r="CM53" s="1543">
        <f t="shared" si="112"/>
        <v>0</v>
      </c>
      <c r="CN53" s="1543">
        <f t="shared" si="112"/>
        <v>0</v>
      </c>
      <c r="CO53" s="1543">
        <f t="shared" si="112"/>
        <v>0</v>
      </c>
      <c r="CP53" s="1543">
        <f t="shared" si="112"/>
        <v>0</v>
      </c>
      <c r="CQ53" s="1543">
        <f t="shared" si="112"/>
        <v>0</v>
      </c>
      <c r="CR53" s="1543">
        <f t="shared" si="91"/>
        <v>0</v>
      </c>
      <c r="CS53" s="1543">
        <f t="shared" si="91"/>
        <v>0</v>
      </c>
      <c r="CT53" s="1543">
        <f t="shared" si="101"/>
        <v>0</v>
      </c>
      <c r="CU53" s="1543">
        <f t="shared" si="101"/>
        <v>0</v>
      </c>
      <c r="CV53" s="1543">
        <f t="shared" si="101"/>
        <v>0</v>
      </c>
      <c r="CW53" s="1543">
        <f t="shared" si="101"/>
        <v>0</v>
      </c>
      <c r="CX53" s="1543">
        <f t="shared" si="101"/>
        <v>0</v>
      </c>
      <c r="CY53" s="1543">
        <f t="shared" si="101"/>
        <v>0</v>
      </c>
      <c r="CZ53" s="1543">
        <f t="shared" si="101"/>
        <v>0</v>
      </c>
      <c r="DA53" s="1543">
        <f t="shared" si="101"/>
        <v>0</v>
      </c>
      <c r="DB53" s="1543">
        <f t="shared" si="101"/>
        <v>0</v>
      </c>
      <c r="DD53" s="1543">
        <f t="shared" si="68"/>
        <v>0</v>
      </c>
      <c r="DE53" s="1543">
        <f t="shared" si="69"/>
        <v>0</v>
      </c>
      <c r="DF53" s="1543">
        <f t="shared" si="70"/>
        <v>0</v>
      </c>
      <c r="DG53" s="1543">
        <f t="shared" si="31"/>
        <v>0</v>
      </c>
      <c r="DI53" s="1543">
        <f t="shared" si="32"/>
        <v>0</v>
      </c>
      <c r="DJ53" s="1543">
        <f t="shared" si="74"/>
        <v>0</v>
      </c>
      <c r="DK53" s="1543">
        <f t="shared" si="74"/>
        <v>0</v>
      </c>
      <c r="DL53" s="1543">
        <f t="shared" si="74"/>
        <v>0</v>
      </c>
      <c r="DM53" s="1543">
        <f t="shared" si="74"/>
        <v>0</v>
      </c>
      <c r="DO53" s="1543">
        <f t="shared" si="113"/>
        <v>0</v>
      </c>
      <c r="DP53" s="1543">
        <f t="shared" si="113"/>
        <v>0</v>
      </c>
      <c r="DQ53" s="1543">
        <f t="shared" si="113"/>
        <v>0</v>
      </c>
      <c r="DR53" s="1543">
        <f t="shared" si="113"/>
        <v>0</v>
      </c>
      <c r="DS53" s="1543">
        <f t="shared" si="113"/>
        <v>0</v>
      </c>
      <c r="DT53" s="1543">
        <f t="shared" si="113"/>
        <v>0</v>
      </c>
      <c r="DU53" s="1543">
        <f t="shared" si="113"/>
        <v>0</v>
      </c>
      <c r="DV53" s="1543">
        <f t="shared" si="113"/>
        <v>0</v>
      </c>
      <c r="DW53" s="1543">
        <f t="shared" si="113"/>
        <v>0</v>
      </c>
      <c r="DX53" s="1543">
        <f t="shared" si="113"/>
        <v>0</v>
      </c>
      <c r="DY53" s="1543">
        <f t="shared" si="113"/>
        <v>0</v>
      </c>
      <c r="DZ53" s="1543">
        <f t="shared" si="113"/>
        <v>0</v>
      </c>
      <c r="EA53" s="1543">
        <f t="shared" si="113"/>
        <v>0</v>
      </c>
      <c r="EB53" s="1543">
        <f t="shared" si="71"/>
        <v>0</v>
      </c>
      <c r="EC53" s="1543">
        <f t="shared" si="71"/>
        <v>0</v>
      </c>
      <c r="ED53" s="1543">
        <f t="shared" si="71"/>
        <v>0</v>
      </c>
      <c r="EE53" s="1543">
        <f t="shared" si="71"/>
        <v>0</v>
      </c>
      <c r="EF53" s="1543">
        <f t="shared" si="71"/>
        <v>0</v>
      </c>
      <c r="EH53" s="1543">
        <f t="shared" si="114"/>
        <v>0</v>
      </c>
      <c r="EI53" s="1543">
        <f t="shared" si="115"/>
        <v>0</v>
      </c>
      <c r="EJ53" s="1543">
        <f t="shared" si="116"/>
        <v>0</v>
      </c>
      <c r="EK53" s="1543">
        <f t="shared" si="117"/>
        <v>0</v>
      </c>
      <c r="EL53" s="1543">
        <f t="shared" si="118"/>
        <v>0</v>
      </c>
      <c r="EM53" s="1543">
        <f t="shared" si="119"/>
        <v>0</v>
      </c>
      <c r="EN53" s="1543">
        <f t="shared" si="120"/>
        <v>0</v>
      </c>
      <c r="EP53" s="1543">
        <f t="shared" si="72"/>
        <v>0</v>
      </c>
      <c r="EQ53" s="1543">
        <f t="shared" si="72"/>
        <v>0</v>
      </c>
      <c r="ER53" s="1543">
        <f t="shared" si="72"/>
        <v>0</v>
      </c>
      <c r="ES53" s="1543">
        <f t="shared" si="72"/>
        <v>0</v>
      </c>
      <c r="ET53" s="1543">
        <f t="shared" si="73"/>
        <v>0</v>
      </c>
      <c r="EU53" s="1543">
        <f t="shared" si="73"/>
        <v>0</v>
      </c>
      <c r="EV53" s="1543">
        <f t="shared" si="73"/>
        <v>0</v>
      </c>
      <c r="EW53" s="1543">
        <f t="shared" si="73"/>
        <v>0</v>
      </c>
      <c r="EX53" s="1543">
        <f t="shared" si="73"/>
        <v>0</v>
      </c>
      <c r="EY53" s="1543">
        <f t="shared" si="73"/>
        <v>0</v>
      </c>
      <c r="EZ53" s="1543">
        <f t="shared" si="73"/>
        <v>0</v>
      </c>
      <c r="FA53" s="1543">
        <f t="shared" si="73"/>
        <v>0</v>
      </c>
      <c r="FB53" s="1543">
        <f t="shared" si="73"/>
        <v>0</v>
      </c>
      <c r="FC53" s="1543">
        <f t="shared" si="73"/>
        <v>0</v>
      </c>
      <c r="FD53" s="1543">
        <f t="shared" si="73"/>
        <v>0</v>
      </c>
      <c r="FE53" s="1543">
        <f t="shared" si="52"/>
        <v>0</v>
      </c>
      <c r="FF53" s="1543">
        <f t="shared" si="40"/>
        <v>1</v>
      </c>
      <c r="FH53" s="1543">
        <f t="shared" si="121"/>
        <v>0</v>
      </c>
      <c r="FI53" s="1543">
        <f t="shared" si="121"/>
        <v>0</v>
      </c>
      <c r="FJ53" s="1543">
        <f t="shared" si="121"/>
        <v>0</v>
      </c>
      <c r="FK53" s="1543">
        <f t="shared" si="121"/>
        <v>0</v>
      </c>
      <c r="FL53" s="1543">
        <f t="shared" si="121"/>
        <v>0</v>
      </c>
      <c r="FM53" s="1543">
        <f t="shared" si="121"/>
        <v>0</v>
      </c>
      <c r="FN53" s="1543">
        <f t="shared" si="121"/>
        <v>0</v>
      </c>
      <c r="FO53" s="1543">
        <f t="shared" si="121"/>
        <v>0</v>
      </c>
      <c r="FP53" s="1543">
        <f t="shared" si="121"/>
        <v>0</v>
      </c>
      <c r="FQ53" s="1543">
        <f t="shared" si="121"/>
        <v>0</v>
      </c>
      <c r="FR53" s="1543">
        <f t="shared" si="121"/>
        <v>0</v>
      </c>
      <c r="FS53" s="1543">
        <f t="shared" si="121"/>
        <v>0</v>
      </c>
      <c r="FT53" s="1543">
        <f t="shared" si="41"/>
        <v>0</v>
      </c>
      <c r="FV53" s="1543">
        <f t="shared" si="122"/>
        <v>1</v>
      </c>
      <c r="FW53" s="1543">
        <f t="shared" si="122"/>
        <v>0</v>
      </c>
      <c r="FX53" s="1543">
        <f t="shared" si="122"/>
        <v>0</v>
      </c>
      <c r="FY53" s="1543">
        <f t="shared" si="122"/>
        <v>0</v>
      </c>
      <c r="FZ53" s="1543">
        <f t="shared" si="122"/>
        <v>0</v>
      </c>
      <c r="GA53" s="1543">
        <f t="shared" si="122"/>
        <v>0</v>
      </c>
      <c r="GB53" s="1543">
        <f t="shared" si="122"/>
        <v>0</v>
      </c>
      <c r="GC53" s="1543">
        <f t="shared" si="122"/>
        <v>0</v>
      </c>
      <c r="GD53" s="1543">
        <f t="shared" si="122"/>
        <v>0</v>
      </c>
    </row>
    <row r="54" spans="1:186" s="982" customFormat="1" ht="15.6" x14ac:dyDescent="0.3">
      <c r="A54" s="974">
        <v>52</v>
      </c>
      <c r="B54" s="983"/>
      <c r="C54" s="984"/>
      <c r="D54" s="983"/>
      <c r="E54" s="968" t="str">
        <f>IFERROR(VLOOKUP($D54&amp;"."&amp;B54,'Piping Class'!$1:$1048576,MATCH($I54,'Piping Class'!$2:$2,0),0),"")</f>
        <v/>
      </c>
      <c r="F54" s="985" t="str">
        <f>IFERROR(IF(B54="Flange",VLOOKUP($D54,'Piping Class'!$88:$102,MATCH(F$1,'Piping Class'!$88:$88,0),0),""),"")</f>
        <v/>
      </c>
      <c r="G54" s="968" t="str">
        <f>IFERROR(IF(B54="Flange",VLOOKUP($D54,'Piping Class'!$88:$102,MATCH(G$1,'Piping Class'!$88:$88,0),0),""),"")</f>
        <v/>
      </c>
      <c r="H54" s="968" t="str">
        <f>IFERROR(VLOOKUP($D54,'Piping Class'!$88:$102,MATCH(H$1,'Piping Class'!$88:$88,0),0),"")</f>
        <v/>
      </c>
      <c r="I54" s="986"/>
      <c r="J54" s="987"/>
      <c r="K54" s="968" t="str">
        <f>IFERROR(VLOOKUP(I54,'Thickness Tab'!$1:$1048576,MATCH(L54,'Thickness Tab'!$1:$1,0),0),"")</f>
        <v/>
      </c>
      <c r="L54" s="969" t="str">
        <f>IFERROR(VLOOKUP($D54,'Piping Class'!$1:$1048576,MATCH($I54,'Piping Class'!$2:$2,0),0),"")</f>
        <v/>
      </c>
      <c r="M54" s="968" t="str">
        <f>IFERROR(VLOOKUP(J54,'Thickness Tab'!$1:$1048576,MATCH(N54,'Thickness Tab'!$1:$1,0),0),"")</f>
        <v/>
      </c>
      <c r="N54" s="969" t="str">
        <f>IFERROR(VLOOKUP($D54,'Piping Class'!$1:$1048576,MATCH($J54,'Piping Class'!$2:$2,0),0),"")</f>
        <v/>
      </c>
      <c r="O54" s="968" t="str">
        <f>IFERROR(VLOOKUP($D54,'Piping Class'!$88:$102,MATCH(O$1,'Piping Class'!$88:$88,0),0),"")</f>
        <v/>
      </c>
      <c r="P54" s="968" t="str">
        <f>IFERROR(VLOOKUP($D54,'Piping Class'!$88:$102,MATCH(P$1,'Piping Class'!$88:$88,0),0),"")</f>
        <v/>
      </c>
      <c r="Q54" s="983"/>
      <c r="R54" s="988"/>
      <c r="S54" s="969" t="str">
        <f t="shared" si="102"/>
        <v/>
      </c>
      <c r="T54" s="968">
        <f>IFERROR(VLOOKUP(I54&amp;"."&amp;L54,'Fitting Chart'!$1:$1048576,MATCH(C54,'Fitting Chart'!$1:$1,0),0),0)+IF(B54="piping",PI()*K54*(VLOOKUP(I54,'Thickness Tab'!$1:$1048576,3,0)-K54)*7.86/1000,0)+IF(B54="Flange",VLOOKUP(I54&amp;"F"&amp;F54,'Flanges Chart'!$1:$1048576,MATCH(C54&amp;"."&amp;T$1,'Flanges Chart'!$1:$1,0),0),0)</f>
        <v>0</v>
      </c>
      <c r="U54" s="989">
        <f t="shared" si="103"/>
        <v>0</v>
      </c>
      <c r="V54" s="1003"/>
      <c r="W54" s="1001">
        <f t="shared" si="104"/>
        <v>0</v>
      </c>
      <c r="X54" s="997"/>
      <c r="Y54" s="983"/>
      <c r="Z54" s="989">
        <f>IF(B54="Piping",VLOOKUP(I54,'Thickness Tab'!$1:$1048576,3,0)/1000*PI(),0)+IFERROR(VLOOKUP(I54&amp;"F"&amp;F54,'Flanges Chart'!$1:$1048576,MATCH(C54&amp;".Unit Surface",'Flanges Chart'!$1:$1,0),0),0)+IF(B54="Fitting",VLOOKUP(I54,'Thickness Tab'!$1:$1048576,3,0)/1000*PI(),0)</f>
        <v>0</v>
      </c>
      <c r="AA54" s="989">
        <f t="shared" si="105"/>
        <v>0</v>
      </c>
      <c r="AB54" s="983">
        <v>0</v>
      </c>
      <c r="AC54" s="989">
        <f t="shared" si="24"/>
        <v>0</v>
      </c>
      <c r="AD54" s="989">
        <f t="shared" si="25"/>
        <v>0</v>
      </c>
      <c r="AE54" s="974">
        <f>(IFERROR(VLOOKUP($C54,List!$J:$L,2,0),0)*R54+IF(B54="piping",R54,0)+IF(C54="Welding Neck",1,0)*R54)*$AE$2</f>
        <v>0</v>
      </c>
      <c r="AF54" s="970">
        <f>IFERROR(VLOOKUP($C54,List!$J:$L,3,0),0)*R54*$AF$2</f>
        <v>0</v>
      </c>
      <c r="AG54" s="990">
        <f t="shared" si="106"/>
        <v>0</v>
      </c>
      <c r="AH54" s="1118" t="str">
        <f>IFERROR(VLOOKUP($D54,'Piping Class'!$88:$102,MATCH(AH$1,'Piping Class'!$88:$88,0),0),"")</f>
        <v/>
      </c>
      <c r="AI54" s="991" t="str">
        <f>IFERROR(VLOOKUP($D54,'Piping Class'!$88:$102,MATCH(AI$1,'Piping Class'!$88:$88,0),0),"")</f>
        <v/>
      </c>
      <c r="AJ54" s="991" t="str">
        <f>IFERROR(VLOOKUP($D54,'Piping Class'!$88:$102,MATCH(AJ$1,'Piping Class'!$88:$88,0),0),"")</f>
        <v/>
      </c>
      <c r="AK54" s="991" t="str">
        <f>IFERROR(VLOOKUP($D54,'Piping Class'!$88:$102,MATCH(AK$1,'Piping Class'!$88:$88,0),0),"")</f>
        <v/>
      </c>
      <c r="AL54" s="991">
        <f t="shared" si="44"/>
        <v>0</v>
      </c>
      <c r="AM54" s="1119" t="str">
        <f>IFERROR(VLOOKUP($D54,'Piping Class'!$88:$102,MATCH(AM$1,'Piping Class'!$88:$88,0),0),"")</f>
        <v/>
      </c>
      <c r="AN54" s="992">
        <f t="shared" si="26"/>
        <v>0</v>
      </c>
      <c r="AO54" s="993">
        <f>IFERROR(VLOOKUP(I54&amp;"B"&amp;F54,'Bolting Chart'!$1:$1048576,4,0),0)</f>
        <v>0</v>
      </c>
      <c r="AP54" s="993">
        <f t="shared" si="107"/>
        <v>0</v>
      </c>
      <c r="AQ54" s="993">
        <f t="shared" si="108"/>
        <v>0</v>
      </c>
      <c r="AR54" s="993">
        <f>IF(AO54=0,0,VLOOKUP(D54&amp;".bolting",'Piping Class'!$1:$1048576,MATCH(I54,'Piping Class'!$2:$2,0),0))</f>
        <v>0</v>
      </c>
      <c r="AS54" s="994">
        <f>IFERROR(VLOOKUP(I54&amp;"B"&amp;F54,'Bolting Chart'!$1:$1048576,IF(AS$2="UNC",5,6),0),0)</f>
        <v>0</v>
      </c>
      <c r="AT54" s="995">
        <f>IFERROR(VLOOKUP(I54&amp;"B"&amp;F54,'Bolting Chart'!$1:$1048576,IF(G54="RF",8,9),0),0)</f>
        <v>0</v>
      </c>
      <c r="AU54" s="993">
        <f>IF(AO54=0,0,VLOOKUP(D54&amp;".gasket",'Piping Class'!$1:$1048576,MATCH(I54,'Piping Class'!$2:$2,0),0))</f>
        <v>0</v>
      </c>
      <c r="AV54" s="996">
        <f>(IFERROR(INDEX('Bolting Chart'!$A$169:$R$251,MATCH(AT54,'Bolting Chart'!$A$170:$A$251,0),MATCH(IFERROR(VLOOKUP(I54&amp;"B"&amp;F54,'Bolting Chart'!$1:$1048576,7,0),0)+0,'Bolting Chart'!$A$169:$R$169,0)),0))/100</f>
        <v>0</v>
      </c>
      <c r="AW54" s="996">
        <f t="shared" si="109"/>
        <v>0</v>
      </c>
      <c r="AX54" s="1194">
        <f t="shared" si="110"/>
        <v>0</v>
      </c>
      <c r="AY54" s="981"/>
      <c r="AZ54" s="1543">
        <f t="shared" si="111"/>
        <v>0</v>
      </c>
      <c r="BA54" s="1543">
        <f t="shared" si="111"/>
        <v>0</v>
      </c>
      <c r="BB54" s="1543">
        <f t="shared" si="111"/>
        <v>0</v>
      </c>
      <c r="BC54" s="1543">
        <f t="shared" si="111"/>
        <v>0</v>
      </c>
      <c r="BD54" s="1543">
        <f t="shared" si="111"/>
        <v>0</v>
      </c>
      <c r="BE54" s="1543">
        <f t="shared" si="111"/>
        <v>0</v>
      </c>
      <c r="BF54" s="1543">
        <f t="shared" si="111"/>
        <v>0</v>
      </c>
      <c r="BG54" s="1543">
        <f t="shared" si="111"/>
        <v>0</v>
      </c>
      <c r="BH54" s="1543">
        <f t="shared" si="111"/>
        <v>0</v>
      </c>
      <c r="BI54" s="1543">
        <f t="shared" si="111"/>
        <v>0</v>
      </c>
      <c r="BJ54" s="1543">
        <f t="shared" si="111"/>
        <v>0</v>
      </c>
      <c r="BK54" s="1543">
        <f t="shared" si="111"/>
        <v>0</v>
      </c>
      <c r="BL54" s="1543">
        <f t="shared" si="111"/>
        <v>0</v>
      </c>
      <c r="BM54" s="1543">
        <f t="shared" si="111"/>
        <v>0</v>
      </c>
      <c r="BN54" s="1543">
        <f t="shared" si="111"/>
        <v>0</v>
      </c>
      <c r="BO54" s="1543">
        <f t="shared" si="111"/>
        <v>0</v>
      </c>
      <c r="BP54" s="1543">
        <f t="shared" si="89"/>
        <v>0</v>
      </c>
      <c r="BQ54" s="1543">
        <f t="shared" si="89"/>
        <v>0</v>
      </c>
      <c r="BR54" s="1543">
        <f t="shared" si="89"/>
        <v>0</v>
      </c>
      <c r="BS54" s="1543">
        <f t="shared" si="89"/>
        <v>0</v>
      </c>
      <c r="BT54" s="1543">
        <f t="shared" si="89"/>
        <v>0</v>
      </c>
      <c r="BU54" s="1543">
        <f t="shared" si="89"/>
        <v>0</v>
      </c>
      <c r="BV54" s="1543">
        <f t="shared" si="89"/>
        <v>0</v>
      </c>
      <c r="BW54" s="1543">
        <f t="shared" si="89"/>
        <v>0</v>
      </c>
      <c r="BX54" s="1543">
        <f t="shared" si="89"/>
        <v>0</v>
      </c>
      <c r="BY54" s="1543">
        <f t="shared" si="89"/>
        <v>0</v>
      </c>
      <c r="BZ54" s="1543">
        <f t="shared" si="89"/>
        <v>0</v>
      </c>
      <c r="CB54" s="1543">
        <f t="shared" si="112"/>
        <v>0</v>
      </c>
      <c r="CC54" s="1543">
        <f t="shared" si="112"/>
        <v>0</v>
      </c>
      <c r="CD54" s="1543">
        <f t="shared" si="112"/>
        <v>0</v>
      </c>
      <c r="CE54" s="1543">
        <f t="shared" si="112"/>
        <v>0</v>
      </c>
      <c r="CF54" s="1543">
        <f t="shared" si="112"/>
        <v>0</v>
      </c>
      <c r="CG54" s="1543">
        <f t="shared" si="112"/>
        <v>0</v>
      </c>
      <c r="CH54" s="1543">
        <f t="shared" si="112"/>
        <v>0</v>
      </c>
      <c r="CI54" s="1543">
        <f t="shared" si="112"/>
        <v>0</v>
      </c>
      <c r="CJ54" s="1543">
        <f t="shared" si="112"/>
        <v>0</v>
      </c>
      <c r="CK54" s="1543">
        <f t="shared" si="112"/>
        <v>0</v>
      </c>
      <c r="CL54" s="1543">
        <f t="shared" si="112"/>
        <v>0</v>
      </c>
      <c r="CM54" s="1543">
        <f t="shared" si="112"/>
        <v>0</v>
      </c>
      <c r="CN54" s="1543">
        <f t="shared" si="112"/>
        <v>0</v>
      </c>
      <c r="CO54" s="1543">
        <f t="shared" si="112"/>
        <v>0</v>
      </c>
      <c r="CP54" s="1543">
        <f t="shared" si="112"/>
        <v>0</v>
      </c>
      <c r="CQ54" s="1543">
        <f t="shared" si="112"/>
        <v>0</v>
      </c>
      <c r="CR54" s="1543">
        <f t="shared" si="91"/>
        <v>0</v>
      </c>
      <c r="CS54" s="1543">
        <f t="shared" si="91"/>
        <v>0</v>
      </c>
      <c r="CT54" s="1543">
        <f t="shared" si="101"/>
        <v>0</v>
      </c>
      <c r="CU54" s="1543">
        <f t="shared" si="101"/>
        <v>0</v>
      </c>
      <c r="CV54" s="1543">
        <f t="shared" si="101"/>
        <v>0</v>
      </c>
      <c r="CW54" s="1543">
        <f t="shared" si="101"/>
        <v>0</v>
      </c>
      <c r="CX54" s="1543">
        <f t="shared" si="101"/>
        <v>0</v>
      </c>
      <c r="CY54" s="1543">
        <f t="shared" si="101"/>
        <v>0</v>
      </c>
      <c r="CZ54" s="1543">
        <f t="shared" si="101"/>
        <v>0</v>
      </c>
      <c r="DA54" s="1543">
        <f t="shared" si="101"/>
        <v>0</v>
      </c>
      <c r="DB54" s="1543">
        <f t="shared" si="101"/>
        <v>0</v>
      </c>
      <c r="DD54" s="1543">
        <f t="shared" si="68"/>
        <v>0</v>
      </c>
      <c r="DE54" s="1543">
        <f t="shared" si="69"/>
        <v>0</v>
      </c>
      <c r="DF54" s="1543">
        <f t="shared" si="70"/>
        <v>0</v>
      </c>
      <c r="DG54" s="1543">
        <f t="shared" si="31"/>
        <v>0</v>
      </c>
      <c r="DI54" s="1543">
        <f t="shared" si="32"/>
        <v>0</v>
      </c>
      <c r="DJ54" s="1543">
        <f t="shared" si="74"/>
        <v>0</v>
      </c>
      <c r="DK54" s="1543">
        <f t="shared" si="74"/>
        <v>0</v>
      </c>
      <c r="DL54" s="1543">
        <f t="shared" si="74"/>
        <v>0</v>
      </c>
      <c r="DM54" s="1543">
        <f t="shared" si="74"/>
        <v>0</v>
      </c>
      <c r="DO54" s="1543">
        <f t="shared" si="113"/>
        <v>0</v>
      </c>
      <c r="DP54" s="1543">
        <f t="shared" si="113"/>
        <v>0</v>
      </c>
      <c r="DQ54" s="1543">
        <f t="shared" si="113"/>
        <v>0</v>
      </c>
      <c r="DR54" s="1543">
        <f t="shared" si="113"/>
        <v>0</v>
      </c>
      <c r="DS54" s="1543">
        <f t="shared" si="113"/>
        <v>0</v>
      </c>
      <c r="DT54" s="1543">
        <f t="shared" si="113"/>
        <v>0</v>
      </c>
      <c r="DU54" s="1543">
        <f t="shared" si="113"/>
        <v>0</v>
      </c>
      <c r="DV54" s="1543">
        <f t="shared" si="113"/>
        <v>0</v>
      </c>
      <c r="DW54" s="1543">
        <f t="shared" si="113"/>
        <v>0</v>
      </c>
      <c r="DX54" s="1543">
        <f t="shared" si="113"/>
        <v>0</v>
      </c>
      <c r="DY54" s="1543">
        <f t="shared" si="113"/>
        <v>0</v>
      </c>
      <c r="DZ54" s="1543">
        <f t="shared" si="113"/>
        <v>0</v>
      </c>
      <c r="EA54" s="1543">
        <f t="shared" si="113"/>
        <v>0</v>
      </c>
      <c r="EB54" s="1543">
        <f t="shared" si="71"/>
        <v>0</v>
      </c>
      <c r="EC54" s="1543">
        <f t="shared" si="71"/>
        <v>0</v>
      </c>
      <c r="ED54" s="1543">
        <f t="shared" si="71"/>
        <v>0</v>
      </c>
      <c r="EE54" s="1543">
        <f t="shared" si="71"/>
        <v>0</v>
      </c>
      <c r="EF54" s="1543">
        <f t="shared" si="71"/>
        <v>0</v>
      </c>
      <c r="EH54" s="1543">
        <f t="shared" si="114"/>
        <v>0</v>
      </c>
      <c r="EI54" s="1543">
        <f t="shared" si="115"/>
        <v>0</v>
      </c>
      <c r="EJ54" s="1543">
        <f t="shared" si="116"/>
        <v>0</v>
      </c>
      <c r="EK54" s="1543">
        <f t="shared" si="117"/>
        <v>0</v>
      </c>
      <c r="EL54" s="1543">
        <f t="shared" si="118"/>
        <v>0</v>
      </c>
      <c r="EM54" s="1543">
        <f t="shared" si="119"/>
        <v>0</v>
      </c>
      <c r="EN54" s="1543">
        <f t="shared" si="120"/>
        <v>0</v>
      </c>
      <c r="EP54" s="1543">
        <f t="shared" si="72"/>
        <v>0</v>
      </c>
      <c r="EQ54" s="1543">
        <f t="shared" si="72"/>
        <v>0</v>
      </c>
      <c r="ER54" s="1543">
        <f t="shared" si="72"/>
        <v>0</v>
      </c>
      <c r="ES54" s="1543">
        <f t="shared" si="72"/>
        <v>0</v>
      </c>
      <c r="ET54" s="1543">
        <f t="shared" si="73"/>
        <v>0</v>
      </c>
      <c r="EU54" s="1543">
        <f t="shared" si="73"/>
        <v>0</v>
      </c>
      <c r="EV54" s="1543">
        <f t="shared" si="73"/>
        <v>0</v>
      </c>
      <c r="EW54" s="1543">
        <f t="shared" si="73"/>
        <v>0</v>
      </c>
      <c r="EX54" s="1543">
        <f t="shared" si="73"/>
        <v>0</v>
      </c>
      <c r="EY54" s="1543">
        <f t="shared" si="73"/>
        <v>0</v>
      </c>
      <c r="EZ54" s="1543">
        <f t="shared" si="73"/>
        <v>0</v>
      </c>
      <c r="FA54" s="1543">
        <f t="shared" si="73"/>
        <v>0</v>
      </c>
      <c r="FB54" s="1543">
        <f t="shared" si="73"/>
        <v>0</v>
      </c>
      <c r="FC54" s="1543">
        <f t="shared" si="73"/>
        <v>0</v>
      </c>
      <c r="FD54" s="1543">
        <f t="shared" si="73"/>
        <v>0</v>
      </c>
      <c r="FE54" s="1543">
        <f t="shared" si="52"/>
        <v>0</v>
      </c>
      <c r="FF54" s="1543">
        <f t="shared" si="40"/>
        <v>1</v>
      </c>
      <c r="FH54" s="1543">
        <f t="shared" si="121"/>
        <v>0</v>
      </c>
      <c r="FI54" s="1543">
        <f t="shared" si="121"/>
        <v>0</v>
      </c>
      <c r="FJ54" s="1543">
        <f t="shared" si="121"/>
        <v>0</v>
      </c>
      <c r="FK54" s="1543">
        <f t="shared" si="121"/>
        <v>0</v>
      </c>
      <c r="FL54" s="1543">
        <f t="shared" si="121"/>
        <v>0</v>
      </c>
      <c r="FM54" s="1543">
        <f t="shared" si="121"/>
        <v>0</v>
      </c>
      <c r="FN54" s="1543">
        <f t="shared" si="121"/>
        <v>0</v>
      </c>
      <c r="FO54" s="1543">
        <f t="shared" si="121"/>
        <v>0</v>
      </c>
      <c r="FP54" s="1543">
        <f t="shared" si="121"/>
        <v>0</v>
      </c>
      <c r="FQ54" s="1543">
        <f t="shared" si="121"/>
        <v>0</v>
      </c>
      <c r="FR54" s="1543">
        <f t="shared" si="121"/>
        <v>0</v>
      </c>
      <c r="FS54" s="1543">
        <f t="shared" si="121"/>
        <v>0</v>
      </c>
      <c r="FT54" s="1543">
        <f t="shared" si="41"/>
        <v>0</v>
      </c>
      <c r="FV54" s="1543">
        <f t="shared" si="122"/>
        <v>1</v>
      </c>
      <c r="FW54" s="1543">
        <f t="shared" si="122"/>
        <v>0</v>
      </c>
      <c r="FX54" s="1543">
        <f t="shared" si="122"/>
        <v>0</v>
      </c>
      <c r="FY54" s="1543">
        <f t="shared" si="122"/>
        <v>0</v>
      </c>
      <c r="FZ54" s="1543">
        <f t="shared" si="122"/>
        <v>0</v>
      </c>
      <c r="GA54" s="1543">
        <f t="shared" si="122"/>
        <v>0</v>
      </c>
      <c r="GB54" s="1543">
        <f t="shared" si="122"/>
        <v>0</v>
      </c>
      <c r="GC54" s="1543">
        <f t="shared" si="122"/>
        <v>0</v>
      </c>
      <c r="GD54" s="1543">
        <f t="shared" si="122"/>
        <v>0</v>
      </c>
    </row>
    <row r="55" spans="1:186" s="982" customFormat="1" ht="15.6" x14ac:dyDescent="0.3">
      <c r="A55" s="974">
        <v>53</v>
      </c>
      <c r="B55" s="983"/>
      <c r="C55" s="984"/>
      <c r="D55" s="983"/>
      <c r="E55" s="968" t="str">
        <f>IFERROR(VLOOKUP($D55&amp;"."&amp;B55,'Piping Class'!$1:$1048576,MATCH($I55,'Piping Class'!$2:$2,0),0),"")</f>
        <v/>
      </c>
      <c r="F55" s="985" t="str">
        <f>IFERROR(IF(B55="Flange",VLOOKUP($D55,'Piping Class'!$88:$102,MATCH(F$1,'Piping Class'!$88:$88,0),0),""),"")</f>
        <v/>
      </c>
      <c r="G55" s="968" t="str">
        <f>IFERROR(IF(B55="Flange",VLOOKUP($D55,'Piping Class'!$88:$102,MATCH(G$1,'Piping Class'!$88:$88,0),0),""),"")</f>
        <v/>
      </c>
      <c r="H55" s="968" t="str">
        <f>IFERROR(VLOOKUP($D55,'Piping Class'!$88:$102,MATCH(H$1,'Piping Class'!$88:$88,0),0),"")</f>
        <v/>
      </c>
      <c r="I55" s="986"/>
      <c r="J55" s="987"/>
      <c r="K55" s="968" t="str">
        <f>IFERROR(VLOOKUP(I55,'Thickness Tab'!$1:$1048576,MATCH(L55,'Thickness Tab'!$1:$1,0),0),"")</f>
        <v/>
      </c>
      <c r="L55" s="969" t="str">
        <f>IFERROR(VLOOKUP($D55,'Piping Class'!$1:$1048576,MATCH($I55,'Piping Class'!$2:$2,0),0),"")</f>
        <v/>
      </c>
      <c r="M55" s="968" t="str">
        <f>IFERROR(VLOOKUP(J55,'Thickness Tab'!$1:$1048576,MATCH(N55,'Thickness Tab'!$1:$1,0),0),"")</f>
        <v/>
      </c>
      <c r="N55" s="969" t="str">
        <f>IFERROR(VLOOKUP($D55,'Piping Class'!$1:$1048576,MATCH($J55,'Piping Class'!$2:$2,0),0),"")</f>
        <v/>
      </c>
      <c r="O55" s="968" t="str">
        <f>IFERROR(VLOOKUP($D55,'Piping Class'!$88:$102,MATCH(O$1,'Piping Class'!$88:$88,0),0),"")</f>
        <v/>
      </c>
      <c r="P55" s="968" t="str">
        <f>IFERROR(VLOOKUP($D55,'Piping Class'!$88:$102,MATCH(P$1,'Piping Class'!$88:$88,0),0),"")</f>
        <v/>
      </c>
      <c r="Q55" s="983"/>
      <c r="R55" s="988"/>
      <c r="S55" s="969" t="str">
        <f t="shared" si="102"/>
        <v/>
      </c>
      <c r="T55" s="968">
        <f>IFERROR(VLOOKUP(I55&amp;"."&amp;L55,'Fitting Chart'!$1:$1048576,MATCH(C55,'Fitting Chart'!$1:$1,0),0),0)+IF(B55="piping",PI()*K55*(VLOOKUP(I55,'Thickness Tab'!$1:$1048576,3,0)-K55)*7.86/1000,0)+IF(B55="Flange",VLOOKUP(I55&amp;"F"&amp;F55,'Flanges Chart'!$1:$1048576,MATCH(C55&amp;"."&amp;T$1,'Flanges Chart'!$1:$1,0),0),0)</f>
        <v>0</v>
      </c>
      <c r="U55" s="989">
        <f t="shared" si="103"/>
        <v>0</v>
      </c>
      <c r="V55" s="1003"/>
      <c r="W55" s="1001">
        <f t="shared" si="104"/>
        <v>0</v>
      </c>
      <c r="X55" s="997"/>
      <c r="Y55" s="983"/>
      <c r="Z55" s="989">
        <f>IF(B55="Piping",VLOOKUP(I55,'Thickness Tab'!$1:$1048576,3,0)/1000*PI(),0)+IFERROR(VLOOKUP(I55&amp;"F"&amp;F55,'Flanges Chart'!$1:$1048576,MATCH(C55&amp;".Unit Surface",'Flanges Chart'!$1:$1,0),0),0)+IF(B55="Fitting",VLOOKUP(I55,'Thickness Tab'!$1:$1048576,3,0)/1000*PI(),0)</f>
        <v>0</v>
      </c>
      <c r="AA55" s="989">
        <f t="shared" si="105"/>
        <v>0</v>
      </c>
      <c r="AB55" s="983">
        <v>0</v>
      </c>
      <c r="AC55" s="989">
        <f t="shared" si="24"/>
        <v>0</v>
      </c>
      <c r="AD55" s="989">
        <f t="shared" si="25"/>
        <v>0</v>
      </c>
      <c r="AE55" s="974">
        <f>(IFERROR(VLOOKUP($C55,List!$J:$L,2,0),0)*R55+IF(B55="piping",R55,0)+IF(C55="Welding Neck",1,0)*R55)*$AE$2</f>
        <v>0</v>
      </c>
      <c r="AF55" s="970">
        <f>IFERROR(VLOOKUP($C55,List!$J:$L,3,0),0)*R55*$AF$2</f>
        <v>0</v>
      </c>
      <c r="AG55" s="990">
        <f t="shared" si="106"/>
        <v>0</v>
      </c>
      <c r="AH55" s="1118" t="str">
        <f>IFERROR(VLOOKUP($D55,'Piping Class'!$88:$102,MATCH(AH$1,'Piping Class'!$88:$88,0),0),"")</f>
        <v/>
      </c>
      <c r="AI55" s="991" t="str">
        <f>IFERROR(VLOOKUP($D55,'Piping Class'!$88:$102,MATCH(AI$1,'Piping Class'!$88:$88,0),0),"")</f>
        <v/>
      </c>
      <c r="AJ55" s="991" t="str">
        <f>IFERROR(VLOOKUP($D55,'Piping Class'!$88:$102,MATCH(AJ$1,'Piping Class'!$88:$88,0),0),"")</f>
        <v/>
      </c>
      <c r="AK55" s="991" t="str">
        <f>IFERROR(VLOOKUP($D55,'Piping Class'!$88:$102,MATCH(AK$1,'Piping Class'!$88:$88,0),0),"")</f>
        <v/>
      </c>
      <c r="AL55" s="991">
        <f t="shared" si="44"/>
        <v>0</v>
      </c>
      <c r="AM55" s="1119" t="str">
        <f>IFERROR(VLOOKUP($D55,'Piping Class'!$88:$102,MATCH(AM$1,'Piping Class'!$88:$88,0),0),"")</f>
        <v/>
      </c>
      <c r="AN55" s="992">
        <f t="shared" si="26"/>
        <v>0</v>
      </c>
      <c r="AO55" s="993">
        <f>IFERROR(VLOOKUP(I55&amp;"B"&amp;F55,'Bolting Chart'!$1:$1048576,4,0),0)</f>
        <v>0</v>
      </c>
      <c r="AP55" s="993">
        <f t="shared" si="107"/>
        <v>0</v>
      </c>
      <c r="AQ55" s="993">
        <f t="shared" si="108"/>
        <v>0</v>
      </c>
      <c r="AR55" s="993">
        <f>IF(AO55=0,0,VLOOKUP(D55&amp;".bolting",'Piping Class'!$1:$1048576,MATCH(I55,'Piping Class'!$2:$2,0),0))</f>
        <v>0</v>
      </c>
      <c r="AS55" s="994">
        <f>IFERROR(VLOOKUP(I55&amp;"B"&amp;F55,'Bolting Chart'!$1:$1048576,IF(AS$2="UNC",5,6),0),0)</f>
        <v>0</v>
      </c>
      <c r="AT55" s="995">
        <f>IFERROR(VLOOKUP(I55&amp;"B"&amp;F55,'Bolting Chart'!$1:$1048576,IF(G55="RF",8,9),0),0)</f>
        <v>0</v>
      </c>
      <c r="AU55" s="993">
        <f>IF(AO55=0,0,VLOOKUP(D55&amp;".gasket",'Piping Class'!$1:$1048576,MATCH(I55,'Piping Class'!$2:$2,0),0))</f>
        <v>0</v>
      </c>
      <c r="AV55" s="996">
        <f>(IFERROR(INDEX('Bolting Chart'!$A$169:$R$251,MATCH(AT55,'Bolting Chart'!$A$170:$A$251,0),MATCH(IFERROR(VLOOKUP(I55&amp;"B"&amp;F55,'Bolting Chart'!$1:$1048576,7,0),0)+0,'Bolting Chart'!$A$169:$R$169,0)),0))/100</f>
        <v>0</v>
      </c>
      <c r="AW55" s="996">
        <f t="shared" si="109"/>
        <v>0</v>
      </c>
      <c r="AX55" s="1194">
        <f t="shared" si="110"/>
        <v>0</v>
      </c>
      <c r="AY55" s="981"/>
      <c r="AZ55" s="1543">
        <f t="shared" si="111"/>
        <v>0</v>
      </c>
      <c r="BA55" s="1543">
        <f t="shared" si="111"/>
        <v>0</v>
      </c>
      <c r="BB55" s="1543">
        <f t="shared" si="111"/>
        <v>0</v>
      </c>
      <c r="BC55" s="1543">
        <f t="shared" si="111"/>
        <v>0</v>
      </c>
      <c r="BD55" s="1543">
        <f t="shared" si="111"/>
        <v>0</v>
      </c>
      <c r="BE55" s="1543">
        <f t="shared" si="111"/>
        <v>0</v>
      </c>
      <c r="BF55" s="1543">
        <f t="shared" si="111"/>
        <v>0</v>
      </c>
      <c r="BG55" s="1543">
        <f t="shared" si="111"/>
        <v>0</v>
      </c>
      <c r="BH55" s="1543">
        <f t="shared" si="111"/>
        <v>0</v>
      </c>
      <c r="BI55" s="1543">
        <f t="shared" si="111"/>
        <v>0</v>
      </c>
      <c r="BJ55" s="1543">
        <f t="shared" si="111"/>
        <v>0</v>
      </c>
      <c r="BK55" s="1543">
        <f t="shared" si="111"/>
        <v>0</v>
      </c>
      <c r="BL55" s="1543">
        <f t="shared" si="111"/>
        <v>0</v>
      </c>
      <c r="BM55" s="1543">
        <f t="shared" si="111"/>
        <v>0</v>
      </c>
      <c r="BN55" s="1543">
        <f t="shared" si="111"/>
        <v>0</v>
      </c>
      <c r="BO55" s="1543">
        <f t="shared" si="111"/>
        <v>0</v>
      </c>
      <c r="BP55" s="1543">
        <f t="shared" si="89"/>
        <v>0</v>
      </c>
      <c r="BQ55" s="1543">
        <f t="shared" si="89"/>
        <v>0</v>
      </c>
      <c r="BR55" s="1543">
        <f t="shared" si="89"/>
        <v>0</v>
      </c>
      <c r="BS55" s="1543">
        <f t="shared" si="89"/>
        <v>0</v>
      </c>
      <c r="BT55" s="1543">
        <f t="shared" si="89"/>
        <v>0</v>
      </c>
      <c r="BU55" s="1543">
        <f t="shared" si="89"/>
        <v>0</v>
      </c>
      <c r="BV55" s="1543">
        <f t="shared" si="89"/>
        <v>0</v>
      </c>
      <c r="BW55" s="1543">
        <f t="shared" si="89"/>
        <v>0</v>
      </c>
      <c r="BX55" s="1543">
        <f t="shared" si="89"/>
        <v>0</v>
      </c>
      <c r="BY55" s="1543">
        <f t="shared" si="89"/>
        <v>0</v>
      </c>
      <c r="BZ55" s="1543">
        <f t="shared" si="89"/>
        <v>0</v>
      </c>
      <c r="CB55" s="1543">
        <f t="shared" si="112"/>
        <v>0</v>
      </c>
      <c r="CC55" s="1543">
        <f t="shared" si="112"/>
        <v>0</v>
      </c>
      <c r="CD55" s="1543">
        <f t="shared" si="112"/>
        <v>0</v>
      </c>
      <c r="CE55" s="1543">
        <f t="shared" si="112"/>
        <v>0</v>
      </c>
      <c r="CF55" s="1543">
        <f t="shared" si="112"/>
        <v>0</v>
      </c>
      <c r="CG55" s="1543">
        <f t="shared" si="112"/>
        <v>0</v>
      </c>
      <c r="CH55" s="1543">
        <f t="shared" si="112"/>
        <v>0</v>
      </c>
      <c r="CI55" s="1543">
        <f t="shared" si="112"/>
        <v>0</v>
      </c>
      <c r="CJ55" s="1543">
        <f t="shared" si="112"/>
        <v>0</v>
      </c>
      <c r="CK55" s="1543">
        <f t="shared" si="112"/>
        <v>0</v>
      </c>
      <c r="CL55" s="1543">
        <f t="shared" si="112"/>
        <v>0</v>
      </c>
      <c r="CM55" s="1543">
        <f t="shared" si="112"/>
        <v>0</v>
      </c>
      <c r="CN55" s="1543">
        <f t="shared" si="112"/>
        <v>0</v>
      </c>
      <c r="CO55" s="1543">
        <f t="shared" si="112"/>
        <v>0</v>
      </c>
      <c r="CP55" s="1543">
        <f t="shared" si="112"/>
        <v>0</v>
      </c>
      <c r="CQ55" s="1543">
        <f t="shared" si="112"/>
        <v>0</v>
      </c>
      <c r="CR55" s="1543">
        <f t="shared" si="91"/>
        <v>0</v>
      </c>
      <c r="CS55" s="1543">
        <f t="shared" si="91"/>
        <v>0</v>
      </c>
      <c r="CT55" s="1543">
        <f t="shared" si="101"/>
        <v>0</v>
      </c>
      <c r="CU55" s="1543">
        <f t="shared" si="101"/>
        <v>0</v>
      </c>
      <c r="CV55" s="1543">
        <f t="shared" si="101"/>
        <v>0</v>
      </c>
      <c r="CW55" s="1543">
        <f t="shared" si="101"/>
        <v>0</v>
      </c>
      <c r="CX55" s="1543">
        <f t="shared" si="101"/>
        <v>0</v>
      </c>
      <c r="CY55" s="1543">
        <f t="shared" si="101"/>
        <v>0</v>
      </c>
      <c r="CZ55" s="1543">
        <f t="shared" si="101"/>
        <v>0</v>
      </c>
      <c r="DA55" s="1543">
        <f t="shared" si="101"/>
        <v>0</v>
      </c>
      <c r="DB55" s="1543">
        <f t="shared" si="101"/>
        <v>0</v>
      </c>
      <c r="DD55" s="1543">
        <f t="shared" si="68"/>
        <v>0</v>
      </c>
      <c r="DE55" s="1543">
        <f t="shared" si="69"/>
        <v>0</v>
      </c>
      <c r="DF55" s="1543">
        <f t="shared" si="70"/>
        <v>0</v>
      </c>
      <c r="DG55" s="1543">
        <f t="shared" si="31"/>
        <v>0</v>
      </c>
      <c r="DI55" s="1543">
        <f t="shared" si="32"/>
        <v>0</v>
      </c>
      <c r="DJ55" s="1543">
        <f t="shared" si="74"/>
        <v>0</v>
      </c>
      <c r="DK55" s="1543">
        <f t="shared" si="74"/>
        <v>0</v>
      </c>
      <c r="DL55" s="1543">
        <f t="shared" si="74"/>
        <v>0</v>
      </c>
      <c r="DM55" s="1543">
        <f t="shared" si="74"/>
        <v>0</v>
      </c>
      <c r="DO55" s="1543">
        <f t="shared" si="113"/>
        <v>0</v>
      </c>
      <c r="DP55" s="1543">
        <f t="shared" si="113"/>
        <v>0</v>
      </c>
      <c r="DQ55" s="1543">
        <f t="shared" si="113"/>
        <v>0</v>
      </c>
      <c r="DR55" s="1543">
        <f t="shared" si="113"/>
        <v>0</v>
      </c>
      <c r="DS55" s="1543">
        <f t="shared" si="113"/>
        <v>0</v>
      </c>
      <c r="DT55" s="1543">
        <f t="shared" si="113"/>
        <v>0</v>
      </c>
      <c r="DU55" s="1543">
        <f t="shared" si="113"/>
        <v>0</v>
      </c>
      <c r="DV55" s="1543">
        <f t="shared" si="113"/>
        <v>0</v>
      </c>
      <c r="DW55" s="1543">
        <f t="shared" si="113"/>
        <v>0</v>
      </c>
      <c r="DX55" s="1543">
        <f t="shared" si="113"/>
        <v>0</v>
      </c>
      <c r="DY55" s="1543">
        <f t="shared" si="113"/>
        <v>0</v>
      </c>
      <c r="DZ55" s="1543">
        <f t="shared" si="113"/>
        <v>0</v>
      </c>
      <c r="EA55" s="1543">
        <f t="shared" si="113"/>
        <v>0</v>
      </c>
      <c r="EB55" s="1543">
        <f t="shared" si="71"/>
        <v>0</v>
      </c>
      <c r="EC55" s="1543">
        <f t="shared" si="71"/>
        <v>0</v>
      </c>
      <c r="ED55" s="1543">
        <f t="shared" si="71"/>
        <v>0</v>
      </c>
      <c r="EE55" s="1543">
        <f t="shared" si="71"/>
        <v>0</v>
      </c>
      <c r="EF55" s="1543">
        <f t="shared" si="71"/>
        <v>0</v>
      </c>
      <c r="EH55" s="1543">
        <f t="shared" si="114"/>
        <v>0</v>
      </c>
      <c r="EI55" s="1543">
        <f t="shared" si="115"/>
        <v>0</v>
      </c>
      <c r="EJ55" s="1543">
        <f t="shared" si="116"/>
        <v>0</v>
      </c>
      <c r="EK55" s="1543">
        <f t="shared" si="117"/>
        <v>0</v>
      </c>
      <c r="EL55" s="1543">
        <f t="shared" si="118"/>
        <v>0</v>
      </c>
      <c r="EM55" s="1543">
        <f t="shared" si="119"/>
        <v>0</v>
      </c>
      <c r="EN55" s="1543">
        <f t="shared" si="120"/>
        <v>0</v>
      </c>
      <c r="EP55" s="1543">
        <f t="shared" si="72"/>
        <v>0</v>
      </c>
      <c r="EQ55" s="1543">
        <f t="shared" si="72"/>
        <v>0</v>
      </c>
      <c r="ER55" s="1543">
        <f t="shared" si="72"/>
        <v>0</v>
      </c>
      <c r="ES55" s="1543">
        <f t="shared" si="72"/>
        <v>0</v>
      </c>
      <c r="ET55" s="1543">
        <f t="shared" si="73"/>
        <v>0</v>
      </c>
      <c r="EU55" s="1543">
        <f t="shared" si="73"/>
        <v>0</v>
      </c>
      <c r="EV55" s="1543">
        <f t="shared" si="73"/>
        <v>0</v>
      </c>
      <c r="EW55" s="1543">
        <f t="shared" si="73"/>
        <v>0</v>
      </c>
      <c r="EX55" s="1543">
        <f t="shared" si="73"/>
        <v>0</v>
      </c>
      <c r="EY55" s="1543">
        <f t="shared" si="73"/>
        <v>0</v>
      </c>
      <c r="EZ55" s="1543">
        <f t="shared" si="73"/>
        <v>0</v>
      </c>
      <c r="FA55" s="1543">
        <f t="shared" si="73"/>
        <v>0</v>
      </c>
      <c r="FB55" s="1543">
        <f t="shared" si="73"/>
        <v>0</v>
      </c>
      <c r="FC55" s="1543">
        <f t="shared" si="73"/>
        <v>0</v>
      </c>
      <c r="FD55" s="1543">
        <f t="shared" si="73"/>
        <v>0</v>
      </c>
      <c r="FE55" s="1543">
        <f t="shared" si="52"/>
        <v>0</v>
      </c>
      <c r="FF55" s="1543">
        <f t="shared" si="40"/>
        <v>1</v>
      </c>
      <c r="FH55" s="1543">
        <f t="shared" si="121"/>
        <v>0</v>
      </c>
      <c r="FI55" s="1543">
        <f t="shared" si="121"/>
        <v>0</v>
      </c>
      <c r="FJ55" s="1543">
        <f t="shared" si="121"/>
        <v>0</v>
      </c>
      <c r="FK55" s="1543">
        <f t="shared" si="121"/>
        <v>0</v>
      </c>
      <c r="FL55" s="1543">
        <f t="shared" si="121"/>
        <v>0</v>
      </c>
      <c r="FM55" s="1543">
        <f t="shared" si="121"/>
        <v>0</v>
      </c>
      <c r="FN55" s="1543">
        <f t="shared" si="121"/>
        <v>0</v>
      </c>
      <c r="FO55" s="1543">
        <f t="shared" si="121"/>
        <v>0</v>
      </c>
      <c r="FP55" s="1543">
        <f t="shared" si="121"/>
        <v>0</v>
      </c>
      <c r="FQ55" s="1543">
        <f t="shared" si="121"/>
        <v>0</v>
      </c>
      <c r="FR55" s="1543">
        <f t="shared" si="121"/>
        <v>0</v>
      </c>
      <c r="FS55" s="1543">
        <f t="shared" si="121"/>
        <v>0</v>
      </c>
      <c r="FT55" s="1543">
        <f t="shared" si="41"/>
        <v>0</v>
      </c>
      <c r="FV55" s="1543">
        <f t="shared" si="122"/>
        <v>1</v>
      </c>
      <c r="FW55" s="1543">
        <f t="shared" si="122"/>
        <v>0</v>
      </c>
      <c r="FX55" s="1543">
        <f t="shared" si="122"/>
        <v>0</v>
      </c>
      <c r="FY55" s="1543">
        <f t="shared" si="122"/>
        <v>0</v>
      </c>
      <c r="FZ55" s="1543">
        <f t="shared" si="122"/>
        <v>0</v>
      </c>
      <c r="GA55" s="1543">
        <f t="shared" si="122"/>
        <v>0</v>
      </c>
      <c r="GB55" s="1543">
        <f t="shared" si="122"/>
        <v>0</v>
      </c>
      <c r="GC55" s="1543">
        <f t="shared" si="122"/>
        <v>0</v>
      </c>
      <c r="GD55" s="1543">
        <f t="shared" si="122"/>
        <v>0</v>
      </c>
    </row>
    <row r="56" spans="1:186" s="982" customFormat="1" ht="15.6" x14ac:dyDescent="0.3">
      <c r="A56" s="974">
        <v>54</v>
      </c>
      <c r="B56" s="983"/>
      <c r="C56" s="984"/>
      <c r="D56" s="983"/>
      <c r="E56" s="968" t="str">
        <f>IFERROR(VLOOKUP($D56&amp;"."&amp;B56,'Piping Class'!$1:$1048576,MATCH($I56,'Piping Class'!$2:$2,0),0),"")</f>
        <v/>
      </c>
      <c r="F56" s="985" t="str">
        <f>IFERROR(IF(B56="Flange",VLOOKUP($D56,'Piping Class'!$88:$102,MATCH(F$1,'Piping Class'!$88:$88,0),0),""),"")</f>
        <v/>
      </c>
      <c r="G56" s="968" t="str">
        <f>IFERROR(IF(B56="Flange",VLOOKUP($D56,'Piping Class'!$88:$102,MATCH(G$1,'Piping Class'!$88:$88,0),0),""),"")</f>
        <v/>
      </c>
      <c r="H56" s="968" t="str">
        <f>IFERROR(VLOOKUP($D56,'Piping Class'!$88:$102,MATCH(H$1,'Piping Class'!$88:$88,0),0),"")</f>
        <v/>
      </c>
      <c r="I56" s="986"/>
      <c r="J56" s="987"/>
      <c r="K56" s="968" t="str">
        <f>IFERROR(VLOOKUP(I56,'Thickness Tab'!$1:$1048576,MATCH(L56,'Thickness Tab'!$1:$1,0),0),"")</f>
        <v/>
      </c>
      <c r="L56" s="969" t="str">
        <f>IFERROR(VLOOKUP($D56,'Piping Class'!$1:$1048576,MATCH($I56,'Piping Class'!$2:$2,0),0),"")</f>
        <v/>
      </c>
      <c r="M56" s="968" t="str">
        <f>IFERROR(VLOOKUP(J56,'Thickness Tab'!$1:$1048576,MATCH(N56,'Thickness Tab'!$1:$1,0),0),"")</f>
        <v/>
      </c>
      <c r="N56" s="969" t="str">
        <f>IFERROR(VLOOKUP($D56,'Piping Class'!$1:$1048576,MATCH($J56,'Piping Class'!$2:$2,0),0),"")</f>
        <v/>
      </c>
      <c r="O56" s="968" t="str">
        <f>IFERROR(VLOOKUP($D56,'Piping Class'!$88:$102,MATCH(O$1,'Piping Class'!$88:$88,0),0),"")</f>
        <v/>
      </c>
      <c r="P56" s="968" t="str">
        <f>IFERROR(VLOOKUP($D56,'Piping Class'!$88:$102,MATCH(P$1,'Piping Class'!$88:$88,0),0),"")</f>
        <v/>
      </c>
      <c r="Q56" s="983"/>
      <c r="R56" s="988"/>
      <c r="S56" s="969" t="str">
        <f t="shared" si="102"/>
        <v/>
      </c>
      <c r="T56" s="968">
        <f>IFERROR(VLOOKUP(I56&amp;"."&amp;L56,'Fitting Chart'!$1:$1048576,MATCH(C56,'Fitting Chart'!$1:$1,0),0),0)+IF(B56="piping",PI()*K56*(VLOOKUP(I56,'Thickness Tab'!$1:$1048576,3,0)-K56)*7.86/1000,0)+IF(B56="Flange",VLOOKUP(I56&amp;"F"&amp;F56,'Flanges Chart'!$1:$1048576,MATCH(C56&amp;"."&amp;T$1,'Flanges Chart'!$1:$1,0),0),0)</f>
        <v>0</v>
      </c>
      <c r="U56" s="989">
        <f t="shared" si="103"/>
        <v>0</v>
      </c>
      <c r="V56" s="1003"/>
      <c r="W56" s="1001">
        <f t="shared" si="104"/>
        <v>0</v>
      </c>
      <c r="X56" s="997"/>
      <c r="Y56" s="983"/>
      <c r="Z56" s="989">
        <f>IF(B56="Piping",VLOOKUP(I56,'Thickness Tab'!$1:$1048576,3,0)/1000*PI(),0)+IFERROR(VLOOKUP(I56&amp;"F"&amp;F56,'Flanges Chart'!$1:$1048576,MATCH(C56&amp;".Unit Surface",'Flanges Chart'!$1:$1,0),0),0)+IF(B56="Fitting",VLOOKUP(I56,'Thickness Tab'!$1:$1048576,3,0)/1000*PI(),0)</f>
        <v>0</v>
      </c>
      <c r="AA56" s="989">
        <f t="shared" si="105"/>
        <v>0</v>
      </c>
      <c r="AB56" s="983">
        <v>0</v>
      </c>
      <c r="AC56" s="989">
        <f t="shared" si="24"/>
        <v>0</v>
      </c>
      <c r="AD56" s="989">
        <f t="shared" si="25"/>
        <v>0</v>
      </c>
      <c r="AE56" s="974">
        <f>(IFERROR(VLOOKUP($C56,List!$J:$L,2,0),0)*R56+IF(B56="piping",R56,0)+IF(C56="Welding Neck",1,0)*R56)*$AE$2</f>
        <v>0</v>
      </c>
      <c r="AF56" s="970">
        <f>IFERROR(VLOOKUP($C56,List!$J:$L,3,0),0)*R56*$AF$2</f>
        <v>0</v>
      </c>
      <c r="AG56" s="990">
        <f t="shared" si="106"/>
        <v>0</v>
      </c>
      <c r="AH56" s="1118" t="str">
        <f>IFERROR(VLOOKUP($D56,'Piping Class'!$88:$102,MATCH(AH$1,'Piping Class'!$88:$88,0),0),"")</f>
        <v/>
      </c>
      <c r="AI56" s="991" t="str">
        <f>IFERROR(VLOOKUP($D56,'Piping Class'!$88:$102,MATCH(AI$1,'Piping Class'!$88:$88,0),0),"")</f>
        <v/>
      </c>
      <c r="AJ56" s="991" t="str">
        <f>IFERROR(VLOOKUP($D56,'Piping Class'!$88:$102,MATCH(AJ$1,'Piping Class'!$88:$88,0),0),"")</f>
        <v/>
      </c>
      <c r="AK56" s="991" t="str">
        <f>IFERROR(VLOOKUP($D56,'Piping Class'!$88:$102,MATCH(AK$1,'Piping Class'!$88:$88,0),0),"")</f>
        <v/>
      </c>
      <c r="AL56" s="991">
        <f t="shared" si="44"/>
        <v>0</v>
      </c>
      <c r="AM56" s="1119" t="str">
        <f>IFERROR(VLOOKUP($D56,'Piping Class'!$88:$102,MATCH(AM$1,'Piping Class'!$88:$88,0),0),"")</f>
        <v/>
      </c>
      <c r="AN56" s="992">
        <f t="shared" si="26"/>
        <v>0</v>
      </c>
      <c r="AO56" s="993">
        <f>IFERROR(VLOOKUP(I56&amp;"B"&amp;F56,'Bolting Chart'!$1:$1048576,4,0),0)</f>
        <v>0</v>
      </c>
      <c r="AP56" s="993">
        <f t="shared" si="107"/>
        <v>0</v>
      </c>
      <c r="AQ56" s="993">
        <f t="shared" si="108"/>
        <v>0</v>
      </c>
      <c r="AR56" s="993">
        <f>IF(AO56=0,0,VLOOKUP(D56&amp;".bolting",'Piping Class'!$1:$1048576,MATCH(I56,'Piping Class'!$2:$2,0),0))</f>
        <v>0</v>
      </c>
      <c r="AS56" s="994">
        <f>IFERROR(VLOOKUP(I56&amp;"B"&amp;F56,'Bolting Chart'!$1:$1048576,IF(AS$2="UNC",5,6),0),0)</f>
        <v>0</v>
      </c>
      <c r="AT56" s="995">
        <f>IFERROR(VLOOKUP(I56&amp;"B"&amp;F56,'Bolting Chart'!$1:$1048576,IF(G56="RF",8,9),0),0)</f>
        <v>0</v>
      </c>
      <c r="AU56" s="993">
        <f>IF(AO56=0,0,VLOOKUP(D56&amp;".gasket",'Piping Class'!$1:$1048576,MATCH(I56,'Piping Class'!$2:$2,0),0))</f>
        <v>0</v>
      </c>
      <c r="AV56" s="996">
        <f>(IFERROR(INDEX('Bolting Chart'!$A$169:$R$251,MATCH(AT56,'Bolting Chart'!$A$170:$A$251,0),MATCH(IFERROR(VLOOKUP(I56&amp;"B"&amp;F56,'Bolting Chart'!$1:$1048576,7,0),0)+0,'Bolting Chart'!$A$169:$R$169,0)),0))/100</f>
        <v>0</v>
      </c>
      <c r="AW56" s="996">
        <f t="shared" si="109"/>
        <v>0</v>
      </c>
      <c r="AX56" s="1194">
        <f t="shared" si="110"/>
        <v>0</v>
      </c>
      <c r="AY56" s="981"/>
      <c r="AZ56" s="1543">
        <f t="shared" si="111"/>
        <v>0</v>
      </c>
      <c r="BA56" s="1543">
        <f t="shared" si="111"/>
        <v>0</v>
      </c>
      <c r="BB56" s="1543">
        <f t="shared" si="111"/>
        <v>0</v>
      </c>
      <c r="BC56" s="1543">
        <f t="shared" si="111"/>
        <v>0</v>
      </c>
      <c r="BD56" s="1543">
        <f t="shared" si="111"/>
        <v>0</v>
      </c>
      <c r="BE56" s="1543">
        <f t="shared" si="111"/>
        <v>0</v>
      </c>
      <c r="BF56" s="1543">
        <f t="shared" si="111"/>
        <v>0</v>
      </c>
      <c r="BG56" s="1543">
        <f t="shared" si="111"/>
        <v>0</v>
      </c>
      <c r="BH56" s="1543">
        <f t="shared" si="111"/>
        <v>0</v>
      </c>
      <c r="BI56" s="1543">
        <f t="shared" si="111"/>
        <v>0</v>
      </c>
      <c r="BJ56" s="1543">
        <f t="shared" si="111"/>
        <v>0</v>
      </c>
      <c r="BK56" s="1543">
        <f t="shared" si="111"/>
        <v>0</v>
      </c>
      <c r="BL56" s="1543">
        <f t="shared" si="111"/>
        <v>0</v>
      </c>
      <c r="BM56" s="1543">
        <f t="shared" si="111"/>
        <v>0</v>
      </c>
      <c r="BN56" s="1543">
        <f t="shared" si="111"/>
        <v>0</v>
      </c>
      <c r="BO56" s="1543">
        <f t="shared" si="111"/>
        <v>0</v>
      </c>
      <c r="BP56" s="1543">
        <f t="shared" si="89"/>
        <v>0</v>
      </c>
      <c r="BQ56" s="1543">
        <f t="shared" si="89"/>
        <v>0</v>
      </c>
      <c r="BR56" s="1543">
        <f t="shared" si="89"/>
        <v>0</v>
      </c>
      <c r="BS56" s="1543">
        <f t="shared" si="89"/>
        <v>0</v>
      </c>
      <c r="BT56" s="1543">
        <f t="shared" si="89"/>
        <v>0</v>
      </c>
      <c r="BU56" s="1543">
        <f t="shared" si="89"/>
        <v>0</v>
      </c>
      <c r="BV56" s="1543">
        <f t="shared" si="89"/>
        <v>0</v>
      </c>
      <c r="BW56" s="1543">
        <f t="shared" si="89"/>
        <v>0</v>
      </c>
      <c r="BX56" s="1543">
        <f t="shared" si="89"/>
        <v>0</v>
      </c>
      <c r="BY56" s="1543">
        <f t="shared" si="89"/>
        <v>0</v>
      </c>
      <c r="BZ56" s="1543">
        <f t="shared" si="89"/>
        <v>0</v>
      </c>
      <c r="CB56" s="1543">
        <f t="shared" si="112"/>
        <v>0</v>
      </c>
      <c r="CC56" s="1543">
        <f t="shared" si="112"/>
        <v>0</v>
      </c>
      <c r="CD56" s="1543">
        <f t="shared" si="112"/>
        <v>0</v>
      </c>
      <c r="CE56" s="1543">
        <f t="shared" si="112"/>
        <v>0</v>
      </c>
      <c r="CF56" s="1543">
        <f t="shared" si="112"/>
        <v>0</v>
      </c>
      <c r="CG56" s="1543">
        <f t="shared" si="112"/>
        <v>0</v>
      </c>
      <c r="CH56" s="1543">
        <f t="shared" si="112"/>
        <v>0</v>
      </c>
      <c r="CI56" s="1543">
        <f t="shared" si="112"/>
        <v>0</v>
      </c>
      <c r="CJ56" s="1543">
        <f t="shared" si="112"/>
        <v>0</v>
      </c>
      <c r="CK56" s="1543">
        <f t="shared" si="112"/>
        <v>0</v>
      </c>
      <c r="CL56" s="1543">
        <f t="shared" si="112"/>
        <v>0</v>
      </c>
      <c r="CM56" s="1543">
        <f t="shared" si="112"/>
        <v>0</v>
      </c>
      <c r="CN56" s="1543">
        <f t="shared" si="112"/>
        <v>0</v>
      </c>
      <c r="CO56" s="1543">
        <f t="shared" si="112"/>
        <v>0</v>
      </c>
      <c r="CP56" s="1543">
        <f t="shared" si="112"/>
        <v>0</v>
      </c>
      <c r="CQ56" s="1543">
        <f t="shared" si="112"/>
        <v>0</v>
      </c>
      <c r="CR56" s="1543">
        <f t="shared" si="91"/>
        <v>0</v>
      </c>
      <c r="CS56" s="1543">
        <f t="shared" si="91"/>
        <v>0</v>
      </c>
      <c r="CT56" s="1543">
        <f t="shared" si="101"/>
        <v>0</v>
      </c>
      <c r="CU56" s="1543">
        <f t="shared" si="101"/>
        <v>0</v>
      </c>
      <c r="CV56" s="1543">
        <f t="shared" si="101"/>
        <v>0</v>
      </c>
      <c r="CW56" s="1543">
        <f t="shared" si="101"/>
        <v>0</v>
      </c>
      <c r="CX56" s="1543">
        <f t="shared" si="101"/>
        <v>0</v>
      </c>
      <c r="CY56" s="1543">
        <f t="shared" si="101"/>
        <v>0</v>
      </c>
      <c r="CZ56" s="1543">
        <f t="shared" si="101"/>
        <v>0</v>
      </c>
      <c r="DA56" s="1543">
        <f t="shared" si="101"/>
        <v>0</v>
      </c>
      <c r="DB56" s="1543">
        <f t="shared" si="101"/>
        <v>0</v>
      </c>
      <c r="DD56" s="1543">
        <f t="shared" si="68"/>
        <v>0</v>
      </c>
      <c r="DE56" s="1543">
        <f t="shared" si="69"/>
        <v>0</v>
      </c>
      <c r="DF56" s="1543">
        <f t="shared" si="70"/>
        <v>0</v>
      </c>
      <c r="DG56" s="1543">
        <f t="shared" si="31"/>
        <v>0</v>
      </c>
      <c r="DI56" s="1543">
        <f t="shared" si="32"/>
        <v>0</v>
      </c>
      <c r="DJ56" s="1543">
        <f t="shared" si="74"/>
        <v>0</v>
      </c>
      <c r="DK56" s="1543">
        <f t="shared" si="74"/>
        <v>0</v>
      </c>
      <c r="DL56" s="1543">
        <f t="shared" si="74"/>
        <v>0</v>
      </c>
      <c r="DM56" s="1543">
        <f t="shared" si="74"/>
        <v>0</v>
      </c>
      <c r="DO56" s="1543">
        <f t="shared" si="113"/>
        <v>0</v>
      </c>
      <c r="DP56" s="1543">
        <f t="shared" si="113"/>
        <v>0</v>
      </c>
      <c r="DQ56" s="1543">
        <f t="shared" si="113"/>
        <v>0</v>
      </c>
      <c r="DR56" s="1543">
        <f t="shared" si="113"/>
        <v>0</v>
      </c>
      <c r="DS56" s="1543">
        <f t="shared" si="113"/>
        <v>0</v>
      </c>
      <c r="DT56" s="1543">
        <f t="shared" si="113"/>
        <v>0</v>
      </c>
      <c r="DU56" s="1543">
        <f t="shared" si="113"/>
        <v>0</v>
      </c>
      <c r="DV56" s="1543">
        <f t="shared" si="113"/>
        <v>0</v>
      </c>
      <c r="DW56" s="1543">
        <f t="shared" si="113"/>
        <v>0</v>
      </c>
      <c r="DX56" s="1543">
        <f t="shared" si="113"/>
        <v>0</v>
      </c>
      <c r="DY56" s="1543">
        <f t="shared" si="113"/>
        <v>0</v>
      </c>
      <c r="DZ56" s="1543">
        <f t="shared" si="113"/>
        <v>0</v>
      </c>
      <c r="EA56" s="1543">
        <f t="shared" si="113"/>
        <v>0</v>
      </c>
      <c r="EB56" s="1543">
        <f t="shared" si="71"/>
        <v>0</v>
      </c>
      <c r="EC56" s="1543">
        <f t="shared" si="71"/>
        <v>0</v>
      </c>
      <c r="ED56" s="1543">
        <f t="shared" si="71"/>
        <v>0</v>
      </c>
      <c r="EE56" s="1543">
        <f t="shared" si="71"/>
        <v>0</v>
      </c>
      <c r="EF56" s="1543">
        <f t="shared" si="71"/>
        <v>0</v>
      </c>
      <c r="EH56" s="1543">
        <f t="shared" si="114"/>
        <v>0</v>
      </c>
      <c r="EI56" s="1543">
        <f t="shared" si="115"/>
        <v>0</v>
      </c>
      <c r="EJ56" s="1543">
        <f t="shared" si="116"/>
        <v>0</v>
      </c>
      <c r="EK56" s="1543">
        <f t="shared" si="117"/>
        <v>0</v>
      </c>
      <c r="EL56" s="1543">
        <f t="shared" si="118"/>
        <v>0</v>
      </c>
      <c r="EM56" s="1543">
        <f t="shared" si="119"/>
        <v>0</v>
      </c>
      <c r="EN56" s="1543">
        <f t="shared" si="120"/>
        <v>0</v>
      </c>
      <c r="EP56" s="1543">
        <f t="shared" si="72"/>
        <v>0</v>
      </c>
      <c r="EQ56" s="1543">
        <f t="shared" si="72"/>
        <v>0</v>
      </c>
      <c r="ER56" s="1543">
        <f t="shared" si="72"/>
        <v>0</v>
      </c>
      <c r="ES56" s="1543">
        <f t="shared" si="72"/>
        <v>0</v>
      </c>
      <c r="ET56" s="1543">
        <f t="shared" si="73"/>
        <v>0</v>
      </c>
      <c r="EU56" s="1543">
        <f t="shared" si="73"/>
        <v>0</v>
      </c>
      <c r="EV56" s="1543">
        <f t="shared" ref="ET56:FD77" si="123">IF(EV$2="X",0,IF($Q56=EV$2,1,0))</f>
        <v>0</v>
      </c>
      <c r="EW56" s="1543">
        <f t="shared" si="123"/>
        <v>0</v>
      </c>
      <c r="EX56" s="1543">
        <f t="shared" si="123"/>
        <v>0</v>
      </c>
      <c r="EY56" s="1543">
        <f t="shared" si="123"/>
        <v>0</v>
      </c>
      <c r="EZ56" s="1543">
        <f t="shared" si="123"/>
        <v>0</v>
      </c>
      <c r="FA56" s="1543">
        <f t="shared" si="123"/>
        <v>0</v>
      </c>
      <c r="FB56" s="1543">
        <f t="shared" si="123"/>
        <v>0</v>
      </c>
      <c r="FC56" s="1543">
        <f t="shared" si="123"/>
        <v>0</v>
      </c>
      <c r="FD56" s="1543">
        <f t="shared" si="123"/>
        <v>0</v>
      </c>
      <c r="FE56" s="1543">
        <f t="shared" si="52"/>
        <v>0</v>
      </c>
      <c r="FF56" s="1543">
        <f t="shared" si="40"/>
        <v>1</v>
      </c>
      <c r="FH56" s="1543">
        <f t="shared" si="121"/>
        <v>0</v>
      </c>
      <c r="FI56" s="1543">
        <f t="shared" si="121"/>
        <v>0</v>
      </c>
      <c r="FJ56" s="1543">
        <f t="shared" si="121"/>
        <v>0</v>
      </c>
      <c r="FK56" s="1543">
        <f t="shared" si="121"/>
        <v>0</v>
      </c>
      <c r="FL56" s="1543">
        <f t="shared" si="121"/>
        <v>0</v>
      </c>
      <c r="FM56" s="1543">
        <f t="shared" si="121"/>
        <v>0</v>
      </c>
      <c r="FN56" s="1543">
        <f t="shared" si="121"/>
        <v>0</v>
      </c>
      <c r="FO56" s="1543">
        <f t="shared" si="121"/>
        <v>0</v>
      </c>
      <c r="FP56" s="1543">
        <f t="shared" si="121"/>
        <v>0</v>
      </c>
      <c r="FQ56" s="1543">
        <f t="shared" si="121"/>
        <v>0</v>
      </c>
      <c r="FR56" s="1543">
        <f t="shared" si="121"/>
        <v>0</v>
      </c>
      <c r="FS56" s="1543">
        <f t="shared" si="121"/>
        <v>0</v>
      </c>
      <c r="FT56" s="1543">
        <f t="shared" si="41"/>
        <v>0</v>
      </c>
      <c r="FV56" s="1543">
        <f t="shared" si="122"/>
        <v>1</v>
      </c>
      <c r="FW56" s="1543">
        <f t="shared" si="122"/>
        <v>0</v>
      </c>
      <c r="FX56" s="1543">
        <f t="shared" si="122"/>
        <v>0</v>
      </c>
      <c r="FY56" s="1543">
        <f t="shared" si="122"/>
        <v>0</v>
      </c>
      <c r="FZ56" s="1543">
        <f t="shared" si="122"/>
        <v>0</v>
      </c>
      <c r="GA56" s="1543">
        <f t="shared" si="122"/>
        <v>0</v>
      </c>
      <c r="GB56" s="1543">
        <f t="shared" si="122"/>
        <v>0</v>
      </c>
      <c r="GC56" s="1543">
        <f t="shared" si="122"/>
        <v>0</v>
      </c>
      <c r="GD56" s="1543">
        <f t="shared" si="122"/>
        <v>0</v>
      </c>
    </row>
    <row r="57" spans="1:186" s="982" customFormat="1" ht="15.6" x14ac:dyDescent="0.3">
      <c r="A57" s="974">
        <v>55</v>
      </c>
      <c r="B57" s="983"/>
      <c r="C57" s="984"/>
      <c r="D57" s="983"/>
      <c r="E57" s="968" t="str">
        <f>IFERROR(VLOOKUP($D57&amp;"."&amp;B57,'Piping Class'!$1:$1048576,MATCH($I57,'Piping Class'!$2:$2,0),0),"")</f>
        <v/>
      </c>
      <c r="F57" s="985" t="str">
        <f>IFERROR(IF(B57="Flange",VLOOKUP($D57,'Piping Class'!$88:$102,MATCH(F$1,'Piping Class'!$88:$88,0),0),""),"")</f>
        <v/>
      </c>
      <c r="G57" s="968" t="str">
        <f>IFERROR(IF(B57="Flange",VLOOKUP($D57,'Piping Class'!$88:$102,MATCH(G$1,'Piping Class'!$88:$88,0),0),""),"")</f>
        <v/>
      </c>
      <c r="H57" s="968" t="str">
        <f>IFERROR(VLOOKUP($D57,'Piping Class'!$88:$102,MATCH(H$1,'Piping Class'!$88:$88,0),0),"")</f>
        <v/>
      </c>
      <c r="I57" s="986"/>
      <c r="J57" s="987"/>
      <c r="K57" s="968" t="str">
        <f>IFERROR(VLOOKUP(I57,'Thickness Tab'!$1:$1048576,MATCH(L57,'Thickness Tab'!$1:$1,0),0),"")</f>
        <v/>
      </c>
      <c r="L57" s="969" t="str">
        <f>IFERROR(VLOOKUP($D57,'Piping Class'!$1:$1048576,MATCH($I57,'Piping Class'!$2:$2,0),0),"")</f>
        <v/>
      </c>
      <c r="M57" s="968" t="str">
        <f>IFERROR(VLOOKUP(J57,'Thickness Tab'!$1:$1048576,MATCH(N57,'Thickness Tab'!$1:$1,0),0),"")</f>
        <v/>
      </c>
      <c r="N57" s="969" t="str">
        <f>IFERROR(VLOOKUP($D57,'Piping Class'!$1:$1048576,MATCH($J57,'Piping Class'!$2:$2,0),0),"")</f>
        <v/>
      </c>
      <c r="O57" s="968" t="str">
        <f>IFERROR(VLOOKUP($D57,'Piping Class'!$88:$102,MATCH(O$1,'Piping Class'!$88:$88,0),0),"")</f>
        <v/>
      </c>
      <c r="P57" s="968" t="str">
        <f>IFERROR(VLOOKUP($D57,'Piping Class'!$88:$102,MATCH(P$1,'Piping Class'!$88:$88,0),0),"")</f>
        <v/>
      </c>
      <c r="Q57" s="983"/>
      <c r="R57" s="988"/>
      <c r="S57" s="969" t="str">
        <f t="shared" si="102"/>
        <v/>
      </c>
      <c r="T57" s="968">
        <f>IFERROR(VLOOKUP(I57&amp;"."&amp;L57,'Fitting Chart'!$1:$1048576,MATCH(C57,'Fitting Chart'!$1:$1,0),0),0)+IF(B57="piping",PI()*K57*(VLOOKUP(I57,'Thickness Tab'!$1:$1048576,3,0)-K57)*7.86/1000,0)+IF(B57="Flange",VLOOKUP(I57&amp;"F"&amp;F57,'Flanges Chart'!$1:$1048576,MATCH(C57&amp;"."&amp;T$1,'Flanges Chart'!$1:$1,0),0),0)</f>
        <v>0</v>
      </c>
      <c r="U57" s="989">
        <f t="shared" si="103"/>
        <v>0</v>
      </c>
      <c r="V57" s="1003"/>
      <c r="W57" s="1001">
        <f t="shared" ref="W57:W67" si="124">V57*U57</f>
        <v>0</v>
      </c>
      <c r="X57" s="997"/>
      <c r="Y57" s="983"/>
      <c r="Z57" s="989">
        <f>IF(B57="Piping",VLOOKUP(I57,'Thickness Tab'!$1:$1048576,3,0)/1000*PI(),0)+IFERROR(VLOOKUP(I57&amp;"F"&amp;F57,'Flanges Chart'!$1:$1048576,MATCH(C57&amp;".Unit Surface",'Flanges Chart'!$1:$1,0),0),0)+IF(B57="Fitting",VLOOKUP(I57,'Thickness Tab'!$1:$1048576,3,0)/1000*PI(),0)</f>
        <v>0</v>
      </c>
      <c r="AA57" s="989">
        <f t="shared" ref="AA57:AA67" si="125">Z57*R57</f>
        <v>0</v>
      </c>
      <c r="AB57" s="983">
        <v>0</v>
      </c>
      <c r="AC57" s="989">
        <f t="shared" si="24"/>
        <v>0</v>
      </c>
      <c r="AD57" s="989">
        <f t="shared" si="25"/>
        <v>0</v>
      </c>
      <c r="AE57" s="974">
        <f>(IFERROR(VLOOKUP($C57,List!$J:$L,2,0),0)*R57+IF(B57="piping",R57,0)+IF(C57="Welding Neck",1,0)*R57)*$AE$2</f>
        <v>0</v>
      </c>
      <c r="AF57" s="970">
        <f>IFERROR(VLOOKUP($C57,List!$J:$L,3,0),0)*R57*$AF$2</f>
        <v>0</v>
      </c>
      <c r="AG57" s="990">
        <f t="shared" ref="AG57:AG67" si="126">AE57*I57+J57*AF57</f>
        <v>0</v>
      </c>
      <c r="AH57" s="1118" t="str">
        <f>IFERROR(VLOOKUP($D57,'Piping Class'!$88:$102,MATCH(AH$1,'Piping Class'!$88:$88,0),0),"")</f>
        <v/>
      </c>
      <c r="AI57" s="991" t="str">
        <f>IFERROR(VLOOKUP($D57,'Piping Class'!$88:$102,MATCH(AI$1,'Piping Class'!$88:$88,0),0),"")</f>
        <v/>
      </c>
      <c r="AJ57" s="991" t="str">
        <f>IFERROR(VLOOKUP($D57,'Piping Class'!$88:$102,MATCH(AJ$1,'Piping Class'!$88:$88,0),0),"")</f>
        <v/>
      </c>
      <c r="AK57" s="991" t="str">
        <f>IFERROR(VLOOKUP($D57,'Piping Class'!$88:$102,MATCH(AK$1,'Piping Class'!$88:$88,0),0),"")</f>
        <v/>
      </c>
      <c r="AL57" s="991">
        <f t="shared" si="44"/>
        <v>0</v>
      </c>
      <c r="AM57" s="1119" t="str">
        <f>IFERROR(VLOOKUP($D57,'Piping Class'!$88:$102,MATCH(AM$1,'Piping Class'!$88:$88,0),0),"")</f>
        <v/>
      </c>
      <c r="AN57" s="992">
        <f t="shared" si="26"/>
        <v>0</v>
      </c>
      <c r="AO57" s="993">
        <f>IFERROR(VLOOKUP(I57&amp;"B"&amp;F57,'Bolting Chart'!$1:$1048576,4,0),0)</f>
        <v>0</v>
      </c>
      <c r="AP57" s="993">
        <f t="shared" ref="AP57:AP67" si="127">IFERROR(AO57*R57,0)</f>
        <v>0</v>
      </c>
      <c r="AQ57" s="993">
        <f t="shared" ref="AQ57:AQ67" si="128">IF(AO57=0,0,R57)</f>
        <v>0</v>
      </c>
      <c r="AR57" s="993">
        <f>IF(AO57=0,0,VLOOKUP(D57&amp;".bolting",'Piping Class'!$1:$1048576,MATCH(I57,'Piping Class'!$2:$2,0),0))</f>
        <v>0</v>
      </c>
      <c r="AS57" s="994">
        <f>IFERROR(VLOOKUP(I57&amp;"B"&amp;F57,'Bolting Chart'!$1:$1048576,IF(AS$2="UNC",5,6),0),0)</f>
        <v>0</v>
      </c>
      <c r="AT57" s="995">
        <f>IFERROR(VLOOKUP(I57&amp;"B"&amp;F57,'Bolting Chart'!$1:$1048576,IF(G57="RF",8,9),0),0)</f>
        <v>0</v>
      </c>
      <c r="AU57" s="993">
        <f>IF(AO57=0,0,VLOOKUP(D57&amp;".gasket",'Piping Class'!$1:$1048576,MATCH(I57,'Piping Class'!$2:$2,0),0))</f>
        <v>0</v>
      </c>
      <c r="AV57" s="996">
        <f>(IFERROR(INDEX('Bolting Chart'!$A$169:$R$251,MATCH(AT57,'Bolting Chart'!$A$170:$A$251,0),MATCH(IFERROR(VLOOKUP(I57&amp;"B"&amp;F57,'Bolting Chart'!$1:$1048576,7,0),0)+0,'Bolting Chart'!$A$169:$R$169,0)),0))/100</f>
        <v>0</v>
      </c>
      <c r="AW57" s="996">
        <f t="shared" ref="AW57:AW67" si="129">AV57*AO57</f>
        <v>0</v>
      </c>
      <c r="AX57" s="1194">
        <f t="shared" ref="AX57:AX67" si="130">AV57*AP57</f>
        <v>0</v>
      </c>
      <c r="AY57" s="981"/>
      <c r="AZ57" s="1543">
        <f t="shared" si="63"/>
        <v>0</v>
      </c>
      <c r="BA57" s="1543">
        <f t="shared" si="63"/>
        <v>0</v>
      </c>
      <c r="BB57" s="1543">
        <f t="shared" si="63"/>
        <v>0</v>
      </c>
      <c r="BC57" s="1543">
        <f t="shared" si="63"/>
        <v>0</v>
      </c>
      <c r="BD57" s="1543">
        <f t="shared" si="63"/>
        <v>0</v>
      </c>
      <c r="BE57" s="1543">
        <f t="shared" si="63"/>
        <v>0</v>
      </c>
      <c r="BF57" s="1543">
        <f t="shared" si="63"/>
        <v>0</v>
      </c>
      <c r="BG57" s="1543">
        <f t="shared" si="63"/>
        <v>0</v>
      </c>
      <c r="BH57" s="1543">
        <f t="shared" si="63"/>
        <v>0</v>
      </c>
      <c r="BI57" s="1543">
        <f t="shared" si="63"/>
        <v>0</v>
      </c>
      <c r="BJ57" s="1543">
        <f t="shared" si="63"/>
        <v>0</v>
      </c>
      <c r="BK57" s="1543">
        <f t="shared" si="63"/>
        <v>0</v>
      </c>
      <c r="BL57" s="1543">
        <f t="shared" si="63"/>
        <v>0</v>
      </c>
      <c r="BM57" s="1543">
        <f t="shared" si="63"/>
        <v>0</v>
      </c>
      <c r="BN57" s="1543">
        <f t="shared" si="63"/>
        <v>0</v>
      </c>
      <c r="BO57" s="1543">
        <f t="shared" si="63"/>
        <v>0</v>
      </c>
      <c r="BP57" s="1543">
        <f t="shared" si="89"/>
        <v>0</v>
      </c>
      <c r="BQ57" s="1543">
        <f t="shared" si="89"/>
        <v>0</v>
      </c>
      <c r="BR57" s="1543">
        <f t="shared" si="89"/>
        <v>0</v>
      </c>
      <c r="BS57" s="1543">
        <f t="shared" si="89"/>
        <v>0</v>
      </c>
      <c r="BT57" s="1543">
        <f t="shared" si="89"/>
        <v>0</v>
      </c>
      <c r="BU57" s="1543">
        <f t="shared" si="89"/>
        <v>0</v>
      </c>
      <c r="BV57" s="1543">
        <f t="shared" si="89"/>
        <v>0</v>
      </c>
      <c r="BW57" s="1543">
        <f t="shared" si="89"/>
        <v>0</v>
      </c>
      <c r="BX57" s="1543">
        <f t="shared" si="89"/>
        <v>0</v>
      </c>
      <c r="BY57" s="1543">
        <f t="shared" si="89"/>
        <v>0</v>
      </c>
      <c r="BZ57" s="1543">
        <f t="shared" si="89"/>
        <v>0</v>
      </c>
      <c r="CB57" s="1543">
        <f t="shared" si="64"/>
        <v>0</v>
      </c>
      <c r="CC57" s="1543">
        <f t="shared" si="64"/>
        <v>0</v>
      </c>
      <c r="CD57" s="1543">
        <f t="shared" si="64"/>
        <v>0</v>
      </c>
      <c r="CE57" s="1543">
        <f t="shared" si="64"/>
        <v>0</v>
      </c>
      <c r="CF57" s="1543">
        <f t="shared" si="64"/>
        <v>0</v>
      </c>
      <c r="CG57" s="1543">
        <f t="shared" si="64"/>
        <v>0</v>
      </c>
      <c r="CH57" s="1543">
        <f t="shared" si="64"/>
        <v>0</v>
      </c>
      <c r="CI57" s="1543">
        <f t="shared" si="64"/>
        <v>0</v>
      </c>
      <c r="CJ57" s="1543">
        <f t="shared" si="64"/>
        <v>0</v>
      </c>
      <c r="CK57" s="1543">
        <f t="shared" si="64"/>
        <v>0</v>
      </c>
      <c r="CL57" s="1543">
        <f t="shared" si="64"/>
        <v>0</v>
      </c>
      <c r="CM57" s="1543">
        <f t="shared" si="64"/>
        <v>0</v>
      </c>
      <c r="CN57" s="1543">
        <f t="shared" si="64"/>
        <v>0</v>
      </c>
      <c r="CO57" s="1543">
        <f t="shared" si="64"/>
        <v>0</v>
      </c>
      <c r="CP57" s="1543">
        <f t="shared" si="64"/>
        <v>0</v>
      </c>
      <c r="CQ57" s="1543">
        <f t="shared" si="64"/>
        <v>0</v>
      </c>
      <c r="CR57" s="1543">
        <f t="shared" si="91"/>
        <v>0</v>
      </c>
      <c r="CS57" s="1543">
        <f t="shared" si="91"/>
        <v>0</v>
      </c>
      <c r="CT57" s="1543">
        <f t="shared" si="101"/>
        <v>0</v>
      </c>
      <c r="CU57" s="1543">
        <f t="shared" si="101"/>
        <v>0</v>
      </c>
      <c r="CV57" s="1543">
        <f t="shared" si="101"/>
        <v>0</v>
      </c>
      <c r="CW57" s="1543">
        <f t="shared" si="101"/>
        <v>0</v>
      </c>
      <c r="CX57" s="1543">
        <f t="shared" si="101"/>
        <v>0</v>
      </c>
      <c r="CY57" s="1543">
        <f t="shared" si="101"/>
        <v>0</v>
      </c>
      <c r="CZ57" s="1543">
        <f t="shared" si="101"/>
        <v>0</v>
      </c>
      <c r="DA57" s="1543">
        <f t="shared" si="101"/>
        <v>0</v>
      </c>
      <c r="DB57" s="1543">
        <f t="shared" si="101"/>
        <v>0</v>
      </c>
      <c r="DD57" s="1543">
        <f t="shared" si="68"/>
        <v>0</v>
      </c>
      <c r="DE57" s="1543">
        <f t="shared" si="69"/>
        <v>0</v>
      </c>
      <c r="DF57" s="1543">
        <f t="shared" si="70"/>
        <v>0</v>
      </c>
      <c r="DG57" s="1543">
        <f t="shared" si="31"/>
        <v>0</v>
      </c>
      <c r="DI57" s="1543">
        <f t="shared" si="32"/>
        <v>0</v>
      </c>
      <c r="DJ57" s="1543">
        <f t="shared" si="74"/>
        <v>0</v>
      </c>
      <c r="DK57" s="1543">
        <f t="shared" si="74"/>
        <v>0</v>
      </c>
      <c r="DL57" s="1543">
        <f t="shared" si="74"/>
        <v>0</v>
      </c>
      <c r="DM57" s="1543">
        <f t="shared" si="74"/>
        <v>0</v>
      </c>
      <c r="DO57" s="1543">
        <f t="shared" si="100"/>
        <v>0</v>
      </c>
      <c r="DP57" s="1543">
        <f t="shared" si="100"/>
        <v>0</v>
      </c>
      <c r="DQ57" s="1543">
        <f t="shared" si="100"/>
        <v>0</v>
      </c>
      <c r="DR57" s="1543">
        <f t="shared" si="100"/>
        <v>0</v>
      </c>
      <c r="DS57" s="1543">
        <f t="shared" si="100"/>
        <v>0</v>
      </c>
      <c r="DT57" s="1543">
        <f t="shared" si="100"/>
        <v>0</v>
      </c>
      <c r="DU57" s="1543">
        <f t="shared" si="100"/>
        <v>0</v>
      </c>
      <c r="DV57" s="1543">
        <f t="shared" si="100"/>
        <v>0</v>
      </c>
      <c r="DW57" s="1543">
        <f t="shared" si="100"/>
        <v>0</v>
      </c>
      <c r="DX57" s="1543">
        <f t="shared" si="100"/>
        <v>0</v>
      </c>
      <c r="DY57" s="1543">
        <f t="shared" si="100"/>
        <v>0</v>
      </c>
      <c r="DZ57" s="1543">
        <f t="shared" si="100"/>
        <v>0</v>
      </c>
      <c r="EA57" s="1543">
        <f t="shared" si="100"/>
        <v>0</v>
      </c>
      <c r="EB57" s="1543">
        <f t="shared" si="100"/>
        <v>0</v>
      </c>
      <c r="EC57" s="1543">
        <f t="shared" si="100"/>
        <v>0</v>
      </c>
      <c r="ED57" s="1543">
        <f t="shared" si="100"/>
        <v>0</v>
      </c>
      <c r="EE57" s="1543">
        <f>IF($L57=EE$2,1,0)</f>
        <v>0</v>
      </c>
      <c r="EF57" s="1543">
        <f>IF($L57=EF$2,1,0)</f>
        <v>0</v>
      </c>
      <c r="EH57" s="1543">
        <f t="shared" ref="EH57:EH67" si="131">SUM(DO57:DS57,EB57:EE57)</f>
        <v>0</v>
      </c>
      <c r="EI57" s="1543">
        <f t="shared" ref="EI57:EI67" si="132">DT57</f>
        <v>0</v>
      </c>
      <c r="EJ57" s="1543">
        <f t="shared" ref="EJ57:EJ67" si="133">SUM(DU57:DV57,EF57)</f>
        <v>0</v>
      </c>
      <c r="EK57" s="1543">
        <f t="shared" ref="EK57:EK67" si="134">DW57</f>
        <v>0</v>
      </c>
      <c r="EL57" s="1543">
        <f t="shared" ref="EL57:EL67" si="135">DX57</f>
        <v>0</v>
      </c>
      <c r="EM57" s="1543">
        <f t="shared" ref="EM57:EM67" si="136">DY57</f>
        <v>0</v>
      </c>
      <c r="EN57" s="1543">
        <f t="shared" ref="EN57:EN67" si="137">SUM(DZ57:EA57)</f>
        <v>0</v>
      </c>
      <c r="EP57" s="1543">
        <f t="shared" si="72"/>
        <v>0</v>
      </c>
      <c r="EQ57" s="1543">
        <f t="shared" si="72"/>
        <v>0</v>
      </c>
      <c r="ER57" s="1543">
        <f t="shared" si="72"/>
        <v>0</v>
      </c>
      <c r="ES57" s="1543">
        <f t="shared" si="72"/>
        <v>0</v>
      </c>
      <c r="ET57" s="1543">
        <f t="shared" si="123"/>
        <v>0</v>
      </c>
      <c r="EU57" s="1543">
        <f t="shared" si="123"/>
        <v>0</v>
      </c>
      <c r="EV57" s="1543">
        <f t="shared" si="123"/>
        <v>0</v>
      </c>
      <c r="EW57" s="1543">
        <f t="shared" si="123"/>
        <v>0</v>
      </c>
      <c r="EX57" s="1543">
        <f t="shared" si="123"/>
        <v>0</v>
      </c>
      <c r="EY57" s="1543">
        <f t="shared" si="123"/>
        <v>0</v>
      </c>
      <c r="EZ57" s="1543">
        <f t="shared" si="123"/>
        <v>0</v>
      </c>
      <c r="FA57" s="1543">
        <f t="shared" si="123"/>
        <v>0</v>
      </c>
      <c r="FB57" s="1543">
        <f t="shared" si="123"/>
        <v>0</v>
      </c>
      <c r="FC57" s="1543">
        <f t="shared" si="123"/>
        <v>0</v>
      </c>
      <c r="FD57" s="1543">
        <f t="shared" si="123"/>
        <v>0</v>
      </c>
      <c r="FE57" s="1543">
        <f t="shared" si="52"/>
        <v>0</v>
      </c>
      <c r="FF57" s="1543">
        <f t="shared" si="40"/>
        <v>1</v>
      </c>
      <c r="FH57" s="1543">
        <f t="shared" si="121"/>
        <v>0</v>
      </c>
      <c r="FI57" s="1543">
        <f t="shared" si="121"/>
        <v>0</v>
      </c>
      <c r="FJ57" s="1543">
        <f t="shared" si="121"/>
        <v>0</v>
      </c>
      <c r="FK57" s="1543">
        <f t="shared" si="121"/>
        <v>0</v>
      </c>
      <c r="FL57" s="1543">
        <f t="shared" si="121"/>
        <v>0</v>
      </c>
      <c r="FM57" s="1543">
        <f t="shared" si="121"/>
        <v>0</v>
      </c>
      <c r="FN57" s="1543">
        <f t="shared" si="121"/>
        <v>0</v>
      </c>
      <c r="FO57" s="1543">
        <f t="shared" si="121"/>
        <v>0</v>
      </c>
      <c r="FP57" s="1543">
        <f t="shared" si="121"/>
        <v>0</v>
      </c>
      <c r="FQ57" s="1543">
        <f t="shared" si="121"/>
        <v>0</v>
      </c>
      <c r="FR57" s="1543">
        <f t="shared" si="121"/>
        <v>0</v>
      </c>
      <c r="FS57" s="1543">
        <f t="shared" si="121"/>
        <v>0</v>
      </c>
      <c r="FT57" s="1543">
        <f t="shared" si="41"/>
        <v>0</v>
      </c>
      <c r="FV57" s="1543">
        <f t="shared" si="122"/>
        <v>1</v>
      </c>
      <c r="FW57" s="1543">
        <f t="shared" si="122"/>
        <v>0</v>
      </c>
      <c r="FX57" s="1543">
        <f t="shared" si="122"/>
        <v>0</v>
      </c>
      <c r="FY57" s="1543">
        <f t="shared" si="122"/>
        <v>0</v>
      </c>
      <c r="FZ57" s="1543">
        <f t="shared" si="122"/>
        <v>0</v>
      </c>
      <c r="GA57" s="1543">
        <f t="shared" si="122"/>
        <v>0</v>
      </c>
      <c r="GB57" s="1543">
        <f t="shared" si="122"/>
        <v>0</v>
      </c>
      <c r="GC57" s="1543">
        <f t="shared" si="122"/>
        <v>0</v>
      </c>
      <c r="GD57" s="1543">
        <f t="shared" si="122"/>
        <v>0</v>
      </c>
    </row>
    <row r="58" spans="1:186" s="982" customFormat="1" ht="15.6" x14ac:dyDescent="0.3">
      <c r="A58" s="974">
        <v>56</v>
      </c>
      <c r="B58" s="983"/>
      <c r="C58" s="984"/>
      <c r="D58" s="983"/>
      <c r="E58" s="968" t="str">
        <f>IFERROR(VLOOKUP($D58&amp;"."&amp;B58,'Piping Class'!$1:$1048576,MATCH($I58,'Piping Class'!$2:$2,0),0),"")</f>
        <v/>
      </c>
      <c r="F58" s="985" t="str">
        <f>IFERROR(IF(B58="Flange",VLOOKUP($D58,'Piping Class'!$88:$102,MATCH(F$1,'Piping Class'!$88:$88,0),0),""),"")</f>
        <v/>
      </c>
      <c r="G58" s="968" t="str">
        <f>IFERROR(IF(B58="Flange",VLOOKUP($D58,'Piping Class'!$88:$102,MATCH(G$1,'Piping Class'!$88:$88,0),0),""),"")</f>
        <v/>
      </c>
      <c r="H58" s="968" t="str">
        <f>IFERROR(VLOOKUP($D58,'Piping Class'!$88:$102,MATCH(H$1,'Piping Class'!$88:$88,0),0),"")</f>
        <v/>
      </c>
      <c r="I58" s="986"/>
      <c r="J58" s="987"/>
      <c r="K58" s="968" t="str">
        <f>IFERROR(VLOOKUP(I58,'Thickness Tab'!$1:$1048576,MATCH(L58,'Thickness Tab'!$1:$1,0),0),"")</f>
        <v/>
      </c>
      <c r="L58" s="969" t="str">
        <f>IFERROR(VLOOKUP($D58,'Piping Class'!$1:$1048576,MATCH($I58,'Piping Class'!$2:$2,0),0),"")</f>
        <v/>
      </c>
      <c r="M58" s="968" t="str">
        <f>IFERROR(VLOOKUP(J58,'Thickness Tab'!$1:$1048576,MATCH(N58,'Thickness Tab'!$1:$1,0),0),"")</f>
        <v/>
      </c>
      <c r="N58" s="969" t="str">
        <f>IFERROR(VLOOKUP($D58,'Piping Class'!$1:$1048576,MATCH($J58,'Piping Class'!$2:$2,0),0),"")</f>
        <v/>
      </c>
      <c r="O58" s="968" t="str">
        <f>IFERROR(VLOOKUP($D58,'Piping Class'!$88:$102,MATCH(O$1,'Piping Class'!$88:$88,0),0),"")</f>
        <v/>
      </c>
      <c r="P58" s="968" t="str">
        <f>IFERROR(VLOOKUP($D58,'Piping Class'!$88:$102,MATCH(P$1,'Piping Class'!$88:$88,0),0),"")</f>
        <v/>
      </c>
      <c r="Q58" s="983"/>
      <c r="R58" s="988"/>
      <c r="S58" s="969" t="str">
        <f t="shared" si="102"/>
        <v/>
      </c>
      <c r="T58" s="968">
        <f>IFERROR(VLOOKUP(I58&amp;"."&amp;L58,'Fitting Chart'!$1:$1048576,MATCH(C58,'Fitting Chart'!$1:$1,0),0),0)+IF(B58="piping",PI()*K58*(VLOOKUP(I58,'Thickness Tab'!$1:$1048576,3,0)-K58)*7.86/1000,0)+IF(B58="Flange",VLOOKUP(I58&amp;"F"&amp;F58,'Flanges Chart'!$1:$1048576,MATCH(C58&amp;"."&amp;T$1,'Flanges Chart'!$1:$1,0),0),0)</f>
        <v>0</v>
      </c>
      <c r="U58" s="989">
        <f t="shared" si="103"/>
        <v>0</v>
      </c>
      <c r="V58" s="1003"/>
      <c r="W58" s="1001">
        <f t="shared" si="124"/>
        <v>0</v>
      </c>
      <c r="X58" s="997"/>
      <c r="Y58" s="983"/>
      <c r="Z58" s="989">
        <f>IF(B58="Piping",VLOOKUP(I58,'Thickness Tab'!$1:$1048576,3,0)/1000*PI(),0)+IFERROR(VLOOKUP(I58&amp;"F"&amp;F58,'Flanges Chart'!$1:$1048576,MATCH(C58&amp;".Unit Surface",'Flanges Chart'!$1:$1,0),0),0)+IF(B58="Fitting",VLOOKUP(I58,'Thickness Tab'!$1:$1048576,3,0)/1000*PI(),0)</f>
        <v>0</v>
      </c>
      <c r="AA58" s="989">
        <f t="shared" si="125"/>
        <v>0</v>
      </c>
      <c r="AB58" s="983">
        <v>0</v>
      </c>
      <c r="AC58" s="989">
        <f t="shared" si="24"/>
        <v>0</v>
      </c>
      <c r="AD58" s="989">
        <f t="shared" si="25"/>
        <v>0</v>
      </c>
      <c r="AE58" s="974">
        <f>(IFERROR(VLOOKUP($C58,List!$J:$L,2,0),0)*R58+IF(B58="piping",R58,0)+IF(C58="Welding Neck",1,0)*R58)*$AE$2</f>
        <v>0</v>
      </c>
      <c r="AF58" s="970">
        <f>IFERROR(VLOOKUP($C58,List!$J:$L,3,0),0)*R58*$AF$2</f>
        <v>0</v>
      </c>
      <c r="AG58" s="990">
        <f t="shared" si="126"/>
        <v>0</v>
      </c>
      <c r="AH58" s="1118" t="str">
        <f>IFERROR(VLOOKUP($D58,'Piping Class'!$88:$102,MATCH(AH$1,'Piping Class'!$88:$88,0),0),"")</f>
        <v/>
      </c>
      <c r="AI58" s="991" t="str">
        <f>IFERROR(VLOOKUP($D58,'Piping Class'!$88:$102,MATCH(AI$1,'Piping Class'!$88:$88,0),0),"")</f>
        <v/>
      </c>
      <c r="AJ58" s="991" t="str">
        <f>IFERROR(VLOOKUP($D58,'Piping Class'!$88:$102,MATCH(AJ$1,'Piping Class'!$88:$88,0),0),"")</f>
        <v/>
      </c>
      <c r="AK58" s="991" t="str">
        <f>IFERROR(VLOOKUP($D58,'Piping Class'!$88:$102,MATCH(AK$1,'Piping Class'!$88:$88,0),0),"")</f>
        <v/>
      </c>
      <c r="AL58" s="991">
        <f t="shared" si="44"/>
        <v>0</v>
      </c>
      <c r="AM58" s="1119" t="str">
        <f>IFERROR(VLOOKUP($D58,'Piping Class'!$88:$102,MATCH(AM$1,'Piping Class'!$88:$88,0),0),"")</f>
        <v/>
      </c>
      <c r="AN58" s="992">
        <f t="shared" si="26"/>
        <v>0</v>
      </c>
      <c r="AO58" s="993">
        <f>IFERROR(VLOOKUP(I58&amp;"B"&amp;F58,'Bolting Chart'!$1:$1048576,4,0),0)</f>
        <v>0</v>
      </c>
      <c r="AP58" s="993">
        <f t="shared" si="127"/>
        <v>0</v>
      </c>
      <c r="AQ58" s="993">
        <f t="shared" si="128"/>
        <v>0</v>
      </c>
      <c r="AR58" s="993">
        <f>IF(AO58=0,0,VLOOKUP(D58&amp;".bolting",'Piping Class'!$1:$1048576,MATCH(I58,'Piping Class'!$2:$2,0),0))</f>
        <v>0</v>
      </c>
      <c r="AS58" s="994">
        <f>IFERROR(VLOOKUP(I58&amp;"B"&amp;F58,'Bolting Chart'!$1:$1048576,IF(AS$2="UNC",5,6),0),0)</f>
        <v>0</v>
      </c>
      <c r="AT58" s="995">
        <f>IFERROR(VLOOKUP(I58&amp;"B"&amp;F58,'Bolting Chart'!$1:$1048576,IF(G58="RF",8,9),0),0)</f>
        <v>0</v>
      </c>
      <c r="AU58" s="993">
        <f>IF(AO58=0,0,VLOOKUP(D58&amp;".gasket",'Piping Class'!$1:$1048576,MATCH(I58,'Piping Class'!$2:$2,0),0))</f>
        <v>0</v>
      </c>
      <c r="AV58" s="996">
        <f>(IFERROR(INDEX('Bolting Chart'!$A$169:$R$251,MATCH(AT58,'Bolting Chart'!$A$170:$A$251,0),MATCH(IFERROR(VLOOKUP(I58&amp;"B"&amp;F58,'Bolting Chart'!$1:$1048576,7,0),0)+0,'Bolting Chart'!$A$169:$R$169,0)),0))/100</f>
        <v>0</v>
      </c>
      <c r="AW58" s="996">
        <f t="shared" si="129"/>
        <v>0</v>
      </c>
      <c r="AX58" s="1194">
        <f t="shared" si="130"/>
        <v>0</v>
      </c>
      <c r="AY58" s="981"/>
      <c r="AZ58" s="1543">
        <f t="shared" si="63"/>
        <v>0</v>
      </c>
      <c r="BA58" s="1543">
        <f t="shared" si="63"/>
        <v>0</v>
      </c>
      <c r="BB58" s="1543">
        <f t="shared" si="63"/>
        <v>0</v>
      </c>
      <c r="BC58" s="1543">
        <f t="shared" si="63"/>
        <v>0</v>
      </c>
      <c r="BD58" s="1543">
        <f t="shared" si="63"/>
        <v>0</v>
      </c>
      <c r="BE58" s="1543">
        <f t="shared" si="63"/>
        <v>0</v>
      </c>
      <c r="BF58" s="1543">
        <f t="shared" si="63"/>
        <v>0</v>
      </c>
      <c r="BG58" s="1543">
        <f t="shared" si="63"/>
        <v>0</v>
      </c>
      <c r="BH58" s="1543">
        <f t="shared" si="63"/>
        <v>0</v>
      </c>
      <c r="BI58" s="1543">
        <f t="shared" si="63"/>
        <v>0</v>
      </c>
      <c r="BJ58" s="1543">
        <f t="shared" si="63"/>
        <v>0</v>
      </c>
      <c r="BK58" s="1543">
        <f t="shared" si="63"/>
        <v>0</v>
      </c>
      <c r="BL58" s="1543">
        <f t="shared" si="63"/>
        <v>0</v>
      </c>
      <c r="BM58" s="1543">
        <f t="shared" si="63"/>
        <v>0</v>
      </c>
      <c r="BN58" s="1543">
        <f t="shared" si="63"/>
        <v>0</v>
      </c>
      <c r="BO58" s="1543">
        <f t="shared" si="63"/>
        <v>0</v>
      </c>
      <c r="BP58" s="1543">
        <f t="shared" si="89"/>
        <v>0</v>
      </c>
      <c r="BQ58" s="1543">
        <f t="shared" ref="BQ58:BQ64" si="138">IF($I58=BQ$2,1,0)</f>
        <v>0</v>
      </c>
      <c r="BR58" s="1543">
        <f t="shared" si="89"/>
        <v>0</v>
      </c>
      <c r="BS58" s="1543">
        <f t="shared" si="89"/>
        <v>0</v>
      </c>
      <c r="BT58" s="1543">
        <f t="shared" si="89"/>
        <v>0</v>
      </c>
      <c r="BU58" s="1543">
        <f t="shared" si="89"/>
        <v>0</v>
      </c>
      <c r="BV58" s="1543">
        <f t="shared" si="89"/>
        <v>0</v>
      </c>
      <c r="BW58" s="1543">
        <f t="shared" si="89"/>
        <v>0</v>
      </c>
      <c r="BX58" s="1543">
        <f t="shared" si="89"/>
        <v>0</v>
      </c>
      <c r="BY58" s="1543">
        <f t="shared" si="89"/>
        <v>0</v>
      </c>
      <c r="BZ58" s="1543">
        <f t="shared" si="89"/>
        <v>0</v>
      </c>
      <c r="CB58" s="1543">
        <f t="shared" si="64"/>
        <v>0</v>
      </c>
      <c r="CC58" s="1543">
        <f t="shared" si="64"/>
        <v>0</v>
      </c>
      <c r="CD58" s="1543">
        <f t="shared" si="64"/>
        <v>0</v>
      </c>
      <c r="CE58" s="1543">
        <f t="shared" si="64"/>
        <v>0</v>
      </c>
      <c r="CF58" s="1543">
        <f t="shared" si="64"/>
        <v>0</v>
      </c>
      <c r="CG58" s="1543">
        <f t="shared" si="64"/>
        <v>0</v>
      </c>
      <c r="CH58" s="1543">
        <f t="shared" si="64"/>
        <v>0</v>
      </c>
      <c r="CI58" s="1543">
        <f t="shared" si="64"/>
        <v>0</v>
      </c>
      <c r="CJ58" s="1543">
        <f t="shared" si="64"/>
        <v>0</v>
      </c>
      <c r="CK58" s="1543">
        <f t="shared" si="64"/>
        <v>0</v>
      </c>
      <c r="CL58" s="1543">
        <f t="shared" si="64"/>
        <v>0</v>
      </c>
      <c r="CM58" s="1543">
        <f t="shared" si="64"/>
        <v>0</v>
      </c>
      <c r="CN58" s="1543">
        <f t="shared" si="64"/>
        <v>0</v>
      </c>
      <c r="CO58" s="1543">
        <f t="shared" si="64"/>
        <v>0</v>
      </c>
      <c r="CP58" s="1543">
        <f t="shared" si="64"/>
        <v>0</v>
      </c>
      <c r="CQ58" s="1543">
        <f t="shared" si="64"/>
        <v>0</v>
      </c>
      <c r="CR58" s="1543">
        <f t="shared" si="91"/>
        <v>0</v>
      </c>
      <c r="CS58" s="1543">
        <f t="shared" si="46"/>
        <v>0</v>
      </c>
      <c r="CT58" s="1543">
        <f t="shared" si="101"/>
        <v>0</v>
      </c>
      <c r="CU58" s="1543">
        <f t="shared" si="101"/>
        <v>0</v>
      </c>
      <c r="CV58" s="1543">
        <f t="shared" si="101"/>
        <v>0</v>
      </c>
      <c r="CW58" s="1543">
        <f t="shared" si="101"/>
        <v>0</v>
      </c>
      <c r="CX58" s="1543">
        <f t="shared" si="101"/>
        <v>0</v>
      </c>
      <c r="CY58" s="1543">
        <f t="shared" si="101"/>
        <v>0</v>
      </c>
      <c r="CZ58" s="1543">
        <f t="shared" si="101"/>
        <v>0</v>
      </c>
      <c r="DA58" s="1543">
        <f t="shared" si="101"/>
        <v>0</v>
      </c>
      <c r="DB58" s="1543">
        <f t="shared" si="101"/>
        <v>0</v>
      </c>
      <c r="DD58" s="1543">
        <f t="shared" si="68"/>
        <v>0</v>
      </c>
      <c r="DE58" s="1543">
        <f t="shared" si="69"/>
        <v>0</v>
      </c>
      <c r="DF58" s="1543">
        <f t="shared" si="70"/>
        <v>0</v>
      </c>
      <c r="DG58" s="1543">
        <f t="shared" si="31"/>
        <v>0</v>
      </c>
      <c r="DI58" s="1543">
        <f t="shared" si="32"/>
        <v>0</v>
      </c>
      <c r="DJ58" s="1543">
        <f t="shared" si="74"/>
        <v>0</v>
      </c>
      <c r="DK58" s="1543">
        <f t="shared" si="74"/>
        <v>0</v>
      </c>
      <c r="DL58" s="1543">
        <f t="shared" si="74"/>
        <v>0</v>
      </c>
      <c r="DM58" s="1543">
        <f t="shared" si="74"/>
        <v>0</v>
      </c>
      <c r="DO58" s="1543">
        <f t="shared" si="100"/>
        <v>0</v>
      </c>
      <c r="DP58" s="1543">
        <f t="shared" si="100"/>
        <v>0</v>
      </c>
      <c r="DQ58" s="1543">
        <f t="shared" si="100"/>
        <v>0</v>
      </c>
      <c r="DR58" s="1543">
        <f t="shared" si="100"/>
        <v>0</v>
      </c>
      <c r="DS58" s="1543">
        <f t="shared" si="100"/>
        <v>0</v>
      </c>
      <c r="DT58" s="1543">
        <f t="shared" si="100"/>
        <v>0</v>
      </c>
      <c r="DU58" s="1543">
        <f t="shared" si="100"/>
        <v>0</v>
      </c>
      <c r="DV58" s="1543">
        <f t="shared" si="100"/>
        <v>0</v>
      </c>
      <c r="DW58" s="1543">
        <f t="shared" si="100"/>
        <v>0</v>
      </c>
      <c r="DX58" s="1543">
        <f t="shared" si="100"/>
        <v>0</v>
      </c>
      <c r="DY58" s="1543">
        <f t="shared" si="100"/>
        <v>0</v>
      </c>
      <c r="DZ58" s="1543">
        <f t="shared" si="100"/>
        <v>0</v>
      </c>
      <c r="EA58" s="1543">
        <f t="shared" si="100"/>
        <v>0</v>
      </c>
      <c r="EB58" s="1543">
        <f t="shared" si="71"/>
        <v>0</v>
      </c>
      <c r="EC58" s="1543">
        <f t="shared" si="71"/>
        <v>0</v>
      </c>
      <c r="ED58" s="1543">
        <f t="shared" si="71"/>
        <v>0</v>
      </c>
      <c r="EE58" s="1543">
        <f t="shared" si="71"/>
        <v>0</v>
      </c>
      <c r="EF58" s="1543">
        <f t="shared" si="71"/>
        <v>0</v>
      </c>
      <c r="EH58" s="1543">
        <f t="shared" si="131"/>
        <v>0</v>
      </c>
      <c r="EI58" s="1543">
        <f t="shared" si="132"/>
        <v>0</v>
      </c>
      <c r="EJ58" s="1543">
        <f t="shared" si="133"/>
        <v>0</v>
      </c>
      <c r="EK58" s="1543">
        <f t="shared" si="134"/>
        <v>0</v>
      </c>
      <c r="EL58" s="1543">
        <f t="shared" si="135"/>
        <v>0</v>
      </c>
      <c r="EM58" s="1543">
        <f t="shared" si="136"/>
        <v>0</v>
      </c>
      <c r="EN58" s="1543">
        <f t="shared" si="137"/>
        <v>0</v>
      </c>
      <c r="EP58" s="1543">
        <f t="shared" si="72"/>
        <v>0</v>
      </c>
      <c r="EQ58" s="1543">
        <f t="shared" si="72"/>
        <v>0</v>
      </c>
      <c r="ER58" s="1543">
        <f t="shared" si="72"/>
        <v>0</v>
      </c>
      <c r="ES58" s="1543">
        <f t="shared" si="72"/>
        <v>0</v>
      </c>
      <c r="ET58" s="1543">
        <f t="shared" si="123"/>
        <v>0</v>
      </c>
      <c r="EU58" s="1543">
        <f t="shared" si="123"/>
        <v>0</v>
      </c>
      <c r="EV58" s="1543">
        <f t="shared" si="123"/>
        <v>0</v>
      </c>
      <c r="EW58" s="1543">
        <f t="shared" si="123"/>
        <v>0</v>
      </c>
      <c r="EX58" s="1543">
        <f t="shared" si="123"/>
        <v>0</v>
      </c>
      <c r="EY58" s="1543">
        <f t="shared" si="123"/>
        <v>0</v>
      </c>
      <c r="EZ58" s="1543">
        <f t="shared" si="123"/>
        <v>0</v>
      </c>
      <c r="FA58" s="1543">
        <f t="shared" si="123"/>
        <v>0</v>
      </c>
      <c r="FB58" s="1543">
        <f t="shared" si="123"/>
        <v>0</v>
      </c>
      <c r="FC58" s="1543">
        <f t="shared" si="123"/>
        <v>0</v>
      </c>
      <c r="FD58" s="1543">
        <f t="shared" si="123"/>
        <v>0</v>
      </c>
      <c r="FE58" s="1543">
        <f t="shared" si="52"/>
        <v>0</v>
      </c>
      <c r="FF58" s="1543">
        <f t="shared" si="40"/>
        <v>1</v>
      </c>
      <c r="FH58" s="1543">
        <f t="shared" si="121"/>
        <v>0</v>
      </c>
      <c r="FI58" s="1543">
        <f t="shared" si="121"/>
        <v>0</v>
      </c>
      <c r="FJ58" s="1543">
        <f t="shared" si="121"/>
        <v>0</v>
      </c>
      <c r="FK58" s="1543">
        <f t="shared" si="121"/>
        <v>0</v>
      </c>
      <c r="FL58" s="1543">
        <f t="shared" si="121"/>
        <v>0</v>
      </c>
      <c r="FM58" s="1543">
        <f t="shared" si="121"/>
        <v>0</v>
      </c>
      <c r="FN58" s="1543">
        <f t="shared" si="121"/>
        <v>0</v>
      </c>
      <c r="FO58" s="1543">
        <f t="shared" si="121"/>
        <v>0</v>
      </c>
      <c r="FP58" s="1543">
        <f t="shared" si="121"/>
        <v>0</v>
      </c>
      <c r="FQ58" s="1543">
        <f t="shared" si="121"/>
        <v>0</v>
      </c>
      <c r="FR58" s="1543">
        <f t="shared" si="121"/>
        <v>0</v>
      </c>
      <c r="FS58" s="1543">
        <f t="shared" si="121"/>
        <v>0</v>
      </c>
      <c r="FT58" s="1543">
        <f t="shared" si="41"/>
        <v>0</v>
      </c>
      <c r="FV58" s="1543">
        <f t="shared" si="122"/>
        <v>1</v>
      </c>
      <c r="FW58" s="1543">
        <f t="shared" si="122"/>
        <v>0</v>
      </c>
      <c r="FX58" s="1543">
        <f t="shared" si="122"/>
        <v>0</v>
      </c>
      <c r="FY58" s="1543">
        <f t="shared" si="122"/>
        <v>0</v>
      </c>
      <c r="FZ58" s="1543">
        <f t="shared" si="122"/>
        <v>0</v>
      </c>
      <c r="GA58" s="1543">
        <f t="shared" si="122"/>
        <v>0</v>
      </c>
      <c r="GB58" s="1543">
        <f t="shared" si="122"/>
        <v>0</v>
      </c>
      <c r="GC58" s="1543">
        <f t="shared" si="122"/>
        <v>0</v>
      </c>
      <c r="GD58" s="1543">
        <f t="shared" si="122"/>
        <v>0</v>
      </c>
    </row>
    <row r="59" spans="1:186" s="982" customFormat="1" ht="15.6" x14ac:dyDescent="0.3">
      <c r="A59" s="974">
        <v>57</v>
      </c>
      <c r="B59" s="983"/>
      <c r="C59" s="984"/>
      <c r="D59" s="983"/>
      <c r="E59" s="968" t="str">
        <f>IFERROR(VLOOKUP($D59&amp;"."&amp;B59,'Piping Class'!$1:$1048576,MATCH($I59,'Piping Class'!$2:$2,0),0),"")</f>
        <v/>
      </c>
      <c r="F59" s="985" t="str">
        <f>IFERROR(IF(B59="Flange",VLOOKUP($D59,'Piping Class'!$88:$102,MATCH(F$1,'Piping Class'!$88:$88,0),0),""),"")</f>
        <v/>
      </c>
      <c r="G59" s="968" t="str">
        <f>IFERROR(IF(B59="Flange",VLOOKUP($D59,'Piping Class'!$88:$102,MATCH(G$1,'Piping Class'!$88:$88,0),0),""),"")</f>
        <v/>
      </c>
      <c r="H59" s="968" t="str">
        <f>IFERROR(VLOOKUP($D59,'Piping Class'!$88:$102,MATCH(H$1,'Piping Class'!$88:$88,0),0),"")</f>
        <v/>
      </c>
      <c r="I59" s="986"/>
      <c r="J59" s="987"/>
      <c r="K59" s="968" t="str">
        <f>IFERROR(VLOOKUP(I59,'Thickness Tab'!$1:$1048576,MATCH(L59,'Thickness Tab'!$1:$1,0),0),"")</f>
        <v/>
      </c>
      <c r="L59" s="969" t="str">
        <f>IFERROR(VLOOKUP($D59,'Piping Class'!$1:$1048576,MATCH($I59,'Piping Class'!$2:$2,0),0),"")</f>
        <v/>
      </c>
      <c r="M59" s="968" t="str">
        <f>IFERROR(VLOOKUP(J59,'Thickness Tab'!$1:$1048576,MATCH(N59,'Thickness Tab'!$1:$1,0),0),"")</f>
        <v/>
      </c>
      <c r="N59" s="969" t="str">
        <f>IFERROR(VLOOKUP($D59,'Piping Class'!$1:$1048576,MATCH($J59,'Piping Class'!$2:$2,0),0),"")</f>
        <v/>
      </c>
      <c r="O59" s="968" t="str">
        <f>IFERROR(VLOOKUP($D59,'Piping Class'!$88:$102,MATCH(O$1,'Piping Class'!$88:$88,0),0),"")</f>
        <v/>
      </c>
      <c r="P59" s="968" t="str">
        <f>IFERROR(VLOOKUP($D59,'Piping Class'!$88:$102,MATCH(P$1,'Piping Class'!$88:$88,0),0),"")</f>
        <v/>
      </c>
      <c r="Q59" s="983"/>
      <c r="R59" s="988"/>
      <c r="S59" s="969" t="str">
        <f t="shared" si="102"/>
        <v/>
      </c>
      <c r="T59" s="968">
        <f>IFERROR(VLOOKUP(I59&amp;"."&amp;L59,'Fitting Chart'!$1:$1048576,MATCH(C59,'Fitting Chart'!$1:$1,0),0),0)+IF(B59="piping",PI()*K59*(VLOOKUP(I59,'Thickness Tab'!$1:$1048576,3,0)-K59)*7.86/1000,0)+IF(B59="Flange",VLOOKUP(I59&amp;"F"&amp;F59,'Flanges Chart'!$1:$1048576,MATCH(C59&amp;"."&amp;T$1,'Flanges Chart'!$1:$1,0),0),0)</f>
        <v>0</v>
      </c>
      <c r="U59" s="989">
        <f t="shared" si="103"/>
        <v>0</v>
      </c>
      <c r="V59" s="1003"/>
      <c r="W59" s="1001">
        <f t="shared" si="124"/>
        <v>0</v>
      </c>
      <c r="X59" s="997"/>
      <c r="Y59" s="983"/>
      <c r="Z59" s="989">
        <f>IF(B59="Piping",VLOOKUP(I59,'Thickness Tab'!$1:$1048576,3,0)/1000*PI(),0)+IFERROR(VLOOKUP(I59&amp;"F"&amp;F59,'Flanges Chart'!$1:$1048576,MATCH(C59&amp;".Unit Surface",'Flanges Chart'!$1:$1,0),0),0)+IF(B59="Fitting",VLOOKUP(I59,'Thickness Tab'!$1:$1048576,3,0)/1000*PI(),0)</f>
        <v>0</v>
      </c>
      <c r="AA59" s="989">
        <f t="shared" si="125"/>
        <v>0</v>
      </c>
      <c r="AB59" s="983">
        <v>0</v>
      </c>
      <c r="AC59" s="989">
        <f t="shared" si="24"/>
        <v>0</v>
      </c>
      <c r="AD59" s="989">
        <f t="shared" si="25"/>
        <v>0</v>
      </c>
      <c r="AE59" s="974">
        <f>(IFERROR(VLOOKUP($C59,List!$J:$L,2,0),0)*R59+IF(B59="piping",R59,0)+IF(C59="Welding Neck",1,0)*R59)*$AE$2</f>
        <v>0</v>
      </c>
      <c r="AF59" s="970">
        <f>IFERROR(VLOOKUP($C59,List!$J:$L,3,0),0)*R59*$AF$2</f>
        <v>0</v>
      </c>
      <c r="AG59" s="990">
        <f t="shared" si="126"/>
        <v>0</v>
      </c>
      <c r="AH59" s="1118" t="str">
        <f>IFERROR(VLOOKUP($D59,'Piping Class'!$88:$102,MATCH(AH$1,'Piping Class'!$88:$88,0),0),"")</f>
        <v/>
      </c>
      <c r="AI59" s="991" t="str">
        <f>IFERROR(VLOOKUP($D59,'Piping Class'!$88:$102,MATCH(AI$1,'Piping Class'!$88:$88,0),0),"")</f>
        <v/>
      </c>
      <c r="AJ59" s="991" t="str">
        <f>IFERROR(VLOOKUP($D59,'Piping Class'!$88:$102,MATCH(AJ$1,'Piping Class'!$88:$88,0),0),"")</f>
        <v/>
      </c>
      <c r="AK59" s="991" t="str">
        <f>IFERROR(VLOOKUP($D59,'Piping Class'!$88:$102,MATCH(AK$1,'Piping Class'!$88:$88,0),0),"")</f>
        <v/>
      </c>
      <c r="AL59" s="991">
        <f t="shared" si="44"/>
        <v>0</v>
      </c>
      <c r="AM59" s="1119" t="str">
        <f>IFERROR(VLOOKUP($D59,'Piping Class'!$88:$102,MATCH(AM$1,'Piping Class'!$88:$88,0),0),"")</f>
        <v/>
      </c>
      <c r="AN59" s="992">
        <f t="shared" si="26"/>
        <v>0</v>
      </c>
      <c r="AO59" s="993">
        <f>IFERROR(VLOOKUP(I59&amp;"B"&amp;F59,'Bolting Chart'!$1:$1048576,4,0),0)</f>
        <v>0</v>
      </c>
      <c r="AP59" s="993">
        <f t="shared" si="127"/>
        <v>0</v>
      </c>
      <c r="AQ59" s="993">
        <f t="shared" si="128"/>
        <v>0</v>
      </c>
      <c r="AR59" s="993">
        <f>IF(AO59=0,0,VLOOKUP(D59&amp;".bolting",'Piping Class'!$1:$1048576,MATCH(I59,'Piping Class'!$2:$2,0),0))</f>
        <v>0</v>
      </c>
      <c r="AS59" s="994">
        <f>IFERROR(VLOOKUP(I59&amp;"B"&amp;F59,'Bolting Chart'!$1:$1048576,IF(AS$2="UNC",5,6),0),0)</f>
        <v>0</v>
      </c>
      <c r="AT59" s="995">
        <f>IFERROR(VLOOKUP(I59&amp;"B"&amp;F59,'Bolting Chart'!$1:$1048576,IF(G59="RF",8,9),0),0)</f>
        <v>0</v>
      </c>
      <c r="AU59" s="993">
        <f>IF(AO59=0,0,VLOOKUP(D59&amp;".gasket",'Piping Class'!$1:$1048576,MATCH(I59,'Piping Class'!$2:$2,0),0))</f>
        <v>0</v>
      </c>
      <c r="AV59" s="996">
        <f>(IFERROR(INDEX('Bolting Chart'!$A$169:$R$251,MATCH(AT59,'Bolting Chart'!$A$170:$A$251,0),MATCH(IFERROR(VLOOKUP(I59&amp;"B"&amp;F59,'Bolting Chart'!$1:$1048576,7,0),0)+0,'Bolting Chart'!$A$169:$R$169,0)),0))/100</f>
        <v>0</v>
      </c>
      <c r="AW59" s="996">
        <f t="shared" si="129"/>
        <v>0</v>
      </c>
      <c r="AX59" s="1194">
        <f t="shared" si="130"/>
        <v>0</v>
      </c>
      <c r="AY59" s="981"/>
      <c r="AZ59" s="1543">
        <f t="shared" si="63"/>
        <v>0</v>
      </c>
      <c r="BA59" s="1543">
        <f t="shared" si="63"/>
        <v>0</v>
      </c>
      <c r="BB59" s="1543">
        <f t="shared" si="63"/>
        <v>0</v>
      </c>
      <c r="BC59" s="1543">
        <f t="shared" si="63"/>
        <v>0</v>
      </c>
      <c r="BD59" s="1543">
        <f t="shared" si="63"/>
        <v>0</v>
      </c>
      <c r="BE59" s="1543">
        <f t="shared" si="63"/>
        <v>0</v>
      </c>
      <c r="BF59" s="1543">
        <f t="shared" si="63"/>
        <v>0</v>
      </c>
      <c r="BG59" s="1543">
        <f t="shared" si="63"/>
        <v>0</v>
      </c>
      <c r="BH59" s="1543">
        <f t="shared" si="63"/>
        <v>0</v>
      </c>
      <c r="BI59" s="1543">
        <f t="shared" si="63"/>
        <v>0</v>
      </c>
      <c r="BJ59" s="1543">
        <f t="shared" si="63"/>
        <v>0</v>
      </c>
      <c r="BK59" s="1543">
        <f t="shared" si="63"/>
        <v>0</v>
      </c>
      <c r="BL59" s="1543">
        <f t="shared" si="63"/>
        <v>0</v>
      </c>
      <c r="BM59" s="1543">
        <f t="shared" si="63"/>
        <v>0</v>
      </c>
      <c r="BN59" s="1543">
        <f t="shared" si="63"/>
        <v>0</v>
      </c>
      <c r="BO59" s="1543">
        <f t="shared" si="63"/>
        <v>0</v>
      </c>
      <c r="BP59" s="1543">
        <f t="shared" si="89"/>
        <v>0</v>
      </c>
      <c r="BQ59" s="1543">
        <f t="shared" si="138"/>
        <v>0</v>
      </c>
      <c r="BR59" s="1543">
        <f t="shared" si="89"/>
        <v>0</v>
      </c>
      <c r="BS59" s="1543">
        <f t="shared" si="89"/>
        <v>0</v>
      </c>
      <c r="BT59" s="1543">
        <f t="shared" si="89"/>
        <v>0</v>
      </c>
      <c r="BU59" s="1543">
        <f t="shared" si="89"/>
        <v>0</v>
      </c>
      <c r="BV59" s="1543">
        <f t="shared" si="89"/>
        <v>0</v>
      </c>
      <c r="BW59" s="1543">
        <f t="shared" si="89"/>
        <v>0</v>
      </c>
      <c r="BX59" s="1543">
        <f t="shared" si="89"/>
        <v>0</v>
      </c>
      <c r="BY59" s="1543">
        <f t="shared" si="89"/>
        <v>0</v>
      </c>
      <c r="BZ59" s="1543">
        <f t="shared" si="89"/>
        <v>0</v>
      </c>
      <c r="CB59" s="1543">
        <f t="shared" si="64"/>
        <v>0</v>
      </c>
      <c r="CC59" s="1543">
        <f t="shared" si="64"/>
        <v>0</v>
      </c>
      <c r="CD59" s="1543">
        <f t="shared" si="64"/>
        <v>0</v>
      </c>
      <c r="CE59" s="1543">
        <f t="shared" si="64"/>
        <v>0</v>
      </c>
      <c r="CF59" s="1543">
        <f t="shared" si="64"/>
        <v>0</v>
      </c>
      <c r="CG59" s="1543">
        <f t="shared" si="64"/>
        <v>0</v>
      </c>
      <c r="CH59" s="1543">
        <f t="shared" si="64"/>
        <v>0</v>
      </c>
      <c r="CI59" s="1543">
        <f t="shared" si="64"/>
        <v>0</v>
      </c>
      <c r="CJ59" s="1543">
        <f t="shared" si="64"/>
        <v>0</v>
      </c>
      <c r="CK59" s="1543">
        <f t="shared" si="64"/>
        <v>0</v>
      </c>
      <c r="CL59" s="1543">
        <f t="shared" si="64"/>
        <v>0</v>
      </c>
      <c r="CM59" s="1543">
        <f t="shared" si="64"/>
        <v>0</v>
      </c>
      <c r="CN59" s="1543">
        <f t="shared" si="64"/>
        <v>0</v>
      </c>
      <c r="CO59" s="1543">
        <f t="shared" si="64"/>
        <v>0</v>
      </c>
      <c r="CP59" s="1543">
        <f t="shared" si="64"/>
        <v>0</v>
      </c>
      <c r="CQ59" s="1543">
        <f t="shared" si="64"/>
        <v>0</v>
      </c>
      <c r="CR59" s="1543">
        <f t="shared" si="91"/>
        <v>0</v>
      </c>
      <c r="CS59" s="1543">
        <f t="shared" si="46"/>
        <v>0</v>
      </c>
      <c r="CT59" s="1543">
        <f t="shared" si="101"/>
        <v>0</v>
      </c>
      <c r="CU59" s="1543">
        <f t="shared" si="101"/>
        <v>0</v>
      </c>
      <c r="CV59" s="1543">
        <f t="shared" si="101"/>
        <v>0</v>
      </c>
      <c r="CW59" s="1543">
        <f t="shared" si="101"/>
        <v>0</v>
      </c>
      <c r="CX59" s="1543">
        <f t="shared" si="101"/>
        <v>0</v>
      </c>
      <c r="CY59" s="1543">
        <f t="shared" si="101"/>
        <v>0</v>
      </c>
      <c r="CZ59" s="1543">
        <f t="shared" si="101"/>
        <v>0</v>
      </c>
      <c r="DA59" s="1543">
        <f t="shared" si="101"/>
        <v>0</v>
      </c>
      <c r="DB59" s="1543">
        <f t="shared" si="101"/>
        <v>0</v>
      </c>
      <c r="DD59" s="1543">
        <f t="shared" si="68"/>
        <v>0</v>
      </c>
      <c r="DE59" s="1543">
        <f t="shared" si="69"/>
        <v>0</v>
      </c>
      <c r="DF59" s="1543">
        <f t="shared" si="70"/>
        <v>0</v>
      </c>
      <c r="DG59" s="1543">
        <f t="shared" si="31"/>
        <v>0</v>
      </c>
      <c r="DI59" s="1543">
        <f t="shared" si="32"/>
        <v>0</v>
      </c>
      <c r="DJ59" s="1543">
        <f t="shared" si="74"/>
        <v>0</v>
      </c>
      <c r="DK59" s="1543">
        <f t="shared" si="74"/>
        <v>0</v>
      </c>
      <c r="DL59" s="1543">
        <f t="shared" si="74"/>
        <v>0</v>
      </c>
      <c r="DM59" s="1543">
        <f t="shared" si="74"/>
        <v>0</v>
      </c>
      <c r="DO59" s="1543">
        <f t="shared" si="100"/>
        <v>0</v>
      </c>
      <c r="DP59" s="1543">
        <f t="shared" si="100"/>
        <v>0</v>
      </c>
      <c r="DQ59" s="1543">
        <f t="shared" si="100"/>
        <v>0</v>
      </c>
      <c r="DR59" s="1543">
        <f t="shared" si="100"/>
        <v>0</v>
      </c>
      <c r="DS59" s="1543">
        <f t="shared" si="100"/>
        <v>0</v>
      </c>
      <c r="DT59" s="1543">
        <f t="shared" si="100"/>
        <v>0</v>
      </c>
      <c r="DU59" s="1543">
        <f t="shared" si="100"/>
        <v>0</v>
      </c>
      <c r="DV59" s="1543">
        <f t="shared" si="100"/>
        <v>0</v>
      </c>
      <c r="DW59" s="1543">
        <f t="shared" si="100"/>
        <v>0</v>
      </c>
      <c r="DX59" s="1543">
        <f t="shared" si="100"/>
        <v>0</v>
      </c>
      <c r="DY59" s="1543">
        <f t="shared" si="100"/>
        <v>0</v>
      </c>
      <c r="DZ59" s="1543">
        <f t="shared" si="100"/>
        <v>0</v>
      </c>
      <c r="EA59" s="1543">
        <f t="shared" si="100"/>
        <v>0</v>
      </c>
      <c r="EB59" s="1543">
        <f t="shared" si="71"/>
        <v>0</v>
      </c>
      <c r="EC59" s="1543">
        <f t="shared" si="71"/>
        <v>0</v>
      </c>
      <c r="ED59" s="1543">
        <f t="shared" si="71"/>
        <v>0</v>
      </c>
      <c r="EE59" s="1543">
        <f t="shared" si="71"/>
        <v>0</v>
      </c>
      <c r="EF59" s="1543">
        <f t="shared" si="71"/>
        <v>0</v>
      </c>
      <c r="EH59" s="1543">
        <f t="shared" si="131"/>
        <v>0</v>
      </c>
      <c r="EI59" s="1543">
        <f t="shared" si="132"/>
        <v>0</v>
      </c>
      <c r="EJ59" s="1543">
        <f t="shared" si="133"/>
        <v>0</v>
      </c>
      <c r="EK59" s="1543">
        <f t="shared" si="134"/>
        <v>0</v>
      </c>
      <c r="EL59" s="1543">
        <f t="shared" si="135"/>
        <v>0</v>
      </c>
      <c r="EM59" s="1543">
        <f t="shared" si="136"/>
        <v>0</v>
      </c>
      <c r="EN59" s="1543">
        <f t="shared" si="137"/>
        <v>0</v>
      </c>
      <c r="EP59" s="1543">
        <f t="shared" si="72"/>
        <v>0</v>
      </c>
      <c r="EQ59" s="1543">
        <f t="shared" si="72"/>
        <v>0</v>
      </c>
      <c r="ER59" s="1543">
        <f t="shared" si="72"/>
        <v>0</v>
      </c>
      <c r="ES59" s="1543">
        <f t="shared" si="72"/>
        <v>0</v>
      </c>
      <c r="ET59" s="1543">
        <f t="shared" si="123"/>
        <v>0</v>
      </c>
      <c r="EU59" s="1543">
        <f t="shared" si="123"/>
        <v>0</v>
      </c>
      <c r="EV59" s="1543">
        <f t="shared" si="123"/>
        <v>0</v>
      </c>
      <c r="EW59" s="1543">
        <f t="shared" si="123"/>
        <v>0</v>
      </c>
      <c r="EX59" s="1543">
        <f t="shared" si="123"/>
        <v>0</v>
      </c>
      <c r="EY59" s="1543">
        <f t="shared" si="123"/>
        <v>0</v>
      </c>
      <c r="EZ59" s="1543">
        <f t="shared" si="123"/>
        <v>0</v>
      </c>
      <c r="FA59" s="1543">
        <f t="shared" si="123"/>
        <v>0</v>
      </c>
      <c r="FB59" s="1543">
        <f t="shared" si="123"/>
        <v>0</v>
      </c>
      <c r="FC59" s="1543">
        <f t="shared" si="123"/>
        <v>0</v>
      </c>
      <c r="FD59" s="1543">
        <f t="shared" si="123"/>
        <v>0</v>
      </c>
      <c r="FE59" s="1543">
        <f t="shared" si="52"/>
        <v>0</v>
      </c>
      <c r="FF59" s="1543">
        <f t="shared" si="40"/>
        <v>1</v>
      </c>
      <c r="FH59" s="1543">
        <f t="shared" si="121"/>
        <v>0</v>
      </c>
      <c r="FI59" s="1543">
        <f t="shared" si="121"/>
        <v>0</v>
      </c>
      <c r="FJ59" s="1543">
        <f t="shared" si="121"/>
        <v>0</v>
      </c>
      <c r="FK59" s="1543">
        <f t="shared" si="121"/>
        <v>0</v>
      </c>
      <c r="FL59" s="1543">
        <f t="shared" si="121"/>
        <v>0</v>
      </c>
      <c r="FM59" s="1543">
        <f t="shared" si="121"/>
        <v>0</v>
      </c>
      <c r="FN59" s="1543">
        <f t="shared" si="121"/>
        <v>0</v>
      </c>
      <c r="FO59" s="1543">
        <f t="shared" si="121"/>
        <v>0</v>
      </c>
      <c r="FP59" s="1543">
        <f t="shared" si="121"/>
        <v>0</v>
      </c>
      <c r="FQ59" s="1543">
        <f t="shared" si="121"/>
        <v>0</v>
      </c>
      <c r="FR59" s="1543">
        <f t="shared" si="121"/>
        <v>0</v>
      </c>
      <c r="FS59" s="1543">
        <f t="shared" si="121"/>
        <v>0</v>
      </c>
      <c r="FT59" s="1543">
        <f t="shared" si="41"/>
        <v>0</v>
      </c>
      <c r="FV59" s="1543">
        <f t="shared" si="122"/>
        <v>1</v>
      </c>
      <c r="FW59" s="1543">
        <f t="shared" si="122"/>
        <v>0</v>
      </c>
      <c r="FX59" s="1543">
        <f t="shared" si="122"/>
        <v>0</v>
      </c>
      <c r="FY59" s="1543">
        <f t="shared" si="122"/>
        <v>0</v>
      </c>
      <c r="FZ59" s="1543">
        <f t="shared" si="122"/>
        <v>0</v>
      </c>
      <c r="GA59" s="1543">
        <f t="shared" si="122"/>
        <v>0</v>
      </c>
      <c r="GB59" s="1543">
        <f t="shared" si="122"/>
        <v>0</v>
      </c>
      <c r="GC59" s="1543">
        <f t="shared" si="122"/>
        <v>0</v>
      </c>
      <c r="GD59" s="1543">
        <f t="shared" si="122"/>
        <v>0</v>
      </c>
    </row>
    <row r="60" spans="1:186" s="982" customFormat="1" ht="15.6" x14ac:dyDescent="0.3">
      <c r="A60" s="974">
        <v>58</v>
      </c>
      <c r="B60" s="983"/>
      <c r="C60" s="984"/>
      <c r="D60" s="983"/>
      <c r="E60" s="968" t="str">
        <f>IFERROR(VLOOKUP($D60&amp;"."&amp;B60,'Piping Class'!$1:$1048576,MATCH($I60,'Piping Class'!$2:$2,0),0),"")</f>
        <v/>
      </c>
      <c r="F60" s="985" t="str">
        <f>IFERROR(IF(B60="Flange",VLOOKUP($D60,'Piping Class'!$88:$102,MATCH(F$1,'Piping Class'!$88:$88,0),0),""),"")</f>
        <v/>
      </c>
      <c r="G60" s="968" t="str">
        <f>IFERROR(IF(B60="Flange",VLOOKUP($D60,'Piping Class'!$88:$102,MATCH(G$1,'Piping Class'!$88:$88,0),0),""),"")</f>
        <v/>
      </c>
      <c r="H60" s="968" t="str">
        <f>IFERROR(VLOOKUP($D60,'Piping Class'!$88:$102,MATCH(H$1,'Piping Class'!$88:$88,0),0),"")</f>
        <v/>
      </c>
      <c r="I60" s="986"/>
      <c r="J60" s="987"/>
      <c r="K60" s="968" t="str">
        <f>IFERROR(VLOOKUP(I60,'Thickness Tab'!$1:$1048576,MATCH(L60,'Thickness Tab'!$1:$1,0),0),"")</f>
        <v/>
      </c>
      <c r="L60" s="969" t="str">
        <f>IFERROR(VLOOKUP($D60,'Piping Class'!$1:$1048576,MATCH($I60,'Piping Class'!$2:$2,0),0),"")</f>
        <v/>
      </c>
      <c r="M60" s="968" t="str">
        <f>IFERROR(VLOOKUP(J60,'Thickness Tab'!$1:$1048576,MATCH(N60,'Thickness Tab'!$1:$1,0),0),"")</f>
        <v/>
      </c>
      <c r="N60" s="969" t="str">
        <f>IFERROR(VLOOKUP($D60,'Piping Class'!$1:$1048576,MATCH($J60,'Piping Class'!$2:$2,0),0),"")</f>
        <v/>
      </c>
      <c r="O60" s="968" t="str">
        <f>IFERROR(VLOOKUP($D60,'Piping Class'!$88:$102,MATCH(O$1,'Piping Class'!$88:$88,0),0),"")</f>
        <v/>
      </c>
      <c r="P60" s="968" t="str">
        <f>IFERROR(VLOOKUP($D60,'Piping Class'!$88:$102,MATCH(P$1,'Piping Class'!$88:$88,0),0),"")</f>
        <v/>
      </c>
      <c r="Q60" s="983"/>
      <c r="R60" s="988"/>
      <c r="S60" s="969" t="str">
        <f t="shared" si="102"/>
        <v/>
      </c>
      <c r="T60" s="968">
        <f>IFERROR(VLOOKUP(I60&amp;"."&amp;L60,'Fitting Chart'!$1:$1048576,MATCH(C60,'Fitting Chart'!$1:$1,0),0),0)+IF(B60="piping",PI()*K60*(VLOOKUP(I60,'Thickness Tab'!$1:$1048576,3,0)-K60)*7.86/1000,0)+IF(B60="Flange",VLOOKUP(I60&amp;"F"&amp;F60,'Flanges Chart'!$1:$1048576,MATCH(C60&amp;"."&amp;T$1,'Flanges Chart'!$1:$1,0),0),0)</f>
        <v>0</v>
      </c>
      <c r="U60" s="989">
        <f t="shared" si="103"/>
        <v>0</v>
      </c>
      <c r="V60" s="1003"/>
      <c r="W60" s="1001">
        <f t="shared" si="124"/>
        <v>0</v>
      </c>
      <c r="X60" s="997"/>
      <c r="Y60" s="983"/>
      <c r="Z60" s="989">
        <f>IF(B60="Piping",VLOOKUP(I60,'Thickness Tab'!$1:$1048576,3,0)/1000*PI(),0)+IFERROR(VLOOKUP(I60&amp;"F"&amp;F60,'Flanges Chart'!$1:$1048576,MATCH(C60&amp;".Unit Surface",'Flanges Chart'!$1:$1,0),0),0)+IF(B60="Fitting",VLOOKUP(I60,'Thickness Tab'!$1:$1048576,3,0)/1000*PI(),0)</f>
        <v>0</v>
      </c>
      <c r="AA60" s="989">
        <f t="shared" si="125"/>
        <v>0</v>
      </c>
      <c r="AB60" s="983">
        <v>0</v>
      </c>
      <c r="AC60" s="989">
        <f t="shared" si="24"/>
        <v>0</v>
      </c>
      <c r="AD60" s="989">
        <f t="shared" si="25"/>
        <v>0</v>
      </c>
      <c r="AE60" s="974">
        <f>(IFERROR(VLOOKUP($C60,List!$J:$L,2,0),0)*R60+IF(B60="piping",R60,0)+IF(C60="Welding Neck",1,0)*R60)*$AE$2</f>
        <v>0</v>
      </c>
      <c r="AF60" s="970">
        <f>IFERROR(VLOOKUP($C60,List!$J:$L,3,0),0)*R60*$AF$2</f>
        <v>0</v>
      </c>
      <c r="AG60" s="990">
        <f t="shared" si="126"/>
        <v>0</v>
      </c>
      <c r="AH60" s="1118" t="str">
        <f>IFERROR(VLOOKUP($D60,'Piping Class'!$88:$102,MATCH(AH$1,'Piping Class'!$88:$88,0),0),"")</f>
        <v/>
      </c>
      <c r="AI60" s="991" t="str">
        <f>IFERROR(VLOOKUP($D60,'Piping Class'!$88:$102,MATCH(AI$1,'Piping Class'!$88:$88,0),0),"")</f>
        <v/>
      </c>
      <c r="AJ60" s="991" t="str">
        <f>IFERROR(VLOOKUP($D60,'Piping Class'!$88:$102,MATCH(AJ$1,'Piping Class'!$88:$88,0),0),"")</f>
        <v/>
      </c>
      <c r="AK60" s="991" t="str">
        <f>IFERROR(VLOOKUP($D60,'Piping Class'!$88:$102,MATCH(AK$1,'Piping Class'!$88:$88,0),0),"")</f>
        <v/>
      </c>
      <c r="AL60" s="991">
        <f t="shared" si="44"/>
        <v>0</v>
      </c>
      <c r="AM60" s="1119" t="str">
        <f>IFERROR(VLOOKUP($D60,'Piping Class'!$88:$102,MATCH(AM$1,'Piping Class'!$88:$88,0),0),"")</f>
        <v/>
      </c>
      <c r="AN60" s="992">
        <f t="shared" si="26"/>
        <v>0</v>
      </c>
      <c r="AO60" s="993">
        <f>IFERROR(VLOOKUP(I60&amp;"B"&amp;F60,'Bolting Chart'!$1:$1048576,4,0),0)</f>
        <v>0</v>
      </c>
      <c r="AP60" s="993">
        <f t="shared" si="127"/>
        <v>0</v>
      </c>
      <c r="AQ60" s="993">
        <f t="shared" si="128"/>
        <v>0</v>
      </c>
      <c r="AR60" s="993">
        <f>IF(AO60=0,0,VLOOKUP(D60&amp;".bolting",'Piping Class'!$1:$1048576,MATCH(I60,'Piping Class'!$2:$2,0),0))</f>
        <v>0</v>
      </c>
      <c r="AS60" s="994">
        <f>IFERROR(VLOOKUP(I60&amp;"B"&amp;F60,'Bolting Chart'!$1:$1048576,IF(AS$2="UNC",5,6),0),0)</f>
        <v>0</v>
      </c>
      <c r="AT60" s="995">
        <f>IFERROR(VLOOKUP(I60&amp;"B"&amp;F60,'Bolting Chart'!$1:$1048576,IF(G60="RF",8,9),0),0)</f>
        <v>0</v>
      </c>
      <c r="AU60" s="993">
        <f>IF(AO60=0,0,VLOOKUP(D60&amp;".gasket",'Piping Class'!$1:$1048576,MATCH(I60,'Piping Class'!$2:$2,0),0))</f>
        <v>0</v>
      </c>
      <c r="AV60" s="996">
        <f>(IFERROR(INDEX('Bolting Chart'!$A$169:$R$251,MATCH(AT60,'Bolting Chart'!$A$170:$A$251,0),MATCH(IFERROR(VLOOKUP(I60&amp;"B"&amp;F60,'Bolting Chart'!$1:$1048576,7,0),0)+0,'Bolting Chart'!$A$169:$R$169,0)),0))/100</f>
        <v>0</v>
      </c>
      <c r="AW60" s="996">
        <f t="shared" si="129"/>
        <v>0</v>
      </c>
      <c r="AX60" s="1194">
        <f t="shared" si="130"/>
        <v>0</v>
      </c>
      <c r="AY60" s="981"/>
      <c r="AZ60" s="1543">
        <f t="shared" si="63"/>
        <v>0</v>
      </c>
      <c r="BA60" s="1543">
        <f t="shared" si="63"/>
        <v>0</v>
      </c>
      <c r="BB60" s="1543">
        <f t="shared" si="63"/>
        <v>0</v>
      </c>
      <c r="BC60" s="1543">
        <f t="shared" si="63"/>
        <v>0</v>
      </c>
      <c r="BD60" s="1543">
        <f t="shared" si="63"/>
        <v>0</v>
      </c>
      <c r="BE60" s="1543">
        <f t="shared" si="63"/>
        <v>0</v>
      </c>
      <c r="BF60" s="1543">
        <f t="shared" si="63"/>
        <v>0</v>
      </c>
      <c r="BG60" s="1543">
        <f t="shared" si="63"/>
        <v>0</v>
      </c>
      <c r="BH60" s="1543">
        <f t="shared" si="63"/>
        <v>0</v>
      </c>
      <c r="BI60" s="1543">
        <f t="shared" si="63"/>
        <v>0</v>
      </c>
      <c r="BJ60" s="1543">
        <f t="shared" si="63"/>
        <v>0</v>
      </c>
      <c r="BK60" s="1543">
        <f t="shared" si="63"/>
        <v>0</v>
      </c>
      <c r="BL60" s="1543">
        <f t="shared" si="63"/>
        <v>0</v>
      </c>
      <c r="BM60" s="1543">
        <f t="shared" si="63"/>
        <v>0</v>
      </c>
      <c r="BN60" s="1543">
        <f t="shared" si="63"/>
        <v>0</v>
      </c>
      <c r="BO60" s="1543">
        <f t="shared" si="63"/>
        <v>0</v>
      </c>
      <c r="BP60" s="1543">
        <f t="shared" si="89"/>
        <v>0</v>
      </c>
      <c r="BQ60" s="1543">
        <f t="shared" si="138"/>
        <v>0</v>
      </c>
      <c r="BR60" s="1543">
        <f t="shared" si="89"/>
        <v>0</v>
      </c>
      <c r="BS60" s="1543">
        <f t="shared" si="89"/>
        <v>0</v>
      </c>
      <c r="BT60" s="1543">
        <f t="shared" si="89"/>
        <v>0</v>
      </c>
      <c r="BU60" s="1543">
        <f t="shared" si="89"/>
        <v>0</v>
      </c>
      <c r="BV60" s="1543">
        <f t="shared" si="89"/>
        <v>0</v>
      </c>
      <c r="BW60" s="1543">
        <f t="shared" si="89"/>
        <v>0</v>
      </c>
      <c r="BX60" s="1543">
        <f t="shared" si="89"/>
        <v>0</v>
      </c>
      <c r="BY60" s="1543">
        <f t="shared" si="89"/>
        <v>0</v>
      </c>
      <c r="BZ60" s="1543">
        <f t="shared" si="89"/>
        <v>0</v>
      </c>
      <c r="CB60" s="1543">
        <f t="shared" si="64"/>
        <v>0</v>
      </c>
      <c r="CC60" s="1543">
        <f t="shared" si="64"/>
        <v>0</v>
      </c>
      <c r="CD60" s="1543">
        <f t="shared" si="64"/>
        <v>0</v>
      </c>
      <c r="CE60" s="1543">
        <f t="shared" si="64"/>
        <v>0</v>
      </c>
      <c r="CF60" s="1543">
        <f t="shared" si="64"/>
        <v>0</v>
      </c>
      <c r="CG60" s="1543">
        <f t="shared" si="64"/>
        <v>0</v>
      </c>
      <c r="CH60" s="1543">
        <f t="shared" si="64"/>
        <v>0</v>
      </c>
      <c r="CI60" s="1543">
        <f t="shared" si="64"/>
        <v>0</v>
      </c>
      <c r="CJ60" s="1543">
        <f t="shared" si="64"/>
        <v>0</v>
      </c>
      <c r="CK60" s="1543">
        <f t="shared" si="64"/>
        <v>0</v>
      </c>
      <c r="CL60" s="1543">
        <f t="shared" si="64"/>
        <v>0</v>
      </c>
      <c r="CM60" s="1543">
        <f t="shared" si="64"/>
        <v>0</v>
      </c>
      <c r="CN60" s="1543">
        <f t="shared" si="64"/>
        <v>0</v>
      </c>
      <c r="CO60" s="1543">
        <f t="shared" si="64"/>
        <v>0</v>
      </c>
      <c r="CP60" s="1543">
        <f t="shared" si="64"/>
        <v>0</v>
      </c>
      <c r="CQ60" s="1543">
        <f t="shared" si="64"/>
        <v>0</v>
      </c>
      <c r="CR60" s="1543">
        <f t="shared" si="91"/>
        <v>0</v>
      </c>
      <c r="CS60" s="1543">
        <f t="shared" si="46"/>
        <v>0</v>
      </c>
      <c r="CT60" s="1543">
        <f t="shared" si="101"/>
        <v>0</v>
      </c>
      <c r="CU60" s="1543">
        <f t="shared" si="101"/>
        <v>0</v>
      </c>
      <c r="CV60" s="1543">
        <f t="shared" si="101"/>
        <v>0</v>
      </c>
      <c r="CW60" s="1543">
        <f t="shared" si="101"/>
        <v>0</v>
      </c>
      <c r="CX60" s="1543">
        <f t="shared" si="101"/>
        <v>0</v>
      </c>
      <c r="CY60" s="1543">
        <f t="shared" si="101"/>
        <v>0</v>
      </c>
      <c r="CZ60" s="1543">
        <f t="shared" si="101"/>
        <v>0</v>
      </c>
      <c r="DA60" s="1543">
        <f t="shared" si="101"/>
        <v>0</v>
      </c>
      <c r="DB60" s="1543">
        <f t="shared" si="101"/>
        <v>0</v>
      </c>
      <c r="DD60" s="1543">
        <f t="shared" si="68"/>
        <v>0</v>
      </c>
      <c r="DE60" s="1543">
        <f t="shared" si="69"/>
        <v>0</v>
      </c>
      <c r="DF60" s="1543">
        <f t="shared" si="70"/>
        <v>0</v>
      </c>
      <c r="DG60" s="1543">
        <f t="shared" si="31"/>
        <v>0</v>
      </c>
      <c r="DI60" s="1543">
        <f t="shared" si="32"/>
        <v>0</v>
      </c>
      <c r="DJ60" s="1543">
        <f t="shared" si="74"/>
        <v>0</v>
      </c>
      <c r="DK60" s="1543">
        <f t="shared" si="74"/>
        <v>0</v>
      </c>
      <c r="DL60" s="1543">
        <f t="shared" si="74"/>
        <v>0</v>
      </c>
      <c r="DM60" s="1543">
        <f t="shared" si="74"/>
        <v>0</v>
      </c>
      <c r="DO60" s="1543">
        <f t="shared" si="100"/>
        <v>0</v>
      </c>
      <c r="DP60" s="1543">
        <f t="shared" si="100"/>
        <v>0</v>
      </c>
      <c r="DQ60" s="1543">
        <f t="shared" si="100"/>
        <v>0</v>
      </c>
      <c r="DR60" s="1543">
        <f t="shared" si="100"/>
        <v>0</v>
      </c>
      <c r="DS60" s="1543">
        <f t="shared" si="100"/>
        <v>0</v>
      </c>
      <c r="DT60" s="1543">
        <f t="shared" si="100"/>
        <v>0</v>
      </c>
      <c r="DU60" s="1543">
        <f t="shared" si="100"/>
        <v>0</v>
      </c>
      <c r="DV60" s="1543">
        <f t="shared" si="100"/>
        <v>0</v>
      </c>
      <c r="DW60" s="1543">
        <f t="shared" si="100"/>
        <v>0</v>
      </c>
      <c r="DX60" s="1543">
        <f t="shared" si="100"/>
        <v>0</v>
      </c>
      <c r="DY60" s="1543">
        <f t="shared" si="100"/>
        <v>0</v>
      </c>
      <c r="DZ60" s="1543">
        <f t="shared" si="100"/>
        <v>0</v>
      </c>
      <c r="EA60" s="1543">
        <f t="shared" si="100"/>
        <v>0</v>
      </c>
      <c r="EB60" s="1543">
        <f t="shared" si="71"/>
        <v>0</v>
      </c>
      <c r="EC60" s="1543">
        <f t="shared" si="71"/>
        <v>0</v>
      </c>
      <c r="ED60" s="1543">
        <f t="shared" si="71"/>
        <v>0</v>
      </c>
      <c r="EE60" s="1543">
        <f t="shared" si="71"/>
        <v>0</v>
      </c>
      <c r="EF60" s="1543">
        <f t="shared" si="71"/>
        <v>0</v>
      </c>
      <c r="EH60" s="1543">
        <f t="shared" si="131"/>
        <v>0</v>
      </c>
      <c r="EI60" s="1543">
        <f t="shared" si="132"/>
        <v>0</v>
      </c>
      <c r="EJ60" s="1543">
        <f t="shared" si="133"/>
        <v>0</v>
      </c>
      <c r="EK60" s="1543">
        <f t="shared" si="134"/>
        <v>0</v>
      </c>
      <c r="EL60" s="1543">
        <f t="shared" si="135"/>
        <v>0</v>
      </c>
      <c r="EM60" s="1543">
        <f t="shared" si="136"/>
        <v>0</v>
      </c>
      <c r="EN60" s="1543">
        <f t="shared" si="137"/>
        <v>0</v>
      </c>
      <c r="EP60" s="1543">
        <f t="shared" si="72"/>
        <v>0</v>
      </c>
      <c r="EQ60" s="1543">
        <f t="shared" si="72"/>
        <v>0</v>
      </c>
      <c r="ER60" s="1543">
        <f t="shared" si="72"/>
        <v>0</v>
      </c>
      <c r="ES60" s="1543">
        <f t="shared" si="72"/>
        <v>0</v>
      </c>
      <c r="ET60" s="1543">
        <f t="shared" si="123"/>
        <v>0</v>
      </c>
      <c r="EU60" s="1543">
        <f t="shared" si="123"/>
        <v>0</v>
      </c>
      <c r="EV60" s="1543">
        <f t="shared" si="123"/>
        <v>0</v>
      </c>
      <c r="EW60" s="1543">
        <f t="shared" si="123"/>
        <v>0</v>
      </c>
      <c r="EX60" s="1543">
        <f t="shared" si="123"/>
        <v>0</v>
      </c>
      <c r="EY60" s="1543">
        <f t="shared" si="123"/>
        <v>0</v>
      </c>
      <c r="EZ60" s="1543">
        <f t="shared" si="123"/>
        <v>0</v>
      </c>
      <c r="FA60" s="1543">
        <f t="shared" si="123"/>
        <v>0</v>
      </c>
      <c r="FB60" s="1543">
        <f t="shared" si="123"/>
        <v>0</v>
      </c>
      <c r="FC60" s="1543">
        <f t="shared" si="123"/>
        <v>0</v>
      </c>
      <c r="FD60" s="1543">
        <f t="shared" si="123"/>
        <v>0</v>
      </c>
      <c r="FE60" s="1543">
        <f t="shared" si="52"/>
        <v>0</v>
      </c>
      <c r="FF60" s="1543">
        <f t="shared" si="40"/>
        <v>1</v>
      </c>
      <c r="FH60" s="1543">
        <f t="shared" si="121"/>
        <v>0</v>
      </c>
      <c r="FI60" s="1543">
        <f t="shared" si="121"/>
        <v>0</v>
      </c>
      <c r="FJ60" s="1543">
        <f t="shared" si="121"/>
        <v>0</v>
      </c>
      <c r="FK60" s="1543">
        <f t="shared" si="121"/>
        <v>0</v>
      </c>
      <c r="FL60" s="1543">
        <f t="shared" si="121"/>
        <v>0</v>
      </c>
      <c r="FM60" s="1543">
        <f t="shared" si="121"/>
        <v>0</v>
      </c>
      <c r="FN60" s="1543">
        <f t="shared" si="121"/>
        <v>0</v>
      </c>
      <c r="FO60" s="1543">
        <f t="shared" si="121"/>
        <v>0</v>
      </c>
      <c r="FP60" s="1543">
        <f t="shared" si="121"/>
        <v>0</v>
      </c>
      <c r="FQ60" s="1543">
        <f t="shared" si="121"/>
        <v>0</v>
      </c>
      <c r="FR60" s="1543">
        <f t="shared" si="121"/>
        <v>0</v>
      </c>
      <c r="FS60" s="1543">
        <f t="shared" si="121"/>
        <v>0</v>
      </c>
      <c r="FT60" s="1543">
        <f t="shared" si="41"/>
        <v>0</v>
      </c>
      <c r="FV60" s="1543">
        <f t="shared" si="122"/>
        <v>1</v>
      </c>
      <c r="FW60" s="1543">
        <f t="shared" si="122"/>
        <v>0</v>
      </c>
      <c r="FX60" s="1543">
        <f t="shared" si="122"/>
        <v>0</v>
      </c>
      <c r="FY60" s="1543">
        <f t="shared" si="122"/>
        <v>0</v>
      </c>
      <c r="FZ60" s="1543">
        <f t="shared" si="122"/>
        <v>0</v>
      </c>
      <c r="GA60" s="1543">
        <f t="shared" si="122"/>
        <v>0</v>
      </c>
      <c r="GB60" s="1543">
        <f t="shared" si="122"/>
        <v>0</v>
      </c>
      <c r="GC60" s="1543">
        <f t="shared" si="122"/>
        <v>0</v>
      </c>
      <c r="GD60" s="1543">
        <f t="shared" si="122"/>
        <v>0</v>
      </c>
    </row>
    <row r="61" spans="1:186" s="982" customFormat="1" ht="15.6" x14ac:dyDescent="0.3">
      <c r="A61" s="974">
        <v>59</v>
      </c>
      <c r="B61" s="983"/>
      <c r="C61" s="984"/>
      <c r="D61" s="983"/>
      <c r="E61" s="968" t="str">
        <f>IFERROR(VLOOKUP($D61&amp;"."&amp;B61,'Piping Class'!$1:$1048576,MATCH($I61,'Piping Class'!$2:$2,0),0),"")</f>
        <v/>
      </c>
      <c r="F61" s="985" t="str">
        <f>IFERROR(IF(B61="Flange",VLOOKUP($D61,'Piping Class'!$88:$102,MATCH(F$1,'Piping Class'!$88:$88,0),0),""),"")</f>
        <v/>
      </c>
      <c r="G61" s="968" t="str">
        <f>IFERROR(IF(B61="Flange",VLOOKUP($D61,'Piping Class'!$88:$102,MATCH(G$1,'Piping Class'!$88:$88,0),0),""),"")</f>
        <v/>
      </c>
      <c r="H61" s="968" t="str">
        <f>IFERROR(VLOOKUP($D61,'Piping Class'!$88:$102,MATCH(H$1,'Piping Class'!$88:$88,0),0),"")</f>
        <v/>
      </c>
      <c r="I61" s="986"/>
      <c r="J61" s="987"/>
      <c r="K61" s="968" t="str">
        <f>IFERROR(VLOOKUP(I61,'Thickness Tab'!$1:$1048576,MATCH(L61,'Thickness Tab'!$1:$1,0),0),"")</f>
        <v/>
      </c>
      <c r="L61" s="969" t="str">
        <f>IFERROR(VLOOKUP($D61,'Piping Class'!$1:$1048576,MATCH($I61,'Piping Class'!$2:$2,0),0),"")</f>
        <v/>
      </c>
      <c r="M61" s="968" t="str">
        <f>IFERROR(VLOOKUP(J61,'Thickness Tab'!$1:$1048576,MATCH(N61,'Thickness Tab'!$1:$1,0),0),"")</f>
        <v/>
      </c>
      <c r="N61" s="969" t="str">
        <f>IFERROR(VLOOKUP($D61,'Piping Class'!$1:$1048576,MATCH($J61,'Piping Class'!$2:$2,0),0),"")</f>
        <v/>
      </c>
      <c r="O61" s="968" t="str">
        <f>IFERROR(VLOOKUP($D61,'Piping Class'!$88:$102,MATCH(O$1,'Piping Class'!$88:$88,0),0),"")</f>
        <v/>
      </c>
      <c r="P61" s="968" t="str">
        <f>IFERROR(VLOOKUP($D61,'Piping Class'!$88:$102,MATCH(P$1,'Piping Class'!$88:$88,0),0),"")</f>
        <v/>
      </c>
      <c r="Q61" s="983"/>
      <c r="R61" s="988"/>
      <c r="S61" s="969" t="str">
        <f t="shared" si="102"/>
        <v/>
      </c>
      <c r="T61" s="968">
        <f>IFERROR(VLOOKUP(I61&amp;"."&amp;L61,'Fitting Chart'!$1:$1048576,MATCH(C61,'Fitting Chart'!$1:$1,0),0),0)+IF(B61="piping",PI()*K61*(VLOOKUP(I61,'Thickness Tab'!$1:$1048576,3,0)-K61)*7.86/1000,0)+IF(B61="Flange",VLOOKUP(I61&amp;"F"&amp;F61,'Flanges Chart'!$1:$1048576,MATCH(C61&amp;"."&amp;T$1,'Flanges Chart'!$1:$1,0),0),0)</f>
        <v>0</v>
      </c>
      <c r="U61" s="989">
        <f t="shared" si="103"/>
        <v>0</v>
      </c>
      <c r="V61" s="1003"/>
      <c r="W61" s="1001">
        <f t="shared" si="124"/>
        <v>0</v>
      </c>
      <c r="X61" s="997"/>
      <c r="Y61" s="983"/>
      <c r="Z61" s="989">
        <f>IF(B61="Piping",VLOOKUP(I61,'Thickness Tab'!$1:$1048576,3,0)/1000*PI(),0)+IFERROR(VLOOKUP(I61&amp;"F"&amp;F61,'Flanges Chart'!$1:$1048576,MATCH(C61&amp;".Unit Surface",'Flanges Chart'!$1:$1,0),0),0)+IF(B61="Fitting",VLOOKUP(I61,'Thickness Tab'!$1:$1048576,3,0)/1000*PI(),0)</f>
        <v>0</v>
      </c>
      <c r="AA61" s="989">
        <f t="shared" si="125"/>
        <v>0</v>
      </c>
      <c r="AB61" s="983">
        <v>0</v>
      </c>
      <c r="AC61" s="989">
        <f t="shared" si="24"/>
        <v>0</v>
      </c>
      <c r="AD61" s="989">
        <f t="shared" si="25"/>
        <v>0</v>
      </c>
      <c r="AE61" s="974">
        <f>(IFERROR(VLOOKUP($C61,List!$J:$L,2,0),0)*R61+IF(B61="piping",R61,0)+IF(C61="Welding Neck",1,0)*R61)*$AE$2</f>
        <v>0</v>
      </c>
      <c r="AF61" s="970">
        <f>IFERROR(VLOOKUP($C61,List!$J:$L,3,0),0)*R61*$AF$2</f>
        <v>0</v>
      </c>
      <c r="AG61" s="990">
        <f t="shared" si="126"/>
        <v>0</v>
      </c>
      <c r="AH61" s="1118" t="str">
        <f>IFERROR(VLOOKUP($D61,'Piping Class'!$88:$102,MATCH(AH$1,'Piping Class'!$88:$88,0),0),"")</f>
        <v/>
      </c>
      <c r="AI61" s="991" t="str">
        <f>IFERROR(VLOOKUP($D61,'Piping Class'!$88:$102,MATCH(AI$1,'Piping Class'!$88:$88,0),0),"")</f>
        <v/>
      </c>
      <c r="AJ61" s="991" t="str">
        <f>IFERROR(VLOOKUP($D61,'Piping Class'!$88:$102,MATCH(AJ$1,'Piping Class'!$88:$88,0),0),"")</f>
        <v/>
      </c>
      <c r="AK61" s="991" t="str">
        <f>IFERROR(VLOOKUP($D61,'Piping Class'!$88:$102,MATCH(AK$1,'Piping Class'!$88:$88,0),0),"")</f>
        <v/>
      </c>
      <c r="AL61" s="991">
        <f t="shared" si="44"/>
        <v>0</v>
      </c>
      <c r="AM61" s="1119" t="str">
        <f>IFERROR(VLOOKUP($D61,'Piping Class'!$88:$102,MATCH(AM$1,'Piping Class'!$88:$88,0),0),"")</f>
        <v/>
      </c>
      <c r="AN61" s="992">
        <f t="shared" si="26"/>
        <v>0</v>
      </c>
      <c r="AO61" s="993">
        <f>IFERROR(VLOOKUP(I61&amp;"B"&amp;F61,'Bolting Chart'!$1:$1048576,4,0),0)</f>
        <v>0</v>
      </c>
      <c r="AP61" s="993">
        <f t="shared" si="127"/>
        <v>0</v>
      </c>
      <c r="AQ61" s="993">
        <f t="shared" si="128"/>
        <v>0</v>
      </c>
      <c r="AR61" s="993">
        <f>IF(AO61=0,0,VLOOKUP(D61&amp;".bolting",'Piping Class'!$1:$1048576,MATCH(I61,'Piping Class'!$2:$2,0),0))</f>
        <v>0</v>
      </c>
      <c r="AS61" s="994">
        <f>IFERROR(VLOOKUP(I61&amp;"B"&amp;F61,'Bolting Chart'!$1:$1048576,IF(AS$2="UNC",5,6),0),0)</f>
        <v>0</v>
      </c>
      <c r="AT61" s="995">
        <f>IFERROR(VLOOKUP(I61&amp;"B"&amp;F61,'Bolting Chart'!$1:$1048576,IF(G61="RF",8,9),0),0)</f>
        <v>0</v>
      </c>
      <c r="AU61" s="993">
        <f>IF(AO61=0,0,VLOOKUP(D61&amp;".gasket",'Piping Class'!$1:$1048576,MATCH(I61,'Piping Class'!$2:$2,0),0))</f>
        <v>0</v>
      </c>
      <c r="AV61" s="996">
        <f>(IFERROR(INDEX('Bolting Chart'!$A$169:$R$251,MATCH(AT61,'Bolting Chart'!$A$170:$A$251,0),MATCH(IFERROR(VLOOKUP(I61&amp;"B"&amp;F61,'Bolting Chart'!$1:$1048576,7,0),0)+0,'Bolting Chart'!$A$169:$R$169,0)),0))/100</f>
        <v>0</v>
      </c>
      <c r="AW61" s="996">
        <f t="shared" si="129"/>
        <v>0</v>
      </c>
      <c r="AX61" s="1194">
        <f t="shared" si="130"/>
        <v>0</v>
      </c>
      <c r="AY61" s="981"/>
      <c r="AZ61" s="1543">
        <f t="shared" si="63"/>
        <v>0</v>
      </c>
      <c r="BA61" s="1543">
        <f t="shared" si="63"/>
        <v>0</v>
      </c>
      <c r="BB61" s="1543">
        <f t="shared" si="63"/>
        <v>0</v>
      </c>
      <c r="BC61" s="1543">
        <f t="shared" si="63"/>
        <v>0</v>
      </c>
      <c r="BD61" s="1543">
        <f t="shared" si="63"/>
        <v>0</v>
      </c>
      <c r="BE61" s="1543">
        <f t="shared" si="63"/>
        <v>0</v>
      </c>
      <c r="BF61" s="1543">
        <f t="shared" si="63"/>
        <v>0</v>
      </c>
      <c r="BG61" s="1543">
        <f t="shared" si="63"/>
        <v>0</v>
      </c>
      <c r="BH61" s="1543">
        <f t="shared" si="63"/>
        <v>0</v>
      </c>
      <c r="BI61" s="1543">
        <f t="shared" si="63"/>
        <v>0</v>
      </c>
      <c r="BJ61" s="1543">
        <f t="shared" si="63"/>
        <v>0</v>
      </c>
      <c r="BK61" s="1543">
        <f t="shared" si="63"/>
        <v>0</v>
      </c>
      <c r="BL61" s="1543">
        <f>IF($I61=BL$2,1,0)</f>
        <v>0</v>
      </c>
      <c r="BM61" s="1543">
        <f>IF($I61=BM$2,1,0)</f>
        <v>0</v>
      </c>
      <c r="BN61" s="1543">
        <f>IF($I61=BN$2,1,0)</f>
        <v>0</v>
      </c>
      <c r="BO61" s="1543">
        <f>IF($I61=BO$2,1,0)</f>
        <v>0</v>
      </c>
      <c r="BP61" s="1543">
        <f>IF($I61=BP$2,1,0)</f>
        <v>0</v>
      </c>
      <c r="BQ61" s="1543">
        <f t="shared" si="138"/>
        <v>0</v>
      </c>
      <c r="BR61" s="1543">
        <f t="shared" ref="BR61:BZ64" si="139">IF($I61=BR$2,1,0)</f>
        <v>0</v>
      </c>
      <c r="BS61" s="1543">
        <f t="shared" si="139"/>
        <v>0</v>
      </c>
      <c r="BT61" s="1543">
        <f t="shared" si="139"/>
        <v>0</v>
      </c>
      <c r="BU61" s="1543">
        <f t="shared" si="139"/>
        <v>0</v>
      </c>
      <c r="BV61" s="1543">
        <f t="shared" si="139"/>
        <v>0</v>
      </c>
      <c r="BW61" s="1543">
        <f t="shared" si="139"/>
        <v>0</v>
      </c>
      <c r="BX61" s="1543">
        <f t="shared" si="139"/>
        <v>0</v>
      </c>
      <c r="BY61" s="1543">
        <f t="shared" si="139"/>
        <v>0</v>
      </c>
      <c r="BZ61" s="1543">
        <f t="shared" si="139"/>
        <v>0</v>
      </c>
      <c r="CB61" s="1543">
        <f t="shared" si="64"/>
        <v>0</v>
      </c>
      <c r="CC61" s="1543">
        <f t="shared" si="64"/>
        <v>0</v>
      </c>
      <c r="CD61" s="1543">
        <f t="shared" si="64"/>
        <v>0</v>
      </c>
      <c r="CE61" s="1543">
        <f t="shared" si="64"/>
        <v>0</v>
      </c>
      <c r="CF61" s="1543">
        <f t="shared" si="64"/>
        <v>0</v>
      </c>
      <c r="CG61" s="1543">
        <f t="shared" si="64"/>
        <v>0</v>
      </c>
      <c r="CH61" s="1543">
        <f t="shared" si="64"/>
        <v>0</v>
      </c>
      <c r="CI61" s="1543">
        <f t="shared" si="64"/>
        <v>0</v>
      </c>
      <c r="CJ61" s="1543">
        <f t="shared" si="64"/>
        <v>0</v>
      </c>
      <c r="CK61" s="1543">
        <f t="shared" si="64"/>
        <v>0</v>
      </c>
      <c r="CL61" s="1543">
        <f t="shared" si="64"/>
        <v>0</v>
      </c>
      <c r="CM61" s="1543">
        <f t="shared" si="64"/>
        <v>0</v>
      </c>
      <c r="CN61" s="1543">
        <f>IF($J61=CN$2,1,0)</f>
        <v>0</v>
      </c>
      <c r="CO61" s="1543">
        <f>IF($J61=CO$2,1,0)</f>
        <v>0</v>
      </c>
      <c r="CP61" s="1543">
        <f>IF($J61=CP$2,1,0)</f>
        <v>0</v>
      </c>
      <c r="CQ61" s="1543">
        <f>IF($J61=CQ$2,1,0)</f>
        <v>0</v>
      </c>
      <c r="CR61" s="1543">
        <f>IF($J61=CR$2,1,0)</f>
        <v>0</v>
      </c>
      <c r="CS61" s="1543">
        <f t="shared" si="46"/>
        <v>0</v>
      </c>
      <c r="CT61" s="1543">
        <f t="shared" si="101"/>
        <v>0</v>
      </c>
      <c r="CU61" s="1543">
        <f t="shared" si="101"/>
        <v>0</v>
      </c>
      <c r="CV61" s="1543">
        <f t="shared" si="101"/>
        <v>0</v>
      </c>
      <c r="CW61" s="1543">
        <f t="shared" si="101"/>
        <v>0</v>
      </c>
      <c r="CX61" s="1543">
        <f t="shared" si="101"/>
        <v>0</v>
      </c>
      <c r="CY61" s="1543">
        <f t="shared" si="101"/>
        <v>0</v>
      </c>
      <c r="CZ61" s="1543">
        <f t="shared" si="101"/>
        <v>0</v>
      </c>
      <c r="DA61" s="1543">
        <f t="shared" si="101"/>
        <v>0</v>
      </c>
      <c r="DB61" s="1543">
        <f t="shared" si="101"/>
        <v>0</v>
      </c>
      <c r="DD61" s="1543">
        <f t="shared" si="68"/>
        <v>0</v>
      </c>
      <c r="DE61" s="1543">
        <f t="shared" si="69"/>
        <v>0</v>
      </c>
      <c r="DF61" s="1543">
        <f t="shared" si="70"/>
        <v>0</v>
      </c>
      <c r="DG61" s="1543">
        <f t="shared" si="31"/>
        <v>0</v>
      </c>
      <c r="DI61" s="1543">
        <f t="shared" si="32"/>
        <v>0</v>
      </c>
      <c r="DJ61" s="1543">
        <f t="shared" si="74"/>
        <v>0</v>
      </c>
      <c r="DK61" s="1543">
        <f t="shared" si="74"/>
        <v>0</v>
      </c>
      <c r="DL61" s="1543">
        <f t="shared" si="74"/>
        <v>0</v>
      </c>
      <c r="DM61" s="1543">
        <f t="shared" si="74"/>
        <v>0</v>
      </c>
      <c r="DO61" s="1543">
        <f t="shared" si="100"/>
        <v>0</v>
      </c>
      <c r="DP61" s="1543">
        <f t="shared" si="100"/>
        <v>0</v>
      </c>
      <c r="DQ61" s="1543">
        <f t="shared" si="100"/>
        <v>0</v>
      </c>
      <c r="DR61" s="1543">
        <f t="shared" si="100"/>
        <v>0</v>
      </c>
      <c r="DS61" s="1543">
        <f t="shared" si="100"/>
        <v>0</v>
      </c>
      <c r="DT61" s="1543">
        <f t="shared" si="100"/>
        <v>0</v>
      </c>
      <c r="DU61" s="1543">
        <f t="shared" si="100"/>
        <v>0</v>
      </c>
      <c r="DV61" s="1543">
        <f t="shared" si="100"/>
        <v>0</v>
      </c>
      <c r="DW61" s="1543">
        <f t="shared" si="100"/>
        <v>0</v>
      </c>
      <c r="DX61" s="1543">
        <f t="shared" si="100"/>
        <v>0</v>
      </c>
      <c r="DY61" s="1543">
        <f t="shared" si="100"/>
        <v>0</v>
      </c>
      <c r="DZ61" s="1543">
        <f t="shared" si="100"/>
        <v>0</v>
      </c>
      <c r="EA61" s="1543">
        <f t="shared" si="100"/>
        <v>0</v>
      </c>
      <c r="EB61" s="1543">
        <f t="shared" si="71"/>
        <v>0</v>
      </c>
      <c r="EC61" s="1543">
        <f t="shared" si="71"/>
        <v>0</v>
      </c>
      <c r="ED61" s="1543">
        <f t="shared" si="71"/>
        <v>0</v>
      </c>
      <c r="EE61" s="1543">
        <f t="shared" si="71"/>
        <v>0</v>
      </c>
      <c r="EF61" s="1543">
        <f t="shared" si="71"/>
        <v>0</v>
      </c>
      <c r="EH61" s="1543">
        <f t="shared" si="131"/>
        <v>0</v>
      </c>
      <c r="EI61" s="1543">
        <f t="shared" si="132"/>
        <v>0</v>
      </c>
      <c r="EJ61" s="1543">
        <f t="shared" si="133"/>
        <v>0</v>
      </c>
      <c r="EK61" s="1543">
        <f t="shared" si="134"/>
        <v>0</v>
      </c>
      <c r="EL61" s="1543">
        <f t="shared" si="135"/>
        <v>0</v>
      </c>
      <c r="EM61" s="1543">
        <f t="shared" si="136"/>
        <v>0</v>
      </c>
      <c r="EN61" s="1543">
        <f t="shared" si="137"/>
        <v>0</v>
      </c>
      <c r="EP61" s="1543">
        <f t="shared" si="72"/>
        <v>0</v>
      </c>
      <c r="EQ61" s="1543">
        <f t="shared" si="72"/>
        <v>0</v>
      </c>
      <c r="ER61" s="1543">
        <f t="shared" si="72"/>
        <v>0</v>
      </c>
      <c r="ES61" s="1543">
        <f t="shared" si="72"/>
        <v>0</v>
      </c>
      <c r="ET61" s="1543">
        <f t="shared" si="123"/>
        <v>0</v>
      </c>
      <c r="EU61" s="1543">
        <f t="shared" si="123"/>
        <v>0</v>
      </c>
      <c r="EV61" s="1543">
        <f t="shared" si="123"/>
        <v>0</v>
      </c>
      <c r="EW61" s="1543">
        <f t="shared" si="123"/>
        <v>0</v>
      </c>
      <c r="EX61" s="1543">
        <f t="shared" si="123"/>
        <v>0</v>
      </c>
      <c r="EY61" s="1543">
        <f t="shared" si="123"/>
        <v>0</v>
      </c>
      <c r="EZ61" s="1543">
        <f t="shared" si="123"/>
        <v>0</v>
      </c>
      <c r="FA61" s="1543">
        <f t="shared" si="123"/>
        <v>0</v>
      </c>
      <c r="FB61" s="1543">
        <f t="shared" si="123"/>
        <v>0</v>
      </c>
      <c r="FC61" s="1543">
        <f t="shared" si="123"/>
        <v>0</v>
      </c>
      <c r="FD61" s="1543">
        <f t="shared" si="123"/>
        <v>0</v>
      </c>
      <c r="FE61" s="1543">
        <f t="shared" si="52"/>
        <v>0</v>
      </c>
      <c r="FF61" s="1543">
        <f t="shared" si="40"/>
        <v>1</v>
      </c>
      <c r="FH61" s="1543">
        <f t="shared" si="121"/>
        <v>0</v>
      </c>
      <c r="FI61" s="1543">
        <f t="shared" si="121"/>
        <v>0</v>
      </c>
      <c r="FJ61" s="1543">
        <f t="shared" si="121"/>
        <v>0</v>
      </c>
      <c r="FK61" s="1543">
        <f t="shared" si="121"/>
        <v>0</v>
      </c>
      <c r="FL61" s="1543">
        <f t="shared" si="121"/>
        <v>0</v>
      </c>
      <c r="FM61" s="1543">
        <f t="shared" si="121"/>
        <v>0</v>
      </c>
      <c r="FN61" s="1543">
        <f t="shared" si="121"/>
        <v>0</v>
      </c>
      <c r="FO61" s="1543">
        <f t="shared" si="121"/>
        <v>0</v>
      </c>
      <c r="FP61" s="1543">
        <f t="shared" si="121"/>
        <v>0</v>
      </c>
      <c r="FQ61" s="1543">
        <f t="shared" si="121"/>
        <v>0</v>
      </c>
      <c r="FR61" s="1543">
        <f t="shared" si="121"/>
        <v>0</v>
      </c>
      <c r="FS61" s="1543">
        <f t="shared" si="121"/>
        <v>0</v>
      </c>
      <c r="FT61" s="1543">
        <f t="shared" si="41"/>
        <v>0</v>
      </c>
      <c r="FV61" s="1543">
        <f t="shared" si="122"/>
        <v>1</v>
      </c>
      <c r="FW61" s="1543">
        <f t="shared" si="122"/>
        <v>0</v>
      </c>
      <c r="FX61" s="1543">
        <f t="shared" si="122"/>
        <v>0</v>
      </c>
      <c r="FY61" s="1543">
        <f t="shared" si="122"/>
        <v>0</v>
      </c>
      <c r="FZ61" s="1543">
        <f t="shared" si="122"/>
        <v>0</v>
      </c>
      <c r="GA61" s="1543">
        <f t="shared" si="122"/>
        <v>0</v>
      </c>
      <c r="GB61" s="1543">
        <f t="shared" si="122"/>
        <v>0</v>
      </c>
      <c r="GC61" s="1543">
        <f t="shared" si="122"/>
        <v>0</v>
      </c>
      <c r="GD61" s="1543">
        <f t="shared" si="122"/>
        <v>0</v>
      </c>
    </row>
    <row r="62" spans="1:186" s="982" customFormat="1" ht="15.6" x14ac:dyDescent="0.3">
      <c r="A62" s="974">
        <v>60</v>
      </c>
      <c r="B62" s="983"/>
      <c r="C62" s="984"/>
      <c r="D62" s="983"/>
      <c r="E62" s="968" t="str">
        <f>IFERROR(VLOOKUP($D62&amp;"."&amp;B62,'Piping Class'!$1:$1048576,MATCH($I62,'Piping Class'!$2:$2,0),0),"")</f>
        <v/>
      </c>
      <c r="F62" s="985" t="str">
        <f>IFERROR(IF(B62="Flange",VLOOKUP($D62,'Piping Class'!$88:$102,MATCH(F$1,'Piping Class'!$88:$88,0),0),""),"")</f>
        <v/>
      </c>
      <c r="G62" s="968" t="str">
        <f>IFERROR(IF(B62="Flange",VLOOKUP($D62,'Piping Class'!$88:$102,MATCH(G$1,'Piping Class'!$88:$88,0),0),""),"")</f>
        <v/>
      </c>
      <c r="H62" s="968" t="str">
        <f>IFERROR(VLOOKUP($D62,'Piping Class'!$88:$102,MATCH(H$1,'Piping Class'!$88:$88,0),0),"")</f>
        <v/>
      </c>
      <c r="I62" s="986"/>
      <c r="J62" s="987"/>
      <c r="K62" s="968" t="str">
        <f>IFERROR(VLOOKUP(I62,'Thickness Tab'!$1:$1048576,MATCH(L62,'Thickness Tab'!$1:$1,0),0),"")</f>
        <v/>
      </c>
      <c r="L62" s="969" t="str">
        <f>IFERROR(VLOOKUP($D62,'Piping Class'!$1:$1048576,MATCH($I62,'Piping Class'!$2:$2,0),0),"")</f>
        <v/>
      </c>
      <c r="M62" s="968" t="str">
        <f>IFERROR(VLOOKUP(J62,'Thickness Tab'!$1:$1048576,MATCH(N62,'Thickness Tab'!$1:$1,0),0),"")</f>
        <v/>
      </c>
      <c r="N62" s="969" t="str">
        <f>IFERROR(VLOOKUP($D62,'Piping Class'!$1:$1048576,MATCH($J62,'Piping Class'!$2:$2,0),0),"")</f>
        <v/>
      </c>
      <c r="O62" s="968" t="str">
        <f>IFERROR(VLOOKUP($D62,'Piping Class'!$88:$102,MATCH(O$1,'Piping Class'!$88:$88,0),0),"")</f>
        <v/>
      </c>
      <c r="P62" s="968" t="str">
        <f>IFERROR(VLOOKUP($D62,'Piping Class'!$88:$102,MATCH(P$1,'Piping Class'!$88:$88,0),0),"")</f>
        <v/>
      </c>
      <c r="Q62" s="983"/>
      <c r="R62" s="988"/>
      <c r="S62" s="969" t="str">
        <f t="shared" si="102"/>
        <v/>
      </c>
      <c r="T62" s="968">
        <f>IFERROR(VLOOKUP(I62&amp;"."&amp;L62,'Fitting Chart'!$1:$1048576,MATCH(C62,'Fitting Chart'!$1:$1,0),0),0)+IF(B62="piping",PI()*K62*(VLOOKUP(I62,'Thickness Tab'!$1:$1048576,3,0)-K62)*7.86/1000,0)+IF(B62="Flange",VLOOKUP(I62&amp;"F"&amp;F62,'Flanges Chart'!$1:$1048576,MATCH(C62&amp;"."&amp;T$1,'Flanges Chart'!$1:$1,0),0),0)</f>
        <v>0</v>
      </c>
      <c r="U62" s="989">
        <f t="shared" si="103"/>
        <v>0</v>
      </c>
      <c r="V62" s="1003"/>
      <c r="W62" s="1001">
        <f t="shared" si="124"/>
        <v>0</v>
      </c>
      <c r="X62" s="997"/>
      <c r="Y62" s="983"/>
      <c r="Z62" s="989">
        <f>IF(B62="Piping",VLOOKUP(I62,'Thickness Tab'!$1:$1048576,3,0)/1000*PI(),0)+IFERROR(VLOOKUP(I62&amp;"F"&amp;F62,'Flanges Chart'!$1:$1048576,MATCH(C62&amp;".Unit Surface",'Flanges Chart'!$1:$1,0),0),0)+IF(B62="Fitting",VLOOKUP(I62,'Thickness Tab'!$1:$1048576,3,0)/1000*PI(),0)</f>
        <v>0</v>
      </c>
      <c r="AA62" s="989">
        <f t="shared" si="125"/>
        <v>0</v>
      </c>
      <c r="AB62" s="983">
        <v>0</v>
      </c>
      <c r="AC62" s="989">
        <f t="shared" si="24"/>
        <v>0</v>
      </c>
      <c r="AD62" s="989">
        <f t="shared" si="25"/>
        <v>0</v>
      </c>
      <c r="AE62" s="974">
        <f>(IFERROR(VLOOKUP($C62,List!$J:$L,2,0),0)*R62+IF(B62="piping",R62,0)+IF(C62="Welding Neck",1,0)*R62)*$AE$2</f>
        <v>0</v>
      </c>
      <c r="AF62" s="970">
        <f>IFERROR(VLOOKUP($C62,List!$J:$L,3,0),0)*R62*$AF$2</f>
        <v>0</v>
      </c>
      <c r="AG62" s="990">
        <f t="shared" si="126"/>
        <v>0</v>
      </c>
      <c r="AH62" s="1118" t="str">
        <f>IFERROR(VLOOKUP($D62,'Piping Class'!$88:$102,MATCH(AH$1,'Piping Class'!$88:$88,0),0),"")</f>
        <v/>
      </c>
      <c r="AI62" s="991" t="str">
        <f>IFERROR(VLOOKUP($D62,'Piping Class'!$88:$102,MATCH(AI$1,'Piping Class'!$88:$88,0),0),"")</f>
        <v/>
      </c>
      <c r="AJ62" s="991" t="str">
        <f>IFERROR(VLOOKUP($D62,'Piping Class'!$88:$102,MATCH(AJ$1,'Piping Class'!$88:$88,0),0),"")</f>
        <v/>
      </c>
      <c r="AK62" s="991" t="str">
        <f>IFERROR(VLOOKUP($D62,'Piping Class'!$88:$102,MATCH(AK$1,'Piping Class'!$88:$88,0),0),"")</f>
        <v/>
      </c>
      <c r="AL62" s="991">
        <f t="shared" si="44"/>
        <v>0</v>
      </c>
      <c r="AM62" s="1119" t="str">
        <f>IFERROR(VLOOKUP($D62,'Piping Class'!$88:$102,MATCH(AM$1,'Piping Class'!$88:$88,0),0),"")</f>
        <v/>
      </c>
      <c r="AN62" s="992">
        <f t="shared" si="26"/>
        <v>0</v>
      </c>
      <c r="AO62" s="993">
        <f>IFERROR(VLOOKUP(I62&amp;"B"&amp;F62,'Bolting Chart'!$1:$1048576,4,0),0)</f>
        <v>0</v>
      </c>
      <c r="AP62" s="993">
        <f t="shared" si="127"/>
        <v>0</v>
      </c>
      <c r="AQ62" s="993">
        <f t="shared" si="128"/>
        <v>0</v>
      </c>
      <c r="AR62" s="993">
        <f>IF(AO62=0,0,VLOOKUP(D62&amp;".bolting",'Piping Class'!$1:$1048576,MATCH(I62,'Piping Class'!$2:$2,0),0))</f>
        <v>0</v>
      </c>
      <c r="AS62" s="994">
        <f>IFERROR(VLOOKUP(I62&amp;"B"&amp;F62,'Bolting Chart'!$1:$1048576,IF(AS$2="UNC",5,6),0),0)</f>
        <v>0</v>
      </c>
      <c r="AT62" s="995">
        <f>IFERROR(VLOOKUP(I62&amp;"B"&amp;F62,'Bolting Chart'!$1:$1048576,IF(G62="RF",8,9),0),0)</f>
        <v>0</v>
      </c>
      <c r="AU62" s="993">
        <f>IF(AO62=0,0,VLOOKUP(D62&amp;".gasket",'Piping Class'!$1:$1048576,MATCH(I62,'Piping Class'!$2:$2,0),0))</f>
        <v>0</v>
      </c>
      <c r="AV62" s="996">
        <f>(IFERROR(INDEX('Bolting Chart'!$A$169:$R$251,MATCH(AT62,'Bolting Chart'!$A$170:$A$251,0),MATCH(IFERROR(VLOOKUP(I62&amp;"B"&amp;F62,'Bolting Chart'!$1:$1048576,7,0),0)+0,'Bolting Chart'!$A$169:$R$169,0)),0))/100</f>
        <v>0</v>
      </c>
      <c r="AW62" s="996">
        <f t="shared" si="129"/>
        <v>0</v>
      </c>
      <c r="AX62" s="1194">
        <f t="shared" si="130"/>
        <v>0</v>
      </c>
      <c r="AY62" s="981"/>
      <c r="AZ62" s="1543">
        <f t="shared" ref="AZ62:BO76" si="140">IF($I62=AZ$2,1,0)</f>
        <v>0</v>
      </c>
      <c r="BA62" s="1543">
        <f t="shared" si="140"/>
        <v>0</v>
      </c>
      <c r="BB62" s="1543">
        <f t="shared" si="140"/>
        <v>0</v>
      </c>
      <c r="BC62" s="1543">
        <f t="shared" si="140"/>
        <v>0</v>
      </c>
      <c r="BD62" s="1543">
        <f t="shared" si="140"/>
        <v>0</v>
      </c>
      <c r="BE62" s="1543">
        <f t="shared" si="140"/>
        <v>0</v>
      </c>
      <c r="BF62" s="1543">
        <f t="shared" si="140"/>
        <v>0</v>
      </c>
      <c r="BG62" s="1543">
        <f t="shared" si="140"/>
        <v>0</v>
      </c>
      <c r="BH62" s="1543">
        <f t="shared" si="140"/>
        <v>0</v>
      </c>
      <c r="BI62" s="1543">
        <f t="shared" si="140"/>
        <v>0</v>
      </c>
      <c r="BJ62" s="1543">
        <f t="shared" si="140"/>
        <v>0</v>
      </c>
      <c r="BK62" s="1543">
        <f t="shared" si="140"/>
        <v>0</v>
      </c>
      <c r="BL62" s="1543">
        <f t="shared" si="140"/>
        <v>0</v>
      </c>
      <c r="BM62" s="1543">
        <f t="shared" si="140"/>
        <v>0</v>
      </c>
      <c r="BN62" s="1543">
        <f t="shared" si="140"/>
        <v>0</v>
      </c>
      <c r="BO62" s="1543">
        <f t="shared" si="140"/>
        <v>0</v>
      </c>
      <c r="BP62" s="1543">
        <f t="shared" ref="BP62:BP76" si="141">IF($I62=BP$2,1,0)</f>
        <v>0</v>
      </c>
      <c r="BQ62" s="1543">
        <f t="shared" si="138"/>
        <v>0</v>
      </c>
      <c r="BR62" s="1543">
        <f t="shared" si="139"/>
        <v>0</v>
      </c>
      <c r="BS62" s="1543">
        <f t="shared" si="139"/>
        <v>0</v>
      </c>
      <c r="BT62" s="1543">
        <f t="shared" si="139"/>
        <v>0</v>
      </c>
      <c r="BU62" s="1543">
        <f t="shared" si="139"/>
        <v>0</v>
      </c>
      <c r="BV62" s="1543">
        <f t="shared" si="139"/>
        <v>0</v>
      </c>
      <c r="BW62" s="1543">
        <f t="shared" si="139"/>
        <v>0</v>
      </c>
      <c r="BX62" s="1543">
        <f t="shared" si="139"/>
        <v>0</v>
      </c>
      <c r="BY62" s="1543">
        <f t="shared" si="139"/>
        <v>0</v>
      </c>
      <c r="BZ62" s="1543">
        <f t="shared" si="139"/>
        <v>0</v>
      </c>
      <c r="CB62" s="1543">
        <f t="shared" ref="CB62:CQ76" si="142">IF($J62=CB$2,1,0)</f>
        <v>0</v>
      </c>
      <c r="CC62" s="1543">
        <f t="shared" si="142"/>
        <v>0</v>
      </c>
      <c r="CD62" s="1543">
        <f t="shared" si="142"/>
        <v>0</v>
      </c>
      <c r="CE62" s="1543">
        <f t="shared" si="142"/>
        <v>0</v>
      </c>
      <c r="CF62" s="1543">
        <f t="shared" si="142"/>
        <v>0</v>
      </c>
      <c r="CG62" s="1543">
        <f t="shared" si="142"/>
        <v>0</v>
      </c>
      <c r="CH62" s="1543">
        <f t="shared" si="142"/>
        <v>0</v>
      </c>
      <c r="CI62" s="1543">
        <f t="shared" si="142"/>
        <v>0</v>
      </c>
      <c r="CJ62" s="1543">
        <f t="shared" si="142"/>
        <v>0</v>
      </c>
      <c r="CK62" s="1543">
        <f t="shared" si="142"/>
        <v>0</v>
      </c>
      <c r="CL62" s="1543">
        <f t="shared" si="142"/>
        <v>0</v>
      </c>
      <c r="CM62" s="1543">
        <f t="shared" si="142"/>
        <v>0</v>
      </c>
      <c r="CN62" s="1543">
        <f t="shared" si="142"/>
        <v>0</v>
      </c>
      <c r="CO62" s="1543">
        <f t="shared" si="142"/>
        <v>0</v>
      </c>
      <c r="CP62" s="1543">
        <f t="shared" si="142"/>
        <v>0</v>
      </c>
      <c r="CQ62" s="1543">
        <f t="shared" si="142"/>
        <v>0</v>
      </c>
      <c r="CR62" s="1543">
        <f t="shared" ref="CR62:CR76" si="143">IF($J62=CR$2,1,0)</f>
        <v>0</v>
      </c>
      <c r="CS62" s="1543">
        <f t="shared" si="46"/>
        <v>0</v>
      </c>
      <c r="CT62" s="1543">
        <f t="shared" si="101"/>
        <v>0</v>
      </c>
      <c r="CU62" s="1543">
        <f t="shared" si="101"/>
        <v>0</v>
      </c>
      <c r="CV62" s="1543">
        <f t="shared" si="101"/>
        <v>0</v>
      </c>
      <c r="CW62" s="1543">
        <f t="shared" si="101"/>
        <v>0</v>
      </c>
      <c r="CX62" s="1543">
        <f t="shared" si="101"/>
        <v>0</v>
      </c>
      <c r="CY62" s="1543">
        <f t="shared" si="101"/>
        <v>0</v>
      </c>
      <c r="CZ62" s="1543">
        <f t="shared" si="101"/>
        <v>0</v>
      </c>
      <c r="DA62" s="1543">
        <f t="shared" si="101"/>
        <v>0</v>
      </c>
      <c r="DB62" s="1543">
        <f t="shared" si="101"/>
        <v>0</v>
      </c>
      <c r="DD62" s="1543">
        <f t="shared" si="68"/>
        <v>0</v>
      </c>
      <c r="DE62" s="1543">
        <f t="shared" si="69"/>
        <v>0</v>
      </c>
      <c r="DF62" s="1543">
        <f t="shared" si="70"/>
        <v>0</v>
      </c>
      <c r="DG62" s="1543">
        <f t="shared" si="31"/>
        <v>0</v>
      </c>
      <c r="DI62" s="1543">
        <f t="shared" si="32"/>
        <v>0</v>
      </c>
      <c r="DJ62" s="1543">
        <f t="shared" si="74"/>
        <v>0</v>
      </c>
      <c r="DK62" s="1543">
        <f t="shared" si="74"/>
        <v>0</v>
      </c>
      <c r="DL62" s="1543">
        <f t="shared" si="74"/>
        <v>0</v>
      </c>
      <c r="DM62" s="1543">
        <f t="shared" si="74"/>
        <v>0</v>
      </c>
      <c r="DO62" s="1543">
        <f t="shared" si="100"/>
        <v>0</v>
      </c>
      <c r="DP62" s="1543">
        <f t="shared" si="100"/>
        <v>0</v>
      </c>
      <c r="DQ62" s="1543">
        <f t="shared" si="100"/>
        <v>0</v>
      </c>
      <c r="DR62" s="1543">
        <f t="shared" si="100"/>
        <v>0</v>
      </c>
      <c r="DS62" s="1543">
        <f t="shared" si="100"/>
        <v>0</v>
      </c>
      <c r="DT62" s="1543">
        <f t="shared" si="100"/>
        <v>0</v>
      </c>
      <c r="DU62" s="1543">
        <f t="shared" si="100"/>
        <v>0</v>
      </c>
      <c r="DV62" s="1543">
        <f t="shared" si="100"/>
        <v>0</v>
      </c>
      <c r="DW62" s="1543">
        <f t="shared" si="100"/>
        <v>0</v>
      </c>
      <c r="DX62" s="1543">
        <f t="shared" si="100"/>
        <v>0</v>
      </c>
      <c r="DY62" s="1543">
        <f t="shared" si="100"/>
        <v>0</v>
      </c>
      <c r="DZ62" s="1543">
        <f t="shared" si="100"/>
        <v>0</v>
      </c>
      <c r="EA62" s="1543">
        <f t="shared" si="100"/>
        <v>0</v>
      </c>
      <c r="EB62" s="1543">
        <f t="shared" si="71"/>
        <v>0</v>
      </c>
      <c r="EC62" s="1543">
        <f t="shared" si="71"/>
        <v>0</v>
      </c>
      <c r="ED62" s="1543">
        <f t="shared" si="71"/>
        <v>0</v>
      </c>
      <c r="EE62" s="1543">
        <f t="shared" si="71"/>
        <v>0</v>
      </c>
      <c r="EF62" s="1543">
        <f t="shared" si="71"/>
        <v>0</v>
      </c>
      <c r="EH62" s="1543">
        <f t="shared" si="131"/>
        <v>0</v>
      </c>
      <c r="EI62" s="1543">
        <f t="shared" si="132"/>
        <v>0</v>
      </c>
      <c r="EJ62" s="1543">
        <f t="shared" si="133"/>
        <v>0</v>
      </c>
      <c r="EK62" s="1543">
        <f t="shared" si="134"/>
        <v>0</v>
      </c>
      <c r="EL62" s="1543">
        <f t="shared" si="135"/>
        <v>0</v>
      </c>
      <c r="EM62" s="1543">
        <f t="shared" si="136"/>
        <v>0</v>
      </c>
      <c r="EN62" s="1543">
        <f t="shared" si="137"/>
        <v>0</v>
      </c>
      <c r="EP62" s="1543">
        <f t="shared" si="72"/>
        <v>0</v>
      </c>
      <c r="EQ62" s="1543">
        <f t="shared" si="72"/>
        <v>0</v>
      </c>
      <c r="ER62" s="1543">
        <f t="shared" si="72"/>
        <v>0</v>
      </c>
      <c r="ES62" s="1543">
        <f t="shared" si="72"/>
        <v>0</v>
      </c>
      <c r="ET62" s="1543">
        <f t="shared" si="123"/>
        <v>0</v>
      </c>
      <c r="EU62" s="1543">
        <f t="shared" si="123"/>
        <v>0</v>
      </c>
      <c r="EV62" s="1543">
        <f t="shared" si="123"/>
        <v>0</v>
      </c>
      <c r="EW62" s="1543">
        <f t="shared" si="123"/>
        <v>0</v>
      </c>
      <c r="EX62" s="1543">
        <f t="shared" si="123"/>
        <v>0</v>
      </c>
      <c r="EY62" s="1543">
        <f t="shared" si="123"/>
        <v>0</v>
      </c>
      <c r="EZ62" s="1543">
        <f t="shared" si="123"/>
        <v>0</v>
      </c>
      <c r="FA62" s="1543">
        <f t="shared" si="123"/>
        <v>0</v>
      </c>
      <c r="FB62" s="1543">
        <f t="shared" si="123"/>
        <v>0</v>
      </c>
      <c r="FC62" s="1543">
        <f t="shared" si="123"/>
        <v>0</v>
      </c>
      <c r="FD62" s="1543">
        <f t="shared" si="123"/>
        <v>0</v>
      </c>
      <c r="FE62" s="1543">
        <f t="shared" si="52"/>
        <v>0</v>
      </c>
      <c r="FF62" s="1543">
        <f t="shared" si="40"/>
        <v>1</v>
      </c>
      <c r="FH62" s="1543">
        <f t="shared" si="121"/>
        <v>0</v>
      </c>
      <c r="FI62" s="1543">
        <f t="shared" si="121"/>
        <v>0</v>
      </c>
      <c r="FJ62" s="1543">
        <f t="shared" si="121"/>
        <v>0</v>
      </c>
      <c r="FK62" s="1543">
        <f t="shared" si="121"/>
        <v>0</v>
      </c>
      <c r="FL62" s="1543">
        <f t="shared" si="121"/>
        <v>0</v>
      </c>
      <c r="FM62" s="1543">
        <f t="shared" si="121"/>
        <v>0</v>
      </c>
      <c r="FN62" s="1543">
        <f t="shared" si="121"/>
        <v>0</v>
      </c>
      <c r="FO62" s="1543">
        <f t="shared" si="121"/>
        <v>0</v>
      </c>
      <c r="FP62" s="1543">
        <f t="shared" si="121"/>
        <v>0</v>
      </c>
      <c r="FQ62" s="1543">
        <f t="shared" si="121"/>
        <v>0</v>
      </c>
      <c r="FR62" s="1543">
        <f t="shared" si="121"/>
        <v>0</v>
      </c>
      <c r="FS62" s="1543">
        <f t="shared" si="121"/>
        <v>0</v>
      </c>
      <c r="FT62" s="1543">
        <f t="shared" si="41"/>
        <v>0</v>
      </c>
      <c r="FV62" s="1543">
        <f t="shared" si="122"/>
        <v>1</v>
      </c>
      <c r="FW62" s="1543">
        <f t="shared" si="122"/>
        <v>0</v>
      </c>
      <c r="FX62" s="1543">
        <f t="shared" si="122"/>
        <v>0</v>
      </c>
      <c r="FY62" s="1543">
        <f t="shared" si="122"/>
        <v>0</v>
      </c>
      <c r="FZ62" s="1543">
        <f t="shared" si="122"/>
        <v>0</v>
      </c>
      <c r="GA62" s="1543">
        <f t="shared" si="122"/>
        <v>0</v>
      </c>
      <c r="GB62" s="1543">
        <f t="shared" si="122"/>
        <v>0</v>
      </c>
      <c r="GC62" s="1543">
        <f t="shared" si="122"/>
        <v>0</v>
      </c>
      <c r="GD62" s="1543">
        <f t="shared" si="122"/>
        <v>0</v>
      </c>
    </row>
    <row r="63" spans="1:186" s="982" customFormat="1" ht="15.6" x14ac:dyDescent="0.3">
      <c r="A63" s="974">
        <v>61</v>
      </c>
      <c r="B63" s="983"/>
      <c r="C63" s="984"/>
      <c r="D63" s="983"/>
      <c r="E63" s="968" t="str">
        <f>IFERROR(VLOOKUP($D63&amp;"."&amp;B63,'Piping Class'!$1:$1048576,MATCH($I63,'Piping Class'!$2:$2,0),0),"")</f>
        <v/>
      </c>
      <c r="F63" s="985" t="str">
        <f>IFERROR(IF(B63="Flange",VLOOKUP($D63,'Piping Class'!$88:$102,MATCH(F$1,'Piping Class'!$88:$88,0),0),""),"")</f>
        <v/>
      </c>
      <c r="G63" s="968" t="str">
        <f>IFERROR(IF(B63="Flange",VLOOKUP($D63,'Piping Class'!$88:$102,MATCH(G$1,'Piping Class'!$88:$88,0),0),""),"")</f>
        <v/>
      </c>
      <c r="H63" s="968" t="str">
        <f>IFERROR(VLOOKUP($D63,'Piping Class'!$88:$102,MATCH(H$1,'Piping Class'!$88:$88,0),0),"")</f>
        <v/>
      </c>
      <c r="I63" s="986"/>
      <c r="J63" s="987"/>
      <c r="K63" s="968" t="str">
        <f>IFERROR(VLOOKUP(I63,'Thickness Tab'!$1:$1048576,MATCH(L63,'Thickness Tab'!$1:$1,0),0),"")</f>
        <v/>
      </c>
      <c r="L63" s="969" t="str">
        <f>IFERROR(VLOOKUP($D63,'Piping Class'!$1:$1048576,MATCH($I63,'Piping Class'!$2:$2,0),0),"")</f>
        <v/>
      </c>
      <c r="M63" s="968" t="str">
        <f>IFERROR(VLOOKUP(J63,'Thickness Tab'!$1:$1048576,MATCH(N63,'Thickness Tab'!$1:$1,0),0),"")</f>
        <v/>
      </c>
      <c r="N63" s="969" t="str">
        <f>IFERROR(VLOOKUP($D63,'Piping Class'!$1:$1048576,MATCH($J63,'Piping Class'!$2:$2,0),0),"")</f>
        <v/>
      </c>
      <c r="O63" s="968" t="str">
        <f>IFERROR(VLOOKUP($D63,'Piping Class'!$88:$102,MATCH(O$1,'Piping Class'!$88:$88,0),0),"")</f>
        <v/>
      </c>
      <c r="P63" s="968" t="str">
        <f>IFERROR(VLOOKUP($D63,'Piping Class'!$88:$102,MATCH(P$1,'Piping Class'!$88:$88,0),0),"")</f>
        <v/>
      </c>
      <c r="Q63" s="983"/>
      <c r="R63" s="988"/>
      <c r="S63" s="969" t="str">
        <f t="shared" si="102"/>
        <v/>
      </c>
      <c r="T63" s="968">
        <f>IFERROR(VLOOKUP(I63&amp;"."&amp;L63,'Fitting Chart'!$1:$1048576,MATCH(C63,'Fitting Chart'!$1:$1,0),0),0)+IF(B63="piping",PI()*K63*(VLOOKUP(I63,'Thickness Tab'!$1:$1048576,3,0)-K63)*7.86/1000,0)+IF(B63="Flange",VLOOKUP(I63&amp;"F"&amp;F63,'Flanges Chart'!$1:$1048576,MATCH(C63&amp;"."&amp;T$1,'Flanges Chart'!$1:$1,0),0),0)</f>
        <v>0</v>
      </c>
      <c r="U63" s="989">
        <f t="shared" si="103"/>
        <v>0</v>
      </c>
      <c r="V63" s="1003"/>
      <c r="W63" s="1001">
        <f t="shared" si="124"/>
        <v>0</v>
      </c>
      <c r="X63" s="997"/>
      <c r="Y63" s="983"/>
      <c r="Z63" s="989">
        <f>IF(B63="Piping",VLOOKUP(I63,'Thickness Tab'!$1:$1048576,3,0)/1000*PI(),0)+IFERROR(VLOOKUP(I63&amp;"F"&amp;F63,'Flanges Chart'!$1:$1048576,MATCH(C63&amp;".Unit Surface",'Flanges Chart'!$1:$1,0),0),0)+IF(B63="Fitting",VLOOKUP(I63,'Thickness Tab'!$1:$1048576,3,0)/1000*PI(),0)</f>
        <v>0</v>
      </c>
      <c r="AA63" s="989">
        <f t="shared" si="125"/>
        <v>0</v>
      </c>
      <c r="AB63" s="983">
        <v>0</v>
      </c>
      <c r="AC63" s="989">
        <f t="shared" si="24"/>
        <v>0</v>
      </c>
      <c r="AD63" s="989">
        <f t="shared" si="25"/>
        <v>0</v>
      </c>
      <c r="AE63" s="974">
        <f>(IFERROR(VLOOKUP($C63,List!$J:$L,2,0),0)*R63+IF(B63="piping",R63,0)+IF(C63="Welding Neck",1,0)*R63)*$AE$2</f>
        <v>0</v>
      </c>
      <c r="AF63" s="970">
        <f>IFERROR(VLOOKUP($C63,List!$J:$L,3,0),0)*R63*$AF$2</f>
        <v>0</v>
      </c>
      <c r="AG63" s="990">
        <f t="shared" si="126"/>
        <v>0</v>
      </c>
      <c r="AH63" s="1118" t="str">
        <f>IFERROR(VLOOKUP($D63,'Piping Class'!$88:$102,MATCH(AH$1,'Piping Class'!$88:$88,0),0),"")</f>
        <v/>
      </c>
      <c r="AI63" s="991" t="str">
        <f>IFERROR(VLOOKUP($D63,'Piping Class'!$88:$102,MATCH(AI$1,'Piping Class'!$88:$88,0),0),"")</f>
        <v/>
      </c>
      <c r="AJ63" s="991" t="str">
        <f>IFERROR(VLOOKUP($D63,'Piping Class'!$88:$102,MATCH(AJ$1,'Piping Class'!$88:$88,0),0),"")</f>
        <v/>
      </c>
      <c r="AK63" s="991" t="str">
        <f>IFERROR(VLOOKUP($D63,'Piping Class'!$88:$102,MATCH(AK$1,'Piping Class'!$88:$88,0),0),"")</f>
        <v/>
      </c>
      <c r="AL63" s="991">
        <f t="shared" si="44"/>
        <v>0</v>
      </c>
      <c r="AM63" s="1119" t="str">
        <f>IFERROR(VLOOKUP($D63,'Piping Class'!$88:$102,MATCH(AM$1,'Piping Class'!$88:$88,0),0),"")</f>
        <v/>
      </c>
      <c r="AN63" s="992">
        <f t="shared" si="26"/>
        <v>0</v>
      </c>
      <c r="AO63" s="993">
        <f>IFERROR(VLOOKUP(I63&amp;"B"&amp;F63,'Bolting Chart'!$1:$1048576,4,0),0)</f>
        <v>0</v>
      </c>
      <c r="AP63" s="993">
        <f t="shared" si="127"/>
        <v>0</v>
      </c>
      <c r="AQ63" s="993">
        <f t="shared" si="128"/>
        <v>0</v>
      </c>
      <c r="AR63" s="993">
        <f>IF(AO63=0,0,VLOOKUP(D63&amp;".bolting",'Piping Class'!$1:$1048576,MATCH(I63,'Piping Class'!$2:$2,0),0))</f>
        <v>0</v>
      </c>
      <c r="AS63" s="994">
        <f>IFERROR(VLOOKUP(I63&amp;"B"&amp;F63,'Bolting Chart'!$1:$1048576,IF(AS$2="UNC",5,6),0),0)</f>
        <v>0</v>
      </c>
      <c r="AT63" s="995">
        <f>IFERROR(VLOOKUP(I63&amp;"B"&amp;F63,'Bolting Chart'!$1:$1048576,IF(G63="RF",8,9),0),0)</f>
        <v>0</v>
      </c>
      <c r="AU63" s="993">
        <f>IF(AO63=0,0,VLOOKUP(D63&amp;".gasket",'Piping Class'!$1:$1048576,MATCH(I63,'Piping Class'!$2:$2,0),0))</f>
        <v>0</v>
      </c>
      <c r="AV63" s="996">
        <f>(IFERROR(INDEX('Bolting Chart'!$A$169:$R$251,MATCH(AT63,'Bolting Chart'!$A$170:$A$251,0),MATCH(IFERROR(VLOOKUP(I63&amp;"B"&amp;F63,'Bolting Chart'!$1:$1048576,7,0),0)+0,'Bolting Chart'!$A$169:$R$169,0)),0))/100</f>
        <v>0</v>
      </c>
      <c r="AW63" s="996">
        <f t="shared" si="129"/>
        <v>0</v>
      </c>
      <c r="AX63" s="1194">
        <f t="shared" si="130"/>
        <v>0</v>
      </c>
      <c r="AY63" s="981"/>
      <c r="AZ63" s="1543">
        <f t="shared" si="140"/>
        <v>0</v>
      </c>
      <c r="BA63" s="1543">
        <f t="shared" si="140"/>
        <v>0</v>
      </c>
      <c r="BB63" s="1543">
        <f t="shared" si="140"/>
        <v>0</v>
      </c>
      <c r="BC63" s="1543">
        <f t="shared" si="140"/>
        <v>0</v>
      </c>
      <c r="BD63" s="1543">
        <f t="shared" si="140"/>
        <v>0</v>
      </c>
      <c r="BE63" s="1543">
        <f t="shared" si="140"/>
        <v>0</v>
      </c>
      <c r="BF63" s="1543">
        <f t="shared" si="140"/>
        <v>0</v>
      </c>
      <c r="BG63" s="1543">
        <f t="shared" si="140"/>
        <v>0</v>
      </c>
      <c r="BH63" s="1543">
        <f t="shared" si="140"/>
        <v>0</v>
      </c>
      <c r="BI63" s="1543">
        <f t="shared" si="140"/>
        <v>0</v>
      </c>
      <c r="BJ63" s="1543">
        <f t="shared" si="140"/>
        <v>0</v>
      </c>
      <c r="BK63" s="1543">
        <f t="shared" si="140"/>
        <v>0</v>
      </c>
      <c r="BL63" s="1543">
        <f t="shared" si="140"/>
        <v>0</v>
      </c>
      <c r="BM63" s="1543">
        <f t="shared" si="140"/>
        <v>0</v>
      </c>
      <c r="BN63" s="1543">
        <f t="shared" si="140"/>
        <v>0</v>
      </c>
      <c r="BO63" s="1543">
        <f t="shared" si="140"/>
        <v>0</v>
      </c>
      <c r="BP63" s="1543">
        <f t="shared" si="141"/>
        <v>0</v>
      </c>
      <c r="BQ63" s="1543">
        <f t="shared" si="138"/>
        <v>0</v>
      </c>
      <c r="BR63" s="1543">
        <f t="shared" si="139"/>
        <v>0</v>
      </c>
      <c r="BS63" s="1543">
        <f t="shared" si="139"/>
        <v>0</v>
      </c>
      <c r="BT63" s="1543">
        <f t="shared" si="139"/>
        <v>0</v>
      </c>
      <c r="BU63" s="1543">
        <f t="shared" si="139"/>
        <v>0</v>
      </c>
      <c r="BV63" s="1543">
        <f t="shared" si="139"/>
        <v>0</v>
      </c>
      <c r="BW63" s="1543">
        <f t="shared" si="139"/>
        <v>0</v>
      </c>
      <c r="BX63" s="1543">
        <f t="shared" si="139"/>
        <v>0</v>
      </c>
      <c r="BY63" s="1543">
        <f t="shared" si="139"/>
        <v>0</v>
      </c>
      <c r="BZ63" s="1543">
        <f t="shared" si="139"/>
        <v>0</v>
      </c>
      <c r="CB63" s="1543">
        <f t="shared" si="142"/>
        <v>0</v>
      </c>
      <c r="CC63" s="1543">
        <f t="shared" si="142"/>
        <v>0</v>
      </c>
      <c r="CD63" s="1543">
        <f t="shared" si="142"/>
        <v>0</v>
      </c>
      <c r="CE63" s="1543">
        <f t="shared" si="142"/>
        <v>0</v>
      </c>
      <c r="CF63" s="1543">
        <f t="shared" si="142"/>
        <v>0</v>
      </c>
      <c r="CG63" s="1543">
        <f t="shared" si="142"/>
        <v>0</v>
      </c>
      <c r="CH63" s="1543">
        <f t="shared" si="142"/>
        <v>0</v>
      </c>
      <c r="CI63" s="1543">
        <f t="shared" si="142"/>
        <v>0</v>
      </c>
      <c r="CJ63" s="1543">
        <f t="shared" si="142"/>
        <v>0</v>
      </c>
      <c r="CK63" s="1543">
        <f t="shared" si="142"/>
        <v>0</v>
      </c>
      <c r="CL63" s="1543">
        <f t="shared" si="142"/>
        <v>0</v>
      </c>
      <c r="CM63" s="1543">
        <f t="shared" si="142"/>
        <v>0</v>
      </c>
      <c r="CN63" s="1543">
        <f t="shared" si="142"/>
        <v>0</v>
      </c>
      <c r="CO63" s="1543">
        <f t="shared" si="142"/>
        <v>0</v>
      </c>
      <c r="CP63" s="1543">
        <f t="shared" si="142"/>
        <v>0</v>
      </c>
      <c r="CQ63" s="1543">
        <f t="shared" si="142"/>
        <v>0</v>
      </c>
      <c r="CR63" s="1543">
        <f t="shared" si="143"/>
        <v>0</v>
      </c>
      <c r="CS63" s="1543">
        <f t="shared" si="46"/>
        <v>0</v>
      </c>
      <c r="CT63" s="1543">
        <f t="shared" si="101"/>
        <v>0</v>
      </c>
      <c r="CU63" s="1543">
        <f t="shared" si="101"/>
        <v>0</v>
      </c>
      <c r="CV63" s="1543">
        <f t="shared" si="101"/>
        <v>0</v>
      </c>
      <c r="CW63" s="1543">
        <f t="shared" si="101"/>
        <v>0</v>
      </c>
      <c r="CX63" s="1543">
        <f t="shared" si="101"/>
        <v>0</v>
      </c>
      <c r="CY63" s="1543">
        <f t="shared" si="101"/>
        <v>0</v>
      </c>
      <c r="CZ63" s="1543">
        <f t="shared" si="101"/>
        <v>0</v>
      </c>
      <c r="DA63" s="1543">
        <f t="shared" si="101"/>
        <v>0</v>
      </c>
      <c r="DB63" s="1543">
        <f t="shared" si="101"/>
        <v>0</v>
      </c>
      <c r="DD63" s="1543">
        <f t="shared" si="68"/>
        <v>0</v>
      </c>
      <c r="DE63" s="1543">
        <f t="shared" si="69"/>
        <v>0</v>
      </c>
      <c r="DF63" s="1543">
        <f t="shared" si="70"/>
        <v>0</v>
      </c>
      <c r="DG63" s="1543">
        <f t="shared" si="31"/>
        <v>0</v>
      </c>
      <c r="DI63" s="1543">
        <f t="shared" si="32"/>
        <v>0</v>
      </c>
      <c r="DJ63" s="1543">
        <f t="shared" si="74"/>
        <v>0</v>
      </c>
      <c r="DK63" s="1543">
        <f t="shared" si="74"/>
        <v>0</v>
      </c>
      <c r="DL63" s="1543">
        <f t="shared" si="74"/>
        <v>0</v>
      </c>
      <c r="DM63" s="1543">
        <f t="shared" si="74"/>
        <v>0</v>
      </c>
      <c r="DO63" s="1543">
        <f t="shared" si="100"/>
        <v>0</v>
      </c>
      <c r="DP63" s="1543">
        <f t="shared" si="100"/>
        <v>0</v>
      </c>
      <c r="DQ63" s="1543">
        <f t="shared" si="100"/>
        <v>0</v>
      </c>
      <c r="DR63" s="1543">
        <f t="shared" si="100"/>
        <v>0</v>
      </c>
      <c r="DS63" s="1543">
        <f t="shared" si="100"/>
        <v>0</v>
      </c>
      <c r="DT63" s="1543">
        <f t="shared" si="100"/>
        <v>0</v>
      </c>
      <c r="DU63" s="1543">
        <f t="shared" si="100"/>
        <v>0</v>
      </c>
      <c r="DV63" s="1543">
        <f t="shared" si="100"/>
        <v>0</v>
      </c>
      <c r="DW63" s="1543">
        <f t="shared" si="100"/>
        <v>0</v>
      </c>
      <c r="DX63" s="1543">
        <f t="shared" si="100"/>
        <v>0</v>
      </c>
      <c r="DY63" s="1543">
        <f t="shared" si="100"/>
        <v>0</v>
      </c>
      <c r="DZ63" s="1543">
        <f t="shared" si="100"/>
        <v>0</v>
      </c>
      <c r="EA63" s="1543">
        <f t="shared" si="100"/>
        <v>0</v>
      </c>
      <c r="EB63" s="1543">
        <f t="shared" si="71"/>
        <v>0</v>
      </c>
      <c r="EC63" s="1543">
        <f t="shared" si="71"/>
        <v>0</v>
      </c>
      <c r="ED63" s="1543">
        <f t="shared" si="71"/>
        <v>0</v>
      </c>
      <c r="EE63" s="1543">
        <f t="shared" si="71"/>
        <v>0</v>
      </c>
      <c r="EF63" s="1543">
        <f t="shared" si="71"/>
        <v>0</v>
      </c>
      <c r="EH63" s="1543">
        <f t="shared" si="131"/>
        <v>0</v>
      </c>
      <c r="EI63" s="1543">
        <f t="shared" si="132"/>
        <v>0</v>
      </c>
      <c r="EJ63" s="1543">
        <f t="shared" si="133"/>
        <v>0</v>
      </c>
      <c r="EK63" s="1543">
        <f t="shared" si="134"/>
        <v>0</v>
      </c>
      <c r="EL63" s="1543">
        <f t="shared" si="135"/>
        <v>0</v>
      </c>
      <c r="EM63" s="1543">
        <f t="shared" si="136"/>
        <v>0</v>
      </c>
      <c r="EN63" s="1543">
        <f t="shared" si="137"/>
        <v>0</v>
      </c>
      <c r="EP63" s="1543">
        <f t="shared" si="72"/>
        <v>0</v>
      </c>
      <c r="EQ63" s="1543">
        <f t="shared" si="72"/>
        <v>0</v>
      </c>
      <c r="ER63" s="1543">
        <f t="shared" si="72"/>
        <v>0</v>
      </c>
      <c r="ES63" s="1543">
        <f t="shared" si="72"/>
        <v>0</v>
      </c>
      <c r="ET63" s="1543">
        <f t="shared" si="123"/>
        <v>0</v>
      </c>
      <c r="EU63" s="1543">
        <f t="shared" si="123"/>
        <v>0</v>
      </c>
      <c r="EV63" s="1543">
        <f t="shared" si="123"/>
        <v>0</v>
      </c>
      <c r="EW63" s="1543">
        <f t="shared" si="123"/>
        <v>0</v>
      </c>
      <c r="EX63" s="1543">
        <f t="shared" si="123"/>
        <v>0</v>
      </c>
      <c r="EY63" s="1543">
        <f t="shared" si="123"/>
        <v>0</v>
      </c>
      <c r="EZ63" s="1543">
        <f t="shared" si="123"/>
        <v>0</v>
      </c>
      <c r="FA63" s="1543">
        <f t="shared" si="123"/>
        <v>0</v>
      </c>
      <c r="FB63" s="1543">
        <f t="shared" si="123"/>
        <v>0</v>
      </c>
      <c r="FC63" s="1543">
        <f t="shared" si="123"/>
        <v>0</v>
      </c>
      <c r="FD63" s="1543">
        <f t="shared" si="123"/>
        <v>0</v>
      </c>
      <c r="FE63" s="1543">
        <f t="shared" si="52"/>
        <v>0</v>
      </c>
      <c r="FF63" s="1543">
        <f t="shared" si="40"/>
        <v>1</v>
      </c>
      <c r="FH63" s="1543">
        <f t="shared" si="121"/>
        <v>0</v>
      </c>
      <c r="FI63" s="1543">
        <f t="shared" si="121"/>
        <v>0</v>
      </c>
      <c r="FJ63" s="1543">
        <f t="shared" si="121"/>
        <v>0</v>
      </c>
      <c r="FK63" s="1543">
        <f t="shared" si="121"/>
        <v>0</v>
      </c>
      <c r="FL63" s="1543">
        <f t="shared" si="121"/>
        <v>0</v>
      </c>
      <c r="FM63" s="1543">
        <f t="shared" si="121"/>
        <v>0</v>
      </c>
      <c r="FN63" s="1543">
        <f t="shared" si="121"/>
        <v>0</v>
      </c>
      <c r="FO63" s="1543">
        <f t="shared" si="121"/>
        <v>0</v>
      </c>
      <c r="FP63" s="1543">
        <f t="shared" si="121"/>
        <v>0</v>
      </c>
      <c r="FQ63" s="1543">
        <f t="shared" si="121"/>
        <v>0</v>
      </c>
      <c r="FR63" s="1543">
        <f t="shared" si="121"/>
        <v>0</v>
      </c>
      <c r="FS63" s="1543">
        <f t="shared" si="121"/>
        <v>0</v>
      </c>
      <c r="FT63" s="1543">
        <f t="shared" si="41"/>
        <v>0</v>
      </c>
      <c r="FV63" s="1543">
        <f t="shared" si="122"/>
        <v>1</v>
      </c>
      <c r="FW63" s="1543">
        <f t="shared" si="122"/>
        <v>0</v>
      </c>
      <c r="FX63" s="1543">
        <f t="shared" si="122"/>
        <v>0</v>
      </c>
      <c r="FY63" s="1543">
        <f t="shared" si="122"/>
        <v>0</v>
      </c>
      <c r="FZ63" s="1543">
        <f t="shared" si="122"/>
        <v>0</v>
      </c>
      <c r="GA63" s="1543">
        <f t="shared" si="122"/>
        <v>0</v>
      </c>
      <c r="GB63" s="1543">
        <f t="shared" si="122"/>
        <v>0</v>
      </c>
      <c r="GC63" s="1543">
        <f t="shared" si="122"/>
        <v>0</v>
      </c>
      <c r="GD63" s="1543">
        <f t="shared" si="122"/>
        <v>0</v>
      </c>
    </row>
    <row r="64" spans="1:186" s="982" customFormat="1" ht="15.6" x14ac:dyDescent="0.3">
      <c r="A64" s="974">
        <v>62</v>
      </c>
      <c r="B64" s="983"/>
      <c r="C64" s="984"/>
      <c r="D64" s="983"/>
      <c r="E64" s="968" t="str">
        <f>IFERROR(VLOOKUP($D64&amp;"."&amp;B64,'Piping Class'!$1:$1048576,MATCH($I64,'Piping Class'!$2:$2,0),0),"")</f>
        <v/>
      </c>
      <c r="F64" s="985" t="str">
        <f>IFERROR(IF(B64="Flange",VLOOKUP($D64,'Piping Class'!$88:$102,MATCH(F$1,'Piping Class'!$88:$88,0),0),""),"")</f>
        <v/>
      </c>
      <c r="G64" s="968" t="str">
        <f>IFERROR(IF(B64="Flange",VLOOKUP($D64,'Piping Class'!$88:$102,MATCH(G$1,'Piping Class'!$88:$88,0),0),""),"")</f>
        <v/>
      </c>
      <c r="H64" s="968" t="str">
        <f>IFERROR(VLOOKUP($D64,'Piping Class'!$88:$102,MATCH(H$1,'Piping Class'!$88:$88,0),0),"")</f>
        <v/>
      </c>
      <c r="I64" s="986"/>
      <c r="J64" s="987"/>
      <c r="K64" s="968" t="str">
        <f>IFERROR(VLOOKUP(I64,'Thickness Tab'!$1:$1048576,MATCH(L64,'Thickness Tab'!$1:$1,0),0),"")</f>
        <v/>
      </c>
      <c r="L64" s="969" t="str">
        <f>IFERROR(VLOOKUP($D64,'Piping Class'!$1:$1048576,MATCH($I64,'Piping Class'!$2:$2,0),0),"")</f>
        <v/>
      </c>
      <c r="M64" s="968" t="str">
        <f>IFERROR(VLOOKUP(J64,'Thickness Tab'!$1:$1048576,MATCH(N64,'Thickness Tab'!$1:$1,0),0),"")</f>
        <v/>
      </c>
      <c r="N64" s="969" t="str">
        <f>IFERROR(VLOOKUP($D64,'Piping Class'!$1:$1048576,MATCH($J64,'Piping Class'!$2:$2,0),0),"")</f>
        <v/>
      </c>
      <c r="O64" s="968" t="str">
        <f>IFERROR(VLOOKUP($D64,'Piping Class'!$88:$102,MATCH(O$1,'Piping Class'!$88:$88,0),0),"")</f>
        <v/>
      </c>
      <c r="P64" s="968" t="str">
        <f>IFERROR(VLOOKUP($D64,'Piping Class'!$88:$102,MATCH(P$1,'Piping Class'!$88:$88,0),0),"")</f>
        <v/>
      </c>
      <c r="Q64" s="983"/>
      <c r="R64" s="988"/>
      <c r="S64" s="969" t="str">
        <f t="shared" si="102"/>
        <v/>
      </c>
      <c r="T64" s="968">
        <f>IFERROR(VLOOKUP(I64&amp;"."&amp;L64,'Fitting Chart'!$1:$1048576,MATCH(C64,'Fitting Chart'!$1:$1,0),0),0)+IF(B64="piping",PI()*K64*(VLOOKUP(I64,'Thickness Tab'!$1:$1048576,3,0)-K64)*7.86/1000,0)+IF(B64="Flange",VLOOKUP(I64&amp;"F"&amp;F64,'Flanges Chart'!$1:$1048576,MATCH(C64&amp;"."&amp;T$1,'Flanges Chart'!$1:$1,0),0),0)</f>
        <v>0</v>
      </c>
      <c r="U64" s="989">
        <f t="shared" si="103"/>
        <v>0</v>
      </c>
      <c r="V64" s="1003"/>
      <c r="W64" s="1001">
        <f t="shared" si="124"/>
        <v>0</v>
      </c>
      <c r="X64" s="997"/>
      <c r="Y64" s="983"/>
      <c r="Z64" s="989">
        <f>IF(B64="Piping",VLOOKUP(I64,'Thickness Tab'!$1:$1048576,3,0)/1000*PI(),0)+IFERROR(VLOOKUP(I64&amp;"F"&amp;F64,'Flanges Chart'!$1:$1048576,MATCH(C64&amp;".Unit Surface",'Flanges Chart'!$1:$1,0),0),0)+IF(B64="Fitting",VLOOKUP(I64,'Thickness Tab'!$1:$1048576,3,0)/1000*PI(),0)</f>
        <v>0</v>
      </c>
      <c r="AA64" s="989">
        <f t="shared" si="125"/>
        <v>0</v>
      </c>
      <c r="AB64" s="983">
        <v>0</v>
      </c>
      <c r="AC64" s="989">
        <f t="shared" si="24"/>
        <v>0</v>
      </c>
      <c r="AD64" s="989">
        <f t="shared" si="25"/>
        <v>0</v>
      </c>
      <c r="AE64" s="974">
        <f>(IFERROR(VLOOKUP($C64,List!$J:$L,2,0),0)*R64+IF(B64="piping",R64,0)+IF(C64="Welding Neck",1,0)*R64)*$AE$2</f>
        <v>0</v>
      </c>
      <c r="AF64" s="970">
        <f>IFERROR(VLOOKUP($C64,List!$J:$L,3,0),0)*R64*$AF$2</f>
        <v>0</v>
      </c>
      <c r="AG64" s="990">
        <f t="shared" si="126"/>
        <v>0</v>
      </c>
      <c r="AH64" s="1118" t="str">
        <f>IFERROR(VLOOKUP($D64,'Piping Class'!$88:$102,MATCH(AH$1,'Piping Class'!$88:$88,0),0),"")</f>
        <v/>
      </c>
      <c r="AI64" s="991" t="str">
        <f>IFERROR(VLOOKUP($D64,'Piping Class'!$88:$102,MATCH(AI$1,'Piping Class'!$88:$88,0),0),"")</f>
        <v/>
      </c>
      <c r="AJ64" s="991" t="str">
        <f>IFERROR(VLOOKUP($D64,'Piping Class'!$88:$102,MATCH(AJ$1,'Piping Class'!$88:$88,0),0),"")</f>
        <v/>
      </c>
      <c r="AK64" s="991" t="str">
        <f>IFERROR(VLOOKUP($D64,'Piping Class'!$88:$102,MATCH(AK$1,'Piping Class'!$88:$88,0),0),"")</f>
        <v/>
      </c>
      <c r="AL64" s="991">
        <f t="shared" si="44"/>
        <v>0</v>
      </c>
      <c r="AM64" s="1119" t="str">
        <f>IFERROR(VLOOKUP($D64,'Piping Class'!$88:$102,MATCH(AM$1,'Piping Class'!$88:$88,0),0),"")</f>
        <v/>
      </c>
      <c r="AN64" s="992">
        <f t="shared" si="26"/>
        <v>0</v>
      </c>
      <c r="AO64" s="993">
        <f>IFERROR(VLOOKUP(I64&amp;"B"&amp;F64,'Bolting Chart'!$1:$1048576,4,0),0)</f>
        <v>0</v>
      </c>
      <c r="AP64" s="993">
        <f t="shared" si="127"/>
        <v>0</v>
      </c>
      <c r="AQ64" s="993">
        <f t="shared" si="128"/>
        <v>0</v>
      </c>
      <c r="AR64" s="993">
        <f>IF(AO64=0,0,VLOOKUP(D64&amp;".bolting",'Piping Class'!$1:$1048576,MATCH(I64,'Piping Class'!$2:$2,0),0))</f>
        <v>0</v>
      </c>
      <c r="AS64" s="994">
        <f>IFERROR(VLOOKUP(I64&amp;"B"&amp;F64,'Bolting Chart'!$1:$1048576,IF(AS$2="UNC",5,6),0),0)</f>
        <v>0</v>
      </c>
      <c r="AT64" s="995">
        <f>IFERROR(VLOOKUP(I64&amp;"B"&amp;F64,'Bolting Chart'!$1:$1048576,IF(G64="RF",8,9),0),0)</f>
        <v>0</v>
      </c>
      <c r="AU64" s="993">
        <f>IF(AO64=0,0,VLOOKUP(D64&amp;".gasket",'Piping Class'!$1:$1048576,MATCH(I64,'Piping Class'!$2:$2,0),0))</f>
        <v>0</v>
      </c>
      <c r="AV64" s="996">
        <f>(IFERROR(INDEX('Bolting Chart'!$A$169:$R$251,MATCH(AT64,'Bolting Chart'!$A$170:$A$251,0),MATCH(IFERROR(VLOOKUP(I64&amp;"B"&amp;F64,'Bolting Chart'!$1:$1048576,7,0),0)+0,'Bolting Chart'!$A$169:$R$169,0)),0))/100</f>
        <v>0</v>
      </c>
      <c r="AW64" s="996">
        <f t="shared" si="129"/>
        <v>0</v>
      </c>
      <c r="AX64" s="1194">
        <f t="shared" si="130"/>
        <v>0</v>
      </c>
      <c r="AY64" s="981"/>
      <c r="AZ64" s="1543">
        <f t="shared" si="140"/>
        <v>0</v>
      </c>
      <c r="BA64" s="1543">
        <f t="shared" si="140"/>
        <v>0</v>
      </c>
      <c r="BB64" s="1543">
        <f t="shared" si="140"/>
        <v>0</v>
      </c>
      <c r="BC64" s="1543">
        <f t="shared" si="140"/>
        <v>0</v>
      </c>
      <c r="BD64" s="1543">
        <f t="shared" si="140"/>
        <v>0</v>
      </c>
      <c r="BE64" s="1543">
        <f t="shared" si="140"/>
        <v>0</v>
      </c>
      <c r="BF64" s="1543">
        <f t="shared" si="140"/>
        <v>0</v>
      </c>
      <c r="BG64" s="1543">
        <f t="shared" si="140"/>
        <v>0</v>
      </c>
      <c r="BH64" s="1543">
        <f t="shared" si="140"/>
        <v>0</v>
      </c>
      <c r="BI64" s="1543">
        <f t="shared" si="140"/>
        <v>0</v>
      </c>
      <c r="BJ64" s="1543">
        <f t="shared" si="140"/>
        <v>0</v>
      </c>
      <c r="BK64" s="1543">
        <f t="shared" si="140"/>
        <v>0</v>
      </c>
      <c r="BL64" s="1543">
        <f t="shared" si="140"/>
        <v>0</v>
      </c>
      <c r="BM64" s="1543">
        <f t="shared" si="140"/>
        <v>0</v>
      </c>
      <c r="BN64" s="1543">
        <f t="shared" si="140"/>
        <v>0</v>
      </c>
      <c r="BO64" s="1543">
        <f t="shared" si="140"/>
        <v>0</v>
      </c>
      <c r="BP64" s="1543">
        <f t="shared" si="141"/>
        <v>0</v>
      </c>
      <c r="BQ64" s="1543">
        <f t="shared" si="138"/>
        <v>0</v>
      </c>
      <c r="BR64" s="1543">
        <f t="shared" si="139"/>
        <v>0</v>
      </c>
      <c r="BS64" s="1543">
        <f t="shared" si="139"/>
        <v>0</v>
      </c>
      <c r="BT64" s="1543">
        <f t="shared" si="139"/>
        <v>0</v>
      </c>
      <c r="BU64" s="1543">
        <f t="shared" si="139"/>
        <v>0</v>
      </c>
      <c r="BV64" s="1543">
        <f t="shared" si="139"/>
        <v>0</v>
      </c>
      <c r="BW64" s="1543">
        <f t="shared" si="139"/>
        <v>0</v>
      </c>
      <c r="BX64" s="1543">
        <f t="shared" si="139"/>
        <v>0</v>
      </c>
      <c r="BY64" s="1543">
        <f t="shared" si="139"/>
        <v>0</v>
      </c>
      <c r="BZ64" s="1543">
        <f t="shared" si="139"/>
        <v>0</v>
      </c>
      <c r="CB64" s="1543">
        <f t="shared" si="142"/>
        <v>0</v>
      </c>
      <c r="CC64" s="1543">
        <f t="shared" si="142"/>
        <v>0</v>
      </c>
      <c r="CD64" s="1543">
        <f t="shared" si="142"/>
        <v>0</v>
      </c>
      <c r="CE64" s="1543">
        <f t="shared" si="142"/>
        <v>0</v>
      </c>
      <c r="CF64" s="1543">
        <f t="shared" si="142"/>
        <v>0</v>
      </c>
      <c r="CG64" s="1543">
        <f t="shared" si="142"/>
        <v>0</v>
      </c>
      <c r="CH64" s="1543">
        <f t="shared" si="142"/>
        <v>0</v>
      </c>
      <c r="CI64" s="1543">
        <f t="shared" si="142"/>
        <v>0</v>
      </c>
      <c r="CJ64" s="1543">
        <f t="shared" si="142"/>
        <v>0</v>
      </c>
      <c r="CK64" s="1543">
        <f t="shared" si="142"/>
        <v>0</v>
      </c>
      <c r="CL64" s="1543">
        <f t="shared" si="142"/>
        <v>0</v>
      </c>
      <c r="CM64" s="1543">
        <f t="shared" si="142"/>
        <v>0</v>
      </c>
      <c r="CN64" s="1543">
        <f t="shared" si="142"/>
        <v>0</v>
      </c>
      <c r="CO64" s="1543">
        <f t="shared" si="142"/>
        <v>0</v>
      </c>
      <c r="CP64" s="1543">
        <f t="shared" si="142"/>
        <v>0</v>
      </c>
      <c r="CQ64" s="1543">
        <f t="shared" si="142"/>
        <v>0</v>
      </c>
      <c r="CR64" s="1543">
        <f t="shared" si="143"/>
        <v>0</v>
      </c>
      <c r="CS64" s="1543">
        <f t="shared" si="46"/>
        <v>0</v>
      </c>
      <c r="CT64" s="1543">
        <f t="shared" si="101"/>
        <v>0</v>
      </c>
      <c r="CU64" s="1543">
        <f t="shared" si="101"/>
        <v>0</v>
      </c>
      <c r="CV64" s="1543">
        <f t="shared" si="101"/>
        <v>0</v>
      </c>
      <c r="CW64" s="1543">
        <f t="shared" si="101"/>
        <v>0</v>
      </c>
      <c r="CX64" s="1543">
        <f t="shared" si="101"/>
        <v>0</v>
      </c>
      <c r="CY64" s="1543">
        <f t="shared" si="101"/>
        <v>0</v>
      </c>
      <c r="CZ64" s="1543">
        <f t="shared" si="101"/>
        <v>0</v>
      </c>
      <c r="DA64" s="1543">
        <f t="shared" si="101"/>
        <v>0</v>
      </c>
      <c r="DB64" s="1543">
        <f t="shared" si="101"/>
        <v>0</v>
      </c>
      <c r="DD64" s="1543">
        <f t="shared" si="68"/>
        <v>0</v>
      </c>
      <c r="DE64" s="1543">
        <f t="shared" si="69"/>
        <v>0</v>
      </c>
      <c r="DF64" s="1543">
        <f t="shared" si="70"/>
        <v>0</v>
      </c>
      <c r="DG64" s="1543">
        <f t="shared" si="31"/>
        <v>0</v>
      </c>
      <c r="DI64" s="1543">
        <f t="shared" si="32"/>
        <v>0</v>
      </c>
      <c r="DJ64" s="1543">
        <f t="shared" si="74"/>
        <v>0</v>
      </c>
      <c r="DK64" s="1543">
        <f t="shared" si="74"/>
        <v>0</v>
      </c>
      <c r="DL64" s="1543">
        <f t="shared" si="74"/>
        <v>0</v>
      </c>
      <c r="DM64" s="1543">
        <f t="shared" si="74"/>
        <v>0</v>
      </c>
      <c r="DO64" s="1543">
        <f t="shared" si="100"/>
        <v>0</v>
      </c>
      <c r="DP64" s="1543">
        <f t="shared" si="100"/>
        <v>0</v>
      </c>
      <c r="DQ64" s="1543">
        <f t="shared" si="100"/>
        <v>0</v>
      </c>
      <c r="DR64" s="1543">
        <f t="shared" si="100"/>
        <v>0</v>
      </c>
      <c r="DS64" s="1543">
        <f t="shared" si="100"/>
        <v>0</v>
      </c>
      <c r="DT64" s="1543">
        <f t="shared" si="100"/>
        <v>0</v>
      </c>
      <c r="DU64" s="1543">
        <f t="shared" si="100"/>
        <v>0</v>
      </c>
      <c r="DV64" s="1543">
        <f t="shared" si="100"/>
        <v>0</v>
      </c>
      <c r="DW64" s="1543">
        <f t="shared" si="100"/>
        <v>0</v>
      </c>
      <c r="DX64" s="1543">
        <f t="shared" si="100"/>
        <v>0</v>
      </c>
      <c r="DY64" s="1543">
        <f t="shared" si="100"/>
        <v>0</v>
      </c>
      <c r="DZ64" s="1543">
        <f t="shared" si="100"/>
        <v>0</v>
      </c>
      <c r="EA64" s="1543">
        <f t="shared" si="100"/>
        <v>0</v>
      </c>
      <c r="EB64" s="1543">
        <f t="shared" si="71"/>
        <v>0</v>
      </c>
      <c r="EC64" s="1543">
        <f t="shared" si="71"/>
        <v>0</v>
      </c>
      <c r="ED64" s="1543">
        <f t="shared" si="71"/>
        <v>0</v>
      </c>
      <c r="EE64" s="1543">
        <f t="shared" si="71"/>
        <v>0</v>
      </c>
      <c r="EF64" s="1543">
        <f t="shared" si="71"/>
        <v>0</v>
      </c>
      <c r="EH64" s="1543">
        <f t="shared" si="131"/>
        <v>0</v>
      </c>
      <c r="EI64" s="1543">
        <f t="shared" si="132"/>
        <v>0</v>
      </c>
      <c r="EJ64" s="1543">
        <f t="shared" si="133"/>
        <v>0</v>
      </c>
      <c r="EK64" s="1543">
        <f t="shared" si="134"/>
        <v>0</v>
      </c>
      <c r="EL64" s="1543">
        <f t="shared" si="135"/>
        <v>0</v>
      </c>
      <c r="EM64" s="1543">
        <f t="shared" si="136"/>
        <v>0</v>
      </c>
      <c r="EN64" s="1543">
        <f t="shared" si="137"/>
        <v>0</v>
      </c>
      <c r="EP64" s="1543">
        <f t="shared" si="72"/>
        <v>0</v>
      </c>
      <c r="EQ64" s="1543">
        <f t="shared" si="72"/>
        <v>0</v>
      </c>
      <c r="ER64" s="1543">
        <f t="shared" si="72"/>
        <v>0</v>
      </c>
      <c r="ES64" s="1543">
        <f t="shared" si="72"/>
        <v>0</v>
      </c>
      <c r="ET64" s="1543">
        <f t="shared" si="123"/>
        <v>0</v>
      </c>
      <c r="EU64" s="1543">
        <f t="shared" si="123"/>
        <v>0</v>
      </c>
      <c r="EV64" s="1543">
        <f t="shared" si="123"/>
        <v>0</v>
      </c>
      <c r="EW64" s="1543">
        <f t="shared" si="123"/>
        <v>0</v>
      </c>
      <c r="EX64" s="1543">
        <f t="shared" si="123"/>
        <v>0</v>
      </c>
      <c r="EY64" s="1543">
        <f t="shared" si="123"/>
        <v>0</v>
      </c>
      <c r="EZ64" s="1543">
        <f t="shared" si="123"/>
        <v>0</v>
      </c>
      <c r="FA64" s="1543">
        <f t="shared" si="123"/>
        <v>0</v>
      </c>
      <c r="FB64" s="1543">
        <f t="shared" si="123"/>
        <v>0</v>
      </c>
      <c r="FC64" s="1543">
        <f t="shared" si="123"/>
        <v>0</v>
      </c>
      <c r="FD64" s="1543">
        <f t="shared" si="123"/>
        <v>0</v>
      </c>
      <c r="FE64" s="1543">
        <f t="shared" si="52"/>
        <v>0</v>
      </c>
      <c r="FF64" s="1543">
        <f t="shared" si="40"/>
        <v>1</v>
      </c>
      <c r="FH64" s="1543">
        <f t="shared" si="121"/>
        <v>0</v>
      </c>
      <c r="FI64" s="1543">
        <f t="shared" si="121"/>
        <v>0</v>
      </c>
      <c r="FJ64" s="1543">
        <f t="shared" si="121"/>
        <v>0</v>
      </c>
      <c r="FK64" s="1543">
        <f t="shared" si="121"/>
        <v>0</v>
      </c>
      <c r="FL64" s="1543">
        <f t="shared" si="121"/>
        <v>0</v>
      </c>
      <c r="FM64" s="1543">
        <f t="shared" si="121"/>
        <v>0</v>
      </c>
      <c r="FN64" s="1543">
        <f t="shared" si="121"/>
        <v>0</v>
      </c>
      <c r="FO64" s="1543">
        <f t="shared" si="121"/>
        <v>0</v>
      </c>
      <c r="FP64" s="1543">
        <f t="shared" si="121"/>
        <v>0</v>
      </c>
      <c r="FQ64" s="1543">
        <f t="shared" si="121"/>
        <v>0</v>
      </c>
      <c r="FR64" s="1543">
        <f t="shared" si="121"/>
        <v>0</v>
      </c>
      <c r="FS64" s="1543">
        <f t="shared" si="121"/>
        <v>0</v>
      </c>
      <c r="FT64" s="1543">
        <f t="shared" si="41"/>
        <v>0</v>
      </c>
      <c r="FV64" s="1543">
        <f t="shared" si="122"/>
        <v>1</v>
      </c>
      <c r="FW64" s="1543">
        <f t="shared" si="122"/>
        <v>0</v>
      </c>
      <c r="FX64" s="1543">
        <f t="shared" si="122"/>
        <v>0</v>
      </c>
      <c r="FY64" s="1543">
        <f t="shared" si="122"/>
        <v>0</v>
      </c>
      <c r="FZ64" s="1543">
        <f t="shared" si="122"/>
        <v>0</v>
      </c>
      <c r="GA64" s="1543">
        <f t="shared" si="122"/>
        <v>0</v>
      </c>
      <c r="GB64" s="1543">
        <f t="shared" si="122"/>
        <v>0</v>
      </c>
      <c r="GC64" s="1543">
        <f t="shared" si="122"/>
        <v>0</v>
      </c>
      <c r="GD64" s="1543">
        <f t="shared" si="122"/>
        <v>0</v>
      </c>
    </row>
    <row r="65" spans="1:186" s="982" customFormat="1" ht="15.6" x14ac:dyDescent="0.3">
      <c r="A65" s="974">
        <v>63</v>
      </c>
      <c r="B65" s="983"/>
      <c r="C65" s="984"/>
      <c r="D65" s="983"/>
      <c r="E65" s="968" t="str">
        <f>IFERROR(VLOOKUP($D65&amp;"."&amp;B65,'Piping Class'!$1:$1048576,MATCH($I65,'Piping Class'!$2:$2,0),0),"")</f>
        <v/>
      </c>
      <c r="F65" s="985" t="str">
        <f>IFERROR(IF(B65="Flange",VLOOKUP($D65,'Piping Class'!$88:$102,MATCH(F$1,'Piping Class'!$88:$88,0),0),""),"")</f>
        <v/>
      </c>
      <c r="G65" s="968" t="str">
        <f>IFERROR(IF(B65="Flange",VLOOKUP($D65,'Piping Class'!$88:$102,MATCH(G$1,'Piping Class'!$88:$88,0),0),""),"")</f>
        <v/>
      </c>
      <c r="H65" s="968" t="str">
        <f>IFERROR(VLOOKUP($D65,'Piping Class'!$88:$102,MATCH(H$1,'Piping Class'!$88:$88,0),0),"")</f>
        <v/>
      </c>
      <c r="I65" s="986"/>
      <c r="J65" s="987"/>
      <c r="K65" s="968" t="str">
        <f>IFERROR(VLOOKUP(I65,'Thickness Tab'!$1:$1048576,MATCH(L65,'Thickness Tab'!$1:$1,0),0),"")</f>
        <v/>
      </c>
      <c r="L65" s="969" t="str">
        <f>IFERROR(VLOOKUP($D65,'Piping Class'!$1:$1048576,MATCH($I65,'Piping Class'!$2:$2,0),0),"")</f>
        <v/>
      </c>
      <c r="M65" s="968" t="str">
        <f>IFERROR(VLOOKUP(J65,'Thickness Tab'!$1:$1048576,MATCH(N65,'Thickness Tab'!$1:$1,0),0),"")</f>
        <v/>
      </c>
      <c r="N65" s="969" t="str">
        <f>IFERROR(VLOOKUP($D65,'Piping Class'!$1:$1048576,MATCH($J65,'Piping Class'!$2:$2,0),0),"")</f>
        <v/>
      </c>
      <c r="O65" s="968" t="str">
        <f>IFERROR(VLOOKUP($D65,'Piping Class'!$88:$102,MATCH(O$1,'Piping Class'!$88:$88,0),0),"")</f>
        <v/>
      </c>
      <c r="P65" s="968" t="str">
        <f>IFERROR(VLOOKUP($D65,'Piping Class'!$88:$102,MATCH(P$1,'Piping Class'!$88:$88,0),0),"")</f>
        <v/>
      </c>
      <c r="Q65" s="983"/>
      <c r="R65" s="988"/>
      <c r="S65" s="969" t="str">
        <f t="shared" si="102"/>
        <v/>
      </c>
      <c r="T65" s="968">
        <f>IFERROR(VLOOKUP(I65&amp;"."&amp;L65,'Fitting Chart'!$1:$1048576,MATCH(C65,'Fitting Chart'!$1:$1,0),0),0)+IF(B65="piping",PI()*K65*(VLOOKUP(I65,'Thickness Tab'!$1:$1048576,3,0)-K65)*7.86/1000,0)+IF(B65="Flange",VLOOKUP(I65&amp;"F"&amp;F65,'Flanges Chart'!$1:$1048576,MATCH(C65&amp;"."&amp;T$1,'Flanges Chart'!$1:$1,0),0),0)</f>
        <v>0</v>
      </c>
      <c r="U65" s="989">
        <f t="shared" si="103"/>
        <v>0</v>
      </c>
      <c r="V65" s="1003"/>
      <c r="W65" s="1001">
        <f t="shared" si="124"/>
        <v>0</v>
      </c>
      <c r="X65" s="997"/>
      <c r="Y65" s="983"/>
      <c r="Z65" s="989">
        <f>IF(B65="Piping",VLOOKUP(I65,'Thickness Tab'!$1:$1048576,3,0)/1000*PI(),0)+IFERROR(VLOOKUP(I65&amp;"F"&amp;F65,'Flanges Chart'!$1:$1048576,MATCH(C65&amp;".Unit Surface",'Flanges Chart'!$1:$1,0),0),0)+IF(B65="Fitting",VLOOKUP(I65,'Thickness Tab'!$1:$1048576,3,0)/1000*PI(),0)</f>
        <v>0</v>
      </c>
      <c r="AA65" s="989">
        <f t="shared" si="125"/>
        <v>0</v>
      </c>
      <c r="AB65" s="983">
        <v>0</v>
      </c>
      <c r="AC65" s="989">
        <f t="shared" si="24"/>
        <v>0</v>
      </c>
      <c r="AD65" s="989">
        <f t="shared" si="25"/>
        <v>0</v>
      </c>
      <c r="AE65" s="974">
        <f>(IFERROR(VLOOKUP($C65,List!$J:$L,2,0),0)*R65+IF(B65="piping",R65,0)+IF(C65="Welding Neck",1,0)*R65)*$AE$2</f>
        <v>0</v>
      </c>
      <c r="AF65" s="970">
        <f>IFERROR(VLOOKUP($C65,List!$J:$L,3,0),0)*R65*$AF$2</f>
        <v>0</v>
      </c>
      <c r="AG65" s="990">
        <f t="shared" si="126"/>
        <v>0</v>
      </c>
      <c r="AH65" s="1118" t="str">
        <f>IFERROR(VLOOKUP($D65,'Piping Class'!$88:$102,MATCH(AH$1,'Piping Class'!$88:$88,0),0),"")</f>
        <v/>
      </c>
      <c r="AI65" s="991" t="str">
        <f>IFERROR(VLOOKUP($D65,'Piping Class'!$88:$102,MATCH(AI$1,'Piping Class'!$88:$88,0),0),"")</f>
        <v/>
      </c>
      <c r="AJ65" s="991" t="str">
        <f>IFERROR(VLOOKUP($D65,'Piping Class'!$88:$102,MATCH(AJ$1,'Piping Class'!$88:$88,0),0),"")</f>
        <v/>
      </c>
      <c r="AK65" s="991" t="str">
        <f>IFERROR(VLOOKUP($D65,'Piping Class'!$88:$102,MATCH(AK$1,'Piping Class'!$88:$88,0),0),"")</f>
        <v/>
      </c>
      <c r="AL65" s="991">
        <f t="shared" si="44"/>
        <v>0</v>
      </c>
      <c r="AM65" s="1119" t="str">
        <f>IFERROR(VLOOKUP($D65,'Piping Class'!$88:$102,MATCH(AM$1,'Piping Class'!$88:$88,0),0),"")</f>
        <v/>
      </c>
      <c r="AN65" s="992">
        <f t="shared" si="26"/>
        <v>0</v>
      </c>
      <c r="AO65" s="993">
        <f>IFERROR(VLOOKUP(I65&amp;"B"&amp;F65,'Bolting Chart'!$1:$1048576,4,0),0)</f>
        <v>0</v>
      </c>
      <c r="AP65" s="993">
        <f t="shared" si="127"/>
        <v>0</v>
      </c>
      <c r="AQ65" s="993">
        <f t="shared" si="128"/>
        <v>0</v>
      </c>
      <c r="AR65" s="993">
        <f>IF(AO65=0,0,VLOOKUP(D65&amp;".bolting",'Piping Class'!$1:$1048576,MATCH(I65,'Piping Class'!$2:$2,0),0))</f>
        <v>0</v>
      </c>
      <c r="AS65" s="994">
        <f>IFERROR(VLOOKUP(I65&amp;"B"&amp;F65,'Bolting Chart'!$1:$1048576,IF(AS$2="UNC",5,6),0),0)</f>
        <v>0</v>
      </c>
      <c r="AT65" s="995">
        <f>IFERROR(VLOOKUP(I65&amp;"B"&amp;F65,'Bolting Chart'!$1:$1048576,IF(G65="RF",8,9),0),0)</f>
        <v>0</v>
      </c>
      <c r="AU65" s="993">
        <f>IF(AO65=0,0,VLOOKUP(D65&amp;".gasket",'Piping Class'!$1:$1048576,MATCH(I65,'Piping Class'!$2:$2,0),0))</f>
        <v>0</v>
      </c>
      <c r="AV65" s="996">
        <f>(IFERROR(INDEX('Bolting Chart'!$A$169:$R$251,MATCH(AT65,'Bolting Chart'!$A$170:$A$251,0),MATCH(IFERROR(VLOOKUP(I65&amp;"B"&amp;F65,'Bolting Chart'!$1:$1048576,7,0),0)+0,'Bolting Chart'!$A$169:$R$169,0)),0))/100</f>
        <v>0</v>
      </c>
      <c r="AW65" s="996">
        <f t="shared" si="129"/>
        <v>0</v>
      </c>
      <c r="AX65" s="1194">
        <f t="shared" si="130"/>
        <v>0</v>
      </c>
      <c r="AY65" s="981"/>
      <c r="AZ65" s="1543">
        <f t="shared" si="140"/>
        <v>0</v>
      </c>
      <c r="BA65" s="1543">
        <f t="shared" si="140"/>
        <v>0</v>
      </c>
      <c r="BB65" s="1543">
        <f t="shared" si="140"/>
        <v>0</v>
      </c>
      <c r="BC65" s="1543">
        <f t="shared" si="140"/>
        <v>0</v>
      </c>
      <c r="BD65" s="1543">
        <f t="shared" si="140"/>
        <v>0</v>
      </c>
      <c r="BE65" s="1543">
        <f t="shared" si="140"/>
        <v>0</v>
      </c>
      <c r="BF65" s="1543">
        <f t="shared" si="140"/>
        <v>0</v>
      </c>
      <c r="BG65" s="1543">
        <f t="shared" si="140"/>
        <v>0</v>
      </c>
      <c r="BH65" s="1543">
        <f t="shared" si="140"/>
        <v>0</v>
      </c>
      <c r="BI65" s="1543">
        <f t="shared" si="140"/>
        <v>0</v>
      </c>
      <c r="BJ65" s="1543">
        <f t="shared" si="140"/>
        <v>0</v>
      </c>
      <c r="BK65" s="1543">
        <f t="shared" si="140"/>
        <v>0</v>
      </c>
      <c r="BL65" s="1543">
        <f t="shared" si="140"/>
        <v>0</v>
      </c>
      <c r="BM65" s="1543">
        <f t="shared" si="140"/>
        <v>0</v>
      </c>
      <c r="BN65" s="1543">
        <f t="shared" si="140"/>
        <v>0</v>
      </c>
      <c r="BO65" s="1543">
        <f t="shared" si="140"/>
        <v>0</v>
      </c>
      <c r="BP65" s="1543">
        <f t="shared" si="141"/>
        <v>0</v>
      </c>
      <c r="BQ65" s="1543">
        <f t="shared" ref="BQ65:BZ76" si="144">IF($I65=BQ$2,1,0)</f>
        <v>0</v>
      </c>
      <c r="BR65" s="1543">
        <f t="shared" si="144"/>
        <v>0</v>
      </c>
      <c r="BS65" s="1543">
        <f t="shared" si="144"/>
        <v>0</v>
      </c>
      <c r="BT65" s="1543">
        <f t="shared" si="144"/>
        <v>0</v>
      </c>
      <c r="BU65" s="1543">
        <f t="shared" si="144"/>
        <v>0</v>
      </c>
      <c r="BV65" s="1543">
        <f t="shared" si="144"/>
        <v>0</v>
      </c>
      <c r="BW65" s="1543">
        <f t="shared" si="144"/>
        <v>0</v>
      </c>
      <c r="BX65" s="1543">
        <f t="shared" si="144"/>
        <v>0</v>
      </c>
      <c r="BY65" s="1543">
        <f t="shared" si="144"/>
        <v>0</v>
      </c>
      <c r="BZ65" s="1543">
        <f t="shared" si="144"/>
        <v>0</v>
      </c>
      <c r="CB65" s="1543">
        <f t="shared" si="142"/>
        <v>0</v>
      </c>
      <c r="CC65" s="1543">
        <f t="shared" si="142"/>
        <v>0</v>
      </c>
      <c r="CD65" s="1543">
        <f t="shared" si="142"/>
        <v>0</v>
      </c>
      <c r="CE65" s="1543">
        <f t="shared" si="142"/>
        <v>0</v>
      </c>
      <c r="CF65" s="1543">
        <f t="shared" si="142"/>
        <v>0</v>
      </c>
      <c r="CG65" s="1543">
        <f t="shared" si="142"/>
        <v>0</v>
      </c>
      <c r="CH65" s="1543">
        <f t="shared" si="142"/>
        <v>0</v>
      </c>
      <c r="CI65" s="1543">
        <f t="shared" si="142"/>
        <v>0</v>
      </c>
      <c r="CJ65" s="1543">
        <f t="shared" si="142"/>
        <v>0</v>
      </c>
      <c r="CK65" s="1543">
        <f t="shared" si="142"/>
        <v>0</v>
      </c>
      <c r="CL65" s="1543">
        <f t="shared" si="142"/>
        <v>0</v>
      </c>
      <c r="CM65" s="1543">
        <f t="shared" si="142"/>
        <v>0</v>
      </c>
      <c r="CN65" s="1543">
        <f t="shared" si="142"/>
        <v>0</v>
      </c>
      <c r="CO65" s="1543">
        <f t="shared" si="142"/>
        <v>0</v>
      </c>
      <c r="CP65" s="1543">
        <f t="shared" si="142"/>
        <v>0</v>
      </c>
      <c r="CQ65" s="1543">
        <f t="shared" si="142"/>
        <v>0</v>
      </c>
      <c r="CR65" s="1543">
        <f t="shared" si="143"/>
        <v>0</v>
      </c>
      <c r="CS65" s="1543">
        <f t="shared" ref="CS65:CS76" si="145">IF($J65=CS$2,1,0)</f>
        <v>0</v>
      </c>
      <c r="CT65" s="1543">
        <f t="shared" si="101"/>
        <v>0</v>
      </c>
      <c r="CU65" s="1543">
        <f t="shared" si="101"/>
        <v>0</v>
      </c>
      <c r="CV65" s="1543">
        <f t="shared" si="101"/>
        <v>0</v>
      </c>
      <c r="CW65" s="1543">
        <f t="shared" si="101"/>
        <v>0</v>
      </c>
      <c r="CX65" s="1543">
        <f t="shared" si="101"/>
        <v>0</v>
      </c>
      <c r="CY65" s="1543">
        <f t="shared" si="101"/>
        <v>0</v>
      </c>
      <c r="CZ65" s="1543">
        <f t="shared" si="101"/>
        <v>0</v>
      </c>
      <c r="DA65" s="1543">
        <f t="shared" si="101"/>
        <v>0</v>
      </c>
      <c r="DB65" s="1543">
        <f t="shared" si="101"/>
        <v>0</v>
      </c>
      <c r="DD65" s="1543">
        <f t="shared" si="68"/>
        <v>0</v>
      </c>
      <c r="DE65" s="1543">
        <f t="shared" si="69"/>
        <v>0</v>
      </c>
      <c r="DF65" s="1543">
        <f t="shared" si="70"/>
        <v>0</v>
      </c>
      <c r="DG65" s="1543">
        <f t="shared" si="31"/>
        <v>0</v>
      </c>
      <c r="DI65" s="1543">
        <f t="shared" si="32"/>
        <v>0</v>
      </c>
      <c r="DJ65" s="1543">
        <f t="shared" si="74"/>
        <v>0</v>
      </c>
      <c r="DK65" s="1543">
        <f t="shared" si="74"/>
        <v>0</v>
      </c>
      <c r="DL65" s="1543">
        <f t="shared" si="74"/>
        <v>0</v>
      </c>
      <c r="DM65" s="1543">
        <f t="shared" si="74"/>
        <v>0</v>
      </c>
      <c r="DO65" s="1543">
        <f t="shared" si="100"/>
        <v>0</v>
      </c>
      <c r="DP65" s="1543">
        <f t="shared" si="100"/>
        <v>0</v>
      </c>
      <c r="DQ65" s="1543">
        <f t="shared" si="100"/>
        <v>0</v>
      </c>
      <c r="DR65" s="1543">
        <f t="shared" si="100"/>
        <v>0</v>
      </c>
      <c r="DS65" s="1543">
        <f t="shared" si="100"/>
        <v>0</v>
      </c>
      <c r="DT65" s="1543">
        <f t="shared" si="100"/>
        <v>0</v>
      </c>
      <c r="DU65" s="1543">
        <f t="shared" si="100"/>
        <v>0</v>
      </c>
      <c r="DV65" s="1543">
        <f t="shared" si="100"/>
        <v>0</v>
      </c>
      <c r="DW65" s="1543">
        <f t="shared" si="100"/>
        <v>0</v>
      </c>
      <c r="DX65" s="1543">
        <f t="shared" si="100"/>
        <v>0</v>
      </c>
      <c r="DY65" s="1543">
        <f t="shared" si="100"/>
        <v>0</v>
      </c>
      <c r="DZ65" s="1543">
        <f t="shared" si="100"/>
        <v>0</v>
      </c>
      <c r="EA65" s="1543">
        <f t="shared" si="100"/>
        <v>0</v>
      </c>
      <c r="EB65" s="1543">
        <f t="shared" si="71"/>
        <v>0</v>
      </c>
      <c r="EC65" s="1543">
        <f t="shared" si="71"/>
        <v>0</v>
      </c>
      <c r="ED65" s="1543">
        <f t="shared" si="71"/>
        <v>0</v>
      </c>
      <c r="EE65" s="1543">
        <f t="shared" si="71"/>
        <v>0</v>
      </c>
      <c r="EF65" s="1543">
        <f t="shared" si="71"/>
        <v>0</v>
      </c>
      <c r="EH65" s="1543">
        <f t="shared" si="131"/>
        <v>0</v>
      </c>
      <c r="EI65" s="1543">
        <f t="shared" si="132"/>
        <v>0</v>
      </c>
      <c r="EJ65" s="1543">
        <f t="shared" si="133"/>
        <v>0</v>
      </c>
      <c r="EK65" s="1543">
        <f t="shared" si="134"/>
        <v>0</v>
      </c>
      <c r="EL65" s="1543">
        <f t="shared" si="135"/>
        <v>0</v>
      </c>
      <c r="EM65" s="1543">
        <f t="shared" si="136"/>
        <v>0</v>
      </c>
      <c r="EN65" s="1543">
        <f t="shared" si="137"/>
        <v>0</v>
      </c>
      <c r="EP65" s="1543">
        <f t="shared" si="72"/>
        <v>0</v>
      </c>
      <c r="EQ65" s="1543">
        <f t="shared" si="72"/>
        <v>0</v>
      </c>
      <c r="ER65" s="1543">
        <f t="shared" si="72"/>
        <v>0</v>
      </c>
      <c r="ES65" s="1543">
        <f t="shared" si="72"/>
        <v>0</v>
      </c>
      <c r="ET65" s="1543">
        <f t="shared" si="123"/>
        <v>0</v>
      </c>
      <c r="EU65" s="1543">
        <f t="shared" si="123"/>
        <v>0</v>
      </c>
      <c r="EV65" s="1543">
        <f t="shared" si="123"/>
        <v>0</v>
      </c>
      <c r="EW65" s="1543">
        <f t="shared" si="123"/>
        <v>0</v>
      </c>
      <c r="EX65" s="1543">
        <f t="shared" si="123"/>
        <v>0</v>
      </c>
      <c r="EY65" s="1543">
        <f t="shared" si="123"/>
        <v>0</v>
      </c>
      <c r="EZ65" s="1543">
        <f t="shared" si="123"/>
        <v>0</v>
      </c>
      <c r="FA65" s="1543">
        <f t="shared" si="123"/>
        <v>0</v>
      </c>
      <c r="FB65" s="1543">
        <f t="shared" si="123"/>
        <v>0</v>
      </c>
      <c r="FC65" s="1543">
        <f t="shared" si="123"/>
        <v>0</v>
      </c>
      <c r="FD65" s="1543">
        <f t="shared" si="123"/>
        <v>0</v>
      </c>
      <c r="FE65" s="1543">
        <f t="shared" si="52"/>
        <v>0</v>
      </c>
      <c r="FF65" s="1543">
        <f t="shared" si="40"/>
        <v>1</v>
      </c>
      <c r="FH65" s="1543">
        <f t="shared" si="121"/>
        <v>0</v>
      </c>
      <c r="FI65" s="1543">
        <f t="shared" si="121"/>
        <v>0</v>
      </c>
      <c r="FJ65" s="1543">
        <f t="shared" si="121"/>
        <v>0</v>
      </c>
      <c r="FK65" s="1543">
        <f t="shared" si="121"/>
        <v>0</v>
      </c>
      <c r="FL65" s="1543">
        <f t="shared" si="121"/>
        <v>0</v>
      </c>
      <c r="FM65" s="1543">
        <f t="shared" si="121"/>
        <v>0</v>
      </c>
      <c r="FN65" s="1543">
        <f t="shared" si="121"/>
        <v>0</v>
      </c>
      <c r="FO65" s="1543">
        <f t="shared" si="121"/>
        <v>0</v>
      </c>
      <c r="FP65" s="1543">
        <f t="shared" si="121"/>
        <v>0</v>
      </c>
      <c r="FQ65" s="1543">
        <f t="shared" si="121"/>
        <v>0</v>
      </c>
      <c r="FR65" s="1543">
        <f t="shared" si="121"/>
        <v>0</v>
      </c>
      <c r="FS65" s="1543">
        <f t="shared" si="121"/>
        <v>0</v>
      </c>
      <c r="FT65" s="1543">
        <f t="shared" si="41"/>
        <v>0</v>
      </c>
      <c r="FV65" s="1543">
        <f t="shared" si="122"/>
        <v>1</v>
      </c>
      <c r="FW65" s="1543">
        <f t="shared" si="122"/>
        <v>0</v>
      </c>
      <c r="FX65" s="1543">
        <f t="shared" si="122"/>
        <v>0</v>
      </c>
      <c r="FY65" s="1543">
        <f t="shared" si="122"/>
        <v>0</v>
      </c>
      <c r="FZ65" s="1543">
        <f t="shared" si="122"/>
        <v>0</v>
      </c>
      <c r="GA65" s="1543">
        <f t="shared" si="122"/>
        <v>0</v>
      </c>
      <c r="GB65" s="1543">
        <f t="shared" si="122"/>
        <v>0</v>
      </c>
      <c r="GC65" s="1543">
        <f t="shared" si="122"/>
        <v>0</v>
      </c>
      <c r="GD65" s="1543">
        <f t="shared" si="122"/>
        <v>0</v>
      </c>
    </row>
    <row r="66" spans="1:186" s="982" customFormat="1" ht="15.6" x14ac:dyDescent="0.3">
      <c r="A66" s="974">
        <v>64</v>
      </c>
      <c r="B66" s="983"/>
      <c r="C66" s="984"/>
      <c r="D66" s="983"/>
      <c r="E66" s="968" t="str">
        <f>IFERROR(VLOOKUP($D66&amp;"."&amp;B66,'Piping Class'!$1:$1048576,MATCH($I66,'Piping Class'!$2:$2,0),0),"")</f>
        <v/>
      </c>
      <c r="F66" s="985" t="str">
        <f>IFERROR(IF(B66="Flange",VLOOKUP($D66,'Piping Class'!$88:$102,MATCH(F$1,'Piping Class'!$88:$88,0),0),""),"")</f>
        <v/>
      </c>
      <c r="G66" s="968" t="str">
        <f>IFERROR(IF(B66="Flange",VLOOKUP($D66,'Piping Class'!$88:$102,MATCH(G$1,'Piping Class'!$88:$88,0),0),""),"")</f>
        <v/>
      </c>
      <c r="H66" s="968" t="str">
        <f>IFERROR(VLOOKUP($D66,'Piping Class'!$88:$102,MATCH(H$1,'Piping Class'!$88:$88,0),0),"")</f>
        <v/>
      </c>
      <c r="I66" s="986"/>
      <c r="J66" s="987"/>
      <c r="K66" s="968" t="str">
        <f>IFERROR(VLOOKUP(I66,'Thickness Tab'!$1:$1048576,MATCH(L66,'Thickness Tab'!$1:$1,0),0),"")</f>
        <v/>
      </c>
      <c r="L66" s="969" t="str">
        <f>IFERROR(VLOOKUP($D66,'Piping Class'!$1:$1048576,MATCH($I66,'Piping Class'!$2:$2,0),0),"")</f>
        <v/>
      </c>
      <c r="M66" s="968" t="str">
        <f>IFERROR(VLOOKUP(J66,'Thickness Tab'!$1:$1048576,MATCH(N66,'Thickness Tab'!$1:$1,0),0),"")</f>
        <v/>
      </c>
      <c r="N66" s="969" t="str">
        <f>IFERROR(VLOOKUP($D66,'Piping Class'!$1:$1048576,MATCH($J66,'Piping Class'!$2:$2,0),0),"")</f>
        <v/>
      </c>
      <c r="O66" s="968" t="str">
        <f>IFERROR(VLOOKUP($D66,'Piping Class'!$88:$102,MATCH(O$1,'Piping Class'!$88:$88,0),0),"")</f>
        <v/>
      </c>
      <c r="P66" s="968" t="str">
        <f>IFERROR(VLOOKUP($D66,'Piping Class'!$88:$102,MATCH(P$1,'Piping Class'!$88:$88,0),0),"")</f>
        <v/>
      </c>
      <c r="Q66" s="983"/>
      <c r="R66" s="988"/>
      <c r="S66" s="969" t="str">
        <f t="shared" si="102"/>
        <v/>
      </c>
      <c r="T66" s="968">
        <f>IFERROR(VLOOKUP(I66&amp;"."&amp;L66,'Fitting Chart'!$1:$1048576,MATCH(C66,'Fitting Chart'!$1:$1,0),0),0)+IF(B66="piping",PI()*K66*(VLOOKUP(I66,'Thickness Tab'!$1:$1048576,3,0)-K66)*7.86/1000,0)+IF(B66="Flange",VLOOKUP(I66&amp;"F"&amp;F66,'Flanges Chart'!$1:$1048576,MATCH(C66&amp;"."&amp;T$1,'Flanges Chart'!$1:$1,0),0),0)</f>
        <v>0</v>
      </c>
      <c r="U66" s="989">
        <f t="shared" si="103"/>
        <v>0</v>
      </c>
      <c r="V66" s="1003"/>
      <c r="W66" s="1001">
        <f t="shared" si="124"/>
        <v>0</v>
      </c>
      <c r="X66" s="997"/>
      <c r="Y66" s="983"/>
      <c r="Z66" s="989">
        <f>IF(B66="Piping",VLOOKUP(I66,'Thickness Tab'!$1:$1048576,3,0)/1000*PI(),0)+IFERROR(VLOOKUP(I66&amp;"F"&amp;F66,'Flanges Chart'!$1:$1048576,MATCH(C66&amp;".Unit Surface",'Flanges Chart'!$1:$1,0),0),0)+IF(B66="Fitting",VLOOKUP(I66,'Thickness Tab'!$1:$1048576,3,0)/1000*PI(),0)</f>
        <v>0</v>
      </c>
      <c r="AA66" s="989">
        <f t="shared" si="125"/>
        <v>0</v>
      </c>
      <c r="AB66" s="983">
        <v>0</v>
      </c>
      <c r="AC66" s="989">
        <f t="shared" si="24"/>
        <v>0</v>
      </c>
      <c r="AD66" s="989">
        <f t="shared" si="25"/>
        <v>0</v>
      </c>
      <c r="AE66" s="974">
        <f>(IFERROR(VLOOKUP($C66,List!$J:$L,2,0),0)*R66+IF(B66="piping",R66,0)+IF(C66="Welding Neck",1,0)*R66)*$AE$2</f>
        <v>0</v>
      </c>
      <c r="AF66" s="970">
        <f>IFERROR(VLOOKUP($C66,List!$J:$L,3,0),0)*R66*$AF$2</f>
        <v>0</v>
      </c>
      <c r="AG66" s="990">
        <f t="shared" si="126"/>
        <v>0</v>
      </c>
      <c r="AH66" s="1118" t="str">
        <f>IFERROR(VLOOKUP($D66,'Piping Class'!$88:$102,MATCH(AH$1,'Piping Class'!$88:$88,0),0),"")</f>
        <v/>
      </c>
      <c r="AI66" s="991" t="str">
        <f>IFERROR(VLOOKUP($D66,'Piping Class'!$88:$102,MATCH(AI$1,'Piping Class'!$88:$88,0),0),"")</f>
        <v/>
      </c>
      <c r="AJ66" s="991" t="str">
        <f>IFERROR(VLOOKUP($D66,'Piping Class'!$88:$102,MATCH(AJ$1,'Piping Class'!$88:$88,0),0),"")</f>
        <v/>
      </c>
      <c r="AK66" s="991" t="str">
        <f>IFERROR(VLOOKUP($D66,'Piping Class'!$88:$102,MATCH(AK$1,'Piping Class'!$88:$88,0),0),"")</f>
        <v/>
      </c>
      <c r="AL66" s="991">
        <f t="shared" si="44"/>
        <v>0</v>
      </c>
      <c r="AM66" s="1119" t="str">
        <f>IFERROR(VLOOKUP($D66,'Piping Class'!$88:$102,MATCH(AM$1,'Piping Class'!$88:$88,0),0),"")</f>
        <v/>
      </c>
      <c r="AN66" s="992">
        <f t="shared" si="26"/>
        <v>0</v>
      </c>
      <c r="AO66" s="993">
        <f>IFERROR(VLOOKUP(I66&amp;"B"&amp;F66,'Bolting Chart'!$1:$1048576,4,0),0)</f>
        <v>0</v>
      </c>
      <c r="AP66" s="993">
        <f t="shared" si="127"/>
        <v>0</v>
      </c>
      <c r="AQ66" s="993">
        <f t="shared" si="128"/>
        <v>0</v>
      </c>
      <c r="AR66" s="993">
        <f>IF(AO66=0,0,VLOOKUP(D66&amp;".bolting",'Piping Class'!$1:$1048576,MATCH(I66,'Piping Class'!$2:$2,0),0))</f>
        <v>0</v>
      </c>
      <c r="AS66" s="994">
        <f>IFERROR(VLOOKUP(I66&amp;"B"&amp;F66,'Bolting Chart'!$1:$1048576,IF(AS$2="UNC",5,6),0),0)</f>
        <v>0</v>
      </c>
      <c r="AT66" s="995">
        <f>IFERROR(VLOOKUP(I66&amp;"B"&amp;F66,'Bolting Chart'!$1:$1048576,IF(G66="RF",8,9),0),0)</f>
        <v>0</v>
      </c>
      <c r="AU66" s="993">
        <f>IF(AO66=0,0,VLOOKUP(D66&amp;".gasket",'Piping Class'!$1:$1048576,MATCH(I66,'Piping Class'!$2:$2,0),0))</f>
        <v>0</v>
      </c>
      <c r="AV66" s="996">
        <f>(IFERROR(INDEX('Bolting Chart'!$A$169:$R$251,MATCH(AT66,'Bolting Chart'!$A$170:$A$251,0),MATCH(IFERROR(VLOOKUP(I66&amp;"B"&amp;F66,'Bolting Chart'!$1:$1048576,7,0),0)+0,'Bolting Chart'!$A$169:$R$169,0)),0))/100</f>
        <v>0</v>
      </c>
      <c r="AW66" s="996">
        <f t="shared" si="129"/>
        <v>0</v>
      </c>
      <c r="AX66" s="1194">
        <f t="shared" si="130"/>
        <v>0</v>
      </c>
      <c r="AY66" s="981"/>
      <c r="AZ66" s="1543">
        <f t="shared" si="140"/>
        <v>0</v>
      </c>
      <c r="BA66" s="1543">
        <f t="shared" si="140"/>
        <v>0</v>
      </c>
      <c r="BB66" s="1543">
        <f t="shared" si="140"/>
        <v>0</v>
      </c>
      <c r="BC66" s="1543">
        <f t="shared" si="140"/>
        <v>0</v>
      </c>
      <c r="BD66" s="1543">
        <f t="shared" si="140"/>
        <v>0</v>
      </c>
      <c r="BE66" s="1543">
        <f t="shared" si="140"/>
        <v>0</v>
      </c>
      <c r="BF66" s="1543">
        <f t="shared" si="140"/>
        <v>0</v>
      </c>
      <c r="BG66" s="1543">
        <f t="shared" si="140"/>
        <v>0</v>
      </c>
      <c r="BH66" s="1543">
        <f t="shared" si="140"/>
        <v>0</v>
      </c>
      <c r="BI66" s="1543">
        <f t="shared" si="140"/>
        <v>0</v>
      </c>
      <c r="BJ66" s="1543">
        <f t="shared" si="140"/>
        <v>0</v>
      </c>
      <c r="BK66" s="1543">
        <f t="shared" si="140"/>
        <v>0</v>
      </c>
      <c r="BL66" s="1543">
        <f t="shared" si="140"/>
        <v>0</v>
      </c>
      <c r="BM66" s="1543">
        <f t="shared" si="140"/>
        <v>0</v>
      </c>
      <c r="BN66" s="1543">
        <f t="shared" si="140"/>
        <v>0</v>
      </c>
      <c r="BO66" s="1543">
        <f t="shared" si="140"/>
        <v>0</v>
      </c>
      <c r="BP66" s="1543">
        <f t="shared" si="141"/>
        <v>0</v>
      </c>
      <c r="BQ66" s="1543">
        <f t="shared" si="144"/>
        <v>0</v>
      </c>
      <c r="BR66" s="1543">
        <f t="shared" si="144"/>
        <v>0</v>
      </c>
      <c r="BS66" s="1543">
        <f t="shared" si="144"/>
        <v>0</v>
      </c>
      <c r="BT66" s="1543">
        <f t="shared" si="144"/>
        <v>0</v>
      </c>
      <c r="BU66" s="1543">
        <f t="shared" si="144"/>
        <v>0</v>
      </c>
      <c r="BV66" s="1543">
        <f t="shared" si="144"/>
        <v>0</v>
      </c>
      <c r="BW66" s="1543">
        <f t="shared" si="144"/>
        <v>0</v>
      </c>
      <c r="BX66" s="1543">
        <f t="shared" si="144"/>
        <v>0</v>
      </c>
      <c r="BY66" s="1543">
        <f t="shared" si="144"/>
        <v>0</v>
      </c>
      <c r="BZ66" s="1543">
        <f t="shared" si="144"/>
        <v>0</v>
      </c>
      <c r="CB66" s="1543">
        <f t="shared" si="142"/>
        <v>0</v>
      </c>
      <c r="CC66" s="1543">
        <f t="shared" si="142"/>
        <v>0</v>
      </c>
      <c r="CD66" s="1543">
        <f t="shared" si="142"/>
        <v>0</v>
      </c>
      <c r="CE66" s="1543">
        <f t="shared" si="142"/>
        <v>0</v>
      </c>
      <c r="CF66" s="1543">
        <f t="shared" si="142"/>
        <v>0</v>
      </c>
      <c r="CG66" s="1543">
        <f t="shared" si="142"/>
        <v>0</v>
      </c>
      <c r="CH66" s="1543">
        <f t="shared" si="142"/>
        <v>0</v>
      </c>
      <c r="CI66" s="1543">
        <f t="shared" si="142"/>
        <v>0</v>
      </c>
      <c r="CJ66" s="1543">
        <f t="shared" si="142"/>
        <v>0</v>
      </c>
      <c r="CK66" s="1543">
        <f t="shared" si="142"/>
        <v>0</v>
      </c>
      <c r="CL66" s="1543">
        <f t="shared" si="142"/>
        <v>0</v>
      </c>
      <c r="CM66" s="1543">
        <f t="shared" si="142"/>
        <v>0</v>
      </c>
      <c r="CN66" s="1543">
        <f t="shared" si="142"/>
        <v>0</v>
      </c>
      <c r="CO66" s="1543">
        <f t="shared" si="142"/>
        <v>0</v>
      </c>
      <c r="CP66" s="1543">
        <f t="shared" si="142"/>
        <v>0</v>
      </c>
      <c r="CQ66" s="1543">
        <f t="shared" si="142"/>
        <v>0</v>
      </c>
      <c r="CR66" s="1543">
        <f t="shared" si="143"/>
        <v>0</v>
      </c>
      <c r="CS66" s="1543">
        <f t="shared" si="145"/>
        <v>0</v>
      </c>
      <c r="CT66" s="1543">
        <f t="shared" si="101"/>
        <v>0</v>
      </c>
      <c r="CU66" s="1543">
        <f t="shared" si="101"/>
        <v>0</v>
      </c>
      <c r="CV66" s="1543">
        <f t="shared" si="101"/>
        <v>0</v>
      </c>
      <c r="CW66" s="1543">
        <f t="shared" si="101"/>
        <v>0</v>
      </c>
      <c r="CX66" s="1543">
        <f t="shared" si="101"/>
        <v>0</v>
      </c>
      <c r="CY66" s="1543">
        <f t="shared" si="101"/>
        <v>0</v>
      </c>
      <c r="CZ66" s="1543">
        <f t="shared" si="101"/>
        <v>0</v>
      </c>
      <c r="DA66" s="1543">
        <f t="shared" si="101"/>
        <v>0</v>
      </c>
      <c r="DB66" s="1543">
        <f t="shared" si="101"/>
        <v>0</v>
      </c>
      <c r="DD66" s="1543">
        <f t="shared" si="68"/>
        <v>0</v>
      </c>
      <c r="DE66" s="1543">
        <f t="shared" si="69"/>
        <v>0</v>
      </c>
      <c r="DF66" s="1543">
        <f t="shared" si="70"/>
        <v>0</v>
      </c>
      <c r="DG66" s="1543">
        <f t="shared" si="31"/>
        <v>0</v>
      </c>
      <c r="DI66" s="1543">
        <f t="shared" si="32"/>
        <v>0</v>
      </c>
      <c r="DJ66" s="1543">
        <f t="shared" si="74"/>
        <v>0</v>
      </c>
      <c r="DK66" s="1543">
        <f t="shared" si="74"/>
        <v>0</v>
      </c>
      <c r="DL66" s="1543">
        <f t="shared" si="74"/>
        <v>0</v>
      </c>
      <c r="DM66" s="1543">
        <f t="shared" si="74"/>
        <v>0</v>
      </c>
      <c r="DO66" s="1543">
        <f t="shared" si="100"/>
        <v>0</v>
      </c>
      <c r="DP66" s="1543">
        <f t="shared" si="100"/>
        <v>0</v>
      </c>
      <c r="DQ66" s="1543">
        <f t="shared" si="100"/>
        <v>0</v>
      </c>
      <c r="DR66" s="1543">
        <f t="shared" si="100"/>
        <v>0</v>
      </c>
      <c r="DS66" s="1543">
        <f t="shared" si="100"/>
        <v>0</v>
      </c>
      <c r="DT66" s="1543">
        <f t="shared" si="100"/>
        <v>0</v>
      </c>
      <c r="DU66" s="1543">
        <f t="shared" si="100"/>
        <v>0</v>
      </c>
      <c r="DV66" s="1543">
        <f t="shared" si="100"/>
        <v>0</v>
      </c>
      <c r="DW66" s="1543">
        <f t="shared" si="100"/>
        <v>0</v>
      </c>
      <c r="DX66" s="1543">
        <f t="shared" si="100"/>
        <v>0</v>
      </c>
      <c r="DY66" s="1543">
        <f t="shared" si="100"/>
        <v>0</v>
      </c>
      <c r="DZ66" s="1543">
        <f t="shared" si="100"/>
        <v>0</v>
      </c>
      <c r="EA66" s="1543">
        <f t="shared" si="100"/>
        <v>0</v>
      </c>
      <c r="EB66" s="1543">
        <f t="shared" si="71"/>
        <v>0</v>
      </c>
      <c r="EC66" s="1543">
        <f t="shared" si="71"/>
        <v>0</v>
      </c>
      <c r="ED66" s="1543">
        <f t="shared" si="71"/>
        <v>0</v>
      </c>
      <c r="EE66" s="1543">
        <f t="shared" si="71"/>
        <v>0</v>
      </c>
      <c r="EF66" s="1543">
        <f t="shared" si="71"/>
        <v>0</v>
      </c>
      <c r="EH66" s="1543">
        <f t="shared" si="131"/>
        <v>0</v>
      </c>
      <c r="EI66" s="1543">
        <f t="shared" si="132"/>
        <v>0</v>
      </c>
      <c r="EJ66" s="1543">
        <f t="shared" si="133"/>
        <v>0</v>
      </c>
      <c r="EK66" s="1543">
        <f t="shared" si="134"/>
        <v>0</v>
      </c>
      <c r="EL66" s="1543">
        <f t="shared" si="135"/>
        <v>0</v>
      </c>
      <c r="EM66" s="1543">
        <f t="shared" si="136"/>
        <v>0</v>
      </c>
      <c r="EN66" s="1543">
        <f t="shared" si="137"/>
        <v>0</v>
      </c>
      <c r="EP66" s="1543">
        <f t="shared" si="72"/>
        <v>0</v>
      </c>
      <c r="EQ66" s="1543">
        <f t="shared" si="72"/>
        <v>0</v>
      </c>
      <c r="ER66" s="1543">
        <f t="shared" si="72"/>
        <v>0</v>
      </c>
      <c r="ES66" s="1543">
        <f t="shared" si="72"/>
        <v>0</v>
      </c>
      <c r="ET66" s="1543">
        <f t="shared" si="123"/>
        <v>0</v>
      </c>
      <c r="EU66" s="1543">
        <f t="shared" si="123"/>
        <v>0</v>
      </c>
      <c r="EV66" s="1543">
        <f t="shared" si="123"/>
        <v>0</v>
      </c>
      <c r="EW66" s="1543">
        <f t="shared" si="123"/>
        <v>0</v>
      </c>
      <c r="EX66" s="1543">
        <f t="shared" si="123"/>
        <v>0</v>
      </c>
      <c r="EY66" s="1543">
        <f t="shared" si="123"/>
        <v>0</v>
      </c>
      <c r="EZ66" s="1543">
        <f t="shared" si="123"/>
        <v>0</v>
      </c>
      <c r="FA66" s="1543">
        <f t="shared" si="123"/>
        <v>0</v>
      </c>
      <c r="FB66" s="1543">
        <f t="shared" si="123"/>
        <v>0</v>
      </c>
      <c r="FC66" s="1543">
        <f t="shared" si="123"/>
        <v>0</v>
      </c>
      <c r="FD66" s="1543">
        <f t="shared" si="123"/>
        <v>0</v>
      </c>
      <c r="FE66" s="1543">
        <f t="shared" si="52"/>
        <v>0</v>
      </c>
      <c r="FF66" s="1543">
        <f t="shared" si="40"/>
        <v>1</v>
      </c>
      <c r="FH66" s="1543">
        <f t="shared" si="121"/>
        <v>0</v>
      </c>
      <c r="FI66" s="1543">
        <f t="shared" si="121"/>
        <v>0</v>
      </c>
      <c r="FJ66" s="1543">
        <f t="shared" si="121"/>
        <v>0</v>
      </c>
      <c r="FK66" s="1543">
        <f t="shared" si="121"/>
        <v>0</v>
      </c>
      <c r="FL66" s="1543">
        <f t="shared" si="121"/>
        <v>0</v>
      </c>
      <c r="FM66" s="1543">
        <f t="shared" si="121"/>
        <v>0</v>
      </c>
      <c r="FN66" s="1543">
        <f t="shared" si="121"/>
        <v>0</v>
      </c>
      <c r="FO66" s="1543">
        <f t="shared" si="121"/>
        <v>0</v>
      </c>
      <c r="FP66" s="1543">
        <f t="shared" si="121"/>
        <v>0</v>
      </c>
      <c r="FQ66" s="1543">
        <f t="shared" si="121"/>
        <v>0</v>
      </c>
      <c r="FR66" s="1543">
        <f t="shared" si="121"/>
        <v>0</v>
      </c>
      <c r="FS66" s="1543">
        <f t="shared" si="121"/>
        <v>0</v>
      </c>
      <c r="FT66" s="1543">
        <f t="shared" si="41"/>
        <v>0</v>
      </c>
      <c r="FV66" s="1543">
        <f t="shared" si="122"/>
        <v>1</v>
      </c>
      <c r="FW66" s="1543">
        <f t="shared" si="122"/>
        <v>0</v>
      </c>
      <c r="FX66" s="1543">
        <f t="shared" si="122"/>
        <v>0</v>
      </c>
      <c r="FY66" s="1543">
        <f t="shared" si="122"/>
        <v>0</v>
      </c>
      <c r="FZ66" s="1543">
        <f t="shared" si="122"/>
        <v>0</v>
      </c>
      <c r="GA66" s="1543">
        <f t="shared" si="122"/>
        <v>0</v>
      </c>
      <c r="GB66" s="1543">
        <f t="shared" si="122"/>
        <v>0</v>
      </c>
      <c r="GC66" s="1543">
        <f t="shared" si="122"/>
        <v>0</v>
      </c>
      <c r="GD66" s="1543">
        <f t="shared" si="122"/>
        <v>0</v>
      </c>
    </row>
    <row r="67" spans="1:186" s="982" customFormat="1" ht="15.6" x14ac:dyDescent="0.3">
      <c r="A67" s="974">
        <v>65</v>
      </c>
      <c r="B67" s="983"/>
      <c r="C67" s="984"/>
      <c r="D67" s="983"/>
      <c r="E67" s="968" t="str">
        <f>IFERROR(VLOOKUP($D67&amp;"."&amp;B67,'Piping Class'!$1:$1048576,MATCH($I67,'Piping Class'!$2:$2,0),0),"")</f>
        <v/>
      </c>
      <c r="F67" s="985" t="str">
        <f>IFERROR(IF(B67="Flange",VLOOKUP($D67,'Piping Class'!$88:$102,MATCH(F$1,'Piping Class'!$88:$88,0),0),""),"")</f>
        <v/>
      </c>
      <c r="G67" s="968" t="str">
        <f>IFERROR(IF(B67="Flange",VLOOKUP($D67,'Piping Class'!$88:$102,MATCH(G$1,'Piping Class'!$88:$88,0),0),""),"")</f>
        <v/>
      </c>
      <c r="H67" s="968" t="str">
        <f>IFERROR(VLOOKUP($D67,'Piping Class'!$88:$102,MATCH(H$1,'Piping Class'!$88:$88,0),0),"")</f>
        <v/>
      </c>
      <c r="I67" s="986"/>
      <c r="J67" s="987"/>
      <c r="K67" s="968" t="str">
        <f>IFERROR(VLOOKUP(I67,'Thickness Tab'!$1:$1048576,MATCH(L67,'Thickness Tab'!$1:$1,0),0),"")</f>
        <v/>
      </c>
      <c r="L67" s="969" t="str">
        <f>IFERROR(VLOOKUP($D67,'Piping Class'!$1:$1048576,MATCH($I67,'Piping Class'!$2:$2,0),0),"")</f>
        <v/>
      </c>
      <c r="M67" s="968" t="str">
        <f>IFERROR(VLOOKUP(J67,'Thickness Tab'!$1:$1048576,MATCH(N67,'Thickness Tab'!$1:$1,0),0),"")</f>
        <v/>
      </c>
      <c r="N67" s="969" t="str">
        <f>IFERROR(VLOOKUP($D67,'Piping Class'!$1:$1048576,MATCH($J67,'Piping Class'!$2:$2,0),0),"")</f>
        <v/>
      </c>
      <c r="O67" s="968" t="str">
        <f>IFERROR(VLOOKUP($D67,'Piping Class'!$88:$102,MATCH(O$1,'Piping Class'!$88:$88,0),0),"")</f>
        <v/>
      </c>
      <c r="P67" s="968" t="str">
        <f>IFERROR(VLOOKUP($D67,'Piping Class'!$88:$102,MATCH(P$1,'Piping Class'!$88:$88,0),0),"")</f>
        <v/>
      </c>
      <c r="Q67" s="983"/>
      <c r="R67" s="988"/>
      <c r="S67" s="969" t="str">
        <f t="shared" si="102"/>
        <v/>
      </c>
      <c r="T67" s="968">
        <f>IFERROR(VLOOKUP(I67&amp;"."&amp;L67,'Fitting Chart'!$1:$1048576,MATCH(C67,'Fitting Chart'!$1:$1,0),0),0)+IF(B67="piping",PI()*K67*(VLOOKUP(I67,'Thickness Tab'!$1:$1048576,3,0)-K67)*7.86/1000,0)+IF(B67="Flange",VLOOKUP(I67&amp;"F"&amp;F67,'Flanges Chart'!$1:$1048576,MATCH(C67&amp;"."&amp;T$1,'Flanges Chart'!$1:$1,0),0),0)</f>
        <v>0</v>
      </c>
      <c r="U67" s="989">
        <f t="shared" si="103"/>
        <v>0</v>
      </c>
      <c r="V67" s="1003"/>
      <c r="W67" s="1001">
        <f t="shared" si="124"/>
        <v>0</v>
      </c>
      <c r="X67" s="997"/>
      <c r="Y67" s="983"/>
      <c r="Z67" s="989">
        <f>IF(B67="Piping",VLOOKUP(I67,'Thickness Tab'!$1:$1048576,3,0)/1000*PI(),0)+IFERROR(VLOOKUP(I67&amp;"F"&amp;F67,'Flanges Chart'!$1:$1048576,MATCH(C67&amp;".Unit Surface",'Flanges Chart'!$1:$1,0),0),0)+IF(B67="Fitting",VLOOKUP(I67,'Thickness Tab'!$1:$1048576,3,0)/1000*PI(),0)</f>
        <v>0</v>
      </c>
      <c r="AA67" s="989">
        <f t="shared" si="125"/>
        <v>0</v>
      </c>
      <c r="AB67" s="983">
        <v>0</v>
      </c>
      <c r="AC67" s="989">
        <f t="shared" si="24"/>
        <v>0</v>
      </c>
      <c r="AD67" s="989">
        <f t="shared" si="25"/>
        <v>0</v>
      </c>
      <c r="AE67" s="974">
        <f>(IFERROR(VLOOKUP($C67,List!$J:$L,2,0),0)*R67+IF(B67="piping",R67,0)+IF(C67="Welding Neck",1,0)*R67)*$AE$2</f>
        <v>0</v>
      </c>
      <c r="AF67" s="970">
        <f>IFERROR(VLOOKUP($C67,List!$J:$L,3,0),0)*R67*$AF$2</f>
        <v>0</v>
      </c>
      <c r="AG67" s="990">
        <f t="shared" si="126"/>
        <v>0</v>
      </c>
      <c r="AH67" s="1118" t="str">
        <f>IFERROR(VLOOKUP($D67,'Piping Class'!$88:$102,MATCH(AH$1,'Piping Class'!$88:$88,0),0),"")</f>
        <v/>
      </c>
      <c r="AI67" s="991" t="str">
        <f>IFERROR(VLOOKUP($D67,'Piping Class'!$88:$102,MATCH(AI$1,'Piping Class'!$88:$88,0),0),"")</f>
        <v/>
      </c>
      <c r="AJ67" s="991" t="str">
        <f>IFERROR(VLOOKUP($D67,'Piping Class'!$88:$102,MATCH(AJ$1,'Piping Class'!$88:$88,0),0),"")</f>
        <v/>
      </c>
      <c r="AK67" s="991" t="str">
        <f>IFERROR(VLOOKUP($D67,'Piping Class'!$88:$102,MATCH(AK$1,'Piping Class'!$88:$88,0),0),"")</f>
        <v/>
      </c>
      <c r="AL67" s="991">
        <f t="shared" si="44"/>
        <v>0</v>
      </c>
      <c r="AM67" s="1119" t="str">
        <f>IFERROR(VLOOKUP($D67,'Piping Class'!$88:$102,MATCH(AM$1,'Piping Class'!$88:$88,0),0),"")</f>
        <v/>
      </c>
      <c r="AN67" s="992">
        <f t="shared" si="26"/>
        <v>0</v>
      </c>
      <c r="AO67" s="993">
        <f>IFERROR(VLOOKUP(I67&amp;"B"&amp;F67,'Bolting Chart'!$1:$1048576,4,0),0)</f>
        <v>0</v>
      </c>
      <c r="AP67" s="993">
        <f t="shared" si="127"/>
        <v>0</v>
      </c>
      <c r="AQ67" s="993">
        <f t="shared" si="128"/>
        <v>0</v>
      </c>
      <c r="AR67" s="993">
        <f>IF(AO67=0,0,VLOOKUP(D67&amp;".bolting",'Piping Class'!$1:$1048576,MATCH(I67,'Piping Class'!$2:$2,0),0))</f>
        <v>0</v>
      </c>
      <c r="AS67" s="994">
        <f>IFERROR(VLOOKUP(I67&amp;"B"&amp;F67,'Bolting Chart'!$1:$1048576,IF(AS$2="UNC",5,6),0),0)</f>
        <v>0</v>
      </c>
      <c r="AT67" s="995">
        <f>IFERROR(VLOOKUP(I67&amp;"B"&amp;F67,'Bolting Chart'!$1:$1048576,IF(G67="RF",8,9),0),0)</f>
        <v>0</v>
      </c>
      <c r="AU67" s="993">
        <f>IF(AO67=0,0,VLOOKUP(D67&amp;".gasket",'Piping Class'!$1:$1048576,MATCH(I67,'Piping Class'!$2:$2,0),0))</f>
        <v>0</v>
      </c>
      <c r="AV67" s="996">
        <f>(IFERROR(INDEX('Bolting Chart'!$A$169:$R$251,MATCH(AT67,'Bolting Chart'!$A$170:$A$251,0),MATCH(IFERROR(VLOOKUP(I67&amp;"B"&amp;F67,'Bolting Chart'!$1:$1048576,7,0),0)+0,'Bolting Chart'!$A$169:$R$169,0)),0))/100</f>
        <v>0</v>
      </c>
      <c r="AW67" s="996">
        <f t="shared" si="129"/>
        <v>0</v>
      </c>
      <c r="AX67" s="1194">
        <f t="shared" si="130"/>
        <v>0</v>
      </c>
      <c r="AY67" s="981"/>
      <c r="AZ67" s="1543">
        <f t="shared" si="140"/>
        <v>0</v>
      </c>
      <c r="BA67" s="1543">
        <f t="shared" si="140"/>
        <v>0</v>
      </c>
      <c r="BB67" s="1543">
        <f t="shared" si="140"/>
        <v>0</v>
      </c>
      <c r="BC67" s="1543">
        <f t="shared" si="140"/>
        <v>0</v>
      </c>
      <c r="BD67" s="1543">
        <f t="shared" si="140"/>
        <v>0</v>
      </c>
      <c r="BE67" s="1543">
        <f t="shared" si="140"/>
        <v>0</v>
      </c>
      <c r="BF67" s="1543">
        <f t="shared" si="140"/>
        <v>0</v>
      </c>
      <c r="BG67" s="1543">
        <f t="shared" si="140"/>
        <v>0</v>
      </c>
      <c r="BH67" s="1543">
        <f t="shared" si="140"/>
        <v>0</v>
      </c>
      <c r="BI67" s="1543">
        <f t="shared" si="140"/>
        <v>0</v>
      </c>
      <c r="BJ67" s="1543">
        <f t="shared" si="140"/>
        <v>0</v>
      </c>
      <c r="BK67" s="1543">
        <f t="shared" si="140"/>
        <v>0</v>
      </c>
      <c r="BL67" s="1543">
        <f t="shared" si="140"/>
        <v>0</v>
      </c>
      <c r="BM67" s="1543">
        <f t="shared" si="140"/>
        <v>0</v>
      </c>
      <c r="BN67" s="1543">
        <f t="shared" si="140"/>
        <v>0</v>
      </c>
      <c r="BO67" s="1543">
        <f t="shared" si="140"/>
        <v>0</v>
      </c>
      <c r="BP67" s="1543">
        <f t="shared" si="141"/>
        <v>0</v>
      </c>
      <c r="BQ67" s="1543">
        <f t="shared" si="144"/>
        <v>0</v>
      </c>
      <c r="BR67" s="1543">
        <f t="shared" si="144"/>
        <v>0</v>
      </c>
      <c r="BS67" s="1543">
        <f t="shared" si="144"/>
        <v>0</v>
      </c>
      <c r="BT67" s="1543">
        <f t="shared" si="144"/>
        <v>0</v>
      </c>
      <c r="BU67" s="1543">
        <f t="shared" si="144"/>
        <v>0</v>
      </c>
      <c r="BV67" s="1543">
        <f t="shared" si="144"/>
        <v>0</v>
      </c>
      <c r="BW67" s="1543">
        <f t="shared" si="144"/>
        <v>0</v>
      </c>
      <c r="BX67" s="1543">
        <f t="shared" si="144"/>
        <v>0</v>
      </c>
      <c r="BY67" s="1543">
        <f t="shared" si="144"/>
        <v>0</v>
      </c>
      <c r="BZ67" s="1543">
        <f t="shared" si="144"/>
        <v>0</v>
      </c>
      <c r="CB67" s="1543">
        <f t="shared" si="142"/>
        <v>0</v>
      </c>
      <c r="CC67" s="1543">
        <f t="shared" si="142"/>
        <v>0</v>
      </c>
      <c r="CD67" s="1543">
        <f t="shared" si="142"/>
        <v>0</v>
      </c>
      <c r="CE67" s="1543">
        <f t="shared" si="142"/>
        <v>0</v>
      </c>
      <c r="CF67" s="1543">
        <f t="shared" si="142"/>
        <v>0</v>
      </c>
      <c r="CG67" s="1543">
        <f t="shared" si="142"/>
        <v>0</v>
      </c>
      <c r="CH67" s="1543">
        <f t="shared" si="142"/>
        <v>0</v>
      </c>
      <c r="CI67" s="1543">
        <f t="shared" si="142"/>
        <v>0</v>
      </c>
      <c r="CJ67" s="1543">
        <f t="shared" si="142"/>
        <v>0</v>
      </c>
      <c r="CK67" s="1543">
        <f t="shared" si="142"/>
        <v>0</v>
      </c>
      <c r="CL67" s="1543">
        <f t="shared" si="142"/>
        <v>0</v>
      </c>
      <c r="CM67" s="1543">
        <f t="shared" si="142"/>
        <v>0</v>
      </c>
      <c r="CN67" s="1543">
        <f t="shared" si="142"/>
        <v>0</v>
      </c>
      <c r="CO67" s="1543">
        <f t="shared" si="142"/>
        <v>0</v>
      </c>
      <c r="CP67" s="1543">
        <f t="shared" si="142"/>
        <v>0</v>
      </c>
      <c r="CQ67" s="1543">
        <f t="shared" si="142"/>
        <v>0</v>
      </c>
      <c r="CR67" s="1543">
        <f t="shared" si="143"/>
        <v>0</v>
      </c>
      <c r="CS67" s="1543">
        <f t="shared" si="145"/>
        <v>0</v>
      </c>
      <c r="CT67" s="1543">
        <f t="shared" ref="CT67:DB82" si="146">IF($I67=CT$2,1,0)</f>
        <v>0</v>
      </c>
      <c r="CU67" s="1543">
        <f t="shared" si="146"/>
        <v>0</v>
      </c>
      <c r="CV67" s="1543">
        <f t="shared" si="146"/>
        <v>0</v>
      </c>
      <c r="CW67" s="1543">
        <f t="shared" si="146"/>
        <v>0</v>
      </c>
      <c r="CX67" s="1543">
        <f t="shared" si="146"/>
        <v>0</v>
      </c>
      <c r="CY67" s="1543">
        <f t="shared" si="146"/>
        <v>0</v>
      </c>
      <c r="CZ67" s="1543">
        <f t="shared" si="146"/>
        <v>0</v>
      </c>
      <c r="DA67" s="1543">
        <f t="shared" si="146"/>
        <v>0</v>
      </c>
      <c r="DB67" s="1543">
        <f t="shared" si="146"/>
        <v>0</v>
      </c>
      <c r="DD67" s="1543">
        <f t="shared" ref="DD67:DD98" si="147">SUM(AZ67:BC67)</f>
        <v>0</v>
      </c>
      <c r="DE67" s="1543">
        <f t="shared" ref="DE67:DE98" si="148">SUM(BD67:BH67)</f>
        <v>0</v>
      </c>
      <c r="DF67" s="1543">
        <f t="shared" ref="DF67:DF98" si="149">SUM(BI67:BL67)</f>
        <v>0</v>
      </c>
      <c r="DG67" s="1543">
        <f t="shared" si="31"/>
        <v>0</v>
      </c>
      <c r="DI67" s="1543">
        <f t="shared" si="32"/>
        <v>0</v>
      </c>
      <c r="DJ67" s="1543">
        <f t="shared" si="74"/>
        <v>0</v>
      </c>
      <c r="DK67" s="1543">
        <f t="shared" si="74"/>
        <v>0</v>
      </c>
      <c r="DL67" s="1543">
        <f t="shared" si="74"/>
        <v>0</v>
      </c>
      <c r="DM67" s="1543">
        <f t="shared" si="74"/>
        <v>0</v>
      </c>
      <c r="DO67" s="1543">
        <f t="shared" si="100"/>
        <v>0</v>
      </c>
      <c r="DP67" s="1543">
        <f t="shared" si="100"/>
        <v>0</v>
      </c>
      <c r="DQ67" s="1543">
        <f t="shared" si="100"/>
        <v>0</v>
      </c>
      <c r="DR67" s="1543">
        <f t="shared" si="100"/>
        <v>0</v>
      </c>
      <c r="DS67" s="1543">
        <f t="shared" si="100"/>
        <v>0</v>
      </c>
      <c r="DT67" s="1543">
        <f t="shared" si="100"/>
        <v>0</v>
      </c>
      <c r="DU67" s="1543">
        <f t="shared" si="100"/>
        <v>0</v>
      </c>
      <c r="DV67" s="1543">
        <f t="shared" si="100"/>
        <v>0</v>
      </c>
      <c r="DW67" s="1543">
        <f t="shared" si="100"/>
        <v>0</v>
      </c>
      <c r="DX67" s="1543">
        <f t="shared" si="100"/>
        <v>0</v>
      </c>
      <c r="DY67" s="1543">
        <f t="shared" si="100"/>
        <v>0</v>
      </c>
      <c r="DZ67" s="1543">
        <f t="shared" si="100"/>
        <v>0</v>
      </c>
      <c r="EA67" s="1543">
        <f t="shared" si="100"/>
        <v>0</v>
      </c>
      <c r="EB67" s="1543">
        <f t="shared" si="71"/>
        <v>0</v>
      </c>
      <c r="EC67" s="1543">
        <f t="shared" si="71"/>
        <v>0</v>
      </c>
      <c r="ED67" s="1543">
        <f t="shared" si="71"/>
        <v>0</v>
      </c>
      <c r="EE67" s="1543">
        <f t="shared" si="71"/>
        <v>0</v>
      </c>
      <c r="EF67" s="1543">
        <f t="shared" si="71"/>
        <v>0</v>
      </c>
      <c r="EH67" s="1543">
        <f t="shared" si="131"/>
        <v>0</v>
      </c>
      <c r="EI67" s="1543">
        <f t="shared" si="132"/>
        <v>0</v>
      </c>
      <c r="EJ67" s="1543">
        <f t="shared" si="133"/>
        <v>0</v>
      </c>
      <c r="EK67" s="1543">
        <f t="shared" si="134"/>
        <v>0</v>
      </c>
      <c r="EL67" s="1543">
        <f t="shared" si="135"/>
        <v>0</v>
      </c>
      <c r="EM67" s="1543">
        <f t="shared" si="136"/>
        <v>0</v>
      </c>
      <c r="EN67" s="1543">
        <f t="shared" si="137"/>
        <v>0</v>
      </c>
      <c r="EP67" s="1543">
        <f t="shared" si="72"/>
        <v>0</v>
      </c>
      <c r="EQ67" s="1543">
        <f t="shared" si="72"/>
        <v>0</v>
      </c>
      <c r="ER67" s="1543">
        <f t="shared" si="72"/>
        <v>0</v>
      </c>
      <c r="ES67" s="1543">
        <f t="shared" si="72"/>
        <v>0</v>
      </c>
      <c r="ET67" s="1543">
        <f t="shared" si="123"/>
        <v>0</v>
      </c>
      <c r="EU67" s="1543">
        <f t="shared" si="123"/>
        <v>0</v>
      </c>
      <c r="EV67" s="1543">
        <f t="shared" si="123"/>
        <v>0</v>
      </c>
      <c r="EW67" s="1543">
        <f t="shared" si="123"/>
        <v>0</v>
      </c>
      <c r="EX67" s="1543">
        <f t="shared" si="123"/>
        <v>0</v>
      </c>
      <c r="EY67" s="1543">
        <f t="shared" si="123"/>
        <v>0</v>
      </c>
      <c r="EZ67" s="1543">
        <f t="shared" si="123"/>
        <v>0</v>
      </c>
      <c r="FA67" s="1543">
        <f t="shared" si="123"/>
        <v>0</v>
      </c>
      <c r="FB67" s="1543">
        <f t="shared" si="123"/>
        <v>0</v>
      </c>
      <c r="FC67" s="1543">
        <f t="shared" si="123"/>
        <v>0</v>
      </c>
      <c r="FD67" s="1543">
        <f t="shared" si="123"/>
        <v>0</v>
      </c>
      <c r="FE67" s="1543">
        <f t="shared" si="52"/>
        <v>0</v>
      </c>
      <c r="FF67" s="1543">
        <f t="shared" si="40"/>
        <v>1</v>
      </c>
      <c r="FH67" s="1543">
        <f t="shared" si="121"/>
        <v>0</v>
      </c>
      <c r="FI67" s="1543">
        <f t="shared" si="121"/>
        <v>0</v>
      </c>
      <c r="FJ67" s="1543">
        <f t="shared" si="121"/>
        <v>0</v>
      </c>
      <c r="FK67" s="1543">
        <f t="shared" si="121"/>
        <v>0</v>
      </c>
      <c r="FL67" s="1543">
        <f t="shared" si="121"/>
        <v>0</v>
      </c>
      <c r="FM67" s="1543">
        <f t="shared" si="121"/>
        <v>0</v>
      </c>
      <c r="FN67" s="1543">
        <f t="shared" si="121"/>
        <v>0</v>
      </c>
      <c r="FO67" s="1543">
        <f t="shared" si="121"/>
        <v>0</v>
      </c>
      <c r="FP67" s="1543">
        <f t="shared" si="121"/>
        <v>0</v>
      </c>
      <c r="FQ67" s="1543">
        <f t="shared" si="121"/>
        <v>0</v>
      </c>
      <c r="FR67" s="1543">
        <f t="shared" si="121"/>
        <v>0</v>
      </c>
      <c r="FS67" s="1543">
        <f t="shared" si="121"/>
        <v>0</v>
      </c>
      <c r="FT67" s="1543">
        <f t="shared" si="41"/>
        <v>0</v>
      </c>
      <c r="FV67" s="1543">
        <f t="shared" si="122"/>
        <v>1</v>
      </c>
      <c r="FW67" s="1543">
        <f t="shared" si="122"/>
        <v>0</v>
      </c>
      <c r="FX67" s="1543">
        <f t="shared" si="122"/>
        <v>0</v>
      </c>
      <c r="FY67" s="1543">
        <f t="shared" si="122"/>
        <v>0</v>
      </c>
      <c r="FZ67" s="1543">
        <f t="shared" si="122"/>
        <v>0</v>
      </c>
      <c r="GA67" s="1543">
        <f t="shared" si="122"/>
        <v>0</v>
      </c>
      <c r="GB67" s="1543">
        <f t="shared" si="122"/>
        <v>0</v>
      </c>
      <c r="GC67" s="1543">
        <f t="shared" si="122"/>
        <v>0</v>
      </c>
      <c r="GD67" s="1543">
        <f t="shared" si="122"/>
        <v>0</v>
      </c>
    </row>
    <row r="68" spans="1:186" s="982" customFormat="1" ht="15.6" x14ac:dyDescent="0.3">
      <c r="A68" s="974">
        <v>66</v>
      </c>
      <c r="B68" s="983"/>
      <c r="C68" s="984"/>
      <c r="D68" s="983"/>
      <c r="E68" s="968" t="str">
        <f>IFERROR(VLOOKUP($D68&amp;"."&amp;B68,'Piping Class'!$1:$1048576,MATCH($I68,'Piping Class'!$2:$2,0),0),"")</f>
        <v/>
      </c>
      <c r="F68" s="985" t="str">
        <f>IFERROR(IF(B68="Flange",VLOOKUP($D68,'Piping Class'!$88:$102,MATCH(F$1,'Piping Class'!$88:$88,0),0),""),"")</f>
        <v/>
      </c>
      <c r="G68" s="968" t="str">
        <f>IFERROR(IF(B68="Flange",VLOOKUP($D68,'Piping Class'!$88:$102,MATCH(G$1,'Piping Class'!$88:$88,0),0),""),"")</f>
        <v/>
      </c>
      <c r="H68" s="968" t="str">
        <f>IFERROR(VLOOKUP($D68,'Piping Class'!$88:$102,MATCH(H$1,'Piping Class'!$88:$88,0),0),"")</f>
        <v/>
      </c>
      <c r="I68" s="986"/>
      <c r="J68" s="987"/>
      <c r="K68" s="968" t="str">
        <f>IFERROR(VLOOKUP(I68,'Thickness Tab'!$1:$1048576,MATCH(L68,'Thickness Tab'!$1:$1,0),0),"")</f>
        <v/>
      </c>
      <c r="L68" s="969" t="str">
        <f>IFERROR(VLOOKUP($D68,'Piping Class'!$1:$1048576,MATCH($I68,'Piping Class'!$2:$2,0),0),"")</f>
        <v/>
      </c>
      <c r="M68" s="968" t="str">
        <f>IFERROR(VLOOKUP(J68,'Thickness Tab'!$1:$1048576,MATCH(N68,'Thickness Tab'!$1:$1,0),0),"")</f>
        <v/>
      </c>
      <c r="N68" s="969" t="str">
        <f>IFERROR(VLOOKUP($D68,'Piping Class'!$1:$1048576,MATCH($J68,'Piping Class'!$2:$2,0),0),"")</f>
        <v/>
      </c>
      <c r="O68" s="968" t="str">
        <f>IFERROR(VLOOKUP($D68,'Piping Class'!$88:$102,MATCH(O$1,'Piping Class'!$88:$88,0),0),"")</f>
        <v/>
      </c>
      <c r="P68" s="968" t="str">
        <f>IFERROR(VLOOKUP($D68,'Piping Class'!$88:$102,MATCH(P$1,'Piping Class'!$88:$88,0),0),"")</f>
        <v/>
      </c>
      <c r="Q68" s="983"/>
      <c r="R68" s="988"/>
      <c r="S68" s="969" t="str">
        <f t="shared" ref="S68:S113" si="150">IF(B68="","",IF(B68="piping","m","cad"))</f>
        <v/>
      </c>
      <c r="T68" s="968">
        <f>IFERROR(VLOOKUP(I68&amp;"."&amp;L68,'Fitting Chart'!$1:$1048576,MATCH(C68,'Fitting Chart'!$1:$1,0),0),0)+IF(B68="piping",PI()*K68*(VLOOKUP(I68,'Thickness Tab'!$1:$1048576,3,0)-K68)*7.86/1000,0)+IF(B68="Flange",VLOOKUP(I68&amp;"F"&amp;F68,'Flanges Chart'!$1:$1048576,MATCH(C68&amp;"."&amp;T$1,'Flanges Chart'!$1:$1,0),0),0)</f>
        <v>0</v>
      </c>
      <c r="U68" s="989">
        <f t="shared" ref="U68:U113" si="151">T68*R68</f>
        <v>0</v>
      </c>
      <c r="V68" s="1003"/>
      <c r="W68" s="1001">
        <f t="shared" ref="W68:W113" si="152">V68*U68</f>
        <v>0</v>
      </c>
      <c r="X68" s="997"/>
      <c r="Y68" s="983"/>
      <c r="Z68" s="989">
        <f>IF(B68="Piping",VLOOKUP(I68,'Thickness Tab'!$1:$1048576,3,0)/1000*PI(),0)+IFERROR(VLOOKUP(I68&amp;"F"&amp;F68,'Flanges Chart'!$1:$1048576,MATCH(C68&amp;".Unit Surface",'Flanges Chart'!$1:$1,0),0),0)+IF(B68="Fitting",VLOOKUP(I68,'Thickness Tab'!$1:$1048576,3,0)/1000*PI(),0)</f>
        <v>0</v>
      </c>
      <c r="AA68" s="989">
        <f t="shared" ref="AA68:AA113" si="153">Z68*R68</f>
        <v>0</v>
      </c>
      <c r="AB68" s="983">
        <v>0</v>
      </c>
      <c r="AC68" s="989">
        <f t="shared" ref="AC68:AC131" si="154">Z68+2*PI()*AB68/1000</f>
        <v>0</v>
      </c>
      <c r="AD68" s="989">
        <f t="shared" ref="AD68:AD131" si="155">AC68*R68</f>
        <v>0</v>
      </c>
      <c r="AE68" s="974">
        <f>(IFERROR(VLOOKUP($C68,List!$J:$L,2,0),0)*R68+IF(B68="piping",R68,0)+IF(C68="Welding Neck",1,0)*R68)*$AE$2</f>
        <v>0</v>
      </c>
      <c r="AF68" s="970">
        <f>IFERROR(VLOOKUP($C68,List!$J:$L,3,0),0)*R68*$AF$2</f>
        <v>0</v>
      </c>
      <c r="AG68" s="990">
        <f t="shared" ref="AG68:AG113" si="156">AE68*I68+J68*AF68</f>
        <v>0</v>
      </c>
      <c r="AH68" s="1118" t="str">
        <f>IFERROR(VLOOKUP($D68,'Piping Class'!$88:$102,MATCH(AH$1,'Piping Class'!$88:$88,0),0),"")</f>
        <v/>
      </c>
      <c r="AI68" s="991" t="str">
        <f>IFERROR(VLOOKUP($D68,'Piping Class'!$88:$102,MATCH(AI$1,'Piping Class'!$88:$88,0),0),"")</f>
        <v/>
      </c>
      <c r="AJ68" s="991" t="str">
        <f>IFERROR(VLOOKUP($D68,'Piping Class'!$88:$102,MATCH(AJ$1,'Piping Class'!$88:$88,0),0),"")</f>
        <v/>
      </c>
      <c r="AK68" s="991" t="str">
        <f>IFERROR(VLOOKUP($D68,'Piping Class'!$88:$102,MATCH(AK$1,'Piping Class'!$88:$88,0),0),"")</f>
        <v/>
      </c>
      <c r="AL68" s="991">
        <f t="shared" si="44"/>
        <v>0</v>
      </c>
      <c r="AM68" s="1119" t="str">
        <f>IFERROR(VLOOKUP($D68,'Piping Class'!$88:$102,MATCH(AM$1,'Piping Class'!$88:$88,0),0),"")</f>
        <v/>
      </c>
      <c r="AN68" s="992">
        <f t="shared" ref="AN68:AN131" si="157">U68*0.18</f>
        <v>0</v>
      </c>
      <c r="AO68" s="993">
        <f>IFERROR(VLOOKUP(I68&amp;"B"&amp;F68,'Bolting Chart'!$1:$1048576,4,0),0)</f>
        <v>0</v>
      </c>
      <c r="AP68" s="993">
        <f t="shared" ref="AP68:AP113" si="158">IFERROR(AO68*R68,0)</f>
        <v>0</v>
      </c>
      <c r="AQ68" s="993">
        <f t="shared" ref="AQ68:AQ113" si="159">IF(AO68=0,0,R68)</f>
        <v>0</v>
      </c>
      <c r="AR68" s="993">
        <f>IF(AO68=0,0,VLOOKUP(D68&amp;".bolting",'Piping Class'!$1:$1048576,MATCH(I68,'Piping Class'!$2:$2,0),0))</f>
        <v>0</v>
      </c>
      <c r="AS68" s="994">
        <f>IFERROR(VLOOKUP(I68&amp;"B"&amp;F68,'Bolting Chart'!$1:$1048576,IF(AS$2="UNC",5,6),0),0)</f>
        <v>0</v>
      </c>
      <c r="AT68" s="995">
        <f>IFERROR(VLOOKUP(I68&amp;"B"&amp;F68,'Bolting Chart'!$1:$1048576,IF(G68="RF",8,9),0),0)</f>
        <v>0</v>
      </c>
      <c r="AU68" s="993">
        <f>IF(AO68=0,0,VLOOKUP(D68&amp;".gasket",'Piping Class'!$1:$1048576,MATCH(I68,'Piping Class'!$2:$2,0),0))</f>
        <v>0</v>
      </c>
      <c r="AV68" s="996">
        <f>(IFERROR(INDEX('Bolting Chart'!$A$169:$R$251,MATCH(AT68,'Bolting Chart'!$A$170:$A$251,0),MATCH(IFERROR(VLOOKUP(I68&amp;"B"&amp;F68,'Bolting Chart'!$1:$1048576,7,0),0)+0,'Bolting Chart'!$A$169:$R$169,0)),0))/100</f>
        <v>0</v>
      </c>
      <c r="AW68" s="996">
        <f t="shared" ref="AW68:AW113" si="160">AV68*AO68</f>
        <v>0</v>
      </c>
      <c r="AX68" s="1194">
        <f t="shared" ref="AX68:AX113" si="161">AV68*AP68</f>
        <v>0</v>
      </c>
      <c r="AY68" s="981"/>
      <c r="AZ68" s="1543">
        <f t="shared" si="140"/>
        <v>0</v>
      </c>
      <c r="BA68" s="1543">
        <f t="shared" si="140"/>
        <v>0</v>
      </c>
      <c r="BB68" s="1543">
        <f t="shared" si="140"/>
        <v>0</v>
      </c>
      <c r="BC68" s="1543">
        <f t="shared" si="140"/>
        <v>0</v>
      </c>
      <c r="BD68" s="1543">
        <f t="shared" si="140"/>
        <v>0</v>
      </c>
      <c r="BE68" s="1543">
        <f t="shared" si="140"/>
        <v>0</v>
      </c>
      <c r="BF68" s="1543">
        <f t="shared" si="140"/>
        <v>0</v>
      </c>
      <c r="BG68" s="1543">
        <f t="shared" si="140"/>
        <v>0</v>
      </c>
      <c r="BH68" s="1543">
        <f t="shared" si="140"/>
        <v>0</v>
      </c>
      <c r="BI68" s="1543">
        <f t="shared" si="140"/>
        <v>0</v>
      </c>
      <c r="BJ68" s="1543">
        <f t="shared" si="140"/>
        <v>0</v>
      </c>
      <c r="BK68" s="1543">
        <f t="shared" si="140"/>
        <v>0</v>
      </c>
      <c r="BL68" s="1543">
        <f t="shared" si="140"/>
        <v>0</v>
      </c>
      <c r="BM68" s="1543">
        <f t="shared" si="140"/>
        <v>0</v>
      </c>
      <c r="BN68" s="1543">
        <f t="shared" si="140"/>
        <v>0</v>
      </c>
      <c r="BO68" s="1543">
        <f t="shared" si="140"/>
        <v>0</v>
      </c>
      <c r="BP68" s="1543">
        <f t="shared" si="141"/>
        <v>0</v>
      </c>
      <c r="BQ68" s="1543">
        <f t="shared" si="144"/>
        <v>0</v>
      </c>
      <c r="BR68" s="1543">
        <f t="shared" si="144"/>
        <v>0</v>
      </c>
      <c r="BS68" s="1543">
        <f t="shared" si="144"/>
        <v>0</v>
      </c>
      <c r="BT68" s="1543">
        <f t="shared" si="144"/>
        <v>0</v>
      </c>
      <c r="BU68" s="1543">
        <f t="shared" si="144"/>
        <v>0</v>
      </c>
      <c r="BV68" s="1543">
        <f t="shared" si="144"/>
        <v>0</v>
      </c>
      <c r="BW68" s="1543">
        <f t="shared" si="144"/>
        <v>0</v>
      </c>
      <c r="BX68" s="1543">
        <f t="shared" si="144"/>
        <v>0</v>
      </c>
      <c r="BY68" s="1543">
        <f t="shared" si="144"/>
        <v>0</v>
      </c>
      <c r="BZ68" s="1543">
        <f t="shared" si="144"/>
        <v>0</v>
      </c>
      <c r="CB68" s="1543">
        <f t="shared" si="142"/>
        <v>0</v>
      </c>
      <c r="CC68" s="1543">
        <f t="shared" si="142"/>
        <v>0</v>
      </c>
      <c r="CD68" s="1543">
        <f t="shared" si="142"/>
        <v>0</v>
      </c>
      <c r="CE68" s="1543">
        <f t="shared" si="142"/>
        <v>0</v>
      </c>
      <c r="CF68" s="1543">
        <f t="shared" si="142"/>
        <v>0</v>
      </c>
      <c r="CG68" s="1543">
        <f t="shared" si="142"/>
        <v>0</v>
      </c>
      <c r="CH68" s="1543">
        <f t="shared" si="142"/>
        <v>0</v>
      </c>
      <c r="CI68" s="1543">
        <f t="shared" si="142"/>
        <v>0</v>
      </c>
      <c r="CJ68" s="1543">
        <f t="shared" si="142"/>
        <v>0</v>
      </c>
      <c r="CK68" s="1543">
        <f t="shared" si="142"/>
        <v>0</v>
      </c>
      <c r="CL68" s="1543">
        <f t="shared" si="142"/>
        <v>0</v>
      </c>
      <c r="CM68" s="1543">
        <f t="shared" si="142"/>
        <v>0</v>
      </c>
      <c r="CN68" s="1543">
        <f t="shared" si="142"/>
        <v>0</v>
      </c>
      <c r="CO68" s="1543">
        <f t="shared" si="142"/>
        <v>0</v>
      </c>
      <c r="CP68" s="1543">
        <f t="shared" si="142"/>
        <v>0</v>
      </c>
      <c r="CQ68" s="1543">
        <f t="shared" si="142"/>
        <v>0</v>
      </c>
      <c r="CR68" s="1543">
        <f t="shared" si="143"/>
        <v>0</v>
      </c>
      <c r="CS68" s="1543">
        <f t="shared" si="145"/>
        <v>0</v>
      </c>
      <c r="CT68" s="1543">
        <f t="shared" si="146"/>
        <v>0</v>
      </c>
      <c r="CU68" s="1543">
        <f t="shared" si="146"/>
        <v>0</v>
      </c>
      <c r="CV68" s="1543">
        <f t="shared" si="146"/>
        <v>0</v>
      </c>
      <c r="CW68" s="1543">
        <f t="shared" si="146"/>
        <v>0</v>
      </c>
      <c r="CX68" s="1543">
        <f t="shared" si="146"/>
        <v>0</v>
      </c>
      <c r="CY68" s="1543">
        <f t="shared" si="146"/>
        <v>0</v>
      </c>
      <c r="CZ68" s="1543">
        <f t="shared" si="146"/>
        <v>0</v>
      </c>
      <c r="DA68" s="1543">
        <f t="shared" si="146"/>
        <v>0</v>
      </c>
      <c r="DB68" s="1543">
        <f t="shared" si="146"/>
        <v>0</v>
      </c>
      <c r="DD68" s="1543">
        <f t="shared" si="147"/>
        <v>0</v>
      </c>
      <c r="DE68" s="1543">
        <f t="shared" si="148"/>
        <v>0</v>
      </c>
      <c r="DF68" s="1543">
        <f t="shared" si="149"/>
        <v>0</v>
      </c>
      <c r="DG68" s="1543">
        <f t="shared" ref="DG68:DG131" si="162">SUM(BM68:BZ68)</f>
        <v>0</v>
      </c>
      <c r="DI68" s="1543">
        <f t="shared" ref="DI68:DI131" si="163">IF($H68=DI$2,1,0)+DJ68</f>
        <v>0</v>
      </c>
      <c r="DJ68" s="1543">
        <f t="shared" si="74"/>
        <v>0</v>
      </c>
      <c r="DK68" s="1543">
        <f t="shared" si="74"/>
        <v>0</v>
      </c>
      <c r="DL68" s="1543">
        <f t="shared" si="74"/>
        <v>0</v>
      </c>
      <c r="DM68" s="1543">
        <f t="shared" si="74"/>
        <v>0</v>
      </c>
      <c r="DO68" s="1543">
        <f t="shared" ref="DO68:EA87" si="164">IF($L68=DO$2,1,0)</f>
        <v>0</v>
      </c>
      <c r="DP68" s="1543">
        <f t="shared" si="164"/>
        <v>0</v>
      </c>
      <c r="DQ68" s="1543">
        <f t="shared" si="164"/>
        <v>0</v>
      </c>
      <c r="DR68" s="1543">
        <f t="shared" si="164"/>
        <v>0</v>
      </c>
      <c r="DS68" s="1543">
        <f t="shared" si="164"/>
        <v>0</v>
      </c>
      <c r="DT68" s="1543">
        <f t="shared" si="164"/>
        <v>0</v>
      </c>
      <c r="DU68" s="1543">
        <f t="shared" si="164"/>
        <v>0</v>
      </c>
      <c r="DV68" s="1543">
        <f t="shared" si="164"/>
        <v>0</v>
      </c>
      <c r="DW68" s="1543">
        <f t="shared" si="164"/>
        <v>0</v>
      </c>
      <c r="DX68" s="1543">
        <f t="shared" si="164"/>
        <v>0</v>
      </c>
      <c r="DY68" s="1543">
        <f t="shared" si="164"/>
        <v>0</v>
      </c>
      <c r="DZ68" s="1543">
        <f t="shared" si="164"/>
        <v>0</v>
      </c>
      <c r="EA68" s="1543">
        <f t="shared" si="164"/>
        <v>0</v>
      </c>
      <c r="EB68" s="1543">
        <f t="shared" si="71"/>
        <v>0</v>
      </c>
      <c r="EC68" s="1543">
        <f t="shared" si="71"/>
        <v>0</v>
      </c>
      <c r="ED68" s="1543">
        <f t="shared" si="71"/>
        <v>0</v>
      </c>
      <c r="EE68" s="1543">
        <f t="shared" si="71"/>
        <v>0</v>
      </c>
      <c r="EF68" s="1543">
        <f t="shared" si="71"/>
        <v>0</v>
      </c>
      <c r="EH68" s="1543">
        <f t="shared" ref="EH68:EH113" si="165">SUM(DO68:DS68,EB68:EE68)</f>
        <v>0</v>
      </c>
      <c r="EI68" s="1543">
        <f t="shared" ref="EI68:EI113" si="166">DT68</f>
        <v>0</v>
      </c>
      <c r="EJ68" s="1543">
        <f t="shared" ref="EJ68:EJ113" si="167">SUM(DU68:DV68,EF68)</f>
        <v>0</v>
      </c>
      <c r="EK68" s="1543">
        <f t="shared" ref="EK68:EK113" si="168">DW68</f>
        <v>0</v>
      </c>
      <c r="EL68" s="1543">
        <f t="shared" ref="EL68:EL113" si="169">DX68</f>
        <v>0</v>
      </c>
      <c r="EM68" s="1543">
        <f t="shared" ref="EM68:EM113" si="170">DY68</f>
        <v>0</v>
      </c>
      <c r="EN68" s="1543">
        <f t="shared" ref="EN68:EN113" si="171">SUM(DZ68:EA68)</f>
        <v>0</v>
      </c>
      <c r="EP68" s="1543">
        <f t="shared" si="72"/>
        <v>0</v>
      </c>
      <c r="EQ68" s="1543">
        <f t="shared" si="72"/>
        <v>0</v>
      </c>
      <c r="ER68" s="1543">
        <f t="shared" si="72"/>
        <v>0</v>
      </c>
      <c r="ES68" s="1543">
        <f t="shared" si="72"/>
        <v>0</v>
      </c>
      <c r="ET68" s="1543">
        <f t="shared" si="123"/>
        <v>0</v>
      </c>
      <c r="EU68" s="1543">
        <f t="shared" si="123"/>
        <v>0</v>
      </c>
      <c r="EV68" s="1543">
        <f t="shared" si="123"/>
        <v>0</v>
      </c>
      <c r="EW68" s="1543">
        <f t="shared" si="123"/>
        <v>0</v>
      </c>
      <c r="EX68" s="1543">
        <f t="shared" si="123"/>
        <v>0</v>
      </c>
      <c r="EY68" s="1543">
        <f t="shared" si="123"/>
        <v>0</v>
      </c>
      <c r="EZ68" s="1543">
        <f t="shared" si="123"/>
        <v>0</v>
      </c>
      <c r="FA68" s="1543">
        <f t="shared" si="123"/>
        <v>0</v>
      </c>
      <c r="FB68" s="1543">
        <f t="shared" si="123"/>
        <v>0</v>
      </c>
      <c r="FC68" s="1543">
        <f t="shared" si="123"/>
        <v>0</v>
      </c>
      <c r="FD68" s="1543">
        <f t="shared" si="123"/>
        <v>0</v>
      </c>
      <c r="FE68" s="1543">
        <f t="shared" si="52"/>
        <v>0</v>
      </c>
      <c r="FF68" s="1543">
        <f t="shared" ref="FF68:FF131" si="172">IF(FF$2="X",0,IF($Q68="",1,0))</f>
        <v>1</v>
      </c>
      <c r="FH68" s="1543">
        <f t="shared" ref="FH68:FS83" si="173">IF($FT68=1,0,IF(FH$2=$Y68,1,0))</f>
        <v>0</v>
      </c>
      <c r="FI68" s="1543">
        <f t="shared" si="173"/>
        <v>0</v>
      </c>
      <c r="FJ68" s="1543">
        <f t="shared" si="173"/>
        <v>0</v>
      </c>
      <c r="FK68" s="1543">
        <f t="shared" si="173"/>
        <v>0</v>
      </c>
      <c r="FL68" s="1543">
        <f t="shared" si="173"/>
        <v>0</v>
      </c>
      <c r="FM68" s="1543">
        <f t="shared" si="173"/>
        <v>0</v>
      </c>
      <c r="FN68" s="1543">
        <f t="shared" si="173"/>
        <v>0</v>
      </c>
      <c r="FO68" s="1543">
        <f t="shared" si="173"/>
        <v>0</v>
      </c>
      <c r="FP68" s="1543">
        <f t="shared" si="173"/>
        <v>0</v>
      </c>
      <c r="FQ68" s="1543">
        <f t="shared" si="173"/>
        <v>0</v>
      </c>
      <c r="FR68" s="1543">
        <f t="shared" si="173"/>
        <v>0</v>
      </c>
      <c r="FS68" s="1543">
        <f t="shared" si="173"/>
        <v>0</v>
      </c>
      <c r="FT68" s="1543">
        <f t="shared" ref="FT68:FT131" si="174">IF(FV68=1,0,1)</f>
        <v>0</v>
      </c>
      <c r="FV68" s="1543">
        <f t="shared" ref="FV68:GD83" si="175">IF($AB68=FV$2,1,0)</f>
        <v>1</v>
      </c>
      <c r="FW68" s="1543">
        <f t="shared" si="175"/>
        <v>0</v>
      </c>
      <c r="FX68" s="1543">
        <f t="shared" si="175"/>
        <v>0</v>
      </c>
      <c r="FY68" s="1543">
        <f t="shared" si="175"/>
        <v>0</v>
      </c>
      <c r="FZ68" s="1543">
        <f t="shared" si="175"/>
        <v>0</v>
      </c>
      <c r="GA68" s="1543">
        <f t="shared" si="175"/>
        <v>0</v>
      </c>
      <c r="GB68" s="1543">
        <f t="shared" si="175"/>
        <v>0</v>
      </c>
      <c r="GC68" s="1543">
        <f t="shared" si="175"/>
        <v>0</v>
      </c>
      <c r="GD68" s="1543">
        <f t="shared" si="175"/>
        <v>0</v>
      </c>
    </row>
    <row r="69" spans="1:186" s="982" customFormat="1" ht="15.6" x14ac:dyDescent="0.3">
      <c r="A69" s="974">
        <v>67</v>
      </c>
      <c r="B69" s="983"/>
      <c r="C69" s="984"/>
      <c r="D69" s="983"/>
      <c r="E69" s="968" t="str">
        <f>IFERROR(VLOOKUP($D69&amp;"."&amp;B69,'Piping Class'!$1:$1048576,MATCH($I69,'Piping Class'!$2:$2,0),0),"")</f>
        <v/>
      </c>
      <c r="F69" s="985" t="str">
        <f>IFERROR(IF(B69="Flange",VLOOKUP($D69,'Piping Class'!$88:$102,MATCH(F$1,'Piping Class'!$88:$88,0),0),""),"")</f>
        <v/>
      </c>
      <c r="G69" s="968" t="str">
        <f>IFERROR(IF(B69="Flange",VLOOKUP($D69,'Piping Class'!$88:$102,MATCH(G$1,'Piping Class'!$88:$88,0),0),""),"")</f>
        <v/>
      </c>
      <c r="H69" s="968" t="str">
        <f>IFERROR(VLOOKUP($D69,'Piping Class'!$88:$102,MATCH(H$1,'Piping Class'!$88:$88,0),0),"")</f>
        <v/>
      </c>
      <c r="I69" s="986"/>
      <c r="J69" s="987"/>
      <c r="K69" s="968" t="str">
        <f>IFERROR(VLOOKUP(I69,'Thickness Tab'!$1:$1048576,MATCH(L69,'Thickness Tab'!$1:$1,0),0),"")</f>
        <v/>
      </c>
      <c r="L69" s="969" t="str">
        <f>IFERROR(VLOOKUP($D69,'Piping Class'!$1:$1048576,MATCH($I69,'Piping Class'!$2:$2,0),0),"")</f>
        <v/>
      </c>
      <c r="M69" s="968" t="str">
        <f>IFERROR(VLOOKUP(J69,'Thickness Tab'!$1:$1048576,MATCH(N69,'Thickness Tab'!$1:$1,0),0),"")</f>
        <v/>
      </c>
      <c r="N69" s="969" t="str">
        <f>IFERROR(VLOOKUP($D69,'Piping Class'!$1:$1048576,MATCH($J69,'Piping Class'!$2:$2,0),0),"")</f>
        <v/>
      </c>
      <c r="O69" s="968" t="str">
        <f>IFERROR(VLOOKUP($D69,'Piping Class'!$88:$102,MATCH(O$1,'Piping Class'!$88:$88,0),0),"")</f>
        <v/>
      </c>
      <c r="P69" s="968" t="str">
        <f>IFERROR(VLOOKUP($D69,'Piping Class'!$88:$102,MATCH(P$1,'Piping Class'!$88:$88,0),0),"")</f>
        <v/>
      </c>
      <c r="Q69" s="983"/>
      <c r="R69" s="988"/>
      <c r="S69" s="969" t="str">
        <f t="shared" si="150"/>
        <v/>
      </c>
      <c r="T69" s="968">
        <f>IFERROR(VLOOKUP(I69&amp;"."&amp;L69,'Fitting Chart'!$1:$1048576,MATCH(C69,'Fitting Chart'!$1:$1,0),0),0)+IF(B69="piping",PI()*K69*(VLOOKUP(I69,'Thickness Tab'!$1:$1048576,3,0)-K69)*7.86/1000,0)+IF(B69="Flange",VLOOKUP(I69&amp;"F"&amp;F69,'Flanges Chart'!$1:$1048576,MATCH(C69&amp;"."&amp;T$1,'Flanges Chart'!$1:$1,0),0),0)</f>
        <v>0</v>
      </c>
      <c r="U69" s="989">
        <f t="shared" si="151"/>
        <v>0</v>
      </c>
      <c r="V69" s="1003"/>
      <c r="W69" s="1001">
        <f t="shared" si="152"/>
        <v>0</v>
      </c>
      <c r="X69" s="997"/>
      <c r="Y69" s="983"/>
      <c r="Z69" s="989">
        <f>IF(B69="Piping",VLOOKUP(I69,'Thickness Tab'!$1:$1048576,3,0)/1000*PI(),0)+IFERROR(VLOOKUP(I69&amp;"F"&amp;F69,'Flanges Chart'!$1:$1048576,MATCH(C69&amp;".Unit Surface",'Flanges Chart'!$1:$1,0),0),0)+IF(B69="Fitting",VLOOKUP(I69,'Thickness Tab'!$1:$1048576,3,0)/1000*PI(),0)</f>
        <v>0</v>
      </c>
      <c r="AA69" s="989">
        <f t="shared" si="153"/>
        <v>0</v>
      </c>
      <c r="AB69" s="983">
        <v>0</v>
      </c>
      <c r="AC69" s="989">
        <f t="shared" si="154"/>
        <v>0</v>
      </c>
      <c r="AD69" s="989">
        <f t="shared" si="155"/>
        <v>0</v>
      </c>
      <c r="AE69" s="974">
        <f>(IFERROR(VLOOKUP($C69,List!$J:$L,2,0),0)*R69+IF(B69="piping",R69,0)+IF(C69="Welding Neck",1,0)*R69)*$AE$2</f>
        <v>0</v>
      </c>
      <c r="AF69" s="970">
        <f>IFERROR(VLOOKUP($C69,List!$J:$L,3,0),0)*R69*$AF$2</f>
        <v>0</v>
      </c>
      <c r="AG69" s="990">
        <f t="shared" si="156"/>
        <v>0</v>
      </c>
      <c r="AH69" s="1118" t="str">
        <f>IFERROR(VLOOKUP($D69,'Piping Class'!$88:$102,MATCH(AH$1,'Piping Class'!$88:$88,0),0),"")</f>
        <v/>
      </c>
      <c r="AI69" s="991" t="str">
        <f>IFERROR(VLOOKUP($D69,'Piping Class'!$88:$102,MATCH(AI$1,'Piping Class'!$88:$88,0),0),"")</f>
        <v/>
      </c>
      <c r="AJ69" s="991" t="str">
        <f>IFERROR(VLOOKUP($D69,'Piping Class'!$88:$102,MATCH(AJ$1,'Piping Class'!$88:$88,0),0),"")</f>
        <v/>
      </c>
      <c r="AK69" s="991" t="str">
        <f>IFERROR(VLOOKUP($D69,'Piping Class'!$88:$102,MATCH(AK$1,'Piping Class'!$88:$88,0),0),"")</f>
        <v/>
      </c>
      <c r="AL69" s="991">
        <f t="shared" si="44"/>
        <v>0</v>
      </c>
      <c r="AM69" s="1119" t="str">
        <f>IFERROR(VLOOKUP($D69,'Piping Class'!$88:$102,MATCH(AM$1,'Piping Class'!$88:$88,0),0),"")</f>
        <v/>
      </c>
      <c r="AN69" s="992">
        <f t="shared" si="157"/>
        <v>0</v>
      </c>
      <c r="AO69" s="993">
        <f>IFERROR(VLOOKUP(I69&amp;"B"&amp;F69,'Bolting Chart'!$1:$1048576,4,0),0)</f>
        <v>0</v>
      </c>
      <c r="AP69" s="993">
        <f t="shared" si="158"/>
        <v>0</v>
      </c>
      <c r="AQ69" s="993">
        <f t="shared" si="159"/>
        <v>0</v>
      </c>
      <c r="AR69" s="993">
        <f>IF(AO69=0,0,VLOOKUP(D69&amp;".bolting",'Piping Class'!$1:$1048576,MATCH(I69,'Piping Class'!$2:$2,0),0))</f>
        <v>0</v>
      </c>
      <c r="AS69" s="994">
        <f>IFERROR(VLOOKUP(I69&amp;"B"&amp;F69,'Bolting Chart'!$1:$1048576,IF(AS$2="UNC",5,6),0),0)</f>
        <v>0</v>
      </c>
      <c r="AT69" s="995">
        <f>IFERROR(VLOOKUP(I69&amp;"B"&amp;F69,'Bolting Chart'!$1:$1048576,IF(G69="RF",8,9),0),0)</f>
        <v>0</v>
      </c>
      <c r="AU69" s="993">
        <f>IF(AO69=0,0,VLOOKUP(D69&amp;".gasket",'Piping Class'!$1:$1048576,MATCH(I69,'Piping Class'!$2:$2,0),0))</f>
        <v>0</v>
      </c>
      <c r="AV69" s="996">
        <f>(IFERROR(INDEX('Bolting Chart'!$A$169:$R$251,MATCH(AT69,'Bolting Chart'!$A$170:$A$251,0),MATCH(IFERROR(VLOOKUP(I69&amp;"B"&amp;F69,'Bolting Chart'!$1:$1048576,7,0),0)+0,'Bolting Chart'!$A$169:$R$169,0)),0))/100</f>
        <v>0</v>
      </c>
      <c r="AW69" s="996">
        <f t="shared" si="160"/>
        <v>0</v>
      </c>
      <c r="AX69" s="1194">
        <f t="shared" si="161"/>
        <v>0</v>
      </c>
      <c r="AY69" s="981"/>
      <c r="AZ69" s="1543">
        <f t="shared" si="140"/>
        <v>0</v>
      </c>
      <c r="BA69" s="1543">
        <f t="shared" si="140"/>
        <v>0</v>
      </c>
      <c r="BB69" s="1543">
        <f t="shared" si="140"/>
        <v>0</v>
      </c>
      <c r="BC69" s="1543">
        <f t="shared" si="140"/>
        <v>0</v>
      </c>
      <c r="BD69" s="1543">
        <f t="shared" si="140"/>
        <v>0</v>
      </c>
      <c r="BE69" s="1543">
        <f t="shared" si="140"/>
        <v>0</v>
      </c>
      <c r="BF69" s="1543">
        <f t="shared" si="140"/>
        <v>0</v>
      </c>
      <c r="BG69" s="1543">
        <f t="shared" si="140"/>
        <v>0</v>
      </c>
      <c r="BH69" s="1543">
        <f t="shared" si="140"/>
        <v>0</v>
      </c>
      <c r="BI69" s="1543">
        <f t="shared" si="140"/>
        <v>0</v>
      </c>
      <c r="BJ69" s="1543">
        <f t="shared" si="140"/>
        <v>0</v>
      </c>
      <c r="BK69" s="1543">
        <f t="shared" si="140"/>
        <v>0</v>
      </c>
      <c r="BL69" s="1543">
        <f t="shared" si="140"/>
        <v>0</v>
      </c>
      <c r="BM69" s="1543">
        <f t="shared" si="140"/>
        <v>0</v>
      </c>
      <c r="BN69" s="1543">
        <f t="shared" si="140"/>
        <v>0</v>
      </c>
      <c r="BO69" s="1543">
        <f t="shared" si="140"/>
        <v>0</v>
      </c>
      <c r="BP69" s="1543">
        <f t="shared" si="141"/>
        <v>0</v>
      </c>
      <c r="BQ69" s="1543">
        <f t="shared" si="144"/>
        <v>0</v>
      </c>
      <c r="BR69" s="1543">
        <f t="shared" si="144"/>
        <v>0</v>
      </c>
      <c r="BS69" s="1543">
        <f t="shared" si="144"/>
        <v>0</v>
      </c>
      <c r="BT69" s="1543">
        <f t="shared" si="144"/>
        <v>0</v>
      </c>
      <c r="BU69" s="1543">
        <f t="shared" si="144"/>
        <v>0</v>
      </c>
      <c r="BV69" s="1543">
        <f t="shared" si="144"/>
        <v>0</v>
      </c>
      <c r="BW69" s="1543">
        <f t="shared" si="144"/>
        <v>0</v>
      </c>
      <c r="BX69" s="1543">
        <f t="shared" si="144"/>
        <v>0</v>
      </c>
      <c r="BY69" s="1543">
        <f t="shared" si="144"/>
        <v>0</v>
      </c>
      <c r="BZ69" s="1543">
        <f t="shared" si="144"/>
        <v>0</v>
      </c>
      <c r="CB69" s="1543">
        <f t="shared" si="142"/>
        <v>0</v>
      </c>
      <c r="CC69" s="1543">
        <f t="shared" si="142"/>
        <v>0</v>
      </c>
      <c r="CD69" s="1543">
        <f t="shared" si="142"/>
        <v>0</v>
      </c>
      <c r="CE69" s="1543">
        <f t="shared" si="142"/>
        <v>0</v>
      </c>
      <c r="CF69" s="1543">
        <f t="shared" si="142"/>
        <v>0</v>
      </c>
      <c r="CG69" s="1543">
        <f t="shared" si="142"/>
        <v>0</v>
      </c>
      <c r="CH69" s="1543">
        <f t="shared" si="142"/>
        <v>0</v>
      </c>
      <c r="CI69" s="1543">
        <f t="shared" si="142"/>
        <v>0</v>
      </c>
      <c r="CJ69" s="1543">
        <f t="shared" si="142"/>
        <v>0</v>
      </c>
      <c r="CK69" s="1543">
        <f t="shared" si="142"/>
        <v>0</v>
      </c>
      <c r="CL69" s="1543">
        <f t="shared" si="142"/>
        <v>0</v>
      </c>
      <c r="CM69" s="1543">
        <f t="shared" si="142"/>
        <v>0</v>
      </c>
      <c r="CN69" s="1543">
        <f t="shared" si="142"/>
        <v>0</v>
      </c>
      <c r="CO69" s="1543">
        <f t="shared" si="142"/>
        <v>0</v>
      </c>
      <c r="CP69" s="1543">
        <f t="shared" si="142"/>
        <v>0</v>
      </c>
      <c r="CQ69" s="1543">
        <f t="shared" si="142"/>
        <v>0</v>
      </c>
      <c r="CR69" s="1543">
        <f t="shared" si="143"/>
        <v>0</v>
      </c>
      <c r="CS69" s="1543">
        <f t="shared" si="145"/>
        <v>0</v>
      </c>
      <c r="CT69" s="1543">
        <f t="shared" si="146"/>
        <v>0</v>
      </c>
      <c r="CU69" s="1543">
        <f t="shared" si="146"/>
        <v>0</v>
      </c>
      <c r="CV69" s="1543">
        <f t="shared" si="146"/>
        <v>0</v>
      </c>
      <c r="CW69" s="1543">
        <f t="shared" si="146"/>
        <v>0</v>
      </c>
      <c r="CX69" s="1543">
        <f t="shared" si="146"/>
        <v>0</v>
      </c>
      <c r="CY69" s="1543">
        <f t="shared" si="146"/>
        <v>0</v>
      </c>
      <c r="CZ69" s="1543">
        <f t="shared" si="146"/>
        <v>0</v>
      </c>
      <c r="DA69" s="1543">
        <f t="shared" si="146"/>
        <v>0</v>
      </c>
      <c r="DB69" s="1543">
        <f t="shared" si="146"/>
        <v>0</v>
      </c>
      <c r="DD69" s="1543">
        <f t="shared" si="147"/>
        <v>0</v>
      </c>
      <c r="DE69" s="1543">
        <f t="shared" si="148"/>
        <v>0</v>
      </c>
      <c r="DF69" s="1543">
        <f t="shared" si="149"/>
        <v>0</v>
      </c>
      <c r="DG69" s="1543">
        <f t="shared" si="162"/>
        <v>0</v>
      </c>
      <c r="DI69" s="1543">
        <f t="shared" si="163"/>
        <v>0</v>
      </c>
      <c r="DJ69" s="1543">
        <f t="shared" si="74"/>
        <v>0</v>
      </c>
      <c r="DK69" s="1543">
        <f t="shared" si="74"/>
        <v>0</v>
      </c>
      <c r="DL69" s="1543">
        <f t="shared" si="74"/>
        <v>0</v>
      </c>
      <c r="DM69" s="1543">
        <f t="shared" si="74"/>
        <v>0</v>
      </c>
      <c r="DO69" s="1543">
        <f t="shared" si="164"/>
        <v>0</v>
      </c>
      <c r="DP69" s="1543">
        <f t="shared" si="164"/>
        <v>0</v>
      </c>
      <c r="DQ69" s="1543">
        <f t="shared" si="164"/>
        <v>0</v>
      </c>
      <c r="DR69" s="1543">
        <f t="shared" si="164"/>
        <v>0</v>
      </c>
      <c r="DS69" s="1543">
        <f t="shared" si="164"/>
        <v>0</v>
      </c>
      <c r="DT69" s="1543">
        <f t="shared" si="164"/>
        <v>0</v>
      </c>
      <c r="DU69" s="1543">
        <f t="shared" si="164"/>
        <v>0</v>
      </c>
      <c r="DV69" s="1543">
        <f t="shared" si="164"/>
        <v>0</v>
      </c>
      <c r="DW69" s="1543">
        <f t="shared" si="164"/>
        <v>0</v>
      </c>
      <c r="DX69" s="1543">
        <f t="shared" si="164"/>
        <v>0</v>
      </c>
      <c r="DY69" s="1543">
        <f t="shared" si="164"/>
        <v>0</v>
      </c>
      <c r="DZ69" s="1543">
        <f t="shared" si="164"/>
        <v>0</v>
      </c>
      <c r="EA69" s="1543">
        <f t="shared" si="164"/>
        <v>0</v>
      </c>
      <c r="EB69" s="1543">
        <f t="shared" si="71"/>
        <v>0</v>
      </c>
      <c r="EC69" s="1543">
        <f t="shared" si="71"/>
        <v>0</v>
      </c>
      <c r="ED69" s="1543">
        <f t="shared" si="71"/>
        <v>0</v>
      </c>
      <c r="EE69" s="1543">
        <f t="shared" si="71"/>
        <v>0</v>
      </c>
      <c r="EF69" s="1543">
        <f t="shared" si="71"/>
        <v>0</v>
      </c>
      <c r="EH69" s="1543">
        <f t="shared" si="165"/>
        <v>0</v>
      </c>
      <c r="EI69" s="1543">
        <f t="shared" si="166"/>
        <v>0</v>
      </c>
      <c r="EJ69" s="1543">
        <f t="shared" si="167"/>
        <v>0</v>
      </c>
      <c r="EK69" s="1543">
        <f t="shared" si="168"/>
        <v>0</v>
      </c>
      <c r="EL69" s="1543">
        <f t="shared" si="169"/>
        <v>0</v>
      </c>
      <c r="EM69" s="1543">
        <f t="shared" si="170"/>
        <v>0</v>
      </c>
      <c r="EN69" s="1543">
        <f t="shared" si="171"/>
        <v>0</v>
      </c>
      <c r="EP69" s="1543">
        <f t="shared" si="72"/>
        <v>0</v>
      </c>
      <c r="EQ69" s="1543">
        <f t="shared" si="72"/>
        <v>0</v>
      </c>
      <c r="ER69" s="1543">
        <f t="shared" si="72"/>
        <v>0</v>
      </c>
      <c r="ES69" s="1543">
        <f t="shared" si="72"/>
        <v>0</v>
      </c>
      <c r="ET69" s="1543">
        <f t="shared" si="123"/>
        <v>0</v>
      </c>
      <c r="EU69" s="1543">
        <f t="shared" si="123"/>
        <v>0</v>
      </c>
      <c r="EV69" s="1543">
        <f t="shared" si="123"/>
        <v>0</v>
      </c>
      <c r="EW69" s="1543">
        <f t="shared" si="123"/>
        <v>0</v>
      </c>
      <c r="EX69" s="1543">
        <f t="shared" si="123"/>
        <v>0</v>
      </c>
      <c r="EY69" s="1543">
        <f t="shared" si="123"/>
        <v>0</v>
      </c>
      <c r="EZ69" s="1543">
        <f t="shared" si="123"/>
        <v>0</v>
      </c>
      <c r="FA69" s="1543">
        <f t="shared" si="123"/>
        <v>0</v>
      </c>
      <c r="FB69" s="1543">
        <f t="shared" si="123"/>
        <v>0</v>
      </c>
      <c r="FC69" s="1543">
        <f t="shared" si="123"/>
        <v>0</v>
      </c>
      <c r="FD69" s="1543">
        <f t="shared" si="123"/>
        <v>0</v>
      </c>
      <c r="FE69" s="1543">
        <f t="shared" si="52"/>
        <v>0</v>
      </c>
      <c r="FF69" s="1543">
        <f t="shared" si="172"/>
        <v>1</v>
      </c>
      <c r="FH69" s="1543">
        <f t="shared" si="173"/>
        <v>0</v>
      </c>
      <c r="FI69" s="1543">
        <f t="shared" si="173"/>
        <v>0</v>
      </c>
      <c r="FJ69" s="1543">
        <f t="shared" si="173"/>
        <v>0</v>
      </c>
      <c r="FK69" s="1543">
        <f t="shared" si="173"/>
        <v>0</v>
      </c>
      <c r="FL69" s="1543">
        <f t="shared" si="173"/>
        <v>0</v>
      </c>
      <c r="FM69" s="1543">
        <f t="shared" si="173"/>
        <v>0</v>
      </c>
      <c r="FN69" s="1543">
        <f t="shared" si="173"/>
        <v>0</v>
      </c>
      <c r="FO69" s="1543">
        <f t="shared" si="173"/>
        <v>0</v>
      </c>
      <c r="FP69" s="1543">
        <f t="shared" si="173"/>
        <v>0</v>
      </c>
      <c r="FQ69" s="1543">
        <f t="shared" si="173"/>
        <v>0</v>
      </c>
      <c r="FR69" s="1543">
        <f t="shared" si="173"/>
        <v>0</v>
      </c>
      <c r="FS69" s="1543">
        <f t="shared" si="173"/>
        <v>0</v>
      </c>
      <c r="FT69" s="1543">
        <f t="shared" si="174"/>
        <v>0</v>
      </c>
      <c r="FV69" s="1543">
        <f t="shared" si="175"/>
        <v>1</v>
      </c>
      <c r="FW69" s="1543">
        <f t="shared" si="175"/>
        <v>0</v>
      </c>
      <c r="FX69" s="1543">
        <f t="shared" si="175"/>
        <v>0</v>
      </c>
      <c r="FY69" s="1543">
        <f t="shared" si="175"/>
        <v>0</v>
      </c>
      <c r="FZ69" s="1543">
        <f t="shared" si="175"/>
        <v>0</v>
      </c>
      <c r="GA69" s="1543">
        <f t="shared" si="175"/>
        <v>0</v>
      </c>
      <c r="GB69" s="1543">
        <f t="shared" si="175"/>
        <v>0</v>
      </c>
      <c r="GC69" s="1543">
        <f t="shared" si="175"/>
        <v>0</v>
      </c>
      <c r="GD69" s="1543">
        <f t="shared" si="175"/>
        <v>0</v>
      </c>
    </row>
    <row r="70" spans="1:186" s="982" customFormat="1" ht="15.6" x14ac:dyDescent="0.3">
      <c r="A70" s="974">
        <v>68</v>
      </c>
      <c r="B70" s="983"/>
      <c r="C70" s="984"/>
      <c r="D70" s="983"/>
      <c r="E70" s="968" t="str">
        <f>IFERROR(VLOOKUP($D70&amp;"."&amp;B70,'Piping Class'!$1:$1048576,MATCH($I70,'Piping Class'!$2:$2,0),0),"")</f>
        <v/>
      </c>
      <c r="F70" s="985" t="str">
        <f>IFERROR(IF(B70="Flange",VLOOKUP($D70,'Piping Class'!$88:$102,MATCH(F$1,'Piping Class'!$88:$88,0),0),""),"")</f>
        <v/>
      </c>
      <c r="G70" s="968" t="str">
        <f>IFERROR(IF(B70="Flange",VLOOKUP($D70,'Piping Class'!$88:$102,MATCH(G$1,'Piping Class'!$88:$88,0),0),""),"")</f>
        <v/>
      </c>
      <c r="H70" s="968" t="str">
        <f>IFERROR(VLOOKUP($D70,'Piping Class'!$88:$102,MATCH(H$1,'Piping Class'!$88:$88,0),0),"")</f>
        <v/>
      </c>
      <c r="I70" s="986"/>
      <c r="J70" s="987"/>
      <c r="K70" s="968" t="str">
        <f>IFERROR(VLOOKUP(I70,'Thickness Tab'!$1:$1048576,MATCH(L70,'Thickness Tab'!$1:$1,0),0),"")</f>
        <v/>
      </c>
      <c r="L70" s="969" t="str">
        <f>IFERROR(VLOOKUP($D70,'Piping Class'!$1:$1048576,MATCH($I70,'Piping Class'!$2:$2,0),0),"")</f>
        <v/>
      </c>
      <c r="M70" s="968" t="str">
        <f>IFERROR(VLOOKUP(J70,'Thickness Tab'!$1:$1048576,MATCH(N70,'Thickness Tab'!$1:$1,0),0),"")</f>
        <v/>
      </c>
      <c r="N70" s="969" t="str">
        <f>IFERROR(VLOOKUP($D70,'Piping Class'!$1:$1048576,MATCH($J70,'Piping Class'!$2:$2,0),0),"")</f>
        <v/>
      </c>
      <c r="O70" s="968" t="str">
        <f>IFERROR(VLOOKUP($D70,'Piping Class'!$88:$102,MATCH(O$1,'Piping Class'!$88:$88,0),0),"")</f>
        <v/>
      </c>
      <c r="P70" s="968" t="str">
        <f>IFERROR(VLOOKUP($D70,'Piping Class'!$88:$102,MATCH(P$1,'Piping Class'!$88:$88,0),0),"")</f>
        <v/>
      </c>
      <c r="Q70" s="983"/>
      <c r="R70" s="988"/>
      <c r="S70" s="969" t="str">
        <f t="shared" si="150"/>
        <v/>
      </c>
      <c r="T70" s="968">
        <f>IFERROR(VLOOKUP(I70&amp;"."&amp;L70,'Fitting Chart'!$1:$1048576,MATCH(C70,'Fitting Chart'!$1:$1,0),0),0)+IF(B70="piping",PI()*K70*(VLOOKUP(I70,'Thickness Tab'!$1:$1048576,3,0)-K70)*7.86/1000,0)+IF(B70="Flange",VLOOKUP(I70&amp;"F"&amp;F70,'Flanges Chart'!$1:$1048576,MATCH(C70&amp;"."&amp;T$1,'Flanges Chart'!$1:$1,0),0),0)</f>
        <v>0</v>
      </c>
      <c r="U70" s="989">
        <f t="shared" si="151"/>
        <v>0</v>
      </c>
      <c r="V70" s="1003"/>
      <c r="W70" s="1001">
        <f t="shared" si="152"/>
        <v>0</v>
      </c>
      <c r="X70" s="997"/>
      <c r="Y70" s="983"/>
      <c r="Z70" s="989">
        <f>IF(B70="Piping",VLOOKUP(I70,'Thickness Tab'!$1:$1048576,3,0)/1000*PI(),0)+IFERROR(VLOOKUP(I70&amp;"F"&amp;F70,'Flanges Chart'!$1:$1048576,MATCH(C70&amp;".Unit Surface",'Flanges Chart'!$1:$1,0),0),0)+IF(B70="Fitting",VLOOKUP(I70,'Thickness Tab'!$1:$1048576,3,0)/1000*PI(),0)</f>
        <v>0</v>
      </c>
      <c r="AA70" s="989">
        <f t="shared" si="153"/>
        <v>0</v>
      </c>
      <c r="AB70" s="983">
        <v>0</v>
      </c>
      <c r="AC70" s="989">
        <f t="shared" si="154"/>
        <v>0</v>
      </c>
      <c r="AD70" s="989">
        <f t="shared" si="155"/>
        <v>0</v>
      </c>
      <c r="AE70" s="974">
        <f>(IFERROR(VLOOKUP($C70,List!$J:$L,2,0),0)*R70+IF(B70="piping",R70,0)+IF(C70="Welding Neck",1,0)*R70)*$AE$2</f>
        <v>0</v>
      </c>
      <c r="AF70" s="970">
        <f>IFERROR(VLOOKUP($C70,List!$J:$L,3,0),0)*R70*$AF$2</f>
        <v>0</v>
      </c>
      <c r="AG70" s="990">
        <f t="shared" si="156"/>
        <v>0</v>
      </c>
      <c r="AH70" s="1118" t="str">
        <f>IFERROR(VLOOKUP($D70,'Piping Class'!$88:$102,MATCH(AH$1,'Piping Class'!$88:$88,0),0),"")</f>
        <v/>
      </c>
      <c r="AI70" s="991" t="str">
        <f>IFERROR(VLOOKUP($D70,'Piping Class'!$88:$102,MATCH(AI$1,'Piping Class'!$88:$88,0),0),"")</f>
        <v/>
      </c>
      <c r="AJ70" s="991" t="str">
        <f>IFERROR(VLOOKUP($D70,'Piping Class'!$88:$102,MATCH(AJ$1,'Piping Class'!$88:$88,0),0),"")</f>
        <v/>
      </c>
      <c r="AK70" s="991" t="str">
        <f>IFERROR(VLOOKUP($D70,'Piping Class'!$88:$102,MATCH(AK$1,'Piping Class'!$88:$88,0),0),"")</f>
        <v/>
      </c>
      <c r="AL70" s="991">
        <f t="shared" si="44"/>
        <v>0</v>
      </c>
      <c r="AM70" s="1119" t="str">
        <f>IFERROR(VLOOKUP($D70,'Piping Class'!$88:$102,MATCH(AM$1,'Piping Class'!$88:$88,0),0),"")</f>
        <v/>
      </c>
      <c r="AN70" s="992">
        <f t="shared" si="157"/>
        <v>0</v>
      </c>
      <c r="AO70" s="993">
        <f>IFERROR(VLOOKUP(I70&amp;"B"&amp;F70,'Bolting Chart'!$1:$1048576,4,0),0)</f>
        <v>0</v>
      </c>
      <c r="AP70" s="993">
        <f t="shared" si="158"/>
        <v>0</v>
      </c>
      <c r="AQ70" s="993">
        <f t="shared" si="159"/>
        <v>0</v>
      </c>
      <c r="AR70" s="993">
        <f>IF(AO70=0,0,VLOOKUP(D70&amp;".bolting",'Piping Class'!$1:$1048576,MATCH(I70,'Piping Class'!$2:$2,0),0))</f>
        <v>0</v>
      </c>
      <c r="AS70" s="994">
        <f>IFERROR(VLOOKUP(I70&amp;"B"&amp;F70,'Bolting Chart'!$1:$1048576,IF(AS$2="UNC",5,6),0),0)</f>
        <v>0</v>
      </c>
      <c r="AT70" s="995">
        <f>IFERROR(VLOOKUP(I70&amp;"B"&amp;F70,'Bolting Chart'!$1:$1048576,IF(G70="RF",8,9),0),0)</f>
        <v>0</v>
      </c>
      <c r="AU70" s="993">
        <f>IF(AO70=0,0,VLOOKUP(D70&amp;".gasket",'Piping Class'!$1:$1048576,MATCH(I70,'Piping Class'!$2:$2,0),0))</f>
        <v>0</v>
      </c>
      <c r="AV70" s="996">
        <f>(IFERROR(INDEX('Bolting Chart'!$A$169:$R$251,MATCH(AT70,'Bolting Chart'!$A$170:$A$251,0),MATCH(IFERROR(VLOOKUP(I70&amp;"B"&amp;F70,'Bolting Chart'!$1:$1048576,7,0),0)+0,'Bolting Chart'!$A$169:$R$169,0)),0))/100</f>
        <v>0</v>
      </c>
      <c r="AW70" s="996">
        <f t="shared" si="160"/>
        <v>0</v>
      </c>
      <c r="AX70" s="1194">
        <f t="shared" si="161"/>
        <v>0</v>
      </c>
      <c r="AY70" s="981"/>
      <c r="AZ70" s="1543">
        <f t="shared" si="140"/>
        <v>0</v>
      </c>
      <c r="BA70" s="1543">
        <f t="shared" si="140"/>
        <v>0</v>
      </c>
      <c r="BB70" s="1543">
        <f t="shared" si="140"/>
        <v>0</v>
      </c>
      <c r="BC70" s="1543">
        <f t="shared" si="140"/>
        <v>0</v>
      </c>
      <c r="BD70" s="1543">
        <f t="shared" si="140"/>
        <v>0</v>
      </c>
      <c r="BE70" s="1543">
        <f t="shared" si="140"/>
        <v>0</v>
      </c>
      <c r="BF70" s="1543">
        <f t="shared" si="140"/>
        <v>0</v>
      </c>
      <c r="BG70" s="1543">
        <f t="shared" si="140"/>
        <v>0</v>
      </c>
      <c r="BH70" s="1543">
        <f t="shared" si="140"/>
        <v>0</v>
      </c>
      <c r="BI70" s="1543">
        <f t="shared" si="140"/>
        <v>0</v>
      </c>
      <c r="BJ70" s="1543">
        <f t="shared" si="140"/>
        <v>0</v>
      </c>
      <c r="BK70" s="1543">
        <f t="shared" si="140"/>
        <v>0</v>
      </c>
      <c r="BL70" s="1543">
        <f t="shared" si="140"/>
        <v>0</v>
      </c>
      <c r="BM70" s="1543">
        <f t="shared" si="140"/>
        <v>0</v>
      </c>
      <c r="BN70" s="1543">
        <f t="shared" si="140"/>
        <v>0</v>
      </c>
      <c r="BO70" s="1543">
        <f t="shared" si="140"/>
        <v>0</v>
      </c>
      <c r="BP70" s="1543">
        <f t="shared" si="141"/>
        <v>0</v>
      </c>
      <c r="BQ70" s="1543">
        <f t="shared" si="144"/>
        <v>0</v>
      </c>
      <c r="BR70" s="1543">
        <f t="shared" si="144"/>
        <v>0</v>
      </c>
      <c r="BS70" s="1543">
        <f t="shared" si="144"/>
        <v>0</v>
      </c>
      <c r="BT70" s="1543">
        <f t="shared" si="144"/>
        <v>0</v>
      </c>
      <c r="BU70" s="1543">
        <f t="shared" si="144"/>
        <v>0</v>
      </c>
      <c r="BV70" s="1543">
        <f t="shared" si="144"/>
        <v>0</v>
      </c>
      <c r="BW70" s="1543">
        <f t="shared" si="144"/>
        <v>0</v>
      </c>
      <c r="BX70" s="1543">
        <f t="shared" si="144"/>
        <v>0</v>
      </c>
      <c r="BY70" s="1543">
        <f t="shared" si="144"/>
        <v>0</v>
      </c>
      <c r="BZ70" s="1543">
        <f t="shared" si="144"/>
        <v>0</v>
      </c>
      <c r="CB70" s="1543">
        <f t="shared" si="142"/>
        <v>0</v>
      </c>
      <c r="CC70" s="1543">
        <f t="shared" si="142"/>
        <v>0</v>
      </c>
      <c r="CD70" s="1543">
        <f t="shared" si="142"/>
        <v>0</v>
      </c>
      <c r="CE70" s="1543">
        <f t="shared" si="142"/>
        <v>0</v>
      </c>
      <c r="CF70" s="1543">
        <f t="shared" si="142"/>
        <v>0</v>
      </c>
      <c r="CG70" s="1543">
        <f t="shared" si="142"/>
        <v>0</v>
      </c>
      <c r="CH70" s="1543">
        <f t="shared" si="142"/>
        <v>0</v>
      </c>
      <c r="CI70" s="1543">
        <f t="shared" si="142"/>
        <v>0</v>
      </c>
      <c r="CJ70" s="1543">
        <f t="shared" si="142"/>
        <v>0</v>
      </c>
      <c r="CK70" s="1543">
        <f t="shared" si="142"/>
        <v>0</v>
      </c>
      <c r="CL70" s="1543">
        <f t="shared" si="142"/>
        <v>0</v>
      </c>
      <c r="CM70" s="1543">
        <f t="shared" si="142"/>
        <v>0</v>
      </c>
      <c r="CN70" s="1543">
        <f t="shared" si="142"/>
        <v>0</v>
      </c>
      <c r="CO70" s="1543">
        <f t="shared" si="142"/>
        <v>0</v>
      </c>
      <c r="CP70" s="1543">
        <f t="shared" si="142"/>
        <v>0</v>
      </c>
      <c r="CQ70" s="1543">
        <f t="shared" si="142"/>
        <v>0</v>
      </c>
      <c r="CR70" s="1543">
        <f t="shared" si="143"/>
        <v>0</v>
      </c>
      <c r="CS70" s="1543">
        <f t="shared" si="145"/>
        <v>0</v>
      </c>
      <c r="CT70" s="1543">
        <f t="shared" si="146"/>
        <v>0</v>
      </c>
      <c r="CU70" s="1543">
        <f t="shared" si="146"/>
        <v>0</v>
      </c>
      <c r="CV70" s="1543">
        <f t="shared" si="146"/>
        <v>0</v>
      </c>
      <c r="CW70" s="1543">
        <f t="shared" si="146"/>
        <v>0</v>
      </c>
      <c r="CX70" s="1543">
        <f t="shared" si="146"/>
        <v>0</v>
      </c>
      <c r="CY70" s="1543">
        <f t="shared" si="146"/>
        <v>0</v>
      </c>
      <c r="CZ70" s="1543">
        <f t="shared" si="146"/>
        <v>0</v>
      </c>
      <c r="DA70" s="1543">
        <f t="shared" si="146"/>
        <v>0</v>
      </c>
      <c r="DB70" s="1543">
        <f t="shared" si="146"/>
        <v>0</v>
      </c>
      <c r="DD70" s="1543">
        <f t="shared" si="147"/>
        <v>0</v>
      </c>
      <c r="DE70" s="1543">
        <f t="shared" si="148"/>
        <v>0</v>
      </c>
      <c r="DF70" s="1543">
        <f t="shared" si="149"/>
        <v>0</v>
      </c>
      <c r="DG70" s="1543">
        <f t="shared" si="162"/>
        <v>0</v>
      </c>
      <c r="DI70" s="1543">
        <f t="shared" si="163"/>
        <v>0</v>
      </c>
      <c r="DJ70" s="1543">
        <f t="shared" si="74"/>
        <v>0</v>
      </c>
      <c r="DK70" s="1543">
        <f t="shared" si="74"/>
        <v>0</v>
      </c>
      <c r="DL70" s="1543">
        <f t="shared" si="74"/>
        <v>0</v>
      </c>
      <c r="DM70" s="1543">
        <f t="shared" si="74"/>
        <v>0</v>
      </c>
      <c r="DO70" s="1543">
        <f t="shared" si="164"/>
        <v>0</v>
      </c>
      <c r="DP70" s="1543">
        <f t="shared" si="164"/>
        <v>0</v>
      </c>
      <c r="DQ70" s="1543">
        <f t="shared" si="164"/>
        <v>0</v>
      </c>
      <c r="DR70" s="1543">
        <f t="shared" si="164"/>
        <v>0</v>
      </c>
      <c r="DS70" s="1543">
        <f t="shared" si="164"/>
        <v>0</v>
      </c>
      <c r="DT70" s="1543">
        <f t="shared" si="164"/>
        <v>0</v>
      </c>
      <c r="DU70" s="1543">
        <f t="shared" si="164"/>
        <v>0</v>
      </c>
      <c r="DV70" s="1543">
        <f t="shared" si="164"/>
        <v>0</v>
      </c>
      <c r="DW70" s="1543">
        <f t="shared" si="164"/>
        <v>0</v>
      </c>
      <c r="DX70" s="1543">
        <f t="shared" si="164"/>
        <v>0</v>
      </c>
      <c r="DY70" s="1543">
        <f t="shared" si="164"/>
        <v>0</v>
      </c>
      <c r="DZ70" s="1543">
        <f t="shared" si="164"/>
        <v>0</v>
      </c>
      <c r="EA70" s="1543">
        <f t="shared" si="164"/>
        <v>0</v>
      </c>
      <c r="EB70" s="1543">
        <f t="shared" si="71"/>
        <v>0</v>
      </c>
      <c r="EC70" s="1543">
        <f t="shared" si="71"/>
        <v>0</v>
      </c>
      <c r="ED70" s="1543">
        <f t="shared" si="71"/>
        <v>0</v>
      </c>
      <c r="EE70" s="1543">
        <f t="shared" si="71"/>
        <v>0</v>
      </c>
      <c r="EF70" s="1543">
        <f t="shared" si="71"/>
        <v>0</v>
      </c>
      <c r="EH70" s="1543">
        <f t="shared" si="165"/>
        <v>0</v>
      </c>
      <c r="EI70" s="1543">
        <f t="shared" si="166"/>
        <v>0</v>
      </c>
      <c r="EJ70" s="1543">
        <f t="shared" si="167"/>
        <v>0</v>
      </c>
      <c r="EK70" s="1543">
        <f t="shared" si="168"/>
        <v>0</v>
      </c>
      <c r="EL70" s="1543">
        <f t="shared" si="169"/>
        <v>0</v>
      </c>
      <c r="EM70" s="1543">
        <f t="shared" si="170"/>
        <v>0</v>
      </c>
      <c r="EN70" s="1543">
        <f t="shared" si="171"/>
        <v>0</v>
      </c>
      <c r="EP70" s="1543">
        <f t="shared" si="72"/>
        <v>0</v>
      </c>
      <c r="EQ70" s="1543">
        <f t="shared" si="72"/>
        <v>0</v>
      </c>
      <c r="ER70" s="1543">
        <f t="shared" si="72"/>
        <v>0</v>
      </c>
      <c r="ES70" s="1543">
        <f t="shared" si="72"/>
        <v>0</v>
      </c>
      <c r="ET70" s="1543">
        <f t="shared" si="123"/>
        <v>0</v>
      </c>
      <c r="EU70" s="1543">
        <f t="shared" si="123"/>
        <v>0</v>
      </c>
      <c r="EV70" s="1543">
        <f t="shared" si="123"/>
        <v>0</v>
      </c>
      <c r="EW70" s="1543">
        <f t="shared" si="123"/>
        <v>0</v>
      </c>
      <c r="EX70" s="1543">
        <f t="shared" si="123"/>
        <v>0</v>
      </c>
      <c r="EY70" s="1543">
        <f t="shared" si="123"/>
        <v>0</v>
      </c>
      <c r="EZ70" s="1543">
        <f t="shared" si="123"/>
        <v>0</v>
      </c>
      <c r="FA70" s="1543">
        <f t="shared" si="123"/>
        <v>0</v>
      </c>
      <c r="FB70" s="1543">
        <f t="shared" si="123"/>
        <v>0</v>
      </c>
      <c r="FC70" s="1543">
        <f t="shared" si="123"/>
        <v>0</v>
      </c>
      <c r="FD70" s="1543">
        <f t="shared" si="123"/>
        <v>0</v>
      </c>
      <c r="FE70" s="1543">
        <f t="shared" si="52"/>
        <v>0</v>
      </c>
      <c r="FF70" s="1543">
        <f t="shared" si="172"/>
        <v>1</v>
      </c>
      <c r="FH70" s="1543">
        <f t="shared" si="173"/>
        <v>0</v>
      </c>
      <c r="FI70" s="1543">
        <f t="shared" si="173"/>
        <v>0</v>
      </c>
      <c r="FJ70" s="1543">
        <f t="shared" si="173"/>
        <v>0</v>
      </c>
      <c r="FK70" s="1543">
        <f t="shared" si="173"/>
        <v>0</v>
      </c>
      <c r="FL70" s="1543">
        <f t="shared" si="173"/>
        <v>0</v>
      </c>
      <c r="FM70" s="1543">
        <f t="shared" si="173"/>
        <v>0</v>
      </c>
      <c r="FN70" s="1543">
        <f t="shared" si="173"/>
        <v>0</v>
      </c>
      <c r="FO70" s="1543">
        <f t="shared" si="173"/>
        <v>0</v>
      </c>
      <c r="FP70" s="1543">
        <f t="shared" si="173"/>
        <v>0</v>
      </c>
      <c r="FQ70" s="1543">
        <f t="shared" si="173"/>
        <v>0</v>
      </c>
      <c r="FR70" s="1543">
        <f t="shared" si="173"/>
        <v>0</v>
      </c>
      <c r="FS70" s="1543">
        <f t="shared" si="173"/>
        <v>0</v>
      </c>
      <c r="FT70" s="1543">
        <f t="shared" si="174"/>
        <v>0</v>
      </c>
      <c r="FV70" s="1543">
        <f t="shared" si="175"/>
        <v>1</v>
      </c>
      <c r="FW70" s="1543">
        <f t="shared" si="175"/>
        <v>0</v>
      </c>
      <c r="FX70" s="1543">
        <f t="shared" si="175"/>
        <v>0</v>
      </c>
      <c r="FY70" s="1543">
        <f t="shared" si="175"/>
        <v>0</v>
      </c>
      <c r="FZ70" s="1543">
        <f t="shared" si="175"/>
        <v>0</v>
      </c>
      <c r="GA70" s="1543">
        <f t="shared" si="175"/>
        <v>0</v>
      </c>
      <c r="GB70" s="1543">
        <f t="shared" si="175"/>
        <v>0</v>
      </c>
      <c r="GC70" s="1543">
        <f t="shared" si="175"/>
        <v>0</v>
      </c>
      <c r="GD70" s="1543">
        <f t="shared" si="175"/>
        <v>0</v>
      </c>
    </row>
    <row r="71" spans="1:186" s="982" customFormat="1" ht="15.6" x14ac:dyDescent="0.3">
      <c r="A71" s="974">
        <v>69</v>
      </c>
      <c r="B71" s="983"/>
      <c r="C71" s="984"/>
      <c r="D71" s="983"/>
      <c r="E71" s="968" t="str">
        <f>IFERROR(VLOOKUP($D71&amp;"."&amp;B71,'Piping Class'!$1:$1048576,MATCH($I71,'Piping Class'!$2:$2,0),0),"")</f>
        <v/>
      </c>
      <c r="F71" s="985" t="str">
        <f>IFERROR(IF(B71="Flange",VLOOKUP($D71,'Piping Class'!$88:$102,MATCH(F$1,'Piping Class'!$88:$88,0),0),""),"")</f>
        <v/>
      </c>
      <c r="G71" s="968" t="str">
        <f>IFERROR(IF(B71="Flange",VLOOKUP($D71,'Piping Class'!$88:$102,MATCH(G$1,'Piping Class'!$88:$88,0),0),""),"")</f>
        <v/>
      </c>
      <c r="H71" s="968" t="str">
        <f>IFERROR(VLOOKUP($D71,'Piping Class'!$88:$102,MATCH(H$1,'Piping Class'!$88:$88,0),0),"")</f>
        <v/>
      </c>
      <c r="I71" s="986"/>
      <c r="J71" s="987"/>
      <c r="K71" s="968" t="str">
        <f>IFERROR(VLOOKUP(I71,'Thickness Tab'!$1:$1048576,MATCH(L71,'Thickness Tab'!$1:$1,0),0),"")</f>
        <v/>
      </c>
      <c r="L71" s="969" t="str">
        <f>IFERROR(VLOOKUP($D71,'Piping Class'!$1:$1048576,MATCH($I71,'Piping Class'!$2:$2,0),0),"")</f>
        <v/>
      </c>
      <c r="M71" s="968" t="str">
        <f>IFERROR(VLOOKUP(J71,'Thickness Tab'!$1:$1048576,MATCH(N71,'Thickness Tab'!$1:$1,0),0),"")</f>
        <v/>
      </c>
      <c r="N71" s="969" t="str">
        <f>IFERROR(VLOOKUP($D71,'Piping Class'!$1:$1048576,MATCH($J71,'Piping Class'!$2:$2,0),0),"")</f>
        <v/>
      </c>
      <c r="O71" s="968" t="str">
        <f>IFERROR(VLOOKUP($D71,'Piping Class'!$88:$102,MATCH(O$1,'Piping Class'!$88:$88,0),0),"")</f>
        <v/>
      </c>
      <c r="P71" s="968" t="str">
        <f>IFERROR(VLOOKUP($D71,'Piping Class'!$88:$102,MATCH(P$1,'Piping Class'!$88:$88,0),0),"")</f>
        <v/>
      </c>
      <c r="Q71" s="983"/>
      <c r="R71" s="988"/>
      <c r="S71" s="969" t="str">
        <f t="shared" si="150"/>
        <v/>
      </c>
      <c r="T71" s="968">
        <f>IFERROR(VLOOKUP(I71&amp;"."&amp;L71,'Fitting Chart'!$1:$1048576,MATCH(C71,'Fitting Chart'!$1:$1,0),0),0)+IF(B71="piping",PI()*K71*(VLOOKUP(I71,'Thickness Tab'!$1:$1048576,3,0)-K71)*7.86/1000,0)+IF(B71="Flange",VLOOKUP(I71&amp;"F"&amp;F71,'Flanges Chart'!$1:$1048576,MATCH(C71&amp;"."&amp;T$1,'Flanges Chart'!$1:$1,0),0),0)</f>
        <v>0</v>
      </c>
      <c r="U71" s="989">
        <f t="shared" si="151"/>
        <v>0</v>
      </c>
      <c r="V71" s="1003"/>
      <c r="W71" s="1001">
        <f t="shared" si="152"/>
        <v>0</v>
      </c>
      <c r="X71" s="997"/>
      <c r="Y71" s="983"/>
      <c r="Z71" s="989">
        <f>IF(B71="Piping",VLOOKUP(I71,'Thickness Tab'!$1:$1048576,3,0)/1000*PI(),0)+IFERROR(VLOOKUP(I71&amp;"F"&amp;F71,'Flanges Chart'!$1:$1048576,MATCH(C71&amp;".Unit Surface",'Flanges Chart'!$1:$1,0),0),0)+IF(B71="Fitting",VLOOKUP(I71,'Thickness Tab'!$1:$1048576,3,0)/1000*PI(),0)</f>
        <v>0</v>
      </c>
      <c r="AA71" s="989">
        <f t="shared" si="153"/>
        <v>0</v>
      </c>
      <c r="AB71" s="983">
        <v>0</v>
      </c>
      <c r="AC71" s="989">
        <f t="shared" si="154"/>
        <v>0</v>
      </c>
      <c r="AD71" s="989">
        <f t="shared" si="155"/>
        <v>0</v>
      </c>
      <c r="AE71" s="974">
        <f>(IFERROR(VLOOKUP($C71,List!$J:$L,2,0),0)*R71+IF(B71="piping",R71,0)+IF(C71="Welding Neck",1,0)*R71)*$AE$2</f>
        <v>0</v>
      </c>
      <c r="AF71" s="970">
        <f>IFERROR(VLOOKUP($C71,List!$J:$L,3,0),0)*R71*$AF$2</f>
        <v>0</v>
      </c>
      <c r="AG71" s="990">
        <f t="shared" si="156"/>
        <v>0</v>
      </c>
      <c r="AH71" s="1118" t="str">
        <f>IFERROR(VLOOKUP($D71,'Piping Class'!$88:$102,MATCH(AH$1,'Piping Class'!$88:$88,0),0),"")</f>
        <v/>
      </c>
      <c r="AI71" s="991" t="str">
        <f>IFERROR(VLOOKUP($D71,'Piping Class'!$88:$102,MATCH(AI$1,'Piping Class'!$88:$88,0),0),"")</f>
        <v/>
      </c>
      <c r="AJ71" s="991" t="str">
        <f>IFERROR(VLOOKUP($D71,'Piping Class'!$88:$102,MATCH(AJ$1,'Piping Class'!$88:$88,0),0),"")</f>
        <v/>
      </c>
      <c r="AK71" s="991" t="str">
        <f>IFERROR(VLOOKUP($D71,'Piping Class'!$88:$102,MATCH(AK$1,'Piping Class'!$88:$88,0),0),"")</f>
        <v/>
      </c>
      <c r="AL71" s="991">
        <f t="shared" si="44"/>
        <v>0</v>
      </c>
      <c r="AM71" s="1119" t="str">
        <f>IFERROR(VLOOKUP($D71,'Piping Class'!$88:$102,MATCH(AM$1,'Piping Class'!$88:$88,0),0),"")</f>
        <v/>
      </c>
      <c r="AN71" s="992">
        <f t="shared" si="157"/>
        <v>0</v>
      </c>
      <c r="AO71" s="993">
        <f>IFERROR(VLOOKUP(I71&amp;"B"&amp;F71,'Bolting Chart'!$1:$1048576,4,0),0)</f>
        <v>0</v>
      </c>
      <c r="AP71" s="993">
        <f t="shared" si="158"/>
        <v>0</v>
      </c>
      <c r="AQ71" s="993">
        <f t="shared" si="159"/>
        <v>0</v>
      </c>
      <c r="AR71" s="993">
        <f>IF(AO71=0,0,VLOOKUP(D71&amp;".bolting",'Piping Class'!$1:$1048576,MATCH(I71,'Piping Class'!$2:$2,0),0))</f>
        <v>0</v>
      </c>
      <c r="AS71" s="994">
        <f>IFERROR(VLOOKUP(I71&amp;"B"&amp;F71,'Bolting Chart'!$1:$1048576,IF(AS$2="UNC",5,6),0),0)</f>
        <v>0</v>
      </c>
      <c r="AT71" s="995">
        <f>IFERROR(VLOOKUP(I71&amp;"B"&amp;F71,'Bolting Chart'!$1:$1048576,IF(G71="RF",8,9),0),0)</f>
        <v>0</v>
      </c>
      <c r="AU71" s="993">
        <f>IF(AO71=0,0,VLOOKUP(D71&amp;".gasket",'Piping Class'!$1:$1048576,MATCH(I71,'Piping Class'!$2:$2,0),0))</f>
        <v>0</v>
      </c>
      <c r="AV71" s="996">
        <f>(IFERROR(INDEX('Bolting Chart'!$A$169:$R$251,MATCH(AT71,'Bolting Chart'!$A$170:$A$251,0),MATCH(IFERROR(VLOOKUP(I71&amp;"B"&amp;F71,'Bolting Chart'!$1:$1048576,7,0),0)+0,'Bolting Chart'!$A$169:$R$169,0)),0))/100</f>
        <v>0</v>
      </c>
      <c r="AW71" s="996">
        <f t="shared" si="160"/>
        <v>0</v>
      </c>
      <c r="AX71" s="1194">
        <f t="shared" si="161"/>
        <v>0</v>
      </c>
      <c r="AY71" s="981"/>
      <c r="AZ71" s="1543">
        <f t="shared" si="140"/>
        <v>0</v>
      </c>
      <c r="BA71" s="1543">
        <f t="shared" si="140"/>
        <v>0</v>
      </c>
      <c r="BB71" s="1543">
        <f t="shared" si="140"/>
        <v>0</v>
      </c>
      <c r="BC71" s="1543">
        <f t="shared" si="140"/>
        <v>0</v>
      </c>
      <c r="BD71" s="1543">
        <f t="shared" si="140"/>
        <v>0</v>
      </c>
      <c r="BE71" s="1543">
        <f t="shared" si="140"/>
        <v>0</v>
      </c>
      <c r="BF71" s="1543">
        <f t="shared" si="140"/>
        <v>0</v>
      </c>
      <c r="BG71" s="1543">
        <f t="shared" si="140"/>
        <v>0</v>
      </c>
      <c r="BH71" s="1543">
        <f t="shared" si="140"/>
        <v>0</v>
      </c>
      <c r="BI71" s="1543">
        <f t="shared" si="140"/>
        <v>0</v>
      </c>
      <c r="BJ71" s="1543">
        <f t="shared" si="140"/>
        <v>0</v>
      </c>
      <c r="BK71" s="1543">
        <f t="shared" si="140"/>
        <v>0</v>
      </c>
      <c r="BL71" s="1543">
        <f t="shared" si="140"/>
        <v>0</v>
      </c>
      <c r="BM71" s="1543">
        <f t="shared" si="140"/>
        <v>0</v>
      </c>
      <c r="BN71" s="1543">
        <f t="shared" si="140"/>
        <v>0</v>
      </c>
      <c r="BO71" s="1543">
        <f t="shared" si="140"/>
        <v>0</v>
      </c>
      <c r="BP71" s="1543">
        <f t="shared" si="141"/>
        <v>0</v>
      </c>
      <c r="BQ71" s="1543">
        <f t="shared" si="144"/>
        <v>0</v>
      </c>
      <c r="BR71" s="1543">
        <f t="shared" si="144"/>
        <v>0</v>
      </c>
      <c r="BS71" s="1543">
        <f t="shared" si="144"/>
        <v>0</v>
      </c>
      <c r="BT71" s="1543">
        <f t="shared" si="144"/>
        <v>0</v>
      </c>
      <c r="BU71" s="1543">
        <f t="shared" si="144"/>
        <v>0</v>
      </c>
      <c r="BV71" s="1543">
        <f t="shared" si="144"/>
        <v>0</v>
      </c>
      <c r="BW71" s="1543">
        <f t="shared" si="144"/>
        <v>0</v>
      </c>
      <c r="BX71" s="1543">
        <f t="shared" si="144"/>
        <v>0</v>
      </c>
      <c r="BY71" s="1543">
        <f t="shared" si="144"/>
        <v>0</v>
      </c>
      <c r="BZ71" s="1543">
        <f t="shared" si="144"/>
        <v>0</v>
      </c>
      <c r="CB71" s="1543">
        <f t="shared" si="142"/>
        <v>0</v>
      </c>
      <c r="CC71" s="1543">
        <f t="shared" si="142"/>
        <v>0</v>
      </c>
      <c r="CD71" s="1543">
        <f t="shared" si="142"/>
        <v>0</v>
      </c>
      <c r="CE71" s="1543">
        <f t="shared" si="142"/>
        <v>0</v>
      </c>
      <c r="CF71" s="1543">
        <f t="shared" si="142"/>
        <v>0</v>
      </c>
      <c r="CG71" s="1543">
        <f t="shared" si="142"/>
        <v>0</v>
      </c>
      <c r="CH71" s="1543">
        <f t="shared" si="142"/>
        <v>0</v>
      </c>
      <c r="CI71" s="1543">
        <f t="shared" si="142"/>
        <v>0</v>
      </c>
      <c r="CJ71" s="1543">
        <f t="shared" si="142"/>
        <v>0</v>
      </c>
      <c r="CK71" s="1543">
        <f t="shared" si="142"/>
        <v>0</v>
      </c>
      <c r="CL71" s="1543">
        <f t="shared" si="142"/>
        <v>0</v>
      </c>
      <c r="CM71" s="1543">
        <f t="shared" si="142"/>
        <v>0</v>
      </c>
      <c r="CN71" s="1543">
        <f t="shared" si="142"/>
        <v>0</v>
      </c>
      <c r="CO71" s="1543">
        <f t="shared" si="142"/>
        <v>0</v>
      </c>
      <c r="CP71" s="1543">
        <f t="shared" si="142"/>
        <v>0</v>
      </c>
      <c r="CQ71" s="1543">
        <f t="shared" si="142"/>
        <v>0</v>
      </c>
      <c r="CR71" s="1543">
        <f t="shared" si="143"/>
        <v>0</v>
      </c>
      <c r="CS71" s="1543">
        <f t="shared" si="145"/>
        <v>0</v>
      </c>
      <c r="CT71" s="1543">
        <f t="shared" si="146"/>
        <v>0</v>
      </c>
      <c r="CU71" s="1543">
        <f t="shared" si="146"/>
        <v>0</v>
      </c>
      <c r="CV71" s="1543">
        <f t="shared" si="146"/>
        <v>0</v>
      </c>
      <c r="CW71" s="1543">
        <f t="shared" si="146"/>
        <v>0</v>
      </c>
      <c r="CX71" s="1543">
        <f t="shared" si="146"/>
        <v>0</v>
      </c>
      <c r="CY71" s="1543">
        <f t="shared" si="146"/>
        <v>0</v>
      </c>
      <c r="CZ71" s="1543">
        <f t="shared" si="146"/>
        <v>0</v>
      </c>
      <c r="DA71" s="1543">
        <f t="shared" si="146"/>
        <v>0</v>
      </c>
      <c r="DB71" s="1543">
        <f t="shared" si="146"/>
        <v>0</v>
      </c>
      <c r="DD71" s="1543">
        <f t="shared" si="147"/>
        <v>0</v>
      </c>
      <c r="DE71" s="1543">
        <f t="shared" si="148"/>
        <v>0</v>
      </c>
      <c r="DF71" s="1543">
        <f t="shared" si="149"/>
        <v>0</v>
      </c>
      <c r="DG71" s="1543">
        <f t="shared" si="162"/>
        <v>0</v>
      </c>
      <c r="DI71" s="1543">
        <f t="shared" si="163"/>
        <v>0</v>
      </c>
      <c r="DJ71" s="1543">
        <f t="shared" si="74"/>
        <v>0</v>
      </c>
      <c r="DK71" s="1543">
        <f t="shared" si="74"/>
        <v>0</v>
      </c>
      <c r="DL71" s="1543">
        <f t="shared" si="74"/>
        <v>0</v>
      </c>
      <c r="DM71" s="1543">
        <f t="shared" si="74"/>
        <v>0</v>
      </c>
      <c r="DO71" s="1543">
        <f t="shared" si="164"/>
        <v>0</v>
      </c>
      <c r="DP71" s="1543">
        <f t="shared" si="164"/>
        <v>0</v>
      </c>
      <c r="DQ71" s="1543">
        <f t="shared" si="164"/>
        <v>0</v>
      </c>
      <c r="DR71" s="1543">
        <f t="shared" si="164"/>
        <v>0</v>
      </c>
      <c r="DS71" s="1543">
        <f t="shared" si="164"/>
        <v>0</v>
      </c>
      <c r="DT71" s="1543">
        <f t="shared" si="164"/>
        <v>0</v>
      </c>
      <c r="DU71" s="1543">
        <f t="shared" si="164"/>
        <v>0</v>
      </c>
      <c r="DV71" s="1543">
        <f t="shared" si="164"/>
        <v>0</v>
      </c>
      <c r="DW71" s="1543">
        <f t="shared" si="164"/>
        <v>0</v>
      </c>
      <c r="DX71" s="1543">
        <f t="shared" si="164"/>
        <v>0</v>
      </c>
      <c r="DY71" s="1543">
        <f t="shared" si="164"/>
        <v>0</v>
      </c>
      <c r="DZ71" s="1543">
        <f t="shared" si="164"/>
        <v>0</v>
      </c>
      <c r="EA71" s="1543">
        <f t="shared" si="164"/>
        <v>0</v>
      </c>
      <c r="EB71" s="1543">
        <f t="shared" si="71"/>
        <v>0</v>
      </c>
      <c r="EC71" s="1543">
        <f t="shared" si="71"/>
        <v>0</v>
      </c>
      <c r="ED71" s="1543">
        <f t="shared" si="71"/>
        <v>0</v>
      </c>
      <c r="EE71" s="1543">
        <f t="shared" si="71"/>
        <v>0</v>
      </c>
      <c r="EF71" s="1543">
        <f t="shared" si="71"/>
        <v>0</v>
      </c>
      <c r="EH71" s="1543">
        <f t="shared" si="165"/>
        <v>0</v>
      </c>
      <c r="EI71" s="1543">
        <f t="shared" si="166"/>
        <v>0</v>
      </c>
      <c r="EJ71" s="1543">
        <f t="shared" si="167"/>
        <v>0</v>
      </c>
      <c r="EK71" s="1543">
        <f t="shared" si="168"/>
        <v>0</v>
      </c>
      <c r="EL71" s="1543">
        <f t="shared" si="169"/>
        <v>0</v>
      </c>
      <c r="EM71" s="1543">
        <f t="shared" si="170"/>
        <v>0</v>
      </c>
      <c r="EN71" s="1543">
        <f t="shared" si="171"/>
        <v>0</v>
      </c>
      <c r="EP71" s="1543">
        <f t="shared" si="72"/>
        <v>0</v>
      </c>
      <c r="EQ71" s="1543">
        <f t="shared" si="72"/>
        <v>0</v>
      </c>
      <c r="ER71" s="1543">
        <f t="shared" si="72"/>
        <v>0</v>
      </c>
      <c r="ES71" s="1543">
        <f t="shared" si="72"/>
        <v>0</v>
      </c>
      <c r="ET71" s="1543">
        <f t="shared" si="123"/>
        <v>0</v>
      </c>
      <c r="EU71" s="1543">
        <f t="shared" si="123"/>
        <v>0</v>
      </c>
      <c r="EV71" s="1543">
        <f t="shared" si="123"/>
        <v>0</v>
      </c>
      <c r="EW71" s="1543">
        <f t="shared" si="123"/>
        <v>0</v>
      </c>
      <c r="EX71" s="1543">
        <f t="shared" si="123"/>
        <v>0</v>
      </c>
      <c r="EY71" s="1543">
        <f t="shared" si="123"/>
        <v>0</v>
      </c>
      <c r="EZ71" s="1543">
        <f t="shared" si="123"/>
        <v>0</v>
      </c>
      <c r="FA71" s="1543">
        <f t="shared" si="123"/>
        <v>0</v>
      </c>
      <c r="FB71" s="1543">
        <f t="shared" si="123"/>
        <v>0</v>
      </c>
      <c r="FC71" s="1543">
        <f t="shared" si="123"/>
        <v>0</v>
      </c>
      <c r="FD71" s="1543">
        <f t="shared" si="123"/>
        <v>0</v>
      </c>
      <c r="FE71" s="1543">
        <f t="shared" si="52"/>
        <v>0</v>
      </c>
      <c r="FF71" s="1543">
        <f t="shared" si="172"/>
        <v>1</v>
      </c>
      <c r="FH71" s="1543">
        <f t="shared" si="173"/>
        <v>0</v>
      </c>
      <c r="FI71" s="1543">
        <f t="shared" si="173"/>
        <v>0</v>
      </c>
      <c r="FJ71" s="1543">
        <f t="shared" si="173"/>
        <v>0</v>
      </c>
      <c r="FK71" s="1543">
        <f t="shared" si="173"/>
        <v>0</v>
      </c>
      <c r="FL71" s="1543">
        <f t="shared" si="173"/>
        <v>0</v>
      </c>
      <c r="FM71" s="1543">
        <f t="shared" si="173"/>
        <v>0</v>
      </c>
      <c r="FN71" s="1543">
        <f t="shared" si="173"/>
        <v>0</v>
      </c>
      <c r="FO71" s="1543">
        <f t="shared" si="173"/>
        <v>0</v>
      </c>
      <c r="FP71" s="1543">
        <f t="shared" si="173"/>
        <v>0</v>
      </c>
      <c r="FQ71" s="1543">
        <f t="shared" si="173"/>
        <v>0</v>
      </c>
      <c r="FR71" s="1543">
        <f t="shared" si="173"/>
        <v>0</v>
      </c>
      <c r="FS71" s="1543">
        <f t="shared" si="173"/>
        <v>0</v>
      </c>
      <c r="FT71" s="1543">
        <f t="shared" si="174"/>
        <v>0</v>
      </c>
      <c r="FV71" s="1543">
        <f t="shared" si="175"/>
        <v>1</v>
      </c>
      <c r="FW71" s="1543">
        <f t="shared" si="175"/>
        <v>0</v>
      </c>
      <c r="FX71" s="1543">
        <f t="shared" si="175"/>
        <v>0</v>
      </c>
      <c r="FY71" s="1543">
        <f t="shared" si="175"/>
        <v>0</v>
      </c>
      <c r="FZ71" s="1543">
        <f t="shared" si="175"/>
        <v>0</v>
      </c>
      <c r="GA71" s="1543">
        <f t="shared" si="175"/>
        <v>0</v>
      </c>
      <c r="GB71" s="1543">
        <f t="shared" si="175"/>
        <v>0</v>
      </c>
      <c r="GC71" s="1543">
        <f t="shared" si="175"/>
        <v>0</v>
      </c>
      <c r="GD71" s="1543">
        <f t="shared" si="175"/>
        <v>0</v>
      </c>
    </row>
    <row r="72" spans="1:186" s="982" customFormat="1" ht="15.6" x14ac:dyDescent="0.3">
      <c r="A72" s="974">
        <v>70</v>
      </c>
      <c r="B72" s="983"/>
      <c r="C72" s="984"/>
      <c r="D72" s="983"/>
      <c r="E72" s="968" t="str">
        <f>IFERROR(VLOOKUP($D72&amp;"."&amp;B72,'Piping Class'!$1:$1048576,MATCH($I72,'Piping Class'!$2:$2,0),0),"")</f>
        <v/>
      </c>
      <c r="F72" s="985" t="str">
        <f>IFERROR(IF(B72="Flange",VLOOKUP($D72,'Piping Class'!$88:$102,MATCH(F$1,'Piping Class'!$88:$88,0),0),""),"")</f>
        <v/>
      </c>
      <c r="G72" s="968" t="str">
        <f>IFERROR(IF(B72="Flange",VLOOKUP($D72,'Piping Class'!$88:$102,MATCH(G$1,'Piping Class'!$88:$88,0),0),""),"")</f>
        <v/>
      </c>
      <c r="H72" s="968" t="str">
        <f>IFERROR(VLOOKUP($D72,'Piping Class'!$88:$102,MATCH(H$1,'Piping Class'!$88:$88,0),0),"")</f>
        <v/>
      </c>
      <c r="I72" s="986"/>
      <c r="J72" s="987"/>
      <c r="K72" s="968" t="str">
        <f>IFERROR(VLOOKUP(I72,'Thickness Tab'!$1:$1048576,MATCH(L72,'Thickness Tab'!$1:$1,0),0),"")</f>
        <v/>
      </c>
      <c r="L72" s="969" t="str">
        <f>IFERROR(VLOOKUP($D72,'Piping Class'!$1:$1048576,MATCH($I72,'Piping Class'!$2:$2,0),0),"")</f>
        <v/>
      </c>
      <c r="M72" s="968" t="str">
        <f>IFERROR(VLOOKUP(J72,'Thickness Tab'!$1:$1048576,MATCH(N72,'Thickness Tab'!$1:$1,0),0),"")</f>
        <v/>
      </c>
      <c r="N72" s="969" t="str">
        <f>IFERROR(VLOOKUP($D72,'Piping Class'!$1:$1048576,MATCH($J72,'Piping Class'!$2:$2,0),0),"")</f>
        <v/>
      </c>
      <c r="O72" s="968" t="str">
        <f>IFERROR(VLOOKUP($D72,'Piping Class'!$88:$102,MATCH(O$1,'Piping Class'!$88:$88,0),0),"")</f>
        <v/>
      </c>
      <c r="P72" s="968" t="str">
        <f>IFERROR(VLOOKUP($D72,'Piping Class'!$88:$102,MATCH(P$1,'Piping Class'!$88:$88,0),0),"")</f>
        <v/>
      </c>
      <c r="Q72" s="983"/>
      <c r="R72" s="988"/>
      <c r="S72" s="969" t="str">
        <f t="shared" si="150"/>
        <v/>
      </c>
      <c r="T72" s="968">
        <f>IFERROR(VLOOKUP(I72&amp;"."&amp;L72,'Fitting Chart'!$1:$1048576,MATCH(C72,'Fitting Chart'!$1:$1,0),0),0)+IF(B72="piping",PI()*K72*(VLOOKUP(I72,'Thickness Tab'!$1:$1048576,3,0)-K72)*7.86/1000,0)+IF(B72="Flange",VLOOKUP(I72&amp;"F"&amp;F72,'Flanges Chart'!$1:$1048576,MATCH(C72&amp;"."&amp;T$1,'Flanges Chart'!$1:$1,0),0),0)</f>
        <v>0</v>
      </c>
      <c r="U72" s="989">
        <f t="shared" si="151"/>
        <v>0</v>
      </c>
      <c r="V72" s="1003"/>
      <c r="W72" s="1001">
        <f t="shared" si="152"/>
        <v>0</v>
      </c>
      <c r="X72" s="997"/>
      <c r="Y72" s="983"/>
      <c r="Z72" s="989">
        <f>IF(B72="Piping",VLOOKUP(I72,'Thickness Tab'!$1:$1048576,3,0)/1000*PI(),0)+IFERROR(VLOOKUP(I72&amp;"F"&amp;F72,'Flanges Chart'!$1:$1048576,MATCH(C72&amp;".Unit Surface",'Flanges Chart'!$1:$1,0),0),0)+IF(B72="Fitting",VLOOKUP(I72,'Thickness Tab'!$1:$1048576,3,0)/1000*PI(),0)</f>
        <v>0</v>
      </c>
      <c r="AA72" s="989">
        <f t="shared" si="153"/>
        <v>0</v>
      </c>
      <c r="AB72" s="983">
        <v>0</v>
      </c>
      <c r="AC72" s="989">
        <f t="shared" si="154"/>
        <v>0</v>
      </c>
      <c r="AD72" s="989">
        <f t="shared" si="155"/>
        <v>0</v>
      </c>
      <c r="AE72" s="974">
        <f>(IFERROR(VLOOKUP($C72,List!$J:$L,2,0),0)*R72+IF(B72="piping",R72,0)+IF(C72="Welding Neck",1,0)*R72)*$AE$2</f>
        <v>0</v>
      </c>
      <c r="AF72" s="970">
        <f>IFERROR(VLOOKUP($C72,List!$J:$L,3,0),0)*R72*$AF$2</f>
        <v>0</v>
      </c>
      <c r="AG72" s="990">
        <f t="shared" si="156"/>
        <v>0</v>
      </c>
      <c r="AH72" s="1118" t="str">
        <f>IFERROR(VLOOKUP($D72,'Piping Class'!$88:$102,MATCH(AH$1,'Piping Class'!$88:$88,0),0),"")</f>
        <v/>
      </c>
      <c r="AI72" s="991" t="str">
        <f>IFERROR(VLOOKUP($D72,'Piping Class'!$88:$102,MATCH(AI$1,'Piping Class'!$88:$88,0),0),"")</f>
        <v/>
      </c>
      <c r="AJ72" s="991" t="str">
        <f>IFERROR(VLOOKUP($D72,'Piping Class'!$88:$102,MATCH(AJ$1,'Piping Class'!$88:$88,0),0),"")</f>
        <v/>
      </c>
      <c r="AK72" s="991" t="str">
        <f>IFERROR(VLOOKUP($D72,'Piping Class'!$88:$102,MATCH(AK$1,'Piping Class'!$88:$88,0),0),"")</f>
        <v/>
      </c>
      <c r="AL72" s="991">
        <f t="shared" si="44"/>
        <v>0</v>
      </c>
      <c r="AM72" s="1119" t="str">
        <f>IFERROR(VLOOKUP($D72,'Piping Class'!$88:$102,MATCH(AM$1,'Piping Class'!$88:$88,0),0),"")</f>
        <v/>
      </c>
      <c r="AN72" s="992">
        <f t="shared" si="157"/>
        <v>0</v>
      </c>
      <c r="AO72" s="993">
        <f>IFERROR(VLOOKUP(I72&amp;"B"&amp;F72,'Bolting Chart'!$1:$1048576,4,0),0)</f>
        <v>0</v>
      </c>
      <c r="AP72" s="993">
        <f t="shared" si="158"/>
        <v>0</v>
      </c>
      <c r="AQ72" s="993">
        <f t="shared" si="159"/>
        <v>0</v>
      </c>
      <c r="AR72" s="993">
        <f>IF(AO72=0,0,VLOOKUP(D72&amp;".bolting",'Piping Class'!$1:$1048576,MATCH(I72,'Piping Class'!$2:$2,0),0))</f>
        <v>0</v>
      </c>
      <c r="AS72" s="994">
        <f>IFERROR(VLOOKUP(I72&amp;"B"&amp;F72,'Bolting Chart'!$1:$1048576,IF(AS$2="UNC",5,6),0),0)</f>
        <v>0</v>
      </c>
      <c r="AT72" s="995">
        <f>IFERROR(VLOOKUP(I72&amp;"B"&amp;F72,'Bolting Chart'!$1:$1048576,IF(G72="RF",8,9),0),0)</f>
        <v>0</v>
      </c>
      <c r="AU72" s="993">
        <f>IF(AO72=0,0,VLOOKUP(D72&amp;".gasket",'Piping Class'!$1:$1048576,MATCH(I72,'Piping Class'!$2:$2,0),0))</f>
        <v>0</v>
      </c>
      <c r="AV72" s="996">
        <f>(IFERROR(INDEX('Bolting Chart'!$A$169:$R$251,MATCH(AT72,'Bolting Chart'!$A$170:$A$251,0),MATCH(IFERROR(VLOOKUP(I72&amp;"B"&amp;F72,'Bolting Chart'!$1:$1048576,7,0),0)+0,'Bolting Chart'!$A$169:$R$169,0)),0))/100</f>
        <v>0</v>
      </c>
      <c r="AW72" s="996">
        <f t="shared" si="160"/>
        <v>0</v>
      </c>
      <c r="AX72" s="1194">
        <f t="shared" si="161"/>
        <v>0</v>
      </c>
      <c r="AY72" s="981"/>
      <c r="AZ72" s="1543">
        <f t="shared" si="140"/>
        <v>0</v>
      </c>
      <c r="BA72" s="1543">
        <f t="shared" si="140"/>
        <v>0</v>
      </c>
      <c r="BB72" s="1543">
        <f t="shared" si="140"/>
        <v>0</v>
      </c>
      <c r="BC72" s="1543">
        <f t="shared" si="140"/>
        <v>0</v>
      </c>
      <c r="BD72" s="1543">
        <f t="shared" si="140"/>
        <v>0</v>
      </c>
      <c r="BE72" s="1543">
        <f t="shared" si="140"/>
        <v>0</v>
      </c>
      <c r="BF72" s="1543">
        <f t="shared" si="140"/>
        <v>0</v>
      </c>
      <c r="BG72" s="1543">
        <f t="shared" si="140"/>
        <v>0</v>
      </c>
      <c r="BH72" s="1543">
        <f t="shared" si="140"/>
        <v>0</v>
      </c>
      <c r="BI72" s="1543">
        <f t="shared" si="140"/>
        <v>0</v>
      </c>
      <c r="BJ72" s="1543">
        <f t="shared" si="140"/>
        <v>0</v>
      </c>
      <c r="BK72" s="1543">
        <f t="shared" si="140"/>
        <v>0</v>
      </c>
      <c r="BL72" s="1543">
        <f t="shared" si="140"/>
        <v>0</v>
      </c>
      <c r="BM72" s="1543">
        <f t="shared" si="140"/>
        <v>0</v>
      </c>
      <c r="BN72" s="1543">
        <f t="shared" si="140"/>
        <v>0</v>
      </c>
      <c r="BO72" s="1543">
        <f t="shared" si="140"/>
        <v>0</v>
      </c>
      <c r="BP72" s="1543">
        <f t="shared" si="141"/>
        <v>0</v>
      </c>
      <c r="BQ72" s="1543">
        <f t="shared" si="144"/>
        <v>0</v>
      </c>
      <c r="BR72" s="1543">
        <f t="shared" si="144"/>
        <v>0</v>
      </c>
      <c r="BS72" s="1543">
        <f t="shared" si="144"/>
        <v>0</v>
      </c>
      <c r="BT72" s="1543">
        <f t="shared" si="144"/>
        <v>0</v>
      </c>
      <c r="BU72" s="1543">
        <f t="shared" si="144"/>
        <v>0</v>
      </c>
      <c r="BV72" s="1543">
        <f t="shared" si="144"/>
        <v>0</v>
      </c>
      <c r="BW72" s="1543">
        <f t="shared" si="144"/>
        <v>0</v>
      </c>
      <c r="BX72" s="1543">
        <f t="shared" si="144"/>
        <v>0</v>
      </c>
      <c r="BY72" s="1543">
        <f t="shared" si="144"/>
        <v>0</v>
      </c>
      <c r="BZ72" s="1543">
        <f t="shared" si="144"/>
        <v>0</v>
      </c>
      <c r="CB72" s="1543">
        <f t="shared" si="142"/>
        <v>0</v>
      </c>
      <c r="CC72" s="1543">
        <f t="shared" si="142"/>
        <v>0</v>
      </c>
      <c r="CD72" s="1543">
        <f t="shared" si="142"/>
        <v>0</v>
      </c>
      <c r="CE72" s="1543">
        <f t="shared" si="142"/>
        <v>0</v>
      </c>
      <c r="CF72" s="1543">
        <f t="shared" si="142"/>
        <v>0</v>
      </c>
      <c r="CG72" s="1543">
        <f t="shared" si="142"/>
        <v>0</v>
      </c>
      <c r="CH72" s="1543">
        <f t="shared" si="142"/>
        <v>0</v>
      </c>
      <c r="CI72" s="1543">
        <f t="shared" si="142"/>
        <v>0</v>
      </c>
      <c r="CJ72" s="1543">
        <f t="shared" si="142"/>
        <v>0</v>
      </c>
      <c r="CK72" s="1543">
        <f t="shared" si="142"/>
        <v>0</v>
      </c>
      <c r="CL72" s="1543">
        <f t="shared" si="142"/>
        <v>0</v>
      </c>
      <c r="CM72" s="1543">
        <f t="shared" si="142"/>
        <v>0</v>
      </c>
      <c r="CN72" s="1543">
        <f t="shared" si="142"/>
        <v>0</v>
      </c>
      <c r="CO72" s="1543">
        <f t="shared" si="142"/>
        <v>0</v>
      </c>
      <c r="CP72" s="1543">
        <f t="shared" si="142"/>
        <v>0</v>
      </c>
      <c r="CQ72" s="1543">
        <f t="shared" si="142"/>
        <v>0</v>
      </c>
      <c r="CR72" s="1543">
        <f t="shared" si="143"/>
        <v>0</v>
      </c>
      <c r="CS72" s="1543">
        <f t="shared" si="145"/>
        <v>0</v>
      </c>
      <c r="CT72" s="1543">
        <f t="shared" si="146"/>
        <v>0</v>
      </c>
      <c r="CU72" s="1543">
        <f t="shared" si="146"/>
        <v>0</v>
      </c>
      <c r="CV72" s="1543">
        <f t="shared" si="146"/>
        <v>0</v>
      </c>
      <c r="CW72" s="1543">
        <f t="shared" si="146"/>
        <v>0</v>
      </c>
      <c r="CX72" s="1543">
        <f t="shared" si="146"/>
        <v>0</v>
      </c>
      <c r="CY72" s="1543">
        <f t="shared" si="146"/>
        <v>0</v>
      </c>
      <c r="CZ72" s="1543">
        <f t="shared" si="146"/>
        <v>0</v>
      </c>
      <c r="DA72" s="1543">
        <f t="shared" si="146"/>
        <v>0</v>
      </c>
      <c r="DB72" s="1543">
        <f t="shared" si="146"/>
        <v>0</v>
      </c>
      <c r="DD72" s="1543">
        <f t="shared" si="147"/>
        <v>0</v>
      </c>
      <c r="DE72" s="1543">
        <f t="shared" si="148"/>
        <v>0</v>
      </c>
      <c r="DF72" s="1543">
        <f t="shared" si="149"/>
        <v>0</v>
      </c>
      <c r="DG72" s="1543">
        <f t="shared" si="162"/>
        <v>0</v>
      </c>
      <c r="DI72" s="1543">
        <f t="shared" si="163"/>
        <v>0</v>
      </c>
      <c r="DJ72" s="1543">
        <f t="shared" si="74"/>
        <v>0</v>
      </c>
      <c r="DK72" s="1543">
        <f t="shared" si="74"/>
        <v>0</v>
      </c>
      <c r="DL72" s="1543">
        <f t="shared" si="74"/>
        <v>0</v>
      </c>
      <c r="DM72" s="1543">
        <f t="shared" si="74"/>
        <v>0</v>
      </c>
      <c r="DO72" s="1543">
        <f t="shared" si="164"/>
        <v>0</v>
      </c>
      <c r="DP72" s="1543">
        <f t="shared" si="164"/>
        <v>0</v>
      </c>
      <c r="DQ72" s="1543">
        <f t="shared" si="164"/>
        <v>0</v>
      </c>
      <c r="DR72" s="1543">
        <f t="shared" si="164"/>
        <v>0</v>
      </c>
      <c r="DS72" s="1543">
        <f t="shared" si="164"/>
        <v>0</v>
      </c>
      <c r="DT72" s="1543">
        <f t="shared" si="164"/>
        <v>0</v>
      </c>
      <c r="DU72" s="1543">
        <f t="shared" si="164"/>
        <v>0</v>
      </c>
      <c r="DV72" s="1543">
        <f t="shared" si="164"/>
        <v>0</v>
      </c>
      <c r="DW72" s="1543">
        <f t="shared" si="164"/>
        <v>0</v>
      </c>
      <c r="DX72" s="1543">
        <f t="shared" si="164"/>
        <v>0</v>
      </c>
      <c r="DY72" s="1543">
        <f t="shared" si="164"/>
        <v>0</v>
      </c>
      <c r="DZ72" s="1543">
        <f t="shared" si="164"/>
        <v>0</v>
      </c>
      <c r="EA72" s="1543">
        <f t="shared" si="164"/>
        <v>0</v>
      </c>
      <c r="EB72" s="1543">
        <f t="shared" si="71"/>
        <v>0</v>
      </c>
      <c r="EC72" s="1543">
        <f t="shared" si="71"/>
        <v>0</v>
      </c>
      <c r="ED72" s="1543">
        <f t="shared" si="71"/>
        <v>0</v>
      </c>
      <c r="EE72" s="1543">
        <f t="shared" si="71"/>
        <v>0</v>
      </c>
      <c r="EF72" s="1543">
        <f t="shared" si="71"/>
        <v>0</v>
      </c>
      <c r="EH72" s="1543">
        <f t="shared" si="165"/>
        <v>0</v>
      </c>
      <c r="EI72" s="1543">
        <f t="shared" si="166"/>
        <v>0</v>
      </c>
      <c r="EJ72" s="1543">
        <f t="shared" si="167"/>
        <v>0</v>
      </c>
      <c r="EK72" s="1543">
        <f t="shared" si="168"/>
        <v>0</v>
      </c>
      <c r="EL72" s="1543">
        <f t="shared" si="169"/>
        <v>0</v>
      </c>
      <c r="EM72" s="1543">
        <f t="shared" si="170"/>
        <v>0</v>
      </c>
      <c r="EN72" s="1543">
        <f t="shared" si="171"/>
        <v>0</v>
      </c>
      <c r="EP72" s="1543">
        <f t="shared" si="72"/>
        <v>0</v>
      </c>
      <c r="EQ72" s="1543">
        <f t="shared" si="72"/>
        <v>0</v>
      </c>
      <c r="ER72" s="1543">
        <f t="shared" si="72"/>
        <v>0</v>
      </c>
      <c r="ES72" s="1543">
        <f t="shared" si="72"/>
        <v>0</v>
      </c>
      <c r="ET72" s="1543">
        <f t="shared" si="123"/>
        <v>0</v>
      </c>
      <c r="EU72" s="1543">
        <f t="shared" si="123"/>
        <v>0</v>
      </c>
      <c r="EV72" s="1543">
        <f t="shared" si="123"/>
        <v>0</v>
      </c>
      <c r="EW72" s="1543">
        <f t="shared" si="123"/>
        <v>0</v>
      </c>
      <c r="EX72" s="1543">
        <f t="shared" si="123"/>
        <v>0</v>
      </c>
      <c r="EY72" s="1543">
        <f t="shared" si="123"/>
        <v>0</v>
      </c>
      <c r="EZ72" s="1543">
        <f t="shared" si="123"/>
        <v>0</v>
      </c>
      <c r="FA72" s="1543">
        <f t="shared" si="123"/>
        <v>0</v>
      </c>
      <c r="FB72" s="1543">
        <f t="shared" si="123"/>
        <v>0</v>
      </c>
      <c r="FC72" s="1543">
        <f t="shared" si="123"/>
        <v>0</v>
      </c>
      <c r="FD72" s="1543">
        <f t="shared" si="123"/>
        <v>0</v>
      </c>
      <c r="FE72" s="1543">
        <f t="shared" si="52"/>
        <v>0</v>
      </c>
      <c r="FF72" s="1543">
        <f t="shared" si="172"/>
        <v>1</v>
      </c>
      <c r="FH72" s="1543">
        <f t="shared" si="173"/>
        <v>0</v>
      </c>
      <c r="FI72" s="1543">
        <f t="shared" si="173"/>
        <v>0</v>
      </c>
      <c r="FJ72" s="1543">
        <f t="shared" si="173"/>
        <v>0</v>
      </c>
      <c r="FK72" s="1543">
        <f t="shared" si="173"/>
        <v>0</v>
      </c>
      <c r="FL72" s="1543">
        <f t="shared" si="173"/>
        <v>0</v>
      </c>
      <c r="FM72" s="1543">
        <f t="shared" si="173"/>
        <v>0</v>
      </c>
      <c r="FN72" s="1543">
        <f t="shared" si="173"/>
        <v>0</v>
      </c>
      <c r="FO72" s="1543">
        <f t="shared" si="173"/>
        <v>0</v>
      </c>
      <c r="FP72" s="1543">
        <f t="shared" si="173"/>
        <v>0</v>
      </c>
      <c r="FQ72" s="1543">
        <f t="shared" si="173"/>
        <v>0</v>
      </c>
      <c r="FR72" s="1543">
        <f t="shared" si="173"/>
        <v>0</v>
      </c>
      <c r="FS72" s="1543">
        <f t="shared" si="173"/>
        <v>0</v>
      </c>
      <c r="FT72" s="1543">
        <f t="shared" si="174"/>
        <v>0</v>
      </c>
      <c r="FV72" s="1543">
        <f t="shared" si="175"/>
        <v>1</v>
      </c>
      <c r="FW72" s="1543">
        <f t="shared" si="175"/>
        <v>0</v>
      </c>
      <c r="FX72" s="1543">
        <f t="shared" si="175"/>
        <v>0</v>
      </c>
      <c r="FY72" s="1543">
        <f t="shared" si="175"/>
        <v>0</v>
      </c>
      <c r="FZ72" s="1543">
        <f t="shared" si="175"/>
        <v>0</v>
      </c>
      <c r="GA72" s="1543">
        <f t="shared" si="175"/>
        <v>0</v>
      </c>
      <c r="GB72" s="1543">
        <f t="shared" si="175"/>
        <v>0</v>
      </c>
      <c r="GC72" s="1543">
        <f t="shared" si="175"/>
        <v>0</v>
      </c>
      <c r="GD72" s="1543">
        <f t="shared" si="175"/>
        <v>0</v>
      </c>
    </row>
    <row r="73" spans="1:186" s="982" customFormat="1" ht="15.6" x14ac:dyDescent="0.3">
      <c r="A73" s="974">
        <v>71</v>
      </c>
      <c r="B73" s="983"/>
      <c r="C73" s="984"/>
      <c r="D73" s="983"/>
      <c r="E73" s="968" t="str">
        <f>IFERROR(VLOOKUP($D73&amp;"."&amp;B73,'Piping Class'!$1:$1048576,MATCH($I73,'Piping Class'!$2:$2,0),0),"")</f>
        <v/>
      </c>
      <c r="F73" s="985" t="str">
        <f>IFERROR(IF(B73="Flange",VLOOKUP($D73,'Piping Class'!$88:$102,MATCH(F$1,'Piping Class'!$88:$88,0),0),""),"")</f>
        <v/>
      </c>
      <c r="G73" s="968" t="str">
        <f>IFERROR(IF(B73="Flange",VLOOKUP($D73,'Piping Class'!$88:$102,MATCH(G$1,'Piping Class'!$88:$88,0),0),""),"")</f>
        <v/>
      </c>
      <c r="H73" s="968" t="str">
        <f>IFERROR(VLOOKUP($D73,'Piping Class'!$88:$102,MATCH(H$1,'Piping Class'!$88:$88,0),0),"")</f>
        <v/>
      </c>
      <c r="I73" s="986"/>
      <c r="J73" s="987"/>
      <c r="K73" s="968" t="str">
        <f>IFERROR(VLOOKUP(I73,'Thickness Tab'!$1:$1048576,MATCH(L73,'Thickness Tab'!$1:$1,0),0),"")</f>
        <v/>
      </c>
      <c r="L73" s="969" t="str">
        <f>IFERROR(VLOOKUP($D73,'Piping Class'!$1:$1048576,MATCH($I73,'Piping Class'!$2:$2,0),0),"")</f>
        <v/>
      </c>
      <c r="M73" s="968" t="str">
        <f>IFERROR(VLOOKUP(J73,'Thickness Tab'!$1:$1048576,MATCH(N73,'Thickness Tab'!$1:$1,0),0),"")</f>
        <v/>
      </c>
      <c r="N73" s="969" t="str">
        <f>IFERROR(VLOOKUP($D73,'Piping Class'!$1:$1048576,MATCH($J73,'Piping Class'!$2:$2,0),0),"")</f>
        <v/>
      </c>
      <c r="O73" s="968" t="str">
        <f>IFERROR(VLOOKUP($D73,'Piping Class'!$88:$102,MATCH(O$1,'Piping Class'!$88:$88,0),0),"")</f>
        <v/>
      </c>
      <c r="P73" s="968" t="str">
        <f>IFERROR(VLOOKUP($D73,'Piping Class'!$88:$102,MATCH(P$1,'Piping Class'!$88:$88,0),0),"")</f>
        <v/>
      </c>
      <c r="Q73" s="983"/>
      <c r="R73" s="988"/>
      <c r="S73" s="969" t="str">
        <f t="shared" si="150"/>
        <v/>
      </c>
      <c r="T73" s="968">
        <f>IFERROR(VLOOKUP(I73&amp;"."&amp;L73,'Fitting Chart'!$1:$1048576,MATCH(C73,'Fitting Chart'!$1:$1,0),0),0)+IF(B73="piping",PI()*K73*(VLOOKUP(I73,'Thickness Tab'!$1:$1048576,3,0)-K73)*7.86/1000,0)+IF(B73="Flange",VLOOKUP(I73&amp;"F"&amp;F73,'Flanges Chart'!$1:$1048576,MATCH(C73&amp;"."&amp;T$1,'Flanges Chart'!$1:$1,0),0),0)</f>
        <v>0</v>
      </c>
      <c r="U73" s="989">
        <f t="shared" si="151"/>
        <v>0</v>
      </c>
      <c r="V73" s="1003"/>
      <c r="W73" s="1001">
        <f t="shared" si="152"/>
        <v>0</v>
      </c>
      <c r="X73" s="997"/>
      <c r="Y73" s="983"/>
      <c r="Z73" s="989">
        <f>IF(B73="Piping",VLOOKUP(I73,'Thickness Tab'!$1:$1048576,3,0)/1000*PI(),0)+IFERROR(VLOOKUP(I73&amp;"F"&amp;F73,'Flanges Chart'!$1:$1048576,MATCH(C73&amp;".Unit Surface",'Flanges Chart'!$1:$1,0),0),0)+IF(B73="Fitting",VLOOKUP(I73,'Thickness Tab'!$1:$1048576,3,0)/1000*PI(),0)</f>
        <v>0</v>
      </c>
      <c r="AA73" s="989">
        <f t="shared" si="153"/>
        <v>0</v>
      </c>
      <c r="AB73" s="983">
        <v>0</v>
      </c>
      <c r="AC73" s="989">
        <f t="shared" si="154"/>
        <v>0</v>
      </c>
      <c r="AD73" s="989">
        <f t="shared" si="155"/>
        <v>0</v>
      </c>
      <c r="AE73" s="974">
        <f>(IFERROR(VLOOKUP($C73,List!$J:$L,2,0),0)*R73+IF(B73="piping",R73,0)+IF(C73="Welding Neck",1,0)*R73)*$AE$2</f>
        <v>0</v>
      </c>
      <c r="AF73" s="970">
        <f>IFERROR(VLOOKUP($C73,List!$J:$L,3,0),0)*R73*$AF$2</f>
        <v>0</v>
      </c>
      <c r="AG73" s="990">
        <f t="shared" si="156"/>
        <v>0</v>
      </c>
      <c r="AH73" s="1118" t="str">
        <f>IFERROR(VLOOKUP($D73,'Piping Class'!$88:$102,MATCH(AH$1,'Piping Class'!$88:$88,0),0),"")</f>
        <v/>
      </c>
      <c r="AI73" s="991" t="str">
        <f>IFERROR(VLOOKUP($D73,'Piping Class'!$88:$102,MATCH(AI$1,'Piping Class'!$88:$88,0),0),"")</f>
        <v/>
      </c>
      <c r="AJ73" s="991" t="str">
        <f>IFERROR(VLOOKUP($D73,'Piping Class'!$88:$102,MATCH(AJ$1,'Piping Class'!$88:$88,0),0),"")</f>
        <v/>
      </c>
      <c r="AK73" s="991" t="str">
        <f>IFERROR(VLOOKUP($D73,'Piping Class'!$88:$102,MATCH(AK$1,'Piping Class'!$88:$88,0),0),"")</f>
        <v/>
      </c>
      <c r="AL73" s="991">
        <f t="shared" si="44"/>
        <v>0</v>
      </c>
      <c r="AM73" s="1119" t="str">
        <f>IFERROR(VLOOKUP($D73,'Piping Class'!$88:$102,MATCH(AM$1,'Piping Class'!$88:$88,0),0),"")</f>
        <v/>
      </c>
      <c r="AN73" s="992">
        <f t="shared" si="157"/>
        <v>0</v>
      </c>
      <c r="AO73" s="993">
        <f>IFERROR(VLOOKUP(I73&amp;"B"&amp;F73,'Bolting Chart'!$1:$1048576,4,0),0)</f>
        <v>0</v>
      </c>
      <c r="AP73" s="993">
        <f t="shared" si="158"/>
        <v>0</v>
      </c>
      <c r="AQ73" s="993">
        <f t="shared" si="159"/>
        <v>0</v>
      </c>
      <c r="AR73" s="993">
        <f>IF(AO73=0,0,VLOOKUP(D73&amp;".bolting",'Piping Class'!$1:$1048576,MATCH(I73,'Piping Class'!$2:$2,0),0))</f>
        <v>0</v>
      </c>
      <c r="AS73" s="994">
        <f>IFERROR(VLOOKUP(I73&amp;"B"&amp;F73,'Bolting Chart'!$1:$1048576,IF(AS$2="UNC",5,6),0),0)</f>
        <v>0</v>
      </c>
      <c r="AT73" s="995">
        <f>IFERROR(VLOOKUP(I73&amp;"B"&amp;F73,'Bolting Chart'!$1:$1048576,IF(G73="RF",8,9),0),0)</f>
        <v>0</v>
      </c>
      <c r="AU73" s="993">
        <f>IF(AO73=0,0,VLOOKUP(D73&amp;".gasket",'Piping Class'!$1:$1048576,MATCH(I73,'Piping Class'!$2:$2,0),0))</f>
        <v>0</v>
      </c>
      <c r="AV73" s="996">
        <f>(IFERROR(INDEX('Bolting Chart'!$A$169:$R$251,MATCH(AT73,'Bolting Chart'!$A$170:$A$251,0),MATCH(IFERROR(VLOOKUP(I73&amp;"B"&amp;F73,'Bolting Chart'!$1:$1048576,7,0),0)+0,'Bolting Chart'!$A$169:$R$169,0)),0))/100</f>
        <v>0</v>
      </c>
      <c r="AW73" s="996">
        <f t="shared" si="160"/>
        <v>0</v>
      </c>
      <c r="AX73" s="1194">
        <f t="shared" si="161"/>
        <v>0</v>
      </c>
      <c r="AY73" s="981"/>
      <c r="AZ73" s="1543">
        <f t="shared" si="140"/>
        <v>0</v>
      </c>
      <c r="BA73" s="1543">
        <f t="shared" si="140"/>
        <v>0</v>
      </c>
      <c r="BB73" s="1543">
        <f t="shared" si="140"/>
        <v>0</v>
      </c>
      <c r="BC73" s="1543">
        <f t="shared" si="140"/>
        <v>0</v>
      </c>
      <c r="BD73" s="1543">
        <f t="shared" si="140"/>
        <v>0</v>
      </c>
      <c r="BE73" s="1543">
        <f t="shared" si="140"/>
        <v>0</v>
      </c>
      <c r="BF73" s="1543">
        <f t="shared" si="140"/>
        <v>0</v>
      </c>
      <c r="BG73" s="1543">
        <f t="shared" si="140"/>
        <v>0</v>
      </c>
      <c r="BH73" s="1543">
        <f t="shared" si="140"/>
        <v>0</v>
      </c>
      <c r="BI73" s="1543">
        <f t="shared" si="140"/>
        <v>0</v>
      </c>
      <c r="BJ73" s="1543">
        <f t="shared" si="140"/>
        <v>0</v>
      </c>
      <c r="BK73" s="1543">
        <f t="shared" si="140"/>
        <v>0</v>
      </c>
      <c r="BL73" s="1543">
        <f t="shared" si="140"/>
        <v>0</v>
      </c>
      <c r="BM73" s="1543">
        <f t="shared" si="140"/>
        <v>0</v>
      </c>
      <c r="BN73" s="1543">
        <f t="shared" si="140"/>
        <v>0</v>
      </c>
      <c r="BO73" s="1543">
        <f t="shared" si="140"/>
        <v>0</v>
      </c>
      <c r="BP73" s="1543">
        <f t="shared" si="141"/>
        <v>0</v>
      </c>
      <c r="BQ73" s="1543">
        <f t="shared" si="144"/>
        <v>0</v>
      </c>
      <c r="BR73" s="1543">
        <f t="shared" si="144"/>
        <v>0</v>
      </c>
      <c r="BS73" s="1543">
        <f t="shared" si="144"/>
        <v>0</v>
      </c>
      <c r="BT73" s="1543">
        <f t="shared" si="144"/>
        <v>0</v>
      </c>
      <c r="BU73" s="1543">
        <f t="shared" si="144"/>
        <v>0</v>
      </c>
      <c r="BV73" s="1543">
        <f t="shared" si="144"/>
        <v>0</v>
      </c>
      <c r="BW73" s="1543">
        <f t="shared" si="144"/>
        <v>0</v>
      </c>
      <c r="BX73" s="1543">
        <f t="shared" si="144"/>
        <v>0</v>
      </c>
      <c r="BY73" s="1543">
        <f t="shared" si="144"/>
        <v>0</v>
      </c>
      <c r="BZ73" s="1543">
        <f t="shared" si="144"/>
        <v>0</v>
      </c>
      <c r="CB73" s="1543">
        <f t="shared" si="142"/>
        <v>0</v>
      </c>
      <c r="CC73" s="1543">
        <f t="shared" si="142"/>
        <v>0</v>
      </c>
      <c r="CD73" s="1543">
        <f t="shared" si="142"/>
        <v>0</v>
      </c>
      <c r="CE73" s="1543">
        <f t="shared" si="142"/>
        <v>0</v>
      </c>
      <c r="CF73" s="1543">
        <f t="shared" si="142"/>
        <v>0</v>
      </c>
      <c r="CG73" s="1543">
        <f t="shared" si="142"/>
        <v>0</v>
      </c>
      <c r="CH73" s="1543">
        <f t="shared" si="142"/>
        <v>0</v>
      </c>
      <c r="CI73" s="1543">
        <f t="shared" si="142"/>
        <v>0</v>
      </c>
      <c r="CJ73" s="1543">
        <f t="shared" si="142"/>
        <v>0</v>
      </c>
      <c r="CK73" s="1543">
        <f t="shared" si="142"/>
        <v>0</v>
      </c>
      <c r="CL73" s="1543">
        <f t="shared" si="142"/>
        <v>0</v>
      </c>
      <c r="CM73" s="1543">
        <f t="shared" si="142"/>
        <v>0</v>
      </c>
      <c r="CN73" s="1543">
        <f t="shared" si="142"/>
        <v>0</v>
      </c>
      <c r="CO73" s="1543">
        <f t="shared" si="142"/>
        <v>0</v>
      </c>
      <c r="CP73" s="1543">
        <f t="shared" si="142"/>
        <v>0</v>
      </c>
      <c r="CQ73" s="1543">
        <f t="shared" si="142"/>
        <v>0</v>
      </c>
      <c r="CR73" s="1543">
        <f t="shared" si="143"/>
        <v>0</v>
      </c>
      <c r="CS73" s="1543">
        <f t="shared" si="145"/>
        <v>0</v>
      </c>
      <c r="CT73" s="1543">
        <f t="shared" si="146"/>
        <v>0</v>
      </c>
      <c r="CU73" s="1543">
        <f t="shared" si="146"/>
        <v>0</v>
      </c>
      <c r="CV73" s="1543">
        <f t="shared" si="146"/>
        <v>0</v>
      </c>
      <c r="CW73" s="1543">
        <f t="shared" si="146"/>
        <v>0</v>
      </c>
      <c r="CX73" s="1543">
        <f t="shared" si="146"/>
        <v>0</v>
      </c>
      <c r="CY73" s="1543">
        <f t="shared" si="146"/>
        <v>0</v>
      </c>
      <c r="CZ73" s="1543">
        <f t="shared" si="146"/>
        <v>0</v>
      </c>
      <c r="DA73" s="1543">
        <f t="shared" si="146"/>
        <v>0</v>
      </c>
      <c r="DB73" s="1543">
        <f t="shared" si="146"/>
        <v>0</v>
      </c>
      <c r="DD73" s="1543">
        <f t="shared" si="147"/>
        <v>0</v>
      </c>
      <c r="DE73" s="1543">
        <f t="shared" si="148"/>
        <v>0</v>
      </c>
      <c r="DF73" s="1543">
        <f t="shared" si="149"/>
        <v>0</v>
      </c>
      <c r="DG73" s="1543">
        <f t="shared" si="162"/>
        <v>0</v>
      </c>
      <c r="DI73" s="1543">
        <f t="shared" si="163"/>
        <v>0</v>
      </c>
      <c r="DJ73" s="1543">
        <f t="shared" si="74"/>
        <v>0</v>
      </c>
      <c r="DK73" s="1543">
        <f t="shared" si="74"/>
        <v>0</v>
      </c>
      <c r="DL73" s="1543">
        <f t="shared" si="74"/>
        <v>0</v>
      </c>
      <c r="DM73" s="1543">
        <f t="shared" si="74"/>
        <v>0</v>
      </c>
      <c r="DO73" s="1543">
        <f t="shared" si="164"/>
        <v>0</v>
      </c>
      <c r="DP73" s="1543">
        <f t="shared" si="164"/>
        <v>0</v>
      </c>
      <c r="DQ73" s="1543">
        <f t="shared" si="164"/>
        <v>0</v>
      </c>
      <c r="DR73" s="1543">
        <f t="shared" si="164"/>
        <v>0</v>
      </c>
      <c r="DS73" s="1543">
        <f t="shared" si="164"/>
        <v>0</v>
      </c>
      <c r="DT73" s="1543">
        <f t="shared" si="164"/>
        <v>0</v>
      </c>
      <c r="DU73" s="1543">
        <f t="shared" si="164"/>
        <v>0</v>
      </c>
      <c r="DV73" s="1543">
        <f t="shared" si="164"/>
        <v>0</v>
      </c>
      <c r="DW73" s="1543">
        <f t="shared" si="164"/>
        <v>0</v>
      </c>
      <c r="DX73" s="1543">
        <f t="shared" si="164"/>
        <v>0</v>
      </c>
      <c r="DY73" s="1543">
        <f t="shared" si="164"/>
        <v>0</v>
      </c>
      <c r="DZ73" s="1543">
        <f t="shared" si="164"/>
        <v>0</v>
      </c>
      <c r="EA73" s="1543">
        <f t="shared" si="164"/>
        <v>0</v>
      </c>
      <c r="EB73" s="1543">
        <f t="shared" si="71"/>
        <v>0</v>
      </c>
      <c r="EC73" s="1543">
        <f t="shared" si="71"/>
        <v>0</v>
      </c>
      <c r="ED73" s="1543">
        <f t="shared" si="71"/>
        <v>0</v>
      </c>
      <c r="EE73" s="1543">
        <f t="shared" si="71"/>
        <v>0</v>
      </c>
      <c r="EF73" s="1543">
        <f t="shared" si="71"/>
        <v>0</v>
      </c>
      <c r="EH73" s="1543">
        <f t="shared" si="165"/>
        <v>0</v>
      </c>
      <c r="EI73" s="1543">
        <f t="shared" si="166"/>
        <v>0</v>
      </c>
      <c r="EJ73" s="1543">
        <f t="shared" si="167"/>
        <v>0</v>
      </c>
      <c r="EK73" s="1543">
        <f t="shared" si="168"/>
        <v>0</v>
      </c>
      <c r="EL73" s="1543">
        <f t="shared" si="169"/>
        <v>0</v>
      </c>
      <c r="EM73" s="1543">
        <f t="shared" si="170"/>
        <v>0</v>
      </c>
      <c r="EN73" s="1543">
        <f t="shared" si="171"/>
        <v>0</v>
      </c>
      <c r="EP73" s="1543">
        <f t="shared" si="72"/>
        <v>0</v>
      </c>
      <c r="EQ73" s="1543">
        <f t="shared" si="72"/>
        <v>0</v>
      </c>
      <c r="ER73" s="1543">
        <f t="shared" si="72"/>
        <v>0</v>
      </c>
      <c r="ES73" s="1543">
        <f t="shared" si="72"/>
        <v>0</v>
      </c>
      <c r="ET73" s="1543">
        <f t="shared" si="123"/>
        <v>0</v>
      </c>
      <c r="EU73" s="1543">
        <f t="shared" si="123"/>
        <v>0</v>
      </c>
      <c r="EV73" s="1543">
        <f t="shared" si="123"/>
        <v>0</v>
      </c>
      <c r="EW73" s="1543">
        <f t="shared" si="123"/>
        <v>0</v>
      </c>
      <c r="EX73" s="1543">
        <f t="shared" si="123"/>
        <v>0</v>
      </c>
      <c r="EY73" s="1543">
        <f t="shared" si="123"/>
        <v>0</v>
      </c>
      <c r="EZ73" s="1543">
        <f t="shared" si="123"/>
        <v>0</v>
      </c>
      <c r="FA73" s="1543">
        <f t="shared" si="123"/>
        <v>0</v>
      </c>
      <c r="FB73" s="1543">
        <f t="shared" si="123"/>
        <v>0</v>
      </c>
      <c r="FC73" s="1543">
        <f t="shared" si="123"/>
        <v>0</v>
      </c>
      <c r="FD73" s="1543">
        <f t="shared" si="123"/>
        <v>0</v>
      </c>
      <c r="FE73" s="1543">
        <f t="shared" si="52"/>
        <v>0</v>
      </c>
      <c r="FF73" s="1543">
        <f t="shared" si="172"/>
        <v>1</v>
      </c>
      <c r="FH73" s="1543">
        <f t="shared" si="173"/>
        <v>0</v>
      </c>
      <c r="FI73" s="1543">
        <f t="shared" si="173"/>
        <v>0</v>
      </c>
      <c r="FJ73" s="1543">
        <f t="shared" si="173"/>
        <v>0</v>
      </c>
      <c r="FK73" s="1543">
        <f t="shared" si="173"/>
        <v>0</v>
      </c>
      <c r="FL73" s="1543">
        <f t="shared" si="173"/>
        <v>0</v>
      </c>
      <c r="FM73" s="1543">
        <f t="shared" si="173"/>
        <v>0</v>
      </c>
      <c r="FN73" s="1543">
        <f t="shared" si="173"/>
        <v>0</v>
      </c>
      <c r="FO73" s="1543">
        <f t="shared" si="173"/>
        <v>0</v>
      </c>
      <c r="FP73" s="1543">
        <f t="shared" si="173"/>
        <v>0</v>
      </c>
      <c r="FQ73" s="1543">
        <f t="shared" si="173"/>
        <v>0</v>
      </c>
      <c r="FR73" s="1543">
        <f t="shared" si="173"/>
        <v>0</v>
      </c>
      <c r="FS73" s="1543">
        <f t="shared" si="173"/>
        <v>0</v>
      </c>
      <c r="FT73" s="1543">
        <f t="shared" si="174"/>
        <v>0</v>
      </c>
      <c r="FV73" s="1543">
        <f t="shared" si="175"/>
        <v>1</v>
      </c>
      <c r="FW73" s="1543">
        <f t="shared" si="175"/>
        <v>0</v>
      </c>
      <c r="FX73" s="1543">
        <f t="shared" si="175"/>
        <v>0</v>
      </c>
      <c r="FY73" s="1543">
        <f t="shared" si="175"/>
        <v>0</v>
      </c>
      <c r="FZ73" s="1543">
        <f t="shared" si="175"/>
        <v>0</v>
      </c>
      <c r="GA73" s="1543">
        <f t="shared" si="175"/>
        <v>0</v>
      </c>
      <c r="GB73" s="1543">
        <f t="shared" si="175"/>
        <v>0</v>
      </c>
      <c r="GC73" s="1543">
        <f t="shared" si="175"/>
        <v>0</v>
      </c>
      <c r="GD73" s="1543">
        <f t="shared" si="175"/>
        <v>0</v>
      </c>
    </row>
    <row r="74" spans="1:186" s="982" customFormat="1" ht="15.6" x14ac:dyDescent="0.3">
      <c r="A74" s="974">
        <v>72</v>
      </c>
      <c r="B74" s="983"/>
      <c r="C74" s="984"/>
      <c r="D74" s="983"/>
      <c r="E74" s="968" t="str">
        <f>IFERROR(VLOOKUP($D74&amp;"."&amp;B74,'Piping Class'!$1:$1048576,MATCH($I74,'Piping Class'!$2:$2,0),0),"")</f>
        <v/>
      </c>
      <c r="F74" s="985" t="str">
        <f>IFERROR(IF(B74="Flange",VLOOKUP($D74,'Piping Class'!$88:$102,MATCH(F$1,'Piping Class'!$88:$88,0),0),""),"")</f>
        <v/>
      </c>
      <c r="G74" s="968" t="str">
        <f>IFERROR(IF(B74="Flange",VLOOKUP($D74,'Piping Class'!$88:$102,MATCH(G$1,'Piping Class'!$88:$88,0),0),""),"")</f>
        <v/>
      </c>
      <c r="H74" s="968" t="str">
        <f>IFERROR(VLOOKUP($D74,'Piping Class'!$88:$102,MATCH(H$1,'Piping Class'!$88:$88,0),0),"")</f>
        <v/>
      </c>
      <c r="I74" s="986"/>
      <c r="J74" s="987"/>
      <c r="K74" s="968" t="str">
        <f>IFERROR(VLOOKUP(I74,'Thickness Tab'!$1:$1048576,MATCH(L74,'Thickness Tab'!$1:$1,0),0),"")</f>
        <v/>
      </c>
      <c r="L74" s="969" t="str">
        <f>IFERROR(VLOOKUP($D74,'Piping Class'!$1:$1048576,MATCH($I74,'Piping Class'!$2:$2,0),0),"")</f>
        <v/>
      </c>
      <c r="M74" s="968" t="str">
        <f>IFERROR(VLOOKUP(J74,'Thickness Tab'!$1:$1048576,MATCH(N74,'Thickness Tab'!$1:$1,0),0),"")</f>
        <v/>
      </c>
      <c r="N74" s="969" t="str">
        <f>IFERROR(VLOOKUP($D74,'Piping Class'!$1:$1048576,MATCH($J74,'Piping Class'!$2:$2,0),0),"")</f>
        <v/>
      </c>
      <c r="O74" s="968" t="str">
        <f>IFERROR(VLOOKUP($D74,'Piping Class'!$88:$102,MATCH(O$1,'Piping Class'!$88:$88,0),0),"")</f>
        <v/>
      </c>
      <c r="P74" s="968" t="str">
        <f>IFERROR(VLOOKUP($D74,'Piping Class'!$88:$102,MATCH(P$1,'Piping Class'!$88:$88,0),0),"")</f>
        <v/>
      </c>
      <c r="Q74" s="983"/>
      <c r="R74" s="988"/>
      <c r="S74" s="969" t="str">
        <f t="shared" si="150"/>
        <v/>
      </c>
      <c r="T74" s="968">
        <f>IFERROR(VLOOKUP(I74&amp;"."&amp;L74,'Fitting Chart'!$1:$1048576,MATCH(C74,'Fitting Chart'!$1:$1,0),0),0)+IF(B74="piping",PI()*K74*(VLOOKUP(I74,'Thickness Tab'!$1:$1048576,3,0)-K74)*7.86/1000,0)+IF(B74="Flange",VLOOKUP(I74&amp;"F"&amp;F74,'Flanges Chart'!$1:$1048576,MATCH(C74&amp;"."&amp;T$1,'Flanges Chart'!$1:$1,0),0),0)</f>
        <v>0</v>
      </c>
      <c r="U74" s="989">
        <f t="shared" si="151"/>
        <v>0</v>
      </c>
      <c r="V74" s="1003"/>
      <c r="W74" s="1001">
        <f t="shared" si="152"/>
        <v>0</v>
      </c>
      <c r="X74" s="997"/>
      <c r="Y74" s="983"/>
      <c r="Z74" s="989">
        <f>IF(B74="Piping",VLOOKUP(I74,'Thickness Tab'!$1:$1048576,3,0)/1000*PI(),0)+IFERROR(VLOOKUP(I74&amp;"F"&amp;F74,'Flanges Chart'!$1:$1048576,MATCH(C74&amp;".Unit Surface",'Flanges Chart'!$1:$1,0),0),0)+IF(B74="Fitting",VLOOKUP(I74,'Thickness Tab'!$1:$1048576,3,0)/1000*PI(),0)</f>
        <v>0</v>
      </c>
      <c r="AA74" s="989">
        <f t="shared" si="153"/>
        <v>0</v>
      </c>
      <c r="AB74" s="983">
        <v>0</v>
      </c>
      <c r="AC74" s="989">
        <f t="shared" si="154"/>
        <v>0</v>
      </c>
      <c r="AD74" s="989">
        <f t="shared" si="155"/>
        <v>0</v>
      </c>
      <c r="AE74" s="974">
        <f>(IFERROR(VLOOKUP($C74,List!$J:$L,2,0),0)*R74+IF(B74="piping",R74,0)+IF(C74="Welding Neck",1,0)*R74)*$AE$2</f>
        <v>0</v>
      </c>
      <c r="AF74" s="970">
        <f>IFERROR(VLOOKUP($C74,List!$J:$L,3,0),0)*R74*$AF$2</f>
        <v>0</v>
      </c>
      <c r="AG74" s="990">
        <f t="shared" si="156"/>
        <v>0</v>
      </c>
      <c r="AH74" s="1118" t="str">
        <f>IFERROR(VLOOKUP($D74,'Piping Class'!$88:$102,MATCH(AH$1,'Piping Class'!$88:$88,0),0),"")</f>
        <v/>
      </c>
      <c r="AI74" s="991" t="str">
        <f>IFERROR(VLOOKUP($D74,'Piping Class'!$88:$102,MATCH(AI$1,'Piping Class'!$88:$88,0),0),"")</f>
        <v/>
      </c>
      <c r="AJ74" s="991" t="str">
        <f>IFERROR(VLOOKUP($D74,'Piping Class'!$88:$102,MATCH(AJ$1,'Piping Class'!$88:$88,0),0),"")</f>
        <v/>
      </c>
      <c r="AK74" s="991" t="str">
        <f>IFERROR(VLOOKUP($D74,'Piping Class'!$88:$102,MATCH(AK$1,'Piping Class'!$88:$88,0),0),"")</f>
        <v/>
      </c>
      <c r="AL74" s="991">
        <f t="shared" si="44"/>
        <v>0</v>
      </c>
      <c r="AM74" s="1119" t="str">
        <f>IFERROR(VLOOKUP($D74,'Piping Class'!$88:$102,MATCH(AM$1,'Piping Class'!$88:$88,0),0),"")</f>
        <v/>
      </c>
      <c r="AN74" s="992">
        <f t="shared" si="157"/>
        <v>0</v>
      </c>
      <c r="AO74" s="993">
        <f>IFERROR(VLOOKUP(I74&amp;"B"&amp;F74,'Bolting Chart'!$1:$1048576,4,0),0)</f>
        <v>0</v>
      </c>
      <c r="AP74" s="993">
        <f t="shared" si="158"/>
        <v>0</v>
      </c>
      <c r="AQ74" s="993">
        <f t="shared" si="159"/>
        <v>0</v>
      </c>
      <c r="AR74" s="993">
        <f>IF(AO74=0,0,VLOOKUP(D74&amp;".bolting",'Piping Class'!$1:$1048576,MATCH(I74,'Piping Class'!$2:$2,0),0))</f>
        <v>0</v>
      </c>
      <c r="AS74" s="994">
        <f>IFERROR(VLOOKUP(I74&amp;"B"&amp;F74,'Bolting Chart'!$1:$1048576,IF(AS$2="UNC",5,6),0),0)</f>
        <v>0</v>
      </c>
      <c r="AT74" s="995">
        <f>IFERROR(VLOOKUP(I74&amp;"B"&amp;F74,'Bolting Chart'!$1:$1048576,IF(G74="RF",8,9),0),0)</f>
        <v>0</v>
      </c>
      <c r="AU74" s="993">
        <f>IF(AO74=0,0,VLOOKUP(D74&amp;".gasket",'Piping Class'!$1:$1048576,MATCH(I74,'Piping Class'!$2:$2,0),0))</f>
        <v>0</v>
      </c>
      <c r="AV74" s="996">
        <f>(IFERROR(INDEX('Bolting Chart'!$A$169:$R$251,MATCH(AT74,'Bolting Chart'!$A$170:$A$251,0),MATCH(IFERROR(VLOOKUP(I74&amp;"B"&amp;F74,'Bolting Chart'!$1:$1048576,7,0),0)+0,'Bolting Chart'!$A$169:$R$169,0)),0))/100</f>
        <v>0</v>
      </c>
      <c r="AW74" s="996">
        <f t="shared" si="160"/>
        <v>0</v>
      </c>
      <c r="AX74" s="1194">
        <f t="shared" si="161"/>
        <v>0</v>
      </c>
      <c r="AY74" s="981"/>
      <c r="AZ74" s="1543">
        <f t="shared" si="140"/>
        <v>0</v>
      </c>
      <c r="BA74" s="1543">
        <f t="shared" si="140"/>
        <v>0</v>
      </c>
      <c r="BB74" s="1543">
        <f t="shared" si="140"/>
        <v>0</v>
      </c>
      <c r="BC74" s="1543">
        <f t="shared" si="140"/>
        <v>0</v>
      </c>
      <c r="BD74" s="1543">
        <f t="shared" si="140"/>
        <v>0</v>
      </c>
      <c r="BE74" s="1543">
        <f t="shared" si="140"/>
        <v>0</v>
      </c>
      <c r="BF74" s="1543">
        <f t="shared" si="140"/>
        <v>0</v>
      </c>
      <c r="BG74" s="1543">
        <f t="shared" si="140"/>
        <v>0</v>
      </c>
      <c r="BH74" s="1543">
        <f t="shared" si="140"/>
        <v>0</v>
      </c>
      <c r="BI74" s="1543">
        <f t="shared" si="140"/>
        <v>0</v>
      </c>
      <c r="BJ74" s="1543">
        <f t="shared" si="140"/>
        <v>0</v>
      </c>
      <c r="BK74" s="1543">
        <f t="shared" si="140"/>
        <v>0</v>
      </c>
      <c r="BL74" s="1543">
        <f t="shared" si="140"/>
        <v>0</v>
      </c>
      <c r="BM74" s="1543">
        <f t="shared" si="140"/>
        <v>0</v>
      </c>
      <c r="BN74" s="1543">
        <f t="shared" si="140"/>
        <v>0</v>
      </c>
      <c r="BO74" s="1543">
        <f t="shared" si="140"/>
        <v>0</v>
      </c>
      <c r="BP74" s="1543">
        <f t="shared" si="141"/>
        <v>0</v>
      </c>
      <c r="BQ74" s="1543">
        <f t="shared" si="144"/>
        <v>0</v>
      </c>
      <c r="BR74" s="1543">
        <f t="shared" si="144"/>
        <v>0</v>
      </c>
      <c r="BS74" s="1543">
        <f t="shared" si="144"/>
        <v>0</v>
      </c>
      <c r="BT74" s="1543">
        <f t="shared" si="144"/>
        <v>0</v>
      </c>
      <c r="BU74" s="1543">
        <f t="shared" si="144"/>
        <v>0</v>
      </c>
      <c r="BV74" s="1543">
        <f t="shared" si="144"/>
        <v>0</v>
      </c>
      <c r="BW74" s="1543">
        <f t="shared" si="144"/>
        <v>0</v>
      </c>
      <c r="BX74" s="1543">
        <f t="shared" si="144"/>
        <v>0</v>
      </c>
      <c r="BY74" s="1543">
        <f t="shared" si="144"/>
        <v>0</v>
      </c>
      <c r="BZ74" s="1543">
        <f t="shared" si="144"/>
        <v>0</v>
      </c>
      <c r="CB74" s="1543">
        <f t="shared" si="142"/>
        <v>0</v>
      </c>
      <c r="CC74" s="1543">
        <f t="shared" si="142"/>
        <v>0</v>
      </c>
      <c r="CD74" s="1543">
        <f t="shared" si="142"/>
        <v>0</v>
      </c>
      <c r="CE74" s="1543">
        <f t="shared" si="142"/>
        <v>0</v>
      </c>
      <c r="CF74" s="1543">
        <f t="shared" si="142"/>
        <v>0</v>
      </c>
      <c r="CG74" s="1543">
        <f t="shared" si="142"/>
        <v>0</v>
      </c>
      <c r="CH74" s="1543">
        <f t="shared" si="142"/>
        <v>0</v>
      </c>
      <c r="CI74" s="1543">
        <f t="shared" si="142"/>
        <v>0</v>
      </c>
      <c r="CJ74" s="1543">
        <f t="shared" si="142"/>
        <v>0</v>
      </c>
      <c r="CK74" s="1543">
        <f t="shared" si="142"/>
        <v>0</v>
      </c>
      <c r="CL74" s="1543">
        <f t="shared" si="142"/>
        <v>0</v>
      </c>
      <c r="CM74" s="1543">
        <f t="shared" si="142"/>
        <v>0</v>
      </c>
      <c r="CN74" s="1543">
        <f t="shared" si="142"/>
        <v>0</v>
      </c>
      <c r="CO74" s="1543">
        <f t="shared" si="142"/>
        <v>0</v>
      </c>
      <c r="CP74" s="1543">
        <f t="shared" si="142"/>
        <v>0</v>
      </c>
      <c r="CQ74" s="1543">
        <f t="shared" si="142"/>
        <v>0</v>
      </c>
      <c r="CR74" s="1543">
        <f t="shared" si="143"/>
        <v>0</v>
      </c>
      <c r="CS74" s="1543">
        <f t="shared" si="145"/>
        <v>0</v>
      </c>
      <c r="CT74" s="1543">
        <f t="shared" si="146"/>
        <v>0</v>
      </c>
      <c r="CU74" s="1543">
        <f t="shared" si="146"/>
        <v>0</v>
      </c>
      <c r="CV74" s="1543">
        <f t="shared" si="146"/>
        <v>0</v>
      </c>
      <c r="CW74" s="1543">
        <f t="shared" si="146"/>
        <v>0</v>
      </c>
      <c r="CX74" s="1543">
        <f t="shared" si="146"/>
        <v>0</v>
      </c>
      <c r="CY74" s="1543">
        <f t="shared" si="146"/>
        <v>0</v>
      </c>
      <c r="CZ74" s="1543">
        <f t="shared" si="146"/>
        <v>0</v>
      </c>
      <c r="DA74" s="1543">
        <f t="shared" si="146"/>
        <v>0</v>
      </c>
      <c r="DB74" s="1543">
        <f t="shared" si="146"/>
        <v>0</v>
      </c>
      <c r="DD74" s="1543">
        <f t="shared" si="147"/>
        <v>0</v>
      </c>
      <c r="DE74" s="1543">
        <f t="shared" si="148"/>
        <v>0</v>
      </c>
      <c r="DF74" s="1543">
        <f t="shared" si="149"/>
        <v>0</v>
      </c>
      <c r="DG74" s="1543">
        <f t="shared" si="162"/>
        <v>0</v>
      </c>
      <c r="DI74" s="1543">
        <f t="shared" si="163"/>
        <v>0</v>
      </c>
      <c r="DJ74" s="1543">
        <f t="shared" si="74"/>
        <v>0</v>
      </c>
      <c r="DK74" s="1543">
        <f t="shared" si="74"/>
        <v>0</v>
      </c>
      <c r="DL74" s="1543">
        <f t="shared" si="74"/>
        <v>0</v>
      </c>
      <c r="DM74" s="1543">
        <f t="shared" si="74"/>
        <v>0</v>
      </c>
      <c r="DO74" s="1543">
        <f t="shared" si="164"/>
        <v>0</v>
      </c>
      <c r="DP74" s="1543">
        <f t="shared" si="164"/>
        <v>0</v>
      </c>
      <c r="DQ74" s="1543">
        <f t="shared" si="164"/>
        <v>0</v>
      </c>
      <c r="DR74" s="1543">
        <f t="shared" si="164"/>
        <v>0</v>
      </c>
      <c r="DS74" s="1543">
        <f t="shared" si="164"/>
        <v>0</v>
      </c>
      <c r="DT74" s="1543">
        <f t="shared" si="164"/>
        <v>0</v>
      </c>
      <c r="DU74" s="1543">
        <f t="shared" si="164"/>
        <v>0</v>
      </c>
      <c r="DV74" s="1543">
        <f t="shared" si="164"/>
        <v>0</v>
      </c>
      <c r="DW74" s="1543">
        <f t="shared" si="164"/>
        <v>0</v>
      </c>
      <c r="DX74" s="1543">
        <f t="shared" si="164"/>
        <v>0</v>
      </c>
      <c r="DY74" s="1543">
        <f t="shared" si="164"/>
        <v>0</v>
      </c>
      <c r="DZ74" s="1543">
        <f t="shared" si="164"/>
        <v>0</v>
      </c>
      <c r="EA74" s="1543">
        <f t="shared" si="164"/>
        <v>0</v>
      </c>
      <c r="EB74" s="1543">
        <f t="shared" si="71"/>
        <v>0</v>
      </c>
      <c r="EC74" s="1543">
        <f t="shared" si="71"/>
        <v>0</v>
      </c>
      <c r="ED74" s="1543">
        <f t="shared" si="71"/>
        <v>0</v>
      </c>
      <c r="EE74" s="1543">
        <f t="shared" si="71"/>
        <v>0</v>
      </c>
      <c r="EF74" s="1543">
        <f t="shared" si="71"/>
        <v>0</v>
      </c>
      <c r="EH74" s="1543">
        <f t="shared" si="165"/>
        <v>0</v>
      </c>
      <c r="EI74" s="1543">
        <f t="shared" si="166"/>
        <v>0</v>
      </c>
      <c r="EJ74" s="1543">
        <f t="shared" si="167"/>
        <v>0</v>
      </c>
      <c r="EK74" s="1543">
        <f t="shared" si="168"/>
        <v>0</v>
      </c>
      <c r="EL74" s="1543">
        <f t="shared" si="169"/>
        <v>0</v>
      </c>
      <c r="EM74" s="1543">
        <f t="shared" si="170"/>
        <v>0</v>
      </c>
      <c r="EN74" s="1543">
        <f t="shared" si="171"/>
        <v>0</v>
      </c>
      <c r="EP74" s="1543">
        <f t="shared" si="72"/>
        <v>0</v>
      </c>
      <c r="EQ74" s="1543">
        <f t="shared" si="72"/>
        <v>0</v>
      </c>
      <c r="ER74" s="1543">
        <f t="shared" si="72"/>
        <v>0</v>
      </c>
      <c r="ES74" s="1543">
        <f t="shared" si="72"/>
        <v>0</v>
      </c>
      <c r="ET74" s="1543">
        <f t="shared" si="123"/>
        <v>0</v>
      </c>
      <c r="EU74" s="1543">
        <f t="shared" si="123"/>
        <v>0</v>
      </c>
      <c r="EV74" s="1543">
        <f t="shared" si="123"/>
        <v>0</v>
      </c>
      <c r="EW74" s="1543">
        <f t="shared" si="123"/>
        <v>0</v>
      </c>
      <c r="EX74" s="1543">
        <f t="shared" si="123"/>
        <v>0</v>
      </c>
      <c r="EY74" s="1543">
        <f t="shared" si="123"/>
        <v>0</v>
      </c>
      <c r="EZ74" s="1543">
        <f t="shared" si="123"/>
        <v>0</v>
      </c>
      <c r="FA74" s="1543">
        <f t="shared" si="123"/>
        <v>0</v>
      </c>
      <c r="FB74" s="1543">
        <f t="shared" si="123"/>
        <v>0</v>
      </c>
      <c r="FC74" s="1543">
        <f t="shared" si="123"/>
        <v>0</v>
      </c>
      <c r="FD74" s="1543">
        <f t="shared" si="123"/>
        <v>0</v>
      </c>
      <c r="FE74" s="1543">
        <f t="shared" si="52"/>
        <v>0</v>
      </c>
      <c r="FF74" s="1543">
        <f t="shared" si="172"/>
        <v>1</v>
      </c>
      <c r="FH74" s="1543">
        <f t="shared" si="173"/>
        <v>0</v>
      </c>
      <c r="FI74" s="1543">
        <f t="shared" si="173"/>
        <v>0</v>
      </c>
      <c r="FJ74" s="1543">
        <f t="shared" si="173"/>
        <v>0</v>
      </c>
      <c r="FK74" s="1543">
        <f t="shared" si="173"/>
        <v>0</v>
      </c>
      <c r="FL74" s="1543">
        <f t="shared" si="173"/>
        <v>0</v>
      </c>
      <c r="FM74" s="1543">
        <f t="shared" si="173"/>
        <v>0</v>
      </c>
      <c r="FN74" s="1543">
        <f t="shared" si="173"/>
        <v>0</v>
      </c>
      <c r="FO74" s="1543">
        <f t="shared" si="173"/>
        <v>0</v>
      </c>
      <c r="FP74" s="1543">
        <f t="shared" si="173"/>
        <v>0</v>
      </c>
      <c r="FQ74" s="1543">
        <f t="shared" si="173"/>
        <v>0</v>
      </c>
      <c r="FR74" s="1543">
        <f t="shared" si="173"/>
        <v>0</v>
      </c>
      <c r="FS74" s="1543">
        <f t="shared" si="173"/>
        <v>0</v>
      </c>
      <c r="FT74" s="1543">
        <f t="shared" si="174"/>
        <v>0</v>
      </c>
      <c r="FV74" s="1543">
        <f t="shared" si="175"/>
        <v>1</v>
      </c>
      <c r="FW74" s="1543">
        <f t="shared" si="175"/>
        <v>0</v>
      </c>
      <c r="FX74" s="1543">
        <f t="shared" si="175"/>
        <v>0</v>
      </c>
      <c r="FY74" s="1543">
        <f t="shared" si="175"/>
        <v>0</v>
      </c>
      <c r="FZ74" s="1543">
        <f t="shared" si="175"/>
        <v>0</v>
      </c>
      <c r="GA74" s="1543">
        <f t="shared" si="175"/>
        <v>0</v>
      </c>
      <c r="GB74" s="1543">
        <f t="shared" si="175"/>
        <v>0</v>
      </c>
      <c r="GC74" s="1543">
        <f t="shared" si="175"/>
        <v>0</v>
      </c>
      <c r="GD74" s="1543">
        <f t="shared" si="175"/>
        <v>0</v>
      </c>
    </row>
    <row r="75" spans="1:186" s="982" customFormat="1" ht="15.6" x14ac:dyDescent="0.3">
      <c r="A75" s="974">
        <v>73</v>
      </c>
      <c r="B75" s="983"/>
      <c r="C75" s="984"/>
      <c r="D75" s="983"/>
      <c r="E75" s="968" t="str">
        <f>IFERROR(VLOOKUP($D75&amp;"."&amp;B75,'Piping Class'!$1:$1048576,MATCH($I75,'Piping Class'!$2:$2,0),0),"")</f>
        <v/>
      </c>
      <c r="F75" s="985" t="str">
        <f>IFERROR(IF(B75="Flange",VLOOKUP($D75,'Piping Class'!$88:$102,MATCH(F$1,'Piping Class'!$88:$88,0),0),""),"")</f>
        <v/>
      </c>
      <c r="G75" s="968" t="str">
        <f>IFERROR(IF(B75="Flange",VLOOKUP($D75,'Piping Class'!$88:$102,MATCH(G$1,'Piping Class'!$88:$88,0),0),""),"")</f>
        <v/>
      </c>
      <c r="H75" s="968" t="str">
        <f>IFERROR(VLOOKUP($D75,'Piping Class'!$88:$102,MATCH(H$1,'Piping Class'!$88:$88,0),0),"")</f>
        <v/>
      </c>
      <c r="I75" s="986"/>
      <c r="J75" s="987"/>
      <c r="K75" s="968" t="str">
        <f>IFERROR(VLOOKUP(I75,'Thickness Tab'!$1:$1048576,MATCH(L75,'Thickness Tab'!$1:$1,0),0),"")</f>
        <v/>
      </c>
      <c r="L75" s="969" t="str">
        <f>IFERROR(VLOOKUP($D75,'Piping Class'!$1:$1048576,MATCH($I75,'Piping Class'!$2:$2,0),0),"")</f>
        <v/>
      </c>
      <c r="M75" s="968" t="str">
        <f>IFERROR(VLOOKUP(J75,'Thickness Tab'!$1:$1048576,MATCH(N75,'Thickness Tab'!$1:$1,0),0),"")</f>
        <v/>
      </c>
      <c r="N75" s="969" t="str">
        <f>IFERROR(VLOOKUP($D75,'Piping Class'!$1:$1048576,MATCH($J75,'Piping Class'!$2:$2,0),0),"")</f>
        <v/>
      </c>
      <c r="O75" s="968" t="str">
        <f>IFERROR(VLOOKUP($D75,'Piping Class'!$88:$102,MATCH(O$1,'Piping Class'!$88:$88,0),0),"")</f>
        <v/>
      </c>
      <c r="P75" s="968" t="str">
        <f>IFERROR(VLOOKUP($D75,'Piping Class'!$88:$102,MATCH(P$1,'Piping Class'!$88:$88,0),0),"")</f>
        <v/>
      </c>
      <c r="Q75" s="983"/>
      <c r="R75" s="988"/>
      <c r="S75" s="969" t="str">
        <f t="shared" si="150"/>
        <v/>
      </c>
      <c r="T75" s="968">
        <f>IFERROR(VLOOKUP(I75&amp;"."&amp;L75,'Fitting Chart'!$1:$1048576,MATCH(C75,'Fitting Chart'!$1:$1,0),0),0)+IF(B75="piping",PI()*K75*(VLOOKUP(I75,'Thickness Tab'!$1:$1048576,3,0)-K75)*7.86/1000,0)+IF(B75="Flange",VLOOKUP(I75&amp;"F"&amp;F75,'Flanges Chart'!$1:$1048576,MATCH(C75&amp;"."&amp;T$1,'Flanges Chart'!$1:$1,0),0),0)</f>
        <v>0</v>
      </c>
      <c r="U75" s="989">
        <f t="shared" si="151"/>
        <v>0</v>
      </c>
      <c r="V75" s="1003"/>
      <c r="W75" s="1001">
        <f t="shared" si="152"/>
        <v>0</v>
      </c>
      <c r="X75" s="997"/>
      <c r="Y75" s="983"/>
      <c r="Z75" s="989">
        <f>IF(B75="Piping",VLOOKUP(I75,'Thickness Tab'!$1:$1048576,3,0)/1000*PI(),0)+IFERROR(VLOOKUP(I75&amp;"F"&amp;F75,'Flanges Chart'!$1:$1048576,MATCH(C75&amp;".Unit Surface",'Flanges Chart'!$1:$1,0),0),0)+IF(B75="Fitting",VLOOKUP(I75,'Thickness Tab'!$1:$1048576,3,0)/1000*PI(),0)</f>
        <v>0</v>
      </c>
      <c r="AA75" s="989">
        <f t="shared" si="153"/>
        <v>0</v>
      </c>
      <c r="AB75" s="983">
        <v>0</v>
      </c>
      <c r="AC75" s="989">
        <f t="shared" si="154"/>
        <v>0</v>
      </c>
      <c r="AD75" s="989">
        <f t="shared" si="155"/>
        <v>0</v>
      </c>
      <c r="AE75" s="974">
        <f>(IFERROR(VLOOKUP($C75,List!$J:$L,2,0),0)*R75+IF(B75="piping",R75,0)+IF(C75="Welding Neck",1,0)*R75)*$AE$2</f>
        <v>0</v>
      </c>
      <c r="AF75" s="970">
        <f>IFERROR(VLOOKUP($C75,List!$J:$L,3,0),0)*R75*$AF$2</f>
        <v>0</v>
      </c>
      <c r="AG75" s="990">
        <f t="shared" si="156"/>
        <v>0</v>
      </c>
      <c r="AH75" s="1118" t="str">
        <f>IFERROR(VLOOKUP($D75,'Piping Class'!$88:$102,MATCH(AH$1,'Piping Class'!$88:$88,0),0),"")</f>
        <v/>
      </c>
      <c r="AI75" s="991" t="str">
        <f>IFERROR(VLOOKUP($D75,'Piping Class'!$88:$102,MATCH(AI$1,'Piping Class'!$88:$88,0),0),"")</f>
        <v/>
      </c>
      <c r="AJ75" s="991" t="str">
        <f>IFERROR(VLOOKUP($D75,'Piping Class'!$88:$102,MATCH(AJ$1,'Piping Class'!$88:$88,0),0),"")</f>
        <v/>
      </c>
      <c r="AK75" s="991" t="str">
        <f>IFERROR(VLOOKUP($D75,'Piping Class'!$88:$102,MATCH(AK$1,'Piping Class'!$88:$88,0),0),"")</f>
        <v/>
      </c>
      <c r="AL75" s="991">
        <f t="shared" si="44"/>
        <v>0</v>
      </c>
      <c r="AM75" s="1119" t="str">
        <f>IFERROR(VLOOKUP($D75,'Piping Class'!$88:$102,MATCH(AM$1,'Piping Class'!$88:$88,0),0),"")</f>
        <v/>
      </c>
      <c r="AN75" s="992">
        <f t="shared" si="157"/>
        <v>0</v>
      </c>
      <c r="AO75" s="993">
        <f>IFERROR(VLOOKUP(I75&amp;"B"&amp;F75,'Bolting Chart'!$1:$1048576,4,0),0)</f>
        <v>0</v>
      </c>
      <c r="AP75" s="993">
        <f t="shared" si="158"/>
        <v>0</v>
      </c>
      <c r="AQ75" s="993">
        <f t="shared" si="159"/>
        <v>0</v>
      </c>
      <c r="AR75" s="993">
        <f>IF(AO75=0,0,VLOOKUP(D75&amp;".bolting",'Piping Class'!$1:$1048576,MATCH(I75,'Piping Class'!$2:$2,0),0))</f>
        <v>0</v>
      </c>
      <c r="AS75" s="994">
        <f>IFERROR(VLOOKUP(I75&amp;"B"&amp;F75,'Bolting Chart'!$1:$1048576,IF(AS$2="UNC",5,6),0),0)</f>
        <v>0</v>
      </c>
      <c r="AT75" s="995">
        <f>IFERROR(VLOOKUP(I75&amp;"B"&amp;F75,'Bolting Chart'!$1:$1048576,IF(G75="RF",8,9),0),0)</f>
        <v>0</v>
      </c>
      <c r="AU75" s="993">
        <f>IF(AO75=0,0,VLOOKUP(D75&amp;".gasket",'Piping Class'!$1:$1048576,MATCH(I75,'Piping Class'!$2:$2,0),0))</f>
        <v>0</v>
      </c>
      <c r="AV75" s="996">
        <f>(IFERROR(INDEX('Bolting Chart'!$A$169:$R$251,MATCH(AT75,'Bolting Chart'!$A$170:$A$251,0),MATCH(IFERROR(VLOOKUP(I75&amp;"B"&amp;F75,'Bolting Chart'!$1:$1048576,7,0),0)+0,'Bolting Chart'!$A$169:$R$169,0)),0))/100</f>
        <v>0</v>
      </c>
      <c r="AW75" s="996">
        <f t="shared" si="160"/>
        <v>0</v>
      </c>
      <c r="AX75" s="1194">
        <f t="shared" si="161"/>
        <v>0</v>
      </c>
      <c r="AY75" s="981"/>
      <c r="AZ75" s="1543">
        <f t="shared" si="140"/>
        <v>0</v>
      </c>
      <c r="BA75" s="1543">
        <f t="shared" si="140"/>
        <v>0</v>
      </c>
      <c r="BB75" s="1543">
        <f t="shared" si="140"/>
        <v>0</v>
      </c>
      <c r="BC75" s="1543">
        <f t="shared" si="140"/>
        <v>0</v>
      </c>
      <c r="BD75" s="1543">
        <f t="shared" si="140"/>
        <v>0</v>
      </c>
      <c r="BE75" s="1543">
        <f t="shared" si="140"/>
        <v>0</v>
      </c>
      <c r="BF75" s="1543">
        <f t="shared" si="140"/>
        <v>0</v>
      </c>
      <c r="BG75" s="1543">
        <f t="shared" si="140"/>
        <v>0</v>
      </c>
      <c r="BH75" s="1543">
        <f t="shared" si="140"/>
        <v>0</v>
      </c>
      <c r="BI75" s="1543">
        <f t="shared" si="140"/>
        <v>0</v>
      </c>
      <c r="BJ75" s="1543">
        <f t="shared" si="140"/>
        <v>0</v>
      </c>
      <c r="BK75" s="1543">
        <f t="shared" si="140"/>
        <v>0</v>
      </c>
      <c r="BL75" s="1543">
        <f t="shared" si="140"/>
        <v>0</v>
      </c>
      <c r="BM75" s="1543">
        <f t="shared" si="140"/>
        <v>0</v>
      </c>
      <c r="BN75" s="1543">
        <f t="shared" si="140"/>
        <v>0</v>
      </c>
      <c r="BO75" s="1543">
        <f t="shared" si="140"/>
        <v>0</v>
      </c>
      <c r="BP75" s="1543">
        <f t="shared" si="141"/>
        <v>0</v>
      </c>
      <c r="BQ75" s="1543">
        <f t="shared" si="144"/>
        <v>0</v>
      </c>
      <c r="BR75" s="1543">
        <f t="shared" si="144"/>
        <v>0</v>
      </c>
      <c r="BS75" s="1543">
        <f t="shared" si="144"/>
        <v>0</v>
      </c>
      <c r="BT75" s="1543">
        <f t="shared" si="144"/>
        <v>0</v>
      </c>
      <c r="BU75" s="1543">
        <f t="shared" si="144"/>
        <v>0</v>
      </c>
      <c r="BV75" s="1543">
        <f t="shared" si="144"/>
        <v>0</v>
      </c>
      <c r="BW75" s="1543">
        <f t="shared" si="144"/>
        <v>0</v>
      </c>
      <c r="BX75" s="1543">
        <f t="shared" si="144"/>
        <v>0</v>
      </c>
      <c r="BY75" s="1543">
        <f t="shared" si="144"/>
        <v>0</v>
      </c>
      <c r="BZ75" s="1543">
        <f t="shared" si="144"/>
        <v>0</v>
      </c>
      <c r="CB75" s="1543">
        <f t="shared" si="142"/>
        <v>0</v>
      </c>
      <c r="CC75" s="1543">
        <f t="shared" si="142"/>
        <v>0</v>
      </c>
      <c r="CD75" s="1543">
        <f t="shared" si="142"/>
        <v>0</v>
      </c>
      <c r="CE75" s="1543">
        <f t="shared" si="142"/>
        <v>0</v>
      </c>
      <c r="CF75" s="1543">
        <f t="shared" si="142"/>
        <v>0</v>
      </c>
      <c r="CG75" s="1543">
        <f t="shared" si="142"/>
        <v>0</v>
      </c>
      <c r="CH75" s="1543">
        <f t="shared" si="142"/>
        <v>0</v>
      </c>
      <c r="CI75" s="1543">
        <f t="shared" si="142"/>
        <v>0</v>
      </c>
      <c r="CJ75" s="1543">
        <f t="shared" si="142"/>
        <v>0</v>
      </c>
      <c r="CK75" s="1543">
        <f t="shared" si="142"/>
        <v>0</v>
      </c>
      <c r="CL75" s="1543">
        <f t="shared" si="142"/>
        <v>0</v>
      </c>
      <c r="CM75" s="1543">
        <f t="shared" si="142"/>
        <v>0</v>
      </c>
      <c r="CN75" s="1543">
        <f t="shared" si="142"/>
        <v>0</v>
      </c>
      <c r="CO75" s="1543">
        <f t="shared" si="142"/>
        <v>0</v>
      </c>
      <c r="CP75" s="1543">
        <f t="shared" si="142"/>
        <v>0</v>
      </c>
      <c r="CQ75" s="1543">
        <f t="shared" si="142"/>
        <v>0</v>
      </c>
      <c r="CR75" s="1543">
        <f t="shared" si="143"/>
        <v>0</v>
      </c>
      <c r="CS75" s="1543">
        <f t="shared" si="145"/>
        <v>0</v>
      </c>
      <c r="CT75" s="1543">
        <f t="shared" si="146"/>
        <v>0</v>
      </c>
      <c r="CU75" s="1543">
        <f t="shared" si="146"/>
        <v>0</v>
      </c>
      <c r="CV75" s="1543">
        <f t="shared" si="146"/>
        <v>0</v>
      </c>
      <c r="CW75" s="1543">
        <f t="shared" si="146"/>
        <v>0</v>
      </c>
      <c r="CX75" s="1543">
        <f t="shared" si="146"/>
        <v>0</v>
      </c>
      <c r="CY75" s="1543">
        <f t="shared" si="146"/>
        <v>0</v>
      </c>
      <c r="CZ75" s="1543">
        <f t="shared" si="146"/>
        <v>0</v>
      </c>
      <c r="DA75" s="1543">
        <f t="shared" si="146"/>
        <v>0</v>
      </c>
      <c r="DB75" s="1543">
        <f t="shared" si="146"/>
        <v>0</v>
      </c>
      <c r="DD75" s="1543">
        <f t="shared" si="147"/>
        <v>0</v>
      </c>
      <c r="DE75" s="1543">
        <f t="shared" si="148"/>
        <v>0</v>
      </c>
      <c r="DF75" s="1543">
        <f t="shared" si="149"/>
        <v>0</v>
      </c>
      <c r="DG75" s="1543">
        <f t="shared" si="162"/>
        <v>0</v>
      </c>
      <c r="DI75" s="1543">
        <f t="shared" si="163"/>
        <v>0</v>
      </c>
      <c r="DJ75" s="1543">
        <f t="shared" si="74"/>
        <v>0</v>
      </c>
      <c r="DK75" s="1543">
        <f t="shared" si="74"/>
        <v>0</v>
      </c>
      <c r="DL75" s="1543">
        <f t="shared" si="74"/>
        <v>0</v>
      </c>
      <c r="DM75" s="1543">
        <f t="shared" si="74"/>
        <v>0</v>
      </c>
      <c r="DO75" s="1543">
        <f t="shared" si="164"/>
        <v>0</v>
      </c>
      <c r="DP75" s="1543">
        <f t="shared" si="164"/>
        <v>0</v>
      </c>
      <c r="DQ75" s="1543">
        <f t="shared" si="164"/>
        <v>0</v>
      </c>
      <c r="DR75" s="1543">
        <f t="shared" si="164"/>
        <v>0</v>
      </c>
      <c r="DS75" s="1543">
        <f t="shared" si="164"/>
        <v>0</v>
      </c>
      <c r="DT75" s="1543">
        <f t="shared" si="164"/>
        <v>0</v>
      </c>
      <c r="DU75" s="1543">
        <f t="shared" si="164"/>
        <v>0</v>
      </c>
      <c r="DV75" s="1543">
        <f t="shared" si="164"/>
        <v>0</v>
      </c>
      <c r="DW75" s="1543">
        <f t="shared" si="164"/>
        <v>0</v>
      </c>
      <c r="DX75" s="1543">
        <f t="shared" si="164"/>
        <v>0</v>
      </c>
      <c r="DY75" s="1543">
        <f t="shared" si="164"/>
        <v>0</v>
      </c>
      <c r="DZ75" s="1543">
        <f t="shared" si="164"/>
        <v>0</v>
      </c>
      <c r="EA75" s="1543">
        <f t="shared" si="164"/>
        <v>0</v>
      </c>
      <c r="EB75" s="1543">
        <f t="shared" si="71"/>
        <v>0</v>
      </c>
      <c r="EC75" s="1543">
        <f t="shared" si="71"/>
        <v>0</v>
      </c>
      <c r="ED75" s="1543">
        <f t="shared" si="71"/>
        <v>0</v>
      </c>
      <c r="EE75" s="1543">
        <f t="shared" si="71"/>
        <v>0</v>
      </c>
      <c r="EF75" s="1543">
        <f t="shared" si="71"/>
        <v>0</v>
      </c>
      <c r="EH75" s="1543">
        <f t="shared" si="165"/>
        <v>0</v>
      </c>
      <c r="EI75" s="1543">
        <f t="shared" si="166"/>
        <v>0</v>
      </c>
      <c r="EJ75" s="1543">
        <f t="shared" si="167"/>
        <v>0</v>
      </c>
      <c r="EK75" s="1543">
        <f t="shared" si="168"/>
        <v>0</v>
      </c>
      <c r="EL75" s="1543">
        <f t="shared" si="169"/>
        <v>0</v>
      </c>
      <c r="EM75" s="1543">
        <f t="shared" si="170"/>
        <v>0</v>
      </c>
      <c r="EN75" s="1543">
        <f t="shared" si="171"/>
        <v>0</v>
      </c>
      <c r="EP75" s="1543">
        <f t="shared" si="72"/>
        <v>0</v>
      </c>
      <c r="EQ75" s="1543">
        <f t="shared" si="72"/>
        <v>0</v>
      </c>
      <c r="ER75" s="1543">
        <f t="shared" si="72"/>
        <v>0</v>
      </c>
      <c r="ES75" s="1543">
        <f t="shared" si="72"/>
        <v>0</v>
      </c>
      <c r="ET75" s="1543">
        <f t="shared" si="123"/>
        <v>0</v>
      </c>
      <c r="EU75" s="1543">
        <f t="shared" si="123"/>
        <v>0</v>
      </c>
      <c r="EV75" s="1543">
        <f t="shared" si="123"/>
        <v>0</v>
      </c>
      <c r="EW75" s="1543">
        <f t="shared" si="123"/>
        <v>0</v>
      </c>
      <c r="EX75" s="1543">
        <f t="shared" si="123"/>
        <v>0</v>
      </c>
      <c r="EY75" s="1543">
        <f t="shared" si="123"/>
        <v>0</v>
      </c>
      <c r="EZ75" s="1543">
        <f t="shared" si="123"/>
        <v>0</v>
      </c>
      <c r="FA75" s="1543">
        <f t="shared" si="123"/>
        <v>0</v>
      </c>
      <c r="FB75" s="1543">
        <f t="shared" si="123"/>
        <v>0</v>
      </c>
      <c r="FC75" s="1543">
        <f t="shared" si="123"/>
        <v>0</v>
      </c>
      <c r="FD75" s="1543">
        <f t="shared" si="123"/>
        <v>0</v>
      </c>
      <c r="FE75" s="1543">
        <f t="shared" si="52"/>
        <v>0</v>
      </c>
      <c r="FF75" s="1543">
        <f t="shared" si="172"/>
        <v>1</v>
      </c>
      <c r="FH75" s="1543">
        <f t="shared" si="173"/>
        <v>0</v>
      </c>
      <c r="FI75" s="1543">
        <f t="shared" si="173"/>
        <v>0</v>
      </c>
      <c r="FJ75" s="1543">
        <f t="shared" si="173"/>
        <v>0</v>
      </c>
      <c r="FK75" s="1543">
        <f t="shared" si="173"/>
        <v>0</v>
      </c>
      <c r="FL75" s="1543">
        <f t="shared" si="173"/>
        <v>0</v>
      </c>
      <c r="FM75" s="1543">
        <f t="shared" si="173"/>
        <v>0</v>
      </c>
      <c r="FN75" s="1543">
        <f t="shared" si="173"/>
        <v>0</v>
      </c>
      <c r="FO75" s="1543">
        <f t="shared" si="173"/>
        <v>0</v>
      </c>
      <c r="FP75" s="1543">
        <f t="shared" si="173"/>
        <v>0</v>
      </c>
      <c r="FQ75" s="1543">
        <f t="shared" si="173"/>
        <v>0</v>
      </c>
      <c r="FR75" s="1543">
        <f t="shared" si="173"/>
        <v>0</v>
      </c>
      <c r="FS75" s="1543">
        <f t="shared" si="173"/>
        <v>0</v>
      </c>
      <c r="FT75" s="1543">
        <f t="shared" si="174"/>
        <v>0</v>
      </c>
      <c r="FV75" s="1543">
        <f t="shared" si="175"/>
        <v>1</v>
      </c>
      <c r="FW75" s="1543">
        <f t="shared" si="175"/>
        <v>0</v>
      </c>
      <c r="FX75" s="1543">
        <f t="shared" si="175"/>
        <v>0</v>
      </c>
      <c r="FY75" s="1543">
        <f t="shared" si="175"/>
        <v>0</v>
      </c>
      <c r="FZ75" s="1543">
        <f t="shared" si="175"/>
        <v>0</v>
      </c>
      <c r="GA75" s="1543">
        <f t="shared" si="175"/>
        <v>0</v>
      </c>
      <c r="GB75" s="1543">
        <f t="shared" si="175"/>
        <v>0</v>
      </c>
      <c r="GC75" s="1543">
        <f t="shared" si="175"/>
        <v>0</v>
      </c>
      <c r="GD75" s="1543">
        <f t="shared" si="175"/>
        <v>0</v>
      </c>
    </row>
    <row r="76" spans="1:186" s="982" customFormat="1" ht="15.6" x14ac:dyDescent="0.3">
      <c r="A76" s="974">
        <v>74</v>
      </c>
      <c r="B76" s="983"/>
      <c r="C76" s="984"/>
      <c r="D76" s="983"/>
      <c r="E76" s="968" t="str">
        <f>IFERROR(VLOOKUP($D76&amp;"."&amp;B76,'Piping Class'!$1:$1048576,MATCH($I76,'Piping Class'!$2:$2,0),0),"")</f>
        <v/>
      </c>
      <c r="F76" s="985" t="str">
        <f>IFERROR(IF(B76="Flange",VLOOKUP($D76,'Piping Class'!$88:$102,MATCH(F$1,'Piping Class'!$88:$88,0),0),""),"")</f>
        <v/>
      </c>
      <c r="G76" s="968" t="str">
        <f>IFERROR(IF(B76="Flange",VLOOKUP($D76,'Piping Class'!$88:$102,MATCH(G$1,'Piping Class'!$88:$88,0),0),""),"")</f>
        <v/>
      </c>
      <c r="H76" s="968" t="str">
        <f>IFERROR(VLOOKUP($D76,'Piping Class'!$88:$102,MATCH(H$1,'Piping Class'!$88:$88,0),0),"")</f>
        <v/>
      </c>
      <c r="I76" s="986"/>
      <c r="J76" s="987"/>
      <c r="K76" s="968" t="str">
        <f>IFERROR(VLOOKUP(I76,'Thickness Tab'!$1:$1048576,MATCH(L76,'Thickness Tab'!$1:$1,0),0),"")</f>
        <v/>
      </c>
      <c r="L76" s="969" t="str">
        <f>IFERROR(VLOOKUP($D76,'Piping Class'!$1:$1048576,MATCH($I76,'Piping Class'!$2:$2,0),0),"")</f>
        <v/>
      </c>
      <c r="M76" s="968" t="str">
        <f>IFERROR(VLOOKUP(J76,'Thickness Tab'!$1:$1048576,MATCH(N76,'Thickness Tab'!$1:$1,0),0),"")</f>
        <v/>
      </c>
      <c r="N76" s="969" t="str">
        <f>IFERROR(VLOOKUP($D76,'Piping Class'!$1:$1048576,MATCH($J76,'Piping Class'!$2:$2,0),0),"")</f>
        <v/>
      </c>
      <c r="O76" s="968" t="str">
        <f>IFERROR(VLOOKUP($D76,'Piping Class'!$88:$102,MATCH(O$1,'Piping Class'!$88:$88,0),0),"")</f>
        <v/>
      </c>
      <c r="P76" s="968" t="str">
        <f>IFERROR(VLOOKUP($D76,'Piping Class'!$88:$102,MATCH(P$1,'Piping Class'!$88:$88,0),0),"")</f>
        <v/>
      </c>
      <c r="Q76" s="983"/>
      <c r="R76" s="988"/>
      <c r="S76" s="969" t="str">
        <f t="shared" si="150"/>
        <v/>
      </c>
      <c r="T76" s="968">
        <f>IFERROR(VLOOKUP(I76&amp;"."&amp;L76,'Fitting Chart'!$1:$1048576,MATCH(C76,'Fitting Chart'!$1:$1,0),0),0)+IF(B76="piping",PI()*K76*(VLOOKUP(I76,'Thickness Tab'!$1:$1048576,3,0)-K76)*7.86/1000,0)+IF(B76="Flange",VLOOKUP(I76&amp;"F"&amp;F76,'Flanges Chart'!$1:$1048576,MATCH(C76&amp;"."&amp;T$1,'Flanges Chart'!$1:$1,0),0),0)</f>
        <v>0</v>
      </c>
      <c r="U76" s="989">
        <f t="shared" si="151"/>
        <v>0</v>
      </c>
      <c r="V76" s="1003"/>
      <c r="W76" s="1001">
        <f t="shared" si="152"/>
        <v>0</v>
      </c>
      <c r="X76" s="997"/>
      <c r="Y76" s="983"/>
      <c r="Z76" s="989">
        <f>IF(B76="Piping",VLOOKUP(I76,'Thickness Tab'!$1:$1048576,3,0)/1000*PI(),0)+IFERROR(VLOOKUP(I76&amp;"F"&amp;F76,'Flanges Chart'!$1:$1048576,MATCH(C76&amp;".Unit Surface",'Flanges Chart'!$1:$1,0),0),0)+IF(B76="Fitting",VLOOKUP(I76,'Thickness Tab'!$1:$1048576,3,0)/1000*PI(),0)</f>
        <v>0</v>
      </c>
      <c r="AA76" s="989">
        <f t="shared" si="153"/>
        <v>0</v>
      </c>
      <c r="AB76" s="983">
        <v>0</v>
      </c>
      <c r="AC76" s="989">
        <f t="shared" si="154"/>
        <v>0</v>
      </c>
      <c r="AD76" s="989">
        <f t="shared" si="155"/>
        <v>0</v>
      </c>
      <c r="AE76" s="974">
        <f>(IFERROR(VLOOKUP($C76,List!$J:$L,2,0),0)*R76+IF(B76="piping",R76,0)+IF(C76="Welding Neck",1,0)*R76)*$AE$2</f>
        <v>0</v>
      </c>
      <c r="AF76" s="970">
        <f>IFERROR(VLOOKUP($C76,List!$J:$L,3,0),0)*R76*$AF$2</f>
        <v>0</v>
      </c>
      <c r="AG76" s="990">
        <f t="shared" si="156"/>
        <v>0</v>
      </c>
      <c r="AH76" s="1118" t="str">
        <f>IFERROR(VLOOKUP($D76,'Piping Class'!$88:$102,MATCH(AH$1,'Piping Class'!$88:$88,0),0),"")</f>
        <v/>
      </c>
      <c r="AI76" s="991" t="str">
        <f>IFERROR(VLOOKUP($D76,'Piping Class'!$88:$102,MATCH(AI$1,'Piping Class'!$88:$88,0),0),"")</f>
        <v/>
      </c>
      <c r="AJ76" s="991" t="str">
        <f>IFERROR(VLOOKUP($D76,'Piping Class'!$88:$102,MATCH(AJ$1,'Piping Class'!$88:$88,0),0),"")</f>
        <v/>
      </c>
      <c r="AK76" s="991" t="str">
        <f>IFERROR(VLOOKUP($D76,'Piping Class'!$88:$102,MATCH(AK$1,'Piping Class'!$88:$88,0),0),"")</f>
        <v/>
      </c>
      <c r="AL76" s="991">
        <f t="shared" si="44"/>
        <v>0</v>
      </c>
      <c r="AM76" s="1119" t="str">
        <f>IFERROR(VLOOKUP($D76,'Piping Class'!$88:$102,MATCH(AM$1,'Piping Class'!$88:$88,0),0),"")</f>
        <v/>
      </c>
      <c r="AN76" s="992">
        <f t="shared" si="157"/>
        <v>0</v>
      </c>
      <c r="AO76" s="993">
        <f>IFERROR(VLOOKUP(I76&amp;"B"&amp;F76,'Bolting Chart'!$1:$1048576,4,0),0)</f>
        <v>0</v>
      </c>
      <c r="AP76" s="993">
        <f t="shared" si="158"/>
        <v>0</v>
      </c>
      <c r="AQ76" s="993">
        <f t="shared" si="159"/>
        <v>0</v>
      </c>
      <c r="AR76" s="993">
        <f>IF(AO76=0,0,VLOOKUP(D76&amp;".bolting",'Piping Class'!$1:$1048576,MATCH(I76,'Piping Class'!$2:$2,0),0))</f>
        <v>0</v>
      </c>
      <c r="AS76" s="994">
        <f>IFERROR(VLOOKUP(I76&amp;"B"&amp;F76,'Bolting Chart'!$1:$1048576,IF(AS$2="UNC",5,6),0),0)</f>
        <v>0</v>
      </c>
      <c r="AT76" s="995">
        <f>IFERROR(VLOOKUP(I76&amp;"B"&amp;F76,'Bolting Chart'!$1:$1048576,IF(G76="RF",8,9),0),0)</f>
        <v>0</v>
      </c>
      <c r="AU76" s="993">
        <f>IF(AO76=0,0,VLOOKUP(D76&amp;".gasket",'Piping Class'!$1:$1048576,MATCH(I76,'Piping Class'!$2:$2,0),0))</f>
        <v>0</v>
      </c>
      <c r="AV76" s="996">
        <f>(IFERROR(INDEX('Bolting Chart'!$A$169:$R$251,MATCH(AT76,'Bolting Chart'!$A$170:$A$251,0),MATCH(IFERROR(VLOOKUP(I76&amp;"B"&amp;F76,'Bolting Chart'!$1:$1048576,7,0),0)+0,'Bolting Chart'!$A$169:$R$169,0)),0))/100</f>
        <v>0</v>
      </c>
      <c r="AW76" s="996">
        <f t="shared" si="160"/>
        <v>0</v>
      </c>
      <c r="AX76" s="1194">
        <f t="shared" si="161"/>
        <v>0</v>
      </c>
      <c r="AY76" s="981"/>
      <c r="AZ76" s="1543">
        <f t="shared" si="140"/>
        <v>0</v>
      </c>
      <c r="BA76" s="1543">
        <f t="shared" si="140"/>
        <v>0</v>
      </c>
      <c r="BB76" s="1543">
        <f t="shared" si="140"/>
        <v>0</v>
      </c>
      <c r="BC76" s="1543">
        <f t="shared" si="140"/>
        <v>0</v>
      </c>
      <c r="BD76" s="1543">
        <f t="shared" si="140"/>
        <v>0</v>
      </c>
      <c r="BE76" s="1543">
        <f t="shared" si="140"/>
        <v>0</v>
      </c>
      <c r="BF76" s="1543">
        <f t="shared" si="140"/>
        <v>0</v>
      </c>
      <c r="BG76" s="1543">
        <f t="shared" si="140"/>
        <v>0</v>
      </c>
      <c r="BH76" s="1543">
        <f t="shared" si="140"/>
        <v>0</v>
      </c>
      <c r="BI76" s="1543">
        <f t="shared" si="140"/>
        <v>0</v>
      </c>
      <c r="BJ76" s="1543">
        <f t="shared" si="140"/>
        <v>0</v>
      </c>
      <c r="BK76" s="1543">
        <f t="shared" si="140"/>
        <v>0</v>
      </c>
      <c r="BL76" s="1543">
        <f t="shared" si="140"/>
        <v>0</v>
      </c>
      <c r="BM76" s="1543">
        <f t="shared" si="140"/>
        <v>0</v>
      </c>
      <c r="BN76" s="1543">
        <f t="shared" si="140"/>
        <v>0</v>
      </c>
      <c r="BO76" s="1543">
        <f t="shared" ref="AZ76:BO92" si="176">IF($I76=BO$2,1,0)</f>
        <v>0</v>
      </c>
      <c r="BP76" s="1543">
        <f t="shared" si="141"/>
        <v>0</v>
      </c>
      <c r="BQ76" s="1543">
        <f t="shared" si="144"/>
        <v>0</v>
      </c>
      <c r="BR76" s="1543">
        <f t="shared" si="144"/>
        <v>0</v>
      </c>
      <c r="BS76" s="1543">
        <f t="shared" si="144"/>
        <v>0</v>
      </c>
      <c r="BT76" s="1543">
        <f t="shared" si="144"/>
        <v>0</v>
      </c>
      <c r="BU76" s="1543">
        <f t="shared" si="144"/>
        <v>0</v>
      </c>
      <c r="BV76" s="1543">
        <f t="shared" si="144"/>
        <v>0</v>
      </c>
      <c r="BW76" s="1543">
        <f t="shared" si="144"/>
        <v>0</v>
      </c>
      <c r="BX76" s="1543">
        <f t="shared" si="144"/>
        <v>0</v>
      </c>
      <c r="BY76" s="1543">
        <f t="shared" si="144"/>
        <v>0</v>
      </c>
      <c r="BZ76" s="1543">
        <f t="shared" si="144"/>
        <v>0</v>
      </c>
      <c r="CB76" s="1543">
        <f t="shared" si="142"/>
        <v>0</v>
      </c>
      <c r="CC76" s="1543">
        <f t="shared" si="142"/>
        <v>0</v>
      </c>
      <c r="CD76" s="1543">
        <f t="shared" si="142"/>
        <v>0</v>
      </c>
      <c r="CE76" s="1543">
        <f t="shared" si="142"/>
        <v>0</v>
      </c>
      <c r="CF76" s="1543">
        <f t="shared" si="142"/>
        <v>0</v>
      </c>
      <c r="CG76" s="1543">
        <f t="shared" si="142"/>
        <v>0</v>
      </c>
      <c r="CH76" s="1543">
        <f t="shared" si="142"/>
        <v>0</v>
      </c>
      <c r="CI76" s="1543">
        <f t="shared" si="142"/>
        <v>0</v>
      </c>
      <c r="CJ76" s="1543">
        <f t="shared" si="142"/>
        <v>0</v>
      </c>
      <c r="CK76" s="1543">
        <f t="shared" si="142"/>
        <v>0</v>
      </c>
      <c r="CL76" s="1543">
        <f t="shared" si="142"/>
        <v>0</v>
      </c>
      <c r="CM76" s="1543">
        <f t="shared" si="142"/>
        <v>0</v>
      </c>
      <c r="CN76" s="1543">
        <f t="shared" si="142"/>
        <v>0</v>
      </c>
      <c r="CO76" s="1543">
        <f t="shared" si="142"/>
        <v>0</v>
      </c>
      <c r="CP76" s="1543">
        <f t="shared" si="142"/>
        <v>0</v>
      </c>
      <c r="CQ76" s="1543">
        <f t="shared" ref="CB76:CQ92" si="177">IF($J76=CQ$2,1,0)</f>
        <v>0</v>
      </c>
      <c r="CR76" s="1543">
        <f t="shared" si="143"/>
        <v>0</v>
      </c>
      <c r="CS76" s="1543">
        <f t="shared" si="145"/>
        <v>0</v>
      </c>
      <c r="CT76" s="1543">
        <f t="shared" si="146"/>
        <v>0</v>
      </c>
      <c r="CU76" s="1543">
        <f t="shared" si="146"/>
        <v>0</v>
      </c>
      <c r="CV76" s="1543">
        <f t="shared" si="146"/>
        <v>0</v>
      </c>
      <c r="CW76" s="1543">
        <f t="shared" si="146"/>
        <v>0</v>
      </c>
      <c r="CX76" s="1543">
        <f t="shared" si="146"/>
        <v>0</v>
      </c>
      <c r="CY76" s="1543">
        <f t="shared" si="146"/>
        <v>0</v>
      </c>
      <c r="CZ76" s="1543">
        <f t="shared" si="146"/>
        <v>0</v>
      </c>
      <c r="DA76" s="1543">
        <f t="shared" si="146"/>
        <v>0</v>
      </c>
      <c r="DB76" s="1543">
        <f t="shared" si="146"/>
        <v>0</v>
      </c>
      <c r="DD76" s="1543">
        <f t="shared" si="147"/>
        <v>0</v>
      </c>
      <c r="DE76" s="1543">
        <f t="shared" si="148"/>
        <v>0</v>
      </c>
      <c r="DF76" s="1543">
        <f t="shared" si="149"/>
        <v>0</v>
      </c>
      <c r="DG76" s="1543">
        <f t="shared" si="162"/>
        <v>0</v>
      </c>
      <c r="DI76" s="1543">
        <f t="shared" si="163"/>
        <v>0</v>
      </c>
      <c r="DJ76" s="1543">
        <f t="shared" si="74"/>
        <v>0</v>
      </c>
      <c r="DK76" s="1543">
        <f t="shared" si="74"/>
        <v>0</v>
      </c>
      <c r="DL76" s="1543">
        <f t="shared" si="74"/>
        <v>0</v>
      </c>
      <c r="DM76" s="1543">
        <f t="shared" si="74"/>
        <v>0</v>
      </c>
      <c r="DO76" s="1543">
        <f t="shared" si="164"/>
        <v>0</v>
      </c>
      <c r="DP76" s="1543">
        <f t="shared" si="164"/>
        <v>0</v>
      </c>
      <c r="DQ76" s="1543">
        <f t="shared" si="164"/>
        <v>0</v>
      </c>
      <c r="DR76" s="1543">
        <f t="shared" si="164"/>
        <v>0</v>
      </c>
      <c r="DS76" s="1543">
        <f t="shared" si="164"/>
        <v>0</v>
      </c>
      <c r="DT76" s="1543">
        <f t="shared" si="164"/>
        <v>0</v>
      </c>
      <c r="DU76" s="1543">
        <f t="shared" si="164"/>
        <v>0</v>
      </c>
      <c r="DV76" s="1543">
        <f t="shared" si="164"/>
        <v>0</v>
      </c>
      <c r="DW76" s="1543">
        <f t="shared" si="164"/>
        <v>0</v>
      </c>
      <c r="DX76" s="1543">
        <f t="shared" si="164"/>
        <v>0</v>
      </c>
      <c r="DY76" s="1543">
        <f t="shared" si="164"/>
        <v>0</v>
      </c>
      <c r="DZ76" s="1543">
        <f t="shared" si="164"/>
        <v>0</v>
      </c>
      <c r="EA76" s="1543">
        <f t="shared" si="164"/>
        <v>0</v>
      </c>
      <c r="EB76" s="1543">
        <f t="shared" si="71"/>
        <v>0</v>
      </c>
      <c r="EC76" s="1543">
        <f t="shared" si="71"/>
        <v>0</v>
      </c>
      <c r="ED76" s="1543">
        <f t="shared" si="71"/>
        <v>0</v>
      </c>
      <c r="EE76" s="1543">
        <f t="shared" si="71"/>
        <v>0</v>
      </c>
      <c r="EF76" s="1543">
        <f t="shared" si="71"/>
        <v>0</v>
      </c>
      <c r="EH76" s="1543">
        <f t="shared" si="165"/>
        <v>0</v>
      </c>
      <c r="EI76" s="1543">
        <f t="shared" si="166"/>
        <v>0</v>
      </c>
      <c r="EJ76" s="1543">
        <f t="shared" si="167"/>
        <v>0</v>
      </c>
      <c r="EK76" s="1543">
        <f t="shared" si="168"/>
        <v>0</v>
      </c>
      <c r="EL76" s="1543">
        <f t="shared" si="169"/>
        <v>0</v>
      </c>
      <c r="EM76" s="1543">
        <f t="shared" si="170"/>
        <v>0</v>
      </c>
      <c r="EN76" s="1543">
        <f t="shared" si="171"/>
        <v>0</v>
      </c>
      <c r="EP76" s="1543">
        <f t="shared" si="72"/>
        <v>0</v>
      </c>
      <c r="EQ76" s="1543">
        <f t="shared" si="72"/>
        <v>0</v>
      </c>
      <c r="ER76" s="1543">
        <f t="shared" si="72"/>
        <v>0</v>
      </c>
      <c r="ES76" s="1543">
        <f t="shared" si="72"/>
        <v>0</v>
      </c>
      <c r="ET76" s="1543">
        <f t="shared" si="123"/>
        <v>0</v>
      </c>
      <c r="EU76" s="1543">
        <f t="shared" si="123"/>
        <v>0</v>
      </c>
      <c r="EV76" s="1543">
        <f t="shared" si="123"/>
        <v>0</v>
      </c>
      <c r="EW76" s="1543">
        <f t="shared" si="123"/>
        <v>0</v>
      </c>
      <c r="EX76" s="1543">
        <f t="shared" si="123"/>
        <v>0</v>
      </c>
      <c r="EY76" s="1543">
        <f t="shared" si="123"/>
        <v>0</v>
      </c>
      <c r="EZ76" s="1543">
        <f t="shared" si="123"/>
        <v>0</v>
      </c>
      <c r="FA76" s="1543">
        <f t="shared" si="123"/>
        <v>0</v>
      </c>
      <c r="FB76" s="1543">
        <f t="shared" si="123"/>
        <v>0</v>
      </c>
      <c r="FC76" s="1543">
        <f t="shared" si="123"/>
        <v>0</v>
      </c>
      <c r="FD76" s="1543">
        <f t="shared" si="123"/>
        <v>0</v>
      </c>
      <c r="FE76" s="1543">
        <f t="shared" si="52"/>
        <v>0</v>
      </c>
      <c r="FF76" s="1543">
        <f t="shared" si="172"/>
        <v>1</v>
      </c>
      <c r="FH76" s="1543">
        <f t="shared" si="173"/>
        <v>0</v>
      </c>
      <c r="FI76" s="1543">
        <f t="shared" si="173"/>
        <v>0</v>
      </c>
      <c r="FJ76" s="1543">
        <f t="shared" si="173"/>
        <v>0</v>
      </c>
      <c r="FK76" s="1543">
        <f t="shared" si="173"/>
        <v>0</v>
      </c>
      <c r="FL76" s="1543">
        <f t="shared" si="173"/>
        <v>0</v>
      </c>
      <c r="FM76" s="1543">
        <f t="shared" si="173"/>
        <v>0</v>
      </c>
      <c r="FN76" s="1543">
        <f t="shared" si="173"/>
        <v>0</v>
      </c>
      <c r="FO76" s="1543">
        <f t="shared" si="173"/>
        <v>0</v>
      </c>
      <c r="FP76" s="1543">
        <f t="shared" si="173"/>
        <v>0</v>
      </c>
      <c r="FQ76" s="1543">
        <f t="shared" si="173"/>
        <v>0</v>
      </c>
      <c r="FR76" s="1543">
        <f t="shared" si="173"/>
        <v>0</v>
      </c>
      <c r="FS76" s="1543">
        <f t="shared" si="173"/>
        <v>0</v>
      </c>
      <c r="FT76" s="1543">
        <f t="shared" si="174"/>
        <v>0</v>
      </c>
      <c r="FV76" s="1543">
        <f t="shared" si="175"/>
        <v>1</v>
      </c>
      <c r="FW76" s="1543">
        <f t="shared" si="175"/>
        <v>0</v>
      </c>
      <c r="FX76" s="1543">
        <f t="shared" si="175"/>
        <v>0</v>
      </c>
      <c r="FY76" s="1543">
        <f t="shared" si="175"/>
        <v>0</v>
      </c>
      <c r="FZ76" s="1543">
        <f t="shared" si="175"/>
        <v>0</v>
      </c>
      <c r="GA76" s="1543">
        <f t="shared" si="175"/>
        <v>0</v>
      </c>
      <c r="GB76" s="1543">
        <f t="shared" si="175"/>
        <v>0</v>
      </c>
      <c r="GC76" s="1543">
        <f t="shared" si="175"/>
        <v>0</v>
      </c>
      <c r="GD76" s="1543">
        <f t="shared" si="175"/>
        <v>0</v>
      </c>
    </row>
    <row r="77" spans="1:186" s="982" customFormat="1" ht="15.6" x14ac:dyDescent="0.3">
      <c r="A77" s="974">
        <v>75</v>
      </c>
      <c r="B77" s="983"/>
      <c r="C77" s="984"/>
      <c r="D77" s="983"/>
      <c r="E77" s="968" t="str">
        <f>IFERROR(VLOOKUP($D77&amp;"."&amp;B77,'Piping Class'!$1:$1048576,MATCH($I77,'Piping Class'!$2:$2,0),0),"")</f>
        <v/>
      </c>
      <c r="F77" s="985" t="str">
        <f>IFERROR(IF(B77="Flange",VLOOKUP($D77,'Piping Class'!$88:$102,MATCH(F$1,'Piping Class'!$88:$88,0),0),""),"")</f>
        <v/>
      </c>
      <c r="G77" s="968" t="str">
        <f>IFERROR(IF(B77="Flange",VLOOKUP($D77,'Piping Class'!$88:$102,MATCH(G$1,'Piping Class'!$88:$88,0),0),""),"")</f>
        <v/>
      </c>
      <c r="H77" s="968" t="str">
        <f>IFERROR(VLOOKUP($D77,'Piping Class'!$88:$102,MATCH(H$1,'Piping Class'!$88:$88,0),0),"")</f>
        <v/>
      </c>
      <c r="I77" s="986"/>
      <c r="J77" s="987"/>
      <c r="K77" s="968" t="str">
        <f>IFERROR(VLOOKUP(I77,'Thickness Tab'!$1:$1048576,MATCH(L77,'Thickness Tab'!$1:$1,0),0),"")</f>
        <v/>
      </c>
      <c r="L77" s="969" t="str">
        <f>IFERROR(VLOOKUP($D77,'Piping Class'!$1:$1048576,MATCH($I77,'Piping Class'!$2:$2,0),0),"")</f>
        <v/>
      </c>
      <c r="M77" s="968" t="str">
        <f>IFERROR(VLOOKUP(J77,'Thickness Tab'!$1:$1048576,MATCH(N77,'Thickness Tab'!$1:$1,0),0),"")</f>
        <v/>
      </c>
      <c r="N77" s="969" t="str">
        <f>IFERROR(VLOOKUP($D77,'Piping Class'!$1:$1048576,MATCH($J77,'Piping Class'!$2:$2,0),0),"")</f>
        <v/>
      </c>
      <c r="O77" s="968" t="str">
        <f>IFERROR(VLOOKUP($D77,'Piping Class'!$88:$102,MATCH(O$1,'Piping Class'!$88:$88,0),0),"")</f>
        <v/>
      </c>
      <c r="P77" s="968" t="str">
        <f>IFERROR(VLOOKUP($D77,'Piping Class'!$88:$102,MATCH(P$1,'Piping Class'!$88:$88,0),0),"")</f>
        <v/>
      </c>
      <c r="Q77" s="983"/>
      <c r="R77" s="988"/>
      <c r="S77" s="969" t="str">
        <f t="shared" si="150"/>
        <v/>
      </c>
      <c r="T77" s="968">
        <f>IFERROR(VLOOKUP(I77&amp;"."&amp;L77,'Fitting Chart'!$1:$1048576,MATCH(C77,'Fitting Chart'!$1:$1,0),0),0)+IF(B77="piping",PI()*K77*(VLOOKUP(I77,'Thickness Tab'!$1:$1048576,3,0)-K77)*7.86/1000,0)+IF(B77="Flange",VLOOKUP(I77&amp;"F"&amp;F77,'Flanges Chart'!$1:$1048576,MATCH(C77&amp;"."&amp;T$1,'Flanges Chart'!$1:$1,0),0),0)</f>
        <v>0</v>
      </c>
      <c r="U77" s="989">
        <f t="shared" si="151"/>
        <v>0</v>
      </c>
      <c r="V77" s="1003"/>
      <c r="W77" s="1001">
        <f t="shared" si="152"/>
        <v>0</v>
      </c>
      <c r="X77" s="997"/>
      <c r="Y77" s="983"/>
      <c r="Z77" s="989">
        <f>IF(B77="Piping",VLOOKUP(I77,'Thickness Tab'!$1:$1048576,3,0)/1000*PI(),0)+IFERROR(VLOOKUP(I77&amp;"F"&amp;F77,'Flanges Chart'!$1:$1048576,MATCH(C77&amp;".Unit Surface",'Flanges Chart'!$1:$1,0),0),0)+IF(B77="Fitting",VLOOKUP(I77,'Thickness Tab'!$1:$1048576,3,0)/1000*PI(),0)</f>
        <v>0</v>
      </c>
      <c r="AA77" s="989">
        <f t="shared" si="153"/>
        <v>0</v>
      </c>
      <c r="AB77" s="983">
        <v>0</v>
      </c>
      <c r="AC77" s="989">
        <f t="shared" si="154"/>
        <v>0</v>
      </c>
      <c r="AD77" s="989">
        <f t="shared" si="155"/>
        <v>0</v>
      </c>
      <c r="AE77" s="974">
        <f>(IFERROR(VLOOKUP($C77,List!$J:$L,2,0),0)*R77+IF(B77="piping",R77,0)+IF(C77="Welding Neck",1,0)*R77)*$AE$2</f>
        <v>0</v>
      </c>
      <c r="AF77" s="970">
        <f>IFERROR(VLOOKUP($C77,List!$J:$L,3,0),0)*R77*$AF$2</f>
        <v>0</v>
      </c>
      <c r="AG77" s="990">
        <f t="shared" si="156"/>
        <v>0</v>
      </c>
      <c r="AH77" s="1118" t="str">
        <f>IFERROR(VLOOKUP($D77,'Piping Class'!$88:$102,MATCH(AH$1,'Piping Class'!$88:$88,0),0),"")</f>
        <v/>
      </c>
      <c r="AI77" s="991" t="str">
        <f>IFERROR(VLOOKUP($D77,'Piping Class'!$88:$102,MATCH(AI$1,'Piping Class'!$88:$88,0),0),"")</f>
        <v/>
      </c>
      <c r="AJ77" s="991" t="str">
        <f>IFERROR(VLOOKUP($D77,'Piping Class'!$88:$102,MATCH(AJ$1,'Piping Class'!$88:$88,0),0),"")</f>
        <v/>
      </c>
      <c r="AK77" s="991" t="str">
        <f>IFERROR(VLOOKUP($D77,'Piping Class'!$88:$102,MATCH(AK$1,'Piping Class'!$88:$88,0),0),"")</f>
        <v/>
      </c>
      <c r="AL77" s="991">
        <f t="shared" si="44"/>
        <v>0</v>
      </c>
      <c r="AM77" s="1119" t="str">
        <f>IFERROR(VLOOKUP($D77,'Piping Class'!$88:$102,MATCH(AM$1,'Piping Class'!$88:$88,0),0),"")</f>
        <v/>
      </c>
      <c r="AN77" s="992">
        <f t="shared" si="157"/>
        <v>0</v>
      </c>
      <c r="AO77" s="993">
        <f>IFERROR(VLOOKUP(I77&amp;"B"&amp;F77,'Bolting Chart'!$1:$1048576,4,0),0)</f>
        <v>0</v>
      </c>
      <c r="AP77" s="993">
        <f t="shared" si="158"/>
        <v>0</v>
      </c>
      <c r="AQ77" s="993">
        <f t="shared" si="159"/>
        <v>0</v>
      </c>
      <c r="AR77" s="993">
        <f>IF(AO77=0,0,VLOOKUP(D77&amp;".bolting",'Piping Class'!$1:$1048576,MATCH(I77,'Piping Class'!$2:$2,0),0))</f>
        <v>0</v>
      </c>
      <c r="AS77" s="994">
        <f>IFERROR(VLOOKUP(I77&amp;"B"&amp;F77,'Bolting Chart'!$1:$1048576,IF(AS$2="UNC",5,6),0),0)</f>
        <v>0</v>
      </c>
      <c r="AT77" s="995">
        <f>IFERROR(VLOOKUP(I77&amp;"B"&amp;F77,'Bolting Chart'!$1:$1048576,IF(G77="RF",8,9),0),0)</f>
        <v>0</v>
      </c>
      <c r="AU77" s="993">
        <f>IF(AO77=0,0,VLOOKUP(D77&amp;".gasket",'Piping Class'!$1:$1048576,MATCH(I77,'Piping Class'!$2:$2,0),0))</f>
        <v>0</v>
      </c>
      <c r="AV77" s="996">
        <f>(IFERROR(INDEX('Bolting Chart'!$A$169:$R$251,MATCH(AT77,'Bolting Chart'!$A$170:$A$251,0),MATCH(IFERROR(VLOOKUP(I77&amp;"B"&amp;F77,'Bolting Chart'!$1:$1048576,7,0),0)+0,'Bolting Chart'!$A$169:$R$169,0)),0))/100</f>
        <v>0</v>
      </c>
      <c r="AW77" s="996">
        <f t="shared" si="160"/>
        <v>0</v>
      </c>
      <c r="AX77" s="1194">
        <f t="shared" si="161"/>
        <v>0</v>
      </c>
      <c r="AY77" s="981"/>
      <c r="AZ77" s="1543">
        <f t="shared" si="176"/>
        <v>0</v>
      </c>
      <c r="BA77" s="1543">
        <f t="shared" si="176"/>
        <v>0</v>
      </c>
      <c r="BB77" s="1543">
        <f t="shared" si="176"/>
        <v>0</v>
      </c>
      <c r="BC77" s="1543">
        <f t="shared" si="176"/>
        <v>0</v>
      </c>
      <c r="BD77" s="1543">
        <f t="shared" si="176"/>
        <v>0</v>
      </c>
      <c r="BE77" s="1543">
        <f t="shared" si="176"/>
        <v>0</v>
      </c>
      <c r="BF77" s="1543">
        <f t="shared" si="176"/>
        <v>0</v>
      </c>
      <c r="BG77" s="1543">
        <f t="shared" si="176"/>
        <v>0</v>
      </c>
      <c r="BH77" s="1543">
        <f t="shared" si="176"/>
        <v>0</v>
      </c>
      <c r="BI77" s="1543">
        <f t="shared" si="176"/>
        <v>0</v>
      </c>
      <c r="BJ77" s="1543">
        <f t="shared" si="176"/>
        <v>0</v>
      </c>
      <c r="BK77" s="1543">
        <f t="shared" si="176"/>
        <v>0</v>
      </c>
      <c r="BL77" s="1543">
        <f t="shared" si="176"/>
        <v>0</v>
      </c>
      <c r="BM77" s="1543">
        <f t="shared" si="176"/>
        <v>0</v>
      </c>
      <c r="BN77" s="1543">
        <f t="shared" si="176"/>
        <v>0</v>
      </c>
      <c r="BO77" s="1543">
        <f t="shared" si="176"/>
        <v>0</v>
      </c>
      <c r="BP77" s="1543">
        <f t="shared" ref="BP77:BZ114" si="178">IF($I77=BP$2,1,0)</f>
        <v>0</v>
      </c>
      <c r="BQ77" s="1543">
        <f t="shared" si="178"/>
        <v>0</v>
      </c>
      <c r="BR77" s="1543">
        <f t="shared" si="178"/>
        <v>0</v>
      </c>
      <c r="BS77" s="1543">
        <f t="shared" si="178"/>
        <v>0</v>
      </c>
      <c r="BT77" s="1543">
        <f t="shared" si="178"/>
        <v>0</v>
      </c>
      <c r="BU77" s="1543">
        <f t="shared" si="178"/>
        <v>0</v>
      </c>
      <c r="BV77" s="1543">
        <f t="shared" si="178"/>
        <v>0</v>
      </c>
      <c r="BW77" s="1543">
        <f t="shared" si="178"/>
        <v>0</v>
      </c>
      <c r="BX77" s="1543">
        <f t="shared" si="178"/>
        <v>0</v>
      </c>
      <c r="BY77" s="1543">
        <f t="shared" si="178"/>
        <v>0</v>
      </c>
      <c r="BZ77" s="1543">
        <f t="shared" si="178"/>
        <v>0</v>
      </c>
      <c r="CB77" s="1543">
        <f t="shared" si="177"/>
        <v>0</v>
      </c>
      <c r="CC77" s="1543">
        <f t="shared" si="177"/>
        <v>0</v>
      </c>
      <c r="CD77" s="1543">
        <f t="shared" si="177"/>
        <v>0</v>
      </c>
      <c r="CE77" s="1543">
        <f t="shared" si="177"/>
        <v>0</v>
      </c>
      <c r="CF77" s="1543">
        <f t="shared" si="177"/>
        <v>0</v>
      </c>
      <c r="CG77" s="1543">
        <f t="shared" si="177"/>
        <v>0</v>
      </c>
      <c r="CH77" s="1543">
        <f t="shared" si="177"/>
        <v>0</v>
      </c>
      <c r="CI77" s="1543">
        <f t="shared" si="177"/>
        <v>0</v>
      </c>
      <c r="CJ77" s="1543">
        <f t="shared" si="177"/>
        <v>0</v>
      </c>
      <c r="CK77" s="1543">
        <f t="shared" si="177"/>
        <v>0</v>
      </c>
      <c r="CL77" s="1543">
        <f t="shared" si="177"/>
        <v>0</v>
      </c>
      <c r="CM77" s="1543">
        <f t="shared" si="177"/>
        <v>0</v>
      </c>
      <c r="CN77" s="1543">
        <f t="shared" si="177"/>
        <v>0</v>
      </c>
      <c r="CO77" s="1543">
        <f t="shared" si="177"/>
        <v>0</v>
      </c>
      <c r="CP77" s="1543">
        <f t="shared" si="177"/>
        <v>0</v>
      </c>
      <c r="CQ77" s="1543">
        <f t="shared" si="177"/>
        <v>0</v>
      </c>
      <c r="CR77" s="1543">
        <f t="shared" ref="CR77:CS114" si="179">IF($J77=CR$2,1,0)</f>
        <v>0</v>
      </c>
      <c r="CS77" s="1543">
        <f t="shared" si="179"/>
        <v>0</v>
      </c>
      <c r="CT77" s="1543">
        <f t="shared" si="146"/>
        <v>0</v>
      </c>
      <c r="CU77" s="1543">
        <f t="shared" si="146"/>
        <v>0</v>
      </c>
      <c r="CV77" s="1543">
        <f t="shared" si="146"/>
        <v>0</v>
      </c>
      <c r="CW77" s="1543">
        <f t="shared" si="146"/>
        <v>0</v>
      </c>
      <c r="CX77" s="1543">
        <f t="shared" si="146"/>
        <v>0</v>
      </c>
      <c r="CY77" s="1543">
        <f t="shared" si="146"/>
        <v>0</v>
      </c>
      <c r="CZ77" s="1543">
        <f t="shared" si="146"/>
        <v>0</v>
      </c>
      <c r="DA77" s="1543">
        <f t="shared" si="146"/>
        <v>0</v>
      </c>
      <c r="DB77" s="1543">
        <f t="shared" si="146"/>
        <v>0</v>
      </c>
      <c r="DD77" s="1543">
        <f t="shared" si="147"/>
        <v>0</v>
      </c>
      <c r="DE77" s="1543">
        <f t="shared" si="148"/>
        <v>0</v>
      </c>
      <c r="DF77" s="1543">
        <f t="shared" si="149"/>
        <v>0</v>
      </c>
      <c r="DG77" s="1543">
        <f t="shared" si="162"/>
        <v>0</v>
      </c>
      <c r="DI77" s="1543">
        <f t="shared" si="163"/>
        <v>0</v>
      </c>
      <c r="DJ77" s="1543">
        <f t="shared" si="74"/>
        <v>0</v>
      </c>
      <c r="DK77" s="1543">
        <f t="shared" si="74"/>
        <v>0</v>
      </c>
      <c r="DL77" s="1543">
        <f t="shared" si="74"/>
        <v>0</v>
      </c>
      <c r="DM77" s="1543">
        <f t="shared" si="74"/>
        <v>0</v>
      </c>
      <c r="DO77" s="1543">
        <f t="shared" si="164"/>
        <v>0</v>
      </c>
      <c r="DP77" s="1543">
        <f t="shared" si="164"/>
        <v>0</v>
      </c>
      <c r="DQ77" s="1543">
        <f t="shared" si="164"/>
        <v>0</v>
      </c>
      <c r="DR77" s="1543">
        <f t="shared" si="164"/>
        <v>0</v>
      </c>
      <c r="DS77" s="1543">
        <f t="shared" si="164"/>
        <v>0</v>
      </c>
      <c r="DT77" s="1543">
        <f t="shared" si="164"/>
        <v>0</v>
      </c>
      <c r="DU77" s="1543">
        <f t="shared" si="164"/>
        <v>0</v>
      </c>
      <c r="DV77" s="1543">
        <f t="shared" si="164"/>
        <v>0</v>
      </c>
      <c r="DW77" s="1543">
        <f t="shared" si="164"/>
        <v>0</v>
      </c>
      <c r="DX77" s="1543">
        <f t="shared" si="164"/>
        <v>0</v>
      </c>
      <c r="DY77" s="1543">
        <f t="shared" si="164"/>
        <v>0</v>
      </c>
      <c r="DZ77" s="1543">
        <f t="shared" si="164"/>
        <v>0</v>
      </c>
      <c r="EA77" s="1543">
        <f t="shared" si="164"/>
        <v>0</v>
      </c>
      <c r="EB77" s="1543">
        <f t="shared" si="71"/>
        <v>0</v>
      </c>
      <c r="EC77" s="1543">
        <f t="shared" si="71"/>
        <v>0</v>
      </c>
      <c r="ED77" s="1543">
        <f t="shared" si="71"/>
        <v>0</v>
      </c>
      <c r="EE77" s="1543">
        <f t="shared" ref="EB77:EF114" si="180">IF($L77=EE$2,1,0)</f>
        <v>0</v>
      </c>
      <c r="EF77" s="1543">
        <f t="shared" si="180"/>
        <v>0</v>
      </c>
      <c r="EH77" s="1543">
        <f t="shared" si="165"/>
        <v>0</v>
      </c>
      <c r="EI77" s="1543">
        <f t="shared" si="166"/>
        <v>0</v>
      </c>
      <c r="EJ77" s="1543">
        <f t="shared" si="167"/>
        <v>0</v>
      </c>
      <c r="EK77" s="1543">
        <f t="shared" si="168"/>
        <v>0</v>
      </c>
      <c r="EL77" s="1543">
        <f t="shared" si="169"/>
        <v>0</v>
      </c>
      <c r="EM77" s="1543">
        <f t="shared" si="170"/>
        <v>0</v>
      </c>
      <c r="EN77" s="1543">
        <f t="shared" si="171"/>
        <v>0</v>
      </c>
      <c r="EP77" s="1543">
        <f t="shared" si="72"/>
        <v>0</v>
      </c>
      <c r="EQ77" s="1543">
        <f t="shared" si="72"/>
        <v>0</v>
      </c>
      <c r="ER77" s="1543">
        <f t="shared" si="72"/>
        <v>0</v>
      </c>
      <c r="ES77" s="1543">
        <f t="shared" si="72"/>
        <v>0</v>
      </c>
      <c r="ET77" s="1543">
        <f t="shared" si="123"/>
        <v>0</v>
      </c>
      <c r="EU77" s="1543">
        <f t="shared" si="123"/>
        <v>0</v>
      </c>
      <c r="EV77" s="1543">
        <f t="shared" si="123"/>
        <v>0</v>
      </c>
      <c r="EW77" s="1543">
        <f t="shared" si="123"/>
        <v>0</v>
      </c>
      <c r="EX77" s="1543">
        <f t="shared" si="123"/>
        <v>0</v>
      </c>
      <c r="EY77" s="1543">
        <f t="shared" ref="ET77:FD98" si="181">IF(EY$2="X",0,IF($Q77=EY$2,1,0))</f>
        <v>0</v>
      </c>
      <c r="EZ77" s="1543">
        <f t="shared" si="181"/>
        <v>0</v>
      </c>
      <c r="FA77" s="1543">
        <f t="shared" si="181"/>
        <v>0</v>
      </c>
      <c r="FB77" s="1543">
        <f t="shared" si="181"/>
        <v>0</v>
      </c>
      <c r="FC77" s="1543">
        <f t="shared" si="181"/>
        <v>0</v>
      </c>
      <c r="FD77" s="1543">
        <f t="shared" si="181"/>
        <v>0</v>
      </c>
      <c r="FE77" s="1543">
        <f t="shared" si="52"/>
        <v>0</v>
      </c>
      <c r="FF77" s="1543">
        <f t="shared" si="172"/>
        <v>1</v>
      </c>
      <c r="FH77" s="1543">
        <f t="shared" si="173"/>
        <v>0</v>
      </c>
      <c r="FI77" s="1543">
        <f t="shared" si="173"/>
        <v>0</v>
      </c>
      <c r="FJ77" s="1543">
        <f t="shared" si="173"/>
        <v>0</v>
      </c>
      <c r="FK77" s="1543">
        <f t="shared" si="173"/>
        <v>0</v>
      </c>
      <c r="FL77" s="1543">
        <f t="shared" si="173"/>
        <v>0</v>
      </c>
      <c r="FM77" s="1543">
        <f t="shared" si="173"/>
        <v>0</v>
      </c>
      <c r="FN77" s="1543">
        <f t="shared" si="173"/>
        <v>0</v>
      </c>
      <c r="FO77" s="1543">
        <f t="shared" si="173"/>
        <v>0</v>
      </c>
      <c r="FP77" s="1543">
        <f t="shared" si="173"/>
        <v>0</v>
      </c>
      <c r="FQ77" s="1543">
        <f t="shared" si="173"/>
        <v>0</v>
      </c>
      <c r="FR77" s="1543">
        <f t="shared" si="173"/>
        <v>0</v>
      </c>
      <c r="FS77" s="1543">
        <f t="shared" si="173"/>
        <v>0</v>
      </c>
      <c r="FT77" s="1543">
        <f t="shared" si="174"/>
        <v>0</v>
      </c>
      <c r="FV77" s="1543">
        <f t="shared" si="175"/>
        <v>1</v>
      </c>
      <c r="FW77" s="1543">
        <f t="shared" si="175"/>
        <v>0</v>
      </c>
      <c r="FX77" s="1543">
        <f t="shared" si="175"/>
        <v>0</v>
      </c>
      <c r="FY77" s="1543">
        <f t="shared" si="175"/>
        <v>0</v>
      </c>
      <c r="FZ77" s="1543">
        <f t="shared" si="175"/>
        <v>0</v>
      </c>
      <c r="GA77" s="1543">
        <f t="shared" si="175"/>
        <v>0</v>
      </c>
      <c r="GB77" s="1543">
        <f t="shared" si="175"/>
        <v>0</v>
      </c>
      <c r="GC77" s="1543">
        <f t="shared" si="175"/>
        <v>0</v>
      </c>
      <c r="GD77" s="1543">
        <f t="shared" si="175"/>
        <v>0</v>
      </c>
    </row>
    <row r="78" spans="1:186" s="982" customFormat="1" ht="15.6" x14ac:dyDescent="0.3">
      <c r="A78" s="974">
        <v>76</v>
      </c>
      <c r="B78" s="983"/>
      <c r="C78" s="984"/>
      <c r="D78" s="983"/>
      <c r="E78" s="968" t="str">
        <f>IFERROR(VLOOKUP($D78&amp;"."&amp;B78,'Piping Class'!$1:$1048576,MATCH($I78,'Piping Class'!$2:$2,0),0),"")</f>
        <v/>
      </c>
      <c r="F78" s="985" t="str">
        <f>IFERROR(IF(B78="Flange",VLOOKUP($D78,'Piping Class'!$88:$102,MATCH(F$1,'Piping Class'!$88:$88,0),0),""),"")</f>
        <v/>
      </c>
      <c r="G78" s="968" t="str">
        <f>IFERROR(IF(B78="Flange",VLOOKUP($D78,'Piping Class'!$88:$102,MATCH(G$1,'Piping Class'!$88:$88,0),0),""),"")</f>
        <v/>
      </c>
      <c r="H78" s="968" t="str">
        <f>IFERROR(VLOOKUP($D78,'Piping Class'!$88:$102,MATCH(H$1,'Piping Class'!$88:$88,0),0),"")</f>
        <v/>
      </c>
      <c r="I78" s="986"/>
      <c r="J78" s="987"/>
      <c r="K78" s="968" t="str">
        <f>IFERROR(VLOOKUP(I78,'Thickness Tab'!$1:$1048576,MATCH(L78,'Thickness Tab'!$1:$1,0),0),"")</f>
        <v/>
      </c>
      <c r="L78" s="969" t="str">
        <f>IFERROR(VLOOKUP($D78,'Piping Class'!$1:$1048576,MATCH($I78,'Piping Class'!$2:$2,0),0),"")</f>
        <v/>
      </c>
      <c r="M78" s="968" t="str">
        <f>IFERROR(VLOOKUP(J78,'Thickness Tab'!$1:$1048576,MATCH(N78,'Thickness Tab'!$1:$1,0),0),"")</f>
        <v/>
      </c>
      <c r="N78" s="969" t="str">
        <f>IFERROR(VLOOKUP($D78,'Piping Class'!$1:$1048576,MATCH($J78,'Piping Class'!$2:$2,0),0),"")</f>
        <v/>
      </c>
      <c r="O78" s="968" t="str">
        <f>IFERROR(VLOOKUP($D78,'Piping Class'!$88:$102,MATCH(O$1,'Piping Class'!$88:$88,0),0),"")</f>
        <v/>
      </c>
      <c r="P78" s="968" t="str">
        <f>IFERROR(VLOOKUP($D78,'Piping Class'!$88:$102,MATCH(P$1,'Piping Class'!$88:$88,0),0),"")</f>
        <v/>
      </c>
      <c r="Q78" s="983"/>
      <c r="R78" s="988"/>
      <c r="S78" s="969" t="str">
        <f t="shared" si="150"/>
        <v/>
      </c>
      <c r="T78" s="968">
        <f>IFERROR(VLOOKUP(I78&amp;"."&amp;L78,'Fitting Chart'!$1:$1048576,MATCH(C78,'Fitting Chart'!$1:$1,0),0),0)+IF(B78="piping",PI()*K78*(VLOOKUP(I78,'Thickness Tab'!$1:$1048576,3,0)-K78)*7.86/1000,0)+IF(B78="Flange",VLOOKUP(I78&amp;"F"&amp;F78,'Flanges Chart'!$1:$1048576,MATCH(C78&amp;"."&amp;T$1,'Flanges Chart'!$1:$1,0),0),0)</f>
        <v>0</v>
      </c>
      <c r="U78" s="989">
        <f t="shared" si="151"/>
        <v>0</v>
      </c>
      <c r="V78" s="1003"/>
      <c r="W78" s="1001">
        <f t="shared" si="152"/>
        <v>0</v>
      </c>
      <c r="X78" s="997"/>
      <c r="Y78" s="983"/>
      <c r="Z78" s="989">
        <f>IF(B78="Piping",VLOOKUP(I78,'Thickness Tab'!$1:$1048576,3,0)/1000*PI(),0)+IFERROR(VLOOKUP(I78&amp;"F"&amp;F78,'Flanges Chart'!$1:$1048576,MATCH(C78&amp;".Unit Surface",'Flanges Chart'!$1:$1,0),0),0)+IF(B78="Fitting",VLOOKUP(I78,'Thickness Tab'!$1:$1048576,3,0)/1000*PI(),0)</f>
        <v>0</v>
      </c>
      <c r="AA78" s="989">
        <f t="shared" si="153"/>
        <v>0</v>
      </c>
      <c r="AB78" s="983">
        <v>0</v>
      </c>
      <c r="AC78" s="989">
        <f t="shared" si="154"/>
        <v>0</v>
      </c>
      <c r="AD78" s="989">
        <f t="shared" si="155"/>
        <v>0</v>
      </c>
      <c r="AE78" s="974">
        <f>(IFERROR(VLOOKUP($C78,List!$J:$L,2,0),0)*R78+IF(B78="piping",R78,0)+IF(C78="Welding Neck",1,0)*R78)*$AE$2</f>
        <v>0</v>
      </c>
      <c r="AF78" s="970">
        <f>IFERROR(VLOOKUP($C78,List!$J:$L,3,0),0)*R78*$AF$2</f>
        <v>0</v>
      </c>
      <c r="AG78" s="990">
        <f t="shared" si="156"/>
        <v>0</v>
      </c>
      <c r="AH78" s="1118" t="str">
        <f>IFERROR(VLOOKUP($D78,'Piping Class'!$88:$102,MATCH(AH$1,'Piping Class'!$88:$88,0),0),"")</f>
        <v/>
      </c>
      <c r="AI78" s="991" t="str">
        <f>IFERROR(VLOOKUP($D78,'Piping Class'!$88:$102,MATCH(AI$1,'Piping Class'!$88:$88,0),0),"")</f>
        <v/>
      </c>
      <c r="AJ78" s="991" t="str">
        <f>IFERROR(VLOOKUP($D78,'Piping Class'!$88:$102,MATCH(AJ$1,'Piping Class'!$88:$88,0),0),"")</f>
        <v/>
      </c>
      <c r="AK78" s="991" t="str">
        <f>IFERROR(VLOOKUP($D78,'Piping Class'!$88:$102,MATCH(AK$1,'Piping Class'!$88:$88,0),0),"")</f>
        <v/>
      </c>
      <c r="AL78" s="991">
        <f t="shared" ref="AL78:AL139" si="182">IF(H78="SS",1,0)</f>
        <v>0</v>
      </c>
      <c r="AM78" s="1119" t="str">
        <f>IFERROR(VLOOKUP($D78,'Piping Class'!$88:$102,MATCH(AM$1,'Piping Class'!$88:$88,0),0),"")</f>
        <v/>
      </c>
      <c r="AN78" s="992">
        <f t="shared" si="157"/>
        <v>0</v>
      </c>
      <c r="AO78" s="993">
        <f>IFERROR(VLOOKUP(I78&amp;"B"&amp;F78,'Bolting Chart'!$1:$1048576,4,0),0)</f>
        <v>0</v>
      </c>
      <c r="AP78" s="993">
        <f t="shared" si="158"/>
        <v>0</v>
      </c>
      <c r="AQ78" s="993">
        <f t="shared" si="159"/>
        <v>0</v>
      </c>
      <c r="AR78" s="993">
        <f>IF(AO78=0,0,VLOOKUP(D78&amp;".bolting",'Piping Class'!$1:$1048576,MATCH(I78,'Piping Class'!$2:$2,0),0))</f>
        <v>0</v>
      </c>
      <c r="AS78" s="994">
        <f>IFERROR(VLOOKUP(I78&amp;"B"&amp;F78,'Bolting Chart'!$1:$1048576,IF(AS$2="UNC",5,6),0),0)</f>
        <v>0</v>
      </c>
      <c r="AT78" s="995">
        <f>IFERROR(VLOOKUP(I78&amp;"B"&amp;F78,'Bolting Chart'!$1:$1048576,IF(G78="RF",8,9),0),0)</f>
        <v>0</v>
      </c>
      <c r="AU78" s="993">
        <f>IF(AO78=0,0,VLOOKUP(D78&amp;".gasket",'Piping Class'!$1:$1048576,MATCH(I78,'Piping Class'!$2:$2,0),0))</f>
        <v>0</v>
      </c>
      <c r="AV78" s="996">
        <f>(IFERROR(INDEX('Bolting Chart'!$A$169:$R$251,MATCH(AT78,'Bolting Chart'!$A$170:$A$251,0),MATCH(IFERROR(VLOOKUP(I78&amp;"B"&amp;F78,'Bolting Chart'!$1:$1048576,7,0),0)+0,'Bolting Chart'!$A$169:$R$169,0)),0))/100</f>
        <v>0</v>
      </c>
      <c r="AW78" s="996">
        <f t="shared" si="160"/>
        <v>0</v>
      </c>
      <c r="AX78" s="1194">
        <f t="shared" si="161"/>
        <v>0</v>
      </c>
      <c r="AY78" s="981"/>
      <c r="AZ78" s="1543">
        <f t="shared" si="176"/>
        <v>0</v>
      </c>
      <c r="BA78" s="1543">
        <f t="shared" si="176"/>
        <v>0</v>
      </c>
      <c r="BB78" s="1543">
        <f t="shared" si="176"/>
        <v>0</v>
      </c>
      <c r="BC78" s="1543">
        <f t="shared" si="176"/>
        <v>0</v>
      </c>
      <c r="BD78" s="1543">
        <f t="shared" si="176"/>
        <v>0</v>
      </c>
      <c r="BE78" s="1543">
        <f t="shared" si="176"/>
        <v>0</v>
      </c>
      <c r="BF78" s="1543">
        <f t="shared" si="176"/>
        <v>0</v>
      </c>
      <c r="BG78" s="1543">
        <f t="shared" si="176"/>
        <v>0</v>
      </c>
      <c r="BH78" s="1543">
        <f t="shared" si="176"/>
        <v>0</v>
      </c>
      <c r="BI78" s="1543">
        <f t="shared" si="176"/>
        <v>0</v>
      </c>
      <c r="BJ78" s="1543">
        <f t="shared" si="176"/>
        <v>0</v>
      </c>
      <c r="BK78" s="1543">
        <f t="shared" si="176"/>
        <v>0</v>
      </c>
      <c r="BL78" s="1543">
        <f t="shared" si="176"/>
        <v>0</v>
      </c>
      <c r="BM78" s="1543">
        <f t="shared" si="176"/>
        <v>0</v>
      </c>
      <c r="BN78" s="1543">
        <f t="shared" si="176"/>
        <v>0</v>
      </c>
      <c r="BO78" s="1543">
        <f t="shared" si="176"/>
        <v>0</v>
      </c>
      <c r="BP78" s="1543">
        <f t="shared" si="178"/>
        <v>0</v>
      </c>
      <c r="BQ78" s="1543">
        <f t="shared" si="178"/>
        <v>0</v>
      </c>
      <c r="BR78" s="1543">
        <f t="shared" si="178"/>
        <v>0</v>
      </c>
      <c r="BS78" s="1543">
        <f t="shared" si="178"/>
        <v>0</v>
      </c>
      <c r="BT78" s="1543">
        <f t="shared" si="178"/>
        <v>0</v>
      </c>
      <c r="BU78" s="1543">
        <f t="shared" si="178"/>
        <v>0</v>
      </c>
      <c r="BV78" s="1543">
        <f t="shared" si="178"/>
        <v>0</v>
      </c>
      <c r="BW78" s="1543">
        <f t="shared" si="178"/>
        <v>0</v>
      </c>
      <c r="BX78" s="1543">
        <f t="shared" si="178"/>
        <v>0</v>
      </c>
      <c r="BY78" s="1543">
        <f t="shared" si="178"/>
        <v>0</v>
      </c>
      <c r="BZ78" s="1543">
        <f t="shared" si="178"/>
        <v>0</v>
      </c>
      <c r="CB78" s="1543">
        <f t="shared" si="177"/>
        <v>0</v>
      </c>
      <c r="CC78" s="1543">
        <f t="shared" si="177"/>
        <v>0</v>
      </c>
      <c r="CD78" s="1543">
        <f t="shared" si="177"/>
        <v>0</v>
      </c>
      <c r="CE78" s="1543">
        <f t="shared" si="177"/>
        <v>0</v>
      </c>
      <c r="CF78" s="1543">
        <f t="shared" si="177"/>
        <v>0</v>
      </c>
      <c r="CG78" s="1543">
        <f t="shared" si="177"/>
        <v>0</v>
      </c>
      <c r="CH78" s="1543">
        <f t="shared" si="177"/>
        <v>0</v>
      </c>
      <c r="CI78" s="1543">
        <f t="shared" si="177"/>
        <v>0</v>
      </c>
      <c r="CJ78" s="1543">
        <f t="shared" si="177"/>
        <v>0</v>
      </c>
      <c r="CK78" s="1543">
        <f t="shared" si="177"/>
        <v>0</v>
      </c>
      <c r="CL78" s="1543">
        <f t="shared" si="177"/>
        <v>0</v>
      </c>
      <c r="CM78" s="1543">
        <f t="shared" si="177"/>
        <v>0</v>
      </c>
      <c r="CN78" s="1543">
        <f t="shared" si="177"/>
        <v>0</v>
      </c>
      <c r="CO78" s="1543">
        <f t="shared" si="177"/>
        <v>0</v>
      </c>
      <c r="CP78" s="1543">
        <f t="shared" si="177"/>
        <v>0</v>
      </c>
      <c r="CQ78" s="1543">
        <f t="shared" si="177"/>
        <v>0</v>
      </c>
      <c r="CR78" s="1543">
        <f t="shared" si="179"/>
        <v>0</v>
      </c>
      <c r="CS78" s="1543">
        <f t="shared" si="179"/>
        <v>0</v>
      </c>
      <c r="CT78" s="1543">
        <f t="shared" si="146"/>
        <v>0</v>
      </c>
      <c r="CU78" s="1543">
        <f t="shared" si="146"/>
        <v>0</v>
      </c>
      <c r="CV78" s="1543">
        <f t="shared" si="146"/>
        <v>0</v>
      </c>
      <c r="CW78" s="1543">
        <f t="shared" si="146"/>
        <v>0</v>
      </c>
      <c r="CX78" s="1543">
        <f t="shared" si="146"/>
        <v>0</v>
      </c>
      <c r="CY78" s="1543">
        <f t="shared" si="146"/>
        <v>0</v>
      </c>
      <c r="CZ78" s="1543">
        <f t="shared" si="146"/>
        <v>0</v>
      </c>
      <c r="DA78" s="1543">
        <f t="shared" si="146"/>
        <v>0</v>
      </c>
      <c r="DB78" s="1543">
        <f t="shared" si="146"/>
        <v>0</v>
      </c>
      <c r="DD78" s="1543">
        <f t="shared" si="147"/>
        <v>0</v>
      </c>
      <c r="DE78" s="1543">
        <f t="shared" si="148"/>
        <v>0</v>
      </c>
      <c r="DF78" s="1543">
        <f t="shared" si="149"/>
        <v>0</v>
      </c>
      <c r="DG78" s="1543">
        <f t="shared" si="162"/>
        <v>0</v>
      </c>
      <c r="DI78" s="1543">
        <f t="shared" si="163"/>
        <v>0</v>
      </c>
      <c r="DJ78" s="1543">
        <f t="shared" si="74"/>
        <v>0</v>
      </c>
      <c r="DK78" s="1543">
        <f t="shared" si="74"/>
        <v>0</v>
      </c>
      <c r="DL78" s="1543">
        <f t="shared" si="74"/>
        <v>0</v>
      </c>
      <c r="DM78" s="1543">
        <f t="shared" si="74"/>
        <v>0</v>
      </c>
      <c r="DO78" s="1543">
        <f t="shared" si="164"/>
        <v>0</v>
      </c>
      <c r="DP78" s="1543">
        <f t="shared" si="164"/>
        <v>0</v>
      </c>
      <c r="DQ78" s="1543">
        <f t="shared" si="164"/>
        <v>0</v>
      </c>
      <c r="DR78" s="1543">
        <f t="shared" si="164"/>
        <v>0</v>
      </c>
      <c r="DS78" s="1543">
        <f t="shared" si="164"/>
        <v>0</v>
      </c>
      <c r="DT78" s="1543">
        <f t="shared" si="164"/>
        <v>0</v>
      </c>
      <c r="DU78" s="1543">
        <f t="shared" si="164"/>
        <v>0</v>
      </c>
      <c r="DV78" s="1543">
        <f t="shared" si="164"/>
        <v>0</v>
      </c>
      <c r="DW78" s="1543">
        <f t="shared" si="164"/>
        <v>0</v>
      </c>
      <c r="DX78" s="1543">
        <f t="shared" si="164"/>
        <v>0</v>
      </c>
      <c r="DY78" s="1543">
        <f t="shared" si="164"/>
        <v>0</v>
      </c>
      <c r="DZ78" s="1543">
        <f t="shared" si="164"/>
        <v>0</v>
      </c>
      <c r="EA78" s="1543">
        <f t="shared" si="164"/>
        <v>0</v>
      </c>
      <c r="EB78" s="1543">
        <f t="shared" si="180"/>
        <v>0</v>
      </c>
      <c r="EC78" s="1543">
        <f t="shared" si="180"/>
        <v>0</v>
      </c>
      <c r="ED78" s="1543">
        <f t="shared" si="180"/>
        <v>0</v>
      </c>
      <c r="EE78" s="1543">
        <f t="shared" si="180"/>
        <v>0</v>
      </c>
      <c r="EF78" s="1543">
        <f t="shared" si="180"/>
        <v>0</v>
      </c>
      <c r="EH78" s="1543">
        <f t="shared" si="165"/>
        <v>0</v>
      </c>
      <c r="EI78" s="1543">
        <f t="shared" si="166"/>
        <v>0</v>
      </c>
      <c r="EJ78" s="1543">
        <f t="shared" si="167"/>
        <v>0</v>
      </c>
      <c r="EK78" s="1543">
        <f t="shared" si="168"/>
        <v>0</v>
      </c>
      <c r="EL78" s="1543">
        <f t="shared" si="169"/>
        <v>0</v>
      </c>
      <c r="EM78" s="1543">
        <f t="shared" si="170"/>
        <v>0</v>
      </c>
      <c r="EN78" s="1543">
        <f t="shared" si="171"/>
        <v>0</v>
      </c>
      <c r="EP78" s="1543">
        <f t="shared" si="72"/>
        <v>0</v>
      </c>
      <c r="EQ78" s="1543">
        <f t="shared" si="72"/>
        <v>0</v>
      </c>
      <c r="ER78" s="1543">
        <f t="shared" si="72"/>
        <v>0</v>
      </c>
      <c r="ES78" s="1543">
        <f t="shared" si="72"/>
        <v>0</v>
      </c>
      <c r="ET78" s="1543">
        <f t="shared" si="181"/>
        <v>0</v>
      </c>
      <c r="EU78" s="1543">
        <f t="shared" si="181"/>
        <v>0</v>
      </c>
      <c r="EV78" s="1543">
        <f t="shared" si="181"/>
        <v>0</v>
      </c>
      <c r="EW78" s="1543">
        <f t="shared" si="181"/>
        <v>0</v>
      </c>
      <c r="EX78" s="1543">
        <f t="shared" si="181"/>
        <v>0</v>
      </c>
      <c r="EY78" s="1543">
        <f t="shared" si="181"/>
        <v>0</v>
      </c>
      <c r="EZ78" s="1543">
        <f t="shared" si="181"/>
        <v>0</v>
      </c>
      <c r="FA78" s="1543">
        <f t="shared" si="181"/>
        <v>0</v>
      </c>
      <c r="FB78" s="1543">
        <f t="shared" si="181"/>
        <v>0</v>
      </c>
      <c r="FC78" s="1543">
        <f t="shared" si="181"/>
        <v>0</v>
      </c>
      <c r="FD78" s="1543">
        <f t="shared" si="181"/>
        <v>0</v>
      </c>
      <c r="FE78" s="1543">
        <f t="shared" si="52"/>
        <v>0</v>
      </c>
      <c r="FF78" s="1543">
        <f t="shared" si="172"/>
        <v>1</v>
      </c>
      <c r="FH78" s="1543">
        <f t="shared" si="173"/>
        <v>0</v>
      </c>
      <c r="FI78" s="1543">
        <f t="shared" si="173"/>
        <v>0</v>
      </c>
      <c r="FJ78" s="1543">
        <f t="shared" si="173"/>
        <v>0</v>
      </c>
      <c r="FK78" s="1543">
        <f t="shared" si="173"/>
        <v>0</v>
      </c>
      <c r="FL78" s="1543">
        <f t="shared" si="173"/>
        <v>0</v>
      </c>
      <c r="FM78" s="1543">
        <f t="shared" si="173"/>
        <v>0</v>
      </c>
      <c r="FN78" s="1543">
        <f t="shared" si="173"/>
        <v>0</v>
      </c>
      <c r="FO78" s="1543">
        <f t="shared" si="173"/>
        <v>0</v>
      </c>
      <c r="FP78" s="1543">
        <f t="shared" si="173"/>
        <v>0</v>
      </c>
      <c r="FQ78" s="1543">
        <f t="shared" si="173"/>
        <v>0</v>
      </c>
      <c r="FR78" s="1543">
        <f t="shared" si="173"/>
        <v>0</v>
      </c>
      <c r="FS78" s="1543">
        <f t="shared" si="173"/>
        <v>0</v>
      </c>
      <c r="FT78" s="1543">
        <f t="shared" si="174"/>
        <v>0</v>
      </c>
      <c r="FV78" s="1543">
        <f t="shared" si="175"/>
        <v>1</v>
      </c>
      <c r="FW78" s="1543">
        <f t="shared" si="175"/>
        <v>0</v>
      </c>
      <c r="FX78" s="1543">
        <f t="shared" si="175"/>
        <v>0</v>
      </c>
      <c r="FY78" s="1543">
        <f t="shared" si="175"/>
        <v>0</v>
      </c>
      <c r="FZ78" s="1543">
        <f t="shared" si="175"/>
        <v>0</v>
      </c>
      <c r="GA78" s="1543">
        <f t="shared" si="175"/>
        <v>0</v>
      </c>
      <c r="GB78" s="1543">
        <f t="shared" si="175"/>
        <v>0</v>
      </c>
      <c r="GC78" s="1543">
        <f t="shared" si="175"/>
        <v>0</v>
      </c>
      <c r="GD78" s="1543">
        <f t="shared" si="175"/>
        <v>0</v>
      </c>
    </row>
    <row r="79" spans="1:186" s="982" customFormat="1" ht="15.6" x14ac:dyDescent="0.3">
      <c r="A79" s="974">
        <v>77</v>
      </c>
      <c r="B79" s="983"/>
      <c r="C79" s="984"/>
      <c r="D79" s="983"/>
      <c r="E79" s="968" t="str">
        <f>IFERROR(VLOOKUP($D79&amp;"."&amp;B79,'Piping Class'!$1:$1048576,MATCH($I79,'Piping Class'!$2:$2,0),0),"")</f>
        <v/>
      </c>
      <c r="F79" s="985" t="str">
        <f>IFERROR(IF(B79="Flange",VLOOKUP($D79,'Piping Class'!$88:$102,MATCH(F$1,'Piping Class'!$88:$88,0),0),""),"")</f>
        <v/>
      </c>
      <c r="G79" s="968" t="str">
        <f>IFERROR(IF(B79="Flange",VLOOKUP($D79,'Piping Class'!$88:$102,MATCH(G$1,'Piping Class'!$88:$88,0),0),""),"")</f>
        <v/>
      </c>
      <c r="H79" s="968" t="str">
        <f>IFERROR(VLOOKUP($D79,'Piping Class'!$88:$102,MATCH(H$1,'Piping Class'!$88:$88,0),0),"")</f>
        <v/>
      </c>
      <c r="I79" s="986"/>
      <c r="J79" s="987"/>
      <c r="K79" s="968" t="str">
        <f>IFERROR(VLOOKUP(I79,'Thickness Tab'!$1:$1048576,MATCH(L79,'Thickness Tab'!$1:$1,0),0),"")</f>
        <v/>
      </c>
      <c r="L79" s="969" t="str">
        <f>IFERROR(VLOOKUP($D79,'Piping Class'!$1:$1048576,MATCH($I79,'Piping Class'!$2:$2,0),0),"")</f>
        <v/>
      </c>
      <c r="M79" s="968" t="str">
        <f>IFERROR(VLOOKUP(J79,'Thickness Tab'!$1:$1048576,MATCH(N79,'Thickness Tab'!$1:$1,0),0),"")</f>
        <v/>
      </c>
      <c r="N79" s="969" t="str">
        <f>IFERROR(VLOOKUP($D79,'Piping Class'!$1:$1048576,MATCH($J79,'Piping Class'!$2:$2,0),0),"")</f>
        <v/>
      </c>
      <c r="O79" s="968" t="str">
        <f>IFERROR(VLOOKUP($D79,'Piping Class'!$88:$102,MATCH(O$1,'Piping Class'!$88:$88,0),0),"")</f>
        <v/>
      </c>
      <c r="P79" s="968" t="str">
        <f>IFERROR(VLOOKUP($D79,'Piping Class'!$88:$102,MATCH(P$1,'Piping Class'!$88:$88,0),0),"")</f>
        <v/>
      </c>
      <c r="Q79" s="983"/>
      <c r="R79" s="988"/>
      <c r="S79" s="969" t="str">
        <f t="shared" si="150"/>
        <v/>
      </c>
      <c r="T79" s="968">
        <f>IFERROR(VLOOKUP(I79&amp;"."&amp;L79,'Fitting Chart'!$1:$1048576,MATCH(C79,'Fitting Chart'!$1:$1,0),0),0)+IF(B79="piping",PI()*K79*(VLOOKUP(I79,'Thickness Tab'!$1:$1048576,3,0)-K79)*7.86/1000,0)+IF(B79="Flange",VLOOKUP(I79&amp;"F"&amp;F79,'Flanges Chart'!$1:$1048576,MATCH(C79&amp;"."&amp;T$1,'Flanges Chart'!$1:$1,0),0),0)</f>
        <v>0</v>
      </c>
      <c r="U79" s="989">
        <f t="shared" si="151"/>
        <v>0</v>
      </c>
      <c r="V79" s="1003"/>
      <c r="W79" s="1001">
        <f t="shared" si="152"/>
        <v>0</v>
      </c>
      <c r="X79" s="997"/>
      <c r="Y79" s="983"/>
      <c r="Z79" s="989">
        <f>IF(B79="Piping",VLOOKUP(I79,'Thickness Tab'!$1:$1048576,3,0)/1000*PI(),0)+IFERROR(VLOOKUP(I79&amp;"F"&amp;F79,'Flanges Chart'!$1:$1048576,MATCH(C79&amp;".Unit Surface",'Flanges Chart'!$1:$1,0),0),0)+IF(B79="Fitting",VLOOKUP(I79,'Thickness Tab'!$1:$1048576,3,0)/1000*PI(),0)</f>
        <v>0</v>
      </c>
      <c r="AA79" s="989">
        <f t="shared" si="153"/>
        <v>0</v>
      </c>
      <c r="AB79" s="983">
        <v>0</v>
      </c>
      <c r="AC79" s="989">
        <f t="shared" si="154"/>
        <v>0</v>
      </c>
      <c r="AD79" s="989">
        <f t="shared" si="155"/>
        <v>0</v>
      </c>
      <c r="AE79" s="974">
        <f>(IFERROR(VLOOKUP($C79,List!$J:$L,2,0),0)*R79+IF(B79="piping",R79,0)+IF(C79="Welding Neck",1,0)*R79)*$AE$2</f>
        <v>0</v>
      </c>
      <c r="AF79" s="970">
        <f>IFERROR(VLOOKUP($C79,List!$J:$L,3,0),0)*R79*$AF$2</f>
        <v>0</v>
      </c>
      <c r="AG79" s="990">
        <f t="shared" si="156"/>
        <v>0</v>
      </c>
      <c r="AH79" s="1118" t="str">
        <f>IFERROR(VLOOKUP($D79,'Piping Class'!$88:$102,MATCH(AH$1,'Piping Class'!$88:$88,0),0),"")</f>
        <v/>
      </c>
      <c r="AI79" s="991" t="str">
        <f>IFERROR(VLOOKUP($D79,'Piping Class'!$88:$102,MATCH(AI$1,'Piping Class'!$88:$88,0),0),"")</f>
        <v/>
      </c>
      <c r="AJ79" s="991" t="str">
        <f>IFERROR(VLOOKUP($D79,'Piping Class'!$88:$102,MATCH(AJ$1,'Piping Class'!$88:$88,0),0),"")</f>
        <v/>
      </c>
      <c r="AK79" s="991" t="str">
        <f>IFERROR(VLOOKUP($D79,'Piping Class'!$88:$102,MATCH(AK$1,'Piping Class'!$88:$88,0),0),"")</f>
        <v/>
      </c>
      <c r="AL79" s="991">
        <f t="shared" si="182"/>
        <v>0</v>
      </c>
      <c r="AM79" s="1119" t="str">
        <f>IFERROR(VLOOKUP($D79,'Piping Class'!$88:$102,MATCH(AM$1,'Piping Class'!$88:$88,0),0),"")</f>
        <v/>
      </c>
      <c r="AN79" s="992">
        <f t="shared" si="157"/>
        <v>0</v>
      </c>
      <c r="AO79" s="993">
        <f>IFERROR(VLOOKUP(I79&amp;"B"&amp;F79,'Bolting Chart'!$1:$1048576,4,0),0)</f>
        <v>0</v>
      </c>
      <c r="AP79" s="993">
        <f t="shared" si="158"/>
        <v>0</v>
      </c>
      <c r="AQ79" s="993">
        <f t="shared" si="159"/>
        <v>0</v>
      </c>
      <c r="AR79" s="993">
        <f>IF(AO79=0,0,VLOOKUP(D79&amp;".bolting",'Piping Class'!$1:$1048576,MATCH(I79,'Piping Class'!$2:$2,0),0))</f>
        <v>0</v>
      </c>
      <c r="AS79" s="994">
        <f>IFERROR(VLOOKUP(I79&amp;"B"&amp;F79,'Bolting Chart'!$1:$1048576,IF(AS$2="UNC",5,6),0),0)</f>
        <v>0</v>
      </c>
      <c r="AT79" s="995">
        <f>IFERROR(VLOOKUP(I79&amp;"B"&amp;F79,'Bolting Chart'!$1:$1048576,IF(G79="RF",8,9),0),0)</f>
        <v>0</v>
      </c>
      <c r="AU79" s="993">
        <f>IF(AO79=0,0,VLOOKUP(D79&amp;".gasket",'Piping Class'!$1:$1048576,MATCH(I79,'Piping Class'!$2:$2,0),0))</f>
        <v>0</v>
      </c>
      <c r="AV79" s="996">
        <f>(IFERROR(INDEX('Bolting Chart'!$A$169:$R$251,MATCH(AT79,'Bolting Chart'!$A$170:$A$251,0),MATCH(IFERROR(VLOOKUP(I79&amp;"B"&amp;F79,'Bolting Chart'!$1:$1048576,7,0),0)+0,'Bolting Chart'!$A$169:$R$169,0)),0))/100</f>
        <v>0</v>
      </c>
      <c r="AW79" s="996">
        <f t="shared" si="160"/>
        <v>0</v>
      </c>
      <c r="AX79" s="1194">
        <f t="shared" si="161"/>
        <v>0</v>
      </c>
      <c r="AY79" s="981"/>
      <c r="AZ79" s="1543">
        <f t="shared" si="176"/>
        <v>0</v>
      </c>
      <c r="BA79" s="1543">
        <f t="shared" si="176"/>
        <v>0</v>
      </c>
      <c r="BB79" s="1543">
        <f t="shared" si="176"/>
        <v>0</v>
      </c>
      <c r="BC79" s="1543">
        <f t="shared" si="176"/>
        <v>0</v>
      </c>
      <c r="BD79" s="1543">
        <f t="shared" si="176"/>
        <v>0</v>
      </c>
      <c r="BE79" s="1543">
        <f t="shared" si="176"/>
        <v>0</v>
      </c>
      <c r="BF79" s="1543">
        <f t="shared" si="176"/>
        <v>0</v>
      </c>
      <c r="BG79" s="1543">
        <f t="shared" si="176"/>
        <v>0</v>
      </c>
      <c r="BH79" s="1543">
        <f t="shared" si="176"/>
        <v>0</v>
      </c>
      <c r="BI79" s="1543">
        <f t="shared" si="176"/>
        <v>0</v>
      </c>
      <c r="BJ79" s="1543">
        <f t="shared" si="176"/>
        <v>0</v>
      </c>
      <c r="BK79" s="1543">
        <f t="shared" si="176"/>
        <v>0</v>
      </c>
      <c r="BL79" s="1543">
        <f t="shared" si="176"/>
        <v>0</v>
      </c>
      <c r="BM79" s="1543">
        <f t="shared" si="176"/>
        <v>0</v>
      </c>
      <c r="BN79" s="1543">
        <f t="shared" si="176"/>
        <v>0</v>
      </c>
      <c r="BO79" s="1543">
        <f t="shared" si="176"/>
        <v>0</v>
      </c>
      <c r="BP79" s="1543">
        <f t="shared" si="178"/>
        <v>0</v>
      </c>
      <c r="BQ79" s="1543">
        <f t="shared" si="178"/>
        <v>0</v>
      </c>
      <c r="BR79" s="1543">
        <f t="shared" si="178"/>
        <v>0</v>
      </c>
      <c r="BS79" s="1543">
        <f t="shared" si="178"/>
        <v>0</v>
      </c>
      <c r="BT79" s="1543">
        <f t="shared" si="178"/>
        <v>0</v>
      </c>
      <c r="BU79" s="1543">
        <f t="shared" si="178"/>
        <v>0</v>
      </c>
      <c r="BV79" s="1543">
        <f t="shared" si="178"/>
        <v>0</v>
      </c>
      <c r="BW79" s="1543">
        <f t="shared" si="178"/>
        <v>0</v>
      </c>
      <c r="BX79" s="1543">
        <f t="shared" si="178"/>
        <v>0</v>
      </c>
      <c r="BY79" s="1543">
        <f t="shared" si="178"/>
        <v>0</v>
      </c>
      <c r="BZ79" s="1543">
        <f t="shared" si="178"/>
        <v>0</v>
      </c>
      <c r="CB79" s="1543">
        <f t="shared" si="177"/>
        <v>0</v>
      </c>
      <c r="CC79" s="1543">
        <f t="shared" si="177"/>
        <v>0</v>
      </c>
      <c r="CD79" s="1543">
        <f t="shared" si="177"/>
        <v>0</v>
      </c>
      <c r="CE79" s="1543">
        <f t="shared" si="177"/>
        <v>0</v>
      </c>
      <c r="CF79" s="1543">
        <f t="shared" si="177"/>
        <v>0</v>
      </c>
      <c r="CG79" s="1543">
        <f t="shared" si="177"/>
        <v>0</v>
      </c>
      <c r="CH79" s="1543">
        <f t="shared" si="177"/>
        <v>0</v>
      </c>
      <c r="CI79" s="1543">
        <f t="shared" si="177"/>
        <v>0</v>
      </c>
      <c r="CJ79" s="1543">
        <f t="shared" si="177"/>
        <v>0</v>
      </c>
      <c r="CK79" s="1543">
        <f t="shared" si="177"/>
        <v>0</v>
      </c>
      <c r="CL79" s="1543">
        <f t="shared" si="177"/>
        <v>0</v>
      </c>
      <c r="CM79" s="1543">
        <f t="shared" si="177"/>
        <v>0</v>
      </c>
      <c r="CN79" s="1543">
        <f t="shared" si="177"/>
        <v>0</v>
      </c>
      <c r="CO79" s="1543">
        <f t="shared" si="177"/>
        <v>0</v>
      </c>
      <c r="CP79" s="1543">
        <f t="shared" si="177"/>
        <v>0</v>
      </c>
      <c r="CQ79" s="1543">
        <f t="shared" si="177"/>
        <v>0</v>
      </c>
      <c r="CR79" s="1543">
        <f t="shared" si="179"/>
        <v>0</v>
      </c>
      <c r="CS79" s="1543">
        <f t="shared" si="179"/>
        <v>0</v>
      </c>
      <c r="CT79" s="1543">
        <f t="shared" si="146"/>
        <v>0</v>
      </c>
      <c r="CU79" s="1543">
        <f t="shared" si="146"/>
        <v>0</v>
      </c>
      <c r="CV79" s="1543">
        <f t="shared" si="146"/>
        <v>0</v>
      </c>
      <c r="CW79" s="1543">
        <f t="shared" si="146"/>
        <v>0</v>
      </c>
      <c r="CX79" s="1543">
        <f t="shared" si="146"/>
        <v>0</v>
      </c>
      <c r="CY79" s="1543">
        <f t="shared" si="146"/>
        <v>0</v>
      </c>
      <c r="CZ79" s="1543">
        <f t="shared" si="146"/>
        <v>0</v>
      </c>
      <c r="DA79" s="1543">
        <f t="shared" si="146"/>
        <v>0</v>
      </c>
      <c r="DB79" s="1543">
        <f t="shared" si="146"/>
        <v>0</v>
      </c>
      <c r="DD79" s="1543">
        <f t="shared" si="147"/>
        <v>0</v>
      </c>
      <c r="DE79" s="1543">
        <f t="shared" si="148"/>
        <v>0</v>
      </c>
      <c r="DF79" s="1543">
        <f t="shared" si="149"/>
        <v>0</v>
      </c>
      <c r="DG79" s="1543">
        <f t="shared" si="162"/>
        <v>0</v>
      </c>
      <c r="DI79" s="1543">
        <f t="shared" si="163"/>
        <v>0</v>
      </c>
      <c r="DJ79" s="1543">
        <f t="shared" si="74"/>
        <v>0</v>
      </c>
      <c r="DK79" s="1543">
        <f t="shared" si="74"/>
        <v>0</v>
      </c>
      <c r="DL79" s="1543">
        <f t="shared" si="74"/>
        <v>0</v>
      </c>
      <c r="DM79" s="1543">
        <f t="shared" si="74"/>
        <v>0</v>
      </c>
      <c r="DO79" s="1543">
        <f t="shared" si="164"/>
        <v>0</v>
      </c>
      <c r="DP79" s="1543">
        <f t="shared" si="164"/>
        <v>0</v>
      </c>
      <c r="DQ79" s="1543">
        <f t="shared" si="164"/>
        <v>0</v>
      </c>
      <c r="DR79" s="1543">
        <f t="shared" si="164"/>
        <v>0</v>
      </c>
      <c r="DS79" s="1543">
        <f t="shared" si="164"/>
        <v>0</v>
      </c>
      <c r="DT79" s="1543">
        <f t="shared" si="164"/>
        <v>0</v>
      </c>
      <c r="DU79" s="1543">
        <f t="shared" si="164"/>
        <v>0</v>
      </c>
      <c r="DV79" s="1543">
        <f t="shared" si="164"/>
        <v>0</v>
      </c>
      <c r="DW79" s="1543">
        <f t="shared" si="164"/>
        <v>0</v>
      </c>
      <c r="DX79" s="1543">
        <f t="shared" si="164"/>
        <v>0</v>
      </c>
      <c r="DY79" s="1543">
        <f t="shared" si="164"/>
        <v>0</v>
      </c>
      <c r="DZ79" s="1543">
        <f t="shared" si="164"/>
        <v>0</v>
      </c>
      <c r="EA79" s="1543">
        <f t="shared" si="164"/>
        <v>0</v>
      </c>
      <c r="EB79" s="1543">
        <f t="shared" si="180"/>
        <v>0</v>
      </c>
      <c r="EC79" s="1543">
        <f t="shared" si="180"/>
        <v>0</v>
      </c>
      <c r="ED79" s="1543">
        <f t="shared" si="180"/>
        <v>0</v>
      </c>
      <c r="EE79" s="1543">
        <f t="shared" si="180"/>
        <v>0</v>
      </c>
      <c r="EF79" s="1543">
        <f t="shared" si="180"/>
        <v>0</v>
      </c>
      <c r="EH79" s="1543">
        <f t="shared" si="165"/>
        <v>0</v>
      </c>
      <c r="EI79" s="1543">
        <f t="shared" si="166"/>
        <v>0</v>
      </c>
      <c r="EJ79" s="1543">
        <f t="shared" si="167"/>
        <v>0</v>
      </c>
      <c r="EK79" s="1543">
        <f t="shared" si="168"/>
        <v>0</v>
      </c>
      <c r="EL79" s="1543">
        <f t="shared" si="169"/>
        <v>0</v>
      </c>
      <c r="EM79" s="1543">
        <f t="shared" si="170"/>
        <v>0</v>
      </c>
      <c r="EN79" s="1543">
        <f t="shared" si="171"/>
        <v>0</v>
      </c>
      <c r="EP79" s="1543">
        <f t="shared" si="72"/>
        <v>0</v>
      </c>
      <c r="EQ79" s="1543">
        <f t="shared" si="72"/>
        <v>0</v>
      </c>
      <c r="ER79" s="1543">
        <f t="shared" si="72"/>
        <v>0</v>
      </c>
      <c r="ES79" s="1543">
        <f t="shared" si="72"/>
        <v>0</v>
      </c>
      <c r="ET79" s="1543">
        <f t="shared" si="181"/>
        <v>0</v>
      </c>
      <c r="EU79" s="1543">
        <f t="shared" si="181"/>
        <v>0</v>
      </c>
      <c r="EV79" s="1543">
        <f t="shared" si="181"/>
        <v>0</v>
      </c>
      <c r="EW79" s="1543">
        <f t="shared" si="181"/>
        <v>0</v>
      </c>
      <c r="EX79" s="1543">
        <f t="shared" si="181"/>
        <v>0</v>
      </c>
      <c r="EY79" s="1543">
        <f t="shared" si="181"/>
        <v>0</v>
      </c>
      <c r="EZ79" s="1543">
        <f t="shared" si="181"/>
        <v>0</v>
      </c>
      <c r="FA79" s="1543">
        <f t="shared" si="181"/>
        <v>0</v>
      </c>
      <c r="FB79" s="1543">
        <f t="shared" si="181"/>
        <v>0</v>
      </c>
      <c r="FC79" s="1543">
        <f t="shared" si="181"/>
        <v>0</v>
      </c>
      <c r="FD79" s="1543">
        <f t="shared" si="181"/>
        <v>0</v>
      </c>
      <c r="FE79" s="1543">
        <f t="shared" si="52"/>
        <v>0</v>
      </c>
      <c r="FF79" s="1543">
        <f t="shared" si="172"/>
        <v>1</v>
      </c>
      <c r="FH79" s="1543">
        <f t="shared" si="173"/>
        <v>0</v>
      </c>
      <c r="FI79" s="1543">
        <f t="shared" si="173"/>
        <v>0</v>
      </c>
      <c r="FJ79" s="1543">
        <f t="shared" si="173"/>
        <v>0</v>
      </c>
      <c r="FK79" s="1543">
        <f t="shared" si="173"/>
        <v>0</v>
      </c>
      <c r="FL79" s="1543">
        <f t="shared" si="173"/>
        <v>0</v>
      </c>
      <c r="FM79" s="1543">
        <f t="shared" si="173"/>
        <v>0</v>
      </c>
      <c r="FN79" s="1543">
        <f t="shared" si="173"/>
        <v>0</v>
      </c>
      <c r="FO79" s="1543">
        <f t="shared" si="173"/>
        <v>0</v>
      </c>
      <c r="FP79" s="1543">
        <f t="shared" si="173"/>
        <v>0</v>
      </c>
      <c r="FQ79" s="1543">
        <f t="shared" si="173"/>
        <v>0</v>
      </c>
      <c r="FR79" s="1543">
        <f t="shared" si="173"/>
        <v>0</v>
      </c>
      <c r="FS79" s="1543">
        <f t="shared" si="173"/>
        <v>0</v>
      </c>
      <c r="FT79" s="1543">
        <f t="shared" si="174"/>
        <v>0</v>
      </c>
      <c r="FV79" s="1543">
        <f t="shared" si="175"/>
        <v>1</v>
      </c>
      <c r="FW79" s="1543">
        <f t="shared" si="175"/>
        <v>0</v>
      </c>
      <c r="FX79" s="1543">
        <f t="shared" si="175"/>
        <v>0</v>
      </c>
      <c r="FY79" s="1543">
        <f t="shared" si="175"/>
        <v>0</v>
      </c>
      <c r="FZ79" s="1543">
        <f t="shared" si="175"/>
        <v>0</v>
      </c>
      <c r="GA79" s="1543">
        <f t="shared" si="175"/>
        <v>0</v>
      </c>
      <c r="GB79" s="1543">
        <f t="shared" si="175"/>
        <v>0</v>
      </c>
      <c r="GC79" s="1543">
        <f t="shared" si="175"/>
        <v>0</v>
      </c>
      <c r="GD79" s="1543">
        <f t="shared" si="175"/>
        <v>0</v>
      </c>
    </row>
    <row r="80" spans="1:186" s="982" customFormat="1" ht="15.6" x14ac:dyDescent="0.3">
      <c r="A80" s="974">
        <v>78</v>
      </c>
      <c r="B80" s="983"/>
      <c r="C80" s="984"/>
      <c r="D80" s="983"/>
      <c r="E80" s="968" t="str">
        <f>IFERROR(VLOOKUP($D80&amp;"."&amp;B80,'Piping Class'!$1:$1048576,MATCH($I80,'Piping Class'!$2:$2,0),0),"")</f>
        <v/>
      </c>
      <c r="F80" s="985" t="str">
        <f>IFERROR(IF(B80="Flange",VLOOKUP($D80,'Piping Class'!$88:$102,MATCH(F$1,'Piping Class'!$88:$88,0),0),""),"")</f>
        <v/>
      </c>
      <c r="G80" s="968" t="str">
        <f>IFERROR(IF(B80="Flange",VLOOKUP($D80,'Piping Class'!$88:$102,MATCH(G$1,'Piping Class'!$88:$88,0),0),""),"")</f>
        <v/>
      </c>
      <c r="H80" s="968" t="str">
        <f>IFERROR(VLOOKUP($D80,'Piping Class'!$88:$102,MATCH(H$1,'Piping Class'!$88:$88,0),0),"")</f>
        <v/>
      </c>
      <c r="I80" s="986"/>
      <c r="J80" s="987"/>
      <c r="K80" s="968" t="str">
        <f>IFERROR(VLOOKUP(I80,'Thickness Tab'!$1:$1048576,MATCH(L80,'Thickness Tab'!$1:$1,0),0),"")</f>
        <v/>
      </c>
      <c r="L80" s="969" t="str">
        <f>IFERROR(VLOOKUP($D80,'Piping Class'!$1:$1048576,MATCH($I80,'Piping Class'!$2:$2,0),0),"")</f>
        <v/>
      </c>
      <c r="M80" s="968" t="str">
        <f>IFERROR(VLOOKUP(J80,'Thickness Tab'!$1:$1048576,MATCH(N80,'Thickness Tab'!$1:$1,0),0),"")</f>
        <v/>
      </c>
      <c r="N80" s="969" t="str">
        <f>IFERROR(VLOOKUP($D80,'Piping Class'!$1:$1048576,MATCH($J80,'Piping Class'!$2:$2,0),0),"")</f>
        <v/>
      </c>
      <c r="O80" s="968" t="str">
        <f>IFERROR(VLOOKUP($D80,'Piping Class'!$88:$102,MATCH(O$1,'Piping Class'!$88:$88,0),0),"")</f>
        <v/>
      </c>
      <c r="P80" s="968" t="str">
        <f>IFERROR(VLOOKUP($D80,'Piping Class'!$88:$102,MATCH(P$1,'Piping Class'!$88:$88,0),0),"")</f>
        <v/>
      </c>
      <c r="Q80" s="983"/>
      <c r="R80" s="988"/>
      <c r="S80" s="969" t="str">
        <f t="shared" si="150"/>
        <v/>
      </c>
      <c r="T80" s="968">
        <f>IFERROR(VLOOKUP(I80&amp;"."&amp;L80,'Fitting Chart'!$1:$1048576,MATCH(C80,'Fitting Chart'!$1:$1,0),0),0)+IF(B80="piping",PI()*K80*(VLOOKUP(I80,'Thickness Tab'!$1:$1048576,3,0)-K80)*7.86/1000,0)+IF(B80="Flange",VLOOKUP(I80&amp;"F"&amp;F80,'Flanges Chart'!$1:$1048576,MATCH(C80&amp;"."&amp;T$1,'Flanges Chart'!$1:$1,0),0),0)</f>
        <v>0</v>
      </c>
      <c r="U80" s="989">
        <f t="shared" si="151"/>
        <v>0</v>
      </c>
      <c r="V80" s="1003"/>
      <c r="W80" s="1001">
        <f t="shared" si="152"/>
        <v>0</v>
      </c>
      <c r="X80" s="997"/>
      <c r="Y80" s="983"/>
      <c r="Z80" s="989">
        <f>IF(B80="Piping",VLOOKUP(I80,'Thickness Tab'!$1:$1048576,3,0)/1000*PI(),0)+IFERROR(VLOOKUP(I80&amp;"F"&amp;F80,'Flanges Chart'!$1:$1048576,MATCH(C80&amp;".Unit Surface",'Flanges Chart'!$1:$1,0),0),0)+IF(B80="Fitting",VLOOKUP(I80,'Thickness Tab'!$1:$1048576,3,0)/1000*PI(),0)</f>
        <v>0</v>
      </c>
      <c r="AA80" s="989">
        <f t="shared" si="153"/>
        <v>0</v>
      </c>
      <c r="AB80" s="983">
        <v>0</v>
      </c>
      <c r="AC80" s="989">
        <f t="shared" si="154"/>
        <v>0</v>
      </c>
      <c r="AD80" s="989">
        <f t="shared" si="155"/>
        <v>0</v>
      </c>
      <c r="AE80" s="974">
        <f>(IFERROR(VLOOKUP($C80,List!$J:$L,2,0),0)*R80+IF(B80="piping",R80,0)+IF(C80="Welding Neck",1,0)*R80)*$AE$2</f>
        <v>0</v>
      </c>
      <c r="AF80" s="970">
        <f>IFERROR(VLOOKUP($C80,List!$J:$L,3,0),0)*R80*$AF$2</f>
        <v>0</v>
      </c>
      <c r="AG80" s="990">
        <f t="shared" si="156"/>
        <v>0</v>
      </c>
      <c r="AH80" s="1118" t="str">
        <f>IFERROR(VLOOKUP($D80,'Piping Class'!$88:$102,MATCH(AH$1,'Piping Class'!$88:$88,0),0),"")</f>
        <v/>
      </c>
      <c r="AI80" s="991" t="str">
        <f>IFERROR(VLOOKUP($D80,'Piping Class'!$88:$102,MATCH(AI$1,'Piping Class'!$88:$88,0),0),"")</f>
        <v/>
      </c>
      <c r="AJ80" s="991" t="str">
        <f>IFERROR(VLOOKUP($D80,'Piping Class'!$88:$102,MATCH(AJ$1,'Piping Class'!$88:$88,0),0),"")</f>
        <v/>
      </c>
      <c r="AK80" s="991" t="str">
        <f>IFERROR(VLOOKUP($D80,'Piping Class'!$88:$102,MATCH(AK$1,'Piping Class'!$88:$88,0),0),"")</f>
        <v/>
      </c>
      <c r="AL80" s="991">
        <f t="shared" si="182"/>
        <v>0</v>
      </c>
      <c r="AM80" s="1119" t="str">
        <f>IFERROR(VLOOKUP($D80,'Piping Class'!$88:$102,MATCH(AM$1,'Piping Class'!$88:$88,0),0),"")</f>
        <v/>
      </c>
      <c r="AN80" s="992">
        <f t="shared" si="157"/>
        <v>0</v>
      </c>
      <c r="AO80" s="993">
        <f>IFERROR(VLOOKUP(I80&amp;"B"&amp;F80,'Bolting Chart'!$1:$1048576,4,0),0)</f>
        <v>0</v>
      </c>
      <c r="AP80" s="993">
        <f t="shared" si="158"/>
        <v>0</v>
      </c>
      <c r="AQ80" s="993">
        <f t="shared" si="159"/>
        <v>0</v>
      </c>
      <c r="AR80" s="993">
        <f>IF(AO80=0,0,VLOOKUP(D80&amp;".bolting",'Piping Class'!$1:$1048576,MATCH(I80,'Piping Class'!$2:$2,0),0))</f>
        <v>0</v>
      </c>
      <c r="AS80" s="994">
        <f>IFERROR(VLOOKUP(I80&amp;"B"&amp;F80,'Bolting Chart'!$1:$1048576,IF(AS$2="UNC",5,6),0),0)</f>
        <v>0</v>
      </c>
      <c r="AT80" s="995">
        <f>IFERROR(VLOOKUP(I80&amp;"B"&amp;F80,'Bolting Chart'!$1:$1048576,IF(G80="RF",8,9),0),0)</f>
        <v>0</v>
      </c>
      <c r="AU80" s="993">
        <f>IF(AO80=0,0,VLOOKUP(D80&amp;".gasket",'Piping Class'!$1:$1048576,MATCH(I80,'Piping Class'!$2:$2,0),0))</f>
        <v>0</v>
      </c>
      <c r="AV80" s="996">
        <f>(IFERROR(INDEX('Bolting Chart'!$A$169:$R$251,MATCH(AT80,'Bolting Chart'!$A$170:$A$251,0),MATCH(IFERROR(VLOOKUP(I80&amp;"B"&amp;F80,'Bolting Chart'!$1:$1048576,7,0),0)+0,'Bolting Chart'!$A$169:$R$169,0)),0))/100</f>
        <v>0</v>
      </c>
      <c r="AW80" s="996">
        <f t="shared" si="160"/>
        <v>0</v>
      </c>
      <c r="AX80" s="1194">
        <f t="shared" si="161"/>
        <v>0</v>
      </c>
      <c r="AY80" s="981"/>
      <c r="AZ80" s="1543">
        <f t="shared" si="176"/>
        <v>0</v>
      </c>
      <c r="BA80" s="1543">
        <f t="shared" si="176"/>
        <v>0</v>
      </c>
      <c r="BB80" s="1543">
        <f t="shared" si="176"/>
        <v>0</v>
      </c>
      <c r="BC80" s="1543">
        <f t="shared" si="176"/>
        <v>0</v>
      </c>
      <c r="BD80" s="1543">
        <f t="shared" si="176"/>
        <v>0</v>
      </c>
      <c r="BE80" s="1543">
        <f t="shared" si="176"/>
        <v>0</v>
      </c>
      <c r="BF80" s="1543">
        <f t="shared" si="176"/>
        <v>0</v>
      </c>
      <c r="BG80" s="1543">
        <f t="shared" si="176"/>
        <v>0</v>
      </c>
      <c r="BH80" s="1543">
        <f t="shared" si="176"/>
        <v>0</v>
      </c>
      <c r="BI80" s="1543">
        <f t="shared" si="176"/>
        <v>0</v>
      </c>
      <c r="BJ80" s="1543">
        <f t="shared" si="176"/>
        <v>0</v>
      </c>
      <c r="BK80" s="1543">
        <f t="shared" si="176"/>
        <v>0</v>
      </c>
      <c r="BL80" s="1543">
        <f t="shared" si="176"/>
        <v>0</v>
      </c>
      <c r="BM80" s="1543">
        <f t="shared" si="176"/>
        <v>0</v>
      </c>
      <c r="BN80" s="1543">
        <f t="shared" si="176"/>
        <v>0</v>
      </c>
      <c r="BO80" s="1543">
        <f t="shared" si="176"/>
        <v>0</v>
      </c>
      <c r="BP80" s="1543">
        <f t="shared" si="178"/>
        <v>0</v>
      </c>
      <c r="BQ80" s="1543">
        <f t="shared" si="178"/>
        <v>0</v>
      </c>
      <c r="BR80" s="1543">
        <f t="shared" si="178"/>
        <v>0</v>
      </c>
      <c r="BS80" s="1543">
        <f t="shared" si="178"/>
        <v>0</v>
      </c>
      <c r="BT80" s="1543">
        <f t="shared" si="178"/>
        <v>0</v>
      </c>
      <c r="BU80" s="1543">
        <f t="shared" si="178"/>
        <v>0</v>
      </c>
      <c r="BV80" s="1543">
        <f t="shared" si="178"/>
        <v>0</v>
      </c>
      <c r="BW80" s="1543">
        <f t="shared" si="178"/>
        <v>0</v>
      </c>
      <c r="BX80" s="1543">
        <f t="shared" si="178"/>
        <v>0</v>
      </c>
      <c r="BY80" s="1543">
        <f t="shared" si="178"/>
        <v>0</v>
      </c>
      <c r="BZ80" s="1543">
        <f t="shared" si="178"/>
        <v>0</v>
      </c>
      <c r="CB80" s="1543">
        <f t="shared" si="177"/>
        <v>0</v>
      </c>
      <c r="CC80" s="1543">
        <f t="shared" si="177"/>
        <v>0</v>
      </c>
      <c r="CD80" s="1543">
        <f t="shared" si="177"/>
        <v>0</v>
      </c>
      <c r="CE80" s="1543">
        <f t="shared" si="177"/>
        <v>0</v>
      </c>
      <c r="CF80" s="1543">
        <f t="shared" si="177"/>
        <v>0</v>
      </c>
      <c r="CG80" s="1543">
        <f t="shared" si="177"/>
        <v>0</v>
      </c>
      <c r="CH80" s="1543">
        <f t="shared" si="177"/>
        <v>0</v>
      </c>
      <c r="CI80" s="1543">
        <f t="shared" si="177"/>
        <v>0</v>
      </c>
      <c r="CJ80" s="1543">
        <f t="shared" si="177"/>
        <v>0</v>
      </c>
      <c r="CK80" s="1543">
        <f t="shared" si="177"/>
        <v>0</v>
      </c>
      <c r="CL80" s="1543">
        <f t="shared" si="177"/>
        <v>0</v>
      </c>
      <c r="CM80" s="1543">
        <f t="shared" si="177"/>
        <v>0</v>
      </c>
      <c r="CN80" s="1543">
        <f t="shared" si="177"/>
        <v>0</v>
      </c>
      <c r="CO80" s="1543">
        <f t="shared" si="177"/>
        <v>0</v>
      </c>
      <c r="CP80" s="1543">
        <f t="shared" si="177"/>
        <v>0</v>
      </c>
      <c r="CQ80" s="1543">
        <f t="shared" si="177"/>
        <v>0</v>
      </c>
      <c r="CR80" s="1543">
        <f t="shared" si="179"/>
        <v>0</v>
      </c>
      <c r="CS80" s="1543">
        <f t="shared" si="179"/>
        <v>0</v>
      </c>
      <c r="CT80" s="1543">
        <f t="shared" si="146"/>
        <v>0</v>
      </c>
      <c r="CU80" s="1543">
        <f t="shared" si="146"/>
        <v>0</v>
      </c>
      <c r="CV80" s="1543">
        <f t="shared" si="146"/>
        <v>0</v>
      </c>
      <c r="CW80" s="1543">
        <f t="shared" si="146"/>
        <v>0</v>
      </c>
      <c r="CX80" s="1543">
        <f t="shared" si="146"/>
        <v>0</v>
      </c>
      <c r="CY80" s="1543">
        <f t="shared" si="146"/>
        <v>0</v>
      </c>
      <c r="CZ80" s="1543">
        <f t="shared" si="146"/>
        <v>0</v>
      </c>
      <c r="DA80" s="1543">
        <f t="shared" si="146"/>
        <v>0</v>
      </c>
      <c r="DB80" s="1543">
        <f t="shared" si="146"/>
        <v>0</v>
      </c>
      <c r="DD80" s="1543">
        <f t="shared" si="147"/>
        <v>0</v>
      </c>
      <c r="DE80" s="1543">
        <f t="shared" si="148"/>
        <v>0</v>
      </c>
      <c r="DF80" s="1543">
        <f t="shared" si="149"/>
        <v>0</v>
      </c>
      <c r="DG80" s="1543">
        <f t="shared" si="162"/>
        <v>0</v>
      </c>
      <c r="DI80" s="1543">
        <f t="shared" si="163"/>
        <v>0</v>
      </c>
      <c r="DJ80" s="1543">
        <f t="shared" si="74"/>
        <v>0</v>
      </c>
      <c r="DK80" s="1543">
        <f t="shared" si="74"/>
        <v>0</v>
      </c>
      <c r="DL80" s="1543">
        <f t="shared" si="74"/>
        <v>0</v>
      </c>
      <c r="DM80" s="1543">
        <f t="shared" si="74"/>
        <v>0</v>
      </c>
      <c r="DO80" s="1543">
        <f t="shared" si="164"/>
        <v>0</v>
      </c>
      <c r="DP80" s="1543">
        <f t="shared" si="164"/>
        <v>0</v>
      </c>
      <c r="DQ80" s="1543">
        <f t="shared" si="164"/>
        <v>0</v>
      </c>
      <c r="DR80" s="1543">
        <f t="shared" si="164"/>
        <v>0</v>
      </c>
      <c r="DS80" s="1543">
        <f t="shared" si="164"/>
        <v>0</v>
      </c>
      <c r="DT80" s="1543">
        <f t="shared" si="164"/>
        <v>0</v>
      </c>
      <c r="DU80" s="1543">
        <f t="shared" si="164"/>
        <v>0</v>
      </c>
      <c r="DV80" s="1543">
        <f t="shared" si="164"/>
        <v>0</v>
      </c>
      <c r="DW80" s="1543">
        <f t="shared" si="164"/>
        <v>0</v>
      </c>
      <c r="DX80" s="1543">
        <f t="shared" si="164"/>
        <v>0</v>
      </c>
      <c r="DY80" s="1543">
        <f t="shared" si="164"/>
        <v>0</v>
      </c>
      <c r="DZ80" s="1543">
        <f t="shared" si="164"/>
        <v>0</v>
      </c>
      <c r="EA80" s="1543">
        <f t="shared" si="164"/>
        <v>0</v>
      </c>
      <c r="EB80" s="1543">
        <f t="shared" si="180"/>
        <v>0</v>
      </c>
      <c r="EC80" s="1543">
        <f t="shared" si="180"/>
        <v>0</v>
      </c>
      <c r="ED80" s="1543">
        <f t="shared" si="180"/>
        <v>0</v>
      </c>
      <c r="EE80" s="1543">
        <f t="shared" si="180"/>
        <v>0</v>
      </c>
      <c r="EF80" s="1543">
        <f t="shared" si="180"/>
        <v>0</v>
      </c>
      <c r="EH80" s="1543">
        <f t="shared" si="165"/>
        <v>0</v>
      </c>
      <c r="EI80" s="1543">
        <f t="shared" si="166"/>
        <v>0</v>
      </c>
      <c r="EJ80" s="1543">
        <f t="shared" si="167"/>
        <v>0</v>
      </c>
      <c r="EK80" s="1543">
        <f t="shared" si="168"/>
        <v>0</v>
      </c>
      <c r="EL80" s="1543">
        <f t="shared" si="169"/>
        <v>0</v>
      </c>
      <c r="EM80" s="1543">
        <f t="shared" si="170"/>
        <v>0</v>
      </c>
      <c r="EN80" s="1543">
        <f t="shared" si="171"/>
        <v>0</v>
      </c>
      <c r="EP80" s="1543">
        <f t="shared" si="72"/>
        <v>0</v>
      </c>
      <c r="EQ80" s="1543">
        <f t="shared" si="72"/>
        <v>0</v>
      </c>
      <c r="ER80" s="1543">
        <f t="shared" si="72"/>
        <v>0</v>
      </c>
      <c r="ES80" s="1543">
        <f t="shared" si="72"/>
        <v>0</v>
      </c>
      <c r="ET80" s="1543">
        <f t="shared" si="181"/>
        <v>0</v>
      </c>
      <c r="EU80" s="1543">
        <f t="shared" si="181"/>
        <v>0</v>
      </c>
      <c r="EV80" s="1543">
        <f t="shared" si="181"/>
        <v>0</v>
      </c>
      <c r="EW80" s="1543">
        <f t="shared" si="181"/>
        <v>0</v>
      </c>
      <c r="EX80" s="1543">
        <f t="shared" si="181"/>
        <v>0</v>
      </c>
      <c r="EY80" s="1543">
        <f t="shared" si="181"/>
        <v>0</v>
      </c>
      <c r="EZ80" s="1543">
        <f t="shared" si="181"/>
        <v>0</v>
      </c>
      <c r="FA80" s="1543">
        <f t="shared" si="181"/>
        <v>0</v>
      </c>
      <c r="FB80" s="1543">
        <f t="shared" si="181"/>
        <v>0</v>
      </c>
      <c r="FC80" s="1543">
        <f t="shared" si="181"/>
        <v>0</v>
      </c>
      <c r="FD80" s="1543">
        <f t="shared" si="181"/>
        <v>0</v>
      </c>
      <c r="FE80" s="1543">
        <f t="shared" si="52"/>
        <v>0</v>
      </c>
      <c r="FF80" s="1543">
        <f t="shared" si="172"/>
        <v>1</v>
      </c>
      <c r="FH80" s="1543">
        <f t="shared" si="173"/>
        <v>0</v>
      </c>
      <c r="FI80" s="1543">
        <f t="shared" si="173"/>
        <v>0</v>
      </c>
      <c r="FJ80" s="1543">
        <f t="shared" si="173"/>
        <v>0</v>
      </c>
      <c r="FK80" s="1543">
        <f t="shared" si="173"/>
        <v>0</v>
      </c>
      <c r="FL80" s="1543">
        <f t="shared" si="173"/>
        <v>0</v>
      </c>
      <c r="FM80" s="1543">
        <f t="shared" si="173"/>
        <v>0</v>
      </c>
      <c r="FN80" s="1543">
        <f t="shared" si="173"/>
        <v>0</v>
      </c>
      <c r="FO80" s="1543">
        <f t="shared" si="173"/>
        <v>0</v>
      </c>
      <c r="FP80" s="1543">
        <f t="shared" si="173"/>
        <v>0</v>
      </c>
      <c r="FQ80" s="1543">
        <f t="shared" si="173"/>
        <v>0</v>
      </c>
      <c r="FR80" s="1543">
        <f t="shared" si="173"/>
        <v>0</v>
      </c>
      <c r="FS80" s="1543">
        <f t="shared" si="173"/>
        <v>0</v>
      </c>
      <c r="FT80" s="1543">
        <f t="shared" si="174"/>
        <v>0</v>
      </c>
      <c r="FV80" s="1543">
        <f t="shared" si="175"/>
        <v>1</v>
      </c>
      <c r="FW80" s="1543">
        <f t="shared" si="175"/>
        <v>0</v>
      </c>
      <c r="FX80" s="1543">
        <f t="shared" si="175"/>
        <v>0</v>
      </c>
      <c r="FY80" s="1543">
        <f t="shared" si="175"/>
        <v>0</v>
      </c>
      <c r="FZ80" s="1543">
        <f t="shared" si="175"/>
        <v>0</v>
      </c>
      <c r="GA80" s="1543">
        <f t="shared" si="175"/>
        <v>0</v>
      </c>
      <c r="GB80" s="1543">
        <f t="shared" si="175"/>
        <v>0</v>
      </c>
      <c r="GC80" s="1543">
        <f t="shared" si="175"/>
        <v>0</v>
      </c>
      <c r="GD80" s="1543">
        <f t="shared" si="175"/>
        <v>0</v>
      </c>
    </row>
    <row r="81" spans="1:186" s="982" customFormat="1" ht="15.6" x14ac:dyDescent="0.3">
      <c r="A81" s="974">
        <v>79</v>
      </c>
      <c r="B81" s="983"/>
      <c r="C81" s="984"/>
      <c r="D81" s="983"/>
      <c r="E81" s="968" t="str">
        <f>IFERROR(VLOOKUP($D81&amp;"."&amp;B81,'Piping Class'!$1:$1048576,MATCH($I81,'Piping Class'!$2:$2,0),0),"")</f>
        <v/>
      </c>
      <c r="F81" s="985" t="str">
        <f>IFERROR(IF(B81="Flange",VLOOKUP($D81,'Piping Class'!$88:$102,MATCH(F$1,'Piping Class'!$88:$88,0),0),""),"")</f>
        <v/>
      </c>
      <c r="G81" s="968" t="str">
        <f>IFERROR(IF(B81="Flange",VLOOKUP($D81,'Piping Class'!$88:$102,MATCH(G$1,'Piping Class'!$88:$88,0),0),""),"")</f>
        <v/>
      </c>
      <c r="H81" s="968" t="str">
        <f>IFERROR(VLOOKUP($D81,'Piping Class'!$88:$102,MATCH(H$1,'Piping Class'!$88:$88,0),0),"")</f>
        <v/>
      </c>
      <c r="I81" s="986"/>
      <c r="J81" s="987"/>
      <c r="K81" s="968" t="str">
        <f>IFERROR(VLOOKUP(I81,'Thickness Tab'!$1:$1048576,MATCH(L81,'Thickness Tab'!$1:$1,0),0),"")</f>
        <v/>
      </c>
      <c r="L81" s="969" t="str">
        <f>IFERROR(VLOOKUP($D81,'Piping Class'!$1:$1048576,MATCH($I81,'Piping Class'!$2:$2,0),0),"")</f>
        <v/>
      </c>
      <c r="M81" s="968" t="str">
        <f>IFERROR(VLOOKUP(J81,'Thickness Tab'!$1:$1048576,MATCH(N81,'Thickness Tab'!$1:$1,0),0),"")</f>
        <v/>
      </c>
      <c r="N81" s="969" t="str">
        <f>IFERROR(VLOOKUP($D81,'Piping Class'!$1:$1048576,MATCH($J81,'Piping Class'!$2:$2,0),0),"")</f>
        <v/>
      </c>
      <c r="O81" s="968" t="str">
        <f>IFERROR(VLOOKUP($D81,'Piping Class'!$88:$102,MATCH(O$1,'Piping Class'!$88:$88,0),0),"")</f>
        <v/>
      </c>
      <c r="P81" s="968" t="str">
        <f>IFERROR(VLOOKUP($D81,'Piping Class'!$88:$102,MATCH(P$1,'Piping Class'!$88:$88,0),0),"")</f>
        <v/>
      </c>
      <c r="Q81" s="983"/>
      <c r="R81" s="988"/>
      <c r="S81" s="969" t="str">
        <f t="shared" si="150"/>
        <v/>
      </c>
      <c r="T81" s="968">
        <f>IFERROR(VLOOKUP(I81&amp;"."&amp;L81,'Fitting Chart'!$1:$1048576,MATCH(C81,'Fitting Chart'!$1:$1,0),0),0)+IF(B81="piping",PI()*K81*(VLOOKUP(I81,'Thickness Tab'!$1:$1048576,3,0)-K81)*7.86/1000,0)+IF(B81="Flange",VLOOKUP(I81&amp;"F"&amp;F81,'Flanges Chart'!$1:$1048576,MATCH(C81&amp;"."&amp;T$1,'Flanges Chart'!$1:$1,0),0),0)</f>
        <v>0</v>
      </c>
      <c r="U81" s="989">
        <f t="shared" si="151"/>
        <v>0</v>
      </c>
      <c r="V81" s="1003"/>
      <c r="W81" s="1001">
        <f t="shared" si="152"/>
        <v>0</v>
      </c>
      <c r="X81" s="997"/>
      <c r="Y81" s="983"/>
      <c r="Z81" s="989">
        <f>IF(B81="Piping",VLOOKUP(I81,'Thickness Tab'!$1:$1048576,3,0)/1000*PI(),0)+IFERROR(VLOOKUP(I81&amp;"F"&amp;F81,'Flanges Chart'!$1:$1048576,MATCH(C81&amp;".Unit Surface",'Flanges Chart'!$1:$1,0),0),0)+IF(B81="Fitting",VLOOKUP(I81,'Thickness Tab'!$1:$1048576,3,0)/1000*PI(),0)</f>
        <v>0</v>
      </c>
      <c r="AA81" s="989">
        <f t="shared" si="153"/>
        <v>0</v>
      </c>
      <c r="AB81" s="983">
        <v>0</v>
      </c>
      <c r="AC81" s="989">
        <f t="shared" si="154"/>
        <v>0</v>
      </c>
      <c r="AD81" s="989">
        <f t="shared" si="155"/>
        <v>0</v>
      </c>
      <c r="AE81" s="974">
        <f>(IFERROR(VLOOKUP($C81,List!$J:$L,2,0),0)*R81+IF(B81="piping",R81,0)+IF(C81="Welding Neck",1,0)*R81)*$AE$2</f>
        <v>0</v>
      </c>
      <c r="AF81" s="970">
        <f>IFERROR(VLOOKUP($C81,List!$J:$L,3,0),0)*R81*$AF$2</f>
        <v>0</v>
      </c>
      <c r="AG81" s="990">
        <f t="shared" si="156"/>
        <v>0</v>
      </c>
      <c r="AH81" s="1118" t="str">
        <f>IFERROR(VLOOKUP($D81,'Piping Class'!$88:$102,MATCH(AH$1,'Piping Class'!$88:$88,0),0),"")</f>
        <v/>
      </c>
      <c r="AI81" s="991" t="str">
        <f>IFERROR(VLOOKUP($D81,'Piping Class'!$88:$102,MATCH(AI$1,'Piping Class'!$88:$88,0),0),"")</f>
        <v/>
      </c>
      <c r="AJ81" s="991" t="str">
        <f>IFERROR(VLOOKUP($D81,'Piping Class'!$88:$102,MATCH(AJ$1,'Piping Class'!$88:$88,0),0),"")</f>
        <v/>
      </c>
      <c r="AK81" s="991" t="str">
        <f>IFERROR(VLOOKUP($D81,'Piping Class'!$88:$102,MATCH(AK$1,'Piping Class'!$88:$88,0),0),"")</f>
        <v/>
      </c>
      <c r="AL81" s="991">
        <f t="shared" si="182"/>
        <v>0</v>
      </c>
      <c r="AM81" s="1119" t="str">
        <f>IFERROR(VLOOKUP($D81,'Piping Class'!$88:$102,MATCH(AM$1,'Piping Class'!$88:$88,0),0),"")</f>
        <v/>
      </c>
      <c r="AN81" s="992">
        <f t="shared" si="157"/>
        <v>0</v>
      </c>
      <c r="AO81" s="993">
        <f>IFERROR(VLOOKUP(I81&amp;"B"&amp;F81,'Bolting Chart'!$1:$1048576,4,0),0)</f>
        <v>0</v>
      </c>
      <c r="AP81" s="993">
        <f t="shared" si="158"/>
        <v>0</v>
      </c>
      <c r="AQ81" s="993">
        <f t="shared" si="159"/>
        <v>0</v>
      </c>
      <c r="AR81" s="993">
        <f>IF(AO81=0,0,VLOOKUP(D81&amp;".bolting",'Piping Class'!$1:$1048576,MATCH(I81,'Piping Class'!$2:$2,0),0))</f>
        <v>0</v>
      </c>
      <c r="AS81" s="994">
        <f>IFERROR(VLOOKUP(I81&amp;"B"&amp;F81,'Bolting Chart'!$1:$1048576,IF(AS$2="UNC",5,6),0),0)</f>
        <v>0</v>
      </c>
      <c r="AT81" s="995">
        <f>IFERROR(VLOOKUP(I81&amp;"B"&amp;F81,'Bolting Chart'!$1:$1048576,IF(G81="RF",8,9),0),0)</f>
        <v>0</v>
      </c>
      <c r="AU81" s="993">
        <f>IF(AO81=0,0,VLOOKUP(D81&amp;".gasket",'Piping Class'!$1:$1048576,MATCH(I81,'Piping Class'!$2:$2,0),0))</f>
        <v>0</v>
      </c>
      <c r="AV81" s="996">
        <f>(IFERROR(INDEX('Bolting Chart'!$A$169:$R$251,MATCH(AT81,'Bolting Chart'!$A$170:$A$251,0),MATCH(IFERROR(VLOOKUP(I81&amp;"B"&amp;F81,'Bolting Chart'!$1:$1048576,7,0),0)+0,'Bolting Chart'!$A$169:$R$169,0)),0))/100</f>
        <v>0</v>
      </c>
      <c r="AW81" s="996">
        <f t="shared" si="160"/>
        <v>0</v>
      </c>
      <c r="AX81" s="1194">
        <f t="shared" si="161"/>
        <v>0</v>
      </c>
      <c r="AY81" s="981"/>
      <c r="AZ81" s="1543">
        <f t="shared" si="176"/>
        <v>0</v>
      </c>
      <c r="BA81" s="1543">
        <f t="shared" si="176"/>
        <v>0</v>
      </c>
      <c r="BB81" s="1543">
        <f t="shared" si="176"/>
        <v>0</v>
      </c>
      <c r="BC81" s="1543">
        <f t="shared" si="176"/>
        <v>0</v>
      </c>
      <c r="BD81" s="1543">
        <f t="shared" si="176"/>
        <v>0</v>
      </c>
      <c r="BE81" s="1543">
        <f t="shared" si="176"/>
        <v>0</v>
      </c>
      <c r="BF81" s="1543">
        <f t="shared" si="176"/>
        <v>0</v>
      </c>
      <c r="BG81" s="1543">
        <f t="shared" si="176"/>
        <v>0</v>
      </c>
      <c r="BH81" s="1543">
        <f t="shared" si="176"/>
        <v>0</v>
      </c>
      <c r="BI81" s="1543">
        <f t="shared" si="176"/>
        <v>0</v>
      </c>
      <c r="BJ81" s="1543">
        <f t="shared" si="176"/>
        <v>0</v>
      </c>
      <c r="BK81" s="1543">
        <f t="shared" si="176"/>
        <v>0</v>
      </c>
      <c r="BL81" s="1543">
        <f t="shared" si="176"/>
        <v>0</v>
      </c>
      <c r="BM81" s="1543">
        <f t="shared" si="176"/>
        <v>0</v>
      </c>
      <c r="BN81" s="1543">
        <f t="shared" si="176"/>
        <v>0</v>
      </c>
      <c r="BO81" s="1543">
        <f t="shared" si="176"/>
        <v>0</v>
      </c>
      <c r="BP81" s="1543">
        <f t="shared" si="178"/>
        <v>0</v>
      </c>
      <c r="BQ81" s="1543">
        <f t="shared" si="178"/>
        <v>0</v>
      </c>
      <c r="BR81" s="1543">
        <f t="shared" si="178"/>
        <v>0</v>
      </c>
      <c r="BS81" s="1543">
        <f t="shared" si="178"/>
        <v>0</v>
      </c>
      <c r="BT81" s="1543">
        <f t="shared" si="178"/>
        <v>0</v>
      </c>
      <c r="BU81" s="1543">
        <f t="shared" si="178"/>
        <v>0</v>
      </c>
      <c r="BV81" s="1543">
        <f t="shared" si="178"/>
        <v>0</v>
      </c>
      <c r="BW81" s="1543">
        <f t="shared" si="178"/>
        <v>0</v>
      </c>
      <c r="BX81" s="1543">
        <f t="shared" si="178"/>
        <v>0</v>
      </c>
      <c r="BY81" s="1543">
        <f t="shared" si="178"/>
        <v>0</v>
      </c>
      <c r="BZ81" s="1543">
        <f t="shared" si="178"/>
        <v>0</v>
      </c>
      <c r="CB81" s="1543">
        <f t="shared" si="177"/>
        <v>0</v>
      </c>
      <c r="CC81" s="1543">
        <f t="shared" si="177"/>
        <v>0</v>
      </c>
      <c r="CD81" s="1543">
        <f t="shared" si="177"/>
        <v>0</v>
      </c>
      <c r="CE81" s="1543">
        <f t="shared" si="177"/>
        <v>0</v>
      </c>
      <c r="CF81" s="1543">
        <f t="shared" si="177"/>
        <v>0</v>
      </c>
      <c r="CG81" s="1543">
        <f t="shared" si="177"/>
        <v>0</v>
      </c>
      <c r="CH81" s="1543">
        <f t="shared" si="177"/>
        <v>0</v>
      </c>
      <c r="CI81" s="1543">
        <f t="shared" si="177"/>
        <v>0</v>
      </c>
      <c r="CJ81" s="1543">
        <f t="shared" si="177"/>
        <v>0</v>
      </c>
      <c r="CK81" s="1543">
        <f t="shared" si="177"/>
        <v>0</v>
      </c>
      <c r="CL81" s="1543">
        <f t="shared" si="177"/>
        <v>0</v>
      </c>
      <c r="CM81" s="1543">
        <f t="shared" si="177"/>
        <v>0</v>
      </c>
      <c r="CN81" s="1543">
        <f t="shared" si="177"/>
        <v>0</v>
      </c>
      <c r="CO81" s="1543">
        <f t="shared" si="177"/>
        <v>0</v>
      </c>
      <c r="CP81" s="1543">
        <f t="shared" si="177"/>
        <v>0</v>
      </c>
      <c r="CQ81" s="1543">
        <f t="shared" si="177"/>
        <v>0</v>
      </c>
      <c r="CR81" s="1543">
        <f t="shared" si="179"/>
        <v>0</v>
      </c>
      <c r="CS81" s="1543">
        <f t="shared" si="179"/>
        <v>0</v>
      </c>
      <c r="CT81" s="1543">
        <f t="shared" si="146"/>
        <v>0</v>
      </c>
      <c r="CU81" s="1543">
        <f t="shared" si="146"/>
        <v>0</v>
      </c>
      <c r="CV81" s="1543">
        <f t="shared" si="146"/>
        <v>0</v>
      </c>
      <c r="CW81" s="1543">
        <f t="shared" si="146"/>
        <v>0</v>
      </c>
      <c r="CX81" s="1543">
        <f t="shared" si="146"/>
        <v>0</v>
      </c>
      <c r="CY81" s="1543">
        <f t="shared" si="146"/>
        <v>0</v>
      </c>
      <c r="CZ81" s="1543">
        <f t="shared" si="146"/>
        <v>0</v>
      </c>
      <c r="DA81" s="1543">
        <f t="shared" si="146"/>
        <v>0</v>
      </c>
      <c r="DB81" s="1543">
        <f t="shared" si="146"/>
        <v>0</v>
      </c>
      <c r="DD81" s="1543">
        <f t="shared" si="147"/>
        <v>0</v>
      </c>
      <c r="DE81" s="1543">
        <f t="shared" si="148"/>
        <v>0</v>
      </c>
      <c r="DF81" s="1543">
        <f t="shared" si="149"/>
        <v>0</v>
      </c>
      <c r="DG81" s="1543">
        <f t="shared" si="162"/>
        <v>0</v>
      </c>
      <c r="DI81" s="1543">
        <f t="shared" si="163"/>
        <v>0</v>
      </c>
      <c r="DJ81" s="1543">
        <f t="shared" si="74"/>
        <v>0</v>
      </c>
      <c r="DK81" s="1543">
        <f t="shared" si="74"/>
        <v>0</v>
      </c>
      <c r="DL81" s="1543">
        <f t="shared" si="74"/>
        <v>0</v>
      </c>
      <c r="DM81" s="1543">
        <f t="shared" si="74"/>
        <v>0</v>
      </c>
      <c r="DO81" s="1543">
        <f t="shared" si="164"/>
        <v>0</v>
      </c>
      <c r="DP81" s="1543">
        <f t="shared" si="164"/>
        <v>0</v>
      </c>
      <c r="DQ81" s="1543">
        <f t="shared" si="164"/>
        <v>0</v>
      </c>
      <c r="DR81" s="1543">
        <f t="shared" si="164"/>
        <v>0</v>
      </c>
      <c r="DS81" s="1543">
        <f t="shared" si="164"/>
        <v>0</v>
      </c>
      <c r="DT81" s="1543">
        <f t="shared" si="164"/>
        <v>0</v>
      </c>
      <c r="DU81" s="1543">
        <f t="shared" si="164"/>
        <v>0</v>
      </c>
      <c r="DV81" s="1543">
        <f t="shared" si="164"/>
        <v>0</v>
      </c>
      <c r="DW81" s="1543">
        <f t="shared" si="164"/>
        <v>0</v>
      </c>
      <c r="DX81" s="1543">
        <f t="shared" si="164"/>
        <v>0</v>
      </c>
      <c r="DY81" s="1543">
        <f t="shared" si="164"/>
        <v>0</v>
      </c>
      <c r="DZ81" s="1543">
        <f t="shared" si="164"/>
        <v>0</v>
      </c>
      <c r="EA81" s="1543">
        <f t="shared" si="164"/>
        <v>0</v>
      </c>
      <c r="EB81" s="1543">
        <f t="shared" si="180"/>
        <v>0</v>
      </c>
      <c r="EC81" s="1543">
        <f t="shared" si="180"/>
        <v>0</v>
      </c>
      <c r="ED81" s="1543">
        <f t="shared" si="180"/>
        <v>0</v>
      </c>
      <c r="EE81" s="1543">
        <f t="shared" si="180"/>
        <v>0</v>
      </c>
      <c r="EF81" s="1543">
        <f t="shared" si="180"/>
        <v>0</v>
      </c>
      <c r="EH81" s="1543">
        <f t="shared" si="165"/>
        <v>0</v>
      </c>
      <c r="EI81" s="1543">
        <f t="shared" si="166"/>
        <v>0</v>
      </c>
      <c r="EJ81" s="1543">
        <f t="shared" si="167"/>
        <v>0</v>
      </c>
      <c r="EK81" s="1543">
        <f t="shared" si="168"/>
        <v>0</v>
      </c>
      <c r="EL81" s="1543">
        <f t="shared" si="169"/>
        <v>0</v>
      </c>
      <c r="EM81" s="1543">
        <f t="shared" si="170"/>
        <v>0</v>
      </c>
      <c r="EN81" s="1543">
        <f t="shared" si="171"/>
        <v>0</v>
      </c>
      <c r="EP81" s="1543">
        <f t="shared" si="72"/>
        <v>0</v>
      </c>
      <c r="EQ81" s="1543">
        <f t="shared" si="72"/>
        <v>0</v>
      </c>
      <c r="ER81" s="1543">
        <f t="shared" si="72"/>
        <v>0</v>
      </c>
      <c r="ES81" s="1543">
        <f t="shared" si="72"/>
        <v>0</v>
      </c>
      <c r="ET81" s="1543">
        <f t="shared" si="181"/>
        <v>0</v>
      </c>
      <c r="EU81" s="1543">
        <f t="shared" si="181"/>
        <v>0</v>
      </c>
      <c r="EV81" s="1543">
        <f t="shared" si="181"/>
        <v>0</v>
      </c>
      <c r="EW81" s="1543">
        <f t="shared" si="181"/>
        <v>0</v>
      </c>
      <c r="EX81" s="1543">
        <f t="shared" si="181"/>
        <v>0</v>
      </c>
      <c r="EY81" s="1543">
        <f t="shared" si="181"/>
        <v>0</v>
      </c>
      <c r="EZ81" s="1543">
        <f t="shared" si="181"/>
        <v>0</v>
      </c>
      <c r="FA81" s="1543">
        <f t="shared" si="181"/>
        <v>0</v>
      </c>
      <c r="FB81" s="1543">
        <f t="shared" si="181"/>
        <v>0</v>
      </c>
      <c r="FC81" s="1543">
        <f t="shared" si="181"/>
        <v>0</v>
      </c>
      <c r="FD81" s="1543">
        <f t="shared" si="181"/>
        <v>0</v>
      </c>
      <c r="FE81" s="1543">
        <f t="shared" si="52"/>
        <v>0</v>
      </c>
      <c r="FF81" s="1543">
        <f t="shared" si="172"/>
        <v>1</v>
      </c>
      <c r="FH81" s="1543">
        <f t="shared" si="173"/>
        <v>0</v>
      </c>
      <c r="FI81" s="1543">
        <f t="shared" si="173"/>
        <v>0</v>
      </c>
      <c r="FJ81" s="1543">
        <f t="shared" si="173"/>
        <v>0</v>
      </c>
      <c r="FK81" s="1543">
        <f t="shared" si="173"/>
        <v>0</v>
      </c>
      <c r="FL81" s="1543">
        <f t="shared" si="173"/>
        <v>0</v>
      </c>
      <c r="FM81" s="1543">
        <f t="shared" si="173"/>
        <v>0</v>
      </c>
      <c r="FN81" s="1543">
        <f t="shared" si="173"/>
        <v>0</v>
      </c>
      <c r="FO81" s="1543">
        <f t="shared" si="173"/>
        <v>0</v>
      </c>
      <c r="FP81" s="1543">
        <f t="shared" si="173"/>
        <v>0</v>
      </c>
      <c r="FQ81" s="1543">
        <f t="shared" si="173"/>
        <v>0</v>
      </c>
      <c r="FR81" s="1543">
        <f t="shared" si="173"/>
        <v>0</v>
      </c>
      <c r="FS81" s="1543">
        <f t="shared" si="173"/>
        <v>0</v>
      </c>
      <c r="FT81" s="1543">
        <f t="shared" si="174"/>
        <v>0</v>
      </c>
      <c r="FV81" s="1543">
        <f t="shared" si="175"/>
        <v>1</v>
      </c>
      <c r="FW81" s="1543">
        <f t="shared" si="175"/>
        <v>0</v>
      </c>
      <c r="FX81" s="1543">
        <f t="shared" si="175"/>
        <v>0</v>
      </c>
      <c r="FY81" s="1543">
        <f t="shared" si="175"/>
        <v>0</v>
      </c>
      <c r="FZ81" s="1543">
        <f t="shared" si="175"/>
        <v>0</v>
      </c>
      <c r="GA81" s="1543">
        <f t="shared" si="175"/>
        <v>0</v>
      </c>
      <c r="GB81" s="1543">
        <f t="shared" si="175"/>
        <v>0</v>
      </c>
      <c r="GC81" s="1543">
        <f t="shared" si="175"/>
        <v>0</v>
      </c>
      <c r="GD81" s="1543">
        <f t="shared" si="175"/>
        <v>0</v>
      </c>
    </row>
    <row r="82" spans="1:186" s="982" customFormat="1" ht="15.6" x14ac:dyDescent="0.3">
      <c r="A82" s="974">
        <v>80</v>
      </c>
      <c r="B82" s="983"/>
      <c r="C82" s="984"/>
      <c r="D82" s="983"/>
      <c r="E82" s="968" t="str">
        <f>IFERROR(VLOOKUP($D82&amp;"."&amp;B82,'Piping Class'!$1:$1048576,MATCH($I82,'Piping Class'!$2:$2,0),0),"")</f>
        <v/>
      </c>
      <c r="F82" s="985" t="str">
        <f>IFERROR(IF(B82="Flange",VLOOKUP($D82,'Piping Class'!$88:$102,MATCH(F$1,'Piping Class'!$88:$88,0),0),""),"")</f>
        <v/>
      </c>
      <c r="G82" s="968" t="str">
        <f>IFERROR(IF(B82="Flange",VLOOKUP($D82,'Piping Class'!$88:$102,MATCH(G$1,'Piping Class'!$88:$88,0),0),""),"")</f>
        <v/>
      </c>
      <c r="H82" s="968" t="str">
        <f>IFERROR(VLOOKUP($D82,'Piping Class'!$88:$102,MATCH(H$1,'Piping Class'!$88:$88,0),0),"")</f>
        <v/>
      </c>
      <c r="I82" s="986"/>
      <c r="J82" s="987"/>
      <c r="K82" s="968" t="str">
        <f>IFERROR(VLOOKUP(I82,'Thickness Tab'!$1:$1048576,MATCH(L82,'Thickness Tab'!$1:$1,0),0),"")</f>
        <v/>
      </c>
      <c r="L82" s="969" t="str">
        <f>IFERROR(VLOOKUP($D82,'Piping Class'!$1:$1048576,MATCH($I82,'Piping Class'!$2:$2,0),0),"")</f>
        <v/>
      </c>
      <c r="M82" s="968" t="str">
        <f>IFERROR(VLOOKUP(J82,'Thickness Tab'!$1:$1048576,MATCH(N82,'Thickness Tab'!$1:$1,0),0),"")</f>
        <v/>
      </c>
      <c r="N82" s="969" t="str">
        <f>IFERROR(VLOOKUP($D82,'Piping Class'!$1:$1048576,MATCH($J82,'Piping Class'!$2:$2,0),0),"")</f>
        <v/>
      </c>
      <c r="O82" s="968" t="str">
        <f>IFERROR(VLOOKUP($D82,'Piping Class'!$88:$102,MATCH(O$1,'Piping Class'!$88:$88,0),0),"")</f>
        <v/>
      </c>
      <c r="P82" s="968" t="str">
        <f>IFERROR(VLOOKUP($D82,'Piping Class'!$88:$102,MATCH(P$1,'Piping Class'!$88:$88,0),0),"")</f>
        <v/>
      </c>
      <c r="Q82" s="983"/>
      <c r="R82" s="988"/>
      <c r="S82" s="969" t="str">
        <f t="shared" si="150"/>
        <v/>
      </c>
      <c r="T82" s="968">
        <f>IFERROR(VLOOKUP(I82&amp;"."&amp;L82,'Fitting Chart'!$1:$1048576,MATCH(C82,'Fitting Chart'!$1:$1,0),0),0)+IF(B82="piping",PI()*K82*(VLOOKUP(I82,'Thickness Tab'!$1:$1048576,3,0)-K82)*7.86/1000,0)+IF(B82="Flange",VLOOKUP(I82&amp;"F"&amp;F82,'Flanges Chart'!$1:$1048576,MATCH(C82&amp;"."&amp;T$1,'Flanges Chart'!$1:$1,0),0),0)</f>
        <v>0</v>
      </c>
      <c r="U82" s="989">
        <f t="shared" si="151"/>
        <v>0</v>
      </c>
      <c r="V82" s="1003"/>
      <c r="W82" s="1001">
        <f t="shared" si="152"/>
        <v>0</v>
      </c>
      <c r="X82" s="997"/>
      <c r="Y82" s="983"/>
      <c r="Z82" s="989">
        <f>IF(B82="Piping",VLOOKUP(I82,'Thickness Tab'!$1:$1048576,3,0)/1000*PI(),0)+IFERROR(VLOOKUP(I82&amp;"F"&amp;F82,'Flanges Chart'!$1:$1048576,MATCH(C82&amp;".Unit Surface",'Flanges Chart'!$1:$1,0),0),0)+IF(B82="Fitting",VLOOKUP(I82,'Thickness Tab'!$1:$1048576,3,0)/1000*PI(),0)</f>
        <v>0</v>
      </c>
      <c r="AA82" s="989">
        <f t="shared" si="153"/>
        <v>0</v>
      </c>
      <c r="AB82" s="983">
        <v>0</v>
      </c>
      <c r="AC82" s="989">
        <f t="shared" si="154"/>
        <v>0</v>
      </c>
      <c r="AD82" s="989">
        <f t="shared" si="155"/>
        <v>0</v>
      </c>
      <c r="AE82" s="974">
        <f>(IFERROR(VLOOKUP($C82,List!$J:$L,2,0),0)*R82+IF(B82="piping",R82,0)+IF(C82="Welding Neck",1,0)*R82)*$AE$2</f>
        <v>0</v>
      </c>
      <c r="AF82" s="970">
        <f>IFERROR(VLOOKUP($C82,List!$J:$L,3,0),0)*R82*$AF$2</f>
        <v>0</v>
      </c>
      <c r="AG82" s="990">
        <f t="shared" si="156"/>
        <v>0</v>
      </c>
      <c r="AH82" s="1118" t="str">
        <f>IFERROR(VLOOKUP($D82,'Piping Class'!$88:$102,MATCH(AH$1,'Piping Class'!$88:$88,0),0),"")</f>
        <v/>
      </c>
      <c r="AI82" s="991" t="str">
        <f>IFERROR(VLOOKUP($D82,'Piping Class'!$88:$102,MATCH(AI$1,'Piping Class'!$88:$88,0),0),"")</f>
        <v/>
      </c>
      <c r="AJ82" s="991" t="str">
        <f>IFERROR(VLOOKUP($D82,'Piping Class'!$88:$102,MATCH(AJ$1,'Piping Class'!$88:$88,0),0),"")</f>
        <v/>
      </c>
      <c r="AK82" s="991" t="str">
        <f>IFERROR(VLOOKUP($D82,'Piping Class'!$88:$102,MATCH(AK$1,'Piping Class'!$88:$88,0),0),"")</f>
        <v/>
      </c>
      <c r="AL82" s="991">
        <f t="shared" si="182"/>
        <v>0</v>
      </c>
      <c r="AM82" s="1119" t="str">
        <f>IFERROR(VLOOKUP($D82,'Piping Class'!$88:$102,MATCH(AM$1,'Piping Class'!$88:$88,0),0),"")</f>
        <v/>
      </c>
      <c r="AN82" s="992">
        <f t="shared" si="157"/>
        <v>0</v>
      </c>
      <c r="AO82" s="993">
        <f>IFERROR(VLOOKUP(I82&amp;"B"&amp;F82,'Bolting Chart'!$1:$1048576,4,0),0)</f>
        <v>0</v>
      </c>
      <c r="AP82" s="993">
        <f t="shared" si="158"/>
        <v>0</v>
      </c>
      <c r="AQ82" s="993">
        <f t="shared" si="159"/>
        <v>0</v>
      </c>
      <c r="AR82" s="993">
        <f>IF(AO82=0,0,VLOOKUP(D82&amp;".bolting",'Piping Class'!$1:$1048576,MATCH(I82,'Piping Class'!$2:$2,0),0))</f>
        <v>0</v>
      </c>
      <c r="AS82" s="994">
        <f>IFERROR(VLOOKUP(I82&amp;"B"&amp;F82,'Bolting Chart'!$1:$1048576,IF(AS$2="UNC",5,6),0),0)</f>
        <v>0</v>
      </c>
      <c r="AT82" s="995">
        <f>IFERROR(VLOOKUP(I82&amp;"B"&amp;F82,'Bolting Chart'!$1:$1048576,IF(G82="RF",8,9),0),0)</f>
        <v>0</v>
      </c>
      <c r="AU82" s="993">
        <f>IF(AO82=0,0,VLOOKUP(D82&amp;".gasket",'Piping Class'!$1:$1048576,MATCH(I82,'Piping Class'!$2:$2,0),0))</f>
        <v>0</v>
      </c>
      <c r="AV82" s="996">
        <f>(IFERROR(INDEX('Bolting Chart'!$A$169:$R$251,MATCH(AT82,'Bolting Chart'!$A$170:$A$251,0),MATCH(IFERROR(VLOOKUP(I82&amp;"B"&amp;F82,'Bolting Chart'!$1:$1048576,7,0),0)+0,'Bolting Chart'!$A$169:$R$169,0)),0))/100</f>
        <v>0</v>
      </c>
      <c r="AW82" s="996">
        <f t="shared" si="160"/>
        <v>0</v>
      </c>
      <c r="AX82" s="1194">
        <f t="shared" si="161"/>
        <v>0</v>
      </c>
      <c r="AY82" s="981"/>
      <c r="AZ82" s="1543">
        <f t="shared" si="176"/>
        <v>0</v>
      </c>
      <c r="BA82" s="1543">
        <f t="shared" si="176"/>
        <v>0</v>
      </c>
      <c r="BB82" s="1543">
        <f t="shared" si="176"/>
        <v>0</v>
      </c>
      <c r="BC82" s="1543">
        <f t="shared" si="176"/>
        <v>0</v>
      </c>
      <c r="BD82" s="1543">
        <f t="shared" si="176"/>
        <v>0</v>
      </c>
      <c r="BE82" s="1543">
        <f t="shared" si="176"/>
        <v>0</v>
      </c>
      <c r="BF82" s="1543">
        <f t="shared" si="176"/>
        <v>0</v>
      </c>
      <c r="BG82" s="1543">
        <f t="shared" si="176"/>
        <v>0</v>
      </c>
      <c r="BH82" s="1543">
        <f t="shared" si="176"/>
        <v>0</v>
      </c>
      <c r="BI82" s="1543">
        <f t="shared" si="176"/>
        <v>0</v>
      </c>
      <c r="BJ82" s="1543">
        <f t="shared" si="176"/>
        <v>0</v>
      </c>
      <c r="BK82" s="1543">
        <f t="shared" si="176"/>
        <v>0</v>
      </c>
      <c r="BL82" s="1543">
        <f t="shared" si="176"/>
        <v>0</v>
      </c>
      <c r="BM82" s="1543">
        <f t="shared" si="176"/>
        <v>0</v>
      </c>
      <c r="BN82" s="1543">
        <f t="shared" si="176"/>
        <v>0</v>
      </c>
      <c r="BO82" s="1543">
        <f t="shared" si="176"/>
        <v>0</v>
      </c>
      <c r="BP82" s="1543">
        <f t="shared" si="178"/>
        <v>0</v>
      </c>
      <c r="BQ82" s="1543">
        <f t="shared" si="178"/>
        <v>0</v>
      </c>
      <c r="BR82" s="1543">
        <f t="shared" si="178"/>
        <v>0</v>
      </c>
      <c r="BS82" s="1543">
        <f t="shared" si="178"/>
        <v>0</v>
      </c>
      <c r="BT82" s="1543">
        <f t="shared" si="178"/>
        <v>0</v>
      </c>
      <c r="BU82" s="1543">
        <f t="shared" si="178"/>
        <v>0</v>
      </c>
      <c r="BV82" s="1543">
        <f t="shared" si="178"/>
        <v>0</v>
      </c>
      <c r="BW82" s="1543">
        <f t="shared" si="178"/>
        <v>0</v>
      </c>
      <c r="BX82" s="1543">
        <f t="shared" si="178"/>
        <v>0</v>
      </c>
      <c r="BY82" s="1543">
        <f t="shared" si="178"/>
        <v>0</v>
      </c>
      <c r="BZ82" s="1543">
        <f t="shared" si="178"/>
        <v>0</v>
      </c>
      <c r="CB82" s="1543">
        <f t="shared" si="177"/>
        <v>0</v>
      </c>
      <c r="CC82" s="1543">
        <f t="shared" si="177"/>
        <v>0</v>
      </c>
      <c r="CD82" s="1543">
        <f t="shared" si="177"/>
        <v>0</v>
      </c>
      <c r="CE82" s="1543">
        <f t="shared" si="177"/>
        <v>0</v>
      </c>
      <c r="CF82" s="1543">
        <f t="shared" si="177"/>
        <v>0</v>
      </c>
      <c r="CG82" s="1543">
        <f t="shared" si="177"/>
        <v>0</v>
      </c>
      <c r="CH82" s="1543">
        <f t="shared" si="177"/>
        <v>0</v>
      </c>
      <c r="CI82" s="1543">
        <f t="shared" si="177"/>
        <v>0</v>
      </c>
      <c r="CJ82" s="1543">
        <f t="shared" si="177"/>
        <v>0</v>
      </c>
      <c r="CK82" s="1543">
        <f t="shared" si="177"/>
        <v>0</v>
      </c>
      <c r="CL82" s="1543">
        <f t="shared" si="177"/>
        <v>0</v>
      </c>
      <c r="CM82" s="1543">
        <f t="shared" si="177"/>
        <v>0</v>
      </c>
      <c r="CN82" s="1543">
        <f t="shared" si="177"/>
        <v>0</v>
      </c>
      <c r="CO82" s="1543">
        <f t="shared" si="177"/>
        <v>0</v>
      </c>
      <c r="CP82" s="1543">
        <f t="shared" si="177"/>
        <v>0</v>
      </c>
      <c r="CQ82" s="1543">
        <f t="shared" si="177"/>
        <v>0</v>
      </c>
      <c r="CR82" s="1543">
        <f t="shared" si="179"/>
        <v>0</v>
      </c>
      <c r="CS82" s="1543">
        <f t="shared" si="179"/>
        <v>0</v>
      </c>
      <c r="CT82" s="1543">
        <f t="shared" si="146"/>
        <v>0</v>
      </c>
      <c r="CU82" s="1543">
        <f t="shared" si="146"/>
        <v>0</v>
      </c>
      <c r="CV82" s="1543">
        <f t="shared" si="146"/>
        <v>0</v>
      </c>
      <c r="CW82" s="1543">
        <f t="shared" si="146"/>
        <v>0</v>
      </c>
      <c r="CX82" s="1543">
        <f t="shared" si="146"/>
        <v>0</v>
      </c>
      <c r="CY82" s="1543">
        <f t="shared" si="146"/>
        <v>0</v>
      </c>
      <c r="CZ82" s="1543">
        <f t="shared" si="146"/>
        <v>0</v>
      </c>
      <c r="DA82" s="1543">
        <f t="shared" si="146"/>
        <v>0</v>
      </c>
      <c r="DB82" s="1543">
        <f t="shared" si="146"/>
        <v>0</v>
      </c>
      <c r="DD82" s="1543">
        <f t="shared" si="147"/>
        <v>0</v>
      </c>
      <c r="DE82" s="1543">
        <f t="shared" si="148"/>
        <v>0</v>
      </c>
      <c r="DF82" s="1543">
        <f t="shared" si="149"/>
        <v>0</v>
      </c>
      <c r="DG82" s="1543">
        <f t="shared" si="162"/>
        <v>0</v>
      </c>
      <c r="DI82" s="1543">
        <f t="shared" si="163"/>
        <v>0</v>
      </c>
      <c r="DJ82" s="1543">
        <f t="shared" si="74"/>
        <v>0</v>
      </c>
      <c r="DK82" s="1543">
        <f t="shared" si="74"/>
        <v>0</v>
      </c>
      <c r="DL82" s="1543">
        <f t="shared" si="74"/>
        <v>0</v>
      </c>
      <c r="DM82" s="1543">
        <f t="shared" si="74"/>
        <v>0</v>
      </c>
      <c r="DO82" s="1543">
        <f t="shared" si="164"/>
        <v>0</v>
      </c>
      <c r="DP82" s="1543">
        <f t="shared" si="164"/>
        <v>0</v>
      </c>
      <c r="DQ82" s="1543">
        <f t="shared" si="164"/>
        <v>0</v>
      </c>
      <c r="DR82" s="1543">
        <f t="shared" si="164"/>
        <v>0</v>
      </c>
      <c r="DS82" s="1543">
        <f t="shared" si="164"/>
        <v>0</v>
      </c>
      <c r="DT82" s="1543">
        <f t="shared" si="164"/>
        <v>0</v>
      </c>
      <c r="DU82" s="1543">
        <f t="shared" si="164"/>
        <v>0</v>
      </c>
      <c r="DV82" s="1543">
        <f t="shared" si="164"/>
        <v>0</v>
      </c>
      <c r="DW82" s="1543">
        <f t="shared" si="164"/>
        <v>0</v>
      </c>
      <c r="DX82" s="1543">
        <f t="shared" si="164"/>
        <v>0</v>
      </c>
      <c r="DY82" s="1543">
        <f t="shared" si="164"/>
        <v>0</v>
      </c>
      <c r="DZ82" s="1543">
        <f t="shared" si="164"/>
        <v>0</v>
      </c>
      <c r="EA82" s="1543">
        <f t="shared" si="164"/>
        <v>0</v>
      </c>
      <c r="EB82" s="1543">
        <f t="shared" si="180"/>
        <v>0</v>
      </c>
      <c r="EC82" s="1543">
        <f t="shared" si="180"/>
        <v>0</v>
      </c>
      <c r="ED82" s="1543">
        <f t="shared" si="180"/>
        <v>0</v>
      </c>
      <c r="EE82" s="1543">
        <f t="shared" si="180"/>
        <v>0</v>
      </c>
      <c r="EF82" s="1543">
        <f t="shared" si="180"/>
        <v>0</v>
      </c>
      <c r="EH82" s="1543">
        <f t="shared" si="165"/>
        <v>0</v>
      </c>
      <c r="EI82" s="1543">
        <f t="shared" si="166"/>
        <v>0</v>
      </c>
      <c r="EJ82" s="1543">
        <f t="shared" si="167"/>
        <v>0</v>
      </c>
      <c r="EK82" s="1543">
        <f t="shared" si="168"/>
        <v>0</v>
      </c>
      <c r="EL82" s="1543">
        <f t="shared" si="169"/>
        <v>0</v>
      </c>
      <c r="EM82" s="1543">
        <f t="shared" si="170"/>
        <v>0</v>
      </c>
      <c r="EN82" s="1543">
        <f t="shared" si="171"/>
        <v>0</v>
      </c>
      <c r="EP82" s="1543">
        <f t="shared" si="72"/>
        <v>0</v>
      </c>
      <c r="EQ82" s="1543">
        <f t="shared" si="72"/>
        <v>0</v>
      </c>
      <c r="ER82" s="1543">
        <f t="shared" si="72"/>
        <v>0</v>
      </c>
      <c r="ES82" s="1543">
        <f t="shared" si="72"/>
        <v>0</v>
      </c>
      <c r="ET82" s="1543">
        <f t="shared" si="181"/>
        <v>0</v>
      </c>
      <c r="EU82" s="1543">
        <f t="shared" si="181"/>
        <v>0</v>
      </c>
      <c r="EV82" s="1543">
        <f t="shared" si="181"/>
        <v>0</v>
      </c>
      <c r="EW82" s="1543">
        <f t="shared" si="181"/>
        <v>0</v>
      </c>
      <c r="EX82" s="1543">
        <f t="shared" si="181"/>
        <v>0</v>
      </c>
      <c r="EY82" s="1543">
        <f t="shared" si="181"/>
        <v>0</v>
      </c>
      <c r="EZ82" s="1543">
        <f t="shared" si="181"/>
        <v>0</v>
      </c>
      <c r="FA82" s="1543">
        <f t="shared" si="181"/>
        <v>0</v>
      </c>
      <c r="FB82" s="1543">
        <f t="shared" si="181"/>
        <v>0</v>
      </c>
      <c r="FC82" s="1543">
        <f t="shared" si="181"/>
        <v>0</v>
      </c>
      <c r="FD82" s="1543">
        <f t="shared" si="181"/>
        <v>0</v>
      </c>
      <c r="FE82" s="1543">
        <f t="shared" si="52"/>
        <v>0</v>
      </c>
      <c r="FF82" s="1543">
        <f t="shared" si="172"/>
        <v>1</v>
      </c>
      <c r="FH82" s="1543">
        <f t="shared" si="173"/>
        <v>0</v>
      </c>
      <c r="FI82" s="1543">
        <f t="shared" si="173"/>
        <v>0</v>
      </c>
      <c r="FJ82" s="1543">
        <f t="shared" si="173"/>
        <v>0</v>
      </c>
      <c r="FK82" s="1543">
        <f t="shared" si="173"/>
        <v>0</v>
      </c>
      <c r="FL82" s="1543">
        <f t="shared" si="173"/>
        <v>0</v>
      </c>
      <c r="FM82" s="1543">
        <f t="shared" si="173"/>
        <v>0</v>
      </c>
      <c r="FN82" s="1543">
        <f t="shared" si="173"/>
        <v>0</v>
      </c>
      <c r="FO82" s="1543">
        <f t="shared" si="173"/>
        <v>0</v>
      </c>
      <c r="FP82" s="1543">
        <f t="shared" si="173"/>
        <v>0</v>
      </c>
      <c r="FQ82" s="1543">
        <f t="shared" si="173"/>
        <v>0</v>
      </c>
      <c r="FR82" s="1543">
        <f t="shared" si="173"/>
        <v>0</v>
      </c>
      <c r="FS82" s="1543">
        <f t="shared" si="173"/>
        <v>0</v>
      </c>
      <c r="FT82" s="1543">
        <f t="shared" si="174"/>
        <v>0</v>
      </c>
      <c r="FV82" s="1543">
        <f t="shared" si="175"/>
        <v>1</v>
      </c>
      <c r="FW82" s="1543">
        <f t="shared" si="175"/>
        <v>0</v>
      </c>
      <c r="FX82" s="1543">
        <f t="shared" si="175"/>
        <v>0</v>
      </c>
      <c r="FY82" s="1543">
        <f t="shared" si="175"/>
        <v>0</v>
      </c>
      <c r="FZ82" s="1543">
        <f t="shared" si="175"/>
        <v>0</v>
      </c>
      <c r="GA82" s="1543">
        <f t="shared" si="175"/>
        <v>0</v>
      </c>
      <c r="GB82" s="1543">
        <f t="shared" si="175"/>
        <v>0</v>
      </c>
      <c r="GC82" s="1543">
        <f t="shared" si="175"/>
        <v>0</v>
      </c>
      <c r="GD82" s="1543">
        <f t="shared" si="175"/>
        <v>0</v>
      </c>
    </row>
    <row r="83" spans="1:186" s="982" customFormat="1" ht="15.6" x14ac:dyDescent="0.3">
      <c r="A83" s="974">
        <v>81</v>
      </c>
      <c r="B83" s="983"/>
      <c r="C83" s="984"/>
      <c r="D83" s="983"/>
      <c r="E83" s="968" t="str">
        <f>IFERROR(VLOOKUP($D83&amp;"."&amp;B83,'Piping Class'!$1:$1048576,MATCH($I83,'Piping Class'!$2:$2,0),0),"")</f>
        <v/>
      </c>
      <c r="F83" s="985" t="str">
        <f>IFERROR(IF(B83="Flange",VLOOKUP($D83,'Piping Class'!$88:$102,MATCH(F$1,'Piping Class'!$88:$88,0),0),""),"")</f>
        <v/>
      </c>
      <c r="G83" s="968" t="str">
        <f>IFERROR(IF(B83="Flange",VLOOKUP($D83,'Piping Class'!$88:$102,MATCH(G$1,'Piping Class'!$88:$88,0),0),""),"")</f>
        <v/>
      </c>
      <c r="H83" s="968" t="str">
        <f>IFERROR(VLOOKUP($D83,'Piping Class'!$88:$102,MATCH(H$1,'Piping Class'!$88:$88,0),0),"")</f>
        <v/>
      </c>
      <c r="I83" s="986"/>
      <c r="J83" s="987"/>
      <c r="K83" s="968" t="str">
        <f>IFERROR(VLOOKUP(I83,'Thickness Tab'!$1:$1048576,MATCH(L83,'Thickness Tab'!$1:$1,0),0),"")</f>
        <v/>
      </c>
      <c r="L83" s="969" t="str">
        <f>IFERROR(VLOOKUP($D83,'Piping Class'!$1:$1048576,MATCH($I83,'Piping Class'!$2:$2,0),0),"")</f>
        <v/>
      </c>
      <c r="M83" s="968" t="str">
        <f>IFERROR(VLOOKUP(J83,'Thickness Tab'!$1:$1048576,MATCH(N83,'Thickness Tab'!$1:$1,0),0),"")</f>
        <v/>
      </c>
      <c r="N83" s="969" t="str">
        <f>IFERROR(VLOOKUP($D83,'Piping Class'!$1:$1048576,MATCH($J83,'Piping Class'!$2:$2,0),0),"")</f>
        <v/>
      </c>
      <c r="O83" s="968" t="str">
        <f>IFERROR(VLOOKUP($D83,'Piping Class'!$88:$102,MATCH(O$1,'Piping Class'!$88:$88,0),0),"")</f>
        <v/>
      </c>
      <c r="P83" s="968" t="str">
        <f>IFERROR(VLOOKUP($D83,'Piping Class'!$88:$102,MATCH(P$1,'Piping Class'!$88:$88,0),0),"")</f>
        <v/>
      </c>
      <c r="Q83" s="983"/>
      <c r="R83" s="988"/>
      <c r="S83" s="969" t="str">
        <f t="shared" si="150"/>
        <v/>
      </c>
      <c r="T83" s="968">
        <f>IFERROR(VLOOKUP(I83&amp;"."&amp;L83,'Fitting Chart'!$1:$1048576,MATCH(C83,'Fitting Chart'!$1:$1,0),0),0)+IF(B83="piping",PI()*K83*(VLOOKUP(I83,'Thickness Tab'!$1:$1048576,3,0)-K83)*7.86/1000,0)+IF(B83="Flange",VLOOKUP(I83&amp;"F"&amp;F83,'Flanges Chart'!$1:$1048576,MATCH(C83&amp;"."&amp;T$1,'Flanges Chart'!$1:$1,0),0),0)</f>
        <v>0</v>
      </c>
      <c r="U83" s="989">
        <f t="shared" si="151"/>
        <v>0</v>
      </c>
      <c r="V83" s="1003"/>
      <c r="W83" s="1001">
        <f t="shared" si="152"/>
        <v>0</v>
      </c>
      <c r="X83" s="997"/>
      <c r="Y83" s="983"/>
      <c r="Z83" s="989">
        <f>IF(B83="Piping",VLOOKUP(I83,'Thickness Tab'!$1:$1048576,3,0)/1000*PI(),0)+IFERROR(VLOOKUP(I83&amp;"F"&amp;F83,'Flanges Chart'!$1:$1048576,MATCH(C83&amp;".Unit Surface",'Flanges Chart'!$1:$1,0),0),0)+IF(B83="Fitting",VLOOKUP(I83,'Thickness Tab'!$1:$1048576,3,0)/1000*PI(),0)</f>
        <v>0</v>
      </c>
      <c r="AA83" s="989">
        <f t="shared" si="153"/>
        <v>0</v>
      </c>
      <c r="AB83" s="983">
        <v>0</v>
      </c>
      <c r="AC83" s="989">
        <f t="shared" si="154"/>
        <v>0</v>
      </c>
      <c r="AD83" s="989">
        <f t="shared" si="155"/>
        <v>0</v>
      </c>
      <c r="AE83" s="974">
        <f>(IFERROR(VLOOKUP($C83,List!$J:$L,2,0),0)*R83+IF(B83="piping",R83,0)+IF(C83="Welding Neck",1,0)*R83)*$AE$2</f>
        <v>0</v>
      </c>
      <c r="AF83" s="970">
        <f>IFERROR(VLOOKUP($C83,List!$J:$L,3,0),0)*R83*$AF$2</f>
        <v>0</v>
      </c>
      <c r="AG83" s="990">
        <f t="shared" si="156"/>
        <v>0</v>
      </c>
      <c r="AH83" s="1118" t="str">
        <f>IFERROR(VLOOKUP($D83,'Piping Class'!$88:$102,MATCH(AH$1,'Piping Class'!$88:$88,0),0),"")</f>
        <v/>
      </c>
      <c r="AI83" s="991" t="str">
        <f>IFERROR(VLOOKUP($D83,'Piping Class'!$88:$102,MATCH(AI$1,'Piping Class'!$88:$88,0),0),"")</f>
        <v/>
      </c>
      <c r="AJ83" s="991" t="str">
        <f>IFERROR(VLOOKUP($D83,'Piping Class'!$88:$102,MATCH(AJ$1,'Piping Class'!$88:$88,0),0),"")</f>
        <v/>
      </c>
      <c r="AK83" s="991" t="str">
        <f>IFERROR(VLOOKUP($D83,'Piping Class'!$88:$102,MATCH(AK$1,'Piping Class'!$88:$88,0),0),"")</f>
        <v/>
      </c>
      <c r="AL83" s="991">
        <f t="shared" si="182"/>
        <v>0</v>
      </c>
      <c r="AM83" s="1119" t="str">
        <f>IFERROR(VLOOKUP($D83,'Piping Class'!$88:$102,MATCH(AM$1,'Piping Class'!$88:$88,0),0),"")</f>
        <v/>
      </c>
      <c r="AN83" s="992">
        <f t="shared" si="157"/>
        <v>0</v>
      </c>
      <c r="AO83" s="993">
        <f>IFERROR(VLOOKUP(I83&amp;"B"&amp;F83,'Bolting Chart'!$1:$1048576,4,0),0)</f>
        <v>0</v>
      </c>
      <c r="AP83" s="993">
        <f t="shared" si="158"/>
        <v>0</v>
      </c>
      <c r="AQ83" s="993">
        <f t="shared" si="159"/>
        <v>0</v>
      </c>
      <c r="AR83" s="993">
        <f>IF(AO83=0,0,VLOOKUP(D83&amp;".bolting",'Piping Class'!$1:$1048576,MATCH(I83,'Piping Class'!$2:$2,0),0))</f>
        <v>0</v>
      </c>
      <c r="AS83" s="994">
        <f>IFERROR(VLOOKUP(I83&amp;"B"&amp;F83,'Bolting Chart'!$1:$1048576,IF(AS$2="UNC",5,6),0),0)</f>
        <v>0</v>
      </c>
      <c r="AT83" s="995">
        <f>IFERROR(VLOOKUP(I83&amp;"B"&amp;F83,'Bolting Chart'!$1:$1048576,IF(G83="RF",8,9),0),0)</f>
        <v>0</v>
      </c>
      <c r="AU83" s="993">
        <f>IF(AO83=0,0,VLOOKUP(D83&amp;".gasket",'Piping Class'!$1:$1048576,MATCH(I83,'Piping Class'!$2:$2,0),0))</f>
        <v>0</v>
      </c>
      <c r="AV83" s="996">
        <f>(IFERROR(INDEX('Bolting Chart'!$A$169:$R$251,MATCH(AT83,'Bolting Chart'!$A$170:$A$251,0),MATCH(IFERROR(VLOOKUP(I83&amp;"B"&amp;F83,'Bolting Chart'!$1:$1048576,7,0),0)+0,'Bolting Chart'!$A$169:$R$169,0)),0))/100</f>
        <v>0</v>
      </c>
      <c r="AW83" s="996">
        <f t="shared" si="160"/>
        <v>0</v>
      </c>
      <c r="AX83" s="1194">
        <f t="shared" si="161"/>
        <v>0</v>
      </c>
      <c r="AY83" s="981"/>
      <c r="AZ83" s="1543">
        <f t="shared" si="176"/>
        <v>0</v>
      </c>
      <c r="BA83" s="1543">
        <f t="shared" si="176"/>
        <v>0</v>
      </c>
      <c r="BB83" s="1543">
        <f t="shared" si="176"/>
        <v>0</v>
      </c>
      <c r="BC83" s="1543">
        <f t="shared" si="176"/>
        <v>0</v>
      </c>
      <c r="BD83" s="1543">
        <f t="shared" si="176"/>
        <v>0</v>
      </c>
      <c r="BE83" s="1543">
        <f t="shared" si="176"/>
        <v>0</v>
      </c>
      <c r="BF83" s="1543">
        <f t="shared" si="176"/>
        <v>0</v>
      </c>
      <c r="BG83" s="1543">
        <f t="shared" si="176"/>
        <v>0</v>
      </c>
      <c r="BH83" s="1543">
        <f t="shared" si="176"/>
        <v>0</v>
      </c>
      <c r="BI83" s="1543">
        <f t="shared" si="176"/>
        <v>0</v>
      </c>
      <c r="BJ83" s="1543">
        <f t="shared" si="176"/>
        <v>0</v>
      </c>
      <c r="BK83" s="1543">
        <f t="shared" si="176"/>
        <v>0</v>
      </c>
      <c r="BL83" s="1543">
        <f t="shared" si="176"/>
        <v>0</v>
      </c>
      <c r="BM83" s="1543">
        <f t="shared" si="176"/>
        <v>0</v>
      </c>
      <c r="BN83" s="1543">
        <f t="shared" si="176"/>
        <v>0</v>
      </c>
      <c r="BO83" s="1543">
        <f t="shared" si="176"/>
        <v>0</v>
      </c>
      <c r="BP83" s="1543">
        <f t="shared" si="178"/>
        <v>0</v>
      </c>
      <c r="BQ83" s="1543">
        <f t="shared" si="178"/>
        <v>0</v>
      </c>
      <c r="BR83" s="1543">
        <f t="shared" si="178"/>
        <v>0</v>
      </c>
      <c r="BS83" s="1543">
        <f t="shared" si="178"/>
        <v>0</v>
      </c>
      <c r="BT83" s="1543">
        <f t="shared" si="178"/>
        <v>0</v>
      </c>
      <c r="BU83" s="1543">
        <f t="shared" si="178"/>
        <v>0</v>
      </c>
      <c r="BV83" s="1543">
        <f t="shared" si="178"/>
        <v>0</v>
      </c>
      <c r="BW83" s="1543">
        <f t="shared" si="178"/>
        <v>0</v>
      </c>
      <c r="BX83" s="1543">
        <f t="shared" si="178"/>
        <v>0</v>
      </c>
      <c r="BY83" s="1543">
        <f t="shared" si="178"/>
        <v>0</v>
      </c>
      <c r="BZ83" s="1543">
        <f t="shared" si="178"/>
        <v>0</v>
      </c>
      <c r="CB83" s="1543">
        <f t="shared" si="177"/>
        <v>0</v>
      </c>
      <c r="CC83" s="1543">
        <f t="shared" si="177"/>
        <v>0</v>
      </c>
      <c r="CD83" s="1543">
        <f t="shared" si="177"/>
        <v>0</v>
      </c>
      <c r="CE83" s="1543">
        <f t="shared" si="177"/>
        <v>0</v>
      </c>
      <c r="CF83" s="1543">
        <f t="shared" si="177"/>
        <v>0</v>
      </c>
      <c r="CG83" s="1543">
        <f t="shared" si="177"/>
        <v>0</v>
      </c>
      <c r="CH83" s="1543">
        <f t="shared" si="177"/>
        <v>0</v>
      </c>
      <c r="CI83" s="1543">
        <f t="shared" si="177"/>
        <v>0</v>
      </c>
      <c r="CJ83" s="1543">
        <f t="shared" si="177"/>
        <v>0</v>
      </c>
      <c r="CK83" s="1543">
        <f t="shared" si="177"/>
        <v>0</v>
      </c>
      <c r="CL83" s="1543">
        <f t="shared" si="177"/>
        <v>0</v>
      </c>
      <c r="CM83" s="1543">
        <f t="shared" si="177"/>
        <v>0</v>
      </c>
      <c r="CN83" s="1543">
        <f t="shared" si="177"/>
        <v>0</v>
      </c>
      <c r="CO83" s="1543">
        <f t="shared" si="177"/>
        <v>0</v>
      </c>
      <c r="CP83" s="1543">
        <f t="shared" si="177"/>
        <v>0</v>
      </c>
      <c r="CQ83" s="1543">
        <f t="shared" si="177"/>
        <v>0</v>
      </c>
      <c r="CR83" s="1543">
        <f t="shared" si="179"/>
        <v>0</v>
      </c>
      <c r="CS83" s="1543">
        <f t="shared" si="179"/>
        <v>0</v>
      </c>
      <c r="CT83" s="1543">
        <f t="shared" ref="CT83:DB111" si="183">IF($I83=CT$2,1,0)</f>
        <v>0</v>
      </c>
      <c r="CU83" s="1543">
        <f t="shared" si="183"/>
        <v>0</v>
      </c>
      <c r="CV83" s="1543">
        <f t="shared" si="183"/>
        <v>0</v>
      </c>
      <c r="CW83" s="1543">
        <f t="shared" si="183"/>
        <v>0</v>
      </c>
      <c r="CX83" s="1543">
        <f t="shared" si="183"/>
        <v>0</v>
      </c>
      <c r="CY83" s="1543">
        <f t="shared" si="183"/>
        <v>0</v>
      </c>
      <c r="CZ83" s="1543">
        <f t="shared" si="183"/>
        <v>0</v>
      </c>
      <c r="DA83" s="1543">
        <f t="shared" si="183"/>
        <v>0</v>
      </c>
      <c r="DB83" s="1543">
        <f t="shared" si="183"/>
        <v>0</v>
      </c>
      <c r="DD83" s="1543">
        <f t="shared" si="147"/>
        <v>0</v>
      </c>
      <c r="DE83" s="1543">
        <f t="shared" si="148"/>
        <v>0</v>
      </c>
      <c r="DF83" s="1543">
        <f t="shared" si="149"/>
        <v>0</v>
      </c>
      <c r="DG83" s="1543">
        <f t="shared" si="162"/>
        <v>0</v>
      </c>
      <c r="DI83" s="1543">
        <f t="shared" si="163"/>
        <v>0</v>
      </c>
      <c r="DJ83" s="1543">
        <f t="shared" si="74"/>
        <v>0</v>
      </c>
      <c r="DK83" s="1543">
        <f t="shared" si="74"/>
        <v>0</v>
      </c>
      <c r="DL83" s="1543">
        <f t="shared" si="74"/>
        <v>0</v>
      </c>
      <c r="DM83" s="1543">
        <f t="shared" si="74"/>
        <v>0</v>
      </c>
      <c r="DO83" s="1543">
        <f t="shared" si="164"/>
        <v>0</v>
      </c>
      <c r="DP83" s="1543">
        <f t="shared" si="164"/>
        <v>0</v>
      </c>
      <c r="DQ83" s="1543">
        <f t="shared" si="164"/>
        <v>0</v>
      </c>
      <c r="DR83" s="1543">
        <f t="shared" si="164"/>
        <v>0</v>
      </c>
      <c r="DS83" s="1543">
        <f t="shared" si="164"/>
        <v>0</v>
      </c>
      <c r="DT83" s="1543">
        <f t="shared" si="164"/>
        <v>0</v>
      </c>
      <c r="DU83" s="1543">
        <f t="shared" si="164"/>
        <v>0</v>
      </c>
      <c r="DV83" s="1543">
        <f t="shared" si="164"/>
        <v>0</v>
      </c>
      <c r="DW83" s="1543">
        <f t="shared" si="164"/>
        <v>0</v>
      </c>
      <c r="DX83" s="1543">
        <f t="shared" si="164"/>
        <v>0</v>
      </c>
      <c r="DY83" s="1543">
        <f t="shared" si="164"/>
        <v>0</v>
      </c>
      <c r="DZ83" s="1543">
        <f t="shared" si="164"/>
        <v>0</v>
      </c>
      <c r="EA83" s="1543">
        <f t="shared" si="164"/>
        <v>0</v>
      </c>
      <c r="EB83" s="1543">
        <f t="shared" si="180"/>
        <v>0</v>
      </c>
      <c r="EC83" s="1543">
        <f t="shared" si="180"/>
        <v>0</v>
      </c>
      <c r="ED83" s="1543">
        <f t="shared" si="180"/>
        <v>0</v>
      </c>
      <c r="EE83" s="1543">
        <f t="shared" si="180"/>
        <v>0</v>
      </c>
      <c r="EF83" s="1543">
        <f t="shared" si="180"/>
        <v>0</v>
      </c>
      <c r="EH83" s="1543">
        <f t="shared" si="165"/>
        <v>0</v>
      </c>
      <c r="EI83" s="1543">
        <f t="shared" si="166"/>
        <v>0</v>
      </c>
      <c r="EJ83" s="1543">
        <f t="shared" si="167"/>
        <v>0</v>
      </c>
      <c r="EK83" s="1543">
        <f t="shared" si="168"/>
        <v>0</v>
      </c>
      <c r="EL83" s="1543">
        <f t="shared" si="169"/>
        <v>0</v>
      </c>
      <c r="EM83" s="1543">
        <f t="shared" si="170"/>
        <v>0</v>
      </c>
      <c r="EN83" s="1543">
        <f t="shared" si="171"/>
        <v>0</v>
      </c>
      <c r="EP83" s="1543">
        <f t="shared" si="72"/>
        <v>0</v>
      </c>
      <c r="EQ83" s="1543">
        <f t="shared" si="72"/>
        <v>0</v>
      </c>
      <c r="ER83" s="1543">
        <f t="shared" si="72"/>
        <v>0</v>
      </c>
      <c r="ES83" s="1543">
        <f t="shared" si="72"/>
        <v>0</v>
      </c>
      <c r="ET83" s="1543">
        <f t="shared" si="181"/>
        <v>0</v>
      </c>
      <c r="EU83" s="1543">
        <f t="shared" si="181"/>
        <v>0</v>
      </c>
      <c r="EV83" s="1543">
        <f t="shared" si="181"/>
        <v>0</v>
      </c>
      <c r="EW83" s="1543">
        <f t="shared" si="181"/>
        <v>0</v>
      </c>
      <c r="EX83" s="1543">
        <f t="shared" si="181"/>
        <v>0</v>
      </c>
      <c r="EY83" s="1543">
        <f t="shared" si="181"/>
        <v>0</v>
      </c>
      <c r="EZ83" s="1543">
        <f t="shared" si="181"/>
        <v>0</v>
      </c>
      <c r="FA83" s="1543">
        <f t="shared" si="181"/>
        <v>0</v>
      </c>
      <c r="FB83" s="1543">
        <f t="shared" si="181"/>
        <v>0</v>
      </c>
      <c r="FC83" s="1543">
        <f t="shared" si="181"/>
        <v>0</v>
      </c>
      <c r="FD83" s="1543">
        <f t="shared" si="181"/>
        <v>0</v>
      </c>
      <c r="FE83" s="1543">
        <f t="shared" ref="FE83:FE139" si="184">IF(FE$2="X",0,IF($Q83=FE$2,1,0))</f>
        <v>0</v>
      </c>
      <c r="FF83" s="1543">
        <f t="shared" si="172"/>
        <v>1</v>
      </c>
      <c r="FH83" s="1543">
        <f t="shared" si="173"/>
        <v>0</v>
      </c>
      <c r="FI83" s="1543">
        <f t="shared" si="173"/>
        <v>0</v>
      </c>
      <c r="FJ83" s="1543">
        <f t="shared" si="173"/>
        <v>0</v>
      </c>
      <c r="FK83" s="1543">
        <f t="shared" si="173"/>
        <v>0</v>
      </c>
      <c r="FL83" s="1543">
        <f t="shared" si="173"/>
        <v>0</v>
      </c>
      <c r="FM83" s="1543">
        <f t="shared" si="173"/>
        <v>0</v>
      </c>
      <c r="FN83" s="1543">
        <f t="shared" si="173"/>
        <v>0</v>
      </c>
      <c r="FO83" s="1543">
        <f t="shared" si="173"/>
        <v>0</v>
      </c>
      <c r="FP83" s="1543">
        <f t="shared" si="173"/>
        <v>0</v>
      </c>
      <c r="FQ83" s="1543">
        <f t="shared" si="173"/>
        <v>0</v>
      </c>
      <c r="FR83" s="1543">
        <f t="shared" si="173"/>
        <v>0</v>
      </c>
      <c r="FS83" s="1543">
        <f t="shared" si="173"/>
        <v>0</v>
      </c>
      <c r="FT83" s="1543">
        <f t="shared" si="174"/>
        <v>0</v>
      </c>
      <c r="FV83" s="1543">
        <f t="shared" si="175"/>
        <v>1</v>
      </c>
      <c r="FW83" s="1543">
        <f t="shared" si="175"/>
        <v>0</v>
      </c>
      <c r="FX83" s="1543">
        <f t="shared" si="175"/>
        <v>0</v>
      </c>
      <c r="FY83" s="1543">
        <f t="shared" si="175"/>
        <v>0</v>
      </c>
      <c r="FZ83" s="1543">
        <f t="shared" si="175"/>
        <v>0</v>
      </c>
      <c r="GA83" s="1543">
        <f t="shared" si="175"/>
        <v>0</v>
      </c>
      <c r="GB83" s="1543">
        <f t="shared" si="175"/>
        <v>0</v>
      </c>
      <c r="GC83" s="1543">
        <f t="shared" si="175"/>
        <v>0</v>
      </c>
      <c r="GD83" s="1543">
        <f t="shared" si="175"/>
        <v>0</v>
      </c>
    </row>
    <row r="84" spans="1:186" s="982" customFormat="1" ht="15.6" x14ac:dyDescent="0.3">
      <c r="A84" s="974">
        <v>82</v>
      </c>
      <c r="B84" s="983"/>
      <c r="C84" s="984"/>
      <c r="D84" s="983"/>
      <c r="E84" s="968" t="str">
        <f>IFERROR(VLOOKUP($D84&amp;"."&amp;B84,'Piping Class'!$1:$1048576,MATCH($I84,'Piping Class'!$2:$2,0),0),"")</f>
        <v/>
      </c>
      <c r="F84" s="985" t="str">
        <f>IFERROR(IF(B84="Flange",VLOOKUP($D84,'Piping Class'!$88:$102,MATCH(F$1,'Piping Class'!$88:$88,0),0),""),"")</f>
        <v/>
      </c>
      <c r="G84" s="968" t="str">
        <f>IFERROR(IF(B84="Flange",VLOOKUP($D84,'Piping Class'!$88:$102,MATCH(G$1,'Piping Class'!$88:$88,0),0),""),"")</f>
        <v/>
      </c>
      <c r="H84" s="968" t="str">
        <f>IFERROR(VLOOKUP($D84,'Piping Class'!$88:$102,MATCH(H$1,'Piping Class'!$88:$88,0),0),"")</f>
        <v/>
      </c>
      <c r="I84" s="986"/>
      <c r="J84" s="987"/>
      <c r="K84" s="968" t="str">
        <f>IFERROR(VLOOKUP(I84,'Thickness Tab'!$1:$1048576,MATCH(L84,'Thickness Tab'!$1:$1,0),0),"")</f>
        <v/>
      </c>
      <c r="L84" s="969" t="str">
        <f>IFERROR(VLOOKUP($D84,'Piping Class'!$1:$1048576,MATCH($I84,'Piping Class'!$2:$2,0),0),"")</f>
        <v/>
      </c>
      <c r="M84" s="968" t="str">
        <f>IFERROR(VLOOKUP(J84,'Thickness Tab'!$1:$1048576,MATCH(N84,'Thickness Tab'!$1:$1,0),0),"")</f>
        <v/>
      </c>
      <c r="N84" s="969" t="str">
        <f>IFERROR(VLOOKUP($D84,'Piping Class'!$1:$1048576,MATCH($J84,'Piping Class'!$2:$2,0),0),"")</f>
        <v/>
      </c>
      <c r="O84" s="968" t="str">
        <f>IFERROR(VLOOKUP($D84,'Piping Class'!$88:$102,MATCH(O$1,'Piping Class'!$88:$88,0),0),"")</f>
        <v/>
      </c>
      <c r="P84" s="968" t="str">
        <f>IFERROR(VLOOKUP($D84,'Piping Class'!$88:$102,MATCH(P$1,'Piping Class'!$88:$88,0),0),"")</f>
        <v/>
      </c>
      <c r="Q84" s="983"/>
      <c r="R84" s="988"/>
      <c r="S84" s="969" t="str">
        <f t="shared" si="150"/>
        <v/>
      </c>
      <c r="T84" s="968">
        <f>IFERROR(VLOOKUP(I84&amp;"."&amp;L84,'Fitting Chart'!$1:$1048576,MATCH(C84,'Fitting Chart'!$1:$1,0),0),0)+IF(B84="piping",PI()*K84*(VLOOKUP(I84,'Thickness Tab'!$1:$1048576,3,0)-K84)*7.86/1000,0)+IF(B84="Flange",VLOOKUP(I84&amp;"F"&amp;F84,'Flanges Chart'!$1:$1048576,MATCH(C84&amp;"."&amp;T$1,'Flanges Chart'!$1:$1,0),0),0)</f>
        <v>0</v>
      </c>
      <c r="U84" s="989">
        <f t="shared" si="151"/>
        <v>0</v>
      </c>
      <c r="V84" s="1003"/>
      <c r="W84" s="1001">
        <f t="shared" si="152"/>
        <v>0</v>
      </c>
      <c r="X84" s="997"/>
      <c r="Y84" s="983"/>
      <c r="Z84" s="989">
        <f>IF(B84="Piping",VLOOKUP(I84,'Thickness Tab'!$1:$1048576,3,0)/1000*PI(),0)+IFERROR(VLOOKUP(I84&amp;"F"&amp;F84,'Flanges Chart'!$1:$1048576,MATCH(C84&amp;".Unit Surface",'Flanges Chart'!$1:$1,0),0),0)+IF(B84="Fitting",VLOOKUP(I84,'Thickness Tab'!$1:$1048576,3,0)/1000*PI(),0)</f>
        <v>0</v>
      </c>
      <c r="AA84" s="989">
        <f t="shared" si="153"/>
        <v>0</v>
      </c>
      <c r="AB84" s="983">
        <v>0</v>
      </c>
      <c r="AC84" s="989">
        <f t="shared" si="154"/>
        <v>0</v>
      </c>
      <c r="AD84" s="989">
        <f t="shared" si="155"/>
        <v>0</v>
      </c>
      <c r="AE84" s="974">
        <f>(IFERROR(VLOOKUP($C84,List!$J:$L,2,0),0)*R84+IF(B84="piping",R84,0)+IF(C84="Welding Neck",1,0)*R84)*$AE$2</f>
        <v>0</v>
      </c>
      <c r="AF84" s="970">
        <f>IFERROR(VLOOKUP($C84,List!$J:$L,3,0),0)*R84*$AF$2</f>
        <v>0</v>
      </c>
      <c r="AG84" s="990">
        <f t="shared" si="156"/>
        <v>0</v>
      </c>
      <c r="AH84" s="1118" t="str">
        <f>IFERROR(VLOOKUP($D84,'Piping Class'!$88:$102,MATCH(AH$1,'Piping Class'!$88:$88,0),0),"")</f>
        <v/>
      </c>
      <c r="AI84" s="991" t="str">
        <f>IFERROR(VLOOKUP($D84,'Piping Class'!$88:$102,MATCH(AI$1,'Piping Class'!$88:$88,0),0),"")</f>
        <v/>
      </c>
      <c r="AJ84" s="991" t="str">
        <f>IFERROR(VLOOKUP($D84,'Piping Class'!$88:$102,MATCH(AJ$1,'Piping Class'!$88:$88,0),0),"")</f>
        <v/>
      </c>
      <c r="AK84" s="991" t="str">
        <f>IFERROR(VLOOKUP($D84,'Piping Class'!$88:$102,MATCH(AK$1,'Piping Class'!$88:$88,0),0),"")</f>
        <v/>
      </c>
      <c r="AL84" s="991">
        <f t="shared" si="182"/>
        <v>0</v>
      </c>
      <c r="AM84" s="1119" t="str">
        <f>IFERROR(VLOOKUP($D84,'Piping Class'!$88:$102,MATCH(AM$1,'Piping Class'!$88:$88,0),0),"")</f>
        <v/>
      </c>
      <c r="AN84" s="992">
        <f t="shared" si="157"/>
        <v>0</v>
      </c>
      <c r="AO84" s="993">
        <f>IFERROR(VLOOKUP(I84&amp;"B"&amp;F84,'Bolting Chart'!$1:$1048576,4,0),0)</f>
        <v>0</v>
      </c>
      <c r="AP84" s="993">
        <f t="shared" si="158"/>
        <v>0</v>
      </c>
      <c r="AQ84" s="993">
        <f t="shared" si="159"/>
        <v>0</v>
      </c>
      <c r="AR84" s="993">
        <f>IF(AO84=0,0,VLOOKUP(D84&amp;".bolting",'Piping Class'!$1:$1048576,MATCH(I84,'Piping Class'!$2:$2,0),0))</f>
        <v>0</v>
      </c>
      <c r="AS84" s="994">
        <f>IFERROR(VLOOKUP(I84&amp;"B"&amp;F84,'Bolting Chart'!$1:$1048576,IF(AS$2="UNC",5,6),0),0)</f>
        <v>0</v>
      </c>
      <c r="AT84" s="995">
        <f>IFERROR(VLOOKUP(I84&amp;"B"&amp;F84,'Bolting Chart'!$1:$1048576,IF(G84="RF",8,9),0),0)</f>
        <v>0</v>
      </c>
      <c r="AU84" s="993">
        <f>IF(AO84=0,0,VLOOKUP(D84&amp;".gasket",'Piping Class'!$1:$1048576,MATCH(I84,'Piping Class'!$2:$2,0),0))</f>
        <v>0</v>
      </c>
      <c r="AV84" s="996">
        <f>(IFERROR(INDEX('Bolting Chart'!$A$169:$R$251,MATCH(AT84,'Bolting Chart'!$A$170:$A$251,0),MATCH(IFERROR(VLOOKUP(I84&amp;"B"&amp;F84,'Bolting Chart'!$1:$1048576,7,0),0)+0,'Bolting Chart'!$A$169:$R$169,0)),0))/100</f>
        <v>0</v>
      </c>
      <c r="AW84" s="996">
        <f t="shared" si="160"/>
        <v>0</v>
      </c>
      <c r="AX84" s="1194">
        <f t="shared" si="161"/>
        <v>0</v>
      </c>
      <c r="AY84" s="981"/>
      <c r="AZ84" s="1543">
        <f t="shared" si="176"/>
        <v>0</v>
      </c>
      <c r="BA84" s="1543">
        <f t="shared" si="176"/>
        <v>0</v>
      </c>
      <c r="BB84" s="1543">
        <f t="shared" si="176"/>
        <v>0</v>
      </c>
      <c r="BC84" s="1543">
        <f t="shared" si="176"/>
        <v>0</v>
      </c>
      <c r="BD84" s="1543">
        <f t="shared" si="176"/>
        <v>0</v>
      </c>
      <c r="BE84" s="1543">
        <f t="shared" si="176"/>
        <v>0</v>
      </c>
      <c r="BF84" s="1543">
        <f t="shared" si="176"/>
        <v>0</v>
      </c>
      <c r="BG84" s="1543">
        <f t="shared" si="176"/>
        <v>0</v>
      </c>
      <c r="BH84" s="1543">
        <f t="shared" si="176"/>
        <v>0</v>
      </c>
      <c r="BI84" s="1543">
        <f t="shared" si="176"/>
        <v>0</v>
      </c>
      <c r="BJ84" s="1543">
        <f t="shared" si="176"/>
        <v>0</v>
      </c>
      <c r="BK84" s="1543">
        <f t="shared" si="176"/>
        <v>0</v>
      </c>
      <c r="BL84" s="1543">
        <f t="shared" si="176"/>
        <v>0</v>
      </c>
      <c r="BM84" s="1543">
        <f t="shared" si="176"/>
        <v>0</v>
      </c>
      <c r="BN84" s="1543">
        <f t="shared" si="176"/>
        <v>0</v>
      </c>
      <c r="BO84" s="1543">
        <f t="shared" si="176"/>
        <v>0</v>
      </c>
      <c r="BP84" s="1543">
        <f t="shared" si="178"/>
        <v>0</v>
      </c>
      <c r="BQ84" s="1543">
        <f t="shared" si="178"/>
        <v>0</v>
      </c>
      <c r="BR84" s="1543">
        <f t="shared" si="178"/>
        <v>0</v>
      </c>
      <c r="BS84" s="1543">
        <f t="shared" si="178"/>
        <v>0</v>
      </c>
      <c r="BT84" s="1543">
        <f t="shared" si="178"/>
        <v>0</v>
      </c>
      <c r="BU84" s="1543">
        <f t="shared" si="178"/>
        <v>0</v>
      </c>
      <c r="BV84" s="1543">
        <f t="shared" si="178"/>
        <v>0</v>
      </c>
      <c r="BW84" s="1543">
        <f t="shared" si="178"/>
        <v>0</v>
      </c>
      <c r="BX84" s="1543">
        <f t="shared" si="178"/>
        <v>0</v>
      </c>
      <c r="BY84" s="1543">
        <f t="shared" si="178"/>
        <v>0</v>
      </c>
      <c r="BZ84" s="1543">
        <f t="shared" si="178"/>
        <v>0</v>
      </c>
      <c r="CB84" s="1543">
        <f t="shared" si="177"/>
        <v>0</v>
      </c>
      <c r="CC84" s="1543">
        <f t="shared" si="177"/>
        <v>0</v>
      </c>
      <c r="CD84" s="1543">
        <f t="shared" si="177"/>
        <v>0</v>
      </c>
      <c r="CE84" s="1543">
        <f t="shared" si="177"/>
        <v>0</v>
      </c>
      <c r="CF84" s="1543">
        <f t="shared" si="177"/>
        <v>0</v>
      </c>
      <c r="CG84" s="1543">
        <f t="shared" si="177"/>
        <v>0</v>
      </c>
      <c r="CH84" s="1543">
        <f t="shared" si="177"/>
        <v>0</v>
      </c>
      <c r="CI84" s="1543">
        <f t="shared" si="177"/>
        <v>0</v>
      </c>
      <c r="CJ84" s="1543">
        <f t="shared" si="177"/>
        <v>0</v>
      </c>
      <c r="CK84" s="1543">
        <f t="shared" si="177"/>
        <v>0</v>
      </c>
      <c r="CL84" s="1543">
        <f t="shared" si="177"/>
        <v>0</v>
      </c>
      <c r="CM84" s="1543">
        <f t="shared" si="177"/>
        <v>0</v>
      </c>
      <c r="CN84" s="1543">
        <f t="shared" si="177"/>
        <v>0</v>
      </c>
      <c r="CO84" s="1543">
        <f t="shared" si="177"/>
        <v>0</v>
      </c>
      <c r="CP84" s="1543">
        <f t="shared" si="177"/>
        <v>0</v>
      </c>
      <c r="CQ84" s="1543">
        <f t="shared" si="177"/>
        <v>0</v>
      </c>
      <c r="CR84" s="1543">
        <f t="shared" si="179"/>
        <v>0</v>
      </c>
      <c r="CS84" s="1543">
        <f t="shared" si="179"/>
        <v>0</v>
      </c>
      <c r="CT84" s="1543">
        <f t="shared" si="183"/>
        <v>0</v>
      </c>
      <c r="CU84" s="1543">
        <f t="shared" si="183"/>
        <v>0</v>
      </c>
      <c r="CV84" s="1543">
        <f t="shared" si="183"/>
        <v>0</v>
      </c>
      <c r="CW84" s="1543">
        <f t="shared" si="183"/>
        <v>0</v>
      </c>
      <c r="CX84" s="1543">
        <f t="shared" si="183"/>
        <v>0</v>
      </c>
      <c r="CY84" s="1543">
        <f t="shared" si="183"/>
        <v>0</v>
      </c>
      <c r="CZ84" s="1543">
        <f t="shared" si="183"/>
        <v>0</v>
      </c>
      <c r="DA84" s="1543">
        <f t="shared" si="183"/>
        <v>0</v>
      </c>
      <c r="DB84" s="1543">
        <f t="shared" si="183"/>
        <v>0</v>
      </c>
      <c r="DD84" s="1543">
        <f t="shared" si="147"/>
        <v>0</v>
      </c>
      <c r="DE84" s="1543">
        <f t="shared" si="148"/>
        <v>0</v>
      </c>
      <c r="DF84" s="1543">
        <f t="shared" si="149"/>
        <v>0</v>
      </c>
      <c r="DG84" s="1543">
        <f t="shared" si="162"/>
        <v>0</v>
      </c>
      <c r="DI84" s="1543">
        <f t="shared" si="163"/>
        <v>0</v>
      </c>
      <c r="DJ84" s="1543">
        <f t="shared" si="74"/>
        <v>0</v>
      </c>
      <c r="DK84" s="1543">
        <f t="shared" si="74"/>
        <v>0</v>
      </c>
      <c r="DL84" s="1543">
        <f t="shared" si="74"/>
        <v>0</v>
      </c>
      <c r="DM84" s="1543">
        <f t="shared" ref="DJ84:DM114" si="185">IF($H84=DM$2,1,0)</f>
        <v>0</v>
      </c>
      <c r="DO84" s="1543">
        <f t="shared" si="164"/>
        <v>0</v>
      </c>
      <c r="DP84" s="1543">
        <f t="shared" si="164"/>
        <v>0</v>
      </c>
      <c r="DQ84" s="1543">
        <f t="shared" si="164"/>
        <v>0</v>
      </c>
      <c r="DR84" s="1543">
        <f t="shared" si="164"/>
        <v>0</v>
      </c>
      <c r="DS84" s="1543">
        <f t="shared" si="164"/>
        <v>0</v>
      </c>
      <c r="DT84" s="1543">
        <f t="shared" si="164"/>
        <v>0</v>
      </c>
      <c r="DU84" s="1543">
        <f t="shared" si="164"/>
        <v>0</v>
      </c>
      <c r="DV84" s="1543">
        <f t="shared" si="164"/>
        <v>0</v>
      </c>
      <c r="DW84" s="1543">
        <f t="shared" si="164"/>
        <v>0</v>
      </c>
      <c r="DX84" s="1543">
        <f t="shared" si="164"/>
        <v>0</v>
      </c>
      <c r="DY84" s="1543">
        <f t="shared" si="164"/>
        <v>0</v>
      </c>
      <c r="DZ84" s="1543">
        <f t="shared" si="164"/>
        <v>0</v>
      </c>
      <c r="EA84" s="1543">
        <f t="shared" si="164"/>
        <v>0</v>
      </c>
      <c r="EB84" s="1543">
        <f t="shared" si="180"/>
        <v>0</v>
      </c>
      <c r="EC84" s="1543">
        <f t="shared" si="180"/>
        <v>0</v>
      </c>
      <c r="ED84" s="1543">
        <f t="shared" si="180"/>
        <v>0</v>
      </c>
      <c r="EE84" s="1543">
        <f t="shared" si="180"/>
        <v>0</v>
      </c>
      <c r="EF84" s="1543">
        <f t="shared" si="180"/>
        <v>0</v>
      </c>
      <c r="EH84" s="1543">
        <f t="shared" si="165"/>
        <v>0</v>
      </c>
      <c r="EI84" s="1543">
        <f t="shared" si="166"/>
        <v>0</v>
      </c>
      <c r="EJ84" s="1543">
        <f t="shared" si="167"/>
        <v>0</v>
      </c>
      <c r="EK84" s="1543">
        <f t="shared" si="168"/>
        <v>0</v>
      </c>
      <c r="EL84" s="1543">
        <f t="shared" si="169"/>
        <v>0</v>
      </c>
      <c r="EM84" s="1543">
        <f t="shared" si="170"/>
        <v>0</v>
      </c>
      <c r="EN84" s="1543">
        <f t="shared" si="171"/>
        <v>0</v>
      </c>
      <c r="EP84" s="1543">
        <f t="shared" si="72"/>
        <v>0</v>
      </c>
      <c r="EQ84" s="1543">
        <f t="shared" si="72"/>
        <v>0</v>
      </c>
      <c r="ER84" s="1543">
        <f t="shared" si="72"/>
        <v>0</v>
      </c>
      <c r="ES84" s="1543">
        <f t="shared" si="72"/>
        <v>0</v>
      </c>
      <c r="ET84" s="1543">
        <f t="shared" si="181"/>
        <v>0</v>
      </c>
      <c r="EU84" s="1543">
        <f t="shared" si="181"/>
        <v>0</v>
      </c>
      <c r="EV84" s="1543">
        <f t="shared" si="181"/>
        <v>0</v>
      </c>
      <c r="EW84" s="1543">
        <f t="shared" si="181"/>
        <v>0</v>
      </c>
      <c r="EX84" s="1543">
        <f t="shared" si="181"/>
        <v>0</v>
      </c>
      <c r="EY84" s="1543">
        <f t="shared" si="181"/>
        <v>0</v>
      </c>
      <c r="EZ84" s="1543">
        <f t="shared" si="181"/>
        <v>0</v>
      </c>
      <c r="FA84" s="1543">
        <f t="shared" si="181"/>
        <v>0</v>
      </c>
      <c r="FB84" s="1543">
        <f t="shared" si="181"/>
        <v>0</v>
      </c>
      <c r="FC84" s="1543">
        <f t="shared" si="181"/>
        <v>0</v>
      </c>
      <c r="FD84" s="1543">
        <f t="shared" si="181"/>
        <v>0</v>
      </c>
      <c r="FE84" s="1543">
        <f t="shared" si="184"/>
        <v>0</v>
      </c>
      <c r="FF84" s="1543">
        <f t="shared" si="172"/>
        <v>1</v>
      </c>
      <c r="FH84" s="1543">
        <f t="shared" ref="FH84:FS99" si="186">IF($FT84=1,0,IF(FH$2=$Y84,1,0))</f>
        <v>0</v>
      </c>
      <c r="FI84" s="1543">
        <f t="shared" si="186"/>
        <v>0</v>
      </c>
      <c r="FJ84" s="1543">
        <f t="shared" si="186"/>
        <v>0</v>
      </c>
      <c r="FK84" s="1543">
        <f t="shared" si="186"/>
        <v>0</v>
      </c>
      <c r="FL84" s="1543">
        <f t="shared" si="186"/>
        <v>0</v>
      </c>
      <c r="FM84" s="1543">
        <f t="shared" si="186"/>
        <v>0</v>
      </c>
      <c r="FN84" s="1543">
        <f t="shared" si="186"/>
        <v>0</v>
      </c>
      <c r="FO84" s="1543">
        <f t="shared" si="186"/>
        <v>0</v>
      </c>
      <c r="FP84" s="1543">
        <f t="shared" si="186"/>
        <v>0</v>
      </c>
      <c r="FQ84" s="1543">
        <f t="shared" si="186"/>
        <v>0</v>
      </c>
      <c r="FR84" s="1543">
        <f t="shared" si="186"/>
        <v>0</v>
      </c>
      <c r="FS84" s="1543">
        <f t="shared" si="186"/>
        <v>0</v>
      </c>
      <c r="FT84" s="1543">
        <f t="shared" si="174"/>
        <v>0</v>
      </c>
      <c r="FV84" s="1543">
        <f t="shared" ref="FV84:GD99" si="187">IF($AB84=FV$2,1,0)</f>
        <v>1</v>
      </c>
      <c r="FW84" s="1543">
        <f t="shared" si="187"/>
        <v>0</v>
      </c>
      <c r="FX84" s="1543">
        <f t="shared" si="187"/>
        <v>0</v>
      </c>
      <c r="FY84" s="1543">
        <f t="shared" si="187"/>
        <v>0</v>
      </c>
      <c r="FZ84" s="1543">
        <f t="shared" si="187"/>
        <v>0</v>
      </c>
      <c r="GA84" s="1543">
        <f t="shared" si="187"/>
        <v>0</v>
      </c>
      <c r="GB84" s="1543">
        <f t="shared" si="187"/>
        <v>0</v>
      </c>
      <c r="GC84" s="1543">
        <f t="shared" si="187"/>
        <v>0</v>
      </c>
      <c r="GD84" s="1543">
        <f t="shared" si="187"/>
        <v>0</v>
      </c>
    </row>
    <row r="85" spans="1:186" s="982" customFormat="1" ht="15.6" x14ac:dyDescent="0.3">
      <c r="A85" s="974">
        <v>83</v>
      </c>
      <c r="B85" s="983"/>
      <c r="C85" s="984"/>
      <c r="D85" s="983"/>
      <c r="E85" s="968" t="str">
        <f>IFERROR(VLOOKUP($D85&amp;"."&amp;B85,'Piping Class'!$1:$1048576,MATCH($I85,'Piping Class'!$2:$2,0),0),"")</f>
        <v/>
      </c>
      <c r="F85" s="985" t="str">
        <f>IFERROR(IF(B85="Flange",VLOOKUP($D85,'Piping Class'!$88:$102,MATCH(F$1,'Piping Class'!$88:$88,0),0),""),"")</f>
        <v/>
      </c>
      <c r="G85" s="968" t="str">
        <f>IFERROR(IF(B85="Flange",VLOOKUP($D85,'Piping Class'!$88:$102,MATCH(G$1,'Piping Class'!$88:$88,0),0),""),"")</f>
        <v/>
      </c>
      <c r="H85" s="968" t="str">
        <f>IFERROR(VLOOKUP($D85,'Piping Class'!$88:$102,MATCH(H$1,'Piping Class'!$88:$88,0),0),"")</f>
        <v/>
      </c>
      <c r="I85" s="986"/>
      <c r="J85" s="987"/>
      <c r="K85" s="968" t="str">
        <f>IFERROR(VLOOKUP(I85,'Thickness Tab'!$1:$1048576,MATCH(L85,'Thickness Tab'!$1:$1,0),0),"")</f>
        <v/>
      </c>
      <c r="L85" s="969" t="str">
        <f>IFERROR(VLOOKUP($D85,'Piping Class'!$1:$1048576,MATCH($I85,'Piping Class'!$2:$2,0),0),"")</f>
        <v/>
      </c>
      <c r="M85" s="968" t="str">
        <f>IFERROR(VLOOKUP(J85,'Thickness Tab'!$1:$1048576,MATCH(N85,'Thickness Tab'!$1:$1,0),0),"")</f>
        <v/>
      </c>
      <c r="N85" s="969" t="str">
        <f>IFERROR(VLOOKUP($D85,'Piping Class'!$1:$1048576,MATCH($J85,'Piping Class'!$2:$2,0),0),"")</f>
        <v/>
      </c>
      <c r="O85" s="968" t="str">
        <f>IFERROR(VLOOKUP($D85,'Piping Class'!$88:$102,MATCH(O$1,'Piping Class'!$88:$88,0),0),"")</f>
        <v/>
      </c>
      <c r="P85" s="968" t="str">
        <f>IFERROR(VLOOKUP($D85,'Piping Class'!$88:$102,MATCH(P$1,'Piping Class'!$88:$88,0),0),"")</f>
        <v/>
      </c>
      <c r="Q85" s="983"/>
      <c r="R85" s="988"/>
      <c r="S85" s="969" t="str">
        <f t="shared" si="150"/>
        <v/>
      </c>
      <c r="T85" s="968">
        <f>IFERROR(VLOOKUP(I85&amp;"."&amp;L85,'Fitting Chart'!$1:$1048576,MATCH(C85,'Fitting Chart'!$1:$1,0),0),0)+IF(B85="piping",PI()*K85*(VLOOKUP(I85,'Thickness Tab'!$1:$1048576,3,0)-K85)*7.86/1000,0)+IF(B85="Flange",VLOOKUP(I85&amp;"F"&amp;F85,'Flanges Chart'!$1:$1048576,MATCH(C85&amp;"."&amp;T$1,'Flanges Chart'!$1:$1,0),0),0)</f>
        <v>0</v>
      </c>
      <c r="U85" s="989">
        <f t="shared" si="151"/>
        <v>0</v>
      </c>
      <c r="V85" s="1003"/>
      <c r="W85" s="1001">
        <f t="shared" si="152"/>
        <v>0</v>
      </c>
      <c r="X85" s="997"/>
      <c r="Y85" s="983"/>
      <c r="Z85" s="989">
        <f>IF(B85="Piping",VLOOKUP(I85,'Thickness Tab'!$1:$1048576,3,0)/1000*PI(),0)+IFERROR(VLOOKUP(I85&amp;"F"&amp;F85,'Flanges Chart'!$1:$1048576,MATCH(C85&amp;".Unit Surface",'Flanges Chart'!$1:$1,0),0),0)+IF(B85="Fitting",VLOOKUP(I85,'Thickness Tab'!$1:$1048576,3,0)/1000*PI(),0)</f>
        <v>0</v>
      </c>
      <c r="AA85" s="989">
        <f t="shared" si="153"/>
        <v>0</v>
      </c>
      <c r="AB85" s="983">
        <v>0</v>
      </c>
      <c r="AC85" s="989">
        <f t="shared" si="154"/>
        <v>0</v>
      </c>
      <c r="AD85" s="989">
        <f t="shared" si="155"/>
        <v>0</v>
      </c>
      <c r="AE85" s="974">
        <f>(IFERROR(VLOOKUP($C85,List!$J:$L,2,0),0)*R85+IF(B85="piping",R85,0)+IF(C85="Welding Neck",1,0)*R85)*$AE$2</f>
        <v>0</v>
      </c>
      <c r="AF85" s="970">
        <f>IFERROR(VLOOKUP($C85,List!$J:$L,3,0),0)*R85*$AF$2</f>
        <v>0</v>
      </c>
      <c r="AG85" s="990">
        <f t="shared" si="156"/>
        <v>0</v>
      </c>
      <c r="AH85" s="1118" t="str">
        <f>IFERROR(VLOOKUP($D85,'Piping Class'!$88:$102,MATCH(AH$1,'Piping Class'!$88:$88,0),0),"")</f>
        <v/>
      </c>
      <c r="AI85" s="991" t="str">
        <f>IFERROR(VLOOKUP($D85,'Piping Class'!$88:$102,MATCH(AI$1,'Piping Class'!$88:$88,0),0),"")</f>
        <v/>
      </c>
      <c r="AJ85" s="991" t="str">
        <f>IFERROR(VLOOKUP($D85,'Piping Class'!$88:$102,MATCH(AJ$1,'Piping Class'!$88:$88,0),0),"")</f>
        <v/>
      </c>
      <c r="AK85" s="991" t="str">
        <f>IFERROR(VLOOKUP($D85,'Piping Class'!$88:$102,MATCH(AK$1,'Piping Class'!$88:$88,0),0),"")</f>
        <v/>
      </c>
      <c r="AL85" s="991">
        <f t="shared" si="182"/>
        <v>0</v>
      </c>
      <c r="AM85" s="1119" t="str">
        <f>IFERROR(VLOOKUP($D85,'Piping Class'!$88:$102,MATCH(AM$1,'Piping Class'!$88:$88,0),0),"")</f>
        <v/>
      </c>
      <c r="AN85" s="992">
        <f t="shared" si="157"/>
        <v>0</v>
      </c>
      <c r="AO85" s="993">
        <f>IFERROR(VLOOKUP(I85&amp;"B"&amp;F85,'Bolting Chart'!$1:$1048576,4,0),0)</f>
        <v>0</v>
      </c>
      <c r="AP85" s="993">
        <f t="shared" si="158"/>
        <v>0</v>
      </c>
      <c r="AQ85" s="993">
        <f t="shared" si="159"/>
        <v>0</v>
      </c>
      <c r="AR85" s="993">
        <f>IF(AO85=0,0,VLOOKUP(D85&amp;".bolting",'Piping Class'!$1:$1048576,MATCH(I85,'Piping Class'!$2:$2,0),0))</f>
        <v>0</v>
      </c>
      <c r="AS85" s="994">
        <f>IFERROR(VLOOKUP(I85&amp;"B"&amp;F85,'Bolting Chart'!$1:$1048576,IF(AS$2="UNC",5,6),0),0)</f>
        <v>0</v>
      </c>
      <c r="AT85" s="995">
        <f>IFERROR(VLOOKUP(I85&amp;"B"&amp;F85,'Bolting Chart'!$1:$1048576,IF(G85="RF",8,9),0),0)</f>
        <v>0</v>
      </c>
      <c r="AU85" s="993">
        <f>IF(AO85=0,0,VLOOKUP(D85&amp;".gasket",'Piping Class'!$1:$1048576,MATCH(I85,'Piping Class'!$2:$2,0),0))</f>
        <v>0</v>
      </c>
      <c r="AV85" s="996">
        <f>(IFERROR(INDEX('Bolting Chart'!$A$169:$R$251,MATCH(AT85,'Bolting Chart'!$A$170:$A$251,0),MATCH(IFERROR(VLOOKUP(I85&amp;"B"&amp;F85,'Bolting Chart'!$1:$1048576,7,0),0)+0,'Bolting Chart'!$A$169:$R$169,0)),0))/100</f>
        <v>0</v>
      </c>
      <c r="AW85" s="996">
        <f t="shared" si="160"/>
        <v>0</v>
      </c>
      <c r="AX85" s="1194">
        <f t="shared" si="161"/>
        <v>0</v>
      </c>
      <c r="AY85" s="981"/>
      <c r="AZ85" s="1543">
        <f t="shared" si="176"/>
        <v>0</v>
      </c>
      <c r="BA85" s="1543">
        <f t="shared" si="176"/>
        <v>0</v>
      </c>
      <c r="BB85" s="1543">
        <f t="shared" si="176"/>
        <v>0</v>
      </c>
      <c r="BC85" s="1543">
        <f t="shared" si="176"/>
        <v>0</v>
      </c>
      <c r="BD85" s="1543">
        <f t="shared" si="176"/>
        <v>0</v>
      </c>
      <c r="BE85" s="1543">
        <f t="shared" si="176"/>
        <v>0</v>
      </c>
      <c r="BF85" s="1543">
        <f t="shared" si="176"/>
        <v>0</v>
      </c>
      <c r="BG85" s="1543">
        <f t="shared" si="176"/>
        <v>0</v>
      </c>
      <c r="BH85" s="1543">
        <f t="shared" si="176"/>
        <v>0</v>
      </c>
      <c r="BI85" s="1543">
        <f t="shared" si="176"/>
        <v>0</v>
      </c>
      <c r="BJ85" s="1543">
        <f t="shared" si="176"/>
        <v>0</v>
      </c>
      <c r="BK85" s="1543">
        <f t="shared" si="176"/>
        <v>0</v>
      </c>
      <c r="BL85" s="1543">
        <f t="shared" si="176"/>
        <v>0</v>
      </c>
      <c r="BM85" s="1543">
        <f t="shared" si="176"/>
        <v>0</v>
      </c>
      <c r="BN85" s="1543">
        <f t="shared" si="176"/>
        <v>0</v>
      </c>
      <c r="BO85" s="1543">
        <f t="shared" si="176"/>
        <v>0</v>
      </c>
      <c r="BP85" s="1543">
        <f t="shared" si="178"/>
        <v>0</v>
      </c>
      <c r="BQ85" s="1543">
        <f t="shared" si="178"/>
        <v>0</v>
      </c>
      <c r="BR85" s="1543">
        <f t="shared" si="178"/>
        <v>0</v>
      </c>
      <c r="BS85" s="1543">
        <f t="shared" si="178"/>
        <v>0</v>
      </c>
      <c r="BT85" s="1543">
        <f t="shared" si="178"/>
        <v>0</v>
      </c>
      <c r="BU85" s="1543">
        <f t="shared" si="178"/>
        <v>0</v>
      </c>
      <c r="BV85" s="1543">
        <f t="shared" si="178"/>
        <v>0</v>
      </c>
      <c r="BW85" s="1543">
        <f t="shared" si="178"/>
        <v>0</v>
      </c>
      <c r="BX85" s="1543">
        <f t="shared" si="178"/>
        <v>0</v>
      </c>
      <c r="BY85" s="1543">
        <f t="shared" si="178"/>
        <v>0</v>
      </c>
      <c r="BZ85" s="1543">
        <f t="shared" si="178"/>
        <v>0</v>
      </c>
      <c r="CB85" s="1543">
        <f t="shared" si="177"/>
        <v>0</v>
      </c>
      <c r="CC85" s="1543">
        <f t="shared" si="177"/>
        <v>0</v>
      </c>
      <c r="CD85" s="1543">
        <f t="shared" si="177"/>
        <v>0</v>
      </c>
      <c r="CE85" s="1543">
        <f t="shared" si="177"/>
        <v>0</v>
      </c>
      <c r="CF85" s="1543">
        <f t="shared" si="177"/>
        <v>0</v>
      </c>
      <c r="CG85" s="1543">
        <f t="shared" si="177"/>
        <v>0</v>
      </c>
      <c r="CH85" s="1543">
        <f t="shared" si="177"/>
        <v>0</v>
      </c>
      <c r="CI85" s="1543">
        <f t="shared" si="177"/>
        <v>0</v>
      </c>
      <c r="CJ85" s="1543">
        <f t="shared" si="177"/>
        <v>0</v>
      </c>
      <c r="CK85" s="1543">
        <f t="shared" si="177"/>
        <v>0</v>
      </c>
      <c r="CL85" s="1543">
        <f t="shared" si="177"/>
        <v>0</v>
      </c>
      <c r="CM85" s="1543">
        <f t="shared" si="177"/>
        <v>0</v>
      </c>
      <c r="CN85" s="1543">
        <f t="shared" si="177"/>
        <v>0</v>
      </c>
      <c r="CO85" s="1543">
        <f t="shared" si="177"/>
        <v>0</v>
      </c>
      <c r="CP85" s="1543">
        <f t="shared" si="177"/>
        <v>0</v>
      </c>
      <c r="CQ85" s="1543">
        <f t="shared" si="177"/>
        <v>0</v>
      </c>
      <c r="CR85" s="1543">
        <f t="shared" si="179"/>
        <v>0</v>
      </c>
      <c r="CS85" s="1543">
        <f t="shared" si="179"/>
        <v>0</v>
      </c>
      <c r="CT85" s="1543">
        <f t="shared" si="183"/>
        <v>0</v>
      </c>
      <c r="CU85" s="1543">
        <f t="shared" si="183"/>
        <v>0</v>
      </c>
      <c r="CV85" s="1543">
        <f t="shared" si="183"/>
        <v>0</v>
      </c>
      <c r="CW85" s="1543">
        <f t="shared" si="183"/>
        <v>0</v>
      </c>
      <c r="CX85" s="1543">
        <f t="shared" si="183"/>
        <v>0</v>
      </c>
      <c r="CY85" s="1543">
        <f t="shared" si="183"/>
        <v>0</v>
      </c>
      <c r="CZ85" s="1543">
        <f t="shared" si="183"/>
        <v>0</v>
      </c>
      <c r="DA85" s="1543">
        <f t="shared" si="183"/>
        <v>0</v>
      </c>
      <c r="DB85" s="1543">
        <f t="shared" si="183"/>
        <v>0</v>
      </c>
      <c r="DD85" s="1543">
        <f t="shared" si="147"/>
        <v>0</v>
      </c>
      <c r="DE85" s="1543">
        <f t="shared" si="148"/>
        <v>0</v>
      </c>
      <c r="DF85" s="1543">
        <f t="shared" si="149"/>
        <v>0</v>
      </c>
      <c r="DG85" s="1543">
        <f t="shared" si="162"/>
        <v>0</v>
      </c>
      <c r="DI85" s="1543">
        <f t="shared" si="163"/>
        <v>0</v>
      </c>
      <c r="DJ85" s="1543">
        <f t="shared" si="185"/>
        <v>0</v>
      </c>
      <c r="DK85" s="1543">
        <f t="shared" si="185"/>
        <v>0</v>
      </c>
      <c r="DL85" s="1543">
        <f t="shared" si="185"/>
        <v>0</v>
      </c>
      <c r="DM85" s="1543">
        <f t="shared" si="185"/>
        <v>0</v>
      </c>
      <c r="DO85" s="1543">
        <f t="shared" si="164"/>
        <v>0</v>
      </c>
      <c r="DP85" s="1543">
        <f t="shared" si="164"/>
        <v>0</v>
      </c>
      <c r="DQ85" s="1543">
        <f t="shared" si="164"/>
        <v>0</v>
      </c>
      <c r="DR85" s="1543">
        <f t="shared" si="164"/>
        <v>0</v>
      </c>
      <c r="DS85" s="1543">
        <f t="shared" si="164"/>
        <v>0</v>
      </c>
      <c r="DT85" s="1543">
        <f t="shared" si="164"/>
        <v>0</v>
      </c>
      <c r="DU85" s="1543">
        <f t="shared" si="164"/>
        <v>0</v>
      </c>
      <c r="DV85" s="1543">
        <f t="shared" si="164"/>
        <v>0</v>
      </c>
      <c r="DW85" s="1543">
        <f t="shared" si="164"/>
        <v>0</v>
      </c>
      <c r="DX85" s="1543">
        <f t="shared" si="164"/>
        <v>0</v>
      </c>
      <c r="DY85" s="1543">
        <f t="shared" si="164"/>
        <v>0</v>
      </c>
      <c r="DZ85" s="1543">
        <f t="shared" si="164"/>
        <v>0</v>
      </c>
      <c r="EA85" s="1543">
        <f t="shared" si="164"/>
        <v>0</v>
      </c>
      <c r="EB85" s="1543">
        <f t="shared" si="180"/>
        <v>0</v>
      </c>
      <c r="EC85" s="1543">
        <f t="shared" si="180"/>
        <v>0</v>
      </c>
      <c r="ED85" s="1543">
        <f t="shared" si="180"/>
        <v>0</v>
      </c>
      <c r="EE85" s="1543">
        <f t="shared" si="180"/>
        <v>0</v>
      </c>
      <c r="EF85" s="1543">
        <f t="shared" si="180"/>
        <v>0</v>
      </c>
      <c r="EH85" s="1543">
        <f t="shared" si="165"/>
        <v>0</v>
      </c>
      <c r="EI85" s="1543">
        <f t="shared" si="166"/>
        <v>0</v>
      </c>
      <c r="EJ85" s="1543">
        <f t="shared" si="167"/>
        <v>0</v>
      </c>
      <c r="EK85" s="1543">
        <f t="shared" si="168"/>
        <v>0</v>
      </c>
      <c r="EL85" s="1543">
        <f t="shared" si="169"/>
        <v>0</v>
      </c>
      <c r="EM85" s="1543">
        <f t="shared" si="170"/>
        <v>0</v>
      </c>
      <c r="EN85" s="1543">
        <f t="shared" si="171"/>
        <v>0</v>
      </c>
      <c r="EP85" s="1543">
        <f t="shared" si="72"/>
        <v>0</v>
      </c>
      <c r="EQ85" s="1543">
        <f t="shared" si="72"/>
        <v>0</v>
      </c>
      <c r="ER85" s="1543">
        <f t="shared" si="72"/>
        <v>0</v>
      </c>
      <c r="ES85" s="1543">
        <f t="shared" si="72"/>
        <v>0</v>
      </c>
      <c r="ET85" s="1543">
        <f t="shared" si="181"/>
        <v>0</v>
      </c>
      <c r="EU85" s="1543">
        <f t="shared" si="181"/>
        <v>0</v>
      </c>
      <c r="EV85" s="1543">
        <f t="shared" si="181"/>
        <v>0</v>
      </c>
      <c r="EW85" s="1543">
        <f t="shared" si="181"/>
        <v>0</v>
      </c>
      <c r="EX85" s="1543">
        <f t="shared" si="181"/>
        <v>0</v>
      </c>
      <c r="EY85" s="1543">
        <f t="shared" si="181"/>
        <v>0</v>
      </c>
      <c r="EZ85" s="1543">
        <f t="shared" si="181"/>
        <v>0</v>
      </c>
      <c r="FA85" s="1543">
        <f t="shared" si="181"/>
        <v>0</v>
      </c>
      <c r="FB85" s="1543">
        <f t="shared" si="181"/>
        <v>0</v>
      </c>
      <c r="FC85" s="1543">
        <f t="shared" si="181"/>
        <v>0</v>
      </c>
      <c r="FD85" s="1543">
        <f t="shared" si="181"/>
        <v>0</v>
      </c>
      <c r="FE85" s="1543">
        <f t="shared" si="184"/>
        <v>0</v>
      </c>
      <c r="FF85" s="1543">
        <f t="shared" si="172"/>
        <v>1</v>
      </c>
      <c r="FH85" s="1543">
        <f t="shared" si="186"/>
        <v>0</v>
      </c>
      <c r="FI85" s="1543">
        <f t="shared" si="186"/>
        <v>0</v>
      </c>
      <c r="FJ85" s="1543">
        <f t="shared" si="186"/>
        <v>0</v>
      </c>
      <c r="FK85" s="1543">
        <f t="shared" si="186"/>
        <v>0</v>
      </c>
      <c r="FL85" s="1543">
        <f t="shared" si="186"/>
        <v>0</v>
      </c>
      <c r="FM85" s="1543">
        <f t="shared" si="186"/>
        <v>0</v>
      </c>
      <c r="FN85" s="1543">
        <f t="shared" si="186"/>
        <v>0</v>
      </c>
      <c r="FO85" s="1543">
        <f t="shared" si="186"/>
        <v>0</v>
      </c>
      <c r="FP85" s="1543">
        <f t="shared" si="186"/>
        <v>0</v>
      </c>
      <c r="FQ85" s="1543">
        <f t="shared" si="186"/>
        <v>0</v>
      </c>
      <c r="FR85" s="1543">
        <f t="shared" si="186"/>
        <v>0</v>
      </c>
      <c r="FS85" s="1543">
        <f t="shared" si="186"/>
        <v>0</v>
      </c>
      <c r="FT85" s="1543">
        <f t="shared" si="174"/>
        <v>0</v>
      </c>
      <c r="FV85" s="1543">
        <f t="shared" si="187"/>
        <v>1</v>
      </c>
      <c r="FW85" s="1543">
        <f t="shared" si="187"/>
        <v>0</v>
      </c>
      <c r="FX85" s="1543">
        <f t="shared" si="187"/>
        <v>0</v>
      </c>
      <c r="FY85" s="1543">
        <f t="shared" si="187"/>
        <v>0</v>
      </c>
      <c r="FZ85" s="1543">
        <f t="shared" si="187"/>
        <v>0</v>
      </c>
      <c r="GA85" s="1543">
        <f t="shared" si="187"/>
        <v>0</v>
      </c>
      <c r="GB85" s="1543">
        <f t="shared" si="187"/>
        <v>0</v>
      </c>
      <c r="GC85" s="1543">
        <f t="shared" si="187"/>
        <v>0</v>
      </c>
      <c r="GD85" s="1543">
        <f t="shared" si="187"/>
        <v>0</v>
      </c>
    </row>
    <row r="86" spans="1:186" s="982" customFormat="1" ht="15.6" x14ac:dyDescent="0.3">
      <c r="A86" s="974">
        <v>84</v>
      </c>
      <c r="B86" s="983"/>
      <c r="C86" s="984"/>
      <c r="D86" s="983"/>
      <c r="E86" s="968" t="str">
        <f>IFERROR(VLOOKUP($D86&amp;"."&amp;B86,'Piping Class'!$1:$1048576,MATCH($I86,'Piping Class'!$2:$2,0),0),"")</f>
        <v/>
      </c>
      <c r="F86" s="985" t="str">
        <f>IFERROR(IF(B86="Flange",VLOOKUP($D86,'Piping Class'!$88:$102,MATCH(F$1,'Piping Class'!$88:$88,0),0),""),"")</f>
        <v/>
      </c>
      <c r="G86" s="968" t="str">
        <f>IFERROR(IF(B86="Flange",VLOOKUP($D86,'Piping Class'!$88:$102,MATCH(G$1,'Piping Class'!$88:$88,0),0),""),"")</f>
        <v/>
      </c>
      <c r="H86" s="968" t="str">
        <f>IFERROR(VLOOKUP($D86,'Piping Class'!$88:$102,MATCH(H$1,'Piping Class'!$88:$88,0),0),"")</f>
        <v/>
      </c>
      <c r="I86" s="986"/>
      <c r="J86" s="987"/>
      <c r="K86" s="968" t="str">
        <f>IFERROR(VLOOKUP(I86,'Thickness Tab'!$1:$1048576,MATCH(L86,'Thickness Tab'!$1:$1,0),0),"")</f>
        <v/>
      </c>
      <c r="L86" s="969" t="str">
        <f>IFERROR(VLOOKUP($D86,'Piping Class'!$1:$1048576,MATCH($I86,'Piping Class'!$2:$2,0),0),"")</f>
        <v/>
      </c>
      <c r="M86" s="968" t="str">
        <f>IFERROR(VLOOKUP(J86,'Thickness Tab'!$1:$1048576,MATCH(N86,'Thickness Tab'!$1:$1,0),0),"")</f>
        <v/>
      </c>
      <c r="N86" s="969" t="str">
        <f>IFERROR(VLOOKUP($D86,'Piping Class'!$1:$1048576,MATCH($J86,'Piping Class'!$2:$2,0),0),"")</f>
        <v/>
      </c>
      <c r="O86" s="968" t="str">
        <f>IFERROR(VLOOKUP($D86,'Piping Class'!$88:$102,MATCH(O$1,'Piping Class'!$88:$88,0),0),"")</f>
        <v/>
      </c>
      <c r="P86" s="968" t="str">
        <f>IFERROR(VLOOKUP($D86,'Piping Class'!$88:$102,MATCH(P$1,'Piping Class'!$88:$88,0),0),"")</f>
        <v/>
      </c>
      <c r="Q86" s="983"/>
      <c r="R86" s="988"/>
      <c r="S86" s="969" t="str">
        <f t="shared" si="150"/>
        <v/>
      </c>
      <c r="T86" s="968">
        <f>IFERROR(VLOOKUP(I86&amp;"."&amp;L86,'Fitting Chart'!$1:$1048576,MATCH(C86,'Fitting Chart'!$1:$1,0),0),0)+IF(B86="piping",PI()*K86*(VLOOKUP(I86,'Thickness Tab'!$1:$1048576,3,0)-K86)*7.86/1000,0)+IF(B86="Flange",VLOOKUP(I86&amp;"F"&amp;F86,'Flanges Chart'!$1:$1048576,MATCH(C86&amp;"."&amp;T$1,'Flanges Chart'!$1:$1,0),0),0)</f>
        <v>0</v>
      </c>
      <c r="U86" s="989">
        <f t="shared" si="151"/>
        <v>0</v>
      </c>
      <c r="V86" s="1003"/>
      <c r="W86" s="1001">
        <f t="shared" si="152"/>
        <v>0</v>
      </c>
      <c r="X86" s="997"/>
      <c r="Y86" s="983"/>
      <c r="Z86" s="989">
        <f>IF(B86="Piping",VLOOKUP(I86,'Thickness Tab'!$1:$1048576,3,0)/1000*PI(),0)+IFERROR(VLOOKUP(I86&amp;"F"&amp;F86,'Flanges Chart'!$1:$1048576,MATCH(C86&amp;".Unit Surface",'Flanges Chart'!$1:$1,0),0),0)+IF(B86="Fitting",VLOOKUP(I86,'Thickness Tab'!$1:$1048576,3,0)/1000*PI(),0)</f>
        <v>0</v>
      </c>
      <c r="AA86" s="989">
        <f t="shared" si="153"/>
        <v>0</v>
      </c>
      <c r="AB86" s="983">
        <v>0</v>
      </c>
      <c r="AC86" s="989">
        <f t="shared" si="154"/>
        <v>0</v>
      </c>
      <c r="AD86" s="989">
        <f t="shared" si="155"/>
        <v>0</v>
      </c>
      <c r="AE86" s="974">
        <f>(IFERROR(VLOOKUP($C86,List!$J:$L,2,0),0)*R86+IF(B86="piping",R86,0)+IF(C86="Welding Neck",1,0)*R86)*$AE$2</f>
        <v>0</v>
      </c>
      <c r="AF86" s="970">
        <f>IFERROR(VLOOKUP($C86,List!$J:$L,3,0),0)*R86*$AF$2</f>
        <v>0</v>
      </c>
      <c r="AG86" s="990">
        <f t="shared" si="156"/>
        <v>0</v>
      </c>
      <c r="AH86" s="1118" t="str">
        <f>IFERROR(VLOOKUP($D86,'Piping Class'!$88:$102,MATCH(AH$1,'Piping Class'!$88:$88,0),0),"")</f>
        <v/>
      </c>
      <c r="AI86" s="991" t="str">
        <f>IFERROR(VLOOKUP($D86,'Piping Class'!$88:$102,MATCH(AI$1,'Piping Class'!$88:$88,0),0),"")</f>
        <v/>
      </c>
      <c r="AJ86" s="991" t="str">
        <f>IFERROR(VLOOKUP($D86,'Piping Class'!$88:$102,MATCH(AJ$1,'Piping Class'!$88:$88,0),0),"")</f>
        <v/>
      </c>
      <c r="AK86" s="991" t="str">
        <f>IFERROR(VLOOKUP($D86,'Piping Class'!$88:$102,MATCH(AK$1,'Piping Class'!$88:$88,0),0),"")</f>
        <v/>
      </c>
      <c r="AL86" s="991">
        <f t="shared" si="182"/>
        <v>0</v>
      </c>
      <c r="AM86" s="1119" t="str">
        <f>IFERROR(VLOOKUP($D86,'Piping Class'!$88:$102,MATCH(AM$1,'Piping Class'!$88:$88,0),0),"")</f>
        <v/>
      </c>
      <c r="AN86" s="992">
        <f t="shared" si="157"/>
        <v>0</v>
      </c>
      <c r="AO86" s="993">
        <f>IFERROR(VLOOKUP(I86&amp;"B"&amp;F86,'Bolting Chart'!$1:$1048576,4,0),0)</f>
        <v>0</v>
      </c>
      <c r="AP86" s="993">
        <f t="shared" si="158"/>
        <v>0</v>
      </c>
      <c r="AQ86" s="993">
        <f t="shared" si="159"/>
        <v>0</v>
      </c>
      <c r="AR86" s="993">
        <f>IF(AO86=0,0,VLOOKUP(D86&amp;".bolting",'Piping Class'!$1:$1048576,MATCH(I86,'Piping Class'!$2:$2,0),0))</f>
        <v>0</v>
      </c>
      <c r="AS86" s="994">
        <f>IFERROR(VLOOKUP(I86&amp;"B"&amp;F86,'Bolting Chart'!$1:$1048576,IF(AS$2="UNC",5,6),0),0)</f>
        <v>0</v>
      </c>
      <c r="AT86" s="995">
        <f>IFERROR(VLOOKUP(I86&amp;"B"&amp;F86,'Bolting Chart'!$1:$1048576,IF(G86="RF",8,9),0),0)</f>
        <v>0</v>
      </c>
      <c r="AU86" s="993">
        <f>IF(AO86=0,0,VLOOKUP(D86&amp;".gasket",'Piping Class'!$1:$1048576,MATCH(I86,'Piping Class'!$2:$2,0),0))</f>
        <v>0</v>
      </c>
      <c r="AV86" s="996">
        <f>(IFERROR(INDEX('Bolting Chart'!$A$169:$R$251,MATCH(AT86,'Bolting Chart'!$A$170:$A$251,0),MATCH(IFERROR(VLOOKUP(I86&amp;"B"&amp;F86,'Bolting Chart'!$1:$1048576,7,0),0)+0,'Bolting Chart'!$A$169:$R$169,0)),0))/100</f>
        <v>0</v>
      </c>
      <c r="AW86" s="996">
        <f t="shared" si="160"/>
        <v>0</v>
      </c>
      <c r="AX86" s="1194">
        <f t="shared" si="161"/>
        <v>0</v>
      </c>
      <c r="AY86" s="981"/>
      <c r="AZ86" s="1543">
        <f t="shared" si="176"/>
        <v>0</v>
      </c>
      <c r="BA86" s="1543">
        <f t="shared" si="176"/>
        <v>0</v>
      </c>
      <c r="BB86" s="1543">
        <f t="shared" si="176"/>
        <v>0</v>
      </c>
      <c r="BC86" s="1543">
        <f t="shared" si="176"/>
        <v>0</v>
      </c>
      <c r="BD86" s="1543">
        <f t="shared" si="176"/>
        <v>0</v>
      </c>
      <c r="BE86" s="1543">
        <f t="shared" si="176"/>
        <v>0</v>
      </c>
      <c r="BF86" s="1543">
        <f t="shared" si="176"/>
        <v>0</v>
      </c>
      <c r="BG86" s="1543">
        <f t="shared" si="176"/>
        <v>0</v>
      </c>
      <c r="BH86" s="1543">
        <f t="shared" si="176"/>
        <v>0</v>
      </c>
      <c r="BI86" s="1543">
        <f t="shared" si="176"/>
        <v>0</v>
      </c>
      <c r="BJ86" s="1543">
        <f t="shared" si="176"/>
        <v>0</v>
      </c>
      <c r="BK86" s="1543">
        <f t="shared" si="176"/>
        <v>0</v>
      </c>
      <c r="BL86" s="1543">
        <f t="shared" si="176"/>
        <v>0</v>
      </c>
      <c r="BM86" s="1543">
        <f t="shared" si="176"/>
        <v>0</v>
      </c>
      <c r="BN86" s="1543">
        <f t="shared" si="176"/>
        <v>0</v>
      </c>
      <c r="BO86" s="1543">
        <f t="shared" si="176"/>
        <v>0</v>
      </c>
      <c r="BP86" s="1543">
        <f t="shared" si="178"/>
        <v>0</v>
      </c>
      <c r="BQ86" s="1543">
        <f t="shared" si="178"/>
        <v>0</v>
      </c>
      <c r="BR86" s="1543">
        <f t="shared" si="178"/>
        <v>0</v>
      </c>
      <c r="BS86" s="1543">
        <f t="shared" si="178"/>
        <v>0</v>
      </c>
      <c r="BT86" s="1543">
        <f t="shared" si="178"/>
        <v>0</v>
      </c>
      <c r="BU86" s="1543">
        <f t="shared" si="178"/>
        <v>0</v>
      </c>
      <c r="BV86" s="1543">
        <f t="shared" si="178"/>
        <v>0</v>
      </c>
      <c r="BW86" s="1543">
        <f t="shared" si="178"/>
        <v>0</v>
      </c>
      <c r="BX86" s="1543">
        <f t="shared" si="178"/>
        <v>0</v>
      </c>
      <c r="BY86" s="1543">
        <f t="shared" si="178"/>
        <v>0</v>
      </c>
      <c r="BZ86" s="1543">
        <f t="shared" si="178"/>
        <v>0</v>
      </c>
      <c r="CB86" s="1543">
        <f t="shared" si="177"/>
        <v>0</v>
      </c>
      <c r="CC86" s="1543">
        <f t="shared" si="177"/>
        <v>0</v>
      </c>
      <c r="CD86" s="1543">
        <f t="shared" si="177"/>
        <v>0</v>
      </c>
      <c r="CE86" s="1543">
        <f t="shared" si="177"/>
        <v>0</v>
      </c>
      <c r="CF86" s="1543">
        <f t="shared" si="177"/>
        <v>0</v>
      </c>
      <c r="CG86" s="1543">
        <f t="shared" si="177"/>
        <v>0</v>
      </c>
      <c r="CH86" s="1543">
        <f t="shared" si="177"/>
        <v>0</v>
      </c>
      <c r="CI86" s="1543">
        <f t="shared" si="177"/>
        <v>0</v>
      </c>
      <c r="CJ86" s="1543">
        <f t="shared" si="177"/>
        <v>0</v>
      </c>
      <c r="CK86" s="1543">
        <f t="shared" si="177"/>
        <v>0</v>
      </c>
      <c r="CL86" s="1543">
        <f t="shared" si="177"/>
        <v>0</v>
      </c>
      <c r="CM86" s="1543">
        <f t="shared" si="177"/>
        <v>0</v>
      </c>
      <c r="CN86" s="1543">
        <f t="shared" si="177"/>
        <v>0</v>
      </c>
      <c r="CO86" s="1543">
        <f t="shared" si="177"/>
        <v>0</v>
      </c>
      <c r="CP86" s="1543">
        <f t="shared" si="177"/>
        <v>0</v>
      </c>
      <c r="CQ86" s="1543">
        <f t="shared" si="177"/>
        <v>0</v>
      </c>
      <c r="CR86" s="1543">
        <f t="shared" si="179"/>
        <v>0</v>
      </c>
      <c r="CS86" s="1543">
        <f t="shared" si="179"/>
        <v>0</v>
      </c>
      <c r="CT86" s="1543">
        <f t="shared" si="183"/>
        <v>0</v>
      </c>
      <c r="CU86" s="1543">
        <f t="shared" si="183"/>
        <v>0</v>
      </c>
      <c r="CV86" s="1543">
        <f t="shared" si="183"/>
        <v>0</v>
      </c>
      <c r="CW86" s="1543">
        <f t="shared" si="183"/>
        <v>0</v>
      </c>
      <c r="CX86" s="1543">
        <f t="shared" si="183"/>
        <v>0</v>
      </c>
      <c r="CY86" s="1543">
        <f t="shared" si="183"/>
        <v>0</v>
      </c>
      <c r="CZ86" s="1543">
        <f t="shared" si="183"/>
        <v>0</v>
      </c>
      <c r="DA86" s="1543">
        <f t="shared" si="183"/>
        <v>0</v>
      </c>
      <c r="DB86" s="1543">
        <f t="shared" si="183"/>
        <v>0</v>
      </c>
      <c r="DD86" s="1543">
        <f t="shared" si="147"/>
        <v>0</v>
      </c>
      <c r="DE86" s="1543">
        <f t="shared" si="148"/>
        <v>0</v>
      </c>
      <c r="DF86" s="1543">
        <f t="shared" si="149"/>
        <v>0</v>
      </c>
      <c r="DG86" s="1543">
        <f t="shared" si="162"/>
        <v>0</v>
      </c>
      <c r="DI86" s="1543">
        <f t="shared" si="163"/>
        <v>0</v>
      </c>
      <c r="DJ86" s="1543">
        <f t="shared" si="185"/>
        <v>0</v>
      </c>
      <c r="DK86" s="1543">
        <f t="shared" si="185"/>
        <v>0</v>
      </c>
      <c r="DL86" s="1543">
        <f t="shared" si="185"/>
        <v>0</v>
      </c>
      <c r="DM86" s="1543">
        <f t="shared" si="185"/>
        <v>0</v>
      </c>
      <c r="DO86" s="1543">
        <f t="shared" si="164"/>
        <v>0</v>
      </c>
      <c r="DP86" s="1543">
        <f t="shared" si="164"/>
        <v>0</v>
      </c>
      <c r="DQ86" s="1543">
        <f t="shared" si="164"/>
        <v>0</v>
      </c>
      <c r="DR86" s="1543">
        <f t="shared" si="164"/>
        <v>0</v>
      </c>
      <c r="DS86" s="1543">
        <f t="shared" si="164"/>
        <v>0</v>
      </c>
      <c r="DT86" s="1543">
        <f t="shared" si="164"/>
        <v>0</v>
      </c>
      <c r="DU86" s="1543">
        <f t="shared" si="164"/>
        <v>0</v>
      </c>
      <c r="DV86" s="1543">
        <f t="shared" si="164"/>
        <v>0</v>
      </c>
      <c r="DW86" s="1543">
        <f t="shared" si="164"/>
        <v>0</v>
      </c>
      <c r="DX86" s="1543">
        <f t="shared" si="164"/>
        <v>0</v>
      </c>
      <c r="DY86" s="1543">
        <f t="shared" si="164"/>
        <v>0</v>
      </c>
      <c r="DZ86" s="1543">
        <f t="shared" si="164"/>
        <v>0</v>
      </c>
      <c r="EA86" s="1543">
        <f t="shared" si="164"/>
        <v>0</v>
      </c>
      <c r="EB86" s="1543">
        <f t="shared" si="180"/>
        <v>0</v>
      </c>
      <c r="EC86" s="1543">
        <f t="shared" si="180"/>
        <v>0</v>
      </c>
      <c r="ED86" s="1543">
        <f t="shared" si="180"/>
        <v>0</v>
      </c>
      <c r="EE86" s="1543">
        <f t="shared" si="180"/>
        <v>0</v>
      </c>
      <c r="EF86" s="1543">
        <f t="shared" si="180"/>
        <v>0</v>
      </c>
      <c r="EH86" s="1543">
        <f t="shared" si="165"/>
        <v>0</v>
      </c>
      <c r="EI86" s="1543">
        <f t="shared" si="166"/>
        <v>0</v>
      </c>
      <c r="EJ86" s="1543">
        <f t="shared" si="167"/>
        <v>0</v>
      </c>
      <c r="EK86" s="1543">
        <f t="shared" si="168"/>
        <v>0</v>
      </c>
      <c r="EL86" s="1543">
        <f t="shared" si="169"/>
        <v>0</v>
      </c>
      <c r="EM86" s="1543">
        <f t="shared" si="170"/>
        <v>0</v>
      </c>
      <c r="EN86" s="1543">
        <f t="shared" si="171"/>
        <v>0</v>
      </c>
      <c r="EP86" s="1543">
        <f t="shared" si="72"/>
        <v>0</v>
      </c>
      <c r="EQ86" s="1543">
        <f t="shared" si="72"/>
        <v>0</v>
      </c>
      <c r="ER86" s="1543">
        <f t="shared" si="72"/>
        <v>0</v>
      </c>
      <c r="ES86" s="1543">
        <f t="shared" si="72"/>
        <v>0</v>
      </c>
      <c r="ET86" s="1543">
        <f t="shared" si="181"/>
        <v>0</v>
      </c>
      <c r="EU86" s="1543">
        <f t="shared" si="181"/>
        <v>0</v>
      </c>
      <c r="EV86" s="1543">
        <f t="shared" si="181"/>
        <v>0</v>
      </c>
      <c r="EW86" s="1543">
        <f t="shared" si="181"/>
        <v>0</v>
      </c>
      <c r="EX86" s="1543">
        <f t="shared" si="181"/>
        <v>0</v>
      </c>
      <c r="EY86" s="1543">
        <f t="shared" si="181"/>
        <v>0</v>
      </c>
      <c r="EZ86" s="1543">
        <f t="shared" si="181"/>
        <v>0</v>
      </c>
      <c r="FA86" s="1543">
        <f t="shared" si="181"/>
        <v>0</v>
      </c>
      <c r="FB86" s="1543">
        <f t="shared" si="181"/>
        <v>0</v>
      </c>
      <c r="FC86" s="1543">
        <f t="shared" si="181"/>
        <v>0</v>
      </c>
      <c r="FD86" s="1543">
        <f t="shared" si="181"/>
        <v>0</v>
      </c>
      <c r="FE86" s="1543">
        <f t="shared" si="184"/>
        <v>0</v>
      </c>
      <c r="FF86" s="1543">
        <f t="shared" si="172"/>
        <v>1</v>
      </c>
      <c r="FH86" s="1543">
        <f t="shared" si="186"/>
        <v>0</v>
      </c>
      <c r="FI86" s="1543">
        <f t="shared" si="186"/>
        <v>0</v>
      </c>
      <c r="FJ86" s="1543">
        <f t="shared" si="186"/>
        <v>0</v>
      </c>
      <c r="FK86" s="1543">
        <f t="shared" si="186"/>
        <v>0</v>
      </c>
      <c r="FL86" s="1543">
        <f t="shared" si="186"/>
        <v>0</v>
      </c>
      <c r="FM86" s="1543">
        <f t="shared" si="186"/>
        <v>0</v>
      </c>
      <c r="FN86" s="1543">
        <f t="shared" si="186"/>
        <v>0</v>
      </c>
      <c r="FO86" s="1543">
        <f t="shared" si="186"/>
        <v>0</v>
      </c>
      <c r="FP86" s="1543">
        <f t="shared" si="186"/>
        <v>0</v>
      </c>
      <c r="FQ86" s="1543">
        <f t="shared" si="186"/>
        <v>0</v>
      </c>
      <c r="FR86" s="1543">
        <f t="shared" si="186"/>
        <v>0</v>
      </c>
      <c r="FS86" s="1543">
        <f t="shared" si="186"/>
        <v>0</v>
      </c>
      <c r="FT86" s="1543">
        <f t="shared" si="174"/>
        <v>0</v>
      </c>
      <c r="FV86" s="1543">
        <f t="shared" si="187"/>
        <v>1</v>
      </c>
      <c r="FW86" s="1543">
        <f t="shared" si="187"/>
        <v>0</v>
      </c>
      <c r="FX86" s="1543">
        <f t="shared" si="187"/>
        <v>0</v>
      </c>
      <c r="FY86" s="1543">
        <f t="shared" si="187"/>
        <v>0</v>
      </c>
      <c r="FZ86" s="1543">
        <f t="shared" si="187"/>
        <v>0</v>
      </c>
      <c r="GA86" s="1543">
        <f t="shared" si="187"/>
        <v>0</v>
      </c>
      <c r="GB86" s="1543">
        <f t="shared" si="187"/>
        <v>0</v>
      </c>
      <c r="GC86" s="1543">
        <f t="shared" si="187"/>
        <v>0</v>
      </c>
      <c r="GD86" s="1543">
        <f t="shared" si="187"/>
        <v>0</v>
      </c>
    </row>
    <row r="87" spans="1:186" s="982" customFormat="1" ht="15.6" x14ac:dyDescent="0.3">
      <c r="A87" s="974">
        <v>85</v>
      </c>
      <c r="B87" s="983"/>
      <c r="C87" s="984"/>
      <c r="D87" s="983"/>
      <c r="E87" s="968" t="str">
        <f>IFERROR(VLOOKUP($D87&amp;"."&amp;B87,'Piping Class'!$1:$1048576,MATCH($I87,'Piping Class'!$2:$2,0),0),"")</f>
        <v/>
      </c>
      <c r="F87" s="985" t="str">
        <f>IFERROR(IF(B87="Flange",VLOOKUP($D87,'Piping Class'!$88:$102,MATCH(F$1,'Piping Class'!$88:$88,0),0),""),"")</f>
        <v/>
      </c>
      <c r="G87" s="968" t="str">
        <f>IFERROR(IF(B87="Flange",VLOOKUP($D87,'Piping Class'!$88:$102,MATCH(G$1,'Piping Class'!$88:$88,0),0),""),"")</f>
        <v/>
      </c>
      <c r="H87" s="968" t="str">
        <f>IFERROR(VLOOKUP($D87,'Piping Class'!$88:$102,MATCH(H$1,'Piping Class'!$88:$88,0),0),"")</f>
        <v/>
      </c>
      <c r="I87" s="986"/>
      <c r="J87" s="987"/>
      <c r="K87" s="968" t="str">
        <f>IFERROR(VLOOKUP(I87,'Thickness Tab'!$1:$1048576,MATCH(L87,'Thickness Tab'!$1:$1,0),0),"")</f>
        <v/>
      </c>
      <c r="L87" s="969" t="str">
        <f>IFERROR(VLOOKUP($D87,'Piping Class'!$1:$1048576,MATCH($I87,'Piping Class'!$2:$2,0),0),"")</f>
        <v/>
      </c>
      <c r="M87" s="968" t="str">
        <f>IFERROR(VLOOKUP(J87,'Thickness Tab'!$1:$1048576,MATCH(N87,'Thickness Tab'!$1:$1,0),0),"")</f>
        <v/>
      </c>
      <c r="N87" s="969" t="str">
        <f>IFERROR(VLOOKUP($D87,'Piping Class'!$1:$1048576,MATCH($J87,'Piping Class'!$2:$2,0),0),"")</f>
        <v/>
      </c>
      <c r="O87" s="968" t="str">
        <f>IFERROR(VLOOKUP($D87,'Piping Class'!$88:$102,MATCH(O$1,'Piping Class'!$88:$88,0),0),"")</f>
        <v/>
      </c>
      <c r="P87" s="968" t="str">
        <f>IFERROR(VLOOKUP($D87,'Piping Class'!$88:$102,MATCH(P$1,'Piping Class'!$88:$88,0),0),"")</f>
        <v/>
      </c>
      <c r="Q87" s="983"/>
      <c r="R87" s="988"/>
      <c r="S87" s="969" t="str">
        <f t="shared" si="150"/>
        <v/>
      </c>
      <c r="T87" s="968">
        <f>IFERROR(VLOOKUP(I87&amp;"."&amp;L87,'Fitting Chart'!$1:$1048576,MATCH(C87,'Fitting Chart'!$1:$1,0),0),0)+IF(B87="piping",PI()*K87*(VLOOKUP(I87,'Thickness Tab'!$1:$1048576,3,0)-K87)*7.86/1000,0)+IF(B87="Flange",VLOOKUP(I87&amp;"F"&amp;F87,'Flanges Chart'!$1:$1048576,MATCH(C87&amp;"."&amp;T$1,'Flanges Chart'!$1:$1,0),0),0)</f>
        <v>0</v>
      </c>
      <c r="U87" s="989">
        <f t="shared" si="151"/>
        <v>0</v>
      </c>
      <c r="V87" s="1003"/>
      <c r="W87" s="1001">
        <f t="shared" si="152"/>
        <v>0</v>
      </c>
      <c r="X87" s="997"/>
      <c r="Y87" s="983"/>
      <c r="Z87" s="989">
        <f>IF(B87="Piping",VLOOKUP(I87,'Thickness Tab'!$1:$1048576,3,0)/1000*PI(),0)+IFERROR(VLOOKUP(I87&amp;"F"&amp;F87,'Flanges Chart'!$1:$1048576,MATCH(C87&amp;".Unit Surface",'Flanges Chart'!$1:$1,0),0),0)+IF(B87="Fitting",VLOOKUP(I87,'Thickness Tab'!$1:$1048576,3,0)/1000*PI(),0)</f>
        <v>0</v>
      </c>
      <c r="AA87" s="989">
        <f t="shared" si="153"/>
        <v>0</v>
      </c>
      <c r="AB87" s="983">
        <v>0</v>
      </c>
      <c r="AC87" s="989">
        <f t="shared" si="154"/>
        <v>0</v>
      </c>
      <c r="AD87" s="989">
        <f t="shared" si="155"/>
        <v>0</v>
      </c>
      <c r="AE87" s="974">
        <f>(IFERROR(VLOOKUP($C87,List!$J:$L,2,0),0)*R87+IF(B87="piping",R87,0)+IF(C87="Welding Neck",1,0)*R87)*$AE$2</f>
        <v>0</v>
      </c>
      <c r="AF87" s="970">
        <f>IFERROR(VLOOKUP($C87,List!$J:$L,3,0),0)*R87*$AF$2</f>
        <v>0</v>
      </c>
      <c r="AG87" s="990">
        <f t="shared" si="156"/>
        <v>0</v>
      </c>
      <c r="AH87" s="1118" t="str">
        <f>IFERROR(VLOOKUP($D87,'Piping Class'!$88:$102,MATCH(AH$1,'Piping Class'!$88:$88,0),0),"")</f>
        <v/>
      </c>
      <c r="AI87" s="991" t="str">
        <f>IFERROR(VLOOKUP($D87,'Piping Class'!$88:$102,MATCH(AI$1,'Piping Class'!$88:$88,0),0),"")</f>
        <v/>
      </c>
      <c r="AJ87" s="991" t="str">
        <f>IFERROR(VLOOKUP($D87,'Piping Class'!$88:$102,MATCH(AJ$1,'Piping Class'!$88:$88,0),0),"")</f>
        <v/>
      </c>
      <c r="AK87" s="991" t="str">
        <f>IFERROR(VLOOKUP($D87,'Piping Class'!$88:$102,MATCH(AK$1,'Piping Class'!$88:$88,0),0),"")</f>
        <v/>
      </c>
      <c r="AL87" s="991">
        <f t="shared" si="182"/>
        <v>0</v>
      </c>
      <c r="AM87" s="1119" t="str">
        <f>IFERROR(VLOOKUP($D87,'Piping Class'!$88:$102,MATCH(AM$1,'Piping Class'!$88:$88,0),0),"")</f>
        <v/>
      </c>
      <c r="AN87" s="992">
        <f t="shared" si="157"/>
        <v>0</v>
      </c>
      <c r="AO87" s="993">
        <f>IFERROR(VLOOKUP(I87&amp;"B"&amp;F87,'Bolting Chart'!$1:$1048576,4,0),0)</f>
        <v>0</v>
      </c>
      <c r="AP87" s="993">
        <f t="shared" si="158"/>
        <v>0</v>
      </c>
      <c r="AQ87" s="993">
        <f t="shared" si="159"/>
        <v>0</v>
      </c>
      <c r="AR87" s="993">
        <f>IF(AO87=0,0,VLOOKUP(D87&amp;".bolting",'Piping Class'!$1:$1048576,MATCH(I87,'Piping Class'!$2:$2,0),0))</f>
        <v>0</v>
      </c>
      <c r="AS87" s="994">
        <f>IFERROR(VLOOKUP(I87&amp;"B"&amp;F87,'Bolting Chart'!$1:$1048576,IF(AS$2="UNC",5,6),0),0)</f>
        <v>0</v>
      </c>
      <c r="AT87" s="995">
        <f>IFERROR(VLOOKUP(I87&amp;"B"&amp;F87,'Bolting Chart'!$1:$1048576,IF(G87="RF",8,9),0),0)</f>
        <v>0</v>
      </c>
      <c r="AU87" s="993">
        <f>IF(AO87=0,0,VLOOKUP(D87&amp;".gasket",'Piping Class'!$1:$1048576,MATCH(I87,'Piping Class'!$2:$2,0),0))</f>
        <v>0</v>
      </c>
      <c r="AV87" s="996">
        <f>(IFERROR(INDEX('Bolting Chart'!$A$169:$R$251,MATCH(AT87,'Bolting Chart'!$A$170:$A$251,0),MATCH(IFERROR(VLOOKUP(I87&amp;"B"&amp;F87,'Bolting Chart'!$1:$1048576,7,0),0)+0,'Bolting Chart'!$A$169:$R$169,0)),0))/100</f>
        <v>0</v>
      </c>
      <c r="AW87" s="996">
        <f t="shared" si="160"/>
        <v>0</v>
      </c>
      <c r="AX87" s="1194">
        <f t="shared" si="161"/>
        <v>0</v>
      </c>
      <c r="AY87" s="981"/>
      <c r="AZ87" s="1543">
        <f t="shared" si="176"/>
        <v>0</v>
      </c>
      <c r="BA87" s="1543">
        <f t="shared" si="176"/>
        <v>0</v>
      </c>
      <c r="BB87" s="1543">
        <f t="shared" si="176"/>
        <v>0</v>
      </c>
      <c r="BC87" s="1543">
        <f t="shared" si="176"/>
        <v>0</v>
      </c>
      <c r="BD87" s="1543">
        <f t="shared" si="176"/>
        <v>0</v>
      </c>
      <c r="BE87" s="1543">
        <f t="shared" si="176"/>
        <v>0</v>
      </c>
      <c r="BF87" s="1543">
        <f t="shared" si="176"/>
        <v>0</v>
      </c>
      <c r="BG87" s="1543">
        <f t="shared" si="176"/>
        <v>0</v>
      </c>
      <c r="BH87" s="1543">
        <f t="shared" si="176"/>
        <v>0</v>
      </c>
      <c r="BI87" s="1543">
        <f t="shared" si="176"/>
        <v>0</v>
      </c>
      <c r="BJ87" s="1543">
        <f t="shared" si="176"/>
        <v>0</v>
      </c>
      <c r="BK87" s="1543">
        <f t="shared" si="176"/>
        <v>0</v>
      </c>
      <c r="BL87" s="1543">
        <f t="shared" si="176"/>
        <v>0</v>
      </c>
      <c r="BM87" s="1543">
        <f t="shared" si="176"/>
        <v>0</v>
      </c>
      <c r="BN87" s="1543">
        <f t="shared" si="176"/>
        <v>0</v>
      </c>
      <c r="BO87" s="1543">
        <f t="shared" si="176"/>
        <v>0</v>
      </c>
      <c r="BP87" s="1543">
        <f t="shared" si="178"/>
        <v>0</v>
      </c>
      <c r="BQ87" s="1543">
        <f t="shared" si="178"/>
        <v>0</v>
      </c>
      <c r="BR87" s="1543">
        <f t="shared" si="178"/>
        <v>0</v>
      </c>
      <c r="BS87" s="1543">
        <f t="shared" si="178"/>
        <v>0</v>
      </c>
      <c r="BT87" s="1543">
        <f t="shared" si="178"/>
        <v>0</v>
      </c>
      <c r="BU87" s="1543">
        <f t="shared" si="178"/>
        <v>0</v>
      </c>
      <c r="BV87" s="1543">
        <f t="shared" si="178"/>
        <v>0</v>
      </c>
      <c r="BW87" s="1543">
        <f t="shared" si="178"/>
        <v>0</v>
      </c>
      <c r="BX87" s="1543">
        <f t="shared" si="178"/>
        <v>0</v>
      </c>
      <c r="BY87" s="1543">
        <f t="shared" si="178"/>
        <v>0</v>
      </c>
      <c r="BZ87" s="1543">
        <f t="shared" si="178"/>
        <v>0</v>
      </c>
      <c r="CB87" s="1543">
        <f t="shared" si="177"/>
        <v>0</v>
      </c>
      <c r="CC87" s="1543">
        <f t="shared" si="177"/>
        <v>0</v>
      </c>
      <c r="CD87" s="1543">
        <f t="shared" si="177"/>
        <v>0</v>
      </c>
      <c r="CE87" s="1543">
        <f t="shared" si="177"/>
        <v>0</v>
      </c>
      <c r="CF87" s="1543">
        <f t="shared" si="177"/>
        <v>0</v>
      </c>
      <c r="CG87" s="1543">
        <f t="shared" si="177"/>
        <v>0</v>
      </c>
      <c r="CH87" s="1543">
        <f t="shared" si="177"/>
        <v>0</v>
      </c>
      <c r="CI87" s="1543">
        <f t="shared" si="177"/>
        <v>0</v>
      </c>
      <c r="CJ87" s="1543">
        <f t="shared" si="177"/>
        <v>0</v>
      </c>
      <c r="CK87" s="1543">
        <f t="shared" si="177"/>
        <v>0</v>
      </c>
      <c r="CL87" s="1543">
        <f t="shared" si="177"/>
        <v>0</v>
      </c>
      <c r="CM87" s="1543">
        <f t="shared" si="177"/>
        <v>0</v>
      </c>
      <c r="CN87" s="1543">
        <f t="shared" si="177"/>
        <v>0</v>
      </c>
      <c r="CO87" s="1543">
        <f t="shared" si="177"/>
        <v>0</v>
      </c>
      <c r="CP87" s="1543">
        <f t="shared" si="177"/>
        <v>0</v>
      </c>
      <c r="CQ87" s="1543">
        <f t="shared" si="177"/>
        <v>0</v>
      </c>
      <c r="CR87" s="1543">
        <f t="shared" si="179"/>
        <v>0</v>
      </c>
      <c r="CS87" s="1543">
        <f t="shared" si="179"/>
        <v>0</v>
      </c>
      <c r="CT87" s="1543">
        <f t="shared" si="183"/>
        <v>0</v>
      </c>
      <c r="CU87" s="1543">
        <f t="shared" si="183"/>
        <v>0</v>
      </c>
      <c r="CV87" s="1543">
        <f t="shared" si="183"/>
        <v>0</v>
      </c>
      <c r="CW87" s="1543">
        <f t="shared" si="183"/>
        <v>0</v>
      </c>
      <c r="CX87" s="1543">
        <f t="shared" si="183"/>
        <v>0</v>
      </c>
      <c r="CY87" s="1543">
        <f t="shared" si="183"/>
        <v>0</v>
      </c>
      <c r="CZ87" s="1543">
        <f t="shared" si="183"/>
        <v>0</v>
      </c>
      <c r="DA87" s="1543">
        <f t="shared" si="183"/>
        <v>0</v>
      </c>
      <c r="DB87" s="1543">
        <f t="shared" si="183"/>
        <v>0</v>
      </c>
      <c r="DD87" s="1543">
        <f t="shared" si="147"/>
        <v>0</v>
      </c>
      <c r="DE87" s="1543">
        <f t="shared" si="148"/>
        <v>0</v>
      </c>
      <c r="DF87" s="1543">
        <f t="shared" si="149"/>
        <v>0</v>
      </c>
      <c r="DG87" s="1543">
        <f t="shared" si="162"/>
        <v>0</v>
      </c>
      <c r="DI87" s="1543">
        <f t="shared" si="163"/>
        <v>0</v>
      </c>
      <c r="DJ87" s="1543">
        <f t="shared" si="185"/>
        <v>0</v>
      </c>
      <c r="DK87" s="1543">
        <f t="shared" si="185"/>
        <v>0</v>
      </c>
      <c r="DL87" s="1543">
        <f t="shared" si="185"/>
        <v>0</v>
      </c>
      <c r="DM87" s="1543">
        <f t="shared" si="185"/>
        <v>0</v>
      </c>
      <c r="DO87" s="1543">
        <f t="shared" si="164"/>
        <v>0</v>
      </c>
      <c r="DP87" s="1543">
        <f t="shared" si="164"/>
        <v>0</v>
      </c>
      <c r="DQ87" s="1543">
        <f t="shared" si="164"/>
        <v>0</v>
      </c>
      <c r="DR87" s="1543">
        <f t="shared" si="164"/>
        <v>0</v>
      </c>
      <c r="DS87" s="1543">
        <f t="shared" si="164"/>
        <v>0</v>
      </c>
      <c r="DT87" s="1543">
        <f t="shared" si="164"/>
        <v>0</v>
      </c>
      <c r="DU87" s="1543">
        <f t="shared" si="164"/>
        <v>0</v>
      </c>
      <c r="DV87" s="1543">
        <f t="shared" si="164"/>
        <v>0</v>
      </c>
      <c r="DW87" s="1543">
        <f t="shared" ref="DO87:EA107" si="188">IF($L87=DW$2,1,0)</f>
        <v>0</v>
      </c>
      <c r="DX87" s="1543">
        <f t="shared" si="188"/>
        <v>0</v>
      </c>
      <c r="DY87" s="1543">
        <f t="shared" si="188"/>
        <v>0</v>
      </c>
      <c r="DZ87" s="1543">
        <f t="shared" si="188"/>
        <v>0</v>
      </c>
      <c r="EA87" s="1543">
        <f t="shared" si="188"/>
        <v>0</v>
      </c>
      <c r="EB87" s="1543">
        <f t="shared" si="180"/>
        <v>0</v>
      </c>
      <c r="EC87" s="1543">
        <f t="shared" si="180"/>
        <v>0</v>
      </c>
      <c r="ED87" s="1543">
        <f t="shared" si="180"/>
        <v>0</v>
      </c>
      <c r="EE87" s="1543">
        <f t="shared" si="180"/>
        <v>0</v>
      </c>
      <c r="EF87" s="1543">
        <f t="shared" si="180"/>
        <v>0</v>
      </c>
      <c r="EH87" s="1543">
        <f t="shared" si="165"/>
        <v>0</v>
      </c>
      <c r="EI87" s="1543">
        <f t="shared" si="166"/>
        <v>0</v>
      </c>
      <c r="EJ87" s="1543">
        <f t="shared" si="167"/>
        <v>0</v>
      </c>
      <c r="EK87" s="1543">
        <f t="shared" si="168"/>
        <v>0</v>
      </c>
      <c r="EL87" s="1543">
        <f t="shared" si="169"/>
        <v>0</v>
      </c>
      <c r="EM87" s="1543">
        <f t="shared" si="170"/>
        <v>0</v>
      </c>
      <c r="EN87" s="1543">
        <f t="shared" si="171"/>
        <v>0</v>
      </c>
      <c r="EP87" s="1543">
        <f t="shared" si="72"/>
        <v>0</v>
      </c>
      <c r="EQ87" s="1543">
        <f t="shared" si="72"/>
        <v>0</v>
      </c>
      <c r="ER87" s="1543">
        <f t="shared" si="72"/>
        <v>0</v>
      </c>
      <c r="ES87" s="1543">
        <f t="shared" si="72"/>
        <v>0</v>
      </c>
      <c r="ET87" s="1543">
        <f t="shared" si="181"/>
        <v>0</v>
      </c>
      <c r="EU87" s="1543">
        <f t="shared" si="181"/>
        <v>0</v>
      </c>
      <c r="EV87" s="1543">
        <f t="shared" si="181"/>
        <v>0</v>
      </c>
      <c r="EW87" s="1543">
        <f t="shared" si="181"/>
        <v>0</v>
      </c>
      <c r="EX87" s="1543">
        <f t="shared" si="181"/>
        <v>0</v>
      </c>
      <c r="EY87" s="1543">
        <f t="shared" si="181"/>
        <v>0</v>
      </c>
      <c r="EZ87" s="1543">
        <f t="shared" si="181"/>
        <v>0</v>
      </c>
      <c r="FA87" s="1543">
        <f t="shared" si="181"/>
        <v>0</v>
      </c>
      <c r="FB87" s="1543">
        <f t="shared" si="181"/>
        <v>0</v>
      </c>
      <c r="FC87" s="1543">
        <f t="shared" si="181"/>
        <v>0</v>
      </c>
      <c r="FD87" s="1543">
        <f t="shared" si="181"/>
        <v>0</v>
      </c>
      <c r="FE87" s="1543">
        <f t="shared" si="184"/>
        <v>0</v>
      </c>
      <c r="FF87" s="1543">
        <f t="shared" si="172"/>
        <v>1</v>
      </c>
      <c r="FH87" s="1543">
        <f t="shared" si="186"/>
        <v>0</v>
      </c>
      <c r="FI87" s="1543">
        <f t="shared" si="186"/>
        <v>0</v>
      </c>
      <c r="FJ87" s="1543">
        <f t="shared" si="186"/>
        <v>0</v>
      </c>
      <c r="FK87" s="1543">
        <f t="shared" si="186"/>
        <v>0</v>
      </c>
      <c r="FL87" s="1543">
        <f t="shared" si="186"/>
        <v>0</v>
      </c>
      <c r="FM87" s="1543">
        <f t="shared" si="186"/>
        <v>0</v>
      </c>
      <c r="FN87" s="1543">
        <f t="shared" si="186"/>
        <v>0</v>
      </c>
      <c r="FO87" s="1543">
        <f t="shared" si="186"/>
        <v>0</v>
      </c>
      <c r="FP87" s="1543">
        <f t="shared" si="186"/>
        <v>0</v>
      </c>
      <c r="FQ87" s="1543">
        <f t="shared" si="186"/>
        <v>0</v>
      </c>
      <c r="FR87" s="1543">
        <f t="shared" si="186"/>
        <v>0</v>
      </c>
      <c r="FS87" s="1543">
        <f t="shared" si="186"/>
        <v>0</v>
      </c>
      <c r="FT87" s="1543">
        <f t="shared" si="174"/>
        <v>0</v>
      </c>
      <c r="FV87" s="1543">
        <f t="shared" si="187"/>
        <v>1</v>
      </c>
      <c r="FW87" s="1543">
        <f t="shared" si="187"/>
        <v>0</v>
      </c>
      <c r="FX87" s="1543">
        <f t="shared" si="187"/>
        <v>0</v>
      </c>
      <c r="FY87" s="1543">
        <f t="shared" si="187"/>
        <v>0</v>
      </c>
      <c r="FZ87" s="1543">
        <f t="shared" si="187"/>
        <v>0</v>
      </c>
      <c r="GA87" s="1543">
        <f t="shared" si="187"/>
        <v>0</v>
      </c>
      <c r="GB87" s="1543">
        <f t="shared" si="187"/>
        <v>0</v>
      </c>
      <c r="GC87" s="1543">
        <f t="shared" si="187"/>
        <v>0</v>
      </c>
      <c r="GD87" s="1543">
        <f t="shared" si="187"/>
        <v>0</v>
      </c>
    </row>
    <row r="88" spans="1:186" s="982" customFormat="1" ht="15.6" x14ac:dyDescent="0.3">
      <c r="A88" s="974">
        <v>86</v>
      </c>
      <c r="B88" s="983"/>
      <c r="C88" s="984"/>
      <c r="D88" s="983"/>
      <c r="E88" s="968" t="str">
        <f>IFERROR(VLOOKUP($D88&amp;"."&amp;B88,'Piping Class'!$1:$1048576,MATCH($I88,'Piping Class'!$2:$2,0),0),"")</f>
        <v/>
      </c>
      <c r="F88" s="985" t="str">
        <f>IFERROR(IF(B88="Flange",VLOOKUP($D88,'Piping Class'!$88:$102,MATCH(F$1,'Piping Class'!$88:$88,0),0),""),"")</f>
        <v/>
      </c>
      <c r="G88" s="968" t="str">
        <f>IFERROR(IF(B88="Flange",VLOOKUP($D88,'Piping Class'!$88:$102,MATCH(G$1,'Piping Class'!$88:$88,0),0),""),"")</f>
        <v/>
      </c>
      <c r="H88" s="968" t="str">
        <f>IFERROR(VLOOKUP($D88,'Piping Class'!$88:$102,MATCH(H$1,'Piping Class'!$88:$88,0),0),"")</f>
        <v/>
      </c>
      <c r="I88" s="986"/>
      <c r="J88" s="987"/>
      <c r="K88" s="968" t="str">
        <f>IFERROR(VLOOKUP(I88,'Thickness Tab'!$1:$1048576,MATCH(L88,'Thickness Tab'!$1:$1,0),0),"")</f>
        <v/>
      </c>
      <c r="L88" s="969" t="str">
        <f>IFERROR(VLOOKUP($D88,'Piping Class'!$1:$1048576,MATCH($I88,'Piping Class'!$2:$2,0),0),"")</f>
        <v/>
      </c>
      <c r="M88" s="968" t="str">
        <f>IFERROR(VLOOKUP(J88,'Thickness Tab'!$1:$1048576,MATCH(N88,'Thickness Tab'!$1:$1,0),0),"")</f>
        <v/>
      </c>
      <c r="N88" s="969" t="str">
        <f>IFERROR(VLOOKUP($D88,'Piping Class'!$1:$1048576,MATCH($J88,'Piping Class'!$2:$2,0),0),"")</f>
        <v/>
      </c>
      <c r="O88" s="968" t="str">
        <f>IFERROR(VLOOKUP($D88,'Piping Class'!$88:$102,MATCH(O$1,'Piping Class'!$88:$88,0),0),"")</f>
        <v/>
      </c>
      <c r="P88" s="968" t="str">
        <f>IFERROR(VLOOKUP($D88,'Piping Class'!$88:$102,MATCH(P$1,'Piping Class'!$88:$88,0),0),"")</f>
        <v/>
      </c>
      <c r="Q88" s="983"/>
      <c r="R88" s="988"/>
      <c r="S88" s="969" t="str">
        <f t="shared" si="150"/>
        <v/>
      </c>
      <c r="T88" s="968">
        <f>IFERROR(VLOOKUP(I88&amp;"."&amp;L88,'Fitting Chart'!$1:$1048576,MATCH(C88,'Fitting Chart'!$1:$1,0),0),0)+IF(B88="piping",PI()*K88*(VLOOKUP(I88,'Thickness Tab'!$1:$1048576,3,0)-K88)*7.86/1000,0)+IF(B88="Flange",VLOOKUP(I88&amp;"F"&amp;F88,'Flanges Chart'!$1:$1048576,MATCH(C88&amp;"."&amp;T$1,'Flanges Chart'!$1:$1,0),0),0)</f>
        <v>0</v>
      </c>
      <c r="U88" s="989">
        <f t="shared" si="151"/>
        <v>0</v>
      </c>
      <c r="V88" s="1003"/>
      <c r="W88" s="1001">
        <f t="shared" si="152"/>
        <v>0</v>
      </c>
      <c r="X88" s="997"/>
      <c r="Y88" s="983"/>
      <c r="Z88" s="989">
        <f>IF(B88="Piping",VLOOKUP(I88,'Thickness Tab'!$1:$1048576,3,0)/1000*PI(),0)+IFERROR(VLOOKUP(I88&amp;"F"&amp;F88,'Flanges Chart'!$1:$1048576,MATCH(C88&amp;".Unit Surface",'Flanges Chart'!$1:$1,0),0),0)+IF(B88="Fitting",VLOOKUP(I88,'Thickness Tab'!$1:$1048576,3,0)/1000*PI(),0)</f>
        <v>0</v>
      </c>
      <c r="AA88" s="989">
        <f t="shared" si="153"/>
        <v>0</v>
      </c>
      <c r="AB88" s="983">
        <v>0</v>
      </c>
      <c r="AC88" s="989">
        <f t="shared" si="154"/>
        <v>0</v>
      </c>
      <c r="AD88" s="989">
        <f t="shared" si="155"/>
        <v>0</v>
      </c>
      <c r="AE88" s="974">
        <f>(IFERROR(VLOOKUP($C88,List!$J:$L,2,0),0)*R88+IF(B88="piping",R88,0)+IF(C88="Welding Neck",1,0)*R88)*$AE$2</f>
        <v>0</v>
      </c>
      <c r="AF88" s="970">
        <f>IFERROR(VLOOKUP($C88,List!$J:$L,3,0),0)*R88*$AF$2</f>
        <v>0</v>
      </c>
      <c r="AG88" s="990">
        <f t="shared" si="156"/>
        <v>0</v>
      </c>
      <c r="AH88" s="1118" t="str">
        <f>IFERROR(VLOOKUP($D88,'Piping Class'!$88:$102,MATCH(AH$1,'Piping Class'!$88:$88,0),0),"")</f>
        <v/>
      </c>
      <c r="AI88" s="991" t="str">
        <f>IFERROR(VLOOKUP($D88,'Piping Class'!$88:$102,MATCH(AI$1,'Piping Class'!$88:$88,0),0),"")</f>
        <v/>
      </c>
      <c r="AJ88" s="991" t="str">
        <f>IFERROR(VLOOKUP($D88,'Piping Class'!$88:$102,MATCH(AJ$1,'Piping Class'!$88:$88,0),0),"")</f>
        <v/>
      </c>
      <c r="AK88" s="991" t="str">
        <f>IFERROR(VLOOKUP($D88,'Piping Class'!$88:$102,MATCH(AK$1,'Piping Class'!$88:$88,0),0),"")</f>
        <v/>
      </c>
      <c r="AL88" s="991">
        <f t="shared" si="182"/>
        <v>0</v>
      </c>
      <c r="AM88" s="1119" t="str">
        <f>IFERROR(VLOOKUP($D88,'Piping Class'!$88:$102,MATCH(AM$1,'Piping Class'!$88:$88,0),0),"")</f>
        <v/>
      </c>
      <c r="AN88" s="992">
        <f t="shared" si="157"/>
        <v>0</v>
      </c>
      <c r="AO88" s="993">
        <f>IFERROR(VLOOKUP(I88&amp;"B"&amp;F88,'Bolting Chart'!$1:$1048576,4,0),0)</f>
        <v>0</v>
      </c>
      <c r="AP88" s="993">
        <f t="shared" si="158"/>
        <v>0</v>
      </c>
      <c r="AQ88" s="993">
        <f t="shared" si="159"/>
        <v>0</v>
      </c>
      <c r="AR88" s="993">
        <f>IF(AO88=0,0,VLOOKUP(D88&amp;".bolting",'Piping Class'!$1:$1048576,MATCH(I88,'Piping Class'!$2:$2,0),0))</f>
        <v>0</v>
      </c>
      <c r="AS88" s="994">
        <f>IFERROR(VLOOKUP(I88&amp;"B"&amp;F88,'Bolting Chart'!$1:$1048576,IF(AS$2="UNC",5,6),0),0)</f>
        <v>0</v>
      </c>
      <c r="AT88" s="995">
        <f>IFERROR(VLOOKUP(I88&amp;"B"&amp;F88,'Bolting Chart'!$1:$1048576,IF(G88="RF",8,9),0),0)</f>
        <v>0</v>
      </c>
      <c r="AU88" s="993">
        <f>IF(AO88=0,0,VLOOKUP(D88&amp;".gasket",'Piping Class'!$1:$1048576,MATCH(I88,'Piping Class'!$2:$2,0),0))</f>
        <v>0</v>
      </c>
      <c r="AV88" s="996">
        <f>(IFERROR(INDEX('Bolting Chart'!$A$169:$R$251,MATCH(AT88,'Bolting Chart'!$A$170:$A$251,0),MATCH(IFERROR(VLOOKUP(I88&amp;"B"&amp;F88,'Bolting Chart'!$1:$1048576,7,0),0)+0,'Bolting Chart'!$A$169:$R$169,0)),0))/100</f>
        <v>0</v>
      </c>
      <c r="AW88" s="996">
        <f t="shared" si="160"/>
        <v>0</v>
      </c>
      <c r="AX88" s="1194">
        <f t="shared" si="161"/>
        <v>0</v>
      </c>
      <c r="AY88" s="981"/>
      <c r="AZ88" s="1543">
        <f t="shared" si="176"/>
        <v>0</v>
      </c>
      <c r="BA88" s="1543">
        <f t="shared" si="176"/>
        <v>0</v>
      </c>
      <c r="BB88" s="1543">
        <f t="shared" si="176"/>
        <v>0</v>
      </c>
      <c r="BC88" s="1543">
        <f t="shared" si="176"/>
        <v>0</v>
      </c>
      <c r="BD88" s="1543">
        <f t="shared" si="176"/>
        <v>0</v>
      </c>
      <c r="BE88" s="1543">
        <f t="shared" si="176"/>
        <v>0</v>
      </c>
      <c r="BF88" s="1543">
        <f t="shared" si="176"/>
        <v>0</v>
      </c>
      <c r="BG88" s="1543">
        <f t="shared" si="176"/>
        <v>0</v>
      </c>
      <c r="BH88" s="1543">
        <f t="shared" si="176"/>
        <v>0</v>
      </c>
      <c r="BI88" s="1543">
        <f t="shared" si="176"/>
        <v>0</v>
      </c>
      <c r="BJ88" s="1543">
        <f t="shared" si="176"/>
        <v>0</v>
      </c>
      <c r="BK88" s="1543">
        <f t="shared" si="176"/>
        <v>0</v>
      </c>
      <c r="BL88" s="1543">
        <f t="shared" si="176"/>
        <v>0</v>
      </c>
      <c r="BM88" s="1543">
        <f t="shared" si="176"/>
        <v>0</v>
      </c>
      <c r="BN88" s="1543">
        <f t="shared" si="176"/>
        <v>0</v>
      </c>
      <c r="BO88" s="1543">
        <f t="shared" si="176"/>
        <v>0</v>
      </c>
      <c r="BP88" s="1543">
        <f t="shared" si="178"/>
        <v>0</v>
      </c>
      <c r="BQ88" s="1543">
        <f t="shared" si="178"/>
        <v>0</v>
      </c>
      <c r="BR88" s="1543">
        <f t="shared" si="178"/>
        <v>0</v>
      </c>
      <c r="BS88" s="1543">
        <f t="shared" si="178"/>
        <v>0</v>
      </c>
      <c r="BT88" s="1543">
        <f t="shared" si="178"/>
        <v>0</v>
      </c>
      <c r="BU88" s="1543">
        <f t="shared" si="178"/>
        <v>0</v>
      </c>
      <c r="BV88" s="1543">
        <f t="shared" si="178"/>
        <v>0</v>
      </c>
      <c r="BW88" s="1543">
        <f t="shared" si="178"/>
        <v>0</v>
      </c>
      <c r="BX88" s="1543">
        <f t="shared" si="178"/>
        <v>0</v>
      </c>
      <c r="BY88" s="1543">
        <f t="shared" si="178"/>
        <v>0</v>
      </c>
      <c r="BZ88" s="1543">
        <f t="shared" si="178"/>
        <v>0</v>
      </c>
      <c r="CB88" s="1543">
        <f t="shared" si="177"/>
        <v>0</v>
      </c>
      <c r="CC88" s="1543">
        <f t="shared" si="177"/>
        <v>0</v>
      </c>
      <c r="CD88" s="1543">
        <f t="shared" si="177"/>
        <v>0</v>
      </c>
      <c r="CE88" s="1543">
        <f t="shared" si="177"/>
        <v>0</v>
      </c>
      <c r="CF88" s="1543">
        <f t="shared" si="177"/>
        <v>0</v>
      </c>
      <c r="CG88" s="1543">
        <f t="shared" si="177"/>
        <v>0</v>
      </c>
      <c r="CH88" s="1543">
        <f t="shared" si="177"/>
        <v>0</v>
      </c>
      <c r="CI88" s="1543">
        <f t="shared" si="177"/>
        <v>0</v>
      </c>
      <c r="CJ88" s="1543">
        <f t="shared" si="177"/>
        <v>0</v>
      </c>
      <c r="CK88" s="1543">
        <f t="shared" si="177"/>
        <v>0</v>
      </c>
      <c r="CL88" s="1543">
        <f t="shared" si="177"/>
        <v>0</v>
      </c>
      <c r="CM88" s="1543">
        <f t="shared" si="177"/>
        <v>0</v>
      </c>
      <c r="CN88" s="1543">
        <f t="shared" si="177"/>
        <v>0</v>
      </c>
      <c r="CO88" s="1543">
        <f t="shared" si="177"/>
        <v>0</v>
      </c>
      <c r="CP88" s="1543">
        <f t="shared" si="177"/>
        <v>0</v>
      </c>
      <c r="CQ88" s="1543">
        <f t="shared" si="177"/>
        <v>0</v>
      </c>
      <c r="CR88" s="1543">
        <f t="shared" si="179"/>
        <v>0</v>
      </c>
      <c r="CS88" s="1543">
        <f t="shared" si="179"/>
        <v>0</v>
      </c>
      <c r="CT88" s="1543">
        <f t="shared" si="183"/>
        <v>0</v>
      </c>
      <c r="CU88" s="1543">
        <f t="shared" si="183"/>
        <v>0</v>
      </c>
      <c r="CV88" s="1543">
        <f t="shared" si="183"/>
        <v>0</v>
      </c>
      <c r="CW88" s="1543">
        <f t="shared" si="183"/>
        <v>0</v>
      </c>
      <c r="CX88" s="1543">
        <f t="shared" si="183"/>
        <v>0</v>
      </c>
      <c r="CY88" s="1543">
        <f t="shared" si="183"/>
        <v>0</v>
      </c>
      <c r="CZ88" s="1543">
        <f t="shared" si="183"/>
        <v>0</v>
      </c>
      <c r="DA88" s="1543">
        <f t="shared" si="183"/>
        <v>0</v>
      </c>
      <c r="DB88" s="1543">
        <f t="shared" si="183"/>
        <v>0</v>
      </c>
      <c r="DD88" s="1543">
        <f t="shared" si="147"/>
        <v>0</v>
      </c>
      <c r="DE88" s="1543">
        <f t="shared" si="148"/>
        <v>0</v>
      </c>
      <c r="DF88" s="1543">
        <f t="shared" si="149"/>
        <v>0</v>
      </c>
      <c r="DG88" s="1543">
        <f t="shared" si="162"/>
        <v>0</v>
      </c>
      <c r="DI88" s="1543">
        <f t="shared" si="163"/>
        <v>0</v>
      </c>
      <c r="DJ88" s="1543">
        <f t="shared" si="185"/>
        <v>0</v>
      </c>
      <c r="DK88" s="1543">
        <f t="shared" si="185"/>
        <v>0</v>
      </c>
      <c r="DL88" s="1543">
        <f t="shared" si="185"/>
        <v>0</v>
      </c>
      <c r="DM88" s="1543">
        <f t="shared" si="185"/>
        <v>0</v>
      </c>
      <c r="DO88" s="1543">
        <f t="shared" si="188"/>
        <v>0</v>
      </c>
      <c r="DP88" s="1543">
        <f t="shared" si="188"/>
        <v>0</v>
      </c>
      <c r="DQ88" s="1543">
        <f t="shared" si="188"/>
        <v>0</v>
      </c>
      <c r="DR88" s="1543">
        <f t="shared" si="188"/>
        <v>0</v>
      </c>
      <c r="DS88" s="1543">
        <f t="shared" si="188"/>
        <v>0</v>
      </c>
      <c r="DT88" s="1543">
        <f t="shared" si="188"/>
        <v>0</v>
      </c>
      <c r="DU88" s="1543">
        <f t="shared" si="188"/>
        <v>0</v>
      </c>
      <c r="DV88" s="1543">
        <f t="shared" si="188"/>
        <v>0</v>
      </c>
      <c r="DW88" s="1543">
        <f t="shared" si="188"/>
        <v>0</v>
      </c>
      <c r="DX88" s="1543">
        <f t="shared" si="188"/>
        <v>0</v>
      </c>
      <c r="DY88" s="1543">
        <f t="shared" si="188"/>
        <v>0</v>
      </c>
      <c r="DZ88" s="1543">
        <f t="shared" si="188"/>
        <v>0</v>
      </c>
      <c r="EA88" s="1543">
        <f t="shared" si="188"/>
        <v>0</v>
      </c>
      <c r="EB88" s="1543">
        <f t="shared" si="180"/>
        <v>0</v>
      </c>
      <c r="EC88" s="1543">
        <f t="shared" si="180"/>
        <v>0</v>
      </c>
      <c r="ED88" s="1543">
        <f t="shared" si="180"/>
        <v>0</v>
      </c>
      <c r="EE88" s="1543">
        <f t="shared" si="180"/>
        <v>0</v>
      </c>
      <c r="EF88" s="1543">
        <f t="shared" si="180"/>
        <v>0</v>
      </c>
      <c r="EH88" s="1543">
        <f t="shared" si="165"/>
        <v>0</v>
      </c>
      <c r="EI88" s="1543">
        <f t="shared" si="166"/>
        <v>0</v>
      </c>
      <c r="EJ88" s="1543">
        <f t="shared" si="167"/>
        <v>0</v>
      </c>
      <c r="EK88" s="1543">
        <f t="shared" si="168"/>
        <v>0</v>
      </c>
      <c r="EL88" s="1543">
        <f t="shared" si="169"/>
        <v>0</v>
      </c>
      <c r="EM88" s="1543">
        <f t="shared" si="170"/>
        <v>0</v>
      </c>
      <c r="EN88" s="1543">
        <f t="shared" si="171"/>
        <v>0</v>
      </c>
      <c r="EP88" s="1543">
        <f t="shared" si="72"/>
        <v>0</v>
      </c>
      <c r="EQ88" s="1543">
        <f t="shared" si="72"/>
        <v>0</v>
      </c>
      <c r="ER88" s="1543">
        <f t="shared" si="72"/>
        <v>0</v>
      </c>
      <c r="ES88" s="1543">
        <f t="shared" si="72"/>
        <v>0</v>
      </c>
      <c r="ET88" s="1543">
        <f t="shared" si="181"/>
        <v>0</v>
      </c>
      <c r="EU88" s="1543">
        <f t="shared" si="181"/>
        <v>0</v>
      </c>
      <c r="EV88" s="1543">
        <f t="shared" si="181"/>
        <v>0</v>
      </c>
      <c r="EW88" s="1543">
        <f t="shared" si="181"/>
        <v>0</v>
      </c>
      <c r="EX88" s="1543">
        <f t="shared" si="181"/>
        <v>0</v>
      </c>
      <c r="EY88" s="1543">
        <f t="shared" si="181"/>
        <v>0</v>
      </c>
      <c r="EZ88" s="1543">
        <f t="shared" si="181"/>
        <v>0</v>
      </c>
      <c r="FA88" s="1543">
        <f t="shared" si="181"/>
        <v>0</v>
      </c>
      <c r="FB88" s="1543">
        <f t="shared" si="181"/>
        <v>0</v>
      </c>
      <c r="FC88" s="1543">
        <f t="shared" si="181"/>
        <v>0</v>
      </c>
      <c r="FD88" s="1543">
        <f t="shared" si="181"/>
        <v>0</v>
      </c>
      <c r="FE88" s="1543">
        <f t="shared" si="184"/>
        <v>0</v>
      </c>
      <c r="FF88" s="1543">
        <f t="shared" si="172"/>
        <v>1</v>
      </c>
      <c r="FH88" s="1543">
        <f t="shared" si="186"/>
        <v>0</v>
      </c>
      <c r="FI88" s="1543">
        <f t="shared" si="186"/>
        <v>0</v>
      </c>
      <c r="FJ88" s="1543">
        <f t="shared" si="186"/>
        <v>0</v>
      </c>
      <c r="FK88" s="1543">
        <f t="shared" si="186"/>
        <v>0</v>
      </c>
      <c r="FL88" s="1543">
        <f t="shared" si="186"/>
        <v>0</v>
      </c>
      <c r="FM88" s="1543">
        <f t="shared" si="186"/>
        <v>0</v>
      </c>
      <c r="FN88" s="1543">
        <f t="shared" si="186"/>
        <v>0</v>
      </c>
      <c r="FO88" s="1543">
        <f t="shared" si="186"/>
        <v>0</v>
      </c>
      <c r="FP88" s="1543">
        <f t="shared" si="186"/>
        <v>0</v>
      </c>
      <c r="FQ88" s="1543">
        <f t="shared" si="186"/>
        <v>0</v>
      </c>
      <c r="FR88" s="1543">
        <f t="shared" si="186"/>
        <v>0</v>
      </c>
      <c r="FS88" s="1543">
        <f t="shared" si="186"/>
        <v>0</v>
      </c>
      <c r="FT88" s="1543">
        <f t="shared" si="174"/>
        <v>0</v>
      </c>
      <c r="FV88" s="1543">
        <f t="shared" si="187"/>
        <v>1</v>
      </c>
      <c r="FW88" s="1543">
        <f t="shared" si="187"/>
        <v>0</v>
      </c>
      <c r="FX88" s="1543">
        <f t="shared" si="187"/>
        <v>0</v>
      </c>
      <c r="FY88" s="1543">
        <f t="shared" si="187"/>
        <v>0</v>
      </c>
      <c r="FZ88" s="1543">
        <f t="shared" si="187"/>
        <v>0</v>
      </c>
      <c r="GA88" s="1543">
        <f t="shared" si="187"/>
        <v>0</v>
      </c>
      <c r="GB88" s="1543">
        <f t="shared" si="187"/>
        <v>0</v>
      </c>
      <c r="GC88" s="1543">
        <f t="shared" si="187"/>
        <v>0</v>
      </c>
      <c r="GD88" s="1543">
        <f t="shared" si="187"/>
        <v>0</v>
      </c>
    </row>
    <row r="89" spans="1:186" s="982" customFormat="1" ht="15.6" x14ac:dyDescent="0.3">
      <c r="A89" s="974">
        <v>87</v>
      </c>
      <c r="B89" s="983"/>
      <c r="C89" s="984"/>
      <c r="D89" s="983"/>
      <c r="E89" s="968" t="str">
        <f>IFERROR(VLOOKUP($D89&amp;"."&amp;B89,'Piping Class'!$1:$1048576,MATCH($I89,'Piping Class'!$2:$2,0),0),"")</f>
        <v/>
      </c>
      <c r="F89" s="985" t="str">
        <f>IFERROR(IF(B89="Flange",VLOOKUP($D89,'Piping Class'!$88:$102,MATCH(F$1,'Piping Class'!$88:$88,0),0),""),"")</f>
        <v/>
      </c>
      <c r="G89" s="968" t="str">
        <f>IFERROR(IF(B89="Flange",VLOOKUP($D89,'Piping Class'!$88:$102,MATCH(G$1,'Piping Class'!$88:$88,0),0),""),"")</f>
        <v/>
      </c>
      <c r="H89" s="968" t="str">
        <f>IFERROR(VLOOKUP($D89,'Piping Class'!$88:$102,MATCH(H$1,'Piping Class'!$88:$88,0),0),"")</f>
        <v/>
      </c>
      <c r="I89" s="986"/>
      <c r="J89" s="987"/>
      <c r="K89" s="968" t="str">
        <f>IFERROR(VLOOKUP(I89,'Thickness Tab'!$1:$1048576,MATCH(L89,'Thickness Tab'!$1:$1,0),0),"")</f>
        <v/>
      </c>
      <c r="L89" s="969" t="str">
        <f>IFERROR(VLOOKUP($D89,'Piping Class'!$1:$1048576,MATCH($I89,'Piping Class'!$2:$2,0),0),"")</f>
        <v/>
      </c>
      <c r="M89" s="968" t="str">
        <f>IFERROR(VLOOKUP(J89,'Thickness Tab'!$1:$1048576,MATCH(N89,'Thickness Tab'!$1:$1,0),0),"")</f>
        <v/>
      </c>
      <c r="N89" s="969" t="str">
        <f>IFERROR(VLOOKUP($D89,'Piping Class'!$1:$1048576,MATCH($J89,'Piping Class'!$2:$2,0),0),"")</f>
        <v/>
      </c>
      <c r="O89" s="968" t="str">
        <f>IFERROR(VLOOKUP($D89,'Piping Class'!$88:$102,MATCH(O$1,'Piping Class'!$88:$88,0),0),"")</f>
        <v/>
      </c>
      <c r="P89" s="968" t="str">
        <f>IFERROR(VLOOKUP($D89,'Piping Class'!$88:$102,MATCH(P$1,'Piping Class'!$88:$88,0),0),"")</f>
        <v/>
      </c>
      <c r="Q89" s="983"/>
      <c r="R89" s="988"/>
      <c r="S89" s="969" t="str">
        <f t="shared" si="150"/>
        <v/>
      </c>
      <c r="T89" s="968">
        <f>IFERROR(VLOOKUP(I89&amp;"."&amp;L89,'Fitting Chart'!$1:$1048576,MATCH(C89,'Fitting Chart'!$1:$1,0),0),0)+IF(B89="piping",PI()*K89*(VLOOKUP(I89,'Thickness Tab'!$1:$1048576,3,0)-K89)*7.86/1000,0)+IF(B89="Flange",VLOOKUP(I89&amp;"F"&amp;F89,'Flanges Chart'!$1:$1048576,MATCH(C89&amp;"."&amp;T$1,'Flanges Chart'!$1:$1,0),0),0)</f>
        <v>0</v>
      </c>
      <c r="U89" s="989">
        <f t="shared" si="151"/>
        <v>0</v>
      </c>
      <c r="V89" s="1003"/>
      <c r="W89" s="1001">
        <f t="shared" si="152"/>
        <v>0</v>
      </c>
      <c r="X89" s="997"/>
      <c r="Y89" s="983"/>
      <c r="Z89" s="989">
        <f>IF(B89="Piping",VLOOKUP(I89,'Thickness Tab'!$1:$1048576,3,0)/1000*PI(),0)+IFERROR(VLOOKUP(I89&amp;"F"&amp;F89,'Flanges Chart'!$1:$1048576,MATCH(C89&amp;".Unit Surface",'Flanges Chart'!$1:$1,0),0),0)+IF(B89="Fitting",VLOOKUP(I89,'Thickness Tab'!$1:$1048576,3,0)/1000*PI(),0)</f>
        <v>0</v>
      </c>
      <c r="AA89" s="989">
        <f t="shared" si="153"/>
        <v>0</v>
      </c>
      <c r="AB89" s="983">
        <v>0</v>
      </c>
      <c r="AC89" s="989">
        <f t="shared" si="154"/>
        <v>0</v>
      </c>
      <c r="AD89" s="989">
        <f t="shared" si="155"/>
        <v>0</v>
      </c>
      <c r="AE89" s="974">
        <f>(IFERROR(VLOOKUP($C89,List!$J:$L,2,0),0)*R89+IF(B89="piping",R89,0)+IF(C89="Welding Neck",1,0)*R89)*$AE$2</f>
        <v>0</v>
      </c>
      <c r="AF89" s="970">
        <f>IFERROR(VLOOKUP($C89,List!$J:$L,3,0),0)*R89*$AF$2</f>
        <v>0</v>
      </c>
      <c r="AG89" s="990">
        <f t="shared" si="156"/>
        <v>0</v>
      </c>
      <c r="AH89" s="1118" t="str">
        <f>IFERROR(VLOOKUP($D89,'Piping Class'!$88:$102,MATCH(AH$1,'Piping Class'!$88:$88,0),0),"")</f>
        <v/>
      </c>
      <c r="AI89" s="991" t="str">
        <f>IFERROR(VLOOKUP($D89,'Piping Class'!$88:$102,MATCH(AI$1,'Piping Class'!$88:$88,0),0),"")</f>
        <v/>
      </c>
      <c r="AJ89" s="991" t="str">
        <f>IFERROR(VLOOKUP($D89,'Piping Class'!$88:$102,MATCH(AJ$1,'Piping Class'!$88:$88,0),0),"")</f>
        <v/>
      </c>
      <c r="AK89" s="991" t="str">
        <f>IFERROR(VLOOKUP($D89,'Piping Class'!$88:$102,MATCH(AK$1,'Piping Class'!$88:$88,0),0),"")</f>
        <v/>
      </c>
      <c r="AL89" s="991">
        <f t="shared" si="182"/>
        <v>0</v>
      </c>
      <c r="AM89" s="1119" t="str">
        <f>IFERROR(VLOOKUP($D89,'Piping Class'!$88:$102,MATCH(AM$1,'Piping Class'!$88:$88,0),0),"")</f>
        <v/>
      </c>
      <c r="AN89" s="992">
        <f t="shared" si="157"/>
        <v>0</v>
      </c>
      <c r="AO89" s="993">
        <f>IFERROR(VLOOKUP(I89&amp;"B"&amp;F89,'Bolting Chart'!$1:$1048576,4,0),0)</f>
        <v>0</v>
      </c>
      <c r="AP89" s="993">
        <f t="shared" si="158"/>
        <v>0</v>
      </c>
      <c r="AQ89" s="993">
        <f t="shared" si="159"/>
        <v>0</v>
      </c>
      <c r="AR89" s="993">
        <f>IF(AO89=0,0,VLOOKUP(D89&amp;".bolting",'Piping Class'!$1:$1048576,MATCH(I89,'Piping Class'!$2:$2,0),0))</f>
        <v>0</v>
      </c>
      <c r="AS89" s="994">
        <f>IFERROR(VLOOKUP(I89&amp;"B"&amp;F89,'Bolting Chart'!$1:$1048576,IF(AS$2="UNC",5,6),0),0)</f>
        <v>0</v>
      </c>
      <c r="AT89" s="995">
        <f>IFERROR(VLOOKUP(I89&amp;"B"&amp;F89,'Bolting Chart'!$1:$1048576,IF(G89="RF",8,9),0),0)</f>
        <v>0</v>
      </c>
      <c r="AU89" s="993">
        <f>IF(AO89=0,0,VLOOKUP(D89&amp;".gasket",'Piping Class'!$1:$1048576,MATCH(I89,'Piping Class'!$2:$2,0),0))</f>
        <v>0</v>
      </c>
      <c r="AV89" s="996">
        <f>(IFERROR(INDEX('Bolting Chart'!$A$169:$R$251,MATCH(AT89,'Bolting Chart'!$A$170:$A$251,0),MATCH(IFERROR(VLOOKUP(I89&amp;"B"&amp;F89,'Bolting Chart'!$1:$1048576,7,0),0)+0,'Bolting Chart'!$A$169:$R$169,0)),0))/100</f>
        <v>0</v>
      </c>
      <c r="AW89" s="996">
        <f t="shared" si="160"/>
        <v>0</v>
      </c>
      <c r="AX89" s="1194">
        <f t="shared" si="161"/>
        <v>0</v>
      </c>
      <c r="AY89" s="981"/>
      <c r="AZ89" s="1543">
        <f t="shared" si="176"/>
        <v>0</v>
      </c>
      <c r="BA89" s="1543">
        <f t="shared" si="176"/>
        <v>0</v>
      </c>
      <c r="BB89" s="1543">
        <f t="shared" si="176"/>
        <v>0</v>
      </c>
      <c r="BC89" s="1543">
        <f t="shared" si="176"/>
        <v>0</v>
      </c>
      <c r="BD89" s="1543">
        <f t="shared" si="176"/>
        <v>0</v>
      </c>
      <c r="BE89" s="1543">
        <f t="shared" si="176"/>
        <v>0</v>
      </c>
      <c r="BF89" s="1543">
        <f t="shared" si="176"/>
        <v>0</v>
      </c>
      <c r="BG89" s="1543">
        <f t="shared" si="176"/>
        <v>0</v>
      </c>
      <c r="BH89" s="1543">
        <f t="shared" si="176"/>
        <v>0</v>
      </c>
      <c r="BI89" s="1543">
        <f t="shared" si="176"/>
        <v>0</v>
      </c>
      <c r="BJ89" s="1543">
        <f t="shared" si="176"/>
        <v>0</v>
      </c>
      <c r="BK89" s="1543">
        <f t="shared" si="176"/>
        <v>0</v>
      </c>
      <c r="BL89" s="1543">
        <f t="shared" si="176"/>
        <v>0</v>
      </c>
      <c r="BM89" s="1543">
        <f t="shared" si="176"/>
        <v>0</v>
      </c>
      <c r="BN89" s="1543">
        <f t="shared" si="176"/>
        <v>0</v>
      </c>
      <c r="BO89" s="1543">
        <f t="shared" si="176"/>
        <v>0</v>
      </c>
      <c r="BP89" s="1543">
        <f t="shared" si="178"/>
        <v>0</v>
      </c>
      <c r="BQ89" s="1543">
        <f t="shared" si="178"/>
        <v>0</v>
      </c>
      <c r="BR89" s="1543">
        <f t="shared" si="178"/>
        <v>0</v>
      </c>
      <c r="BS89" s="1543">
        <f t="shared" si="178"/>
        <v>0</v>
      </c>
      <c r="BT89" s="1543">
        <f t="shared" si="178"/>
        <v>0</v>
      </c>
      <c r="BU89" s="1543">
        <f t="shared" si="178"/>
        <v>0</v>
      </c>
      <c r="BV89" s="1543">
        <f t="shared" si="178"/>
        <v>0</v>
      </c>
      <c r="BW89" s="1543">
        <f t="shared" si="178"/>
        <v>0</v>
      </c>
      <c r="BX89" s="1543">
        <f t="shared" si="178"/>
        <v>0</v>
      </c>
      <c r="BY89" s="1543">
        <f t="shared" si="178"/>
        <v>0</v>
      </c>
      <c r="BZ89" s="1543">
        <f t="shared" si="178"/>
        <v>0</v>
      </c>
      <c r="CB89" s="1543">
        <f t="shared" si="177"/>
        <v>0</v>
      </c>
      <c r="CC89" s="1543">
        <f t="shared" si="177"/>
        <v>0</v>
      </c>
      <c r="CD89" s="1543">
        <f t="shared" si="177"/>
        <v>0</v>
      </c>
      <c r="CE89" s="1543">
        <f t="shared" si="177"/>
        <v>0</v>
      </c>
      <c r="CF89" s="1543">
        <f t="shared" si="177"/>
        <v>0</v>
      </c>
      <c r="CG89" s="1543">
        <f t="shared" si="177"/>
        <v>0</v>
      </c>
      <c r="CH89" s="1543">
        <f t="shared" si="177"/>
        <v>0</v>
      </c>
      <c r="CI89" s="1543">
        <f t="shared" si="177"/>
        <v>0</v>
      </c>
      <c r="CJ89" s="1543">
        <f t="shared" si="177"/>
        <v>0</v>
      </c>
      <c r="CK89" s="1543">
        <f t="shared" si="177"/>
        <v>0</v>
      </c>
      <c r="CL89" s="1543">
        <f t="shared" si="177"/>
        <v>0</v>
      </c>
      <c r="CM89" s="1543">
        <f t="shared" si="177"/>
        <v>0</v>
      </c>
      <c r="CN89" s="1543">
        <f t="shared" si="177"/>
        <v>0</v>
      </c>
      <c r="CO89" s="1543">
        <f t="shared" si="177"/>
        <v>0</v>
      </c>
      <c r="CP89" s="1543">
        <f t="shared" si="177"/>
        <v>0</v>
      </c>
      <c r="CQ89" s="1543">
        <f t="shared" si="177"/>
        <v>0</v>
      </c>
      <c r="CR89" s="1543">
        <f t="shared" si="179"/>
        <v>0</v>
      </c>
      <c r="CS89" s="1543">
        <f t="shared" si="179"/>
        <v>0</v>
      </c>
      <c r="CT89" s="1543">
        <f t="shared" si="183"/>
        <v>0</v>
      </c>
      <c r="CU89" s="1543">
        <f t="shared" si="183"/>
        <v>0</v>
      </c>
      <c r="CV89" s="1543">
        <f t="shared" si="183"/>
        <v>0</v>
      </c>
      <c r="CW89" s="1543">
        <f t="shared" si="183"/>
        <v>0</v>
      </c>
      <c r="CX89" s="1543">
        <f t="shared" si="183"/>
        <v>0</v>
      </c>
      <c r="CY89" s="1543">
        <f t="shared" si="183"/>
        <v>0</v>
      </c>
      <c r="CZ89" s="1543">
        <f t="shared" si="183"/>
        <v>0</v>
      </c>
      <c r="DA89" s="1543">
        <f t="shared" si="183"/>
        <v>0</v>
      </c>
      <c r="DB89" s="1543">
        <f t="shared" si="183"/>
        <v>0</v>
      </c>
      <c r="DD89" s="1543">
        <f t="shared" si="147"/>
        <v>0</v>
      </c>
      <c r="DE89" s="1543">
        <f t="shared" si="148"/>
        <v>0</v>
      </c>
      <c r="DF89" s="1543">
        <f t="shared" si="149"/>
        <v>0</v>
      </c>
      <c r="DG89" s="1543">
        <f t="shared" si="162"/>
        <v>0</v>
      </c>
      <c r="DI89" s="1543">
        <f t="shared" si="163"/>
        <v>0</v>
      </c>
      <c r="DJ89" s="1543">
        <f t="shared" si="185"/>
        <v>0</v>
      </c>
      <c r="DK89" s="1543">
        <f t="shared" si="185"/>
        <v>0</v>
      </c>
      <c r="DL89" s="1543">
        <f t="shared" si="185"/>
        <v>0</v>
      </c>
      <c r="DM89" s="1543">
        <f t="shared" si="185"/>
        <v>0</v>
      </c>
      <c r="DO89" s="1543">
        <f t="shared" si="188"/>
        <v>0</v>
      </c>
      <c r="DP89" s="1543">
        <f t="shared" si="188"/>
        <v>0</v>
      </c>
      <c r="DQ89" s="1543">
        <f t="shared" si="188"/>
        <v>0</v>
      </c>
      <c r="DR89" s="1543">
        <f t="shared" si="188"/>
        <v>0</v>
      </c>
      <c r="DS89" s="1543">
        <f t="shared" si="188"/>
        <v>0</v>
      </c>
      <c r="DT89" s="1543">
        <f t="shared" si="188"/>
        <v>0</v>
      </c>
      <c r="DU89" s="1543">
        <f t="shared" si="188"/>
        <v>0</v>
      </c>
      <c r="DV89" s="1543">
        <f t="shared" si="188"/>
        <v>0</v>
      </c>
      <c r="DW89" s="1543">
        <f t="shared" si="188"/>
        <v>0</v>
      </c>
      <c r="DX89" s="1543">
        <f t="shared" si="188"/>
        <v>0</v>
      </c>
      <c r="DY89" s="1543">
        <f t="shared" si="188"/>
        <v>0</v>
      </c>
      <c r="DZ89" s="1543">
        <f t="shared" si="188"/>
        <v>0</v>
      </c>
      <c r="EA89" s="1543">
        <f t="shared" si="188"/>
        <v>0</v>
      </c>
      <c r="EB89" s="1543">
        <f t="shared" si="180"/>
        <v>0</v>
      </c>
      <c r="EC89" s="1543">
        <f t="shared" si="180"/>
        <v>0</v>
      </c>
      <c r="ED89" s="1543">
        <f t="shared" si="180"/>
        <v>0</v>
      </c>
      <c r="EE89" s="1543">
        <f t="shared" si="180"/>
        <v>0</v>
      </c>
      <c r="EF89" s="1543">
        <f t="shared" si="180"/>
        <v>0</v>
      </c>
      <c r="EH89" s="1543">
        <f t="shared" si="165"/>
        <v>0</v>
      </c>
      <c r="EI89" s="1543">
        <f t="shared" si="166"/>
        <v>0</v>
      </c>
      <c r="EJ89" s="1543">
        <f t="shared" si="167"/>
        <v>0</v>
      </c>
      <c r="EK89" s="1543">
        <f t="shared" si="168"/>
        <v>0</v>
      </c>
      <c r="EL89" s="1543">
        <f t="shared" si="169"/>
        <v>0</v>
      </c>
      <c r="EM89" s="1543">
        <f t="shared" si="170"/>
        <v>0</v>
      </c>
      <c r="EN89" s="1543">
        <f t="shared" si="171"/>
        <v>0</v>
      </c>
      <c r="EP89" s="1543">
        <f t="shared" si="72"/>
        <v>0</v>
      </c>
      <c r="EQ89" s="1543">
        <f t="shared" si="72"/>
        <v>0</v>
      </c>
      <c r="ER89" s="1543">
        <f t="shared" si="72"/>
        <v>0</v>
      </c>
      <c r="ES89" s="1543">
        <f t="shared" si="72"/>
        <v>0</v>
      </c>
      <c r="ET89" s="1543">
        <f t="shared" si="181"/>
        <v>0</v>
      </c>
      <c r="EU89" s="1543">
        <f t="shared" si="181"/>
        <v>0</v>
      </c>
      <c r="EV89" s="1543">
        <f t="shared" si="181"/>
        <v>0</v>
      </c>
      <c r="EW89" s="1543">
        <f t="shared" si="181"/>
        <v>0</v>
      </c>
      <c r="EX89" s="1543">
        <f t="shared" si="181"/>
        <v>0</v>
      </c>
      <c r="EY89" s="1543">
        <f t="shared" si="181"/>
        <v>0</v>
      </c>
      <c r="EZ89" s="1543">
        <f t="shared" si="181"/>
        <v>0</v>
      </c>
      <c r="FA89" s="1543">
        <f t="shared" si="181"/>
        <v>0</v>
      </c>
      <c r="FB89" s="1543">
        <f t="shared" si="181"/>
        <v>0</v>
      </c>
      <c r="FC89" s="1543">
        <f t="shared" si="181"/>
        <v>0</v>
      </c>
      <c r="FD89" s="1543">
        <f t="shared" si="181"/>
        <v>0</v>
      </c>
      <c r="FE89" s="1543">
        <f t="shared" si="184"/>
        <v>0</v>
      </c>
      <c r="FF89" s="1543">
        <f t="shared" si="172"/>
        <v>1</v>
      </c>
      <c r="FH89" s="1543">
        <f t="shared" si="186"/>
        <v>0</v>
      </c>
      <c r="FI89" s="1543">
        <f t="shared" si="186"/>
        <v>0</v>
      </c>
      <c r="FJ89" s="1543">
        <f t="shared" si="186"/>
        <v>0</v>
      </c>
      <c r="FK89" s="1543">
        <f t="shared" si="186"/>
        <v>0</v>
      </c>
      <c r="FL89" s="1543">
        <f t="shared" si="186"/>
        <v>0</v>
      </c>
      <c r="FM89" s="1543">
        <f t="shared" si="186"/>
        <v>0</v>
      </c>
      <c r="FN89" s="1543">
        <f t="shared" si="186"/>
        <v>0</v>
      </c>
      <c r="FO89" s="1543">
        <f t="shared" si="186"/>
        <v>0</v>
      </c>
      <c r="FP89" s="1543">
        <f t="shared" si="186"/>
        <v>0</v>
      </c>
      <c r="FQ89" s="1543">
        <f t="shared" si="186"/>
        <v>0</v>
      </c>
      <c r="FR89" s="1543">
        <f t="shared" si="186"/>
        <v>0</v>
      </c>
      <c r="FS89" s="1543">
        <f t="shared" si="186"/>
        <v>0</v>
      </c>
      <c r="FT89" s="1543">
        <f t="shared" si="174"/>
        <v>0</v>
      </c>
      <c r="FV89" s="1543">
        <f t="shared" si="187"/>
        <v>1</v>
      </c>
      <c r="FW89" s="1543">
        <f t="shared" si="187"/>
        <v>0</v>
      </c>
      <c r="FX89" s="1543">
        <f t="shared" si="187"/>
        <v>0</v>
      </c>
      <c r="FY89" s="1543">
        <f t="shared" si="187"/>
        <v>0</v>
      </c>
      <c r="FZ89" s="1543">
        <f t="shared" si="187"/>
        <v>0</v>
      </c>
      <c r="GA89" s="1543">
        <f t="shared" si="187"/>
        <v>0</v>
      </c>
      <c r="GB89" s="1543">
        <f t="shared" si="187"/>
        <v>0</v>
      </c>
      <c r="GC89" s="1543">
        <f t="shared" si="187"/>
        <v>0</v>
      </c>
      <c r="GD89" s="1543">
        <f t="shared" si="187"/>
        <v>0</v>
      </c>
    </row>
    <row r="90" spans="1:186" s="982" customFormat="1" ht="15.6" x14ac:dyDescent="0.3">
      <c r="A90" s="974">
        <v>88</v>
      </c>
      <c r="B90" s="983"/>
      <c r="C90" s="984"/>
      <c r="D90" s="983"/>
      <c r="E90" s="968" t="str">
        <f>IFERROR(VLOOKUP($D90&amp;"."&amp;B90,'Piping Class'!$1:$1048576,MATCH($I90,'Piping Class'!$2:$2,0),0),"")</f>
        <v/>
      </c>
      <c r="F90" s="985" t="str">
        <f>IFERROR(IF(B90="Flange",VLOOKUP($D90,'Piping Class'!$88:$102,MATCH(F$1,'Piping Class'!$88:$88,0),0),""),"")</f>
        <v/>
      </c>
      <c r="G90" s="968" t="str">
        <f>IFERROR(IF(B90="Flange",VLOOKUP($D90,'Piping Class'!$88:$102,MATCH(G$1,'Piping Class'!$88:$88,0),0),""),"")</f>
        <v/>
      </c>
      <c r="H90" s="968" t="str">
        <f>IFERROR(VLOOKUP($D90,'Piping Class'!$88:$102,MATCH(H$1,'Piping Class'!$88:$88,0),0),"")</f>
        <v/>
      </c>
      <c r="I90" s="986"/>
      <c r="J90" s="987"/>
      <c r="K90" s="968" t="str">
        <f>IFERROR(VLOOKUP(I90,'Thickness Tab'!$1:$1048576,MATCH(L90,'Thickness Tab'!$1:$1,0),0),"")</f>
        <v/>
      </c>
      <c r="L90" s="969" t="str">
        <f>IFERROR(VLOOKUP($D90,'Piping Class'!$1:$1048576,MATCH($I90,'Piping Class'!$2:$2,0),0),"")</f>
        <v/>
      </c>
      <c r="M90" s="968" t="str">
        <f>IFERROR(VLOOKUP(J90,'Thickness Tab'!$1:$1048576,MATCH(N90,'Thickness Tab'!$1:$1,0),0),"")</f>
        <v/>
      </c>
      <c r="N90" s="969" t="str">
        <f>IFERROR(VLOOKUP($D90,'Piping Class'!$1:$1048576,MATCH($J90,'Piping Class'!$2:$2,0),0),"")</f>
        <v/>
      </c>
      <c r="O90" s="968" t="str">
        <f>IFERROR(VLOOKUP($D90,'Piping Class'!$88:$102,MATCH(O$1,'Piping Class'!$88:$88,0),0),"")</f>
        <v/>
      </c>
      <c r="P90" s="968" t="str">
        <f>IFERROR(VLOOKUP($D90,'Piping Class'!$88:$102,MATCH(P$1,'Piping Class'!$88:$88,0),0),"")</f>
        <v/>
      </c>
      <c r="Q90" s="983"/>
      <c r="R90" s="988"/>
      <c r="S90" s="969" t="str">
        <f t="shared" si="150"/>
        <v/>
      </c>
      <c r="T90" s="968">
        <f>IFERROR(VLOOKUP(I90&amp;"."&amp;L90,'Fitting Chart'!$1:$1048576,MATCH(C90,'Fitting Chart'!$1:$1,0),0),0)+IF(B90="piping",PI()*K90*(VLOOKUP(I90,'Thickness Tab'!$1:$1048576,3,0)-K90)*7.86/1000,0)+IF(B90="Flange",VLOOKUP(I90&amp;"F"&amp;F90,'Flanges Chart'!$1:$1048576,MATCH(C90&amp;"."&amp;T$1,'Flanges Chart'!$1:$1,0),0),0)</f>
        <v>0</v>
      </c>
      <c r="U90" s="989">
        <f t="shared" si="151"/>
        <v>0</v>
      </c>
      <c r="V90" s="1003"/>
      <c r="W90" s="1001">
        <f t="shared" si="152"/>
        <v>0</v>
      </c>
      <c r="X90" s="997"/>
      <c r="Y90" s="983"/>
      <c r="Z90" s="989">
        <f>IF(B90="Piping",VLOOKUP(I90,'Thickness Tab'!$1:$1048576,3,0)/1000*PI(),0)+IFERROR(VLOOKUP(I90&amp;"F"&amp;F90,'Flanges Chart'!$1:$1048576,MATCH(C90&amp;".Unit Surface",'Flanges Chart'!$1:$1,0),0),0)+IF(B90="Fitting",VLOOKUP(I90,'Thickness Tab'!$1:$1048576,3,0)/1000*PI(),0)</f>
        <v>0</v>
      </c>
      <c r="AA90" s="989">
        <f t="shared" si="153"/>
        <v>0</v>
      </c>
      <c r="AB90" s="983">
        <v>0</v>
      </c>
      <c r="AC90" s="989">
        <f t="shared" si="154"/>
        <v>0</v>
      </c>
      <c r="AD90" s="989">
        <f t="shared" si="155"/>
        <v>0</v>
      </c>
      <c r="AE90" s="974">
        <f>(IFERROR(VLOOKUP($C90,List!$J:$L,2,0),0)*R90+IF(B90="piping",R90,0)+IF(C90="Welding Neck",1,0)*R90)*$AE$2</f>
        <v>0</v>
      </c>
      <c r="AF90" s="970">
        <f>IFERROR(VLOOKUP($C90,List!$J:$L,3,0),0)*R90*$AF$2</f>
        <v>0</v>
      </c>
      <c r="AG90" s="990">
        <f t="shared" si="156"/>
        <v>0</v>
      </c>
      <c r="AH90" s="1118" t="str">
        <f>IFERROR(VLOOKUP($D90,'Piping Class'!$88:$102,MATCH(AH$1,'Piping Class'!$88:$88,0),0),"")</f>
        <v/>
      </c>
      <c r="AI90" s="991" t="str">
        <f>IFERROR(VLOOKUP($D90,'Piping Class'!$88:$102,MATCH(AI$1,'Piping Class'!$88:$88,0),0),"")</f>
        <v/>
      </c>
      <c r="AJ90" s="991" t="str">
        <f>IFERROR(VLOOKUP($D90,'Piping Class'!$88:$102,MATCH(AJ$1,'Piping Class'!$88:$88,0),0),"")</f>
        <v/>
      </c>
      <c r="AK90" s="991" t="str">
        <f>IFERROR(VLOOKUP($D90,'Piping Class'!$88:$102,MATCH(AK$1,'Piping Class'!$88:$88,0),0),"")</f>
        <v/>
      </c>
      <c r="AL90" s="991">
        <f t="shared" si="182"/>
        <v>0</v>
      </c>
      <c r="AM90" s="1119" t="str">
        <f>IFERROR(VLOOKUP($D90,'Piping Class'!$88:$102,MATCH(AM$1,'Piping Class'!$88:$88,0),0),"")</f>
        <v/>
      </c>
      <c r="AN90" s="992">
        <f t="shared" si="157"/>
        <v>0</v>
      </c>
      <c r="AO90" s="993">
        <f>IFERROR(VLOOKUP(I90&amp;"B"&amp;F90,'Bolting Chart'!$1:$1048576,4,0),0)</f>
        <v>0</v>
      </c>
      <c r="AP90" s="993">
        <f t="shared" si="158"/>
        <v>0</v>
      </c>
      <c r="AQ90" s="993">
        <f t="shared" si="159"/>
        <v>0</v>
      </c>
      <c r="AR90" s="993">
        <f>IF(AO90=0,0,VLOOKUP(D90&amp;".bolting",'Piping Class'!$1:$1048576,MATCH(I90,'Piping Class'!$2:$2,0),0))</f>
        <v>0</v>
      </c>
      <c r="AS90" s="994">
        <f>IFERROR(VLOOKUP(I90&amp;"B"&amp;F90,'Bolting Chart'!$1:$1048576,IF(AS$2="UNC",5,6),0),0)</f>
        <v>0</v>
      </c>
      <c r="AT90" s="995">
        <f>IFERROR(VLOOKUP(I90&amp;"B"&amp;F90,'Bolting Chart'!$1:$1048576,IF(G90="RF",8,9),0),0)</f>
        <v>0</v>
      </c>
      <c r="AU90" s="993">
        <f>IF(AO90=0,0,VLOOKUP(D90&amp;".gasket",'Piping Class'!$1:$1048576,MATCH(I90,'Piping Class'!$2:$2,0),0))</f>
        <v>0</v>
      </c>
      <c r="AV90" s="996">
        <f>(IFERROR(INDEX('Bolting Chart'!$A$169:$R$251,MATCH(AT90,'Bolting Chart'!$A$170:$A$251,0),MATCH(IFERROR(VLOOKUP(I90&amp;"B"&amp;F90,'Bolting Chart'!$1:$1048576,7,0),0)+0,'Bolting Chart'!$A$169:$R$169,0)),0))/100</f>
        <v>0</v>
      </c>
      <c r="AW90" s="996">
        <f t="shared" si="160"/>
        <v>0</v>
      </c>
      <c r="AX90" s="1194">
        <f t="shared" si="161"/>
        <v>0</v>
      </c>
      <c r="AY90" s="981"/>
      <c r="AZ90" s="1543">
        <f t="shared" si="176"/>
        <v>0</v>
      </c>
      <c r="BA90" s="1543">
        <f t="shared" si="176"/>
        <v>0</v>
      </c>
      <c r="BB90" s="1543">
        <f t="shared" si="176"/>
        <v>0</v>
      </c>
      <c r="BC90" s="1543">
        <f t="shared" si="176"/>
        <v>0</v>
      </c>
      <c r="BD90" s="1543">
        <f t="shared" si="176"/>
        <v>0</v>
      </c>
      <c r="BE90" s="1543">
        <f t="shared" si="176"/>
        <v>0</v>
      </c>
      <c r="BF90" s="1543">
        <f t="shared" si="176"/>
        <v>0</v>
      </c>
      <c r="BG90" s="1543">
        <f t="shared" si="176"/>
        <v>0</v>
      </c>
      <c r="BH90" s="1543">
        <f t="shared" si="176"/>
        <v>0</v>
      </c>
      <c r="BI90" s="1543">
        <f t="shared" si="176"/>
        <v>0</v>
      </c>
      <c r="BJ90" s="1543">
        <f t="shared" si="176"/>
        <v>0</v>
      </c>
      <c r="BK90" s="1543">
        <f t="shared" si="176"/>
        <v>0</v>
      </c>
      <c r="BL90" s="1543">
        <f t="shared" si="176"/>
        <v>0</v>
      </c>
      <c r="BM90" s="1543">
        <f t="shared" si="176"/>
        <v>0</v>
      </c>
      <c r="BN90" s="1543">
        <f t="shared" si="176"/>
        <v>0</v>
      </c>
      <c r="BO90" s="1543">
        <f t="shared" si="176"/>
        <v>0</v>
      </c>
      <c r="BP90" s="1543">
        <f t="shared" si="178"/>
        <v>0</v>
      </c>
      <c r="BQ90" s="1543">
        <f t="shared" si="178"/>
        <v>0</v>
      </c>
      <c r="BR90" s="1543">
        <f t="shared" si="178"/>
        <v>0</v>
      </c>
      <c r="BS90" s="1543">
        <f t="shared" si="178"/>
        <v>0</v>
      </c>
      <c r="BT90" s="1543">
        <f t="shared" si="178"/>
        <v>0</v>
      </c>
      <c r="BU90" s="1543">
        <f t="shared" si="178"/>
        <v>0</v>
      </c>
      <c r="BV90" s="1543">
        <f t="shared" si="178"/>
        <v>0</v>
      </c>
      <c r="BW90" s="1543">
        <f t="shared" si="178"/>
        <v>0</v>
      </c>
      <c r="BX90" s="1543">
        <f t="shared" si="178"/>
        <v>0</v>
      </c>
      <c r="BY90" s="1543">
        <f t="shared" si="178"/>
        <v>0</v>
      </c>
      <c r="BZ90" s="1543">
        <f t="shared" si="178"/>
        <v>0</v>
      </c>
      <c r="CB90" s="1543">
        <f t="shared" si="177"/>
        <v>0</v>
      </c>
      <c r="CC90" s="1543">
        <f t="shared" si="177"/>
        <v>0</v>
      </c>
      <c r="CD90" s="1543">
        <f t="shared" si="177"/>
        <v>0</v>
      </c>
      <c r="CE90" s="1543">
        <f t="shared" si="177"/>
        <v>0</v>
      </c>
      <c r="CF90" s="1543">
        <f t="shared" si="177"/>
        <v>0</v>
      </c>
      <c r="CG90" s="1543">
        <f t="shared" si="177"/>
        <v>0</v>
      </c>
      <c r="CH90" s="1543">
        <f t="shared" si="177"/>
        <v>0</v>
      </c>
      <c r="CI90" s="1543">
        <f t="shared" si="177"/>
        <v>0</v>
      </c>
      <c r="CJ90" s="1543">
        <f t="shared" si="177"/>
        <v>0</v>
      </c>
      <c r="CK90" s="1543">
        <f t="shared" si="177"/>
        <v>0</v>
      </c>
      <c r="CL90" s="1543">
        <f t="shared" si="177"/>
        <v>0</v>
      </c>
      <c r="CM90" s="1543">
        <f t="shared" si="177"/>
        <v>0</v>
      </c>
      <c r="CN90" s="1543">
        <f t="shared" si="177"/>
        <v>0</v>
      </c>
      <c r="CO90" s="1543">
        <f t="shared" si="177"/>
        <v>0</v>
      </c>
      <c r="CP90" s="1543">
        <f t="shared" si="177"/>
        <v>0</v>
      </c>
      <c r="CQ90" s="1543">
        <f t="shared" si="177"/>
        <v>0</v>
      </c>
      <c r="CR90" s="1543">
        <f t="shared" si="179"/>
        <v>0</v>
      </c>
      <c r="CS90" s="1543">
        <f t="shared" si="179"/>
        <v>0</v>
      </c>
      <c r="CT90" s="1543">
        <f t="shared" si="183"/>
        <v>0</v>
      </c>
      <c r="CU90" s="1543">
        <f t="shared" si="183"/>
        <v>0</v>
      </c>
      <c r="CV90" s="1543">
        <f t="shared" si="183"/>
        <v>0</v>
      </c>
      <c r="CW90" s="1543">
        <f t="shared" si="183"/>
        <v>0</v>
      </c>
      <c r="CX90" s="1543">
        <f t="shared" si="183"/>
        <v>0</v>
      </c>
      <c r="CY90" s="1543">
        <f t="shared" si="183"/>
        <v>0</v>
      </c>
      <c r="CZ90" s="1543">
        <f t="shared" si="183"/>
        <v>0</v>
      </c>
      <c r="DA90" s="1543">
        <f t="shared" si="183"/>
        <v>0</v>
      </c>
      <c r="DB90" s="1543">
        <f t="shared" si="183"/>
        <v>0</v>
      </c>
      <c r="DD90" s="1543">
        <f t="shared" si="147"/>
        <v>0</v>
      </c>
      <c r="DE90" s="1543">
        <f t="shared" si="148"/>
        <v>0</v>
      </c>
      <c r="DF90" s="1543">
        <f t="shared" si="149"/>
        <v>0</v>
      </c>
      <c r="DG90" s="1543">
        <f t="shared" si="162"/>
        <v>0</v>
      </c>
      <c r="DI90" s="1543">
        <f t="shared" si="163"/>
        <v>0</v>
      </c>
      <c r="DJ90" s="1543">
        <f t="shared" si="185"/>
        <v>0</v>
      </c>
      <c r="DK90" s="1543">
        <f t="shared" si="185"/>
        <v>0</v>
      </c>
      <c r="DL90" s="1543">
        <f t="shared" si="185"/>
        <v>0</v>
      </c>
      <c r="DM90" s="1543">
        <f t="shared" si="185"/>
        <v>0</v>
      </c>
      <c r="DO90" s="1543">
        <f t="shared" si="188"/>
        <v>0</v>
      </c>
      <c r="DP90" s="1543">
        <f t="shared" si="188"/>
        <v>0</v>
      </c>
      <c r="DQ90" s="1543">
        <f t="shared" si="188"/>
        <v>0</v>
      </c>
      <c r="DR90" s="1543">
        <f t="shared" si="188"/>
        <v>0</v>
      </c>
      <c r="DS90" s="1543">
        <f t="shared" si="188"/>
        <v>0</v>
      </c>
      <c r="DT90" s="1543">
        <f t="shared" si="188"/>
        <v>0</v>
      </c>
      <c r="DU90" s="1543">
        <f t="shared" si="188"/>
        <v>0</v>
      </c>
      <c r="DV90" s="1543">
        <f t="shared" si="188"/>
        <v>0</v>
      </c>
      <c r="DW90" s="1543">
        <f t="shared" si="188"/>
        <v>0</v>
      </c>
      <c r="DX90" s="1543">
        <f t="shared" si="188"/>
        <v>0</v>
      </c>
      <c r="DY90" s="1543">
        <f t="shared" si="188"/>
        <v>0</v>
      </c>
      <c r="DZ90" s="1543">
        <f t="shared" si="188"/>
        <v>0</v>
      </c>
      <c r="EA90" s="1543">
        <f t="shared" si="188"/>
        <v>0</v>
      </c>
      <c r="EB90" s="1543">
        <f t="shared" si="180"/>
        <v>0</v>
      </c>
      <c r="EC90" s="1543">
        <f t="shared" si="180"/>
        <v>0</v>
      </c>
      <c r="ED90" s="1543">
        <f t="shared" si="180"/>
        <v>0</v>
      </c>
      <c r="EE90" s="1543">
        <f t="shared" si="180"/>
        <v>0</v>
      </c>
      <c r="EF90" s="1543">
        <f t="shared" si="180"/>
        <v>0</v>
      </c>
      <c r="EH90" s="1543">
        <f t="shared" si="165"/>
        <v>0</v>
      </c>
      <c r="EI90" s="1543">
        <f t="shared" si="166"/>
        <v>0</v>
      </c>
      <c r="EJ90" s="1543">
        <f t="shared" si="167"/>
        <v>0</v>
      </c>
      <c r="EK90" s="1543">
        <f t="shared" si="168"/>
        <v>0</v>
      </c>
      <c r="EL90" s="1543">
        <f t="shared" si="169"/>
        <v>0</v>
      </c>
      <c r="EM90" s="1543">
        <f t="shared" si="170"/>
        <v>0</v>
      </c>
      <c r="EN90" s="1543">
        <f t="shared" si="171"/>
        <v>0</v>
      </c>
      <c r="EP90" s="1543">
        <f t="shared" si="72"/>
        <v>0</v>
      </c>
      <c r="EQ90" s="1543">
        <f t="shared" si="72"/>
        <v>0</v>
      </c>
      <c r="ER90" s="1543">
        <f t="shared" si="72"/>
        <v>0</v>
      </c>
      <c r="ES90" s="1543">
        <f t="shared" si="72"/>
        <v>0</v>
      </c>
      <c r="ET90" s="1543">
        <f t="shared" si="181"/>
        <v>0</v>
      </c>
      <c r="EU90" s="1543">
        <f t="shared" si="181"/>
        <v>0</v>
      </c>
      <c r="EV90" s="1543">
        <f t="shared" si="181"/>
        <v>0</v>
      </c>
      <c r="EW90" s="1543">
        <f t="shared" si="181"/>
        <v>0</v>
      </c>
      <c r="EX90" s="1543">
        <f t="shared" si="181"/>
        <v>0</v>
      </c>
      <c r="EY90" s="1543">
        <f t="shared" si="181"/>
        <v>0</v>
      </c>
      <c r="EZ90" s="1543">
        <f t="shared" si="181"/>
        <v>0</v>
      </c>
      <c r="FA90" s="1543">
        <f t="shared" si="181"/>
        <v>0</v>
      </c>
      <c r="FB90" s="1543">
        <f t="shared" si="181"/>
        <v>0</v>
      </c>
      <c r="FC90" s="1543">
        <f t="shared" si="181"/>
        <v>0</v>
      </c>
      <c r="FD90" s="1543">
        <f t="shared" si="181"/>
        <v>0</v>
      </c>
      <c r="FE90" s="1543">
        <f t="shared" si="184"/>
        <v>0</v>
      </c>
      <c r="FF90" s="1543">
        <f t="shared" si="172"/>
        <v>1</v>
      </c>
      <c r="FH90" s="1543">
        <f t="shared" si="186"/>
        <v>0</v>
      </c>
      <c r="FI90" s="1543">
        <f t="shared" si="186"/>
        <v>0</v>
      </c>
      <c r="FJ90" s="1543">
        <f t="shared" si="186"/>
        <v>0</v>
      </c>
      <c r="FK90" s="1543">
        <f t="shared" si="186"/>
        <v>0</v>
      </c>
      <c r="FL90" s="1543">
        <f t="shared" si="186"/>
        <v>0</v>
      </c>
      <c r="FM90" s="1543">
        <f t="shared" si="186"/>
        <v>0</v>
      </c>
      <c r="FN90" s="1543">
        <f t="shared" si="186"/>
        <v>0</v>
      </c>
      <c r="FO90" s="1543">
        <f t="shared" si="186"/>
        <v>0</v>
      </c>
      <c r="FP90" s="1543">
        <f t="shared" si="186"/>
        <v>0</v>
      </c>
      <c r="FQ90" s="1543">
        <f t="shared" si="186"/>
        <v>0</v>
      </c>
      <c r="FR90" s="1543">
        <f t="shared" si="186"/>
        <v>0</v>
      </c>
      <c r="FS90" s="1543">
        <f t="shared" si="186"/>
        <v>0</v>
      </c>
      <c r="FT90" s="1543">
        <f t="shared" si="174"/>
        <v>0</v>
      </c>
      <c r="FV90" s="1543">
        <f t="shared" si="187"/>
        <v>1</v>
      </c>
      <c r="FW90" s="1543">
        <f t="shared" si="187"/>
        <v>0</v>
      </c>
      <c r="FX90" s="1543">
        <f t="shared" si="187"/>
        <v>0</v>
      </c>
      <c r="FY90" s="1543">
        <f t="shared" si="187"/>
        <v>0</v>
      </c>
      <c r="FZ90" s="1543">
        <f t="shared" si="187"/>
        <v>0</v>
      </c>
      <c r="GA90" s="1543">
        <f t="shared" si="187"/>
        <v>0</v>
      </c>
      <c r="GB90" s="1543">
        <f t="shared" si="187"/>
        <v>0</v>
      </c>
      <c r="GC90" s="1543">
        <f t="shared" si="187"/>
        <v>0</v>
      </c>
      <c r="GD90" s="1543">
        <f t="shared" si="187"/>
        <v>0</v>
      </c>
    </row>
    <row r="91" spans="1:186" s="982" customFormat="1" ht="15.6" x14ac:dyDescent="0.3">
      <c r="A91" s="974">
        <v>89</v>
      </c>
      <c r="B91" s="983"/>
      <c r="C91" s="984"/>
      <c r="D91" s="983"/>
      <c r="E91" s="968" t="str">
        <f>IFERROR(VLOOKUP($D91&amp;"."&amp;B91,'Piping Class'!$1:$1048576,MATCH($I91,'Piping Class'!$2:$2,0),0),"")</f>
        <v/>
      </c>
      <c r="F91" s="985" t="str">
        <f>IFERROR(IF(B91="Flange",VLOOKUP($D91,'Piping Class'!$88:$102,MATCH(F$1,'Piping Class'!$88:$88,0),0),""),"")</f>
        <v/>
      </c>
      <c r="G91" s="968" t="str">
        <f>IFERROR(IF(B91="Flange",VLOOKUP($D91,'Piping Class'!$88:$102,MATCH(G$1,'Piping Class'!$88:$88,0),0),""),"")</f>
        <v/>
      </c>
      <c r="H91" s="968" t="str">
        <f>IFERROR(VLOOKUP($D91,'Piping Class'!$88:$102,MATCH(H$1,'Piping Class'!$88:$88,0),0),"")</f>
        <v/>
      </c>
      <c r="I91" s="986"/>
      <c r="J91" s="987"/>
      <c r="K91" s="968" t="str">
        <f>IFERROR(VLOOKUP(I91,'Thickness Tab'!$1:$1048576,MATCH(L91,'Thickness Tab'!$1:$1,0),0),"")</f>
        <v/>
      </c>
      <c r="L91" s="969" t="str">
        <f>IFERROR(VLOOKUP($D91,'Piping Class'!$1:$1048576,MATCH($I91,'Piping Class'!$2:$2,0),0),"")</f>
        <v/>
      </c>
      <c r="M91" s="968" t="str">
        <f>IFERROR(VLOOKUP(J91,'Thickness Tab'!$1:$1048576,MATCH(N91,'Thickness Tab'!$1:$1,0),0),"")</f>
        <v/>
      </c>
      <c r="N91" s="969" t="str">
        <f>IFERROR(VLOOKUP($D91,'Piping Class'!$1:$1048576,MATCH($J91,'Piping Class'!$2:$2,0),0),"")</f>
        <v/>
      </c>
      <c r="O91" s="968" t="str">
        <f>IFERROR(VLOOKUP($D91,'Piping Class'!$88:$102,MATCH(O$1,'Piping Class'!$88:$88,0),0),"")</f>
        <v/>
      </c>
      <c r="P91" s="968" t="str">
        <f>IFERROR(VLOOKUP($D91,'Piping Class'!$88:$102,MATCH(P$1,'Piping Class'!$88:$88,0),0),"")</f>
        <v/>
      </c>
      <c r="Q91" s="983"/>
      <c r="R91" s="988"/>
      <c r="S91" s="969" t="str">
        <f t="shared" si="150"/>
        <v/>
      </c>
      <c r="T91" s="968">
        <f>IFERROR(VLOOKUP(I91&amp;"."&amp;L91,'Fitting Chart'!$1:$1048576,MATCH(C91,'Fitting Chart'!$1:$1,0),0),0)+IF(B91="piping",PI()*K91*(VLOOKUP(I91,'Thickness Tab'!$1:$1048576,3,0)-K91)*7.86/1000,0)+IF(B91="Flange",VLOOKUP(I91&amp;"F"&amp;F91,'Flanges Chart'!$1:$1048576,MATCH(C91&amp;"."&amp;T$1,'Flanges Chart'!$1:$1,0),0),0)</f>
        <v>0</v>
      </c>
      <c r="U91" s="989">
        <f t="shared" si="151"/>
        <v>0</v>
      </c>
      <c r="V91" s="1003"/>
      <c r="W91" s="1001">
        <f t="shared" si="152"/>
        <v>0</v>
      </c>
      <c r="X91" s="997"/>
      <c r="Y91" s="983"/>
      <c r="Z91" s="989">
        <f>IF(B91="Piping",VLOOKUP(I91,'Thickness Tab'!$1:$1048576,3,0)/1000*PI(),0)+IFERROR(VLOOKUP(I91&amp;"F"&amp;F91,'Flanges Chart'!$1:$1048576,MATCH(C91&amp;".Unit Surface",'Flanges Chart'!$1:$1,0),0),0)+IF(B91="Fitting",VLOOKUP(I91,'Thickness Tab'!$1:$1048576,3,0)/1000*PI(),0)</f>
        <v>0</v>
      </c>
      <c r="AA91" s="989">
        <f t="shared" si="153"/>
        <v>0</v>
      </c>
      <c r="AB91" s="983">
        <v>0</v>
      </c>
      <c r="AC91" s="989">
        <f t="shared" si="154"/>
        <v>0</v>
      </c>
      <c r="AD91" s="989">
        <f t="shared" si="155"/>
        <v>0</v>
      </c>
      <c r="AE91" s="974">
        <f>(IFERROR(VLOOKUP($C91,List!$J:$L,2,0),0)*R91+IF(B91="piping",R91,0)+IF(C91="Welding Neck",1,0)*R91)*$AE$2</f>
        <v>0</v>
      </c>
      <c r="AF91" s="970">
        <f>IFERROR(VLOOKUP($C91,List!$J:$L,3,0),0)*R91*$AF$2</f>
        <v>0</v>
      </c>
      <c r="AG91" s="990">
        <f t="shared" si="156"/>
        <v>0</v>
      </c>
      <c r="AH91" s="1118" t="str">
        <f>IFERROR(VLOOKUP($D91,'Piping Class'!$88:$102,MATCH(AH$1,'Piping Class'!$88:$88,0),0),"")</f>
        <v/>
      </c>
      <c r="AI91" s="991" t="str">
        <f>IFERROR(VLOOKUP($D91,'Piping Class'!$88:$102,MATCH(AI$1,'Piping Class'!$88:$88,0),0),"")</f>
        <v/>
      </c>
      <c r="AJ91" s="991" t="str">
        <f>IFERROR(VLOOKUP($D91,'Piping Class'!$88:$102,MATCH(AJ$1,'Piping Class'!$88:$88,0),0),"")</f>
        <v/>
      </c>
      <c r="AK91" s="991" t="str">
        <f>IFERROR(VLOOKUP($D91,'Piping Class'!$88:$102,MATCH(AK$1,'Piping Class'!$88:$88,0),0),"")</f>
        <v/>
      </c>
      <c r="AL91" s="991">
        <f t="shared" si="182"/>
        <v>0</v>
      </c>
      <c r="AM91" s="1119" t="str">
        <f>IFERROR(VLOOKUP($D91,'Piping Class'!$88:$102,MATCH(AM$1,'Piping Class'!$88:$88,0),0),"")</f>
        <v/>
      </c>
      <c r="AN91" s="992">
        <f t="shared" si="157"/>
        <v>0</v>
      </c>
      <c r="AO91" s="993">
        <f>IFERROR(VLOOKUP(I91&amp;"B"&amp;F91,'Bolting Chart'!$1:$1048576,4,0),0)</f>
        <v>0</v>
      </c>
      <c r="AP91" s="993">
        <f t="shared" si="158"/>
        <v>0</v>
      </c>
      <c r="AQ91" s="993">
        <f t="shared" si="159"/>
        <v>0</v>
      </c>
      <c r="AR91" s="993">
        <f>IF(AO91=0,0,VLOOKUP(D91&amp;".bolting",'Piping Class'!$1:$1048576,MATCH(I91,'Piping Class'!$2:$2,0),0))</f>
        <v>0</v>
      </c>
      <c r="AS91" s="994">
        <f>IFERROR(VLOOKUP(I91&amp;"B"&amp;F91,'Bolting Chart'!$1:$1048576,IF(AS$2="UNC",5,6),0),0)</f>
        <v>0</v>
      </c>
      <c r="AT91" s="995">
        <f>IFERROR(VLOOKUP(I91&amp;"B"&amp;F91,'Bolting Chart'!$1:$1048576,IF(G91="RF",8,9),0),0)</f>
        <v>0</v>
      </c>
      <c r="AU91" s="993">
        <f>IF(AO91=0,0,VLOOKUP(D91&amp;".gasket",'Piping Class'!$1:$1048576,MATCH(I91,'Piping Class'!$2:$2,0),0))</f>
        <v>0</v>
      </c>
      <c r="AV91" s="996">
        <f>(IFERROR(INDEX('Bolting Chart'!$A$169:$R$251,MATCH(AT91,'Bolting Chart'!$A$170:$A$251,0),MATCH(IFERROR(VLOOKUP(I91&amp;"B"&amp;F91,'Bolting Chart'!$1:$1048576,7,0),0)+0,'Bolting Chart'!$A$169:$R$169,0)),0))/100</f>
        <v>0</v>
      </c>
      <c r="AW91" s="996">
        <f t="shared" si="160"/>
        <v>0</v>
      </c>
      <c r="AX91" s="1194">
        <f t="shared" si="161"/>
        <v>0</v>
      </c>
      <c r="AY91" s="981"/>
      <c r="AZ91" s="1543">
        <f t="shared" si="176"/>
        <v>0</v>
      </c>
      <c r="BA91" s="1543">
        <f t="shared" si="176"/>
        <v>0</v>
      </c>
      <c r="BB91" s="1543">
        <f t="shared" si="176"/>
        <v>0</v>
      </c>
      <c r="BC91" s="1543">
        <f t="shared" si="176"/>
        <v>0</v>
      </c>
      <c r="BD91" s="1543">
        <f t="shared" si="176"/>
        <v>0</v>
      </c>
      <c r="BE91" s="1543">
        <f t="shared" si="176"/>
        <v>0</v>
      </c>
      <c r="BF91" s="1543">
        <f t="shared" si="176"/>
        <v>0</v>
      </c>
      <c r="BG91" s="1543">
        <f t="shared" si="176"/>
        <v>0</v>
      </c>
      <c r="BH91" s="1543">
        <f t="shared" si="176"/>
        <v>0</v>
      </c>
      <c r="BI91" s="1543">
        <f t="shared" si="176"/>
        <v>0</v>
      </c>
      <c r="BJ91" s="1543">
        <f t="shared" si="176"/>
        <v>0</v>
      </c>
      <c r="BK91" s="1543">
        <f t="shared" si="176"/>
        <v>0</v>
      </c>
      <c r="BL91" s="1543">
        <f t="shared" si="176"/>
        <v>0</v>
      </c>
      <c r="BM91" s="1543">
        <f t="shared" si="176"/>
        <v>0</v>
      </c>
      <c r="BN91" s="1543">
        <f t="shared" si="176"/>
        <v>0</v>
      </c>
      <c r="BO91" s="1543">
        <f t="shared" si="176"/>
        <v>0</v>
      </c>
      <c r="BP91" s="1543">
        <f t="shared" si="178"/>
        <v>0</v>
      </c>
      <c r="BQ91" s="1543">
        <f t="shared" si="178"/>
        <v>0</v>
      </c>
      <c r="BR91" s="1543">
        <f t="shared" si="178"/>
        <v>0</v>
      </c>
      <c r="BS91" s="1543">
        <f t="shared" si="178"/>
        <v>0</v>
      </c>
      <c r="BT91" s="1543">
        <f t="shared" si="178"/>
        <v>0</v>
      </c>
      <c r="BU91" s="1543">
        <f t="shared" si="178"/>
        <v>0</v>
      </c>
      <c r="BV91" s="1543">
        <f t="shared" si="178"/>
        <v>0</v>
      </c>
      <c r="BW91" s="1543">
        <f t="shared" si="178"/>
        <v>0</v>
      </c>
      <c r="BX91" s="1543">
        <f t="shared" si="178"/>
        <v>0</v>
      </c>
      <c r="BY91" s="1543">
        <f t="shared" si="178"/>
        <v>0</v>
      </c>
      <c r="BZ91" s="1543">
        <f t="shared" si="178"/>
        <v>0</v>
      </c>
      <c r="CB91" s="1543">
        <f t="shared" si="177"/>
        <v>0</v>
      </c>
      <c r="CC91" s="1543">
        <f t="shared" si="177"/>
        <v>0</v>
      </c>
      <c r="CD91" s="1543">
        <f t="shared" si="177"/>
        <v>0</v>
      </c>
      <c r="CE91" s="1543">
        <f t="shared" si="177"/>
        <v>0</v>
      </c>
      <c r="CF91" s="1543">
        <f t="shared" si="177"/>
        <v>0</v>
      </c>
      <c r="CG91" s="1543">
        <f t="shared" si="177"/>
        <v>0</v>
      </c>
      <c r="CH91" s="1543">
        <f t="shared" si="177"/>
        <v>0</v>
      </c>
      <c r="CI91" s="1543">
        <f t="shared" si="177"/>
        <v>0</v>
      </c>
      <c r="CJ91" s="1543">
        <f t="shared" si="177"/>
        <v>0</v>
      </c>
      <c r="CK91" s="1543">
        <f t="shared" si="177"/>
        <v>0</v>
      </c>
      <c r="CL91" s="1543">
        <f t="shared" si="177"/>
        <v>0</v>
      </c>
      <c r="CM91" s="1543">
        <f t="shared" si="177"/>
        <v>0</v>
      </c>
      <c r="CN91" s="1543">
        <f t="shared" si="177"/>
        <v>0</v>
      </c>
      <c r="CO91" s="1543">
        <f t="shared" si="177"/>
        <v>0</v>
      </c>
      <c r="CP91" s="1543">
        <f t="shared" si="177"/>
        <v>0</v>
      </c>
      <c r="CQ91" s="1543">
        <f t="shared" si="177"/>
        <v>0</v>
      </c>
      <c r="CR91" s="1543">
        <f t="shared" si="179"/>
        <v>0</v>
      </c>
      <c r="CS91" s="1543">
        <f t="shared" si="179"/>
        <v>0</v>
      </c>
      <c r="CT91" s="1543">
        <f t="shared" si="183"/>
        <v>0</v>
      </c>
      <c r="CU91" s="1543">
        <f t="shared" si="183"/>
        <v>0</v>
      </c>
      <c r="CV91" s="1543">
        <f t="shared" si="183"/>
        <v>0</v>
      </c>
      <c r="CW91" s="1543">
        <f t="shared" si="183"/>
        <v>0</v>
      </c>
      <c r="CX91" s="1543">
        <f t="shared" si="183"/>
        <v>0</v>
      </c>
      <c r="CY91" s="1543">
        <f t="shared" si="183"/>
        <v>0</v>
      </c>
      <c r="CZ91" s="1543">
        <f t="shared" si="183"/>
        <v>0</v>
      </c>
      <c r="DA91" s="1543">
        <f t="shared" si="183"/>
        <v>0</v>
      </c>
      <c r="DB91" s="1543">
        <f t="shared" si="183"/>
        <v>0</v>
      </c>
      <c r="DD91" s="1543">
        <f t="shared" si="147"/>
        <v>0</v>
      </c>
      <c r="DE91" s="1543">
        <f t="shared" si="148"/>
        <v>0</v>
      </c>
      <c r="DF91" s="1543">
        <f t="shared" si="149"/>
        <v>0</v>
      </c>
      <c r="DG91" s="1543">
        <f t="shared" si="162"/>
        <v>0</v>
      </c>
      <c r="DI91" s="1543">
        <f t="shared" si="163"/>
        <v>0</v>
      </c>
      <c r="DJ91" s="1543">
        <f t="shared" si="185"/>
        <v>0</v>
      </c>
      <c r="DK91" s="1543">
        <f t="shared" si="185"/>
        <v>0</v>
      </c>
      <c r="DL91" s="1543">
        <f t="shared" si="185"/>
        <v>0</v>
      </c>
      <c r="DM91" s="1543">
        <f t="shared" si="185"/>
        <v>0</v>
      </c>
      <c r="DO91" s="1543">
        <f t="shared" si="188"/>
        <v>0</v>
      </c>
      <c r="DP91" s="1543">
        <f t="shared" si="188"/>
        <v>0</v>
      </c>
      <c r="DQ91" s="1543">
        <f t="shared" si="188"/>
        <v>0</v>
      </c>
      <c r="DR91" s="1543">
        <f t="shared" si="188"/>
        <v>0</v>
      </c>
      <c r="DS91" s="1543">
        <f t="shared" si="188"/>
        <v>0</v>
      </c>
      <c r="DT91" s="1543">
        <f t="shared" si="188"/>
        <v>0</v>
      </c>
      <c r="DU91" s="1543">
        <f t="shared" si="188"/>
        <v>0</v>
      </c>
      <c r="DV91" s="1543">
        <f t="shared" si="188"/>
        <v>0</v>
      </c>
      <c r="DW91" s="1543">
        <f t="shared" si="188"/>
        <v>0</v>
      </c>
      <c r="DX91" s="1543">
        <f t="shared" si="188"/>
        <v>0</v>
      </c>
      <c r="DY91" s="1543">
        <f t="shared" si="188"/>
        <v>0</v>
      </c>
      <c r="DZ91" s="1543">
        <f t="shared" si="188"/>
        <v>0</v>
      </c>
      <c r="EA91" s="1543">
        <f t="shared" si="188"/>
        <v>0</v>
      </c>
      <c r="EB91" s="1543">
        <f t="shared" si="180"/>
        <v>0</v>
      </c>
      <c r="EC91" s="1543">
        <f t="shared" si="180"/>
        <v>0</v>
      </c>
      <c r="ED91" s="1543">
        <f t="shared" si="180"/>
        <v>0</v>
      </c>
      <c r="EE91" s="1543">
        <f t="shared" si="180"/>
        <v>0</v>
      </c>
      <c r="EF91" s="1543">
        <f t="shared" si="180"/>
        <v>0</v>
      </c>
      <c r="EH91" s="1543">
        <f t="shared" si="165"/>
        <v>0</v>
      </c>
      <c r="EI91" s="1543">
        <f t="shared" si="166"/>
        <v>0</v>
      </c>
      <c r="EJ91" s="1543">
        <f t="shared" si="167"/>
        <v>0</v>
      </c>
      <c r="EK91" s="1543">
        <f t="shared" si="168"/>
        <v>0</v>
      </c>
      <c r="EL91" s="1543">
        <f t="shared" si="169"/>
        <v>0</v>
      </c>
      <c r="EM91" s="1543">
        <f t="shared" si="170"/>
        <v>0</v>
      </c>
      <c r="EN91" s="1543">
        <f t="shared" si="171"/>
        <v>0</v>
      </c>
      <c r="EP91" s="1543">
        <f t="shared" si="72"/>
        <v>0</v>
      </c>
      <c r="EQ91" s="1543">
        <f t="shared" si="72"/>
        <v>0</v>
      </c>
      <c r="ER91" s="1543">
        <f t="shared" si="72"/>
        <v>0</v>
      </c>
      <c r="ES91" s="1543">
        <f t="shared" si="72"/>
        <v>0</v>
      </c>
      <c r="ET91" s="1543">
        <f t="shared" si="181"/>
        <v>0</v>
      </c>
      <c r="EU91" s="1543">
        <f t="shared" si="181"/>
        <v>0</v>
      </c>
      <c r="EV91" s="1543">
        <f t="shared" si="181"/>
        <v>0</v>
      </c>
      <c r="EW91" s="1543">
        <f t="shared" si="181"/>
        <v>0</v>
      </c>
      <c r="EX91" s="1543">
        <f t="shared" si="181"/>
        <v>0</v>
      </c>
      <c r="EY91" s="1543">
        <f t="shared" si="181"/>
        <v>0</v>
      </c>
      <c r="EZ91" s="1543">
        <f t="shared" si="181"/>
        <v>0</v>
      </c>
      <c r="FA91" s="1543">
        <f t="shared" si="181"/>
        <v>0</v>
      </c>
      <c r="FB91" s="1543">
        <f t="shared" si="181"/>
        <v>0</v>
      </c>
      <c r="FC91" s="1543">
        <f t="shared" si="181"/>
        <v>0</v>
      </c>
      <c r="FD91" s="1543">
        <f t="shared" si="181"/>
        <v>0</v>
      </c>
      <c r="FE91" s="1543">
        <f t="shared" si="184"/>
        <v>0</v>
      </c>
      <c r="FF91" s="1543">
        <f t="shared" si="172"/>
        <v>1</v>
      </c>
      <c r="FH91" s="1543">
        <f t="shared" si="186"/>
        <v>0</v>
      </c>
      <c r="FI91" s="1543">
        <f t="shared" si="186"/>
        <v>0</v>
      </c>
      <c r="FJ91" s="1543">
        <f t="shared" si="186"/>
        <v>0</v>
      </c>
      <c r="FK91" s="1543">
        <f t="shared" si="186"/>
        <v>0</v>
      </c>
      <c r="FL91" s="1543">
        <f t="shared" si="186"/>
        <v>0</v>
      </c>
      <c r="FM91" s="1543">
        <f t="shared" si="186"/>
        <v>0</v>
      </c>
      <c r="FN91" s="1543">
        <f t="shared" si="186"/>
        <v>0</v>
      </c>
      <c r="FO91" s="1543">
        <f t="shared" si="186"/>
        <v>0</v>
      </c>
      <c r="FP91" s="1543">
        <f t="shared" si="186"/>
        <v>0</v>
      </c>
      <c r="FQ91" s="1543">
        <f t="shared" si="186"/>
        <v>0</v>
      </c>
      <c r="FR91" s="1543">
        <f t="shared" si="186"/>
        <v>0</v>
      </c>
      <c r="FS91" s="1543">
        <f t="shared" si="186"/>
        <v>0</v>
      </c>
      <c r="FT91" s="1543">
        <f t="shared" si="174"/>
        <v>0</v>
      </c>
      <c r="FV91" s="1543">
        <f t="shared" si="187"/>
        <v>1</v>
      </c>
      <c r="FW91" s="1543">
        <f t="shared" si="187"/>
        <v>0</v>
      </c>
      <c r="FX91" s="1543">
        <f t="shared" si="187"/>
        <v>0</v>
      </c>
      <c r="FY91" s="1543">
        <f t="shared" si="187"/>
        <v>0</v>
      </c>
      <c r="FZ91" s="1543">
        <f t="shared" si="187"/>
        <v>0</v>
      </c>
      <c r="GA91" s="1543">
        <f t="shared" si="187"/>
        <v>0</v>
      </c>
      <c r="GB91" s="1543">
        <f t="shared" si="187"/>
        <v>0</v>
      </c>
      <c r="GC91" s="1543">
        <f t="shared" si="187"/>
        <v>0</v>
      </c>
      <c r="GD91" s="1543">
        <f t="shared" si="187"/>
        <v>0</v>
      </c>
    </row>
    <row r="92" spans="1:186" s="982" customFormat="1" ht="15.6" x14ac:dyDescent="0.3">
      <c r="A92" s="974">
        <v>90</v>
      </c>
      <c r="B92" s="983"/>
      <c r="C92" s="984"/>
      <c r="D92" s="983"/>
      <c r="E92" s="968" t="str">
        <f>IFERROR(VLOOKUP($D92&amp;"."&amp;B92,'Piping Class'!$1:$1048576,MATCH($I92,'Piping Class'!$2:$2,0),0),"")</f>
        <v/>
      </c>
      <c r="F92" s="985" t="str">
        <f>IFERROR(IF(B92="Flange",VLOOKUP($D92,'Piping Class'!$88:$102,MATCH(F$1,'Piping Class'!$88:$88,0),0),""),"")</f>
        <v/>
      </c>
      <c r="G92" s="968" t="str">
        <f>IFERROR(IF(B92="Flange",VLOOKUP($D92,'Piping Class'!$88:$102,MATCH(G$1,'Piping Class'!$88:$88,0),0),""),"")</f>
        <v/>
      </c>
      <c r="H92" s="968" t="str">
        <f>IFERROR(VLOOKUP($D92,'Piping Class'!$88:$102,MATCH(H$1,'Piping Class'!$88:$88,0),0),"")</f>
        <v/>
      </c>
      <c r="I92" s="986"/>
      <c r="J92" s="987"/>
      <c r="K92" s="968" t="str">
        <f>IFERROR(VLOOKUP(I92,'Thickness Tab'!$1:$1048576,MATCH(L92,'Thickness Tab'!$1:$1,0),0),"")</f>
        <v/>
      </c>
      <c r="L92" s="969" t="str">
        <f>IFERROR(VLOOKUP($D92,'Piping Class'!$1:$1048576,MATCH($I92,'Piping Class'!$2:$2,0),0),"")</f>
        <v/>
      </c>
      <c r="M92" s="968" t="str">
        <f>IFERROR(VLOOKUP(J92,'Thickness Tab'!$1:$1048576,MATCH(N92,'Thickness Tab'!$1:$1,0),0),"")</f>
        <v/>
      </c>
      <c r="N92" s="969" t="str">
        <f>IFERROR(VLOOKUP($D92,'Piping Class'!$1:$1048576,MATCH($J92,'Piping Class'!$2:$2,0),0),"")</f>
        <v/>
      </c>
      <c r="O92" s="968" t="str">
        <f>IFERROR(VLOOKUP($D92,'Piping Class'!$88:$102,MATCH(O$1,'Piping Class'!$88:$88,0),0),"")</f>
        <v/>
      </c>
      <c r="P92" s="968" t="str">
        <f>IFERROR(VLOOKUP($D92,'Piping Class'!$88:$102,MATCH(P$1,'Piping Class'!$88:$88,0),0),"")</f>
        <v/>
      </c>
      <c r="Q92" s="983"/>
      <c r="R92" s="988"/>
      <c r="S92" s="969" t="str">
        <f t="shared" si="150"/>
        <v/>
      </c>
      <c r="T92" s="968">
        <f>IFERROR(VLOOKUP(I92&amp;"."&amp;L92,'Fitting Chart'!$1:$1048576,MATCH(C92,'Fitting Chart'!$1:$1,0),0),0)+IF(B92="piping",PI()*K92*(VLOOKUP(I92,'Thickness Tab'!$1:$1048576,3,0)-K92)*7.86/1000,0)+IF(B92="Flange",VLOOKUP(I92&amp;"F"&amp;F92,'Flanges Chart'!$1:$1048576,MATCH(C92&amp;"."&amp;T$1,'Flanges Chart'!$1:$1,0),0),0)</f>
        <v>0</v>
      </c>
      <c r="U92" s="989">
        <f t="shared" si="151"/>
        <v>0</v>
      </c>
      <c r="V92" s="1003"/>
      <c r="W92" s="1001">
        <f t="shared" si="152"/>
        <v>0</v>
      </c>
      <c r="X92" s="997"/>
      <c r="Y92" s="983"/>
      <c r="Z92" s="989">
        <f>IF(B92="Piping",VLOOKUP(I92,'Thickness Tab'!$1:$1048576,3,0)/1000*PI(),0)+IFERROR(VLOOKUP(I92&amp;"F"&amp;F92,'Flanges Chart'!$1:$1048576,MATCH(C92&amp;".Unit Surface",'Flanges Chart'!$1:$1,0),0),0)+IF(B92="Fitting",VLOOKUP(I92,'Thickness Tab'!$1:$1048576,3,0)/1000*PI(),0)</f>
        <v>0</v>
      </c>
      <c r="AA92" s="989">
        <f t="shared" si="153"/>
        <v>0</v>
      </c>
      <c r="AB92" s="983">
        <v>0</v>
      </c>
      <c r="AC92" s="989">
        <f t="shared" si="154"/>
        <v>0</v>
      </c>
      <c r="AD92" s="989">
        <f t="shared" si="155"/>
        <v>0</v>
      </c>
      <c r="AE92" s="974">
        <f>(IFERROR(VLOOKUP($C92,List!$J:$L,2,0),0)*R92+IF(B92="piping",R92,0)+IF(C92="Welding Neck",1,0)*R92)*$AE$2</f>
        <v>0</v>
      </c>
      <c r="AF92" s="970">
        <f>IFERROR(VLOOKUP($C92,List!$J:$L,3,0),0)*R92*$AF$2</f>
        <v>0</v>
      </c>
      <c r="AG92" s="990">
        <f t="shared" si="156"/>
        <v>0</v>
      </c>
      <c r="AH92" s="1118" t="str">
        <f>IFERROR(VLOOKUP($D92,'Piping Class'!$88:$102,MATCH(AH$1,'Piping Class'!$88:$88,0),0),"")</f>
        <v/>
      </c>
      <c r="AI92" s="991" t="str">
        <f>IFERROR(VLOOKUP($D92,'Piping Class'!$88:$102,MATCH(AI$1,'Piping Class'!$88:$88,0),0),"")</f>
        <v/>
      </c>
      <c r="AJ92" s="991" t="str">
        <f>IFERROR(VLOOKUP($D92,'Piping Class'!$88:$102,MATCH(AJ$1,'Piping Class'!$88:$88,0),0),"")</f>
        <v/>
      </c>
      <c r="AK92" s="991" t="str">
        <f>IFERROR(VLOOKUP($D92,'Piping Class'!$88:$102,MATCH(AK$1,'Piping Class'!$88:$88,0),0),"")</f>
        <v/>
      </c>
      <c r="AL92" s="991">
        <f t="shared" si="182"/>
        <v>0</v>
      </c>
      <c r="AM92" s="1119" t="str">
        <f>IFERROR(VLOOKUP($D92,'Piping Class'!$88:$102,MATCH(AM$1,'Piping Class'!$88:$88,0),0),"")</f>
        <v/>
      </c>
      <c r="AN92" s="992">
        <f t="shared" si="157"/>
        <v>0</v>
      </c>
      <c r="AO92" s="993">
        <f>IFERROR(VLOOKUP(I92&amp;"B"&amp;F92,'Bolting Chart'!$1:$1048576,4,0),0)</f>
        <v>0</v>
      </c>
      <c r="AP92" s="993">
        <f t="shared" si="158"/>
        <v>0</v>
      </c>
      <c r="AQ92" s="993">
        <f t="shared" si="159"/>
        <v>0</v>
      </c>
      <c r="AR92" s="993">
        <f>IF(AO92=0,0,VLOOKUP(D92&amp;".bolting",'Piping Class'!$1:$1048576,MATCH(I92,'Piping Class'!$2:$2,0),0))</f>
        <v>0</v>
      </c>
      <c r="AS92" s="994">
        <f>IFERROR(VLOOKUP(I92&amp;"B"&amp;F92,'Bolting Chart'!$1:$1048576,IF(AS$2="UNC",5,6),0),0)</f>
        <v>0</v>
      </c>
      <c r="AT92" s="995">
        <f>IFERROR(VLOOKUP(I92&amp;"B"&amp;F92,'Bolting Chart'!$1:$1048576,IF(G92="RF",8,9),0),0)</f>
        <v>0</v>
      </c>
      <c r="AU92" s="993">
        <f>IF(AO92=0,0,VLOOKUP(D92&amp;".gasket",'Piping Class'!$1:$1048576,MATCH(I92,'Piping Class'!$2:$2,0),0))</f>
        <v>0</v>
      </c>
      <c r="AV92" s="996">
        <f>(IFERROR(INDEX('Bolting Chart'!$A$169:$R$251,MATCH(AT92,'Bolting Chart'!$A$170:$A$251,0),MATCH(IFERROR(VLOOKUP(I92&amp;"B"&amp;F92,'Bolting Chart'!$1:$1048576,7,0),0)+0,'Bolting Chart'!$A$169:$R$169,0)),0))/100</f>
        <v>0</v>
      </c>
      <c r="AW92" s="996">
        <f t="shared" si="160"/>
        <v>0</v>
      </c>
      <c r="AX92" s="1194">
        <f t="shared" si="161"/>
        <v>0</v>
      </c>
      <c r="AY92" s="981"/>
      <c r="AZ92" s="1543">
        <f t="shared" si="176"/>
        <v>0</v>
      </c>
      <c r="BA92" s="1543">
        <f t="shared" si="176"/>
        <v>0</v>
      </c>
      <c r="BB92" s="1543">
        <f t="shared" si="176"/>
        <v>0</v>
      </c>
      <c r="BC92" s="1543">
        <f t="shared" si="176"/>
        <v>0</v>
      </c>
      <c r="BD92" s="1543">
        <f t="shared" si="176"/>
        <v>0</v>
      </c>
      <c r="BE92" s="1543">
        <f t="shared" si="176"/>
        <v>0</v>
      </c>
      <c r="BF92" s="1543">
        <f t="shared" si="176"/>
        <v>0</v>
      </c>
      <c r="BG92" s="1543">
        <f t="shared" si="176"/>
        <v>0</v>
      </c>
      <c r="BH92" s="1543">
        <f t="shared" si="176"/>
        <v>0</v>
      </c>
      <c r="BI92" s="1543">
        <f t="shared" si="176"/>
        <v>0</v>
      </c>
      <c r="BJ92" s="1543">
        <f t="shared" si="176"/>
        <v>0</v>
      </c>
      <c r="BK92" s="1543">
        <f t="shared" si="176"/>
        <v>0</v>
      </c>
      <c r="BL92" s="1543">
        <f t="shared" si="176"/>
        <v>0</v>
      </c>
      <c r="BM92" s="1543">
        <f t="shared" si="176"/>
        <v>0</v>
      </c>
      <c r="BN92" s="1543">
        <f t="shared" ref="AZ92:BO108" si="189">IF($I92=BN$2,1,0)</f>
        <v>0</v>
      </c>
      <c r="BO92" s="1543">
        <f t="shared" si="189"/>
        <v>0</v>
      </c>
      <c r="BP92" s="1543">
        <f t="shared" si="178"/>
        <v>0</v>
      </c>
      <c r="BQ92" s="1543">
        <f t="shared" si="178"/>
        <v>0</v>
      </c>
      <c r="BR92" s="1543">
        <f t="shared" si="178"/>
        <v>0</v>
      </c>
      <c r="BS92" s="1543">
        <f t="shared" si="178"/>
        <v>0</v>
      </c>
      <c r="BT92" s="1543">
        <f t="shared" si="178"/>
        <v>0</v>
      </c>
      <c r="BU92" s="1543">
        <f t="shared" si="178"/>
        <v>0</v>
      </c>
      <c r="BV92" s="1543">
        <f t="shared" si="178"/>
        <v>0</v>
      </c>
      <c r="BW92" s="1543">
        <f t="shared" si="178"/>
        <v>0</v>
      </c>
      <c r="BX92" s="1543">
        <f t="shared" si="178"/>
        <v>0</v>
      </c>
      <c r="BY92" s="1543">
        <f t="shared" si="178"/>
        <v>0</v>
      </c>
      <c r="BZ92" s="1543">
        <f t="shared" si="178"/>
        <v>0</v>
      </c>
      <c r="CB92" s="1543">
        <f t="shared" si="177"/>
        <v>0</v>
      </c>
      <c r="CC92" s="1543">
        <f t="shared" si="177"/>
        <v>0</v>
      </c>
      <c r="CD92" s="1543">
        <f t="shared" si="177"/>
        <v>0</v>
      </c>
      <c r="CE92" s="1543">
        <f t="shared" si="177"/>
        <v>0</v>
      </c>
      <c r="CF92" s="1543">
        <f t="shared" si="177"/>
        <v>0</v>
      </c>
      <c r="CG92" s="1543">
        <f t="shared" si="177"/>
        <v>0</v>
      </c>
      <c r="CH92" s="1543">
        <f t="shared" si="177"/>
        <v>0</v>
      </c>
      <c r="CI92" s="1543">
        <f t="shared" si="177"/>
        <v>0</v>
      </c>
      <c r="CJ92" s="1543">
        <f t="shared" si="177"/>
        <v>0</v>
      </c>
      <c r="CK92" s="1543">
        <f t="shared" si="177"/>
        <v>0</v>
      </c>
      <c r="CL92" s="1543">
        <f t="shared" si="177"/>
        <v>0</v>
      </c>
      <c r="CM92" s="1543">
        <f t="shared" si="177"/>
        <v>0</v>
      </c>
      <c r="CN92" s="1543">
        <f t="shared" si="177"/>
        <v>0</v>
      </c>
      <c r="CO92" s="1543">
        <f t="shared" si="177"/>
        <v>0</v>
      </c>
      <c r="CP92" s="1543">
        <f t="shared" ref="CB92:CQ108" si="190">IF($J92=CP$2,1,0)</f>
        <v>0</v>
      </c>
      <c r="CQ92" s="1543">
        <f t="shared" si="190"/>
        <v>0</v>
      </c>
      <c r="CR92" s="1543">
        <f t="shared" si="179"/>
        <v>0</v>
      </c>
      <c r="CS92" s="1543">
        <f t="shared" si="179"/>
        <v>0</v>
      </c>
      <c r="CT92" s="1543">
        <f t="shared" si="183"/>
        <v>0</v>
      </c>
      <c r="CU92" s="1543">
        <f t="shared" si="183"/>
        <v>0</v>
      </c>
      <c r="CV92" s="1543">
        <f t="shared" si="183"/>
        <v>0</v>
      </c>
      <c r="CW92" s="1543">
        <f t="shared" si="183"/>
        <v>0</v>
      </c>
      <c r="CX92" s="1543">
        <f t="shared" si="183"/>
        <v>0</v>
      </c>
      <c r="CY92" s="1543">
        <f t="shared" si="183"/>
        <v>0</v>
      </c>
      <c r="CZ92" s="1543">
        <f t="shared" si="183"/>
        <v>0</v>
      </c>
      <c r="DA92" s="1543">
        <f t="shared" si="183"/>
        <v>0</v>
      </c>
      <c r="DB92" s="1543">
        <f t="shared" si="183"/>
        <v>0</v>
      </c>
      <c r="DD92" s="1543">
        <f t="shared" si="147"/>
        <v>0</v>
      </c>
      <c r="DE92" s="1543">
        <f t="shared" si="148"/>
        <v>0</v>
      </c>
      <c r="DF92" s="1543">
        <f t="shared" si="149"/>
        <v>0</v>
      </c>
      <c r="DG92" s="1543">
        <f t="shared" si="162"/>
        <v>0</v>
      </c>
      <c r="DI92" s="1543">
        <f t="shared" si="163"/>
        <v>0</v>
      </c>
      <c r="DJ92" s="1543">
        <f t="shared" si="185"/>
        <v>0</v>
      </c>
      <c r="DK92" s="1543">
        <f t="shared" si="185"/>
        <v>0</v>
      </c>
      <c r="DL92" s="1543">
        <f t="shared" si="185"/>
        <v>0</v>
      </c>
      <c r="DM92" s="1543">
        <f t="shared" si="185"/>
        <v>0</v>
      </c>
      <c r="DO92" s="1543">
        <f t="shared" si="188"/>
        <v>0</v>
      </c>
      <c r="DP92" s="1543">
        <f t="shared" si="188"/>
        <v>0</v>
      </c>
      <c r="DQ92" s="1543">
        <f t="shared" si="188"/>
        <v>0</v>
      </c>
      <c r="DR92" s="1543">
        <f t="shared" si="188"/>
        <v>0</v>
      </c>
      <c r="DS92" s="1543">
        <f t="shared" si="188"/>
        <v>0</v>
      </c>
      <c r="DT92" s="1543">
        <f t="shared" si="188"/>
        <v>0</v>
      </c>
      <c r="DU92" s="1543">
        <f t="shared" si="188"/>
        <v>0</v>
      </c>
      <c r="DV92" s="1543">
        <f t="shared" si="188"/>
        <v>0</v>
      </c>
      <c r="DW92" s="1543">
        <f t="shared" si="188"/>
        <v>0</v>
      </c>
      <c r="DX92" s="1543">
        <f t="shared" si="188"/>
        <v>0</v>
      </c>
      <c r="DY92" s="1543">
        <f t="shared" si="188"/>
        <v>0</v>
      </c>
      <c r="DZ92" s="1543">
        <f t="shared" si="188"/>
        <v>0</v>
      </c>
      <c r="EA92" s="1543">
        <f t="shared" si="188"/>
        <v>0</v>
      </c>
      <c r="EB92" s="1543">
        <f t="shared" si="180"/>
        <v>0</v>
      </c>
      <c r="EC92" s="1543">
        <f t="shared" si="180"/>
        <v>0</v>
      </c>
      <c r="ED92" s="1543">
        <f t="shared" si="180"/>
        <v>0</v>
      </c>
      <c r="EE92" s="1543">
        <f t="shared" si="180"/>
        <v>0</v>
      </c>
      <c r="EF92" s="1543">
        <f t="shared" si="180"/>
        <v>0</v>
      </c>
      <c r="EH92" s="1543">
        <f t="shared" si="165"/>
        <v>0</v>
      </c>
      <c r="EI92" s="1543">
        <f t="shared" si="166"/>
        <v>0</v>
      </c>
      <c r="EJ92" s="1543">
        <f t="shared" si="167"/>
        <v>0</v>
      </c>
      <c r="EK92" s="1543">
        <f t="shared" si="168"/>
        <v>0</v>
      </c>
      <c r="EL92" s="1543">
        <f t="shared" si="169"/>
        <v>0</v>
      </c>
      <c r="EM92" s="1543">
        <f t="shared" si="170"/>
        <v>0</v>
      </c>
      <c r="EN92" s="1543">
        <f t="shared" si="171"/>
        <v>0</v>
      </c>
      <c r="EP92" s="1543">
        <f t="shared" si="72"/>
        <v>0</v>
      </c>
      <c r="EQ92" s="1543">
        <f t="shared" si="72"/>
        <v>0</v>
      </c>
      <c r="ER92" s="1543">
        <f t="shared" si="72"/>
        <v>0</v>
      </c>
      <c r="ES92" s="1543">
        <f t="shared" si="72"/>
        <v>0</v>
      </c>
      <c r="ET92" s="1543">
        <f t="shared" si="181"/>
        <v>0</v>
      </c>
      <c r="EU92" s="1543">
        <f t="shared" si="181"/>
        <v>0</v>
      </c>
      <c r="EV92" s="1543">
        <f t="shared" si="181"/>
        <v>0</v>
      </c>
      <c r="EW92" s="1543">
        <f t="shared" si="181"/>
        <v>0</v>
      </c>
      <c r="EX92" s="1543">
        <f t="shared" si="181"/>
        <v>0</v>
      </c>
      <c r="EY92" s="1543">
        <f t="shared" si="181"/>
        <v>0</v>
      </c>
      <c r="EZ92" s="1543">
        <f t="shared" si="181"/>
        <v>0</v>
      </c>
      <c r="FA92" s="1543">
        <f t="shared" si="181"/>
        <v>0</v>
      </c>
      <c r="FB92" s="1543">
        <f t="shared" si="181"/>
        <v>0</v>
      </c>
      <c r="FC92" s="1543">
        <f t="shared" si="181"/>
        <v>0</v>
      </c>
      <c r="FD92" s="1543">
        <f t="shared" si="181"/>
        <v>0</v>
      </c>
      <c r="FE92" s="1543">
        <f t="shared" si="184"/>
        <v>0</v>
      </c>
      <c r="FF92" s="1543">
        <f t="shared" si="172"/>
        <v>1</v>
      </c>
      <c r="FH92" s="1543">
        <f t="shared" si="186"/>
        <v>0</v>
      </c>
      <c r="FI92" s="1543">
        <f t="shared" si="186"/>
        <v>0</v>
      </c>
      <c r="FJ92" s="1543">
        <f t="shared" si="186"/>
        <v>0</v>
      </c>
      <c r="FK92" s="1543">
        <f t="shared" si="186"/>
        <v>0</v>
      </c>
      <c r="FL92" s="1543">
        <f t="shared" si="186"/>
        <v>0</v>
      </c>
      <c r="FM92" s="1543">
        <f t="shared" si="186"/>
        <v>0</v>
      </c>
      <c r="FN92" s="1543">
        <f t="shared" si="186"/>
        <v>0</v>
      </c>
      <c r="FO92" s="1543">
        <f t="shared" si="186"/>
        <v>0</v>
      </c>
      <c r="FP92" s="1543">
        <f t="shared" si="186"/>
        <v>0</v>
      </c>
      <c r="FQ92" s="1543">
        <f t="shared" si="186"/>
        <v>0</v>
      </c>
      <c r="FR92" s="1543">
        <f t="shared" si="186"/>
        <v>0</v>
      </c>
      <c r="FS92" s="1543">
        <f t="shared" si="186"/>
        <v>0</v>
      </c>
      <c r="FT92" s="1543">
        <f t="shared" si="174"/>
        <v>0</v>
      </c>
      <c r="FV92" s="1543">
        <f t="shared" si="187"/>
        <v>1</v>
      </c>
      <c r="FW92" s="1543">
        <f t="shared" si="187"/>
        <v>0</v>
      </c>
      <c r="FX92" s="1543">
        <f t="shared" si="187"/>
        <v>0</v>
      </c>
      <c r="FY92" s="1543">
        <f t="shared" si="187"/>
        <v>0</v>
      </c>
      <c r="FZ92" s="1543">
        <f t="shared" si="187"/>
        <v>0</v>
      </c>
      <c r="GA92" s="1543">
        <f t="shared" si="187"/>
        <v>0</v>
      </c>
      <c r="GB92" s="1543">
        <f t="shared" si="187"/>
        <v>0</v>
      </c>
      <c r="GC92" s="1543">
        <f t="shared" si="187"/>
        <v>0</v>
      </c>
      <c r="GD92" s="1543">
        <f t="shared" si="187"/>
        <v>0</v>
      </c>
    </row>
    <row r="93" spans="1:186" s="982" customFormat="1" ht="15.6" x14ac:dyDescent="0.3">
      <c r="A93" s="974">
        <v>91</v>
      </c>
      <c r="B93" s="983"/>
      <c r="C93" s="984"/>
      <c r="D93" s="983"/>
      <c r="E93" s="968" t="str">
        <f>IFERROR(VLOOKUP($D93&amp;"."&amp;B93,'Piping Class'!$1:$1048576,MATCH($I93,'Piping Class'!$2:$2,0),0),"")</f>
        <v/>
      </c>
      <c r="F93" s="985" t="str">
        <f>IFERROR(IF(B93="Flange",VLOOKUP($D93,'Piping Class'!$88:$102,MATCH(F$1,'Piping Class'!$88:$88,0),0),""),"")</f>
        <v/>
      </c>
      <c r="G93" s="968" t="str">
        <f>IFERROR(IF(B93="Flange",VLOOKUP($D93,'Piping Class'!$88:$102,MATCH(G$1,'Piping Class'!$88:$88,0),0),""),"")</f>
        <v/>
      </c>
      <c r="H93" s="968" t="str">
        <f>IFERROR(VLOOKUP($D93,'Piping Class'!$88:$102,MATCH(H$1,'Piping Class'!$88:$88,0),0),"")</f>
        <v/>
      </c>
      <c r="I93" s="986"/>
      <c r="J93" s="987"/>
      <c r="K93" s="968" t="str">
        <f>IFERROR(VLOOKUP(I93,'Thickness Tab'!$1:$1048576,MATCH(L93,'Thickness Tab'!$1:$1,0),0),"")</f>
        <v/>
      </c>
      <c r="L93" s="969" t="str">
        <f>IFERROR(VLOOKUP($D93,'Piping Class'!$1:$1048576,MATCH($I93,'Piping Class'!$2:$2,0),0),"")</f>
        <v/>
      </c>
      <c r="M93" s="968" t="str">
        <f>IFERROR(VLOOKUP(J93,'Thickness Tab'!$1:$1048576,MATCH(N93,'Thickness Tab'!$1:$1,0),0),"")</f>
        <v/>
      </c>
      <c r="N93" s="969" t="str">
        <f>IFERROR(VLOOKUP($D93,'Piping Class'!$1:$1048576,MATCH($J93,'Piping Class'!$2:$2,0),0),"")</f>
        <v/>
      </c>
      <c r="O93" s="968" t="str">
        <f>IFERROR(VLOOKUP($D93,'Piping Class'!$88:$102,MATCH(O$1,'Piping Class'!$88:$88,0),0),"")</f>
        <v/>
      </c>
      <c r="P93" s="968" t="str">
        <f>IFERROR(VLOOKUP($D93,'Piping Class'!$88:$102,MATCH(P$1,'Piping Class'!$88:$88,0),0),"")</f>
        <v/>
      </c>
      <c r="Q93" s="983"/>
      <c r="R93" s="988"/>
      <c r="S93" s="969" t="str">
        <f t="shared" si="150"/>
        <v/>
      </c>
      <c r="T93" s="968">
        <f>IFERROR(VLOOKUP(I93&amp;"."&amp;L93,'Fitting Chart'!$1:$1048576,MATCH(C93,'Fitting Chart'!$1:$1,0),0),0)+IF(B93="piping",PI()*K93*(VLOOKUP(I93,'Thickness Tab'!$1:$1048576,3,0)-K93)*7.86/1000,0)+IF(B93="Flange",VLOOKUP(I93&amp;"F"&amp;F93,'Flanges Chart'!$1:$1048576,MATCH(C93&amp;"."&amp;T$1,'Flanges Chart'!$1:$1,0),0),0)</f>
        <v>0</v>
      </c>
      <c r="U93" s="989">
        <f t="shared" si="151"/>
        <v>0</v>
      </c>
      <c r="V93" s="1003"/>
      <c r="W93" s="1001">
        <f t="shared" si="152"/>
        <v>0</v>
      </c>
      <c r="X93" s="997"/>
      <c r="Y93" s="983"/>
      <c r="Z93" s="989">
        <f>IF(B93="Piping",VLOOKUP(I93,'Thickness Tab'!$1:$1048576,3,0)/1000*PI(),0)+IFERROR(VLOOKUP(I93&amp;"F"&amp;F93,'Flanges Chart'!$1:$1048576,MATCH(C93&amp;".Unit Surface",'Flanges Chart'!$1:$1,0),0),0)+IF(B93="Fitting",VLOOKUP(I93,'Thickness Tab'!$1:$1048576,3,0)/1000*PI(),0)</f>
        <v>0</v>
      </c>
      <c r="AA93" s="989">
        <f t="shared" si="153"/>
        <v>0</v>
      </c>
      <c r="AB93" s="983">
        <v>0</v>
      </c>
      <c r="AC93" s="989">
        <f t="shared" si="154"/>
        <v>0</v>
      </c>
      <c r="AD93" s="989">
        <f t="shared" si="155"/>
        <v>0</v>
      </c>
      <c r="AE93" s="974">
        <f>(IFERROR(VLOOKUP($C93,List!$J:$L,2,0),0)*R93+IF(B93="piping",R93,0)+IF(C93="Welding Neck",1,0)*R93)*$AE$2</f>
        <v>0</v>
      </c>
      <c r="AF93" s="970">
        <f>IFERROR(VLOOKUP($C93,List!$J:$L,3,0),0)*R93*$AF$2</f>
        <v>0</v>
      </c>
      <c r="AG93" s="990">
        <f t="shared" si="156"/>
        <v>0</v>
      </c>
      <c r="AH93" s="1118" t="str">
        <f>IFERROR(VLOOKUP($D93,'Piping Class'!$88:$102,MATCH(AH$1,'Piping Class'!$88:$88,0),0),"")</f>
        <v/>
      </c>
      <c r="AI93" s="991" t="str">
        <f>IFERROR(VLOOKUP($D93,'Piping Class'!$88:$102,MATCH(AI$1,'Piping Class'!$88:$88,0),0),"")</f>
        <v/>
      </c>
      <c r="AJ93" s="991" t="str">
        <f>IFERROR(VLOOKUP($D93,'Piping Class'!$88:$102,MATCH(AJ$1,'Piping Class'!$88:$88,0),0),"")</f>
        <v/>
      </c>
      <c r="AK93" s="991" t="str">
        <f>IFERROR(VLOOKUP($D93,'Piping Class'!$88:$102,MATCH(AK$1,'Piping Class'!$88:$88,0),0),"")</f>
        <v/>
      </c>
      <c r="AL93" s="991">
        <f t="shared" si="182"/>
        <v>0</v>
      </c>
      <c r="AM93" s="1119" t="str">
        <f>IFERROR(VLOOKUP($D93,'Piping Class'!$88:$102,MATCH(AM$1,'Piping Class'!$88:$88,0),0),"")</f>
        <v/>
      </c>
      <c r="AN93" s="992">
        <f t="shared" si="157"/>
        <v>0</v>
      </c>
      <c r="AO93" s="993">
        <f>IFERROR(VLOOKUP(I93&amp;"B"&amp;F93,'Bolting Chart'!$1:$1048576,4,0),0)</f>
        <v>0</v>
      </c>
      <c r="AP93" s="993">
        <f t="shared" si="158"/>
        <v>0</v>
      </c>
      <c r="AQ93" s="993">
        <f t="shared" si="159"/>
        <v>0</v>
      </c>
      <c r="AR93" s="993">
        <f>IF(AO93=0,0,VLOOKUP(D93&amp;".bolting",'Piping Class'!$1:$1048576,MATCH(I93,'Piping Class'!$2:$2,0),0))</f>
        <v>0</v>
      </c>
      <c r="AS93" s="994">
        <f>IFERROR(VLOOKUP(I93&amp;"B"&amp;F93,'Bolting Chart'!$1:$1048576,IF(AS$2="UNC",5,6),0),0)</f>
        <v>0</v>
      </c>
      <c r="AT93" s="995">
        <f>IFERROR(VLOOKUP(I93&amp;"B"&amp;F93,'Bolting Chart'!$1:$1048576,IF(G93="RF",8,9),0),0)</f>
        <v>0</v>
      </c>
      <c r="AU93" s="993">
        <f>IF(AO93=0,0,VLOOKUP(D93&amp;".gasket",'Piping Class'!$1:$1048576,MATCH(I93,'Piping Class'!$2:$2,0),0))</f>
        <v>0</v>
      </c>
      <c r="AV93" s="996">
        <f>(IFERROR(INDEX('Bolting Chart'!$A$169:$R$251,MATCH(AT93,'Bolting Chart'!$A$170:$A$251,0),MATCH(IFERROR(VLOOKUP(I93&amp;"B"&amp;F93,'Bolting Chart'!$1:$1048576,7,0),0)+0,'Bolting Chart'!$A$169:$R$169,0)),0))/100</f>
        <v>0</v>
      </c>
      <c r="AW93" s="996">
        <f t="shared" si="160"/>
        <v>0</v>
      </c>
      <c r="AX93" s="1194">
        <f t="shared" si="161"/>
        <v>0</v>
      </c>
      <c r="AY93" s="981"/>
      <c r="AZ93" s="1543">
        <f t="shared" si="189"/>
        <v>0</v>
      </c>
      <c r="BA93" s="1543">
        <f t="shared" si="189"/>
        <v>0</v>
      </c>
      <c r="BB93" s="1543">
        <f t="shared" si="189"/>
        <v>0</v>
      </c>
      <c r="BC93" s="1543">
        <f t="shared" si="189"/>
        <v>0</v>
      </c>
      <c r="BD93" s="1543">
        <f t="shared" si="189"/>
        <v>0</v>
      </c>
      <c r="BE93" s="1543">
        <f t="shared" si="189"/>
        <v>0</v>
      </c>
      <c r="BF93" s="1543">
        <f t="shared" si="189"/>
        <v>0</v>
      </c>
      <c r="BG93" s="1543">
        <f t="shared" si="189"/>
        <v>0</v>
      </c>
      <c r="BH93" s="1543">
        <f t="shared" si="189"/>
        <v>0</v>
      </c>
      <c r="BI93" s="1543">
        <f t="shared" si="189"/>
        <v>0</v>
      </c>
      <c r="BJ93" s="1543">
        <f t="shared" si="189"/>
        <v>0</v>
      </c>
      <c r="BK93" s="1543">
        <f t="shared" si="189"/>
        <v>0</v>
      </c>
      <c r="BL93" s="1543">
        <f t="shared" si="189"/>
        <v>0</v>
      </c>
      <c r="BM93" s="1543">
        <f t="shared" si="189"/>
        <v>0</v>
      </c>
      <c r="BN93" s="1543">
        <f t="shared" si="189"/>
        <v>0</v>
      </c>
      <c r="BO93" s="1543">
        <f t="shared" si="189"/>
        <v>0</v>
      </c>
      <c r="BP93" s="1543">
        <f t="shared" si="178"/>
        <v>0</v>
      </c>
      <c r="BQ93" s="1543">
        <f t="shared" si="178"/>
        <v>0</v>
      </c>
      <c r="BR93" s="1543">
        <f t="shared" si="178"/>
        <v>0</v>
      </c>
      <c r="BS93" s="1543">
        <f t="shared" si="178"/>
        <v>0</v>
      </c>
      <c r="BT93" s="1543">
        <f t="shared" si="178"/>
        <v>0</v>
      </c>
      <c r="BU93" s="1543">
        <f t="shared" si="178"/>
        <v>0</v>
      </c>
      <c r="BV93" s="1543">
        <f t="shared" si="178"/>
        <v>0</v>
      </c>
      <c r="BW93" s="1543">
        <f t="shared" si="178"/>
        <v>0</v>
      </c>
      <c r="BX93" s="1543">
        <f t="shared" si="178"/>
        <v>0</v>
      </c>
      <c r="BY93" s="1543">
        <f t="shared" si="178"/>
        <v>0</v>
      </c>
      <c r="BZ93" s="1543">
        <f t="shared" si="178"/>
        <v>0</v>
      </c>
      <c r="CB93" s="1543">
        <f t="shared" si="190"/>
        <v>0</v>
      </c>
      <c r="CC93" s="1543">
        <f t="shared" si="190"/>
        <v>0</v>
      </c>
      <c r="CD93" s="1543">
        <f t="shared" si="190"/>
        <v>0</v>
      </c>
      <c r="CE93" s="1543">
        <f t="shared" si="190"/>
        <v>0</v>
      </c>
      <c r="CF93" s="1543">
        <f t="shared" si="190"/>
        <v>0</v>
      </c>
      <c r="CG93" s="1543">
        <f t="shared" si="190"/>
        <v>0</v>
      </c>
      <c r="CH93" s="1543">
        <f t="shared" si="190"/>
        <v>0</v>
      </c>
      <c r="CI93" s="1543">
        <f t="shared" si="190"/>
        <v>0</v>
      </c>
      <c r="CJ93" s="1543">
        <f t="shared" si="190"/>
        <v>0</v>
      </c>
      <c r="CK93" s="1543">
        <f t="shared" si="190"/>
        <v>0</v>
      </c>
      <c r="CL93" s="1543">
        <f t="shared" si="190"/>
        <v>0</v>
      </c>
      <c r="CM93" s="1543">
        <f t="shared" si="190"/>
        <v>0</v>
      </c>
      <c r="CN93" s="1543">
        <f t="shared" si="190"/>
        <v>0</v>
      </c>
      <c r="CO93" s="1543">
        <f t="shared" si="190"/>
        <v>0</v>
      </c>
      <c r="CP93" s="1543">
        <f t="shared" si="190"/>
        <v>0</v>
      </c>
      <c r="CQ93" s="1543">
        <f t="shared" si="190"/>
        <v>0</v>
      </c>
      <c r="CR93" s="1543">
        <f t="shared" si="179"/>
        <v>0</v>
      </c>
      <c r="CS93" s="1543">
        <f t="shared" si="179"/>
        <v>0</v>
      </c>
      <c r="CT93" s="1543">
        <f t="shared" si="183"/>
        <v>0</v>
      </c>
      <c r="CU93" s="1543">
        <f t="shared" si="183"/>
        <v>0</v>
      </c>
      <c r="CV93" s="1543">
        <f t="shared" si="183"/>
        <v>0</v>
      </c>
      <c r="CW93" s="1543">
        <f t="shared" si="183"/>
        <v>0</v>
      </c>
      <c r="CX93" s="1543">
        <f t="shared" si="183"/>
        <v>0</v>
      </c>
      <c r="CY93" s="1543">
        <f t="shared" si="183"/>
        <v>0</v>
      </c>
      <c r="CZ93" s="1543">
        <f t="shared" si="183"/>
        <v>0</v>
      </c>
      <c r="DA93" s="1543">
        <f t="shared" si="183"/>
        <v>0</v>
      </c>
      <c r="DB93" s="1543">
        <f t="shared" si="183"/>
        <v>0</v>
      </c>
      <c r="DD93" s="1543">
        <f t="shared" si="147"/>
        <v>0</v>
      </c>
      <c r="DE93" s="1543">
        <f t="shared" si="148"/>
        <v>0</v>
      </c>
      <c r="DF93" s="1543">
        <f t="shared" si="149"/>
        <v>0</v>
      </c>
      <c r="DG93" s="1543">
        <f t="shared" si="162"/>
        <v>0</v>
      </c>
      <c r="DI93" s="1543">
        <f t="shared" si="163"/>
        <v>0</v>
      </c>
      <c r="DJ93" s="1543">
        <f t="shared" si="185"/>
        <v>0</v>
      </c>
      <c r="DK93" s="1543">
        <f t="shared" si="185"/>
        <v>0</v>
      </c>
      <c r="DL93" s="1543">
        <f t="shared" si="185"/>
        <v>0</v>
      </c>
      <c r="DM93" s="1543">
        <f t="shared" si="185"/>
        <v>0</v>
      </c>
      <c r="DO93" s="1543">
        <f t="shared" si="188"/>
        <v>0</v>
      </c>
      <c r="DP93" s="1543">
        <f t="shared" si="188"/>
        <v>0</v>
      </c>
      <c r="DQ93" s="1543">
        <f t="shared" si="188"/>
        <v>0</v>
      </c>
      <c r="DR93" s="1543">
        <f t="shared" si="188"/>
        <v>0</v>
      </c>
      <c r="DS93" s="1543">
        <f t="shared" si="188"/>
        <v>0</v>
      </c>
      <c r="DT93" s="1543">
        <f t="shared" si="188"/>
        <v>0</v>
      </c>
      <c r="DU93" s="1543">
        <f t="shared" si="188"/>
        <v>0</v>
      </c>
      <c r="DV93" s="1543">
        <f t="shared" si="188"/>
        <v>0</v>
      </c>
      <c r="DW93" s="1543">
        <f t="shared" si="188"/>
        <v>0</v>
      </c>
      <c r="DX93" s="1543">
        <f t="shared" si="188"/>
        <v>0</v>
      </c>
      <c r="DY93" s="1543">
        <f t="shared" si="188"/>
        <v>0</v>
      </c>
      <c r="DZ93" s="1543">
        <f t="shared" si="188"/>
        <v>0</v>
      </c>
      <c r="EA93" s="1543">
        <f t="shared" si="188"/>
        <v>0</v>
      </c>
      <c r="EB93" s="1543">
        <f t="shared" si="180"/>
        <v>0</v>
      </c>
      <c r="EC93" s="1543">
        <f t="shared" si="180"/>
        <v>0</v>
      </c>
      <c r="ED93" s="1543">
        <f t="shared" si="180"/>
        <v>0</v>
      </c>
      <c r="EE93" s="1543">
        <f t="shared" si="180"/>
        <v>0</v>
      </c>
      <c r="EF93" s="1543">
        <f t="shared" si="180"/>
        <v>0</v>
      </c>
      <c r="EH93" s="1543">
        <f t="shared" si="165"/>
        <v>0</v>
      </c>
      <c r="EI93" s="1543">
        <f t="shared" si="166"/>
        <v>0</v>
      </c>
      <c r="EJ93" s="1543">
        <f t="shared" si="167"/>
        <v>0</v>
      </c>
      <c r="EK93" s="1543">
        <f t="shared" si="168"/>
        <v>0</v>
      </c>
      <c r="EL93" s="1543">
        <f t="shared" si="169"/>
        <v>0</v>
      </c>
      <c r="EM93" s="1543">
        <f t="shared" si="170"/>
        <v>0</v>
      </c>
      <c r="EN93" s="1543">
        <f t="shared" si="171"/>
        <v>0</v>
      </c>
      <c r="EP93" s="1543">
        <f t="shared" si="72"/>
        <v>0</v>
      </c>
      <c r="EQ93" s="1543">
        <f t="shared" si="72"/>
        <v>0</v>
      </c>
      <c r="ER93" s="1543">
        <f t="shared" si="72"/>
        <v>0</v>
      </c>
      <c r="ES93" s="1543">
        <f t="shared" si="72"/>
        <v>0</v>
      </c>
      <c r="ET93" s="1543">
        <f t="shared" si="181"/>
        <v>0</v>
      </c>
      <c r="EU93" s="1543">
        <f t="shared" si="181"/>
        <v>0</v>
      </c>
      <c r="EV93" s="1543">
        <f t="shared" si="181"/>
        <v>0</v>
      </c>
      <c r="EW93" s="1543">
        <f t="shared" si="181"/>
        <v>0</v>
      </c>
      <c r="EX93" s="1543">
        <f t="shared" si="181"/>
        <v>0</v>
      </c>
      <c r="EY93" s="1543">
        <f t="shared" si="181"/>
        <v>0</v>
      </c>
      <c r="EZ93" s="1543">
        <f t="shared" si="181"/>
        <v>0</v>
      </c>
      <c r="FA93" s="1543">
        <f t="shared" si="181"/>
        <v>0</v>
      </c>
      <c r="FB93" s="1543">
        <f t="shared" si="181"/>
        <v>0</v>
      </c>
      <c r="FC93" s="1543">
        <f t="shared" si="181"/>
        <v>0</v>
      </c>
      <c r="FD93" s="1543">
        <f t="shared" si="181"/>
        <v>0</v>
      </c>
      <c r="FE93" s="1543">
        <f t="shared" si="184"/>
        <v>0</v>
      </c>
      <c r="FF93" s="1543">
        <f t="shared" si="172"/>
        <v>1</v>
      </c>
      <c r="FH93" s="1543">
        <f t="shared" si="186"/>
        <v>0</v>
      </c>
      <c r="FI93" s="1543">
        <f t="shared" si="186"/>
        <v>0</v>
      </c>
      <c r="FJ93" s="1543">
        <f t="shared" si="186"/>
        <v>0</v>
      </c>
      <c r="FK93" s="1543">
        <f t="shared" si="186"/>
        <v>0</v>
      </c>
      <c r="FL93" s="1543">
        <f t="shared" si="186"/>
        <v>0</v>
      </c>
      <c r="FM93" s="1543">
        <f t="shared" si="186"/>
        <v>0</v>
      </c>
      <c r="FN93" s="1543">
        <f t="shared" si="186"/>
        <v>0</v>
      </c>
      <c r="FO93" s="1543">
        <f t="shared" si="186"/>
        <v>0</v>
      </c>
      <c r="FP93" s="1543">
        <f t="shared" si="186"/>
        <v>0</v>
      </c>
      <c r="FQ93" s="1543">
        <f t="shared" si="186"/>
        <v>0</v>
      </c>
      <c r="FR93" s="1543">
        <f t="shared" si="186"/>
        <v>0</v>
      </c>
      <c r="FS93" s="1543">
        <f t="shared" si="186"/>
        <v>0</v>
      </c>
      <c r="FT93" s="1543">
        <f t="shared" si="174"/>
        <v>0</v>
      </c>
      <c r="FV93" s="1543">
        <f t="shared" si="187"/>
        <v>1</v>
      </c>
      <c r="FW93" s="1543">
        <f t="shared" si="187"/>
        <v>0</v>
      </c>
      <c r="FX93" s="1543">
        <f t="shared" si="187"/>
        <v>0</v>
      </c>
      <c r="FY93" s="1543">
        <f t="shared" si="187"/>
        <v>0</v>
      </c>
      <c r="FZ93" s="1543">
        <f t="shared" si="187"/>
        <v>0</v>
      </c>
      <c r="GA93" s="1543">
        <f t="shared" si="187"/>
        <v>0</v>
      </c>
      <c r="GB93" s="1543">
        <f t="shared" si="187"/>
        <v>0</v>
      </c>
      <c r="GC93" s="1543">
        <f t="shared" si="187"/>
        <v>0</v>
      </c>
      <c r="GD93" s="1543">
        <f t="shared" si="187"/>
        <v>0</v>
      </c>
    </row>
    <row r="94" spans="1:186" s="982" customFormat="1" ht="15.6" x14ac:dyDescent="0.3">
      <c r="A94" s="974">
        <v>92</v>
      </c>
      <c r="B94" s="983"/>
      <c r="C94" s="984"/>
      <c r="D94" s="983"/>
      <c r="E94" s="968" t="str">
        <f>IFERROR(VLOOKUP($D94&amp;"."&amp;B94,'Piping Class'!$1:$1048576,MATCH($I94,'Piping Class'!$2:$2,0),0),"")</f>
        <v/>
      </c>
      <c r="F94" s="985" t="str">
        <f>IFERROR(IF(B94="Flange",VLOOKUP($D94,'Piping Class'!$88:$102,MATCH(F$1,'Piping Class'!$88:$88,0),0),""),"")</f>
        <v/>
      </c>
      <c r="G94" s="968" t="str">
        <f>IFERROR(IF(B94="Flange",VLOOKUP($D94,'Piping Class'!$88:$102,MATCH(G$1,'Piping Class'!$88:$88,0),0),""),"")</f>
        <v/>
      </c>
      <c r="H94" s="968" t="str">
        <f>IFERROR(VLOOKUP($D94,'Piping Class'!$88:$102,MATCH(H$1,'Piping Class'!$88:$88,0),0),"")</f>
        <v/>
      </c>
      <c r="I94" s="986"/>
      <c r="J94" s="987"/>
      <c r="K94" s="968" t="str">
        <f>IFERROR(VLOOKUP(I94,'Thickness Tab'!$1:$1048576,MATCH(L94,'Thickness Tab'!$1:$1,0),0),"")</f>
        <v/>
      </c>
      <c r="L94" s="969" t="str">
        <f>IFERROR(VLOOKUP($D94,'Piping Class'!$1:$1048576,MATCH($I94,'Piping Class'!$2:$2,0),0),"")</f>
        <v/>
      </c>
      <c r="M94" s="968" t="str">
        <f>IFERROR(VLOOKUP(J94,'Thickness Tab'!$1:$1048576,MATCH(N94,'Thickness Tab'!$1:$1,0),0),"")</f>
        <v/>
      </c>
      <c r="N94" s="969" t="str">
        <f>IFERROR(VLOOKUP($D94,'Piping Class'!$1:$1048576,MATCH($J94,'Piping Class'!$2:$2,0),0),"")</f>
        <v/>
      </c>
      <c r="O94" s="968" t="str">
        <f>IFERROR(VLOOKUP($D94,'Piping Class'!$88:$102,MATCH(O$1,'Piping Class'!$88:$88,0),0),"")</f>
        <v/>
      </c>
      <c r="P94" s="968" t="str">
        <f>IFERROR(VLOOKUP($D94,'Piping Class'!$88:$102,MATCH(P$1,'Piping Class'!$88:$88,0),0),"")</f>
        <v/>
      </c>
      <c r="Q94" s="983"/>
      <c r="R94" s="988"/>
      <c r="S94" s="969" t="str">
        <f t="shared" si="150"/>
        <v/>
      </c>
      <c r="T94" s="968">
        <f>IFERROR(VLOOKUP(I94&amp;"."&amp;L94,'Fitting Chart'!$1:$1048576,MATCH(C94,'Fitting Chart'!$1:$1,0),0),0)+IF(B94="piping",PI()*K94*(VLOOKUP(I94,'Thickness Tab'!$1:$1048576,3,0)-K94)*7.86/1000,0)+IF(B94="Flange",VLOOKUP(I94&amp;"F"&amp;F94,'Flanges Chart'!$1:$1048576,MATCH(C94&amp;"."&amp;T$1,'Flanges Chart'!$1:$1,0),0),0)</f>
        <v>0</v>
      </c>
      <c r="U94" s="989">
        <f t="shared" si="151"/>
        <v>0</v>
      </c>
      <c r="V94" s="1003"/>
      <c r="W94" s="1001">
        <f t="shared" si="152"/>
        <v>0</v>
      </c>
      <c r="X94" s="997"/>
      <c r="Y94" s="983"/>
      <c r="Z94" s="989">
        <f>IF(B94="Piping",VLOOKUP(I94,'Thickness Tab'!$1:$1048576,3,0)/1000*PI(),0)+IFERROR(VLOOKUP(I94&amp;"F"&amp;F94,'Flanges Chart'!$1:$1048576,MATCH(C94&amp;".Unit Surface",'Flanges Chart'!$1:$1,0),0),0)+IF(B94="Fitting",VLOOKUP(I94,'Thickness Tab'!$1:$1048576,3,0)/1000*PI(),0)</f>
        <v>0</v>
      </c>
      <c r="AA94" s="989">
        <f t="shared" si="153"/>
        <v>0</v>
      </c>
      <c r="AB94" s="983">
        <v>0</v>
      </c>
      <c r="AC94" s="989">
        <f t="shared" si="154"/>
        <v>0</v>
      </c>
      <c r="AD94" s="989">
        <f t="shared" si="155"/>
        <v>0</v>
      </c>
      <c r="AE94" s="974">
        <f>(IFERROR(VLOOKUP($C94,List!$J:$L,2,0),0)*R94+IF(B94="piping",R94,0)+IF(C94="Welding Neck",1,0)*R94)*$AE$2</f>
        <v>0</v>
      </c>
      <c r="AF94" s="970">
        <f>IFERROR(VLOOKUP($C94,List!$J:$L,3,0),0)*R94*$AF$2</f>
        <v>0</v>
      </c>
      <c r="AG94" s="990">
        <f t="shared" si="156"/>
        <v>0</v>
      </c>
      <c r="AH94" s="1118" t="str">
        <f>IFERROR(VLOOKUP($D94,'Piping Class'!$88:$102,MATCH(AH$1,'Piping Class'!$88:$88,0),0),"")</f>
        <v/>
      </c>
      <c r="AI94" s="991" t="str">
        <f>IFERROR(VLOOKUP($D94,'Piping Class'!$88:$102,MATCH(AI$1,'Piping Class'!$88:$88,0),0),"")</f>
        <v/>
      </c>
      <c r="AJ94" s="991" t="str">
        <f>IFERROR(VLOOKUP($D94,'Piping Class'!$88:$102,MATCH(AJ$1,'Piping Class'!$88:$88,0),0),"")</f>
        <v/>
      </c>
      <c r="AK94" s="991" t="str">
        <f>IFERROR(VLOOKUP($D94,'Piping Class'!$88:$102,MATCH(AK$1,'Piping Class'!$88:$88,0),0),"")</f>
        <v/>
      </c>
      <c r="AL94" s="991">
        <f t="shared" si="182"/>
        <v>0</v>
      </c>
      <c r="AM94" s="1119" t="str">
        <f>IFERROR(VLOOKUP($D94,'Piping Class'!$88:$102,MATCH(AM$1,'Piping Class'!$88:$88,0),0),"")</f>
        <v/>
      </c>
      <c r="AN94" s="992">
        <f t="shared" si="157"/>
        <v>0</v>
      </c>
      <c r="AO94" s="993">
        <f>IFERROR(VLOOKUP(I94&amp;"B"&amp;F94,'Bolting Chart'!$1:$1048576,4,0),0)</f>
        <v>0</v>
      </c>
      <c r="AP94" s="993">
        <f t="shared" si="158"/>
        <v>0</v>
      </c>
      <c r="AQ94" s="993">
        <f t="shared" si="159"/>
        <v>0</v>
      </c>
      <c r="AR94" s="993">
        <f>IF(AO94=0,0,VLOOKUP(D94&amp;".bolting",'Piping Class'!$1:$1048576,MATCH(I94,'Piping Class'!$2:$2,0),0))</f>
        <v>0</v>
      </c>
      <c r="AS94" s="994">
        <f>IFERROR(VLOOKUP(I94&amp;"B"&amp;F94,'Bolting Chart'!$1:$1048576,IF(AS$2="UNC",5,6),0),0)</f>
        <v>0</v>
      </c>
      <c r="AT94" s="995">
        <f>IFERROR(VLOOKUP(I94&amp;"B"&amp;F94,'Bolting Chart'!$1:$1048576,IF(G94="RF",8,9),0),0)</f>
        <v>0</v>
      </c>
      <c r="AU94" s="993">
        <f>IF(AO94=0,0,VLOOKUP(D94&amp;".gasket",'Piping Class'!$1:$1048576,MATCH(I94,'Piping Class'!$2:$2,0),0))</f>
        <v>0</v>
      </c>
      <c r="AV94" s="996">
        <f>(IFERROR(INDEX('Bolting Chart'!$A$169:$R$251,MATCH(AT94,'Bolting Chart'!$A$170:$A$251,0),MATCH(IFERROR(VLOOKUP(I94&amp;"B"&amp;F94,'Bolting Chart'!$1:$1048576,7,0),0)+0,'Bolting Chart'!$A$169:$R$169,0)),0))/100</f>
        <v>0</v>
      </c>
      <c r="AW94" s="996">
        <f t="shared" si="160"/>
        <v>0</v>
      </c>
      <c r="AX94" s="1194">
        <f t="shared" si="161"/>
        <v>0</v>
      </c>
      <c r="AY94" s="981"/>
      <c r="AZ94" s="1543">
        <f t="shared" si="189"/>
        <v>0</v>
      </c>
      <c r="BA94" s="1543">
        <f t="shared" si="189"/>
        <v>0</v>
      </c>
      <c r="BB94" s="1543">
        <f t="shared" si="189"/>
        <v>0</v>
      </c>
      <c r="BC94" s="1543">
        <f t="shared" si="189"/>
        <v>0</v>
      </c>
      <c r="BD94" s="1543">
        <f t="shared" si="189"/>
        <v>0</v>
      </c>
      <c r="BE94" s="1543">
        <f t="shared" si="189"/>
        <v>0</v>
      </c>
      <c r="BF94" s="1543">
        <f t="shared" si="189"/>
        <v>0</v>
      </c>
      <c r="BG94" s="1543">
        <f t="shared" si="189"/>
        <v>0</v>
      </c>
      <c r="BH94" s="1543">
        <f t="shared" si="189"/>
        <v>0</v>
      </c>
      <c r="BI94" s="1543">
        <f t="shared" si="189"/>
        <v>0</v>
      </c>
      <c r="BJ94" s="1543">
        <f t="shared" si="189"/>
        <v>0</v>
      </c>
      <c r="BK94" s="1543">
        <f t="shared" si="189"/>
        <v>0</v>
      </c>
      <c r="BL94" s="1543">
        <f t="shared" si="189"/>
        <v>0</v>
      </c>
      <c r="BM94" s="1543">
        <f t="shared" si="189"/>
        <v>0</v>
      </c>
      <c r="BN94" s="1543">
        <f t="shared" si="189"/>
        <v>0</v>
      </c>
      <c r="BO94" s="1543">
        <f t="shared" si="189"/>
        <v>0</v>
      </c>
      <c r="BP94" s="1543">
        <f t="shared" si="178"/>
        <v>0</v>
      </c>
      <c r="BQ94" s="1543">
        <f t="shared" si="178"/>
        <v>0</v>
      </c>
      <c r="BR94" s="1543">
        <f t="shared" si="178"/>
        <v>0</v>
      </c>
      <c r="BS94" s="1543">
        <f t="shared" si="178"/>
        <v>0</v>
      </c>
      <c r="BT94" s="1543">
        <f t="shared" si="178"/>
        <v>0</v>
      </c>
      <c r="BU94" s="1543">
        <f t="shared" si="178"/>
        <v>0</v>
      </c>
      <c r="BV94" s="1543">
        <f t="shared" si="178"/>
        <v>0</v>
      </c>
      <c r="BW94" s="1543">
        <f t="shared" si="178"/>
        <v>0</v>
      </c>
      <c r="BX94" s="1543">
        <f t="shared" si="178"/>
        <v>0</v>
      </c>
      <c r="BY94" s="1543">
        <f t="shared" si="178"/>
        <v>0</v>
      </c>
      <c r="BZ94" s="1543">
        <f t="shared" si="178"/>
        <v>0</v>
      </c>
      <c r="CB94" s="1543">
        <f t="shared" si="190"/>
        <v>0</v>
      </c>
      <c r="CC94" s="1543">
        <f t="shared" si="190"/>
        <v>0</v>
      </c>
      <c r="CD94" s="1543">
        <f t="shared" si="190"/>
        <v>0</v>
      </c>
      <c r="CE94" s="1543">
        <f t="shared" si="190"/>
        <v>0</v>
      </c>
      <c r="CF94" s="1543">
        <f t="shared" si="190"/>
        <v>0</v>
      </c>
      <c r="CG94" s="1543">
        <f t="shared" si="190"/>
        <v>0</v>
      </c>
      <c r="CH94" s="1543">
        <f t="shared" si="190"/>
        <v>0</v>
      </c>
      <c r="CI94" s="1543">
        <f t="shared" si="190"/>
        <v>0</v>
      </c>
      <c r="CJ94" s="1543">
        <f t="shared" si="190"/>
        <v>0</v>
      </c>
      <c r="CK94" s="1543">
        <f t="shared" si="190"/>
        <v>0</v>
      </c>
      <c r="CL94" s="1543">
        <f t="shared" si="190"/>
        <v>0</v>
      </c>
      <c r="CM94" s="1543">
        <f t="shared" si="190"/>
        <v>0</v>
      </c>
      <c r="CN94" s="1543">
        <f t="shared" si="190"/>
        <v>0</v>
      </c>
      <c r="CO94" s="1543">
        <f t="shared" si="190"/>
        <v>0</v>
      </c>
      <c r="CP94" s="1543">
        <f t="shared" si="190"/>
        <v>0</v>
      </c>
      <c r="CQ94" s="1543">
        <f t="shared" si="190"/>
        <v>0</v>
      </c>
      <c r="CR94" s="1543">
        <f t="shared" si="179"/>
        <v>0</v>
      </c>
      <c r="CS94" s="1543">
        <f t="shared" si="179"/>
        <v>0</v>
      </c>
      <c r="CT94" s="1543">
        <f t="shared" si="183"/>
        <v>0</v>
      </c>
      <c r="CU94" s="1543">
        <f t="shared" si="183"/>
        <v>0</v>
      </c>
      <c r="CV94" s="1543">
        <f t="shared" si="183"/>
        <v>0</v>
      </c>
      <c r="CW94" s="1543">
        <f t="shared" si="183"/>
        <v>0</v>
      </c>
      <c r="CX94" s="1543">
        <f t="shared" si="183"/>
        <v>0</v>
      </c>
      <c r="CY94" s="1543">
        <f t="shared" si="183"/>
        <v>0</v>
      </c>
      <c r="CZ94" s="1543">
        <f t="shared" si="183"/>
        <v>0</v>
      </c>
      <c r="DA94" s="1543">
        <f t="shared" si="183"/>
        <v>0</v>
      </c>
      <c r="DB94" s="1543">
        <f t="shared" si="183"/>
        <v>0</v>
      </c>
      <c r="DD94" s="1543">
        <f t="shared" si="147"/>
        <v>0</v>
      </c>
      <c r="DE94" s="1543">
        <f t="shared" si="148"/>
        <v>0</v>
      </c>
      <c r="DF94" s="1543">
        <f t="shared" si="149"/>
        <v>0</v>
      </c>
      <c r="DG94" s="1543">
        <f t="shared" si="162"/>
        <v>0</v>
      </c>
      <c r="DI94" s="1543">
        <f t="shared" si="163"/>
        <v>0</v>
      </c>
      <c r="DJ94" s="1543">
        <f t="shared" si="185"/>
        <v>0</v>
      </c>
      <c r="DK94" s="1543">
        <f t="shared" si="185"/>
        <v>0</v>
      </c>
      <c r="DL94" s="1543">
        <f t="shared" si="185"/>
        <v>0</v>
      </c>
      <c r="DM94" s="1543">
        <f t="shared" si="185"/>
        <v>0</v>
      </c>
      <c r="DO94" s="1543">
        <f t="shared" si="188"/>
        <v>0</v>
      </c>
      <c r="DP94" s="1543">
        <f t="shared" si="188"/>
        <v>0</v>
      </c>
      <c r="DQ94" s="1543">
        <f t="shared" si="188"/>
        <v>0</v>
      </c>
      <c r="DR94" s="1543">
        <f t="shared" si="188"/>
        <v>0</v>
      </c>
      <c r="DS94" s="1543">
        <f t="shared" si="188"/>
        <v>0</v>
      </c>
      <c r="DT94" s="1543">
        <f t="shared" si="188"/>
        <v>0</v>
      </c>
      <c r="DU94" s="1543">
        <f t="shared" si="188"/>
        <v>0</v>
      </c>
      <c r="DV94" s="1543">
        <f t="shared" si="188"/>
        <v>0</v>
      </c>
      <c r="DW94" s="1543">
        <f t="shared" si="188"/>
        <v>0</v>
      </c>
      <c r="DX94" s="1543">
        <f t="shared" si="188"/>
        <v>0</v>
      </c>
      <c r="DY94" s="1543">
        <f t="shared" si="188"/>
        <v>0</v>
      </c>
      <c r="DZ94" s="1543">
        <f t="shared" si="188"/>
        <v>0</v>
      </c>
      <c r="EA94" s="1543">
        <f t="shared" si="188"/>
        <v>0</v>
      </c>
      <c r="EB94" s="1543">
        <f t="shared" si="180"/>
        <v>0</v>
      </c>
      <c r="EC94" s="1543">
        <f t="shared" si="180"/>
        <v>0</v>
      </c>
      <c r="ED94" s="1543">
        <f t="shared" si="180"/>
        <v>0</v>
      </c>
      <c r="EE94" s="1543">
        <f t="shared" si="180"/>
        <v>0</v>
      </c>
      <c r="EF94" s="1543">
        <f t="shared" si="180"/>
        <v>0</v>
      </c>
      <c r="EH94" s="1543">
        <f t="shared" si="165"/>
        <v>0</v>
      </c>
      <c r="EI94" s="1543">
        <f t="shared" si="166"/>
        <v>0</v>
      </c>
      <c r="EJ94" s="1543">
        <f t="shared" si="167"/>
        <v>0</v>
      </c>
      <c r="EK94" s="1543">
        <f t="shared" si="168"/>
        <v>0</v>
      </c>
      <c r="EL94" s="1543">
        <f t="shared" si="169"/>
        <v>0</v>
      </c>
      <c r="EM94" s="1543">
        <f t="shared" si="170"/>
        <v>0</v>
      </c>
      <c r="EN94" s="1543">
        <f t="shared" si="171"/>
        <v>0</v>
      </c>
      <c r="EP94" s="1543">
        <f t="shared" si="72"/>
        <v>0</v>
      </c>
      <c r="EQ94" s="1543">
        <f t="shared" si="72"/>
        <v>0</v>
      </c>
      <c r="ER94" s="1543">
        <f t="shared" si="72"/>
        <v>0</v>
      </c>
      <c r="ES94" s="1543">
        <f t="shared" si="72"/>
        <v>0</v>
      </c>
      <c r="ET94" s="1543">
        <f t="shared" si="181"/>
        <v>0</v>
      </c>
      <c r="EU94" s="1543">
        <f t="shared" si="181"/>
        <v>0</v>
      </c>
      <c r="EV94" s="1543">
        <f t="shared" si="181"/>
        <v>0</v>
      </c>
      <c r="EW94" s="1543">
        <f t="shared" si="181"/>
        <v>0</v>
      </c>
      <c r="EX94" s="1543">
        <f t="shared" si="181"/>
        <v>0</v>
      </c>
      <c r="EY94" s="1543">
        <f t="shared" si="181"/>
        <v>0</v>
      </c>
      <c r="EZ94" s="1543">
        <f t="shared" si="181"/>
        <v>0</v>
      </c>
      <c r="FA94" s="1543">
        <f t="shared" si="181"/>
        <v>0</v>
      </c>
      <c r="FB94" s="1543">
        <f t="shared" si="181"/>
        <v>0</v>
      </c>
      <c r="FC94" s="1543">
        <f t="shared" si="181"/>
        <v>0</v>
      </c>
      <c r="FD94" s="1543">
        <f t="shared" si="181"/>
        <v>0</v>
      </c>
      <c r="FE94" s="1543">
        <f t="shared" si="184"/>
        <v>0</v>
      </c>
      <c r="FF94" s="1543">
        <f t="shared" si="172"/>
        <v>1</v>
      </c>
      <c r="FH94" s="1543">
        <f t="shared" si="186"/>
        <v>0</v>
      </c>
      <c r="FI94" s="1543">
        <f t="shared" si="186"/>
        <v>0</v>
      </c>
      <c r="FJ94" s="1543">
        <f t="shared" si="186"/>
        <v>0</v>
      </c>
      <c r="FK94" s="1543">
        <f t="shared" si="186"/>
        <v>0</v>
      </c>
      <c r="FL94" s="1543">
        <f t="shared" si="186"/>
        <v>0</v>
      </c>
      <c r="FM94" s="1543">
        <f t="shared" si="186"/>
        <v>0</v>
      </c>
      <c r="FN94" s="1543">
        <f t="shared" si="186"/>
        <v>0</v>
      </c>
      <c r="FO94" s="1543">
        <f t="shared" si="186"/>
        <v>0</v>
      </c>
      <c r="FP94" s="1543">
        <f t="shared" si="186"/>
        <v>0</v>
      </c>
      <c r="FQ94" s="1543">
        <f t="shared" si="186"/>
        <v>0</v>
      </c>
      <c r="FR94" s="1543">
        <f t="shared" si="186"/>
        <v>0</v>
      </c>
      <c r="FS94" s="1543">
        <f t="shared" si="186"/>
        <v>0</v>
      </c>
      <c r="FT94" s="1543">
        <f t="shared" si="174"/>
        <v>0</v>
      </c>
      <c r="FV94" s="1543">
        <f t="shared" si="187"/>
        <v>1</v>
      </c>
      <c r="FW94" s="1543">
        <f t="shared" si="187"/>
        <v>0</v>
      </c>
      <c r="FX94" s="1543">
        <f t="shared" si="187"/>
        <v>0</v>
      </c>
      <c r="FY94" s="1543">
        <f t="shared" si="187"/>
        <v>0</v>
      </c>
      <c r="FZ94" s="1543">
        <f t="shared" si="187"/>
        <v>0</v>
      </c>
      <c r="GA94" s="1543">
        <f t="shared" si="187"/>
        <v>0</v>
      </c>
      <c r="GB94" s="1543">
        <f t="shared" si="187"/>
        <v>0</v>
      </c>
      <c r="GC94" s="1543">
        <f t="shared" si="187"/>
        <v>0</v>
      </c>
      <c r="GD94" s="1543">
        <f t="shared" si="187"/>
        <v>0</v>
      </c>
    </row>
    <row r="95" spans="1:186" s="982" customFormat="1" ht="15.6" x14ac:dyDescent="0.3">
      <c r="A95" s="974">
        <v>93</v>
      </c>
      <c r="B95" s="983"/>
      <c r="C95" s="984"/>
      <c r="D95" s="983"/>
      <c r="E95" s="968" t="str">
        <f>IFERROR(VLOOKUP($D95&amp;"."&amp;B95,'Piping Class'!$1:$1048576,MATCH($I95,'Piping Class'!$2:$2,0),0),"")</f>
        <v/>
      </c>
      <c r="F95" s="985" t="str">
        <f>IFERROR(IF(B95="Flange",VLOOKUP($D95,'Piping Class'!$88:$102,MATCH(F$1,'Piping Class'!$88:$88,0),0),""),"")</f>
        <v/>
      </c>
      <c r="G95" s="968" t="str">
        <f>IFERROR(IF(B95="Flange",VLOOKUP($D95,'Piping Class'!$88:$102,MATCH(G$1,'Piping Class'!$88:$88,0),0),""),"")</f>
        <v/>
      </c>
      <c r="H95" s="968" t="str">
        <f>IFERROR(VLOOKUP($D95,'Piping Class'!$88:$102,MATCH(H$1,'Piping Class'!$88:$88,0),0),"")</f>
        <v/>
      </c>
      <c r="I95" s="986"/>
      <c r="J95" s="987"/>
      <c r="K95" s="968" t="str">
        <f>IFERROR(VLOOKUP(I95,'Thickness Tab'!$1:$1048576,MATCH(L95,'Thickness Tab'!$1:$1,0),0),"")</f>
        <v/>
      </c>
      <c r="L95" s="969" t="str">
        <f>IFERROR(VLOOKUP($D95,'Piping Class'!$1:$1048576,MATCH($I95,'Piping Class'!$2:$2,0),0),"")</f>
        <v/>
      </c>
      <c r="M95" s="968" t="str">
        <f>IFERROR(VLOOKUP(J95,'Thickness Tab'!$1:$1048576,MATCH(N95,'Thickness Tab'!$1:$1,0),0),"")</f>
        <v/>
      </c>
      <c r="N95" s="969" t="str">
        <f>IFERROR(VLOOKUP($D95,'Piping Class'!$1:$1048576,MATCH($J95,'Piping Class'!$2:$2,0),0),"")</f>
        <v/>
      </c>
      <c r="O95" s="968" t="str">
        <f>IFERROR(VLOOKUP($D95,'Piping Class'!$88:$102,MATCH(O$1,'Piping Class'!$88:$88,0),0),"")</f>
        <v/>
      </c>
      <c r="P95" s="968" t="str">
        <f>IFERROR(VLOOKUP($D95,'Piping Class'!$88:$102,MATCH(P$1,'Piping Class'!$88:$88,0),0),"")</f>
        <v/>
      </c>
      <c r="Q95" s="983"/>
      <c r="R95" s="988"/>
      <c r="S95" s="969" t="str">
        <f t="shared" si="150"/>
        <v/>
      </c>
      <c r="T95" s="968">
        <f>IFERROR(VLOOKUP(I95&amp;"."&amp;L95,'Fitting Chart'!$1:$1048576,MATCH(C95,'Fitting Chart'!$1:$1,0),0),0)+IF(B95="piping",PI()*K95*(VLOOKUP(I95,'Thickness Tab'!$1:$1048576,3,0)-K95)*7.86/1000,0)+IF(B95="Flange",VLOOKUP(I95&amp;"F"&amp;F95,'Flanges Chart'!$1:$1048576,MATCH(C95&amp;"."&amp;T$1,'Flanges Chart'!$1:$1,0),0),0)</f>
        <v>0</v>
      </c>
      <c r="U95" s="989">
        <f t="shared" si="151"/>
        <v>0</v>
      </c>
      <c r="V95" s="1003"/>
      <c r="W95" s="1001">
        <f t="shared" si="152"/>
        <v>0</v>
      </c>
      <c r="X95" s="997"/>
      <c r="Y95" s="983"/>
      <c r="Z95" s="989">
        <f>IF(B95="Piping",VLOOKUP(I95,'Thickness Tab'!$1:$1048576,3,0)/1000*PI(),0)+IFERROR(VLOOKUP(I95&amp;"F"&amp;F95,'Flanges Chart'!$1:$1048576,MATCH(C95&amp;".Unit Surface",'Flanges Chart'!$1:$1,0),0),0)+IF(B95="Fitting",VLOOKUP(I95,'Thickness Tab'!$1:$1048576,3,0)/1000*PI(),0)</f>
        <v>0</v>
      </c>
      <c r="AA95" s="989">
        <f t="shared" si="153"/>
        <v>0</v>
      </c>
      <c r="AB95" s="983">
        <v>0</v>
      </c>
      <c r="AC95" s="989">
        <f t="shared" si="154"/>
        <v>0</v>
      </c>
      <c r="AD95" s="989">
        <f t="shared" si="155"/>
        <v>0</v>
      </c>
      <c r="AE95" s="974">
        <f>(IFERROR(VLOOKUP($C95,List!$J:$L,2,0),0)*R95+IF(B95="piping",R95,0)+IF(C95="Welding Neck",1,0)*R95)*$AE$2</f>
        <v>0</v>
      </c>
      <c r="AF95" s="970">
        <f>IFERROR(VLOOKUP($C95,List!$J:$L,3,0),0)*R95*$AF$2</f>
        <v>0</v>
      </c>
      <c r="AG95" s="990">
        <f t="shared" si="156"/>
        <v>0</v>
      </c>
      <c r="AH95" s="1118" t="str">
        <f>IFERROR(VLOOKUP($D95,'Piping Class'!$88:$102,MATCH(AH$1,'Piping Class'!$88:$88,0),0),"")</f>
        <v/>
      </c>
      <c r="AI95" s="991" t="str">
        <f>IFERROR(VLOOKUP($D95,'Piping Class'!$88:$102,MATCH(AI$1,'Piping Class'!$88:$88,0),0),"")</f>
        <v/>
      </c>
      <c r="AJ95" s="991" t="str">
        <f>IFERROR(VLOOKUP($D95,'Piping Class'!$88:$102,MATCH(AJ$1,'Piping Class'!$88:$88,0),0),"")</f>
        <v/>
      </c>
      <c r="AK95" s="991" t="str">
        <f>IFERROR(VLOOKUP($D95,'Piping Class'!$88:$102,MATCH(AK$1,'Piping Class'!$88:$88,0),0),"")</f>
        <v/>
      </c>
      <c r="AL95" s="991">
        <f t="shared" si="182"/>
        <v>0</v>
      </c>
      <c r="AM95" s="1119" t="str">
        <f>IFERROR(VLOOKUP($D95,'Piping Class'!$88:$102,MATCH(AM$1,'Piping Class'!$88:$88,0),0),"")</f>
        <v/>
      </c>
      <c r="AN95" s="992">
        <f t="shared" si="157"/>
        <v>0</v>
      </c>
      <c r="AO95" s="993">
        <f>IFERROR(VLOOKUP(I95&amp;"B"&amp;F95,'Bolting Chart'!$1:$1048576,4,0),0)</f>
        <v>0</v>
      </c>
      <c r="AP95" s="993">
        <f t="shared" si="158"/>
        <v>0</v>
      </c>
      <c r="AQ95" s="993">
        <f t="shared" si="159"/>
        <v>0</v>
      </c>
      <c r="AR95" s="993">
        <f>IF(AO95=0,0,VLOOKUP(D95&amp;".bolting",'Piping Class'!$1:$1048576,MATCH(I95,'Piping Class'!$2:$2,0),0))</f>
        <v>0</v>
      </c>
      <c r="AS95" s="994">
        <f>IFERROR(VLOOKUP(I95&amp;"B"&amp;F95,'Bolting Chart'!$1:$1048576,IF(AS$2="UNC",5,6),0),0)</f>
        <v>0</v>
      </c>
      <c r="AT95" s="995">
        <f>IFERROR(VLOOKUP(I95&amp;"B"&amp;F95,'Bolting Chart'!$1:$1048576,IF(G95="RF",8,9),0),0)</f>
        <v>0</v>
      </c>
      <c r="AU95" s="993">
        <f>IF(AO95=0,0,VLOOKUP(D95&amp;".gasket",'Piping Class'!$1:$1048576,MATCH(I95,'Piping Class'!$2:$2,0),0))</f>
        <v>0</v>
      </c>
      <c r="AV95" s="996">
        <f>(IFERROR(INDEX('Bolting Chart'!$A$169:$R$251,MATCH(AT95,'Bolting Chart'!$A$170:$A$251,0),MATCH(IFERROR(VLOOKUP(I95&amp;"B"&amp;F95,'Bolting Chart'!$1:$1048576,7,0),0)+0,'Bolting Chart'!$A$169:$R$169,0)),0))/100</f>
        <v>0</v>
      </c>
      <c r="AW95" s="996">
        <f t="shared" si="160"/>
        <v>0</v>
      </c>
      <c r="AX95" s="1194">
        <f t="shared" si="161"/>
        <v>0</v>
      </c>
      <c r="AY95" s="981"/>
      <c r="AZ95" s="1543">
        <f t="shared" si="189"/>
        <v>0</v>
      </c>
      <c r="BA95" s="1543">
        <f t="shared" si="189"/>
        <v>0</v>
      </c>
      <c r="BB95" s="1543">
        <f t="shared" si="189"/>
        <v>0</v>
      </c>
      <c r="BC95" s="1543">
        <f t="shared" si="189"/>
        <v>0</v>
      </c>
      <c r="BD95" s="1543">
        <f t="shared" si="189"/>
        <v>0</v>
      </c>
      <c r="BE95" s="1543">
        <f t="shared" si="189"/>
        <v>0</v>
      </c>
      <c r="BF95" s="1543">
        <f t="shared" si="189"/>
        <v>0</v>
      </c>
      <c r="BG95" s="1543">
        <f t="shared" si="189"/>
        <v>0</v>
      </c>
      <c r="BH95" s="1543">
        <f t="shared" si="189"/>
        <v>0</v>
      </c>
      <c r="BI95" s="1543">
        <f t="shared" si="189"/>
        <v>0</v>
      </c>
      <c r="BJ95" s="1543">
        <f t="shared" si="189"/>
        <v>0</v>
      </c>
      <c r="BK95" s="1543">
        <f t="shared" si="189"/>
        <v>0</v>
      </c>
      <c r="BL95" s="1543">
        <f t="shared" si="189"/>
        <v>0</v>
      </c>
      <c r="BM95" s="1543">
        <f t="shared" si="189"/>
        <v>0</v>
      </c>
      <c r="BN95" s="1543">
        <f t="shared" si="189"/>
        <v>0</v>
      </c>
      <c r="BO95" s="1543">
        <f t="shared" si="189"/>
        <v>0</v>
      </c>
      <c r="BP95" s="1543">
        <f t="shared" si="178"/>
        <v>0</v>
      </c>
      <c r="BQ95" s="1543">
        <f t="shared" si="178"/>
        <v>0</v>
      </c>
      <c r="BR95" s="1543">
        <f t="shared" si="178"/>
        <v>0</v>
      </c>
      <c r="BS95" s="1543">
        <f t="shared" si="178"/>
        <v>0</v>
      </c>
      <c r="BT95" s="1543">
        <f t="shared" si="178"/>
        <v>0</v>
      </c>
      <c r="BU95" s="1543">
        <f t="shared" si="178"/>
        <v>0</v>
      </c>
      <c r="BV95" s="1543">
        <f t="shared" si="178"/>
        <v>0</v>
      </c>
      <c r="BW95" s="1543">
        <f t="shared" si="178"/>
        <v>0</v>
      </c>
      <c r="BX95" s="1543">
        <f t="shared" si="178"/>
        <v>0</v>
      </c>
      <c r="BY95" s="1543">
        <f t="shared" si="178"/>
        <v>0</v>
      </c>
      <c r="BZ95" s="1543">
        <f t="shared" si="178"/>
        <v>0</v>
      </c>
      <c r="CB95" s="1543">
        <f t="shared" si="190"/>
        <v>0</v>
      </c>
      <c r="CC95" s="1543">
        <f t="shared" si="190"/>
        <v>0</v>
      </c>
      <c r="CD95" s="1543">
        <f t="shared" si="190"/>
        <v>0</v>
      </c>
      <c r="CE95" s="1543">
        <f t="shared" si="190"/>
        <v>0</v>
      </c>
      <c r="CF95" s="1543">
        <f t="shared" si="190"/>
        <v>0</v>
      </c>
      <c r="CG95" s="1543">
        <f t="shared" si="190"/>
        <v>0</v>
      </c>
      <c r="CH95" s="1543">
        <f t="shared" si="190"/>
        <v>0</v>
      </c>
      <c r="CI95" s="1543">
        <f t="shared" si="190"/>
        <v>0</v>
      </c>
      <c r="CJ95" s="1543">
        <f t="shared" si="190"/>
        <v>0</v>
      </c>
      <c r="CK95" s="1543">
        <f t="shared" si="190"/>
        <v>0</v>
      </c>
      <c r="CL95" s="1543">
        <f t="shared" si="190"/>
        <v>0</v>
      </c>
      <c r="CM95" s="1543">
        <f t="shared" si="190"/>
        <v>0</v>
      </c>
      <c r="CN95" s="1543">
        <f t="shared" si="190"/>
        <v>0</v>
      </c>
      <c r="CO95" s="1543">
        <f t="shared" si="190"/>
        <v>0</v>
      </c>
      <c r="CP95" s="1543">
        <f t="shared" si="190"/>
        <v>0</v>
      </c>
      <c r="CQ95" s="1543">
        <f t="shared" si="190"/>
        <v>0</v>
      </c>
      <c r="CR95" s="1543">
        <f t="shared" si="179"/>
        <v>0</v>
      </c>
      <c r="CS95" s="1543">
        <f t="shared" si="179"/>
        <v>0</v>
      </c>
      <c r="CT95" s="1543">
        <f t="shared" si="183"/>
        <v>0</v>
      </c>
      <c r="CU95" s="1543">
        <f t="shared" si="183"/>
        <v>0</v>
      </c>
      <c r="CV95" s="1543">
        <f t="shared" si="183"/>
        <v>0</v>
      </c>
      <c r="CW95" s="1543">
        <f t="shared" si="183"/>
        <v>0</v>
      </c>
      <c r="CX95" s="1543">
        <f t="shared" si="183"/>
        <v>0</v>
      </c>
      <c r="CY95" s="1543">
        <f t="shared" si="183"/>
        <v>0</v>
      </c>
      <c r="CZ95" s="1543">
        <f t="shared" si="183"/>
        <v>0</v>
      </c>
      <c r="DA95" s="1543">
        <f t="shared" si="183"/>
        <v>0</v>
      </c>
      <c r="DB95" s="1543">
        <f t="shared" si="183"/>
        <v>0</v>
      </c>
      <c r="DD95" s="1543">
        <f t="shared" si="147"/>
        <v>0</v>
      </c>
      <c r="DE95" s="1543">
        <f t="shared" si="148"/>
        <v>0</v>
      </c>
      <c r="DF95" s="1543">
        <f t="shared" si="149"/>
        <v>0</v>
      </c>
      <c r="DG95" s="1543">
        <f t="shared" si="162"/>
        <v>0</v>
      </c>
      <c r="DI95" s="1543">
        <f t="shared" si="163"/>
        <v>0</v>
      </c>
      <c r="DJ95" s="1543">
        <f t="shared" si="185"/>
        <v>0</v>
      </c>
      <c r="DK95" s="1543">
        <f t="shared" si="185"/>
        <v>0</v>
      </c>
      <c r="DL95" s="1543">
        <f t="shared" si="185"/>
        <v>0</v>
      </c>
      <c r="DM95" s="1543">
        <f t="shared" si="185"/>
        <v>0</v>
      </c>
      <c r="DO95" s="1543">
        <f t="shared" si="188"/>
        <v>0</v>
      </c>
      <c r="DP95" s="1543">
        <f t="shared" si="188"/>
        <v>0</v>
      </c>
      <c r="DQ95" s="1543">
        <f t="shared" si="188"/>
        <v>0</v>
      </c>
      <c r="DR95" s="1543">
        <f t="shared" si="188"/>
        <v>0</v>
      </c>
      <c r="DS95" s="1543">
        <f t="shared" si="188"/>
        <v>0</v>
      </c>
      <c r="DT95" s="1543">
        <f t="shared" si="188"/>
        <v>0</v>
      </c>
      <c r="DU95" s="1543">
        <f t="shared" si="188"/>
        <v>0</v>
      </c>
      <c r="DV95" s="1543">
        <f t="shared" si="188"/>
        <v>0</v>
      </c>
      <c r="DW95" s="1543">
        <f t="shared" si="188"/>
        <v>0</v>
      </c>
      <c r="DX95" s="1543">
        <f t="shared" si="188"/>
        <v>0</v>
      </c>
      <c r="DY95" s="1543">
        <f t="shared" si="188"/>
        <v>0</v>
      </c>
      <c r="DZ95" s="1543">
        <f t="shared" si="188"/>
        <v>0</v>
      </c>
      <c r="EA95" s="1543">
        <f t="shared" si="188"/>
        <v>0</v>
      </c>
      <c r="EB95" s="1543">
        <f t="shared" si="180"/>
        <v>0</v>
      </c>
      <c r="EC95" s="1543">
        <f t="shared" si="180"/>
        <v>0</v>
      </c>
      <c r="ED95" s="1543">
        <f t="shared" si="180"/>
        <v>0</v>
      </c>
      <c r="EE95" s="1543">
        <f t="shared" si="180"/>
        <v>0</v>
      </c>
      <c r="EF95" s="1543">
        <f t="shared" si="180"/>
        <v>0</v>
      </c>
      <c r="EH95" s="1543">
        <f t="shared" si="165"/>
        <v>0</v>
      </c>
      <c r="EI95" s="1543">
        <f t="shared" si="166"/>
        <v>0</v>
      </c>
      <c r="EJ95" s="1543">
        <f t="shared" si="167"/>
        <v>0</v>
      </c>
      <c r="EK95" s="1543">
        <f t="shared" si="168"/>
        <v>0</v>
      </c>
      <c r="EL95" s="1543">
        <f t="shared" si="169"/>
        <v>0</v>
      </c>
      <c r="EM95" s="1543">
        <f t="shared" si="170"/>
        <v>0</v>
      </c>
      <c r="EN95" s="1543">
        <f t="shared" si="171"/>
        <v>0</v>
      </c>
      <c r="EP95" s="1543">
        <f t="shared" si="72"/>
        <v>0</v>
      </c>
      <c r="EQ95" s="1543">
        <f t="shared" si="72"/>
        <v>0</v>
      </c>
      <c r="ER95" s="1543">
        <f t="shared" si="72"/>
        <v>0</v>
      </c>
      <c r="ES95" s="1543">
        <f t="shared" si="72"/>
        <v>0</v>
      </c>
      <c r="ET95" s="1543">
        <f t="shared" si="181"/>
        <v>0</v>
      </c>
      <c r="EU95" s="1543">
        <f t="shared" si="181"/>
        <v>0</v>
      </c>
      <c r="EV95" s="1543">
        <f t="shared" si="181"/>
        <v>0</v>
      </c>
      <c r="EW95" s="1543">
        <f t="shared" si="181"/>
        <v>0</v>
      </c>
      <c r="EX95" s="1543">
        <f t="shared" si="181"/>
        <v>0</v>
      </c>
      <c r="EY95" s="1543">
        <f t="shared" si="181"/>
        <v>0</v>
      </c>
      <c r="EZ95" s="1543">
        <f t="shared" si="181"/>
        <v>0</v>
      </c>
      <c r="FA95" s="1543">
        <f t="shared" si="181"/>
        <v>0</v>
      </c>
      <c r="FB95" s="1543">
        <f t="shared" si="181"/>
        <v>0</v>
      </c>
      <c r="FC95" s="1543">
        <f t="shared" si="181"/>
        <v>0</v>
      </c>
      <c r="FD95" s="1543">
        <f t="shared" si="181"/>
        <v>0</v>
      </c>
      <c r="FE95" s="1543">
        <f t="shared" si="184"/>
        <v>0</v>
      </c>
      <c r="FF95" s="1543">
        <f t="shared" si="172"/>
        <v>1</v>
      </c>
      <c r="FH95" s="1543">
        <f t="shared" si="186"/>
        <v>0</v>
      </c>
      <c r="FI95" s="1543">
        <f t="shared" si="186"/>
        <v>0</v>
      </c>
      <c r="FJ95" s="1543">
        <f t="shared" si="186"/>
        <v>0</v>
      </c>
      <c r="FK95" s="1543">
        <f t="shared" si="186"/>
        <v>0</v>
      </c>
      <c r="FL95" s="1543">
        <f t="shared" si="186"/>
        <v>0</v>
      </c>
      <c r="FM95" s="1543">
        <f t="shared" si="186"/>
        <v>0</v>
      </c>
      <c r="FN95" s="1543">
        <f t="shared" si="186"/>
        <v>0</v>
      </c>
      <c r="FO95" s="1543">
        <f t="shared" si="186"/>
        <v>0</v>
      </c>
      <c r="FP95" s="1543">
        <f t="shared" si="186"/>
        <v>0</v>
      </c>
      <c r="FQ95" s="1543">
        <f t="shared" si="186"/>
        <v>0</v>
      </c>
      <c r="FR95" s="1543">
        <f t="shared" si="186"/>
        <v>0</v>
      </c>
      <c r="FS95" s="1543">
        <f t="shared" si="186"/>
        <v>0</v>
      </c>
      <c r="FT95" s="1543">
        <f t="shared" si="174"/>
        <v>0</v>
      </c>
      <c r="FV95" s="1543">
        <f t="shared" si="187"/>
        <v>1</v>
      </c>
      <c r="FW95" s="1543">
        <f t="shared" si="187"/>
        <v>0</v>
      </c>
      <c r="FX95" s="1543">
        <f t="shared" si="187"/>
        <v>0</v>
      </c>
      <c r="FY95" s="1543">
        <f t="shared" si="187"/>
        <v>0</v>
      </c>
      <c r="FZ95" s="1543">
        <f t="shared" si="187"/>
        <v>0</v>
      </c>
      <c r="GA95" s="1543">
        <f t="shared" si="187"/>
        <v>0</v>
      </c>
      <c r="GB95" s="1543">
        <f t="shared" si="187"/>
        <v>0</v>
      </c>
      <c r="GC95" s="1543">
        <f t="shared" si="187"/>
        <v>0</v>
      </c>
      <c r="GD95" s="1543">
        <f t="shared" si="187"/>
        <v>0</v>
      </c>
    </row>
    <row r="96" spans="1:186" s="982" customFormat="1" ht="15.6" x14ac:dyDescent="0.3">
      <c r="A96" s="974">
        <v>94</v>
      </c>
      <c r="B96" s="983"/>
      <c r="C96" s="984"/>
      <c r="D96" s="983"/>
      <c r="E96" s="968" t="str">
        <f>IFERROR(VLOOKUP($D96&amp;"."&amp;B96,'Piping Class'!$1:$1048576,MATCH($I96,'Piping Class'!$2:$2,0),0),"")</f>
        <v/>
      </c>
      <c r="F96" s="985" t="str">
        <f>IFERROR(IF(B96="Flange",VLOOKUP($D96,'Piping Class'!$88:$102,MATCH(F$1,'Piping Class'!$88:$88,0),0),""),"")</f>
        <v/>
      </c>
      <c r="G96" s="968" t="str">
        <f>IFERROR(IF(B96="Flange",VLOOKUP($D96,'Piping Class'!$88:$102,MATCH(G$1,'Piping Class'!$88:$88,0),0),""),"")</f>
        <v/>
      </c>
      <c r="H96" s="968" t="str">
        <f>IFERROR(VLOOKUP($D96,'Piping Class'!$88:$102,MATCH(H$1,'Piping Class'!$88:$88,0),0),"")</f>
        <v/>
      </c>
      <c r="I96" s="986"/>
      <c r="J96" s="987"/>
      <c r="K96" s="968" t="str">
        <f>IFERROR(VLOOKUP(I96,'Thickness Tab'!$1:$1048576,MATCH(L96,'Thickness Tab'!$1:$1,0),0),"")</f>
        <v/>
      </c>
      <c r="L96" s="969" t="str">
        <f>IFERROR(VLOOKUP($D96,'Piping Class'!$1:$1048576,MATCH($I96,'Piping Class'!$2:$2,0),0),"")</f>
        <v/>
      </c>
      <c r="M96" s="968" t="str">
        <f>IFERROR(VLOOKUP(J96,'Thickness Tab'!$1:$1048576,MATCH(N96,'Thickness Tab'!$1:$1,0),0),"")</f>
        <v/>
      </c>
      <c r="N96" s="969" t="str">
        <f>IFERROR(VLOOKUP($D96,'Piping Class'!$1:$1048576,MATCH($J96,'Piping Class'!$2:$2,0),0),"")</f>
        <v/>
      </c>
      <c r="O96" s="968" t="str">
        <f>IFERROR(VLOOKUP($D96,'Piping Class'!$88:$102,MATCH(O$1,'Piping Class'!$88:$88,0),0),"")</f>
        <v/>
      </c>
      <c r="P96" s="968" t="str">
        <f>IFERROR(VLOOKUP($D96,'Piping Class'!$88:$102,MATCH(P$1,'Piping Class'!$88:$88,0),0),"")</f>
        <v/>
      </c>
      <c r="Q96" s="983"/>
      <c r="R96" s="988"/>
      <c r="S96" s="969" t="str">
        <f t="shared" si="150"/>
        <v/>
      </c>
      <c r="T96" s="968">
        <f>IFERROR(VLOOKUP(I96&amp;"."&amp;L96,'Fitting Chart'!$1:$1048576,MATCH(C96,'Fitting Chart'!$1:$1,0),0),0)+IF(B96="piping",PI()*K96*(VLOOKUP(I96,'Thickness Tab'!$1:$1048576,3,0)-K96)*7.86/1000,0)+IF(B96="Flange",VLOOKUP(I96&amp;"F"&amp;F96,'Flanges Chart'!$1:$1048576,MATCH(C96&amp;"."&amp;T$1,'Flanges Chart'!$1:$1,0),0),0)</f>
        <v>0</v>
      </c>
      <c r="U96" s="989">
        <f t="shared" si="151"/>
        <v>0</v>
      </c>
      <c r="V96" s="1003"/>
      <c r="W96" s="1001">
        <f t="shared" si="152"/>
        <v>0</v>
      </c>
      <c r="X96" s="997"/>
      <c r="Y96" s="983"/>
      <c r="Z96" s="989">
        <f>IF(B96="Piping",VLOOKUP(I96,'Thickness Tab'!$1:$1048576,3,0)/1000*PI(),0)+IFERROR(VLOOKUP(I96&amp;"F"&amp;F96,'Flanges Chart'!$1:$1048576,MATCH(C96&amp;".Unit Surface",'Flanges Chart'!$1:$1,0),0),0)+IF(B96="Fitting",VLOOKUP(I96,'Thickness Tab'!$1:$1048576,3,0)/1000*PI(),0)</f>
        <v>0</v>
      </c>
      <c r="AA96" s="989">
        <f t="shared" si="153"/>
        <v>0</v>
      </c>
      <c r="AB96" s="983">
        <v>0</v>
      </c>
      <c r="AC96" s="989">
        <f t="shared" si="154"/>
        <v>0</v>
      </c>
      <c r="AD96" s="989">
        <f t="shared" si="155"/>
        <v>0</v>
      </c>
      <c r="AE96" s="974">
        <f>(IFERROR(VLOOKUP($C96,List!$J:$L,2,0),0)*R96+IF(B96="piping",R96,0)+IF(C96="Welding Neck",1,0)*R96)*$AE$2</f>
        <v>0</v>
      </c>
      <c r="AF96" s="970">
        <f>IFERROR(VLOOKUP($C96,List!$J:$L,3,0),0)*R96*$AF$2</f>
        <v>0</v>
      </c>
      <c r="AG96" s="990">
        <f t="shared" si="156"/>
        <v>0</v>
      </c>
      <c r="AH96" s="1118" t="str">
        <f>IFERROR(VLOOKUP($D96,'Piping Class'!$88:$102,MATCH(AH$1,'Piping Class'!$88:$88,0),0),"")</f>
        <v/>
      </c>
      <c r="AI96" s="991" t="str">
        <f>IFERROR(VLOOKUP($D96,'Piping Class'!$88:$102,MATCH(AI$1,'Piping Class'!$88:$88,0),0),"")</f>
        <v/>
      </c>
      <c r="AJ96" s="991" t="str">
        <f>IFERROR(VLOOKUP($D96,'Piping Class'!$88:$102,MATCH(AJ$1,'Piping Class'!$88:$88,0),0),"")</f>
        <v/>
      </c>
      <c r="AK96" s="991" t="str">
        <f>IFERROR(VLOOKUP($D96,'Piping Class'!$88:$102,MATCH(AK$1,'Piping Class'!$88:$88,0),0),"")</f>
        <v/>
      </c>
      <c r="AL96" s="991">
        <f t="shared" si="182"/>
        <v>0</v>
      </c>
      <c r="AM96" s="1119" t="str">
        <f>IFERROR(VLOOKUP($D96,'Piping Class'!$88:$102,MATCH(AM$1,'Piping Class'!$88:$88,0),0),"")</f>
        <v/>
      </c>
      <c r="AN96" s="992">
        <f t="shared" si="157"/>
        <v>0</v>
      </c>
      <c r="AO96" s="993">
        <f>IFERROR(VLOOKUP(I96&amp;"B"&amp;F96,'Bolting Chart'!$1:$1048576,4,0),0)</f>
        <v>0</v>
      </c>
      <c r="AP96" s="993">
        <f t="shared" si="158"/>
        <v>0</v>
      </c>
      <c r="AQ96" s="993">
        <f t="shared" si="159"/>
        <v>0</v>
      </c>
      <c r="AR96" s="993">
        <f>IF(AO96=0,0,VLOOKUP(D96&amp;".bolting",'Piping Class'!$1:$1048576,MATCH(I96,'Piping Class'!$2:$2,0),0))</f>
        <v>0</v>
      </c>
      <c r="AS96" s="994">
        <f>IFERROR(VLOOKUP(I96&amp;"B"&amp;F96,'Bolting Chart'!$1:$1048576,IF(AS$2="UNC",5,6),0),0)</f>
        <v>0</v>
      </c>
      <c r="AT96" s="995">
        <f>IFERROR(VLOOKUP(I96&amp;"B"&amp;F96,'Bolting Chart'!$1:$1048576,IF(G96="RF",8,9),0),0)</f>
        <v>0</v>
      </c>
      <c r="AU96" s="993">
        <f>IF(AO96=0,0,VLOOKUP(D96&amp;".gasket",'Piping Class'!$1:$1048576,MATCH(I96,'Piping Class'!$2:$2,0),0))</f>
        <v>0</v>
      </c>
      <c r="AV96" s="996">
        <f>(IFERROR(INDEX('Bolting Chart'!$A$169:$R$251,MATCH(AT96,'Bolting Chart'!$A$170:$A$251,0),MATCH(IFERROR(VLOOKUP(I96&amp;"B"&amp;F96,'Bolting Chart'!$1:$1048576,7,0),0)+0,'Bolting Chart'!$A$169:$R$169,0)),0))/100</f>
        <v>0</v>
      </c>
      <c r="AW96" s="996">
        <f t="shared" si="160"/>
        <v>0</v>
      </c>
      <c r="AX96" s="1194">
        <f t="shared" si="161"/>
        <v>0</v>
      </c>
      <c r="AY96" s="981"/>
      <c r="AZ96" s="1543">
        <f t="shared" si="189"/>
        <v>0</v>
      </c>
      <c r="BA96" s="1543">
        <f t="shared" si="189"/>
        <v>0</v>
      </c>
      <c r="BB96" s="1543">
        <f t="shared" si="189"/>
        <v>0</v>
      </c>
      <c r="BC96" s="1543">
        <f t="shared" si="189"/>
        <v>0</v>
      </c>
      <c r="BD96" s="1543">
        <f t="shared" si="189"/>
        <v>0</v>
      </c>
      <c r="BE96" s="1543">
        <f t="shared" si="189"/>
        <v>0</v>
      </c>
      <c r="BF96" s="1543">
        <f t="shared" si="189"/>
        <v>0</v>
      </c>
      <c r="BG96" s="1543">
        <f t="shared" si="189"/>
        <v>0</v>
      </c>
      <c r="BH96" s="1543">
        <f t="shared" si="189"/>
        <v>0</v>
      </c>
      <c r="BI96" s="1543">
        <f t="shared" si="189"/>
        <v>0</v>
      </c>
      <c r="BJ96" s="1543">
        <f t="shared" si="189"/>
        <v>0</v>
      </c>
      <c r="BK96" s="1543">
        <f t="shared" si="189"/>
        <v>0</v>
      </c>
      <c r="BL96" s="1543">
        <f t="shared" si="189"/>
        <v>0</v>
      </c>
      <c r="BM96" s="1543">
        <f t="shared" si="189"/>
        <v>0</v>
      </c>
      <c r="BN96" s="1543">
        <f t="shared" si="189"/>
        <v>0</v>
      </c>
      <c r="BO96" s="1543">
        <f t="shared" si="189"/>
        <v>0</v>
      </c>
      <c r="BP96" s="1543">
        <f t="shared" si="178"/>
        <v>0</v>
      </c>
      <c r="BQ96" s="1543">
        <f t="shared" si="178"/>
        <v>0</v>
      </c>
      <c r="BR96" s="1543">
        <f t="shared" si="178"/>
        <v>0</v>
      </c>
      <c r="BS96" s="1543">
        <f t="shared" si="178"/>
        <v>0</v>
      </c>
      <c r="BT96" s="1543">
        <f t="shared" si="178"/>
        <v>0</v>
      </c>
      <c r="BU96" s="1543">
        <f t="shared" si="178"/>
        <v>0</v>
      </c>
      <c r="BV96" s="1543">
        <f t="shared" si="178"/>
        <v>0</v>
      </c>
      <c r="BW96" s="1543">
        <f t="shared" si="178"/>
        <v>0</v>
      </c>
      <c r="BX96" s="1543">
        <f t="shared" si="178"/>
        <v>0</v>
      </c>
      <c r="BY96" s="1543">
        <f t="shared" si="178"/>
        <v>0</v>
      </c>
      <c r="BZ96" s="1543">
        <f t="shared" ref="BR96:BZ111" si="191">IF($I96=BZ$2,1,0)</f>
        <v>0</v>
      </c>
      <c r="CB96" s="1543">
        <f t="shared" si="190"/>
        <v>0</v>
      </c>
      <c r="CC96" s="1543">
        <f t="shared" si="190"/>
        <v>0</v>
      </c>
      <c r="CD96" s="1543">
        <f t="shared" si="190"/>
        <v>0</v>
      </c>
      <c r="CE96" s="1543">
        <f t="shared" si="190"/>
        <v>0</v>
      </c>
      <c r="CF96" s="1543">
        <f t="shared" si="190"/>
        <v>0</v>
      </c>
      <c r="CG96" s="1543">
        <f t="shared" si="190"/>
        <v>0</v>
      </c>
      <c r="CH96" s="1543">
        <f t="shared" si="190"/>
        <v>0</v>
      </c>
      <c r="CI96" s="1543">
        <f t="shared" si="190"/>
        <v>0</v>
      </c>
      <c r="CJ96" s="1543">
        <f t="shared" si="190"/>
        <v>0</v>
      </c>
      <c r="CK96" s="1543">
        <f t="shared" si="190"/>
        <v>0</v>
      </c>
      <c r="CL96" s="1543">
        <f t="shared" si="190"/>
        <v>0</v>
      </c>
      <c r="CM96" s="1543">
        <f t="shared" si="190"/>
        <v>0</v>
      </c>
      <c r="CN96" s="1543">
        <f t="shared" si="190"/>
        <v>0</v>
      </c>
      <c r="CO96" s="1543">
        <f t="shared" si="190"/>
        <v>0</v>
      </c>
      <c r="CP96" s="1543">
        <f t="shared" si="190"/>
        <v>0</v>
      </c>
      <c r="CQ96" s="1543">
        <f t="shared" si="190"/>
        <v>0</v>
      </c>
      <c r="CR96" s="1543">
        <f t="shared" si="179"/>
        <v>0</v>
      </c>
      <c r="CS96" s="1543">
        <f t="shared" si="179"/>
        <v>0</v>
      </c>
      <c r="CT96" s="1543">
        <f t="shared" si="183"/>
        <v>0</v>
      </c>
      <c r="CU96" s="1543">
        <f t="shared" si="183"/>
        <v>0</v>
      </c>
      <c r="CV96" s="1543">
        <f t="shared" si="183"/>
        <v>0</v>
      </c>
      <c r="CW96" s="1543">
        <f t="shared" si="183"/>
        <v>0</v>
      </c>
      <c r="CX96" s="1543">
        <f t="shared" si="183"/>
        <v>0</v>
      </c>
      <c r="CY96" s="1543">
        <f t="shared" si="183"/>
        <v>0</v>
      </c>
      <c r="CZ96" s="1543">
        <f t="shared" si="183"/>
        <v>0</v>
      </c>
      <c r="DA96" s="1543">
        <f t="shared" si="183"/>
        <v>0</v>
      </c>
      <c r="DB96" s="1543">
        <f t="shared" si="183"/>
        <v>0</v>
      </c>
      <c r="DD96" s="1543">
        <f t="shared" si="147"/>
        <v>0</v>
      </c>
      <c r="DE96" s="1543">
        <f t="shared" si="148"/>
        <v>0</v>
      </c>
      <c r="DF96" s="1543">
        <f t="shared" si="149"/>
        <v>0</v>
      </c>
      <c r="DG96" s="1543">
        <f t="shared" si="162"/>
        <v>0</v>
      </c>
      <c r="DI96" s="1543">
        <f t="shared" si="163"/>
        <v>0</v>
      </c>
      <c r="DJ96" s="1543">
        <f t="shared" si="185"/>
        <v>0</v>
      </c>
      <c r="DK96" s="1543">
        <f t="shared" si="185"/>
        <v>0</v>
      </c>
      <c r="DL96" s="1543">
        <f t="shared" si="185"/>
        <v>0</v>
      </c>
      <c r="DM96" s="1543">
        <f t="shared" si="185"/>
        <v>0</v>
      </c>
      <c r="DO96" s="1543">
        <f t="shared" si="188"/>
        <v>0</v>
      </c>
      <c r="DP96" s="1543">
        <f t="shared" si="188"/>
        <v>0</v>
      </c>
      <c r="DQ96" s="1543">
        <f t="shared" si="188"/>
        <v>0</v>
      </c>
      <c r="DR96" s="1543">
        <f t="shared" si="188"/>
        <v>0</v>
      </c>
      <c r="DS96" s="1543">
        <f t="shared" si="188"/>
        <v>0</v>
      </c>
      <c r="DT96" s="1543">
        <f t="shared" si="188"/>
        <v>0</v>
      </c>
      <c r="DU96" s="1543">
        <f t="shared" si="188"/>
        <v>0</v>
      </c>
      <c r="DV96" s="1543">
        <f t="shared" si="188"/>
        <v>0</v>
      </c>
      <c r="DW96" s="1543">
        <f t="shared" si="188"/>
        <v>0</v>
      </c>
      <c r="DX96" s="1543">
        <f t="shared" si="188"/>
        <v>0</v>
      </c>
      <c r="DY96" s="1543">
        <f t="shared" si="188"/>
        <v>0</v>
      </c>
      <c r="DZ96" s="1543">
        <f t="shared" si="188"/>
        <v>0</v>
      </c>
      <c r="EA96" s="1543">
        <f t="shared" si="188"/>
        <v>0</v>
      </c>
      <c r="EB96" s="1543">
        <f t="shared" si="180"/>
        <v>0</v>
      </c>
      <c r="EC96" s="1543">
        <f t="shared" si="180"/>
        <v>0</v>
      </c>
      <c r="ED96" s="1543">
        <f t="shared" si="180"/>
        <v>0</v>
      </c>
      <c r="EE96" s="1543">
        <f t="shared" si="180"/>
        <v>0</v>
      </c>
      <c r="EF96" s="1543">
        <f t="shared" si="180"/>
        <v>0</v>
      </c>
      <c r="EH96" s="1543">
        <f t="shared" si="165"/>
        <v>0</v>
      </c>
      <c r="EI96" s="1543">
        <f t="shared" si="166"/>
        <v>0</v>
      </c>
      <c r="EJ96" s="1543">
        <f t="shared" si="167"/>
        <v>0</v>
      </c>
      <c r="EK96" s="1543">
        <f t="shared" si="168"/>
        <v>0</v>
      </c>
      <c r="EL96" s="1543">
        <f t="shared" si="169"/>
        <v>0</v>
      </c>
      <c r="EM96" s="1543">
        <f t="shared" si="170"/>
        <v>0</v>
      </c>
      <c r="EN96" s="1543">
        <f t="shared" si="171"/>
        <v>0</v>
      </c>
      <c r="EP96" s="1543">
        <f t="shared" si="72"/>
        <v>0</v>
      </c>
      <c r="EQ96" s="1543">
        <f t="shared" si="72"/>
        <v>0</v>
      </c>
      <c r="ER96" s="1543">
        <f t="shared" si="72"/>
        <v>0</v>
      </c>
      <c r="ES96" s="1543">
        <f t="shared" si="72"/>
        <v>0</v>
      </c>
      <c r="ET96" s="1543">
        <f t="shared" si="181"/>
        <v>0</v>
      </c>
      <c r="EU96" s="1543">
        <f t="shared" si="181"/>
        <v>0</v>
      </c>
      <c r="EV96" s="1543">
        <f t="shared" si="181"/>
        <v>0</v>
      </c>
      <c r="EW96" s="1543">
        <f t="shared" si="181"/>
        <v>0</v>
      </c>
      <c r="EX96" s="1543">
        <f t="shared" si="181"/>
        <v>0</v>
      </c>
      <c r="EY96" s="1543">
        <f t="shared" si="181"/>
        <v>0</v>
      </c>
      <c r="EZ96" s="1543">
        <f t="shared" si="181"/>
        <v>0</v>
      </c>
      <c r="FA96" s="1543">
        <f t="shared" si="181"/>
        <v>0</v>
      </c>
      <c r="FB96" s="1543">
        <f t="shared" si="181"/>
        <v>0</v>
      </c>
      <c r="FC96" s="1543">
        <f t="shared" si="181"/>
        <v>0</v>
      </c>
      <c r="FD96" s="1543">
        <f t="shared" si="181"/>
        <v>0</v>
      </c>
      <c r="FE96" s="1543">
        <f t="shared" si="184"/>
        <v>0</v>
      </c>
      <c r="FF96" s="1543">
        <f t="shared" si="172"/>
        <v>1</v>
      </c>
      <c r="FH96" s="1543">
        <f t="shared" si="186"/>
        <v>0</v>
      </c>
      <c r="FI96" s="1543">
        <f t="shared" si="186"/>
        <v>0</v>
      </c>
      <c r="FJ96" s="1543">
        <f t="shared" si="186"/>
        <v>0</v>
      </c>
      <c r="FK96" s="1543">
        <f t="shared" si="186"/>
        <v>0</v>
      </c>
      <c r="FL96" s="1543">
        <f t="shared" si="186"/>
        <v>0</v>
      </c>
      <c r="FM96" s="1543">
        <f t="shared" si="186"/>
        <v>0</v>
      </c>
      <c r="FN96" s="1543">
        <f t="shared" si="186"/>
        <v>0</v>
      </c>
      <c r="FO96" s="1543">
        <f t="shared" si="186"/>
        <v>0</v>
      </c>
      <c r="FP96" s="1543">
        <f t="shared" si="186"/>
        <v>0</v>
      </c>
      <c r="FQ96" s="1543">
        <f t="shared" si="186"/>
        <v>0</v>
      </c>
      <c r="FR96" s="1543">
        <f t="shared" si="186"/>
        <v>0</v>
      </c>
      <c r="FS96" s="1543">
        <f t="shared" si="186"/>
        <v>0</v>
      </c>
      <c r="FT96" s="1543">
        <f t="shared" si="174"/>
        <v>0</v>
      </c>
      <c r="FV96" s="1543">
        <f t="shared" si="187"/>
        <v>1</v>
      </c>
      <c r="FW96" s="1543">
        <f t="shared" si="187"/>
        <v>0</v>
      </c>
      <c r="FX96" s="1543">
        <f t="shared" si="187"/>
        <v>0</v>
      </c>
      <c r="FY96" s="1543">
        <f t="shared" si="187"/>
        <v>0</v>
      </c>
      <c r="FZ96" s="1543">
        <f t="shared" si="187"/>
        <v>0</v>
      </c>
      <c r="GA96" s="1543">
        <f t="shared" si="187"/>
        <v>0</v>
      </c>
      <c r="GB96" s="1543">
        <f t="shared" si="187"/>
        <v>0</v>
      </c>
      <c r="GC96" s="1543">
        <f t="shared" si="187"/>
        <v>0</v>
      </c>
      <c r="GD96" s="1543">
        <f t="shared" si="187"/>
        <v>0</v>
      </c>
    </row>
    <row r="97" spans="1:186" s="982" customFormat="1" ht="15.6" x14ac:dyDescent="0.3">
      <c r="A97" s="974">
        <v>95</v>
      </c>
      <c r="B97" s="983"/>
      <c r="C97" s="984"/>
      <c r="D97" s="983"/>
      <c r="E97" s="968" t="str">
        <f>IFERROR(VLOOKUP($D97&amp;"."&amp;B97,'Piping Class'!$1:$1048576,MATCH($I97,'Piping Class'!$2:$2,0),0),"")</f>
        <v/>
      </c>
      <c r="F97" s="985" t="str">
        <f>IFERROR(IF(B97="Flange",VLOOKUP($D97,'Piping Class'!$88:$102,MATCH(F$1,'Piping Class'!$88:$88,0),0),""),"")</f>
        <v/>
      </c>
      <c r="G97" s="968" t="str">
        <f>IFERROR(IF(B97="Flange",VLOOKUP($D97,'Piping Class'!$88:$102,MATCH(G$1,'Piping Class'!$88:$88,0),0),""),"")</f>
        <v/>
      </c>
      <c r="H97" s="968" t="str">
        <f>IFERROR(VLOOKUP($D97,'Piping Class'!$88:$102,MATCH(H$1,'Piping Class'!$88:$88,0),0),"")</f>
        <v/>
      </c>
      <c r="I97" s="986"/>
      <c r="J97" s="987"/>
      <c r="K97" s="968" t="str">
        <f>IFERROR(VLOOKUP(I97,'Thickness Tab'!$1:$1048576,MATCH(L97,'Thickness Tab'!$1:$1,0),0),"")</f>
        <v/>
      </c>
      <c r="L97" s="969" t="str">
        <f>IFERROR(VLOOKUP($D97,'Piping Class'!$1:$1048576,MATCH($I97,'Piping Class'!$2:$2,0),0),"")</f>
        <v/>
      </c>
      <c r="M97" s="968" t="str">
        <f>IFERROR(VLOOKUP(J97,'Thickness Tab'!$1:$1048576,MATCH(N97,'Thickness Tab'!$1:$1,0),0),"")</f>
        <v/>
      </c>
      <c r="N97" s="969" t="str">
        <f>IFERROR(VLOOKUP($D97,'Piping Class'!$1:$1048576,MATCH($J97,'Piping Class'!$2:$2,0),0),"")</f>
        <v/>
      </c>
      <c r="O97" s="968" t="str">
        <f>IFERROR(VLOOKUP($D97,'Piping Class'!$88:$102,MATCH(O$1,'Piping Class'!$88:$88,0),0),"")</f>
        <v/>
      </c>
      <c r="P97" s="968" t="str">
        <f>IFERROR(VLOOKUP($D97,'Piping Class'!$88:$102,MATCH(P$1,'Piping Class'!$88:$88,0),0),"")</f>
        <v/>
      </c>
      <c r="Q97" s="983"/>
      <c r="R97" s="988"/>
      <c r="S97" s="969" t="str">
        <f t="shared" si="150"/>
        <v/>
      </c>
      <c r="T97" s="968">
        <f>IFERROR(VLOOKUP(I97&amp;"."&amp;L97,'Fitting Chart'!$1:$1048576,MATCH(C97,'Fitting Chart'!$1:$1,0),0),0)+IF(B97="piping",PI()*K97*(VLOOKUP(I97,'Thickness Tab'!$1:$1048576,3,0)-K97)*7.86/1000,0)+IF(B97="Flange",VLOOKUP(I97&amp;"F"&amp;F97,'Flanges Chart'!$1:$1048576,MATCH(C97&amp;"."&amp;T$1,'Flanges Chart'!$1:$1,0),0),0)</f>
        <v>0</v>
      </c>
      <c r="U97" s="989">
        <f t="shared" si="151"/>
        <v>0</v>
      </c>
      <c r="V97" s="1003"/>
      <c r="W97" s="1001">
        <f t="shared" si="152"/>
        <v>0</v>
      </c>
      <c r="X97" s="997"/>
      <c r="Y97" s="983"/>
      <c r="Z97" s="989">
        <f>IF(B97="Piping",VLOOKUP(I97,'Thickness Tab'!$1:$1048576,3,0)/1000*PI(),0)+IFERROR(VLOOKUP(I97&amp;"F"&amp;F97,'Flanges Chart'!$1:$1048576,MATCH(C97&amp;".Unit Surface",'Flanges Chart'!$1:$1,0),0),0)+IF(B97="Fitting",VLOOKUP(I97,'Thickness Tab'!$1:$1048576,3,0)/1000*PI(),0)</f>
        <v>0</v>
      </c>
      <c r="AA97" s="989">
        <f t="shared" si="153"/>
        <v>0</v>
      </c>
      <c r="AB97" s="983">
        <v>0</v>
      </c>
      <c r="AC97" s="989">
        <f t="shared" si="154"/>
        <v>0</v>
      </c>
      <c r="AD97" s="989">
        <f t="shared" si="155"/>
        <v>0</v>
      </c>
      <c r="AE97" s="974">
        <f>(IFERROR(VLOOKUP($C97,List!$J:$L,2,0),0)*R97+IF(B97="piping",R97,0)+IF(C97="Welding Neck",1,0)*R97)*$AE$2</f>
        <v>0</v>
      </c>
      <c r="AF97" s="970">
        <f>IFERROR(VLOOKUP($C97,List!$J:$L,3,0),0)*R97*$AF$2</f>
        <v>0</v>
      </c>
      <c r="AG97" s="990">
        <f t="shared" si="156"/>
        <v>0</v>
      </c>
      <c r="AH97" s="1118" t="str">
        <f>IFERROR(VLOOKUP($D97,'Piping Class'!$88:$102,MATCH(AH$1,'Piping Class'!$88:$88,0),0),"")</f>
        <v/>
      </c>
      <c r="AI97" s="991" t="str">
        <f>IFERROR(VLOOKUP($D97,'Piping Class'!$88:$102,MATCH(AI$1,'Piping Class'!$88:$88,0),0),"")</f>
        <v/>
      </c>
      <c r="AJ97" s="991" t="str">
        <f>IFERROR(VLOOKUP($D97,'Piping Class'!$88:$102,MATCH(AJ$1,'Piping Class'!$88:$88,0),0),"")</f>
        <v/>
      </c>
      <c r="AK97" s="991" t="str">
        <f>IFERROR(VLOOKUP($D97,'Piping Class'!$88:$102,MATCH(AK$1,'Piping Class'!$88:$88,0),0),"")</f>
        <v/>
      </c>
      <c r="AL97" s="991">
        <f t="shared" si="182"/>
        <v>0</v>
      </c>
      <c r="AM97" s="1119" t="str">
        <f>IFERROR(VLOOKUP($D97,'Piping Class'!$88:$102,MATCH(AM$1,'Piping Class'!$88:$88,0),0),"")</f>
        <v/>
      </c>
      <c r="AN97" s="992">
        <f t="shared" si="157"/>
        <v>0</v>
      </c>
      <c r="AO97" s="993">
        <f>IFERROR(VLOOKUP(I97&amp;"B"&amp;F97,'Bolting Chart'!$1:$1048576,4,0),0)</f>
        <v>0</v>
      </c>
      <c r="AP97" s="993">
        <f t="shared" si="158"/>
        <v>0</v>
      </c>
      <c r="AQ97" s="993">
        <f t="shared" si="159"/>
        <v>0</v>
      </c>
      <c r="AR97" s="993">
        <f>IF(AO97=0,0,VLOOKUP(D97&amp;".bolting",'Piping Class'!$1:$1048576,MATCH(I97,'Piping Class'!$2:$2,0),0))</f>
        <v>0</v>
      </c>
      <c r="AS97" s="994">
        <f>IFERROR(VLOOKUP(I97&amp;"B"&amp;F97,'Bolting Chart'!$1:$1048576,IF(AS$2="UNC",5,6),0),0)</f>
        <v>0</v>
      </c>
      <c r="AT97" s="995">
        <f>IFERROR(VLOOKUP(I97&amp;"B"&amp;F97,'Bolting Chart'!$1:$1048576,IF(G97="RF",8,9),0),0)</f>
        <v>0</v>
      </c>
      <c r="AU97" s="993">
        <f>IF(AO97=0,0,VLOOKUP(D97&amp;".gasket",'Piping Class'!$1:$1048576,MATCH(I97,'Piping Class'!$2:$2,0),0))</f>
        <v>0</v>
      </c>
      <c r="AV97" s="996">
        <f>(IFERROR(INDEX('Bolting Chart'!$A$169:$R$251,MATCH(AT97,'Bolting Chart'!$A$170:$A$251,0),MATCH(IFERROR(VLOOKUP(I97&amp;"B"&amp;F97,'Bolting Chart'!$1:$1048576,7,0),0)+0,'Bolting Chart'!$A$169:$R$169,0)),0))/100</f>
        <v>0</v>
      </c>
      <c r="AW97" s="996">
        <f t="shared" si="160"/>
        <v>0</v>
      </c>
      <c r="AX97" s="1194">
        <f t="shared" si="161"/>
        <v>0</v>
      </c>
      <c r="AY97" s="981"/>
      <c r="AZ97" s="1543">
        <f t="shared" si="189"/>
        <v>0</v>
      </c>
      <c r="BA97" s="1543">
        <f t="shared" si="189"/>
        <v>0</v>
      </c>
      <c r="BB97" s="1543">
        <f t="shared" si="189"/>
        <v>0</v>
      </c>
      <c r="BC97" s="1543">
        <f t="shared" si="189"/>
        <v>0</v>
      </c>
      <c r="BD97" s="1543">
        <f t="shared" si="189"/>
        <v>0</v>
      </c>
      <c r="BE97" s="1543">
        <f t="shared" si="189"/>
        <v>0</v>
      </c>
      <c r="BF97" s="1543">
        <f t="shared" si="189"/>
        <v>0</v>
      </c>
      <c r="BG97" s="1543">
        <f t="shared" si="189"/>
        <v>0</v>
      </c>
      <c r="BH97" s="1543">
        <f t="shared" si="189"/>
        <v>0</v>
      </c>
      <c r="BI97" s="1543">
        <f t="shared" si="189"/>
        <v>0</v>
      </c>
      <c r="BJ97" s="1543">
        <f t="shared" si="189"/>
        <v>0</v>
      </c>
      <c r="BK97" s="1543">
        <f t="shared" si="189"/>
        <v>0</v>
      </c>
      <c r="BL97" s="1543">
        <f t="shared" si="189"/>
        <v>0</v>
      </c>
      <c r="BM97" s="1543">
        <f t="shared" si="189"/>
        <v>0</v>
      </c>
      <c r="BN97" s="1543">
        <f t="shared" si="189"/>
        <v>0</v>
      </c>
      <c r="BO97" s="1543">
        <f t="shared" si="189"/>
        <v>0</v>
      </c>
      <c r="BP97" s="1543">
        <f t="shared" si="178"/>
        <v>0</v>
      </c>
      <c r="BQ97" s="1543">
        <f t="shared" si="178"/>
        <v>0</v>
      </c>
      <c r="BR97" s="1543">
        <f t="shared" si="191"/>
        <v>0</v>
      </c>
      <c r="BS97" s="1543">
        <f t="shared" si="191"/>
        <v>0</v>
      </c>
      <c r="BT97" s="1543">
        <f t="shared" si="191"/>
        <v>0</v>
      </c>
      <c r="BU97" s="1543">
        <f t="shared" si="191"/>
        <v>0</v>
      </c>
      <c r="BV97" s="1543">
        <f t="shared" si="191"/>
        <v>0</v>
      </c>
      <c r="BW97" s="1543">
        <f t="shared" si="191"/>
        <v>0</v>
      </c>
      <c r="BX97" s="1543">
        <f t="shared" si="191"/>
        <v>0</v>
      </c>
      <c r="BY97" s="1543">
        <f t="shared" si="191"/>
        <v>0</v>
      </c>
      <c r="BZ97" s="1543">
        <f t="shared" si="191"/>
        <v>0</v>
      </c>
      <c r="CB97" s="1543">
        <f t="shared" si="190"/>
        <v>0</v>
      </c>
      <c r="CC97" s="1543">
        <f t="shared" si="190"/>
        <v>0</v>
      </c>
      <c r="CD97" s="1543">
        <f t="shared" si="190"/>
        <v>0</v>
      </c>
      <c r="CE97" s="1543">
        <f t="shared" si="190"/>
        <v>0</v>
      </c>
      <c r="CF97" s="1543">
        <f t="shared" si="190"/>
        <v>0</v>
      </c>
      <c r="CG97" s="1543">
        <f t="shared" si="190"/>
        <v>0</v>
      </c>
      <c r="CH97" s="1543">
        <f t="shared" si="190"/>
        <v>0</v>
      </c>
      <c r="CI97" s="1543">
        <f t="shared" si="190"/>
        <v>0</v>
      </c>
      <c r="CJ97" s="1543">
        <f t="shared" si="190"/>
        <v>0</v>
      </c>
      <c r="CK97" s="1543">
        <f t="shared" si="190"/>
        <v>0</v>
      </c>
      <c r="CL97" s="1543">
        <f t="shared" si="190"/>
        <v>0</v>
      </c>
      <c r="CM97" s="1543">
        <f t="shared" si="190"/>
        <v>0</v>
      </c>
      <c r="CN97" s="1543">
        <f t="shared" si="190"/>
        <v>0</v>
      </c>
      <c r="CO97" s="1543">
        <f t="shared" si="190"/>
        <v>0</v>
      </c>
      <c r="CP97" s="1543">
        <f t="shared" si="190"/>
        <v>0</v>
      </c>
      <c r="CQ97" s="1543">
        <f t="shared" si="190"/>
        <v>0</v>
      </c>
      <c r="CR97" s="1543">
        <f t="shared" si="179"/>
        <v>0</v>
      </c>
      <c r="CS97" s="1543">
        <f t="shared" si="179"/>
        <v>0</v>
      </c>
      <c r="CT97" s="1543">
        <f t="shared" si="183"/>
        <v>0</v>
      </c>
      <c r="CU97" s="1543">
        <f t="shared" si="183"/>
        <v>0</v>
      </c>
      <c r="CV97" s="1543">
        <f t="shared" si="183"/>
        <v>0</v>
      </c>
      <c r="CW97" s="1543">
        <f t="shared" si="183"/>
        <v>0</v>
      </c>
      <c r="CX97" s="1543">
        <f t="shared" si="183"/>
        <v>0</v>
      </c>
      <c r="CY97" s="1543">
        <f t="shared" si="183"/>
        <v>0</v>
      </c>
      <c r="CZ97" s="1543">
        <f t="shared" si="183"/>
        <v>0</v>
      </c>
      <c r="DA97" s="1543">
        <f t="shared" si="183"/>
        <v>0</v>
      </c>
      <c r="DB97" s="1543">
        <f t="shared" si="183"/>
        <v>0</v>
      </c>
      <c r="DD97" s="1543">
        <f t="shared" si="147"/>
        <v>0</v>
      </c>
      <c r="DE97" s="1543">
        <f t="shared" si="148"/>
        <v>0</v>
      </c>
      <c r="DF97" s="1543">
        <f t="shared" si="149"/>
        <v>0</v>
      </c>
      <c r="DG97" s="1543">
        <f t="shared" si="162"/>
        <v>0</v>
      </c>
      <c r="DI97" s="1543">
        <f t="shared" si="163"/>
        <v>0</v>
      </c>
      <c r="DJ97" s="1543">
        <f t="shared" si="185"/>
        <v>0</v>
      </c>
      <c r="DK97" s="1543">
        <f t="shared" si="185"/>
        <v>0</v>
      </c>
      <c r="DL97" s="1543">
        <f t="shared" si="185"/>
        <v>0</v>
      </c>
      <c r="DM97" s="1543">
        <f t="shared" si="185"/>
        <v>0</v>
      </c>
      <c r="DO97" s="1543">
        <f t="shared" si="188"/>
        <v>0</v>
      </c>
      <c r="DP97" s="1543">
        <f t="shared" si="188"/>
        <v>0</v>
      </c>
      <c r="DQ97" s="1543">
        <f t="shared" si="188"/>
        <v>0</v>
      </c>
      <c r="DR97" s="1543">
        <f t="shared" si="188"/>
        <v>0</v>
      </c>
      <c r="DS97" s="1543">
        <f t="shared" si="188"/>
        <v>0</v>
      </c>
      <c r="DT97" s="1543">
        <f t="shared" si="188"/>
        <v>0</v>
      </c>
      <c r="DU97" s="1543">
        <f t="shared" si="188"/>
        <v>0</v>
      </c>
      <c r="DV97" s="1543">
        <f t="shared" si="188"/>
        <v>0</v>
      </c>
      <c r="DW97" s="1543">
        <f t="shared" si="188"/>
        <v>0</v>
      </c>
      <c r="DX97" s="1543">
        <f t="shared" si="188"/>
        <v>0</v>
      </c>
      <c r="DY97" s="1543">
        <f t="shared" si="188"/>
        <v>0</v>
      </c>
      <c r="DZ97" s="1543">
        <f t="shared" si="188"/>
        <v>0</v>
      </c>
      <c r="EA97" s="1543">
        <f t="shared" si="188"/>
        <v>0</v>
      </c>
      <c r="EB97" s="1543">
        <f t="shared" si="180"/>
        <v>0</v>
      </c>
      <c r="EC97" s="1543">
        <f t="shared" si="180"/>
        <v>0</v>
      </c>
      <c r="ED97" s="1543">
        <f t="shared" si="180"/>
        <v>0</v>
      </c>
      <c r="EE97" s="1543">
        <f t="shared" si="180"/>
        <v>0</v>
      </c>
      <c r="EF97" s="1543">
        <f t="shared" si="180"/>
        <v>0</v>
      </c>
      <c r="EH97" s="1543">
        <f t="shared" si="165"/>
        <v>0</v>
      </c>
      <c r="EI97" s="1543">
        <f t="shared" si="166"/>
        <v>0</v>
      </c>
      <c r="EJ97" s="1543">
        <f t="shared" si="167"/>
        <v>0</v>
      </c>
      <c r="EK97" s="1543">
        <f t="shared" si="168"/>
        <v>0</v>
      </c>
      <c r="EL97" s="1543">
        <f t="shared" si="169"/>
        <v>0</v>
      </c>
      <c r="EM97" s="1543">
        <f t="shared" si="170"/>
        <v>0</v>
      </c>
      <c r="EN97" s="1543">
        <f t="shared" si="171"/>
        <v>0</v>
      </c>
      <c r="EP97" s="1543">
        <f t="shared" si="72"/>
        <v>0</v>
      </c>
      <c r="EQ97" s="1543">
        <f t="shared" si="72"/>
        <v>0</v>
      </c>
      <c r="ER97" s="1543">
        <f t="shared" si="72"/>
        <v>0</v>
      </c>
      <c r="ES97" s="1543">
        <f t="shared" si="72"/>
        <v>0</v>
      </c>
      <c r="ET97" s="1543">
        <f t="shared" si="181"/>
        <v>0</v>
      </c>
      <c r="EU97" s="1543">
        <f t="shared" si="181"/>
        <v>0</v>
      </c>
      <c r="EV97" s="1543">
        <f t="shared" si="181"/>
        <v>0</v>
      </c>
      <c r="EW97" s="1543">
        <f t="shared" si="181"/>
        <v>0</v>
      </c>
      <c r="EX97" s="1543">
        <f t="shared" si="181"/>
        <v>0</v>
      </c>
      <c r="EY97" s="1543">
        <f t="shared" si="181"/>
        <v>0</v>
      </c>
      <c r="EZ97" s="1543">
        <f t="shared" si="181"/>
        <v>0</v>
      </c>
      <c r="FA97" s="1543">
        <f t="shared" si="181"/>
        <v>0</v>
      </c>
      <c r="FB97" s="1543">
        <f t="shared" si="181"/>
        <v>0</v>
      </c>
      <c r="FC97" s="1543">
        <f t="shared" si="181"/>
        <v>0</v>
      </c>
      <c r="FD97" s="1543">
        <f t="shared" si="181"/>
        <v>0</v>
      </c>
      <c r="FE97" s="1543">
        <f t="shared" si="184"/>
        <v>0</v>
      </c>
      <c r="FF97" s="1543">
        <f t="shared" si="172"/>
        <v>1</v>
      </c>
      <c r="FH97" s="1543">
        <f t="shared" si="186"/>
        <v>0</v>
      </c>
      <c r="FI97" s="1543">
        <f t="shared" si="186"/>
        <v>0</v>
      </c>
      <c r="FJ97" s="1543">
        <f t="shared" si="186"/>
        <v>0</v>
      </c>
      <c r="FK97" s="1543">
        <f t="shared" si="186"/>
        <v>0</v>
      </c>
      <c r="FL97" s="1543">
        <f t="shared" si="186"/>
        <v>0</v>
      </c>
      <c r="FM97" s="1543">
        <f t="shared" si="186"/>
        <v>0</v>
      </c>
      <c r="FN97" s="1543">
        <f t="shared" si="186"/>
        <v>0</v>
      </c>
      <c r="FO97" s="1543">
        <f t="shared" si="186"/>
        <v>0</v>
      </c>
      <c r="FP97" s="1543">
        <f t="shared" si="186"/>
        <v>0</v>
      </c>
      <c r="FQ97" s="1543">
        <f t="shared" si="186"/>
        <v>0</v>
      </c>
      <c r="FR97" s="1543">
        <f t="shared" si="186"/>
        <v>0</v>
      </c>
      <c r="FS97" s="1543">
        <f t="shared" si="186"/>
        <v>0</v>
      </c>
      <c r="FT97" s="1543">
        <f t="shared" si="174"/>
        <v>0</v>
      </c>
      <c r="FV97" s="1543">
        <f t="shared" si="187"/>
        <v>1</v>
      </c>
      <c r="FW97" s="1543">
        <f t="shared" si="187"/>
        <v>0</v>
      </c>
      <c r="FX97" s="1543">
        <f t="shared" si="187"/>
        <v>0</v>
      </c>
      <c r="FY97" s="1543">
        <f t="shared" si="187"/>
        <v>0</v>
      </c>
      <c r="FZ97" s="1543">
        <f t="shared" si="187"/>
        <v>0</v>
      </c>
      <c r="GA97" s="1543">
        <f t="shared" si="187"/>
        <v>0</v>
      </c>
      <c r="GB97" s="1543">
        <f t="shared" si="187"/>
        <v>0</v>
      </c>
      <c r="GC97" s="1543">
        <f t="shared" si="187"/>
        <v>0</v>
      </c>
      <c r="GD97" s="1543">
        <f t="shared" si="187"/>
        <v>0</v>
      </c>
    </row>
    <row r="98" spans="1:186" s="982" customFormat="1" ht="15.6" x14ac:dyDescent="0.3">
      <c r="A98" s="974">
        <v>96</v>
      </c>
      <c r="B98" s="983"/>
      <c r="C98" s="984"/>
      <c r="D98" s="983"/>
      <c r="E98" s="968" t="str">
        <f>IFERROR(VLOOKUP($D98&amp;"."&amp;B98,'Piping Class'!$1:$1048576,MATCH($I98,'Piping Class'!$2:$2,0),0),"")</f>
        <v/>
      </c>
      <c r="F98" s="985" t="str">
        <f>IFERROR(IF(B98="Flange",VLOOKUP($D98,'Piping Class'!$88:$102,MATCH(F$1,'Piping Class'!$88:$88,0),0),""),"")</f>
        <v/>
      </c>
      <c r="G98" s="968" t="str">
        <f>IFERROR(IF(B98="Flange",VLOOKUP($D98,'Piping Class'!$88:$102,MATCH(G$1,'Piping Class'!$88:$88,0),0),""),"")</f>
        <v/>
      </c>
      <c r="H98" s="968" t="str">
        <f>IFERROR(VLOOKUP($D98,'Piping Class'!$88:$102,MATCH(H$1,'Piping Class'!$88:$88,0),0),"")</f>
        <v/>
      </c>
      <c r="I98" s="986"/>
      <c r="J98" s="987"/>
      <c r="K98" s="968" t="str">
        <f>IFERROR(VLOOKUP(I98,'Thickness Tab'!$1:$1048576,MATCH(L98,'Thickness Tab'!$1:$1,0),0),"")</f>
        <v/>
      </c>
      <c r="L98" s="969" t="str">
        <f>IFERROR(VLOOKUP($D98,'Piping Class'!$1:$1048576,MATCH($I98,'Piping Class'!$2:$2,0),0),"")</f>
        <v/>
      </c>
      <c r="M98" s="968" t="str">
        <f>IFERROR(VLOOKUP(J98,'Thickness Tab'!$1:$1048576,MATCH(N98,'Thickness Tab'!$1:$1,0),0),"")</f>
        <v/>
      </c>
      <c r="N98" s="969" t="str">
        <f>IFERROR(VLOOKUP($D98,'Piping Class'!$1:$1048576,MATCH($J98,'Piping Class'!$2:$2,0),0),"")</f>
        <v/>
      </c>
      <c r="O98" s="968" t="str">
        <f>IFERROR(VLOOKUP($D98,'Piping Class'!$88:$102,MATCH(O$1,'Piping Class'!$88:$88,0),0),"")</f>
        <v/>
      </c>
      <c r="P98" s="968" t="str">
        <f>IFERROR(VLOOKUP($D98,'Piping Class'!$88:$102,MATCH(P$1,'Piping Class'!$88:$88,0),0),"")</f>
        <v/>
      </c>
      <c r="Q98" s="983"/>
      <c r="R98" s="988"/>
      <c r="S98" s="969" t="str">
        <f t="shared" si="150"/>
        <v/>
      </c>
      <c r="T98" s="968">
        <f>IFERROR(VLOOKUP(I98&amp;"."&amp;L98,'Fitting Chart'!$1:$1048576,MATCH(C98,'Fitting Chart'!$1:$1,0),0),0)+IF(B98="piping",PI()*K98*(VLOOKUP(I98,'Thickness Tab'!$1:$1048576,3,0)-K98)*7.86/1000,0)+IF(B98="Flange",VLOOKUP(I98&amp;"F"&amp;F98,'Flanges Chart'!$1:$1048576,MATCH(C98&amp;"."&amp;T$1,'Flanges Chart'!$1:$1,0),0),0)</f>
        <v>0</v>
      </c>
      <c r="U98" s="989">
        <f t="shared" si="151"/>
        <v>0</v>
      </c>
      <c r="V98" s="1003"/>
      <c r="W98" s="1001">
        <f t="shared" si="152"/>
        <v>0</v>
      </c>
      <c r="X98" s="997"/>
      <c r="Y98" s="983"/>
      <c r="Z98" s="989">
        <f>IF(B98="Piping",VLOOKUP(I98,'Thickness Tab'!$1:$1048576,3,0)/1000*PI(),0)+IFERROR(VLOOKUP(I98&amp;"F"&amp;F98,'Flanges Chart'!$1:$1048576,MATCH(C98&amp;".Unit Surface",'Flanges Chart'!$1:$1,0),0),0)+IF(B98="Fitting",VLOOKUP(I98,'Thickness Tab'!$1:$1048576,3,0)/1000*PI(),0)</f>
        <v>0</v>
      </c>
      <c r="AA98" s="989">
        <f t="shared" si="153"/>
        <v>0</v>
      </c>
      <c r="AB98" s="983">
        <v>0</v>
      </c>
      <c r="AC98" s="989">
        <f t="shared" si="154"/>
        <v>0</v>
      </c>
      <c r="AD98" s="989">
        <f t="shared" si="155"/>
        <v>0</v>
      </c>
      <c r="AE98" s="974">
        <f>(IFERROR(VLOOKUP($C98,List!$J:$L,2,0),0)*R98+IF(B98="piping",R98,0)+IF(C98="Welding Neck",1,0)*R98)*$AE$2</f>
        <v>0</v>
      </c>
      <c r="AF98" s="970">
        <f>IFERROR(VLOOKUP($C98,List!$J:$L,3,0),0)*R98*$AF$2</f>
        <v>0</v>
      </c>
      <c r="AG98" s="990">
        <f t="shared" si="156"/>
        <v>0</v>
      </c>
      <c r="AH98" s="1118" t="str">
        <f>IFERROR(VLOOKUP($D98,'Piping Class'!$88:$102,MATCH(AH$1,'Piping Class'!$88:$88,0),0),"")</f>
        <v/>
      </c>
      <c r="AI98" s="991" t="str">
        <f>IFERROR(VLOOKUP($D98,'Piping Class'!$88:$102,MATCH(AI$1,'Piping Class'!$88:$88,0),0),"")</f>
        <v/>
      </c>
      <c r="AJ98" s="991" t="str">
        <f>IFERROR(VLOOKUP($D98,'Piping Class'!$88:$102,MATCH(AJ$1,'Piping Class'!$88:$88,0),0),"")</f>
        <v/>
      </c>
      <c r="AK98" s="991" t="str">
        <f>IFERROR(VLOOKUP($D98,'Piping Class'!$88:$102,MATCH(AK$1,'Piping Class'!$88:$88,0),0),"")</f>
        <v/>
      </c>
      <c r="AL98" s="991">
        <f t="shared" si="182"/>
        <v>0</v>
      </c>
      <c r="AM98" s="1119" t="str">
        <f>IFERROR(VLOOKUP($D98,'Piping Class'!$88:$102,MATCH(AM$1,'Piping Class'!$88:$88,0),0),"")</f>
        <v/>
      </c>
      <c r="AN98" s="992">
        <f t="shared" si="157"/>
        <v>0</v>
      </c>
      <c r="AO98" s="993">
        <f>IFERROR(VLOOKUP(I98&amp;"B"&amp;F98,'Bolting Chart'!$1:$1048576,4,0),0)</f>
        <v>0</v>
      </c>
      <c r="AP98" s="993">
        <f t="shared" si="158"/>
        <v>0</v>
      </c>
      <c r="AQ98" s="993">
        <f t="shared" si="159"/>
        <v>0</v>
      </c>
      <c r="AR98" s="993">
        <f>IF(AO98=0,0,VLOOKUP(D98&amp;".bolting",'Piping Class'!$1:$1048576,MATCH(I98,'Piping Class'!$2:$2,0),0))</f>
        <v>0</v>
      </c>
      <c r="AS98" s="994">
        <f>IFERROR(VLOOKUP(I98&amp;"B"&amp;F98,'Bolting Chart'!$1:$1048576,IF(AS$2="UNC",5,6),0),0)</f>
        <v>0</v>
      </c>
      <c r="AT98" s="995">
        <f>IFERROR(VLOOKUP(I98&amp;"B"&amp;F98,'Bolting Chart'!$1:$1048576,IF(G98="RF",8,9),0),0)</f>
        <v>0</v>
      </c>
      <c r="AU98" s="993">
        <f>IF(AO98=0,0,VLOOKUP(D98&amp;".gasket",'Piping Class'!$1:$1048576,MATCH(I98,'Piping Class'!$2:$2,0),0))</f>
        <v>0</v>
      </c>
      <c r="AV98" s="996">
        <f>(IFERROR(INDEX('Bolting Chart'!$A$169:$R$251,MATCH(AT98,'Bolting Chart'!$A$170:$A$251,0),MATCH(IFERROR(VLOOKUP(I98&amp;"B"&amp;F98,'Bolting Chart'!$1:$1048576,7,0),0)+0,'Bolting Chart'!$A$169:$R$169,0)),0))/100</f>
        <v>0</v>
      </c>
      <c r="AW98" s="996">
        <f t="shared" si="160"/>
        <v>0</v>
      </c>
      <c r="AX98" s="1194">
        <f t="shared" si="161"/>
        <v>0</v>
      </c>
      <c r="AY98" s="981"/>
      <c r="AZ98" s="1543">
        <f t="shared" si="189"/>
        <v>0</v>
      </c>
      <c r="BA98" s="1543">
        <f t="shared" si="189"/>
        <v>0</v>
      </c>
      <c r="BB98" s="1543">
        <f t="shared" si="189"/>
        <v>0</v>
      </c>
      <c r="BC98" s="1543">
        <f t="shared" si="189"/>
        <v>0</v>
      </c>
      <c r="BD98" s="1543">
        <f t="shared" si="189"/>
        <v>0</v>
      </c>
      <c r="BE98" s="1543">
        <f t="shared" si="189"/>
        <v>0</v>
      </c>
      <c r="BF98" s="1543">
        <f t="shared" si="189"/>
        <v>0</v>
      </c>
      <c r="BG98" s="1543">
        <f t="shared" si="189"/>
        <v>0</v>
      </c>
      <c r="BH98" s="1543">
        <f t="shared" si="189"/>
        <v>0</v>
      </c>
      <c r="BI98" s="1543">
        <f t="shared" si="189"/>
        <v>0</v>
      </c>
      <c r="BJ98" s="1543">
        <f t="shared" si="189"/>
        <v>0</v>
      </c>
      <c r="BK98" s="1543">
        <f t="shared" si="189"/>
        <v>0</v>
      </c>
      <c r="BL98" s="1543">
        <f t="shared" si="189"/>
        <v>0</v>
      </c>
      <c r="BM98" s="1543">
        <f t="shared" si="189"/>
        <v>0</v>
      </c>
      <c r="BN98" s="1543">
        <f t="shared" si="189"/>
        <v>0</v>
      </c>
      <c r="BO98" s="1543">
        <f t="shared" si="189"/>
        <v>0</v>
      </c>
      <c r="BP98" s="1543">
        <f t="shared" si="178"/>
        <v>0</v>
      </c>
      <c r="BQ98" s="1543">
        <f t="shared" si="178"/>
        <v>0</v>
      </c>
      <c r="BR98" s="1543">
        <f t="shared" si="191"/>
        <v>0</v>
      </c>
      <c r="BS98" s="1543">
        <f t="shared" si="191"/>
        <v>0</v>
      </c>
      <c r="BT98" s="1543">
        <f t="shared" si="191"/>
        <v>0</v>
      </c>
      <c r="BU98" s="1543">
        <f t="shared" si="191"/>
        <v>0</v>
      </c>
      <c r="BV98" s="1543">
        <f t="shared" si="191"/>
        <v>0</v>
      </c>
      <c r="BW98" s="1543">
        <f t="shared" si="191"/>
        <v>0</v>
      </c>
      <c r="BX98" s="1543">
        <f t="shared" si="191"/>
        <v>0</v>
      </c>
      <c r="BY98" s="1543">
        <f t="shared" si="191"/>
        <v>0</v>
      </c>
      <c r="BZ98" s="1543">
        <f t="shared" si="191"/>
        <v>0</v>
      </c>
      <c r="CB98" s="1543">
        <f t="shared" si="190"/>
        <v>0</v>
      </c>
      <c r="CC98" s="1543">
        <f t="shared" si="190"/>
        <v>0</v>
      </c>
      <c r="CD98" s="1543">
        <f t="shared" si="190"/>
        <v>0</v>
      </c>
      <c r="CE98" s="1543">
        <f t="shared" si="190"/>
        <v>0</v>
      </c>
      <c r="CF98" s="1543">
        <f t="shared" si="190"/>
        <v>0</v>
      </c>
      <c r="CG98" s="1543">
        <f t="shared" si="190"/>
        <v>0</v>
      </c>
      <c r="CH98" s="1543">
        <f t="shared" si="190"/>
        <v>0</v>
      </c>
      <c r="CI98" s="1543">
        <f t="shared" si="190"/>
        <v>0</v>
      </c>
      <c r="CJ98" s="1543">
        <f t="shared" si="190"/>
        <v>0</v>
      </c>
      <c r="CK98" s="1543">
        <f t="shared" si="190"/>
        <v>0</v>
      </c>
      <c r="CL98" s="1543">
        <f t="shared" si="190"/>
        <v>0</v>
      </c>
      <c r="CM98" s="1543">
        <f t="shared" si="190"/>
        <v>0</v>
      </c>
      <c r="CN98" s="1543">
        <f t="shared" si="190"/>
        <v>0</v>
      </c>
      <c r="CO98" s="1543">
        <f t="shared" si="190"/>
        <v>0</v>
      </c>
      <c r="CP98" s="1543">
        <f t="shared" si="190"/>
        <v>0</v>
      </c>
      <c r="CQ98" s="1543">
        <f t="shared" si="190"/>
        <v>0</v>
      </c>
      <c r="CR98" s="1543">
        <f t="shared" si="179"/>
        <v>0</v>
      </c>
      <c r="CS98" s="1543">
        <f t="shared" si="179"/>
        <v>0</v>
      </c>
      <c r="CT98" s="1543">
        <f t="shared" si="183"/>
        <v>0</v>
      </c>
      <c r="CU98" s="1543">
        <f t="shared" si="183"/>
        <v>0</v>
      </c>
      <c r="CV98" s="1543">
        <f t="shared" si="183"/>
        <v>0</v>
      </c>
      <c r="CW98" s="1543">
        <f t="shared" si="183"/>
        <v>0</v>
      </c>
      <c r="CX98" s="1543">
        <f t="shared" si="183"/>
        <v>0</v>
      </c>
      <c r="CY98" s="1543">
        <f t="shared" si="183"/>
        <v>0</v>
      </c>
      <c r="CZ98" s="1543">
        <f t="shared" si="183"/>
        <v>0</v>
      </c>
      <c r="DA98" s="1543">
        <f t="shared" si="183"/>
        <v>0</v>
      </c>
      <c r="DB98" s="1543">
        <f t="shared" si="183"/>
        <v>0</v>
      </c>
      <c r="DD98" s="1543">
        <f t="shared" si="147"/>
        <v>0</v>
      </c>
      <c r="DE98" s="1543">
        <f t="shared" si="148"/>
        <v>0</v>
      </c>
      <c r="DF98" s="1543">
        <f t="shared" si="149"/>
        <v>0</v>
      </c>
      <c r="DG98" s="1543">
        <f t="shared" si="162"/>
        <v>0</v>
      </c>
      <c r="DI98" s="1543">
        <f t="shared" si="163"/>
        <v>0</v>
      </c>
      <c r="DJ98" s="1543">
        <f t="shared" si="185"/>
        <v>0</v>
      </c>
      <c r="DK98" s="1543">
        <f t="shared" si="185"/>
        <v>0</v>
      </c>
      <c r="DL98" s="1543">
        <f t="shared" si="185"/>
        <v>0</v>
      </c>
      <c r="DM98" s="1543">
        <f t="shared" si="185"/>
        <v>0</v>
      </c>
      <c r="DO98" s="1543">
        <f t="shared" si="188"/>
        <v>0</v>
      </c>
      <c r="DP98" s="1543">
        <f t="shared" si="188"/>
        <v>0</v>
      </c>
      <c r="DQ98" s="1543">
        <f t="shared" si="188"/>
        <v>0</v>
      </c>
      <c r="DR98" s="1543">
        <f t="shared" si="188"/>
        <v>0</v>
      </c>
      <c r="DS98" s="1543">
        <f t="shared" si="188"/>
        <v>0</v>
      </c>
      <c r="DT98" s="1543">
        <f t="shared" si="188"/>
        <v>0</v>
      </c>
      <c r="DU98" s="1543">
        <f t="shared" si="188"/>
        <v>0</v>
      </c>
      <c r="DV98" s="1543">
        <f t="shared" si="188"/>
        <v>0</v>
      </c>
      <c r="DW98" s="1543">
        <f t="shared" si="188"/>
        <v>0</v>
      </c>
      <c r="DX98" s="1543">
        <f t="shared" si="188"/>
        <v>0</v>
      </c>
      <c r="DY98" s="1543">
        <f t="shared" si="188"/>
        <v>0</v>
      </c>
      <c r="DZ98" s="1543">
        <f t="shared" si="188"/>
        <v>0</v>
      </c>
      <c r="EA98" s="1543">
        <f t="shared" si="188"/>
        <v>0</v>
      </c>
      <c r="EB98" s="1543">
        <f t="shared" si="180"/>
        <v>0</v>
      </c>
      <c r="EC98" s="1543">
        <f t="shared" si="180"/>
        <v>0</v>
      </c>
      <c r="ED98" s="1543">
        <f t="shared" si="180"/>
        <v>0</v>
      </c>
      <c r="EE98" s="1543">
        <f t="shared" si="180"/>
        <v>0</v>
      </c>
      <c r="EF98" s="1543">
        <f t="shared" si="180"/>
        <v>0</v>
      </c>
      <c r="EH98" s="1543">
        <f t="shared" si="165"/>
        <v>0</v>
      </c>
      <c r="EI98" s="1543">
        <f t="shared" si="166"/>
        <v>0</v>
      </c>
      <c r="EJ98" s="1543">
        <f t="shared" si="167"/>
        <v>0</v>
      </c>
      <c r="EK98" s="1543">
        <f t="shared" si="168"/>
        <v>0</v>
      </c>
      <c r="EL98" s="1543">
        <f t="shared" si="169"/>
        <v>0</v>
      </c>
      <c r="EM98" s="1543">
        <f t="shared" si="170"/>
        <v>0</v>
      </c>
      <c r="EN98" s="1543">
        <f t="shared" si="171"/>
        <v>0</v>
      </c>
      <c r="EP98" s="1543">
        <f t="shared" si="72"/>
        <v>0</v>
      </c>
      <c r="EQ98" s="1543">
        <f t="shared" si="72"/>
        <v>0</v>
      </c>
      <c r="ER98" s="1543">
        <f t="shared" si="72"/>
        <v>0</v>
      </c>
      <c r="ES98" s="1543">
        <f t="shared" ref="ES98:ES139" si="192">IF(ES$2="X",0,IF($Q98=ES$2,1,0))</f>
        <v>0</v>
      </c>
      <c r="ET98" s="1543">
        <f t="shared" si="181"/>
        <v>0</v>
      </c>
      <c r="EU98" s="1543">
        <f t="shared" si="181"/>
        <v>0</v>
      </c>
      <c r="EV98" s="1543">
        <f t="shared" si="181"/>
        <v>0</v>
      </c>
      <c r="EW98" s="1543">
        <f t="shared" si="181"/>
        <v>0</v>
      </c>
      <c r="EX98" s="1543">
        <f t="shared" si="181"/>
        <v>0</v>
      </c>
      <c r="EY98" s="1543">
        <f t="shared" si="181"/>
        <v>0</v>
      </c>
      <c r="EZ98" s="1543">
        <f t="shared" si="181"/>
        <v>0</v>
      </c>
      <c r="FA98" s="1543">
        <f t="shared" si="181"/>
        <v>0</v>
      </c>
      <c r="FB98" s="1543">
        <f t="shared" ref="ET98:FD119" si="193">IF(FB$2="X",0,IF($Q98=FB$2,1,0))</f>
        <v>0</v>
      </c>
      <c r="FC98" s="1543">
        <f t="shared" si="193"/>
        <v>0</v>
      </c>
      <c r="FD98" s="1543">
        <f t="shared" si="193"/>
        <v>0</v>
      </c>
      <c r="FE98" s="1543">
        <f t="shared" si="184"/>
        <v>0</v>
      </c>
      <c r="FF98" s="1543">
        <f t="shared" si="172"/>
        <v>1</v>
      </c>
      <c r="FH98" s="1543">
        <f t="shared" si="186"/>
        <v>0</v>
      </c>
      <c r="FI98" s="1543">
        <f t="shared" si="186"/>
        <v>0</v>
      </c>
      <c r="FJ98" s="1543">
        <f t="shared" si="186"/>
        <v>0</v>
      </c>
      <c r="FK98" s="1543">
        <f t="shared" si="186"/>
        <v>0</v>
      </c>
      <c r="FL98" s="1543">
        <f t="shared" si="186"/>
        <v>0</v>
      </c>
      <c r="FM98" s="1543">
        <f t="shared" si="186"/>
        <v>0</v>
      </c>
      <c r="FN98" s="1543">
        <f t="shared" si="186"/>
        <v>0</v>
      </c>
      <c r="FO98" s="1543">
        <f t="shared" si="186"/>
        <v>0</v>
      </c>
      <c r="FP98" s="1543">
        <f t="shared" si="186"/>
        <v>0</v>
      </c>
      <c r="FQ98" s="1543">
        <f t="shared" si="186"/>
        <v>0</v>
      </c>
      <c r="FR98" s="1543">
        <f t="shared" si="186"/>
        <v>0</v>
      </c>
      <c r="FS98" s="1543">
        <f t="shared" si="186"/>
        <v>0</v>
      </c>
      <c r="FT98" s="1543">
        <f t="shared" si="174"/>
        <v>0</v>
      </c>
      <c r="FV98" s="1543">
        <f t="shared" si="187"/>
        <v>1</v>
      </c>
      <c r="FW98" s="1543">
        <f t="shared" si="187"/>
        <v>0</v>
      </c>
      <c r="FX98" s="1543">
        <f t="shared" si="187"/>
        <v>0</v>
      </c>
      <c r="FY98" s="1543">
        <f t="shared" si="187"/>
        <v>0</v>
      </c>
      <c r="FZ98" s="1543">
        <f t="shared" si="187"/>
        <v>0</v>
      </c>
      <c r="GA98" s="1543">
        <f t="shared" si="187"/>
        <v>0</v>
      </c>
      <c r="GB98" s="1543">
        <f t="shared" si="187"/>
        <v>0</v>
      </c>
      <c r="GC98" s="1543">
        <f t="shared" si="187"/>
        <v>0</v>
      </c>
      <c r="GD98" s="1543">
        <f t="shared" si="187"/>
        <v>0</v>
      </c>
    </row>
    <row r="99" spans="1:186" s="982" customFormat="1" ht="15.6" x14ac:dyDescent="0.3">
      <c r="A99" s="974">
        <v>97</v>
      </c>
      <c r="B99" s="983"/>
      <c r="C99" s="984"/>
      <c r="D99" s="983"/>
      <c r="E99" s="968" t="str">
        <f>IFERROR(VLOOKUP($D99&amp;"."&amp;B99,'Piping Class'!$1:$1048576,MATCH($I99,'Piping Class'!$2:$2,0),0),"")</f>
        <v/>
      </c>
      <c r="F99" s="985" t="str">
        <f>IFERROR(IF(B99="Flange",VLOOKUP($D99,'Piping Class'!$88:$102,MATCH(F$1,'Piping Class'!$88:$88,0),0),""),"")</f>
        <v/>
      </c>
      <c r="G99" s="968" t="str">
        <f>IFERROR(IF(B99="Flange",VLOOKUP($D99,'Piping Class'!$88:$102,MATCH(G$1,'Piping Class'!$88:$88,0),0),""),"")</f>
        <v/>
      </c>
      <c r="H99" s="968" t="str">
        <f>IFERROR(VLOOKUP($D99,'Piping Class'!$88:$102,MATCH(H$1,'Piping Class'!$88:$88,0),0),"")</f>
        <v/>
      </c>
      <c r="I99" s="986"/>
      <c r="J99" s="987"/>
      <c r="K99" s="968" t="str">
        <f>IFERROR(VLOOKUP(I99,'Thickness Tab'!$1:$1048576,MATCH(L99,'Thickness Tab'!$1:$1,0),0),"")</f>
        <v/>
      </c>
      <c r="L99" s="969" t="str">
        <f>IFERROR(VLOOKUP($D99,'Piping Class'!$1:$1048576,MATCH($I99,'Piping Class'!$2:$2,0),0),"")</f>
        <v/>
      </c>
      <c r="M99" s="968" t="str">
        <f>IFERROR(VLOOKUP(J99,'Thickness Tab'!$1:$1048576,MATCH(N99,'Thickness Tab'!$1:$1,0),0),"")</f>
        <v/>
      </c>
      <c r="N99" s="969" t="str">
        <f>IFERROR(VLOOKUP($D99,'Piping Class'!$1:$1048576,MATCH($J99,'Piping Class'!$2:$2,0),0),"")</f>
        <v/>
      </c>
      <c r="O99" s="968" t="str">
        <f>IFERROR(VLOOKUP($D99,'Piping Class'!$88:$102,MATCH(O$1,'Piping Class'!$88:$88,0),0),"")</f>
        <v/>
      </c>
      <c r="P99" s="968" t="str">
        <f>IFERROR(VLOOKUP($D99,'Piping Class'!$88:$102,MATCH(P$1,'Piping Class'!$88:$88,0),0),"")</f>
        <v/>
      </c>
      <c r="Q99" s="983"/>
      <c r="R99" s="988"/>
      <c r="S99" s="969" t="str">
        <f t="shared" si="150"/>
        <v/>
      </c>
      <c r="T99" s="968">
        <f>IFERROR(VLOOKUP(I99&amp;"."&amp;L99,'Fitting Chart'!$1:$1048576,MATCH(C99,'Fitting Chart'!$1:$1,0),0),0)+IF(B99="piping",PI()*K99*(VLOOKUP(I99,'Thickness Tab'!$1:$1048576,3,0)-K99)*7.86/1000,0)+IF(B99="Flange",VLOOKUP(I99&amp;"F"&amp;F99,'Flanges Chart'!$1:$1048576,MATCH(C99&amp;"."&amp;T$1,'Flanges Chart'!$1:$1,0),0),0)</f>
        <v>0</v>
      </c>
      <c r="U99" s="989">
        <f t="shared" si="151"/>
        <v>0</v>
      </c>
      <c r="V99" s="1003"/>
      <c r="W99" s="1001">
        <f t="shared" si="152"/>
        <v>0</v>
      </c>
      <c r="X99" s="997"/>
      <c r="Y99" s="983"/>
      <c r="Z99" s="989">
        <f>IF(B99="Piping",VLOOKUP(I99,'Thickness Tab'!$1:$1048576,3,0)/1000*PI(),0)+IFERROR(VLOOKUP(I99&amp;"F"&amp;F99,'Flanges Chart'!$1:$1048576,MATCH(C99&amp;".Unit Surface",'Flanges Chart'!$1:$1,0),0),0)+IF(B99="Fitting",VLOOKUP(I99,'Thickness Tab'!$1:$1048576,3,0)/1000*PI(),0)</f>
        <v>0</v>
      </c>
      <c r="AA99" s="989">
        <f t="shared" si="153"/>
        <v>0</v>
      </c>
      <c r="AB99" s="983">
        <v>0</v>
      </c>
      <c r="AC99" s="989">
        <f t="shared" si="154"/>
        <v>0</v>
      </c>
      <c r="AD99" s="989">
        <f t="shared" si="155"/>
        <v>0</v>
      </c>
      <c r="AE99" s="974">
        <f>(IFERROR(VLOOKUP($C99,List!$J:$L,2,0),0)*R99+IF(B99="piping",R99,0)+IF(C99="Welding Neck",1,0)*R99)*$AE$2</f>
        <v>0</v>
      </c>
      <c r="AF99" s="970">
        <f>IFERROR(VLOOKUP($C99,List!$J:$L,3,0),0)*R99*$AF$2</f>
        <v>0</v>
      </c>
      <c r="AG99" s="990">
        <f t="shared" si="156"/>
        <v>0</v>
      </c>
      <c r="AH99" s="1118" t="str">
        <f>IFERROR(VLOOKUP($D99,'Piping Class'!$88:$102,MATCH(AH$1,'Piping Class'!$88:$88,0),0),"")</f>
        <v/>
      </c>
      <c r="AI99" s="991" t="str">
        <f>IFERROR(VLOOKUP($D99,'Piping Class'!$88:$102,MATCH(AI$1,'Piping Class'!$88:$88,0),0),"")</f>
        <v/>
      </c>
      <c r="AJ99" s="991" t="str">
        <f>IFERROR(VLOOKUP($D99,'Piping Class'!$88:$102,MATCH(AJ$1,'Piping Class'!$88:$88,0),0),"")</f>
        <v/>
      </c>
      <c r="AK99" s="991" t="str">
        <f>IFERROR(VLOOKUP($D99,'Piping Class'!$88:$102,MATCH(AK$1,'Piping Class'!$88:$88,0),0),"")</f>
        <v/>
      </c>
      <c r="AL99" s="991">
        <f t="shared" si="182"/>
        <v>0</v>
      </c>
      <c r="AM99" s="1119" t="str">
        <f>IFERROR(VLOOKUP($D99,'Piping Class'!$88:$102,MATCH(AM$1,'Piping Class'!$88:$88,0),0),"")</f>
        <v/>
      </c>
      <c r="AN99" s="992">
        <f t="shared" si="157"/>
        <v>0</v>
      </c>
      <c r="AO99" s="993">
        <f>IFERROR(VLOOKUP(I99&amp;"B"&amp;F99,'Bolting Chart'!$1:$1048576,4,0),0)</f>
        <v>0</v>
      </c>
      <c r="AP99" s="993">
        <f t="shared" si="158"/>
        <v>0</v>
      </c>
      <c r="AQ99" s="993">
        <f t="shared" si="159"/>
        <v>0</v>
      </c>
      <c r="AR99" s="993">
        <f>IF(AO99=0,0,VLOOKUP(D99&amp;".bolting",'Piping Class'!$1:$1048576,MATCH(I99,'Piping Class'!$2:$2,0),0))</f>
        <v>0</v>
      </c>
      <c r="AS99" s="994">
        <f>IFERROR(VLOOKUP(I99&amp;"B"&amp;F99,'Bolting Chart'!$1:$1048576,IF(AS$2="UNC",5,6),0),0)</f>
        <v>0</v>
      </c>
      <c r="AT99" s="995">
        <f>IFERROR(VLOOKUP(I99&amp;"B"&amp;F99,'Bolting Chart'!$1:$1048576,IF(G99="RF",8,9),0),0)</f>
        <v>0</v>
      </c>
      <c r="AU99" s="993">
        <f>IF(AO99=0,0,VLOOKUP(D99&amp;".gasket",'Piping Class'!$1:$1048576,MATCH(I99,'Piping Class'!$2:$2,0),0))</f>
        <v>0</v>
      </c>
      <c r="AV99" s="996">
        <f>(IFERROR(INDEX('Bolting Chart'!$A$169:$R$251,MATCH(AT99,'Bolting Chart'!$A$170:$A$251,0),MATCH(IFERROR(VLOOKUP(I99&amp;"B"&amp;F99,'Bolting Chart'!$1:$1048576,7,0),0)+0,'Bolting Chart'!$A$169:$R$169,0)),0))/100</f>
        <v>0</v>
      </c>
      <c r="AW99" s="996">
        <f t="shared" si="160"/>
        <v>0</v>
      </c>
      <c r="AX99" s="1194">
        <f t="shared" si="161"/>
        <v>0</v>
      </c>
      <c r="AY99" s="981"/>
      <c r="AZ99" s="1543">
        <f t="shared" si="189"/>
        <v>0</v>
      </c>
      <c r="BA99" s="1543">
        <f t="shared" si="189"/>
        <v>0</v>
      </c>
      <c r="BB99" s="1543">
        <f t="shared" si="189"/>
        <v>0</v>
      </c>
      <c r="BC99" s="1543">
        <f t="shared" si="189"/>
        <v>0</v>
      </c>
      <c r="BD99" s="1543">
        <f t="shared" si="189"/>
        <v>0</v>
      </c>
      <c r="BE99" s="1543">
        <f t="shared" si="189"/>
        <v>0</v>
      </c>
      <c r="BF99" s="1543">
        <f t="shared" si="189"/>
        <v>0</v>
      </c>
      <c r="BG99" s="1543">
        <f t="shared" si="189"/>
        <v>0</v>
      </c>
      <c r="BH99" s="1543">
        <f t="shared" si="189"/>
        <v>0</v>
      </c>
      <c r="BI99" s="1543">
        <f t="shared" si="189"/>
        <v>0</v>
      </c>
      <c r="BJ99" s="1543">
        <f t="shared" si="189"/>
        <v>0</v>
      </c>
      <c r="BK99" s="1543">
        <f t="shared" si="189"/>
        <v>0</v>
      </c>
      <c r="BL99" s="1543">
        <f t="shared" si="189"/>
        <v>0</v>
      </c>
      <c r="BM99" s="1543">
        <f t="shared" si="189"/>
        <v>0</v>
      </c>
      <c r="BN99" s="1543">
        <f t="shared" si="189"/>
        <v>0</v>
      </c>
      <c r="BO99" s="1543">
        <f t="shared" si="189"/>
        <v>0</v>
      </c>
      <c r="BP99" s="1543">
        <f t="shared" si="178"/>
        <v>0</v>
      </c>
      <c r="BQ99" s="1543">
        <f t="shared" si="178"/>
        <v>0</v>
      </c>
      <c r="BR99" s="1543">
        <f t="shared" si="191"/>
        <v>0</v>
      </c>
      <c r="BS99" s="1543">
        <f t="shared" si="191"/>
        <v>0</v>
      </c>
      <c r="BT99" s="1543">
        <f t="shared" si="191"/>
        <v>0</v>
      </c>
      <c r="BU99" s="1543">
        <f t="shared" si="191"/>
        <v>0</v>
      </c>
      <c r="BV99" s="1543">
        <f t="shared" si="191"/>
        <v>0</v>
      </c>
      <c r="BW99" s="1543">
        <f t="shared" si="191"/>
        <v>0</v>
      </c>
      <c r="BX99" s="1543">
        <f t="shared" si="191"/>
        <v>0</v>
      </c>
      <c r="BY99" s="1543">
        <f t="shared" si="191"/>
        <v>0</v>
      </c>
      <c r="BZ99" s="1543">
        <f t="shared" si="191"/>
        <v>0</v>
      </c>
      <c r="CB99" s="1543">
        <f t="shared" si="190"/>
        <v>0</v>
      </c>
      <c r="CC99" s="1543">
        <f t="shared" si="190"/>
        <v>0</v>
      </c>
      <c r="CD99" s="1543">
        <f t="shared" si="190"/>
        <v>0</v>
      </c>
      <c r="CE99" s="1543">
        <f t="shared" si="190"/>
        <v>0</v>
      </c>
      <c r="CF99" s="1543">
        <f t="shared" si="190"/>
        <v>0</v>
      </c>
      <c r="CG99" s="1543">
        <f t="shared" si="190"/>
        <v>0</v>
      </c>
      <c r="CH99" s="1543">
        <f t="shared" si="190"/>
        <v>0</v>
      </c>
      <c r="CI99" s="1543">
        <f t="shared" si="190"/>
        <v>0</v>
      </c>
      <c r="CJ99" s="1543">
        <f t="shared" si="190"/>
        <v>0</v>
      </c>
      <c r="CK99" s="1543">
        <f t="shared" si="190"/>
        <v>0</v>
      </c>
      <c r="CL99" s="1543">
        <f t="shared" si="190"/>
        <v>0</v>
      </c>
      <c r="CM99" s="1543">
        <f t="shared" si="190"/>
        <v>0</v>
      </c>
      <c r="CN99" s="1543">
        <f t="shared" si="190"/>
        <v>0</v>
      </c>
      <c r="CO99" s="1543">
        <f t="shared" si="190"/>
        <v>0</v>
      </c>
      <c r="CP99" s="1543">
        <f t="shared" si="190"/>
        <v>0</v>
      </c>
      <c r="CQ99" s="1543">
        <f t="shared" si="190"/>
        <v>0</v>
      </c>
      <c r="CR99" s="1543">
        <f t="shared" si="179"/>
        <v>0</v>
      </c>
      <c r="CS99" s="1543">
        <f t="shared" si="179"/>
        <v>0</v>
      </c>
      <c r="CT99" s="1543">
        <f t="shared" si="183"/>
        <v>0</v>
      </c>
      <c r="CU99" s="1543">
        <f t="shared" si="183"/>
        <v>0</v>
      </c>
      <c r="CV99" s="1543">
        <f t="shared" si="183"/>
        <v>0</v>
      </c>
      <c r="CW99" s="1543">
        <f t="shared" si="183"/>
        <v>0</v>
      </c>
      <c r="CX99" s="1543">
        <f t="shared" si="183"/>
        <v>0</v>
      </c>
      <c r="CY99" s="1543">
        <f t="shared" si="183"/>
        <v>0</v>
      </c>
      <c r="CZ99" s="1543">
        <f t="shared" si="183"/>
        <v>0</v>
      </c>
      <c r="DA99" s="1543">
        <f t="shared" si="183"/>
        <v>0</v>
      </c>
      <c r="DB99" s="1543">
        <f t="shared" si="183"/>
        <v>0</v>
      </c>
      <c r="DD99" s="1543">
        <f t="shared" ref="DD99:DD130" si="194">SUM(AZ99:BC99)</f>
        <v>0</v>
      </c>
      <c r="DE99" s="1543">
        <f t="shared" ref="DE99:DE130" si="195">SUM(BD99:BH99)</f>
        <v>0</v>
      </c>
      <c r="DF99" s="1543">
        <f t="shared" ref="DF99:DF130" si="196">SUM(BI99:BL99)</f>
        <v>0</v>
      </c>
      <c r="DG99" s="1543">
        <f t="shared" si="162"/>
        <v>0</v>
      </c>
      <c r="DI99" s="1543">
        <f t="shared" si="163"/>
        <v>0</v>
      </c>
      <c r="DJ99" s="1543">
        <f t="shared" si="185"/>
        <v>0</v>
      </c>
      <c r="DK99" s="1543">
        <f t="shared" si="185"/>
        <v>0</v>
      </c>
      <c r="DL99" s="1543">
        <f t="shared" si="185"/>
        <v>0</v>
      </c>
      <c r="DM99" s="1543">
        <f t="shared" si="185"/>
        <v>0</v>
      </c>
      <c r="DO99" s="1543">
        <f t="shared" si="188"/>
        <v>0</v>
      </c>
      <c r="DP99" s="1543">
        <f t="shared" si="188"/>
        <v>0</v>
      </c>
      <c r="DQ99" s="1543">
        <f t="shared" si="188"/>
        <v>0</v>
      </c>
      <c r="DR99" s="1543">
        <f t="shared" si="188"/>
        <v>0</v>
      </c>
      <c r="DS99" s="1543">
        <f t="shared" si="188"/>
        <v>0</v>
      </c>
      <c r="DT99" s="1543">
        <f t="shared" si="188"/>
        <v>0</v>
      </c>
      <c r="DU99" s="1543">
        <f t="shared" si="188"/>
        <v>0</v>
      </c>
      <c r="DV99" s="1543">
        <f t="shared" si="188"/>
        <v>0</v>
      </c>
      <c r="DW99" s="1543">
        <f t="shared" si="188"/>
        <v>0</v>
      </c>
      <c r="DX99" s="1543">
        <f t="shared" si="188"/>
        <v>0</v>
      </c>
      <c r="DY99" s="1543">
        <f t="shared" si="188"/>
        <v>0</v>
      </c>
      <c r="DZ99" s="1543">
        <f t="shared" si="188"/>
        <v>0</v>
      </c>
      <c r="EA99" s="1543">
        <f t="shared" si="188"/>
        <v>0</v>
      </c>
      <c r="EB99" s="1543">
        <f t="shared" si="180"/>
        <v>0</v>
      </c>
      <c r="EC99" s="1543">
        <f t="shared" si="180"/>
        <v>0</v>
      </c>
      <c r="ED99" s="1543">
        <f t="shared" si="180"/>
        <v>0</v>
      </c>
      <c r="EE99" s="1543">
        <f t="shared" si="180"/>
        <v>0</v>
      </c>
      <c r="EF99" s="1543">
        <f t="shared" si="180"/>
        <v>0</v>
      </c>
      <c r="EH99" s="1543">
        <f t="shared" si="165"/>
        <v>0</v>
      </c>
      <c r="EI99" s="1543">
        <f t="shared" si="166"/>
        <v>0</v>
      </c>
      <c r="EJ99" s="1543">
        <f t="shared" si="167"/>
        <v>0</v>
      </c>
      <c r="EK99" s="1543">
        <f t="shared" si="168"/>
        <v>0</v>
      </c>
      <c r="EL99" s="1543">
        <f t="shared" si="169"/>
        <v>0</v>
      </c>
      <c r="EM99" s="1543">
        <f t="shared" si="170"/>
        <v>0</v>
      </c>
      <c r="EN99" s="1543">
        <f t="shared" si="171"/>
        <v>0</v>
      </c>
      <c r="EP99" s="1543">
        <f t="shared" ref="EP99:ER139" si="197">IF(EP$2="X",0,IF($Q99=EP$2,1,0))</f>
        <v>0</v>
      </c>
      <c r="EQ99" s="1543">
        <f t="shared" si="197"/>
        <v>0</v>
      </c>
      <c r="ER99" s="1543">
        <f t="shared" si="197"/>
        <v>0</v>
      </c>
      <c r="ES99" s="1543">
        <f t="shared" si="192"/>
        <v>0</v>
      </c>
      <c r="ET99" s="1543">
        <f t="shared" si="193"/>
        <v>0</v>
      </c>
      <c r="EU99" s="1543">
        <f t="shared" si="193"/>
        <v>0</v>
      </c>
      <c r="EV99" s="1543">
        <f t="shared" si="193"/>
        <v>0</v>
      </c>
      <c r="EW99" s="1543">
        <f t="shared" si="193"/>
        <v>0</v>
      </c>
      <c r="EX99" s="1543">
        <f t="shared" si="193"/>
        <v>0</v>
      </c>
      <c r="EY99" s="1543">
        <f t="shared" si="193"/>
        <v>0</v>
      </c>
      <c r="EZ99" s="1543">
        <f t="shared" si="193"/>
        <v>0</v>
      </c>
      <c r="FA99" s="1543">
        <f t="shared" si="193"/>
        <v>0</v>
      </c>
      <c r="FB99" s="1543">
        <f t="shared" si="193"/>
        <v>0</v>
      </c>
      <c r="FC99" s="1543">
        <f t="shared" si="193"/>
        <v>0</v>
      </c>
      <c r="FD99" s="1543">
        <f t="shared" si="193"/>
        <v>0</v>
      </c>
      <c r="FE99" s="1543">
        <f t="shared" si="184"/>
        <v>0</v>
      </c>
      <c r="FF99" s="1543">
        <f t="shared" si="172"/>
        <v>1</v>
      </c>
      <c r="FH99" s="1543">
        <f t="shared" si="186"/>
        <v>0</v>
      </c>
      <c r="FI99" s="1543">
        <f t="shared" si="186"/>
        <v>0</v>
      </c>
      <c r="FJ99" s="1543">
        <f t="shared" si="186"/>
        <v>0</v>
      </c>
      <c r="FK99" s="1543">
        <f t="shared" si="186"/>
        <v>0</v>
      </c>
      <c r="FL99" s="1543">
        <f t="shared" si="186"/>
        <v>0</v>
      </c>
      <c r="FM99" s="1543">
        <f t="shared" si="186"/>
        <v>0</v>
      </c>
      <c r="FN99" s="1543">
        <f t="shared" si="186"/>
        <v>0</v>
      </c>
      <c r="FO99" s="1543">
        <f t="shared" si="186"/>
        <v>0</v>
      </c>
      <c r="FP99" s="1543">
        <f t="shared" si="186"/>
        <v>0</v>
      </c>
      <c r="FQ99" s="1543">
        <f t="shared" si="186"/>
        <v>0</v>
      </c>
      <c r="FR99" s="1543">
        <f t="shared" si="186"/>
        <v>0</v>
      </c>
      <c r="FS99" s="1543">
        <f t="shared" si="186"/>
        <v>0</v>
      </c>
      <c r="FT99" s="1543">
        <f t="shared" si="174"/>
        <v>0</v>
      </c>
      <c r="FV99" s="1543">
        <f t="shared" si="187"/>
        <v>1</v>
      </c>
      <c r="FW99" s="1543">
        <f t="shared" si="187"/>
        <v>0</v>
      </c>
      <c r="FX99" s="1543">
        <f t="shared" si="187"/>
        <v>0</v>
      </c>
      <c r="FY99" s="1543">
        <f t="shared" si="187"/>
        <v>0</v>
      </c>
      <c r="FZ99" s="1543">
        <f t="shared" si="187"/>
        <v>0</v>
      </c>
      <c r="GA99" s="1543">
        <f t="shared" si="187"/>
        <v>0</v>
      </c>
      <c r="GB99" s="1543">
        <f t="shared" si="187"/>
        <v>0</v>
      </c>
      <c r="GC99" s="1543">
        <f t="shared" si="187"/>
        <v>0</v>
      </c>
      <c r="GD99" s="1543">
        <f t="shared" si="187"/>
        <v>0</v>
      </c>
    </row>
    <row r="100" spans="1:186" s="982" customFormat="1" ht="15.6" x14ac:dyDescent="0.3">
      <c r="A100" s="974">
        <v>98</v>
      </c>
      <c r="B100" s="983"/>
      <c r="C100" s="984"/>
      <c r="D100" s="983"/>
      <c r="E100" s="968" t="str">
        <f>IFERROR(VLOOKUP($D100&amp;"."&amp;B100,'Piping Class'!$1:$1048576,MATCH($I100,'Piping Class'!$2:$2,0),0),"")</f>
        <v/>
      </c>
      <c r="F100" s="985" t="str">
        <f>IFERROR(IF(B100="Flange",VLOOKUP($D100,'Piping Class'!$88:$102,MATCH(F$1,'Piping Class'!$88:$88,0),0),""),"")</f>
        <v/>
      </c>
      <c r="G100" s="968" t="str">
        <f>IFERROR(IF(B100="Flange",VLOOKUP($D100,'Piping Class'!$88:$102,MATCH(G$1,'Piping Class'!$88:$88,0),0),""),"")</f>
        <v/>
      </c>
      <c r="H100" s="968" t="str">
        <f>IFERROR(VLOOKUP($D100,'Piping Class'!$88:$102,MATCH(H$1,'Piping Class'!$88:$88,0),0),"")</f>
        <v/>
      </c>
      <c r="I100" s="986"/>
      <c r="J100" s="987"/>
      <c r="K100" s="968" t="str">
        <f>IFERROR(VLOOKUP(I100,'Thickness Tab'!$1:$1048576,MATCH(L100,'Thickness Tab'!$1:$1,0),0),"")</f>
        <v/>
      </c>
      <c r="L100" s="969" t="str">
        <f>IFERROR(VLOOKUP($D100,'Piping Class'!$1:$1048576,MATCH($I100,'Piping Class'!$2:$2,0),0),"")</f>
        <v/>
      </c>
      <c r="M100" s="968" t="str">
        <f>IFERROR(VLOOKUP(J100,'Thickness Tab'!$1:$1048576,MATCH(N100,'Thickness Tab'!$1:$1,0),0),"")</f>
        <v/>
      </c>
      <c r="N100" s="969" t="str">
        <f>IFERROR(VLOOKUP($D100,'Piping Class'!$1:$1048576,MATCH($J100,'Piping Class'!$2:$2,0),0),"")</f>
        <v/>
      </c>
      <c r="O100" s="968" t="str">
        <f>IFERROR(VLOOKUP($D100,'Piping Class'!$88:$102,MATCH(O$1,'Piping Class'!$88:$88,0),0),"")</f>
        <v/>
      </c>
      <c r="P100" s="968" t="str">
        <f>IFERROR(VLOOKUP($D100,'Piping Class'!$88:$102,MATCH(P$1,'Piping Class'!$88:$88,0),0),"")</f>
        <v/>
      </c>
      <c r="Q100" s="983"/>
      <c r="R100" s="988"/>
      <c r="S100" s="969" t="str">
        <f t="shared" si="150"/>
        <v/>
      </c>
      <c r="T100" s="968">
        <f>IFERROR(VLOOKUP(I100&amp;"."&amp;L100,'Fitting Chart'!$1:$1048576,MATCH(C100,'Fitting Chart'!$1:$1,0),0),0)+IF(B100="piping",PI()*K100*(VLOOKUP(I100,'Thickness Tab'!$1:$1048576,3,0)-K100)*7.86/1000,0)+IF(B100="Flange",VLOOKUP(I100&amp;"F"&amp;F100,'Flanges Chart'!$1:$1048576,MATCH(C100&amp;"."&amp;T$1,'Flanges Chart'!$1:$1,0),0),0)</f>
        <v>0</v>
      </c>
      <c r="U100" s="989">
        <f t="shared" si="151"/>
        <v>0</v>
      </c>
      <c r="V100" s="1003"/>
      <c r="W100" s="1001">
        <f t="shared" si="152"/>
        <v>0</v>
      </c>
      <c r="X100" s="997"/>
      <c r="Y100" s="983"/>
      <c r="Z100" s="989">
        <f>IF(B100="Piping",VLOOKUP(I100,'Thickness Tab'!$1:$1048576,3,0)/1000*PI(),0)+IFERROR(VLOOKUP(I100&amp;"F"&amp;F100,'Flanges Chart'!$1:$1048576,MATCH(C100&amp;".Unit Surface",'Flanges Chart'!$1:$1,0),0),0)+IF(B100="Fitting",VLOOKUP(I100,'Thickness Tab'!$1:$1048576,3,0)/1000*PI(),0)</f>
        <v>0</v>
      </c>
      <c r="AA100" s="989">
        <f t="shared" si="153"/>
        <v>0</v>
      </c>
      <c r="AB100" s="983">
        <v>0</v>
      </c>
      <c r="AC100" s="989">
        <f t="shared" si="154"/>
        <v>0</v>
      </c>
      <c r="AD100" s="989">
        <f t="shared" si="155"/>
        <v>0</v>
      </c>
      <c r="AE100" s="974">
        <f>(IFERROR(VLOOKUP($C100,List!$J:$L,2,0),0)*R100+IF(B100="piping",R100,0)+IF(C100="Welding Neck",1,0)*R100)*$AE$2</f>
        <v>0</v>
      </c>
      <c r="AF100" s="970">
        <f>IFERROR(VLOOKUP($C100,List!$J:$L,3,0),0)*R100*$AF$2</f>
        <v>0</v>
      </c>
      <c r="AG100" s="990">
        <f t="shared" si="156"/>
        <v>0</v>
      </c>
      <c r="AH100" s="1118" t="str">
        <f>IFERROR(VLOOKUP($D100,'Piping Class'!$88:$102,MATCH(AH$1,'Piping Class'!$88:$88,0),0),"")</f>
        <v/>
      </c>
      <c r="AI100" s="991" t="str">
        <f>IFERROR(VLOOKUP($D100,'Piping Class'!$88:$102,MATCH(AI$1,'Piping Class'!$88:$88,0),0),"")</f>
        <v/>
      </c>
      <c r="AJ100" s="991" t="str">
        <f>IFERROR(VLOOKUP($D100,'Piping Class'!$88:$102,MATCH(AJ$1,'Piping Class'!$88:$88,0),0),"")</f>
        <v/>
      </c>
      <c r="AK100" s="991" t="str">
        <f>IFERROR(VLOOKUP($D100,'Piping Class'!$88:$102,MATCH(AK$1,'Piping Class'!$88:$88,0),0),"")</f>
        <v/>
      </c>
      <c r="AL100" s="991">
        <f t="shared" si="182"/>
        <v>0</v>
      </c>
      <c r="AM100" s="1119" t="str">
        <f>IFERROR(VLOOKUP($D100,'Piping Class'!$88:$102,MATCH(AM$1,'Piping Class'!$88:$88,0),0),"")</f>
        <v/>
      </c>
      <c r="AN100" s="992">
        <f t="shared" si="157"/>
        <v>0</v>
      </c>
      <c r="AO100" s="993">
        <f>IFERROR(VLOOKUP(I100&amp;"B"&amp;F100,'Bolting Chart'!$1:$1048576,4,0),0)</f>
        <v>0</v>
      </c>
      <c r="AP100" s="993">
        <f t="shared" si="158"/>
        <v>0</v>
      </c>
      <c r="AQ100" s="993">
        <f t="shared" si="159"/>
        <v>0</v>
      </c>
      <c r="AR100" s="993">
        <f>IF(AO100=0,0,VLOOKUP(D100&amp;".bolting",'Piping Class'!$1:$1048576,MATCH(I100,'Piping Class'!$2:$2,0),0))</f>
        <v>0</v>
      </c>
      <c r="AS100" s="994">
        <f>IFERROR(VLOOKUP(I100&amp;"B"&amp;F100,'Bolting Chart'!$1:$1048576,IF(AS$2="UNC",5,6),0),0)</f>
        <v>0</v>
      </c>
      <c r="AT100" s="995">
        <f>IFERROR(VLOOKUP(I100&amp;"B"&amp;F100,'Bolting Chart'!$1:$1048576,IF(G100="RF",8,9),0),0)</f>
        <v>0</v>
      </c>
      <c r="AU100" s="993">
        <f>IF(AO100=0,0,VLOOKUP(D100&amp;".gasket",'Piping Class'!$1:$1048576,MATCH(I100,'Piping Class'!$2:$2,0),0))</f>
        <v>0</v>
      </c>
      <c r="AV100" s="996">
        <f>(IFERROR(INDEX('Bolting Chart'!$A$169:$R$251,MATCH(AT100,'Bolting Chart'!$A$170:$A$251,0),MATCH(IFERROR(VLOOKUP(I100&amp;"B"&amp;F100,'Bolting Chart'!$1:$1048576,7,0),0)+0,'Bolting Chart'!$A$169:$R$169,0)),0))/100</f>
        <v>0</v>
      </c>
      <c r="AW100" s="996">
        <f t="shared" si="160"/>
        <v>0</v>
      </c>
      <c r="AX100" s="1194">
        <f t="shared" si="161"/>
        <v>0</v>
      </c>
      <c r="AY100" s="981"/>
      <c r="AZ100" s="1543">
        <f t="shared" si="189"/>
        <v>0</v>
      </c>
      <c r="BA100" s="1543">
        <f t="shared" si="189"/>
        <v>0</v>
      </c>
      <c r="BB100" s="1543">
        <f t="shared" si="189"/>
        <v>0</v>
      </c>
      <c r="BC100" s="1543">
        <f t="shared" si="189"/>
        <v>0</v>
      </c>
      <c r="BD100" s="1543">
        <f t="shared" si="189"/>
        <v>0</v>
      </c>
      <c r="BE100" s="1543">
        <f t="shared" si="189"/>
        <v>0</v>
      </c>
      <c r="BF100" s="1543">
        <f t="shared" si="189"/>
        <v>0</v>
      </c>
      <c r="BG100" s="1543">
        <f t="shared" si="189"/>
        <v>0</v>
      </c>
      <c r="BH100" s="1543">
        <f t="shared" si="189"/>
        <v>0</v>
      </c>
      <c r="BI100" s="1543">
        <f t="shared" si="189"/>
        <v>0</v>
      </c>
      <c r="BJ100" s="1543">
        <f t="shared" si="189"/>
        <v>0</v>
      </c>
      <c r="BK100" s="1543">
        <f t="shared" si="189"/>
        <v>0</v>
      </c>
      <c r="BL100" s="1543">
        <f t="shared" si="189"/>
        <v>0</v>
      </c>
      <c r="BM100" s="1543">
        <f t="shared" si="189"/>
        <v>0</v>
      </c>
      <c r="BN100" s="1543">
        <f t="shared" si="189"/>
        <v>0</v>
      </c>
      <c r="BO100" s="1543">
        <f t="shared" si="189"/>
        <v>0</v>
      </c>
      <c r="BP100" s="1543">
        <f t="shared" si="178"/>
        <v>0</v>
      </c>
      <c r="BQ100" s="1543">
        <f t="shared" si="178"/>
        <v>0</v>
      </c>
      <c r="BR100" s="1543">
        <f t="shared" si="191"/>
        <v>0</v>
      </c>
      <c r="BS100" s="1543">
        <f t="shared" si="191"/>
        <v>0</v>
      </c>
      <c r="BT100" s="1543">
        <f t="shared" si="191"/>
        <v>0</v>
      </c>
      <c r="BU100" s="1543">
        <f t="shared" si="191"/>
        <v>0</v>
      </c>
      <c r="BV100" s="1543">
        <f t="shared" si="191"/>
        <v>0</v>
      </c>
      <c r="BW100" s="1543">
        <f t="shared" si="191"/>
        <v>0</v>
      </c>
      <c r="BX100" s="1543">
        <f t="shared" si="191"/>
        <v>0</v>
      </c>
      <c r="BY100" s="1543">
        <f t="shared" si="191"/>
        <v>0</v>
      </c>
      <c r="BZ100" s="1543">
        <f t="shared" si="191"/>
        <v>0</v>
      </c>
      <c r="CB100" s="1543">
        <f t="shared" si="190"/>
        <v>0</v>
      </c>
      <c r="CC100" s="1543">
        <f t="shared" si="190"/>
        <v>0</v>
      </c>
      <c r="CD100" s="1543">
        <f t="shared" si="190"/>
        <v>0</v>
      </c>
      <c r="CE100" s="1543">
        <f t="shared" si="190"/>
        <v>0</v>
      </c>
      <c r="CF100" s="1543">
        <f t="shared" si="190"/>
        <v>0</v>
      </c>
      <c r="CG100" s="1543">
        <f t="shared" si="190"/>
        <v>0</v>
      </c>
      <c r="CH100" s="1543">
        <f t="shared" si="190"/>
        <v>0</v>
      </c>
      <c r="CI100" s="1543">
        <f t="shared" si="190"/>
        <v>0</v>
      </c>
      <c r="CJ100" s="1543">
        <f t="shared" si="190"/>
        <v>0</v>
      </c>
      <c r="CK100" s="1543">
        <f t="shared" si="190"/>
        <v>0</v>
      </c>
      <c r="CL100" s="1543">
        <f t="shared" si="190"/>
        <v>0</v>
      </c>
      <c r="CM100" s="1543">
        <f t="shared" si="190"/>
        <v>0</v>
      </c>
      <c r="CN100" s="1543">
        <f t="shared" si="190"/>
        <v>0</v>
      </c>
      <c r="CO100" s="1543">
        <f t="shared" si="190"/>
        <v>0</v>
      </c>
      <c r="CP100" s="1543">
        <f t="shared" si="190"/>
        <v>0</v>
      </c>
      <c r="CQ100" s="1543">
        <f t="shared" si="190"/>
        <v>0</v>
      </c>
      <c r="CR100" s="1543">
        <f t="shared" si="179"/>
        <v>0</v>
      </c>
      <c r="CS100" s="1543">
        <f t="shared" si="179"/>
        <v>0</v>
      </c>
      <c r="CT100" s="1543">
        <f t="shared" si="183"/>
        <v>0</v>
      </c>
      <c r="CU100" s="1543">
        <f t="shared" si="183"/>
        <v>0</v>
      </c>
      <c r="CV100" s="1543">
        <f t="shared" si="183"/>
        <v>0</v>
      </c>
      <c r="CW100" s="1543">
        <f t="shared" si="183"/>
        <v>0</v>
      </c>
      <c r="CX100" s="1543">
        <f t="shared" si="183"/>
        <v>0</v>
      </c>
      <c r="CY100" s="1543">
        <f t="shared" si="183"/>
        <v>0</v>
      </c>
      <c r="CZ100" s="1543">
        <f t="shared" si="183"/>
        <v>0</v>
      </c>
      <c r="DA100" s="1543">
        <f t="shared" si="183"/>
        <v>0</v>
      </c>
      <c r="DB100" s="1543">
        <f t="shared" si="183"/>
        <v>0</v>
      </c>
      <c r="DD100" s="1543">
        <f t="shared" si="194"/>
        <v>0</v>
      </c>
      <c r="DE100" s="1543">
        <f t="shared" si="195"/>
        <v>0</v>
      </c>
      <c r="DF100" s="1543">
        <f t="shared" si="196"/>
        <v>0</v>
      </c>
      <c r="DG100" s="1543">
        <f t="shared" si="162"/>
        <v>0</v>
      </c>
      <c r="DI100" s="1543">
        <f t="shared" si="163"/>
        <v>0</v>
      </c>
      <c r="DJ100" s="1543">
        <f t="shared" si="185"/>
        <v>0</v>
      </c>
      <c r="DK100" s="1543">
        <f t="shared" si="185"/>
        <v>0</v>
      </c>
      <c r="DL100" s="1543">
        <f t="shared" si="185"/>
        <v>0</v>
      </c>
      <c r="DM100" s="1543">
        <f t="shared" si="185"/>
        <v>0</v>
      </c>
      <c r="DO100" s="1543">
        <f t="shared" si="188"/>
        <v>0</v>
      </c>
      <c r="DP100" s="1543">
        <f t="shared" si="188"/>
        <v>0</v>
      </c>
      <c r="DQ100" s="1543">
        <f t="shared" si="188"/>
        <v>0</v>
      </c>
      <c r="DR100" s="1543">
        <f t="shared" si="188"/>
        <v>0</v>
      </c>
      <c r="DS100" s="1543">
        <f t="shared" si="188"/>
        <v>0</v>
      </c>
      <c r="DT100" s="1543">
        <f t="shared" si="188"/>
        <v>0</v>
      </c>
      <c r="DU100" s="1543">
        <f t="shared" si="188"/>
        <v>0</v>
      </c>
      <c r="DV100" s="1543">
        <f t="shared" si="188"/>
        <v>0</v>
      </c>
      <c r="DW100" s="1543">
        <f t="shared" si="188"/>
        <v>0</v>
      </c>
      <c r="DX100" s="1543">
        <f t="shared" si="188"/>
        <v>0</v>
      </c>
      <c r="DY100" s="1543">
        <f t="shared" si="188"/>
        <v>0</v>
      </c>
      <c r="DZ100" s="1543">
        <f t="shared" si="188"/>
        <v>0</v>
      </c>
      <c r="EA100" s="1543">
        <f t="shared" si="188"/>
        <v>0</v>
      </c>
      <c r="EB100" s="1543">
        <f t="shared" si="180"/>
        <v>0</v>
      </c>
      <c r="EC100" s="1543">
        <f t="shared" si="180"/>
        <v>0</v>
      </c>
      <c r="ED100" s="1543">
        <f t="shared" si="180"/>
        <v>0</v>
      </c>
      <c r="EE100" s="1543">
        <f t="shared" si="180"/>
        <v>0</v>
      </c>
      <c r="EF100" s="1543">
        <f t="shared" si="180"/>
        <v>0</v>
      </c>
      <c r="EH100" s="1543">
        <f t="shared" si="165"/>
        <v>0</v>
      </c>
      <c r="EI100" s="1543">
        <f t="shared" si="166"/>
        <v>0</v>
      </c>
      <c r="EJ100" s="1543">
        <f t="shared" si="167"/>
        <v>0</v>
      </c>
      <c r="EK100" s="1543">
        <f t="shared" si="168"/>
        <v>0</v>
      </c>
      <c r="EL100" s="1543">
        <f t="shared" si="169"/>
        <v>0</v>
      </c>
      <c r="EM100" s="1543">
        <f t="shared" si="170"/>
        <v>0</v>
      </c>
      <c r="EN100" s="1543">
        <f t="shared" si="171"/>
        <v>0</v>
      </c>
      <c r="EP100" s="1543">
        <f t="shared" si="197"/>
        <v>0</v>
      </c>
      <c r="EQ100" s="1543">
        <f t="shared" si="197"/>
        <v>0</v>
      </c>
      <c r="ER100" s="1543">
        <f t="shared" si="197"/>
        <v>0</v>
      </c>
      <c r="ES100" s="1543">
        <f t="shared" si="192"/>
        <v>0</v>
      </c>
      <c r="ET100" s="1543">
        <f t="shared" si="193"/>
        <v>0</v>
      </c>
      <c r="EU100" s="1543">
        <f t="shared" si="193"/>
        <v>0</v>
      </c>
      <c r="EV100" s="1543">
        <f t="shared" si="193"/>
        <v>0</v>
      </c>
      <c r="EW100" s="1543">
        <f t="shared" si="193"/>
        <v>0</v>
      </c>
      <c r="EX100" s="1543">
        <f t="shared" si="193"/>
        <v>0</v>
      </c>
      <c r="EY100" s="1543">
        <f t="shared" si="193"/>
        <v>0</v>
      </c>
      <c r="EZ100" s="1543">
        <f t="shared" si="193"/>
        <v>0</v>
      </c>
      <c r="FA100" s="1543">
        <f t="shared" si="193"/>
        <v>0</v>
      </c>
      <c r="FB100" s="1543">
        <f t="shared" si="193"/>
        <v>0</v>
      </c>
      <c r="FC100" s="1543">
        <f t="shared" si="193"/>
        <v>0</v>
      </c>
      <c r="FD100" s="1543">
        <f t="shared" si="193"/>
        <v>0</v>
      </c>
      <c r="FE100" s="1543">
        <f t="shared" si="184"/>
        <v>0</v>
      </c>
      <c r="FF100" s="1543">
        <f t="shared" si="172"/>
        <v>1</v>
      </c>
      <c r="FH100" s="1543">
        <f t="shared" ref="FH100:FS115" si="198">IF($FT100=1,0,IF(FH$2=$Y100,1,0))</f>
        <v>0</v>
      </c>
      <c r="FI100" s="1543">
        <f t="shared" si="198"/>
        <v>0</v>
      </c>
      <c r="FJ100" s="1543">
        <f t="shared" si="198"/>
        <v>0</v>
      </c>
      <c r="FK100" s="1543">
        <f t="shared" si="198"/>
        <v>0</v>
      </c>
      <c r="FL100" s="1543">
        <f t="shared" si="198"/>
        <v>0</v>
      </c>
      <c r="FM100" s="1543">
        <f t="shared" si="198"/>
        <v>0</v>
      </c>
      <c r="FN100" s="1543">
        <f t="shared" si="198"/>
        <v>0</v>
      </c>
      <c r="FO100" s="1543">
        <f t="shared" si="198"/>
        <v>0</v>
      </c>
      <c r="FP100" s="1543">
        <f t="shared" si="198"/>
        <v>0</v>
      </c>
      <c r="FQ100" s="1543">
        <f t="shared" si="198"/>
        <v>0</v>
      </c>
      <c r="FR100" s="1543">
        <f t="shared" si="198"/>
        <v>0</v>
      </c>
      <c r="FS100" s="1543">
        <f t="shared" si="198"/>
        <v>0</v>
      </c>
      <c r="FT100" s="1543">
        <f t="shared" si="174"/>
        <v>0</v>
      </c>
      <c r="FV100" s="1543">
        <f t="shared" ref="FV100:GD115" si="199">IF($AB100=FV$2,1,0)</f>
        <v>1</v>
      </c>
      <c r="FW100" s="1543">
        <f t="shared" si="199"/>
        <v>0</v>
      </c>
      <c r="FX100" s="1543">
        <f t="shared" si="199"/>
        <v>0</v>
      </c>
      <c r="FY100" s="1543">
        <f t="shared" si="199"/>
        <v>0</v>
      </c>
      <c r="FZ100" s="1543">
        <f t="shared" si="199"/>
        <v>0</v>
      </c>
      <c r="GA100" s="1543">
        <f t="shared" si="199"/>
        <v>0</v>
      </c>
      <c r="GB100" s="1543">
        <f t="shared" si="199"/>
        <v>0</v>
      </c>
      <c r="GC100" s="1543">
        <f t="shared" si="199"/>
        <v>0</v>
      </c>
      <c r="GD100" s="1543">
        <f t="shared" si="199"/>
        <v>0</v>
      </c>
    </row>
    <row r="101" spans="1:186" s="982" customFormat="1" ht="15.6" x14ac:dyDescent="0.3">
      <c r="A101" s="974">
        <v>99</v>
      </c>
      <c r="B101" s="983"/>
      <c r="C101" s="984"/>
      <c r="D101" s="983"/>
      <c r="E101" s="968" t="str">
        <f>IFERROR(VLOOKUP($D101&amp;"."&amp;B101,'Piping Class'!$1:$1048576,MATCH($I101,'Piping Class'!$2:$2,0),0),"")</f>
        <v/>
      </c>
      <c r="F101" s="985" t="str">
        <f>IFERROR(IF(B101="Flange",VLOOKUP($D101,'Piping Class'!$88:$102,MATCH(F$1,'Piping Class'!$88:$88,0),0),""),"")</f>
        <v/>
      </c>
      <c r="G101" s="968" t="str">
        <f>IFERROR(IF(B101="Flange",VLOOKUP($D101,'Piping Class'!$88:$102,MATCH(G$1,'Piping Class'!$88:$88,0),0),""),"")</f>
        <v/>
      </c>
      <c r="H101" s="968" t="str">
        <f>IFERROR(VLOOKUP($D101,'Piping Class'!$88:$102,MATCH(H$1,'Piping Class'!$88:$88,0),0),"")</f>
        <v/>
      </c>
      <c r="I101" s="986"/>
      <c r="J101" s="987"/>
      <c r="K101" s="968" t="str">
        <f>IFERROR(VLOOKUP(I101,'Thickness Tab'!$1:$1048576,MATCH(L101,'Thickness Tab'!$1:$1,0),0),"")</f>
        <v/>
      </c>
      <c r="L101" s="969" t="str">
        <f>IFERROR(VLOOKUP($D101,'Piping Class'!$1:$1048576,MATCH($I101,'Piping Class'!$2:$2,0),0),"")</f>
        <v/>
      </c>
      <c r="M101" s="968" t="str">
        <f>IFERROR(VLOOKUP(J101,'Thickness Tab'!$1:$1048576,MATCH(N101,'Thickness Tab'!$1:$1,0),0),"")</f>
        <v/>
      </c>
      <c r="N101" s="969" t="str">
        <f>IFERROR(VLOOKUP($D101,'Piping Class'!$1:$1048576,MATCH($J101,'Piping Class'!$2:$2,0),0),"")</f>
        <v/>
      </c>
      <c r="O101" s="968" t="str">
        <f>IFERROR(VLOOKUP($D101,'Piping Class'!$88:$102,MATCH(O$1,'Piping Class'!$88:$88,0),0),"")</f>
        <v/>
      </c>
      <c r="P101" s="968" t="str">
        <f>IFERROR(VLOOKUP($D101,'Piping Class'!$88:$102,MATCH(P$1,'Piping Class'!$88:$88,0),0),"")</f>
        <v/>
      </c>
      <c r="Q101" s="983"/>
      <c r="R101" s="988"/>
      <c r="S101" s="969" t="str">
        <f t="shared" si="150"/>
        <v/>
      </c>
      <c r="T101" s="968">
        <f>IFERROR(VLOOKUP(I101&amp;"."&amp;L101,'Fitting Chart'!$1:$1048576,MATCH(C101,'Fitting Chart'!$1:$1,0),0),0)+IF(B101="piping",PI()*K101*(VLOOKUP(I101,'Thickness Tab'!$1:$1048576,3,0)-K101)*7.86/1000,0)+IF(B101="Flange",VLOOKUP(I101&amp;"F"&amp;F101,'Flanges Chart'!$1:$1048576,MATCH(C101&amp;"."&amp;T$1,'Flanges Chart'!$1:$1,0),0),0)</f>
        <v>0</v>
      </c>
      <c r="U101" s="989">
        <f t="shared" si="151"/>
        <v>0</v>
      </c>
      <c r="V101" s="1003"/>
      <c r="W101" s="1001">
        <f t="shared" si="152"/>
        <v>0</v>
      </c>
      <c r="X101" s="997"/>
      <c r="Y101" s="983"/>
      <c r="Z101" s="989">
        <f>IF(B101="Piping",VLOOKUP(I101,'Thickness Tab'!$1:$1048576,3,0)/1000*PI(),0)+IFERROR(VLOOKUP(I101&amp;"F"&amp;F101,'Flanges Chart'!$1:$1048576,MATCH(C101&amp;".Unit Surface",'Flanges Chart'!$1:$1,0),0),0)+IF(B101="Fitting",VLOOKUP(I101,'Thickness Tab'!$1:$1048576,3,0)/1000*PI(),0)</f>
        <v>0</v>
      </c>
      <c r="AA101" s="989">
        <f t="shared" si="153"/>
        <v>0</v>
      </c>
      <c r="AB101" s="983">
        <v>0</v>
      </c>
      <c r="AC101" s="989">
        <f t="shared" si="154"/>
        <v>0</v>
      </c>
      <c r="AD101" s="989">
        <f t="shared" si="155"/>
        <v>0</v>
      </c>
      <c r="AE101" s="974">
        <f>(IFERROR(VLOOKUP($C101,List!$J:$L,2,0),0)*R101+IF(B101="piping",R101,0)+IF(C101="Welding Neck",1,0)*R101)*$AE$2</f>
        <v>0</v>
      </c>
      <c r="AF101" s="970">
        <f>IFERROR(VLOOKUP($C101,List!$J:$L,3,0),0)*R101*$AF$2</f>
        <v>0</v>
      </c>
      <c r="AG101" s="990">
        <f t="shared" si="156"/>
        <v>0</v>
      </c>
      <c r="AH101" s="1118" t="str">
        <f>IFERROR(VLOOKUP($D101,'Piping Class'!$88:$102,MATCH(AH$1,'Piping Class'!$88:$88,0),0),"")</f>
        <v/>
      </c>
      <c r="AI101" s="991" t="str">
        <f>IFERROR(VLOOKUP($D101,'Piping Class'!$88:$102,MATCH(AI$1,'Piping Class'!$88:$88,0),0),"")</f>
        <v/>
      </c>
      <c r="AJ101" s="991" t="str">
        <f>IFERROR(VLOOKUP($D101,'Piping Class'!$88:$102,MATCH(AJ$1,'Piping Class'!$88:$88,0),0),"")</f>
        <v/>
      </c>
      <c r="AK101" s="991" t="str">
        <f>IFERROR(VLOOKUP($D101,'Piping Class'!$88:$102,MATCH(AK$1,'Piping Class'!$88:$88,0),0),"")</f>
        <v/>
      </c>
      <c r="AL101" s="991">
        <f t="shared" si="182"/>
        <v>0</v>
      </c>
      <c r="AM101" s="1119" t="str">
        <f>IFERROR(VLOOKUP($D101,'Piping Class'!$88:$102,MATCH(AM$1,'Piping Class'!$88:$88,0),0),"")</f>
        <v/>
      </c>
      <c r="AN101" s="992">
        <f t="shared" si="157"/>
        <v>0</v>
      </c>
      <c r="AO101" s="993">
        <f>IFERROR(VLOOKUP(I101&amp;"B"&amp;F101,'Bolting Chart'!$1:$1048576,4,0),0)</f>
        <v>0</v>
      </c>
      <c r="AP101" s="993">
        <f t="shared" si="158"/>
        <v>0</v>
      </c>
      <c r="AQ101" s="993">
        <f t="shared" si="159"/>
        <v>0</v>
      </c>
      <c r="AR101" s="993">
        <f>IF(AO101=0,0,VLOOKUP(D101&amp;".bolting",'Piping Class'!$1:$1048576,MATCH(I101,'Piping Class'!$2:$2,0),0))</f>
        <v>0</v>
      </c>
      <c r="AS101" s="994">
        <f>IFERROR(VLOOKUP(I101&amp;"B"&amp;F101,'Bolting Chart'!$1:$1048576,IF(AS$2="UNC",5,6),0),0)</f>
        <v>0</v>
      </c>
      <c r="AT101" s="995">
        <f>IFERROR(VLOOKUP(I101&amp;"B"&amp;F101,'Bolting Chart'!$1:$1048576,IF(G101="RF",8,9),0),0)</f>
        <v>0</v>
      </c>
      <c r="AU101" s="993">
        <f>IF(AO101=0,0,VLOOKUP(D101&amp;".gasket",'Piping Class'!$1:$1048576,MATCH(I101,'Piping Class'!$2:$2,0),0))</f>
        <v>0</v>
      </c>
      <c r="AV101" s="996">
        <f>(IFERROR(INDEX('Bolting Chart'!$A$169:$R$251,MATCH(AT101,'Bolting Chart'!$A$170:$A$251,0),MATCH(IFERROR(VLOOKUP(I101&amp;"B"&amp;F101,'Bolting Chart'!$1:$1048576,7,0),0)+0,'Bolting Chart'!$A$169:$R$169,0)),0))/100</f>
        <v>0</v>
      </c>
      <c r="AW101" s="996">
        <f t="shared" si="160"/>
        <v>0</v>
      </c>
      <c r="AX101" s="1194">
        <f t="shared" si="161"/>
        <v>0</v>
      </c>
      <c r="AY101" s="981"/>
      <c r="AZ101" s="1543">
        <f t="shared" si="189"/>
        <v>0</v>
      </c>
      <c r="BA101" s="1543">
        <f t="shared" si="189"/>
        <v>0</v>
      </c>
      <c r="BB101" s="1543">
        <f t="shared" si="189"/>
        <v>0</v>
      </c>
      <c r="BC101" s="1543">
        <f t="shared" si="189"/>
        <v>0</v>
      </c>
      <c r="BD101" s="1543">
        <f t="shared" si="189"/>
        <v>0</v>
      </c>
      <c r="BE101" s="1543">
        <f t="shared" si="189"/>
        <v>0</v>
      </c>
      <c r="BF101" s="1543">
        <f t="shared" si="189"/>
        <v>0</v>
      </c>
      <c r="BG101" s="1543">
        <f t="shared" si="189"/>
        <v>0</v>
      </c>
      <c r="BH101" s="1543">
        <f t="shared" si="189"/>
        <v>0</v>
      </c>
      <c r="BI101" s="1543">
        <f t="shared" si="189"/>
        <v>0</v>
      </c>
      <c r="BJ101" s="1543">
        <f t="shared" si="189"/>
        <v>0</v>
      </c>
      <c r="BK101" s="1543">
        <f t="shared" si="189"/>
        <v>0</v>
      </c>
      <c r="BL101" s="1543">
        <f t="shared" si="189"/>
        <v>0</v>
      </c>
      <c r="BM101" s="1543">
        <f t="shared" si="189"/>
        <v>0</v>
      </c>
      <c r="BN101" s="1543">
        <f t="shared" si="189"/>
        <v>0</v>
      </c>
      <c r="BO101" s="1543">
        <f t="shared" si="189"/>
        <v>0</v>
      </c>
      <c r="BP101" s="1543">
        <f t="shared" si="178"/>
        <v>0</v>
      </c>
      <c r="BQ101" s="1543">
        <f t="shared" si="178"/>
        <v>0</v>
      </c>
      <c r="BR101" s="1543">
        <f t="shared" si="191"/>
        <v>0</v>
      </c>
      <c r="BS101" s="1543">
        <f t="shared" si="191"/>
        <v>0</v>
      </c>
      <c r="BT101" s="1543">
        <f t="shared" si="191"/>
        <v>0</v>
      </c>
      <c r="BU101" s="1543">
        <f t="shared" si="191"/>
        <v>0</v>
      </c>
      <c r="BV101" s="1543">
        <f t="shared" si="191"/>
        <v>0</v>
      </c>
      <c r="BW101" s="1543">
        <f t="shared" si="191"/>
        <v>0</v>
      </c>
      <c r="BX101" s="1543">
        <f t="shared" si="191"/>
        <v>0</v>
      </c>
      <c r="BY101" s="1543">
        <f t="shared" si="191"/>
        <v>0</v>
      </c>
      <c r="BZ101" s="1543">
        <f t="shared" si="191"/>
        <v>0</v>
      </c>
      <c r="CB101" s="1543">
        <f t="shared" si="190"/>
        <v>0</v>
      </c>
      <c r="CC101" s="1543">
        <f t="shared" si="190"/>
        <v>0</v>
      </c>
      <c r="CD101" s="1543">
        <f t="shared" si="190"/>
        <v>0</v>
      </c>
      <c r="CE101" s="1543">
        <f t="shared" si="190"/>
        <v>0</v>
      </c>
      <c r="CF101" s="1543">
        <f t="shared" si="190"/>
        <v>0</v>
      </c>
      <c r="CG101" s="1543">
        <f t="shared" si="190"/>
        <v>0</v>
      </c>
      <c r="CH101" s="1543">
        <f t="shared" si="190"/>
        <v>0</v>
      </c>
      <c r="CI101" s="1543">
        <f t="shared" si="190"/>
        <v>0</v>
      </c>
      <c r="CJ101" s="1543">
        <f t="shared" si="190"/>
        <v>0</v>
      </c>
      <c r="CK101" s="1543">
        <f t="shared" si="190"/>
        <v>0</v>
      </c>
      <c r="CL101" s="1543">
        <f t="shared" si="190"/>
        <v>0</v>
      </c>
      <c r="CM101" s="1543">
        <f t="shared" si="190"/>
        <v>0</v>
      </c>
      <c r="CN101" s="1543">
        <f t="shared" si="190"/>
        <v>0</v>
      </c>
      <c r="CO101" s="1543">
        <f t="shared" si="190"/>
        <v>0</v>
      </c>
      <c r="CP101" s="1543">
        <f t="shared" si="190"/>
        <v>0</v>
      </c>
      <c r="CQ101" s="1543">
        <f t="shared" si="190"/>
        <v>0</v>
      </c>
      <c r="CR101" s="1543">
        <f t="shared" si="179"/>
        <v>0</v>
      </c>
      <c r="CS101" s="1543">
        <f t="shared" si="179"/>
        <v>0</v>
      </c>
      <c r="CT101" s="1543">
        <f t="shared" si="183"/>
        <v>0</v>
      </c>
      <c r="CU101" s="1543">
        <f t="shared" si="183"/>
        <v>0</v>
      </c>
      <c r="CV101" s="1543">
        <f t="shared" si="183"/>
        <v>0</v>
      </c>
      <c r="CW101" s="1543">
        <f t="shared" si="183"/>
        <v>0</v>
      </c>
      <c r="CX101" s="1543">
        <f t="shared" si="183"/>
        <v>0</v>
      </c>
      <c r="CY101" s="1543">
        <f t="shared" si="183"/>
        <v>0</v>
      </c>
      <c r="CZ101" s="1543">
        <f t="shared" si="183"/>
        <v>0</v>
      </c>
      <c r="DA101" s="1543">
        <f t="shared" si="183"/>
        <v>0</v>
      </c>
      <c r="DB101" s="1543">
        <f t="shared" si="183"/>
        <v>0</v>
      </c>
      <c r="DD101" s="1543">
        <f t="shared" si="194"/>
        <v>0</v>
      </c>
      <c r="DE101" s="1543">
        <f t="shared" si="195"/>
        <v>0</v>
      </c>
      <c r="DF101" s="1543">
        <f t="shared" si="196"/>
        <v>0</v>
      </c>
      <c r="DG101" s="1543">
        <f t="shared" si="162"/>
        <v>0</v>
      </c>
      <c r="DI101" s="1543">
        <f t="shared" si="163"/>
        <v>0</v>
      </c>
      <c r="DJ101" s="1543">
        <f t="shared" si="185"/>
        <v>0</v>
      </c>
      <c r="DK101" s="1543">
        <f t="shared" si="185"/>
        <v>0</v>
      </c>
      <c r="DL101" s="1543">
        <f t="shared" si="185"/>
        <v>0</v>
      </c>
      <c r="DM101" s="1543">
        <f t="shared" si="185"/>
        <v>0</v>
      </c>
      <c r="DO101" s="1543">
        <f t="shared" si="188"/>
        <v>0</v>
      </c>
      <c r="DP101" s="1543">
        <f t="shared" si="188"/>
        <v>0</v>
      </c>
      <c r="DQ101" s="1543">
        <f t="shared" si="188"/>
        <v>0</v>
      </c>
      <c r="DR101" s="1543">
        <f t="shared" si="188"/>
        <v>0</v>
      </c>
      <c r="DS101" s="1543">
        <f t="shared" si="188"/>
        <v>0</v>
      </c>
      <c r="DT101" s="1543">
        <f t="shared" si="188"/>
        <v>0</v>
      </c>
      <c r="DU101" s="1543">
        <f t="shared" si="188"/>
        <v>0</v>
      </c>
      <c r="DV101" s="1543">
        <f t="shared" si="188"/>
        <v>0</v>
      </c>
      <c r="DW101" s="1543">
        <f t="shared" si="188"/>
        <v>0</v>
      </c>
      <c r="DX101" s="1543">
        <f t="shared" si="188"/>
        <v>0</v>
      </c>
      <c r="DY101" s="1543">
        <f t="shared" si="188"/>
        <v>0</v>
      </c>
      <c r="DZ101" s="1543">
        <f t="shared" si="188"/>
        <v>0</v>
      </c>
      <c r="EA101" s="1543">
        <f t="shared" si="188"/>
        <v>0</v>
      </c>
      <c r="EB101" s="1543">
        <f t="shared" si="180"/>
        <v>0</v>
      </c>
      <c r="EC101" s="1543">
        <f t="shared" si="180"/>
        <v>0</v>
      </c>
      <c r="ED101" s="1543">
        <f t="shared" si="180"/>
        <v>0</v>
      </c>
      <c r="EE101" s="1543">
        <f t="shared" si="180"/>
        <v>0</v>
      </c>
      <c r="EF101" s="1543">
        <f t="shared" si="180"/>
        <v>0</v>
      </c>
      <c r="EH101" s="1543">
        <f t="shared" si="165"/>
        <v>0</v>
      </c>
      <c r="EI101" s="1543">
        <f t="shared" si="166"/>
        <v>0</v>
      </c>
      <c r="EJ101" s="1543">
        <f t="shared" si="167"/>
        <v>0</v>
      </c>
      <c r="EK101" s="1543">
        <f t="shared" si="168"/>
        <v>0</v>
      </c>
      <c r="EL101" s="1543">
        <f t="shared" si="169"/>
        <v>0</v>
      </c>
      <c r="EM101" s="1543">
        <f t="shared" si="170"/>
        <v>0</v>
      </c>
      <c r="EN101" s="1543">
        <f t="shared" si="171"/>
        <v>0</v>
      </c>
      <c r="EP101" s="1543">
        <f t="shared" si="197"/>
        <v>0</v>
      </c>
      <c r="EQ101" s="1543">
        <f t="shared" si="197"/>
        <v>0</v>
      </c>
      <c r="ER101" s="1543">
        <f t="shared" si="197"/>
        <v>0</v>
      </c>
      <c r="ES101" s="1543">
        <f t="shared" si="192"/>
        <v>0</v>
      </c>
      <c r="ET101" s="1543">
        <f t="shared" si="193"/>
        <v>0</v>
      </c>
      <c r="EU101" s="1543">
        <f t="shared" si="193"/>
        <v>0</v>
      </c>
      <c r="EV101" s="1543">
        <f t="shared" si="193"/>
        <v>0</v>
      </c>
      <c r="EW101" s="1543">
        <f t="shared" si="193"/>
        <v>0</v>
      </c>
      <c r="EX101" s="1543">
        <f t="shared" si="193"/>
        <v>0</v>
      </c>
      <c r="EY101" s="1543">
        <f t="shared" si="193"/>
        <v>0</v>
      </c>
      <c r="EZ101" s="1543">
        <f t="shared" si="193"/>
        <v>0</v>
      </c>
      <c r="FA101" s="1543">
        <f t="shared" si="193"/>
        <v>0</v>
      </c>
      <c r="FB101" s="1543">
        <f t="shared" si="193"/>
        <v>0</v>
      </c>
      <c r="FC101" s="1543">
        <f t="shared" si="193"/>
        <v>0</v>
      </c>
      <c r="FD101" s="1543">
        <f t="shared" si="193"/>
        <v>0</v>
      </c>
      <c r="FE101" s="1543">
        <f t="shared" si="184"/>
        <v>0</v>
      </c>
      <c r="FF101" s="1543">
        <f t="shared" si="172"/>
        <v>1</v>
      </c>
      <c r="FH101" s="1543">
        <f t="shared" si="198"/>
        <v>0</v>
      </c>
      <c r="FI101" s="1543">
        <f t="shared" si="198"/>
        <v>0</v>
      </c>
      <c r="FJ101" s="1543">
        <f t="shared" si="198"/>
        <v>0</v>
      </c>
      <c r="FK101" s="1543">
        <f t="shared" si="198"/>
        <v>0</v>
      </c>
      <c r="FL101" s="1543">
        <f t="shared" si="198"/>
        <v>0</v>
      </c>
      <c r="FM101" s="1543">
        <f t="shared" si="198"/>
        <v>0</v>
      </c>
      <c r="FN101" s="1543">
        <f t="shared" si="198"/>
        <v>0</v>
      </c>
      <c r="FO101" s="1543">
        <f t="shared" si="198"/>
        <v>0</v>
      </c>
      <c r="FP101" s="1543">
        <f t="shared" si="198"/>
        <v>0</v>
      </c>
      <c r="FQ101" s="1543">
        <f t="shared" si="198"/>
        <v>0</v>
      </c>
      <c r="FR101" s="1543">
        <f t="shared" si="198"/>
        <v>0</v>
      </c>
      <c r="FS101" s="1543">
        <f t="shared" si="198"/>
        <v>0</v>
      </c>
      <c r="FT101" s="1543">
        <f t="shared" si="174"/>
        <v>0</v>
      </c>
      <c r="FV101" s="1543">
        <f t="shared" si="199"/>
        <v>1</v>
      </c>
      <c r="FW101" s="1543">
        <f t="shared" si="199"/>
        <v>0</v>
      </c>
      <c r="FX101" s="1543">
        <f t="shared" si="199"/>
        <v>0</v>
      </c>
      <c r="FY101" s="1543">
        <f t="shared" si="199"/>
        <v>0</v>
      </c>
      <c r="FZ101" s="1543">
        <f t="shared" si="199"/>
        <v>0</v>
      </c>
      <c r="GA101" s="1543">
        <f t="shared" si="199"/>
        <v>0</v>
      </c>
      <c r="GB101" s="1543">
        <f t="shared" si="199"/>
        <v>0</v>
      </c>
      <c r="GC101" s="1543">
        <f t="shared" si="199"/>
        <v>0</v>
      </c>
      <c r="GD101" s="1543">
        <f t="shared" si="199"/>
        <v>0</v>
      </c>
    </row>
    <row r="102" spans="1:186" s="982" customFormat="1" ht="15.6" x14ac:dyDescent="0.3">
      <c r="A102" s="974">
        <v>100</v>
      </c>
      <c r="B102" s="983"/>
      <c r="C102" s="984"/>
      <c r="D102" s="983"/>
      <c r="E102" s="968" t="str">
        <f>IFERROR(VLOOKUP($D102&amp;"."&amp;B102,'Piping Class'!$1:$1048576,MATCH($I102,'Piping Class'!$2:$2,0),0),"")</f>
        <v/>
      </c>
      <c r="F102" s="985" t="str">
        <f>IFERROR(IF(B102="Flange",VLOOKUP($D102,'Piping Class'!$88:$102,MATCH(F$1,'Piping Class'!$88:$88,0),0),""),"")</f>
        <v/>
      </c>
      <c r="G102" s="968" t="str">
        <f>IFERROR(IF(B102="Flange",VLOOKUP($D102,'Piping Class'!$88:$102,MATCH(G$1,'Piping Class'!$88:$88,0),0),""),"")</f>
        <v/>
      </c>
      <c r="H102" s="968" t="str">
        <f>IFERROR(VLOOKUP($D102,'Piping Class'!$88:$102,MATCH(H$1,'Piping Class'!$88:$88,0),0),"")</f>
        <v/>
      </c>
      <c r="I102" s="986"/>
      <c r="J102" s="987"/>
      <c r="K102" s="968" t="str">
        <f>IFERROR(VLOOKUP(I102,'Thickness Tab'!$1:$1048576,MATCH(L102,'Thickness Tab'!$1:$1,0),0),"")</f>
        <v/>
      </c>
      <c r="L102" s="969" t="str">
        <f>IFERROR(VLOOKUP($D102,'Piping Class'!$1:$1048576,MATCH($I102,'Piping Class'!$2:$2,0),0),"")</f>
        <v/>
      </c>
      <c r="M102" s="968" t="str">
        <f>IFERROR(VLOOKUP(J102,'Thickness Tab'!$1:$1048576,MATCH(N102,'Thickness Tab'!$1:$1,0),0),"")</f>
        <v/>
      </c>
      <c r="N102" s="969" t="str">
        <f>IFERROR(VLOOKUP($D102,'Piping Class'!$1:$1048576,MATCH($J102,'Piping Class'!$2:$2,0),0),"")</f>
        <v/>
      </c>
      <c r="O102" s="968" t="str">
        <f>IFERROR(VLOOKUP($D102,'Piping Class'!$88:$102,MATCH(O$1,'Piping Class'!$88:$88,0),0),"")</f>
        <v/>
      </c>
      <c r="P102" s="968" t="str">
        <f>IFERROR(VLOOKUP($D102,'Piping Class'!$88:$102,MATCH(P$1,'Piping Class'!$88:$88,0),0),"")</f>
        <v/>
      </c>
      <c r="Q102" s="983"/>
      <c r="R102" s="988"/>
      <c r="S102" s="969" t="str">
        <f t="shared" si="150"/>
        <v/>
      </c>
      <c r="T102" s="968">
        <f>IFERROR(VLOOKUP(I102&amp;"."&amp;L102,'Fitting Chart'!$1:$1048576,MATCH(C102,'Fitting Chart'!$1:$1,0),0),0)+IF(B102="piping",PI()*K102*(VLOOKUP(I102,'Thickness Tab'!$1:$1048576,3,0)-K102)*7.86/1000,0)+IF(B102="Flange",VLOOKUP(I102&amp;"F"&amp;F102,'Flanges Chart'!$1:$1048576,MATCH(C102&amp;"."&amp;T$1,'Flanges Chart'!$1:$1,0),0),0)</f>
        <v>0</v>
      </c>
      <c r="U102" s="989">
        <f t="shared" si="151"/>
        <v>0</v>
      </c>
      <c r="V102" s="1003"/>
      <c r="W102" s="1001">
        <f t="shared" si="152"/>
        <v>0</v>
      </c>
      <c r="X102" s="997"/>
      <c r="Y102" s="983"/>
      <c r="Z102" s="989">
        <f>IF(B102="Piping",VLOOKUP(I102,'Thickness Tab'!$1:$1048576,3,0)/1000*PI(),0)+IFERROR(VLOOKUP(I102&amp;"F"&amp;F102,'Flanges Chart'!$1:$1048576,MATCH(C102&amp;".Unit Surface",'Flanges Chart'!$1:$1,0),0),0)+IF(B102="Fitting",VLOOKUP(I102,'Thickness Tab'!$1:$1048576,3,0)/1000*PI(),0)</f>
        <v>0</v>
      </c>
      <c r="AA102" s="989">
        <f t="shared" si="153"/>
        <v>0</v>
      </c>
      <c r="AB102" s="983">
        <v>0</v>
      </c>
      <c r="AC102" s="989">
        <f t="shared" si="154"/>
        <v>0</v>
      </c>
      <c r="AD102" s="989">
        <f t="shared" si="155"/>
        <v>0</v>
      </c>
      <c r="AE102" s="974">
        <f>(IFERROR(VLOOKUP($C102,List!$J:$L,2,0),0)*R102+IF(B102="piping",R102,0)+IF(C102="Welding Neck",1,0)*R102)*$AE$2</f>
        <v>0</v>
      </c>
      <c r="AF102" s="970">
        <f>IFERROR(VLOOKUP($C102,List!$J:$L,3,0),0)*R102*$AF$2</f>
        <v>0</v>
      </c>
      <c r="AG102" s="990">
        <f t="shared" si="156"/>
        <v>0</v>
      </c>
      <c r="AH102" s="1118" t="str">
        <f>IFERROR(VLOOKUP($D102,'Piping Class'!$88:$102,MATCH(AH$1,'Piping Class'!$88:$88,0),0),"")</f>
        <v/>
      </c>
      <c r="AI102" s="991" t="str">
        <f>IFERROR(VLOOKUP($D102,'Piping Class'!$88:$102,MATCH(AI$1,'Piping Class'!$88:$88,0),0),"")</f>
        <v/>
      </c>
      <c r="AJ102" s="991" t="str">
        <f>IFERROR(VLOOKUP($D102,'Piping Class'!$88:$102,MATCH(AJ$1,'Piping Class'!$88:$88,0),0),"")</f>
        <v/>
      </c>
      <c r="AK102" s="991" t="str">
        <f>IFERROR(VLOOKUP($D102,'Piping Class'!$88:$102,MATCH(AK$1,'Piping Class'!$88:$88,0),0),"")</f>
        <v/>
      </c>
      <c r="AL102" s="991">
        <f t="shared" si="182"/>
        <v>0</v>
      </c>
      <c r="AM102" s="1119" t="str">
        <f>IFERROR(VLOOKUP($D102,'Piping Class'!$88:$102,MATCH(AM$1,'Piping Class'!$88:$88,0),0),"")</f>
        <v/>
      </c>
      <c r="AN102" s="992">
        <f t="shared" si="157"/>
        <v>0</v>
      </c>
      <c r="AO102" s="993">
        <f>IFERROR(VLOOKUP(I102&amp;"B"&amp;F102,'Bolting Chart'!$1:$1048576,4,0),0)</f>
        <v>0</v>
      </c>
      <c r="AP102" s="993">
        <f t="shared" si="158"/>
        <v>0</v>
      </c>
      <c r="AQ102" s="993">
        <f t="shared" si="159"/>
        <v>0</v>
      </c>
      <c r="AR102" s="993">
        <f>IF(AO102=0,0,VLOOKUP(D102&amp;".bolting",'Piping Class'!$1:$1048576,MATCH(I102,'Piping Class'!$2:$2,0),0))</f>
        <v>0</v>
      </c>
      <c r="AS102" s="994">
        <f>IFERROR(VLOOKUP(I102&amp;"B"&amp;F102,'Bolting Chart'!$1:$1048576,IF(AS$2="UNC",5,6),0),0)</f>
        <v>0</v>
      </c>
      <c r="AT102" s="995">
        <f>IFERROR(VLOOKUP(I102&amp;"B"&amp;F102,'Bolting Chart'!$1:$1048576,IF(G102="RF",8,9),0),0)</f>
        <v>0</v>
      </c>
      <c r="AU102" s="993">
        <f>IF(AO102=0,0,VLOOKUP(D102&amp;".gasket",'Piping Class'!$1:$1048576,MATCH(I102,'Piping Class'!$2:$2,0),0))</f>
        <v>0</v>
      </c>
      <c r="AV102" s="996">
        <f>(IFERROR(INDEX('Bolting Chart'!$A$169:$R$251,MATCH(AT102,'Bolting Chart'!$A$170:$A$251,0),MATCH(IFERROR(VLOOKUP(I102&amp;"B"&amp;F102,'Bolting Chart'!$1:$1048576,7,0),0)+0,'Bolting Chart'!$A$169:$R$169,0)),0))/100</f>
        <v>0</v>
      </c>
      <c r="AW102" s="996">
        <f t="shared" si="160"/>
        <v>0</v>
      </c>
      <c r="AX102" s="1194">
        <f t="shared" si="161"/>
        <v>0</v>
      </c>
      <c r="AY102" s="981"/>
      <c r="AZ102" s="1543">
        <f t="shared" si="189"/>
        <v>0</v>
      </c>
      <c r="BA102" s="1543">
        <f t="shared" si="189"/>
        <v>0</v>
      </c>
      <c r="BB102" s="1543">
        <f t="shared" si="189"/>
        <v>0</v>
      </c>
      <c r="BC102" s="1543">
        <f t="shared" si="189"/>
        <v>0</v>
      </c>
      <c r="BD102" s="1543">
        <f t="shared" si="189"/>
        <v>0</v>
      </c>
      <c r="BE102" s="1543">
        <f t="shared" si="189"/>
        <v>0</v>
      </c>
      <c r="BF102" s="1543">
        <f t="shared" si="189"/>
        <v>0</v>
      </c>
      <c r="BG102" s="1543">
        <f t="shared" si="189"/>
        <v>0</v>
      </c>
      <c r="BH102" s="1543">
        <f t="shared" si="189"/>
        <v>0</v>
      </c>
      <c r="BI102" s="1543">
        <f t="shared" si="189"/>
        <v>0</v>
      </c>
      <c r="BJ102" s="1543">
        <f t="shared" si="189"/>
        <v>0</v>
      </c>
      <c r="BK102" s="1543">
        <f t="shared" si="189"/>
        <v>0</v>
      </c>
      <c r="BL102" s="1543">
        <f t="shared" si="189"/>
        <v>0</v>
      </c>
      <c r="BM102" s="1543">
        <f t="shared" si="189"/>
        <v>0</v>
      </c>
      <c r="BN102" s="1543">
        <f t="shared" si="189"/>
        <v>0</v>
      </c>
      <c r="BO102" s="1543">
        <f t="shared" si="189"/>
        <v>0</v>
      </c>
      <c r="BP102" s="1543">
        <f t="shared" si="178"/>
        <v>0</v>
      </c>
      <c r="BQ102" s="1543">
        <f t="shared" si="178"/>
        <v>0</v>
      </c>
      <c r="BR102" s="1543">
        <f t="shared" si="191"/>
        <v>0</v>
      </c>
      <c r="BS102" s="1543">
        <f t="shared" si="191"/>
        <v>0</v>
      </c>
      <c r="BT102" s="1543">
        <f t="shared" si="191"/>
        <v>0</v>
      </c>
      <c r="BU102" s="1543">
        <f t="shared" si="191"/>
        <v>0</v>
      </c>
      <c r="BV102" s="1543">
        <f t="shared" si="191"/>
        <v>0</v>
      </c>
      <c r="BW102" s="1543">
        <f t="shared" si="191"/>
        <v>0</v>
      </c>
      <c r="BX102" s="1543">
        <f t="shared" si="191"/>
        <v>0</v>
      </c>
      <c r="BY102" s="1543">
        <f t="shared" si="191"/>
        <v>0</v>
      </c>
      <c r="BZ102" s="1543">
        <f t="shared" si="191"/>
        <v>0</v>
      </c>
      <c r="CB102" s="1543">
        <f t="shared" si="190"/>
        <v>0</v>
      </c>
      <c r="CC102" s="1543">
        <f t="shared" si="190"/>
        <v>0</v>
      </c>
      <c r="CD102" s="1543">
        <f t="shared" si="190"/>
        <v>0</v>
      </c>
      <c r="CE102" s="1543">
        <f t="shared" si="190"/>
        <v>0</v>
      </c>
      <c r="CF102" s="1543">
        <f t="shared" si="190"/>
        <v>0</v>
      </c>
      <c r="CG102" s="1543">
        <f t="shared" si="190"/>
        <v>0</v>
      </c>
      <c r="CH102" s="1543">
        <f t="shared" si="190"/>
        <v>0</v>
      </c>
      <c r="CI102" s="1543">
        <f t="shared" si="190"/>
        <v>0</v>
      </c>
      <c r="CJ102" s="1543">
        <f t="shared" si="190"/>
        <v>0</v>
      </c>
      <c r="CK102" s="1543">
        <f t="shared" si="190"/>
        <v>0</v>
      </c>
      <c r="CL102" s="1543">
        <f t="shared" si="190"/>
        <v>0</v>
      </c>
      <c r="CM102" s="1543">
        <f t="shared" si="190"/>
        <v>0</v>
      </c>
      <c r="CN102" s="1543">
        <f t="shared" si="190"/>
        <v>0</v>
      </c>
      <c r="CO102" s="1543">
        <f t="shared" si="190"/>
        <v>0</v>
      </c>
      <c r="CP102" s="1543">
        <f t="shared" si="190"/>
        <v>0</v>
      </c>
      <c r="CQ102" s="1543">
        <f t="shared" si="190"/>
        <v>0</v>
      </c>
      <c r="CR102" s="1543">
        <f t="shared" si="179"/>
        <v>0</v>
      </c>
      <c r="CS102" s="1543">
        <f t="shared" si="179"/>
        <v>0</v>
      </c>
      <c r="CT102" s="1543">
        <f t="shared" si="183"/>
        <v>0</v>
      </c>
      <c r="CU102" s="1543">
        <f t="shared" si="183"/>
        <v>0</v>
      </c>
      <c r="CV102" s="1543">
        <f t="shared" si="183"/>
        <v>0</v>
      </c>
      <c r="CW102" s="1543">
        <f t="shared" si="183"/>
        <v>0</v>
      </c>
      <c r="CX102" s="1543">
        <f t="shared" si="183"/>
        <v>0</v>
      </c>
      <c r="CY102" s="1543">
        <f t="shared" si="183"/>
        <v>0</v>
      </c>
      <c r="CZ102" s="1543">
        <f t="shared" si="183"/>
        <v>0</v>
      </c>
      <c r="DA102" s="1543">
        <f t="shared" si="183"/>
        <v>0</v>
      </c>
      <c r="DB102" s="1543">
        <f t="shared" si="183"/>
        <v>0</v>
      </c>
      <c r="DD102" s="1543">
        <f t="shared" si="194"/>
        <v>0</v>
      </c>
      <c r="DE102" s="1543">
        <f t="shared" si="195"/>
        <v>0</v>
      </c>
      <c r="DF102" s="1543">
        <f t="shared" si="196"/>
        <v>0</v>
      </c>
      <c r="DG102" s="1543">
        <f t="shared" si="162"/>
        <v>0</v>
      </c>
      <c r="DI102" s="1543">
        <f t="shared" si="163"/>
        <v>0</v>
      </c>
      <c r="DJ102" s="1543">
        <f t="shared" si="185"/>
        <v>0</v>
      </c>
      <c r="DK102" s="1543">
        <f t="shared" si="185"/>
        <v>0</v>
      </c>
      <c r="DL102" s="1543">
        <f t="shared" si="185"/>
        <v>0</v>
      </c>
      <c r="DM102" s="1543">
        <f t="shared" si="185"/>
        <v>0</v>
      </c>
      <c r="DO102" s="1543">
        <f t="shared" si="188"/>
        <v>0</v>
      </c>
      <c r="DP102" s="1543">
        <f t="shared" si="188"/>
        <v>0</v>
      </c>
      <c r="DQ102" s="1543">
        <f t="shared" si="188"/>
        <v>0</v>
      </c>
      <c r="DR102" s="1543">
        <f t="shared" si="188"/>
        <v>0</v>
      </c>
      <c r="DS102" s="1543">
        <f t="shared" si="188"/>
        <v>0</v>
      </c>
      <c r="DT102" s="1543">
        <f t="shared" si="188"/>
        <v>0</v>
      </c>
      <c r="DU102" s="1543">
        <f t="shared" si="188"/>
        <v>0</v>
      </c>
      <c r="DV102" s="1543">
        <f t="shared" si="188"/>
        <v>0</v>
      </c>
      <c r="DW102" s="1543">
        <f t="shared" si="188"/>
        <v>0</v>
      </c>
      <c r="DX102" s="1543">
        <f t="shared" si="188"/>
        <v>0</v>
      </c>
      <c r="DY102" s="1543">
        <f t="shared" si="188"/>
        <v>0</v>
      </c>
      <c r="DZ102" s="1543">
        <f t="shared" si="188"/>
        <v>0</v>
      </c>
      <c r="EA102" s="1543">
        <f t="shared" si="188"/>
        <v>0</v>
      </c>
      <c r="EB102" s="1543">
        <f t="shared" si="180"/>
        <v>0</v>
      </c>
      <c r="EC102" s="1543">
        <f t="shared" si="180"/>
        <v>0</v>
      </c>
      <c r="ED102" s="1543">
        <f t="shared" si="180"/>
        <v>0</v>
      </c>
      <c r="EE102" s="1543">
        <f t="shared" si="180"/>
        <v>0</v>
      </c>
      <c r="EF102" s="1543">
        <f t="shared" si="180"/>
        <v>0</v>
      </c>
      <c r="EH102" s="1543">
        <f t="shared" si="165"/>
        <v>0</v>
      </c>
      <c r="EI102" s="1543">
        <f t="shared" si="166"/>
        <v>0</v>
      </c>
      <c r="EJ102" s="1543">
        <f t="shared" si="167"/>
        <v>0</v>
      </c>
      <c r="EK102" s="1543">
        <f t="shared" si="168"/>
        <v>0</v>
      </c>
      <c r="EL102" s="1543">
        <f t="shared" si="169"/>
        <v>0</v>
      </c>
      <c r="EM102" s="1543">
        <f t="shared" si="170"/>
        <v>0</v>
      </c>
      <c r="EN102" s="1543">
        <f t="shared" si="171"/>
        <v>0</v>
      </c>
      <c r="EP102" s="1543">
        <f t="shared" si="197"/>
        <v>0</v>
      </c>
      <c r="EQ102" s="1543">
        <f t="shared" si="197"/>
        <v>0</v>
      </c>
      <c r="ER102" s="1543">
        <f t="shared" si="197"/>
        <v>0</v>
      </c>
      <c r="ES102" s="1543">
        <f t="shared" si="192"/>
        <v>0</v>
      </c>
      <c r="ET102" s="1543">
        <f t="shared" si="193"/>
        <v>0</v>
      </c>
      <c r="EU102" s="1543">
        <f t="shared" si="193"/>
        <v>0</v>
      </c>
      <c r="EV102" s="1543">
        <f t="shared" si="193"/>
        <v>0</v>
      </c>
      <c r="EW102" s="1543">
        <f t="shared" si="193"/>
        <v>0</v>
      </c>
      <c r="EX102" s="1543">
        <f t="shared" si="193"/>
        <v>0</v>
      </c>
      <c r="EY102" s="1543">
        <f t="shared" si="193"/>
        <v>0</v>
      </c>
      <c r="EZ102" s="1543">
        <f t="shared" si="193"/>
        <v>0</v>
      </c>
      <c r="FA102" s="1543">
        <f t="shared" si="193"/>
        <v>0</v>
      </c>
      <c r="FB102" s="1543">
        <f t="shared" si="193"/>
        <v>0</v>
      </c>
      <c r="FC102" s="1543">
        <f t="shared" si="193"/>
        <v>0</v>
      </c>
      <c r="FD102" s="1543">
        <f t="shared" si="193"/>
        <v>0</v>
      </c>
      <c r="FE102" s="1543">
        <f t="shared" si="184"/>
        <v>0</v>
      </c>
      <c r="FF102" s="1543">
        <f t="shared" si="172"/>
        <v>1</v>
      </c>
      <c r="FH102" s="1543">
        <f t="shared" si="198"/>
        <v>0</v>
      </c>
      <c r="FI102" s="1543">
        <f t="shared" si="198"/>
        <v>0</v>
      </c>
      <c r="FJ102" s="1543">
        <f t="shared" si="198"/>
        <v>0</v>
      </c>
      <c r="FK102" s="1543">
        <f t="shared" si="198"/>
        <v>0</v>
      </c>
      <c r="FL102" s="1543">
        <f t="shared" si="198"/>
        <v>0</v>
      </c>
      <c r="FM102" s="1543">
        <f t="shared" si="198"/>
        <v>0</v>
      </c>
      <c r="FN102" s="1543">
        <f t="shared" si="198"/>
        <v>0</v>
      </c>
      <c r="FO102" s="1543">
        <f t="shared" si="198"/>
        <v>0</v>
      </c>
      <c r="FP102" s="1543">
        <f t="shared" si="198"/>
        <v>0</v>
      </c>
      <c r="FQ102" s="1543">
        <f t="shared" si="198"/>
        <v>0</v>
      </c>
      <c r="FR102" s="1543">
        <f t="shared" si="198"/>
        <v>0</v>
      </c>
      <c r="FS102" s="1543">
        <f t="shared" si="198"/>
        <v>0</v>
      </c>
      <c r="FT102" s="1543">
        <f t="shared" si="174"/>
        <v>0</v>
      </c>
      <c r="FV102" s="1543">
        <f t="shared" si="199"/>
        <v>1</v>
      </c>
      <c r="FW102" s="1543">
        <f t="shared" si="199"/>
        <v>0</v>
      </c>
      <c r="FX102" s="1543">
        <f t="shared" si="199"/>
        <v>0</v>
      </c>
      <c r="FY102" s="1543">
        <f t="shared" si="199"/>
        <v>0</v>
      </c>
      <c r="FZ102" s="1543">
        <f t="shared" si="199"/>
        <v>0</v>
      </c>
      <c r="GA102" s="1543">
        <f t="shared" si="199"/>
        <v>0</v>
      </c>
      <c r="GB102" s="1543">
        <f t="shared" si="199"/>
        <v>0</v>
      </c>
      <c r="GC102" s="1543">
        <f t="shared" si="199"/>
        <v>0</v>
      </c>
      <c r="GD102" s="1543">
        <f t="shared" si="199"/>
        <v>0</v>
      </c>
    </row>
    <row r="103" spans="1:186" s="982" customFormat="1" ht="15.6" x14ac:dyDescent="0.3">
      <c r="A103" s="974">
        <v>101</v>
      </c>
      <c r="B103" s="983"/>
      <c r="C103" s="984"/>
      <c r="D103" s="983"/>
      <c r="E103" s="968" t="str">
        <f>IFERROR(VLOOKUP($D103&amp;"."&amp;B103,'Piping Class'!$1:$1048576,MATCH($I103,'Piping Class'!$2:$2,0),0),"")</f>
        <v/>
      </c>
      <c r="F103" s="985" t="str">
        <f>IFERROR(IF(B103="Flange",VLOOKUP($D103,'Piping Class'!$88:$102,MATCH(F$1,'Piping Class'!$88:$88,0),0),""),"")</f>
        <v/>
      </c>
      <c r="G103" s="968" t="str">
        <f>IFERROR(IF(B103="Flange",VLOOKUP($D103,'Piping Class'!$88:$102,MATCH(G$1,'Piping Class'!$88:$88,0),0),""),"")</f>
        <v/>
      </c>
      <c r="H103" s="968" t="str">
        <f>IFERROR(VLOOKUP($D103,'Piping Class'!$88:$102,MATCH(H$1,'Piping Class'!$88:$88,0),0),"")</f>
        <v/>
      </c>
      <c r="I103" s="986"/>
      <c r="J103" s="987"/>
      <c r="K103" s="968" t="str">
        <f>IFERROR(VLOOKUP(I103,'Thickness Tab'!$1:$1048576,MATCH(L103,'Thickness Tab'!$1:$1,0),0),"")</f>
        <v/>
      </c>
      <c r="L103" s="969" t="str">
        <f>IFERROR(VLOOKUP($D103,'Piping Class'!$1:$1048576,MATCH($I103,'Piping Class'!$2:$2,0),0),"")</f>
        <v/>
      </c>
      <c r="M103" s="968" t="str">
        <f>IFERROR(VLOOKUP(J103,'Thickness Tab'!$1:$1048576,MATCH(N103,'Thickness Tab'!$1:$1,0),0),"")</f>
        <v/>
      </c>
      <c r="N103" s="969" t="str">
        <f>IFERROR(VLOOKUP($D103,'Piping Class'!$1:$1048576,MATCH($J103,'Piping Class'!$2:$2,0),0),"")</f>
        <v/>
      </c>
      <c r="O103" s="968" t="str">
        <f>IFERROR(VLOOKUP($D103,'Piping Class'!$88:$102,MATCH(O$1,'Piping Class'!$88:$88,0),0),"")</f>
        <v/>
      </c>
      <c r="P103" s="968" t="str">
        <f>IFERROR(VLOOKUP($D103,'Piping Class'!$88:$102,MATCH(P$1,'Piping Class'!$88:$88,0),0),"")</f>
        <v/>
      </c>
      <c r="Q103" s="983"/>
      <c r="R103" s="988"/>
      <c r="S103" s="969" t="str">
        <f t="shared" si="150"/>
        <v/>
      </c>
      <c r="T103" s="968">
        <f>IFERROR(VLOOKUP(I103&amp;"."&amp;L103,'Fitting Chart'!$1:$1048576,MATCH(C103,'Fitting Chart'!$1:$1,0),0),0)+IF(B103="piping",PI()*K103*(VLOOKUP(I103,'Thickness Tab'!$1:$1048576,3,0)-K103)*7.86/1000,0)+IF(B103="Flange",VLOOKUP(I103&amp;"F"&amp;F103,'Flanges Chart'!$1:$1048576,MATCH(C103&amp;"."&amp;T$1,'Flanges Chart'!$1:$1,0),0),0)</f>
        <v>0</v>
      </c>
      <c r="U103" s="989">
        <f t="shared" si="151"/>
        <v>0</v>
      </c>
      <c r="V103" s="1003"/>
      <c r="W103" s="1001">
        <f t="shared" si="152"/>
        <v>0</v>
      </c>
      <c r="X103" s="997"/>
      <c r="Y103" s="983"/>
      <c r="Z103" s="989">
        <f>IF(B103="Piping",VLOOKUP(I103,'Thickness Tab'!$1:$1048576,3,0)/1000*PI(),0)+IFERROR(VLOOKUP(I103&amp;"F"&amp;F103,'Flanges Chart'!$1:$1048576,MATCH(C103&amp;".Unit Surface",'Flanges Chart'!$1:$1,0),0),0)+IF(B103="Fitting",VLOOKUP(I103,'Thickness Tab'!$1:$1048576,3,0)/1000*PI(),0)</f>
        <v>0</v>
      </c>
      <c r="AA103" s="989">
        <f t="shared" si="153"/>
        <v>0</v>
      </c>
      <c r="AB103" s="983">
        <v>0</v>
      </c>
      <c r="AC103" s="989">
        <f t="shared" si="154"/>
        <v>0</v>
      </c>
      <c r="AD103" s="989">
        <f t="shared" si="155"/>
        <v>0</v>
      </c>
      <c r="AE103" s="974">
        <f>(IFERROR(VLOOKUP($C103,List!$J:$L,2,0),0)*R103+IF(B103="piping",R103,0)+IF(C103="Welding Neck",1,0)*R103)*$AE$2</f>
        <v>0</v>
      </c>
      <c r="AF103" s="970">
        <f>IFERROR(VLOOKUP($C103,List!$J:$L,3,0),0)*R103*$AF$2</f>
        <v>0</v>
      </c>
      <c r="AG103" s="990">
        <f t="shared" si="156"/>
        <v>0</v>
      </c>
      <c r="AH103" s="1118" t="str">
        <f>IFERROR(VLOOKUP($D103,'Piping Class'!$88:$102,MATCH(AH$1,'Piping Class'!$88:$88,0),0),"")</f>
        <v/>
      </c>
      <c r="AI103" s="991" t="str">
        <f>IFERROR(VLOOKUP($D103,'Piping Class'!$88:$102,MATCH(AI$1,'Piping Class'!$88:$88,0),0),"")</f>
        <v/>
      </c>
      <c r="AJ103" s="991" t="str">
        <f>IFERROR(VLOOKUP($D103,'Piping Class'!$88:$102,MATCH(AJ$1,'Piping Class'!$88:$88,0),0),"")</f>
        <v/>
      </c>
      <c r="AK103" s="991" t="str">
        <f>IFERROR(VLOOKUP($D103,'Piping Class'!$88:$102,MATCH(AK$1,'Piping Class'!$88:$88,0),0),"")</f>
        <v/>
      </c>
      <c r="AL103" s="991">
        <f t="shared" si="182"/>
        <v>0</v>
      </c>
      <c r="AM103" s="1119" t="str">
        <f>IFERROR(VLOOKUP($D103,'Piping Class'!$88:$102,MATCH(AM$1,'Piping Class'!$88:$88,0),0),"")</f>
        <v/>
      </c>
      <c r="AN103" s="992">
        <f t="shared" si="157"/>
        <v>0</v>
      </c>
      <c r="AO103" s="993">
        <f>IFERROR(VLOOKUP(I103&amp;"B"&amp;F103,'Bolting Chart'!$1:$1048576,4,0),0)</f>
        <v>0</v>
      </c>
      <c r="AP103" s="993">
        <f t="shared" si="158"/>
        <v>0</v>
      </c>
      <c r="AQ103" s="993">
        <f t="shared" si="159"/>
        <v>0</v>
      </c>
      <c r="AR103" s="993">
        <f>IF(AO103=0,0,VLOOKUP(D103&amp;".bolting",'Piping Class'!$1:$1048576,MATCH(I103,'Piping Class'!$2:$2,0),0))</f>
        <v>0</v>
      </c>
      <c r="AS103" s="994">
        <f>IFERROR(VLOOKUP(I103&amp;"B"&amp;F103,'Bolting Chart'!$1:$1048576,IF(AS$2="UNC",5,6),0),0)</f>
        <v>0</v>
      </c>
      <c r="AT103" s="995">
        <f>IFERROR(VLOOKUP(I103&amp;"B"&amp;F103,'Bolting Chart'!$1:$1048576,IF(G103="RF",8,9),0),0)</f>
        <v>0</v>
      </c>
      <c r="AU103" s="993">
        <f>IF(AO103=0,0,VLOOKUP(D103&amp;".gasket",'Piping Class'!$1:$1048576,MATCH(I103,'Piping Class'!$2:$2,0),0))</f>
        <v>0</v>
      </c>
      <c r="AV103" s="996">
        <f>(IFERROR(INDEX('Bolting Chart'!$A$169:$R$251,MATCH(AT103,'Bolting Chart'!$A$170:$A$251,0),MATCH(IFERROR(VLOOKUP(I103&amp;"B"&amp;F103,'Bolting Chart'!$1:$1048576,7,0),0)+0,'Bolting Chart'!$A$169:$R$169,0)),0))/100</f>
        <v>0</v>
      </c>
      <c r="AW103" s="996">
        <f t="shared" si="160"/>
        <v>0</v>
      </c>
      <c r="AX103" s="1194">
        <f t="shared" si="161"/>
        <v>0</v>
      </c>
      <c r="AY103" s="981"/>
      <c r="AZ103" s="1543">
        <f t="shared" si="189"/>
        <v>0</v>
      </c>
      <c r="BA103" s="1543">
        <f t="shared" si="189"/>
        <v>0</v>
      </c>
      <c r="BB103" s="1543">
        <f t="shared" si="189"/>
        <v>0</v>
      </c>
      <c r="BC103" s="1543">
        <f t="shared" si="189"/>
        <v>0</v>
      </c>
      <c r="BD103" s="1543">
        <f t="shared" si="189"/>
        <v>0</v>
      </c>
      <c r="BE103" s="1543">
        <f t="shared" si="189"/>
        <v>0</v>
      </c>
      <c r="BF103" s="1543">
        <f t="shared" si="189"/>
        <v>0</v>
      </c>
      <c r="BG103" s="1543">
        <f t="shared" si="189"/>
        <v>0</v>
      </c>
      <c r="BH103" s="1543">
        <f t="shared" si="189"/>
        <v>0</v>
      </c>
      <c r="BI103" s="1543">
        <f t="shared" si="189"/>
        <v>0</v>
      </c>
      <c r="BJ103" s="1543">
        <f t="shared" si="189"/>
        <v>0</v>
      </c>
      <c r="BK103" s="1543">
        <f t="shared" si="189"/>
        <v>0</v>
      </c>
      <c r="BL103" s="1543">
        <f t="shared" si="189"/>
        <v>0</v>
      </c>
      <c r="BM103" s="1543">
        <f t="shared" si="189"/>
        <v>0</v>
      </c>
      <c r="BN103" s="1543">
        <f t="shared" si="189"/>
        <v>0</v>
      </c>
      <c r="BO103" s="1543">
        <f t="shared" si="189"/>
        <v>0</v>
      </c>
      <c r="BP103" s="1543">
        <f t="shared" si="178"/>
        <v>0</v>
      </c>
      <c r="BQ103" s="1543">
        <f t="shared" si="178"/>
        <v>0</v>
      </c>
      <c r="BR103" s="1543">
        <f t="shared" si="191"/>
        <v>0</v>
      </c>
      <c r="BS103" s="1543">
        <f t="shared" si="191"/>
        <v>0</v>
      </c>
      <c r="BT103" s="1543">
        <f t="shared" si="191"/>
        <v>0</v>
      </c>
      <c r="BU103" s="1543">
        <f t="shared" si="191"/>
        <v>0</v>
      </c>
      <c r="BV103" s="1543">
        <f t="shared" si="191"/>
        <v>0</v>
      </c>
      <c r="BW103" s="1543">
        <f t="shared" si="191"/>
        <v>0</v>
      </c>
      <c r="BX103" s="1543">
        <f t="shared" si="191"/>
        <v>0</v>
      </c>
      <c r="BY103" s="1543">
        <f t="shared" si="191"/>
        <v>0</v>
      </c>
      <c r="BZ103" s="1543">
        <f t="shared" si="191"/>
        <v>0</v>
      </c>
      <c r="CB103" s="1543">
        <f t="shared" si="190"/>
        <v>0</v>
      </c>
      <c r="CC103" s="1543">
        <f t="shared" si="190"/>
        <v>0</v>
      </c>
      <c r="CD103" s="1543">
        <f t="shared" si="190"/>
        <v>0</v>
      </c>
      <c r="CE103" s="1543">
        <f t="shared" si="190"/>
        <v>0</v>
      </c>
      <c r="CF103" s="1543">
        <f t="shared" si="190"/>
        <v>0</v>
      </c>
      <c r="CG103" s="1543">
        <f t="shared" si="190"/>
        <v>0</v>
      </c>
      <c r="CH103" s="1543">
        <f t="shared" si="190"/>
        <v>0</v>
      </c>
      <c r="CI103" s="1543">
        <f t="shared" si="190"/>
        <v>0</v>
      </c>
      <c r="CJ103" s="1543">
        <f t="shared" si="190"/>
        <v>0</v>
      </c>
      <c r="CK103" s="1543">
        <f t="shared" si="190"/>
        <v>0</v>
      </c>
      <c r="CL103" s="1543">
        <f t="shared" si="190"/>
        <v>0</v>
      </c>
      <c r="CM103" s="1543">
        <f t="shared" si="190"/>
        <v>0</v>
      </c>
      <c r="CN103" s="1543">
        <f t="shared" si="190"/>
        <v>0</v>
      </c>
      <c r="CO103" s="1543">
        <f t="shared" si="190"/>
        <v>0</v>
      </c>
      <c r="CP103" s="1543">
        <f t="shared" si="190"/>
        <v>0</v>
      </c>
      <c r="CQ103" s="1543">
        <f t="shared" si="190"/>
        <v>0</v>
      </c>
      <c r="CR103" s="1543">
        <f t="shared" si="179"/>
        <v>0</v>
      </c>
      <c r="CS103" s="1543">
        <f t="shared" si="179"/>
        <v>0</v>
      </c>
      <c r="CT103" s="1543">
        <f t="shared" si="183"/>
        <v>0</v>
      </c>
      <c r="CU103" s="1543">
        <f t="shared" si="183"/>
        <v>0</v>
      </c>
      <c r="CV103" s="1543">
        <f t="shared" si="183"/>
        <v>0</v>
      </c>
      <c r="CW103" s="1543">
        <f t="shared" si="183"/>
        <v>0</v>
      </c>
      <c r="CX103" s="1543">
        <f t="shared" si="183"/>
        <v>0</v>
      </c>
      <c r="CY103" s="1543">
        <f t="shared" si="183"/>
        <v>0</v>
      </c>
      <c r="CZ103" s="1543">
        <f t="shared" si="183"/>
        <v>0</v>
      </c>
      <c r="DA103" s="1543">
        <f t="shared" si="183"/>
        <v>0</v>
      </c>
      <c r="DB103" s="1543">
        <f t="shared" si="183"/>
        <v>0</v>
      </c>
      <c r="DD103" s="1543">
        <f t="shared" si="194"/>
        <v>0</v>
      </c>
      <c r="DE103" s="1543">
        <f t="shared" si="195"/>
        <v>0</v>
      </c>
      <c r="DF103" s="1543">
        <f t="shared" si="196"/>
        <v>0</v>
      </c>
      <c r="DG103" s="1543">
        <f t="shared" si="162"/>
        <v>0</v>
      </c>
      <c r="DI103" s="1543">
        <f t="shared" si="163"/>
        <v>0</v>
      </c>
      <c r="DJ103" s="1543">
        <f t="shared" si="185"/>
        <v>0</v>
      </c>
      <c r="DK103" s="1543">
        <f t="shared" si="185"/>
        <v>0</v>
      </c>
      <c r="DL103" s="1543">
        <f t="shared" si="185"/>
        <v>0</v>
      </c>
      <c r="DM103" s="1543">
        <f t="shared" si="185"/>
        <v>0</v>
      </c>
      <c r="DO103" s="1543">
        <f t="shared" si="188"/>
        <v>0</v>
      </c>
      <c r="DP103" s="1543">
        <f t="shared" si="188"/>
        <v>0</v>
      </c>
      <c r="DQ103" s="1543">
        <f t="shared" si="188"/>
        <v>0</v>
      </c>
      <c r="DR103" s="1543">
        <f t="shared" si="188"/>
        <v>0</v>
      </c>
      <c r="DS103" s="1543">
        <f t="shared" si="188"/>
        <v>0</v>
      </c>
      <c r="DT103" s="1543">
        <f t="shared" si="188"/>
        <v>0</v>
      </c>
      <c r="DU103" s="1543">
        <f t="shared" si="188"/>
        <v>0</v>
      </c>
      <c r="DV103" s="1543">
        <f t="shared" si="188"/>
        <v>0</v>
      </c>
      <c r="DW103" s="1543">
        <f t="shared" si="188"/>
        <v>0</v>
      </c>
      <c r="DX103" s="1543">
        <f t="shared" si="188"/>
        <v>0</v>
      </c>
      <c r="DY103" s="1543">
        <f t="shared" si="188"/>
        <v>0</v>
      </c>
      <c r="DZ103" s="1543">
        <f t="shared" si="188"/>
        <v>0</v>
      </c>
      <c r="EA103" s="1543">
        <f t="shared" si="188"/>
        <v>0</v>
      </c>
      <c r="EB103" s="1543">
        <f t="shared" si="180"/>
        <v>0</v>
      </c>
      <c r="EC103" s="1543">
        <f t="shared" si="180"/>
        <v>0</v>
      </c>
      <c r="ED103" s="1543">
        <f t="shared" si="180"/>
        <v>0</v>
      </c>
      <c r="EE103" s="1543">
        <f t="shared" si="180"/>
        <v>0</v>
      </c>
      <c r="EF103" s="1543">
        <f t="shared" si="180"/>
        <v>0</v>
      </c>
      <c r="EH103" s="1543">
        <f t="shared" si="165"/>
        <v>0</v>
      </c>
      <c r="EI103" s="1543">
        <f t="shared" si="166"/>
        <v>0</v>
      </c>
      <c r="EJ103" s="1543">
        <f t="shared" si="167"/>
        <v>0</v>
      </c>
      <c r="EK103" s="1543">
        <f t="shared" si="168"/>
        <v>0</v>
      </c>
      <c r="EL103" s="1543">
        <f t="shared" si="169"/>
        <v>0</v>
      </c>
      <c r="EM103" s="1543">
        <f t="shared" si="170"/>
        <v>0</v>
      </c>
      <c r="EN103" s="1543">
        <f t="shared" si="171"/>
        <v>0</v>
      </c>
      <c r="EP103" s="1543">
        <f t="shared" si="197"/>
        <v>0</v>
      </c>
      <c r="EQ103" s="1543">
        <f t="shared" si="197"/>
        <v>0</v>
      </c>
      <c r="ER103" s="1543">
        <f t="shared" si="197"/>
        <v>0</v>
      </c>
      <c r="ES103" s="1543">
        <f t="shared" si="192"/>
        <v>0</v>
      </c>
      <c r="ET103" s="1543">
        <f t="shared" si="193"/>
        <v>0</v>
      </c>
      <c r="EU103" s="1543">
        <f t="shared" si="193"/>
        <v>0</v>
      </c>
      <c r="EV103" s="1543">
        <f t="shared" si="193"/>
        <v>0</v>
      </c>
      <c r="EW103" s="1543">
        <f t="shared" si="193"/>
        <v>0</v>
      </c>
      <c r="EX103" s="1543">
        <f t="shared" si="193"/>
        <v>0</v>
      </c>
      <c r="EY103" s="1543">
        <f t="shared" si="193"/>
        <v>0</v>
      </c>
      <c r="EZ103" s="1543">
        <f t="shared" si="193"/>
        <v>0</v>
      </c>
      <c r="FA103" s="1543">
        <f t="shared" si="193"/>
        <v>0</v>
      </c>
      <c r="FB103" s="1543">
        <f t="shared" si="193"/>
        <v>0</v>
      </c>
      <c r="FC103" s="1543">
        <f t="shared" si="193"/>
        <v>0</v>
      </c>
      <c r="FD103" s="1543">
        <f t="shared" si="193"/>
        <v>0</v>
      </c>
      <c r="FE103" s="1543">
        <f t="shared" si="184"/>
        <v>0</v>
      </c>
      <c r="FF103" s="1543">
        <f t="shared" si="172"/>
        <v>1</v>
      </c>
      <c r="FH103" s="1543">
        <f t="shared" si="198"/>
        <v>0</v>
      </c>
      <c r="FI103" s="1543">
        <f t="shared" si="198"/>
        <v>0</v>
      </c>
      <c r="FJ103" s="1543">
        <f t="shared" si="198"/>
        <v>0</v>
      </c>
      <c r="FK103" s="1543">
        <f t="shared" si="198"/>
        <v>0</v>
      </c>
      <c r="FL103" s="1543">
        <f t="shared" si="198"/>
        <v>0</v>
      </c>
      <c r="FM103" s="1543">
        <f t="shared" si="198"/>
        <v>0</v>
      </c>
      <c r="FN103" s="1543">
        <f t="shared" si="198"/>
        <v>0</v>
      </c>
      <c r="FO103" s="1543">
        <f t="shared" si="198"/>
        <v>0</v>
      </c>
      <c r="FP103" s="1543">
        <f t="shared" si="198"/>
        <v>0</v>
      </c>
      <c r="FQ103" s="1543">
        <f t="shared" si="198"/>
        <v>0</v>
      </c>
      <c r="FR103" s="1543">
        <f t="shared" si="198"/>
        <v>0</v>
      </c>
      <c r="FS103" s="1543">
        <f t="shared" si="198"/>
        <v>0</v>
      </c>
      <c r="FT103" s="1543">
        <f t="shared" si="174"/>
        <v>0</v>
      </c>
      <c r="FV103" s="1543">
        <f t="shared" si="199"/>
        <v>1</v>
      </c>
      <c r="FW103" s="1543">
        <f t="shared" si="199"/>
        <v>0</v>
      </c>
      <c r="FX103" s="1543">
        <f t="shared" si="199"/>
        <v>0</v>
      </c>
      <c r="FY103" s="1543">
        <f t="shared" si="199"/>
        <v>0</v>
      </c>
      <c r="FZ103" s="1543">
        <f t="shared" si="199"/>
        <v>0</v>
      </c>
      <c r="GA103" s="1543">
        <f t="shared" si="199"/>
        <v>0</v>
      </c>
      <c r="GB103" s="1543">
        <f t="shared" si="199"/>
        <v>0</v>
      </c>
      <c r="GC103" s="1543">
        <f t="shared" si="199"/>
        <v>0</v>
      </c>
      <c r="GD103" s="1543">
        <f t="shared" si="199"/>
        <v>0</v>
      </c>
    </row>
    <row r="104" spans="1:186" s="982" customFormat="1" ht="15.6" x14ac:dyDescent="0.3">
      <c r="A104" s="974">
        <v>102</v>
      </c>
      <c r="B104" s="983"/>
      <c r="C104" s="984"/>
      <c r="D104" s="983"/>
      <c r="E104" s="968" t="str">
        <f>IFERROR(VLOOKUP($D104&amp;"."&amp;B104,'Piping Class'!$1:$1048576,MATCH($I104,'Piping Class'!$2:$2,0),0),"")</f>
        <v/>
      </c>
      <c r="F104" s="985" t="str">
        <f>IFERROR(IF(B104="Flange",VLOOKUP($D104,'Piping Class'!$88:$102,MATCH(F$1,'Piping Class'!$88:$88,0),0),""),"")</f>
        <v/>
      </c>
      <c r="G104" s="968" t="str">
        <f>IFERROR(IF(B104="Flange",VLOOKUP($D104,'Piping Class'!$88:$102,MATCH(G$1,'Piping Class'!$88:$88,0),0),""),"")</f>
        <v/>
      </c>
      <c r="H104" s="968" t="str">
        <f>IFERROR(VLOOKUP($D104,'Piping Class'!$88:$102,MATCH(H$1,'Piping Class'!$88:$88,0),0),"")</f>
        <v/>
      </c>
      <c r="I104" s="986"/>
      <c r="J104" s="987"/>
      <c r="K104" s="968" t="str">
        <f>IFERROR(VLOOKUP(I104,'Thickness Tab'!$1:$1048576,MATCH(L104,'Thickness Tab'!$1:$1,0),0),"")</f>
        <v/>
      </c>
      <c r="L104" s="969" t="str">
        <f>IFERROR(VLOOKUP($D104,'Piping Class'!$1:$1048576,MATCH($I104,'Piping Class'!$2:$2,0),0),"")</f>
        <v/>
      </c>
      <c r="M104" s="968" t="str">
        <f>IFERROR(VLOOKUP(J104,'Thickness Tab'!$1:$1048576,MATCH(N104,'Thickness Tab'!$1:$1,0),0),"")</f>
        <v/>
      </c>
      <c r="N104" s="969" t="str">
        <f>IFERROR(VLOOKUP($D104,'Piping Class'!$1:$1048576,MATCH($J104,'Piping Class'!$2:$2,0),0),"")</f>
        <v/>
      </c>
      <c r="O104" s="968" t="str">
        <f>IFERROR(VLOOKUP($D104,'Piping Class'!$88:$102,MATCH(O$1,'Piping Class'!$88:$88,0),0),"")</f>
        <v/>
      </c>
      <c r="P104" s="968" t="str">
        <f>IFERROR(VLOOKUP($D104,'Piping Class'!$88:$102,MATCH(P$1,'Piping Class'!$88:$88,0),0),"")</f>
        <v/>
      </c>
      <c r="Q104" s="983"/>
      <c r="R104" s="988"/>
      <c r="S104" s="969" t="str">
        <f t="shared" si="150"/>
        <v/>
      </c>
      <c r="T104" s="968">
        <f>IFERROR(VLOOKUP(I104&amp;"."&amp;L104,'Fitting Chart'!$1:$1048576,MATCH(C104,'Fitting Chart'!$1:$1,0),0),0)+IF(B104="piping",PI()*K104*(VLOOKUP(I104,'Thickness Tab'!$1:$1048576,3,0)-K104)*7.86/1000,0)+IF(B104="Flange",VLOOKUP(I104&amp;"F"&amp;F104,'Flanges Chart'!$1:$1048576,MATCH(C104&amp;"."&amp;T$1,'Flanges Chart'!$1:$1,0),0),0)</f>
        <v>0</v>
      </c>
      <c r="U104" s="989">
        <f t="shared" si="151"/>
        <v>0</v>
      </c>
      <c r="V104" s="1003"/>
      <c r="W104" s="1001">
        <f t="shared" si="152"/>
        <v>0</v>
      </c>
      <c r="X104" s="997"/>
      <c r="Y104" s="983"/>
      <c r="Z104" s="989">
        <f>IF(B104="Piping",VLOOKUP(I104,'Thickness Tab'!$1:$1048576,3,0)/1000*PI(),0)+IFERROR(VLOOKUP(I104&amp;"F"&amp;F104,'Flanges Chart'!$1:$1048576,MATCH(C104&amp;".Unit Surface",'Flanges Chart'!$1:$1,0),0),0)+IF(B104="Fitting",VLOOKUP(I104,'Thickness Tab'!$1:$1048576,3,0)/1000*PI(),0)</f>
        <v>0</v>
      </c>
      <c r="AA104" s="989">
        <f t="shared" si="153"/>
        <v>0</v>
      </c>
      <c r="AB104" s="983">
        <v>0</v>
      </c>
      <c r="AC104" s="989">
        <f t="shared" si="154"/>
        <v>0</v>
      </c>
      <c r="AD104" s="989">
        <f t="shared" si="155"/>
        <v>0</v>
      </c>
      <c r="AE104" s="974">
        <f>(IFERROR(VLOOKUP($C104,List!$J:$L,2,0),0)*R104+IF(B104="piping",R104,0)+IF(C104="Welding Neck",1,0)*R104)*$AE$2</f>
        <v>0</v>
      </c>
      <c r="AF104" s="970">
        <f>IFERROR(VLOOKUP($C104,List!$J:$L,3,0),0)*R104*$AF$2</f>
        <v>0</v>
      </c>
      <c r="AG104" s="990">
        <f t="shared" si="156"/>
        <v>0</v>
      </c>
      <c r="AH104" s="1118" t="str">
        <f>IFERROR(VLOOKUP($D104,'Piping Class'!$88:$102,MATCH(AH$1,'Piping Class'!$88:$88,0),0),"")</f>
        <v/>
      </c>
      <c r="AI104" s="991" t="str">
        <f>IFERROR(VLOOKUP($D104,'Piping Class'!$88:$102,MATCH(AI$1,'Piping Class'!$88:$88,0),0),"")</f>
        <v/>
      </c>
      <c r="AJ104" s="991" t="str">
        <f>IFERROR(VLOOKUP($D104,'Piping Class'!$88:$102,MATCH(AJ$1,'Piping Class'!$88:$88,0),0),"")</f>
        <v/>
      </c>
      <c r="AK104" s="991" t="str">
        <f>IFERROR(VLOOKUP($D104,'Piping Class'!$88:$102,MATCH(AK$1,'Piping Class'!$88:$88,0),0),"")</f>
        <v/>
      </c>
      <c r="AL104" s="991">
        <f t="shared" si="182"/>
        <v>0</v>
      </c>
      <c r="AM104" s="1119" t="str">
        <f>IFERROR(VLOOKUP($D104,'Piping Class'!$88:$102,MATCH(AM$1,'Piping Class'!$88:$88,0),0),"")</f>
        <v/>
      </c>
      <c r="AN104" s="992">
        <f t="shared" si="157"/>
        <v>0</v>
      </c>
      <c r="AO104" s="993">
        <f>IFERROR(VLOOKUP(I104&amp;"B"&amp;F104,'Bolting Chart'!$1:$1048576,4,0),0)</f>
        <v>0</v>
      </c>
      <c r="AP104" s="993">
        <f t="shared" si="158"/>
        <v>0</v>
      </c>
      <c r="AQ104" s="993">
        <f t="shared" si="159"/>
        <v>0</v>
      </c>
      <c r="AR104" s="993">
        <f>IF(AO104=0,0,VLOOKUP(D104&amp;".bolting",'Piping Class'!$1:$1048576,MATCH(I104,'Piping Class'!$2:$2,0),0))</f>
        <v>0</v>
      </c>
      <c r="AS104" s="994">
        <f>IFERROR(VLOOKUP(I104&amp;"B"&amp;F104,'Bolting Chart'!$1:$1048576,IF(AS$2="UNC",5,6),0),0)</f>
        <v>0</v>
      </c>
      <c r="AT104" s="995">
        <f>IFERROR(VLOOKUP(I104&amp;"B"&amp;F104,'Bolting Chart'!$1:$1048576,IF(G104="RF",8,9),0),0)</f>
        <v>0</v>
      </c>
      <c r="AU104" s="993">
        <f>IF(AO104=0,0,VLOOKUP(D104&amp;".gasket",'Piping Class'!$1:$1048576,MATCH(I104,'Piping Class'!$2:$2,0),0))</f>
        <v>0</v>
      </c>
      <c r="AV104" s="996">
        <f>(IFERROR(INDEX('Bolting Chart'!$A$169:$R$251,MATCH(AT104,'Bolting Chart'!$A$170:$A$251,0),MATCH(IFERROR(VLOOKUP(I104&amp;"B"&amp;F104,'Bolting Chart'!$1:$1048576,7,0),0)+0,'Bolting Chart'!$A$169:$R$169,0)),0))/100</f>
        <v>0</v>
      </c>
      <c r="AW104" s="996">
        <f t="shared" si="160"/>
        <v>0</v>
      </c>
      <c r="AX104" s="1194">
        <f t="shared" si="161"/>
        <v>0</v>
      </c>
      <c r="AY104" s="981"/>
      <c r="AZ104" s="1543">
        <f t="shared" si="189"/>
        <v>0</v>
      </c>
      <c r="BA104" s="1543">
        <f t="shared" si="189"/>
        <v>0</v>
      </c>
      <c r="BB104" s="1543">
        <f t="shared" si="189"/>
        <v>0</v>
      </c>
      <c r="BC104" s="1543">
        <f t="shared" si="189"/>
        <v>0</v>
      </c>
      <c r="BD104" s="1543">
        <f t="shared" si="189"/>
        <v>0</v>
      </c>
      <c r="BE104" s="1543">
        <f t="shared" si="189"/>
        <v>0</v>
      </c>
      <c r="BF104" s="1543">
        <f t="shared" si="189"/>
        <v>0</v>
      </c>
      <c r="BG104" s="1543">
        <f t="shared" si="189"/>
        <v>0</v>
      </c>
      <c r="BH104" s="1543">
        <f t="shared" si="189"/>
        <v>0</v>
      </c>
      <c r="BI104" s="1543">
        <f t="shared" si="189"/>
        <v>0</v>
      </c>
      <c r="BJ104" s="1543">
        <f t="shared" si="189"/>
        <v>0</v>
      </c>
      <c r="BK104" s="1543">
        <f t="shared" si="189"/>
        <v>0</v>
      </c>
      <c r="BL104" s="1543">
        <f t="shared" si="189"/>
        <v>0</v>
      </c>
      <c r="BM104" s="1543">
        <f t="shared" si="189"/>
        <v>0</v>
      </c>
      <c r="BN104" s="1543">
        <f t="shared" si="189"/>
        <v>0</v>
      </c>
      <c r="BO104" s="1543">
        <f t="shared" si="189"/>
        <v>0</v>
      </c>
      <c r="BP104" s="1543">
        <f t="shared" si="178"/>
        <v>0</v>
      </c>
      <c r="BQ104" s="1543">
        <f t="shared" si="178"/>
        <v>0</v>
      </c>
      <c r="BR104" s="1543">
        <f t="shared" si="191"/>
        <v>0</v>
      </c>
      <c r="BS104" s="1543">
        <f t="shared" si="191"/>
        <v>0</v>
      </c>
      <c r="BT104" s="1543">
        <f t="shared" si="191"/>
        <v>0</v>
      </c>
      <c r="BU104" s="1543">
        <f t="shared" si="191"/>
        <v>0</v>
      </c>
      <c r="BV104" s="1543">
        <f t="shared" si="191"/>
        <v>0</v>
      </c>
      <c r="BW104" s="1543">
        <f t="shared" si="191"/>
        <v>0</v>
      </c>
      <c r="BX104" s="1543">
        <f t="shared" si="191"/>
        <v>0</v>
      </c>
      <c r="BY104" s="1543">
        <f t="shared" si="191"/>
        <v>0</v>
      </c>
      <c r="BZ104" s="1543">
        <f t="shared" si="191"/>
        <v>0</v>
      </c>
      <c r="CB104" s="1543">
        <f t="shared" si="190"/>
        <v>0</v>
      </c>
      <c r="CC104" s="1543">
        <f t="shared" si="190"/>
        <v>0</v>
      </c>
      <c r="CD104" s="1543">
        <f t="shared" si="190"/>
        <v>0</v>
      </c>
      <c r="CE104" s="1543">
        <f t="shared" si="190"/>
        <v>0</v>
      </c>
      <c r="CF104" s="1543">
        <f t="shared" si="190"/>
        <v>0</v>
      </c>
      <c r="CG104" s="1543">
        <f t="shared" si="190"/>
        <v>0</v>
      </c>
      <c r="CH104" s="1543">
        <f t="shared" si="190"/>
        <v>0</v>
      </c>
      <c r="CI104" s="1543">
        <f t="shared" si="190"/>
        <v>0</v>
      </c>
      <c r="CJ104" s="1543">
        <f t="shared" si="190"/>
        <v>0</v>
      </c>
      <c r="CK104" s="1543">
        <f t="shared" si="190"/>
        <v>0</v>
      </c>
      <c r="CL104" s="1543">
        <f t="shared" si="190"/>
        <v>0</v>
      </c>
      <c r="CM104" s="1543">
        <f t="shared" si="190"/>
        <v>0</v>
      </c>
      <c r="CN104" s="1543">
        <f t="shared" si="190"/>
        <v>0</v>
      </c>
      <c r="CO104" s="1543">
        <f t="shared" si="190"/>
        <v>0</v>
      </c>
      <c r="CP104" s="1543">
        <f t="shared" si="190"/>
        <v>0</v>
      </c>
      <c r="CQ104" s="1543">
        <f t="shared" si="190"/>
        <v>0</v>
      </c>
      <c r="CR104" s="1543">
        <f t="shared" si="179"/>
        <v>0</v>
      </c>
      <c r="CS104" s="1543">
        <f t="shared" si="179"/>
        <v>0</v>
      </c>
      <c r="CT104" s="1543">
        <f t="shared" si="183"/>
        <v>0</v>
      </c>
      <c r="CU104" s="1543">
        <f t="shared" si="183"/>
        <v>0</v>
      </c>
      <c r="CV104" s="1543">
        <f t="shared" si="183"/>
        <v>0</v>
      </c>
      <c r="CW104" s="1543">
        <f t="shared" si="183"/>
        <v>0</v>
      </c>
      <c r="CX104" s="1543">
        <f t="shared" si="183"/>
        <v>0</v>
      </c>
      <c r="CY104" s="1543">
        <f t="shared" si="183"/>
        <v>0</v>
      </c>
      <c r="CZ104" s="1543">
        <f t="shared" si="183"/>
        <v>0</v>
      </c>
      <c r="DA104" s="1543">
        <f t="shared" si="183"/>
        <v>0</v>
      </c>
      <c r="DB104" s="1543">
        <f t="shared" si="183"/>
        <v>0</v>
      </c>
      <c r="DD104" s="1543">
        <f t="shared" si="194"/>
        <v>0</v>
      </c>
      <c r="DE104" s="1543">
        <f t="shared" si="195"/>
        <v>0</v>
      </c>
      <c r="DF104" s="1543">
        <f t="shared" si="196"/>
        <v>0</v>
      </c>
      <c r="DG104" s="1543">
        <f t="shared" si="162"/>
        <v>0</v>
      </c>
      <c r="DI104" s="1543">
        <f t="shared" si="163"/>
        <v>0</v>
      </c>
      <c r="DJ104" s="1543">
        <f t="shared" si="185"/>
        <v>0</v>
      </c>
      <c r="DK104" s="1543">
        <f t="shared" si="185"/>
        <v>0</v>
      </c>
      <c r="DL104" s="1543">
        <f t="shared" si="185"/>
        <v>0</v>
      </c>
      <c r="DM104" s="1543">
        <f t="shared" si="185"/>
        <v>0</v>
      </c>
      <c r="DO104" s="1543">
        <f t="shared" si="188"/>
        <v>0</v>
      </c>
      <c r="DP104" s="1543">
        <f t="shared" si="188"/>
        <v>0</v>
      </c>
      <c r="DQ104" s="1543">
        <f t="shared" si="188"/>
        <v>0</v>
      </c>
      <c r="DR104" s="1543">
        <f t="shared" si="188"/>
        <v>0</v>
      </c>
      <c r="DS104" s="1543">
        <f t="shared" si="188"/>
        <v>0</v>
      </c>
      <c r="DT104" s="1543">
        <f t="shared" si="188"/>
        <v>0</v>
      </c>
      <c r="DU104" s="1543">
        <f t="shared" si="188"/>
        <v>0</v>
      </c>
      <c r="DV104" s="1543">
        <f t="shared" si="188"/>
        <v>0</v>
      </c>
      <c r="DW104" s="1543">
        <f t="shared" si="188"/>
        <v>0</v>
      </c>
      <c r="DX104" s="1543">
        <f t="shared" si="188"/>
        <v>0</v>
      </c>
      <c r="DY104" s="1543">
        <f t="shared" si="188"/>
        <v>0</v>
      </c>
      <c r="DZ104" s="1543">
        <f t="shared" si="188"/>
        <v>0</v>
      </c>
      <c r="EA104" s="1543">
        <f t="shared" si="188"/>
        <v>0</v>
      </c>
      <c r="EB104" s="1543">
        <f t="shared" si="180"/>
        <v>0</v>
      </c>
      <c r="EC104" s="1543">
        <f t="shared" si="180"/>
        <v>0</v>
      </c>
      <c r="ED104" s="1543">
        <f t="shared" si="180"/>
        <v>0</v>
      </c>
      <c r="EE104" s="1543">
        <f t="shared" si="180"/>
        <v>0</v>
      </c>
      <c r="EF104" s="1543">
        <f t="shared" si="180"/>
        <v>0</v>
      </c>
      <c r="EH104" s="1543">
        <f t="shared" si="165"/>
        <v>0</v>
      </c>
      <c r="EI104" s="1543">
        <f t="shared" si="166"/>
        <v>0</v>
      </c>
      <c r="EJ104" s="1543">
        <f t="shared" si="167"/>
        <v>0</v>
      </c>
      <c r="EK104" s="1543">
        <f t="shared" si="168"/>
        <v>0</v>
      </c>
      <c r="EL104" s="1543">
        <f t="shared" si="169"/>
        <v>0</v>
      </c>
      <c r="EM104" s="1543">
        <f t="shared" si="170"/>
        <v>0</v>
      </c>
      <c r="EN104" s="1543">
        <f t="shared" si="171"/>
        <v>0</v>
      </c>
      <c r="EP104" s="1543">
        <f t="shared" si="197"/>
        <v>0</v>
      </c>
      <c r="EQ104" s="1543">
        <f t="shared" si="197"/>
        <v>0</v>
      </c>
      <c r="ER104" s="1543">
        <f t="shared" si="197"/>
        <v>0</v>
      </c>
      <c r="ES104" s="1543">
        <f t="shared" si="192"/>
        <v>0</v>
      </c>
      <c r="ET104" s="1543">
        <f t="shared" si="193"/>
        <v>0</v>
      </c>
      <c r="EU104" s="1543">
        <f t="shared" si="193"/>
        <v>0</v>
      </c>
      <c r="EV104" s="1543">
        <f t="shared" si="193"/>
        <v>0</v>
      </c>
      <c r="EW104" s="1543">
        <f t="shared" si="193"/>
        <v>0</v>
      </c>
      <c r="EX104" s="1543">
        <f t="shared" si="193"/>
        <v>0</v>
      </c>
      <c r="EY104" s="1543">
        <f t="shared" si="193"/>
        <v>0</v>
      </c>
      <c r="EZ104" s="1543">
        <f t="shared" si="193"/>
        <v>0</v>
      </c>
      <c r="FA104" s="1543">
        <f t="shared" si="193"/>
        <v>0</v>
      </c>
      <c r="FB104" s="1543">
        <f t="shared" si="193"/>
        <v>0</v>
      </c>
      <c r="FC104" s="1543">
        <f t="shared" si="193"/>
        <v>0</v>
      </c>
      <c r="FD104" s="1543">
        <f t="shared" si="193"/>
        <v>0</v>
      </c>
      <c r="FE104" s="1543">
        <f t="shared" si="184"/>
        <v>0</v>
      </c>
      <c r="FF104" s="1543">
        <f t="shared" si="172"/>
        <v>1</v>
      </c>
      <c r="FH104" s="1543">
        <f t="shared" si="198"/>
        <v>0</v>
      </c>
      <c r="FI104" s="1543">
        <f t="shared" si="198"/>
        <v>0</v>
      </c>
      <c r="FJ104" s="1543">
        <f t="shared" si="198"/>
        <v>0</v>
      </c>
      <c r="FK104" s="1543">
        <f t="shared" si="198"/>
        <v>0</v>
      </c>
      <c r="FL104" s="1543">
        <f t="shared" si="198"/>
        <v>0</v>
      </c>
      <c r="FM104" s="1543">
        <f t="shared" si="198"/>
        <v>0</v>
      </c>
      <c r="FN104" s="1543">
        <f t="shared" si="198"/>
        <v>0</v>
      </c>
      <c r="FO104" s="1543">
        <f t="shared" si="198"/>
        <v>0</v>
      </c>
      <c r="FP104" s="1543">
        <f t="shared" si="198"/>
        <v>0</v>
      </c>
      <c r="FQ104" s="1543">
        <f t="shared" si="198"/>
        <v>0</v>
      </c>
      <c r="FR104" s="1543">
        <f t="shared" si="198"/>
        <v>0</v>
      </c>
      <c r="FS104" s="1543">
        <f t="shared" si="198"/>
        <v>0</v>
      </c>
      <c r="FT104" s="1543">
        <f t="shared" si="174"/>
        <v>0</v>
      </c>
      <c r="FV104" s="1543">
        <f t="shared" si="199"/>
        <v>1</v>
      </c>
      <c r="FW104" s="1543">
        <f t="shared" si="199"/>
        <v>0</v>
      </c>
      <c r="FX104" s="1543">
        <f t="shared" si="199"/>
        <v>0</v>
      </c>
      <c r="FY104" s="1543">
        <f t="shared" si="199"/>
        <v>0</v>
      </c>
      <c r="FZ104" s="1543">
        <f t="shared" si="199"/>
        <v>0</v>
      </c>
      <c r="GA104" s="1543">
        <f t="shared" si="199"/>
        <v>0</v>
      </c>
      <c r="GB104" s="1543">
        <f t="shared" si="199"/>
        <v>0</v>
      </c>
      <c r="GC104" s="1543">
        <f t="shared" si="199"/>
        <v>0</v>
      </c>
      <c r="GD104" s="1543">
        <f t="shared" si="199"/>
        <v>0</v>
      </c>
    </row>
    <row r="105" spans="1:186" s="982" customFormat="1" ht="15.6" x14ac:dyDescent="0.3">
      <c r="A105" s="974">
        <v>103</v>
      </c>
      <c r="B105" s="983"/>
      <c r="C105" s="984"/>
      <c r="D105" s="983"/>
      <c r="E105" s="968" t="str">
        <f>IFERROR(VLOOKUP($D105&amp;"."&amp;B105,'Piping Class'!$1:$1048576,MATCH($I105,'Piping Class'!$2:$2,0),0),"")</f>
        <v/>
      </c>
      <c r="F105" s="985" t="str">
        <f>IFERROR(IF(B105="Flange",VLOOKUP($D105,'Piping Class'!$88:$102,MATCH(F$1,'Piping Class'!$88:$88,0),0),""),"")</f>
        <v/>
      </c>
      <c r="G105" s="968" t="str">
        <f>IFERROR(IF(B105="Flange",VLOOKUP($D105,'Piping Class'!$88:$102,MATCH(G$1,'Piping Class'!$88:$88,0),0),""),"")</f>
        <v/>
      </c>
      <c r="H105" s="968" t="str">
        <f>IFERROR(VLOOKUP($D105,'Piping Class'!$88:$102,MATCH(H$1,'Piping Class'!$88:$88,0),0),"")</f>
        <v/>
      </c>
      <c r="I105" s="986"/>
      <c r="J105" s="987"/>
      <c r="K105" s="968" t="str">
        <f>IFERROR(VLOOKUP(I105,'Thickness Tab'!$1:$1048576,MATCH(L105,'Thickness Tab'!$1:$1,0),0),"")</f>
        <v/>
      </c>
      <c r="L105" s="969" t="str">
        <f>IFERROR(VLOOKUP($D105,'Piping Class'!$1:$1048576,MATCH($I105,'Piping Class'!$2:$2,0),0),"")</f>
        <v/>
      </c>
      <c r="M105" s="968" t="str">
        <f>IFERROR(VLOOKUP(J105,'Thickness Tab'!$1:$1048576,MATCH(N105,'Thickness Tab'!$1:$1,0),0),"")</f>
        <v/>
      </c>
      <c r="N105" s="969" t="str">
        <f>IFERROR(VLOOKUP($D105,'Piping Class'!$1:$1048576,MATCH($J105,'Piping Class'!$2:$2,0),0),"")</f>
        <v/>
      </c>
      <c r="O105" s="968" t="str">
        <f>IFERROR(VLOOKUP($D105,'Piping Class'!$88:$102,MATCH(O$1,'Piping Class'!$88:$88,0),0),"")</f>
        <v/>
      </c>
      <c r="P105" s="968" t="str">
        <f>IFERROR(VLOOKUP($D105,'Piping Class'!$88:$102,MATCH(P$1,'Piping Class'!$88:$88,0),0),"")</f>
        <v/>
      </c>
      <c r="Q105" s="983"/>
      <c r="R105" s="988"/>
      <c r="S105" s="969" t="str">
        <f t="shared" si="150"/>
        <v/>
      </c>
      <c r="T105" s="968">
        <f>IFERROR(VLOOKUP(I105&amp;"."&amp;L105,'Fitting Chart'!$1:$1048576,MATCH(C105,'Fitting Chart'!$1:$1,0),0),0)+IF(B105="piping",PI()*K105*(VLOOKUP(I105,'Thickness Tab'!$1:$1048576,3,0)-K105)*7.86/1000,0)+IF(B105="Flange",VLOOKUP(I105&amp;"F"&amp;F105,'Flanges Chart'!$1:$1048576,MATCH(C105&amp;"."&amp;T$1,'Flanges Chart'!$1:$1,0),0),0)</f>
        <v>0</v>
      </c>
      <c r="U105" s="989">
        <f t="shared" si="151"/>
        <v>0</v>
      </c>
      <c r="V105" s="1003"/>
      <c r="W105" s="1001">
        <f t="shared" si="152"/>
        <v>0</v>
      </c>
      <c r="X105" s="997"/>
      <c r="Y105" s="983"/>
      <c r="Z105" s="989">
        <f>IF(B105="Piping",VLOOKUP(I105,'Thickness Tab'!$1:$1048576,3,0)/1000*PI(),0)+IFERROR(VLOOKUP(I105&amp;"F"&amp;F105,'Flanges Chart'!$1:$1048576,MATCH(C105&amp;".Unit Surface",'Flanges Chart'!$1:$1,0),0),0)+IF(B105="Fitting",VLOOKUP(I105,'Thickness Tab'!$1:$1048576,3,0)/1000*PI(),0)</f>
        <v>0</v>
      </c>
      <c r="AA105" s="989">
        <f t="shared" si="153"/>
        <v>0</v>
      </c>
      <c r="AB105" s="983">
        <v>0</v>
      </c>
      <c r="AC105" s="989">
        <f t="shared" si="154"/>
        <v>0</v>
      </c>
      <c r="AD105" s="989">
        <f t="shared" si="155"/>
        <v>0</v>
      </c>
      <c r="AE105" s="974">
        <f>(IFERROR(VLOOKUP($C105,List!$J:$L,2,0),0)*R105+IF(B105="piping",R105,0)+IF(C105="Welding Neck",1,0)*R105)*$AE$2</f>
        <v>0</v>
      </c>
      <c r="AF105" s="970">
        <f>IFERROR(VLOOKUP($C105,List!$J:$L,3,0),0)*R105*$AF$2</f>
        <v>0</v>
      </c>
      <c r="AG105" s="990">
        <f t="shared" si="156"/>
        <v>0</v>
      </c>
      <c r="AH105" s="1118" t="str">
        <f>IFERROR(VLOOKUP($D105,'Piping Class'!$88:$102,MATCH(AH$1,'Piping Class'!$88:$88,0),0),"")</f>
        <v/>
      </c>
      <c r="AI105" s="991" t="str">
        <f>IFERROR(VLOOKUP($D105,'Piping Class'!$88:$102,MATCH(AI$1,'Piping Class'!$88:$88,0),0),"")</f>
        <v/>
      </c>
      <c r="AJ105" s="991" t="str">
        <f>IFERROR(VLOOKUP($D105,'Piping Class'!$88:$102,MATCH(AJ$1,'Piping Class'!$88:$88,0),0),"")</f>
        <v/>
      </c>
      <c r="AK105" s="991" t="str">
        <f>IFERROR(VLOOKUP($D105,'Piping Class'!$88:$102,MATCH(AK$1,'Piping Class'!$88:$88,0),0),"")</f>
        <v/>
      </c>
      <c r="AL105" s="991">
        <f t="shared" si="182"/>
        <v>0</v>
      </c>
      <c r="AM105" s="1119" t="str">
        <f>IFERROR(VLOOKUP($D105,'Piping Class'!$88:$102,MATCH(AM$1,'Piping Class'!$88:$88,0),0),"")</f>
        <v/>
      </c>
      <c r="AN105" s="992">
        <f t="shared" si="157"/>
        <v>0</v>
      </c>
      <c r="AO105" s="993">
        <f>IFERROR(VLOOKUP(I105&amp;"B"&amp;F105,'Bolting Chart'!$1:$1048576,4,0),0)</f>
        <v>0</v>
      </c>
      <c r="AP105" s="993">
        <f t="shared" si="158"/>
        <v>0</v>
      </c>
      <c r="AQ105" s="993">
        <f t="shared" si="159"/>
        <v>0</v>
      </c>
      <c r="AR105" s="993">
        <f>IF(AO105=0,0,VLOOKUP(D105&amp;".bolting",'Piping Class'!$1:$1048576,MATCH(I105,'Piping Class'!$2:$2,0),0))</f>
        <v>0</v>
      </c>
      <c r="AS105" s="994">
        <f>IFERROR(VLOOKUP(I105&amp;"B"&amp;F105,'Bolting Chart'!$1:$1048576,IF(AS$2="UNC",5,6),0),0)</f>
        <v>0</v>
      </c>
      <c r="AT105" s="995">
        <f>IFERROR(VLOOKUP(I105&amp;"B"&amp;F105,'Bolting Chart'!$1:$1048576,IF(G105="RF",8,9),0),0)</f>
        <v>0</v>
      </c>
      <c r="AU105" s="993">
        <f>IF(AO105=0,0,VLOOKUP(D105&amp;".gasket",'Piping Class'!$1:$1048576,MATCH(I105,'Piping Class'!$2:$2,0),0))</f>
        <v>0</v>
      </c>
      <c r="AV105" s="996">
        <f>(IFERROR(INDEX('Bolting Chart'!$A$169:$R$251,MATCH(AT105,'Bolting Chart'!$A$170:$A$251,0),MATCH(IFERROR(VLOOKUP(I105&amp;"B"&amp;F105,'Bolting Chart'!$1:$1048576,7,0),0)+0,'Bolting Chart'!$A$169:$R$169,0)),0))/100</f>
        <v>0</v>
      </c>
      <c r="AW105" s="996">
        <f t="shared" si="160"/>
        <v>0</v>
      </c>
      <c r="AX105" s="1194">
        <f t="shared" si="161"/>
        <v>0</v>
      </c>
      <c r="AY105" s="981"/>
      <c r="AZ105" s="1543">
        <f t="shared" si="189"/>
        <v>0</v>
      </c>
      <c r="BA105" s="1543">
        <f t="shared" si="189"/>
        <v>0</v>
      </c>
      <c r="BB105" s="1543">
        <f t="shared" si="189"/>
        <v>0</v>
      </c>
      <c r="BC105" s="1543">
        <f t="shared" si="189"/>
        <v>0</v>
      </c>
      <c r="BD105" s="1543">
        <f t="shared" si="189"/>
        <v>0</v>
      </c>
      <c r="BE105" s="1543">
        <f t="shared" si="189"/>
        <v>0</v>
      </c>
      <c r="BF105" s="1543">
        <f t="shared" si="189"/>
        <v>0</v>
      </c>
      <c r="BG105" s="1543">
        <f t="shared" si="189"/>
        <v>0</v>
      </c>
      <c r="BH105" s="1543">
        <f t="shared" si="189"/>
        <v>0</v>
      </c>
      <c r="BI105" s="1543">
        <f t="shared" si="189"/>
        <v>0</v>
      </c>
      <c r="BJ105" s="1543">
        <f t="shared" si="189"/>
        <v>0</v>
      </c>
      <c r="BK105" s="1543">
        <f t="shared" si="189"/>
        <v>0</v>
      </c>
      <c r="BL105" s="1543">
        <f t="shared" si="189"/>
        <v>0</v>
      </c>
      <c r="BM105" s="1543">
        <f t="shared" si="189"/>
        <v>0</v>
      </c>
      <c r="BN105" s="1543">
        <f t="shared" si="189"/>
        <v>0</v>
      </c>
      <c r="BO105" s="1543">
        <f t="shared" si="189"/>
        <v>0</v>
      </c>
      <c r="BP105" s="1543">
        <f t="shared" si="178"/>
        <v>0</v>
      </c>
      <c r="BQ105" s="1543">
        <f t="shared" si="178"/>
        <v>0</v>
      </c>
      <c r="BR105" s="1543">
        <f t="shared" si="191"/>
        <v>0</v>
      </c>
      <c r="BS105" s="1543">
        <f t="shared" si="191"/>
        <v>0</v>
      </c>
      <c r="BT105" s="1543">
        <f t="shared" si="191"/>
        <v>0</v>
      </c>
      <c r="BU105" s="1543">
        <f t="shared" si="191"/>
        <v>0</v>
      </c>
      <c r="BV105" s="1543">
        <f t="shared" si="191"/>
        <v>0</v>
      </c>
      <c r="BW105" s="1543">
        <f t="shared" si="191"/>
        <v>0</v>
      </c>
      <c r="BX105" s="1543">
        <f t="shared" si="191"/>
        <v>0</v>
      </c>
      <c r="BY105" s="1543">
        <f t="shared" si="191"/>
        <v>0</v>
      </c>
      <c r="BZ105" s="1543">
        <f t="shared" si="191"/>
        <v>0</v>
      </c>
      <c r="CB105" s="1543">
        <f t="shared" si="190"/>
        <v>0</v>
      </c>
      <c r="CC105" s="1543">
        <f t="shared" si="190"/>
        <v>0</v>
      </c>
      <c r="CD105" s="1543">
        <f t="shared" si="190"/>
        <v>0</v>
      </c>
      <c r="CE105" s="1543">
        <f t="shared" si="190"/>
        <v>0</v>
      </c>
      <c r="CF105" s="1543">
        <f t="shared" si="190"/>
        <v>0</v>
      </c>
      <c r="CG105" s="1543">
        <f t="shared" si="190"/>
        <v>0</v>
      </c>
      <c r="CH105" s="1543">
        <f t="shared" si="190"/>
        <v>0</v>
      </c>
      <c r="CI105" s="1543">
        <f t="shared" si="190"/>
        <v>0</v>
      </c>
      <c r="CJ105" s="1543">
        <f t="shared" si="190"/>
        <v>0</v>
      </c>
      <c r="CK105" s="1543">
        <f t="shared" si="190"/>
        <v>0</v>
      </c>
      <c r="CL105" s="1543">
        <f t="shared" si="190"/>
        <v>0</v>
      </c>
      <c r="CM105" s="1543">
        <f t="shared" si="190"/>
        <v>0</v>
      </c>
      <c r="CN105" s="1543">
        <f t="shared" si="190"/>
        <v>0</v>
      </c>
      <c r="CO105" s="1543">
        <f t="shared" si="190"/>
        <v>0</v>
      </c>
      <c r="CP105" s="1543">
        <f t="shared" si="190"/>
        <v>0</v>
      </c>
      <c r="CQ105" s="1543">
        <f t="shared" si="190"/>
        <v>0</v>
      </c>
      <c r="CR105" s="1543">
        <f t="shared" si="179"/>
        <v>0</v>
      </c>
      <c r="CS105" s="1543">
        <f t="shared" si="179"/>
        <v>0</v>
      </c>
      <c r="CT105" s="1543">
        <f t="shared" si="183"/>
        <v>0</v>
      </c>
      <c r="CU105" s="1543">
        <f t="shared" si="183"/>
        <v>0</v>
      </c>
      <c r="CV105" s="1543">
        <f t="shared" si="183"/>
        <v>0</v>
      </c>
      <c r="CW105" s="1543">
        <f t="shared" si="183"/>
        <v>0</v>
      </c>
      <c r="CX105" s="1543">
        <f t="shared" si="183"/>
        <v>0</v>
      </c>
      <c r="CY105" s="1543">
        <f t="shared" si="183"/>
        <v>0</v>
      </c>
      <c r="CZ105" s="1543">
        <f t="shared" si="183"/>
        <v>0</v>
      </c>
      <c r="DA105" s="1543">
        <f t="shared" si="183"/>
        <v>0</v>
      </c>
      <c r="DB105" s="1543">
        <f t="shared" si="183"/>
        <v>0</v>
      </c>
      <c r="DD105" s="1543">
        <f t="shared" si="194"/>
        <v>0</v>
      </c>
      <c r="DE105" s="1543">
        <f t="shared" si="195"/>
        <v>0</v>
      </c>
      <c r="DF105" s="1543">
        <f t="shared" si="196"/>
        <v>0</v>
      </c>
      <c r="DG105" s="1543">
        <f t="shared" si="162"/>
        <v>0</v>
      </c>
      <c r="DI105" s="1543">
        <f t="shared" si="163"/>
        <v>0</v>
      </c>
      <c r="DJ105" s="1543">
        <f t="shared" si="185"/>
        <v>0</v>
      </c>
      <c r="DK105" s="1543">
        <f t="shared" si="185"/>
        <v>0</v>
      </c>
      <c r="DL105" s="1543">
        <f t="shared" si="185"/>
        <v>0</v>
      </c>
      <c r="DM105" s="1543">
        <f t="shared" si="185"/>
        <v>0</v>
      </c>
      <c r="DO105" s="1543">
        <f t="shared" si="188"/>
        <v>0</v>
      </c>
      <c r="DP105" s="1543">
        <f t="shared" si="188"/>
        <v>0</v>
      </c>
      <c r="DQ105" s="1543">
        <f t="shared" si="188"/>
        <v>0</v>
      </c>
      <c r="DR105" s="1543">
        <f t="shared" si="188"/>
        <v>0</v>
      </c>
      <c r="DS105" s="1543">
        <f t="shared" si="188"/>
        <v>0</v>
      </c>
      <c r="DT105" s="1543">
        <f t="shared" si="188"/>
        <v>0</v>
      </c>
      <c r="DU105" s="1543">
        <f t="shared" si="188"/>
        <v>0</v>
      </c>
      <c r="DV105" s="1543">
        <f t="shared" si="188"/>
        <v>0</v>
      </c>
      <c r="DW105" s="1543">
        <f t="shared" si="188"/>
        <v>0</v>
      </c>
      <c r="DX105" s="1543">
        <f t="shared" si="188"/>
        <v>0</v>
      </c>
      <c r="DY105" s="1543">
        <f t="shared" si="188"/>
        <v>0</v>
      </c>
      <c r="DZ105" s="1543">
        <f t="shared" si="188"/>
        <v>0</v>
      </c>
      <c r="EA105" s="1543">
        <f t="shared" si="188"/>
        <v>0</v>
      </c>
      <c r="EB105" s="1543">
        <f t="shared" si="180"/>
        <v>0</v>
      </c>
      <c r="EC105" s="1543">
        <f t="shared" si="180"/>
        <v>0</v>
      </c>
      <c r="ED105" s="1543">
        <f t="shared" si="180"/>
        <v>0</v>
      </c>
      <c r="EE105" s="1543">
        <f t="shared" si="180"/>
        <v>0</v>
      </c>
      <c r="EF105" s="1543">
        <f t="shared" si="180"/>
        <v>0</v>
      </c>
      <c r="EH105" s="1543">
        <f t="shared" si="165"/>
        <v>0</v>
      </c>
      <c r="EI105" s="1543">
        <f t="shared" si="166"/>
        <v>0</v>
      </c>
      <c r="EJ105" s="1543">
        <f t="shared" si="167"/>
        <v>0</v>
      </c>
      <c r="EK105" s="1543">
        <f t="shared" si="168"/>
        <v>0</v>
      </c>
      <c r="EL105" s="1543">
        <f t="shared" si="169"/>
        <v>0</v>
      </c>
      <c r="EM105" s="1543">
        <f t="shared" si="170"/>
        <v>0</v>
      </c>
      <c r="EN105" s="1543">
        <f t="shared" si="171"/>
        <v>0</v>
      </c>
      <c r="EP105" s="1543">
        <f t="shared" si="197"/>
        <v>0</v>
      </c>
      <c r="EQ105" s="1543">
        <f t="shared" si="197"/>
        <v>0</v>
      </c>
      <c r="ER105" s="1543">
        <f t="shared" si="197"/>
        <v>0</v>
      </c>
      <c r="ES105" s="1543">
        <f t="shared" si="192"/>
        <v>0</v>
      </c>
      <c r="ET105" s="1543">
        <f t="shared" si="193"/>
        <v>0</v>
      </c>
      <c r="EU105" s="1543">
        <f t="shared" si="193"/>
        <v>0</v>
      </c>
      <c r="EV105" s="1543">
        <f t="shared" si="193"/>
        <v>0</v>
      </c>
      <c r="EW105" s="1543">
        <f t="shared" si="193"/>
        <v>0</v>
      </c>
      <c r="EX105" s="1543">
        <f t="shared" si="193"/>
        <v>0</v>
      </c>
      <c r="EY105" s="1543">
        <f t="shared" si="193"/>
        <v>0</v>
      </c>
      <c r="EZ105" s="1543">
        <f t="shared" si="193"/>
        <v>0</v>
      </c>
      <c r="FA105" s="1543">
        <f t="shared" si="193"/>
        <v>0</v>
      </c>
      <c r="FB105" s="1543">
        <f t="shared" si="193"/>
        <v>0</v>
      </c>
      <c r="FC105" s="1543">
        <f t="shared" si="193"/>
        <v>0</v>
      </c>
      <c r="FD105" s="1543">
        <f t="shared" si="193"/>
        <v>0</v>
      </c>
      <c r="FE105" s="1543">
        <f t="shared" si="184"/>
        <v>0</v>
      </c>
      <c r="FF105" s="1543">
        <f t="shared" si="172"/>
        <v>1</v>
      </c>
      <c r="FH105" s="1543">
        <f t="shared" si="198"/>
        <v>0</v>
      </c>
      <c r="FI105" s="1543">
        <f t="shared" si="198"/>
        <v>0</v>
      </c>
      <c r="FJ105" s="1543">
        <f t="shared" si="198"/>
        <v>0</v>
      </c>
      <c r="FK105" s="1543">
        <f t="shared" si="198"/>
        <v>0</v>
      </c>
      <c r="FL105" s="1543">
        <f t="shared" si="198"/>
        <v>0</v>
      </c>
      <c r="FM105" s="1543">
        <f t="shared" si="198"/>
        <v>0</v>
      </c>
      <c r="FN105" s="1543">
        <f t="shared" si="198"/>
        <v>0</v>
      </c>
      <c r="FO105" s="1543">
        <f t="shared" si="198"/>
        <v>0</v>
      </c>
      <c r="FP105" s="1543">
        <f t="shared" si="198"/>
        <v>0</v>
      </c>
      <c r="FQ105" s="1543">
        <f t="shared" si="198"/>
        <v>0</v>
      </c>
      <c r="FR105" s="1543">
        <f t="shared" si="198"/>
        <v>0</v>
      </c>
      <c r="FS105" s="1543">
        <f t="shared" si="198"/>
        <v>0</v>
      </c>
      <c r="FT105" s="1543">
        <f t="shared" si="174"/>
        <v>0</v>
      </c>
      <c r="FV105" s="1543">
        <f t="shared" si="199"/>
        <v>1</v>
      </c>
      <c r="FW105" s="1543">
        <f t="shared" si="199"/>
        <v>0</v>
      </c>
      <c r="FX105" s="1543">
        <f t="shared" si="199"/>
        <v>0</v>
      </c>
      <c r="FY105" s="1543">
        <f t="shared" si="199"/>
        <v>0</v>
      </c>
      <c r="FZ105" s="1543">
        <f t="shared" si="199"/>
        <v>0</v>
      </c>
      <c r="GA105" s="1543">
        <f t="shared" si="199"/>
        <v>0</v>
      </c>
      <c r="GB105" s="1543">
        <f t="shared" si="199"/>
        <v>0</v>
      </c>
      <c r="GC105" s="1543">
        <f t="shared" si="199"/>
        <v>0</v>
      </c>
      <c r="GD105" s="1543">
        <f t="shared" si="199"/>
        <v>0</v>
      </c>
    </row>
    <row r="106" spans="1:186" s="982" customFormat="1" ht="15.6" x14ac:dyDescent="0.3">
      <c r="A106" s="974">
        <v>104</v>
      </c>
      <c r="B106" s="983"/>
      <c r="C106" s="984"/>
      <c r="D106" s="983"/>
      <c r="E106" s="968" t="str">
        <f>IFERROR(VLOOKUP($D106&amp;"."&amp;B106,'Piping Class'!$1:$1048576,MATCH($I106,'Piping Class'!$2:$2,0),0),"")</f>
        <v/>
      </c>
      <c r="F106" s="985" t="str">
        <f>IFERROR(IF(B106="Flange",VLOOKUP($D106,'Piping Class'!$88:$102,MATCH(F$1,'Piping Class'!$88:$88,0),0),""),"")</f>
        <v/>
      </c>
      <c r="G106" s="968" t="str">
        <f>IFERROR(IF(B106="Flange",VLOOKUP($D106,'Piping Class'!$88:$102,MATCH(G$1,'Piping Class'!$88:$88,0),0),""),"")</f>
        <v/>
      </c>
      <c r="H106" s="968" t="str">
        <f>IFERROR(VLOOKUP($D106,'Piping Class'!$88:$102,MATCH(H$1,'Piping Class'!$88:$88,0),0),"")</f>
        <v/>
      </c>
      <c r="I106" s="986"/>
      <c r="J106" s="987"/>
      <c r="K106" s="968" t="str">
        <f>IFERROR(VLOOKUP(I106,'Thickness Tab'!$1:$1048576,MATCH(L106,'Thickness Tab'!$1:$1,0),0),"")</f>
        <v/>
      </c>
      <c r="L106" s="969" t="str">
        <f>IFERROR(VLOOKUP($D106,'Piping Class'!$1:$1048576,MATCH($I106,'Piping Class'!$2:$2,0),0),"")</f>
        <v/>
      </c>
      <c r="M106" s="968" t="str">
        <f>IFERROR(VLOOKUP(J106,'Thickness Tab'!$1:$1048576,MATCH(N106,'Thickness Tab'!$1:$1,0),0),"")</f>
        <v/>
      </c>
      <c r="N106" s="969" t="str">
        <f>IFERROR(VLOOKUP($D106,'Piping Class'!$1:$1048576,MATCH($J106,'Piping Class'!$2:$2,0),0),"")</f>
        <v/>
      </c>
      <c r="O106" s="968" t="str">
        <f>IFERROR(VLOOKUP($D106,'Piping Class'!$88:$102,MATCH(O$1,'Piping Class'!$88:$88,0),0),"")</f>
        <v/>
      </c>
      <c r="P106" s="968" t="str">
        <f>IFERROR(VLOOKUP($D106,'Piping Class'!$88:$102,MATCH(P$1,'Piping Class'!$88:$88,0),0),"")</f>
        <v/>
      </c>
      <c r="Q106" s="983"/>
      <c r="R106" s="988"/>
      <c r="S106" s="969" t="str">
        <f t="shared" si="150"/>
        <v/>
      </c>
      <c r="T106" s="968">
        <f>IFERROR(VLOOKUP(I106&amp;"."&amp;L106,'Fitting Chart'!$1:$1048576,MATCH(C106,'Fitting Chart'!$1:$1,0),0),0)+IF(B106="piping",PI()*K106*(VLOOKUP(I106,'Thickness Tab'!$1:$1048576,3,0)-K106)*7.86/1000,0)+IF(B106="Flange",VLOOKUP(I106&amp;"F"&amp;F106,'Flanges Chart'!$1:$1048576,MATCH(C106&amp;"."&amp;T$1,'Flanges Chart'!$1:$1,0),0),0)</f>
        <v>0</v>
      </c>
      <c r="U106" s="989">
        <f t="shared" si="151"/>
        <v>0</v>
      </c>
      <c r="V106" s="1003"/>
      <c r="W106" s="1001">
        <f t="shared" si="152"/>
        <v>0</v>
      </c>
      <c r="X106" s="997"/>
      <c r="Y106" s="983"/>
      <c r="Z106" s="989">
        <f>IF(B106="Piping",VLOOKUP(I106,'Thickness Tab'!$1:$1048576,3,0)/1000*PI(),0)+IFERROR(VLOOKUP(I106&amp;"F"&amp;F106,'Flanges Chart'!$1:$1048576,MATCH(C106&amp;".Unit Surface",'Flanges Chart'!$1:$1,0),0),0)+IF(B106="Fitting",VLOOKUP(I106,'Thickness Tab'!$1:$1048576,3,0)/1000*PI(),0)</f>
        <v>0</v>
      </c>
      <c r="AA106" s="989">
        <f t="shared" si="153"/>
        <v>0</v>
      </c>
      <c r="AB106" s="983">
        <v>0</v>
      </c>
      <c r="AC106" s="989">
        <f t="shared" si="154"/>
        <v>0</v>
      </c>
      <c r="AD106" s="989">
        <f t="shared" si="155"/>
        <v>0</v>
      </c>
      <c r="AE106" s="974">
        <f>(IFERROR(VLOOKUP($C106,List!$J:$L,2,0),0)*R106+IF(B106="piping",R106,0)+IF(C106="Welding Neck",1,0)*R106)*$AE$2</f>
        <v>0</v>
      </c>
      <c r="AF106" s="970">
        <f>IFERROR(VLOOKUP($C106,List!$J:$L,3,0),0)*R106*$AF$2</f>
        <v>0</v>
      </c>
      <c r="AG106" s="990">
        <f t="shared" si="156"/>
        <v>0</v>
      </c>
      <c r="AH106" s="1118" t="str">
        <f>IFERROR(VLOOKUP($D106,'Piping Class'!$88:$102,MATCH(AH$1,'Piping Class'!$88:$88,0),0),"")</f>
        <v/>
      </c>
      <c r="AI106" s="991" t="str">
        <f>IFERROR(VLOOKUP($D106,'Piping Class'!$88:$102,MATCH(AI$1,'Piping Class'!$88:$88,0),0),"")</f>
        <v/>
      </c>
      <c r="AJ106" s="991" t="str">
        <f>IFERROR(VLOOKUP($D106,'Piping Class'!$88:$102,MATCH(AJ$1,'Piping Class'!$88:$88,0),0),"")</f>
        <v/>
      </c>
      <c r="AK106" s="991" t="str">
        <f>IFERROR(VLOOKUP($D106,'Piping Class'!$88:$102,MATCH(AK$1,'Piping Class'!$88:$88,0),0),"")</f>
        <v/>
      </c>
      <c r="AL106" s="991">
        <f t="shared" si="182"/>
        <v>0</v>
      </c>
      <c r="AM106" s="1119" t="str">
        <f>IFERROR(VLOOKUP($D106,'Piping Class'!$88:$102,MATCH(AM$1,'Piping Class'!$88:$88,0),0),"")</f>
        <v/>
      </c>
      <c r="AN106" s="992">
        <f t="shared" si="157"/>
        <v>0</v>
      </c>
      <c r="AO106" s="993">
        <f>IFERROR(VLOOKUP(I106&amp;"B"&amp;F106,'Bolting Chart'!$1:$1048576,4,0),0)</f>
        <v>0</v>
      </c>
      <c r="AP106" s="993">
        <f t="shared" si="158"/>
        <v>0</v>
      </c>
      <c r="AQ106" s="993">
        <f t="shared" si="159"/>
        <v>0</v>
      </c>
      <c r="AR106" s="993">
        <f>IF(AO106=0,0,VLOOKUP(D106&amp;".bolting",'Piping Class'!$1:$1048576,MATCH(I106,'Piping Class'!$2:$2,0),0))</f>
        <v>0</v>
      </c>
      <c r="AS106" s="994">
        <f>IFERROR(VLOOKUP(I106&amp;"B"&amp;F106,'Bolting Chart'!$1:$1048576,IF(AS$2="UNC",5,6),0),0)</f>
        <v>0</v>
      </c>
      <c r="AT106" s="995">
        <f>IFERROR(VLOOKUP(I106&amp;"B"&amp;F106,'Bolting Chart'!$1:$1048576,IF(G106="RF",8,9),0),0)</f>
        <v>0</v>
      </c>
      <c r="AU106" s="993">
        <f>IF(AO106=0,0,VLOOKUP(D106&amp;".gasket",'Piping Class'!$1:$1048576,MATCH(I106,'Piping Class'!$2:$2,0),0))</f>
        <v>0</v>
      </c>
      <c r="AV106" s="996">
        <f>(IFERROR(INDEX('Bolting Chart'!$A$169:$R$251,MATCH(AT106,'Bolting Chart'!$A$170:$A$251,0),MATCH(IFERROR(VLOOKUP(I106&amp;"B"&amp;F106,'Bolting Chart'!$1:$1048576,7,0),0)+0,'Bolting Chart'!$A$169:$R$169,0)),0))/100</f>
        <v>0</v>
      </c>
      <c r="AW106" s="996">
        <f t="shared" si="160"/>
        <v>0</v>
      </c>
      <c r="AX106" s="1194">
        <f t="shared" si="161"/>
        <v>0</v>
      </c>
      <c r="AY106" s="981"/>
      <c r="AZ106" s="1543">
        <f t="shared" si="189"/>
        <v>0</v>
      </c>
      <c r="BA106" s="1543">
        <f t="shared" si="189"/>
        <v>0</v>
      </c>
      <c r="BB106" s="1543">
        <f t="shared" si="189"/>
        <v>0</v>
      </c>
      <c r="BC106" s="1543">
        <f t="shared" si="189"/>
        <v>0</v>
      </c>
      <c r="BD106" s="1543">
        <f t="shared" si="189"/>
        <v>0</v>
      </c>
      <c r="BE106" s="1543">
        <f t="shared" si="189"/>
        <v>0</v>
      </c>
      <c r="BF106" s="1543">
        <f t="shared" si="189"/>
        <v>0</v>
      </c>
      <c r="BG106" s="1543">
        <f t="shared" si="189"/>
        <v>0</v>
      </c>
      <c r="BH106" s="1543">
        <f t="shared" si="189"/>
        <v>0</v>
      </c>
      <c r="BI106" s="1543">
        <f t="shared" si="189"/>
        <v>0</v>
      </c>
      <c r="BJ106" s="1543">
        <f t="shared" si="189"/>
        <v>0</v>
      </c>
      <c r="BK106" s="1543">
        <f t="shared" si="189"/>
        <v>0</v>
      </c>
      <c r="BL106" s="1543">
        <f t="shared" si="189"/>
        <v>0</v>
      </c>
      <c r="BM106" s="1543">
        <f t="shared" si="189"/>
        <v>0</v>
      </c>
      <c r="BN106" s="1543">
        <f t="shared" si="189"/>
        <v>0</v>
      </c>
      <c r="BO106" s="1543">
        <f t="shared" si="189"/>
        <v>0</v>
      </c>
      <c r="BP106" s="1543">
        <f t="shared" si="178"/>
        <v>0</v>
      </c>
      <c r="BQ106" s="1543">
        <f t="shared" si="178"/>
        <v>0</v>
      </c>
      <c r="BR106" s="1543">
        <f t="shared" si="191"/>
        <v>0</v>
      </c>
      <c r="BS106" s="1543">
        <f t="shared" si="191"/>
        <v>0</v>
      </c>
      <c r="BT106" s="1543">
        <f t="shared" si="191"/>
        <v>0</v>
      </c>
      <c r="BU106" s="1543">
        <f t="shared" si="191"/>
        <v>0</v>
      </c>
      <c r="BV106" s="1543">
        <f t="shared" si="191"/>
        <v>0</v>
      </c>
      <c r="BW106" s="1543">
        <f t="shared" si="191"/>
        <v>0</v>
      </c>
      <c r="BX106" s="1543">
        <f t="shared" si="191"/>
        <v>0</v>
      </c>
      <c r="BY106" s="1543">
        <f t="shared" si="191"/>
        <v>0</v>
      </c>
      <c r="BZ106" s="1543">
        <f t="shared" si="191"/>
        <v>0</v>
      </c>
      <c r="CB106" s="1543">
        <f t="shared" si="190"/>
        <v>0</v>
      </c>
      <c r="CC106" s="1543">
        <f t="shared" si="190"/>
        <v>0</v>
      </c>
      <c r="CD106" s="1543">
        <f t="shared" si="190"/>
        <v>0</v>
      </c>
      <c r="CE106" s="1543">
        <f t="shared" si="190"/>
        <v>0</v>
      </c>
      <c r="CF106" s="1543">
        <f t="shared" si="190"/>
        <v>0</v>
      </c>
      <c r="CG106" s="1543">
        <f t="shared" si="190"/>
        <v>0</v>
      </c>
      <c r="CH106" s="1543">
        <f t="shared" si="190"/>
        <v>0</v>
      </c>
      <c r="CI106" s="1543">
        <f t="shared" si="190"/>
        <v>0</v>
      </c>
      <c r="CJ106" s="1543">
        <f t="shared" si="190"/>
        <v>0</v>
      </c>
      <c r="CK106" s="1543">
        <f t="shared" si="190"/>
        <v>0</v>
      </c>
      <c r="CL106" s="1543">
        <f t="shared" si="190"/>
        <v>0</v>
      </c>
      <c r="CM106" s="1543">
        <f t="shared" si="190"/>
        <v>0</v>
      </c>
      <c r="CN106" s="1543">
        <f t="shared" si="190"/>
        <v>0</v>
      </c>
      <c r="CO106" s="1543">
        <f t="shared" si="190"/>
        <v>0</v>
      </c>
      <c r="CP106" s="1543">
        <f t="shared" si="190"/>
        <v>0</v>
      </c>
      <c r="CQ106" s="1543">
        <f t="shared" si="190"/>
        <v>0</v>
      </c>
      <c r="CR106" s="1543">
        <f t="shared" si="179"/>
        <v>0</v>
      </c>
      <c r="CS106" s="1543">
        <f t="shared" si="179"/>
        <v>0</v>
      </c>
      <c r="CT106" s="1543">
        <f t="shared" si="183"/>
        <v>0</v>
      </c>
      <c r="CU106" s="1543">
        <f t="shared" si="183"/>
        <v>0</v>
      </c>
      <c r="CV106" s="1543">
        <f t="shared" si="183"/>
        <v>0</v>
      </c>
      <c r="CW106" s="1543">
        <f t="shared" si="183"/>
        <v>0</v>
      </c>
      <c r="CX106" s="1543">
        <f t="shared" si="183"/>
        <v>0</v>
      </c>
      <c r="CY106" s="1543">
        <f t="shared" si="183"/>
        <v>0</v>
      </c>
      <c r="CZ106" s="1543">
        <f t="shared" si="183"/>
        <v>0</v>
      </c>
      <c r="DA106" s="1543">
        <f t="shared" si="183"/>
        <v>0</v>
      </c>
      <c r="DB106" s="1543">
        <f t="shared" si="183"/>
        <v>0</v>
      </c>
      <c r="DD106" s="1543">
        <f t="shared" si="194"/>
        <v>0</v>
      </c>
      <c r="DE106" s="1543">
        <f t="shared" si="195"/>
        <v>0</v>
      </c>
      <c r="DF106" s="1543">
        <f t="shared" si="196"/>
        <v>0</v>
      </c>
      <c r="DG106" s="1543">
        <f t="shared" si="162"/>
        <v>0</v>
      </c>
      <c r="DI106" s="1543">
        <f t="shared" si="163"/>
        <v>0</v>
      </c>
      <c r="DJ106" s="1543">
        <f t="shared" si="185"/>
        <v>0</v>
      </c>
      <c r="DK106" s="1543">
        <f t="shared" si="185"/>
        <v>0</v>
      </c>
      <c r="DL106" s="1543">
        <f t="shared" si="185"/>
        <v>0</v>
      </c>
      <c r="DM106" s="1543">
        <f t="shared" si="185"/>
        <v>0</v>
      </c>
      <c r="DO106" s="1543">
        <f t="shared" si="188"/>
        <v>0</v>
      </c>
      <c r="DP106" s="1543">
        <f t="shared" si="188"/>
        <v>0</v>
      </c>
      <c r="DQ106" s="1543">
        <f t="shared" si="188"/>
        <v>0</v>
      </c>
      <c r="DR106" s="1543">
        <f t="shared" si="188"/>
        <v>0</v>
      </c>
      <c r="DS106" s="1543">
        <f t="shared" si="188"/>
        <v>0</v>
      </c>
      <c r="DT106" s="1543">
        <f t="shared" si="188"/>
        <v>0</v>
      </c>
      <c r="DU106" s="1543">
        <f t="shared" si="188"/>
        <v>0</v>
      </c>
      <c r="DV106" s="1543">
        <f t="shared" si="188"/>
        <v>0</v>
      </c>
      <c r="DW106" s="1543">
        <f t="shared" si="188"/>
        <v>0</v>
      </c>
      <c r="DX106" s="1543">
        <f t="shared" si="188"/>
        <v>0</v>
      </c>
      <c r="DY106" s="1543">
        <f t="shared" si="188"/>
        <v>0</v>
      </c>
      <c r="DZ106" s="1543">
        <f t="shared" si="188"/>
        <v>0</v>
      </c>
      <c r="EA106" s="1543">
        <f t="shared" si="188"/>
        <v>0</v>
      </c>
      <c r="EB106" s="1543">
        <f t="shared" si="180"/>
        <v>0</v>
      </c>
      <c r="EC106" s="1543">
        <f t="shared" si="180"/>
        <v>0</v>
      </c>
      <c r="ED106" s="1543">
        <f t="shared" si="180"/>
        <v>0</v>
      </c>
      <c r="EE106" s="1543">
        <f t="shared" si="180"/>
        <v>0</v>
      </c>
      <c r="EF106" s="1543">
        <f t="shared" si="180"/>
        <v>0</v>
      </c>
      <c r="EH106" s="1543">
        <f t="shared" si="165"/>
        <v>0</v>
      </c>
      <c r="EI106" s="1543">
        <f t="shared" si="166"/>
        <v>0</v>
      </c>
      <c r="EJ106" s="1543">
        <f t="shared" si="167"/>
        <v>0</v>
      </c>
      <c r="EK106" s="1543">
        <f t="shared" si="168"/>
        <v>0</v>
      </c>
      <c r="EL106" s="1543">
        <f t="shared" si="169"/>
        <v>0</v>
      </c>
      <c r="EM106" s="1543">
        <f t="shared" si="170"/>
        <v>0</v>
      </c>
      <c r="EN106" s="1543">
        <f t="shared" si="171"/>
        <v>0</v>
      </c>
      <c r="EP106" s="1543">
        <f t="shared" si="197"/>
        <v>0</v>
      </c>
      <c r="EQ106" s="1543">
        <f t="shared" si="197"/>
        <v>0</v>
      </c>
      <c r="ER106" s="1543">
        <f t="shared" si="197"/>
        <v>0</v>
      </c>
      <c r="ES106" s="1543">
        <f t="shared" si="192"/>
        <v>0</v>
      </c>
      <c r="ET106" s="1543">
        <f t="shared" si="193"/>
        <v>0</v>
      </c>
      <c r="EU106" s="1543">
        <f t="shared" si="193"/>
        <v>0</v>
      </c>
      <c r="EV106" s="1543">
        <f t="shared" si="193"/>
        <v>0</v>
      </c>
      <c r="EW106" s="1543">
        <f t="shared" si="193"/>
        <v>0</v>
      </c>
      <c r="EX106" s="1543">
        <f t="shared" si="193"/>
        <v>0</v>
      </c>
      <c r="EY106" s="1543">
        <f t="shared" si="193"/>
        <v>0</v>
      </c>
      <c r="EZ106" s="1543">
        <f t="shared" si="193"/>
        <v>0</v>
      </c>
      <c r="FA106" s="1543">
        <f t="shared" si="193"/>
        <v>0</v>
      </c>
      <c r="FB106" s="1543">
        <f t="shared" si="193"/>
        <v>0</v>
      </c>
      <c r="FC106" s="1543">
        <f t="shared" si="193"/>
        <v>0</v>
      </c>
      <c r="FD106" s="1543">
        <f t="shared" si="193"/>
        <v>0</v>
      </c>
      <c r="FE106" s="1543">
        <f t="shared" si="184"/>
        <v>0</v>
      </c>
      <c r="FF106" s="1543">
        <f t="shared" si="172"/>
        <v>1</v>
      </c>
      <c r="FH106" s="1543">
        <f t="shared" si="198"/>
        <v>0</v>
      </c>
      <c r="FI106" s="1543">
        <f t="shared" si="198"/>
        <v>0</v>
      </c>
      <c r="FJ106" s="1543">
        <f t="shared" si="198"/>
        <v>0</v>
      </c>
      <c r="FK106" s="1543">
        <f t="shared" si="198"/>
        <v>0</v>
      </c>
      <c r="FL106" s="1543">
        <f t="shared" si="198"/>
        <v>0</v>
      </c>
      <c r="FM106" s="1543">
        <f t="shared" si="198"/>
        <v>0</v>
      </c>
      <c r="FN106" s="1543">
        <f t="shared" si="198"/>
        <v>0</v>
      </c>
      <c r="FO106" s="1543">
        <f t="shared" si="198"/>
        <v>0</v>
      </c>
      <c r="FP106" s="1543">
        <f t="shared" si="198"/>
        <v>0</v>
      </c>
      <c r="FQ106" s="1543">
        <f t="shared" si="198"/>
        <v>0</v>
      </c>
      <c r="FR106" s="1543">
        <f t="shared" si="198"/>
        <v>0</v>
      </c>
      <c r="FS106" s="1543">
        <f t="shared" si="198"/>
        <v>0</v>
      </c>
      <c r="FT106" s="1543">
        <f t="shared" si="174"/>
        <v>0</v>
      </c>
      <c r="FV106" s="1543">
        <f t="shared" si="199"/>
        <v>1</v>
      </c>
      <c r="FW106" s="1543">
        <f t="shared" si="199"/>
        <v>0</v>
      </c>
      <c r="FX106" s="1543">
        <f t="shared" si="199"/>
        <v>0</v>
      </c>
      <c r="FY106" s="1543">
        <f t="shared" si="199"/>
        <v>0</v>
      </c>
      <c r="FZ106" s="1543">
        <f t="shared" si="199"/>
        <v>0</v>
      </c>
      <c r="GA106" s="1543">
        <f t="shared" si="199"/>
        <v>0</v>
      </c>
      <c r="GB106" s="1543">
        <f t="shared" si="199"/>
        <v>0</v>
      </c>
      <c r="GC106" s="1543">
        <f t="shared" si="199"/>
        <v>0</v>
      </c>
      <c r="GD106" s="1543">
        <f t="shared" si="199"/>
        <v>0</v>
      </c>
    </row>
    <row r="107" spans="1:186" s="982" customFormat="1" ht="15.6" x14ac:dyDescent="0.3">
      <c r="A107" s="974">
        <v>105</v>
      </c>
      <c r="B107" s="983"/>
      <c r="C107" s="984"/>
      <c r="D107" s="983"/>
      <c r="E107" s="968" t="str">
        <f>IFERROR(VLOOKUP($D107&amp;"."&amp;B107,'Piping Class'!$1:$1048576,MATCH($I107,'Piping Class'!$2:$2,0),0),"")</f>
        <v/>
      </c>
      <c r="F107" s="985" t="str">
        <f>IFERROR(IF(B107="Flange",VLOOKUP($D107,'Piping Class'!$88:$102,MATCH(F$1,'Piping Class'!$88:$88,0),0),""),"")</f>
        <v/>
      </c>
      <c r="G107" s="968" t="str">
        <f>IFERROR(IF(B107="Flange",VLOOKUP($D107,'Piping Class'!$88:$102,MATCH(G$1,'Piping Class'!$88:$88,0),0),""),"")</f>
        <v/>
      </c>
      <c r="H107" s="968" t="str">
        <f>IFERROR(VLOOKUP($D107,'Piping Class'!$88:$102,MATCH(H$1,'Piping Class'!$88:$88,0),0),"")</f>
        <v/>
      </c>
      <c r="I107" s="986"/>
      <c r="J107" s="987"/>
      <c r="K107" s="968" t="str">
        <f>IFERROR(VLOOKUP(I107,'Thickness Tab'!$1:$1048576,MATCH(L107,'Thickness Tab'!$1:$1,0),0),"")</f>
        <v/>
      </c>
      <c r="L107" s="969" t="str">
        <f>IFERROR(VLOOKUP($D107,'Piping Class'!$1:$1048576,MATCH($I107,'Piping Class'!$2:$2,0),0),"")</f>
        <v/>
      </c>
      <c r="M107" s="968" t="str">
        <f>IFERROR(VLOOKUP(J107,'Thickness Tab'!$1:$1048576,MATCH(N107,'Thickness Tab'!$1:$1,0),0),"")</f>
        <v/>
      </c>
      <c r="N107" s="969" t="str">
        <f>IFERROR(VLOOKUP($D107,'Piping Class'!$1:$1048576,MATCH($J107,'Piping Class'!$2:$2,0),0),"")</f>
        <v/>
      </c>
      <c r="O107" s="968" t="str">
        <f>IFERROR(VLOOKUP($D107,'Piping Class'!$88:$102,MATCH(O$1,'Piping Class'!$88:$88,0),0),"")</f>
        <v/>
      </c>
      <c r="P107" s="968" t="str">
        <f>IFERROR(VLOOKUP($D107,'Piping Class'!$88:$102,MATCH(P$1,'Piping Class'!$88:$88,0),0),"")</f>
        <v/>
      </c>
      <c r="Q107" s="983"/>
      <c r="R107" s="988"/>
      <c r="S107" s="969" t="str">
        <f t="shared" si="150"/>
        <v/>
      </c>
      <c r="T107" s="968">
        <f>IFERROR(VLOOKUP(I107&amp;"."&amp;L107,'Fitting Chart'!$1:$1048576,MATCH(C107,'Fitting Chart'!$1:$1,0),0),0)+IF(B107="piping",PI()*K107*(VLOOKUP(I107,'Thickness Tab'!$1:$1048576,3,0)-K107)*7.86/1000,0)+IF(B107="Flange",VLOOKUP(I107&amp;"F"&amp;F107,'Flanges Chart'!$1:$1048576,MATCH(C107&amp;"."&amp;T$1,'Flanges Chart'!$1:$1,0),0),0)</f>
        <v>0</v>
      </c>
      <c r="U107" s="989">
        <f t="shared" si="151"/>
        <v>0</v>
      </c>
      <c r="V107" s="1003"/>
      <c r="W107" s="1001">
        <f t="shared" si="152"/>
        <v>0</v>
      </c>
      <c r="X107" s="997"/>
      <c r="Y107" s="983"/>
      <c r="Z107" s="989">
        <f>IF(B107="Piping",VLOOKUP(I107,'Thickness Tab'!$1:$1048576,3,0)/1000*PI(),0)+IFERROR(VLOOKUP(I107&amp;"F"&amp;F107,'Flanges Chart'!$1:$1048576,MATCH(C107&amp;".Unit Surface",'Flanges Chart'!$1:$1,0),0),0)+IF(B107="Fitting",VLOOKUP(I107,'Thickness Tab'!$1:$1048576,3,0)/1000*PI(),0)</f>
        <v>0</v>
      </c>
      <c r="AA107" s="989">
        <f t="shared" si="153"/>
        <v>0</v>
      </c>
      <c r="AB107" s="983">
        <v>0</v>
      </c>
      <c r="AC107" s="989">
        <f t="shared" si="154"/>
        <v>0</v>
      </c>
      <c r="AD107" s="989">
        <f t="shared" si="155"/>
        <v>0</v>
      </c>
      <c r="AE107" s="974">
        <f>(IFERROR(VLOOKUP($C107,List!$J:$L,2,0),0)*R107+IF(B107="piping",R107,0)+IF(C107="Welding Neck",1,0)*R107)*$AE$2</f>
        <v>0</v>
      </c>
      <c r="AF107" s="970">
        <f>IFERROR(VLOOKUP($C107,List!$J:$L,3,0),0)*R107*$AF$2</f>
        <v>0</v>
      </c>
      <c r="AG107" s="990">
        <f t="shared" si="156"/>
        <v>0</v>
      </c>
      <c r="AH107" s="1118" t="str">
        <f>IFERROR(VLOOKUP($D107,'Piping Class'!$88:$102,MATCH(AH$1,'Piping Class'!$88:$88,0),0),"")</f>
        <v/>
      </c>
      <c r="AI107" s="991" t="str">
        <f>IFERROR(VLOOKUP($D107,'Piping Class'!$88:$102,MATCH(AI$1,'Piping Class'!$88:$88,0),0),"")</f>
        <v/>
      </c>
      <c r="AJ107" s="991" t="str">
        <f>IFERROR(VLOOKUP($D107,'Piping Class'!$88:$102,MATCH(AJ$1,'Piping Class'!$88:$88,0),0),"")</f>
        <v/>
      </c>
      <c r="AK107" s="991" t="str">
        <f>IFERROR(VLOOKUP($D107,'Piping Class'!$88:$102,MATCH(AK$1,'Piping Class'!$88:$88,0),0),"")</f>
        <v/>
      </c>
      <c r="AL107" s="991">
        <f t="shared" si="182"/>
        <v>0</v>
      </c>
      <c r="AM107" s="1119" t="str">
        <f>IFERROR(VLOOKUP($D107,'Piping Class'!$88:$102,MATCH(AM$1,'Piping Class'!$88:$88,0),0),"")</f>
        <v/>
      </c>
      <c r="AN107" s="992">
        <f t="shared" si="157"/>
        <v>0</v>
      </c>
      <c r="AO107" s="993">
        <f>IFERROR(VLOOKUP(I107&amp;"B"&amp;F107,'Bolting Chart'!$1:$1048576,4,0),0)</f>
        <v>0</v>
      </c>
      <c r="AP107" s="993">
        <f t="shared" si="158"/>
        <v>0</v>
      </c>
      <c r="AQ107" s="993">
        <f t="shared" si="159"/>
        <v>0</v>
      </c>
      <c r="AR107" s="993">
        <f>IF(AO107=0,0,VLOOKUP(D107&amp;".bolting",'Piping Class'!$1:$1048576,MATCH(I107,'Piping Class'!$2:$2,0),0))</f>
        <v>0</v>
      </c>
      <c r="AS107" s="994">
        <f>IFERROR(VLOOKUP(I107&amp;"B"&amp;F107,'Bolting Chart'!$1:$1048576,IF(AS$2="UNC",5,6),0),0)</f>
        <v>0</v>
      </c>
      <c r="AT107" s="995">
        <f>IFERROR(VLOOKUP(I107&amp;"B"&amp;F107,'Bolting Chart'!$1:$1048576,IF(G107="RF",8,9),0),0)</f>
        <v>0</v>
      </c>
      <c r="AU107" s="993">
        <f>IF(AO107=0,0,VLOOKUP(D107&amp;".gasket",'Piping Class'!$1:$1048576,MATCH(I107,'Piping Class'!$2:$2,0),0))</f>
        <v>0</v>
      </c>
      <c r="AV107" s="996">
        <f>(IFERROR(INDEX('Bolting Chart'!$A$169:$R$251,MATCH(AT107,'Bolting Chart'!$A$170:$A$251,0),MATCH(IFERROR(VLOOKUP(I107&amp;"B"&amp;F107,'Bolting Chart'!$1:$1048576,7,0),0)+0,'Bolting Chart'!$A$169:$R$169,0)),0))/100</f>
        <v>0</v>
      </c>
      <c r="AW107" s="996">
        <f t="shared" si="160"/>
        <v>0</v>
      </c>
      <c r="AX107" s="1194">
        <f t="shared" si="161"/>
        <v>0</v>
      </c>
      <c r="AY107" s="981"/>
      <c r="AZ107" s="1543">
        <f t="shared" si="189"/>
        <v>0</v>
      </c>
      <c r="BA107" s="1543">
        <f t="shared" si="189"/>
        <v>0</v>
      </c>
      <c r="BB107" s="1543">
        <f t="shared" si="189"/>
        <v>0</v>
      </c>
      <c r="BC107" s="1543">
        <f t="shared" si="189"/>
        <v>0</v>
      </c>
      <c r="BD107" s="1543">
        <f t="shared" si="189"/>
        <v>0</v>
      </c>
      <c r="BE107" s="1543">
        <f t="shared" si="189"/>
        <v>0</v>
      </c>
      <c r="BF107" s="1543">
        <f t="shared" si="189"/>
        <v>0</v>
      </c>
      <c r="BG107" s="1543">
        <f t="shared" si="189"/>
        <v>0</v>
      </c>
      <c r="BH107" s="1543">
        <f t="shared" si="189"/>
        <v>0</v>
      </c>
      <c r="BI107" s="1543">
        <f t="shared" si="189"/>
        <v>0</v>
      </c>
      <c r="BJ107" s="1543">
        <f t="shared" si="189"/>
        <v>0</v>
      </c>
      <c r="BK107" s="1543">
        <f t="shared" si="189"/>
        <v>0</v>
      </c>
      <c r="BL107" s="1543">
        <f t="shared" si="189"/>
        <v>0</v>
      </c>
      <c r="BM107" s="1543">
        <f t="shared" si="189"/>
        <v>0</v>
      </c>
      <c r="BN107" s="1543">
        <f t="shared" si="189"/>
        <v>0</v>
      </c>
      <c r="BO107" s="1543">
        <f t="shared" si="189"/>
        <v>0</v>
      </c>
      <c r="BP107" s="1543">
        <f t="shared" si="178"/>
        <v>0</v>
      </c>
      <c r="BQ107" s="1543">
        <f t="shared" si="178"/>
        <v>0</v>
      </c>
      <c r="BR107" s="1543">
        <f t="shared" si="191"/>
        <v>0</v>
      </c>
      <c r="BS107" s="1543">
        <f t="shared" si="191"/>
        <v>0</v>
      </c>
      <c r="BT107" s="1543">
        <f t="shared" si="191"/>
        <v>0</v>
      </c>
      <c r="BU107" s="1543">
        <f t="shared" si="191"/>
        <v>0</v>
      </c>
      <c r="BV107" s="1543">
        <f t="shared" si="191"/>
        <v>0</v>
      </c>
      <c r="BW107" s="1543">
        <f t="shared" si="191"/>
        <v>0</v>
      </c>
      <c r="BX107" s="1543">
        <f t="shared" si="191"/>
        <v>0</v>
      </c>
      <c r="BY107" s="1543">
        <f t="shared" si="191"/>
        <v>0</v>
      </c>
      <c r="BZ107" s="1543">
        <f t="shared" si="191"/>
        <v>0</v>
      </c>
      <c r="CB107" s="1543">
        <f t="shared" si="190"/>
        <v>0</v>
      </c>
      <c r="CC107" s="1543">
        <f t="shared" si="190"/>
        <v>0</v>
      </c>
      <c r="CD107" s="1543">
        <f t="shared" si="190"/>
        <v>0</v>
      </c>
      <c r="CE107" s="1543">
        <f t="shared" si="190"/>
        <v>0</v>
      </c>
      <c r="CF107" s="1543">
        <f t="shared" si="190"/>
        <v>0</v>
      </c>
      <c r="CG107" s="1543">
        <f t="shared" si="190"/>
        <v>0</v>
      </c>
      <c r="CH107" s="1543">
        <f t="shared" si="190"/>
        <v>0</v>
      </c>
      <c r="CI107" s="1543">
        <f t="shared" si="190"/>
        <v>0</v>
      </c>
      <c r="CJ107" s="1543">
        <f t="shared" si="190"/>
        <v>0</v>
      </c>
      <c r="CK107" s="1543">
        <f t="shared" si="190"/>
        <v>0</v>
      </c>
      <c r="CL107" s="1543">
        <f t="shared" si="190"/>
        <v>0</v>
      </c>
      <c r="CM107" s="1543">
        <f t="shared" si="190"/>
        <v>0</v>
      </c>
      <c r="CN107" s="1543">
        <f t="shared" si="190"/>
        <v>0</v>
      </c>
      <c r="CO107" s="1543">
        <f t="shared" si="190"/>
        <v>0</v>
      </c>
      <c r="CP107" s="1543">
        <f t="shared" si="190"/>
        <v>0</v>
      </c>
      <c r="CQ107" s="1543">
        <f t="shared" si="190"/>
        <v>0</v>
      </c>
      <c r="CR107" s="1543">
        <f t="shared" si="179"/>
        <v>0</v>
      </c>
      <c r="CS107" s="1543">
        <f t="shared" si="179"/>
        <v>0</v>
      </c>
      <c r="CT107" s="1543">
        <f t="shared" si="183"/>
        <v>0</v>
      </c>
      <c r="CU107" s="1543">
        <f t="shared" si="183"/>
        <v>0</v>
      </c>
      <c r="CV107" s="1543">
        <f t="shared" si="183"/>
        <v>0</v>
      </c>
      <c r="CW107" s="1543">
        <f t="shared" si="183"/>
        <v>0</v>
      </c>
      <c r="CX107" s="1543">
        <f t="shared" si="183"/>
        <v>0</v>
      </c>
      <c r="CY107" s="1543">
        <f t="shared" si="183"/>
        <v>0</v>
      </c>
      <c r="CZ107" s="1543">
        <f t="shared" si="183"/>
        <v>0</v>
      </c>
      <c r="DA107" s="1543">
        <f t="shared" si="183"/>
        <v>0</v>
      </c>
      <c r="DB107" s="1543">
        <f t="shared" si="183"/>
        <v>0</v>
      </c>
      <c r="DD107" s="1543">
        <f t="shared" si="194"/>
        <v>0</v>
      </c>
      <c r="DE107" s="1543">
        <f t="shared" si="195"/>
        <v>0</v>
      </c>
      <c r="DF107" s="1543">
        <f t="shared" si="196"/>
        <v>0</v>
      </c>
      <c r="DG107" s="1543">
        <f t="shared" si="162"/>
        <v>0</v>
      </c>
      <c r="DI107" s="1543">
        <f t="shared" si="163"/>
        <v>0</v>
      </c>
      <c r="DJ107" s="1543">
        <f t="shared" si="185"/>
        <v>0</v>
      </c>
      <c r="DK107" s="1543">
        <f t="shared" si="185"/>
        <v>0</v>
      </c>
      <c r="DL107" s="1543">
        <f t="shared" si="185"/>
        <v>0</v>
      </c>
      <c r="DM107" s="1543">
        <f t="shared" si="185"/>
        <v>0</v>
      </c>
      <c r="DO107" s="1543">
        <f t="shared" si="188"/>
        <v>0</v>
      </c>
      <c r="DP107" s="1543">
        <f t="shared" si="188"/>
        <v>0</v>
      </c>
      <c r="DQ107" s="1543">
        <f t="shared" si="188"/>
        <v>0</v>
      </c>
      <c r="DR107" s="1543">
        <f t="shared" ref="DO107:ED122" si="200">IF($L107=DR$2,1,0)</f>
        <v>0</v>
      </c>
      <c r="DS107" s="1543">
        <f t="shared" si="200"/>
        <v>0</v>
      </c>
      <c r="DT107" s="1543">
        <f t="shared" si="200"/>
        <v>0</v>
      </c>
      <c r="DU107" s="1543">
        <f t="shared" si="200"/>
        <v>0</v>
      </c>
      <c r="DV107" s="1543">
        <f t="shared" si="200"/>
        <v>0</v>
      </c>
      <c r="DW107" s="1543">
        <f t="shared" si="200"/>
        <v>0</v>
      </c>
      <c r="DX107" s="1543">
        <f t="shared" si="200"/>
        <v>0</v>
      </c>
      <c r="DY107" s="1543">
        <f t="shared" si="200"/>
        <v>0</v>
      </c>
      <c r="DZ107" s="1543">
        <f t="shared" si="200"/>
        <v>0</v>
      </c>
      <c r="EA107" s="1543">
        <f t="shared" si="200"/>
        <v>0</v>
      </c>
      <c r="EB107" s="1543">
        <f t="shared" si="180"/>
        <v>0</v>
      </c>
      <c r="EC107" s="1543">
        <f t="shared" si="180"/>
        <v>0</v>
      </c>
      <c r="ED107" s="1543">
        <f t="shared" si="180"/>
        <v>0</v>
      </c>
      <c r="EE107" s="1543">
        <f t="shared" si="180"/>
        <v>0</v>
      </c>
      <c r="EF107" s="1543">
        <f t="shared" si="180"/>
        <v>0</v>
      </c>
      <c r="EH107" s="1543">
        <f t="shared" si="165"/>
        <v>0</v>
      </c>
      <c r="EI107" s="1543">
        <f t="shared" si="166"/>
        <v>0</v>
      </c>
      <c r="EJ107" s="1543">
        <f t="shared" si="167"/>
        <v>0</v>
      </c>
      <c r="EK107" s="1543">
        <f t="shared" si="168"/>
        <v>0</v>
      </c>
      <c r="EL107" s="1543">
        <f t="shared" si="169"/>
        <v>0</v>
      </c>
      <c r="EM107" s="1543">
        <f t="shared" si="170"/>
        <v>0</v>
      </c>
      <c r="EN107" s="1543">
        <f t="shared" si="171"/>
        <v>0</v>
      </c>
      <c r="EP107" s="1543">
        <f t="shared" si="197"/>
        <v>0</v>
      </c>
      <c r="EQ107" s="1543">
        <f t="shared" si="197"/>
        <v>0</v>
      </c>
      <c r="ER107" s="1543">
        <f t="shared" si="197"/>
        <v>0</v>
      </c>
      <c r="ES107" s="1543">
        <f t="shared" si="192"/>
        <v>0</v>
      </c>
      <c r="ET107" s="1543">
        <f t="shared" si="193"/>
        <v>0</v>
      </c>
      <c r="EU107" s="1543">
        <f t="shared" si="193"/>
        <v>0</v>
      </c>
      <c r="EV107" s="1543">
        <f t="shared" si="193"/>
        <v>0</v>
      </c>
      <c r="EW107" s="1543">
        <f t="shared" si="193"/>
        <v>0</v>
      </c>
      <c r="EX107" s="1543">
        <f t="shared" si="193"/>
        <v>0</v>
      </c>
      <c r="EY107" s="1543">
        <f t="shared" si="193"/>
        <v>0</v>
      </c>
      <c r="EZ107" s="1543">
        <f t="shared" si="193"/>
        <v>0</v>
      </c>
      <c r="FA107" s="1543">
        <f t="shared" si="193"/>
        <v>0</v>
      </c>
      <c r="FB107" s="1543">
        <f t="shared" si="193"/>
        <v>0</v>
      </c>
      <c r="FC107" s="1543">
        <f t="shared" si="193"/>
        <v>0</v>
      </c>
      <c r="FD107" s="1543">
        <f t="shared" si="193"/>
        <v>0</v>
      </c>
      <c r="FE107" s="1543">
        <f t="shared" si="184"/>
        <v>0</v>
      </c>
      <c r="FF107" s="1543">
        <f t="shared" si="172"/>
        <v>1</v>
      </c>
      <c r="FH107" s="1543">
        <f t="shared" si="198"/>
        <v>0</v>
      </c>
      <c r="FI107" s="1543">
        <f t="shared" si="198"/>
        <v>0</v>
      </c>
      <c r="FJ107" s="1543">
        <f t="shared" si="198"/>
        <v>0</v>
      </c>
      <c r="FK107" s="1543">
        <f t="shared" si="198"/>
        <v>0</v>
      </c>
      <c r="FL107" s="1543">
        <f t="shared" si="198"/>
        <v>0</v>
      </c>
      <c r="FM107" s="1543">
        <f t="shared" si="198"/>
        <v>0</v>
      </c>
      <c r="FN107" s="1543">
        <f t="shared" si="198"/>
        <v>0</v>
      </c>
      <c r="FO107" s="1543">
        <f t="shared" si="198"/>
        <v>0</v>
      </c>
      <c r="FP107" s="1543">
        <f t="shared" si="198"/>
        <v>0</v>
      </c>
      <c r="FQ107" s="1543">
        <f t="shared" si="198"/>
        <v>0</v>
      </c>
      <c r="FR107" s="1543">
        <f t="shared" si="198"/>
        <v>0</v>
      </c>
      <c r="FS107" s="1543">
        <f t="shared" si="198"/>
        <v>0</v>
      </c>
      <c r="FT107" s="1543">
        <f t="shared" si="174"/>
        <v>0</v>
      </c>
      <c r="FV107" s="1543">
        <f t="shared" si="199"/>
        <v>1</v>
      </c>
      <c r="FW107" s="1543">
        <f t="shared" si="199"/>
        <v>0</v>
      </c>
      <c r="FX107" s="1543">
        <f t="shared" si="199"/>
        <v>0</v>
      </c>
      <c r="FY107" s="1543">
        <f t="shared" si="199"/>
        <v>0</v>
      </c>
      <c r="FZ107" s="1543">
        <f t="shared" si="199"/>
        <v>0</v>
      </c>
      <c r="GA107" s="1543">
        <f t="shared" si="199"/>
        <v>0</v>
      </c>
      <c r="GB107" s="1543">
        <f t="shared" si="199"/>
        <v>0</v>
      </c>
      <c r="GC107" s="1543">
        <f t="shared" si="199"/>
        <v>0</v>
      </c>
      <c r="GD107" s="1543">
        <f t="shared" si="199"/>
        <v>0</v>
      </c>
    </row>
    <row r="108" spans="1:186" s="982" customFormat="1" ht="15.6" x14ac:dyDescent="0.3">
      <c r="A108" s="974">
        <v>106</v>
      </c>
      <c r="B108" s="983"/>
      <c r="C108" s="984"/>
      <c r="D108" s="983"/>
      <c r="E108" s="968" t="str">
        <f>IFERROR(VLOOKUP($D108&amp;"."&amp;B108,'Piping Class'!$1:$1048576,MATCH($I108,'Piping Class'!$2:$2,0),0),"")</f>
        <v/>
      </c>
      <c r="F108" s="985" t="str">
        <f>IFERROR(IF(B108="Flange",VLOOKUP($D108,'Piping Class'!$88:$102,MATCH(F$1,'Piping Class'!$88:$88,0),0),""),"")</f>
        <v/>
      </c>
      <c r="G108" s="968" t="str">
        <f>IFERROR(IF(B108="Flange",VLOOKUP($D108,'Piping Class'!$88:$102,MATCH(G$1,'Piping Class'!$88:$88,0),0),""),"")</f>
        <v/>
      </c>
      <c r="H108" s="968" t="str">
        <f>IFERROR(VLOOKUP($D108,'Piping Class'!$88:$102,MATCH(H$1,'Piping Class'!$88:$88,0),0),"")</f>
        <v/>
      </c>
      <c r="I108" s="986"/>
      <c r="J108" s="987"/>
      <c r="K108" s="968" t="str">
        <f>IFERROR(VLOOKUP(I108,'Thickness Tab'!$1:$1048576,MATCH(L108,'Thickness Tab'!$1:$1,0),0),"")</f>
        <v/>
      </c>
      <c r="L108" s="969" t="str">
        <f>IFERROR(VLOOKUP($D108,'Piping Class'!$1:$1048576,MATCH($I108,'Piping Class'!$2:$2,0),0),"")</f>
        <v/>
      </c>
      <c r="M108" s="968" t="str">
        <f>IFERROR(VLOOKUP(J108,'Thickness Tab'!$1:$1048576,MATCH(N108,'Thickness Tab'!$1:$1,0),0),"")</f>
        <v/>
      </c>
      <c r="N108" s="969" t="str">
        <f>IFERROR(VLOOKUP($D108,'Piping Class'!$1:$1048576,MATCH($J108,'Piping Class'!$2:$2,0),0),"")</f>
        <v/>
      </c>
      <c r="O108" s="968" t="str">
        <f>IFERROR(VLOOKUP($D108,'Piping Class'!$88:$102,MATCH(O$1,'Piping Class'!$88:$88,0),0),"")</f>
        <v/>
      </c>
      <c r="P108" s="968" t="str">
        <f>IFERROR(VLOOKUP($D108,'Piping Class'!$88:$102,MATCH(P$1,'Piping Class'!$88:$88,0),0),"")</f>
        <v/>
      </c>
      <c r="Q108" s="983"/>
      <c r="R108" s="988"/>
      <c r="S108" s="969" t="str">
        <f t="shared" si="150"/>
        <v/>
      </c>
      <c r="T108" s="968">
        <f>IFERROR(VLOOKUP(I108&amp;"."&amp;L108,'Fitting Chart'!$1:$1048576,MATCH(C108,'Fitting Chart'!$1:$1,0),0),0)+IF(B108="piping",PI()*K108*(VLOOKUP(I108,'Thickness Tab'!$1:$1048576,3,0)-K108)*7.86/1000,0)+IF(B108="Flange",VLOOKUP(I108&amp;"F"&amp;F108,'Flanges Chart'!$1:$1048576,MATCH(C108&amp;"."&amp;T$1,'Flanges Chart'!$1:$1,0),0),0)</f>
        <v>0</v>
      </c>
      <c r="U108" s="989">
        <f t="shared" si="151"/>
        <v>0</v>
      </c>
      <c r="V108" s="1003"/>
      <c r="W108" s="1001">
        <f t="shared" si="152"/>
        <v>0</v>
      </c>
      <c r="X108" s="997"/>
      <c r="Y108" s="983"/>
      <c r="Z108" s="989">
        <f>IF(B108="Piping",VLOOKUP(I108,'Thickness Tab'!$1:$1048576,3,0)/1000*PI(),0)+IFERROR(VLOOKUP(I108&amp;"F"&amp;F108,'Flanges Chart'!$1:$1048576,MATCH(C108&amp;".Unit Surface",'Flanges Chart'!$1:$1,0),0),0)+IF(B108="Fitting",VLOOKUP(I108,'Thickness Tab'!$1:$1048576,3,0)/1000*PI(),0)</f>
        <v>0</v>
      </c>
      <c r="AA108" s="989">
        <f t="shared" si="153"/>
        <v>0</v>
      </c>
      <c r="AB108" s="983">
        <v>0</v>
      </c>
      <c r="AC108" s="989">
        <f t="shared" si="154"/>
        <v>0</v>
      </c>
      <c r="AD108" s="989">
        <f t="shared" si="155"/>
        <v>0</v>
      </c>
      <c r="AE108" s="974">
        <f>(IFERROR(VLOOKUP($C108,List!$J:$L,2,0),0)*R108+IF(B108="piping",R108,0)+IF(C108="Welding Neck",1,0)*R108)*$AE$2</f>
        <v>0</v>
      </c>
      <c r="AF108" s="970">
        <f>IFERROR(VLOOKUP($C108,List!$J:$L,3,0),0)*R108*$AF$2</f>
        <v>0</v>
      </c>
      <c r="AG108" s="990">
        <f t="shared" si="156"/>
        <v>0</v>
      </c>
      <c r="AH108" s="1118" t="str">
        <f>IFERROR(VLOOKUP($D108,'Piping Class'!$88:$102,MATCH(AH$1,'Piping Class'!$88:$88,0),0),"")</f>
        <v/>
      </c>
      <c r="AI108" s="991" t="str">
        <f>IFERROR(VLOOKUP($D108,'Piping Class'!$88:$102,MATCH(AI$1,'Piping Class'!$88:$88,0),0),"")</f>
        <v/>
      </c>
      <c r="AJ108" s="991" t="str">
        <f>IFERROR(VLOOKUP($D108,'Piping Class'!$88:$102,MATCH(AJ$1,'Piping Class'!$88:$88,0),0),"")</f>
        <v/>
      </c>
      <c r="AK108" s="991" t="str">
        <f>IFERROR(VLOOKUP($D108,'Piping Class'!$88:$102,MATCH(AK$1,'Piping Class'!$88:$88,0),0),"")</f>
        <v/>
      </c>
      <c r="AL108" s="991">
        <f t="shared" si="182"/>
        <v>0</v>
      </c>
      <c r="AM108" s="1119" t="str">
        <f>IFERROR(VLOOKUP($D108,'Piping Class'!$88:$102,MATCH(AM$1,'Piping Class'!$88:$88,0),0),"")</f>
        <v/>
      </c>
      <c r="AN108" s="992">
        <f t="shared" si="157"/>
        <v>0</v>
      </c>
      <c r="AO108" s="993">
        <f>IFERROR(VLOOKUP(I108&amp;"B"&amp;F108,'Bolting Chart'!$1:$1048576,4,0),0)</f>
        <v>0</v>
      </c>
      <c r="AP108" s="993">
        <f t="shared" si="158"/>
        <v>0</v>
      </c>
      <c r="AQ108" s="993">
        <f t="shared" si="159"/>
        <v>0</v>
      </c>
      <c r="AR108" s="993">
        <f>IF(AO108=0,0,VLOOKUP(D108&amp;".bolting",'Piping Class'!$1:$1048576,MATCH(I108,'Piping Class'!$2:$2,0),0))</f>
        <v>0</v>
      </c>
      <c r="AS108" s="994">
        <f>IFERROR(VLOOKUP(I108&amp;"B"&amp;F108,'Bolting Chart'!$1:$1048576,IF(AS$2="UNC",5,6),0),0)</f>
        <v>0</v>
      </c>
      <c r="AT108" s="995">
        <f>IFERROR(VLOOKUP(I108&amp;"B"&amp;F108,'Bolting Chart'!$1:$1048576,IF(G108="RF",8,9),0),0)</f>
        <v>0</v>
      </c>
      <c r="AU108" s="993">
        <f>IF(AO108=0,0,VLOOKUP(D108&amp;".gasket",'Piping Class'!$1:$1048576,MATCH(I108,'Piping Class'!$2:$2,0),0))</f>
        <v>0</v>
      </c>
      <c r="AV108" s="996">
        <f>(IFERROR(INDEX('Bolting Chart'!$A$169:$R$251,MATCH(AT108,'Bolting Chart'!$A$170:$A$251,0),MATCH(IFERROR(VLOOKUP(I108&amp;"B"&amp;F108,'Bolting Chart'!$1:$1048576,7,0),0)+0,'Bolting Chart'!$A$169:$R$169,0)),0))/100</f>
        <v>0</v>
      </c>
      <c r="AW108" s="996">
        <f t="shared" si="160"/>
        <v>0</v>
      </c>
      <c r="AX108" s="1194">
        <f t="shared" si="161"/>
        <v>0</v>
      </c>
      <c r="AY108" s="981"/>
      <c r="AZ108" s="1543">
        <f t="shared" si="189"/>
        <v>0</v>
      </c>
      <c r="BA108" s="1543">
        <f t="shared" si="189"/>
        <v>0</v>
      </c>
      <c r="BB108" s="1543">
        <f t="shared" si="189"/>
        <v>0</v>
      </c>
      <c r="BC108" s="1543">
        <f t="shared" si="189"/>
        <v>0</v>
      </c>
      <c r="BD108" s="1543">
        <f t="shared" si="189"/>
        <v>0</v>
      </c>
      <c r="BE108" s="1543">
        <f t="shared" si="189"/>
        <v>0</v>
      </c>
      <c r="BF108" s="1543">
        <f t="shared" si="189"/>
        <v>0</v>
      </c>
      <c r="BG108" s="1543">
        <f t="shared" si="189"/>
        <v>0</v>
      </c>
      <c r="BH108" s="1543">
        <f t="shared" si="189"/>
        <v>0</v>
      </c>
      <c r="BI108" s="1543">
        <f t="shared" si="189"/>
        <v>0</v>
      </c>
      <c r="BJ108" s="1543">
        <f t="shared" si="189"/>
        <v>0</v>
      </c>
      <c r="BK108" s="1543">
        <f t="shared" si="189"/>
        <v>0</v>
      </c>
      <c r="BL108" s="1543">
        <f t="shared" si="189"/>
        <v>0</v>
      </c>
      <c r="BM108" s="1543">
        <f t="shared" ref="AZ108:BO123" si="201">IF($I108=BM$2,1,0)</f>
        <v>0</v>
      </c>
      <c r="BN108" s="1543">
        <f t="shared" si="201"/>
        <v>0</v>
      </c>
      <c r="BO108" s="1543">
        <f t="shared" si="201"/>
        <v>0</v>
      </c>
      <c r="BP108" s="1543">
        <f t="shared" si="178"/>
        <v>0</v>
      </c>
      <c r="BQ108" s="1543">
        <f t="shared" si="178"/>
        <v>0</v>
      </c>
      <c r="BR108" s="1543">
        <f t="shared" si="191"/>
        <v>0</v>
      </c>
      <c r="BS108" s="1543">
        <f t="shared" si="191"/>
        <v>0</v>
      </c>
      <c r="BT108" s="1543">
        <f t="shared" si="191"/>
        <v>0</v>
      </c>
      <c r="BU108" s="1543">
        <f t="shared" si="191"/>
        <v>0</v>
      </c>
      <c r="BV108" s="1543">
        <f t="shared" si="191"/>
        <v>0</v>
      </c>
      <c r="BW108" s="1543">
        <f t="shared" si="191"/>
        <v>0</v>
      </c>
      <c r="BX108" s="1543">
        <f t="shared" si="191"/>
        <v>0</v>
      </c>
      <c r="BY108" s="1543">
        <f t="shared" si="191"/>
        <v>0</v>
      </c>
      <c r="BZ108" s="1543">
        <f t="shared" si="191"/>
        <v>0</v>
      </c>
      <c r="CB108" s="1543">
        <f t="shared" si="190"/>
        <v>0</v>
      </c>
      <c r="CC108" s="1543">
        <f t="shared" si="190"/>
        <v>0</v>
      </c>
      <c r="CD108" s="1543">
        <f t="shared" si="190"/>
        <v>0</v>
      </c>
      <c r="CE108" s="1543">
        <f t="shared" si="190"/>
        <v>0</v>
      </c>
      <c r="CF108" s="1543">
        <f t="shared" si="190"/>
        <v>0</v>
      </c>
      <c r="CG108" s="1543">
        <f t="shared" si="190"/>
        <v>0</v>
      </c>
      <c r="CH108" s="1543">
        <f t="shared" si="190"/>
        <v>0</v>
      </c>
      <c r="CI108" s="1543">
        <f t="shared" si="190"/>
        <v>0</v>
      </c>
      <c r="CJ108" s="1543">
        <f t="shared" si="190"/>
        <v>0</v>
      </c>
      <c r="CK108" s="1543">
        <f t="shared" si="190"/>
        <v>0</v>
      </c>
      <c r="CL108" s="1543">
        <f t="shared" si="190"/>
        <v>0</v>
      </c>
      <c r="CM108" s="1543">
        <f t="shared" si="190"/>
        <v>0</v>
      </c>
      <c r="CN108" s="1543">
        <f t="shared" si="190"/>
        <v>0</v>
      </c>
      <c r="CO108" s="1543">
        <f t="shared" ref="CB108:CQ123" si="202">IF($J108=CO$2,1,0)</f>
        <v>0</v>
      </c>
      <c r="CP108" s="1543">
        <f t="shared" si="202"/>
        <v>0</v>
      </c>
      <c r="CQ108" s="1543">
        <f t="shared" si="202"/>
        <v>0</v>
      </c>
      <c r="CR108" s="1543">
        <f t="shared" si="179"/>
        <v>0</v>
      </c>
      <c r="CS108" s="1543">
        <f t="shared" si="179"/>
        <v>0</v>
      </c>
      <c r="CT108" s="1543">
        <f t="shared" si="183"/>
        <v>0</v>
      </c>
      <c r="CU108" s="1543">
        <f t="shared" si="183"/>
        <v>0</v>
      </c>
      <c r="CV108" s="1543">
        <f t="shared" si="183"/>
        <v>0</v>
      </c>
      <c r="CW108" s="1543">
        <f t="shared" si="183"/>
        <v>0</v>
      </c>
      <c r="CX108" s="1543">
        <f t="shared" si="183"/>
        <v>0</v>
      </c>
      <c r="CY108" s="1543">
        <f t="shared" si="183"/>
        <v>0</v>
      </c>
      <c r="CZ108" s="1543">
        <f t="shared" si="183"/>
        <v>0</v>
      </c>
      <c r="DA108" s="1543">
        <f t="shared" si="183"/>
        <v>0</v>
      </c>
      <c r="DB108" s="1543">
        <f t="shared" si="183"/>
        <v>0</v>
      </c>
      <c r="DD108" s="1543">
        <f t="shared" si="194"/>
        <v>0</v>
      </c>
      <c r="DE108" s="1543">
        <f t="shared" si="195"/>
        <v>0</v>
      </c>
      <c r="DF108" s="1543">
        <f t="shared" si="196"/>
        <v>0</v>
      </c>
      <c r="DG108" s="1543">
        <f t="shared" si="162"/>
        <v>0</v>
      </c>
      <c r="DI108" s="1543">
        <f t="shared" si="163"/>
        <v>0</v>
      </c>
      <c r="DJ108" s="1543">
        <f t="shared" si="185"/>
        <v>0</v>
      </c>
      <c r="DK108" s="1543">
        <f t="shared" si="185"/>
        <v>0</v>
      </c>
      <c r="DL108" s="1543">
        <f t="shared" si="185"/>
        <v>0</v>
      </c>
      <c r="DM108" s="1543">
        <f t="shared" si="185"/>
        <v>0</v>
      </c>
      <c r="DO108" s="1543">
        <f t="shared" si="200"/>
        <v>0</v>
      </c>
      <c r="DP108" s="1543">
        <f t="shared" si="200"/>
        <v>0</v>
      </c>
      <c r="DQ108" s="1543">
        <f t="shared" si="200"/>
        <v>0</v>
      </c>
      <c r="DR108" s="1543">
        <f t="shared" si="200"/>
        <v>0</v>
      </c>
      <c r="DS108" s="1543">
        <f t="shared" si="200"/>
        <v>0</v>
      </c>
      <c r="DT108" s="1543">
        <f t="shared" si="200"/>
        <v>0</v>
      </c>
      <c r="DU108" s="1543">
        <f t="shared" si="200"/>
        <v>0</v>
      </c>
      <c r="DV108" s="1543">
        <f t="shared" si="200"/>
        <v>0</v>
      </c>
      <c r="DW108" s="1543">
        <f t="shared" si="200"/>
        <v>0</v>
      </c>
      <c r="DX108" s="1543">
        <f t="shared" si="200"/>
        <v>0</v>
      </c>
      <c r="DY108" s="1543">
        <f t="shared" si="200"/>
        <v>0</v>
      </c>
      <c r="DZ108" s="1543">
        <f t="shared" si="200"/>
        <v>0</v>
      </c>
      <c r="EA108" s="1543">
        <f t="shared" si="200"/>
        <v>0</v>
      </c>
      <c r="EB108" s="1543">
        <f t="shared" si="180"/>
        <v>0</v>
      </c>
      <c r="EC108" s="1543">
        <f t="shared" si="180"/>
        <v>0</v>
      </c>
      <c r="ED108" s="1543">
        <f t="shared" si="180"/>
        <v>0</v>
      </c>
      <c r="EE108" s="1543">
        <f t="shared" si="180"/>
        <v>0</v>
      </c>
      <c r="EF108" s="1543">
        <f t="shared" si="180"/>
        <v>0</v>
      </c>
      <c r="EH108" s="1543">
        <f t="shared" si="165"/>
        <v>0</v>
      </c>
      <c r="EI108" s="1543">
        <f t="shared" si="166"/>
        <v>0</v>
      </c>
      <c r="EJ108" s="1543">
        <f t="shared" si="167"/>
        <v>0</v>
      </c>
      <c r="EK108" s="1543">
        <f t="shared" si="168"/>
        <v>0</v>
      </c>
      <c r="EL108" s="1543">
        <f t="shared" si="169"/>
        <v>0</v>
      </c>
      <c r="EM108" s="1543">
        <f t="shared" si="170"/>
        <v>0</v>
      </c>
      <c r="EN108" s="1543">
        <f t="shared" si="171"/>
        <v>0</v>
      </c>
      <c r="EP108" s="1543">
        <f t="shared" si="197"/>
        <v>0</v>
      </c>
      <c r="EQ108" s="1543">
        <f t="shared" si="197"/>
        <v>0</v>
      </c>
      <c r="ER108" s="1543">
        <f t="shared" si="197"/>
        <v>0</v>
      </c>
      <c r="ES108" s="1543">
        <f t="shared" si="192"/>
        <v>0</v>
      </c>
      <c r="ET108" s="1543">
        <f t="shared" si="193"/>
        <v>0</v>
      </c>
      <c r="EU108" s="1543">
        <f t="shared" si="193"/>
        <v>0</v>
      </c>
      <c r="EV108" s="1543">
        <f t="shared" si="193"/>
        <v>0</v>
      </c>
      <c r="EW108" s="1543">
        <f t="shared" si="193"/>
        <v>0</v>
      </c>
      <c r="EX108" s="1543">
        <f t="shared" si="193"/>
        <v>0</v>
      </c>
      <c r="EY108" s="1543">
        <f t="shared" si="193"/>
        <v>0</v>
      </c>
      <c r="EZ108" s="1543">
        <f t="shared" si="193"/>
        <v>0</v>
      </c>
      <c r="FA108" s="1543">
        <f t="shared" si="193"/>
        <v>0</v>
      </c>
      <c r="FB108" s="1543">
        <f t="shared" si="193"/>
        <v>0</v>
      </c>
      <c r="FC108" s="1543">
        <f t="shared" si="193"/>
        <v>0</v>
      </c>
      <c r="FD108" s="1543">
        <f t="shared" si="193"/>
        <v>0</v>
      </c>
      <c r="FE108" s="1543">
        <f t="shared" si="184"/>
        <v>0</v>
      </c>
      <c r="FF108" s="1543">
        <f t="shared" si="172"/>
        <v>1</v>
      </c>
      <c r="FH108" s="1543">
        <f t="shared" si="198"/>
        <v>0</v>
      </c>
      <c r="FI108" s="1543">
        <f t="shared" si="198"/>
        <v>0</v>
      </c>
      <c r="FJ108" s="1543">
        <f t="shared" si="198"/>
        <v>0</v>
      </c>
      <c r="FK108" s="1543">
        <f t="shared" si="198"/>
        <v>0</v>
      </c>
      <c r="FL108" s="1543">
        <f t="shared" si="198"/>
        <v>0</v>
      </c>
      <c r="FM108" s="1543">
        <f t="shared" si="198"/>
        <v>0</v>
      </c>
      <c r="FN108" s="1543">
        <f t="shared" si="198"/>
        <v>0</v>
      </c>
      <c r="FO108" s="1543">
        <f t="shared" si="198"/>
        <v>0</v>
      </c>
      <c r="FP108" s="1543">
        <f t="shared" si="198"/>
        <v>0</v>
      </c>
      <c r="FQ108" s="1543">
        <f t="shared" si="198"/>
        <v>0</v>
      </c>
      <c r="FR108" s="1543">
        <f t="shared" si="198"/>
        <v>0</v>
      </c>
      <c r="FS108" s="1543">
        <f t="shared" si="198"/>
        <v>0</v>
      </c>
      <c r="FT108" s="1543">
        <f t="shared" si="174"/>
        <v>0</v>
      </c>
      <c r="FV108" s="1543">
        <f t="shared" si="199"/>
        <v>1</v>
      </c>
      <c r="FW108" s="1543">
        <f t="shared" si="199"/>
        <v>0</v>
      </c>
      <c r="FX108" s="1543">
        <f t="shared" si="199"/>
        <v>0</v>
      </c>
      <c r="FY108" s="1543">
        <f t="shared" si="199"/>
        <v>0</v>
      </c>
      <c r="FZ108" s="1543">
        <f t="shared" si="199"/>
        <v>0</v>
      </c>
      <c r="GA108" s="1543">
        <f t="shared" si="199"/>
        <v>0</v>
      </c>
      <c r="GB108" s="1543">
        <f t="shared" si="199"/>
        <v>0</v>
      </c>
      <c r="GC108" s="1543">
        <f t="shared" si="199"/>
        <v>0</v>
      </c>
      <c r="GD108" s="1543">
        <f t="shared" si="199"/>
        <v>0</v>
      </c>
    </row>
    <row r="109" spans="1:186" s="982" customFormat="1" ht="15.6" x14ac:dyDescent="0.3">
      <c r="A109" s="974">
        <v>107</v>
      </c>
      <c r="B109" s="983"/>
      <c r="C109" s="984"/>
      <c r="D109" s="983"/>
      <c r="E109" s="968" t="str">
        <f>IFERROR(VLOOKUP($D109&amp;"."&amp;B109,'Piping Class'!$1:$1048576,MATCH($I109,'Piping Class'!$2:$2,0),0),"")</f>
        <v/>
      </c>
      <c r="F109" s="985" t="str">
        <f>IFERROR(IF(B109="Flange",VLOOKUP($D109,'Piping Class'!$88:$102,MATCH(F$1,'Piping Class'!$88:$88,0),0),""),"")</f>
        <v/>
      </c>
      <c r="G109" s="968" t="str">
        <f>IFERROR(IF(B109="Flange",VLOOKUP($D109,'Piping Class'!$88:$102,MATCH(G$1,'Piping Class'!$88:$88,0),0),""),"")</f>
        <v/>
      </c>
      <c r="H109" s="968" t="str">
        <f>IFERROR(VLOOKUP($D109,'Piping Class'!$88:$102,MATCH(H$1,'Piping Class'!$88:$88,0),0),"")</f>
        <v/>
      </c>
      <c r="I109" s="986"/>
      <c r="J109" s="987"/>
      <c r="K109" s="968" t="str">
        <f>IFERROR(VLOOKUP(I109,'Thickness Tab'!$1:$1048576,MATCH(L109,'Thickness Tab'!$1:$1,0),0),"")</f>
        <v/>
      </c>
      <c r="L109" s="969" t="str">
        <f>IFERROR(VLOOKUP($D109,'Piping Class'!$1:$1048576,MATCH($I109,'Piping Class'!$2:$2,0),0),"")</f>
        <v/>
      </c>
      <c r="M109" s="968" t="str">
        <f>IFERROR(VLOOKUP(J109,'Thickness Tab'!$1:$1048576,MATCH(N109,'Thickness Tab'!$1:$1,0),0),"")</f>
        <v/>
      </c>
      <c r="N109" s="969" t="str">
        <f>IFERROR(VLOOKUP($D109,'Piping Class'!$1:$1048576,MATCH($J109,'Piping Class'!$2:$2,0),0),"")</f>
        <v/>
      </c>
      <c r="O109" s="968" t="str">
        <f>IFERROR(VLOOKUP($D109,'Piping Class'!$88:$102,MATCH(O$1,'Piping Class'!$88:$88,0),0),"")</f>
        <v/>
      </c>
      <c r="P109" s="968" t="str">
        <f>IFERROR(VLOOKUP($D109,'Piping Class'!$88:$102,MATCH(P$1,'Piping Class'!$88:$88,0),0),"")</f>
        <v/>
      </c>
      <c r="Q109" s="983"/>
      <c r="R109" s="988"/>
      <c r="S109" s="969" t="str">
        <f t="shared" si="150"/>
        <v/>
      </c>
      <c r="T109" s="968">
        <f>IFERROR(VLOOKUP(I109&amp;"."&amp;L109,'Fitting Chart'!$1:$1048576,MATCH(C109,'Fitting Chart'!$1:$1,0),0),0)+IF(B109="piping",PI()*K109*(VLOOKUP(I109,'Thickness Tab'!$1:$1048576,3,0)-K109)*7.86/1000,0)+IF(B109="Flange",VLOOKUP(I109&amp;"F"&amp;F109,'Flanges Chart'!$1:$1048576,MATCH(C109&amp;"."&amp;T$1,'Flanges Chart'!$1:$1,0),0),0)</f>
        <v>0</v>
      </c>
      <c r="U109" s="989">
        <f t="shared" si="151"/>
        <v>0</v>
      </c>
      <c r="V109" s="1003"/>
      <c r="W109" s="1001">
        <f t="shared" si="152"/>
        <v>0</v>
      </c>
      <c r="X109" s="997"/>
      <c r="Y109" s="983"/>
      <c r="Z109" s="989">
        <f>IF(B109="Piping",VLOOKUP(I109,'Thickness Tab'!$1:$1048576,3,0)/1000*PI(),0)+IFERROR(VLOOKUP(I109&amp;"F"&amp;F109,'Flanges Chart'!$1:$1048576,MATCH(C109&amp;".Unit Surface",'Flanges Chart'!$1:$1,0),0),0)+IF(B109="Fitting",VLOOKUP(I109,'Thickness Tab'!$1:$1048576,3,0)/1000*PI(),0)</f>
        <v>0</v>
      </c>
      <c r="AA109" s="989">
        <f t="shared" si="153"/>
        <v>0</v>
      </c>
      <c r="AB109" s="983">
        <v>0</v>
      </c>
      <c r="AC109" s="989">
        <f t="shared" si="154"/>
        <v>0</v>
      </c>
      <c r="AD109" s="989">
        <f t="shared" si="155"/>
        <v>0</v>
      </c>
      <c r="AE109" s="974">
        <f>(IFERROR(VLOOKUP($C109,List!$J:$L,2,0),0)*R109+IF(B109="piping",R109,0)+IF(C109="Welding Neck",1,0)*R109)*$AE$2</f>
        <v>0</v>
      </c>
      <c r="AF109" s="970">
        <f>IFERROR(VLOOKUP($C109,List!$J:$L,3,0),0)*R109*$AF$2</f>
        <v>0</v>
      </c>
      <c r="AG109" s="990">
        <f t="shared" si="156"/>
        <v>0</v>
      </c>
      <c r="AH109" s="1118" t="str">
        <f>IFERROR(VLOOKUP($D109,'Piping Class'!$88:$102,MATCH(AH$1,'Piping Class'!$88:$88,0),0),"")</f>
        <v/>
      </c>
      <c r="AI109" s="991" t="str">
        <f>IFERROR(VLOOKUP($D109,'Piping Class'!$88:$102,MATCH(AI$1,'Piping Class'!$88:$88,0),0),"")</f>
        <v/>
      </c>
      <c r="AJ109" s="991" t="str">
        <f>IFERROR(VLOOKUP($D109,'Piping Class'!$88:$102,MATCH(AJ$1,'Piping Class'!$88:$88,0),0),"")</f>
        <v/>
      </c>
      <c r="AK109" s="991" t="str">
        <f>IFERROR(VLOOKUP($D109,'Piping Class'!$88:$102,MATCH(AK$1,'Piping Class'!$88:$88,0),0),"")</f>
        <v/>
      </c>
      <c r="AL109" s="991">
        <f t="shared" si="182"/>
        <v>0</v>
      </c>
      <c r="AM109" s="1119" t="str">
        <f>IFERROR(VLOOKUP($D109,'Piping Class'!$88:$102,MATCH(AM$1,'Piping Class'!$88:$88,0),0),"")</f>
        <v/>
      </c>
      <c r="AN109" s="992">
        <f t="shared" si="157"/>
        <v>0</v>
      </c>
      <c r="AO109" s="993">
        <f>IFERROR(VLOOKUP(I109&amp;"B"&amp;F109,'Bolting Chart'!$1:$1048576,4,0),0)</f>
        <v>0</v>
      </c>
      <c r="AP109" s="993">
        <f t="shared" si="158"/>
        <v>0</v>
      </c>
      <c r="AQ109" s="993">
        <f t="shared" si="159"/>
        <v>0</v>
      </c>
      <c r="AR109" s="993">
        <f>IF(AO109=0,0,VLOOKUP(D109&amp;".bolting",'Piping Class'!$1:$1048576,MATCH(I109,'Piping Class'!$2:$2,0),0))</f>
        <v>0</v>
      </c>
      <c r="AS109" s="994">
        <f>IFERROR(VLOOKUP(I109&amp;"B"&amp;F109,'Bolting Chart'!$1:$1048576,IF(AS$2="UNC",5,6),0),0)</f>
        <v>0</v>
      </c>
      <c r="AT109" s="995">
        <f>IFERROR(VLOOKUP(I109&amp;"B"&amp;F109,'Bolting Chart'!$1:$1048576,IF(G109="RF",8,9),0),0)</f>
        <v>0</v>
      </c>
      <c r="AU109" s="993">
        <f>IF(AO109=0,0,VLOOKUP(D109&amp;".gasket",'Piping Class'!$1:$1048576,MATCH(I109,'Piping Class'!$2:$2,0),0))</f>
        <v>0</v>
      </c>
      <c r="AV109" s="996">
        <f>(IFERROR(INDEX('Bolting Chart'!$A$169:$R$251,MATCH(AT109,'Bolting Chart'!$A$170:$A$251,0),MATCH(IFERROR(VLOOKUP(I109&amp;"B"&amp;F109,'Bolting Chart'!$1:$1048576,7,0),0)+0,'Bolting Chart'!$A$169:$R$169,0)),0))/100</f>
        <v>0</v>
      </c>
      <c r="AW109" s="996">
        <f t="shared" si="160"/>
        <v>0</v>
      </c>
      <c r="AX109" s="1194">
        <f t="shared" si="161"/>
        <v>0</v>
      </c>
      <c r="AY109" s="981"/>
      <c r="AZ109" s="1543">
        <f t="shared" si="201"/>
        <v>0</v>
      </c>
      <c r="BA109" s="1543">
        <f t="shared" si="201"/>
        <v>0</v>
      </c>
      <c r="BB109" s="1543">
        <f t="shared" si="201"/>
        <v>0</v>
      </c>
      <c r="BC109" s="1543">
        <f t="shared" si="201"/>
        <v>0</v>
      </c>
      <c r="BD109" s="1543">
        <f t="shared" si="201"/>
        <v>0</v>
      </c>
      <c r="BE109" s="1543">
        <f t="shared" si="201"/>
        <v>0</v>
      </c>
      <c r="BF109" s="1543">
        <f t="shared" si="201"/>
        <v>0</v>
      </c>
      <c r="BG109" s="1543">
        <f t="shared" si="201"/>
        <v>0</v>
      </c>
      <c r="BH109" s="1543">
        <f t="shared" si="201"/>
        <v>0</v>
      </c>
      <c r="BI109" s="1543">
        <f t="shared" si="201"/>
        <v>0</v>
      </c>
      <c r="BJ109" s="1543">
        <f t="shared" si="201"/>
        <v>0</v>
      </c>
      <c r="BK109" s="1543">
        <f t="shared" si="201"/>
        <v>0</v>
      </c>
      <c r="BL109" s="1543">
        <f t="shared" si="201"/>
        <v>0</v>
      </c>
      <c r="BM109" s="1543">
        <f t="shared" si="201"/>
        <v>0</v>
      </c>
      <c r="BN109" s="1543">
        <f t="shared" si="201"/>
        <v>0</v>
      </c>
      <c r="BO109" s="1543">
        <f t="shared" si="201"/>
        <v>0</v>
      </c>
      <c r="BP109" s="1543">
        <f t="shared" si="178"/>
        <v>0</v>
      </c>
      <c r="BQ109" s="1543">
        <f t="shared" si="178"/>
        <v>0</v>
      </c>
      <c r="BR109" s="1543">
        <f t="shared" si="191"/>
        <v>0</v>
      </c>
      <c r="BS109" s="1543">
        <f t="shared" si="191"/>
        <v>0</v>
      </c>
      <c r="BT109" s="1543">
        <f t="shared" si="191"/>
        <v>0</v>
      </c>
      <c r="BU109" s="1543">
        <f t="shared" si="191"/>
        <v>0</v>
      </c>
      <c r="BV109" s="1543">
        <f t="shared" si="191"/>
        <v>0</v>
      </c>
      <c r="BW109" s="1543">
        <f t="shared" si="191"/>
        <v>0</v>
      </c>
      <c r="BX109" s="1543">
        <f t="shared" si="191"/>
        <v>0</v>
      </c>
      <c r="BY109" s="1543">
        <f t="shared" si="191"/>
        <v>0</v>
      </c>
      <c r="BZ109" s="1543">
        <f t="shared" si="191"/>
        <v>0</v>
      </c>
      <c r="CB109" s="1543">
        <f t="shared" si="202"/>
        <v>0</v>
      </c>
      <c r="CC109" s="1543">
        <f t="shared" si="202"/>
        <v>0</v>
      </c>
      <c r="CD109" s="1543">
        <f t="shared" si="202"/>
        <v>0</v>
      </c>
      <c r="CE109" s="1543">
        <f t="shared" si="202"/>
        <v>0</v>
      </c>
      <c r="CF109" s="1543">
        <f t="shared" si="202"/>
        <v>0</v>
      </c>
      <c r="CG109" s="1543">
        <f t="shared" si="202"/>
        <v>0</v>
      </c>
      <c r="CH109" s="1543">
        <f t="shared" si="202"/>
        <v>0</v>
      </c>
      <c r="CI109" s="1543">
        <f t="shared" si="202"/>
        <v>0</v>
      </c>
      <c r="CJ109" s="1543">
        <f t="shared" si="202"/>
        <v>0</v>
      </c>
      <c r="CK109" s="1543">
        <f t="shared" si="202"/>
        <v>0</v>
      </c>
      <c r="CL109" s="1543">
        <f t="shared" si="202"/>
        <v>0</v>
      </c>
      <c r="CM109" s="1543">
        <f t="shared" si="202"/>
        <v>0</v>
      </c>
      <c r="CN109" s="1543">
        <f t="shared" si="202"/>
        <v>0</v>
      </c>
      <c r="CO109" s="1543">
        <f t="shared" si="202"/>
        <v>0</v>
      </c>
      <c r="CP109" s="1543">
        <f t="shared" si="202"/>
        <v>0</v>
      </c>
      <c r="CQ109" s="1543">
        <f t="shared" si="202"/>
        <v>0</v>
      </c>
      <c r="CR109" s="1543">
        <f t="shared" si="179"/>
        <v>0</v>
      </c>
      <c r="CS109" s="1543">
        <f t="shared" si="179"/>
        <v>0</v>
      </c>
      <c r="CT109" s="1543">
        <f t="shared" si="183"/>
        <v>0</v>
      </c>
      <c r="CU109" s="1543">
        <f t="shared" si="183"/>
        <v>0</v>
      </c>
      <c r="CV109" s="1543">
        <f t="shared" si="183"/>
        <v>0</v>
      </c>
      <c r="CW109" s="1543">
        <f t="shared" si="183"/>
        <v>0</v>
      </c>
      <c r="CX109" s="1543">
        <f t="shared" si="183"/>
        <v>0</v>
      </c>
      <c r="CY109" s="1543">
        <f t="shared" si="183"/>
        <v>0</v>
      </c>
      <c r="CZ109" s="1543">
        <f t="shared" si="183"/>
        <v>0</v>
      </c>
      <c r="DA109" s="1543">
        <f t="shared" si="183"/>
        <v>0</v>
      </c>
      <c r="DB109" s="1543">
        <f t="shared" si="183"/>
        <v>0</v>
      </c>
      <c r="DD109" s="1543">
        <f t="shared" si="194"/>
        <v>0</v>
      </c>
      <c r="DE109" s="1543">
        <f t="shared" si="195"/>
        <v>0</v>
      </c>
      <c r="DF109" s="1543">
        <f t="shared" si="196"/>
        <v>0</v>
      </c>
      <c r="DG109" s="1543">
        <f t="shared" si="162"/>
        <v>0</v>
      </c>
      <c r="DI109" s="1543">
        <f t="shared" si="163"/>
        <v>0</v>
      </c>
      <c r="DJ109" s="1543">
        <f t="shared" si="185"/>
        <v>0</v>
      </c>
      <c r="DK109" s="1543">
        <f t="shared" si="185"/>
        <v>0</v>
      </c>
      <c r="DL109" s="1543">
        <f t="shared" si="185"/>
        <v>0</v>
      </c>
      <c r="DM109" s="1543">
        <f t="shared" si="185"/>
        <v>0</v>
      </c>
      <c r="DO109" s="1543">
        <f t="shared" si="200"/>
        <v>0</v>
      </c>
      <c r="DP109" s="1543">
        <f t="shared" si="200"/>
        <v>0</v>
      </c>
      <c r="DQ109" s="1543">
        <f t="shared" si="200"/>
        <v>0</v>
      </c>
      <c r="DR109" s="1543">
        <f t="shared" si="200"/>
        <v>0</v>
      </c>
      <c r="DS109" s="1543">
        <f t="shared" si="200"/>
        <v>0</v>
      </c>
      <c r="DT109" s="1543">
        <f t="shared" si="200"/>
        <v>0</v>
      </c>
      <c r="DU109" s="1543">
        <f t="shared" si="200"/>
        <v>0</v>
      </c>
      <c r="DV109" s="1543">
        <f t="shared" si="200"/>
        <v>0</v>
      </c>
      <c r="DW109" s="1543">
        <f t="shared" si="200"/>
        <v>0</v>
      </c>
      <c r="DX109" s="1543">
        <f t="shared" si="200"/>
        <v>0</v>
      </c>
      <c r="DY109" s="1543">
        <f t="shared" si="200"/>
        <v>0</v>
      </c>
      <c r="DZ109" s="1543">
        <f t="shared" si="200"/>
        <v>0</v>
      </c>
      <c r="EA109" s="1543">
        <f t="shared" si="200"/>
        <v>0</v>
      </c>
      <c r="EB109" s="1543">
        <f t="shared" si="180"/>
        <v>0</v>
      </c>
      <c r="EC109" s="1543">
        <f t="shared" si="180"/>
        <v>0</v>
      </c>
      <c r="ED109" s="1543">
        <f t="shared" si="180"/>
        <v>0</v>
      </c>
      <c r="EE109" s="1543">
        <f t="shared" si="180"/>
        <v>0</v>
      </c>
      <c r="EF109" s="1543">
        <f t="shared" si="180"/>
        <v>0</v>
      </c>
      <c r="EH109" s="1543">
        <f t="shared" si="165"/>
        <v>0</v>
      </c>
      <c r="EI109" s="1543">
        <f t="shared" si="166"/>
        <v>0</v>
      </c>
      <c r="EJ109" s="1543">
        <f t="shared" si="167"/>
        <v>0</v>
      </c>
      <c r="EK109" s="1543">
        <f t="shared" si="168"/>
        <v>0</v>
      </c>
      <c r="EL109" s="1543">
        <f t="shared" si="169"/>
        <v>0</v>
      </c>
      <c r="EM109" s="1543">
        <f t="shared" si="170"/>
        <v>0</v>
      </c>
      <c r="EN109" s="1543">
        <f t="shared" si="171"/>
        <v>0</v>
      </c>
      <c r="EP109" s="1543">
        <f t="shared" si="197"/>
        <v>0</v>
      </c>
      <c r="EQ109" s="1543">
        <f t="shared" si="197"/>
        <v>0</v>
      </c>
      <c r="ER109" s="1543">
        <f t="shared" si="197"/>
        <v>0</v>
      </c>
      <c r="ES109" s="1543">
        <f t="shared" si="192"/>
        <v>0</v>
      </c>
      <c r="ET109" s="1543">
        <f t="shared" si="193"/>
        <v>0</v>
      </c>
      <c r="EU109" s="1543">
        <f t="shared" si="193"/>
        <v>0</v>
      </c>
      <c r="EV109" s="1543">
        <f t="shared" si="193"/>
        <v>0</v>
      </c>
      <c r="EW109" s="1543">
        <f t="shared" si="193"/>
        <v>0</v>
      </c>
      <c r="EX109" s="1543">
        <f t="shared" si="193"/>
        <v>0</v>
      </c>
      <c r="EY109" s="1543">
        <f t="shared" si="193"/>
        <v>0</v>
      </c>
      <c r="EZ109" s="1543">
        <f t="shared" si="193"/>
        <v>0</v>
      </c>
      <c r="FA109" s="1543">
        <f t="shared" si="193"/>
        <v>0</v>
      </c>
      <c r="FB109" s="1543">
        <f t="shared" si="193"/>
        <v>0</v>
      </c>
      <c r="FC109" s="1543">
        <f t="shared" si="193"/>
        <v>0</v>
      </c>
      <c r="FD109" s="1543">
        <f t="shared" si="193"/>
        <v>0</v>
      </c>
      <c r="FE109" s="1543">
        <f t="shared" si="184"/>
        <v>0</v>
      </c>
      <c r="FF109" s="1543">
        <f t="shared" si="172"/>
        <v>1</v>
      </c>
      <c r="FH109" s="1543">
        <f t="shared" si="198"/>
        <v>0</v>
      </c>
      <c r="FI109" s="1543">
        <f t="shared" si="198"/>
        <v>0</v>
      </c>
      <c r="FJ109" s="1543">
        <f t="shared" si="198"/>
        <v>0</v>
      </c>
      <c r="FK109" s="1543">
        <f t="shared" si="198"/>
        <v>0</v>
      </c>
      <c r="FL109" s="1543">
        <f t="shared" si="198"/>
        <v>0</v>
      </c>
      <c r="FM109" s="1543">
        <f t="shared" si="198"/>
        <v>0</v>
      </c>
      <c r="FN109" s="1543">
        <f t="shared" si="198"/>
        <v>0</v>
      </c>
      <c r="FO109" s="1543">
        <f t="shared" si="198"/>
        <v>0</v>
      </c>
      <c r="FP109" s="1543">
        <f t="shared" si="198"/>
        <v>0</v>
      </c>
      <c r="FQ109" s="1543">
        <f t="shared" si="198"/>
        <v>0</v>
      </c>
      <c r="FR109" s="1543">
        <f t="shared" si="198"/>
        <v>0</v>
      </c>
      <c r="FS109" s="1543">
        <f t="shared" si="198"/>
        <v>0</v>
      </c>
      <c r="FT109" s="1543">
        <f t="shared" si="174"/>
        <v>0</v>
      </c>
      <c r="FV109" s="1543">
        <f t="shared" si="199"/>
        <v>1</v>
      </c>
      <c r="FW109" s="1543">
        <f t="shared" si="199"/>
        <v>0</v>
      </c>
      <c r="FX109" s="1543">
        <f t="shared" si="199"/>
        <v>0</v>
      </c>
      <c r="FY109" s="1543">
        <f t="shared" si="199"/>
        <v>0</v>
      </c>
      <c r="FZ109" s="1543">
        <f t="shared" si="199"/>
        <v>0</v>
      </c>
      <c r="GA109" s="1543">
        <f t="shared" si="199"/>
        <v>0</v>
      </c>
      <c r="GB109" s="1543">
        <f t="shared" si="199"/>
        <v>0</v>
      </c>
      <c r="GC109" s="1543">
        <f t="shared" si="199"/>
        <v>0</v>
      </c>
      <c r="GD109" s="1543">
        <f t="shared" si="199"/>
        <v>0</v>
      </c>
    </row>
    <row r="110" spans="1:186" s="982" customFormat="1" ht="15.6" x14ac:dyDescent="0.3">
      <c r="A110" s="974">
        <v>108</v>
      </c>
      <c r="B110" s="983"/>
      <c r="C110" s="984"/>
      <c r="D110" s="983"/>
      <c r="E110" s="968" t="str">
        <f>IFERROR(VLOOKUP($D110&amp;"."&amp;B110,'Piping Class'!$1:$1048576,MATCH($I110,'Piping Class'!$2:$2,0),0),"")</f>
        <v/>
      </c>
      <c r="F110" s="985" t="str">
        <f>IFERROR(IF(B110="Flange",VLOOKUP($D110,'Piping Class'!$88:$102,MATCH(F$1,'Piping Class'!$88:$88,0),0),""),"")</f>
        <v/>
      </c>
      <c r="G110" s="968" t="str">
        <f>IFERROR(IF(B110="Flange",VLOOKUP($D110,'Piping Class'!$88:$102,MATCH(G$1,'Piping Class'!$88:$88,0),0),""),"")</f>
        <v/>
      </c>
      <c r="H110" s="968" t="str">
        <f>IFERROR(VLOOKUP($D110,'Piping Class'!$88:$102,MATCH(H$1,'Piping Class'!$88:$88,0),0),"")</f>
        <v/>
      </c>
      <c r="I110" s="986"/>
      <c r="J110" s="987"/>
      <c r="K110" s="968" t="str">
        <f>IFERROR(VLOOKUP(I110,'Thickness Tab'!$1:$1048576,MATCH(L110,'Thickness Tab'!$1:$1,0),0),"")</f>
        <v/>
      </c>
      <c r="L110" s="969" t="str">
        <f>IFERROR(VLOOKUP($D110,'Piping Class'!$1:$1048576,MATCH($I110,'Piping Class'!$2:$2,0),0),"")</f>
        <v/>
      </c>
      <c r="M110" s="968" t="str">
        <f>IFERROR(VLOOKUP(J110,'Thickness Tab'!$1:$1048576,MATCH(N110,'Thickness Tab'!$1:$1,0),0),"")</f>
        <v/>
      </c>
      <c r="N110" s="969" t="str">
        <f>IFERROR(VLOOKUP($D110,'Piping Class'!$1:$1048576,MATCH($J110,'Piping Class'!$2:$2,0),0),"")</f>
        <v/>
      </c>
      <c r="O110" s="968" t="str">
        <f>IFERROR(VLOOKUP($D110,'Piping Class'!$88:$102,MATCH(O$1,'Piping Class'!$88:$88,0),0),"")</f>
        <v/>
      </c>
      <c r="P110" s="968" t="str">
        <f>IFERROR(VLOOKUP($D110,'Piping Class'!$88:$102,MATCH(P$1,'Piping Class'!$88:$88,0),0),"")</f>
        <v/>
      </c>
      <c r="Q110" s="983"/>
      <c r="R110" s="988"/>
      <c r="S110" s="969" t="str">
        <f t="shared" si="150"/>
        <v/>
      </c>
      <c r="T110" s="968">
        <f>IFERROR(VLOOKUP(I110&amp;"."&amp;L110,'Fitting Chart'!$1:$1048576,MATCH(C110,'Fitting Chart'!$1:$1,0),0),0)+IF(B110="piping",PI()*K110*(VLOOKUP(I110,'Thickness Tab'!$1:$1048576,3,0)-K110)*7.86/1000,0)+IF(B110="Flange",VLOOKUP(I110&amp;"F"&amp;F110,'Flanges Chart'!$1:$1048576,MATCH(C110&amp;"."&amp;T$1,'Flanges Chart'!$1:$1,0),0),0)</f>
        <v>0</v>
      </c>
      <c r="U110" s="989">
        <f t="shared" si="151"/>
        <v>0</v>
      </c>
      <c r="V110" s="1003"/>
      <c r="W110" s="1001">
        <f t="shared" si="152"/>
        <v>0</v>
      </c>
      <c r="X110" s="997"/>
      <c r="Y110" s="983"/>
      <c r="Z110" s="989">
        <f>IF(B110="Piping",VLOOKUP(I110,'Thickness Tab'!$1:$1048576,3,0)/1000*PI(),0)+IFERROR(VLOOKUP(I110&amp;"F"&amp;F110,'Flanges Chart'!$1:$1048576,MATCH(C110&amp;".Unit Surface",'Flanges Chart'!$1:$1,0),0),0)+IF(B110="Fitting",VLOOKUP(I110,'Thickness Tab'!$1:$1048576,3,0)/1000*PI(),0)</f>
        <v>0</v>
      </c>
      <c r="AA110" s="989">
        <f t="shared" si="153"/>
        <v>0</v>
      </c>
      <c r="AB110" s="983">
        <v>0</v>
      </c>
      <c r="AC110" s="989">
        <f t="shared" si="154"/>
        <v>0</v>
      </c>
      <c r="AD110" s="989">
        <f t="shared" si="155"/>
        <v>0</v>
      </c>
      <c r="AE110" s="974">
        <f>(IFERROR(VLOOKUP($C110,List!$J:$L,2,0),0)*R110+IF(B110="piping",R110,0)+IF(C110="Welding Neck",1,0)*R110)*$AE$2</f>
        <v>0</v>
      </c>
      <c r="AF110" s="970">
        <f>IFERROR(VLOOKUP($C110,List!$J:$L,3,0),0)*R110*$AF$2</f>
        <v>0</v>
      </c>
      <c r="AG110" s="990">
        <f t="shared" si="156"/>
        <v>0</v>
      </c>
      <c r="AH110" s="1118" t="str">
        <f>IFERROR(VLOOKUP($D110,'Piping Class'!$88:$102,MATCH(AH$1,'Piping Class'!$88:$88,0),0),"")</f>
        <v/>
      </c>
      <c r="AI110" s="991" t="str">
        <f>IFERROR(VLOOKUP($D110,'Piping Class'!$88:$102,MATCH(AI$1,'Piping Class'!$88:$88,0),0),"")</f>
        <v/>
      </c>
      <c r="AJ110" s="991" t="str">
        <f>IFERROR(VLOOKUP($D110,'Piping Class'!$88:$102,MATCH(AJ$1,'Piping Class'!$88:$88,0),0),"")</f>
        <v/>
      </c>
      <c r="AK110" s="991" t="str">
        <f>IFERROR(VLOOKUP($D110,'Piping Class'!$88:$102,MATCH(AK$1,'Piping Class'!$88:$88,0),0),"")</f>
        <v/>
      </c>
      <c r="AL110" s="991">
        <f t="shared" si="182"/>
        <v>0</v>
      </c>
      <c r="AM110" s="1119" t="str">
        <f>IFERROR(VLOOKUP($D110,'Piping Class'!$88:$102,MATCH(AM$1,'Piping Class'!$88:$88,0),0),"")</f>
        <v/>
      </c>
      <c r="AN110" s="992">
        <f t="shared" si="157"/>
        <v>0</v>
      </c>
      <c r="AO110" s="993">
        <f>IFERROR(VLOOKUP(I110&amp;"B"&amp;F110,'Bolting Chart'!$1:$1048576,4,0),0)</f>
        <v>0</v>
      </c>
      <c r="AP110" s="993">
        <f t="shared" si="158"/>
        <v>0</v>
      </c>
      <c r="AQ110" s="993">
        <f t="shared" si="159"/>
        <v>0</v>
      </c>
      <c r="AR110" s="993">
        <f>IF(AO110=0,0,VLOOKUP(D110&amp;".bolting",'Piping Class'!$1:$1048576,MATCH(I110,'Piping Class'!$2:$2,0),0))</f>
        <v>0</v>
      </c>
      <c r="AS110" s="994">
        <f>IFERROR(VLOOKUP(I110&amp;"B"&amp;F110,'Bolting Chart'!$1:$1048576,IF(AS$2="UNC",5,6),0),0)</f>
        <v>0</v>
      </c>
      <c r="AT110" s="995">
        <f>IFERROR(VLOOKUP(I110&amp;"B"&amp;F110,'Bolting Chart'!$1:$1048576,IF(G110="RF",8,9),0),0)</f>
        <v>0</v>
      </c>
      <c r="AU110" s="993">
        <f>IF(AO110=0,0,VLOOKUP(D110&amp;".gasket",'Piping Class'!$1:$1048576,MATCH(I110,'Piping Class'!$2:$2,0),0))</f>
        <v>0</v>
      </c>
      <c r="AV110" s="996">
        <f>(IFERROR(INDEX('Bolting Chart'!$A$169:$R$251,MATCH(AT110,'Bolting Chart'!$A$170:$A$251,0),MATCH(IFERROR(VLOOKUP(I110&amp;"B"&amp;F110,'Bolting Chart'!$1:$1048576,7,0),0)+0,'Bolting Chart'!$A$169:$R$169,0)),0))/100</f>
        <v>0</v>
      </c>
      <c r="AW110" s="996">
        <f t="shared" si="160"/>
        <v>0</v>
      </c>
      <c r="AX110" s="1194">
        <f t="shared" si="161"/>
        <v>0</v>
      </c>
      <c r="AY110" s="981"/>
      <c r="AZ110" s="1543">
        <f t="shared" si="201"/>
        <v>0</v>
      </c>
      <c r="BA110" s="1543">
        <f t="shared" si="201"/>
        <v>0</v>
      </c>
      <c r="BB110" s="1543">
        <f t="shared" si="201"/>
        <v>0</v>
      </c>
      <c r="BC110" s="1543">
        <f t="shared" si="201"/>
        <v>0</v>
      </c>
      <c r="BD110" s="1543">
        <f t="shared" si="201"/>
        <v>0</v>
      </c>
      <c r="BE110" s="1543">
        <f t="shared" si="201"/>
        <v>0</v>
      </c>
      <c r="BF110" s="1543">
        <f t="shared" si="201"/>
        <v>0</v>
      </c>
      <c r="BG110" s="1543">
        <f t="shared" si="201"/>
        <v>0</v>
      </c>
      <c r="BH110" s="1543">
        <f t="shared" si="201"/>
        <v>0</v>
      </c>
      <c r="BI110" s="1543">
        <f t="shared" si="201"/>
        <v>0</v>
      </c>
      <c r="BJ110" s="1543">
        <f t="shared" si="201"/>
        <v>0</v>
      </c>
      <c r="BK110" s="1543">
        <f t="shared" si="201"/>
        <v>0</v>
      </c>
      <c r="BL110" s="1543">
        <f t="shared" si="201"/>
        <v>0</v>
      </c>
      <c r="BM110" s="1543">
        <f t="shared" si="201"/>
        <v>0</v>
      </c>
      <c r="BN110" s="1543">
        <f t="shared" si="201"/>
        <v>0</v>
      </c>
      <c r="BO110" s="1543">
        <f t="shared" si="201"/>
        <v>0</v>
      </c>
      <c r="BP110" s="1543">
        <f t="shared" si="178"/>
        <v>0</v>
      </c>
      <c r="BQ110" s="1543">
        <f t="shared" si="178"/>
        <v>0</v>
      </c>
      <c r="BR110" s="1543">
        <f t="shared" si="191"/>
        <v>0</v>
      </c>
      <c r="BS110" s="1543">
        <f t="shared" si="191"/>
        <v>0</v>
      </c>
      <c r="BT110" s="1543">
        <f t="shared" si="191"/>
        <v>0</v>
      </c>
      <c r="BU110" s="1543">
        <f t="shared" si="191"/>
        <v>0</v>
      </c>
      <c r="BV110" s="1543">
        <f t="shared" si="191"/>
        <v>0</v>
      </c>
      <c r="BW110" s="1543">
        <f t="shared" si="191"/>
        <v>0</v>
      </c>
      <c r="BX110" s="1543">
        <f t="shared" si="191"/>
        <v>0</v>
      </c>
      <c r="BY110" s="1543">
        <f t="shared" si="191"/>
        <v>0</v>
      </c>
      <c r="BZ110" s="1543">
        <f t="shared" si="191"/>
        <v>0</v>
      </c>
      <c r="CB110" s="1543">
        <f t="shared" si="202"/>
        <v>0</v>
      </c>
      <c r="CC110" s="1543">
        <f t="shared" si="202"/>
        <v>0</v>
      </c>
      <c r="CD110" s="1543">
        <f t="shared" si="202"/>
        <v>0</v>
      </c>
      <c r="CE110" s="1543">
        <f t="shared" si="202"/>
        <v>0</v>
      </c>
      <c r="CF110" s="1543">
        <f t="shared" si="202"/>
        <v>0</v>
      </c>
      <c r="CG110" s="1543">
        <f t="shared" si="202"/>
        <v>0</v>
      </c>
      <c r="CH110" s="1543">
        <f t="shared" si="202"/>
        <v>0</v>
      </c>
      <c r="CI110" s="1543">
        <f t="shared" si="202"/>
        <v>0</v>
      </c>
      <c r="CJ110" s="1543">
        <f t="shared" si="202"/>
        <v>0</v>
      </c>
      <c r="CK110" s="1543">
        <f t="shared" si="202"/>
        <v>0</v>
      </c>
      <c r="CL110" s="1543">
        <f t="shared" si="202"/>
        <v>0</v>
      </c>
      <c r="CM110" s="1543">
        <f t="shared" si="202"/>
        <v>0</v>
      </c>
      <c r="CN110" s="1543">
        <f t="shared" si="202"/>
        <v>0</v>
      </c>
      <c r="CO110" s="1543">
        <f t="shared" si="202"/>
        <v>0</v>
      </c>
      <c r="CP110" s="1543">
        <f t="shared" si="202"/>
        <v>0</v>
      </c>
      <c r="CQ110" s="1543">
        <f t="shared" si="202"/>
        <v>0</v>
      </c>
      <c r="CR110" s="1543">
        <f t="shared" si="179"/>
        <v>0</v>
      </c>
      <c r="CS110" s="1543">
        <f t="shared" si="179"/>
        <v>0</v>
      </c>
      <c r="CT110" s="1543">
        <f t="shared" si="183"/>
        <v>0</v>
      </c>
      <c r="CU110" s="1543">
        <f t="shared" si="183"/>
        <v>0</v>
      </c>
      <c r="CV110" s="1543">
        <f t="shared" si="183"/>
        <v>0</v>
      </c>
      <c r="CW110" s="1543">
        <f t="shared" si="183"/>
        <v>0</v>
      </c>
      <c r="CX110" s="1543">
        <f t="shared" si="183"/>
        <v>0</v>
      </c>
      <c r="CY110" s="1543">
        <f t="shared" si="183"/>
        <v>0</v>
      </c>
      <c r="CZ110" s="1543">
        <f t="shared" si="183"/>
        <v>0</v>
      </c>
      <c r="DA110" s="1543">
        <f t="shared" si="183"/>
        <v>0</v>
      </c>
      <c r="DB110" s="1543">
        <f t="shared" si="183"/>
        <v>0</v>
      </c>
      <c r="DD110" s="1543">
        <f t="shared" si="194"/>
        <v>0</v>
      </c>
      <c r="DE110" s="1543">
        <f t="shared" si="195"/>
        <v>0</v>
      </c>
      <c r="DF110" s="1543">
        <f t="shared" si="196"/>
        <v>0</v>
      </c>
      <c r="DG110" s="1543">
        <f t="shared" si="162"/>
        <v>0</v>
      </c>
      <c r="DI110" s="1543">
        <f t="shared" si="163"/>
        <v>0</v>
      </c>
      <c r="DJ110" s="1543">
        <f t="shared" si="185"/>
        <v>0</v>
      </c>
      <c r="DK110" s="1543">
        <f t="shared" si="185"/>
        <v>0</v>
      </c>
      <c r="DL110" s="1543">
        <f t="shared" si="185"/>
        <v>0</v>
      </c>
      <c r="DM110" s="1543">
        <f t="shared" si="185"/>
        <v>0</v>
      </c>
      <c r="DO110" s="1543">
        <f t="shared" si="200"/>
        <v>0</v>
      </c>
      <c r="DP110" s="1543">
        <f t="shared" si="200"/>
        <v>0</v>
      </c>
      <c r="DQ110" s="1543">
        <f t="shared" si="200"/>
        <v>0</v>
      </c>
      <c r="DR110" s="1543">
        <f t="shared" si="200"/>
        <v>0</v>
      </c>
      <c r="DS110" s="1543">
        <f t="shared" si="200"/>
        <v>0</v>
      </c>
      <c r="DT110" s="1543">
        <f t="shared" si="200"/>
        <v>0</v>
      </c>
      <c r="DU110" s="1543">
        <f t="shared" si="200"/>
        <v>0</v>
      </c>
      <c r="DV110" s="1543">
        <f t="shared" si="200"/>
        <v>0</v>
      </c>
      <c r="DW110" s="1543">
        <f t="shared" si="200"/>
        <v>0</v>
      </c>
      <c r="DX110" s="1543">
        <f t="shared" si="200"/>
        <v>0</v>
      </c>
      <c r="DY110" s="1543">
        <f t="shared" si="200"/>
        <v>0</v>
      </c>
      <c r="DZ110" s="1543">
        <f t="shared" si="200"/>
        <v>0</v>
      </c>
      <c r="EA110" s="1543">
        <f t="shared" si="200"/>
        <v>0</v>
      </c>
      <c r="EB110" s="1543">
        <f t="shared" si="180"/>
        <v>0</v>
      </c>
      <c r="EC110" s="1543">
        <f t="shared" si="180"/>
        <v>0</v>
      </c>
      <c r="ED110" s="1543">
        <f t="shared" si="180"/>
        <v>0</v>
      </c>
      <c r="EE110" s="1543">
        <f t="shared" si="180"/>
        <v>0</v>
      </c>
      <c r="EF110" s="1543">
        <f t="shared" si="180"/>
        <v>0</v>
      </c>
      <c r="EH110" s="1543">
        <f t="shared" si="165"/>
        <v>0</v>
      </c>
      <c r="EI110" s="1543">
        <f t="shared" si="166"/>
        <v>0</v>
      </c>
      <c r="EJ110" s="1543">
        <f t="shared" si="167"/>
        <v>0</v>
      </c>
      <c r="EK110" s="1543">
        <f t="shared" si="168"/>
        <v>0</v>
      </c>
      <c r="EL110" s="1543">
        <f t="shared" si="169"/>
        <v>0</v>
      </c>
      <c r="EM110" s="1543">
        <f t="shared" si="170"/>
        <v>0</v>
      </c>
      <c r="EN110" s="1543">
        <f t="shared" si="171"/>
        <v>0</v>
      </c>
      <c r="EP110" s="1543">
        <f t="shared" si="197"/>
        <v>0</v>
      </c>
      <c r="EQ110" s="1543">
        <f t="shared" si="197"/>
        <v>0</v>
      </c>
      <c r="ER110" s="1543">
        <f t="shared" si="197"/>
        <v>0</v>
      </c>
      <c r="ES110" s="1543">
        <f t="shared" si="192"/>
        <v>0</v>
      </c>
      <c r="ET110" s="1543">
        <f t="shared" si="193"/>
        <v>0</v>
      </c>
      <c r="EU110" s="1543">
        <f t="shared" si="193"/>
        <v>0</v>
      </c>
      <c r="EV110" s="1543">
        <f t="shared" si="193"/>
        <v>0</v>
      </c>
      <c r="EW110" s="1543">
        <f t="shared" si="193"/>
        <v>0</v>
      </c>
      <c r="EX110" s="1543">
        <f t="shared" si="193"/>
        <v>0</v>
      </c>
      <c r="EY110" s="1543">
        <f t="shared" si="193"/>
        <v>0</v>
      </c>
      <c r="EZ110" s="1543">
        <f t="shared" si="193"/>
        <v>0</v>
      </c>
      <c r="FA110" s="1543">
        <f t="shared" si="193"/>
        <v>0</v>
      </c>
      <c r="FB110" s="1543">
        <f t="shared" si="193"/>
        <v>0</v>
      </c>
      <c r="FC110" s="1543">
        <f t="shared" si="193"/>
        <v>0</v>
      </c>
      <c r="FD110" s="1543">
        <f t="shared" si="193"/>
        <v>0</v>
      </c>
      <c r="FE110" s="1543">
        <f t="shared" si="184"/>
        <v>0</v>
      </c>
      <c r="FF110" s="1543">
        <f t="shared" si="172"/>
        <v>1</v>
      </c>
      <c r="FH110" s="1543">
        <f t="shared" si="198"/>
        <v>0</v>
      </c>
      <c r="FI110" s="1543">
        <f t="shared" si="198"/>
        <v>0</v>
      </c>
      <c r="FJ110" s="1543">
        <f t="shared" si="198"/>
        <v>0</v>
      </c>
      <c r="FK110" s="1543">
        <f t="shared" si="198"/>
        <v>0</v>
      </c>
      <c r="FL110" s="1543">
        <f t="shared" si="198"/>
        <v>0</v>
      </c>
      <c r="FM110" s="1543">
        <f t="shared" si="198"/>
        <v>0</v>
      </c>
      <c r="FN110" s="1543">
        <f t="shared" si="198"/>
        <v>0</v>
      </c>
      <c r="FO110" s="1543">
        <f t="shared" si="198"/>
        <v>0</v>
      </c>
      <c r="FP110" s="1543">
        <f t="shared" si="198"/>
        <v>0</v>
      </c>
      <c r="FQ110" s="1543">
        <f t="shared" si="198"/>
        <v>0</v>
      </c>
      <c r="FR110" s="1543">
        <f t="shared" si="198"/>
        <v>0</v>
      </c>
      <c r="FS110" s="1543">
        <f t="shared" si="198"/>
        <v>0</v>
      </c>
      <c r="FT110" s="1543">
        <f t="shared" si="174"/>
        <v>0</v>
      </c>
      <c r="FV110" s="1543">
        <f t="shared" si="199"/>
        <v>1</v>
      </c>
      <c r="FW110" s="1543">
        <f t="shared" si="199"/>
        <v>0</v>
      </c>
      <c r="FX110" s="1543">
        <f t="shared" si="199"/>
        <v>0</v>
      </c>
      <c r="FY110" s="1543">
        <f t="shared" si="199"/>
        <v>0</v>
      </c>
      <c r="FZ110" s="1543">
        <f t="shared" si="199"/>
        <v>0</v>
      </c>
      <c r="GA110" s="1543">
        <f t="shared" si="199"/>
        <v>0</v>
      </c>
      <c r="GB110" s="1543">
        <f t="shared" si="199"/>
        <v>0</v>
      </c>
      <c r="GC110" s="1543">
        <f t="shared" si="199"/>
        <v>0</v>
      </c>
      <c r="GD110" s="1543">
        <f t="shared" si="199"/>
        <v>0</v>
      </c>
    </row>
    <row r="111" spans="1:186" s="982" customFormat="1" ht="15.6" x14ac:dyDescent="0.3">
      <c r="A111" s="974">
        <v>109</v>
      </c>
      <c r="B111" s="983"/>
      <c r="C111" s="984"/>
      <c r="D111" s="983"/>
      <c r="E111" s="968" t="str">
        <f>IFERROR(VLOOKUP($D111&amp;"."&amp;B111,'Piping Class'!$1:$1048576,MATCH($I111,'Piping Class'!$2:$2,0),0),"")</f>
        <v/>
      </c>
      <c r="F111" s="985" t="str">
        <f>IFERROR(IF(B111="Flange",VLOOKUP($D111,'Piping Class'!$88:$102,MATCH(F$1,'Piping Class'!$88:$88,0),0),""),"")</f>
        <v/>
      </c>
      <c r="G111" s="968" t="str">
        <f>IFERROR(IF(B111="Flange",VLOOKUP($D111,'Piping Class'!$88:$102,MATCH(G$1,'Piping Class'!$88:$88,0),0),""),"")</f>
        <v/>
      </c>
      <c r="H111" s="968" t="str">
        <f>IFERROR(VLOOKUP($D111,'Piping Class'!$88:$102,MATCH(H$1,'Piping Class'!$88:$88,0),0),"")</f>
        <v/>
      </c>
      <c r="I111" s="986"/>
      <c r="J111" s="987"/>
      <c r="K111" s="968" t="str">
        <f>IFERROR(VLOOKUP(I111,'Thickness Tab'!$1:$1048576,MATCH(L111,'Thickness Tab'!$1:$1,0),0),"")</f>
        <v/>
      </c>
      <c r="L111" s="969" t="str">
        <f>IFERROR(VLOOKUP($D111,'Piping Class'!$1:$1048576,MATCH($I111,'Piping Class'!$2:$2,0),0),"")</f>
        <v/>
      </c>
      <c r="M111" s="968" t="str">
        <f>IFERROR(VLOOKUP(J111,'Thickness Tab'!$1:$1048576,MATCH(N111,'Thickness Tab'!$1:$1,0),0),"")</f>
        <v/>
      </c>
      <c r="N111" s="969" t="str">
        <f>IFERROR(VLOOKUP($D111,'Piping Class'!$1:$1048576,MATCH($J111,'Piping Class'!$2:$2,0),0),"")</f>
        <v/>
      </c>
      <c r="O111" s="968" t="str">
        <f>IFERROR(VLOOKUP($D111,'Piping Class'!$88:$102,MATCH(O$1,'Piping Class'!$88:$88,0),0),"")</f>
        <v/>
      </c>
      <c r="P111" s="968" t="str">
        <f>IFERROR(VLOOKUP($D111,'Piping Class'!$88:$102,MATCH(P$1,'Piping Class'!$88:$88,0),0),"")</f>
        <v/>
      </c>
      <c r="Q111" s="983"/>
      <c r="R111" s="988"/>
      <c r="S111" s="969" t="str">
        <f t="shared" si="150"/>
        <v/>
      </c>
      <c r="T111" s="968">
        <f>IFERROR(VLOOKUP(I111&amp;"."&amp;L111,'Fitting Chart'!$1:$1048576,MATCH(C111,'Fitting Chart'!$1:$1,0),0),0)+IF(B111="piping",PI()*K111*(VLOOKUP(I111,'Thickness Tab'!$1:$1048576,3,0)-K111)*7.86/1000,0)+IF(B111="Flange",VLOOKUP(I111&amp;"F"&amp;F111,'Flanges Chart'!$1:$1048576,MATCH(C111&amp;"."&amp;T$1,'Flanges Chart'!$1:$1,0),0),0)</f>
        <v>0</v>
      </c>
      <c r="U111" s="989">
        <f t="shared" si="151"/>
        <v>0</v>
      </c>
      <c r="V111" s="1003"/>
      <c r="W111" s="1001">
        <f t="shared" si="152"/>
        <v>0</v>
      </c>
      <c r="X111" s="997"/>
      <c r="Y111" s="983"/>
      <c r="Z111" s="989">
        <f>IF(B111="Piping",VLOOKUP(I111,'Thickness Tab'!$1:$1048576,3,0)/1000*PI(),0)+IFERROR(VLOOKUP(I111&amp;"F"&amp;F111,'Flanges Chart'!$1:$1048576,MATCH(C111&amp;".Unit Surface",'Flanges Chart'!$1:$1,0),0),0)+IF(B111="Fitting",VLOOKUP(I111,'Thickness Tab'!$1:$1048576,3,0)/1000*PI(),0)</f>
        <v>0</v>
      </c>
      <c r="AA111" s="989">
        <f t="shared" si="153"/>
        <v>0</v>
      </c>
      <c r="AB111" s="983">
        <v>0</v>
      </c>
      <c r="AC111" s="989">
        <f t="shared" si="154"/>
        <v>0</v>
      </c>
      <c r="AD111" s="989">
        <f t="shared" si="155"/>
        <v>0</v>
      </c>
      <c r="AE111" s="974">
        <f>(IFERROR(VLOOKUP($C111,List!$J:$L,2,0),0)*R111+IF(B111="piping",R111,0)+IF(C111="Welding Neck",1,0)*R111)*$AE$2</f>
        <v>0</v>
      </c>
      <c r="AF111" s="970">
        <f>IFERROR(VLOOKUP($C111,List!$J:$L,3,0),0)*R111*$AF$2</f>
        <v>0</v>
      </c>
      <c r="AG111" s="990">
        <f t="shared" si="156"/>
        <v>0</v>
      </c>
      <c r="AH111" s="1118" t="str">
        <f>IFERROR(VLOOKUP($D111,'Piping Class'!$88:$102,MATCH(AH$1,'Piping Class'!$88:$88,0),0),"")</f>
        <v/>
      </c>
      <c r="AI111" s="991" t="str">
        <f>IFERROR(VLOOKUP($D111,'Piping Class'!$88:$102,MATCH(AI$1,'Piping Class'!$88:$88,0),0),"")</f>
        <v/>
      </c>
      <c r="AJ111" s="991" t="str">
        <f>IFERROR(VLOOKUP($D111,'Piping Class'!$88:$102,MATCH(AJ$1,'Piping Class'!$88:$88,0),0),"")</f>
        <v/>
      </c>
      <c r="AK111" s="991" t="str">
        <f>IFERROR(VLOOKUP($D111,'Piping Class'!$88:$102,MATCH(AK$1,'Piping Class'!$88:$88,0),0),"")</f>
        <v/>
      </c>
      <c r="AL111" s="991">
        <f t="shared" si="182"/>
        <v>0</v>
      </c>
      <c r="AM111" s="1119" t="str">
        <f>IFERROR(VLOOKUP($D111,'Piping Class'!$88:$102,MATCH(AM$1,'Piping Class'!$88:$88,0),0),"")</f>
        <v/>
      </c>
      <c r="AN111" s="992">
        <f t="shared" si="157"/>
        <v>0</v>
      </c>
      <c r="AO111" s="993">
        <f>IFERROR(VLOOKUP(I111&amp;"B"&amp;F111,'Bolting Chart'!$1:$1048576,4,0),0)</f>
        <v>0</v>
      </c>
      <c r="AP111" s="993">
        <f t="shared" si="158"/>
        <v>0</v>
      </c>
      <c r="AQ111" s="993">
        <f t="shared" si="159"/>
        <v>0</v>
      </c>
      <c r="AR111" s="993">
        <f>IF(AO111=0,0,VLOOKUP(D111&amp;".bolting",'Piping Class'!$1:$1048576,MATCH(I111,'Piping Class'!$2:$2,0),0))</f>
        <v>0</v>
      </c>
      <c r="AS111" s="994">
        <f>IFERROR(VLOOKUP(I111&amp;"B"&amp;F111,'Bolting Chart'!$1:$1048576,IF(AS$2="UNC",5,6),0),0)</f>
        <v>0</v>
      </c>
      <c r="AT111" s="995">
        <f>IFERROR(VLOOKUP(I111&amp;"B"&amp;F111,'Bolting Chart'!$1:$1048576,IF(G111="RF",8,9),0),0)</f>
        <v>0</v>
      </c>
      <c r="AU111" s="993">
        <f>IF(AO111=0,0,VLOOKUP(D111&amp;".gasket",'Piping Class'!$1:$1048576,MATCH(I111,'Piping Class'!$2:$2,0),0))</f>
        <v>0</v>
      </c>
      <c r="AV111" s="996">
        <f>(IFERROR(INDEX('Bolting Chart'!$A$169:$R$251,MATCH(AT111,'Bolting Chart'!$A$170:$A$251,0),MATCH(IFERROR(VLOOKUP(I111&amp;"B"&amp;F111,'Bolting Chart'!$1:$1048576,7,0),0)+0,'Bolting Chart'!$A$169:$R$169,0)),0))/100</f>
        <v>0</v>
      </c>
      <c r="AW111" s="996">
        <f t="shared" si="160"/>
        <v>0</v>
      </c>
      <c r="AX111" s="1194">
        <f t="shared" si="161"/>
        <v>0</v>
      </c>
      <c r="AY111" s="981"/>
      <c r="AZ111" s="1543">
        <f t="shared" si="201"/>
        <v>0</v>
      </c>
      <c r="BA111" s="1543">
        <f t="shared" si="201"/>
        <v>0</v>
      </c>
      <c r="BB111" s="1543">
        <f t="shared" si="201"/>
        <v>0</v>
      </c>
      <c r="BC111" s="1543">
        <f t="shared" si="201"/>
        <v>0</v>
      </c>
      <c r="BD111" s="1543">
        <f t="shared" si="201"/>
        <v>0</v>
      </c>
      <c r="BE111" s="1543">
        <f t="shared" si="201"/>
        <v>0</v>
      </c>
      <c r="BF111" s="1543">
        <f t="shared" si="201"/>
        <v>0</v>
      </c>
      <c r="BG111" s="1543">
        <f t="shared" si="201"/>
        <v>0</v>
      </c>
      <c r="BH111" s="1543">
        <f t="shared" si="201"/>
        <v>0</v>
      </c>
      <c r="BI111" s="1543">
        <f t="shared" si="201"/>
        <v>0</v>
      </c>
      <c r="BJ111" s="1543">
        <f t="shared" si="201"/>
        <v>0</v>
      </c>
      <c r="BK111" s="1543">
        <f t="shared" si="201"/>
        <v>0</v>
      </c>
      <c r="BL111" s="1543">
        <f t="shared" si="201"/>
        <v>0</v>
      </c>
      <c r="BM111" s="1543">
        <f t="shared" si="201"/>
        <v>0</v>
      </c>
      <c r="BN111" s="1543">
        <f t="shared" si="201"/>
        <v>0</v>
      </c>
      <c r="BO111" s="1543">
        <f t="shared" si="201"/>
        <v>0</v>
      </c>
      <c r="BP111" s="1543">
        <f t="shared" si="178"/>
        <v>0</v>
      </c>
      <c r="BQ111" s="1543">
        <f t="shared" si="178"/>
        <v>0</v>
      </c>
      <c r="BR111" s="1543">
        <f t="shared" si="191"/>
        <v>0</v>
      </c>
      <c r="BS111" s="1543">
        <f t="shared" si="191"/>
        <v>0</v>
      </c>
      <c r="BT111" s="1543">
        <f t="shared" si="191"/>
        <v>0</v>
      </c>
      <c r="BU111" s="1543">
        <f t="shared" si="191"/>
        <v>0</v>
      </c>
      <c r="BV111" s="1543">
        <f t="shared" si="191"/>
        <v>0</v>
      </c>
      <c r="BW111" s="1543">
        <f t="shared" si="191"/>
        <v>0</v>
      </c>
      <c r="BX111" s="1543">
        <f t="shared" si="191"/>
        <v>0</v>
      </c>
      <c r="BY111" s="1543">
        <f t="shared" si="191"/>
        <v>0</v>
      </c>
      <c r="BZ111" s="1543">
        <f t="shared" si="191"/>
        <v>0</v>
      </c>
      <c r="CB111" s="1543">
        <f t="shared" si="202"/>
        <v>0</v>
      </c>
      <c r="CC111" s="1543">
        <f t="shared" si="202"/>
        <v>0</v>
      </c>
      <c r="CD111" s="1543">
        <f t="shared" si="202"/>
        <v>0</v>
      </c>
      <c r="CE111" s="1543">
        <f t="shared" si="202"/>
        <v>0</v>
      </c>
      <c r="CF111" s="1543">
        <f t="shared" si="202"/>
        <v>0</v>
      </c>
      <c r="CG111" s="1543">
        <f t="shared" si="202"/>
        <v>0</v>
      </c>
      <c r="CH111" s="1543">
        <f t="shared" si="202"/>
        <v>0</v>
      </c>
      <c r="CI111" s="1543">
        <f t="shared" si="202"/>
        <v>0</v>
      </c>
      <c r="CJ111" s="1543">
        <f t="shared" si="202"/>
        <v>0</v>
      </c>
      <c r="CK111" s="1543">
        <f t="shared" si="202"/>
        <v>0</v>
      </c>
      <c r="CL111" s="1543">
        <f t="shared" si="202"/>
        <v>0</v>
      </c>
      <c r="CM111" s="1543">
        <f t="shared" si="202"/>
        <v>0</v>
      </c>
      <c r="CN111" s="1543">
        <f t="shared" si="202"/>
        <v>0</v>
      </c>
      <c r="CO111" s="1543">
        <f t="shared" si="202"/>
        <v>0</v>
      </c>
      <c r="CP111" s="1543">
        <f t="shared" si="202"/>
        <v>0</v>
      </c>
      <c r="CQ111" s="1543">
        <f t="shared" si="202"/>
        <v>0</v>
      </c>
      <c r="CR111" s="1543">
        <f t="shared" si="179"/>
        <v>0</v>
      </c>
      <c r="CS111" s="1543">
        <f t="shared" si="179"/>
        <v>0</v>
      </c>
      <c r="CT111" s="1543">
        <f t="shared" si="183"/>
        <v>0</v>
      </c>
      <c r="CU111" s="1543">
        <f t="shared" si="183"/>
        <v>0</v>
      </c>
      <c r="CV111" s="1543">
        <f t="shared" si="183"/>
        <v>0</v>
      </c>
      <c r="CW111" s="1543">
        <f t="shared" ref="CW111:DB111" si="203">IF($I111=CW$2,1,0)</f>
        <v>0</v>
      </c>
      <c r="CX111" s="1543">
        <f t="shared" si="203"/>
        <v>0</v>
      </c>
      <c r="CY111" s="1543">
        <f t="shared" si="203"/>
        <v>0</v>
      </c>
      <c r="CZ111" s="1543">
        <f t="shared" si="203"/>
        <v>0</v>
      </c>
      <c r="DA111" s="1543">
        <f t="shared" si="203"/>
        <v>0</v>
      </c>
      <c r="DB111" s="1543">
        <f t="shared" si="203"/>
        <v>0</v>
      </c>
      <c r="DD111" s="1543">
        <f t="shared" si="194"/>
        <v>0</v>
      </c>
      <c r="DE111" s="1543">
        <f t="shared" si="195"/>
        <v>0</v>
      </c>
      <c r="DF111" s="1543">
        <f t="shared" si="196"/>
        <v>0</v>
      </c>
      <c r="DG111" s="1543">
        <f t="shared" si="162"/>
        <v>0</v>
      </c>
      <c r="DI111" s="1543">
        <f t="shared" si="163"/>
        <v>0</v>
      </c>
      <c r="DJ111" s="1543">
        <f t="shared" si="185"/>
        <v>0</v>
      </c>
      <c r="DK111" s="1543">
        <f t="shared" si="185"/>
        <v>0</v>
      </c>
      <c r="DL111" s="1543">
        <f t="shared" si="185"/>
        <v>0</v>
      </c>
      <c r="DM111" s="1543">
        <f t="shared" si="185"/>
        <v>0</v>
      </c>
      <c r="DO111" s="1543">
        <f t="shared" si="200"/>
        <v>0</v>
      </c>
      <c r="DP111" s="1543">
        <f t="shared" si="200"/>
        <v>0</v>
      </c>
      <c r="DQ111" s="1543">
        <f t="shared" si="200"/>
        <v>0</v>
      </c>
      <c r="DR111" s="1543">
        <f t="shared" si="200"/>
        <v>0</v>
      </c>
      <c r="DS111" s="1543">
        <f t="shared" si="200"/>
        <v>0</v>
      </c>
      <c r="DT111" s="1543">
        <f t="shared" si="200"/>
        <v>0</v>
      </c>
      <c r="DU111" s="1543">
        <f t="shared" si="200"/>
        <v>0</v>
      </c>
      <c r="DV111" s="1543">
        <f t="shared" si="200"/>
        <v>0</v>
      </c>
      <c r="DW111" s="1543">
        <f t="shared" si="200"/>
        <v>0</v>
      </c>
      <c r="DX111" s="1543">
        <f t="shared" si="200"/>
        <v>0</v>
      </c>
      <c r="DY111" s="1543">
        <f t="shared" si="200"/>
        <v>0</v>
      </c>
      <c r="DZ111" s="1543">
        <f t="shared" si="200"/>
        <v>0</v>
      </c>
      <c r="EA111" s="1543">
        <f t="shared" si="200"/>
        <v>0</v>
      </c>
      <c r="EB111" s="1543">
        <f t="shared" si="180"/>
        <v>0</v>
      </c>
      <c r="EC111" s="1543">
        <f t="shared" si="180"/>
        <v>0</v>
      </c>
      <c r="ED111" s="1543">
        <f t="shared" si="180"/>
        <v>0</v>
      </c>
      <c r="EE111" s="1543">
        <f t="shared" si="180"/>
        <v>0</v>
      </c>
      <c r="EF111" s="1543">
        <f t="shared" si="180"/>
        <v>0</v>
      </c>
      <c r="EH111" s="1543">
        <f t="shared" si="165"/>
        <v>0</v>
      </c>
      <c r="EI111" s="1543">
        <f t="shared" si="166"/>
        <v>0</v>
      </c>
      <c r="EJ111" s="1543">
        <f t="shared" si="167"/>
        <v>0</v>
      </c>
      <c r="EK111" s="1543">
        <f t="shared" si="168"/>
        <v>0</v>
      </c>
      <c r="EL111" s="1543">
        <f t="shared" si="169"/>
        <v>0</v>
      </c>
      <c r="EM111" s="1543">
        <f t="shared" si="170"/>
        <v>0</v>
      </c>
      <c r="EN111" s="1543">
        <f t="shared" si="171"/>
        <v>0</v>
      </c>
      <c r="EP111" s="1543">
        <f t="shared" si="197"/>
        <v>0</v>
      </c>
      <c r="EQ111" s="1543">
        <f t="shared" si="197"/>
        <v>0</v>
      </c>
      <c r="ER111" s="1543">
        <f t="shared" si="197"/>
        <v>0</v>
      </c>
      <c r="ES111" s="1543">
        <f t="shared" si="192"/>
        <v>0</v>
      </c>
      <c r="ET111" s="1543">
        <f t="shared" si="193"/>
        <v>0</v>
      </c>
      <c r="EU111" s="1543">
        <f t="shared" si="193"/>
        <v>0</v>
      </c>
      <c r="EV111" s="1543">
        <f t="shared" si="193"/>
        <v>0</v>
      </c>
      <c r="EW111" s="1543">
        <f t="shared" si="193"/>
        <v>0</v>
      </c>
      <c r="EX111" s="1543">
        <f t="shared" si="193"/>
        <v>0</v>
      </c>
      <c r="EY111" s="1543">
        <f t="shared" si="193"/>
        <v>0</v>
      </c>
      <c r="EZ111" s="1543">
        <f t="shared" si="193"/>
        <v>0</v>
      </c>
      <c r="FA111" s="1543">
        <f t="shared" si="193"/>
        <v>0</v>
      </c>
      <c r="FB111" s="1543">
        <f t="shared" si="193"/>
        <v>0</v>
      </c>
      <c r="FC111" s="1543">
        <f t="shared" si="193"/>
        <v>0</v>
      </c>
      <c r="FD111" s="1543">
        <f t="shared" si="193"/>
        <v>0</v>
      </c>
      <c r="FE111" s="1543">
        <f t="shared" si="184"/>
        <v>0</v>
      </c>
      <c r="FF111" s="1543">
        <f t="shared" si="172"/>
        <v>1</v>
      </c>
      <c r="FH111" s="1543">
        <f t="shared" si="198"/>
        <v>0</v>
      </c>
      <c r="FI111" s="1543">
        <f t="shared" si="198"/>
        <v>0</v>
      </c>
      <c r="FJ111" s="1543">
        <f t="shared" si="198"/>
        <v>0</v>
      </c>
      <c r="FK111" s="1543">
        <f t="shared" si="198"/>
        <v>0</v>
      </c>
      <c r="FL111" s="1543">
        <f t="shared" si="198"/>
        <v>0</v>
      </c>
      <c r="FM111" s="1543">
        <f t="shared" si="198"/>
        <v>0</v>
      </c>
      <c r="FN111" s="1543">
        <f t="shared" si="198"/>
        <v>0</v>
      </c>
      <c r="FO111" s="1543">
        <f t="shared" si="198"/>
        <v>0</v>
      </c>
      <c r="FP111" s="1543">
        <f t="shared" si="198"/>
        <v>0</v>
      </c>
      <c r="FQ111" s="1543">
        <f t="shared" si="198"/>
        <v>0</v>
      </c>
      <c r="FR111" s="1543">
        <f t="shared" si="198"/>
        <v>0</v>
      </c>
      <c r="FS111" s="1543">
        <f t="shared" si="198"/>
        <v>0</v>
      </c>
      <c r="FT111" s="1543">
        <f t="shared" si="174"/>
        <v>0</v>
      </c>
      <c r="FV111" s="1543">
        <f t="shared" si="199"/>
        <v>1</v>
      </c>
      <c r="FW111" s="1543">
        <f t="shared" si="199"/>
        <v>0</v>
      </c>
      <c r="FX111" s="1543">
        <f t="shared" si="199"/>
        <v>0</v>
      </c>
      <c r="FY111" s="1543">
        <f t="shared" si="199"/>
        <v>0</v>
      </c>
      <c r="FZ111" s="1543">
        <f t="shared" si="199"/>
        <v>0</v>
      </c>
      <c r="GA111" s="1543">
        <f t="shared" si="199"/>
        <v>0</v>
      </c>
      <c r="GB111" s="1543">
        <f t="shared" si="199"/>
        <v>0</v>
      </c>
      <c r="GC111" s="1543">
        <f t="shared" si="199"/>
        <v>0</v>
      </c>
      <c r="GD111" s="1543">
        <f t="shared" si="199"/>
        <v>0</v>
      </c>
    </row>
    <row r="112" spans="1:186" s="982" customFormat="1" ht="15.6" x14ac:dyDescent="0.3">
      <c r="A112" s="974">
        <v>110</v>
      </c>
      <c r="B112" s="983"/>
      <c r="C112" s="984"/>
      <c r="D112" s="983"/>
      <c r="E112" s="968" t="str">
        <f>IFERROR(VLOOKUP($D112&amp;"."&amp;B112,'Piping Class'!$1:$1048576,MATCH($I112,'Piping Class'!$2:$2,0),0),"")</f>
        <v/>
      </c>
      <c r="F112" s="985" t="str">
        <f>IFERROR(IF(B112="Flange",VLOOKUP($D112,'Piping Class'!$88:$102,MATCH(F$1,'Piping Class'!$88:$88,0),0),""),"")</f>
        <v/>
      </c>
      <c r="G112" s="968" t="str">
        <f>IFERROR(IF(B112="Flange",VLOOKUP($D112,'Piping Class'!$88:$102,MATCH(G$1,'Piping Class'!$88:$88,0),0),""),"")</f>
        <v/>
      </c>
      <c r="H112" s="968" t="str">
        <f>IFERROR(VLOOKUP($D112,'Piping Class'!$88:$102,MATCH(H$1,'Piping Class'!$88:$88,0),0),"")</f>
        <v/>
      </c>
      <c r="I112" s="986"/>
      <c r="J112" s="987"/>
      <c r="K112" s="968" t="str">
        <f>IFERROR(VLOOKUP(I112,'Thickness Tab'!$1:$1048576,MATCH(L112,'Thickness Tab'!$1:$1,0),0),"")</f>
        <v/>
      </c>
      <c r="L112" s="969" t="str">
        <f>IFERROR(VLOOKUP($D112,'Piping Class'!$1:$1048576,MATCH($I112,'Piping Class'!$2:$2,0),0),"")</f>
        <v/>
      </c>
      <c r="M112" s="968" t="str">
        <f>IFERROR(VLOOKUP(J112,'Thickness Tab'!$1:$1048576,MATCH(N112,'Thickness Tab'!$1:$1,0),0),"")</f>
        <v/>
      </c>
      <c r="N112" s="969" t="str">
        <f>IFERROR(VLOOKUP($D112,'Piping Class'!$1:$1048576,MATCH($J112,'Piping Class'!$2:$2,0),0),"")</f>
        <v/>
      </c>
      <c r="O112" s="968" t="str">
        <f>IFERROR(VLOOKUP($D112,'Piping Class'!$88:$102,MATCH(O$1,'Piping Class'!$88:$88,0),0),"")</f>
        <v/>
      </c>
      <c r="P112" s="968" t="str">
        <f>IFERROR(VLOOKUP($D112,'Piping Class'!$88:$102,MATCH(P$1,'Piping Class'!$88:$88,0),0),"")</f>
        <v/>
      </c>
      <c r="Q112" s="983"/>
      <c r="R112" s="988"/>
      <c r="S112" s="969" t="str">
        <f t="shared" si="150"/>
        <v/>
      </c>
      <c r="T112" s="968">
        <f>IFERROR(VLOOKUP(I112&amp;"."&amp;L112,'Fitting Chart'!$1:$1048576,MATCH(C112,'Fitting Chart'!$1:$1,0),0),0)+IF(B112="piping",PI()*K112*(VLOOKUP(I112,'Thickness Tab'!$1:$1048576,3,0)-K112)*7.86/1000,0)+IF(B112="Flange",VLOOKUP(I112&amp;"F"&amp;F112,'Flanges Chart'!$1:$1048576,MATCH(C112&amp;"."&amp;T$1,'Flanges Chart'!$1:$1,0),0),0)</f>
        <v>0</v>
      </c>
      <c r="U112" s="989">
        <f t="shared" si="151"/>
        <v>0</v>
      </c>
      <c r="V112" s="1003"/>
      <c r="W112" s="1001">
        <f t="shared" si="152"/>
        <v>0</v>
      </c>
      <c r="X112" s="997"/>
      <c r="Y112" s="983"/>
      <c r="Z112" s="989">
        <f>IF(B112="Piping",VLOOKUP(I112,'Thickness Tab'!$1:$1048576,3,0)/1000*PI(),0)+IFERROR(VLOOKUP(I112&amp;"F"&amp;F112,'Flanges Chart'!$1:$1048576,MATCH(C112&amp;".Unit Surface",'Flanges Chart'!$1:$1,0),0),0)+IF(B112="Fitting",VLOOKUP(I112,'Thickness Tab'!$1:$1048576,3,0)/1000*PI(),0)</f>
        <v>0</v>
      </c>
      <c r="AA112" s="989">
        <f t="shared" si="153"/>
        <v>0</v>
      </c>
      <c r="AB112" s="983">
        <v>0</v>
      </c>
      <c r="AC112" s="989">
        <f t="shared" si="154"/>
        <v>0</v>
      </c>
      <c r="AD112" s="989">
        <f t="shared" si="155"/>
        <v>0</v>
      </c>
      <c r="AE112" s="974">
        <f>(IFERROR(VLOOKUP($C112,List!$J:$L,2,0),0)*R112+IF(B112="piping",R112,0)+IF(C112="Welding Neck",1,0)*R112)*$AE$2</f>
        <v>0</v>
      </c>
      <c r="AF112" s="970">
        <f>IFERROR(VLOOKUP($C112,List!$J:$L,3,0),0)*R112*$AF$2</f>
        <v>0</v>
      </c>
      <c r="AG112" s="990">
        <f t="shared" si="156"/>
        <v>0</v>
      </c>
      <c r="AH112" s="1118" t="str">
        <f>IFERROR(VLOOKUP($D112,'Piping Class'!$88:$102,MATCH(AH$1,'Piping Class'!$88:$88,0),0),"")</f>
        <v/>
      </c>
      <c r="AI112" s="991" t="str">
        <f>IFERROR(VLOOKUP($D112,'Piping Class'!$88:$102,MATCH(AI$1,'Piping Class'!$88:$88,0),0),"")</f>
        <v/>
      </c>
      <c r="AJ112" s="991" t="str">
        <f>IFERROR(VLOOKUP($D112,'Piping Class'!$88:$102,MATCH(AJ$1,'Piping Class'!$88:$88,0),0),"")</f>
        <v/>
      </c>
      <c r="AK112" s="991" t="str">
        <f>IFERROR(VLOOKUP($D112,'Piping Class'!$88:$102,MATCH(AK$1,'Piping Class'!$88:$88,0),0),"")</f>
        <v/>
      </c>
      <c r="AL112" s="991">
        <f t="shared" si="182"/>
        <v>0</v>
      </c>
      <c r="AM112" s="1119" t="str">
        <f>IFERROR(VLOOKUP($D112,'Piping Class'!$88:$102,MATCH(AM$1,'Piping Class'!$88:$88,0),0),"")</f>
        <v/>
      </c>
      <c r="AN112" s="992">
        <f t="shared" si="157"/>
        <v>0</v>
      </c>
      <c r="AO112" s="993">
        <f>IFERROR(VLOOKUP(I112&amp;"B"&amp;F112,'Bolting Chart'!$1:$1048576,4,0),0)</f>
        <v>0</v>
      </c>
      <c r="AP112" s="993">
        <f t="shared" si="158"/>
        <v>0</v>
      </c>
      <c r="AQ112" s="993">
        <f t="shared" si="159"/>
        <v>0</v>
      </c>
      <c r="AR112" s="993">
        <f>IF(AO112=0,0,VLOOKUP(D112&amp;".bolting",'Piping Class'!$1:$1048576,MATCH(I112,'Piping Class'!$2:$2,0),0))</f>
        <v>0</v>
      </c>
      <c r="AS112" s="994">
        <f>IFERROR(VLOOKUP(I112&amp;"B"&amp;F112,'Bolting Chart'!$1:$1048576,IF(AS$2="UNC",5,6),0),0)</f>
        <v>0</v>
      </c>
      <c r="AT112" s="995">
        <f>IFERROR(VLOOKUP(I112&amp;"B"&amp;F112,'Bolting Chart'!$1:$1048576,IF(G112="RF",8,9),0),0)</f>
        <v>0</v>
      </c>
      <c r="AU112" s="993">
        <f>IF(AO112=0,0,VLOOKUP(D112&amp;".gasket",'Piping Class'!$1:$1048576,MATCH(I112,'Piping Class'!$2:$2,0),0))</f>
        <v>0</v>
      </c>
      <c r="AV112" s="996">
        <f>(IFERROR(INDEX('Bolting Chart'!$A$169:$R$251,MATCH(AT112,'Bolting Chart'!$A$170:$A$251,0),MATCH(IFERROR(VLOOKUP(I112&amp;"B"&amp;F112,'Bolting Chart'!$1:$1048576,7,0),0)+0,'Bolting Chart'!$A$169:$R$169,0)),0))/100</f>
        <v>0</v>
      </c>
      <c r="AW112" s="996">
        <f t="shared" si="160"/>
        <v>0</v>
      </c>
      <c r="AX112" s="1194">
        <f t="shared" si="161"/>
        <v>0</v>
      </c>
      <c r="AY112" s="981"/>
      <c r="AZ112" s="1543">
        <f t="shared" si="201"/>
        <v>0</v>
      </c>
      <c r="BA112" s="1543">
        <f t="shared" si="201"/>
        <v>0</v>
      </c>
      <c r="BB112" s="1543">
        <f t="shared" si="201"/>
        <v>0</v>
      </c>
      <c r="BC112" s="1543">
        <f t="shared" si="201"/>
        <v>0</v>
      </c>
      <c r="BD112" s="1543">
        <f t="shared" si="201"/>
        <v>0</v>
      </c>
      <c r="BE112" s="1543">
        <f t="shared" si="201"/>
        <v>0</v>
      </c>
      <c r="BF112" s="1543">
        <f t="shared" si="201"/>
        <v>0</v>
      </c>
      <c r="BG112" s="1543">
        <f t="shared" si="201"/>
        <v>0</v>
      </c>
      <c r="BH112" s="1543">
        <f t="shared" si="201"/>
        <v>0</v>
      </c>
      <c r="BI112" s="1543">
        <f t="shared" si="201"/>
        <v>0</v>
      </c>
      <c r="BJ112" s="1543">
        <f t="shared" si="201"/>
        <v>0</v>
      </c>
      <c r="BK112" s="1543">
        <f t="shared" si="201"/>
        <v>0</v>
      </c>
      <c r="BL112" s="1543">
        <f t="shared" si="201"/>
        <v>0</v>
      </c>
      <c r="BM112" s="1543">
        <f t="shared" si="201"/>
        <v>0</v>
      </c>
      <c r="BN112" s="1543">
        <f t="shared" si="201"/>
        <v>0</v>
      </c>
      <c r="BO112" s="1543">
        <f t="shared" si="201"/>
        <v>0</v>
      </c>
      <c r="BP112" s="1543">
        <f t="shared" si="178"/>
        <v>0</v>
      </c>
      <c r="BQ112" s="1543">
        <f t="shared" si="178"/>
        <v>0</v>
      </c>
      <c r="BR112" s="1543">
        <f t="shared" ref="BR112:BZ114" si="204">IF($I112=BR$2,1,0)</f>
        <v>0</v>
      </c>
      <c r="BS112" s="1543">
        <f t="shared" si="204"/>
        <v>0</v>
      </c>
      <c r="BT112" s="1543">
        <f t="shared" si="204"/>
        <v>0</v>
      </c>
      <c r="BU112" s="1543">
        <f t="shared" si="204"/>
        <v>0</v>
      </c>
      <c r="BV112" s="1543">
        <f t="shared" si="204"/>
        <v>0</v>
      </c>
      <c r="BW112" s="1543">
        <f t="shared" si="204"/>
        <v>0</v>
      </c>
      <c r="BX112" s="1543">
        <f t="shared" si="204"/>
        <v>0</v>
      </c>
      <c r="BY112" s="1543">
        <f t="shared" si="204"/>
        <v>0</v>
      </c>
      <c r="BZ112" s="1543">
        <f t="shared" si="204"/>
        <v>0</v>
      </c>
      <c r="CB112" s="1543">
        <f t="shared" si="202"/>
        <v>0</v>
      </c>
      <c r="CC112" s="1543">
        <f t="shared" si="202"/>
        <v>0</v>
      </c>
      <c r="CD112" s="1543">
        <f t="shared" si="202"/>
        <v>0</v>
      </c>
      <c r="CE112" s="1543">
        <f t="shared" si="202"/>
        <v>0</v>
      </c>
      <c r="CF112" s="1543">
        <f t="shared" si="202"/>
        <v>0</v>
      </c>
      <c r="CG112" s="1543">
        <f t="shared" si="202"/>
        <v>0</v>
      </c>
      <c r="CH112" s="1543">
        <f t="shared" si="202"/>
        <v>0</v>
      </c>
      <c r="CI112" s="1543">
        <f t="shared" si="202"/>
        <v>0</v>
      </c>
      <c r="CJ112" s="1543">
        <f t="shared" si="202"/>
        <v>0</v>
      </c>
      <c r="CK112" s="1543">
        <f t="shared" si="202"/>
        <v>0</v>
      </c>
      <c r="CL112" s="1543">
        <f t="shared" si="202"/>
        <v>0</v>
      </c>
      <c r="CM112" s="1543">
        <f t="shared" si="202"/>
        <v>0</v>
      </c>
      <c r="CN112" s="1543">
        <f t="shared" si="202"/>
        <v>0</v>
      </c>
      <c r="CO112" s="1543">
        <f t="shared" si="202"/>
        <v>0</v>
      </c>
      <c r="CP112" s="1543">
        <f t="shared" si="202"/>
        <v>0</v>
      </c>
      <c r="CQ112" s="1543">
        <f t="shared" si="202"/>
        <v>0</v>
      </c>
      <c r="CR112" s="1543">
        <f t="shared" si="179"/>
        <v>0</v>
      </c>
      <c r="CS112" s="1543">
        <f t="shared" si="179"/>
        <v>0</v>
      </c>
      <c r="CT112" s="1543">
        <f t="shared" ref="CT112:DB127" si="205">IF($I112=CT$2,1,0)</f>
        <v>0</v>
      </c>
      <c r="CU112" s="1543">
        <f t="shared" si="205"/>
        <v>0</v>
      </c>
      <c r="CV112" s="1543">
        <f t="shared" si="205"/>
        <v>0</v>
      </c>
      <c r="CW112" s="1543">
        <f t="shared" si="205"/>
        <v>0</v>
      </c>
      <c r="CX112" s="1543">
        <f t="shared" si="205"/>
        <v>0</v>
      </c>
      <c r="CY112" s="1543">
        <f t="shared" si="205"/>
        <v>0</v>
      </c>
      <c r="CZ112" s="1543">
        <f t="shared" si="205"/>
        <v>0</v>
      </c>
      <c r="DA112" s="1543">
        <f t="shared" si="205"/>
        <v>0</v>
      </c>
      <c r="DB112" s="1543">
        <f t="shared" si="205"/>
        <v>0</v>
      </c>
      <c r="DD112" s="1543">
        <f t="shared" si="194"/>
        <v>0</v>
      </c>
      <c r="DE112" s="1543">
        <f t="shared" si="195"/>
        <v>0</v>
      </c>
      <c r="DF112" s="1543">
        <f t="shared" si="196"/>
        <v>0</v>
      </c>
      <c r="DG112" s="1543">
        <f t="shared" si="162"/>
        <v>0</v>
      </c>
      <c r="DI112" s="1543">
        <f t="shared" si="163"/>
        <v>0</v>
      </c>
      <c r="DJ112" s="1543">
        <f t="shared" si="185"/>
        <v>0</v>
      </c>
      <c r="DK112" s="1543">
        <f t="shared" si="185"/>
        <v>0</v>
      </c>
      <c r="DL112" s="1543">
        <f t="shared" si="185"/>
        <v>0</v>
      </c>
      <c r="DM112" s="1543">
        <f t="shared" si="185"/>
        <v>0</v>
      </c>
      <c r="DO112" s="1543">
        <f t="shared" si="200"/>
        <v>0</v>
      </c>
      <c r="DP112" s="1543">
        <f t="shared" si="200"/>
        <v>0</v>
      </c>
      <c r="DQ112" s="1543">
        <f t="shared" si="200"/>
        <v>0</v>
      </c>
      <c r="DR112" s="1543">
        <f t="shared" si="200"/>
        <v>0</v>
      </c>
      <c r="DS112" s="1543">
        <f t="shared" si="200"/>
        <v>0</v>
      </c>
      <c r="DT112" s="1543">
        <f t="shared" si="200"/>
        <v>0</v>
      </c>
      <c r="DU112" s="1543">
        <f t="shared" si="200"/>
        <v>0</v>
      </c>
      <c r="DV112" s="1543">
        <f t="shared" si="200"/>
        <v>0</v>
      </c>
      <c r="DW112" s="1543">
        <f t="shared" si="200"/>
        <v>0</v>
      </c>
      <c r="DX112" s="1543">
        <f t="shared" si="200"/>
        <v>0</v>
      </c>
      <c r="DY112" s="1543">
        <f t="shared" si="200"/>
        <v>0</v>
      </c>
      <c r="DZ112" s="1543">
        <f t="shared" si="200"/>
        <v>0</v>
      </c>
      <c r="EA112" s="1543">
        <f t="shared" si="200"/>
        <v>0</v>
      </c>
      <c r="EB112" s="1543">
        <f t="shared" si="180"/>
        <v>0</v>
      </c>
      <c r="EC112" s="1543">
        <f t="shared" si="180"/>
        <v>0</v>
      </c>
      <c r="ED112" s="1543">
        <f t="shared" si="180"/>
        <v>0</v>
      </c>
      <c r="EE112" s="1543">
        <f t="shared" si="180"/>
        <v>0</v>
      </c>
      <c r="EF112" s="1543">
        <f t="shared" si="180"/>
        <v>0</v>
      </c>
      <c r="EH112" s="1543">
        <f t="shared" si="165"/>
        <v>0</v>
      </c>
      <c r="EI112" s="1543">
        <f t="shared" si="166"/>
        <v>0</v>
      </c>
      <c r="EJ112" s="1543">
        <f t="shared" si="167"/>
        <v>0</v>
      </c>
      <c r="EK112" s="1543">
        <f t="shared" si="168"/>
        <v>0</v>
      </c>
      <c r="EL112" s="1543">
        <f t="shared" si="169"/>
        <v>0</v>
      </c>
      <c r="EM112" s="1543">
        <f t="shared" si="170"/>
        <v>0</v>
      </c>
      <c r="EN112" s="1543">
        <f t="shared" si="171"/>
        <v>0</v>
      </c>
      <c r="EP112" s="1543">
        <f t="shared" si="197"/>
        <v>0</v>
      </c>
      <c r="EQ112" s="1543">
        <f t="shared" si="197"/>
        <v>0</v>
      </c>
      <c r="ER112" s="1543">
        <f t="shared" si="197"/>
        <v>0</v>
      </c>
      <c r="ES112" s="1543">
        <f t="shared" si="192"/>
        <v>0</v>
      </c>
      <c r="ET112" s="1543">
        <f t="shared" si="193"/>
        <v>0</v>
      </c>
      <c r="EU112" s="1543">
        <f t="shared" si="193"/>
        <v>0</v>
      </c>
      <c r="EV112" s="1543">
        <f t="shared" si="193"/>
        <v>0</v>
      </c>
      <c r="EW112" s="1543">
        <f t="shared" si="193"/>
        <v>0</v>
      </c>
      <c r="EX112" s="1543">
        <f t="shared" si="193"/>
        <v>0</v>
      </c>
      <c r="EY112" s="1543">
        <f t="shared" si="193"/>
        <v>0</v>
      </c>
      <c r="EZ112" s="1543">
        <f t="shared" si="193"/>
        <v>0</v>
      </c>
      <c r="FA112" s="1543">
        <f t="shared" si="193"/>
        <v>0</v>
      </c>
      <c r="FB112" s="1543">
        <f t="shared" si="193"/>
        <v>0</v>
      </c>
      <c r="FC112" s="1543">
        <f t="shared" si="193"/>
        <v>0</v>
      </c>
      <c r="FD112" s="1543">
        <f t="shared" si="193"/>
        <v>0</v>
      </c>
      <c r="FE112" s="1543">
        <f t="shared" si="184"/>
        <v>0</v>
      </c>
      <c r="FF112" s="1543">
        <f t="shared" si="172"/>
        <v>1</v>
      </c>
      <c r="FH112" s="1543">
        <f t="shared" si="198"/>
        <v>0</v>
      </c>
      <c r="FI112" s="1543">
        <f t="shared" si="198"/>
        <v>0</v>
      </c>
      <c r="FJ112" s="1543">
        <f t="shared" si="198"/>
        <v>0</v>
      </c>
      <c r="FK112" s="1543">
        <f t="shared" si="198"/>
        <v>0</v>
      </c>
      <c r="FL112" s="1543">
        <f t="shared" si="198"/>
        <v>0</v>
      </c>
      <c r="FM112" s="1543">
        <f t="shared" si="198"/>
        <v>0</v>
      </c>
      <c r="FN112" s="1543">
        <f t="shared" si="198"/>
        <v>0</v>
      </c>
      <c r="FO112" s="1543">
        <f t="shared" si="198"/>
        <v>0</v>
      </c>
      <c r="FP112" s="1543">
        <f t="shared" si="198"/>
        <v>0</v>
      </c>
      <c r="FQ112" s="1543">
        <f t="shared" si="198"/>
        <v>0</v>
      </c>
      <c r="FR112" s="1543">
        <f t="shared" si="198"/>
        <v>0</v>
      </c>
      <c r="FS112" s="1543">
        <f t="shared" si="198"/>
        <v>0</v>
      </c>
      <c r="FT112" s="1543">
        <f t="shared" si="174"/>
        <v>0</v>
      </c>
      <c r="FV112" s="1543">
        <f t="shared" si="199"/>
        <v>1</v>
      </c>
      <c r="FW112" s="1543">
        <f t="shared" si="199"/>
        <v>0</v>
      </c>
      <c r="FX112" s="1543">
        <f t="shared" si="199"/>
        <v>0</v>
      </c>
      <c r="FY112" s="1543">
        <f t="shared" si="199"/>
        <v>0</v>
      </c>
      <c r="FZ112" s="1543">
        <f t="shared" si="199"/>
        <v>0</v>
      </c>
      <c r="GA112" s="1543">
        <f t="shared" si="199"/>
        <v>0</v>
      </c>
      <c r="GB112" s="1543">
        <f t="shared" si="199"/>
        <v>0</v>
      </c>
      <c r="GC112" s="1543">
        <f t="shared" si="199"/>
        <v>0</v>
      </c>
      <c r="GD112" s="1543">
        <f t="shared" si="199"/>
        <v>0</v>
      </c>
    </row>
    <row r="113" spans="1:186" s="982" customFormat="1" ht="15.6" x14ac:dyDescent="0.3">
      <c r="A113" s="974">
        <v>111</v>
      </c>
      <c r="B113" s="983"/>
      <c r="C113" s="984"/>
      <c r="D113" s="983"/>
      <c r="E113" s="968" t="str">
        <f>IFERROR(VLOOKUP($D113&amp;"."&amp;B113,'Piping Class'!$1:$1048576,MATCH($I113,'Piping Class'!$2:$2,0),0),"")</f>
        <v/>
      </c>
      <c r="F113" s="985" t="str">
        <f>IFERROR(IF(B113="Flange",VLOOKUP($D113,'Piping Class'!$88:$102,MATCH(F$1,'Piping Class'!$88:$88,0),0),""),"")</f>
        <v/>
      </c>
      <c r="G113" s="968" t="str">
        <f>IFERROR(IF(B113="Flange",VLOOKUP($D113,'Piping Class'!$88:$102,MATCH(G$1,'Piping Class'!$88:$88,0),0),""),"")</f>
        <v/>
      </c>
      <c r="H113" s="968" t="str">
        <f>IFERROR(VLOOKUP($D113,'Piping Class'!$88:$102,MATCH(H$1,'Piping Class'!$88:$88,0),0),"")</f>
        <v/>
      </c>
      <c r="I113" s="986"/>
      <c r="J113" s="987"/>
      <c r="K113" s="968" t="str">
        <f>IFERROR(VLOOKUP(I113,'Thickness Tab'!$1:$1048576,MATCH(L113,'Thickness Tab'!$1:$1,0),0),"")</f>
        <v/>
      </c>
      <c r="L113" s="969" t="str">
        <f>IFERROR(VLOOKUP($D113,'Piping Class'!$1:$1048576,MATCH($I113,'Piping Class'!$2:$2,0),0),"")</f>
        <v/>
      </c>
      <c r="M113" s="968" t="str">
        <f>IFERROR(VLOOKUP(J113,'Thickness Tab'!$1:$1048576,MATCH(N113,'Thickness Tab'!$1:$1,0),0),"")</f>
        <v/>
      </c>
      <c r="N113" s="969" t="str">
        <f>IFERROR(VLOOKUP($D113,'Piping Class'!$1:$1048576,MATCH($J113,'Piping Class'!$2:$2,0),0),"")</f>
        <v/>
      </c>
      <c r="O113" s="968" t="str">
        <f>IFERROR(VLOOKUP($D113,'Piping Class'!$88:$102,MATCH(O$1,'Piping Class'!$88:$88,0),0),"")</f>
        <v/>
      </c>
      <c r="P113" s="968" t="str">
        <f>IFERROR(VLOOKUP($D113,'Piping Class'!$88:$102,MATCH(P$1,'Piping Class'!$88:$88,0),0),"")</f>
        <v/>
      </c>
      <c r="Q113" s="983"/>
      <c r="R113" s="988"/>
      <c r="S113" s="969" t="str">
        <f t="shared" si="150"/>
        <v/>
      </c>
      <c r="T113" s="968">
        <f>IFERROR(VLOOKUP(I113&amp;"."&amp;L113,'Fitting Chart'!$1:$1048576,MATCH(C113,'Fitting Chart'!$1:$1,0),0),0)+IF(B113="piping",PI()*K113*(VLOOKUP(I113,'Thickness Tab'!$1:$1048576,3,0)-K113)*7.86/1000,0)+IF(B113="Flange",VLOOKUP(I113&amp;"F"&amp;F113,'Flanges Chart'!$1:$1048576,MATCH(C113&amp;"."&amp;T$1,'Flanges Chart'!$1:$1,0),0),0)</f>
        <v>0</v>
      </c>
      <c r="U113" s="989">
        <f t="shared" si="151"/>
        <v>0</v>
      </c>
      <c r="V113" s="1003"/>
      <c r="W113" s="1001">
        <f t="shared" si="152"/>
        <v>0</v>
      </c>
      <c r="X113" s="997"/>
      <c r="Y113" s="983"/>
      <c r="Z113" s="989">
        <f>IF(B113="Piping",VLOOKUP(I113,'Thickness Tab'!$1:$1048576,3,0)/1000*PI(),0)+IFERROR(VLOOKUP(I113&amp;"F"&amp;F113,'Flanges Chart'!$1:$1048576,MATCH(C113&amp;".Unit Surface",'Flanges Chart'!$1:$1,0),0),0)+IF(B113="Fitting",VLOOKUP(I113,'Thickness Tab'!$1:$1048576,3,0)/1000*PI(),0)</f>
        <v>0</v>
      </c>
      <c r="AA113" s="989">
        <f t="shared" si="153"/>
        <v>0</v>
      </c>
      <c r="AB113" s="983">
        <v>0</v>
      </c>
      <c r="AC113" s="989">
        <f t="shared" si="154"/>
        <v>0</v>
      </c>
      <c r="AD113" s="989">
        <f t="shared" si="155"/>
        <v>0</v>
      </c>
      <c r="AE113" s="974">
        <f>(IFERROR(VLOOKUP($C113,List!$J:$L,2,0),0)*R113+IF(B113="piping",R113,0)+IF(C113="Welding Neck",1,0)*R113)*$AE$2</f>
        <v>0</v>
      </c>
      <c r="AF113" s="970">
        <f>IFERROR(VLOOKUP($C113,List!$J:$L,3,0),0)*R113*$AF$2</f>
        <v>0</v>
      </c>
      <c r="AG113" s="990">
        <f t="shared" si="156"/>
        <v>0</v>
      </c>
      <c r="AH113" s="1118" t="str">
        <f>IFERROR(VLOOKUP($D113,'Piping Class'!$88:$102,MATCH(AH$1,'Piping Class'!$88:$88,0),0),"")</f>
        <v/>
      </c>
      <c r="AI113" s="991" t="str">
        <f>IFERROR(VLOOKUP($D113,'Piping Class'!$88:$102,MATCH(AI$1,'Piping Class'!$88:$88,0),0),"")</f>
        <v/>
      </c>
      <c r="AJ113" s="991" t="str">
        <f>IFERROR(VLOOKUP($D113,'Piping Class'!$88:$102,MATCH(AJ$1,'Piping Class'!$88:$88,0),0),"")</f>
        <v/>
      </c>
      <c r="AK113" s="991" t="str">
        <f>IFERROR(VLOOKUP($D113,'Piping Class'!$88:$102,MATCH(AK$1,'Piping Class'!$88:$88,0),0),"")</f>
        <v/>
      </c>
      <c r="AL113" s="991">
        <f t="shared" si="182"/>
        <v>0</v>
      </c>
      <c r="AM113" s="1119" t="str">
        <f>IFERROR(VLOOKUP($D113,'Piping Class'!$88:$102,MATCH(AM$1,'Piping Class'!$88:$88,0),0),"")</f>
        <v/>
      </c>
      <c r="AN113" s="992">
        <f t="shared" si="157"/>
        <v>0</v>
      </c>
      <c r="AO113" s="993">
        <f>IFERROR(VLOOKUP(I113&amp;"B"&amp;F113,'Bolting Chart'!$1:$1048576,4,0),0)</f>
        <v>0</v>
      </c>
      <c r="AP113" s="993">
        <f t="shared" si="158"/>
        <v>0</v>
      </c>
      <c r="AQ113" s="993">
        <f t="shared" si="159"/>
        <v>0</v>
      </c>
      <c r="AR113" s="993">
        <f>IF(AO113=0,0,VLOOKUP(D113&amp;".bolting",'Piping Class'!$1:$1048576,MATCH(I113,'Piping Class'!$2:$2,0),0))</f>
        <v>0</v>
      </c>
      <c r="AS113" s="994">
        <f>IFERROR(VLOOKUP(I113&amp;"B"&amp;F113,'Bolting Chart'!$1:$1048576,IF(AS$2="UNC",5,6),0),0)</f>
        <v>0</v>
      </c>
      <c r="AT113" s="995">
        <f>IFERROR(VLOOKUP(I113&amp;"B"&amp;F113,'Bolting Chart'!$1:$1048576,IF(G113="RF",8,9),0),0)</f>
        <v>0</v>
      </c>
      <c r="AU113" s="993">
        <f>IF(AO113=0,0,VLOOKUP(D113&amp;".gasket",'Piping Class'!$1:$1048576,MATCH(I113,'Piping Class'!$2:$2,0),0))</f>
        <v>0</v>
      </c>
      <c r="AV113" s="996">
        <f>(IFERROR(INDEX('Bolting Chart'!$A$169:$R$251,MATCH(AT113,'Bolting Chart'!$A$170:$A$251,0),MATCH(IFERROR(VLOOKUP(I113&amp;"B"&amp;F113,'Bolting Chart'!$1:$1048576,7,0),0)+0,'Bolting Chart'!$A$169:$R$169,0)),0))/100</f>
        <v>0</v>
      </c>
      <c r="AW113" s="996">
        <f t="shared" si="160"/>
        <v>0</v>
      </c>
      <c r="AX113" s="1194">
        <f t="shared" si="161"/>
        <v>0</v>
      </c>
      <c r="AY113" s="981"/>
      <c r="AZ113" s="1543">
        <f t="shared" si="201"/>
        <v>0</v>
      </c>
      <c r="BA113" s="1543">
        <f t="shared" si="201"/>
        <v>0</v>
      </c>
      <c r="BB113" s="1543">
        <f t="shared" si="201"/>
        <v>0</v>
      </c>
      <c r="BC113" s="1543">
        <f t="shared" si="201"/>
        <v>0</v>
      </c>
      <c r="BD113" s="1543">
        <f t="shared" si="201"/>
        <v>0</v>
      </c>
      <c r="BE113" s="1543">
        <f t="shared" si="201"/>
        <v>0</v>
      </c>
      <c r="BF113" s="1543">
        <f t="shared" si="201"/>
        <v>0</v>
      </c>
      <c r="BG113" s="1543">
        <f t="shared" si="201"/>
        <v>0</v>
      </c>
      <c r="BH113" s="1543">
        <f t="shared" si="201"/>
        <v>0</v>
      </c>
      <c r="BI113" s="1543">
        <f t="shared" si="201"/>
        <v>0</v>
      </c>
      <c r="BJ113" s="1543">
        <f t="shared" si="201"/>
        <v>0</v>
      </c>
      <c r="BK113" s="1543">
        <f t="shared" si="201"/>
        <v>0</v>
      </c>
      <c r="BL113" s="1543">
        <f t="shared" si="201"/>
        <v>0</v>
      </c>
      <c r="BM113" s="1543">
        <f t="shared" si="201"/>
        <v>0</v>
      </c>
      <c r="BN113" s="1543">
        <f t="shared" si="201"/>
        <v>0</v>
      </c>
      <c r="BO113" s="1543">
        <f t="shared" si="201"/>
        <v>0</v>
      </c>
      <c r="BP113" s="1543">
        <f t="shared" si="178"/>
        <v>0</v>
      </c>
      <c r="BQ113" s="1543">
        <f t="shared" si="178"/>
        <v>0</v>
      </c>
      <c r="BR113" s="1543">
        <f t="shared" si="204"/>
        <v>0</v>
      </c>
      <c r="BS113" s="1543">
        <f t="shared" si="204"/>
        <v>0</v>
      </c>
      <c r="BT113" s="1543">
        <f t="shared" si="204"/>
        <v>0</v>
      </c>
      <c r="BU113" s="1543">
        <f t="shared" si="204"/>
        <v>0</v>
      </c>
      <c r="BV113" s="1543">
        <f t="shared" si="204"/>
        <v>0</v>
      </c>
      <c r="BW113" s="1543">
        <f t="shared" si="204"/>
        <v>0</v>
      </c>
      <c r="BX113" s="1543">
        <f t="shared" si="204"/>
        <v>0</v>
      </c>
      <c r="BY113" s="1543">
        <f t="shared" si="204"/>
        <v>0</v>
      </c>
      <c r="BZ113" s="1543">
        <f t="shared" si="204"/>
        <v>0</v>
      </c>
      <c r="CB113" s="1543">
        <f t="shared" si="202"/>
        <v>0</v>
      </c>
      <c r="CC113" s="1543">
        <f t="shared" si="202"/>
        <v>0</v>
      </c>
      <c r="CD113" s="1543">
        <f t="shared" si="202"/>
        <v>0</v>
      </c>
      <c r="CE113" s="1543">
        <f t="shared" si="202"/>
        <v>0</v>
      </c>
      <c r="CF113" s="1543">
        <f t="shared" si="202"/>
        <v>0</v>
      </c>
      <c r="CG113" s="1543">
        <f t="shared" si="202"/>
        <v>0</v>
      </c>
      <c r="CH113" s="1543">
        <f t="shared" si="202"/>
        <v>0</v>
      </c>
      <c r="CI113" s="1543">
        <f t="shared" si="202"/>
        <v>0</v>
      </c>
      <c r="CJ113" s="1543">
        <f t="shared" si="202"/>
        <v>0</v>
      </c>
      <c r="CK113" s="1543">
        <f t="shared" si="202"/>
        <v>0</v>
      </c>
      <c r="CL113" s="1543">
        <f t="shared" si="202"/>
        <v>0</v>
      </c>
      <c r="CM113" s="1543">
        <f t="shared" si="202"/>
        <v>0</v>
      </c>
      <c r="CN113" s="1543">
        <f t="shared" si="202"/>
        <v>0</v>
      </c>
      <c r="CO113" s="1543">
        <f t="shared" si="202"/>
        <v>0</v>
      </c>
      <c r="CP113" s="1543">
        <f t="shared" si="202"/>
        <v>0</v>
      </c>
      <c r="CQ113" s="1543">
        <f t="shared" si="202"/>
        <v>0</v>
      </c>
      <c r="CR113" s="1543">
        <f t="shared" si="179"/>
        <v>0</v>
      </c>
      <c r="CS113" s="1543">
        <f t="shared" si="179"/>
        <v>0</v>
      </c>
      <c r="CT113" s="1543">
        <f t="shared" si="205"/>
        <v>0</v>
      </c>
      <c r="CU113" s="1543">
        <f t="shared" si="205"/>
        <v>0</v>
      </c>
      <c r="CV113" s="1543">
        <f t="shared" si="205"/>
        <v>0</v>
      </c>
      <c r="CW113" s="1543">
        <f t="shared" si="205"/>
        <v>0</v>
      </c>
      <c r="CX113" s="1543">
        <f t="shared" si="205"/>
        <v>0</v>
      </c>
      <c r="CY113" s="1543">
        <f t="shared" si="205"/>
        <v>0</v>
      </c>
      <c r="CZ113" s="1543">
        <f t="shared" si="205"/>
        <v>0</v>
      </c>
      <c r="DA113" s="1543">
        <f t="shared" si="205"/>
        <v>0</v>
      </c>
      <c r="DB113" s="1543">
        <f t="shared" si="205"/>
        <v>0</v>
      </c>
      <c r="DD113" s="1543">
        <f t="shared" si="194"/>
        <v>0</v>
      </c>
      <c r="DE113" s="1543">
        <f t="shared" si="195"/>
        <v>0</v>
      </c>
      <c r="DF113" s="1543">
        <f t="shared" si="196"/>
        <v>0</v>
      </c>
      <c r="DG113" s="1543">
        <f t="shared" si="162"/>
        <v>0</v>
      </c>
      <c r="DI113" s="1543">
        <f t="shared" si="163"/>
        <v>0</v>
      </c>
      <c r="DJ113" s="1543">
        <f t="shared" si="185"/>
        <v>0</v>
      </c>
      <c r="DK113" s="1543">
        <f t="shared" si="185"/>
        <v>0</v>
      </c>
      <c r="DL113" s="1543">
        <f t="shared" si="185"/>
        <v>0</v>
      </c>
      <c r="DM113" s="1543">
        <f t="shared" si="185"/>
        <v>0</v>
      </c>
      <c r="DO113" s="1543">
        <f t="shared" si="200"/>
        <v>0</v>
      </c>
      <c r="DP113" s="1543">
        <f t="shared" si="200"/>
        <v>0</v>
      </c>
      <c r="DQ113" s="1543">
        <f t="shared" si="200"/>
        <v>0</v>
      </c>
      <c r="DR113" s="1543">
        <f t="shared" si="200"/>
        <v>0</v>
      </c>
      <c r="DS113" s="1543">
        <f t="shared" si="200"/>
        <v>0</v>
      </c>
      <c r="DT113" s="1543">
        <f t="shared" si="200"/>
        <v>0</v>
      </c>
      <c r="DU113" s="1543">
        <f t="shared" si="200"/>
        <v>0</v>
      </c>
      <c r="DV113" s="1543">
        <f t="shared" si="200"/>
        <v>0</v>
      </c>
      <c r="DW113" s="1543">
        <f t="shared" si="200"/>
        <v>0</v>
      </c>
      <c r="DX113" s="1543">
        <f t="shared" si="200"/>
        <v>0</v>
      </c>
      <c r="DY113" s="1543">
        <f t="shared" si="200"/>
        <v>0</v>
      </c>
      <c r="DZ113" s="1543">
        <f t="shared" si="200"/>
        <v>0</v>
      </c>
      <c r="EA113" s="1543">
        <f t="shared" si="200"/>
        <v>0</v>
      </c>
      <c r="EB113" s="1543">
        <f t="shared" si="180"/>
        <v>0</v>
      </c>
      <c r="EC113" s="1543">
        <f t="shared" si="180"/>
        <v>0</v>
      </c>
      <c r="ED113" s="1543">
        <f t="shared" si="180"/>
        <v>0</v>
      </c>
      <c r="EE113" s="1543">
        <f t="shared" si="180"/>
        <v>0</v>
      </c>
      <c r="EF113" s="1543">
        <f t="shared" si="180"/>
        <v>0</v>
      </c>
      <c r="EH113" s="1543">
        <f t="shared" si="165"/>
        <v>0</v>
      </c>
      <c r="EI113" s="1543">
        <f t="shared" si="166"/>
        <v>0</v>
      </c>
      <c r="EJ113" s="1543">
        <f t="shared" si="167"/>
        <v>0</v>
      </c>
      <c r="EK113" s="1543">
        <f t="shared" si="168"/>
        <v>0</v>
      </c>
      <c r="EL113" s="1543">
        <f t="shared" si="169"/>
        <v>0</v>
      </c>
      <c r="EM113" s="1543">
        <f t="shared" si="170"/>
        <v>0</v>
      </c>
      <c r="EN113" s="1543">
        <f t="shared" si="171"/>
        <v>0</v>
      </c>
      <c r="EP113" s="1543">
        <f t="shared" si="197"/>
        <v>0</v>
      </c>
      <c r="EQ113" s="1543">
        <f t="shared" si="197"/>
        <v>0</v>
      </c>
      <c r="ER113" s="1543">
        <f t="shared" si="197"/>
        <v>0</v>
      </c>
      <c r="ES113" s="1543">
        <f t="shared" si="192"/>
        <v>0</v>
      </c>
      <c r="ET113" s="1543">
        <f t="shared" si="193"/>
        <v>0</v>
      </c>
      <c r="EU113" s="1543">
        <f t="shared" si="193"/>
        <v>0</v>
      </c>
      <c r="EV113" s="1543">
        <f t="shared" si="193"/>
        <v>0</v>
      </c>
      <c r="EW113" s="1543">
        <f t="shared" si="193"/>
        <v>0</v>
      </c>
      <c r="EX113" s="1543">
        <f t="shared" si="193"/>
        <v>0</v>
      </c>
      <c r="EY113" s="1543">
        <f t="shared" si="193"/>
        <v>0</v>
      </c>
      <c r="EZ113" s="1543">
        <f t="shared" si="193"/>
        <v>0</v>
      </c>
      <c r="FA113" s="1543">
        <f t="shared" si="193"/>
        <v>0</v>
      </c>
      <c r="FB113" s="1543">
        <f t="shared" si="193"/>
        <v>0</v>
      </c>
      <c r="FC113" s="1543">
        <f t="shared" si="193"/>
        <v>0</v>
      </c>
      <c r="FD113" s="1543">
        <f t="shared" si="193"/>
        <v>0</v>
      </c>
      <c r="FE113" s="1543">
        <f t="shared" si="184"/>
        <v>0</v>
      </c>
      <c r="FF113" s="1543">
        <f t="shared" si="172"/>
        <v>1</v>
      </c>
      <c r="FH113" s="1543">
        <f t="shared" si="198"/>
        <v>0</v>
      </c>
      <c r="FI113" s="1543">
        <f t="shared" si="198"/>
        <v>0</v>
      </c>
      <c r="FJ113" s="1543">
        <f t="shared" si="198"/>
        <v>0</v>
      </c>
      <c r="FK113" s="1543">
        <f t="shared" si="198"/>
        <v>0</v>
      </c>
      <c r="FL113" s="1543">
        <f t="shared" si="198"/>
        <v>0</v>
      </c>
      <c r="FM113" s="1543">
        <f t="shared" si="198"/>
        <v>0</v>
      </c>
      <c r="FN113" s="1543">
        <f t="shared" si="198"/>
        <v>0</v>
      </c>
      <c r="FO113" s="1543">
        <f t="shared" si="198"/>
        <v>0</v>
      </c>
      <c r="FP113" s="1543">
        <f t="shared" si="198"/>
        <v>0</v>
      </c>
      <c r="FQ113" s="1543">
        <f t="shared" si="198"/>
        <v>0</v>
      </c>
      <c r="FR113" s="1543">
        <f t="shared" si="198"/>
        <v>0</v>
      </c>
      <c r="FS113" s="1543">
        <f t="shared" si="198"/>
        <v>0</v>
      </c>
      <c r="FT113" s="1543">
        <f t="shared" si="174"/>
        <v>0</v>
      </c>
      <c r="FV113" s="1543">
        <f t="shared" si="199"/>
        <v>1</v>
      </c>
      <c r="FW113" s="1543">
        <f t="shared" si="199"/>
        <v>0</v>
      </c>
      <c r="FX113" s="1543">
        <f t="shared" si="199"/>
        <v>0</v>
      </c>
      <c r="FY113" s="1543">
        <f t="shared" si="199"/>
        <v>0</v>
      </c>
      <c r="FZ113" s="1543">
        <f t="shared" si="199"/>
        <v>0</v>
      </c>
      <c r="GA113" s="1543">
        <f t="shared" si="199"/>
        <v>0</v>
      </c>
      <c r="GB113" s="1543">
        <f t="shared" si="199"/>
        <v>0</v>
      </c>
      <c r="GC113" s="1543">
        <f t="shared" si="199"/>
        <v>0</v>
      </c>
      <c r="GD113" s="1543">
        <f t="shared" si="199"/>
        <v>0</v>
      </c>
    </row>
    <row r="114" spans="1:186" s="982" customFormat="1" ht="15.6" x14ac:dyDescent="0.3">
      <c r="A114" s="974">
        <v>112</v>
      </c>
      <c r="B114" s="983"/>
      <c r="C114" s="984"/>
      <c r="D114" s="983"/>
      <c r="E114" s="968" t="str">
        <f>IFERROR(VLOOKUP($D114&amp;"."&amp;B114,'Piping Class'!$1:$1048576,MATCH($I114,'Piping Class'!$2:$2,0),0),"")</f>
        <v/>
      </c>
      <c r="F114" s="985" t="str">
        <f>IFERROR(IF(B114="Flange",VLOOKUP($D114,'Piping Class'!$88:$102,MATCH(F$1,'Piping Class'!$88:$88,0),0),""),"")</f>
        <v/>
      </c>
      <c r="G114" s="968" t="str">
        <f>IFERROR(IF(B114="Flange",VLOOKUP($D114,'Piping Class'!$88:$102,MATCH(G$1,'Piping Class'!$88:$88,0),0),""),"")</f>
        <v/>
      </c>
      <c r="H114" s="968" t="str">
        <f>IFERROR(VLOOKUP($D114,'Piping Class'!$88:$102,MATCH(H$1,'Piping Class'!$88:$88,0),0),"")</f>
        <v/>
      </c>
      <c r="I114" s="986"/>
      <c r="J114" s="987"/>
      <c r="K114" s="968" t="str">
        <f>IFERROR(VLOOKUP(I114,'Thickness Tab'!$1:$1048576,MATCH(L114,'Thickness Tab'!$1:$1,0),0),"")</f>
        <v/>
      </c>
      <c r="L114" s="969" t="str">
        <f>IFERROR(VLOOKUP($D114,'Piping Class'!$1:$1048576,MATCH($I114,'Piping Class'!$2:$2,0),0),"")</f>
        <v/>
      </c>
      <c r="M114" s="968" t="str">
        <f>IFERROR(VLOOKUP(J114,'Thickness Tab'!$1:$1048576,MATCH(N114,'Thickness Tab'!$1:$1,0),0),"")</f>
        <v/>
      </c>
      <c r="N114" s="969" t="str">
        <f>IFERROR(VLOOKUP($D114,'Piping Class'!$1:$1048576,MATCH($J114,'Piping Class'!$2:$2,0),0),"")</f>
        <v/>
      </c>
      <c r="O114" s="968" t="str">
        <f>IFERROR(VLOOKUP($D114,'Piping Class'!$88:$102,MATCH(O$1,'Piping Class'!$88:$88,0),0),"")</f>
        <v/>
      </c>
      <c r="P114" s="968" t="str">
        <f>IFERROR(VLOOKUP($D114,'Piping Class'!$88:$102,MATCH(P$1,'Piping Class'!$88:$88,0),0),"")</f>
        <v/>
      </c>
      <c r="Q114" s="983"/>
      <c r="R114" s="988"/>
      <c r="S114" s="969" t="str">
        <f t="shared" ref="S114:S125" si="206">IF(B114="","",IF(B114="piping","m","cad"))</f>
        <v/>
      </c>
      <c r="T114" s="968">
        <f>IFERROR(VLOOKUP(I114&amp;"."&amp;L114,'Fitting Chart'!$1:$1048576,MATCH(C114,'Fitting Chart'!$1:$1,0),0),0)+IF(B114="piping",PI()*K114*(VLOOKUP(I114,'Thickness Tab'!$1:$1048576,3,0)-K114)*7.86/1000,0)+IF(B114="Flange",VLOOKUP(I114&amp;"F"&amp;F114,'Flanges Chart'!$1:$1048576,MATCH(C114&amp;"."&amp;T$1,'Flanges Chart'!$1:$1,0),0),0)</f>
        <v>0</v>
      </c>
      <c r="U114" s="989">
        <f t="shared" ref="U114:U125" si="207">T114*R114</f>
        <v>0</v>
      </c>
      <c r="V114" s="1003"/>
      <c r="W114" s="1001">
        <f t="shared" ref="W114:W125" si="208">V114*U114</f>
        <v>0</v>
      </c>
      <c r="X114" s="997"/>
      <c r="Y114" s="983"/>
      <c r="Z114" s="989">
        <f>IF(B114="Piping",VLOOKUP(I114,'Thickness Tab'!$1:$1048576,3,0)/1000*PI(),0)+IFERROR(VLOOKUP(I114&amp;"F"&amp;F114,'Flanges Chart'!$1:$1048576,MATCH(C114&amp;".Unit Surface",'Flanges Chart'!$1:$1,0),0),0)+IF(B114="Fitting",VLOOKUP(I114,'Thickness Tab'!$1:$1048576,3,0)/1000*PI(),0)</f>
        <v>0</v>
      </c>
      <c r="AA114" s="989">
        <f t="shared" ref="AA114:AA125" si="209">Z114*R114</f>
        <v>0</v>
      </c>
      <c r="AB114" s="983">
        <v>0</v>
      </c>
      <c r="AC114" s="989">
        <f t="shared" si="154"/>
        <v>0</v>
      </c>
      <c r="AD114" s="989">
        <f t="shared" si="155"/>
        <v>0</v>
      </c>
      <c r="AE114" s="974">
        <f>(IFERROR(VLOOKUP($C114,List!$J:$L,2,0),0)*R114+IF(B114="piping",R114,0)+IF(C114="Welding Neck",1,0)*R114)*$AE$2</f>
        <v>0</v>
      </c>
      <c r="AF114" s="970">
        <f>IFERROR(VLOOKUP($C114,List!$J:$L,3,0),0)*R114*$AF$2</f>
        <v>0</v>
      </c>
      <c r="AG114" s="990">
        <f t="shared" ref="AG114:AG125" si="210">AE114*I114+J114*AF114</f>
        <v>0</v>
      </c>
      <c r="AH114" s="1118" t="str">
        <f>IFERROR(VLOOKUP($D114,'Piping Class'!$88:$102,MATCH(AH$1,'Piping Class'!$88:$88,0),0),"")</f>
        <v/>
      </c>
      <c r="AI114" s="991" t="str">
        <f>IFERROR(VLOOKUP($D114,'Piping Class'!$88:$102,MATCH(AI$1,'Piping Class'!$88:$88,0),0),"")</f>
        <v/>
      </c>
      <c r="AJ114" s="991" t="str">
        <f>IFERROR(VLOOKUP($D114,'Piping Class'!$88:$102,MATCH(AJ$1,'Piping Class'!$88:$88,0),0),"")</f>
        <v/>
      </c>
      <c r="AK114" s="991" t="str">
        <f>IFERROR(VLOOKUP($D114,'Piping Class'!$88:$102,MATCH(AK$1,'Piping Class'!$88:$88,0),0),"")</f>
        <v/>
      </c>
      <c r="AL114" s="991">
        <f t="shared" si="182"/>
        <v>0</v>
      </c>
      <c r="AM114" s="1119" t="str">
        <f>IFERROR(VLOOKUP($D114,'Piping Class'!$88:$102,MATCH(AM$1,'Piping Class'!$88:$88,0),0),"")</f>
        <v/>
      </c>
      <c r="AN114" s="992">
        <f t="shared" si="157"/>
        <v>0</v>
      </c>
      <c r="AO114" s="993">
        <f>IFERROR(VLOOKUP(I114&amp;"B"&amp;F114,'Bolting Chart'!$1:$1048576,4,0),0)</f>
        <v>0</v>
      </c>
      <c r="AP114" s="993">
        <f t="shared" ref="AP114:AP125" si="211">IFERROR(AO114*R114,0)</f>
        <v>0</v>
      </c>
      <c r="AQ114" s="993">
        <f t="shared" ref="AQ114:AQ125" si="212">IF(AO114=0,0,R114)</f>
        <v>0</v>
      </c>
      <c r="AR114" s="993">
        <f>IF(AO114=0,0,VLOOKUP(D114&amp;".bolting",'Piping Class'!$1:$1048576,MATCH(I114,'Piping Class'!$2:$2,0),0))</f>
        <v>0</v>
      </c>
      <c r="AS114" s="994">
        <f>IFERROR(VLOOKUP(I114&amp;"B"&amp;F114,'Bolting Chart'!$1:$1048576,IF(AS$2="UNC",5,6),0),0)</f>
        <v>0</v>
      </c>
      <c r="AT114" s="995">
        <f>IFERROR(VLOOKUP(I114&amp;"B"&amp;F114,'Bolting Chart'!$1:$1048576,IF(G114="RF",8,9),0),0)</f>
        <v>0</v>
      </c>
      <c r="AU114" s="993">
        <f>IF(AO114=0,0,VLOOKUP(D114&amp;".gasket",'Piping Class'!$1:$1048576,MATCH(I114,'Piping Class'!$2:$2,0),0))</f>
        <v>0</v>
      </c>
      <c r="AV114" s="996">
        <f>(IFERROR(INDEX('Bolting Chart'!$A$169:$R$251,MATCH(AT114,'Bolting Chart'!$A$170:$A$251,0),MATCH(IFERROR(VLOOKUP(I114&amp;"B"&amp;F114,'Bolting Chart'!$1:$1048576,7,0),0)+0,'Bolting Chart'!$A$169:$R$169,0)),0))/100</f>
        <v>0</v>
      </c>
      <c r="AW114" s="996">
        <f t="shared" ref="AW114:AW125" si="213">AV114*AO114</f>
        <v>0</v>
      </c>
      <c r="AX114" s="1194">
        <f t="shared" ref="AX114:AX125" si="214">AV114*AP114</f>
        <v>0</v>
      </c>
      <c r="AY114" s="981"/>
      <c r="AZ114" s="1543">
        <f t="shared" si="201"/>
        <v>0</v>
      </c>
      <c r="BA114" s="1543">
        <f t="shared" si="201"/>
        <v>0</v>
      </c>
      <c r="BB114" s="1543">
        <f t="shared" si="201"/>
        <v>0</v>
      </c>
      <c r="BC114" s="1543">
        <f t="shared" si="201"/>
        <v>0</v>
      </c>
      <c r="BD114" s="1543">
        <f t="shared" si="201"/>
        <v>0</v>
      </c>
      <c r="BE114" s="1543">
        <f t="shared" si="201"/>
        <v>0</v>
      </c>
      <c r="BF114" s="1543">
        <f t="shared" si="201"/>
        <v>0</v>
      </c>
      <c r="BG114" s="1543">
        <f t="shared" si="201"/>
        <v>0</v>
      </c>
      <c r="BH114" s="1543">
        <f t="shared" si="201"/>
        <v>0</v>
      </c>
      <c r="BI114" s="1543">
        <f t="shared" si="201"/>
        <v>0</v>
      </c>
      <c r="BJ114" s="1543">
        <f t="shared" si="201"/>
        <v>0</v>
      </c>
      <c r="BK114" s="1543">
        <f t="shared" si="201"/>
        <v>0</v>
      </c>
      <c r="BL114" s="1543">
        <f t="shared" si="201"/>
        <v>0</v>
      </c>
      <c r="BM114" s="1543">
        <f t="shared" si="201"/>
        <v>0</v>
      </c>
      <c r="BN114" s="1543">
        <f t="shared" si="201"/>
        <v>0</v>
      </c>
      <c r="BO114" s="1543">
        <f t="shared" si="201"/>
        <v>0</v>
      </c>
      <c r="BP114" s="1543">
        <f t="shared" si="178"/>
        <v>0</v>
      </c>
      <c r="BQ114" s="1543">
        <f t="shared" si="178"/>
        <v>0</v>
      </c>
      <c r="BR114" s="1543">
        <f t="shared" si="204"/>
        <v>0</v>
      </c>
      <c r="BS114" s="1543">
        <f t="shared" si="204"/>
        <v>0</v>
      </c>
      <c r="BT114" s="1543">
        <f t="shared" si="204"/>
        <v>0</v>
      </c>
      <c r="BU114" s="1543">
        <f t="shared" si="204"/>
        <v>0</v>
      </c>
      <c r="BV114" s="1543">
        <f t="shared" si="204"/>
        <v>0</v>
      </c>
      <c r="BW114" s="1543">
        <f t="shared" si="204"/>
        <v>0</v>
      </c>
      <c r="BX114" s="1543">
        <f t="shared" si="204"/>
        <v>0</v>
      </c>
      <c r="BY114" s="1543">
        <f t="shared" si="204"/>
        <v>0</v>
      </c>
      <c r="BZ114" s="1543">
        <f t="shared" si="204"/>
        <v>0</v>
      </c>
      <c r="CB114" s="1543">
        <f t="shared" si="202"/>
        <v>0</v>
      </c>
      <c r="CC114" s="1543">
        <f t="shared" si="202"/>
        <v>0</v>
      </c>
      <c r="CD114" s="1543">
        <f t="shared" si="202"/>
        <v>0</v>
      </c>
      <c r="CE114" s="1543">
        <f t="shared" si="202"/>
        <v>0</v>
      </c>
      <c r="CF114" s="1543">
        <f t="shared" si="202"/>
        <v>0</v>
      </c>
      <c r="CG114" s="1543">
        <f t="shared" si="202"/>
        <v>0</v>
      </c>
      <c r="CH114" s="1543">
        <f t="shared" si="202"/>
        <v>0</v>
      </c>
      <c r="CI114" s="1543">
        <f t="shared" si="202"/>
        <v>0</v>
      </c>
      <c r="CJ114" s="1543">
        <f t="shared" si="202"/>
        <v>0</v>
      </c>
      <c r="CK114" s="1543">
        <f t="shared" si="202"/>
        <v>0</v>
      </c>
      <c r="CL114" s="1543">
        <f t="shared" si="202"/>
        <v>0</v>
      </c>
      <c r="CM114" s="1543">
        <f t="shared" si="202"/>
        <v>0</v>
      </c>
      <c r="CN114" s="1543">
        <f t="shared" si="202"/>
        <v>0</v>
      </c>
      <c r="CO114" s="1543">
        <f t="shared" si="202"/>
        <v>0</v>
      </c>
      <c r="CP114" s="1543">
        <f t="shared" si="202"/>
        <v>0</v>
      </c>
      <c r="CQ114" s="1543">
        <f t="shared" si="202"/>
        <v>0</v>
      </c>
      <c r="CR114" s="1543">
        <f t="shared" si="179"/>
        <v>0</v>
      </c>
      <c r="CS114" s="1543">
        <f t="shared" si="179"/>
        <v>0</v>
      </c>
      <c r="CT114" s="1543">
        <f t="shared" si="205"/>
        <v>0</v>
      </c>
      <c r="CU114" s="1543">
        <f t="shared" si="205"/>
        <v>0</v>
      </c>
      <c r="CV114" s="1543">
        <f t="shared" si="205"/>
        <v>0</v>
      </c>
      <c r="CW114" s="1543">
        <f t="shared" si="205"/>
        <v>0</v>
      </c>
      <c r="CX114" s="1543">
        <f t="shared" si="205"/>
        <v>0</v>
      </c>
      <c r="CY114" s="1543">
        <f t="shared" si="205"/>
        <v>0</v>
      </c>
      <c r="CZ114" s="1543">
        <f t="shared" si="205"/>
        <v>0</v>
      </c>
      <c r="DA114" s="1543">
        <f t="shared" si="205"/>
        <v>0</v>
      </c>
      <c r="DB114" s="1543">
        <f t="shared" si="205"/>
        <v>0</v>
      </c>
      <c r="DD114" s="1543">
        <f t="shared" si="194"/>
        <v>0</v>
      </c>
      <c r="DE114" s="1543">
        <f t="shared" si="195"/>
        <v>0</v>
      </c>
      <c r="DF114" s="1543">
        <f t="shared" si="196"/>
        <v>0</v>
      </c>
      <c r="DG114" s="1543">
        <f t="shared" si="162"/>
        <v>0</v>
      </c>
      <c r="DI114" s="1543">
        <f t="shared" si="163"/>
        <v>0</v>
      </c>
      <c r="DJ114" s="1543">
        <f t="shared" si="185"/>
        <v>0</v>
      </c>
      <c r="DK114" s="1543">
        <f t="shared" si="185"/>
        <v>0</v>
      </c>
      <c r="DL114" s="1543">
        <f t="shared" si="185"/>
        <v>0</v>
      </c>
      <c r="DM114" s="1543">
        <f t="shared" si="185"/>
        <v>0</v>
      </c>
      <c r="DO114" s="1543">
        <f t="shared" si="200"/>
        <v>0</v>
      </c>
      <c r="DP114" s="1543">
        <f t="shared" si="200"/>
        <v>0</v>
      </c>
      <c r="DQ114" s="1543">
        <f t="shared" si="200"/>
        <v>0</v>
      </c>
      <c r="DR114" s="1543">
        <f t="shared" si="200"/>
        <v>0</v>
      </c>
      <c r="DS114" s="1543">
        <f t="shared" si="200"/>
        <v>0</v>
      </c>
      <c r="DT114" s="1543">
        <f t="shared" si="200"/>
        <v>0</v>
      </c>
      <c r="DU114" s="1543">
        <f t="shared" si="200"/>
        <v>0</v>
      </c>
      <c r="DV114" s="1543">
        <f t="shared" si="200"/>
        <v>0</v>
      </c>
      <c r="DW114" s="1543">
        <f t="shared" si="200"/>
        <v>0</v>
      </c>
      <c r="DX114" s="1543">
        <f t="shared" si="200"/>
        <v>0</v>
      </c>
      <c r="DY114" s="1543">
        <f t="shared" si="200"/>
        <v>0</v>
      </c>
      <c r="DZ114" s="1543">
        <f t="shared" si="200"/>
        <v>0</v>
      </c>
      <c r="EA114" s="1543">
        <f t="shared" si="200"/>
        <v>0</v>
      </c>
      <c r="EB114" s="1543">
        <f t="shared" si="180"/>
        <v>0</v>
      </c>
      <c r="EC114" s="1543">
        <f t="shared" si="180"/>
        <v>0</v>
      </c>
      <c r="ED114" s="1543">
        <f t="shared" si="180"/>
        <v>0</v>
      </c>
      <c r="EE114" s="1543">
        <f t="shared" si="180"/>
        <v>0</v>
      </c>
      <c r="EF114" s="1543">
        <f t="shared" si="180"/>
        <v>0</v>
      </c>
      <c r="EH114" s="1543">
        <f t="shared" ref="EH114:EH125" si="215">SUM(DO114:DS114,EB114:EE114)</f>
        <v>0</v>
      </c>
      <c r="EI114" s="1543">
        <f t="shared" ref="EI114:EI125" si="216">DT114</f>
        <v>0</v>
      </c>
      <c r="EJ114" s="1543">
        <f t="shared" ref="EJ114:EJ125" si="217">SUM(DU114:DV114,EF114)</f>
        <v>0</v>
      </c>
      <c r="EK114" s="1543">
        <f t="shared" ref="EK114:EK125" si="218">DW114</f>
        <v>0</v>
      </c>
      <c r="EL114" s="1543">
        <f t="shared" ref="EL114:EL125" si="219">DX114</f>
        <v>0</v>
      </c>
      <c r="EM114" s="1543">
        <f t="shared" ref="EM114:EM125" si="220">DY114</f>
        <v>0</v>
      </c>
      <c r="EN114" s="1543">
        <f t="shared" ref="EN114:EN125" si="221">SUM(DZ114:EA114)</f>
        <v>0</v>
      </c>
      <c r="EP114" s="1543">
        <f t="shared" si="197"/>
        <v>0</v>
      </c>
      <c r="EQ114" s="1543">
        <f t="shared" si="197"/>
        <v>0</v>
      </c>
      <c r="ER114" s="1543">
        <f t="shared" si="197"/>
        <v>0</v>
      </c>
      <c r="ES114" s="1543">
        <f t="shared" si="192"/>
        <v>0</v>
      </c>
      <c r="ET114" s="1543">
        <f t="shared" si="193"/>
        <v>0</v>
      </c>
      <c r="EU114" s="1543">
        <f t="shared" si="193"/>
        <v>0</v>
      </c>
      <c r="EV114" s="1543">
        <f t="shared" si="193"/>
        <v>0</v>
      </c>
      <c r="EW114" s="1543">
        <f t="shared" si="193"/>
        <v>0</v>
      </c>
      <c r="EX114" s="1543">
        <f t="shared" si="193"/>
        <v>0</v>
      </c>
      <c r="EY114" s="1543">
        <f t="shared" si="193"/>
        <v>0</v>
      </c>
      <c r="EZ114" s="1543">
        <f t="shared" si="193"/>
        <v>0</v>
      </c>
      <c r="FA114" s="1543">
        <f t="shared" si="193"/>
        <v>0</v>
      </c>
      <c r="FB114" s="1543">
        <f t="shared" si="193"/>
        <v>0</v>
      </c>
      <c r="FC114" s="1543">
        <f t="shared" si="193"/>
        <v>0</v>
      </c>
      <c r="FD114" s="1543">
        <f t="shared" si="193"/>
        <v>0</v>
      </c>
      <c r="FE114" s="1543">
        <f t="shared" si="184"/>
        <v>0</v>
      </c>
      <c r="FF114" s="1543">
        <f t="shared" si="172"/>
        <v>1</v>
      </c>
      <c r="FH114" s="1543">
        <f t="shared" si="198"/>
        <v>0</v>
      </c>
      <c r="FI114" s="1543">
        <f t="shared" si="198"/>
        <v>0</v>
      </c>
      <c r="FJ114" s="1543">
        <f t="shared" si="198"/>
        <v>0</v>
      </c>
      <c r="FK114" s="1543">
        <f t="shared" si="198"/>
        <v>0</v>
      </c>
      <c r="FL114" s="1543">
        <f t="shared" si="198"/>
        <v>0</v>
      </c>
      <c r="FM114" s="1543">
        <f t="shared" si="198"/>
        <v>0</v>
      </c>
      <c r="FN114" s="1543">
        <f t="shared" si="198"/>
        <v>0</v>
      </c>
      <c r="FO114" s="1543">
        <f t="shared" si="198"/>
        <v>0</v>
      </c>
      <c r="FP114" s="1543">
        <f t="shared" si="198"/>
        <v>0</v>
      </c>
      <c r="FQ114" s="1543">
        <f t="shared" si="198"/>
        <v>0</v>
      </c>
      <c r="FR114" s="1543">
        <f t="shared" si="198"/>
        <v>0</v>
      </c>
      <c r="FS114" s="1543">
        <f t="shared" si="198"/>
        <v>0</v>
      </c>
      <c r="FT114" s="1543">
        <f t="shared" si="174"/>
        <v>0</v>
      </c>
      <c r="FV114" s="1543">
        <f t="shared" si="199"/>
        <v>1</v>
      </c>
      <c r="FW114" s="1543">
        <f t="shared" si="199"/>
        <v>0</v>
      </c>
      <c r="FX114" s="1543">
        <f t="shared" si="199"/>
        <v>0</v>
      </c>
      <c r="FY114" s="1543">
        <f t="shared" si="199"/>
        <v>0</v>
      </c>
      <c r="FZ114" s="1543">
        <f t="shared" si="199"/>
        <v>0</v>
      </c>
      <c r="GA114" s="1543">
        <f t="shared" si="199"/>
        <v>0</v>
      </c>
      <c r="GB114" s="1543">
        <f t="shared" si="199"/>
        <v>0</v>
      </c>
      <c r="GC114" s="1543">
        <f t="shared" si="199"/>
        <v>0</v>
      </c>
      <c r="GD114" s="1543">
        <f t="shared" si="199"/>
        <v>0</v>
      </c>
    </row>
    <row r="115" spans="1:186" s="982" customFormat="1" ht="15.6" x14ac:dyDescent="0.3">
      <c r="A115" s="974">
        <v>113</v>
      </c>
      <c r="B115" s="983"/>
      <c r="C115" s="984"/>
      <c r="D115" s="983"/>
      <c r="E115" s="968" t="str">
        <f>IFERROR(VLOOKUP($D115&amp;"."&amp;B115,'Piping Class'!$1:$1048576,MATCH($I115,'Piping Class'!$2:$2,0),0),"")</f>
        <v/>
      </c>
      <c r="F115" s="985" t="str">
        <f>IFERROR(IF(B115="Flange",VLOOKUP($D115,'Piping Class'!$88:$102,MATCH(F$1,'Piping Class'!$88:$88,0),0),""),"")</f>
        <v/>
      </c>
      <c r="G115" s="968" t="str">
        <f>IFERROR(IF(B115="Flange",VLOOKUP($D115,'Piping Class'!$88:$102,MATCH(G$1,'Piping Class'!$88:$88,0),0),""),"")</f>
        <v/>
      </c>
      <c r="H115" s="968" t="str">
        <f>IFERROR(VLOOKUP($D115,'Piping Class'!$88:$102,MATCH(H$1,'Piping Class'!$88:$88,0),0),"")</f>
        <v/>
      </c>
      <c r="I115" s="986"/>
      <c r="J115" s="987"/>
      <c r="K115" s="968" t="str">
        <f>IFERROR(VLOOKUP(I115,'Thickness Tab'!$1:$1048576,MATCH(L115,'Thickness Tab'!$1:$1,0),0),"")</f>
        <v/>
      </c>
      <c r="L115" s="969" t="str">
        <f>IFERROR(VLOOKUP($D115,'Piping Class'!$1:$1048576,MATCH($I115,'Piping Class'!$2:$2,0),0),"")</f>
        <v/>
      </c>
      <c r="M115" s="968" t="str">
        <f>IFERROR(VLOOKUP(J115,'Thickness Tab'!$1:$1048576,MATCH(N115,'Thickness Tab'!$1:$1,0),0),"")</f>
        <v/>
      </c>
      <c r="N115" s="969" t="str">
        <f>IFERROR(VLOOKUP($D115,'Piping Class'!$1:$1048576,MATCH($J115,'Piping Class'!$2:$2,0),0),"")</f>
        <v/>
      </c>
      <c r="O115" s="968" t="str">
        <f>IFERROR(VLOOKUP($D115,'Piping Class'!$88:$102,MATCH(O$1,'Piping Class'!$88:$88,0),0),"")</f>
        <v/>
      </c>
      <c r="P115" s="968" t="str">
        <f>IFERROR(VLOOKUP($D115,'Piping Class'!$88:$102,MATCH(P$1,'Piping Class'!$88:$88,0),0),"")</f>
        <v/>
      </c>
      <c r="Q115" s="983"/>
      <c r="R115" s="988"/>
      <c r="S115" s="969" t="str">
        <f t="shared" si="206"/>
        <v/>
      </c>
      <c r="T115" s="968">
        <f>IFERROR(VLOOKUP(I115&amp;"."&amp;L115,'Fitting Chart'!$1:$1048576,MATCH(C115,'Fitting Chart'!$1:$1,0),0),0)+IF(B115="piping",PI()*K115*(VLOOKUP(I115,'Thickness Tab'!$1:$1048576,3,0)-K115)*7.86/1000,0)+IF(B115="Flange",VLOOKUP(I115&amp;"F"&amp;F115,'Flanges Chart'!$1:$1048576,MATCH(C115&amp;"."&amp;T$1,'Flanges Chart'!$1:$1,0),0),0)</f>
        <v>0</v>
      </c>
      <c r="U115" s="989">
        <f t="shared" si="207"/>
        <v>0</v>
      </c>
      <c r="V115" s="1003"/>
      <c r="W115" s="1001">
        <f t="shared" si="208"/>
        <v>0</v>
      </c>
      <c r="X115" s="997"/>
      <c r="Y115" s="983"/>
      <c r="Z115" s="989">
        <f>IF(B115="Piping",VLOOKUP(I115,'Thickness Tab'!$1:$1048576,3,0)/1000*PI(),0)+IFERROR(VLOOKUP(I115&amp;"F"&amp;F115,'Flanges Chart'!$1:$1048576,MATCH(C115&amp;".Unit Surface",'Flanges Chart'!$1:$1,0),0),0)+IF(B115="Fitting",VLOOKUP(I115,'Thickness Tab'!$1:$1048576,3,0)/1000*PI(),0)</f>
        <v>0</v>
      </c>
      <c r="AA115" s="989">
        <f t="shared" si="209"/>
        <v>0</v>
      </c>
      <c r="AB115" s="983">
        <v>0</v>
      </c>
      <c r="AC115" s="989">
        <f t="shared" si="154"/>
        <v>0</v>
      </c>
      <c r="AD115" s="989">
        <f t="shared" si="155"/>
        <v>0</v>
      </c>
      <c r="AE115" s="974">
        <f>(IFERROR(VLOOKUP($C115,List!$J:$L,2,0),0)*R115+IF(B115="piping",R115,0)+IF(C115="Welding Neck",1,0)*R115)*$AE$2</f>
        <v>0</v>
      </c>
      <c r="AF115" s="970">
        <f>IFERROR(VLOOKUP($C115,List!$J:$L,3,0),0)*R115*$AF$2</f>
        <v>0</v>
      </c>
      <c r="AG115" s="990">
        <f t="shared" si="210"/>
        <v>0</v>
      </c>
      <c r="AH115" s="1118" t="str">
        <f>IFERROR(VLOOKUP($D115,'Piping Class'!$88:$102,MATCH(AH$1,'Piping Class'!$88:$88,0),0),"")</f>
        <v/>
      </c>
      <c r="AI115" s="991" t="str">
        <f>IFERROR(VLOOKUP($D115,'Piping Class'!$88:$102,MATCH(AI$1,'Piping Class'!$88:$88,0),0),"")</f>
        <v/>
      </c>
      <c r="AJ115" s="991" t="str">
        <f>IFERROR(VLOOKUP($D115,'Piping Class'!$88:$102,MATCH(AJ$1,'Piping Class'!$88:$88,0),0),"")</f>
        <v/>
      </c>
      <c r="AK115" s="991" t="str">
        <f>IFERROR(VLOOKUP($D115,'Piping Class'!$88:$102,MATCH(AK$1,'Piping Class'!$88:$88,0),0),"")</f>
        <v/>
      </c>
      <c r="AL115" s="991">
        <f t="shared" si="182"/>
        <v>0</v>
      </c>
      <c r="AM115" s="1119" t="str">
        <f>IFERROR(VLOOKUP($D115,'Piping Class'!$88:$102,MATCH(AM$1,'Piping Class'!$88:$88,0),0),"")</f>
        <v/>
      </c>
      <c r="AN115" s="992">
        <f t="shared" si="157"/>
        <v>0</v>
      </c>
      <c r="AO115" s="993">
        <f>IFERROR(VLOOKUP(I115&amp;"B"&amp;F115,'Bolting Chart'!$1:$1048576,4,0),0)</f>
        <v>0</v>
      </c>
      <c r="AP115" s="993">
        <f t="shared" si="211"/>
        <v>0</v>
      </c>
      <c r="AQ115" s="993">
        <f t="shared" si="212"/>
        <v>0</v>
      </c>
      <c r="AR115" s="993">
        <f>IF(AO115=0,0,VLOOKUP(D115&amp;".bolting",'Piping Class'!$1:$1048576,MATCH(I115,'Piping Class'!$2:$2,0),0))</f>
        <v>0</v>
      </c>
      <c r="AS115" s="994">
        <f>IFERROR(VLOOKUP(I115&amp;"B"&amp;F115,'Bolting Chart'!$1:$1048576,IF(AS$2="UNC",5,6),0),0)</f>
        <v>0</v>
      </c>
      <c r="AT115" s="995">
        <f>IFERROR(VLOOKUP(I115&amp;"B"&amp;F115,'Bolting Chart'!$1:$1048576,IF(G115="RF",8,9),0),0)</f>
        <v>0</v>
      </c>
      <c r="AU115" s="993">
        <f>IF(AO115=0,0,VLOOKUP(D115&amp;".gasket",'Piping Class'!$1:$1048576,MATCH(I115,'Piping Class'!$2:$2,0),0))</f>
        <v>0</v>
      </c>
      <c r="AV115" s="996">
        <f>(IFERROR(INDEX('Bolting Chart'!$A$169:$R$251,MATCH(AT115,'Bolting Chart'!$A$170:$A$251,0),MATCH(IFERROR(VLOOKUP(I115&amp;"B"&amp;F115,'Bolting Chart'!$1:$1048576,7,0),0)+0,'Bolting Chart'!$A$169:$R$169,0)),0))/100</f>
        <v>0</v>
      </c>
      <c r="AW115" s="996">
        <f t="shared" si="213"/>
        <v>0</v>
      </c>
      <c r="AX115" s="1194">
        <f t="shared" si="214"/>
        <v>0</v>
      </c>
      <c r="AY115" s="981"/>
      <c r="AZ115" s="1543">
        <f t="shared" si="201"/>
        <v>0</v>
      </c>
      <c r="BA115" s="1543">
        <f t="shared" si="201"/>
        <v>0</v>
      </c>
      <c r="BB115" s="1543">
        <f t="shared" si="201"/>
        <v>0</v>
      </c>
      <c r="BC115" s="1543">
        <f t="shared" si="201"/>
        <v>0</v>
      </c>
      <c r="BD115" s="1543">
        <f t="shared" si="201"/>
        <v>0</v>
      </c>
      <c r="BE115" s="1543">
        <f t="shared" si="201"/>
        <v>0</v>
      </c>
      <c r="BF115" s="1543">
        <f t="shared" si="201"/>
        <v>0</v>
      </c>
      <c r="BG115" s="1543">
        <f t="shared" si="201"/>
        <v>0</v>
      </c>
      <c r="BH115" s="1543">
        <f t="shared" si="201"/>
        <v>0</v>
      </c>
      <c r="BI115" s="1543">
        <f t="shared" si="201"/>
        <v>0</v>
      </c>
      <c r="BJ115" s="1543">
        <f t="shared" si="201"/>
        <v>0</v>
      </c>
      <c r="BK115" s="1543">
        <f t="shared" si="201"/>
        <v>0</v>
      </c>
      <c r="BL115" s="1543">
        <f t="shared" si="201"/>
        <v>0</v>
      </c>
      <c r="BM115" s="1543">
        <f t="shared" si="201"/>
        <v>0</v>
      </c>
      <c r="BN115" s="1543">
        <f t="shared" si="201"/>
        <v>0</v>
      </c>
      <c r="BO115" s="1543">
        <f t="shared" si="201"/>
        <v>0</v>
      </c>
      <c r="BP115" s="1543">
        <f t="shared" ref="BP115:BZ130" si="222">IF($I115=BP$2,1,0)</f>
        <v>0</v>
      </c>
      <c r="BQ115" s="1543">
        <f t="shared" si="222"/>
        <v>0</v>
      </c>
      <c r="BR115" s="1543">
        <f t="shared" si="222"/>
        <v>0</v>
      </c>
      <c r="BS115" s="1543">
        <f t="shared" si="222"/>
        <v>0</v>
      </c>
      <c r="BT115" s="1543">
        <f t="shared" si="222"/>
        <v>0</v>
      </c>
      <c r="BU115" s="1543">
        <f t="shared" si="222"/>
        <v>0</v>
      </c>
      <c r="BV115" s="1543">
        <f t="shared" si="222"/>
        <v>0</v>
      </c>
      <c r="BW115" s="1543">
        <f t="shared" si="222"/>
        <v>0</v>
      </c>
      <c r="BX115" s="1543">
        <f t="shared" si="222"/>
        <v>0</v>
      </c>
      <c r="BY115" s="1543">
        <f t="shared" si="222"/>
        <v>0</v>
      </c>
      <c r="BZ115" s="1543">
        <f t="shared" si="222"/>
        <v>0</v>
      </c>
      <c r="CB115" s="1543">
        <f t="shared" si="202"/>
        <v>0</v>
      </c>
      <c r="CC115" s="1543">
        <f t="shared" si="202"/>
        <v>0</v>
      </c>
      <c r="CD115" s="1543">
        <f t="shared" si="202"/>
        <v>0</v>
      </c>
      <c r="CE115" s="1543">
        <f t="shared" si="202"/>
        <v>0</v>
      </c>
      <c r="CF115" s="1543">
        <f t="shared" si="202"/>
        <v>0</v>
      </c>
      <c r="CG115" s="1543">
        <f t="shared" si="202"/>
        <v>0</v>
      </c>
      <c r="CH115" s="1543">
        <f t="shared" si="202"/>
        <v>0</v>
      </c>
      <c r="CI115" s="1543">
        <f t="shared" si="202"/>
        <v>0</v>
      </c>
      <c r="CJ115" s="1543">
        <f t="shared" si="202"/>
        <v>0</v>
      </c>
      <c r="CK115" s="1543">
        <f t="shared" si="202"/>
        <v>0</v>
      </c>
      <c r="CL115" s="1543">
        <f t="shared" si="202"/>
        <v>0</v>
      </c>
      <c r="CM115" s="1543">
        <f t="shared" si="202"/>
        <v>0</v>
      </c>
      <c r="CN115" s="1543">
        <f t="shared" si="202"/>
        <v>0</v>
      </c>
      <c r="CO115" s="1543">
        <f t="shared" si="202"/>
        <v>0</v>
      </c>
      <c r="CP115" s="1543">
        <f t="shared" si="202"/>
        <v>0</v>
      </c>
      <c r="CQ115" s="1543">
        <f t="shared" si="202"/>
        <v>0</v>
      </c>
      <c r="CR115" s="1543">
        <f t="shared" ref="CR115:CS130" si="223">IF($J115=CR$2,1,0)</f>
        <v>0</v>
      </c>
      <c r="CS115" s="1543">
        <f t="shared" si="223"/>
        <v>0</v>
      </c>
      <c r="CT115" s="1543">
        <f t="shared" si="205"/>
        <v>0</v>
      </c>
      <c r="CU115" s="1543">
        <f t="shared" si="205"/>
        <v>0</v>
      </c>
      <c r="CV115" s="1543">
        <f t="shared" si="205"/>
        <v>0</v>
      </c>
      <c r="CW115" s="1543">
        <f t="shared" si="205"/>
        <v>0</v>
      </c>
      <c r="CX115" s="1543">
        <f t="shared" si="205"/>
        <v>0</v>
      </c>
      <c r="CY115" s="1543">
        <f t="shared" si="205"/>
        <v>0</v>
      </c>
      <c r="CZ115" s="1543">
        <f t="shared" si="205"/>
        <v>0</v>
      </c>
      <c r="DA115" s="1543">
        <f t="shared" si="205"/>
        <v>0</v>
      </c>
      <c r="DB115" s="1543">
        <f t="shared" si="205"/>
        <v>0</v>
      </c>
      <c r="DD115" s="1543">
        <f t="shared" si="194"/>
        <v>0</v>
      </c>
      <c r="DE115" s="1543">
        <f t="shared" si="195"/>
        <v>0</v>
      </c>
      <c r="DF115" s="1543">
        <f t="shared" si="196"/>
        <v>0</v>
      </c>
      <c r="DG115" s="1543">
        <f t="shared" si="162"/>
        <v>0</v>
      </c>
      <c r="DI115" s="1543">
        <f t="shared" si="163"/>
        <v>0</v>
      </c>
      <c r="DJ115" s="1543">
        <f t="shared" ref="DJ115:DM130" si="224">IF($H115=DJ$2,1,0)</f>
        <v>0</v>
      </c>
      <c r="DK115" s="1543">
        <f t="shared" si="224"/>
        <v>0</v>
      </c>
      <c r="DL115" s="1543">
        <f t="shared" si="224"/>
        <v>0</v>
      </c>
      <c r="DM115" s="1543">
        <f t="shared" si="224"/>
        <v>0</v>
      </c>
      <c r="DO115" s="1543">
        <f t="shared" si="200"/>
        <v>0</v>
      </c>
      <c r="DP115" s="1543">
        <f t="shared" si="200"/>
        <v>0</v>
      </c>
      <c r="DQ115" s="1543">
        <f t="shared" si="200"/>
        <v>0</v>
      </c>
      <c r="DR115" s="1543">
        <f t="shared" si="200"/>
        <v>0</v>
      </c>
      <c r="DS115" s="1543">
        <f t="shared" si="200"/>
        <v>0</v>
      </c>
      <c r="DT115" s="1543">
        <f t="shared" si="200"/>
        <v>0</v>
      </c>
      <c r="DU115" s="1543">
        <f t="shared" si="200"/>
        <v>0</v>
      </c>
      <c r="DV115" s="1543">
        <f t="shared" si="200"/>
        <v>0</v>
      </c>
      <c r="DW115" s="1543">
        <f t="shared" si="200"/>
        <v>0</v>
      </c>
      <c r="DX115" s="1543">
        <f t="shared" si="200"/>
        <v>0</v>
      </c>
      <c r="DY115" s="1543">
        <f t="shared" si="200"/>
        <v>0</v>
      </c>
      <c r="DZ115" s="1543">
        <f t="shared" si="200"/>
        <v>0</v>
      </c>
      <c r="EA115" s="1543">
        <f t="shared" si="200"/>
        <v>0</v>
      </c>
      <c r="EB115" s="1543">
        <f t="shared" si="200"/>
        <v>0</v>
      </c>
      <c r="EC115" s="1543">
        <f t="shared" si="200"/>
        <v>0</v>
      </c>
      <c r="ED115" s="1543">
        <f t="shared" si="200"/>
        <v>0</v>
      </c>
      <c r="EE115" s="1543">
        <f t="shared" ref="EB115:EF130" si="225">IF($L115=EE$2,1,0)</f>
        <v>0</v>
      </c>
      <c r="EF115" s="1543">
        <f t="shared" si="225"/>
        <v>0</v>
      </c>
      <c r="EH115" s="1543">
        <f t="shared" si="215"/>
        <v>0</v>
      </c>
      <c r="EI115" s="1543">
        <f t="shared" si="216"/>
        <v>0</v>
      </c>
      <c r="EJ115" s="1543">
        <f t="shared" si="217"/>
        <v>0</v>
      </c>
      <c r="EK115" s="1543">
        <f t="shared" si="218"/>
        <v>0</v>
      </c>
      <c r="EL115" s="1543">
        <f t="shared" si="219"/>
        <v>0</v>
      </c>
      <c r="EM115" s="1543">
        <f t="shared" si="220"/>
        <v>0</v>
      </c>
      <c r="EN115" s="1543">
        <f t="shared" si="221"/>
        <v>0</v>
      </c>
      <c r="EP115" s="1543">
        <f t="shared" si="197"/>
        <v>0</v>
      </c>
      <c r="EQ115" s="1543">
        <f t="shared" si="197"/>
        <v>0</v>
      </c>
      <c r="ER115" s="1543">
        <f t="shared" si="197"/>
        <v>0</v>
      </c>
      <c r="ES115" s="1543">
        <f t="shared" si="192"/>
        <v>0</v>
      </c>
      <c r="ET115" s="1543">
        <f t="shared" si="193"/>
        <v>0</v>
      </c>
      <c r="EU115" s="1543">
        <f t="shared" si="193"/>
        <v>0</v>
      </c>
      <c r="EV115" s="1543">
        <f t="shared" si="193"/>
        <v>0</v>
      </c>
      <c r="EW115" s="1543">
        <f t="shared" si="193"/>
        <v>0</v>
      </c>
      <c r="EX115" s="1543">
        <f t="shared" si="193"/>
        <v>0</v>
      </c>
      <c r="EY115" s="1543">
        <f t="shared" si="193"/>
        <v>0</v>
      </c>
      <c r="EZ115" s="1543">
        <f t="shared" si="193"/>
        <v>0</v>
      </c>
      <c r="FA115" s="1543">
        <f t="shared" si="193"/>
        <v>0</v>
      </c>
      <c r="FB115" s="1543">
        <f t="shared" si="193"/>
        <v>0</v>
      </c>
      <c r="FC115" s="1543">
        <f t="shared" si="193"/>
        <v>0</v>
      </c>
      <c r="FD115" s="1543">
        <f t="shared" si="193"/>
        <v>0</v>
      </c>
      <c r="FE115" s="1543">
        <f t="shared" si="184"/>
        <v>0</v>
      </c>
      <c r="FF115" s="1543">
        <f t="shared" si="172"/>
        <v>1</v>
      </c>
      <c r="FH115" s="1543">
        <f t="shared" si="198"/>
        <v>0</v>
      </c>
      <c r="FI115" s="1543">
        <f t="shared" si="198"/>
        <v>0</v>
      </c>
      <c r="FJ115" s="1543">
        <f t="shared" si="198"/>
        <v>0</v>
      </c>
      <c r="FK115" s="1543">
        <f t="shared" si="198"/>
        <v>0</v>
      </c>
      <c r="FL115" s="1543">
        <f t="shared" si="198"/>
        <v>0</v>
      </c>
      <c r="FM115" s="1543">
        <f t="shared" si="198"/>
        <v>0</v>
      </c>
      <c r="FN115" s="1543">
        <f t="shared" si="198"/>
        <v>0</v>
      </c>
      <c r="FO115" s="1543">
        <f t="shared" si="198"/>
        <v>0</v>
      </c>
      <c r="FP115" s="1543">
        <f t="shared" si="198"/>
        <v>0</v>
      </c>
      <c r="FQ115" s="1543">
        <f t="shared" si="198"/>
        <v>0</v>
      </c>
      <c r="FR115" s="1543">
        <f t="shared" si="198"/>
        <v>0</v>
      </c>
      <c r="FS115" s="1543">
        <f t="shared" si="198"/>
        <v>0</v>
      </c>
      <c r="FT115" s="1543">
        <f t="shared" si="174"/>
        <v>0</v>
      </c>
      <c r="FV115" s="1543">
        <f t="shared" si="199"/>
        <v>1</v>
      </c>
      <c r="FW115" s="1543">
        <f t="shared" si="199"/>
        <v>0</v>
      </c>
      <c r="FX115" s="1543">
        <f t="shared" si="199"/>
        <v>0</v>
      </c>
      <c r="FY115" s="1543">
        <f t="shared" si="199"/>
        <v>0</v>
      </c>
      <c r="FZ115" s="1543">
        <f t="shared" si="199"/>
        <v>0</v>
      </c>
      <c r="GA115" s="1543">
        <f t="shared" si="199"/>
        <v>0</v>
      </c>
      <c r="GB115" s="1543">
        <f t="shared" si="199"/>
        <v>0</v>
      </c>
      <c r="GC115" s="1543">
        <f t="shared" si="199"/>
        <v>0</v>
      </c>
      <c r="GD115" s="1543">
        <f t="shared" si="199"/>
        <v>0</v>
      </c>
    </row>
    <row r="116" spans="1:186" s="982" customFormat="1" ht="15.6" x14ac:dyDescent="0.3">
      <c r="A116" s="974">
        <v>114</v>
      </c>
      <c r="B116" s="983"/>
      <c r="C116" s="984"/>
      <c r="D116" s="983"/>
      <c r="E116" s="968" t="str">
        <f>IFERROR(VLOOKUP($D116&amp;"."&amp;B116,'Piping Class'!$1:$1048576,MATCH($I116,'Piping Class'!$2:$2,0),0),"")</f>
        <v/>
      </c>
      <c r="F116" s="985" t="str">
        <f>IFERROR(IF(B116="Flange",VLOOKUP($D116,'Piping Class'!$88:$102,MATCH(F$1,'Piping Class'!$88:$88,0),0),""),"")</f>
        <v/>
      </c>
      <c r="G116" s="968" t="str">
        <f>IFERROR(IF(B116="Flange",VLOOKUP($D116,'Piping Class'!$88:$102,MATCH(G$1,'Piping Class'!$88:$88,0),0),""),"")</f>
        <v/>
      </c>
      <c r="H116" s="968" t="str">
        <f>IFERROR(VLOOKUP($D116,'Piping Class'!$88:$102,MATCH(H$1,'Piping Class'!$88:$88,0),0),"")</f>
        <v/>
      </c>
      <c r="I116" s="986"/>
      <c r="J116" s="987"/>
      <c r="K116" s="968" t="str">
        <f>IFERROR(VLOOKUP(I116,'Thickness Tab'!$1:$1048576,MATCH(L116,'Thickness Tab'!$1:$1,0),0),"")</f>
        <v/>
      </c>
      <c r="L116" s="969" t="str">
        <f>IFERROR(VLOOKUP($D116,'Piping Class'!$1:$1048576,MATCH($I116,'Piping Class'!$2:$2,0),0),"")</f>
        <v/>
      </c>
      <c r="M116" s="968" t="str">
        <f>IFERROR(VLOOKUP(J116,'Thickness Tab'!$1:$1048576,MATCH(N116,'Thickness Tab'!$1:$1,0),0),"")</f>
        <v/>
      </c>
      <c r="N116" s="969" t="str">
        <f>IFERROR(VLOOKUP($D116,'Piping Class'!$1:$1048576,MATCH($J116,'Piping Class'!$2:$2,0),0),"")</f>
        <v/>
      </c>
      <c r="O116" s="968" t="str">
        <f>IFERROR(VLOOKUP($D116,'Piping Class'!$88:$102,MATCH(O$1,'Piping Class'!$88:$88,0),0),"")</f>
        <v/>
      </c>
      <c r="P116" s="968" t="str">
        <f>IFERROR(VLOOKUP($D116,'Piping Class'!$88:$102,MATCH(P$1,'Piping Class'!$88:$88,0),0),"")</f>
        <v/>
      </c>
      <c r="Q116" s="983"/>
      <c r="R116" s="988"/>
      <c r="S116" s="969" t="str">
        <f t="shared" si="206"/>
        <v/>
      </c>
      <c r="T116" s="968">
        <f>IFERROR(VLOOKUP(I116&amp;"."&amp;L116,'Fitting Chart'!$1:$1048576,MATCH(C116,'Fitting Chart'!$1:$1,0),0),0)+IF(B116="piping",PI()*K116*(VLOOKUP(I116,'Thickness Tab'!$1:$1048576,3,0)-K116)*7.86/1000,0)+IF(B116="Flange",VLOOKUP(I116&amp;"F"&amp;F116,'Flanges Chart'!$1:$1048576,MATCH(C116&amp;"."&amp;T$1,'Flanges Chart'!$1:$1,0),0),0)</f>
        <v>0</v>
      </c>
      <c r="U116" s="989">
        <f t="shared" si="207"/>
        <v>0</v>
      </c>
      <c r="V116" s="1003"/>
      <c r="W116" s="1001">
        <f t="shared" si="208"/>
        <v>0</v>
      </c>
      <c r="X116" s="997"/>
      <c r="Y116" s="983"/>
      <c r="Z116" s="989">
        <f>IF(B116="Piping",VLOOKUP(I116,'Thickness Tab'!$1:$1048576,3,0)/1000*PI(),0)+IFERROR(VLOOKUP(I116&amp;"F"&amp;F116,'Flanges Chart'!$1:$1048576,MATCH(C116&amp;".Unit Surface",'Flanges Chart'!$1:$1,0),0),0)+IF(B116="Fitting",VLOOKUP(I116,'Thickness Tab'!$1:$1048576,3,0)/1000*PI(),0)</f>
        <v>0</v>
      </c>
      <c r="AA116" s="989">
        <f t="shared" si="209"/>
        <v>0</v>
      </c>
      <c r="AB116" s="983">
        <v>0</v>
      </c>
      <c r="AC116" s="989">
        <f t="shared" si="154"/>
        <v>0</v>
      </c>
      <c r="AD116" s="989">
        <f t="shared" si="155"/>
        <v>0</v>
      </c>
      <c r="AE116" s="974">
        <f>(IFERROR(VLOOKUP($C116,List!$J:$L,2,0),0)*R116+IF(B116="piping",R116,0)+IF(C116="Welding Neck",1,0)*R116)*$AE$2</f>
        <v>0</v>
      </c>
      <c r="AF116" s="970">
        <f>IFERROR(VLOOKUP($C116,List!$J:$L,3,0),0)*R116*$AF$2</f>
        <v>0</v>
      </c>
      <c r="AG116" s="990">
        <f t="shared" si="210"/>
        <v>0</v>
      </c>
      <c r="AH116" s="1118" t="str">
        <f>IFERROR(VLOOKUP($D116,'Piping Class'!$88:$102,MATCH(AH$1,'Piping Class'!$88:$88,0),0),"")</f>
        <v/>
      </c>
      <c r="AI116" s="991" t="str">
        <f>IFERROR(VLOOKUP($D116,'Piping Class'!$88:$102,MATCH(AI$1,'Piping Class'!$88:$88,0),0),"")</f>
        <v/>
      </c>
      <c r="AJ116" s="991" t="str">
        <f>IFERROR(VLOOKUP($D116,'Piping Class'!$88:$102,MATCH(AJ$1,'Piping Class'!$88:$88,0),0),"")</f>
        <v/>
      </c>
      <c r="AK116" s="991" t="str">
        <f>IFERROR(VLOOKUP($D116,'Piping Class'!$88:$102,MATCH(AK$1,'Piping Class'!$88:$88,0),0),"")</f>
        <v/>
      </c>
      <c r="AL116" s="991">
        <f t="shared" si="182"/>
        <v>0</v>
      </c>
      <c r="AM116" s="1119" t="str">
        <f>IFERROR(VLOOKUP($D116,'Piping Class'!$88:$102,MATCH(AM$1,'Piping Class'!$88:$88,0),0),"")</f>
        <v/>
      </c>
      <c r="AN116" s="992">
        <f t="shared" si="157"/>
        <v>0</v>
      </c>
      <c r="AO116" s="993">
        <f>IFERROR(VLOOKUP(I116&amp;"B"&amp;F116,'Bolting Chart'!$1:$1048576,4,0),0)</f>
        <v>0</v>
      </c>
      <c r="AP116" s="993">
        <f t="shared" si="211"/>
        <v>0</v>
      </c>
      <c r="AQ116" s="993">
        <f t="shared" si="212"/>
        <v>0</v>
      </c>
      <c r="AR116" s="993">
        <f>IF(AO116=0,0,VLOOKUP(D116&amp;".bolting",'Piping Class'!$1:$1048576,MATCH(I116,'Piping Class'!$2:$2,0),0))</f>
        <v>0</v>
      </c>
      <c r="AS116" s="994">
        <f>IFERROR(VLOOKUP(I116&amp;"B"&amp;F116,'Bolting Chart'!$1:$1048576,IF(AS$2="UNC",5,6),0),0)</f>
        <v>0</v>
      </c>
      <c r="AT116" s="995">
        <f>IFERROR(VLOOKUP(I116&amp;"B"&amp;F116,'Bolting Chart'!$1:$1048576,IF(G116="RF",8,9),0),0)</f>
        <v>0</v>
      </c>
      <c r="AU116" s="993">
        <f>IF(AO116=0,0,VLOOKUP(D116&amp;".gasket",'Piping Class'!$1:$1048576,MATCH(I116,'Piping Class'!$2:$2,0),0))</f>
        <v>0</v>
      </c>
      <c r="AV116" s="996">
        <f>(IFERROR(INDEX('Bolting Chart'!$A$169:$R$251,MATCH(AT116,'Bolting Chart'!$A$170:$A$251,0),MATCH(IFERROR(VLOOKUP(I116&amp;"B"&amp;F116,'Bolting Chart'!$1:$1048576,7,0),0)+0,'Bolting Chart'!$A$169:$R$169,0)),0))/100</f>
        <v>0</v>
      </c>
      <c r="AW116" s="996">
        <f t="shared" si="213"/>
        <v>0</v>
      </c>
      <c r="AX116" s="1194">
        <f t="shared" si="214"/>
        <v>0</v>
      </c>
      <c r="AY116" s="981"/>
      <c r="AZ116" s="1543">
        <f t="shared" si="201"/>
        <v>0</v>
      </c>
      <c r="BA116" s="1543">
        <f t="shared" si="201"/>
        <v>0</v>
      </c>
      <c r="BB116" s="1543">
        <f t="shared" si="201"/>
        <v>0</v>
      </c>
      <c r="BC116" s="1543">
        <f t="shared" si="201"/>
        <v>0</v>
      </c>
      <c r="BD116" s="1543">
        <f t="shared" si="201"/>
        <v>0</v>
      </c>
      <c r="BE116" s="1543">
        <f t="shared" si="201"/>
        <v>0</v>
      </c>
      <c r="BF116" s="1543">
        <f t="shared" si="201"/>
        <v>0</v>
      </c>
      <c r="BG116" s="1543">
        <f t="shared" si="201"/>
        <v>0</v>
      </c>
      <c r="BH116" s="1543">
        <f t="shared" si="201"/>
        <v>0</v>
      </c>
      <c r="BI116" s="1543">
        <f t="shared" si="201"/>
        <v>0</v>
      </c>
      <c r="BJ116" s="1543">
        <f t="shared" si="201"/>
        <v>0</v>
      </c>
      <c r="BK116" s="1543">
        <f t="shared" si="201"/>
        <v>0</v>
      </c>
      <c r="BL116" s="1543">
        <f t="shared" si="201"/>
        <v>0</v>
      </c>
      <c r="BM116" s="1543">
        <f t="shared" si="201"/>
        <v>0</v>
      </c>
      <c r="BN116" s="1543">
        <f t="shared" si="201"/>
        <v>0</v>
      </c>
      <c r="BO116" s="1543">
        <f t="shared" si="201"/>
        <v>0</v>
      </c>
      <c r="BP116" s="1543">
        <f t="shared" si="222"/>
        <v>0</v>
      </c>
      <c r="BQ116" s="1543">
        <f t="shared" si="222"/>
        <v>0</v>
      </c>
      <c r="BR116" s="1543">
        <f t="shared" si="222"/>
        <v>0</v>
      </c>
      <c r="BS116" s="1543">
        <f t="shared" si="222"/>
        <v>0</v>
      </c>
      <c r="BT116" s="1543">
        <f t="shared" si="222"/>
        <v>0</v>
      </c>
      <c r="BU116" s="1543">
        <f t="shared" si="222"/>
        <v>0</v>
      </c>
      <c r="BV116" s="1543">
        <f t="shared" si="222"/>
        <v>0</v>
      </c>
      <c r="BW116" s="1543">
        <f t="shared" si="222"/>
        <v>0</v>
      </c>
      <c r="BX116" s="1543">
        <f t="shared" si="222"/>
        <v>0</v>
      </c>
      <c r="BY116" s="1543">
        <f t="shared" si="222"/>
        <v>0</v>
      </c>
      <c r="BZ116" s="1543">
        <f t="shared" si="222"/>
        <v>0</v>
      </c>
      <c r="CB116" s="1543">
        <f t="shared" si="202"/>
        <v>0</v>
      </c>
      <c r="CC116" s="1543">
        <f t="shared" si="202"/>
        <v>0</v>
      </c>
      <c r="CD116" s="1543">
        <f t="shared" si="202"/>
        <v>0</v>
      </c>
      <c r="CE116" s="1543">
        <f t="shared" si="202"/>
        <v>0</v>
      </c>
      <c r="CF116" s="1543">
        <f t="shared" si="202"/>
        <v>0</v>
      </c>
      <c r="CG116" s="1543">
        <f t="shared" si="202"/>
        <v>0</v>
      </c>
      <c r="CH116" s="1543">
        <f t="shared" si="202"/>
        <v>0</v>
      </c>
      <c r="CI116" s="1543">
        <f t="shared" si="202"/>
        <v>0</v>
      </c>
      <c r="CJ116" s="1543">
        <f t="shared" si="202"/>
        <v>0</v>
      </c>
      <c r="CK116" s="1543">
        <f t="shared" si="202"/>
        <v>0</v>
      </c>
      <c r="CL116" s="1543">
        <f t="shared" si="202"/>
        <v>0</v>
      </c>
      <c r="CM116" s="1543">
        <f t="shared" si="202"/>
        <v>0</v>
      </c>
      <c r="CN116" s="1543">
        <f t="shared" si="202"/>
        <v>0</v>
      </c>
      <c r="CO116" s="1543">
        <f t="shared" si="202"/>
        <v>0</v>
      </c>
      <c r="CP116" s="1543">
        <f t="shared" si="202"/>
        <v>0</v>
      </c>
      <c r="CQ116" s="1543">
        <f t="shared" si="202"/>
        <v>0</v>
      </c>
      <c r="CR116" s="1543">
        <f t="shared" si="223"/>
        <v>0</v>
      </c>
      <c r="CS116" s="1543">
        <f t="shared" si="223"/>
        <v>0</v>
      </c>
      <c r="CT116" s="1543">
        <f t="shared" si="205"/>
        <v>0</v>
      </c>
      <c r="CU116" s="1543">
        <f t="shared" si="205"/>
        <v>0</v>
      </c>
      <c r="CV116" s="1543">
        <f t="shared" si="205"/>
        <v>0</v>
      </c>
      <c r="CW116" s="1543">
        <f t="shared" si="205"/>
        <v>0</v>
      </c>
      <c r="CX116" s="1543">
        <f t="shared" si="205"/>
        <v>0</v>
      </c>
      <c r="CY116" s="1543">
        <f t="shared" si="205"/>
        <v>0</v>
      </c>
      <c r="CZ116" s="1543">
        <f t="shared" si="205"/>
        <v>0</v>
      </c>
      <c r="DA116" s="1543">
        <f t="shared" si="205"/>
        <v>0</v>
      </c>
      <c r="DB116" s="1543">
        <f t="shared" si="205"/>
        <v>0</v>
      </c>
      <c r="DD116" s="1543">
        <f t="shared" si="194"/>
        <v>0</v>
      </c>
      <c r="DE116" s="1543">
        <f t="shared" si="195"/>
        <v>0</v>
      </c>
      <c r="DF116" s="1543">
        <f t="shared" si="196"/>
        <v>0</v>
      </c>
      <c r="DG116" s="1543">
        <f t="shared" si="162"/>
        <v>0</v>
      </c>
      <c r="DI116" s="1543">
        <f t="shared" si="163"/>
        <v>0</v>
      </c>
      <c r="DJ116" s="1543">
        <f t="shared" si="224"/>
        <v>0</v>
      </c>
      <c r="DK116" s="1543">
        <f t="shared" si="224"/>
        <v>0</v>
      </c>
      <c r="DL116" s="1543">
        <f t="shared" si="224"/>
        <v>0</v>
      </c>
      <c r="DM116" s="1543">
        <f t="shared" si="224"/>
        <v>0</v>
      </c>
      <c r="DO116" s="1543">
        <f t="shared" si="200"/>
        <v>0</v>
      </c>
      <c r="DP116" s="1543">
        <f t="shared" si="200"/>
        <v>0</v>
      </c>
      <c r="DQ116" s="1543">
        <f t="shared" si="200"/>
        <v>0</v>
      </c>
      <c r="DR116" s="1543">
        <f t="shared" si="200"/>
        <v>0</v>
      </c>
      <c r="DS116" s="1543">
        <f t="shared" si="200"/>
        <v>0</v>
      </c>
      <c r="DT116" s="1543">
        <f t="shared" si="200"/>
        <v>0</v>
      </c>
      <c r="DU116" s="1543">
        <f t="shared" si="200"/>
        <v>0</v>
      </c>
      <c r="DV116" s="1543">
        <f t="shared" si="200"/>
        <v>0</v>
      </c>
      <c r="DW116" s="1543">
        <f t="shared" si="200"/>
        <v>0</v>
      </c>
      <c r="DX116" s="1543">
        <f t="shared" si="200"/>
        <v>0</v>
      </c>
      <c r="DY116" s="1543">
        <f t="shared" si="200"/>
        <v>0</v>
      </c>
      <c r="DZ116" s="1543">
        <f t="shared" si="200"/>
        <v>0</v>
      </c>
      <c r="EA116" s="1543">
        <f t="shared" si="200"/>
        <v>0</v>
      </c>
      <c r="EB116" s="1543">
        <f t="shared" si="225"/>
        <v>0</v>
      </c>
      <c r="EC116" s="1543">
        <f t="shared" si="225"/>
        <v>0</v>
      </c>
      <c r="ED116" s="1543">
        <f t="shared" si="225"/>
        <v>0</v>
      </c>
      <c r="EE116" s="1543">
        <f t="shared" si="225"/>
        <v>0</v>
      </c>
      <c r="EF116" s="1543">
        <f t="shared" si="225"/>
        <v>0</v>
      </c>
      <c r="EH116" s="1543">
        <f t="shared" si="215"/>
        <v>0</v>
      </c>
      <c r="EI116" s="1543">
        <f t="shared" si="216"/>
        <v>0</v>
      </c>
      <c r="EJ116" s="1543">
        <f t="shared" si="217"/>
        <v>0</v>
      </c>
      <c r="EK116" s="1543">
        <f t="shared" si="218"/>
        <v>0</v>
      </c>
      <c r="EL116" s="1543">
        <f t="shared" si="219"/>
        <v>0</v>
      </c>
      <c r="EM116" s="1543">
        <f t="shared" si="220"/>
        <v>0</v>
      </c>
      <c r="EN116" s="1543">
        <f t="shared" si="221"/>
        <v>0</v>
      </c>
      <c r="EP116" s="1543">
        <f t="shared" si="197"/>
        <v>0</v>
      </c>
      <c r="EQ116" s="1543">
        <f t="shared" si="197"/>
        <v>0</v>
      </c>
      <c r="ER116" s="1543">
        <f t="shared" si="197"/>
        <v>0</v>
      </c>
      <c r="ES116" s="1543">
        <f t="shared" si="192"/>
        <v>0</v>
      </c>
      <c r="ET116" s="1543">
        <f t="shared" si="193"/>
        <v>0</v>
      </c>
      <c r="EU116" s="1543">
        <f t="shared" si="193"/>
        <v>0</v>
      </c>
      <c r="EV116" s="1543">
        <f t="shared" si="193"/>
        <v>0</v>
      </c>
      <c r="EW116" s="1543">
        <f t="shared" si="193"/>
        <v>0</v>
      </c>
      <c r="EX116" s="1543">
        <f t="shared" si="193"/>
        <v>0</v>
      </c>
      <c r="EY116" s="1543">
        <f t="shared" si="193"/>
        <v>0</v>
      </c>
      <c r="EZ116" s="1543">
        <f t="shared" si="193"/>
        <v>0</v>
      </c>
      <c r="FA116" s="1543">
        <f t="shared" si="193"/>
        <v>0</v>
      </c>
      <c r="FB116" s="1543">
        <f t="shared" si="193"/>
        <v>0</v>
      </c>
      <c r="FC116" s="1543">
        <f t="shared" si="193"/>
        <v>0</v>
      </c>
      <c r="FD116" s="1543">
        <f t="shared" si="193"/>
        <v>0</v>
      </c>
      <c r="FE116" s="1543">
        <f t="shared" si="184"/>
        <v>0</v>
      </c>
      <c r="FF116" s="1543">
        <f t="shared" si="172"/>
        <v>1</v>
      </c>
      <c r="FH116" s="1543">
        <f t="shared" ref="FH116:FS131" si="226">IF($FT116=1,0,IF(FH$2=$Y116,1,0))</f>
        <v>0</v>
      </c>
      <c r="FI116" s="1543">
        <f t="shared" si="226"/>
        <v>0</v>
      </c>
      <c r="FJ116" s="1543">
        <f t="shared" si="226"/>
        <v>0</v>
      </c>
      <c r="FK116" s="1543">
        <f t="shared" si="226"/>
        <v>0</v>
      </c>
      <c r="FL116" s="1543">
        <f t="shared" si="226"/>
        <v>0</v>
      </c>
      <c r="FM116" s="1543">
        <f t="shared" si="226"/>
        <v>0</v>
      </c>
      <c r="FN116" s="1543">
        <f t="shared" si="226"/>
        <v>0</v>
      </c>
      <c r="FO116" s="1543">
        <f t="shared" si="226"/>
        <v>0</v>
      </c>
      <c r="FP116" s="1543">
        <f t="shared" si="226"/>
        <v>0</v>
      </c>
      <c r="FQ116" s="1543">
        <f t="shared" si="226"/>
        <v>0</v>
      </c>
      <c r="FR116" s="1543">
        <f t="shared" si="226"/>
        <v>0</v>
      </c>
      <c r="FS116" s="1543">
        <f t="shared" si="226"/>
        <v>0</v>
      </c>
      <c r="FT116" s="1543">
        <f t="shared" si="174"/>
        <v>0</v>
      </c>
      <c r="FV116" s="1543">
        <f t="shared" ref="FV116:GD131" si="227">IF($AB116=FV$2,1,0)</f>
        <v>1</v>
      </c>
      <c r="FW116" s="1543">
        <f t="shared" si="227"/>
        <v>0</v>
      </c>
      <c r="FX116" s="1543">
        <f t="shared" si="227"/>
        <v>0</v>
      </c>
      <c r="FY116" s="1543">
        <f t="shared" si="227"/>
        <v>0</v>
      </c>
      <c r="FZ116" s="1543">
        <f t="shared" si="227"/>
        <v>0</v>
      </c>
      <c r="GA116" s="1543">
        <f t="shared" si="227"/>
        <v>0</v>
      </c>
      <c r="GB116" s="1543">
        <f t="shared" si="227"/>
        <v>0</v>
      </c>
      <c r="GC116" s="1543">
        <f t="shared" si="227"/>
        <v>0</v>
      </c>
      <c r="GD116" s="1543">
        <f t="shared" si="227"/>
        <v>0</v>
      </c>
    </row>
    <row r="117" spans="1:186" s="982" customFormat="1" ht="15.6" x14ac:dyDescent="0.3">
      <c r="A117" s="974">
        <v>115</v>
      </c>
      <c r="B117" s="983"/>
      <c r="C117" s="984"/>
      <c r="D117" s="983"/>
      <c r="E117" s="968" t="str">
        <f>IFERROR(VLOOKUP($D117&amp;"."&amp;B117,'Piping Class'!$1:$1048576,MATCH($I117,'Piping Class'!$2:$2,0),0),"")</f>
        <v/>
      </c>
      <c r="F117" s="985" t="str">
        <f>IFERROR(IF(B117="Flange",VLOOKUP($D117,'Piping Class'!$88:$102,MATCH(F$1,'Piping Class'!$88:$88,0),0),""),"")</f>
        <v/>
      </c>
      <c r="G117" s="968" t="str">
        <f>IFERROR(IF(B117="Flange",VLOOKUP($D117,'Piping Class'!$88:$102,MATCH(G$1,'Piping Class'!$88:$88,0),0),""),"")</f>
        <v/>
      </c>
      <c r="H117" s="968" t="str">
        <f>IFERROR(VLOOKUP($D117,'Piping Class'!$88:$102,MATCH(H$1,'Piping Class'!$88:$88,0),0),"")</f>
        <v/>
      </c>
      <c r="I117" s="986"/>
      <c r="J117" s="987"/>
      <c r="K117" s="968" t="str">
        <f>IFERROR(VLOOKUP(I117,'Thickness Tab'!$1:$1048576,MATCH(L117,'Thickness Tab'!$1:$1,0),0),"")</f>
        <v/>
      </c>
      <c r="L117" s="969" t="str">
        <f>IFERROR(VLOOKUP($D117,'Piping Class'!$1:$1048576,MATCH($I117,'Piping Class'!$2:$2,0),0),"")</f>
        <v/>
      </c>
      <c r="M117" s="968" t="str">
        <f>IFERROR(VLOOKUP(J117,'Thickness Tab'!$1:$1048576,MATCH(N117,'Thickness Tab'!$1:$1,0),0),"")</f>
        <v/>
      </c>
      <c r="N117" s="969" t="str">
        <f>IFERROR(VLOOKUP($D117,'Piping Class'!$1:$1048576,MATCH($J117,'Piping Class'!$2:$2,0),0),"")</f>
        <v/>
      </c>
      <c r="O117" s="968" t="str">
        <f>IFERROR(VLOOKUP($D117,'Piping Class'!$88:$102,MATCH(O$1,'Piping Class'!$88:$88,0),0),"")</f>
        <v/>
      </c>
      <c r="P117" s="968" t="str">
        <f>IFERROR(VLOOKUP($D117,'Piping Class'!$88:$102,MATCH(P$1,'Piping Class'!$88:$88,0),0),"")</f>
        <v/>
      </c>
      <c r="Q117" s="983"/>
      <c r="R117" s="988"/>
      <c r="S117" s="969" t="str">
        <f t="shared" si="206"/>
        <v/>
      </c>
      <c r="T117" s="968">
        <f>IFERROR(VLOOKUP(I117&amp;"."&amp;L117,'Fitting Chart'!$1:$1048576,MATCH(C117,'Fitting Chart'!$1:$1,0),0),0)+IF(B117="piping",PI()*K117*(VLOOKUP(I117,'Thickness Tab'!$1:$1048576,3,0)-K117)*7.86/1000,0)+IF(B117="Flange",VLOOKUP(I117&amp;"F"&amp;F117,'Flanges Chart'!$1:$1048576,MATCH(C117&amp;"."&amp;T$1,'Flanges Chart'!$1:$1,0),0),0)</f>
        <v>0</v>
      </c>
      <c r="U117" s="989">
        <f t="shared" si="207"/>
        <v>0</v>
      </c>
      <c r="V117" s="1003"/>
      <c r="W117" s="1001">
        <f t="shared" si="208"/>
        <v>0</v>
      </c>
      <c r="X117" s="997"/>
      <c r="Y117" s="983"/>
      <c r="Z117" s="989">
        <f>IF(B117="Piping",VLOOKUP(I117,'Thickness Tab'!$1:$1048576,3,0)/1000*PI(),0)+IFERROR(VLOOKUP(I117&amp;"F"&amp;F117,'Flanges Chart'!$1:$1048576,MATCH(C117&amp;".Unit Surface",'Flanges Chart'!$1:$1,0),0),0)+IF(B117="Fitting",VLOOKUP(I117,'Thickness Tab'!$1:$1048576,3,0)/1000*PI(),0)</f>
        <v>0</v>
      </c>
      <c r="AA117" s="989">
        <f t="shared" si="209"/>
        <v>0</v>
      </c>
      <c r="AB117" s="983">
        <v>0</v>
      </c>
      <c r="AC117" s="989">
        <f t="shared" si="154"/>
        <v>0</v>
      </c>
      <c r="AD117" s="989">
        <f t="shared" si="155"/>
        <v>0</v>
      </c>
      <c r="AE117" s="974">
        <f>(IFERROR(VLOOKUP($C117,List!$J:$L,2,0),0)*R117+IF(B117="piping",R117,0)+IF(C117="Welding Neck",1,0)*R117)*$AE$2</f>
        <v>0</v>
      </c>
      <c r="AF117" s="970">
        <f>IFERROR(VLOOKUP($C117,List!$J:$L,3,0),0)*R117*$AF$2</f>
        <v>0</v>
      </c>
      <c r="AG117" s="990">
        <f t="shared" si="210"/>
        <v>0</v>
      </c>
      <c r="AH117" s="1118" t="str">
        <f>IFERROR(VLOOKUP($D117,'Piping Class'!$88:$102,MATCH(AH$1,'Piping Class'!$88:$88,0),0),"")</f>
        <v/>
      </c>
      <c r="AI117" s="991" t="str">
        <f>IFERROR(VLOOKUP($D117,'Piping Class'!$88:$102,MATCH(AI$1,'Piping Class'!$88:$88,0),0),"")</f>
        <v/>
      </c>
      <c r="AJ117" s="991" t="str">
        <f>IFERROR(VLOOKUP($D117,'Piping Class'!$88:$102,MATCH(AJ$1,'Piping Class'!$88:$88,0),0),"")</f>
        <v/>
      </c>
      <c r="AK117" s="991" t="str">
        <f>IFERROR(VLOOKUP($D117,'Piping Class'!$88:$102,MATCH(AK$1,'Piping Class'!$88:$88,0),0),"")</f>
        <v/>
      </c>
      <c r="AL117" s="991">
        <f t="shared" si="182"/>
        <v>0</v>
      </c>
      <c r="AM117" s="1119" t="str">
        <f>IFERROR(VLOOKUP($D117,'Piping Class'!$88:$102,MATCH(AM$1,'Piping Class'!$88:$88,0),0),"")</f>
        <v/>
      </c>
      <c r="AN117" s="992">
        <f t="shared" si="157"/>
        <v>0</v>
      </c>
      <c r="AO117" s="993">
        <f>IFERROR(VLOOKUP(I117&amp;"B"&amp;F117,'Bolting Chart'!$1:$1048576,4,0),0)</f>
        <v>0</v>
      </c>
      <c r="AP117" s="993">
        <f t="shared" si="211"/>
        <v>0</v>
      </c>
      <c r="AQ117" s="993">
        <f t="shared" si="212"/>
        <v>0</v>
      </c>
      <c r="AR117" s="993">
        <f>IF(AO117=0,0,VLOOKUP(D117&amp;".bolting",'Piping Class'!$1:$1048576,MATCH(I117,'Piping Class'!$2:$2,0),0))</f>
        <v>0</v>
      </c>
      <c r="AS117" s="994">
        <f>IFERROR(VLOOKUP(I117&amp;"B"&amp;F117,'Bolting Chart'!$1:$1048576,IF(AS$2="UNC",5,6),0),0)</f>
        <v>0</v>
      </c>
      <c r="AT117" s="995">
        <f>IFERROR(VLOOKUP(I117&amp;"B"&amp;F117,'Bolting Chart'!$1:$1048576,IF(G117="RF",8,9),0),0)</f>
        <v>0</v>
      </c>
      <c r="AU117" s="993">
        <f>IF(AO117=0,0,VLOOKUP(D117&amp;".gasket",'Piping Class'!$1:$1048576,MATCH(I117,'Piping Class'!$2:$2,0),0))</f>
        <v>0</v>
      </c>
      <c r="AV117" s="996">
        <f>(IFERROR(INDEX('Bolting Chart'!$A$169:$R$251,MATCH(AT117,'Bolting Chart'!$A$170:$A$251,0),MATCH(IFERROR(VLOOKUP(I117&amp;"B"&amp;F117,'Bolting Chart'!$1:$1048576,7,0),0)+0,'Bolting Chart'!$A$169:$R$169,0)),0))/100</f>
        <v>0</v>
      </c>
      <c r="AW117" s="996">
        <f t="shared" si="213"/>
        <v>0</v>
      </c>
      <c r="AX117" s="1194">
        <f t="shared" si="214"/>
        <v>0</v>
      </c>
      <c r="AY117" s="981"/>
      <c r="AZ117" s="1543">
        <f t="shared" si="201"/>
        <v>0</v>
      </c>
      <c r="BA117" s="1543">
        <f t="shared" si="201"/>
        <v>0</v>
      </c>
      <c r="BB117" s="1543">
        <f t="shared" si="201"/>
        <v>0</v>
      </c>
      <c r="BC117" s="1543">
        <f t="shared" si="201"/>
        <v>0</v>
      </c>
      <c r="BD117" s="1543">
        <f t="shared" si="201"/>
        <v>0</v>
      </c>
      <c r="BE117" s="1543">
        <f t="shared" si="201"/>
        <v>0</v>
      </c>
      <c r="BF117" s="1543">
        <f t="shared" si="201"/>
        <v>0</v>
      </c>
      <c r="BG117" s="1543">
        <f t="shared" si="201"/>
        <v>0</v>
      </c>
      <c r="BH117" s="1543">
        <f t="shared" si="201"/>
        <v>0</v>
      </c>
      <c r="BI117" s="1543">
        <f t="shared" si="201"/>
        <v>0</v>
      </c>
      <c r="BJ117" s="1543">
        <f t="shared" si="201"/>
        <v>0</v>
      </c>
      <c r="BK117" s="1543">
        <f t="shared" si="201"/>
        <v>0</v>
      </c>
      <c r="BL117" s="1543">
        <f t="shared" si="201"/>
        <v>0</v>
      </c>
      <c r="BM117" s="1543">
        <f t="shared" si="201"/>
        <v>0</v>
      </c>
      <c r="BN117" s="1543">
        <f t="shared" si="201"/>
        <v>0</v>
      </c>
      <c r="BO117" s="1543">
        <f t="shared" si="201"/>
        <v>0</v>
      </c>
      <c r="BP117" s="1543">
        <f t="shared" si="222"/>
        <v>0</v>
      </c>
      <c r="BQ117" s="1543">
        <f t="shared" si="222"/>
        <v>0</v>
      </c>
      <c r="BR117" s="1543">
        <f t="shared" si="222"/>
        <v>0</v>
      </c>
      <c r="BS117" s="1543">
        <f t="shared" si="222"/>
        <v>0</v>
      </c>
      <c r="BT117" s="1543">
        <f t="shared" si="222"/>
        <v>0</v>
      </c>
      <c r="BU117" s="1543">
        <f t="shared" si="222"/>
        <v>0</v>
      </c>
      <c r="BV117" s="1543">
        <f t="shared" si="222"/>
        <v>0</v>
      </c>
      <c r="BW117" s="1543">
        <f t="shared" si="222"/>
        <v>0</v>
      </c>
      <c r="BX117" s="1543">
        <f t="shared" si="222"/>
        <v>0</v>
      </c>
      <c r="BY117" s="1543">
        <f t="shared" si="222"/>
        <v>0</v>
      </c>
      <c r="BZ117" s="1543">
        <f t="shared" si="222"/>
        <v>0</v>
      </c>
      <c r="CB117" s="1543">
        <f t="shared" si="202"/>
        <v>0</v>
      </c>
      <c r="CC117" s="1543">
        <f t="shared" si="202"/>
        <v>0</v>
      </c>
      <c r="CD117" s="1543">
        <f t="shared" si="202"/>
        <v>0</v>
      </c>
      <c r="CE117" s="1543">
        <f t="shared" si="202"/>
        <v>0</v>
      </c>
      <c r="CF117" s="1543">
        <f t="shared" si="202"/>
        <v>0</v>
      </c>
      <c r="CG117" s="1543">
        <f t="shared" si="202"/>
        <v>0</v>
      </c>
      <c r="CH117" s="1543">
        <f t="shared" si="202"/>
        <v>0</v>
      </c>
      <c r="CI117" s="1543">
        <f t="shared" si="202"/>
        <v>0</v>
      </c>
      <c r="CJ117" s="1543">
        <f t="shared" si="202"/>
        <v>0</v>
      </c>
      <c r="CK117" s="1543">
        <f t="shared" si="202"/>
        <v>0</v>
      </c>
      <c r="CL117" s="1543">
        <f t="shared" si="202"/>
        <v>0</v>
      </c>
      <c r="CM117" s="1543">
        <f t="shared" si="202"/>
        <v>0</v>
      </c>
      <c r="CN117" s="1543">
        <f t="shared" si="202"/>
        <v>0</v>
      </c>
      <c r="CO117" s="1543">
        <f t="shared" si="202"/>
        <v>0</v>
      </c>
      <c r="CP117" s="1543">
        <f t="shared" si="202"/>
        <v>0</v>
      </c>
      <c r="CQ117" s="1543">
        <f t="shared" si="202"/>
        <v>0</v>
      </c>
      <c r="CR117" s="1543">
        <f t="shared" si="223"/>
        <v>0</v>
      </c>
      <c r="CS117" s="1543">
        <f t="shared" si="223"/>
        <v>0</v>
      </c>
      <c r="CT117" s="1543">
        <f t="shared" si="205"/>
        <v>0</v>
      </c>
      <c r="CU117" s="1543">
        <f t="shared" si="205"/>
        <v>0</v>
      </c>
      <c r="CV117" s="1543">
        <f t="shared" si="205"/>
        <v>0</v>
      </c>
      <c r="CW117" s="1543">
        <f t="shared" si="205"/>
        <v>0</v>
      </c>
      <c r="CX117" s="1543">
        <f t="shared" si="205"/>
        <v>0</v>
      </c>
      <c r="CY117" s="1543">
        <f t="shared" si="205"/>
        <v>0</v>
      </c>
      <c r="CZ117" s="1543">
        <f t="shared" si="205"/>
        <v>0</v>
      </c>
      <c r="DA117" s="1543">
        <f t="shared" si="205"/>
        <v>0</v>
      </c>
      <c r="DB117" s="1543">
        <f t="shared" si="205"/>
        <v>0</v>
      </c>
      <c r="DD117" s="1543">
        <f t="shared" si="194"/>
        <v>0</v>
      </c>
      <c r="DE117" s="1543">
        <f t="shared" si="195"/>
        <v>0</v>
      </c>
      <c r="DF117" s="1543">
        <f t="shared" si="196"/>
        <v>0</v>
      </c>
      <c r="DG117" s="1543">
        <f t="shared" si="162"/>
        <v>0</v>
      </c>
      <c r="DI117" s="1543">
        <f t="shared" si="163"/>
        <v>0</v>
      </c>
      <c r="DJ117" s="1543">
        <f t="shared" si="224"/>
        <v>0</v>
      </c>
      <c r="DK117" s="1543">
        <f t="shared" si="224"/>
        <v>0</v>
      </c>
      <c r="DL117" s="1543">
        <f t="shared" si="224"/>
        <v>0</v>
      </c>
      <c r="DM117" s="1543">
        <f t="shared" si="224"/>
        <v>0</v>
      </c>
      <c r="DO117" s="1543">
        <f t="shared" si="200"/>
        <v>0</v>
      </c>
      <c r="DP117" s="1543">
        <f t="shared" si="200"/>
        <v>0</v>
      </c>
      <c r="DQ117" s="1543">
        <f t="shared" si="200"/>
        <v>0</v>
      </c>
      <c r="DR117" s="1543">
        <f t="shared" si="200"/>
        <v>0</v>
      </c>
      <c r="DS117" s="1543">
        <f t="shared" si="200"/>
        <v>0</v>
      </c>
      <c r="DT117" s="1543">
        <f t="shared" si="200"/>
        <v>0</v>
      </c>
      <c r="DU117" s="1543">
        <f t="shared" si="200"/>
        <v>0</v>
      </c>
      <c r="DV117" s="1543">
        <f t="shared" si="200"/>
        <v>0</v>
      </c>
      <c r="DW117" s="1543">
        <f t="shared" si="200"/>
        <v>0</v>
      </c>
      <c r="DX117" s="1543">
        <f t="shared" si="200"/>
        <v>0</v>
      </c>
      <c r="DY117" s="1543">
        <f t="shared" si="200"/>
        <v>0</v>
      </c>
      <c r="DZ117" s="1543">
        <f t="shared" si="200"/>
        <v>0</v>
      </c>
      <c r="EA117" s="1543">
        <f t="shared" si="200"/>
        <v>0</v>
      </c>
      <c r="EB117" s="1543">
        <f t="shared" si="225"/>
        <v>0</v>
      </c>
      <c r="EC117" s="1543">
        <f t="shared" si="225"/>
        <v>0</v>
      </c>
      <c r="ED117" s="1543">
        <f t="shared" si="225"/>
        <v>0</v>
      </c>
      <c r="EE117" s="1543">
        <f t="shared" si="225"/>
        <v>0</v>
      </c>
      <c r="EF117" s="1543">
        <f t="shared" si="225"/>
        <v>0</v>
      </c>
      <c r="EH117" s="1543">
        <f t="shared" si="215"/>
        <v>0</v>
      </c>
      <c r="EI117" s="1543">
        <f t="shared" si="216"/>
        <v>0</v>
      </c>
      <c r="EJ117" s="1543">
        <f t="shared" si="217"/>
        <v>0</v>
      </c>
      <c r="EK117" s="1543">
        <f t="shared" si="218"/>
        <v>0</v>
      </c>
      <c r="EL117" s="1543">
        <f t="shared" si="219"/>
        <v>0</v>
      </c>
      <c r="EM117" s="1543">
        <f t="shared" si="220"/>
        <v>0</v>
      </c>
      <c r="EN117" s="1543">
        <f t="shared" si="221"/>
        <v>0</v>
      </c>
      <c r="EP117" s="1543">
        <f t="shared" si="197"/>
        <v>0</v>
      </c>
      <c r="EQ117" s="1543">
        <f t="shared" si="197"/>
        <v>0</v>
      </c>
      <c r="ER117" s="1543">
        <f t="shared" si="197"/>
        <v>0</v>
      </c>
      <c r="ES117" s="1543">
        <f t="shared" si="192"/>
        <v>0</v>
      </c>
      <c r="ET117" s="1543">
        <f t="shared" si="193"/>
        <v>0</v>
      </c>
      <c r="EU117" s="1543">
        <f t="shared" si="193"/>
        <v>0</v>
      </c>
      <c r="EV117" s="1543">
        <f t="shared" si="193"/>
        <v>0</v>
      </c>
      <c r="EW117" s="1543">
        <f t="shared" si="193"/>
        <v>0</v>
      </c>
      <c r="EX117" s="1543">
        <f t="shared" si="193"/>
        <v>0</v>
      </c>
      <c r="EY117" s="1543">
        <f t="shared" si="193"/>
        <v>0</v>
      </c>
      <c r="EZ117" s="1543">
        <f t="shared" si="193"/>
        <v>0</v>
      </c>
      <c r="FA117" s="1543">
        <f t="shared" si="193"/>
        <v>0</v>
      </c>
      <c r="FB117" s="1543">
        <f t="shared" si="193"/>
        <v>0</v>
      </c>
      <c r="FC117" s="1543">
        <f t="shared" si="193"/>
        <v>0</v>
      </c>
      <c r="FD117" s="1543">
        <f t="shared" si="193"/>
        <v>0</v>
      </c>
      <c r="FE117" s="1543">
        <f t="shared" si="184"/>
        <v>0</v>
      </c>
      <c r="FF117" s="1543">
        <f t="shared" si="172"/>
        <v>1</v>
      </c>
      <c r="FH117" s="1543">
        <f t="shared" si="226"/>
        <v>0</v>
      </c>
      <c r="FI117" s="1543">
        <f t="shared" si="226"/>
        <v>0</v>
      </c>
      <c r="FJ117" s="1543">
        <f t="shared" si="226"/>
        <v>0</v>
      </c>
      <c r="FK117" s="1543">
        <f t="shared" si="226"/>
        <v>0</v>
      </c>
      <c r="FL117" s="1543">
        <f t="shared" si="226"/>
        <v>0</v>
      </c>
      <c r="FM117" s="1543">
        <f t="shared" si="226"/>
        <v>0</v>
      </c>
      <c r="FN117" s="1543">
        <f t="shared" si="226"/>
        <v>0</v>
      </c>
      <c r="FO117" s="1543">
        <f t="shared" si="226"/>
        <v>0</v>
      </c>
      <c r="FP117" s="1543">
        <f t="shared" si="226"/>
        <v>0</v>
      </c>
      <c r="FQ117" s="1543">
        <f t="shared" si="226"/>
        <v>0</v>
      </c>
      <c r="FR117" s="1543">
        <f t="shared" si="226"/>
        <v>0</v>
      </c>
      <c r="FS117" s="1543">
        <f t="shared" si="226"/>
        <v>0</v>
      </c>
      <c r="FT117" s="1543">
        <f t="shared" si="174"/>
        <v>0</v>
      </c>
      <c r="FV117" s="1543">
        <f t="shared" si="227"/>
        <v>1</v>
      </c>
      <c r="FW117" s="1543">
        <f t="shared" si="227"/>
        <v>0</v>
      </c>
      <c r="FX117" s="1543">
        <f t="shared" si="227"/>
        <v>0</v>
      </c>
      <c r="FY117" s="1543">
        <f t="shared" si="227"/>
        <v>0</v>
      </c>
      <c r="FZ117" s="1543">
        <f t="shared" si="227"/>
        <v>0</v>
      </c>
      <c r="GA117" s="1543">
        <f t="shared" si="227"/>
        <v>0</v>
      </c>
      <c r="GB117" s="1543">
        <f t="shared" si="227"/>
        <v>0</v>
      </c>
      <c r="GC117" s="1543">
        <f t="shared" si="227"/>
        <v>0</v>
      </c>
      <c r="GD117" s="1543">
        <f t="shared" si="227"/>
        <v>0</v>
      </c>
    </row>
    <row r="118" spans="1:186" s="982" customFormat="1" ht="15.6" x14ac:dyDescent="0.3">
      <c r="A118" s="974">
        <v>116</v>
      </c>
      <c r="B118" s="983"/>
      <c r="C118" s="984"/>
      <c r="D118" s="983"/>
      <c r="E118" s="968" t="str">
        <f>IFERROR(VLOOKUP($D118&amp;"."&amp;B118,'Piping Class'!$1:$1048576,MATCH($I118,'Piping Class'!$2:$2,0),0),"")</f>
        <v/>
      </c>
      <c r="F118" s="985" t="str">
        <f>IFERROR(IF(B118="Flange",VLOOKUP($D118,'Piping Class'!$88:$102,MATCH(F$1,'Piping Class'!$88:$88,0),0),""),"")</f>
        <v/>
      </c>
      <c r="G118" s="968" t="str">
        <f>IFERROR(IF(B118="Flange",VLOOKUP($D118,'Piping Class'!$88:$102,MATCH(G$1,'Piping Class'!$88:$88,0),0),""),"")</f>
        <v/>
      </c>
      <c r="H118" s="968" t="str">
        <f>IFERROR(VLOOKUP($D118,'Piping Class'!$88:$102,MATCH(H$1,'Piping Class'!$88:$88,0),0),"")</f>
        <v/>
      </c>
      <c r="I118" s="986"/>
      <c r="J118" s="987"/>
      <c r="K118" s="968" t="str">
        <f>IFERROR(VLOOKUP(I118,'Thickness Tab'!$1:$1048576,MATCH(L118,'Thickness Tab'!$1:$1,0),0),"")</f>
        <v/>
      </c>
      <c r="L118" s="969" t="str">
        <f>IFERROR(VLOOKUP($D118,'Piping Class'!$1:$1048576,MATCH($I118,'Piping Class'!$2:$2,0),0),"")</f>
        <v/>
      </c>
      <c r="M118" s="968" t="str">
        <f>IFERROR(VLOOKUP(J118,'Thickness Tab'!$1:$1048576,MATCH(N118,'Thickness Tab'!$1:$1,0),0),"")</f>
        <v/>
      </c>
      <c r="N118" s="969" t="str">
        <f>IFERROR(VLOOKUP($D118,'Piping Class'!$1:$1048576,MATCH($J118,'Piping Class'!$2:$2,0),0),"")</f>
        <v/>
      </c>
      <c r="O118" s="968" t="str">
        <f>IFERROR(VLOOKUP($D118,'Piping Class'!$88:$102,MATCH(O$1,'Piping Class'!$88:$88,0),0),"")</f>
        <v/>
      </c>
      <c r="P118" s="968" t="str">
        <f>IFERROR(VLOOKUP($D118,'Piping Class'!$88:$102,MATCH(P$1,'Piping Class'!$88:$88,0),0),"")</f>
        <v/>
      </c>
      <c r="Q118" s="983"/>
      <c r="R118" s="988"/>
      <c r="S118" s="969" t="str">
        <f t="shared" si="206"/>
        <v/>
      </c>
      <c r="T118" s="968">
        <f>IFERROR(VLOOKUP(I118&amp;"."&amp;L118,'Fitting Chart'!$1:$1048576,MATCH(C118,'Fitting Chart'!$1:$1,0),0),0)+IF(B118="piping",PI()*K118*(VLOOKUP(I118,'Thickness Tab'!$1:$1048576,3,0)-K118)*7.86/1000,0)+IF(B118="Flange",VLOOKUP(I118&amp;"F"&amp;F118,'Flanges Chart'!$1:$1048576,MATCH(C118&amp;"."&amp;T$1,'Flanges Chart'!$1:$1,0),0),0)</f>
        <v>0</v>
      </c>
      <c r="U118" s="989">
        <f t="shared" si="207"/>
        <v>0</v>
      </c>
      <c r="V118" s="1003"/>
      <c r="W118" s="1001">
        <f t="shared" si="208"/>
        <v>0</v>
      </c>
      <c r="X118" s="997"/>
      <c r="Y118" s="983"/>
      <c r="Z118" s="989">
        <f>IF(B118="Piping",VLOOKUP(I118,'Thickness Tab'!$1:$1048576,3,0)/1000*PI(),0)+IFERROR(VLOOKUP(I118&amp;"F"&amp;F118,'Flanges Chart'!$1:$1048576,MATCH(C118&amp;".Unit Surface",'Flanges Chart'!$1:$1,0),0),0)+IF(B118="Fitting",VLOOKUP(I118,'Thickness Tab'!$1:$1048576,3,0)/1000*PI(),0)</f>
        <v>0</v>
      </c>
      <c r="AA118" s="989">
        <f t="shared" si="209"/>
        <v>0</v>
      </c>
      <c r="AB118" s="983">
        <v>0</v>
      </c>
      <c r="AC118" s="989">
        <f t="shared" si="154"/>
        <v>0</v>
      </c>
      <c r="AD118" s="989">
        <f t="shared" si="155"/>
        <v>0</v>
      </c>
      <c r="AE118" s="974">
        <f>(IFERROR(VLOOKUP($C118,List!$J:$L,2,0),0)*R118+IF(B118="piping",R118,0)+IF(C118="Welding Neck",1,0)*R118)*$AE$2</f>
        <v>0</v>
      </c>
      <c r="AF118" s="970">
        <f>IFERROR(VLOOKUP($C118,List!$J:$L,3,0),0)*R118*$AF$2</f>
        <v>0</v>
      </c>
      <c r="AG118" s="990">
        <f t="shared" si="210"/>
        <v>0</v>
      </c>
      <c r="AH118" s="1118" t="str">
        <f>IFERROR(VLOOKUP($D118,'Piping Class'!$88:$102,MATCH(AH$1,'Piping Class'!$88:$88,0),0),"")</f>
        <v/>
      </c>
      <c r="AI118" s="991" t="str">
        <f>IFERROR(VLOOKUP($D118,'Piping Class'!$88:$102,MATCH(AI$1,'Piping Class'!$88:$88,0),0),"")</f>
        <v/>
      </c>
      <c r="AJ118" s="991" t="str">
        <f>IFERROR(VLOOKUP($D118,'Piping Class'!$88:$102,MATCH(AJ$1,'Piping Class'!$88:$88,0),0),"")</f>
        <v/>
      </c>
      <c r="AK118" s="991" t="str">
        <f>IFERROR(VLOOKUP($D118,'Piping Class'!$88:$102,MATCH(AK$1,'Piping Class'!$88:$88,0),0),"")</f>
        <v/>
      </c>
      <c r="AL118" s="991">
        <f t="shared" si="182"/>
        <v>0</v>
      </c>
      <c r="AM118" s="1119" t="str">
        <f>IFERROR(VLOOKUP($D118,'Piping Class'!$88:$102,MATCH(AM$1,'Piping Class'!$88:$88,0),0),"")</f>
        <v/>
      </c>
      <c r="AN118" s="992">
        <f t="shared" si="157"/>
        <v>0</v>
      </c>
      <c r="AO118" s="993">
        <f>IFERROR(VLOOKUP(I118&amp;"B"&amp;F118,'Bolting Chart'!$1:$1048576,4,0),0)</f>
        <v>0</v>
      </c>
      <c r="AP118" s="993">
        <f t="shared" si="211"/>
        <v>0</v>
      </c>
      <c r="AQ118" s="993">
        <f t="shared" si="212"/>
        <v>0</v>
      </c>
      <c r="AR118" s="993">
        <f>IF(AO118=0,0,VLOOKUP(D118&amp;".bolting",'Piping Class'!$1:$1048576,MATCH(I118,'Piping Class'!$2:$2,0),0))</f>
        <v>0</v>
      </c>
      <c r="AS118" s="994">
        <f>IFERROR(VLOOKUP(I118&amp;"B"&amp;F118,'Bolting Chart'!$1:$1048576,IF(AS$2="UNC",5,6),0),0)</f>
        <v>0</v>
      </c>
      <c r="AT118" s="995">
        <f>IFERROR(VLOOKUP(I118&amp;"B"&amp;F118,'Bolting Chart'!$1:$1048576,IF(G118="RF",8,9),0),0)</f>
        <v>0</v>
      </c>
      <c r="AU118" s="993">
        <f>IF(AO118=0,0,VLOOKUP(D118&amp;".gasket",'Piping Class'!$1:$1048576,MATCH(I118,'Piping Class'!$2:$2,0),0))</f>
        <v>0</v>
      </c>
      <c r="AV118" s="996">
        <f>(IFERROR(INDEX('Bolting Chart'!$A$169:$R$251,MATCH(AT118,'Bolting Chart'!$A$170:$A$251,0),MATCH(IFERROR(VLOOKUP(I118&amp;"B"&amp;F118,'Bolting Chart'!$1:$1048576,7,0),0)+0,'Bolting Chart'!$A$169:$R$169,0)),0))/100</f>
        <v>0</v>
      </c>
      <c r="AW118" s="996">
        <f t="shared" si="213"/>
        <v>0</v>
      </c>
      <c r="AX118" s="1194">
        <f t="shared" si="214"/>
        <v>0</v>
      </c>
      <c r="AY118" s="981"/>
      <c r="AZ118" s="1543">
        <f t="shared" si="201"/>
        <v>0</v>
      </c>
      <c r="BA118" s="1543">
        <f t="shared" si="201"/>
        <v>0</v>
      </c>
      <c r="BB118" s="1543">
        <f t="shared" si="201"/>
        <v>0</v>
      </c>
      <c r="BC118" s="1543">
        <f t="shared" si="201"/>
        <v>0</v>
      </c>
      <c r="BD118" s="1543">
        <f t="shared" si="201"/>
        <v>0</v>
      </c>
      <c r="BE118" s="1543">
        <f t="shared" si="201"/>
        <v>0</v>
      </c>
      <c r="BF118" s="1543">
        <f t="shared" si="201"/>
        <v>0</v>
      </c>
      <c r="BG118" s="1543">
        <f t="shared" si="201"/>
        <v>0</v>
      </c>
      <c r="BH118" s="1543">
        <f t="shared" si="201"/>
        <v>0</v>
      </c>
      <c r="BI118" s="1543">
        <f t="shared" si="201"/>
        <v>0</v>
      </c>
      <c r="BJ118" s="1543">
        <f t="shared" si="201"/>
        <v>0</v>
      </c>
      <c r="BK118" s="1543">
        <f t="shared" si="201"/>
        <v>0</v>
      </c>
      <c r="BL118" s="1543">
        <f t="shared" si="201"/>
        <v>0</v>
      </c>
      <c r="BM118" s="1543">
        <f t="shared" si="201"/>
        <v>0</v>
      </c>
      <c r="BN118" s="1543">
        <f t="shared" si="201"/>
        <v>0</v>
      </c>
      <c r="BO118" s="1543">
        <f t="shared" si="201"/>
        <v>0</v>
      </c>
      <c r="BP118" s="1543">
        <f t="shared" si="222"/>
        <v>0</v>
      </c>
      <c r="BQ118" s="1543">
        <f t="shared" si="222"/>
        <v>0</v>
      </c>
      <c r="BR118" s="1543">
        <f t="shared" si="222"/>
        <v>0</v>
      </c>
      <c r="BS118" s="1543">
        <f t="shared" si="222"/>
        <v>0</v>
      </c>
      <c r="BT118" s="1543">
        <f t="shared" si="222"/>
        <v>0</v>
      </c>
      <c r="BU118" s="1543">
        <f t="shared" si="222"/>
        <v>0</v>
      </c>
      <c r="BV118" s="1543">
        <f t="shared" si="222"/>
        <v>0</v>
      </c>
      <c r="BW118" s="1543">
        <f t="shared" si="222"/>
        <v>0</v>
      </c>
      <c r="BX118" s="1543">
        <f t="shared" si="222"/>
        <v>0</v>
      </c>
      <c r="BY118" s="1543">
        <f t="shared" si="222"/>
        <v>0</v>
      </c>
      <c r="BZ118" s="1543">
        <f t="shared" si="222"/>
        <v>0</v>
      </c>
      <c r="CB118" s="1543">
        <f t="shared" si="202"/>
        <v>0</v>
      </c>
      <c r="CC118" s="1543">
        <f t="shared" si="202"/>
        <v>0</v>
      </c>
      <c r="CD118" s="1543">
        <f t="shared" si="202"/>
        <v>0</v>
      </c>
      <c r="CE118" s="1543">
        <f t="shared" si="202"/>
        <v>0</v>
      </c>
      <c r="CF118" s="1543">
        <f t="shared" si="202"/>
        <v>0</v>
      </c>
      <c r="CG118" s="1543">
        <f t="shared" si="202"/>
        <v>0</v>
      </c>
      <c r="CH118" s="1543">
        <f t="shared" si="202"/>
        <v>0</v>
      </c>
      <c r="CI118" s="1543">
        <f t="shared" si="202"/>
        <v>0</v>
      </c>
      <c r="CJ118" s="1543">
        <f t="shared" si="202"/>
        <v>0</v>
      </c>
      <c r="CK118" s="1543">
        <f t="shared" si="202"/>
        <v>0</v>
      </c>
      <c r="CL118" s="1543">
        <f t="shared" si="202"/>
        <v>0</v>
      </c>
      <c r="CM118" s="1543">
        <f t="shared" si="202"/>
        <v>0</v>
      </c>
      <c r="CN118" s="1543">
        <f t="shared" si="202"/>
        <v>0</v>
      </c>
      <c r="CO118" s="1543">
        <f t="shared" si="202"/>
        <v>0</v>
      </c>
      <c r="CP118" s="1543">
        <f t="shared" si="202"/>
        <v>0</v>
      </c>
      <c r="CQ118" s="1543">
        <f t="shared" si="202"/>
        <v>0</v>
      </c>
      <c r="CR118" s="1543">
        <f t="shared" si="223"/>
        <v>0</v>
      </c>
      <c r="CS118" s="1543">
        <f t="shared" si="223"/>
        <v>0</v>
      </c>
      <c r="CT118" s="1543">
        <f t="shared" si="205"/>
        <v>0</v>
      </c>
      <c r="CU118" s="1543">
        <f t="shared" si="205"/>
        <v>0</v>
      </c>
      <c r="CV118" s="1543">
        <f t="shared" si="205"/>
        <v>0</v>
      </c>
      <c r="CW118" s="1543">
        <f t="shared" si="205"/>
        <v>0</v>
      </c>
      <c r="CX118" s="1543">
        <f t="shared" si="205"/>
        <v>0</v>
      </c>
      <c r="CY118" s="1543">
        <f t="shared" si="205"/>
        <v>0</v>
      </c>
      <c r="CZ118" s="1543">
        <f t="shared" si="205"/>
        <v>0</v>
      </c>
      <c r="DA118" s="1543">
        <f t="shared" si="205"/>
        <v>0</v>
      </c>
      <c r="DB118" s="1543">
        <f t="shared" si="205"/>
        <v>0</v>
      </c>
      <c r="DD118" s="1543">
        <f t="shared" si="194"/>
        <v>0</v>
      </c>
      <c r="DE118" s="1543">
        <f t="shared" si="195"/>
        <v>0</v>
      </c>
      <c r="DF118" s="1543">
        <f t="shared" si="196"/>
        <v>0</v>
      </c>
      <c r="DG118" s="1543">
        <f t="shared" si="162"/>
        <v>0</v>
      </c>
      <c r="DI118" s="1543">
        <f t="shared" si="163"/>
        <v>0</v>
      </c>
      <c r="DJ118" s="1543">
        <f t="shared" si="224"/>
        <v>0</v>
      </c>
      <c r="DK118" s="1543">
        <f t="shared" si="224"/>
        <v>0</v>
      </c>
      <c r="DL118" s="1543">
        <f t="shared" si="224"/>
        <v>0</v>
      </c>
      <c r="DM118" s="1543">
        <f t="shared" si="224"/>
        <v>0</v>
      </c>
      <c r="DO118" s="1543">
        <f t="shared" si="200"/>
        <v>0</v>
      </c>
      <c r="DP118" s="1543">
        <f t="shared" si="200"/>
        <v>0</v>
      </c>
      <c r="DQ118" s="1543">
        <f t="shared" si="200"/>
        <v>0</v>
      </c>
      <c r="DR118" s="1543">
        <f t="shared" si="200"/>
        <v>0</v>
      </c>
      <c r="DS118" s="1543">
        <f t="shared" si="200"/>
        <v>0</v>
      </c>
      <c r="DT118" s="1543">
        <f t="shared" si="200"/>
        <v>0</v>
      </c>
      <c r="DU118" s="1543">
        <f t="shared" si="200"/>
        <v>0</v>
      </c>
      <c r="DV118" s="1543">
        <f t="shared" si="200"/>
        <v>0</v>
      </c>
      <c r="DW118" s="1543">
        <f t="shared" si="200"/>
        <v>0</v>
      </c>
      <c r="DX118" s="1543">
        <f t="shared" si="200"/>
        <v>0</v>
      </c>
      <c r="DY118" s="1543">
        <f t="shared" si="200"/>
        <v>0</v>
      </c>
      <c r="DZ118" s="1543">
        <f t="shared" si="200"/>
        <v>0</v>
      </c>
      <c r="EA118" s="1543">
        <f t="shared" si="200"/>
        <v>0</v>
      </c>
      <c r="EB118" s="1543">
        <f t="shared" si="225"/>
        <v>0</v>
      </c>
      <c r="EC118" s="1543">
        <f t="shared" si="225"/>
        <v>0</v>
      </c>
      <c r="ED118" s="1543">
        <f t="shared" si="225"/>
        <v>0</v>
      </c>
      <c r="EE118" s="1543">
        <f t="shared" si="225"/>
        <v>0</v>
      </c>
      <c r="EF118" s="1543">
        <f t="shared" si="225"/>
        <v>0</v>
      </c>
      <c r="EH118" s="1543">
        <f t="shared" si="215"/>
        <v>0</v>
      </c>
      <c r="EI118" s="1543">
        <f t="shared" si="216"/>
        <v>0</v>
      </c>
      <c r="EJ118" s="1543">
        <f t="shared" si="217"/>
        <v>0</v>
      </c>
      <c r="EK118" s="1543">
        <f t="shared" si="218"/>
        <v>0</v>
      </c>
      <c r="EL118" s="1543">
        <f t="shared" si="219"/>
        <v>0</v>
      </c>
      <c r="EM118" s="1543">
        <f t="shared" si="220"/>
        <v>0</v>
      </c>
      <c r="EN118" s="1543">
        <f t="shared" si="221"/>
        <v>0</v>
      </c>
      <c r="EP118" s="1543">
        <f t="shared" si="197"/>
        <v>0</v>
      </c>
      <c r="EQ118" s="1543">
        <f t="shared" si="197"/>
        <v>0</v>
      </c>
      <c r="ER118" s="1543">
        <f t="shared" si="197"/>
        <v>0</v>
      </c>
      <c r="ES118" s="1543">
        <f t="shared" si="192"/>
        <v>0</v>
      </c>
      <c r="ET118" s="1543">
        <f t="shared" si="193"/>
        <v>0</v>
      </c>
      <c r="EU118" s="1543">
        <f t="shared" si="193"/>
        <v>0</v>
      </c>
      <c r="EV118" s="1543">
        <f t="shared" si="193"/>
        <v>0</v>
      </c>
      <c r="EW118" s="1543">
        <f t="shared" si="193"/>
        <v>0</v>
      </c>
      <c r="EX118" s="1543">
        <f t="shared" si="193"/>
        <v>0</v>
      </c>
      <c r="EY118" s="1543">
        <f t="shared" si="193"/>
        <v>0</v>
      </c>
      <c r="EZ118" s="1543">
        <f t="shared" si="193"/>
        <v>0</v>
      </c>
      <c r="FA118" s="1543">
        <f t="shared" si="193"/>
        <v>0</v>
      </c>
      <c r="FB118" s="1543">
        <f t="shared" si="193"/>
        <v>0</v>
      </c>
      <c r="FC118" s="1543">
        <f t="shared" si="193"/>
        <v>0</v>
      </c>
      <c r="FD118" s="1543">
        <f t="shared" si="193"/>
        <v>0</v>
      </c>
      <c r="FE118" s="1543">
        <f t="shared" si="184"/>
        <v>0</v>
      </c>
      <c r="FF118" s="1543">
        <f t="shared" si="172"/>
        <v>1</v>
      </c>
      <c r="FH118" s="1543">
        <f t="shared" si="226"/>
        <v>0</v>
      </c>
      <c r="FI118" s="1543">
        <f t="shared" si="226"/>
        <v>0</v>
      </c>
      <c r="FJ118" s="1543">
        <f t="shared" si="226"/>
        <v>0</v>
      </c>
      <c r="FK118" s="1543">
        <f t="shared" si="226"/>
        <v>0</v>
      </c>
      <c r="FL118" s="1543">
        <f t="shared" si="226"/>
        <v>0</v>
      </c>
      <c r="FM118" s="1543">
        <f t="shared" si="226"/>
        <v>0</v>
      </c>
      <c r="FN118" s="1543">
        <f t="shared" si="226"/>
        <v>0</v>
      </c>
      <c r="FO118" s="1543">
        <f t="shared" si="226"/>
        <v>0</v>
      </c>
      <c r="FP118" s="1543">
        <f t="shared" si="226"/>
        <v>0</v>
      </c>
      <c r="FQ118" s="1543">
        <f t="shared" si="226"/>
        <v>0</v>
      </c>
      <c r="FR118" s="1543">
        <f t="shared" si="226"/>
        <v>0</v>
      </c>
      <c r="FS118" s="1543">
        <f t="shared" si="226"/>
        <v>0</v>
      </c>
      <c r="FT118" s="1543">
        <f t="shared" si="174"/>
        <v>0</v>
      </c>
      <c r="FV118" s="1543">
        <f t="shared" si="227"/>
        <v>1</v>
      </c>
      <c r="FW118" s="1543">
        <f t="shared" si="227"/>
        <v>0</v>
      </c>
      <c r="FX118" s="1543">
        <f t="shared" si="227"/>
        <v>0</v>
      </c>
      <c r="FY118" s="1543">
        <f t="shared" si="227"/>
        <v>0</v>
      </c>
      <c r="FZ118" s="1543">
        <f t="shared" si="227"/>
        <v>0</v>
      </c>
      <c r="GA118" s="1543">
        <f t="shared" si="227"/>
        <v>0</v>
      </c>
      <c r="GB118" s="1543">
        <f t="shared" si="227"/>
        <v>0</v>
      </c>
      <c r="GC118" s="1543">
        <f t="shared" si="227"/>
        <v>0</v>
      </c>
      <c r="GD118" s="1543">
        <f t="shared" si="227"/>
        <v>0</v>
      </c>
    </row>
    <row r="119" spans="1:186" s="982" customFormat="1" ht="15.6" x14ac:dyDescent="0.3">
      <c r="A119" s="974">
        <v>117</v>
      </c>
      <c r="B119" s="983"/>
      <c r="C119" s="984"/>
      <c r="D119" s="983"/>
      <c r="E119" s="968" t="str">
        <f>IFERROR(VLOOKUP($D119&amp;"."&amp;B119,'Piping Class'!$1:$1048576,MATCH($I119,'Piping Class'!$2:$2,0),0),"")</f>
        <v/>
      </c>
      <c r="F119" s="985" t="str">
        <f>IFERROR(IF(B119="Flange",VLOOKUP($D119,'Piping Class'!$88:$102,MATCH(F$1,'Piping Class'!$88:$88,0),0),""),"")</f>
        <v/>
      </c>
      <c r="G119" s="968" t="str">
        <f>IFERROR(IF(B119="Flange",VLOOKUP($D119,'Piping Class'!$88:$102,MATCH(G$1,'Piping Class'!$88:$88,0),0),""),"")</f>
        <v/>
      </c>
      <c r="H119" s="968" t="str">
        <f>IFERROR(VLOOKUP($D119,'Piping Class'!$88:$102,MATCH(H$1,'Piping Class'!$88:$88,0),0),"")</f>
        <v/>
      </c>
      <c r="I119" s="986"/>
      <c r="J119" s="987"/>
      <c r="K119" s="968" t="str">
        <f>IFERROR(VLOOKUP(I119,'Thickness Tab'!$1:$1048576,MATCH(L119,'Thickness Tab'!$1:$1,0),0),"")</f>
        <v/>
      </c>
      <c r="L119" s="969" t="str">
        <f>IFERROR(VLOOKUP($D119,'Piping Class'!$1:$1048576,MATCH($I119,'Piping Class'!$2:$2,0),0),"")</f>
        <v/>
      </c>
      <c r="M119" s="968" t="str">
        <f>IFERROR(VLOOKUP(J119,'Thickness Tab'!$1:$1048576,MATCH(N119,'Thickness Tab'!$1:$1,0),0),"")</f>
        <v/>
      </c>
      <c r="N119" s="969" t="str">
        <f>IFERROR(VLOOKUP($D119,'Piping Class'!$1:$1048576,MATCH($J119,'Piping Class'!$2:$2,0),0),"")</f>
        <v/>
      </c>
      <c r="O119" s="968" t="str">
        <f>IFERROR(VLOOKUP($D119,'Piping Class'!$88:$102,MATCH(O$1,'Piping Class'!$88:$88,0),0),"")</f>
        <v/>
      </c>
      <c r="P119" s="968" t="str">
        <f>IFERROR(VLOOKUP($D119,'Piping Class'!$88:$102,MATCH(P$1,'Piping Class'!$88:$88,0),0),"")</f>
        <v/>
      </c>
      <c r="Q119" s="983"/>
      <c r="R119" s="988"/>
      <c r="S119" s="969" t="str">
        <f t="shared" si="206"/>
        <v/>
      </c>
      <c r="T119" s="968">
        <f>IFERROR(VLOOKUP(I119&amp;"."&amp;L119,'Fitting Chart'!$1:$1048576,MATCH(C119,'Fitting Chart'!$1:$1,0),0),0)+IF(B119="piping",PI()*K119*(VLOOKUP(I119,'Thickness Tab'!$1:$1048576,3,0)-K119)*7.86/1000,0)+IF(B119="Flange",VLOOKUP(I119&amp;"F"&amp;F119,'Flanges Chart'!$1:$1048576,MATCH(C119&amp;"."&amp;T$1,'Flanges Chart'!$1:$1,0),0),0)</f>
        <v>0</v>
      </c>
      <c r="U119" s="989">
        <f t="shared" si="207"/>
        <v>0</v>
      </c>
      <c r="V119" s="1003"/>
      <c r="W119" s="1001">
        <f t="shared" si="208"/>
        <v>0</v>
      </c>
      <c r="X119" s="997"/>
      <c r="Y119" s="983"/>
      <c r="Z119" s="989">
        <f>IF(B119="Piping",VLOOKUP(I119,'Thickness Tab'!$1:$1048576,3,0)/1000*PI(),0)+IFERROR(VLOOKUP(I119&amp;"F"&amp;F119,'Flanges Chart'!$1:$1048576,MATCH(C119&amp;".Unit Surface",'Flanges Chart'!$1:$1,0),0),0)+IF(B119="Fitting",VLOOKUP(I119,'Thickness Tab'!$1:$1048576,3,0)/1000*PI(),0)</f>
        <v>0</v>
      </c>
      <c r="AA119" s="989">
        <f t="shared" si="209"/>
        <v>0</v>
      </c>
      <c r="AB119" s="983">
        <v>0</v>
      </c>
      <c r="AC119" s="989">
        <f t="shared" si="154"/>
        <v>0</v>
      </c>
      <c r="AD119" s="989">
        <f t="shared" si="155"/>
        <v>0</v>
      </c>
      <c r="AE119" s="974">
        <f>(IFERROR(VLOOKUP($C119,List!$J:$L,2,0),0)*R119+IF(B119="piping",R119,0)+IF(C119="Welding Neck",1,0)*R119)*$AE$2</f>
        <v>0</v>
      </c>
      <c r="AF119" s="970">
        <f>IFERROR(VLOOKUP($C119,List!$J:$L,3,0),0)*R119*$AF$2</f>
        <v>0</v>
      </c>
      <c r="AG119" s="990">
        <f t="shared" si="210"/>
        <v>0</v>
      </c>
      <c r="AH119" s="1118" t="str">
        <f>IFERROR(VLOOKUP($D119,'Piping Class'!$88:$102,MATCH(AH$1,'Piping Class'!$88:$88,0),0),"")</f>
        <v/>
      </c>
      <c r="AI119" s="991" t="str">
        <f>IFERROR(VLOOKUP($D119,'Piping Class'!$88:$102,MATCH(AI$1,'Piping Class'!$88:$88,0),0),"")</f>
        <v/>
      </c>
      <c r="AJ119" s="991" t="str">
        <f>IFERROR(VLOOKUP($D119,'Piping Class'!$88:$102,MATCH(AJ$1,'Piping Class'!$88:$88,0),0),"")</f>
        <v/>
      </c>
      <c r="AK119" s="991" t="str">
        <f>IFERROR(VLOOKUP($D119,'Piping Class'!$88:$102,MATCH(AK$1,'Piping Class'!$88:$88,0),0),"")</f>
        <v/>
      </c>
      <c r="AL119" s="991">
        <f t="shared" si="182"/>
        <v>0</v>
      </c>
      <c r="AM119" s="1119" t="str">
        <f>IFERROR(VLOOKUP($D119,'Piping Class'!$88:$102,MATCH(AM$1,'Piping Class'!$88:$88,0),0),"")</f>
        <v/>
      </c>
      <c r="AN119" s="992">
        <f t="shared" si="157"/>
        <v>0</v>
      </c>
      <c r="AO119" s="993">
        <f>IFERROR(VLOOKUP(I119&amp;"B"&amp;F119,'Bolting Chart'!$1:$1048576,4,0),0)</f>
        <v>0</v>
      </c>
      <c r="AP119" s="993">
        <f t="shared" si="211"/>
        <v>0</v>
      </c>
      <c r="AQ119" s="993">
        <f t="shared" si="212"/>
        <v>0</v>
      </c>
      <c r="AR119" s="993">
        <f>IF(AO119=0,0,VLOOKUP(D119&amp;".bolting",'Piping Class'!$1:$1048576,MATCH(I119,'Piping Class'!$2:$2,0),0))</f>
        <v>0</v>
      </c>
      <c r="AS119" s="994">
        <f>IFERROR(VLOOKUP(I119&amp;"B"&amp;F119,'Bolting Chart'!$1:$1048576,IF(AS$2="UNC",5,6),0),0)</f>
        <v>0</v>
      </c>
      <c r="AT119" s="995">
        <f>IFERROR(VLOOKUP(I119&amp;"B"&amp;F119,'Bolting Chart'!$1:$1048576,IF(G119="RF",8,9),0),0)</f>
        <v>0</v>
      </c>
      <c r="AU119" s="993">
        <f>IF(AO119=0,0,VLOOKUP(D119&amp;".gasket",'Piping Class'!$1:$1048576,MATCH(I119,'Piping Class'!$2:$2,0),0))</f>
        <v>0</v>
      </c>
      <c r="AV119" s="996">
        <f>(IFERROR(INDEX('Bolting Chart'!$A$169:$R$251,MATCH(AT119,'Bolting Chart'!$A$170:$A$251,0),MATCH(IFERROR(VLOOKUP(I119&amp;"B"&amp;F119,'Bolting Chart'!$1:$1048576,7,0),0)+0,'Bolting Chart'!$A$169:$R$169,0)),0))/100</f>
        <v>0</v>
      </c>
      <c r="AW119" s="996">
        <f t="shared" si="213"/>
        <v>0</v>
      </c>
      <c r="AX119" s="1194">
        <f t="shared" si="214"/>
        <v>0</v>
      </c>
      <c r="AY119" s="981"/>
      <c r="AZ119" s="1543">
        <f t="shared" si="201"/>
        <v>0</v>
      </c>
      <c r="BA119" s="1543">
        <f t="shared" si="201"/>
        <v>0</v>
      </c>
      <c r="BB119" s="1543">
        <f t="shared" si="201"/>
        <v>0</v>
      </c>
      <c r="BC119" s="1543">
        <f t="shared" si="201"/>
        <v>0</v>
      </c>
      <c r="BD119" s="1543">
        <f t="shared" si="201"/>
        <v>0</v>
      </c>
      <c r="BE119" s="1543">
        <f t="shared" si="201"/>
        <v>0</v>
      </c>
      <c r="BF119" s="1543">
        <f t="shared" si="201"/>
        <v>0</v>
      </c>
      <c r="BG119" s="1543">
        <f t="shared" si="201"/>
        <v>0</v>
      </c>
      <c r="BH119" s="1543">
        <f t="shared" si="201"/>
        <v>0</v>
      </c>
      <c r="BI119" s="1543">
        <f t="shared" si="201"/>
        <v>0</v>
      </c>
      <c r="BJ119" s="1543">
        <f t="shared" si="201"/>
        <v>0</v>
      </c>
      <c r="BK119" s="1543">
        <f t="shared" si="201"/>
        <v>0</v>
      </c>
      <c r="BL119" s="1543">
        <f t="shared" si="201"/>
        <v>0</v>
      </c>
      <c r="BM119" s="1543">
        <f t="shared" si="201"/>
        <v>0</v>
      </c>
      <c r="BN119" s="1543">
        <f t="shared" si="201"/>
        <v>0</v>
      </c>
      <c r="BO119" s="1543">
        <f t="shared" si="201"/>
        <v>0</v>
      </c>
      <c r="BP119" s="1543">
        <f t="shared" si="222"/>
        <v>0</v>
      </c>
      <c r="BQ119" s="1543">
        <f t="shared" si="222"/>
        <v>0</v>
      </c>
      <c r="BR119" s="1543">
        <f t="shared" si="222"/>
        <v>0</v>
      </c>
      <c r="BS119" s="1543">
        <f t="shared" si="222"/>
        <v>0</v>
      </c>
      <c r="BT119" s="1543">
        <f t="shared" si="222"/>
        <v>0</v>
      </c>
      <c r="BU119" s="1543">
        <f t="shared" si="222"/>
        <v>0</v>
      </c>
      <c r="BV119" s="1543">
        <f t="shared" si="222"/>
        <v>0</v>
      </c>
      <c r="BW119" s="1543">
        <f t="shared" si="222"/>
        <v>0</v>
      </c>
      <c r="BX119" s="1543">
        <f t="shared" si="222"/>
        <v>0</v>
      </c>
      <c r="BY119" s="1543">
        <f t="shared" si="222"/>
        <v>0</v>
      </c>
      <c r="BZ119" s="1543">
        <f t="shared" si="222"/>
        <v>0</v>
      </c>
      <c r="CB119" s="1543">
        <f t="shared" si="202"/>
        <v>0</v>
      </c>
      <c r="CC119" s="1543">
        <f t="shared" si="202"/>
        <v>0</v>
      </c>
      <c r="CD119" s="1543">
        <f t="shared" si="202"/>
        <v>0</v>
      </c>
      <c r="CE119" s="1543">
        <f t="shared" si="202"/>
        <v>0</v>
      </c>
      <c r="CF119" s="1543">
        <f t="shared" si="202"/>
        <v>0</v>
      </c>
      <c r="CG119" s="1543">
        <f t="shared" si="202"/>
        <v>0</v>
      </c>
      <c r="CH119" s="1543">
        <f t="shared" si="202"/>
        <v>0</v>
      </c>
      <c r="CI119" s="1543">
        <f t="shared" si="202"/>
        <v>0</v>
      </c>
      <c r="CJ119" s="1543">
        <f t="shared" si="202"/>
        <v>0</v>
      </c>
      <c r="CK119" s="1543">
        <f t="shared" si="202"/>
        <v>0</v>
      </c>
      <c r="CL119" s="1543">
        <f t="shared" si="202"/>
        <v>0</v>
      </c>
      <c r="CM119" s="1543">
        <f t="shared" si="202"/>
        <v>0</v>
      </c>
      <c r="CN119" s="1543">
        <f t="shared" si="202"/>
        <v>0</v>
      </c>
      <c r="CO119" s="1543">
        <f t="shared" si="202"/>
        <v>0</v>
      </c>
      <c r="CP119" s="1543">
        <f t="shared" si="202"/>
        <v>0</v>
      </c>
      <c r="CQ119" s="1543">
        <f t="shared" si="202"/>
        <v>0</v>
      </c>
      <c r="CR119" s="1543">
        <f t="shared" si="223"/>
        <v>0</v>
      </c>
      <c r="CS119" s="1543">
        <f t="shared" si="223"/>
        <v>0</v>
      </c>
      <c r="CT119" s="1543">
        <f t="shared" si="205"/>
        <v>0</v>
      </c>
      <c r="CU119" s="1543">
        <f t="shared" si="205"/>
        <v>0</v>
      </c>
      <c r="CV119" s="1543">
        <f t="shared" si="205"/>
        <v>0</v>
      </c>
      <c r="CW119" s="1543">
        <f t="shared" si="205"/>
        <v>0</v>
      </c>
      <c r="CX119" s="1543">
        <f t="shared" si="205"/>
        <v>0</v>
      </c>
      <c r="CY119" s="1543">
        <f t="shared" si="205"/>
        <v>0</v>
      </c>
      <c r="CZ119" s="1543">
        <f t="shared" si="205"/>
        <v>0</v>
      </c>
      <c r="DA119" s="1543">
        <f t="shared" si="205"/>
        <v>0</v>
      </c>
      <c r="DB119" s="1543">
        <f t="shared" si="205"/>
        <v>0</v>
      </c>
      <c r="DD119" s="1543">
        <f t="shared" si="194"/>
        <v>0</v>
      </c>
      <c r="DE119" s="1543">
        <f t="shared" si="195"/>
        <v>0</v>
      </c>
      <c r="DF119" s="1543">
        <f t="shared" si="196"/>
        <v>0</v>
      </c>
      <c r="DG119" s="1543">
        <f t="shared" si="162"/>
        <v>0</v>
      </c>
      <c r="DI119" s="1543">
        <f t="shared" si="163"/>
        <v>0</v>
      </c>
      <c r="DJ119" s="1543">
        <f t="shared" si="224"/>
        <v>0</v>
      </c>
      <c r="DK119" s="1543">
        <f t="shared" si="224"/>
        <v>0</v>
      </c>
      <c r="DL119" s="1543">
        <f t="shared" si="224"/>
        <v>0</v>
      </c>
      <c r="DM119" s="1543">
        <f t="shared" si="224"/>
        <v>0</v>
      </c>
      <c r="DO119" s="1543">
        <f t="shared" si="200"/>
        <v>0</v>
      </c>
      <c r="DP119" s="1543">
        <f t="shared" si="200"/>
        <v>0</v>
      </c>
      <c r="DQ119" s="1543">
        <f t="shared" si="200"/>
        <v>0</v>
      </c>
      <c r="DR119" s="1543">
        <f t="shared" si="200"/>
        <v>0</v>
      </c>
      <c r="DS119" s="1543">
        <f t="shared" si="200"/>
        <v>0</v>
      </c>
      <c r="DT119" s="1543">
        <f t="shared" si="200"/>
        <v>0</v>
      </c>
      <c r="DU119" s="1543">
        <f t="shared" si="200"/>
        <v>0</v>
      </c>
      <c r="DV119" s="1543">
        <f t="shared" si="200"/>
        <v>0</v>
      </c>
      <c r="DW119" s="1543">
        <f t="shared" si="200"/>
        <v>0</v>
      </c>
      <c r="DX119" s="1543">
        <f t="shared" si="200"/>
        <v>0</v>
      </c>
      <c r="DY119" s="1543">
        <f t="shared" si="200"/>
        <v>0</v>
      </c>
      <c r="DZ119" s="1543">
        <f t="shared" si="200"/>
        <v>0</v>
      </c>
      <c r="EA119" s="1543">
        <f t="shared" si="200"/>
        <v>0</v>
      </c>
      <c r="EB119" s="1543">
        <f t="shared" si="225"/>
        <v>0</v>
      </c>
      <c r="EC119" s="1543">
        <f t="shared" si="225"/>
        <v>0</v>
      </c>
      <c r="ED119" s="1543">
        <f t="shared" si="225"/>
        <v>0</v>
      </c>
      <c r="EE119" s="1543">
        <f t="shared" si="225"/>
        <v>0</v>
      </c>
      <c r="EF119" s="1543">
        <f t="shared" si="225"/>
        <v>0</v>
      </c>
      <c r="EH119" s="1543">
        <f t="shared" si="215"/>
        <v>0</v>
      </c>
      <c r="EI119" s="1543">
        <f t="shared" si="216"/>
        <v>0</v>
      </c>
      <c r="EJ119" s="1543">
        <f t="shared" si="217"/>
        <v>0</v>
      </c>
      <c r="EK119" s="1543">
        <f t="shared" si="218"/>
        <v>0</v>
      </c>
      <c r="EL119" s="1543">
        <f t="shared" si="219"/>
        <v>0</v>
      </c>
      <c r="EM119" s="1543">
        <f t="shared" si="220"/>
        <v>0</v>
      </c>
      <c r="EN119" s="1543">
        <f t="shared" si="221"/>
        <v>0</v>
      </c>
      <c r="EP119" s="1543">
        <f t="shared" si="197"/>
        <v>0</v>
      </c>
      <c r="EQ119" s="1543">
        <f t="shared" si="197"/>
        <v>0</v>
      </c>
      <c r="ER119" s="1543">
        <f t="shared" si="197"/>
        <v>0</v>
      </c>
      <c r="ES119" s="1543">
        <f t="shared" si="192"/>
        <v>0</v>
      </c>
      <c r="ET119" s="1543">
        <f t="shared" si="193"/>
        <v>0</v>
      </c>
      <c r="EU119" s="1543">
        <f t="shared" si="193"/>
        <v>0</v>
      </c>
      <c r="EV119" s="1543">
        <f t="shared" si="193"/>
        <v>0</v>
      </c>
      <c r="EW119" s="1543">
        <f t="shared" si="193"/>
        <v>0</v>
      </c>
      <c r="EX119" s="1543">
        <f t="shared" si="193"/>
        <v>0</v>
      </c>
      <c r="EY119" s="1543">
        <f t="shared" si="193"/>
        <v>0</v>
      </c>
      <c r="EZ119" s="1543">
        <f t="shared" si="193"/>
        <v>0</v>
      </c>
      <c r="FA119" s="1543">
        <f t="shared" si="193"/>
        <v>0</v>
      </c>
      <c r="FB119" s="1543">
        <f t="shared" si="193"/>
        <v>0</v>
      </c>
      <c r="FC119" s="1543">
        <f t="shared" si="193"/>
        <v>0</v>
      </c>
      <c r="FD119" s="1543">
        <f t="shared" si="193"/>
        <v>0</v>
      </c>
      <c r="FE119" s="1543">
        <f t="shared" si="184"/>
        <v>0</v>
      </c>
      <c r="FF119" s="1543">
        <f t="shared" si="172"/>
        <v>1</v>
      </c>
      <c r="FH119" s="1543">
        <f t="shared" si="226"/>
        <v>0</v>
      </c>
      <c r="FI119" s="1543">
        <f t="shared" si="226"/>
        <v>0</v>
      </c>
      <c r="FJ119" s="1543">
        <f t="shared" si="226"/>
        <v>0</v>
      </c>
      <c r="FK119" s="1543">
        <f t="shared" si="226"/>
        <v>0</v>
      </c>
      <c r="FL119" s="1543">
        <f t="shared" si="226"/>
        <v>0</v>
      </c>
      <c r="FM119" s="1543">
        <f t="shared" si="226"/>
        <v>0</v>
      </c>
      <c r="FN119" s="1543">
        <f t="shared" si="226"/>
        <v>0</v>
      </c>
      <c r="FO119" s="1543">
        <f t="shared" si="226"/>
        <v>0</v>
      </c>
      <c r="FP119" s="1543">
        <f t="shared" si="226"/>
        <v>0</v>
      </c>
      <c r="FQ119" s="1543">
        <f t="shared" si="226"/>
        <v>0</v>
      </c>
      <c r="FR119" s="1543">
        <f t="shared" si="226"/>
        <v>0</v>
      </c>
      <c r="FS119" s="1543">
        <f t="shared" si="226"/>
        <v>0</v>
      </c>
      <c r="FT119" s="1543">
        <f t="shared" si="174"/>
        <v>0</v>
      </c>
      <c r="FV119" s="1543">
        <f t="shared" si="227"/>
        <v>1</v>
      </c>
      <c r="FW119" s="1543">
        <f t="shared" si="227"/>
        <v>0</v>
      </c>
      <c r="FX119" s="1543">
        <f t="shared" si="227"/>
        <v>0</v>
      </c>
      <c r="FY119" s="1543">
        <f t="shared" si="227"/>
        <v>0</v>
      </c>
      <c r="FZ119" s="1543">
        <f t="shared" si="227"/>
        <v>0</v>
      </c>
      <c r="GA119" s="1543">
        <f t="shared" si="227"/>
        <v>0</v>
      </c>
      <c r="GB119" s="1543">
        <f t="shared" si="227"/>
        <v>0</v>
      </c>
      <c r="GC119" s="1543">
        <f t="shared" si="227"/>
        <v>0</v>
      </c>
      <c r="GD119" s="1543">
        <f t="shared" si="227"/>
        <v>0</v>
      </c>
    </row>
    <row r="120" spans="1:186" s="982" customFormat="1" ht="15.6" x14ac:dyDescent="0.3">
      <c r="A120" s="974">
        <v>118</v>
      </c>
      <c r="B120" s="983"/>
      <c r="C120" s="984"/>
      <c r="D120" s="983"/>
      <c r="E120" s="968" t="str">
        <f>IFERROR(VLOOKUP($D120&amp;"."&amp;B120,'Piping Class'!$1:$1048576,MATCH($I120,'Piping Class'!$2:$2,0),0),"")</f>
        <v/>
      </c>
      <c r="F120" s="985" t="str">
        <f>IFERROR(IF(B120="Flange",VLOOKUP($D120,'Piping Class'!$88:$102,MATCH(F$1,'Piping Class'!$88:$88,0),0),""),"")</f>
        <v/>
      </c>
      <c r="G120" s="968" t="str">
        <f>IFERROR(IF(B120="Flange",VLOOKUP($D120,'Piping Class'!$88:$102,MATCH(G$1,'Piping Class'!$88:$88,0),0),""),"")</f>
        <v/>
      </c>
      <c r="H120" s="968" t="str">
        <f>IFERROR(VLOOKUP($D120,'Piping Class'!$88:$102,MATCH(H$1,'Piping Class'!$88:$88,0),0),"")</f>
        <v/>
      </c>
      <c r="I120" s="986"/>
      <c r="J120" s="987"/>
      <c r="K120" s="968" t="str">
        <f>IFERROR(VLOOKUP(I120,'Thickness Tab'!$1:$1048576,MATCH(L120,'Thickness Tab'!$1:$1,0),0),"")</f>
        <v/>
      </c>
      <c r="L120" s="969" t="str">
        <f>IFERROR(VLOOKUP($D120,'Piping Class'!$1:$1048576,MATCH($I120,'Piping Class'!$2:$2,0),0),"")</f>
        <v/>
      </c>
      <c r="M120" s="968" t="str">
        <f>IFERROR(VLOOKUP(J120,'Thickness Tab'!$1:$1048576,MATCH(N120,'Thickness Tab'!$1:$1,0),0),"")</f>
        <v/>
      </c>
      <c r="N120" s="969" t="str">
        <f>IFERROR(VLOOKUP($D120,'Piping Class'!$1:$1048576,MATCH($J120,'Piping Class'!$2:$2,0),0),"")</f>
        <v/>
      </c>
      <c r="O120" s="968" t="str">
        <f>IFERROR(VLOOKUP($D120,'Piping Class'!$88:$102,MATCH(O$1,'Piping Class'!$88:$88,0),0),"")</f>
        <v/>
      </c>
      <c r="P120" s="968" t="str">
        <f>IFERROR(VLOOKUP($D120,'Piping Class'!$88:$102,MATCH(P$1,'Piping Class'!$88:$88,0),0),"")</f>
        <v/>
      </c>
      <c r="Q120" s="983"/>
      <c r="R120" s="988"/>
      <c r="S120" s="969" t="str">
        <f t="shared" si="206"/>
        <v/>
      </c>
      <c r="T120" s="968">
        <f>IFERROR(VLOOKUP(I120&amp;"."&amp;L120,'Fitting Chart'!$1:$1048576,MATCH(C120,'Fitting Chart'!$1:$1,0),0),0)+IF(B120="piping",PI()*K120*(VLOOKUP(I120,'Thickness Tab'!$1:$1048576,3,0)-K120)*7.86/1000,0)+IF(B120="Flange",VLOOKUP(I120&amp;"F"&amp;F120,'Flanges Chart'!$1:$1048576,MATCH(C120&amp;"."&amp;T$1,'Flanges Chart'!$1:$1,0),0),0)</f>
        <v>0</v>
      </c>
      <c r="U120" s="989">
        <f t="shared" si="207"/>
        <v>0</v>
      </c>
      <c r="V120" s="1003"/>
      <c r="W120" s="1001">
        <f t="shared" si="208"/>
        <v>0</v>
      </c>
      <c r="X120" s="997"/>
      <c r="Y120" s="983"/>
      <c r="Z120" s="989">
        <f>IF(B120="Piping",VLOOKUP(I120,'Thickness Tab'!$1:$1048576,3,0)/1000*PI(),0)+IFERROR(VLOOKUP(I120&amp;"F"&amp;F120,'Flanges Chart'!$1:$1048576,MATCH(C120&amp;".Unit Surface",'Flanges Chart'!$1:$1,0),0),0)+IF(B120="Fitting",VLOOKUP(I120,'Thickness Tab'!$1:$1048576,3,0)/1000*PI(),0)</f>
        <v>0</v>
      </c>
      <c r="AA120" s="989">
        <f t="shared" si="209"/>
        <v>0</v>
      </c>
      <c r="AB120" s="983">
        <v>0</v>
      </c>
      <c r="AC120" s="989">
        <f t="shared" si="154"/>
        <v>0</v>
      </c>
      <c r="AD120" s="989">
        <f t="shared" si="155"/>
        <v>0</v>
      </c>
      <c r="AE120" s="974">
        <f>(IFERROR(VLOOKUP($C120,List!$J:$L,2,0),0)*R120+IF(B120="piping",R120,0)+IF(C120="Welding Neck",1,0)*R120)*$AE$2</f>
        <v>0</v>
      </c>
      <c r="AF120" s="970">
        <f>IFERROR(VLOOKUP($C120,List!$J:$L,3,0),0)*R120*$AF$2</f>
        <v>0</v>
      </c>
      <c r="AG120" s="990">
        <f t="shared" si="210"/>
        <v>0</v>
      </c>
      <c r="AH120" s="1118" t="str">
        <f>IFERROR(VLOOKUP($D120,'Piping Class'!$88:$102,MATCH(AH$1,'Piping Class'!$88:$88,0),0),"")</f>
        <v/>
      </c>
      <c r="AI120" s="991" t="str">
        <f>IFERROR(VLOOKUP($D120,'Piping Class'!$88:$102,MATCH(AI$1,'Piping Class'!$88:$88,0),0),"")</f>
        <v/>
      </c>
      <c r="AJ120" s="991" t="str">
        <f>IFERROR(VLOOKUP($D120,'Piping Class'!$88:$102,MATCH(AJ$1,'Piping Class'!$88:$88,0),0),"")</f>
        <v/>
      </c>
      <c r="AK120" s="991" t="str">
        <f>IFERROR(VLOOKUP($D120,'Piping Class'!$88:$102,MATCH(AK$1,'Piping Class'!$88:$88,0),0),"")</f>
        <v/>
      </c>
      <c r="AL120" s="991">
        <f t="shared" si="182"/>
        <v>0</v>
      </c>
      <c r="AM120" s="1119" t="str">
        <f>IFERROR(VLOOKUP($D120,'Piping Class'!$88:$102,MATCH(AM$1,'Piping Class'!$88:$88,0),0),"")</f>
        <v/>
      </c>
      <c r="AN120" s="992">
        <f t="shared" si="157"/>
        <v>0</v>
      </c>
      <c r="AO120" s="993">
        <f>IFERROR(VLOOKUP(I120&amp;"B"&amp;F120,'Bolting Chart'!$1:$1048576,4,0),0)</f>
        <v>0</v>
      </c>
      <c r="AP120" s="993">
        <f t="shared" si="211"/>
        <v>0</v>
      </c>
      <c r="AQ120" s="993">
        <f t="shared" si="212"/>
        <v>0</v>
      </c>
      <c r="AR120" s="993">
        <f>IF(AO120=0,0,VLOOKUP(D120&amp;".bolting",'Piping Class'!$1:$1048576,MATCH(I120,'Piping Class'!$2:$2,0),0))</f>
        <v>0</v>
      </c>
      <c r="AS120" s="994">
        <f>IFERROR(VLOOKUP(I120&amp;"B"&amp;F120,'Bolting Chart'!$1:$1048576,IF(AS$2="UNC",5,6),0),0)</f>
        <v>0</v>
      </c>
      <c r="AT120" s="995">
        <f>IFERROR(VLOOKUP(I120&amp;"B"&amp;F120,'Bolting Chart'!$1:$1048576,IF(G120="RF",8,9),0),0)</f>
        <v>0</v>
      </c>
      <c r="AU120" s="993">
        <f>IF(AO120=0,0,VLOOKUP(D120&amp;".gasket",'Piping Class'!$1:$1048576,MATCH(I120,'Piping Class'!$2:$2,0),0))</f>
        <v>0</v>
      </c>
      <c r="AV120" s="996">
        <f>(IFERROR(INDEX('Bolting Chart'!$A$169:$R$251,MATCH(AT120,'Bolting Chart'!$A$170:$A$251,0),MATCH(IFERROR(VLOOKUP(I120&amp;"B"&amp;F120,'Bolting Chart'!$1:$1048576,7,0),0)+0,'Bolting Chart'!$A$169:$R$169,0)),0))/100</f>
        <v>0</v>
      </c>
      <c r="AW120" s="996">
        <f t="shared" si="213"/>
        <v>0</v>
      </c>
      <c r="AX120" s="1194">
        <f t="shared" si="214"/>
        <v>0</v>
      </c>
      <c r="AY120" s="981"/>
      <c r="AZ120" s="1543">
        <f t="shared" si="201"/>
        <v>0</v>
      </c>
      <c r="BA120" s="1543">
        <f t="shared" si="201"/>
        <v>0</v>
      </c>
      <c r="BB120" s="1543">
        <f t="shared" si="201"/>
        <v>0</v>
      </c>
      <c r="BC120" s="1543">
        <f t="shared" si="201"/>
        <v>0</v>
      </c>
      <c r="BD120" s="1543">
        <f t="shared" si="201"/>
        <v>0</v>
      </c>
      <c r="BE120" s="1543">
        <f t="shared" si="201"/>
        <v>0</v>
      </c>
      <c r="BF120" s="1543">
        <f t="shared" si="201"/>
        <v>0</v>
      </c>
      <c r="BG120" s="1543">
        <f t="shared" si="201"/>
        <v>0</v>
      </c>
      <c r="BH120" s="1543">
        <f t="shared" si="201"/>
        <v>0</v>
      </c>
      <c r="BI120" s="1543">
        <f t="shared" si="201"/>
        <v>0</v>
      </c>
      <c r="BJ120" s="1543">
        <f t="shared" si="201"/>
        <v>0</v>
      </c>
      <c r="BK120" s="1543">
        <f t="shared" si="201"/>
        <v>0</v>
      </c>
      <c r="BL120" s="1543">
        <f t="shared" si="201"/>
        <v>0</v>
      </c>
      <c r="BM120" s="1543">
        <f t="shared" si="201"/>
        <v>0</v>
      </c>
      <c r="BN120" s="1543">
        <f t="shared" si="201"/>
        <v>0</v>
      </c>
      <c r="BO120" s="1543">
        <f t="shared" si="201"/>
        <v>0</v>
      </c>
      <c r="BP120" s="1543">
        <f t="shared" si="222"/>
        <v>0</v>
      </c>
      <c r="BQ120" s="1543">
        <f t="shared" si="222"/>
        <v>0</v>
      </c>
      <c r="BR120" s="1543">
        <f t="shared" si="222"/>
        <v>0</v>
      </c>
      <c r="BS120" s="1543">
        <f t="shared" si="222"/>
        <v>0</v>
      </c>
      <c r="BT120" s="1543">
        <f t="shared" si="222"/>
        <v>0</v>
      </c>
      <c r="BU120" s="1543">
        <f t="shared" si="222"/>
        <v>0</v>
      </c>
      <c r="BV120" s="1543">
        <f t="shared" si="222"/>
        <v>0</v>
      </c>
      <c r="BW120" s="1543">
        <f t="shared" si="222"/>
        <v>0</v>
      </c>
      <c r="BX120" s="1543">
        <f t="shared" si="222"/>
        <v>0</v>
      </c>
      <c r="BY120" s="1543">
        <f t="shared" si="222"/>
        <v>0</v>
      </c>
      <c r="BZ120" s="1543">
        <f t="shared" si="222"/>
        <v>0</v>
      </c>
      <c r="CB120" s="1543">
        <f t="shared" si="202"/>
        <v>0</v>
      </c>
      <c r="CC120" s="1543">
        <f t="shared" si="202"/>
        <v>0</v>
      </c>
      <c r="CD120" s="1543">
        <f t="shared" si="202"/>
        <v>0</v>
      </c>
      <c r="CE120" s="1543">
        <f t="shared" si="202"/>
        <v>0</v>
      </c>
      <c r="CF120" s="1543">
        <f t="shared" si="202"/>
        <v>0</v>
      </c>
      <c r="CG120" s="1543">
        <f t="shared" si="202"/>
        <v>0</v>
      </c>
      <c r="CH120" s="1543">
        <f t="shared" si="202"/>
        <v>0</v>
      </c>
      <c r="CI120" s="1543">
        <f t="shared" si="202"/>
        <v>0</v>
      </c>
      <c r="CJ120" s="1543">
        <f t="shared" si="202"/>
        <v>0</v>
      </c>
      <c r="CK120" s="1543">
        <f t="shared" si="202"/>
        <v>0</v>
      </c>
      <c r="CL120" s="1543">
        <f t="shared" si="202"/>
        <v>0</v>
      </c>
      <c r="CM120" s="1543">
        <f t="shared" si="202"/>
        <v>0</v>
      </c>
      <c r="CN120" s="1543">
        <f t="shared" si="202"/>
        <v>0</v>
      </c>
      <c r="CO120" s="1543">
        <f t="shared" si="202"/>
        <v>0</v>
      </c>
      <c r="CP120" s="1543">
        <f t="shared" si="202"/>
        <v>0</v>
      </c>
      <c r="CQ120" s="1543">
        <f t="shared" si="202"/>
        <v>0</v>
      </c>
      <c r="CR120" s="1543">
        <f t="shared" si="223"/>
        <v>0</v>
      </c>
      <c r="CS120" s="1543">
        <f t="shared" si="223"/>
        <v>0</v>
      </c>
      <c r="CT120" s="1543">
        <f t="shared" si="205"/>
        <v>0</v>
      </c>
      <c r="CU120" s="1543">
        <f t="shared" si="205"/>
        <v>0</v>
      </c>
      <c r="CV120" s="1543">
        <f t="shared" si="205"/>
        <v>0</v>
      </c>
      <c r="CW120" s="1543">
        <f t="shared" si="205"/>
        <v>0</v>
      </c>
      <c r="CX120" s="1543">
        <f t="shared" si="205"/>
        <v>0</v>
      </c>
      <c r="CY120" s="1543">
        <f t="shared" si="205"/>
        <v>0</v>
      </c>
      <c r="CZ120" s="1543">
        <f t="shared" si="205"/>
        <v>0</v>
      </c>
      <c r="DA120" s="1543">
        <f t="shared" si="205"/>
        <v>0</v>
      </c>
      <c r="DB120" s="1543">
        <f t="shared" si="205"/>
        <v>0</v>
      </c>
      <c r="DD120" s="1543">
        <f t="shared" si="194"/>
        <v>0</v>
      </c>
      <c r="DE120" s="1543">
        <f t="shared" si="195"/>
        <v>0</v>
      </c>
      <c r="DF120" s="1543">
        <f t="shared" si="196"/>
        <v>0</v>
      </c>
      <c r="DG120" s="1543">
        <f t="shared" si="162"/>
        <v>0</v>
      </c>
      <c r="DI120" s="1543">
        <f t="shared" si="163"/>
        <v>0</v>
      </c>
      <c r="DJ120" s="1543">
        <f t="shared" si="224"/>
        <v>0</v>
      </c>
      <c r="DK120" s="1543">
        <f t="shared" si="224"/>
        <v>0</v>
      </c>
      <c r="DL120" s="1543">
        <f t="shared" si="224"/>
        <v>0</v>
      </c>
      <c r="DM120" s="1543">
        <f t="shared" si="224"/>
        <v>0</v>
      </c>
      <c r="DO120" s="1543">
        <f t="shared" si="200"/>
        <v>0</v>
      </c>
      <c r="DP120" s="1543">
        <f t="shared" si="200"/>
        <v>0</v>
      </c>
      <c r="DQ120" s="1543">
        <f t="shared" si="200"/>
        <v>0</v>
      </c>
      <c r="DR120" s="1543">
        <f t="shared" si="200"/>
        <v>0</v>
      </c>
      <c r="DS120" s="1543">
        <f t="shared" si="200"/>
        <v>0</v>
      </c>
      <c r="DT120" s="1543">
        <f t="shared" si="200"/>
        <v>0</v>
      </c>
      <c r="DU120" s="1543">
        <f t="shared" si="200"/>
        <v>0</v>
      </c>
      <c r="DV120" s="1543">
        <f t="shared" si="200"/>
        <v>0</v>
      </c>
      <c r="DW120" s="1543">
        <f t="shared" si="200"/>
        <v>0</v>
      </c>
      <c r="DX120" s="1543">
        <f t="shared" si="200"/>
        <v>0</v>
      </c>
      <c r="DY120" s="1543">
        <f t="shared" si="200"/>
        <v>0</v>
      </c>
      <c r="DZ120" s="1543">
        <f t="shared" si="200"/>
        <v>0</v>
      </c>
      <c r="EA120" s="1543">
        <f t="shared" si="200"/>
        <v>0</v>
      </c>
      <c r="EB120" s="1543">
        <f t="shared" si="225"/>
        <v>0</v>
      </c>
      <c r="EC120" s="1543">
        <f t="shared" si="225"/>
        <v>0</v>
      </c>
      <c r="ED120" s="1543">
        <f t="shared" si="225"/>
        <v>0</v>
      </c>
      <c r="EE120" s="1543">
        <f t="shared" si="225"/>
        <v>0</v>
      </c>
      <c r="EF120" s="1543">
        <f t="shared" si="225"/>
        <v>0</v>
      </c>
      <c r="EH120" s="1543">
        <f t="shared" si="215"/>
        <v>0</v>
      </c>
      <c r="EI120" s="1543">
        <f t="shared" si="216"/>
        <v>0</v>
      </c>
      <c r="EJ120" s="1543">
        <f t="shared" si="217"/>
        <v>0</v>
      </c>
      <c r="EK120" s="1543">
        <f t="shared" si="218"/>
        <v>0</v>
      </c>
      <c r="EL120" s="1543">
        <f t="shared" si="219"/>
        <v>0</v>
      </c>
      <c r="EM120" s="1543">
        <f t="shared" si="220"/>
        <v>0</v>
      </c>
      <c r="EN120" s="1543">
        <f t="shared" si="221"/>
        <v>0</v>
      </c>
      <c r="EP120" s="1543">
        <f t="shared" si="197"/>
        <v>0</v>
      </c>
      <c r="EQ120" s="1543">
        <f t="shared" si="197"/>
        <v>0</v>
      </c>
      <c r="ER120" s="1543">
        <f t="shared" si="197"/>
        <v>0</v>
      </c>
      <c r="ES120" s="1543">
        <f t="shared" si="192"/>
        <v>0</v>
      </c>
      <c r="ET120" s="1543">
        <f t="shared" ref="ET120:FD139" si="228">IF(ET$2="X",0,IF($Q120=ET$2,1,0))</f>
        <v>0</v>
      </c>
      <c r="EU120" s="1543">
        <f t="shared" si="228"/>
        <v>0</v>
      </c>
      <c r="EV120" s="1543">
        <f t="shared" si="228"/>
        <v>0</v>
      </c>
      <c r="EW120" s="1543">
        <f t="shared" si="228"/>
        <v>0</v>
      </c>
      <c r="EX120" s="1543">
        <f t="shared" si="228"/>
        <v>0</v>
      </c>
      <c r="EY120" s="1543">
        <f t="shared" si="228"/>
        <v>0</v>
      </c>
      <c r="EZ120" s="1543">
        <f t="shared" si="228"/>
        <v>0</v>
      </c>
      <c r="FA120" s="1543">
        <f t="shared" si="228"/>
        <v>0</v>
      </c>
      <c r="FB120" s="1543">
        <f t="shared" si="228"/>
        <v>0</v>
      </c>
      <c r="FC120" s="1543">
        <f t="shared" si="228"/>
        <v>0</v>
      </c>
      <c r="FD120" s="1543">
        <f t="shared" si="228"/>
        <v>0</v>
      </c>
      <c r="FE120" s="1543">
        <f t="shared" si="184"/>
        <v>0</v>
      </c>
      <c r="FF120" s="1543">
        <f t="shared" si="172"/>
        <v>1</v>
      </c>
      <c r="FH120" s="1543">
        <f t="shared" si="226"/>
        <v>0</v>
      </c>
      <c r="FI120" s="1543">
        <f t="shared" si="226"/>
        <v>0</v>
      </c>
      <c r="FJ120" s="1543">
        <f t="shared" si="226"/>
        <v>0</v>
      </c>
      <c r="FK120" s="1543">
        <f t="shared" si="226"/>
        <v>0</v>
      </c>
      <c r="FL120" s="1543">
        <f t="shared" si="226"/>
        <v>0</v>
      </c>
      <c r="FM120" s="1543">
        <f t="shared" si="226"/>
        <v>0</v>
      </c>
      <c r="FN120" s="1543">
        <f t="shared" si="226"/>
        <v>0</v>
      </c>
      <c r="FO120" s="1543">
        <f t="shared" si="226"/>
        <v>0</v>
      </c>
      <c r="FP120" s="1543">
        <f t="shared" si="226"/>
        <v>0</v>
      </c>
      <c r="FQ120" s="1543">
        <f t="shared" si="226"/>
        <v>0</v>
      </c>
      <c r="FR120" s="1543">
        <f t="shared" si="226"/>
        <v>0</v>
      </c>
      <c r="FS120" s="1543">
        <f t="shared" si="226"/>
        <v>0</v>
      </c>
      <c r="FT120" s="1543">
        <f t="shared" si="174"/>
        <v>0</v>
      </c>
      <c r="FV120" s="1543">
        <f t="shared" si="227"/>
        <v>1</v>
      </c>
      <c r="FW120" s="1543">
        <f t="shared" si="227"/>
        <v>0</v>
      </c>
      <c r="FX120" s="1543">
        <f t="shared" si="227"/>
        <v>0</v>
      </c>
      <c r="FY120" s="1543">
        <f t="shared" si="227"/>
        <v>0</v>
      </c>
      <c r="FZ120" s="1543">
        <f t="shared" si="227"/>
        <v>0</v>
      </c>
      <c r="GA120" s="1543">
        <f t="shared" si="227"/>
        <v>0</v>
      </c>
      <c r="GB120" s="1543">
        <f t="shared" si="227"/>
        <v>0</v>
      </c>
      <c r="GC120" s="1543">
        <f t="shared" si="227"/>
        <v>0</v>
      </c>
      <c r="GD120" s="1543">
        <f t="shared" si="227"/>
        <v>0</v>
      </c>
    </row>
    <row r="121" spans="1:186" s="982" customFormat="1" ht="15.6" x14ac:dyDescent="0.3">
      <c r="A121" s="974">
        <v>119</v>
      </c>
      <c r="B121" s="983"/>
      <c r="C121" s="984"/>
      <c r="D121" s="983"/>
      <c r="E121" s="968" t="str">
        <f>IFERROR(VLOOKUP($D121&amp;"."&amp;B121,'Piping Class'!$1:$1048576,MATCH($I121,'Piping Class'!$2:$2,0),0),"")</f>
        <v/>
      </c>
      <c r="F121" s="985" t="str">
        <f>IFERROR(IF(B121="Flange",VLOOKUP($D121,'Piping Class'!$88:$102,MATCH(F$1,'Piping Class'!$88:$88,0),0),""),"")</f>
        <v/>
      </c>
      <c r="G121" s="968" t="str">
        <f>IFERROR(IF(B121="Flange",VLOOKUP($D121,'Piping Class'!$88:$102,MATCH(G$1,'Piping Class'!$88:$88,0),0),""),"")</f>
        <v/>
      </c>
      <c r="H121" s="968" t="str">
        <f>IFERROR(VLOOKUP($D121,'Piping Class'!$88:$102,MATCH(H$1,'Piping Class'!$88:$88,0),0),"")</f>
        <v/>
      </c>
      <c r="I121" s="986"/>
      <c r="J121" s="987"/>
      <c r="K121" s="968" t="str">
        <f>IFERROR(VLOOKUP(I121,'Thickness Tab'!$1:$1048576,MATCH(L121,'Thickness Tab'!$1:$1,0),0),"")</f>
        <v/>
      </c>
      <c r="L121" s="969" t="str">
        <f>IFERROR(VLOOKUP($D121,'Piping Class'!$1:$1048576,MATCH($I121,'Piping Class'!$2:$2,0),0),"")</f>
        <v/>
      </c>
      <c r="M121" s="968" t="str">
        <f>IFERROR(VLOOKUP(J121,'Thickness Tab'!$1:$1048576,MATCH(N121,'Thickness Tab'!$1:$1,0),0),"")</f>
        <v/>
      </c>
      <c r="N121" s="969" t="str">
        <f>IFERROR(VLOOKUP($D121,'Piping Class'!$1:$1048576,MATCH($J121,'Piping Class'!$2:$2,0),0),"")</f>
        <v/>
      </c>
      <c r="O121" s="968" t="str">
        <f>IFERROR(VLOOKUP($D121,'Piping Class'!$88:$102,MATCH(O$1,'Piping Class'!$88:$88,0),0),"")</f>
        <v/>
      </c>
      <c r="P121" s="968" t="str">
        <f>IFERROR(VLOOKUP($D121,'Piping Class'!$88:$102,MATCH(P$1,'Piping Class'!$88:$88,0),0),"")</f>
        <v/>
      </c>
      <c r="Q121" s="983"/>
      <c r="R121" s="988"/>
      <c r="S121" s="969" t="str">
        <f t="shared" si="206"/>
        <v/>
      </c>
      <c r="T121" s="968">
        <f>IFERROR(VLOOKUP(I121&amp;"."&amp;L121,'Fitting Chart'!$1:$1048576,MATCH(C121,'Fitting Chart'!$1:$1,0),0),0)+IF(B121="piping",PI()*K121*(VLOOKUP(I121,'Thickness Tab'!$1:$1048576,3,0)-K121)*7.86/1000,0)+IF(B121="Flange",VLOOKUP(I121&amp;"F"&amp;F121,'Flanges Chart'!$1:$1048576,MATCH(C121&amp;"."&amp;T$1,'Flanges Chart'!$1:$1,0),0),0)</f>
        <v>0</v>
      </c>
      <c r="U121" s="989">
        <f t="shared" si="207"/>
        <v>0</v>
      </c>
      <c r="V121" s="1003"/>
      <c r="W121" s="1001">
        <f t="shared" si="208"/>
        <v>0</v>
      </c>
      <c r="X121" s="997"/>
      <c r="Y121" s="983"/>
      <c r="Z121" s="989">
        <f>IF(B121="Piping",VLOOKUP(I121,'Thickness Tab'!$1:$1048576,3,0)/1000*PI(),0)+IFERROR(VLOOKUP(I121&amp;"F"&amp;F121,'Flanges Chart'!$1:$1048576,MATCH(C121&amp;".Unit Surface",'Flanges Chart'!$1:$1,0),0),0)+IF(B121="Fitting",VLOOKUP(I121,'Thickness Tab'!$1:$1048576,3,0)/1000*PI(),0)</f>
        <v>0</v>
      </c>
      <c r="AA121" s="989">
        <f t="shared" si="209"/>
        <v>0</v>
      </c>
      <c r="AB121" s="983">
        <v>0</v>
      </c>
      <c r="AC121" s="989">
        <f t="shared" si="154"/>
        <v>0</v>
      </c>
      <c r="AD121" s="989">
        <f t="shared" si="155"/>
        <v>0</v>
      </c>
      <c r="AE121" s="974">
        <f>(IFERROR(VLOOKUP($C121,List!$J:$L,2,0),0)*R121+IF(B121="piping",R121,0)+IF(C121="Welding Neck",1,0)*R121)*$AE$2</f>
        <v>0</v>
      </c>
      <c r="AF121" s="970">
        <f>IFERROR(VLOOKUP($C121,List!$J:$L,3,0),0)*R121*$AF$2</f>
        <v>0</v>
      </c>
      <c r="AG121" s="990">
        <f t="shared" si="210"/>
        <v>0</v>
      </c>
      <c r="AH121" s="1118" t="str">
        <f>IFERROR(VLOOKUP($D121,'Piping Class'!$88:$102,MATCH(AH$1,'Piping Class'!$88:$88,0),0),"")</f>
        <v/>
      </c>
      <c r="AI121" s="991" t="str">
        <f>IFERROR(VLOOKUP($D121,'Piping Class'!$88:$102,MATCH(AI$1,'Piping Class'!$88:$88,0),0),"")</f>
        <v/>
      </c>
      <c r="AJ121" s="991" t="str">
        <f>IFERROR(VLOOKUP($D121,'Piping Class'!$88:$102,MATCH(AJ$1,'Piping Class'!$88:$88,0),0),"")</f>
        <v/>
      </c>
      <c r="AK121" s="991" t="str">
        <f>IFERROR(VLOOKUP($D121,'Piping Class'!$88:$102,MATCH(AK$1,'Piping Class'!$88:$88,0),0),"")</f>
        <v/>
      </c>
      <c r="AL121" s="991">
        <f t="shared" si="182"/>
        <v>0</v>
      </c>
      <c r="AM121" s="1119" t="str">
        <f>IFERROR(VLOOKUP($D121,'Piping Class'!$88:$102,MATCH(AM$1,'Piping Class'!$88:$88,0),0),"")</f>
        <v/>
      </c>
      <c r="AN121" s="992">
        <f t="shared" si="157"/>
        <v>0</v>
      </c>
      <c r="AO121" s="993">
        <f>IFERROR(VLOOKUP(I121&amp;"B"&amp;F121,'Bolting Chart'!$1:$1048576,4,0),0)</f>
        <v>0</v>
      </c>
      <c r="AP121" s="993">
        <f t="shared" si="211"/>
        <v>0</v>
      </c>
      <c r="AQ121" s="993">
        <f t="shared" si="212"/>
        <v>0</v>
      </c>
      <c r="AR121" s="993">
        <f>IF(AO121=0,0,VLOOKUP(D121&amp;".bolting",'Piping Class'!$1:$1048576,MATCH(I121,'Piping Class'!$2:$2,0),0))</f>
        <v>0</v>
      </c>
      <c r="AS121" s="994">
        <f>IFERROR(VLOOKUP(I121&amp;"B"&amp;F121,'Bolting Chart'!$1:$1048576,IF(AS$2="UNC",5,6),0),0)</f>
        <v>0</v>
      </c>
      <c r="AT121" s="995">
        <f>IFERROR(VLOOKUP(I121&amp;"B"&amp;F121,'Bolting Chart'!$1:$1048576,IF(G121="RF",8,9),0),0)</f>
        <v>0</v>
      </c>
      <c r="AU121" s="993">
        <f>IF(AO121=0,0,VLOOKUP(D121&amp;".gasket",'Piping Class'!$1:$1048576,MATCH(I121,'Piping Class'!$2:$2,0),0))</f>
        <v>0</v>
      </c>
      <c r="AV121" s="996">
        <f>(IFERROR(INDEX('Bolting Chart'!$A$169:$R$251,MATCH(AT121,'Bolting Chart'!$A$170:$A$251,0),MATCH(IFERROR(VLOOKUP(I121&amp;"B"&amp;F121,'Bolting Chart'!$1:$1048576,7,0),0)+0,'Bolting Chart'!$A$169:$R$169,0)),0))/100</f>
        <v>0</v>
      </c>
      <c r="AW121" s="996">
        <f t="shared" si="213"/>
        <v>0</v>
      </c>
      <c r="AX121" s="1194">
        <f t="shared" si="214"/>
        <v>0</v>
      </c>
      <c r="AY121" s="981"/>
      <c r="AZ121" s="1543">
        <f t="shared" si="201"/>
        <v>0</v>
      </c>
      <c r="BA121" s="1543">
        <f t="shared" si="201"/>
        <v>0</v>
      </c>
      <c r="BB121" s="1543">
        <f t="shared" si="201"/>
        <v>0</v>
      </c>
      <c r="BC121" s="1543">
        <f t="shared" si="201"/>
        <v>0</v>
      </c>
      <c r="BD121" s="1543">
        <f t="shared" si="201"/>
        <v>0</v>
      </c>
      <c r="BE121" s="1543">
        <f t="shared" si="201"/>
        <v>0</v>
      </c>
      <c r="BF121" s="1543">
        <f t="shared" si="201"/>
        <v>0</v>
      </c>
      <c r="BG121" s="1543">
        <f t="shared" si="201"/>
        <v>0</v>
      </c>
      <c r="BH121" s="1543">
        <f t="shared" si="201"/>
        <v>0</v>
      </c>
      <c r="BI121" s="1543">
        <f t="shared" si="201"/>
        <v>0</v>
      </c>
      <c r="BJ121" s="1543">
        <f t="shared" si="201"/>
        <v>0</v>
      </c>
      <c r="BK121" s="1543">
        <f t="shared" si="201"/>
        <v>0</v>
      </c>
      <c r="BL121" s="1543">
        <f t="shared" si="201"/>
        <v>0</v>
      </c>
      <c r="BM121" s="1543">
        <f t="shared" si="201"/>
        <v>0</v>
      </c>
      <c r="BN121" s="1543">
        <f t="shared" si="201"/>
        <v>0</v>
      </c>
      <c r="BO121" s="1543">
        <f t="shared" si="201"/>
        <v>0</v>
      </c>
      <c r="BP121" s="1543">
        <f t="shared" si="222"/>
        <v>0</v>
      </c>
      <c r="BQ121" s="1543">
        <f t="shared" si="222"/>
        <v>0</v>
      </c>
      <c r="BR121" s="1543">
        <f t="shared" si="222"/>
        <v>0</v>
      </c>
      <c r="BS121" s="1543">
        <f t="shared" si="222"/>
        <v>0</v>
      </c>
      <c r="BT121" s="1543">
        <f t="shared" si="222"/>
        <v>0</v>
      </c>
      <c r="BU121" s="1543">
        <f t="shared" si="222"/>
        <v>0</v>
      </c>
      <c r="BV121" s="1543">
        <f t="shared" si="222"/>
        <v>0</v>
      </c>
      <c r="BW121" s="1543">
        <f t="shared" si="222"/>
        <v>0</v>
      </c>
      <c r="BX121" s="1543">
        <f t="shared" si="222"/>
        <v>0</v>
      </c>
      <c r="BY121" s="1543">
        <f t="shared" si="222"/>
        <v>0</v>
      </c>
      <c r="BZ121" s="1543">
        <f t="shared" si="222"/>
        <v>0</v>
      </c>
      <c r="CB121" s="1543">
        <f t="shared" si="202"/>
        <v>0</v>
      </c>
      <c r="CC121" s="1543">
        <f t="shared" si="202"/>
        <v>0</v>
      </c>
      <c r="CD121" s="1543">
        <f t="shared" si="202"/>
        <v>0</v>
      </c>
      <c r="CE121" s="1543">
        <f t="shared" si="202"/>
        <v>0</v>
      </c>
      <c r="CF121" s="1543">
        <f t="shared" si="202"/>
        <v>0</v>
      </c>
      <c r="CG121" s="1543">
        <f t="shared" si="202"/>
        <v>0</v>
      </c>
      <c r="CH121" s="1543">
        <f t="shared" si="202"/>
        <v>0</v>
      </c>
      <c r="CI121" s="1543">
        <f t="shared" si="202"/>
        <v>0</v>
      </c>
      <c r="CJ121" s="1543">
        <f t="shared" si="202"/>
        <v>0</v>
      </c>
      <c r="CK121" s="1543">
        <f t="shared" si="202"/>
        <v>0</v>
      </c>
      <c r="CL121" s="1543">
        <f t="shared" si="202"/>
        <v>0</v>
      </c>
      <c r="CM121" s="1543">
        <f t="shared" si="202"/>
        <v>0</v>
      </c>
      <c r="CN121" s="1543">
        <f t="shared" si="202"/>
        <v>0</v>
      </c>
      <c r="CO121" s="1543">
        <f t="shared" si="202"/>
        <v>0</v>
      </c>
      <c r="CP121" s="1543">
        <f t="shared" si="202"/>
        <v>0</v>
      </c>
      <c r="CQ121" s="1543">
        <f t="shared" si="202"/>
        <v>0</v>
      </c>
      <c r="CR121" s="1543">
        <f t="shared" si="223"/>
        <v>0</v>
      </c>
      <c r="CS121" s="1543">
        <f t="shared" si="223"/>
        <v>0</v>
      </c>
      <c r="CT121" s="1543">
        <f t="shared" si="205"/>
        <v>0</v>
      </c>
      <c r="CU121" s="1543">
        <f t="shared" si="205"/>
        <v>0</v>
      </c>
      <c r="CV121" s="1543">
        <f t="shared" si="205"/>
        <v>0</v>
      </c>
      <c r="CW121" s="1543">
        <f t="shared" si="205"/>
        <v>0</v>
      </c>
      <c r="CX121" s="1543">
        <f t="shared" si="205"/>
        <v>0</v>
      </c>
      <c r="CY121" s="1543">
        <f t="shared" si="205"/>
        <v>0</v>
      </c>
      <c r="CZ121" s="1543">
        <f t="shared" si="205"/>
        <v>0</v>
      </c>
      <c r="DA121" s="1543">
        <f t="shared" si="205"/>
        <v>0</v>
      </c>
      <c r="DB121" s="1543">
        <f t="shared" si="205"/>
        <v>0</v>
      </c>
      <c r="DD121" s="1543">
        <f t="shared" si="194"/>
        <v>0</v>
      </c>
      <c r="DE121" s="1543">
        <f t="shared" si="195"/>
        <v>0</v>
      </c>
      <c r="DF121" s="1543">
        <f t="shared" si="196"/>
        <v>0</v>
      </c>
      <c r="DG121" s="1543">
        <f t="shared" si="162"/>
        <v>0</v>
      </c>
      <c r="DI121" s="1543">
        <f t="shared" si="163"/>
        <v>0</v>
      </c>
      <c r="DJ121" s="1543">
        <f t="shared" si="224"/>
        <v>0</v>
      </c>
      <c r="DK121" s="1543">
        <f t="shared" si="224"/>
        <v>0</v>
      </c>
      <c r="DL121" s="1543">
        <f t="shared" si="224"/>
        <v>0</v>
      </c>
      <c r="DM121" s="1543">
        <f t="shared" si="224"/>
        <v>0</v>
      </c>
      <c r="DO121" s="1543">
        <f t="shared" si="200"/>
        <v>0</v>
      </c>
      <c r="DP121" s="1543">
        <f t="shared" si="200"/>
        <v>0</v>
      </c>
      <c r="DQ121" s="1543">
        <f t="shared" si="200"/>
        <v>0</v>
      </c>
      <c r="DR121" s="1543">
        <f t="shared" si="200"/>
        <v>0</v>
      </c>
      <c r="DS121" s="1543">
        <f t="shared" si="200"/>
        <v>0</v>
      </c>
      <c r="DT121" s="1543">
        <f t="shared" si="200"/>
        <v>0</v>
      </c>
      <c r="DU121" s="1543">
        <f t="shared" si="200"/>
        <v>0</v>
      </c>
      <c r="DV121" s="1543">
        <f t="shared" si="200"/>
        <v>0</v>
      </c>
      <c r="DW121" s="1543">
        <f t="shared" si="200"/>
        <v>0</v>
      </c>
      <c r="DX121" s="1543">
        <f t="shared" si="200"/>
        <v>0</v>
      </c>
      <c r="DY121" s="1543">
        <f t="shared" si="200"/>
        <v>0</v>
      </c>
      <c r="DZ121" s="1543">
        <f t="shared" si="200"/>
        <v>0</v>
      </c>
      <c r="EA121" s="1543">
        <f t="shared" si="200"/>
        <v>0</v>
      </c>
      <c r="EB121" s="1543">
        <f t="shared" si="225"/>
        <v>0</v>
      </c>
      <c r="EC121" s="1543">
        <f t="shared" si="225"/>
        <v>0</v>
      </c>
      <c r="ED121" s="1543">
        <f t="shared" si="225"/>
        <v>0</v>
      </c>
      <c r="EE121" s="1543">
        <f t="shared" si="225"/>
        <v>0</v>
      </c>
      <c r="EF121" s="1543">
        <f t="shared" si="225"/>
        <v>0</v>
      </c>
      <c r="EH121" s="1543">
        <f t="shared" si="215"/>
        <v>0</v>
      </c>
      <c r="EI121" s="1543">
        <f t="shared" si="216"/>
        <v>0</v>
      </c>
      <c r="EJ121" s="1543">
        <f t="shared" si="217"/>
        <v>0</v>
      </c>
      <c r="EK121" s="1543">
        <f t="shared" si="218"/>
        <v>0</v>
      </c>
      <c r="EL121" s="1543">
        <f t="shared" si="219"/>
        <v>0</v>
      </c>
      <c r="EM121" s="1543">
        <f t="shared" si="220"/>
        <v>0</v>
      </c>
      <c r="EN121" s="1543">
        <f t="shared" si="221"/>
        <v>0</v>
      </c>
      <c r="EP121" s="1543">
        <f t="shared" si="197"/>
        <v>0</v>
      </c>
      <c r="EQ121" s="1543">
        <f t="shared" si="197"/>
        <v>0</v>
      </c>
      <c r="ER121" s="1543">
        <f t="shared" si="197"/>
        <v>0</v>
      </c>
      <c r="ES121" s="1543">
        <f t="shared" si="192"/>
        <v>0</v>
      </c>
      <c r="ET121" s="1543">
        <f t="shared" si="228"/>
        <v>0</v>
      </c>
      <c r="EU121" s="1543">
        <f t="shared" si="228"/>
        <v>0</v>
      </c>
      <c r="EV121" s="1543">
        <f t="shared" si="228"/>
        <v>0</v>
      </c>
      <c r="EW121" s="1543">
        <f t="shared" si="228"/>
        <v>0</v>
      </c>
      <c r="EX121" s="1543">
        <f t="shared" si="228"/>
        <v>0</v>
      </c>
      <c r="EY121" s="1543">
        <f t="shared" si="228"/>
        <v>0</v>
      </c>
      <c r="EZ121" s="1543">
        <f t="shared" si="228"/>
        <v>0</v>
      </c>
      <c r="FA121" s="1543">
        <f t="shared" si="228"/>
        <v>0</v>
      </c>
      <c r="FB121" s="1543">
        <f t="shared" si="228"/>
        <v>0</v>
      </c>
      <c r="FC121" s="1543">
        <f t="shared" si="228"/>
        <v>0</v>
      </c>
      <c r="FD121" s="1543">
        <f t="shared" si="228"/>
        <v>0</v>
      </c>
      <c r="FE121" s="1543">
        <f t="shared" si="184"/>
        <v>0</v>
      </c>
      <c r="FF121" s="1543">
        <f t="shared" si="172"/>
        <v>1</v>
      </c>
      <c r="FH121" s="1543">
        <f t="shared" si="226"/>
        <v>0</v>
      </c>
      <c r="FI121" s="1543">
        <f t="shared" si="226"/>
        <v>0</v>
      </c>
      <c r="FJ121" s="1543">
        <f t="shared" si="226"/>
        <v>0</v>
      </c>
      <c r="FK121" s="1543">
        <f t="shared" si="226"/>
        <v>0</v>
      </c>
      <c r="FL121" s="1543">
        <f t="shared" si="226"/>
        <v>0</v>
      </c>
      <c r="FM121" s="1543">
        <f t="shared" si="226"/>
        <v>0</v>
      </c>
      <c r="FN121" s="1543">
        <f t="shared" si="226"/>
        <v>0</v>
      </c>
      <c r="FO121" s="1543">
        <f t="shared" si="226"/>
        <v>0</v>
      </c>
      <c r="FP121" s="1543">
        <f t="shared" si="226"/>
        <v>0</v>
      </c>
      <c r="FQ121" s="1543">
        <f t="shared" si="226"/>
        <v>0</v>
      </c>
      <c r="FR121" s="1543">
        <f t="shared" si="226"/>
        <v>0</v>
      </c>
      <c r="FS121" s="1543">
        <f t="shared" si="226"/>
        <v>0</v>
      </c>
      <c r="FT121" s="1543">
        <f t="shared" si="174"/>
        <v>0</v>
      </c>
      <c r="FV121" s="1543">
        <f t="shared" si="227"/>
        <v>1</v>
      </c>
      <c r="FW121" s="1543">
        <f t="shared" si="227"/>
        <v>0</v>
      </c>
      <c r="FX121" s="1543">
        <f t="shared" si="227"/>
        <v>0</v>
      </c>
      <c r="FY121" s="1543">
        <f t="shared" si="227"/>
        <v>0</v>
      </c>
      <c r="FZ121" s="1543">
        <f t="shared" si="227"/>
        <v>0</v>
      </c>
      <c r="GA121" s="1543">
        <f t="shared" si="227"/>
        <v>0</v>
      </c>
      <c r="GB121" s="1543">
        <f t="shared" si="227"/>
        <v>0</v>
      </c>
      <c r="GC121" s="1543">
        <f t="shared" si="227"/>
        <v>0</v>
      </c>
      <c r="GD121" s="1543">
        <f t="shared" si="227"/>
        <v>0</v>
      </c>
    </row>
    <row r="122" spans="1:186" s="982" customFormat="1" ht="15.6" x14ac:dyDescent="0.3">
      <c r="A122" s="974">
        <v>120</v>
      </c>
      <c r="B122" s="983"/>
      <c r="C122" s="984"/>
      <c r="D122" s="983"/>
      <c r="E122" s="968" t="str">
        <f>IFERROR(VLOOKUP($D122&amp;"."&amp;B122,'Piping Class'!$1:$1048576,MATCH($I122,'Piping Class'!$2:$2,0),0),"")</f>
        <v/>
      </c>
      <c r="F122" s="985" t="str">
        <f>IFERROR(IF(B122="Flange",VLOOKUP($D122,'Piping Class'!$88:$102,MATCH(F$1,'Piping Class'!$88:$88,0),0),""),"")</f>
        <v/>
      </c>
      <c r="G122" s="968" t="str">
        <f>IFERROR(IF(B122="Flange",VLOOKUP($D122,'Piping Class'!$88:$102,MATCH(G$1,'Piping Class'!$88:$88,0),0),""),"")</f>
        <v/>
      </c>
      <c r="H122" s="968" t="str">
        <f>IFERROR(VLOOKUP($D122,'Piping Class'!$88:$102,MATCH(H$1,'Piping Class'!$88:$88,0),0),"")</f>
        <v/>
      </c>
      <c r="I122" s="986"/>
      <c r="J122" s="987"/>
      <c r="K122" s="968" t="str">
        <f>IFERROR(VLOOKUP(I122,'Thickness Tab'!$1:$1048576,MATCH(L122,'Thickness Tab'!$1:$1,0),0),"")</f>
        <v/>
      </c>
      <c r="L122" s="969" t="str">
        <f>IFERROR(VLOOKUP($D122,'Piping Class'!$1:$1048576,MATCH($I122,'Piping Class'!$2:$2,0),0),"")</f>
        <v/>
      </c>
      <c r="M122" s="968" t="str">
        <f>IFERROR(VLOOKUP(J122,'Thickness Tab'!$1:$1048576,MATCH(N122,'Thickness Tab'!$1:$1,0),0),"")</f>
        <v/>
      </c>
      <c r="N122" s="969" t="str">
        <f>IFERROR(VLOOKUP($D122,'Piping Class'!$1:$1048576,MATCH($J122,'Piping Class'!$2:$2,0),0),"")</f>
        <v/>
      </c>
      <c r="O122" s="968" t="str">
        <f>IFERROR(VLOOKUP($D122,'Piping Class'!$88:$102,MATCH(O$1,'Piping Class'!$88:$88,0),0),"")</f>
        <v/>
      </c>
      <c r="P122" s="968" t="str">
        <f>IFERROR(VLOOKUP($D122,'Piping Class'!$88:$102,MATCH(P$1,'Piping Class'!$88:$88,0),0),"")</f>
        <v/>
      </c>
      <c r="Q122" s="983"/>
      <c r="R122" s="988"/>
      <c r="S122" s="969" t="str">
        <f t="shared" si="206"/>
        <v/>
      </c>
      <c r="T122" s="968">
        <f>IFERROR(VLOOKUP(I122&amp;"."&amp;L122,'Fitting Chart'!$1:$1048576,MATCH(C122,'Fitting Chart'!$1:$1,0),0),0)+IF(B122="piping",PI()*K122*(VLOOKUP(I122,'Thickness Tab'!$1:$1048576,3,0)-K122)*7.86/1000,0)+IF(B122="Flange",VLOOKUP(I122&amp;"F"&amp;F122,'Flanges Chart'!$1:$1048576,MATCH(C122&amp;"."&amp;T$1,'Flanges Chart'!$1:$1,0),0),0)</f>
        <v>0</v>
      </c>
      <c r="U122" s="989">
        <f t="shared" si="207"/>
        <v>0</v>
      </c>
      <c r="V122" s="1003"/>
      <c r="W122" s="1001">
        <f t="shared" si="208"/>
        <v>0</v>
      </c>
      <c r="X122" s="997"/>
      <c r="Y122" s="983"/>
      <c r="Z122" s="989">
        <f>IF(B122="Piping",VLOOKUP(I122,'Thickness Tab'!$1:$1048576,3,0)/1000*PI(),0)+IFERROR(VLOOKUP(I122&amp;"F"&amp;F122,'Flanges Chart'!$1:$1048576,MATCH(C122&amp;".Unit Surface",'Flanges Chart'!$1:$1,0),0),0)+IF(B122="Fitting",VLOOKUP(I122,'Thickness Tab'!$1:$1048576,3,0)/1000*PI(),0)</f>
        <v>0</v>
      </c>
      <c r="AA122" s="989">
        <f t="shared" si="209"/>
        <v>0</v>
      </c>
      <c r="AB122" s="983">
        <v>0</v>
      </c>
      <c r="AC122" s="989">
        <f t="shared" si="154"/>
        <v>0</v>
      </c>
      <c r="AD122" s="989">
        <f t="shared" si="155"/>
        <v>0</v>
      </c>
      <c r="AE122" s="974">
        <f>(IFERROR(VLOOKUP($C122,List!$J:$L,2,0),0)*R122+IF(B122="piping",R122,0)+IF(C122="Welding Neck",1,0)*R122)*$AE$2</f>
        <v>0</v>
      </c>
      <c r="AF122" s="970">
        <f>IFERROR(VLOOKUP($C122,List!$J:$L,3,0),0)*R122*$AF$2</f>
        <v>0</v>
      </c>
      <c r="AG122" s="990">
        <f t="shared" si="210"/>
        <v>0</v>
      </c>
      <c r="AH122" s="1118" t="str">
        <f>IFERROR(VLOOKUP($D122,'Piping Class'!$88:$102,MATCH(AH$1,'Piping Class'!$88:$88,0),0),"")</f>
        <v/>
      </c>
      <c r="AI122" s="991" t="str">
        <f>IFERROR(VLOOKUP($D122,'Piping Class'!$88:$102,MATCH(AI$1,'Piping Class'!$88:$88,0),0),"")</f>
        <v/>
      </c>
      <c r="AJ122" s="991" t="str">
        <f>IFERROR(VLOOKUP($D122,'Piping Class'!$88:$102,MATCH(AJ$1,'Piping Class'!$88:$88,0),0),"")</f>
        <v/>
      </c>
      <c r="AK122" s="991" t="str">
        <f>IFERROR(VLOOKUP($D122,'Piping Class'!$88:$102,MATCH(AK$1,'Piping Class'!$88:$88,0),0),"")</f>
        <v/>
      </c>
      <c r="AL122" s="991">
        <f t="shared" si="182"/>
        <v>0</v>
      </c>
      <c r="AM122" s="1119" t="str">
        <f>IFERROR(VLOOKUP($D122,'Piping Class'!$88:$102,MATCH(AM$1,'Piping Class'!$88:$88,0),0),"")</f>
        <v/>
      </c>
      <c r="AN122" s="992">
        <f t="shared" si="157"/>
        <v>0</v>
      </c>
      <c r="AO122" s="993">
        <f>IFERROR(VLOOKUP(I122&amp;"B"&amp;F122,'Bolting Chart'!$1:$1048576,4,0),0)</f>
        <v>0</v>
      </c>
      <c r="AP122" s="993">
        <f t="shared" si="211"/>
        <v>0</v>
      </c>
      <c r="AQ122" s="993">
        <f t="shared" si="212"/>
        <v>0</v>
      </c>
      <c r="AR122" s="993">
        <f>IF(AO122=0,0,VLOOKUP(D122&amp;".bolting",'Piping Class'!$1:$1048576,MATCH(I122,'Piping Class'!$2:$2,0),0))</f>
        <v>0</v>
      </c>
      <c r="AS122" s="994">
        <f>IFERROR(VLOOKUP(I122&amp;"B"&amp;F122,'Bolting Chart'!$1:$1048576,IF(AS$2="UNC",5,6),0),0)</f>
        <v>0</v>
      </c>
      <c r="AT122" s="995">
        <f>IFERROR(VLOOKUP(I122&amp;"B"&amp;F122,'Bolting Chart'!$1:$1048576,IF(G122="RF",8,9),0),0)</f>
        <v>0</v>
      </c>
      <c r="AU122" s="993">
        <f>IF(AO122=0,0,VLOOKUP(D122&amp;".gasket",'Piping Class'!$1:$1048576,MATCH(I122,'Piping Class'!$2:$2,0),0))</f>
        <v>0</v>
      </c>
      <c r="AV122" s="996">
        <f>(IFERROR(INDEX('Bolting Chart'!$A$169:$R$251,MATCH(AT122,'Bolting Chart'!$A$170:$A$251,0),MATCH(IFERROR(VLOOKUP(I122&amp;"B"&amp;F122,'Bolting Chart'!$1:$1048576,7,0),0)+0,'Bolting Chart'!$A$169:$R$169,0)),0))/100</f>
        <v>0</v>
      </c>
      <c r="AW122" s="996">
        <f t="shared" si="213"/>
        <v>0</v>
      </c>
      <c r="AX122" s="1194">
        <f t="shared" si="214"/>
        <v>0</v>
      </c>
      <c r="AY122" s="981"/>
      <c r="AZ122" s="1543">
        <f t="shared" si="201"/>
        <v>0</v>
      </c>
      <c r="BA122" s="1543">
        <f t="shared" si="201"/>
        <v>0</v>
      </c>
      <c r="BB122" s="1543">
        <f t="shared" si="201"/>
        <v>0</v>
      </c>
      <c r="BC122" s="1543">
        <f t="shared" si="201"/>
        <v>0</v>
      </c>
      <c r="BD122" s="1543">
        <f t="shared" si="201"/>
        <v>0</v>
      </c>
      <c r="BE122" s="1543">
        <f t="shared" si="201"/>
        <v>0</v>
      </c>
      <c r="BF122" s="1543">
        <f t="shared" si="201"/>
        <v>0</v>
      </c>
      <c r="BG122" s="1543">
        <f t="shared" si="201"/>
        <v>0</v>
      </c>
      <c r="BH122" s="1543">
        <f t="shared" si="201"/>
        <v>0</v>
      </c>
      <c r="BI122" s="1543">
        <f t="shared" si="201"/>
        <v>0</v>
      </c>
      <c r="BJ122" s="1543">
        <f t="shared" si="201"/>
        <v>0</v>
      </c>
      <c r="BK122" s="1543">
        <f t="shared" si="201"/>
        <v>0</v>
      </c>
      <c r="BL122" s="1543">
        <f t="shared" si="201"/>
        <v>0</v>
      </c>
      <c r="BM122" s="1543">
        <f t="shared" si="201"/>
        <v>0</v>
      </c>
      <c r="BN122" s="1543">
        <f t="shared" si="201"/>
        <v>0</v>
      </c>
      <c r="BO122" s="1543">
        <f t="shared" si="201"/>
        <v>0</v>
      </c>
      <c r="BP122" s="1543">
        <f t="shared" si="222"/>
        <v>0</v>
      </c>
      <c r="BQ122" s="1543">
        <f t="shared" si="222"/>
        <v>0</v>
      </c>
      <c r="BR122" s="1543">
        <f t="shared" si="222"/>
        <v>0</v>
      </c>
      <c r="BS122" s="1543">
        <f t="shared" si="222"/>
        <v>0</v>
      </c>
      <c r="BT122" s="1543">
        <f t="shared" si="222"/>
        <v>0</v>
      </c>
      <c r="BU122" s="1543">
        <f t="shared" si="222"/>
        <v>0</v>
      </c>
      <c r="BV122" s="1543">
        <f t="shared" si="222"/>
        <v>0</v>
      </c>
      <c r="BW122" s="1543">
        <f t="shared" si="222"/>
        <v>0</v>
      </c>
      <c r="BX122" s="1543">
        <f t="shared" si="222"/>
        <v>0</v>
      </c>
      <c r="BY122" s="1543">
        <f t="shared" si="222"/>
        <v>0</v>
      </c>
      <c r="BZ122" s="1543">
        <f t="shared" si="222"/>
        <v>0</v>
      </c>
      <c r="CB122" s="1543">
        <f t="shared" si="202"/>
        <v>0</v>
      </c>
      <c r="CC122" s="1543">
        <f t="shared" si="202"/>
        <v>0</v>
      </c>
      <c r="CD122" s="1543">
        <f t="shared" si="202"/>
        <v>0</v>
      </c>
      <c r="CE122" s="1543">
        <f t="shared" si="202"/>
        <v>0</v>
      </c>
      <c r="CF122" s="1543">
        <f t="shared" si="202"/>
        <v>0</v>
      </c>
      <c r="CG122" s="1543">
        <f t="shared" si="202"/>
        <v>0</v>
      </c>
      <c r="CH122" s="1543">
        <f t="shared" si="202"/>
        <v>0</v>
      </c>
      <c r="CI122" s="1543">
        <f t="shared" si="202"/>
        <v>0</v>
      </c>
      <c r="CJ122" s="1543">
        <f t="shared" si="202"/>
        <v>0</v>
      </c>
      <c r="CK122" s="1543">
        <f t="shared" si="202"/>
        <v>0</v>
      </c>
      <c r="CL122" s="1543">
        <f t="shared" si="202"/>
        <v>0</v>
      </c>
      <c r="CM122" s="1543">
        <f t="shared" si="202"/>
        <v>0</v>
      </c>
      <c r="CN122" s="1543">
        <f t="shared" si="202"/>
        <v>0</v>
      </c>
      <c r="CO122" s="1543">
        <f t="shared" si="202"/>
        <v>0</v>
      </c>
      <c r="CP122" s="1543">
        <f t="shared" si="202"/>
        <v>0</v>
      </c>
      <c r="CQ122" s="1543">
        <f t="shared" si="202"/>
        <v>0</v>
      </c>
      <c r="CR122" s="1543">
        <f t="shared" si="223"/>
        <v>0</v>
      </c>
      <c r="CS122" s="1543">
        <f t="shared" si="223"/>
        <v>0</v>
      </c>
      <c r="CT122" s="1543">
        <f t="shared" si="205"/>
        <v>0</v>
      </c>
      <c r="CU122" s="1543">
        <f t="shared" si="205"/>
        <v>0</v>
      </c>
      <c r="CV122" s="1543">
        <f t="shared" si="205"/>
        <v>0</v>
      </c>
      <c r="CW122" s="1543">
        <f t="shared" si="205"/>
        <v>0</v>
      </c>
      <c r="CX122" s="1543">
        <f t="shared" si="205"/>
        <v>0</v>
      </c>
      <c r="CY122" s="1543">
        <f t="shared" si="205"/>
        <v>0</v>
      </c>
      <c r="CZ122" s="1543">
        <f t="shared" si="205"/>
        <v>0</v>
      </c>
      <c r="DA122" s="1543">
        <f t="shared" si="205"/>
        <v>0</v>
      </c>
      <c r="DB122" s="1543">
        <f t="shared" si="205"/>
        <v>0</v>
      </c>
      <c r="DD122" s="1543">
        <f t="shared" si="194"/>
        <v>0</v>
      </c>
      <c r="DE122" s="1543">
        <f t="shared" si="195"/>
        <v>0</v>
      </c>
      <c r="DF122" s="1543">
        <f t="shared" si="196"/>
        <v>0</v>
      </c>
      <c r="DG122" s="1543">
        <f t="shared" si="162"/>
        <v>0</v>
      </c>
      <c r="DI122" s="1543">
        <f t="shared" si="163"/>
        <v>0</v>
      </c>
      <c r="DJ122" s="1543">
        <f t="shared" si="224"/>
        <v>0</v>
      </c>
      <c r="DK122" s="1543">
        <f t="shared" si="224"/>
        <v>0</v>
      </c>
      <c r="DL122" s="1543">
        <f t="shared" si="224"/>
        <v>0</v>
      </c>
      <c r="DM122" s="1543">
        <f t="shared" si="224"/>
        <v>0</v>
      </c>
      <c r="DO122" s="1543">
        <f t="shared" si="200"/>
        <v>0</v>
      </c>
      <c r="DP122" s="1543">
        <f t="shared" si="200"/>
        <v>0</v>
      </c>
      <c r="DQ122" s="1543">
        <f t="shared" si="200"/>
        <v>0</v>
      </c>
      <c r="DR122" s="1543">
        <f t="shared" si="200"/>
        <v>0</v>
      </c>
      <c r="DS122" s="1543">
        <f t="shared" si="200"/>
        <v>0</v>
      </c>
      <c r="DT122" s="1543">
        <f t="shared" si="200"/>
        <v>0</v>
      </c>
      <c r="DU122" s="1543">
        <f t="shared" si="200"/>
        <v>0</v>
      </c>
      <c r="DV122" s="1543">
        <f t="shared" si="200"/>
        <v>0</v>
      </c>
      <c r="DW122" s="1543">
        <f t="shared" si="200"/>
        <v>0</v>
      </c>
      <c r="DX122" s="1543">
        <f t="shared" si="200"/>
        <v>0</v>
      </c>
      <c r="DY122" s="1543">
        <f t="shared" si="200"/>
        <v>0</v>
      </c>
      <c r="DZ122" s="1543">
        <f t="shared" si="200"/>
        <v>0</v>
      </c>
      <c r="EA122" s="1543">
        <f t="shared" si="200"/>
        <v>0</v>
      </c>
      <c r="EB122" s="1543">
        <f t="shared" si="225"/>
        <v>0</v>
      </c>
      <c r="EC122" s="1543">
        <f t="shared" si="225"/>
        <v>0</v>
      </c>
      <c r="ED122" s="1543">
        <f t="shared" si="225"/>
        <v>0</v>
      </c>
      <c r="EE122" s="1543">
        <f t="shared" si="225"/>
        <v>0</v>
      </c>
      <c r="EF122" s="1543">
        <f t="shared" si="225"/>
        <v>0</v>
      </c>
      <c r="EH122" s="1543">
        <f t="shared" si="215"/>
        <v>0</v>
      </c>
      <c r="EI122" s="1543">
        <f t="shared" si="216"/>
        <v>0</v>
      </c>
      <c r="EJ122" s="1543">
        <f t="shared" si="217"/>
        <v>0</v>
      </c>
      <c r="EK122" s="1543">
        <f t="shared" si="218"/>
        <v>0</v>
      </c>
      <c r="EL122" s="1543">
        <f t="shared" si="219"/>
        <v>0</v>
      </c>
      <c r="EM122" s="1543">
        <f t="shared" si="220"/>
        <v>0</v>
      </c>
      <c r="EN122" s="1543">
        <f t="shared" si="221"/>
        <v>0</v>
      </c>
      <c r="EP122" s="1543">
        <f t="shared" si="197"/>
        <v>0</v>
      </c>
      <c r="EQ122" s="1543">
        <f t="shared" si="197"/>
        <v>0</v>
      </c>
      <c r="ER122" s="1543">
        <f t="shared" si="197"/>
        <v>0</v>
      </c>
      <c r="ES122" s="1543">
        <f t="shared" si="192"/>
        <v>0</v>
      </c>
      <c r="ET122" s="1543">
        <f t="shared" si="228"/>
        <v>0</v>
      </c>
      <c r="EU122" s="1543">
        <f t="shared" si="228"/>
        <v>0</v>
      </c>
      <c r="EV122" s="1543">
        <f t="shared" si="228"/>
        <v>0</v>
      </c>
      <c r="EW122" s="1543">
        <f t="shared" si="228"/>
        <v>0</v>
      </c>
      <c r="EX122" s="1543">
        <f t="shared" si="228"/>
        <v>0</v>
      </c>
      <c r="EY122" s="1543">
        <f t="shared" si="228"/>
        <v>0</v>
      </c>
      <c r="EZ122" s="1543">
        <f t="shared" si="228"/>
        <v>0</v>
      </c>
      <c r="FA122" s="1543">
        <f t="shared" si="228"/>
        <v>0</v>
      </c>
      <c r="FB122" s="1543">
        <f t="shared" si="228"/>
        <v>0</v>
      </c>
      <c r="FC122" s="1543">
        <f t="shared" si="228"/>
        <v>0</v>
      </c>
      <c r="FD122" s="1543">
        <f t="shared" si="228"/>
        <v>0</v>
      </c>
      <c r="FE122" s="1543">
        <f t="shared" si="184"/>
        <v>0</v>
      </c>
      <c r="FF122" s="1543">
        <f t="shared" si="172"/>
        <v>1</v>
      </c>
      <c r="FH122" s="1543">
        <f t="shared" si="226"/>
        <v>0</v>
      </c>
      <c r="FI122" s="1543">
        <f t="shared" si="226"/>
        <v>0</v>
      </c>
      <c r="FJ122" s="1543">
        <f t="shared" si="226"/>
        <v>0</v>
      </c>
      <c r="FK122" s="1543">
        <f t="shared" si="226"/>
        <v>0</v>
      </c>
      <c r="FL122" s="1543">
        <f t="shared" si="226"/>
        <v>0</v>
      </c>
      <c r="FM122" s="1543">
        <f t="shared" si="226"/>
        <v>0</v>
      </c>
      <c r="FN122" s="1543">
        <f t="shared" si="226"/>
        <v>0</v>
      </c>
      <c r="FO122" s="1543">
        <f t="shared" si="226"/>
        <v>0</v>
      </c>
      <c r="FP122" s="1543">
        <f t="shared" si="226"/>
        <v>0</v>
      </c>
      <c r="FQ122" s="1543">
        <f t="shared" si="226"/>
        <v>0</v>
      </c>
      <c r="FR122" s="1543">
        <f t="shared" si="226"/>
        <v>0</v>
      </c>
      <c r="FS122" s="1543">
        <f t="shared" si="226"/>
        <v>0</v>
      </c>
      <c r="FT122" s="1543">
        <f t="shared" si="174"/>
        <v>0</v>
      </c>
      <c r="FV122" s="1543">
        <f t="shared" si="227"/>
        <v>1</v>
      </c>
      <c r="FW122" s="1543">
        <f t="shared" si="227"/>
        <v>0</v>
      </c>
      <c r="FX122" s="1543">
        <f t="shared" si="227"/>
        <v>0</v>
      </c>
      <c r="FY122" s="1543">
        <f t="shared" si="227"/>
        <v>0</v>
      </c>
      <c r="FZ122" s="1543">
        <f t="shared" si="227"/>
        <v>0</v>
      </c>
      <c r="GA122" s="1543">
        <f t="shared" si="227"/>
        <v>0</v>
      </c>
      <c r="GB122" s="1543">
        <f t="shared" si="227"/>
        <v>0</v>
      </c>
      <c r="GC122" s="1543">
        <f t="shared" si="227"/>
        <v>0</v>
      </c>
      <c r="GD122" s="1543">
        <f t="shared" si="227"/>
        <v>0</v>
      </c>
    </row>
    <row r="123" spans="1:186" s="982" customFormat="1" ht="15.6" x14ac:dyDescent="0.3">
      <c r="A123" s="974">
        <v>121</v>
      </c>
      <c r="B123" s="983"/>
      <c r="C123" s="984"/>
      <c r="D123" s="983"/>
      <c r="E123" s="968" t="str">
        <f>IFERROR(VLOOKUP($D123&amp;"."&amp;B123,'Piping Class'!$1:$1048576,MATCH($I123,'Piping Class'!$2:$2,0),0),"")</f>
        <v/>
      </c>
      <c r="F123" s="985" t="str">
        <f>IFERROR(IF(B123="Flange",VLOOKUP($D123,'Piping Class'!$88:$102,MATCH(F$1,'Piping Class'!$88:$88,0),0),""),"")</f>
        <v/>
      </c>
      <c r="G123" s="968" t="str">
        <f>IFERROR(IF(B123="Flange",VLOOKUP($D123,'Piping Class'!$88:$102,MATCH(G$1,'Piping Class'!$88:$88,0),0),""),"")</f>
        <v/>
      </c>
      <c r="H123" s="968" t="str">
        <f>IFERROR(VLOOKUP($D123,'Piping Class'!$88:$102,MATCH(H$1,'Piping Class'!$88:$88,0),0),"")</f>
        <v/>
      </c>
      <c r="I123" s="986"/>
      <c r="J123" s="987"/>
      <c r="K123" s="968" t="str">
        <f>IFERROR(VLOOKUP(I123,'Thickness Tab'!$1:$1048576,MATCH(L123,'Thickness Tab'!$1:$1,0),0),"")</f>
        <v/>
      </c>
      <c r="L123" s="969" t="str">
        <f>IFERROR(VLOOKUP($D123,'Piping Class'!$1:$1048576,MATCH($I123,'Piping Class'!$2:$2,0),0),"")</f>
        <v/>
      </c>
      <c r="M123" s="968" t="str">
        <f>IFERROR(VLOOKUP(J123,'Thickness Tab'!$1:$1048576,MATCH(N123,'Thickness Tab'!$1:$1,0),0),"")</f>
        <v/>
      </c>
      <c r="N123" s="969" t="str">
        <f>IFERROR(VLOOKUP($D123,'Piping Class'!$1:$1048576,MATCH($J123,'Piping Class'!$2:$2,0),0),"")</f>
        <v/>
      </c>
      <c r="O123" s="968" t="str">
        <f>IFERROR(VLOOKUP($D123,'Piping Class'!$88:$102,MATCH(O$1,'Piping Class'!$88:$88,0),0),"")</f>
        <v/>
      </c>
      <c r="P123" s="968" t="str">
        <f>IFERROR(VLOOKUP($D123,'Piping Class'!$88:$102,MATCH(P$1,'Piping Class'!$88:$88,0),0),"")</f>
        <v/>
      </c>
      <c r="Q123" s="983"/>
      <c r="R123" s="988"/>
      <c r="S123" s="969" t="str">
        <f t="shared" si="206"/>
        <v/>
      </c>
      <c r="T123" s="968">
        <f>IFERROR(VLOOKUP(I123&amp;"."&amp;L123,'Fitting Chart'!$1:$1048576,MATCH(C123,'Fitting Chart'!$1:$1,0),0),0)+IF(B123="piping",PI()*K123*(VLOOKUP(I123,'Thickness Tab'!$1:$1048576,3,0)-K123)*7.86/1000,0)+IF(B123="Flange",VLOOKUP(I123&amp;"F"&amp;F123,'Flanges Chart'!$1:$1048576,MATCH(C123&amp;"."&amp;T$1,'Flanges Chart'!$1:$1,0),0),0)</f>
        <v>0</v>
      </c>
      <c r="U123" s="989">
        <f t="shared" si="207"/>
        <v>0</v>
      </c>
      <c r="V123" s="1003"/>
      <c r="W123" s="1001">
        <f t="shared" si="208"/>
        <v>0</v>
      </c>
      <c r="X123" s="997"/>
      <c r="Y123" s="983"/>
      <c r="Z123" s="989">
        <f>IF(B123="Piping",VLOOKUP(I123,'Thickness Tab'!$1:$1048576,3,0)/1000*PI(),0)+IFERROR(VLOOKUP(I123&amp;"F"&amp;F123,'Flanges Chart'!$1:$1048576,MATCH(C123&amp;".Unit Surface",'Flanges Chart'!$1:$1,0),0),0)+IF(B123="Fitting",VLOOKUP(I123,'Thickness Tab'!$1:$1048576,3,0)/1000*PI(),0)</f>
        <v>0</v>
      </c>
      <c r="AA123" s="989">
        <f t="shared" si="209"/>
        <v>0</v>
      </c>
      <c r="AB123" s="983">
        <v>0</v>
      </c>
      <c r="AC123" s="989">
        <f t="shared" si="154"/>
        <v>0</v>
      </c>
      <c r="AD123" s="989">
        <f t="shared" si="155"/>
        <v>0</v>
      </c>
      <c r="AE123" s="974">
        <f>(IFERROR(VLOOKUP($C123,List!$J:$L,2,0),0)*R123+IF(B123="piping",R123,0)+IF(C123="Welding Neck",1,0)*R123)*$AE$2</f>
        <v>0</v>
      </c>
      <c r="AF123" s="970">
        <f>IFERROR(VLOOKUP($C123,List!$J:$L,3,0),0)*R123*$AF$2</f>
        <v>0</v>
      </c>
      <c r="AG123" s="990">
        <f t="shared" si="210"/>
        <v>0</v>
      </c>
      <c r="AH123" s="1118" t="str">
        <f>IFERROR(VLOOKUP($D123,'Piping Class'!$88:$102,MATCH(AH$1,'Piping Class'!$88:$88,0),0),"")</f>
        <v/>
      </c>
      <c r="AI123" s="991" t="str">
        <f>IFERROR(VLOOKUP($D123,'Piping Class'!$88:$102,MATCH(AI$1,'Piping Class'!$88:$88,0),0),"")</f>
        <v/>
      </c>
      <c r="AJ123" s="991" t="str">
        <f>IFERROR(VLOOKUP($D123,'Piping Class'!$88:$102,MATCH(AJ$1,'Piping Class'!$88:$88,0),0),"")</f>
        <v/>
      </c>
      <c r="AK123" s="991" t="str">
        <f>IFERROR(VLOOKUP($D123,'Piping Class'!$88:$102,MATCH(AK$1,'Piping Class'!$88:$88,0),0),"")</f>
        <v/>
      </c>
      <c r="AL123" s="991">
        <f t="shared" si="182"/>
        <v>0</v>
      </c>
      <c r="AM123" s="1119" t="str">
        <f>IFERROR(VLOOKUP($D123,'Piping Class'!$88:$102,MATCH(AM$1,'Piping Class'!$88:$88,0),0),"")</f>
        <v/>
      </c>
      <c r="AN123" s="992">
        <f t="shared" si="157"/>
        <v>0</v>
      </c>
      <c r="AO123" s="993">
        <f>IFERROR(VLOOKUP(I123&amp;"B"&amp;F123,'Bolting Chart'!$1:$1048576,4,0),0)</f>
        <v>0</v>
      </c>
      <c r="AP123" s="993">
        <f t="shared" si="211"/>
        <v>0</v>
      </c>
      <c r="AQ123" s="993">
        <f t="shared" si="212"/>
        <v>0</v>
      </c>
      <c r="AR123" s="993">
        <f>IF(AO123=0,0,VLOOKUP(D123&amp;".bolting",'Piping Class'!$1:$1048576,MATCH(I123,'Piping Class'!$2:$2,0),0))</f>
        <v>0</v>
      </c>
      <c r="AS123" s="994">
        <f>IFERROR(VLOOKUP(I123&amp;"B"&amp;F123,'Bolting Chart'!$1:$1048576,IF(AS$2="UNC",5,6),0),0)</f>
        <v>0</v>
      </c>
      <c r="AT123" s="995">
        <f>IFERROR(VLOOKUP(I123&amp;"B"&amp;F123,'Bolting Chart'!$1:$1048576,IF(G123="RF",8,9),0),0)</f>
        <v>0</v>
      </c>
      <c r="AU123" s="993">
        <f>IF(AO123=0,0,VLOOKUP(D123&amp;".gasket",'Piping Class'!$1:$1048576,MATCH(I123,'Piping Class'!$2:$2,0),0))</f>
        <v>0</v>
      </c>
      <c r="AV123" s="996">
        <f>(IFERROR(INDEX('Bolting Chart'!$A$169:$R$251,MATCH(AT123,'Bolting Chart'!$A$170:$A$251,0),MATCH(IFERROR(VLOOKUP(I123&amp;"B"&amp;F123,'Bolting Chart'!$1:$1048576,7,0),0)+0,'Bolting Chart'!$A$169:$R$169,0)),0))/100</f>
        <v>0</v>
      </c>
      <c r="AW123" s="996">
        <f t="shared" si="213"/>
        <v>0</v>
      </c>
      <c r="AX123" s="1194">
        <f t="shared" si="214"/>
        <v>0</v>
      </c>
      <c r="AY123" s="981"/>
      <c r="AZ123" s="1543">
        <f t="shared" si="201"/>
        <v>0</v>
      </c>
      <c r="BA123" s="1543">
        <f t="shared" si="201"/>
        <v>0</v>
      </c>
      <c r="BB123" s="1543">
        <f t="shared" si="201"/>
        <v>0</v>
      </c>
      <c r="BC123" s="1543">
        <f t="shared" si="201"/>
        <v>0</v>
      </c>
      <c r="BD123" s="1543">
        <f t="shared" si="201"/>
        <v>0</v>
      </c>
      <c r="BE123" s="1543">
        <f t="shared" si="201"/>
        <v>0</v>
      </c>
      <c r="BF123" s="1543">
        <f t="shared" si="201"/>
        <v>0</v>
      </c>
      <c r="BG123" s="1543">
        <f t="shared" si="201"/>
        <v>0</v>
      </c>
      <c r="BH123" s="1543">
        <f t="shared" si="201"/>
        <v>0</v>
      </c>
      <c r="BI123" s="1543">
        <f t="shared" si="201"/>
        <v>0</v>
      </c>
      <c r="BJ123" s="1543">
        <f t="shared" si="201"/>
        <v>0</v>
      </c>
      <c r="BK123" s="1543">
        <f t="shared" si="201"/>
        <v>0</v>
      </c>
      <c r="BL123" s="1543">
        <f t="shared" ref="AZ123:BO138" si="229">IF($I123=BL$2,1,0)</f>
        <v>0</v>
      </c>
      <c r="BM123" s="1543">
        <f t="shared" si="229"/>
        <v>0</v>
      </c>
      <c r="BN123" s="1543">
        <f t="shared" si="229"/>
        <v>0</v>
      </c>
      <c r="BO123" s="1543">
        <f t="shared" si="229"/>
        <v>0</v>
      </c>
      <c r="BP123" s="1543">
        <f t="shared" si="222"/>
        <v>0</v>
      </c>
      <c r="BQ123" s="1543">
        <f t="shared" si="222"/>
        <v>0</v>
      </c>
      <c r="BR123" s="1543">
        <f t="shared" si="222"/>
        <v>0</v>
      </c>
      <c r="BS123" s="1543">
        <f t="shared" si="222"/>
        <v>0</v>
      </c>
      <c r="BT123" s="1543">
        <f t="shared" si="222"/>
        <v>0</v>
      </c>
      <c r="BU123" s="1543">
        <f t="shared" si="222"/>
        <v>0</v>
      </c>
      <c r="BV123" s="1543">
        <f t="shared" si="222"/>
        <v>0</v>
      </c>
      <c r="BW123" s="1543">
        <f t="shared" si="222"/>
        <v>0</v>
      </c>
      <c r="BX123" s="1543">
        <f t="shared" si="222"/>
        <v>0</v>
      </c>
      <c r="BY123" s="1543">
        <f t="shared" si="222"/>
        <v>0</v>
      </c>
      <c r="BZ123" s="1543">
        <f t="shared" si="222"/>
        <v>0</v>
      </c>
      <c r="CB123" s="1543">
        <f t="shared" si="202"/>
        <v>0</v>
      </c>
      <c r="CC123" s="1543">
        <f t="shared" si="202"/>
        <v>0</v>
      </c>
      <c r="CD123" s="1543">
        <f t="shared" si="202"/>
        <v>0</v>
      </c>
      <c r="CE123" s="1543">
        <f t="shared" si="202"/>
        <v>0</v>
      </c>
      <c r="CF123" s="1543">
        <f t="shared" si="202"/>
        <v>0</v>
      </c>
      <c r="CG123" s="1543">
        <f t="shared" si="202"/>
        <v>0</v>
      </c>
      <c r="CH123" s="1543">
        <f t="shared" si="202"/>
        <v>0</v>
      </c>
      <c r="CI123" s="1543">
        <f t="shared" si="202"/>
        <v>0</v>
      </c>
      <c r="CJ123" s="1543">
        <f t="shared" si="202"/>
        <v>0</v>
      </c>
      <c r="CK123" s="1543">
        <f t="shared" si="202"/>
        <v>0</v>
      </c>
      <c r="CL123" s="1543">
        <f t="shared" si="202"/>
        <v>0</v>
      </c>
      <c r="CM123" s="1543">
        <f t="shared" si="202"/>
        <v>0</v>
      </c>
      <c r="CN123" s="1543">
        <f t="shared" ref="CB123:CQ138" si="230">IF($J123=CN$2,1,0)</f>
        <v>0</v>
      </c>
      <c r="CO123" s="1543">
        <f t="shared" si="230"/>
        <v>0</v>
      </c>
      <c r="CP123" s="1543">
        <f t="shared" si="230"/>
        <v>0</v>
      </c>
      <c r="CQ123" s="1543">
        <f t="shared" si="230"/>
        <v>0</v>
      </c>
      <c r="CR123" s="1543">
        <f t="shared" si="223"/>
        <v>0</v>
      </c>
      <c r="CS123" s="1543">
        <f t="shared" si="223"/>
        <v>0</v>
      </c>
      <c r="CT123" s="1543">
        <f t="shared" si="205"/>
        <v>0</v>
      </c>
      <c r="CU123" s="1543">
        <f t="shared" si="205"/>
        <v>0</v>
      </c>
      <c r="CV123" s="1543">
        <f t="shared" si="205"/>
        <v>0</v>
      </c>
      <c r="CW123" s="1543">
        <f t="shared" si="205"/>
        <v>0</v>
      </c>
      <c r="CX123" s="1543">
        <f t="shared" si="205"/>
        <v>0</v>
      </c>
      <c r="CY123" s="1543">
        <f t="shared" si="205"/>
        <v>0</v>
      </c>
      <c r="CZ123" s="1543">
        <f t="shared" si="205"/>
        <v>0</v>
      </c>
      <c r="DA123" s="1543">
        <f t="shared" si="205"/>
        <v>0</v>
      </c>
      <c r="DB123" s="1543">
        <f t="shared" si="205"/>
        <v>0</v>
      </c>
      <c r="DD123" s="1543">
        <f t="shared" si="194"/>
        <v>0</v>
      </c>
      <c r="DE123" s="1543">
        <f t="shared" si="195"/>
        <v>0</v>
      </c>
      <c r="DF123" s="1543">
        <f t="shared" si="196"/>
        <v>0</v>
      </c>
      <c r="DG123" s="1543">
        <f t="shared" si="162"/>
        <v>0</v>
      </c>
      <c r="DI123" s="1543">
        <f t="shared" si="163"/>
        <v>0</v>
      </c>
      <c r="DJ123" s="1543">
        <f t="shared" si="224"/>
        <v>0</v>
      </c>
      <c r="DK123" s="1543">
        <f t="shared" si="224"/>
        <v>0</v>
      </c>
      <c r="DL123" s="1543">
        <f t="shared" si="224"/>
        <v>0</v>
      </c>
      <c r="DM123" s="1543">
        <f t="shared" si="224"/>
        <v>0</v>
      </c>
      <c r="DO123" s="1543">
        <f t="shared" ref="DO123:ED138" si="231">IF($L123=DO$2,1,0)</f>
        <v>0</v>
      </c>
      <c r="DP123" s="1543">
        <f t="shared" si="231"/>
        <v>0</v>
      </c>
      <c r="DQ123" s="1543">
        <f t="shared" si="231"/>
        <v>0</v>
      </c>
      <c r="DR123" s="1543">
        <f t="shared" si="231"/>
        <v>0</v>
      </c>
      <c r="DS123" s="1543">
        <f t="shared" si="231"/>
        <v>0</v>
      </c>
      <c r="DT123" s="1543">
        <f t="shared" si="231"/>
        <v>0</v>
      </c>
      <c r="DU123" s="1543">
        <f t="shared" si="231"/>
        <v>0</v>
      </c>
      <c r="DV123" s="1543">
        <f t="shared" si="231"/>
        <v>0</v>
      </c>
      <c r="DW123" s="1543">
        <f t="shared" si="231"/>
        <v>0</v>
      </c>
      <c r="DX123" s="1543">
        <f t="shared" si="231"/>
        <v>0</v>
      </c>
      <c r="DY123" s="1543">
        <f t="shared" si="231"/>
        <v>0</v>
      </c>
      <c r="DZ123" s="1543">
        <f t="shared" si="231"/>
        <v>0</v>
      </c>
      <c r="EA123" s="1543">
        <f t="shared" si="231"/>
        <v>0</v>
      </c>
      <c r="EB123" s="1543">
        <f t="shared" si="225"/>
        <v>0</v>
      </c>
      <c r="EC123" s="1543">
        <f t="shared" si="225"/>
        <v>0</v>
      </c>
      <c r="ED123" s="1543">
        <f t="shared" si="225"/>
        <v>0</v>
      </c>
      <c r="EE123" s="1543">
        <f t="shared" si="225"/>
        <v>0</v>
      </c>
      <c r="EF123" s="1543">
        <f t="shared" si="225"/>
        <v>0</v>
      </c>
      <c r="EH123" s="1543">
        <f t="shared" si="215"/>
        <v>0</v>
      </c>
      <c r="EI123" s="1543">
        <f t="shared" si="216"/>
        <v>0</v>
      </c>
      <c r="EJ123" s="1543">
        <f t="shared" si="217"/>
        <v>0</v>
      </c>
      <c r="EK123" s="1543">
        <f t="shared" si="218"/>
        <v>0</v>
      </c>
      <c r="EL123" s="1543">
        <f t="shared" si="219"/>
        <v>0</v>
      </c>
      <c r="EM123" s="1543">
        <f t="shared" si="220"/>
        <v>0</v>
      </c>
      <c r="EN123" s="1543">
        <f t="shared" si="221"/>
        <v>0</v>
      </c>
      <c r="EP123" s="1543">
        <f t="shared" si="197"/>
        <v>0</v>
      </c>
      <c r="EQ123" s="1543">
        <f t="shared" si="197"/>
        <v>0</v>
      </c>
      <c r="ER123" s="1543">
        <f t="shared" si="197"/>
        <v>0</v>
      </c>
      <c r="ES123" s="1543">
        <f t="shared" si="192"/>
        <v>0</v>
      </c>
      <c r="ET123" s="1543">
        <f t="shared" si="228"/>
        <v>0</v>
      </c>
      <c r="EU123" s="1543">
        <f t="shared" si="228"/>
        <v>0</v>
      </c>
      <c r="EV123" s="1543">
        <f t="shared" si="228"/>
        <v>0</v>
      </c>
      <c r="EW123" s="1543">
        <f t="shared" si="228"/>
        <v>0</v>
      </c>
      <c r="EX123" s="1543">
        <f t="shared" si="228"/>
        <v>0</v>
      </c>
      <c r="EY123" s="1543">
        <f t="shared" si="228"/>
        <v>0</v>
      </c>
      <c r="EZ123" s="1543">
        <f t="shared" si="228"/>
        <v>0</v>
      </c>
      <c r="FA123" s="1543">
        <f t="shared" si="228"/>
        <v>0</v>
      </c>
      <c r="FB123" s="1543">
        <f t="shared" si="228"/>
        <v>0</v>
      </c>
      <c r="FC123" s="1543">
        <f t="shared" si="228"/>
        <v>0</v>
      </c>
      <c r="FD123" s="1543">
        <f t="shared" si="228"/>
        <v>0</v>
      </c>
      <c r="FE123" s="1543">
        <f t="shared" si="184"/>
        <v>0</v>
      </c>
      <c r="FF123" s="1543">
        <f t="shared" si="172"/>
        <v>1</v>
      </c>
      <c r="FH123" s="1543">
        <f t="shared" si="226"/>
        <v>0</v>
      </c>
      <c r="FI123" s="1543">
        <f t="shared" si="226"/>
        <v>0</v>
      </c>
      <c r="FJ123" s="1543">
        <f t="shared" si="226"/>
        <v>0</v>
      </c>
      <c r="FK123" s="1543">
        <f t="shared" si="226"/>
        <v>0</v>
      </c>
      <c r="FL123" s="1543">
        <f t="shared" si="226"/>
        <v>0</v>
      </c>
      <c r="FM123" s="1543">
        <f t="shared" si="226"/>
        <v>0</v>
      </c>
      <c r="FN123" s="1543">
        <f t="shared" si="226"/>
        <v>0</v>
      </c>
      <c r="FO123" s="1543">
        <f t="shared" si="226"/>
        <v>0</v>
      </c>
      <c r="FP123" s="1543">
        <f t="shared" si="226"/>
        <v>0</v>
      </c>
      <c r="FQ123" s="1543">
        <f t="shared" si="226"/>
        <v>0</v>
      </c>
      <c r="FR123" s="1543">
        <f t="shared" si="226"/>
        <v>0</v>
      </c>
      <c r="FS123" s="1543">
        <f t="shared" si="226"/>
        <v>0</v>
      </c>
      <c r="FT123" s="1543">
        <f t="shared" si="174"/>
        <v>0</v>
      </c>
      <c r="FV123" s="1543">
        <f t="shared" si="227"/>
        <v>1</v>
      </c>
      <c r="FW123" s="1543">
        <f t="shared" si="227"/>
        <v>0</v>
      </c>
      <c r="FX123" s="1543">
        <f t="shared" si="227"/>
        <v>0</v>
      </c>
      <c r="FY123" s="1543">
        <f t="shared" si="227"/>
        <v>0</v>
      </c>
      <c r="FZ123" s="1543">
        <f t="shared" si="227"/>
        <v>0</v>
      </c>
      <c r="GA123" s="1543">
        <f t="shared" si="227"/>
        <v>0</v>
      </c>
      <c r="GB123" s="1543">
        <f t="shared" si="227"/>
        <v>0</v>
      </c>
      <c r="GC123" s="1543">
        <f t="shared" si="227"/>
        <v>0</v>
      </c>
      <c r="GD123" s="1543">
        <f t="shared" si="227"/>
        <v>0</v>
      </c>
    </row>
    <row r="124" spans="1:186" s="982" customFormat="1" ht="15.6" x14ac:dyDescent="0.3">
      <c r="A124" s="974">
        <v>122</v>
      </c>
      <c r="B124" s="983"/>
      <c r="C124" s="984"/>
      <c r="D124" s="983"/>
      <c r="E124" s="968" t="str">
        <f>IFERROR(VLOOKUP($D124&amp;"."&amp;B124,'Piping Class'!$1:$1048576,MATCH($I124,'Piping Class'!$2:$2,0),0),"")</f>
        <v/>
      </c>
      <c r="F124" s="985" t="str">
        <f>IFERROR(IF(B124="Flange",VLOOKUP($D124,'Piping Class'!$88:$102,MATCH(F$1,'Piping Class'!$88:$88,0),0),""),"")</f>
        <v/>
      </c>
      <c r="G124" s="968" t="str">
        <f>IFERROR(IF(B124="Flange",VLOOKUP($D124,'Piping Class'!$88:$102,MATCH(G$1,'Piping Class'!$88:$88,0),0),""),"")</f>
        <v/>
      </c>
      <c r="H124" s="968" t="str">
        <f>IFERROR(VLOOKUP($D124,'Piping Class'!$88:$102,MATCH(H$1,'Piping Class'!$88:$88,0),0),"")</f>
        <v/>
      </c>
      <c r="I124" s="986"/>
      <c r="J124" s="987"/>
      <c r="K124" s="968" t="str">
        <f>IFERROR(VLOOKUP(I124,'Thickness Tab'!$1:$1048576,MATCH(L124,'Thickness Tab'!$1:$1,0),0),"")</f>
        <v/>
      </c>
      <c r="L124" s="969" t="str">
        <f>IFERROR(VLOOKUP($D124,'Piping Class'!$1:$1048576,MATCH($I124,'Piping Class'!$2:$2,0),0),"")</f>
        <v/>
      </c>
      <c r="M124" s="968" t="str">
        <f>IFERROR(VLOOKUP(J124,'Thickness Tab'!$1:$1048576,MATCH(N124,'Thickness Tab'!$1:$1,0),0),"")</f>
        <v/>
      </c>
      <c r="N124" s="969" t="str">
        <f>IFERROR(VLOOKUP($D124,'Piping Class'!$1:$1048576,MATCH($J124,'Piping Class'!$2:$2,0),0),"")</f>
        <v/>
      </c>
      <c r="O124" s="968" t="str">
        <f>IFERROR(VLOOKUP($D124,'Piping Class'!$88:$102,MATCH(O$1,'Piping Class'!$88:$88,0),0),"")</f>
        <v/>
      </c>
      <c r="P124" s="968" t="str">
        <f>IFERROR(VLOOKUP($D124,'Piping Class'!$88:$102,MATCH(P$1,'Piping Class'!$88:$88,0),0),"")</f>
        <v/>
      </c>
      <c r="Q124" s="983"/>
      <c r="R124" s="988"/>
      <c r="S124" s="969" t="str">
        <f t="shared" si="206"/>
        <v/>
      </c>
      <c r="T124" s="968">
        <f>IFERROR(VLOOKUP(I124&amp;"."&amp;L124,'Fitting Chart'!$1:$1048576,MATCH(C124,'Fitting Chart'!$1:$1,0),0),0)+IF(B124="piping",PI()*K124*(VLOOKUP(I124,'Thickness Tab'!$1:$1048576,3,0)-K124)*7.86/1000,0)+IF(B124="Flange",VLOOKUP(I124&amp;"F"&amp;F124,'Flanges Chart'!$1:$1048576,MATCH(C124&amp;"."&amp;T$1,'Flanges Chart'!$1:$1,0),0),0)</f>
        <v>0</v>
      </c>
      <c r="U124" s="989">
        <f t="shared" si="207"/>
        <v>0</v>
      </c>
      <c r="V124" s="1003"/>
      <c r="W124" s="1001">
        <f t="shared" si="208"/>
        <v>0</v>
      </c>
      <c r="X124" s="997"/>
      <c r="Y124" s="983"/>
      <c r="Z124" s="989">
        <f>IF(B124="Piping",VLOOKUP(I124,'Thickness Tab'!$1:$1048576,3,0)/1000*PI(),0)+IFERROR(VLOOKUP(I124&amp;"F"&amp;F124,'Flanges Chart'!$1:$1048576,MATCH(C124&amp;".Unit Surface",'Flanges Chart'!$1:$1,0),0),0)+IF(B124="Fitting",VLOOKUP(I124,'Thickness Tab'!$1:$1048576,3,0)/1000*PI(),0)</f>
        <v>0</v>
      </c>
      <c r="AA124" s="989">
        <f t="shared" si="209"/>
        <v>0</v>
      </c>
      <c r="AB124" s="983">
        <v>0</v>
      </c>
      <c r="AC124" s="989">
        <f t="shared" si="154"/>
        <v>0</v>
      </c>
      <c r="AD124" s="989">
        <f t="shared" si="155"/>
        <v>0</v>
      </c>
      <c r="AE124" s="974">
        <f>(IFERROR(VLOOKUP($C124,List!$J:$L,2,0),0)*R124+IF(B124="piping",R124,0)+IF(C124="Welding Neck",1,0)*R124)*$AE$2</f>
        <v>0</v>
      </c>
      <c r="AF124" s="970">
        <f>IFERROR(VLOOKUP($C124,List!$J:$L,3,0),0)*R124*$AF$2</f>
        <v>0</v>
      </c>
      <c r="AG124" s="990">
        <f t="shared" si="210"/>
        <v>0</v>
      </c>
      <c r="AH124" s="1118" t="str">
        <f>IFERROR(VLOOKUP($D124,'Piping Class'!$88:$102,MATCH(AH$1,'Piping Class'!$88:$88,0),0),"")</f>
        <v/>
      </c>
      <c r="AI124" s="991" t="str">
        <f>IFERROR(VLOOKUP($D124,'Piping Class'!$88:$102,MATCH(AI$1,'Piping Class'!$88:$88,0),0),"")</f>
        <v/>
      </c>
      <c r="AJ124" s="991" t="str">
        <f>IFERROR(VLOOKUP($D124,'Piping Class'!$88:$102,MATCH(AJ$1,'Piping Class'!$88:$88,0),0),"")</f>
        <v/>
      </c>
      <c r="AK124" s="991" t="str">
        <f>IFERROR(VLOOKUP($D124,'Piping Class'!$88:$102,MATCH(AK$1,'Piping Class'!$88:$88,0),0),"")</f>
        <v/>
      </c>
      <c r="AL124" s="991">
        <f t="shared" si="182"/>
        <v>0</v>
      </c>
      <c r="AM124" s="1119" t="str">
        <f>IFERROR(VLOOKUP($D124,'Piping Class'!$88:$102,MATCH(AM$1,'Piping Class'!$88:$88,0),0),"")</f>
        <v/>
      </c>
      <c r="AN124" s="992">
        <f t="shared" si="157"/>
        <v>0</v>
      </c>
      <c r="AO124" s="993">
        <f>IFERROR(VLOOKUP(I124&amp;"B"&amp;F124,'Bolting Chart'!$1:$1048576,4,0),0)</f>
        <v>0</v>
      </c>
      <c r="AP124" s="993">
        <f t="shared" si="211"/>
        <v>0</v>
      </c>
      <c r="AQ124" s="993">
        <f t="shared" si="212"/>
        <v>0</v>
      </c>
      <c r="AR124" s="993">
        <f>IF(AO124=0,0,VLOOKUP(D124&amp;".bolting",'Piping Class'!$1:$1048576,MATCH(I124,'Piping Class'!$2:$2,0),0))</f>
        <v>0</v>
      </c>
      <c r="AS124" s="994">
        <f>IFERROR(VLOOKUP(I124&amp;"B"&amp;F124,'Bolting Chart'!$1:$1048576,IF(AS$2="UNC",5,6),0),0)</f>
        <v>0</v>
      </c>
      <c r="AT124" s="995">
        <f>IFERROR(VLOOKUP(I124&amp;"B"&amp;F124,'Bolting Chart'!$1:$1048576,IF(G124="RF",8,9),0),0)</f>
        <v>0</v>
      </c>
      <c r="AU124" s="993">
        <f>IF(AO124=0,0,VLOOKUP(D124&amp;".gasket",'Piping Class'!$1:$1048576,MATCH(I124,'Piping Class'!$2:$2,0),0))</f>
        <v>0</v>
      </c>
      <c r="AV124" s="996">
        <f>(IFERROR(INDEX('Bolting Chart'!$A$169:$R$251,MATCH(AT124,'Bolting Chart'!$A$170:$A$251,0),MATCH(IFERROR(VLOOKUP(I124&amp;"B"&amp;F124,'Bolting Chart'!$1:$1048576,7,0),0)+0,'Bolting Chart'!$A$169:$R$169,0)),0))/100</f>
        <v>0</v>
      </c>
      <c r="AW124" s="996">
        <f t="shared" si="213"/>
        <v>0</v>
      </c>
      <c r="AX124" s="1194">
        <f t="shared" si="214"/>
        <v>0</v>
      </c>
      <c r="AY124" s="981"/>
      <c r="AZ124" s="1543">
        <f t="shared" si="229"/>
        <v>0</v>
      </c>
      <c r="BA124" s="1543">
        <f t="shared" si="229"/>
        <v>0</v>
      </c>
      <c r="BB124" s="1543">
        <f t="shared" si="229"/>
        <v>0</v>
      </c>
      <c r="BC124" s="1543">
        <f t="shared" si="229"/>
        <v>0</v>
      </c>
      <c r="BD124" s="1543">
        <f t="shared" si="229"/>
        <v>0</v>
      </c>
      <c r="BE124" s="1543">
        <f t="shared" si="229"/>
        <v>0</v>
      </c>
      <c r="BF124" s="1543">
        <f t="shared" si="229"/>
        <v>0</v>
      </c>
      <c r="BG124" s="1543">
        <f t="shared" si="229"/>
        <v>0</v>
      </c>
      <c r="BH124" s="1543">
        <f t="shared" si="229"/>
        <v>0</v>
      </c>
      <c r="BI124" s="1543">
        <f t="shared" si="229"/>
        <v>0</v>
      </c>
      <c r="BJ124" s="1543">
        <f t="shared" si="229"/>
        <v>0</v>
      </c>
      <c r="BK124" s="1543">
        <f t="shared" si="229"/>
        <v>0</v>
      </c>
      <c r="BL124" s="1543">
        <f t="shared" si="229"/>
        <v>0</v>
      </c>
      <c r="BM124" s="1543">
        <f t="shared" si="229"/>
        <v>0</v>
      </c>
      <c r="BN124" s="1543">
        <f t="shared" si="229"/>
        <v>0</v>
      </c>
      <c r="BO124" s="1543">
        <f t="shared" si="229"/>
        <v>0</v>
      </c>
      <c r="BP124" s="1543">
        <f t="shared" si="222"/>
        <v>0</v>
      </c>
      <c r="BQ124" s="1543">
        <f t="shared" si="222"/>
        <v>0</v>
      </c>
      <c r="BR124" s="1543">
        <f t="shared" si="222"/>
        <v>0</v>
      </c>
      <c r="BS124" s="1543">
        <f t="shared" si="222"/>
        <v>0</v>
      </c>
      <c r="BT124" s="1543">
        <f t="shared" si="222"/>
        <v>0</v>
      </c>
      <c r="BU124" s="1543">
        <f t="shared" si="222"/>
        <v>0</v>
      </c>
      <c r="BV124" s="1543">
        <f t="shared" si="222"/>
        <v>0</v>
      </c>
      <c r="BW124" s="1543">
        <f t="shared" si="222"/>
        <v>0</v>
      </c>
      <c r="BX124" s="1543">
        <f t="shared" si="222"/>
        <v>0</v>
      </c>
      <c r="BY124" s="1543">
        <f t="shared" si="222"/>
        <v>0</v>
      </c>
      <c r="BZ124" s="1543">
        <f t="shared" si="222"/>
        <v>0</v>
      </c>
      <c r="CB124" s="1543">
        <f t="shared" si="230"/>
        <v>0</v>
      </c>
      <c r="CC124" s="1543">
        <f t="shared" si="230"/>
        <v>0</v>
      </c>
      <c r="CD124" s="1543">
        <f t="shared" si="230"/>
        <v>0</v>
      </c>
      <c r="CE124" s="1543">
        <f t="shared" si="230"/>
        <v>0</v>
      </c>
      <c r="CF124" s="1543">
        <f t="shared" si="230"/>
        <v>0</v>
      </c>
      <c r="CG124" s="1543">
        <f t="shared" si="230"/>
        <v>0</v>
      </c>
      <c r="CH124" s="1543">
        <f t="shared" si="230"/>
        <v>0</v>
      </c>
      <c r="CI124" s="1543">
        <f t="shared" si="230"/>
        <v>0</v>
      </c>
      <c r="CJ124" s="1543">
        <f t="shared" si="230"/>
        <v>0</v>
      </c>
      <c r="CK124" s="1543">
        <f t="shared" si="230"/>
        <v>0</v>
      </c>
      <c r="CL124" s="1543">
        <f t="shared" si="230"/>
        <v>0</v>
      </c>
      <c r="CM124" s="1543">
        <f t="shared" si="230"/>
        <v>0</v>
      </c>
      <c r="CN124" s="1543">
        <f t="shared" si="230"/>
        <v>0</v>
      </c>
      <c r="CO124" s="1543">
        <f t="shared" si="230"/>
        <v>0</v>
      </c>
      <c r="CP124" s="1543">
        <f t="shared" si="230"/>
        <v>0</v>
      </c>
      <c r="CQ124" s="1543">
        <f t="shared" si="230"/>
        <v>0</v>
      </c>
      <c r="CR124" s="1543">
        <f t="shared" si="223"/>
        <v>0</v>
      </c>
      <c r="CS124" s="1543">
        <f t="shared" si="223"/>
        <v>0</v>
      </c>
      <c r="CT124" s="1543">
        <f t="shared" si="205"/>
        <v>0</v>
      </c>
      <c r="CU124" s="1543">
        <f t="shared" si="205"/>
        <v>0</v>
      </c>
      <c r="CV124" s="1543">
        <f t="shared" si="205"/>
        <v>0</v>
      </c>
      <c r="CW124" s="1543">
        <f t="shared" si="205"/>
        <v>0</v>
      </c>
      <c r="CX124" s="1543">
        <f t="shared" si="205"/>
        <v>0</v>
      </c>
      <c r="CY124" s="1543">
        <f t="shared" si="205"/>
        <v>0</v>
      </c>
      <c r="CZ124" s="1543">
        <f t="shared" si="205"/>
        <v>0</v>
      </c>
      <c r="DA124" s="1543">
        <f t="shared" si="205"/>
        <v>0</v>
      </c>
      <c r="DB124" s="1543">
        <f t="shared" si="205"/>
        <v>0</v>
      </c>
      <c r="DD124" s="1543">
        <f t="shared" si="194"/>
        <v>0</v>
      </c>
      <c r="DE124" s="1543">
        <f t="shared" si="195"/>
        <v>0</v>
      </c>
      <c r="DF124" s="1543">
        <f t="shared" si="196"/>
        <v>0</v>
      </c>
      <c r="DG124" s="1543">
        <f t="shared" si="162"/>
        <v>0</v>
      </c>
      <c r="DI124" s="1543">
        <f t="shared" si="163"/>
        <v>0</v>
      </c>
      <c r="DJ124" s="1543">
        <f t="shared" si="224"/>
        <v>0</v>
      </c>
      <c r="DK124" s="1543">
        <f t="shared" si="224"/>
        <v>0</v>
      </c>
      <c r="DL124" s="1543">
        <f t="shared" si="224"/>
        <v>0</v>
      </c>
      <c r="DM124" s="1543">
        <f t="shared" si="224"/>
        <v>0</v>
      </c>
      <c r="DO124" s="1543">
        <f t="shared" si="231"/>
        <v>0</v>
      </c>
      <c r="DP124" s="1543">
        <f t="shared" si="231"/>
        <v>0</v>
      </c>
      <c r="DQ124" s="1543">
        <f t="shared" si="231"/>
        <v>0</v>
      </c>
      <c r="DR124" s="1543">
        <f t="shared" si="231"/>
        <v>0</v>
      </c>
      <c r="DS124" s="1543">
        <f t="shared" si="231"/>
        <v>0</v>
      </c>
      <c r="DT124" s="1543">
        <f t="shared" si="231"/>
        <v>0</v>
      </c>
      <c r="DU124" s="1543">
        <f t="shared" si="231"/>
        <v>0</v>
      </c>
      <c r="DV124" s="1543">
        <f t="shared" si="231"/>
        <v>0</v>
      </c>
      <c r="DW124" s="1543">
        <f t="shared" si="231"/>
        <v>0</v>
      </c>
      <c r="DX124" s="1543">
        <f t="shared" si="231"/>
        <v>0</v>
      </c>
      <c r="DY124" s="1543">
        <f t="shared" si="231"/>
        <v>0</v>
      </c>
      <c r="DZ124" s="1543">
        <f t="shared" si="231"/>
        <v>0</v>
      </c>
      <c r="EA124" s="1543">
        <f t="shared" si="231"/>
        <v>0</v>
      </c>
      <c r="EB124" s="1543">
        <f t="shared" si="225"/>
        <v>0</v>
      </c>
      <c r="EC124" s="1543">
        <f t="shared" si="225"/>
        <v>0</v>
      </c>
      <c r="ED124" s="1543">
        <f t="shared" si="225"/>
        <v>0</v>
      </c>
      <c r="EE124" s="1543">
        <f t="shared" si="225"/>
        <v>0</v>
      </c>
      <c r="EF124" s="1543">
        <f t="shared" si="225"/>
        <v>0</v>
      </c>
      <c r="EH124" s="1543">
        <f t="shared" si="215"/>
        <v>0</v>
      </c>
      <c r="EI124" s="1543">
        <f t="shared" si="216"/>
        <v>0</v>
      </c>
      <c r="EJ124" s="1543">
        <f t="shared" si="217"/>
        <v>0</v>
      </c>
      <c r="EK124" s="1543">
        <f t="shared" si="218"/>
        <v>0</v>
      </c>
      <c r="EL124" s="1543">
        <f t="shared" si="219"/>
        <v>0</v>
      </c>
      <c r="EM124" s="1543">
        <f t="shared" si="220"/>
        <v>0</v>
      </c>
      <c r="EN124" s="1543">
        <f t="shared" si="221"/>
        <v>0</v>
      </c>
      <c r="EP124" s="1543">
        <f t="shared" si="197"/>
        <v>0</v>
      </c>
      <c r="EQ124" s="1543">
        <f t="shared" si="197"/>
        <v>0</v>
      </c>
      <c r="ER124" s="1543">
        <f t="shared" si="197"/>
        <v>0</v>
      </c>
      <c r="ES124" s="1543">
        <f t="shared" si="192"/>
        <v>0</v>
      </c>
      <c r="ET124" s="1543">
        <f t="shared" si="228"/>
        <v>0</v>
      </c>
      <c r="EU124" s="1543">
        <f t="shared" si="228"/>
        <v>0</v>
      </c>
      <c r="EV124" s="1543">
        <f t="shared" si="228"/>
        <v>0</v>
      </c>
      <c r="EW124" s="1543">
        <f t="shared" si="228"/>
        <v>0</v>
      </c>
      <c r="EX124" s="1543">
        <f t="shared" si="228"/>
        <v>0</v>
      </c>
      <c r="EY124" s="1543">
        <f t="shared" si="228"/>
        <v>0</v>
      </c>
      <c r="EZ124" s="1543">
        <f t="shared" si="228"/>
        <v>0</v>
      </c>
      <c r="FA124" s="1543">
        <f t="shared" si="228"/>
        <v>0</v>
      </c>
      <c r="FB124" s="1543">
        <f t="shared" si="228"/>
        <v>0</v>
      </c>
      <c r="FC124" s="1543">
        <f t="shared" si="228"/>
        <v>0</v>
      </c>
      <c r="FD124" s="1543">
        <f t="shared" si="228"/>
        <v>0</v>
      </c>
      <c r="FE124" s="1543">
        <f t="shared" si="184"/>
        <v>0</v>
      </c>
      <c r="FF124" s="1543">
        <f t="shared" si="172"/>
        <v>1</v>
      </c>
      <c r="FH124" s="1543">
        <f t="shared" si="226"/>
        <v>0</v>
      </c>
      <c r="FI124" s="1543">
        <f t="shared" si="226"/>
        <v>0</v>
      </c>
      <c r="FJ124" s="1543">
        <f t="shared" si="226"/>
        <v>0</v>
      </c>
      <c r="FK124" s="1543">
        <f t="shared" si="226"/>
        <v>0</v>
      </c>
      <c r="FL124" s="1543">
        <f t="shared" si="226"/>
        <v>0</v>
      </c>
      <c r="FM124" s="1543">
        <f t="shared" si="226"/>
        <v>0</v>
      </c>
      <c r="FN124" s="1543">
        <f t="shared" si="226"/>
        <v>0</v>
      </c>
      <c r="FO124" s="1543">
        <f t="shared" si="226"/>
        <v>0</v>
      </c>
      <c r="FP124" s="1543">
        <f t="shared" si="226"/>
        <v>0</v>
      </c>
      <c r="FQ124" s="1543">
        <f t="shared" si="226"/>
        <v>0</v>
      </c>
      <c r="FR124" s="1543">
        <f t="shared" si="226"/>
        <v>0</v>
      </c>
      <c r="FS124" s="1543">
        <f t="shared" si="226"/>
        <v>0</v>
      </c>
      <c r="FT124" s="1543">
        <f t="shared" si="174"/>
        <v>0</v>
      </c>
      <c r="FV124" s="1543">
        <f t="shared" si="227"/>
        <v>1</v>
      </c>
      <c r="FW124" s="1543">
        <f t="shared" si="227"/>
        <v>0</v>
      </c>
      <c r="FX124" s="1543">
        <f t="shared" si="227"/>
        <v>0</v>
      </c>
      <c r="FY124" s="1543">
        <f t="shared" si="227"/>
        <v>0</v>
      </c>
      <c r="FZ124" s="1543">
        <f t="shared" si="227"/>
        <v>0</v>
      </c>
      <c r="GA124" s="1543">
        <f t="shared" si="227"/>
        <v>0</v>
      </c>
      <c r="GB124" s="1543">
        <f t="shared" si="227"/>
        <v>0</v>
      </c>
      <c r="GC124" s="1543">
        <f t="shared" si="227"/>
        <v>0</v>
      </c>
      <c r="GD124" s="1543">
        <f t="shared" si="227"/>
        <v>0</v>
      </c>
    </row>
    <row r="125" spans="1:186" s="982" customFormat="1" ht="15.6" x14ac:dyDescent="0.3">
      <c r="A125" s="974">
        <v>123</v>
      </c>
      <c r="B125" s="983"/>
      <c r="C125" s="984"/>
      <c r="D125" s="983"/>
      <c r="E125" s="968" t="str">
        <f>IFERROR(VLOOKUP($D125&amp;"."&amp;B125,'Piping Class'!$1:$1048576,MATCH($I125,'Piping Class'!$2:$2,0),0),"")</f>
        <v/>
      </c>
      <c r="F125" s="985" t="str">
        <f>IFERROR(IF(B125="Flange",VLOOKUP($D125,'Piping Class'!$88:$102,MATCH(F$1,'Piping Class'!$88:$88,0),0),""),"")</f>
        <v/>
      </c>
      <c r="G125" s="968" t="str">
        <f>IFERROR(IF(B125="Flange",VLOOKUP($D125,'Piping Class'!$88:$102,MATCH(G$1,'Piping Class'!$88:$88,0),0),""),"")</f>
        <v/>
      </c>
      <c r="H125" s="968" t="str">
        <f>IFERROR(VLOOKUP($D125,'Piping Class'!$88:$102,MATCH(H$1,'Piping Class'!$88:$88,0),0),"")</f>
        <v/>
      </c>
      <c r="I125" s="986"/>
      <c r="J125" s="987"/>
      <c r="K125" s="968" t="str">
        <f>IFERROR(VLOOKUP(I125,'Thickness Tab'!$1:$1048576,MATCH(L125,'Thickness Tab'!$1:$1,0),0),"")</f>
        <v/>
      </c>
      <c r="L125" s="969" t="str">
        <f>IFERROR(VLOOKUP($D125,'Piping Class'!$1:$1048576,MATCH($I125,'Piping Class'!$2:$2,0),0),"")</f>
        <v/>
      </c>
      <c r="M125" s="968" t="str">
        <f>IFERROR(VLOOKUP(J125,'Thickness Tab'!$1:$1048576,MATCH(N125,'Thickness Tab'!$1:$1,0),0),"")</f>
        <v/>
      </c>
      <c r="N125" s="969" t="str">
        <f>IFERROR(VLOOKUP($D125,'Piping Class'!$1:$1048576,MATCH($J125,'Piping Class'!$2:$2,0),0),"")</f>
        <v/>
      </c>
      <c r="O125" s="968" t="str">
        <f>IFERROR(VLOOKUP($D125,'Piping Class'!$88:$102,MATCH(O$1,'Piping Class'!$88:$88,0),0),"")</f>
        <v/>
      </c>
      <c r="P125" s="968" t="str">
        <f>IFERROR(VLOOKUP($D125,'Piping Class'!$88:$102,MATCH(P$1,'Piping Class'!$88:$88,0),0),"")</f>
        <v/>
      </c>
      <c r="Q125" s="983"/>
      <c r="R125" s="988"/>
      <c r="S125" s="969" t="str">
        <f t="shared" si="206"/>
        <v/>
      </c>
      <c r="T125" s="968">
        <f>IFERROR(VLOOKUP(I125&amp;"."&amp;L125,'Fitting Chart'!$1:$1048576,MATCH(C125,'Fitting Chart'!$1:$1,0),0),0)+IF(B125="piping",PI()*K125*(VLOOKUP(I125,'Thickness Tab'!$1:$1048576,3,0)-K125)*7.86/1000,0)+IF(B125="Flange",VLOOKUP(I125&amp;"F"&amp;F125,'Flanges Chart'!$1:$1048576,MATCH(C125&amp;"."&amp;T$1,'Flanges Chart'!$1:$1,0),0),0)</f>
        <v>0</v>
      </c>
      <c r="U125" s="989">
        <f t="shared" si="207"/>
        <v>0</v>
      </c>
      <c r="V125" s="1003"/>
      <c r="W125" s="1001">
        <f t="shared" si="208"/>
        <v>0</v>
      </c>
      <c r="X125" s="997"/>
      <c r="Y125" s="983"/>
      <c r="Z125" s="989">
        <f>IF(B125="Piping",VLOOKUP(I125,'Thickness Tab'!$1:$1048576,3,0)/1000*PI(),0)+IFERROR(VLOOKUP(I125&amp;"F"&amp;F125,'Flanges Chart'!$1:$1048576,MATCH(C125&amp;".Unit Surface",'Flanges Chart'!$1:$1,0),0),0)+IF(B125="Fitting",VLOOKUP(I125,'Thickness Tab'!$1:$1048576,3,0)/1000*PI(),0)</f>
        <v>0</v>
      </c>
      <c r="AA125" s="989">
        <f t="shared" si="209"/>
        <v>0</v>
      </c>
      <c r="AB125" s="983">
        <v>0</v>
      </c>
      <c r="AC125" s="989">
        <f t="shared" si="154"/>
        <v>0</v>
      </c>
      <c r="AD125" s="989">
        <f t="shared" si="155"/>
        <v>0</v>
      </c>
      <c r="AE125" s="974">
        <f>(IFERROR(VLOOKUP($C125,List!$J:$L,2,0),0)*R125+IF(B125="piping",R125,0)+IF(C125="Welding Neck",1,0)*R125)*$AE$2</f>
        <v>0</v>
      </c>
      <c r="AF125" s="970">
        <f>IFERROR(VLOOKUP($C125,List!$J:$L,3,0),0)*R125*$AF$2</f>
        <v>0</v>
      </c>
      <c r="AG125" s="990">
        <f t="shared" si="210"/>
        <v>0</v>
      </c>
      <c r="AH125" s="1118" t="str">
        <f>IFERROR(VLOOKUP($D125,'Piping Class'!$88:$102,MATCH(AH$1,'Piping Class'!$88:$88,0),0),"")</f>
        <v/>
      </c>
      <c r="AI125" s="991" t="str">
        <f>IFERROR(VLOOKUP($D125,'Piping Class'!$88:$102,MATCH(AI$1,'Piping Class'!$88:$88,0),0),"")</f>
        <v/>
      </c>
      <c r="AJ125" s="991" t="str">
        <f>IFERROR(VLOOKUP($D125,'Piping Class'!$88:$102,MATCH(AJ$1,'Piping Class'!$88:$88,0),0),"")</f>
        <v/>
      </c>
      <c r="AK125" s="991" t="str">
        <f>IFERROR(VLOOKUP($D125,'Piping Class'!$88:$102,MATCH(AK$1,'Piping Class'!$88:$88,0),0),"")</f>
        <v/>
      </c>
      <c r="AL125" s="991">
        <f t="shared" si="182"/>
        <v>0</v>
      </c>
      <c r="AM125" s="1119" t="str">
        <f>IFERROR(VLOOKUP($D125,'Piping Class'!$88:$102,MATCH(AM$1,'Piping Class'!$88:$88,0),0),"")</f>
        <v/>
      </c>
      <c r="AN125" s="992">
        <f t="shared" si="157"/>
        <v>0</v>
      </c>
      <c r="AO125" s="993">
        <f>IFERROR(VLOOKUP(I125&amp;"B"&amp;F125,'Bolting Chart'!$1:$1048576,4,0),0)</f>
        <v>0</v>
      </c>
      <c r="AP125" s="993">
        <f t="shared" si="211"/>
        <v>0</v>
      </c>
      <c r="AQ125" s="993">
        <f t="shared" si="212"/>
        <v>0</v>
      </c>
      <c r="AR125" s="993">
        <f>IF(AO125=0,0,VLOOKUP(D125&amp;".bolting",'Piping Class'!$1:$1048576,MATCH(I125,'Piping Class'!$2:$2,0),0))</f>
        <v>0</v>
      </c>
      <c r="AS125" s="994">
        <f>IFERROR(VLOOKUP(I125&amp;"B"&amp;F125,'Bolting Chart'!$1:$1048576,IF(AS$2="UNC",5,6),0),0)</f>
        <v>0</v>
      </c>
      <c r="AT125" s="995">
        <f>IFERROR(VLOOKUP(I125&amp;"B"&amp;F125,'Bolting Chart'!$1:$1048576,IF(G125="RF",8,9),0),0)</f>
        <v>0</v>
      </c>
      <c r="AU125" s="993">
        <f>IF(AO125=0,0,VLOOKUP(D125&amp;".gasket",'Piping Class'!$1:$1048576,MATCH(I125,'Piping Class'!$2:$2,0),0))</f>
        <v>0</v>
      </c>
      <c r="AV125" s="996">
        <f>(IFERROR(INDEX('Bolting Chart'!$A$169:$R$251,MATCH(AT125,'Bolting Chart'!$A$170:$A$251,0),MATCH(IFERROR(VLOOKUP(I125&amp;"B"&amp;F125,'Bolting Chart'!$1:$1048576,7,0),0)+0,'Bolting Chart'!$A$169:$R$169,0)),0))/100</f>
        <v>0</v>
      </c>
      <c r="AW125" s="996">
        <f t="shared" si="213"/>
        <v>0</v>
      </c>
      <c r="AX125" s="1194">
        <f t="shared" si="214"/>
        <v>0</v>
      </c>
      <c r="AY125" s="981"/>
      <c r="AZ125" s="1543">
        <f t="shared" si="229"/>
        <v>0</v>
      </c>
      <c r="BA125" s="1543">
        <f t="shared" si="229"/>
        <v>0</v>
      </c>
      <c r="BB125" s="1543">
        <f t="shared" si="229"/>
        <v>0</v>
      </c>
      <c r="BC125" s="1543">
        <f t="shared" si="229"/>
        <v>0</v>
      </c>
      <c r="BD125" s="1543">
        <f t="shared" si="229"/>
        <v>0</v>
      </c>
      <c r="BE125" s="1543">
        <f t="shared" si="229"/>
        <v>0</v>
      </c>
      <c r="BF125" s="1543">
        <f t="shared" si="229"/>
        <v>0</v>
      </c>
      <c r="BG125" s="1543">
        <f t="shared" si="229"/>
        <v>0</v>
      </c>
      <c r="BH125" s="1543">
        <f t="shared" si="229"/>
        <v>0</v>
      </c>
      <c r="BI125" s="1543">
        <f t="shared" si="229"/>
        <v>0</v>
      </c>
      <c r="BJ125" s="1543">
        <f t="shared" si="229"/>
        <v>0</v>
      </c>
      <c r="BK125" s="1543">
        <f t="shared" si="229"/>
        <v>0</v>
      </c>
      <c r="BL125" s="1543">
        <f t="shared" si="229"/>
        <v>0</v>
      </c>
      <c r="BM125" s="1543">
        <f t="shared" si="229"/>
        <v>0</v>
      </c>
      <c r="BN125" s="1543">
        <f t="shared" si="229"/>
        <v>0</v>
      </c>
      <c r="BO125" s="1543">
        <f t="shared" si="229"/>
        <v>0</v>
      </c>
      <c r="BP125" s="1543">
        <f t="shared" si="222"/>
        <v>0</v>
      </c>
      <c r="BQ125" s="1543">
        <f t="shared" si="222"/>
        <v>0</v>
      </c>
      <c r="BR125" s="1543">
        <f t="shared" si="222"/>
        <v>0</v>
      </c>
      <c r="BS125" s="1543">
        <f t="shared" si="222"/>
        <v>0</v>
      </c>
      <c r="BT125" s="1543">
        <f t="shared" si="222"/>
        <v>0</v>
      </c>
      <c r="BU125" s="1543">
        <f t="shared" si="222"/>
        <v>0</v>
      </c>
      <c r="BV125" s="1543">
        <f t="shared" si="222"/>
        <v>0</v>
      </c>
      <c r="BW125" s="1543">
        <f t="shared" si="222"/>
        <v>0</v>
      </c>
      <c r="BX125" s="1543">
        <f t="shared" si="222"/>
        <v>0</v>
      </c>
      <c r="BY125" s="1543">
        <f t="shared" si="222"/>
        <v>0</v>
      </c>
      <c r="BZ125" s="1543">
        <f t="shared" si="222"/>
        <v>0</v>
      </c>
      <c r="CB125" s="1543">
        <f t="shared" si="230"/>
        <v>0</v>
      </c>
      <c r="CC125" s="1543">
        <f t="shared" si="230"/>
        <v>0</v>
      </c>
      <c r="CD125" s="1543">
        <f t="shared" si="230"/>
        <v>0</v>
      </c>
      <c r="CE125" s="1543">
        <f t="shared" si="230"/>
        <v>0</v>
      </c>
      <c r="CF125" s="1543">
        <f t="shared" si="230"/>
        <v>0</v>
      </c>
      <c r="CG125" s="1543">
        <f t="shared" si="230"/>
        <v>0</v>
      </c>
      <c r="CH125" s="1543">
        <f t="shared" si="230"/>
        <v>0</v>
      </c>
      <c r="CI125" s="1543">
        <f t="shared" si="230"/>
        <v>0</v>
      </c>
      <c r="CJ125" s="1543">
        <f t="shared" si="230"/>
        <v>0</v>
      </c>
      <c r="CK125" s="1543">
        <f t="shared" si="230"/>
        <v>0</v>
      </c>
      <c r="CL125" s="1543">
        <f t="shared" si="230"/>
        <v>0</v>
      </c>
      <c r="CM125" s="1543">
        <f t="shared" si="230"/>
        <v>0</v>
      </c>
      <c r="CN125" s="1543">
        <f t="shared" si="230"/>
        <v>0</v>
      </c>
      <c r="CO125" s="1543">
        <f t="shared" si="230"/>
        <v>0</v>
      </c>
      <c r="CP125" s="1543">
        <f t="shared" si="230"/>
        <v>0</v>
      </c>
      <c r="CQ125" s="1543">
        <f t="shared" si="230"/>
        <v>0</v>
      </c>
      <c r="CR125" s="1543">
        <f t="shared" si="223"/>
        <v>0</v>
      </c>
      <c r="CS125" s="1543">
        <f t="shared" si="223"/>
        <v>0</v>
      </c>
      <c r="CT125" s="1543">
        <f t="shared" si="205"/>
        <v>0</v>
      </c>
      <c r="CU125" s="1543">
        <f t="shared" si="205"/>
        <v>0</v>
      </c>
      <c r="CV125" s="1543">
        <f t="shared" si="205"/>
        <v>0</v>
      </c>
      <c r="CW125" s="1543">
        <f t="shared" si="205"/>
        <v>0</v>
      </c>
      <c r="CX125" s="1543">
        <f t="shared" si="205"/>
        <v>0</v>
      </c>
      <c r="CY125" s="1543">
        <f t="shared" si="205"/>
        <v>0</v>
      </c>
      <c r="CZ125" s="1543">
        <f t="shared" si="205"/>
        <v>0</v>
      </c>
      <c r="DA125" s="1543">
        <f t="shared" si="205"/>
        <v>0</v>
      </c>
      <c r="DB125" s="1543">
        <f t="shared" si="205"/>
        <v>0</v>
      </c>
      <c r="DD125" s="1543">
        <f t="shared" si="194"/>
        <v>0</v>
      </c>
      <c r="DE125" s="1543">
        <f t="shared" si="195"/>
        <v>0</v>
      </c>
      <c r="DF125" s="1543">
        <f t="shared" si="196"/>
        <v>0</v>
      </c>
      <c r="DG125" s="1543">
        <f t="shared" si="162"/>
        <v>0</v>
      </c>
      <c r="DI125" s="1543">
        <f t="shared" si="163"/>
        <v>0</v>
      </c>
      <c r="DJ125" s="1543">
        <f t="shared" si="224"/>
        <v>0</v>
      </c>
      <c r="DK125" s="1543">
        <f t="shared" si="224"/>
        <v>0</v>
      </c>
      <c r="DL125" s="1543">
        <f t="shared" si="224"/>
        <v>0</v>
      </c>
      <c r="DM125" s="1543">
        <f t="shared" si="224"/>
        <v>0</v>
      </c>
      <c r="DO125" s="1543">
        <f t="shared" si="231"/>
        <v>0</v>
      </c>
      <c r="DP125" s="1543">
        <f t="shared" si="231"/>
        <v>0</v>
      </c>
      <c r="DQ125" s="1543">
        <f t="shared" si="231"/>
        <v>0</v>
      </c>
      <c r="DR125" s="1543">
        <f t="shared" si="231"/>
        <v>0</v>
      </c>
      <c r="DS125" s="1543">
        <f t="shared" si="231"/>
        <v>0</v>
      </c>
      <c r="DT125" s="1543">
        <f t="shared" si="231"/>
        <v>0</v>
      </c>
      <c r="DU125" s="1543">
        <f t="shared" si="231"/>
        <v>0</v>
      </c>
      <c r="DV125" s="1543">
        <f t="shared" si="231"/>
        <v>0</v>
      </c>
      <c r="DW125" s="1543">
        <f t="shared" si="231"/>
        <v>0</v>
      </c>
      <c r="DX125" s="1543">
        <f t="shared" si="231"/>
        <v>0</v>
      </c>
      <c r="DY125" s="1543">
        <f t="shared" si="231"/>
        <v>0</v>
      </c>
      <c r="DZ125" s="1543">
        <f t="shared" si="231"/>
        <v>0</v>
      </c>
      <c r="EA125" s="1543">
        <f t="shared" si="231"/>
        <v>0</v>
      </c>
      <c r="EB125" s="1543">
        <f t="shared" si="225"/>
        <v>0</v>
      </c>
      <c r="EC125" s="1543">
        <f t="shared" si="225"/>
        <v>0</v>
      </c>
      <c r="ED125" s="1543">
        <f t="shared" si="225"/>
        <v>0</v>
      </c>
      <c r="EE125" s="1543">
        <f t="shared" si="225"/>
        <v>0</v>
      </c>
      <c r="EF125" s="1543">
        <f t="shared" si="225"/>
        <v>0</v>
      </c>
      <c r="EH125" s="1543">
        <f t="shared" si="215"/>
        <v>0</v>
      </c>
      <c r="EI125" s="1543">
        <f t="shared" si="216"/>
        <v>0</v>
      </c>
      <c r="EJ125" s="1543">
        <f t="shared" si="217"/>
        <v>0</v>
      </c>
      <c r="EK125" s="1543">
        <f t="shared" si="218"/>
        <v>0</v>
      </c>
      <c r="EL125" s="1543">
        <f t="shared" si="219"/>
        <v>0</v>
      </c>
      <c r="EM125" s="1543">
        <f t="shared" si="220"/>
        <v>0</v>
      </c>
      <c r="EN125" s="1543">
        <f t="shared" si="221"/>
        <v>0</v>
      </c>
      <c r="EP125" s="1543">
        <f t="shared" si="197"/>
        <v>0</v>
      </c>
      <c r="EQ125" s="1543">
        <f t="shared" si="197"/>
        <v>0</v>
      </c>
      <c r="ER125" s="1543">
        <f t="shared" si="197"/>
        <v>0</v>
      </c>
      <c r="ES125" s="1543">
        <f t="shared" si="192"/>
        <v>0</v>
      </c>
      <c r="ET125" s="1543">
        <f t="shared" si="228"/>
        <v>0</v>
      </c>
      <c r="EU125" s="1543">
        <f t="shared" si="228"/>
        <v>0</v>
      </c>
      <c r="EV125" s="1543">
        <f t="shared" si="228"/>
        <v>0</v>
      </c>
      <c r="EW125" s="1543">
        <f t="shared" si="228"/>
        <v>0</v>
      </c>
      <c r="EX125" s="1543">
        <f t="shared" si="228"/>
        <v>0</v>
      </c>
      <c r="EY125" s="1543">
        <f t="shared" si="228"/>
        <v>0</v>
      </c>
      <c r="EZ125" s="1543">
        <f t="shared" si="228"/>
        <v>0</v>
      </c>
      <c r="FA125" s="1543">
        <f t="shared" si="228"/>
        <v>0</v>
      </c>
      <c r="FB125" s="1543">
        <f t="shared" si="228"/>
        <v>0</v>
      </c>
      <c r="FC125" s="1543">
        <f t="shared" si="228"/>
        <v>0</v>
      </c>
      <c r="FD125" s="1543">
        <f t="shared" si="228"/>
        <v>0</v>
      </c>
      <c r="FE125" s="1543">
        <f t="shared" si="184"/>
        <v>0</v>
      </c>
      <c r="FF125" s="1543">
        <f t="shared" si="172"/>
        <v>1</v>
      </c>
      <c r="FH125" s="1543">
        <f t="shared" si="226"/>
        <v>0</v>
      </c>
      <c r="FI125" s="1543">
        <f t="shared" si="226"/>
        <v>0</v>
      </c>
      <c r="FJ125" s="1543">
        <f t="shared" si="226"/>
        <v>0</v>
      </c>
      <c r="FK125" s="1543">
        <f t="shared" si="226"/>
        <v>0</v>
      </c>
      <c r="FL125" s="1543">
        <f t="shared" si="226"/>
        <v>0</v>
      </c>
      <c r="FM125" s="1543">
        <f t="shared" si="226"/>
        <v>0</v>
      </c>
      <c r="FN125" s="1543">
        <f t="shared" si="226"/>
        <v>0</v>
      </c>
      <c r="FO125" s="1543">
        <f t="shared" si="226"/>
        <v>0</v>
      </c>
      <c r="FP125" s="1543">
        <f t="shared" si="226"/>
        <v>0</v>
      </c>
      <c r="FQ125" s="1543">
        <f t="shared" si="226"/>
        <v>0</v>
      </c>
      <c r="FR125" s="1543">
        <f t="shared" si="226"/>
        <v>0</v>
      </c>
      <c r="FS125" s="1543">
        <f t="shared" si="226"/>
        <v>0</v>
      </c>
      <c r="FT125" s="1543">
        <f t="shared" si="174"/>
        <v>0</v>
      </c>
      <c r="FV125" s="1543">
        <f t="shared" si="227"/>
        <v>1</v>
      </c>
      <c r="FW125" s="1543">
        <f t="shared" si="227"/>
        <v>0</v>
      </c>
      <c r="FX125" s="1543">
        <f t="shared" si="227"/>
        <v>0</v>
      </c>
      <c r="FY125" s="1543">
        <f t="shared" si="227"/>
        <v>0</v>
      </c>
      <c r="FZ125" s="1543">
        <f t="shared" si="227"/>
        <v>0</v>
      </c>
      <c r="GA125" s="1543">
        <f t="shared" si="227"/>
        <v>0</v>
      </c>
      <c r="GB125" s="1543">
        <f t="shared" si="227"/>
        <v>0</v>
      </c>
      <c r="GC125" s="1543">
        <f t="shared" si="227"/>
        <v>0</v>
      </c>
      <c r="GD125" s="1543">
        <f t="shared" si="227"/>
        <v>0</v>
      </c>
    </row>
    <row r="126" spans="1:186" s="982" customFormat="1" ht="15.6" x14ac:dyDescent="0.3">
      <c r="A126" s="974">
        <v>124</v>
      </c>
      <c r="B126" s="983"/>
      <c r="C126" s="984"/>
      <c r="D126" s="983"/>
      <c r="E126" s="968" t="str">
        <f>IFERROR(VLOOKUP($D126&amp;"."&amp;B126,'Piping Class'!$1:$1048576,MATCH($I126,'Piping Class'!$2:$2,0),0),"")</f>
        <v/>
      </c>
      <c r="F126" s="985" t="str">
        <f>IFERROR(IF(B126="Flange",VLOOKUP($D126,'Piping Class'!$88:$102,MATCH(F$1,'Piping Class'!$88:$88,0),0),""),"")</f>
        <v/>
      </c>
      <c r="G126" s="968" t="str">
        <f>IFERROR(IF(B126="Flange",VLOOKUP($D126,'Piping Class'!$88:$102,MATCH(G$1,'Piping Class'!$88:$88,0),0),""),"")</f>
        <v/>
      </c>
      <c r="H126" s="968" t="str">
        <f>IFERROR(VLOOKUP($D126,'Piping Class'!$88:$102,MATCH(H$1,'Piping Class'!$88:$88,0),0),"")</f>
        <v/>
      </c>
      <c r="I126" s="986"/>
      <c r="J126" s="987"/>
      <c r="K126" s="968" t="str">
        <f>IFERROR(VLOOKUP(I126,'Thickness Tab'!$1:$1048576,MATCH(L126,'Thickness Tab'!$1:$1,0),0),"")</f>
        <v/>
      </c>
      <c r="L126" s="969" t="str">
        <f>IFERROR(VLOOKUP($D126,'Piping Class'!$1:$1048576,MATCH($I126,'Piping Class'!$2:$2,0),0),"")</f>
        <v/>
      </c>
      <c r="M126" s="968" t="str">
        <f>IFERROR(VLOOKUP(J126,'Thickness Tab'!$1:$1048576,MATCH(N126,'Thickness Tab'!$1:$1,0),0),"")</f>
        <v/>
      </c>
      <c r="N126" s="969" t="str">
        <f>IFERROR(VLOOKUP($D126,'Piping Class'!$1:$1048576,MATCH($J126,'Piping Class'!$2:$2,0),0),"")</f>
        <v/>
      </c>
      <c r="O126" s="968" t="str">
        <f>IFERROR(VLOOKUP($D126,'Piping Class'!$88:$102,MATCH(O$1,'Piping Class'!$88:$88,0),0),"")</f>
        <v/>
      </c>
      <c r="P126" s="968" t="str">
        <f>IFERROR(VLOOKUP($D126,'Piping Class'!$88:$102,MATCH(P$1,'Piping Class'!$88:$88,0),0),"")</f>
        <v/>
      </c>
      <c r="Q126" s="983"/>
      <c r="R126" s="988"/>
      <c r="S126" s="969" t="str">
        <f t="shared" ref="S126:S139" si="232">IF(B126="","",IF(B126="piping","m","cad"))</f>
        <v/>
      </c>
      <c r="T126" s="968">
        <f>IFERROR(VLOOKUP(I126&amp;"."&amp;L126,'Fitting Chart'!$1:$1048576,MATCH(C126,'Fitting Chart'!$1:$1,0),0),0)+IF(B126="piping",PI()*K126*(VLOOKUP(I126,'Thickness Tab'!$1:$1048576,3,0)-K126)*7.86/1000,0)+IF(B126="Flange",VLOOKUP(I126&amp;"F"&amp;F126,'Flanges Chart'!$1:$1048576,MATCH(C126&amp;"."&amp;T$1,'Flanges Chart'!$1:$1,0),0),0)</f>
        <v>0</v>
      </c>
      <c r="U126" s="989">
        <f t="shared" ref="U126:U139" si="233">T126*R126</f>
        <v>0</v>
      </c>
      <c r="V126" s="1003"/>
      <c r="W126" s="1001">
        <f t="shared" ref="W126:W139" si="234">V126*U126</f>
        <v>0</v>
      </c>
      <c r="X126" s="997"/>
      <c r="Y126" s="983"/>
      <c r="Z126" s="989">
        <f>IF(B126="Piping",VLOOKUP(I126,'Thickness Tab'!$1:$1048576,3,0)/1000*PI(),0)+IFERROR(VLOOKUP(I126&amp;"F"&amp;F126,'Flanges Chart'!$1:$1048576,MATCH(C126&amp;".Unit Surface",'Flanges Chart'!$1:$1,0),0),0)+IF(B126="Fitting",VLOOKUP(I126,'Thickness Tab'!$1:$1048576,3,0)/1000*PI(),0)</f>
        <v>0</v>
      </c>
      <c r="AA126" s="989">
        <f t="shared" ref="AA126:AA139" si="235">Z126*R126</f>
        <v>0</v>
      </c>
      <c r="AB126" s="983">
        <v>0</v>
      </c>
      <c r="AC126" s="989">
        <f t="shared" si="154"/>
        <v>0</v>
      </c>
      <c r="AD126" s="989">
        <f t="shared" si="155"/>
        <v>0</v>
      </c>
      <c r="AE126" s="974">
        <f>(IFERROR(VLOOKUP($C126,List!$J:$L,2,0),0)*R126+IF(B126="piping",R126,0)+IF(C126="Welding Neck",1,0)*R126)*$AE$2</f>
        <v>0</v>
      </c>
      <c r="AF126" s="970">
        <f>IFERROR(VLOOKUP($C126,List!$J:$L,3,0),0)*R126*$AF$2</f>
        <v>0</v>
      </c>
      <c r="AG126" s="990">
        <f t="shared" ref="AG126:AG139" si="236">AE126*I126+J126*AF126</f>
        <v>0</v>
      </c>
      <c r="AH126" s="1118" t="str">
        <f>IFERROR(VLOOKUP($D126,'Piping Class'!$88:$102,MATCH(AH$1,'Piping Class'!$88:$88,0),0),"")</f>
        <v/>
      </c>
      <c r="AI126" s="991" t="str">
        <f>IFERROR(VLOOKUP($D126,'Piping Class'!$88:$102,MATCH(AI$1,'Piping Class'!$88:$88,0),0),"")</f>
        <v/>
      </c>
      <c r="AJ126" s="991" t="str">
        <f>IFERROR(VLOOKUP($D126,'Piping Class'!$88:$102,MATCH(AJ$1,'Piping Class'!$88:$88,0),0),"")</f>
        <v/>
      </c>
      <c r="AK126" s="991" t="str">
        <f>IFERROR(VLOOKUP($D126,'Piping Class'!$88:$102,MATCH(AK$1,'Piping Class'!$88:$88,0),0),"")</f>
        <v/>
      </c>
      <c r="AL126" s="991">
        <f t="shared" si="182"/>
        <v>0</v>
      </c>
      <c r="AM126" s="1119" t="str">
        <f>IFERROR(VLOOKUP($D126,'Piping Class'!$88:$102,MATCH(AM$1,'Piping Class'!$88:$88,0),0),"")</f>
        <v/>
      </c>
      <c r="AN126" s="992">
        <f t="shared" si="157"/>
        <v>0</v>
      </c>
      <c r="AO126" s="993">
        <f>IFERROR(VLOOKUP(I126&amp;"B"&amp;F126,'Bolting Chart'!$1:$1048576,4,0),0)</f>
        <v>0</v>
      </c>
      <c r="AP126" s="993">
        <f t="shared" ref="AP126:AP139" si="237">IFERROR(AO126*R126,0)</f>
        <v>0</v>
      </c>
      <c r="AQ126" s="993">
        <f t="shared" ref="AQ126:AQ139" si="238">IF(AO126=0,0,R126)</f>
        <v>0</v>
      </c>
      <c r="AR126" s="993">
        <f>IF(AO126=0,0,VLOOKUP(D126&amp;".bolting",'Piping Class'!$1:$1048576,MATCH(I126,'Piping Class'!$2:$2,0),0))</f>
        <v>0</v>
      </c>
      <c r="AS126" s="994">
        <f>IFERROR(VLOOKUP(I126&amp;"B"&amp;F126,'Bolting Chart'!$1:$1048576,IF(AS$2="UNC",5,6),0),0)</f>
        <v>0</v>
      </c>
      <c r="AT126" s="995">
        <f>IFERROR(VLOOKUP(I126&amp;"B"&amp;F126,'Bolting Chart'!$1:$1048576,IF(G126="RF",8,9),0),0)</f>
        <v>0</v>
      </c>
      <c r="AU126" s="993">
        <f>IF(AO126=0,0,VLOOKUP(D126&amp;".gasket",'Piping Class'!$1:$1048576,MATCH(I126,'Piping Class'!$2:$2,0),0))</f>
        <v>0</v>
      </c>
      <c r="AV126" s="996">
        <f>(IFERROR(INDEX('Bolting Chart'!$A$169:$R$251,MATCH(AT126,'Bolting Chart'!$A$170:$A$251,0),MATCH(IFERROR(VLOOKUP(I126&amp;"B"&amp;F126,'Bolting Chart'!$1:$1048576,7,0),0)+0,'Bolting Chart'!$A$169:$R$169,0)),0))/100</f>
        <v>0</v>
      </c>
      <c r="AW126" s="996">
        <f t="shared" ref="AW126:AW139" si="239">AV126*AO126</f>
        <v>0</v>
      </c>
      <c r="AX126" s="1194">
        <f t="shared" ref="AX126:AX139" si="240">AV126*AP126</f>
        <v>0</v>
      </c>
      <c r="AY126" s="981"/>
      <c r="AZ126" s="1543">
        <f t="shared" si="229"/>
        <v>0</v>
      </c>
      <c r="BA126" s="1543">
        <f t="shared" si="229"/>
        <v>0</v>
      </c>
      <c r="BB126" s="1543">
        <f t="shared" si="229"/>
        <v>0</v>
      </c>
      <c r="BC126" s="1543">
        <f t="shared" si="229"/>
        <v>0</v>
      </c>
      <c r="BD126" s="1543">
        <f t="shared" si="229"/>
        <v>0</v>
      </c>
      <c r="BE126" s="1543">
        <f t="shared" si="229"/>
        <v>0</v>
      </c>
      <c r="BF126" s="1543">
        <f t="shared" si="229"/>
        <v>0</v>
      </c>
      <c r="BG126" s="1543">
        <f t="shared" si="229"/>
        <v>0</v>
      </c>
      <c r="BH126" s="1543">
        <f t="shared" si="229"/>
        <v>0</v>
      </c>
      <c r="BI126" s="1543">
        <f t="shared" si="229"/>
        <v>0</v>
      </c>
      <c r="BJ126" s="1543">
        <f t="shared" si="229"/>
        <v>0</v>
      </c>
      <c r="BK126" s="1543">
        <f t="shared" si="229"/>
        <v>0</v>
      </c>
      <c r="BL126" s="1543">
        <f t="shared" si="229"/>
        <v>0</v>
      </c>
      <c r="BM126" s="1543">
        <f t="shared" si="229"/>
        <v>0</v>
      </c>
      <c r="BN126" s="1543">
        <f t="shared" si="229"/>
        <v>0</v>
      </c>
      <c r="BO126" s="1543">
        <f t="shared" si="229"/>
        <v>0</v>
      </c>
      <c r="BP126" s="1543">
        <f t="shared" si="222"/>
        <v>0</v>
      </c>
      <c r="BQ126" s="1543">
        <f t="shared" si="222"/>
        <v>0</v>
      </c>
      <c r="BR126" s="1543">
        <f t="shared" si="222"/>
        <v>0</v>
      </c>
      <c r="BS126" s="1543">
        <f t="shared" si="222"/>
        <v>0</v>
      </c>
      <c r="BT126" s="1543">
        <f t="shared" si="222"/>
        <v>0</v>
      </c>
      <c r="BU126" s="1543">
        <f t="shared" si="222"/>
        <v>0</v>
      </c>
      <c r="BV126" s="1543">
        <f t="shared" si="222"/>
        <v>0</v>
      </c>
      <c r="BW126" s="1543">
        <f t="shared" si="222"/>
        <v>0</v>
      </c>
      <c r="BX126" s="1543">
        <f t="shared" si="222"/>
        <v>0</v>
      </c>
      <c r="BY126" s="1543">
        <f t="shared" si="222"/>
        <v>0</v>
      </c>
      <c r="BZ126" s="1543">
        <f t="shared" si="222"/>
        <v>0</v>
      </c>
      <c r="CB126" s="1543">
        <f t="shared" si="230"/>
        <v>0</v>
      </c>
      <c r="CC126" s="1543">
        <f t="shared" si="230"/>
        <v>0</v>
      </c>
      <c r="CD126" s="1543">
        <f t="shared" si="230"/>
        <v>0</v>
      </c>
      <c r="CE126" s="1543">
        <f t="shared" si="230"/>
        <v>0</v>
      </c>
      <c r="CF126" s="1543">
        <f t="shared" si="230"/>
        <v>0</v>
      </c>
      <c r="CG126" s="1543">
        <f t="shared" si="230"/>
        <v>0</v>
      </c>
      <c r="CH126" s="1543">
        <f t="shared" si="230"/>
        <v>0</v>
      </c>
      <c r="CI126" s="1543">
        <f t="shared" si="230"/>
        <v>0</v>
      </c>
      <c r="CJ126" s="1543">
        <f t="shared" si="230"/>
        <v>0</v>
      </c>
      <c r="CK126" s="1543">
        <f t="shared" si="230"/>
        <v>0</v>
      </c>
      <c r="CL126" s="1543">
        <f t="shared" si="230"/>
        <v>0</v>
      </c>
      <c r="CM126" s="1543">
        <f t="shared" si="230"/>
        <v>0</v>
      </c>
      <c r="CN126" s="1543">
        <f t="shared" si="230"/>
        <v>0</v>
      </c>
      <c r="CO126" s="1543">
        <f t="shared" si="230"/>
        <v>0</v>
      </c>
      <c r="CP126" s="1543">
        <f t="shared" si="230"/>
        <v>0</v>
      </c>
      <c r="CQ126" s="1543">
        <f t="shared" si="230"/>
        <v>0</v>
      </c>
      <c r="CR126" s="1543">
        <f t="shared" si="223"/>
        <v>0</v>
      </c>
      <c r="CS126" s="1543">
        <f t="shared" si="223"/>
        <v>0</v>
      </c>
      <c r="CT126" s="1543">
        <f t="shared" si="205"/>
        <v>0</v>
      </c>
      <c r="CU126" s="1543">
        <f t="shared" si="205"/>
        <v>0</v>
      </c>
      <c r="CV126" s="1543">
        <f t="shared" si="205"/>
        <v>0</v>
      </c>
      <c r="CW126" s="1543">
        <f t="shared" si="205"/>
        <v>0</v>
      </c>
      <c r="CX126" s="1543">
        <f t="shared" si="205"/>
        <v>0</v>
      </c>
      <c r="CY126" s="1543">
        <f t="shared" si="205"/>
        <v>0</v>
      </c>
      <c r="CZ126" s="1543">
        <f t="shared" si="205"/>
        <v>0</v>
      </c>
      <c r="DA126" s="1543">
        <f t="shared" si="205"/>
        <v>0</v>
      </c>
      <c r="DB126" s="1543">
        <f t="shared" si="205"/>
        <v>0</v>
      </c>
      <c r="DD126" s="1543">
        <f t="shared" si="194"/>
        <v>0</v>
      </c>
      <c r="DE126" s="1543">
        <f t="shared" si="195"/>
        <v>0</v>
      </c>
      <c r="DF126" s="1543">
        <f t="shared" si="196"/>
        <v>0</v>
      </c>
      <c r="DG126" s="1543">
        <f t="shared" si="162"/>
        <v>0</v>
      </c>
      <c r="DI126" s="1543">
        <f t="shared" si="163"/>
        <v>0</v>
      </c>
      <c r="DJ126" s="1543">
        <f t="shared" si="224"/>
        <v>0</v>
      </c>
      <c r="DK126" s="1543">
        <f t="shared" si="224"/>
        <v>0</v>
      </c>
      <c r="DL126" s="1543">
        <f t="shared" si="224"/>
        <v>0</v>
      </c>
      <c r="DM126" s="1543">
        <f t="shared" si="224"/>
        <v>0</v>
      </c>
      <c r="DO126" s="1543">
        <f t="shared" si="231"/>
        <v>0</v>
      </c>
      <c r="DP126" s="1543">
        <f t="shared" si="231"/>
        <v>0</v>
      </c>
      <c r="DQ126" s="1543">
        <f t="shared" si="231"/>
        <v>0</v>
      </c>
      <c r="DR126" s="1543">
        <f t="shared" si="231"/>
        <v>0</v>
      </c>
      <c r="DS126" s="1543">
        <f t="shared" si="231"/>
        <v>0</v>
      </c>
      <c r="DT126" s="1543">
        <f t="shared" si="231"/>
        <v>0</v>
      </c>
      <c r="DU126" s="1543">
        <f t="shared" si="231"/>
        <v>0</v>
      </c>
      <c r="DV126" s="1543">
        <f t="shared" si="231"/>
        <v>0</v>
      </c>
      <c r="DW126" s="1543">
        <f t="shared" si="231"/>
        <v>0</v>
      </c>
      <c r="DX126" s="1543">
        <f t="shared" si="231"/>
        <v>0</v>
      </c>
      <c r="DY126" s="1543">
        <f t="shared" si="231"/>
        <v>0</v>
      </c>
      <c r="DZ126" s="1543">
        <f t="shared" si="231"/>
        <v>0</v>
      </c>
      <c r="EA126" s="1543">
        <f t="shared" si="231"/>
        <v>0</v>
      </c>
      <c r="EB126" s="1543">
        <f t="shared" si="225"/>
        <v>0</v>
      </c>
      <c r="EC126" s="1543">
        <f t="shared" si="225"/>
        <v>0</v>
      </c>
      <c r="ED126" s="1543">
        <f t="shared" si="225"/>
        <v>0</v>
      </c>
      <c r="EE126" s="1543">
        <f t="shared" si="225"/>
        <v>0</v>
      </c>
      <c r="EF126" s="1543">
        <f t="shared" si="225"/>
        <v>0</v>
      </c>
      <c r="EH126" s="1543">
        <f t="shared" ref="EH126:EH139" si="241">SUM(DO126:DS126,EB126:EE126)</f>
        <v>0</v>
      </c>
      <c r="EI126" s="1543">
        <f t="shared" ref="EI126:EI139" si="242">DT126</f>
        <v>0</v>
      </c>
      <c r="EJ126" s="1543">
        <f t="shared" ref="EJ126:EJ139" si="243">SUM(DU126:DV126,EF126)</f>
        <v>0</v>
      </c>
      <c r="EK126" s="1543">
        <f t="shared" ref="EK126:EK139" si="244">DW126</f>
        <v>0</v>
      </c>
      <c r="EL126" s="1543">
        <f t="shared" ref="EL126:EL139" si="245">DX126</f>
        <v>0</v>
      </c>
      <c r="EM126" s="1543">
        <f t="shared" ref="EM126:EM139" si="246">DY126</f>
        <v>0</v>
      </c>
      <c r="EN126" s="1543">
        <f t="shared" ref="EN126:EN139" si="247">SUM(DZ126:EA126)</f>
        <v>0</v>
      </c>
      <c r="EP126" s="1543">
        <f t="shared" si="197"/>
        <v>0</v>
      </c>
      <c r="EQ126" s="1543">
        <f t="shared" si="197"/>
        <v>0</v>
      </c>
      <c r="ER126" s="1543">
        <f t="shared" si="197"/>
        <v>0</v>
      </c>
      <c r="ES126" s="1543">
        <f t="shared" si="192"/>
        <v>0</v>
      </c>
      <c r="ET126" s="1543">
        <f t="shared" si="228"/>
        <v>0</v>
      </c>
      <c r="EU126" s="1543">
        <f t="shared" si="228"/>
        <v>0</v>
      </c>
      <c r="EV126" s="1543">
        <f t="shared" si="228"/>
        <v>0</v>
      </c>
      <c r="EW126" s="1543">
        <f t="shared" si="228"/>
        <v>0</v>
      </c>
      <c r="EX126" s="1543">
        <f t="shared" si="228"/>
        <v>0</v>
      </c>
      <c r="EY126" s="1543">
        <f t="shared" si="228"/>
        <v>0</v>
      </c>
      <c r="EZ126" s="1543">
        <f t="shared" si="228"/>
        <v>0</v>
      </c>
      <c r="FA126" s="1543">
        <f t="shared" si="228"/>
        <v>0</v>
      </c>
      <c r="FB126" s="1543">
        <f t="shared" si="228"/>
        <v>0</v>
      </c>
      <c r="FC126" s="1543">
        <f t="shared" si="228"/>
        <v>0</v>
      </c>
      <c r="FD126" s="1543">
        <f t="shared" si="228"/>
        <v>0</v>
      </c>
      <c r="FE126" s="1543">
        <f t="shared" si="184"/>
        <v>0</v>
      </c>
      <c r="FF126" s="1543">
        <f t="shared" si="172"/>
        <v>1</v>
      </c>
      <c r="FH126" s="1543">
        <f t="shared" si="226"/>
        <v>0</v>
      </c>
      <c r="FI126" s="1543">
        <f t="shared" si="226"/>
        <v>0</v>
      </c>
      <c r="FJ126" s="1543">
        <f t="shared" si="226"/>
        <v>0</v>
      </c>
      <c r="FK126" s="1543">
        <f t="shared" si="226"/>
        <v>0</v>
      </c>
      <c r="FL126" s="1543">
        <f t="shared" si="226"/>
        <v>0</v>
      </c>
      <c r="FM126" s="1543">
        <f t="shared" si="226"/>
        <v>0</v>
      </c>
      <c r="FN126" s="1543">
        <f t="shared" si="226"/>
        <v>0</v>
      </c>
      <c r="FO126" s="1543">
        <f t="shared" si="226"/>
        <v>0</v>
      </c>
      <c r="FP126" s="1543">
        <f t="shared" si="226"/>
        <v>0</v>
      </c>
      <c r="FQ126" s="1543">
        <f t="shared" si="226"/>
        <v>0</v>
      </c>
      <c r="FR126" s="1543">
        <f t="shared" si="226"/>
        <v>0</v>
      </c>
      <c r="FS126" s="1543">
        <f t="shared" si="226"/>
        <v>0</v>
      </c>
      <c r="FT126" s="1543">
        <f t="shared" si="174"/>
        <v>0</v>
      </c>
      <c r="FV126" s="1543">
        <f t="shared" si="227"/>
        <v>1</v>
      </c>
      <c r="FW126" s="1543">
        <f t="shared" si="227"/>
        <v>0</v>
      </c>
      <c r="FX126" s="1543">
        <f t="shared" si="227"/>
        <v>0</v>
      </c>
      <c r="FY126" s="1543">
        <f t="shared" si="227"/>
        <v>0</v>
      </c>
      <c r="FZ126" s="1543">
        <f t="shared" si="227"/>
        <v>0</v>
      </c>
      <c r="GA126" s="1543">
        <f t="shared" si="227"/>
        <v>0</v>
      </c>
      <c r="GB126" s="1543">
        <f t="shared" si="227"/>
        <v>0</v>
      </c>
      <c r="GC126" s="1543">
        <f t="shared" si="227"/>
        <v>0</v>
      </c>
      <c r="GD126" s="1543">
        <f t="shared" si="227"/>
        <v>0</v>
      </c>
    </row>
    <row r="127" spans="1:186" s="982" customFormat="1" ht="15.6" x14ac:dyDescent="0.3">
      <c r="A127" s="974">
        <v>125</v>
      </c>
      <c r="B127" s="983"/>
      <c r="C127" s="984"/>
      <c r="D127" s="983"/>
      <c r="E127" s="968" t="str">
        <f>IFERROR(VLOOKUP($D127&amp;"."&amp;B127,'Piping Class'!$1:$1048576,MATCH($I127,'Piping Class'!$2:$2,0),0),"")</f>
        <v/>
      </c>
      <c r="F127" s="985" t="str">
        <f>IFERROR(IF(B127="Flange",VLOOKUP($D127,'Piping Class'!$88:$102,MATCH(F$1,'Piping Class'!$88:$88,0),0),""),"")</f>
        <v/>
      </c>
      <c r="G127" s="968" t="str">
        <f>IFERROR(IF(B127="Flange",VLOOKUP($D127,'Piping Class'!$88:$102,MATCH(G$1,'Piping Class'!$88:$88,0),0),""),"")</f>
        <v/>
      </c>
      <c r="H127" s="968" t="str">
        <f>IFERROR(VLOOKUP($D127,'Piping Class'!$88:$102,MATCH(H$1,'Piping Class'!$88:$88,0),0),"")</f>
        <v/>
      </c>
      <c r="I127" s="986"/>
      <c r="J127" s="987"/>
      <c r="K127" s="968" t="str">
        <f>IFERROR(VLOOKUP(I127,'Thickness Tab'!$1:$1048576,MATCH(L127,'Thickness Tab'!$1:$1,0),0),"")</f>
        <v/>
      </c>
      <c r="L127" s="969" t="str">
        <f>IFERROR(VLOOKUP($D127,'Piping Class'!$1:$1048576,MATCH($I127,'Piping Class'!$2:$2,0),0),"")</f>
        <v/>
      </c>
      <c r="M127" s="968" t="str">
        <f>IFERROR(VLOOKUP(J127,'Thickness Tab'!$1:$1048576,MATCH(N127,'Thickness Tab'!$1:$1,0),0),"")</f>
        <v/>
      </c>
      <c r="N127" s="969" t="str">
        <f>IFERROR(VLOOKUP($D127,'Piping Class'!$1:$1048576,MATCH($J127,'Piping Class'!$2:$2,0),0),"")</f>
        <v/>
      </c>
      <c r="O127" s="968" t="str">
        <f>IFERROR(VLOOKUP($D127,'Piping Class'!$88:$102,MATCH(O$1,'Piping Class'!$88:$88,0),0),"")</f>
        <v/>
      </c>
      <c r="P127" s="968" t="str">
        <f>IFERROR(VLOOKUP($D127,'Piping Class'!$88:$102,MATCH(P$1,'Piping Class'!$88:$88,0),0),"")</f>
        <v/>
      </c>
      <c r="Q127" s="983"/>
      <c r="R127" s="988"/>
      <c r="S127" s="969" t="str">
        <f t="shared" si="232"/>
        <v/>
      </c>
      <c r="T127" s="968">
        <f>IFERROR(VLOOKUP(I127&amp;"."&amp;L127,'Fitting Chart'!$1:$1048576,MATCH(C127,'Fitting Chart'!$1:$1,0),0),0)+IF(B127="piping",PI()*K127*(VLOOKUP(I127,'Thickness Tab'!$1:$1048576,3,0)-K127)*7.86/1000,0)+IF(B127="Flange",VLOOKUP(I127&amp;"F"&amp;F127,'Flanges Chart'!$1:$1048576,MATCH(C127&amp;"."&amp;T$1,'Flanges Chart'!$1:$1,0),0),0)</f>
        <v>0</v>
      </c>
      <c r="U127" s="989">
        <f t="shared" si="233"/>
        <v>0</v>
      </c>
      <c r="V127" s="1003"/>
      <c r="W127" s="1001">
        <f t="shared" si="234"/>
        <v>0</v>
      </c>
      <c r="X127" s="997"/>
      <c r="Y127" s="983"/>
      <c r="Z127" s="989">
        <f>IF(B127="Piping",VLOOKUP(I127,'Thickness Tab'!$1:$1048576,3,0)/1000*PI(),0)+IFERROR(VLOOKUP(I127&amp;"F"&amp;F127,'Flanges Chart'!$1:$1048576,MATCH(C127&amp;".Unit Surface",'Flanges Chart'!$1:$1,0),0),0)+IF(B127="Fitting",VLOOKUP(I127,'Thickness Tab'!$1:$1048576,3,0)/1000*PI(),0)</f>
        <v>0</v>
      </c>
      <c r="AA127" s="989">
        <f t="shared" si="235"/>
        <v>0</v>
      </c>
      <c r="AB127" s="983">
        <v>0</v>
      </c>
      <c r="AC127" s="989">
        <f t="shared" si="154"/>
        <v>0</v>
      </c>
      <c r="AD127" s="989">
        <f t="shared" si="155"/>
        <v>0</v>
      </c>
      <c r="AE127" s="974">
        <f>(IFERROR(VLOOKUP($C127,List!$J:$L,2,0),0)*R127+IF(B127="piping",R127,0)+IF(C127="Welding Neck",1,0)*R127)*$AE$2</f>
        <v>0</v>
      </c>
      <c r="AF127" s="970">
        <f>IFERROR(VLOOKUP($C127,List!$J:$L,3,0),0)*R127*$AF$2</f>
        <v>0</v>
      </c>
      <c r="AG127" s="990">
        <f t="shared" si="236"/>
        <v>0</v>
      </c>
      <c r="AH127" s="1118" t="str">
        <f>IFERROR(VLOOKUP($D127,'Piping Class'!$88:$102,MATCH(AH$1,'Piping Class'!$88:$88,0),0),"")</f>
        <v/>
      </c>
      <c r="AI127" s="991" t="str">
        <f>IFERROR(VLOOKUP($D127,'Piping Class'!$88:$102,MATCH(AI$1,'Piping Class'!$88:$88,0),0),"")</f>
        <v/>
      </c>
      <c r="AJ127" s="991" t="str">
        <f>IFERROR(VLOOKUP($D127,'Piping Class'!$88:$102,MATCH(AJ$1,'Piping Class'!$88:$88,0),0),"")</f>
        <v/>
      </c>
      <c r="AK127" s="991" t="str">
        <f>IFERROR(VLOOKUP($D127,'Piping Class'!$88:$102,MATCH(AK$1,'Piping Class'!$88:$88,0),0),"")</f>
        <v/>
      </c>
      <c r="AL127" s="991">
        <f t="shared" si="182"/>
        <v>0</v>
      </c>
      <c r="AM127" s="1119" t="str">
        <f>IFERROR(VLOOKUP($D127,'Piping Class'!$88:$102,MATCH(AM$1,'Piping Class'!$88:$88,0),0),"")</f>
        <v/>
      </c>
      <c r="AN127" s="992">
        <f t="shared" si="157"/>
        <v>0</v>
      </c>
      <c r="AO127" s="993">
        <f>IFERROR(VLOOKUP(I127&amp;"B"&amp;F127,'Bolting Chart'!$1:$1048576,4,0),0)</f>
        <v>0</v>
      </c>
      <c r="AP127" s="993">
        <f t="shared" si="237"/>
        <v>0</v>
      </c>
      <c r="AQ127" s="993">
        <f t="shared" si="238"/>
        <v>0</v>
      </c>
      <c r="AR127" s="993">
        <f>IF(AO127=0,0,VLOOKUP(D127&amp;".bolting",'Piping Class'!$1:$1048576,MATCH(I127,'Piping Class'!$2:$2,0),0))</f>
        <v>0</v>
      </c>
      <c r="AS127" s="994">
        <f>IFERROR(VLOOKUP(I127&amp;"B"&amp;F127,'Bolting Chart'!$1:$1048576,IF(AS$2="UNC",5,6),0),0)</f>
        <v>0</v>
      </c>
      <c r="AT127" s="995">
        <f>IFERROR(VLOOKUP(I127&amp;"B"&amp;F127,'Bolting Chart'!$1:$1048576,IF(G127="RF",8,9),0),0)</f>
        <v>0</v>
      </c>
      <c r="AU127" s="993">
        <f>IF(AO127=0,0,VLOOKUP(D127&amp;".gasket",'Piping Class'!$1:$1048576,MATCH(I127,'Piping Class'!$2:$2,0),0))</f>
        <v>0</v>
      </c>
      <c r="AV127" s="996">
        <f>(IFERROR(INDEX('Bolting Chart'!$A$169:$R$251,MATCH(AT127,'Bolting Chart'!$A$170:$A$251,0),MATCH(IFERROR(VLOOKUP(I127&amp;"B"&amp;F127,'Bolting Chart'!$1:$1048576,7,0),0)+0,'Bolting Chart'!$A$169:$R$169,0)),0))/100</f>
        <v>0</v>
      </c>
      <c r="AW127" s="996">
        <f t="shared" si="239"/>
        <v>0</v>
      </c>
      <c r="AX127" s="1194">
        <f t="shared" si="240"/>
        <v>0</v>
      </c>
      <c r="AY127" s="981"/>
      <c r="AZ127" s="1543">
        <f t="shared" si="229"/>
        <v>0</v>
      </c>
      <c r="BA127" s="1543">
        <f t="shared" si="229"/>
        <v>0</v>
      </c>
      <c r="BB127" s="1543">
        <f t="shared" si="229"/>
        <v>0</v>
      </c>
      <c r="BC127" s="1543">
        <f t="shared" si="229"/>
        <v>0</v>
      </c>
      <c r="BD127" s="1543">
        <f t="shared" si="229"/>
        <v>0</v>
      </c>
      <c r="BE127" s="1543">
        <f t="shared" si="229"/>
        <v>0</v>
      </c>
      <c r="BF127" s="1543">
        <f t="shared" si="229"/>
        <v>0</v>
      </c>
      <c r="BG127" s="1543">
        <f t="shared" si="229"/>
        <v>0</v>
      </c>
      <c r="BH127" s="1543">
        <f t="shared" si="229"/>
        <v>0</v>
      </c>
      <c r="BI127" s="1543">
        <f t="shared" si="229"/>
        <v>0</v>
      </c>
      <c r="BJ127" s="1543">
        <f t="shared" si="229"/>
        <v>0</v>
      </c>
      <c r="BK127" s="1543">
        <f t="shared" si="229"/>
        <v>0</v>
      </c>
      <c r="BL127" s="1543">
        <f t="shared" si="229"/>
        <v>0</v>
      </c>
      <c r="BM127" s="1543">
        <f t="shared" si="229"/>
        <v>0</v>
      </c>
      <c r="BN127" s="1543">
        <f t="shared" si="229"/>
        <v>0</v>
      </c>
      <c r="BO127" s="1543">
        <f t="shared" si="229"/>
        <v>0</v>
      </c>
      <c r="BP127" s="1543">
        <f t="shared" si="222"/>
        <v>0</v>
      </c>
      <c r="BQ127" s="1543">
        <f t="shared" si="222"/>
        <v>0</v>
      </c>
      <c r="BR127" s="1543">
        <f t="shared" si="222"/>
        <v>0</v>
      </c>
      <c r="BS127" s="1543">
        <f t="shared" si="222"/>
        <v>0</v>
      </c>
      <c r="BT127" s="1543">
        <f t="shared" si="222"/>
        <v>0</v>
      </c>
      <c r="BU127" s="1543">
        <f t="shared" si="222"/>
        <v>0</v>
      </c>
      <c r="BV127" s="1543">
        <f t="shared" si="222"/>
        <v>0</v>
      </c>
      <c r="BW127" s="1543">
        <f t="shared" si="222"/>
        <v>0</v>
      </c>
      <c r="BX127" s="1543">
        <f t="shared" si="222"/>
        <v>0</v>
      </c>
      <c r="BY127" s="1543">
        <f t="shared" si="222"/>
        <v>0</v>
      </c>
      <c r="BZ127" s="1543">
        <f t="shared" si="222"/>
        <v>0</v>
      </c>
      <c r="CB127" s="1543">
        <f t="shared" si="230"/>
        <v>0</v>
      </c>
      <c r="CC127" s="1543">
        <f t="shared" si="230"/>
        <v>0</v>
      </c>
      <c r="CD127" s="1543">
        <f t="shared" si="230"/>
        <v>0</v>
      </c>
      <c r="CE127" s="1543">
        <f t="shared" si="230"/>
        <v>0</v>
      </c>
      <c r="CF127" s="1543">
        <f t="shared" si="230"/>
        <v>0</v>
      </c>
      <c r="CG127" s="1543">
        <f t="shared" si="230"/>
        <v>0</v>
      </c>
      <c r="CH127" s="1543">
        <f t="shared" si="230"/>
        <v>0</v>
      </c>
      <c r="CI127" s="1543">
        <f t="shared" si="230"/>
        <v>0</v>
      </c>
      <c r="CJ127" s="1543">
        <f t="shared" si="230"/>
        <v>0</v>
      </c>
      <c r="CK127" s="1543">
        <f t="shared" si="230"/>
        <v>0</v>
      </c>
      <c r="CL127" s="1543">
        <f t="shared" si="230"/>
        <v>0</v>
      </c>
      <c r="CM127" s="1543">
        <f t="shared" si="230"/>
        <v>0</v>
      </c>
      <c r="CN127" s="1543">
        <f t="shared" si="230"/>
        <v>0</v>
      </c>
      <c r="CO127" s="1543">
        <f t="shared" si="230"/>
        <v>0</v>
      </c>
      <c r="CP127" s="1543">
        <f t="shared" si="230"/>
        <v>0</v>
      </c>
      <c r="CQ127" s="1543">
        <f t="shared" si="230"/>
        <v>0</v>
      </c>
      <c r="CR127" s="1543">
        <f t="shared" si="223"/>
        <v>0</v>
      </c>
      <c r="CS127" s="1543">
        <f t="shared" si="223"/>
        <v>0</v>
      </c>
      <c r="CT127" s="1543">
        <f t="shared" si="205"/>
        <v>0</v>
      </c>
      <c r="CU127" s="1543">
        <f t="shared" si="205"/>
        <v>0</v>
      </c>
      <c r="CV127" s="1543">
        <f t="shared" si="205"/>
        <v>0</v>
      </c>
      <c r="CW127" s="1543">
        <f t="shared" si="205"/>
        <v>0</v>
      </c>
      <c r="CX127" s="1543">
        <f t="shared" si="205"/>
        <v>0</v>
      </c>
      <c r="CY127" s="1543">
        <f t="shared" si="205"/>
        <v>0</v>
      </c>
      <c r="CZ127" s="1543">
        <f t="shared" si="205"/>
        <v>0</v>
      </c>
      <c r="DA127" s="1543">
        <f t="shared" si="205"/>
        <v>0</v>
      </c>
      <c r="DB127" s="1543">
        <f t="shared" si="205"/>
        <v>0</v>
      </c>
      <c r="DD127" s="1543">
        <f t="shared" si="194"/>
        <v>0</v>
      </c>
      <c r="DE127" s="1543">
        <f t="shared" si="195"/>
        <v>0</v>
      </c>
      <c r="DF127" s="1543">
        <f t="shared" si="196"/>
        <v>0</v>
      </c>
      <c r="DG127" s="1543">
        <f t="shared" si="162"/>
        <v>0</v>
      </c>
      <c r="DI127" s="1543">
        <f t="shared" si="163"/>
        <v>0</v>
      </c>
      <c r="DJ127" s="1543">
        <f t="shared" si="224"/>
        <v>0</v>
      </c>
      <c r="DK127" s="1543">
        <f t="shared" si="224"/>
        <v>0</v>
      </c>
      <c r="DL127" s="1543">
        <f t="shared" si="224"/>
        <v>0</v>
      </c>
      <c r="DM127" s="1543">
        <f t="shared" si="224"/>
        <v>0</v>
      </c>
      <c r="DO127" s="1543">
        <f t="shared" si="231"/>
        <v>0</v>
      </c>
      <c r="DP127" s="1543">
        <f t="shared" si="231"/>
        <v>0</v>
      </c>
      <c r="DQ127" s="1543">
        <f t="shared" si="231"/>
        <v>0</v>
      </c>
      <c r="DR127" s="1543">
        <f t="shared" si="231"/>
        <v>0</v>
      </c>
      <c r="DS127" s="1543">
        <f t="shared" si="231"/>
        <v>0</v>
      </c>
      <c r="DT127" s="1543">
        <f t="shared" si="231"/>
        <v>0</v>
      </c>
      <c r="DU127" s="1543">
        <f t="shared" si="231"/>
        <v>0</v>
      </c>
      <c r="DV127" s="1543">
        <f t="shared" si="231"/>
        <v>0</v>
      </c>
      <c r="DW127" s="1543">
        <f t="shared" si="231"/>
        <v>0</v>
      </c>
      <c r="DX127" s="1543">
        <f t="shared" si="231"/>
        <v>0</v>
      </c>
      <c r="DY127" s="1543">
        <f t="shared" si="231"/>
        <v>0</v>
      </c>
      <c r="DZ127" s="1543">
        <f t="shared" si="231"/>
        <v>0</v>
      </c>
      <c r="EA127" s="1543">
        <f t="shared" si="231"/>
        <v>0</v>
      </c>
      <c r="EB127" s="1543">
        <f t="shared" si="225"/>
        <v>0</v>
      </c>
      <c r="EC127" s="1543">
        <f t="shared" si="225"/>
        <v>0</v>
      </c>
      <c r="ED127" s="1543">
        <f t="shared" si="225"/>
        <v>0</v>
      </c>
      <c r="EE127" s="1543">
        <f t="shared" si="225"/>
        <v>0</v>
      </c>
      <c r="EF127" s="1543">
        <f t="shared" si="225"/>
        <v>0</v>
      </c>
      <c r="EH127" s="1543">
        <f t="shared" si="241"/>
        <v>0</v>
      </c>
      <c r="EI127" s="1543">
        <f t="shared" si="242"/>
        <v>0</v>
      </c>
      <c r="EJ127" s="1543">
        <f t="shared" si="243"/>
        <v>0</v>
      </c>
      <c r="EK127" s="1543">
        <f t="shared" si="244"/>
        <v>0</v>
      </c>
      <c r="EL127" s="1543">
        <f t="shared" si="245"/>
        <v>0</v>
      </c>
      <c r="EM127" s="1543">
        <f t="shared" si="246"/>
        <v>0</v>
      </c>
      <c r="EN127" s="1543">
        <f t="shared" si="247"/>
        <v>0</v>
      </c>
      <c r="EP127" s="1543">
        <f t="shared" si="197"/>
        <v>0</v>
      </c>
      <c r="EQ127" s="1543">
        <f t="shared" si="197"/>
        <v>0</v>
      </c>
      <c r="ER127" s="1543">
        <f t="shared" si="197"/>
        <v>0</v>
      </c>
      <c r="ES127" s="1543">
        <f t="shared" si="192"/>
        <v>0</v>
      </c>
      <c r="ET127" s="1543">
        <f t="shared" si="228"/>
        <v>0</v>
      </c>
      <c r="EU127" s="1543">
        <f t="shared" si="228"/>
        <v>0</v>
      </c>
      <c r="EV127" s="1543">
        <f t="shared" si="228"/>
        <v>0</v>
      </c>
      <c r="EW127" s="1543">
        <f t="shared" si="228"/>
        <v>0</v>
      </c>
      <c r="EX127" s="1543">
        <f t="shared" si="228"/>
        <v>0</v>
      </c>
      <c r="EY127" s="1543">
        <f t="shared" si="228"/>
        <v>0</v>
      </c>
      <c r="EZ127" s="1543">
        <f t="shared" si="228"/>
        <v>0</v>
      </c>
      <c r="FA127" s="1543">
        <f t="shared" si="228"/>
        <v>0</v>
      </c>
      <c r="FB127" s="1543">
        <f t="shared" si="228"/>
        <v>0</v>
      </c>
      <c r="FC127" s="1543">
        <f t="shared" si="228"/>
        <v>0</v>
      </c>
      <c r="FD127" s="1543">
        <f t="shared" si="228"/>
        <v>0</v>
      </c>
      <c r="FE127" s="1543">
        <f t="shared" si="184"/>
        <v>0</v>
      </c>
      <c r="FF127" s="1543">
        <f t="shared" si="172"/>
        <v>1</v>
      </c>
      <c r="FH127" s="1543">
        <f t="shared" si="226"/>
        <v>0</v>
      </c>
      <c r="FI127" s="1543">
        <f t="shared" si="226"/>
        <v>0</v>
      </c>
      <c r="FJ127" s="1543">
        <f t="shared" si="226"/>
        <v>0</v>
      </c>
      <c r="FK127" s="1543">
        <f t="shared" si="226"/>
        <v>0</v>
      </c>
      <c r="FL127" s="1543">
        <f t="shared" si="226"/>
        <v>0</v>
      </c>
      <c r="FM127" s="1543">
        <f t="shared" si="226"/>
        <v>0</v>
      </c>
      <c r="FN127" s="1543">
        <f t="shared" si="226"/>
        <v>0</v>
      </c>
      <c r="FO127" s="1543">
        <f t="shared" si="226"/>
        <v>0</v>
      </c>
      <c r="FP127" s="1543">
        <f t="shared" si="226"/>
        <v>0</v>
      </c>
      <c r="FQ127" s="1543">
        <f t="shared" si="226"/>
        <v>0</v>
      </c>
      <c r="FR127" s="1543">
        <f t="shared" si="226"/>
        <v>0</v>
      </c>
      <c r="FS127" s="1543">
        <f t="shared" si="226"/>
        <v>0</v>
      </c>
      <c r="FT127" s="1543">
        <f t="shared" si="174"/>
        <v>0</v>
      </c>
      <c r="FV127" s="1543">
        <f t="shared" si="227"/>
        <v>1</v>
      </c>
      <c r="FW127" s="1543">
        <f t="shared" si="227"/>
        <v>0</v>
      </c>
      <c r="FX127" s="1543">
        <f t="shared" si="227"/>
        <v>0</v>
      </c>
      <c r="FY127" s="1543">
        <f t="shared" si="227"/>
        <v>0</v>
      </c>
      <c r="FZ127" s="1543">
        <f t="shared" si="227"/>
        <v>0</v>
      </c>
      <c r="GA127" s="1543">
        <f t="shared" si="227"/>
        <v>0</v>
      </c>
      <c r="GB127" s="1543">
        <f t="shared" si="227"/>
        <v>0</v>
      </c>
      <c r="GC127" s="1543">
        <f t="shared" si="227"/>
        <v>0</v>
      </c>
      <c r="GD127" s="1543">
        <f t="shared" si="227"/>
        <v>0</v>
      </c>
    </row>
    <row r="128" spans="1:186" s="982" customFormat="1" ht="15.6" x14ac:dyDescent="0.3">
      <c r="A128" s="974">
        <v>126</v>
      </c>
      <c r="B128" s="983"/>
      <c r="C128" s="984"/>
      <c r="D128" s="983"/>
      <c r="E128" s="968" t="str">
        <f>IFERROR(VLOOKUP($D128&amp;"."&amp;B128,'Piping Class'!$1:$1048576,MATCH($I128,'Piping Class'!$2:$2,0),0),"")</f>
        <v/>
      </c>
      <c r="F128" s="985" t="str">
        <f>IFERROR(IF(B128="Flange",VLOOKUP($D128,'Piping Class'!$88:$102,MATCH(F$1,'Piping Class'!$88:$88,0),0),""),"")</f>
        <v/>
      </c>
      <c r="G128" s="968" t="str">
        <f>IFERROR(IF(B128="Flange",VLOOKUP($D128,'Piping Class'!$88:$102,MATCH(G$1,'Piping Class'!$88:$88,0),0),""),"")</f>
        <v/>
      </c>
      <c r="H128" s="968" t="str">
        <f>IFERROR(VLOOKUP($D128,'Piping Class'!$88:$102,MATCH(H$1,'Piping Class'!$88:$88,0),0),"")</f>
        <v/>
      </c>
      <c r="I128" s="986"/>
      <c r="J128" s="987"/>
      <c r="K128" s="968" t="str">
        <f>IFERROR(VLOOKUP(I128,'Thickness Tab'!$1:$1048576,MATCH(L128,'Thickness Tab'!$1:$1,0),0),"")</f>
        <v/>
      </c>
      <c r="L128" s="969" t="str">
        <f>IFERROR(VLOOKUP($D128,'Piping Class'!$1:$1048576,MATCH($I128,'Piping Class'!$2:$2,0),0),"")</f>
        <v/>
      </c>
      <c r="M128" s="968" t="str">
        <f>IFERROR(VLOOKUP(J128,'Thickness Tab'!$1:$1048576,MATCH(N128,'Thickness Tab'!$1:$1,0),0),"")</f>
        <v/>
      </c>
      <c r="N128" s="969" t="str">
        <f>IFERROR(VLOOKUP($D128,'Piping Class'!$1:$1048576,MATCH($J128,'Piping Class'!$2:$2,0),0),"")</f>
        <v/>
      </c>
      <c r="O128" s="968" t="str">
        <f>IFERROR(VLOOKUP($D128,'Piping Class'!$88:$102,MATCH(O$1,'Piping Class'!$88:$88,0),0),"")</f>
        <v/>
      </c>
      <c r="P128" s="968" t="str">
        <f>IFERROR(VLOOKUP($D128,'Piping Class'!$88:$102,MATCH(P$1,'Piping Class'!$88:$88,0),0),"")</f>
        <v/>
      </c>
      <c r="Q128" s="983"/>
      <c r="R128" s="988"/>
      <c r="S128" s="969" t="str">
        <f t="shared" si="232"/>
        <v/>
      </c>
      <c r="T128" s="968">
        <f>IFERROR(VLOOKUP(I128&amp;"."&amp;L128,'Fitting Chart'!$1:$1048576,MATCH(C128,'Fitting Chart'!$1:$1,0),0),0)+IF(B128="piping",PI()*K128*(VLOOKUP(I128,'Thickness Tab'!$1:$1048576,3,0)-K128)*7.86/1000,0)+IF(B128="Flange",VLOOKUP(I128&amp;"F"&amp;F128,'Flanges Chart'!$1:$1048576,MATCH(C128&amp;"."&amp;T$1,'Flanges Chart'!$1:$1,0),0),0)</f>
        <v>0</v>
      </c>
      <c r="U128" s="989">
        <f t="shared" si="233"/>
        <v>0</v>
      </c>
      <c r="V128" s="1003"/>
      <c r="W128" s="1001">
        <f t="shared" si="234"/>
        <v>0</v>
      </c>
      <c r="X128" s="997"/>
      <c r="Y128" s="983"/>
      <c r="Z128" s="989">
        <f>IF(B128="Piping",VLOOKUP(I128,'Thickness Tab'!$1:$1048576,3,0)/1000*PI(),0)+IFERROR(VLOOKUP(I128&amp;"F"&amp;F128,'Flanges Chart'!$1:$1048576,MATCH(C128&amp;".Unit Surface",'Flanges Chart'!$1:$1,0),0),0)+IF(B128="Fitting",VLOOKUP(I128,'Thickness Tab'!$1:$1048576,3,0)/1000*PI(),0)</f>
        <v>0</v>
      </c>
      <c r="AA128" s="989">
        <f t="shared" si="235"/>
        <v>0</v>
      </c>
      <c r="AB128" s="983">
        <v>0</v>
      </c>
      <c r="AC128" s="989">
        <f t="shared" si="154"/>
        <v>0</v>
      </c>
      <c r="AD128" s="989">
        <f t="shared" si="155"/>
        <v>0</v>
      </c>
      <c r="AE128" s="974">
        <f>(IFERROR(VLOOKUP($C128,List!$J:$L,2,0),0)*R128+IF(B128="piping",R128,0)+IF(C128="Welding Neck",1,0)*R128)*$AE$2</f>
        <v>0</v>
      </c>
      <c r="AF128" s="970">
        <f>IFERROR(VLOOKUP($C128,List!$J:$L,3,0),0)*R128*$AF$2</f>
        <v>0</v>
      </c>
      <c r="AG128" s="990">
        <f t="shared" si="236"/>
        <v>0</v>
      </c>
      <c r="AH128" s="1118" t="str">
        <f>IFERROR(VLOOKUP($D128,'Piping Class'!$88:$102,MATCH(AH$1,'Piping Class'!$88:$88,0),0),"")</f>
        <v/>
      </c>
      <c r="AI128" s="991" t="str">
        <f>IFERROR(VLOOKUP($D128,'Piping Class'!$88:$102,MATCH(AI$1,'Piping Class'!$88:$88,0),0),"")</f>
        <v/>
      </c>
      <c r="AJ128" s="991" t="str">
        <f>IFERROR(VLOOKUP($D128,'Piping Class'!$88:$102,MATCH(AJ$1,'Piping Class'!$88:$88,0),0),"")</f>
        <v/>
      </c>
      <c r="AK128" s="991" t="str">
        <f>IFERROR(VLOOKUP($D128,'Piping Class'!$88:$102,MATCH(AK$1,'Piping Class'!$88:$88,0),0),"")</f>
        <v/>
      </c>
      <c r="AL128" s="991">
        <f t="shared" si="182"/>
        <v>0</v>
      </c>
      <c r="AM128" s="1119" t="str">
        <f>IFERROR(VLOOKUP($D128,'Piping Class'!$88:$102,MATCH(AM$1,'Piping Class'!$88:$88,0),0),"")</f>
        <v/>
      </c>
      <c r="AN128" s="992">
        <f t="shared" si="157"/>
        <v>0</v>
      </c>
      <c r="AO128" s="993">
        <f>IFERROR(VLOOKUP(I128&amp;"B"&amp;F128,'Bolting Chart'!$1:$1048576,4,0),0)</f>
        <v>0</v>
      </c>
      <c r="AP128" s="993">
        <f t="shared" si="237"/>
        <v>0</v>
      </c>
      <c r="AQ128" s="993">
        <f t="shared" si="238"/>
        <v>0</v>
      </c>
      <c r="AR128" s="993">
        <f>IF(AO128=0,0,VLOOKUP(D128&amp;".bolting",'Piping Class'!$1:$1048576,MATCH(I128,'Piping Class'!$2:$2,0),0))</f>
        <v>0</v>
      </c>
      <c r="AS128" s="994">
        <f>IFERROR(VLOOKUP(I128&amp;"B"&amp;F128,'Bolting Chart'!$1:$1048576,IF(AS$2="UNC",5,6),0),0)</f>
        <v>0</v>
      </c>
      <c r="AT128" s="995">
        <f>IFERROR(VLOOKUP(I128&amp;"B"&amp;F128,'Bolting Chart'!$1:$1048576,IF(G128="RF",8,9),0),0)</f>
        <v>0</v>
      </c>
      <c r="AU128" s="993">
        <f>IF(AO128=0,0,VLOOKUP(D128&amp;".gasket",'Piping Class'!$1:$1048576,MATCH(I128,'Piping Class'!$2:$2,0),0))</f>
        <v>0</v>
      </c>
      <c r="AV128" s="996">
        <f>(IFERROR(INDEX('Bolting Chart'!$A$169:$R$251,MATCH(AT128,'Bolting Chart'!$A$170:$A$251,0),MATCH(IFERROR(VLOOKUP(I128&amp;"B"&amp;F128,'Bolting Chart'!$1:$1048576,7,0),0)+0,'Bolting Chart'!$A$169:$R$169,0)),0))/100</f>
        <v>0</v>
      </c>
      <c r="AW128" s="996">
        <f t="shared" si="239"/>
        <v>0</v>
      </c>
      <c r="AX128" s="1194">
        <f t="shared" si="240"/>
        <v>0</v>
      </c>
      <c r="AY128" s="981"/>
      <c r="AZ128" s="1543">
        <f t="shared" si="229"/>
        <v>0</v>
      </c>
      <c r="BA128" s="1543">
        <f t="shared" si="229"/>
        <v>0</v>
      </c>
      <c r="BB128" s="1543">
        <f t="shared" si="229"/>
        <v>0</v>
      </c>
      <c r="BC128" s="1543">
        <f t="shared" si="229"/>
        <v>0</v>
      </c>
      <c r="BD128" s="1543">
        <f t="shared" si="229"/>
        <v>0</v>
      </c>
      <c r="BE128" s="1543">
        <f t="shared" si="229"/>
        <v>0</v>
      </c>
      <c r="BF128" s="1543">
        <f t="shared" si="229"/>
        <v>0</v>
      </c>
      <c r="BG128" s="1543">
        <f t="shared" si="229"/>
        <v>0</v>
      </c>
      <c r="BH128" s="1543">
        <f t="shared" si="229"/>
        <v>0</v>
      </c>
      <c r="BI128" s="1543">
        <f t="shared" si="229"/>
        <v>0</v>
      </c>
      <c r="BJ128" s="1543">
        <f t="shared" si="229"/>
        <v>0</v>
      </c>
      <c r="BK128" s="1543">
        <f t="shared" si="229"/>
        <v>0</v>
      </c>
      <c r="BL128" s="1543">
        <f t="shared" si="229"/>
        <v>0</v>
      </c>
      <c r="BM128" s="1543">
        <f t="shared" si="229"/>
        <v>0</v>
      </c>
      <c r="BN128" s="1543">
        <f t="shared" si="229"/>
        <v>0</v>
      </c>
      <c r="BO128" s="1543">
        <f t="shared" si="229"/>
        <v>0</v>
      </c>
      <c r="BP128" s="1543">
        <f t="shared" si="222"/>
        <v>0</v>
      </c>
      <c r="BQ128" s="1543">
        <f t="shared" si="222"/>
        <v>0</v>
      </c>
      <c r="BR128" s="1543">
        <f t="shared" si="222"/>
        <v>0</v>
      </c>
      <c r="BS128" s="1543">
        <f t="shared" si="222"/>
        <v>0</v>
      </c>
      <c r="BT128" s="1543">
        <f t="shared" si="222"/>
        <v>0</v>
      </c>
      <c r="BU128" s="1543">
        <f t="shared" si="222"/>
        <v>0</v>
      </c>
      <c r="BV128" s="1543">
        <f t="shared" si="222"/>
        <v>0</v>
      </c>
      <c r="BW128" s="1543">
        <f t="shared" si="222"/>
        <v>0</v>
      </c>
      <c r="BX128" s="1543">
        <f t="shared" si="222"/>
        <v>0</v>
      </c>
      <c r="BY128" s="1543">
        <f t="shared" si="222"/>
        <v>0</v>
      </c>
      <c r="BZ128" s="1543">
        <f t="shared" si="222"/>
        <v>0</v>
      </c>
      <c r="CB128" s="1543">
        <f t="shared" si="230"/>
        <v>0</v>
      </c>
      <c r="CC128" s="1543">
        <f t="shared" si="230"/>
        <v>0</v>
      </c>
      <c r="CD128" s="1543">
        <f t="shared" si="230"/>
        <v>0</v>
      </c>
      <c r="CE128" s="1543">
        <f t="shared" si="230"/>
        <v>0</v>
      </c>
      <c r="CF128" s="1543">
        <f t="shared" si="230"/>
        <v>0</v>
      </c>
      <c r="CG128" s="1543">
        <f t="shared" si="230"/>
        <v>0</v>
      </c>
      <c r="CH128" s="1543">
        <f t="shared" si="230"/>
        <v>0</v>
      </c>
      <c r="CI128" s="1543">
        <f t="shared" si="230"/>
        <v>0</v>
      </c>
      <c r="CJ128" s="1543">
        <f t="shared" si="230"/>
        <v>0</v>
      </c>
      <c r="CK128" s="1543">
        <f t="shared" si="230"/>
        <v>0</v>
      </c>
      <c r="CL128" s="1543">
        <f t="shared" si="230"/>
        <v>0</v>
      </c>
      <c r="CM128" s="1543">
        <f t="shared" si="230"/>
        <v>0</v>
      </c>
      <c r="CN128" s="1543">
        <f t="shared" si="230"/>
        <v>0</v>
      </c>
      <c r="CO128" s="1543">
        <f t="shared" si="230"/>
        <v>0</v>
      </c>
      <c r="CP128" s="1543">
        <f t="shared" si="230"/>
        <v>0</v>
      </c>
      <c r="CQ128" s="1543">
        <f t="shared" si="230"/>
        <v>0</v>
      </c>
      <c r="CR128" s="1543">
        <f t="shared" si="223"/>
        <v>0</v>
      </c>
      <c r="CS128" s="1543">
        <f t="shared" si="223"/>
        <v>0</v>
      </c>
      <c r="CT128" s="1543">
        <f t="shared" ref="CT128:DB139" si="248">IF($I128=CT$2,1,0)</f>
        <v>0</v>
      </c>
      <c r="CU128" s="1543">
        <f t="shared" si="248"/>
        <v>0</v>
      </c>
      <c r="CV128" s="1543">
        <f t="shared" si="248"/>
        <v>0</v>
      </c>
      <c r="CW128" s="1543">
        <f t="shared" si="248"/>
        <v>0</v>
      </c>
      <c r="CX128" s="1543">
        <f t="shared" si="248"/>
        <v>0</v>
      </c>
      <c r="CY128" s="1543">
        <f t="shared" si="248"/>
        <v>0</v>
      </c>
      <c r="CZ128" s="1543">
        <f t="shared" si="248"/>
        <v>0</v>
      </c>
      <c r="DA128" s="1543">
        <f t="shared" si="248"/>
        <v>0</v>
      </c>
      <c r="DB128" s="1543">
        <f t="shared" si="248"/>
        <v>0</v>
      </c>
      <c r="DD128" s="1543">
        <f t="shared" si="194"/>
        <v>0</v>
      </c>
      <c r="DE128" s="1543">
        <f t="shared" si="195"/>
        <v>0</v>
      </c>
      <c r="DF128" s="1543">
        <f t="shared" si="196"/>
        <v>0</v>
      </c>
      <c r="DG128" s="1543">
        <f t="shared" si="162"/>
        <v>0</v>
      </c>
      <c r="DI128" s="1543">
        <f t="shared" si="163"/>
        <v>0</v>
      </c>
      <c r="DJ128" s="1543">
        <f t="shared" si="224"/>
        <v>0</v>
      </c>
      <c r="DK128" s="1543">
        <f t="shared" si="224"/>
        <v>0</v>
      </c>
      <c r="DL128" s="1543">
        <f t="shared" si="224"/>
        <v>0</v>
      </c>
      <c r="DM128" s="1543">
        <f t="shared" si="224"/>
        <v>0</v>
      </c>
      <c r="DO128" s="1543">
        <f t="shared" si="231"/>
        <v>0</v>
      </c>
      <c r="DP128" s="1543">
        <f t="shared" si="231"/>
        <v>0</v>
      </c>
      <c r="DQ128" s="1543">
        <f t="shared" si="231"/>
        <v>0</v>
      </c>
      <c r="DR128" s="1543">
        <f t="shared" si="231"/>
        <v>0</v>
      </c>
      <c r="DS128" s="1543">
        <f t="shared" si="231"/>
        <v>0</v>
      </c>
      <c r="DT128" s="1543">
        <f t="shared" si="231"/>
        <v>0</v>
      </c>
      <c r="DU128" s="1543">
        <f t="shared" si="231"/>
        <v>0</v>
      </c>
      <c r="DV128" s="1543">
        <f t="shared" si="231"/>
        <v>0</v>
      </c>
      <c r="DW128" s="1543">
        <f t="shared" si="231"/>
        <v>0</v>
      </c>
      <c r="DX128" s="1543">
        <f t="shared" si="231"/>
        <v>0</v>
      </c>
      <c r="DY128" s="1543">
        <f t="shared" si="231"/>
        <v>0</v>
      </c>
      <c r="DZ128" s="1543">
        <f t="shared" si="231"/>
        <v>0</v>
      </c>
      <c r="EA128" s="1543">
        <f t="shared" si="231"/>
        <v>0</v>
      </c>
      <c r="EB128" s="1543">
        <f t="shared" si="225"/>
        <v>0</v>
      </c>
      <c r="EC128" s="1543">
        <f t="shared" si="225"/>
        <v>0</v>
      </c>
      <c r="ED128" s="1543">
        <f t="shared" si="225"/>
        <v>0</v>
      </c>
      <c r="EE128" s="1543">
        <f t="shared" si="225"/>
        <v>0</v>
      </c>
      <c r="EF128" s="1543">
        <f t="shared" si="225"/>
        <v>0</v>
      </c>
      <c r="EH128" s="1543">
        <f t="shared" si="241"/>
        <v>0</v>
      </c>
      <c r="EI128" s="1543">
        <f t="shared" si="242"/>
        <v>0</v>
      </c>
      <c r="EJ128" s="1543">
        <f t="shared" si="243"/>
        <v>0</v>
      </c>
      <c r="EK128" s="1543">
        <f t="shared" si="244"/>
        <v>0</v>
      </c>
      <c r="EL128" s="1543">
        <f t="shared" si="245"/>
        <v>0</v>
      </c>
      <c r="EM128" s="1543">
        <f t="shared" si="246"/>
        <v>0</v>
      </c>
      <c r="EN128" s="1543">
        <f t="shared" si="247"/>
        <v>0</v>
      </c>
      <c r="EP128" s="1543">
        <f t="shared" si="197"/>
        <v>0</v>
      </c>
      <c r="EQ128" s="1543">
        <f t="shared" si="197"/>
        <v>0</v>
      </c>
      <c r="ER128" s="1543">
        <f t="shared" si="197"/>
        <v>0</v>
      </c>
      <c r="ES128" s="1543">
        <f t="shared" si="192"/>
        <v>0</v>
      </c>
      <c r="ET128" s="1543">
        <f t="shared" si="228"/>
        <v>0</v>
      </c>
      <c r="EU128" s="1543">
        <f t="shared" si="228"/>
        <v>0</v>
      </c>
      <c r="EV128" s="1543">
        <f t="shared" si="228"/>
        <v>0</v>
      </c>
      <c r="EW128" s="1543">
        <f t="shared" si="228"/>
        <v>0</v>
      </c>
      <c r="EX128" s="1543">
        <f t="shared" si="228"/>
        <v>0</v>
      </c>
      <c r="EY128" s="1543">
        <f t="shared" si="228"/>
        <v>0</v>
      </c>
      <c r="EZ128" s="1543">
        <f t="shared" si="228"/>
        <v>0</v>
      </c>
      <c r="FA128" s="1543">
        <f t="shared" si="228"/>
        <v>0</v>
      </c>
      <c r="FB128" s="1543">
        <f t="shared" si="228"/>
        <v>0</v>
      </c>
      <c r="FC128" s="1543">
        <f t="shared" si="228"/>
        <v>0</v>
      </c>
      <c r="FD128" s="1543">
        <f t="shared" si="228"/>
        <v>0</v>
      </c>
      <c r="FE128" s="1543">
        <f t="shared" si="184"/>
        <v>0</v>
      </c>
      <c r="FF128" s="1543">
        <f t="shared" si="172"/>
        <v>1</v>
      </c>
      <c r="FH128" s="1543">
        <f t="shared" si="226"/>
        <v>0</v>
      </c>
      <c r="FI128" s="1543">
        <f t="shared" si="226"/>
        <v>0</v>
      </c>
      <c r="FJ128" s="1543">
        <f t="shared" si="226"/>
        <v>0</v>
      </c>
      <c r="FK128" s="1543">
        <f t="shared" si="226"/>
        <v>0</v>
      </c>
      <c r="FL128" s="1543">
        <f t="shared" si="226"/>
        <v>0</v>
      </c>
      <c r="FM128" s="1543">
        <f t="shared" si="226"/>
        <v>0</v>
      </c>
      <c r="FN128" s="1543">
        <f t="shared" si="226"/>
        <v>0</v>
      </c>
      <c r="FO128" s="1543">
        <f t="shared" si="226"/>
        <v>0</v>
      </c>
      <c r="FP128" s="1543">
        <f t="shared" si="226"/>
        <v>0</v>
      </c>
      <c r="FQ128" s="1543">
        <f t="shared" si="226"/>
        <v>0</v>
      </c>
      <c r="FR128" s="1543">
        <f t="shared" si="226"/>
        <v>0</v>
      </c>
      <c r="FS128" s="1543">
        <f t="shared" si="226"/>
        <v>0</v>
      </c>
      <c r="FT128" s="1543">
        <f t="shared" si="174"/>
        <v>0</v>
      </c>
      <c r="FV128" s="1543">
        <f t="shared" si="227"/>
        <v>1</v>
      </c>
      <c r="FW128" s="1543">
        <f t="shared" si="227"/>
        <v>0</v>
      </c>
      <c r="FX128" s="1543">
        <f t="shared" si="227"/>
        <v>0</v>
      </c>
      <c r="FY128" s="1543">
        <f t="shared" si="227"/>
        <v>0</v>
      </c>
      <c r="FZ128" s="1543">
        <f t="shared" si="227"/>
        <v>0</v>
      </c>
      <c r="GA128" s="1543">
        <f t="shared" si="227"/>
        <v>0</v>
      </c>
      <c r="GB128" s="1543">
        <f t="shared" si="227"/>
        <v>0</v>
      </c>
      <c r="GC128" s="1543">
        <f t="shared" si="227"/>
        <v>0</v>
      </c>
      <c r="GD128" s="1543">
        <f t="shared" si="227"/>
        <v>0</v>
      </c>
    </row>
    <row r="129" spans="1:186" s="982" customFormat="1" ht="15.6" x14ac:dyDescent="0.3">
      <c r="A129" s="974">
        <v>127</v>
      </c>
      <c r="B129" s="983"/>
      <c r="C129" s="984"/>
      <c r="D129" s="983"/>
      <c r="E129" s="968" t="str">
        <f>IFERROR(VLOOKUP($D129&amp;"."&amp;B129,'Piping Class'!$1:$1048576,MATCH($I129,'Piping Class'!$2:$2,0),0),"")</f>
        <v/>
      </c>
      <c r="F129" s="985" t="str">
        <f>IFERROR(IF(B129="Flange",VLOOKUP($D129,'Piping Class'!$88:$102,MATCH(F$1,'Piping Class'!$88:$88,0),0),""),"")</f>
        <v/>
      </c>
      <c r="G129" s="968" t="str">
        <f>IFERROR(IF(B129="Flange",VLOOKUP($D129,'Piping Class'!$88:$102,MATCH(G$1,'Piping Class'!$88:$88,0),0),""),"")</f>
        <v/>
      </c>
      <c r="H129" s="968" t="str">
        <f>IFERROR(VLOOKUP($D129,'Piping Class'!$88:$102,MATCH(H$1,'Piping Class'!$88:$88,0),0),"")</f>
        <v/>
      </c>
      <c r="I129" s="986"/>
      <c r="J129" s="987"/>
      <c r="K129" s="968" t="str">
        <f>IFERROR(VLOOKUP(I129,'Thickness Tab'!$1:$1048576,MATCH(L129,'Thickness Tab'!$1:$1,0),0),"")</f>
        <v/>
      </c>
      <c r="L129" s="969" t="str">
        <f>IFERROR(VLOOKUP($D129,'Piping Class'!$1:$1048576,MATCH($I129,'Piping Class'!$2:$2,0),0),"")</f>
        <v/>
      </c>
      <c r="M129" s="968" t="str">
        <f>IFERROR(VLOOKUP(J129,'Thickness Tab'!$1:$1048576,MATCH(N129,'Thickness Tab'!$1:$1,0),0),"")</f>
        <v/>
      </c>
      <c r="N129" s="969" t="str">
        <f>IFERROR(VLOOKUP($D129,'Piping Class'!$1:$1048576,MATCH($J129,'Piping Class'!$2:$2,0),0),"")</f>
        <v/>
      </c>
      <c r="O129" s="968" t="str">
        <f>IFERROR(VLOOKUP($D129,'Piping Class'!$88:$102,MATCH(O$1,'Piping Class'!$88:$88,0),0),"")</f>
        <v/>
      </c>
      <c r="P129" s="968" t="str">
        <f>IFERROR(VLOOKUP($D129,'Piping Class'!$88:$102,MATCH(P$1,'Piping Class'!$88:$88,0),0),"")</f>
        <v/>
      </c>
      <c r="Q129" s="983"/>
      <c r="R129" s="988"/>
      <c r="S129" s="969" t="str">
        <f t="shared" si="232"/>
        <v/>
      </c>
      <c r="T129" s="968">
        <f>IFERROR(VLOOKUP(I129&amp;"."&amp;L129,'Fitting Chart'!$1:$1048576,MATCH(C129,'Fitting Chart'!$1:$1,0),0),0)+IF(B129="piping",PI()*K129*(VLOOKUP(I129,'Thickness Tab'!$1:$1048576,3,0)-K129)*7.86/1000,0)+IF(B129="Flange",VLOOKUP(I129&amp;"F"&amp;F129,'Flanges Chart'!$1:$1048576,MATCH(C129&amp;"."&amp;T$1,'Flanges Chart'!$1:$1,0),0),0)</f>
        <v>0</v>
      </c>
      <c r="U129" s="989">
        <f t="shared" si="233"/>
        <v>0</v>
      </c>
      <c r="V129" s="1003"/>
      <c r="W129" s="1001">
        <f t="shared" si="234"/>
        <v>0</v>
      </c>
      <c r="X129" s="997"/>
      <c r="Y129" s="983"/>
      <c r="Z129" s="989">
        <f>IF(B129="Piping",VLOOKUP(I129,'Thickness Tab'!$1:$1048576,3,0)/1000*PI(),0)+IFERROR(VLOOKUP(I129&amp;"F"&amp;F129,'Flanges Chart'!$1:$1048576,MATCH(C129&amp;".Unit Surface",'Flanges Chart'!$1:$1,0),0),0)+IF(B129="Fitting",VLOOKUP(I129,'Thickness Tab'!$1:$1048576,3,0)/1000*PI(),0)</f>
        <v>0</v>
      </c>
      <c r="AA129" s="989">
        <f t="shared" si="235"/>
        <v>0</v>
      </c>
      <c r="AB129" s="983">
        <v>0</v>
      </c>
      <c r="AC129" s="989">
        <f t="shared" si="154"/>
        <v>0</v>
      </c>
      <c r="AD129" s="989">
        <f t="shared" si="155"/>
        <v>0</v>
      </c>
      <c r="AE129" s="974">
        <f>(IFERROR(VLOOKUP($C129,List!$J:$L,2,0),0)*R129+IF(B129="piping",R129,0)+IF(C129="Welding Neck",1,0)*R129)*$AE$2</f>
        <v>0</v>
      </c>
      <c r="AF129" s="970">
        <f>IFERROR(VLOOKUP($C129,List!$J:$L,3,0),0)*R129*$AF$2</f>
        <v>0</v>
      </c>
      <c r="AG129" s="990">
        <f t="shared" si="236"/>
        <v>0</v>
      </c>
      <c r="AH129" s="1118" t="str">
        <f>IFERROR(VLOOKUP($D129,'Piping Class'!$88:$102,MATCH(AH$1,'Piping Class'!$88:$88,0),0),"")</f>
        <v/>
      </c>
      <c r="AI129" s="991" t="str">
        <f>IFERROR(VLOOKUP($D129,'Piping Class'!$88:$102,MATCH(AI$1,'Piping Class'!$88:$88,0),0),"")</f>
        <v/>
      </c>
      <c r="AJ129" s="991" t="str">
        <f>IFERROR(VLOOKUP($D129,'Piping Class'!$88:$102,MATCH(AJ$1,'Piping Class'!$88:$88,0),0),"")</f>
        <v/>
      </c>
      <c r="AK129" s="991" t="str">
        <f>IFERROR(VLOOKUP($D129,'Piping Class'!$88:$102,MATCH(AK$1,'Piping Class'!$88:$88,0),0),"")</f>
        <v/>
      </c>
      <c r="AL129" s="991">
        <f t="shared" si="182"/>
        <v>0</v>
      </c>
      <c r="AM129" s="1119" t="str">
        <f>IFERROR(VLOOKUP($D129,'Piping Class'!$88:$102,MATCH(AM$1,'Piping Class'!$88:$88,0),0),"")</f>
        <v/>
      </c>
      <c r="AN129" s="992">
        <f t="shared" si="157"/>
        <v>0</v>
      </c>
      <c r="AO129" s="993">
        <f>IFERROR(VLOOKUP(I129&amp;"B"&amp;F129,'Bolting Chart'!$1:$1048576,4,0),0)</f>
        <v>0</v>
      </c>
      <c r="AP129" s="993">
        <f t="shared" si="237"/>
        <v>0</v>
      </c>
      <c r="AQ129" s="993">
        <f t="shared" si="238"/>
        <v>0</v>
      </c>
      <c r="AR129" s="993">
        <f>IF(AO129=0,0,VLOOKUP(D129&amp;".bolting",'Piping Class'!$1:$1048576,MATCH(I129,'Piping Class'!$2:$2,0),0))</f>
        <v>0</v>
      </c>
      <c r="AS129" s="994">
        <f>IFERROR(VLOOKUP(I129&amp;"B"&amp;F129,'Bolting Chart'!$1:$1048576,IF(AS$2="UNC",5,6),0),0)</f>
        <v>0</v>
      </c>
      <c r="AT129" s="995">
        <f>IFERROR(VLOOKUP(I129&amp;"B"&amp;F129,'Bolting Chart'!$1:$1048576,IF(G129="RF",8,9),0),0)</f>
        <v>0</v>
      </c>
      <c r="AU129" s="993">
        <f>IF(AO129=0,0,VLOOKUP(D129&amp;".gasket",'Piping Class'!$1:$1048576,MATCH(I129,'Piping Class'!$2:$2,0),0))</f>
        <v>0</v>
      </c>
      <c r="AV129" s="996">
        <f>(IFERROR(INDEX('Bolting Chart'!$A$169:$R$251,MATCH(AT129,'Bolting Chart'!$A$170:$A$251,0),MATCH(IFERROR(VLOOKUP(I129&amp;"B"&amp;F129,'Bolting Chart'!$1:$1048576,7,0),0)+0,'Bolting Chart'!$A$169:$R$169,0)),0))/100</f>
        <v>0</v>
      </c>
      <c r="AW129" s="996">
        <f t="shared" si="239"/>
        <v>0</v>
      </c>
      <c r="AX129" s="1194">
        <f t="shared" si="240"/>
        <v>0</v>
      </c>
      <c r="AY129" s="981"/>
      <c r="AZ129" s="1543">
        <f t="shared" si="229"/>
        <v>0</v>
      </c>
      <c r="BA129" s="1543">
        <f t="shared" si="229"/>
        <v>0</v>
      </c>
      <c r="BB129" s="1543">
        <f t="shared" si="229"/>
        <v>0</v>
      </c>
      <c r="BC129" s="1543">
        <f t="shared" si="229"/>
        <v>0</v>
      </c>
      <c r="BD129" s="1543">
        <f t="shared" si="229"/>
        <v>0</v>
      </c>
      <c r="BE129" s="1543">
        <f t="shared" si="229"/>
        <v>0</v>
      </c>
      <c r="BF129" s="1543">
        <f t="shared" si="229"/>
        <v>0</v>
      </c>
      <c r="BG129" s="1543">
        <f t="shared" si="229"/>
        <v>0</v>
      </c>
      <c r="BH129" s="1543">
        <f t="shared" si="229"/>
        <v>0</v>
      </c>
      <c r="BI129" s="1543">
        <f t="shared" si="229"/>
        <v>0</v>
      </c>
      <c r="BJ129" s="1543">
        <f t="shared" si="229"/>
        <v>0</v>
      </c>
      <c r="BK129" s="1543">
        <f t="shared" si="229"/>
        <v>0</v>
      </c>
      <c r="BL129" s="1543">
        <f t="shared" si="229"/>
        <v>0</v>
      </c>
      <c r="BM129" s="1543">
        <f t="shared" si="229"/>
        <v>0</v>
      </c>
      <c r="BN129" s="1543">
        <f t="shared" si="229"/>
        <v>0</v>
      </c>
      <c r="BO129" s="1543">
        <f t="shared" si="229"/>
        <v>0</v>
      </c>
      <c r="BP129" s="1543">
        <f t="shared" si="222"/>
        <v>0</v>
      </c>
      <c r="BQ129" s="1543">
        <f t="shared" si="222"/>
        <v>0</v>
      </c>
      <c r="BR129" s="1543">
        <f t="shared" si="222"/>
        <v>0</v>
      </c>
      <c r="BS129" s="1543">
        <f t="shared" si="222"/>
        <v>0</v>
      </c>
      <c r="BT129" s="1543">
        <f t="shared" si="222"/>
        <v>0</v>
      </c>
      <c r="BU129" s="1543">
        <f t="shared" si="222"/>
        <v>0</v>
      </c>
      <c r="BV129" s="1543">
        <f t="shared" si="222"/>
        <v>0</v>
      </c>
      <c r="BW129" s="1543">
        <f t="shared" si="222"/>
        <v>0</v>
      </c>
      <c r="BX129" s="1543">
        <f t="shared" si="222"/>
        <v>0</v>
      </c>
      <c r="BY129" s="1543">
        <f t="shared" si="222"/>
        <v>0</v>
      </c>
      <c r="BZ129" s="1543">
        <f t="shared" si="222"/>
        <v>0</v>
      </c>
      <c r="CB129" s="1543">
        <f t="shared" si="230"/>
        <v>0</v>
      </c>
      <c r="CC129" s="1543">
        <f t="shared" si="230"/>
        <v>0</v>
      </c>
      <c r="CD129" s="1543">
        <f t="shared" si="230"/>
        <v>0</v>
      </c>
      <c r="CE129" s="1543">
        <f t="shared" si="230"/>
        <v>0</v>
      </c>
      <c r="CF129" s="1543">
        <f t="shared" si="230"/>
        <v>0</v>
      </c>
      <c r="CG129" s="1543">
        <f t="shared" si="230"/>
        <v>0</v>
      </c>
      <c r="CH129" s="1543">
        <f t="shared" si="230"/>
        <v>0</v>
      </c>
      <c r="CI129" s="1543">
        <f t="shared" si="230"/>
        <v>0</v>
      </c>
      <c r="CJ129" s="1543">
        <f t="shared" si="230"/>
        <v>0</v>
      </c>
      <c r="CK129" s="1543">
        <f t="shared" si="230"/>
        <v>0</v>
      </c>
      <c r="CL129" s="1543">
        <f t="shared" si="230"/>
        <v>0</v>
      </c>
      <c r="CM129" s="1543">
        <f t="shared" si="230"/>
        <v>0</v>
      </c>
      <c r="CN129" s="1543">
        <f t="shared" si="230"/>
        <v>0</v>
      </c>
      <c r="CO129" s="1543">
        <f t="shared" si="230"/>
        <v>0</v>
      </c>
      <c r="CP129" s="1543">
        <f t="shared" si="230"/>
        <v>0</v>
      </c>
      <c r="CQ129" s="1543">
        <f t="shared" si="230"/>
        <v>0</v>
      </c>
      <c r="CR129" s="1543">
        <f t="shared" si="223"/>
        <v>0</v>
      </c>
      <c r="CS129" s="1543">
        <f t="shared" si="223"/>
        <v>0</v>
      </c>
      <c r="CT129" s="1543">
        <f t="shared" si="248"/>
        <v>0</v>
      </c>
      <c r="CU129" s="1543">
        <f t="shared" si="248"/>
        <v>0</v>
      </c>
      <c r="CV129" s="1543">
        <f t="shared" si="248"/>
        <v>0</v>
      </c>
      <c r="CW129" s="1543">
        <f t="shared" si="248"/>
        <v>0</v>
      </c>
      <c r="CX129" s="1543">
        <f t="shared" si="248"/>
        <v>0</v>
      </c>
      <c r="CY129" s="1543">
        <f t="shared" si="248"/>
        <v>0</v>
      </c>
      <c r="CZ129" s="1543">
        <f t="shared" si="248"/>
        <v>0</v>
      </c>
      <c r="DA129" s="1543">
        <f t="shared" si="248"/>
        <v>0</v>
      </c>
      <c r="DB129" s="1543">
        <f t="shared" si="248"/>
        <v>0</v>
      </c>
      <c r="DD129" s="1543">
        <f t="shared" si="194"/>
        <v>0</v>
      </c>
      <c r="DE129" s="1543">
        <f t="shared" si="195"/>
        <v>0</v>
      </c>
      <c r="DF129" s="1543">
        <f t="shared" si="196"/>
        <v>0</v>
      </c>
      <c r="DG129" s="1543">
        <f t="shared" si="162"/>
        <v>0</v>
      </c>
      <c r="DI129" s="1543">
        <f t="shared" si="163"/>
        <v>0</v>
      </c>
      <c r="DJ129" s="1543">
        <f t="shared" si="224"/>
        <v>0</v>
      </c>
      <c r="DK129" s="1543">
        <f t="shared" si="224"/>
        <v>0</v>
      </c>
      <c r="DL129" s="1543">
        <f t="shared" si="224"/>
        <v>0</v>
      </c>
      <c r="DM129" s="1543">
        <f t="shared" si="224"/>
        <v>0</v>
      </c>
      <c r="DO129" s="1543">
        <f t="shared" si="231"/>
        <v>0</v>
      </c>
      <c r="DP129" s="1543">
        <f t="shared" si="231"/>
        <v>0</v>
      </c>
      <c r="DQ129" s="1543">
        <f t="shared" si="231"/>
        <v>0</v>
      </c>
      <c r="DR129" s="1543">
        <f t="shared" si="231"/>
        <v>0</v>
      </c>
      <c r="DS129" s="1543">
        <f t="shared" si="231"/>
        <v>0</v>
      </c>
      <c r="DT129" s="1543">
        <f t="shared" si="231"/>
        <v>0</v>
      </c>
      <c r="DU129" s="1543">
        <f t="shared" si="231"/>
        <v>0</v>
      </c>
      <c r="DV129" s="1543">
        <f t="shared" si="231"/>
        <v>0</v>
      </c>
      <c r="DW129" s="1543">
        <f t="shared" si="231"/>
        <v>0</v>
      </c>
      <c r="DX129" s="1543">
        <f t="shared" si="231"/>
        <v>0</v>
      </c>
      <c r="DY129" s="1543">
        <f t="shared" si="231"/>
        <v>0</v>
      </c>
      <c r="DZ129" s="1543">
        <f t="shared" si="231"/>
        <v>0</v>
      </c>
      <c r="EA129" s="1543">
        <f t="shared" si="231"/>
        <v>0</v>
      </c>
      <c r="EB129" s="1543">
        <f t="shared" si="225"/>
        <v>0</v>
      </c>
      <c r="EC129" s="1543">
        <f t="shared" si="225"/>
        <v>0</v>
      </c>
      <c r="ED129" s="1543">
        <f t="shared" si="225"/>
        <v>0</v>
      </c>
      <c r="EE129" s="1543">
        <f t="shared" si="225"/>
        <v>0</v>
      </c>
      <c r="EF129" s="1543">
        <f t="shared" si="225"/>
        <v>0</v>
      </c>
      <c r="EH129" s="1543">
        <f t="shared" si="241"/>
        <v>0</v>
      </c>
      <c r="EI129" s="1543">
        <f t="shared" si="242"/>
        <v>0</v>
      </c>
      <c r="EJ129" s="1543">
        <f t="shared" si="243"/>
        <v>0</v>
      </c>
      <c r="EK129" s="1543">
        <f t="shared" si="244"/>
        <v>0</v>
      </c>
      <c r="EL129" s="1543">
        <f t="shared" si="245"/>
        <v>0</v>
      </c>
      <c r="EM129" s="1543">
        <f t="shared" si="246"/>
        <v>0</v>
      </c>
      <c r="EN129" s="1543">
        <f t="shared" si="247"/>
        <v>0</v>
      </c>
      <c r="EP129" s="1543">
        <f t="shared" si="197"/>
        <v>0</v>
      </c>
      <c r="EQ129" s="1543">
        <f t="shared" si="197"/>
        <v>0</v>
      </c>
      <c r="ER129" s="1543">
        <f t="shared" si="197"/>
        <v>0</v>
      </c>
      <c r="ES129" s="1543">
        <f t="shared" si="192"/>
        <v>0</v>
      </c>
      <c r="ET129" s="1543">
        <f t="shared" si="228"/>
        <v>0</v>
      </c>
      <c r="EU129" s="1543">
        <f t="shared" si="228"/>
        <v>0</v>
      </c>
      <c r="EV129" s="1543">
        <f t="shared" si="228"/>
        <v>0</v>
      </c>
      <c r="EW129" s="1543">
        <f t="shared" si="228"/>
        <v>0</v>
      </c>
      <c r="EX129" s="1543">
        <f t="shared" si="228"/>
        <v>0</v>
      </c>
      <c r="EY129" s="1543">
        <f t="shared" si="228"/>
        <v>0</v>
      </c>
      <c r="EZ129" s="1543">
        <f t="shared" si="228"/>
        <v>0</v>
      </c>
      <c r="FA129" s="1543">
        <f t="shared" si="228"/>
        <v>0</v>
      </c>
      <c r="FB129" s="1543">
        <f t="shared" si="228"/>
        <v>0</v>
      </c>
      <c r="FC129" s="1543">
        <f t="shared" si="228"/>
        <v>0</v>
      </c>
      <c r="FD129" s="1543">
        <f t="shared" si="228"/>
        <v>0</v>
      </c>
      <c r="FE129" s="1543">
        <f t="shared" si="184"/>
        <v>0</v>
      </c>
      <c r="FF129" s="1543">
        <f t="shared" si="172"/>
        <v>1</v>
      </c>
      <c r="FH129" s="1543">
        <f t="shared" si="226"/>
        <v>0</v>
      </c>
      <c r="FI129" s="1543">
        <f t="shared" si="226"/>
        <v>0</v>
      </c>
      <c r="FJ129" s="1543">
        <f t="shared" si="226"/>
        <v>0</v>
      </c>
      <c r="FK129" s="1543">
        <f t="shared" si="226"/>
        <v>0</v>
      </c>
      <c r="FL129" s="1543">
        <f t="shared" si="226"/>
        <v>0</v>
      </c>
      <c r="FM129" s="1543">
        <f t="shared" si="226"/>
        <v>0</v>
      </c>
      <c r="FN129" s="1543">
        <f t="shared" si="226"/>
        <v>0</v>
      </c>
      <c r="FO129" s="1543">
        <f t="shared" si="226"/>
        <v>0</v>
      </c>
      <c r="FP129" s="1543">
        <f t="shared" si="226"/>
        <v>0</v>
      </c>
      <c r="FQ129" s="1543">
        <f t="shared" si="226"/>
        <v>0</v>
      </c>
      <c r="FR129" s="1543">
        <f t="shared" si="226"/>
        <v>0</v>
      </c>
      <c r="FS129" s="1543">
        <f t="shared" si="226"/>
        <v>0</v>
      </c>
      <c r="FT129" s="1543">
        <f t="shared" si="174"/>
        <v>0</v>
      </c>
      <c r="FV129" s="1543">
        <f t="shared" si="227"/>
        <v>1</v>
      </c>
      <c r="FW129" s="1543">
        <f t="shared" si="227"/>
        <v>0</v>
      </c>
      <c r="FX129" s="1543">
        <f t="shared" si="227"/>
        <v>0</v>
      </c>
      <c r="FY129" s="1543">
        <f t="shared" si="227"/>
        <v>0</v>
      </c>
      <c r="FZ129" s="1543">
        <f t="shared" si="227"/>
        <v>0</v>
      </c>
      <c r="GA129" s="1543">
        <f t="shared" si="227"/>
        <v>0</v>
      </c>
      <c r="GB129" s="1543">
        <f t="shared" si="227"/>
        <v>0</v>
      </c>
      <c r="GC129" s="1543">
        <f t="shared" si="227"/>
        <v>0</v>
      </c>
      <c r="GD129" s="1543">
        <f t="shared" si="227"/>
        <v>0</v>
      </c>
    </row>
    <row r="130" spans="1:186" s="982" customFormat="1" ht="15.6" x14ac:dyDescent="0.3">
      <c r="A130" s="974">
        <v>128</v>
      </c>
      <c r="B130" s="983"/>
      <c r="C130" s="984"/>
      <c r="D130" s="983"/>
      <c r="E130" s="968" t="str">
        <f>IFERROR(VLOOKUP($D130&amp;"."&amp;B130,'Piping Class'!$1:$1048576,MATCH($I130,'Piping Class'!$2:$2,0),0),"")</f>
        <v/>
      </c>
      <c r="F130" s="985" t="str">
        <f>IFERROR(IF(B130="Flange",VLOOKUP($D130,'Piping Class'!$88:$102,MATCH(F$1,'Piping Class'!$88:$88,0),0),""),"")</f>
        <v/>
      </c>
      <c r="G130" s="968" t="str">
        <f>IFERROR(IF(B130="Flange",VLOOKUP($D130,'Piping Class'!$88:$102,MATCH(G$1,'Piping Class'!$88:$88,0),0),""),"")</f>
        <v/>
      </c>
      <c r="H130" s="968" t="str">
        <f>IFERROR(VLOOKUP($D130,'Piping Class'!$88:$102,MATCH(H$1,'Piping Class'!$88:$88,0),0),"")</f>
        <v/>
      </c>
      <c r="I130" s="986"/>
      <c r="J130" s="987"/>
      <c r="K130" s="968" t="str">
        <f>IFERROR(VLOOKUP(I130,'Thickness Tab'!$1:$1048576,MATCH(L130,'Thickness Tab'!$1:$1,0),0),"")</f>
        <v/>
      </c>
      <c r="L130" s="969" t="str">
        <f>IFERROR(VLOOKUP($D130,'Piping Class'!$1:$1048576,MATCH($I130,'Piping Class'!$2:$2,0),0),"")</f>
        <v/>
      </c>
      <c r="M130" s="968" t="str">
        <f>IFERROR(VLOOKUP(J130,'Thickness Tab'!$1:$1048576,MATCH(N130,'Thickness Tab'!$1:$1,0),0),"")</f>
        <v/>
      </c>
      <c r="N130" s="969" t="str">
        <f>IFERROR(VLOOKUP($D130,'Piping Class'!$1:$1048576,MATCH($J130,'Piping Class'!$2:$2,0),0),"")</f>
        <v/>
      </c>
      <c r="O130" s="968" t="str">
        <f>IFERROR(VLOOKUP($D130,'Piping Class'!$88:$102,MATCH(O$1,'Piping Class'!$88:$88,0),0),"")</f>
        <v/>
      </c>
      <c r="P130" s="968" t="str">
        <f>IFERROR(VLOOKUP($D130,'Piping Class'!$88:$102,MATCH(P$1,'Piping Class'!$88:$88,0),0),"")</f>
        <v/>
      </c>
      <c r="Q130" s="983"/>
      <c r="R130" s="988"/>
      <c r="S130" s="969" t="str">
        <f t="shared" si="232"/>
        <v/>
      </c>
      <c r="T130" s="968">
        <f>IFERROR(VLOOKUP(I130&amp;"."&amp;L130,'Fitting Chart'!$1:$1048576,MATCH(C130,'Fitting Chart'!$1:$1,0),0),0)+IF(B130="piping",PI()*K130*(VLOOKUP(I130,'Thickness Tab'!$1:$1048576,3,0)-K130)*7.86/1000,0)+IF(B130="Flange",VLOOKUP(I130&amp;"F"&amp;F130,'Flanges Chart'!$1:$1048576,MATCH(C130&amp;"."&amp;T$1,'Flanges Chart'!$1:$1,0),0),0)</f>
        <v>0</v>
      </c>
      <c r="U130" s="989">
        <f t="shared" si="233"/>
        <v>0</v>
      </c>
      <c r="V130" s="1003"/>
      <c r="W130" s="1001">
        <f t="shared" si="234"/>
        <v>0</v>
      </c>
      <c r="X130" s="997"/>
      <c r="Y130" s="983"/>
      <c r="Z130" s="989">
        <f>IF(B130="Piping",VLOOKUP(I130,'Thickness Tab'!$1:$1048576,3,0)/1000*PI(),0)+IFERROR(VLOOKUP(I130&amp;"F"&amp;F130,'Flanges Chart'!$1:$1048576,MATCH(C130&amp;".Unit Surface",'Flanges Chart'!$1:$1,0),0),0)+IF(B130="Fitting",VLOOKUP(I130,'Thickness Tab'!$1:$1048576,3,0)/1000*PI(),0)</f>
        <v>0</v>
      </c>
      <c r="AA130" s="989">
        <f t="shared" si="235"/>
        <v>0</v>
      </c>
      <c r="AB130" s="983">
        <v>0</v>
      </c>
      <c r="AC130" s="989">
        <f t="shared" si="154"/>
        <v>0</v>
      </c>
      <c r="AD130" s="989">
        <f t="shared" si="155"/>
        <v>0</v>
      </c>
      <c r="AE130" s="974">
        <f>(IFERROR(VLOOKUP($C130,List!$J:$L,2,0),0)*R130+IF(B130="piping",R130,0)+IF(C130="Welding Neck",1,0)*R130)*$AE$2</f>
        <v>0</v>
      </c>
      <c r="AF130" s="970">
        <f>IFERROR(VLOOKUP($C130,List!$J:$L,3,0),0)*R130*$AF$2</f>
        <v>0</v>
      </c>
      <c r="AG130" s="990">
        <f t="shared" si="236"/>
        <v>0</v>
      </c>
      <c r="AH130" s="1118" t="str">
        <f>IFERROR(VLOOKUP($D130,'Piping Class'!$88:$102,MATCH(AH$1,'Piping Class'!$88:$88,0),0),"")</f>
        <v/>
      </c>
      <c r="AI130" s="991" t="str">
        <f>IFERROR(VLOOKUP($D130,'Piping Class'!$88:$102,MATCH(AI$1,'Piping Class'!$88:$88,0),0),"")</f>
        <v/>
      </c>
      <c r="AJ130" s="991" t="str">
        <f>IFERROR(VLOOKUP($D130,'Piping Class'!$88:$102,MATCH(AJ$1,'Piping Class'!$88:$88,0),0),"")</f>
        <v/>
      </c>
      <c r="AK130" s="991" t="str">
        <f>IFERROR(VLOOKUP($D130,'Piping Class'!$88:$102,MATCH(AK$1,'Piping Class'!$88:$88,0),0),"")</f>
        <v/>
      </c>
      <c r="AL130" s="991">
        <f t="shared" si="182"/>
        <v>0</v>
      </c>
      <c r="AM130" s="1119" t="str">
        <f>IFERROR(VLOOKUP($D130,'Piping Class'!$88:$102,MATCH(AM$1,'Piping Class'!$88:$88,0),0),"")</f>
        <v/>
      </c>
      <c r="AN130" s="992">
        <f t="shared" si="157"/>
        <v>0</v>
      </c>
      <c r="AO130" s="993">
        <f>IFERROR(VLOOKUP(I130&amp;"B"&amp;F130,'Bolting Chart'!$1:$1048576,4,0),0)</f>
        <v>0</v>
      </c>
      <c r="AP130" s="993">
        <f t="shared" si="237"/>
        <v>0</v>
      </c>
      <c r="AQ130" s="993">
        <f t="shared" si="238"/>
        <v>0</v>
      </c>
      <c r="AR130" s="993">
        <f>IF(AO130=0,0,VLOOKUP(D130&amp;".bolting",'Piping Class'!$1:$1048576,MATCH(I130,'Piping Class'!$2:$2,0),0))</f>
        <v>0</v>
      </c>
      <c r="AS130" s="994">
        <f>IFERROR(VLOOKUP(I130&amp;"B"&amp;F130,'Bolting Chart'!$1:$1048576,IF(AS$2="UNC",5,6),0),0)</f>
        <v>0</v>
      </c>
      <c r="AT130" s="995">
        <f>IFERROR(VLOOKUP(I130&amp;"B"&amp;F130,'Bolting Chart'!$1:$1048576,IF(G130="RF",8,9),0),0)</f>
        <v>0</v>
      </c>
      <c r="AU130" s="993">
        <f>IF(AO130=0,0,VLOOKUP(D130&amp;".gasket",'Piping Class'!$1:$1048576,MATCH(I130,'Piping Class'!$2:$2,0),0))</f>
        <v>0</v>
      </c>
      <c r="AV130" s="996">
        <f>(IFERROR(INDEX('Bolting Chart'!$A$169:$R$251,MATCH(AT130,'Bolting Chart'!$A$170:$A$251,0),MATCH(IFERROR(VLOOKUP(I130&amp;"B"&amp;F130,'Bolting Chart'!$1:$1048576,7,0),0)+0,'Bolting Chart'!$A$169:$R$169,0)),0))/100</f>
        <v>0</v>
      </c>
      <c r="AW130" s="996">
        <f t="shared" si="239"/>
        <v>0</v>
      </c>
      <c r="AX130" s="1194">
        <f t="shared" si="240"/>
        <v>0</v>
      </c>
      <c r="AY130" s="981"/>
      <c r="AZ130" s="1543">
        <f t="shared" si="229"/>
        <v>0</v>
      </c>
      <c r="BA130" s="1543">
        <f t="shared" si="229"/>
        <v>0</v>
      </c>
      <c r="BB130" s="1543">
        <f t="shared" si="229"/>
        <v>0</v>
      </c>
      <c r="BC130" s="1543">
        <f t="shared" si="229"/>
        <v>0</v>
      </c>
      <c r="BD130" s="1543">
        <f t="shared" si="229"/>
        <v>0</v>
      </c>
      <c r="BE130" s="1543">
        <f t="shared" si="229"/>
        <v>0</v>
      </c>
      <c r="BF130" s="1543">
        <f t="shared" si="229"/>
        <v>0</v>
      </c>
      <c r="BG130" s="1543">
        <f t="shared" si="229"/>
        <v>0</v>
      </c>
      <c r="BH130" s="1543">
        <f t="shared" si="229"/>
        <v>0</v>
      </c>
      <c r="BI130" s="1543">
        <f t="shared" si="229"/>
        <v>0</v>
      </c>
      <c r="BJ130" s="1543">
        <f t="shared" si="229"/>
        <v>0</v>
      </c>
      <c r="BK130" s="1543">
        <f t="shared" si="229"/>
        <v>0</v>
      </c>
      <c r="BL130" s="1543">
        <f t="shared" si="229"/>
        <v>0</v>
      </c>
      <c r="BM130" s="1543">
        <f t="shared" si="229"/>
        <v>0</v>
      </c>
      <c r="BN130" s="1543">
        <f t="shared" si="229"/>
        <v>0</v>
      </c>
      <c r="BO130" s="1543">
        <f t="shared" si="229"/>
        <v>0</v>
      </c>
      <c r="BP130" s="1543">
        <f t="shared" si="222"/>
        <v>0</v>
      </c>
      <c r="BQ130" s="1543">
        <f t="shared" si="222"/>
        <v>0</v>
      </c>
      <c r="BR130" s="1543">
        <f t="shared" si="222"/>
        <v>0</v>
      </c>
      <c r="BS130" s="1543">
        <f t="shared" si="222"/>
        <v>0</v>
      </c>
      <c r="BT130" s="1543">
        <f t="shared" si="222"/>
        <v>0</v>
      </c>
      <c r="BU130" s="1543">
        <f t="shared" si="222"/>
        <v>0</v>
      </c>
      <c r="BV130" s="1543">
        <f t="shared" si="222"/>
        <v>0</v>
      </c>
      <c r="BW130" s="1543">
        <f t="shared" si="222"/>
        <v>0</v>
      </c>
      <c r="BX130" s="1543">
        <f t="shared" si="222"/>
        <v>0</v>
      </c>
      <c r="BY130" s="1543">
        <f t="shared" si="222"/>
        <v>0</v>
      </c>
      <c r="BZ130" s="1543">
        <f t="shared" si="222"/>
        <v>0</v>
      </c>
      <c r="CB130" s="1543">
        <f t="shared" si="230"/>
        <v>0</v>
      </c>
      <c r="CC130" s="1543">
        <f t="shared" si="230"/>
        <v>0</v>
      </c>
      <c r="CD130" s="1543">
        <f t="shared" si="230"/>
        <v>0</v>
      </c>
      <c r="CE130" s="1543">
        <f t="shared" si="230"/>
        <v>0</v>
      </c>
      <c r="CF130" s="1543">
        <f t="shared" si="230"/>
        <v>0</v>
      </c>
      <c r="CG130" s="1543">
        <f t="shared" si="230"/>
        <v>0</v>
      </c>
      <c r="CH130" s="1543">
        <f t="shared" si="230"/>
        <v>0</v>
      </c>
      <c r="CI130" s="1543">
        <f t="shared" si="230"/>
        <v>0</v>
      </c>
      <c r="CJ130" s="1543">
        <f t="shared" si="230"/>
        <v>0</v>
      </c>
      <c r="CK130" s="1543">
        <f t="shared" si="230"/>
        <v>0</v>
      </c>
      <c r="CL130" s="1543">
        <f t="shared" si="230"/>
        <v>0</v>
      </c>
      <c r="CM130" s="1543">
        <f t="shared" si="230"/>
        <v>0</v>
      </c>
      <c r="CN130" s="1543">
        <f t="shared" si="230"/>
        <v>0</v>
      </c>
      <c r="CO130" s="1543">
        <f t="shared" si="230"/>
        <v>0</v>
      </c>
      <c r="CP130" s="1543">
        <f t="shared" si="230"/>
        <v>0</v>
      </c>
      <c r="CQ130" s="1543">
        <f t="shared" si="230"/>
        <v>0</v>
      </c>
      <c r="CR130" s="1543">
        <f t="shared" si="223"/>
        <v>0</v>
      </c>
      <c r="CS130" s="1543">
        <f t="shared" si="223"/>
        <v>0</v>
      </c>
      <c r="CT130" s="1543">
        <f t="shared" si="248"/>
        <v>0</v>
      </c>
      <c r="CU130" s="1543">
        <f t="shared" si="248"/>
        <v>0</v>
      </c>
      <c r="CV130" s="1543">
        <f t="shared" si="248"/>
        <v>0</v>
      </c>
      <c r="CW130" s="1543">
        <f t="shared" si="248"/>
        <v>0</v>
      </c>
      <c r="CX130" s="1543">
        <f t="shared" si="248"/>
        <v>0</v>
      </c>
      <c r="CY130" s="1543">
        <f t="shared" si="248"/>
        <v>0</v>
      </c>
      <c r="CZ130" s="1543">
        <f t="shared" si="248"/>
        <v>0</v>
      </c>
      <c r="DA130" s="1543">
        <f t="shared" si="248"/>
        <v>0</v>
      </c>
      <c r="DB130" s="1543">
        <f t="shared" si="248"/>
        <v>0</v>
      </c>
      <c r="DD130" s="1543">
        <f t="shared" si="194"/>
        <v>0</v>
      </c>
      <c r="DE130" s="1543">
        <f t="shared" si="195"/>
        <v>0</v>
      </c>
      <c r="DF130" s="1543">
        <f t="shared" si="196"/>
        <v>0</v>
      </c>
      <c r="DG130" s="1543">
        <f t="shared" si="162"/>
        <v>0</v>
      </c>
      <c r="DI130" s="1543">
        <f t="shared" si="163"/>
        <v>0</v>
      </c>
      <c r="DJ130" s="1543">
        <f t="shared" si="224"/>
        <v>0</v>
      </c>
      <c r="DK130" s="1543">
        <f t="shared" si="224"/>
        <v>0</v>
      </c>
      <c r="DL130" s="1543">
        <f t="shared" si="224"/>
        <v>0</v>
      </c>
      <c r="DM130" s="1543">
        <f t="shared" si="224"/>
        <v>0</v>
      </c>
      <c r="DO130" s="1543">
        <f t="shared" si="231"/>
        <v>0</v>
      </c>
      <c r="DP130" s="1543">
        <f t="shared" si="231"/>
        <v>0</v>
      </c>
      <c r="DQ130" s="1543">
        <f t="shared" si="231"/>
        <v>0</v>
      </c>
      <c r="DR130" s="1543">
        <f t="shared" si="231"/>
        <v>0</v>
      </c>
      <c r="DS130" s="1543">
        <f t="shared" si="231"/>
        <v>0</v>
      </c>
      <c r="DT130" s="1543">
        <f t="shared" si="231"/>
        <v>0</v>
      </c>
      <c r="DU130" s="1543">
        <f t="shared" si="231"/>
        <v>0</v>
      </c>
      <c r="DV130" s="1543">
        <f t="shared" si="231"/>
        <v>0</v>
      </c>
      <c r="DW130" s="1543">
        <f t="shared" si="231"/>
        <v>0</v>
      </c>
      <c r="DX130" s="1543">
        <f t="shared" si="231"/>
        <v>0</v>
      </c>
      <c r="DY130" s="1543">
        <f t="shared" si="231"/>
        <v>0</v>
      </c>
      <c r="DZ130" s="1543">
        <f t="shared" si="231"/>
        <v>0</v>
      </c>
      <c r="EA130" s="1543">
        <f t="shared" si="231"/>
        <v>0</v>
      </c>
      <c r="EB130" s="1543">
        <f t="shared" si="225"/>
        <v>0</v>
      </c>
      <c r="EC130" s="1543">
        <f t="shared" si="225"/>
        <v>0</v>
      </c>
      <c r="ED130" s="1543">
        <f t="shared" si="225"/>
        <v>0</v>
      </c>
      <c r="EE130" s="1543">
        <f t="shared" si="225"/>
        <v>0</v>
      </c>
      <c r="EF130" s="1543">
        <f t="shared" si="225"/>
        <v>0</v>
      </c>
      <c r="EH130" s="1543">
        <f t="shared" si="241"/>
        <v>0</v>
      </c>
      <c r="EI130" s="1543">
        <f t="shared" si="242"/>
        <v>0</v>
      </c>
      <c r="EJ130" s="1543">
        <f t="shared" si="243"/>
        <v>0</v>
      </c>
      <c r="EK130" s="1543">
        <f t="shared" si="244"/>
        <v>0</v>
      </c>
      <c r="EL130" s="1543">
        <f t="shared" si="245"/>
        <v>0</v>
      </c>
      <c r="EM130" s="1543">
        <f t="shared" si="246"/>
        <v>0</v>
      </c>
      <c r="EN130" s="1543">
        <f t="shared" si="247"/>
        <v>0</v>
      </c>
      <c r="EP130" s="1543">
        <f t="shared" si="197"/>
        <v>0</v>
      </c>
      <c r="EQ130" s="1543">
        <f t="shared" si="197"/>
        <v>0</v>
      </c>
      <c r="ER130" s="1543">
        <f t="shared" si="197"/>
        <v>0</v>
      </c>
      <c r="ES130" s="1543">
        <f t="shared" si="192"/>
        <v>0</v>
      </c>
      <c r="ET130" s="1543">
        <f t="shared" si="228"/>
        <v>0</v>
      </c>
      <c r="EU130" s="1543">
        <f t="shared" si="228"/>
        <v>0</v>
      </c>
      <c r="EV130" s="1543">
        <f t="shared" si="228"/>
        <v>0</v>
      </c>
      <c r="EW130" s="1543">
        <f t="shared" si="228"/>
        <v>0</v>
      </c>
      <c r="EX130" s="1543">
        <f t="shared" si="228"/>
        <v>0</v>
      </c>
      <c r="EY130" s="1543">
        <f t="shared" si="228"/>
        <v>0</v>
      </c>
      <c r="EZ130" s="1543">
        <f t="shared" si="228"/>
        <v>0</v>
      </c>
      <c r="FA130" s="1543">
        <f t="shared" si="228"/>
        <v>0</v>
      </c>
      <c r="FB130" s="1543">
        <f t="shared" si="228"/>
        <v>0</v>
      </c>
      <c r="FC130" s="1543">
        <f t="shared" si="228"/>
        <v>0</v>
      </c>
      <c r="FD130" s="1543">
        <f t="shared" si="228"/>
        <v>0</v>
      </c>
      <c r="FE130" s="1543">
        <f t="shared" si="184"/>
        <v>0</v>
      </c>
      <c r="FF130" s="1543">
        <f t="shared" si="172"/>
        <v>1</v>
      </c>
      <c r="FH130" s="1543">
        <f t="shared" si="226"/>
        <v>0</v>
      </c>
      <c r="FI130" s="1543">
        <f t="shared" si="226"/>
        <v>0</v>
      </c>
      <c r="FJ130" s="1543">
        <f t="shared" si="226"/>
        <v>0</v>
      </c>
      <c r="FK130" s="1543">
        <f t="shared" si="226"/>
        <v>0</v>
      </c>
      <c r="FL130" s="1543">
        <f t="shared" si="226"/>
        <v>0</v>
      </c>
      <c r="FM130" s="1543">
        <f t="shared" si="226"/>
        <v>0</v>
      </c>
      <c r="FN130" s="1543">
        <f t="shared" si="226"/>
        <v>0</v>
      </c>
      <c r="FO130" s="1543">
        <f t="shared" si="226"/>
        <v>0</v>
      </c>
      <c r="FP130" s="1543">
        <f t="shared" si="226"/>
        <v>0</v>
      </c>
      <c r="FQ130" s="1543">
        <f t="shared" si="226"/>
        <v>0</v>
      </c>
      <c r="FR130" s="1543">
        <f t="shared" si="226"/>
        <v>0</v>
      </c>
      <c r="FS130" s="1543">
        <f t="shared" si="226"/>
        <v>0</v>
      </c>
      <c r="FT130" s="1543">
        <f t="shared" si="174"/>
        <v>0</v>
      </c>
      <c r="FV130" s="1543">
        <f t="shared" si="227"/>
        <v>1</v>
      </c>
      <c r="FW130" s="1543">
        <f t="shared" si="227"/>
        <v>0</v>
      </c>
      <c r="FX130" s="1543">
        <f t="shared" si="227"/>
        <v>0</v>
      </c>
      <c r="FY130" s="1543">
        <f t="shared" si="227"/>
        <v>0</v>
      </c>
      <c r="FZ130" s="1543">
        <f t="shared" si="227"/>
        <v>0</v>
      </c>
      <c r="GA130" s="1543">
        <f t="shared" si="227"/>
        <v>0</v>
      </c>
      <c r="GB130" s="1543">
        <f t="shared" si="227"/>
        <v>0</v>
      </c>
      <c r="GC130" s="1543">
        <f t="shared" si="227"/>
        <v>0</v>
      </c>
      <c r="GD130" s="1543">
        <f t="shared" si="227"/>
        <v>0</v>
      </c>
    </row>
    <row r="131" spans="1:186" s="982" customFormat="1" ht="15.6" x14ac:dyDescent="0.3">
      <c r="A131" s="974">
        <v>129</v>
      </c>
      <c r="B131" s="983"/>
      <c r="C131" s="984"/>
      <c r="D131" s="983"/>
      <c r="E131" s="968" t="str">
        <f>IFERROR(VLOOKUP($D131&amp;"."&amp;B131,'Piping Class'!$1:$1048576,MATCH($I131,'Piping Class'!$2:$2,0),0),"")</f>
        <v/>
      </c>
      <c r="F131" s="985" t="str">
        <f>IFERROR(IF(B131="Flange",VLOOKUP($D131,'Piping Class'!$88:$102,MATCH(F$1,'Piping Class'!$88:$88,0),0),""),"")</f>
        <v/>
      </c>
      <c r="G131" s="968" t="str">
        <f>IFERROR(IF(B131="Flange",VLOOKUP($D131,'Piping Class'!$88:$102,MATCH(G$1,'Piping Class'!$88:$88,0),0),""),"")</f>
        <v/>
      </c>
      <c r="H131" s="968" t="str">
        <f>IFERROR(VLOOKUP($D131,'Piping Class'!$88:$102,MATCH(H$1,'Piping Class'!$88:$88,0),0),"")</f>
        <v/>
      </c>
      <c r="I131" s="986"/>
      <c r="J131" s="987"/>
      <c r="K131" s="968" t="str">
        <f>IFERROR(VLOOKUP(I131,'Thickness Tab'!$1:$1048576,MATCH(L131,'Thickness Tab'!$1:$1,0),0),"")</f>
        <v/>
      </c>
      <c r="L131" s="969" t="str">
        <f>IFERROR(VLOOKUP($D131,'Piping Class'!$1:$1048576,MATCH($I131,'Piping Class'!$2:$2,0),0),"")</f>
        <v/>
      </c>
      <c r="M131" s="968" t="str">
        <f>IFERROR(VLOOKUP(J131,'Thickness Tab'!$1:$1048576,MATCH(N131,'Thickness Tab'!$1:$1,0),0),"")</f>
        <v/>
      </c>
      <c r="N131" s="969" t="str">
        <f>IFERROR(VLOOKUP($D131,'Piping Class'!$1:$1048576,MATCH($J131,'Piping Class'!$2:$2,0),0),"")</f>
        <v/>
      </c>
      <c r="O131" s="968" t="str">
        <f>IFERROR(VLOOKUP($D131,'Piping Class'!$88:$102,MATCH(O$1,'Piping Class'!$88:$88,0),0),"")</f>
        <v/>
      </c>
      <c r="P131" s="968" t="str">
        <f>IFERROR(VLOOKUP($D131,'Piping Class'!$88:$102,MATCH(P$1,'Piping Class'!$88:$88,0),0),"")</f>
        <v/>
      </c>
      <c r="Q131" s="983"/>
      <c r="R131" s="988"/>
      <c r="S131" s="969" t="str">
        <f t="shared" si="232"/>
        <v/>
      </c>
      <c r="T131" s="968">
        <f>IFERROR(VLOOKUP(I131&amp;"."&amp;L131,'Fitting Chart'!$1:$1048576,MATCH(C131,'Fitting Chart'!$1:$1,0),0),0)+IF(B131="piping",PI()*K131*(VLOOKUP(I131,'Thickness Tab'!$1:$1048576,3,0)-K131)*7.86/1000,0)+IF(B131="Flange",VLOOKUP(I131&amp;"F"&amp;F131,'Flanges Chart'!$1:$1048576,MATCH(C131&amp;"."&amp;T$1,'Flanges Chart'!$1:$1,0),0),0)</f>
        <v>0</v>
      </c>
      <c r="U131" s="989">
        <f t="shared" si="233"/>
        <v>0</v>
      </c>
      <c r="V131" s="1003"/>
      <c r="W131" s="1001">
        <f t="shared" si="234"/>
        <v>0</v>
      </c>
      <c r="X131" s="997"/>
      <c r="Y131" s="983"/>
      <c r="Z131" s="989">
        <f>IF(B131="Piping",VLOOKUP(I131,'Thickness Tab'!$1:$1048576,3,0)/1000*PI(),0)+IFERROR(VLOOKUP(I131&amp;"F"&amp;F131,'Flanges Chart'!$1:$1048576,MATCH(C131&amp;".Unit Surface",'Flanges Chart'!$1:$1,0),0),0)+IF(B131="Fitting",VLOOKUP(I131,'Thickness Tab'!$1:$1048576,3,0)/1000*PI(),0)</f>
        <v>0</v>
      </c>
      <c r="AA131" s="989">
        <f t="shared" si="235"/>
        <v>0</v>
      </c>
      <c r="AB131" s="983">
        <v>0</v>
      </c>
      <c r="AC131" s="989">
        <f t="shared" si="154"/>
        <v>0</v>
      </c>
      <c r="AD131" s="989">
        <f t="shared" si="155"/>
        <v>0</v>
      </c>
      <c r="AE131" s="974">
        <f>(IFERROR(VLOOKUP($C131,List!$J:$L,2,0),0)*R131+IF(B131="piping",R131,0)+IF(C131="Welding Neck",1,0)*R131)*$AE$2</f>
        <v>0</v>
      </c>
      <c r="AF131" s="970">
        <f>IFERROR(VLOOKUP($C131,List!$J:$L,3,0),0)*R131*$AF$2</f>
        <v>0</v>
      </c>
      <c r="AG131" s="990">
        <f t="shared" si="236"/>
        <v>0</v>
      </c>
      <c r="AH131" s="1118" t="str">
        <f>IFERROR(VLOOKUP($D131,'Piping Class'!$88:$102,MATCH(AH$1,'Piping Class'!$88:$88,0),0),"")</f>
        <v/>
      </c>
      <c r="AI131" s="991" t="str">
        <f>IFERROR(VLOOKUP($D131,'Piping Class'!$88:$102,MATCH(AI$1,'Piping Class'!$88:$88,0),0),"")</f>
        <v/>
      </c>
      <c r="AJ131" s="991" t="str">
        <f>IFERROR(VLOOKUP($D131,'Piping Class'!$88:$102,MATCH(AJ$1,'Piping Class'!$88:$88,0),0),"")</f>
        <v/>
      </c>
      <c r="AK131" s="991" t="str">
        <f>IFERROR(VLOOKUP($D131,'Piping Class'!$88:$102,MATCH(AK$1,'Piping Class'!$88:$88,0),0),"")</f>
        <v/>
      </c>
      <c r="AL131" s="991">
        <f t="shared" si="182"/>
        <v>0</v>
      </c>
      <c r="AM131" s="1119" t="str">
        <f>IFERROR(VLOOKUP($D131,'Piping Class'!$88:$102,MATCH(AM$1,'Piping Class'!$88:$88,0),0),"")</f>
        <v/>
      </c>
      <c r="AN131" s="992">
        <f t="shared" si="157"/>
        <v>0</v>
      </c>
      <c r="AO131" s="993">
        <f>IFERROR(VLOOKUP(I131&amp;"B"&amp;F131,'Bolting Chart'!$1:$1048576,4,0),0)</f>
        <v>0</v>
      </c>
      <c r="AP131" s="993">
        <f t="shared" si="237"/>
        <v>0</v>
      </c>
      <c r="AQ131" s="993">
        <f t="shared" si="238"/>
        <v>0</v>
      </c>
      <c r="AR131" s="993">
        <f>IF(AO131=0,0,VLOOKUP(D131&amp;".bolting",'Piping Class'!$1:$1048576,MATCH(I131,'Piping Class'!$2:$2,0),0))</f>
        <v>0</v>
      </c>
      <c r="AS131" s="994">
        <f>IFERROR(VLOOKUP(I131&amp;"B"&amp;F131,'Bolting Chart'!$1:$1048576,IF(AS$2="UNC",5,6),0),0)</f>
        <v>0</v>
      </c>
      <c r="AT131" s="995">
        <f>IFERROR(VLOOKUP(I131&amp;"B"&amp;F131,'Bolting Chart'!$1:$1048576,IF(G131="RF",8,9),0),0)</f>
        <v>0</v>
      </c>
      <c r="AU131" s="993">
        <f>IF(AO131=0,0,VLOOKUP(D131&amp;".gasket",'Piping Class'!$1:$1048576,MATCH(I131,'Piping Class'!$2:$2,0),0))</f>
        <v>0</v>
      </c>
      <c r="AV131" s="996">
        <f>(IFERROR(INDEX('Bolting Chart'!$A$169:$R$251,MATCH(AT131,'Bolting Chart'!$A$170:$A$251,0),MATCH(IFERROR(VLOOKUP(I131&amp;"B"&amp;F131,'Bolting Chart'!$1:$1048576,7,0),0)+0,'Bolting Chart'!$A$169:$R$169,0)),0))/100</f>
        <v>0</v>
      </c>
      <c r="AW131" s="996">
        <f t="shared" si="239"/>
        <v>0</v>
      </c>
      <c r="AX131" s="1194">
        <f t="shared" si="240"/>
        <v>0</v>
      </c>
      <c r="AY131" s="981"/>
      <c r="AZ131" s="1543">
        <f t="shared" si="229"/>
        <v>0</v>
      </c>
      <c r="BA131" s="1543">
        <f t="shared" si="229"/>
        <v>0</v>
      </c>
      <c r="BB131" s="1543">
        <f t="shared" si="229"/>
        <v>0</v>
      </c>
      <c r="BC131" s="1543">
        <f t="shared" si="229"/>
        <v>0</v>
      </c>
      <c r="BD131" s="1543">
        <f t="shared" si="229"/>
        <v>0</v>
      </c>
      <c r="BE131" s="1543">
        <f t="shared" si="229"/>
        <v>0</v>
      </c>
      <c r="BF131" s="1543">
        <f t="shared" si="229"/>
        <v>0</v>
      </c>
      <c r="BG131" s="1543">
        <f t="shared" si="229"/>
        <v>0</v>
      </c>
      <c r="BH131" s="1543">
        <f t="shared" si="229"/>
        <v>0</v>
      </c>
      <c r="BI131" s="1543">
        <f t="shared" si="229"/>
        <v>0</v>
      </c>
      <c r="BJ131" s="1543">
        <f t="shared" si="229"/>
        <v>0</v>
      </c>
      <c r="BK131" s="1543">
        <f t="shared" si="229"/>
        <v>0</v>
      </c>
      <c r="BL131" s="1543">
        <f t="shared" si="229"/>
        <v>0</v>
      </c>
      <c r="BM131" s="1543">
        <f t="shared" si="229"/>
        <v>0</v>
      </c>
      <c r="BN131" s="1543">
        <f t="shared" si="229"/>
        <v>0</v>
      </c>
      <c r="BO131" s="1543">
        <f t="shared" si="229"/>
        <v>0</v>
      </c>
      <c r="BP131" s="1543">
        <f t="shared" ref="BP131:BZ139" si="249">IF($I131=BP$2,1,0)</f>
        <v>0</v>
      </c>
      <c r="BQ131" s="1543">
        <f t="shared" si="249"/>
        <v>0</v>
      </c>
      <c r="BR131" s="1543">
        <f t="shared" si="249"/>
        <v>0</v>
      </c>
      <c r="BS131" s="1543">
        <f t="shared" si="249"/>
        <v>0</v>
      </c>
      <c r="BT131" s="1543">
        <f t="shared" si="249"/>
        <v>0</v>
      </c>
      <c r="BU131" s="1543">
        <f t="shared" si="249"/>
        <v>0</v>
      </c>
      <c r="BV131" s="1543">
        <f t="shared" si="249"/>
        <v>0</v>
      </c>
      <c r="BW131" s="1543">
        <f t="shared" si="249"/>
        <v>0</v>
      </c>
      <c r="BX131" s="1543">
        <f t="shared" si="249"/>
        <v>0</v>
      </c>
      <c r="BY131" s="1543">
        <f t="shared" si="249"/>
        <v>0</v>
      </c>
      <c r="BZ131" s="1543">
        <f t="shared" si="249"/>
        <v>0</v>
      </c>
      <c r="CB131" s="1543">
        <f t="shared" si="230"/>
        <v>0</v>
      </c>
      <c r="CC131" s="1543">
        <f t="shared" si="230"/>
        <v>0</v>
      </c>
      <c r="CD131" s="1543">
        <f t="shared" si="230"/>
        <v>0</v>
      </c>
      <c r="CE131" s="1543">
        <f t="shared" si="230"/>
        <v>0</v>
      </c>
      <c r="CF131" s="1543">
        <f t="shared" si="230"/>
        <v>0</v>
      </c>
      <c r="CG131" s="1543">
        <f t="shared" si="230"/>
        <v>0</v>
      </c>
      <c r="CH131" s="1543">
        <f t="shared" si="230"/>
        <v>0</v>
      </c>
      <c r="CI131" s="1543">
        <f t="shared" si="230"/>
        <v>0</v>
      </c>
      <c r="CJ131" s="1543">
        <f t="shared" si="230"/>
        <v>0</v>
      </c>
      <c r="CK131" s="1543">
        <f t="shared" si="230"/>
        <v>0</v>
      </c>
      <c r="CL131" s="1543">
        <f t="shared" si="230"/>
        <v>0</v>
      </c>
      <c r="CM131" s="1543">
        <f t="shared" si="230"/>
        <v>0</v>
      </c>
      <c r="CN131" s="1543">
        <f t="shared" si="230"/>
        <v>0</v>
      </c>
      <c r="CO131" s="1543">
        <f t="shared" si="230"/>
        <v>0</v>
      </c>
      <c r="CP131" s="1543">
        <f t="shared" si="230"/>
        <v>0</v>
      </c>
      <c r="CQ131" s="1543">
        <f t="shared" si="230"/>
        <v>0</v>
      </c>
      <c r="CR131" s="1543">
        <f t="shared" ref="CR131:CS139" si="250">IF($J131=CR$2,1,0)</f>
        <v>0</v>
      </c>
      <c r="CS131" s="1543">
        <f t="shared" si="250"/>
        <v>0</v>
      </c>
      <c r="CT131" s="1543">
        <f t="shared" si="248"/>
        <v>0</v>
      </c>
      <c r="CU131" s="1543">
        <f t="shared" si="248"/>
        <v>0</v>
      </c>
      <c r="CV131" s="1543">
        <f t="shared" si="248"/>
        <v>0</v>
      </c>
      <c r="CW131" s="1543">
        <f t="shared" si="248"/>
        <v>0</v>
      </c>
      <c r="CX131" s="1543">
        <f t="shared" si="248"/>
        <v>0</v>
      </c>
      <c r="CY131" s="1543">
        <f t="shared" si="248"/>
        <v>0</v>
      </c>
      <c r="CZ131" s="1543">
        <f t="shared" si="248"/>
        <v>0</v>
      </c>
      <c r="DA131" s="1543">
        <f t="shared" si="248"/>
        <v>0</v>
      </c>
      <c r="DB131" s="1543">
        <f t="shared" si="248"/>
        <v>0</v>
      </c>
      <c r="DD131" s="1543">
        <f t="shared" ref="DD131:DD139" si="251">SUM(AZ131:BC131)</f>
        <v>0</v>
      </c>
      <c r="DE131" s="1543">
        <f t="shared" ref="DE131:DE139" si="252">SUM(BD131:BH131)</f>
        <v>0</v>
      </c>
      <c r="DF131" s="1543">
        <f t="shared" ref="DF131:DF139" si="253">SUM(BI131:BL131)</f>
        <v>0</v>
      </c>
      <c r="DG131" s="1543">
        <f t="shared" si="162"/>
        <v>0</v>
      </c>
      <c r="DI131" s="1543">
        <f t="shared" si="163"/>
        <v>0</v>
      </c>
      <c r="DJ131" s="1543">
        <f t="shared" ref="DJ131:DM139" si="254">IF($H131=DJ$2,1,0)</f>
        <v>0</v>
      </c>
      <c r="DK131" s="1543">
        <f t="shared" si="254"/>
        <v>0</v>
      </c>
      <c r="DL131" s="1543">
        <f t="shared" si="254"/>
        <v>0</v>
      </c>
      <c r="DM131" s="1543">
        <f t="shared" si="254"/>
        <v>0</v>
      </c>
      <c r="DO131" s="1543">
        <f t="shared" si="231"/>
        <v>0</v>
      </c>
      <c r="DP131" s="1543">
        <f t="shared" si="231"/>
        <v>0</v>
      </c>
      <c r="DQ131" s="1543">
        <f t="shared" si="231"/>
        <v>0</v>
      </c>
      <c r="DR131" s="1543">
        <f t="shared" si="231"/>
        <v>0</v>
      </c>
      <c r="DS131" s="1543">
        <f t="shared" si="231"/>
        <v>0</v>
      </c>
      <c r="DT131" s="1543">
        <f t="shared" si="231"/>
        <v>0</v>
      </c>
      <c r="DU131" s="1543">
        <f t="shared" si="231"/>
        <v>0</v>
      </c>
      <c r="DV131" s="1543">
        <f t="shared" si="231"/>
        <v>0</v>
      </c>
      <c r="DW131" s="1543">
        <f t="shared" si="231"/>
        <v>0</v>
      </c>
      <c r="DX131" s="1543">
        <f t="shared" si="231"/>
        <v>0</v>
      </c>
      <c r="DY131" s="1543">
        <f t="shared" si="231"/>
        <v>0</v>
      </c>
      <c r="DZ131" s="1543">
        <f t="shared" si="231"/>
        <v>0</v>
      </c>
      <c r="EA131" s="1543">
        <f t="shared" si="231"/>
        <v>0</v>
      </c>
      <c r="EB131" s="1543">
        <f t="shared" si="231"/>
        <v>0</v>
      </c>
      <c r="EC131" s="1543">
        <f t="shared" si="231"/>
        <v>0</v>
      </c>
      <c r="ED131" s="1543">
        <f t="shared" si="231"/>
        <v>0</v>
      </c>
      <c r="EE131" s="1543">
        <f t="shared" ref="EB131:EF139" si="255">IF($L131=EE$2,1,0)</f>
        <v>0</v>
      </c>
      <c r="EF131" s="1543">
        <f t="shared" si="255"/>
        <v>0</v>
      </c>
      <c r="EH131" s="1543">
        <f t="shared" si="241"/>
        <v>0</v>
      </c>
      <c r="EI131" s="1543">
        <f t="shared" si="242"/>
        <v>0</v>
      </c>
      <c r="EJ131" s="1543">
        <f t="shared" si="243"/>
        <v>0</v>
      </c>
      <c r="EK131" s="1543">
        <f t="shared" si="244"/>
        <v>0</v>
      </c>
      <c r="EL131" s="1543">
        <f t="shared" si="245"/>
        <v>0</v>
      </c>
      <c r="EM131" s="1543">
        <f t="shared" si="246"/>
        <v>0</v>
      </c>
      <c r="EN131" s="1543">
        <f t="shared" si="247"/>
        <v>0</v>
      </c>
      <c r="EP131" s="1543">
        <f t="shared" si="197"/>
        <v>0</v>
      </c>
      <c r="EQ131" s="1543">
        <f t="shared" si="197"/>
        <v>0</v>
      </c>
      <c r="ER131" s="1543">
        <f t="shared" si="197"/>
        <v>0</v>
      </c>
      <c r="ES131" s="1543">
        <f t="shared" si="192"/>
        <v>0</v>
      </c>
      <c r="ET131" s="1543">
        <f t="shared" si="228"/>
        <v>0</v>
      </c>
      <c r="EU131" s="1543">
        <f t="shared" si="228"/>
        <v>0</v>
      </c>
      <c r="EV131" s="1543">
        <f t="shared" si="228"/>
        <v>0</v>
      </c>
      <c r="EW131" s="1543">
        <f t="shared" si="228"/>
        <v>0</v>
      </c>
      <c r="EX131" s="1543">
        <f t="shared" si="228"/>
        <v>0</v>
      </c>
      <c r="EY131" s="1543">
        <f t="shared" si="228"/>
        <v>0</v>
      </c>
      <c r="EZ131" s="1543">
        <f t="shared" si="228"/>
        <v>0</v>
      </c>
      <c r="FA131" s="1543">
        <f t="shared" si="228"/>
        <v>0</v>
      </c>
      <c r="FB131" s="1543">
        <f t="shared" si="228"/>
        <v>0</v>
      </c>
      <c r="FC131" s="1543">
        <f t="shared" si="228"/>
        <v>0</v>
      </c>
      <c r="FD131" s="1543">
        <f t="shared" si="228"/>
        <v>0</v>
      </c>
      <c r="FE131" s="1543">
        <f t="shared" si="184"/>
        <v>0</v>
      </c>
      <c r="FF131" s="1543">
        <f t="shared" si="172"/>
        <v>1</v>
      </c>
      <c r="FH131" s="1543">
        <f t="shared" si="226"/>
        <v>0</v>
      </c>
      <c r="FI131" s="1543">
        <f t="shared" si="226"/>
        <v>0</v>
      </c>
      <c r="FJ131" s="1543">
        <f t="shared" si="226"/>
        <v>0</v>
      </c>
      <c r="FK131" s="1543">
        <f t="shared" si="226"/>
        <v>0</v>
      </c>
      <c r="FL131" s="1543">
        <f t="shared" si="226"/>
        <v>0</v>
      </c>
      <c r="FM131" s="1543">
        <f t="shared" si="226"/>
        <v>0</v>
      </c>
      <c r="FN131" s="1543">
        <f t="shared" si="226"/>
        <v>0</v>
      </c>
      <c r="FO131" s="1543">
        <f t="shared" si="226"/>
        <v>0</v>
      </c>
      <c r="FP131" s="1543">
        <f t="shared" si="226"/>
        <v>0</v>
      </c>
      <c r="FQ131" s="1543">
        <f t="shared" si="226"/>
        <v>0</v>
      </c>
      <c r="FR131" s="1543">
        <f t="shared" si="226"/>
        <v>0</v>
      </c>
      <c r="FS131" s="1543">
        <f t="shared" si="226"/>
        <v>0</v>
      </c>
      <c r="FT131" s="1543">
        <f t="shared" si="174"/>
        <v>0</v>
      </c>
      <c r="FV131" s="1543">
        <f t="shared" si="227"/>
        <v>1</v>
      </c>
      <c r="FW131" s="1543">
        <f t="shared" si="227"/>
        <v>0</v>
      </c>
      <c r="FX131" s="1543">
        <f t="shared" si="227"/>
        <v>0</v>
      </c>
      <c r="FY131" s="1543">
        <f t="shared" si="227"/>
        <v>0</v>
      </c>
      <c r="FZ131" s="1543">
        <f t="shared" si="227"/>
        <v>0</v>
      </c>
      <c r="GA131" s="1543">
        <f t="shared" si="227"/>
        <v>0</v>
      </c>
      <c r="GB131" s="1543">
        <f t="shared" si="227"/>
        <v>0</v>
      </c>
      <c r="GC131" s="1543">
        <f t="shared" si="227"/>
        <v>0</v>
      </c>
      <c r="GD131" s="1543">
        <f t="shared" si="227"/>
        <v>0</v>
      </c>
    </row>
    <row r="132" spans="1:186" s="982" customFormat="1" ht="15.6" x14ac:dyDescent="0.3">
      <c r="A132" s="974">
        <v>130</v>
      </c>
      <c r="B132" s="983"/>
      <c r="C132" s="984"/>
      <c r="D132" s="983"/>
      <c r="E132" s="968" t="str">
        <f>IFERROR(VLOOKUP($D132&amp;"."&amp;B132,'Piping Class'!$1:$1048576,MATCH($I132,'Piping Class'!$2:$2,0),0),"")</f>
        <v/>
      </c>
      <c r="F132" s="985" t="str">
        <f>IFERROR(IF(B132="Flange",VLOOKUP($D132,'Piping Class'!$88:$102,MATCH(F$1,'Piping Class'!$88:$88,0),0),""),"")</f>
        <v/>
      </c>
      <c r="G132" s="968" t="str">
        <f>IFERROR(IF(B132="Flange",VLOOKUP($D132,'Piping Class'!$88:$102,MATCH(G$1,'Piping Class'!$88:$88,0),0),""),"")</f>
        <v/>
      </c>
      <c r="H132" s="968" t="str">
        <f>IFERROR(VLOOKUP($D132,'Piping Class'!$88:$102,MATCH(H$1,'Piping Class'!$88:$88,0),0),"")</f>
        <v/>
      </c>
      <c r="I132" s="986"/>
      <c r="J132" s="987"/>
      <c r="K132" s="968" t="str">
        <f>IFERROR(VLOOKUP(I132,'Thickness Tab'!$1:$1048576,MATCH(L132,'Thickness Tab'!$1:$1,0),0),"")</f>
        <v/>
      </c>
      <c r="L132" s="969" t="str">
        <f>IFERROR(VLOOKUP($D132,'Piping Class'!$1:$1048576,MATCH($I132,'Piping Class'!$2:$2,0),0),"")</f>
        <v/>
      </c>
      <c r="M132" s="968" t="str">
        <f>IFERROR(VLOOKUP(J132,'Thickness Tab'!$1:$1048576,MATCH(N132,'Thickness Tab'!$1:$1,0),0),"")</f>
        <v/>
      </c>
      <c r="N132" s="969" t="str">
        <f>IFERROR(VLOOKUP($D132,'Piping Class'!$1:$1048576,MATCH($J132,'Piping Class'!$2:$2,0),0),"")</f>
        <v/>
      </c>
      <c r="O132" s="968" t="str">
        <f>IFERROR(VLOOKUP($D132,'Piping Class'!$88:$102,MATCH(O$1,'Piping Class'!$88:$88,0),0),"")</f>
        <v/>
      </c>
      <c r="P132" s="968" t="str">
        <f>IFERROR(VLOOKUP($D132,'Piping Class'!$88:$102,MATCH(P$1,'Piping Class'!$88:$88,0),0),"")</f>
        <v/>
      </c>
      <c r="Q132" s="983"/>
      <c r="R132" s="988"/>
      <c r="S132" s="969" t="str">
        <f t="shared" si="232"/>
        <v/>
      </c>
      <c r="T132" s="968">
        <f>IFERROR(VLOOKUP(I132&amp;"."&amp;L132,'Fitting Chart'!$1:$1048576,MATCH(C132,'Fitting Chart'!$1:$1,0),0),0)+IF(B132="piping",PI()*K132*(VLOOKUP(I132,'Thickness Tab'!$1:$1048576,3,0)-K132)*7.86/1000,0)+IF(B132="Flange",VLOOKUP(I132&amp;"F"&amp;F132,'Flanges Chart'!$1:$1048576,MATCH(C132&amp;"."&amp;T$1,'Flanges Chart'!$1:$1,0),0),0)</f>
        <v>0</v>
      </c>
      <c r="U132" s="989">
        <f t="shared" si="233"/>
        <v>0</v>
      </c>
      <c r="V132" s="1003"/>
      <c r="W132" s="1001">
        <f t="shared" si="234"/>
        <v>0</v>
      </c>
      <c r="X132" s="997"/>
      <c r="Y132" s="983"/>
      <c r="Z132" s="989">
        <f>IF(B132="Piping",VLOOKUP(I132,'Thickness Tab'!$1:$1048576,3,0)/1000*PI(),0)+IFERROR(VLOOKUP(I132&amp;"F"&amp;F132,'Flanges Chart'!$1:$1048576,MATCH(C132&amp;".Unit Surface",'Flanges Chart'!$1:$1,0),0),0)+IF(B132="Fitting",VLOOKUP(I132,'Thickness Tab'!$1:$1048576,3,0)/1000*PI(),0)</f>
        <v>0</v>
      </c>
      <c r="AA132" s="989">
        <f t="shared" si="235"/>
        <v>0</v>
      </c>
      <c r="AB132" s="983">
        <v>0</v>
      </c>
      <c r="AC132" s="989">
        <f t="shared" ref="AC132:AC139" si="256">Z132+2*PI()*AB132/1000</f>
        <v>0</v>
      </c>
      <c r="AD132" s="989">
        <f t="shared" ref="AD132:AD139" si="257">AC132*R132</f>
        <v>0</v>
      </c>
      <c r="AE132" s="974">
        <f>(IFERROR(VLOOKUP($C132,List!$J:$L,2,0),0)*R132+IF(B132="piping",R132,0)+IF(C132="Welding Neck",1,0)*R132)*$AE$2</f>
        <v>0</v>
      </c>
      <c r="AF132" s="970">
        <f>IFERROR(VLOOKUP($C132,List!$J:$L,3,0),0)*R132*$AF$2</f>
        <v>0</v>
      </c>
      <c r="AG132" s="990">
        <f t="shared" si="236"/>
        <v>0</v>
      </c>
      <c r="AH132" s="1118" t="str">
        <f>IFERROR(VLOOKUP($D132,'Piping Class'!$88:$102,MATCH(AH$1,'Piping Class'!$88:$88,0),0),"")</f>
        <v/>
      </c>
      <c r="AI132" s="991" t="str">
        <f>IFERROR(VLOOKUP($D132,'Piping Class'!$88:$102,MATCH(AI$1,'Piping Class'!$88:$88,0),0),"")</f>
        <v/>
      </c>
      <c r="AJ132" s="991" t="str">
        <f>IFERROR(VLOOKUP($D132,'Piping Class'!$88:$102,MATCH(AJ$1,'Piping Class'!$88:$88,0),0),"")</f>
        <v/>
      </c>
      <c r="AK132" s="991" t="str">
        <f>IFERROR(VLOOKUP($D132,'Piping Class'!$88:$102,MATCH(AK$1,'Piping Class'!$88:$88,0),0),"")</f>
        <v/>
      </c>
      <c r="AL132" s="991">
        <f t="shared" si="182"/>
        <v>0</v>
      </c>
      <c r="AM132" s="1119" t="str">
        <f>IFERROR(VLOOKUP($D132,'Piping Class'!$88:$102,MATCH(AM$1,'Piping Class'!$88:$88,0),0),"")</f>
        <v/>
      </c>
      <c r="AN132" s="992">
        <f t="shared" ref="AN132:AN139" si="258">U132*0.18</f>
        <v>0</v>
      </c>
      <c r="AO132" s="993">
        <f>IFERROR(VLOOKUP(I132&amp;"B"&amp;F132,'Bolting Chart'!$1:$1048576,4,0),0)</f>
        <v>0</v>
      </c>
      <c r="AP132" s="993">
        <f t="shared" si="237"/>
        <v>0</v>
      </c>
      <c r="AQ132" s="993">
        <f t="shared" si="238"/>
        <v>0</v>
      </c>
      <c r="AR132" s="993">
        <f>IF(AO132=0,0,VLOOKUP(D132&amp;".bolting",'Piping Class'!$1:$1048576,MATCH(I132,'Piping Class'!$2:$2,0),0))</f>
        <v>0</v>
      </c>
      <c r="AS132" s="994">
        <f>IFERROR(VLOOKUP(I132&amp;"B"&amp;F132,'Bolting Chart'!$1:$1048576,IF(AS$2="UNC",5,6),0),0)</f>
        <v>0</v>
      </c>
      <c r="AT132" s="995">
        <f>IFERROR(VLOOKUP(I132&amp;"B"&amp;F132,'Bolting Chart'!$1:$1048576,IF(G132="RF",8,9),0),0)</f>
        <v>0</v>
      </c>
      <c r="AU132" s="993">
        <f>IF(AO132=0,0,VLOOKUP(D132&amp;".gasket",'Piping Class'!$1:$1048576,MATCH(I132,'Piping Class'!$2:$2,0),0))</f>
        <v>0</v>
      </c>
      <c r="AV132" s="996">
        <f>(IFERROR(INDEX('Bolting Chart'!$A$169:$R$251,MATCH(AT132,'Bolting Chart'!$A$170:$A$251,0),MATCH(IFERROR(VLOOKUP(I132&amp;"B"&amp;F132,'Bolting Chart'!$1:$1048576,7,0),0)+0,'Bolting Chart'!$A$169:$R$169,0)),0))/100</f>
        <v>0</v>
      </c>
      <c r="AW132" s="996">
        <f t="shared" si="239"/>
        <v>0</v>
      </c>
      <c r="AX132" s="1194">
        <f t="shared" si="240"/>
        <v>0</v>
      </c>
      <c r="AY132" s="981"/>
      <c r="AZ132" s="1543">
        <f t="shared" si="229"/>
        <v>0</v>
      </c>
      <c r="BA132" s="1543">
        <f t="shared" si="229"/>
        <v>0</v>
      </c>
      <c r="BB132" s="1543">
        <f t="shared" si="229"/>
        <v>0</v>
      </c>
      <c r="BC132" s="1543">
        <f t="shared" si="229"/>
        <v>0</v>
      </c>
      <c r="BD132" s="1543">
        <f t="shared" si="229"/>
        <v>0</v>
      </c>
      <c r="BE132" s="1543">
        <f t="shared" si="229"/>
        <v>0</v>
      </c>
      <c r="BF132" s="1543">
        <f t="shared" si="229"/>
        <v>0</v>
      </c>
      <c r="BG132" s="1543">
        <f t="shared" si="229"/>
        <v>0</v>
      </c>
      <c r="BH132" s="1543">
        <f t="shared" si="229"/>
        <v>0</v>
      </c>
      <c r="BI132" s="1543">
        <f t="shared" si="229"/>
        <v>0</v>
      </c>
      <c r="BJ132" s="1543">
        <f t="shared" si="229"/>
        <v>0</v>
      </c>
      <c r="BK132" s="1543">
        <f t="shared" si="229"/>
        <v>0</v>
      </c>
      <c r="BL132" s="1543">
        <f t="shared" si="229"/>
        <v>0</v>
      </c>
      <c r="BM132" s="1543">
        <f t="shared" si="229"/>
        <v>0</v>
      </c>
      <c r="BN132" s="1543">
        <f t="shared" si="229"/>
        <v>0</v>
      </c>
      <c r="BO132" s="1543">
        <f t="shared" si="229"/>
        <v>0</v>
      </c>
      <c r="BP132" s="1543">
        <f t="shared" si="249"/>
        <v>0</v>
      </c>
      <c r="BQ132" s="1543">
        <f t="shared" si="249"/>
        <v>0</v>
      </c>
      <c r="BR132" s="1543">
        <f t="shared" si="249"/>
        <v>0</v>
      </c>
      <c r="BS132" s="1543">
        <f t="shared" si="249"/>
        <v>0</v>
      </c>
      <c r="BT132" s="1543">
        <f t="shared" si="249"/>
        <v>0</v>
      </c>
      <c r="BU132" s="1543">
        <f t="shared" si="249"/>
        <v>0</v>
      </c>
      <c r="BV132" s="1543">
        <f t="shared" si="249"/>
        <v>0</v>
      </c>
      <c r="BW132" s="1543">
        <f t="shared" si="249"/>
        <v>0</v>
      </c>
      <c r="BX132" s="1543">
        <f t="shared" si="249"/>
        <v>0</v>
      </c>
      <c r="BY132" s="1543">
        <f t="shared" si="249"/>
        <v>0</v>
      </c>
      <c r="BZ132" s="1543">
        <f t="shared" si="249"/>
        <v>0</v>
      </c>
      <c r="CB132" s="1543">
        <f t="shared" si="230"/>
        <v>0</v>
      </c>
      <c r="CC132" s="1543">
        <f t="shared" si="230"/>
        <v>0</v>
      </c>
      <c r="CD132" s="1543">
        <f t="shared" si="230"/>
        <v>0</v>
      </c>
      <c r="CE132" s="1543">
        <f t="shared" si="230"/>
        <v>0</v>
      </c>
      <c r="CF132" s="1543">
        <f t="shared" si="230"/>
        <v>0</v>
      </c>
      <c r="CG132" s="1543">
        <f t="shared" si="230"/>
        <v>0</v>
      </c>
      <c r="CH132" s="1543">
        <f t="shared" si="230"/>
        <v>0</v>
      </c>
      <c r="CI132" s="1543">
        <f t="shared" si="230"/>
        <v>0</v>
      </c>
      <c r="CJ132" s="1543">
        <f t="shared" si="230"/>
        <v>0</v>
      </c>
      <c r="CK132" s="1543">
        <f t="shared" si="230"/>
        <v>0</v>
      </c>
      <c r="CL132" s="1543">
        <f t="shared" si="230"/>
        <v>0</v>
      </c>
      <c r="CM132" s="1543">
        <f t="shared" si="230"/>
        <v>0</v>
      </c>
      <c r="CN132" s="1543">
        <f t="shared" si="230"/>
        <v>0</v>
      </c>
      <c r="CO132" s="1543">
        <f t="shared" si="230"/>
        <v>0</v>
      </c>
      <c r="CP132" s="1543">
        <f t="shared" si="230"/>
        <v>0</v>
      </c>
      <c r="CQ132" s="1543">
        <f t="shared" si="230"/>
        <v>0</v>
      </c>
      <c r="CR132" s="1543">
        <f t="shared" si="250"/>
        <v>0</v>
      </c>
      <c r="CS132" s="1543">
        <f t="shared" si="250"/>
        <v>0</v>
      </c>
      <c r="CT132" s="1543">
        <f t="shared" si="248"/>
        <v>0</v>
      </c>
      <c r="CU132" s="1543">
        <f t="shared" si="248"/>
        <v>0</v>
      </c>
      <c r="CV132" s="1543">
        <f t="shared" si="248"/>
        <v>0</v>
      </c>
      <c r="CW132" s="1543">
        <f t="shared" si="248"/>
        <v>0</v>
      </c>
      <c r="CX132" s="1543">
        <f t="shared" si="248"/>
        <v>0</v>
      </c>
      <c r="CY132" s="1543">
        <f t="shared" si="248"/>
        <v>0</v>
      </c>
      <c r="CZ132" s="1543">
        <f t="shared" si="248"/>
        <v>0</v>
      </c>
      <c r="DA132" s="1543">
        <f t="shared" si="248"/>
        <v>0</v>
      </c>
      <c r="DB132" s="1543">
        <f t="shared" si="248"/>
        <v>0</v>
      </c>
      <c r="DD132" s="1543">
        <f t="shared" si="251"/>
        <v>0</v>
      </c>
      <c r="DE132" s="1543">
        <f t="shared" si="252"/>
        <v>0</v>
      </c>
      <c r="DF132" s="1543">
        <f t="shared" si="253"/>
        <v>0</v>
      </c>
      <c r="DG132" s="1543">
        <f t="shared" ref="DG132:DG139" si="259">SUM(BM132:BZ132)</f>
        <v>0</v>
      </c>
      <c r="DI132" s="1543">
        <f t="shared" ref="DI132:DI139" si="260">IF($H132=DI$2,1,0)+DJ132</f>
        <v>0</v>
      </c>
      <c r="DJ132" s="1543">
        <f t="shared" si="254"/>
        <v>0</v>
      </c>
      <c r="DK132" s="1543">
        <f t="shared" si="254"/>
        <v>0</v>
      </c>
      <c r="DL132" s="1543">
        <f t="shared" si="254"/>
        <v>0</v>
      </c>
      <c r="DM132" s="1543">
        <f t="shared" si="254"/>
        <v>0</v>
      </c>
      <c r="DO132" s="1543">
        <f t="shared" si="231"/>
        <v>0</v>
      </c>
      <c r="DP132" s="1543">
        <f t="shared" si="231"/>
        <v>0</v>
      </c>
      <c r="DQ132" s="1543">
        <f t="shared" si="231"/>
        <v>0</v>
      </c>
      <c r="DR132" s="1543">
        <f t="shared" si="231"/>
        <v>0</v>
      </c>
      <c r="DS132" s="1543">
        <f t="shared" si="231"/>
        <v>0</v>
      </c>
      <c r="DT132" s="1543">
        <f t="shared" si="231"/>
        <v>0</v>
      </c>
      <c r="DU132" s="1543">
        <f t="shared" si="231"/>
        <v>0</v>
      </c>
      <c r="DV132" s="1543">
        <f t="shared" si="231"/>
        <v>0</v>
      </c>
      <c r="DW132" s="1543">
        <f t="shared" si="231"/>
        <v>0</v>
      </c>
      <c r="DX132" s="1543">
        <f t="shared" si="231"/>
        <v>0</v>
      </c>
      <c r="DY132" s="1543">
        <f t="shared" si="231"/>
        <v>0</v>
      </c>
      <c r="DZ132" s="1543">
        <f t="shared" si="231"/>
        <v>0</v>
      </c>
      <c r="EA132" s="1543">
        <f t="shared" si="231"/>
        <v>0</v>
      </c>
      <c r="EB132" s="1543">
        <f t="shared" si="255"/>
        <v>0</v>
      </c>
      <c r="EC132" s="1543">
        <f t="shared" si="255"/>
        <v>0</v>
      </c>
      <c r="ED132" s="1543">
        <f t="shared" si="255"/>
        <v>0</v>
      </c>
      <c r="EE132" s="1543">
        <f t="shared" si="255"/>
        <v>0</v>
      </c>
      <c r="EF132" s="1543">
        <f t="shared" si="255"/>
        <v>0</v>
      </c>
      <c r="EH132" s="1543">
        <f t="shared" si="241"/>
        <v>0</v>
      </c>
      <c r="EI132" s="1543">
        <f t="shared" si="242"/>
        <v>0</v>
      </c>
      <c r="EJ132" s="1543">
        <f t="shared" si="243"/>
        <v>0</v>
      </c>
      <c r="EK132" s="1543">
        <f t="shared" si="244"/>
        <v>0</v>
      </c>
      <c r="EL132" s="1543">
        <f t="shared" si="245"/>
        <v>0</v>
      </c>
      <c r="EM132" s="1543">
        <f t="shared" si="246"/>
        <v>0</v>
      </c>
      <c r="EN132" s="1543">
        <f t="shared" si="247"/>
        <v>0</v>
      </c>
      <c r="EP132" s="1543">
        <f t="shared" si="197"/>
        <v>0</v>
      </c>
      <c r="EQ132" s="1543">
        <f t="shared" si="197"/>
        <v>0</v>
      </c>
      <c r="ER132" s="1543">
        <f t="shared" si="197"/>
        <v>0</v>
      </c>
      <c r="ES132" s="1543">
        <f t="shared" si="192"/>
        <v>0</v>
      </c>
      <c r="ET132" s="1543">
        <f t="shared" si="228"/>
        <v>0</v>
      </c>
      <c r="EU132" s="1543">
        <f t="shared" si="228"/>
        <v>0</v>
      </c>
      <c r="EV132" s="1543">
        <f t="shared" si="228"/>
        <v>0</v>
      </c>
      <c r="EW132" s="1543">
        <f t="shared" si="228"/>
        <v>0</v>
      </c>
      <c r="EX132" s="1543">
        <f t="shared" si="228"/>
        <v>0</v>
      </c>
      <c r="EY132" s="1543">
        <f t="shared" si="228"/>
        <v>0</v>
      </c>
      <c r="EZ132" s="1543">
        <f t="shared" si="228"/>
        <v>0</v>
      </c>
      <c r="FA132" s="1543">
        <f t="shared" si="228"/>
        <v>0</v>
      </c>
      <c r="FB132" s="1543">
        <f t="shared" si="228"/>
        <v>0</v>
      </c>
      <c r="FC132" s="1543">
        <f t="shared" si="228"/>
        <v>0</v>
      </c>
      <c r="FD132" s="1543">
        <f t="shared" si="228"/>
        <v>0</v>
      </c>
      <c r="FE132" s="1543">
        <f t="shared" si="184"/>
        <v>0</v>
      </c>
      <c r="FF132" s="1543">
        <f t="shared" ref="FF132:FF139" si="261">IF(FF$2="X",0,IF($Q132="",1,0))</f>
        <v>1</v>
      </c>
      <c r="FH132" s="1543">
        <f t="shared" ref="FH132:FS139" si="262">IF($FT132=1,0,IF(FH$2=$Y132,1,0))</f>
        <v>0</v>
      </c>
      <c r="FI132" s="1543">
        <f t="shared" si="262"/>
        <v>0</v>
      </c>
      <c r="FJ132" s="1543">
        <f t="shared" si="262"/>
        <v>0</v>
      </c>
      <c r="FK132" s="1543">
        <f t="shared" si="262"/>
        <v>0</v>
      </c>
      <c r="FL132" s="1543">
        <f t="shared" si="262"/>
        <v>0</v>
      </c>
      <c r="FM132" s="1543">
        <f t="shared" si="262"/>
        <v>0</v>
      </c>
      <c r="FN132" s="1543">
        <f t="shared" si="262"/>
        <v>0</v>
      </c>
      <c r="FO132" s="1543">
        <f t="shared" si="262"/>
        <v>0</v>
      </c>
      <c r="FP132" s="1543">
        <f t="shared" si="262"/>
        <v>0</v>
      </c>
      <c r="FQ132" s="1543">
        <f t="shared" si="262"/>
        <v>0</v>
      </c>
      <c r="FR132" s="1543">
        <f t="shared" si="262"/>
        <v>0</v>
      </c>
      <c r="FS132" s="1543">
        <f t="shared" si="262"/>
        <v>0</v>
      </c>
      <c r="FT132" s="1543">
        <f t="shared" ref="FT132:FT139" si="263">IF(FV132=1,0,1)</f>
        <v>0</v>
      </c>
      <c r="FV132" s="1543">
        <f t="shared" ref="FV132:GD139" si="264">IF($AB132=FV$2,1,0)</f>
        <v>1</v>
      </c>
      <c r="FW132" s="1543">
        <f t="shared" si="264"/>
        <v>0</v>
      </c>
      <c r="FX132" s="1543">
        <f t="shared" si="264"/>
        <v>0</v>
      </c>
      <c r="FY132" s="1543">
        <f t="shared" si="264"/>
        <v>0</v>
      </c>
      <c r="FZ132" s="1543">
        <f t="shared" si="264"/>
        <v>0</v>
      </c>
      <c r="GA132" s="1543">
        <f t="shared" si="264"/>
        <v>0</v>
      </c>
      <c r="GB132" s="1543">
        <f t="shared" si="264"/>
        <v>0</v>
      </c>
      <c r="GC132" s="1543">
        <f t="shared" si="264"/>
        <v>0</v>
      </c>
      <c r="GD132" s="1543">
        <f t="shared" si="264"/>
        <v>0</v>
      </c>
    </row>
    <row r="133" spans="1:186" s="982" customFormat="1" ht="15.6" x14ac:dyDescent="0.3">
      <c r="A133" s="974">
        <v>131</v>
      </c>
      <c r="B133" s="983"/>
      <c r="C133" s="984"/>
      <c r="D133" s="983"/>
      <c r="E133" s="968" t="str">
        <f>IFERROR(VLOOKUP($D133&amp;"."&amp;B133,'Piping Class'!$1:$1048576,MATCH($I133,'Piping Class'!$2:$2,0),0),"")</f>
        <v/>
      </c>
      <c r="F133" s="985" t="str">
        <f>IFERROR(IF(B133="Flange",VLOOKUP($D133,'Piping Class'!$88:$102,MATCH(F$1,'Piping Class'!$88:$88,0),0),""),"")</f>
        <v/>
      </c>
      <c r="G133" s="968" t="str">
        <f>IFERROR(IF(B133="Flange",VLOOKUP($D133,'Piping Class'!$88:$102,MATCH(G$1,'Piping Class'!$88:$88,0),0),""),"")</f>
        <v/>
      </c>
      <c r="H133" s="968" t="str">
        <f>IFERROR(VLOOKUP($D133,'Piping Class'!$88:$102,MATCH(H$1,'Piping Class'!$88:$88,0),0),"")</f>
        <v/>
      </c>
      <c r="I133" s="986"/>
      <c r="J133" s="987"/>
      <c r="K133" s="968" t="str">
        <f>IFERROR(VLOOKUP(I133,'Thickness Tab'!$1:$1048576,MATCH(L133,'Thickness Tab'!$1:$1,0),0),"")</f>
        <v/>
      </c>
      <c r="L133" s="969" t="str">
        <f>IFERROR(VLOOKUP($D133,'Piping Class'!$1:$1048576,MATCH($I133,'Piping Class'!$2:$2,0),0),"")</f>
        <v/>
      </c>
      <c r="M133" s="968" t="str">
        <f>IFERROR(VLOOKUP(J133,'Thickness Tab'!$1:$1048576,MATCH(N133,'Thickness Tab'!$1:$1,0),0),"")</f>
        <v/>
      </c>
      <c r="N133" s="969" t="str">
        <f>IFERROR(VLOOKUP($D133,'Piping Class'!$1:$1048576,MATCH($J133,'Piping Class'!$2:$2,0),0),"")</f>
        <v/>
      </c>
      <c r="O133" s="968" t="str">
        <f>IFERROR(VLOOKUP($D133,'Piping Class'!$88:$102,MATCH(O$1,'Piping Class'!$88:$88,0),0),"")</f>
        <v/>
      </c>
      <c r="P133" s="968" t="str">
        <f>IFERROR(VLOOKUP($D133,'Piping Class'!$88:$102,MATCH(P$1,'Piping Class'!$88:$88,0),0),"")</f>
        <v/>
      </c>
      <c r="Q133" s="983"/>
      <c r="R133" s="988"/>
      <c r="S133" s="969" t="str">
        <f t="shared" si="232"/>
        <v/>
      </c>
      <c r="T133" s="968">
        <f>IFERROR(VLOOKUP(I133&amp;"."&amp;L133,'Fitting Chart'!$1:$1048576,MATCH(C133,'Fitting Chart'!$1:$1,0),0),0)+IF(B133="piping",PI()*K133*(VLOOKUP(I133,'Thickness Tab'!$1:$1048576,3,0)-K133)*7.86/1000,0)+IF(B133="Flange",VLOOKUP(I133&amp;"F"&amp;F133,'Flanges Chart'!$1:$1048576,MATCH(C133&amp;"."&amp;T$1,'Flanges Chart'!$1:$1,0),0),0)</f>
        <v>0</v>
      </c>
      <c r="U133" s="989">
        <f t="shared" si="233"/>
        <v>0</v>
      </c>
      <c r="V133" s="1003"/>
      <c r="W133" s="1001">
        <f t="shared" si="234"/>
        <v>0</v>
      </c>
      <c r="X133" s="997"/>
      <c r="Y133" s="983"/>
      <c r="Z133" s="989">
        <f>IF(B133="Piping",VLOOKUP(I133,'Thickness Tab'!$1:$1048576,3,0)/1000*PI(),0)+IFERROR(VLOOKUP(I133&amp;"F"&amp;F133,'Flanges Chart'!$1:$1048576,MATCH(C133&amp;".Unit Surface",'Flanges Chart'!$1:$1,0),0),0)+IF(B133="Fitting",VLOOKUP(I133,'Thickness Tab'!$1:$1048576,3,0)/1000*PI(),0)</f>
        <v>0</v>
      </c>
      <c r="AA133" s="989">
        <f t="shared" si="235"/>
        <v>0</v>
      </c>
      <c r="AB133" s="983">
        <v>0</v>
      </c>
      <c r="AC133" s="989">
        <f t="shared" si="256"/>
        <v>0</v>
      </c>
      <c r="AD133" s="989">
        <f t="shared" si="257"/>
        <v>0</v>
      </c>
      <c r="AE133" s="974">
        <f>(IFERROR(VLOOKUP($C133,List!$J:$L,2,0),0)*R133+IF(B133="piping",R133,0)+IF(C133="Welding Neck",1,0)*R133)*$AE$2</f>
        <v>0</v>
      </c>
      <c r="AF133" s="970">
        <f>IFERROR(VLOOKUP($C133,List!$J:$L,3,0),0)*R133*$AF$2</f>
        <v>0</v>
      </c>
      <c r="AG133" s="990">
        <f t="shared" si="236"/>
        <v>0</v>
      </c>
      <c r="AH133" s="1118" t="str">
        <f>IFERROR(VLOOKUP($D133,'Piping Class'!$88:$102,MATCH(AH$1,'Piping Class'!$88:$88,0),0),"")</f>
        <v/>
      </c>
      <c r="AI133" s="991" t="str">
        <f>IFERROR(VLOOKUP($D133,'Piping Class'!$88:$102,MATCH(AI$1,'Piping Class'!$88:$88,0),0),"")</f>
        <v/>
      </c>
      <c r="AJ133" s="991" t="str">
        <f>IFERROR(VLOOKUP($D133,'Piping Class'!$88:$102,MATCH(AJ$1,'Piping Class'!$88:$88,0),0),"")</f>
        <v/>
      </c>
      <c r="AK133" s="991" t="str">
        <f>IFERROR(VLOOKUP($D133,'Piping Class'!$88:$102,MATCH(AK$1,'Piping Class'!$88:$88,0),0),"")</f>
        <v/>
      </c>
      <c r="AL133" s="991">
        <f t="shared" si="182"/>
        <v>0</v>
      </c>
      <c r="AM133" s="1119" t="str">
        <f>IFERROR(VLOOKUP($D133,'Piping Class'!$88:$102,MATCH(AM$1,'Piping Class'!$88:$88,0),0),"")</f>
        <v/>
      </c>
      <c r="AN133" s="992">
        <f t="shared" si="258"/>
        <v>0</v>
      </c>
      <c r="AO133" s="993">
        <f>IFERROR(VLOOKUP(I133&amp;"B"&amp;F133,'Bolting Chart'!$1:$1048576,4,0),0)</f>
        <v>0</v>
      </c>
      <c r="AP133" s="993">
        <f t="shared" si="237"/>
        <v>0</v>
      </c>
      <c r="AQ133" s="993">
        <f t="shared" si="238"/>
        <v>0</v>
      </c>
      <c r="AR133" s="993">
        <f>IF(AO133=0,0,VLOOKUP(D133&amp;".bolting",'Piping Class'!$1:$1048576,MATCH(I133,'Piping Class'!$2:$2,0),0))</f>
        <v>0</v>
      </c>
      <c r="AS133" s="994">
        <f>IFERROR(VLOOKUP(I133&amp;"B"&amp;F133,'Bolting Chart'!$1:$1048576,IF(AS$2="UNC",5,6),0),0)</f>
        <v>0</v>
      </c>
      <c r="AT133" s="995">
        <f>IFERROR(VLOOKUP(I133&amp;"B"&amp;F133,'Bolting Chart'!$1:$1048576,IF(G133="RF",8,9),0),0)</f>
        <v>0</v>
      </c>
      <c r="AU133" s="993">
        <f>IF(AO133=0,0,VLOOKUP(D133&amp;".gasket",'Piping Class'!$1:$1048576,MATCH(I133,'Piping Class'!$2:$2,0),0))</f>
        <v>0</v>
      </c>
      <c r="AV133" s="996">
        <f>(IFERROR(INDEX('Bolting Chart'!$A$169:$R$251,MATCH(AT133,'Bolting Chart'!$A$170:$A$251,0),MATCH(IFERROR(VLOOKUP(I133&amp;"B"&amp;F133,'Bolting Chart'!$1:$1048576,7,0),0)+0,'Bolting Chart'!$A$169:$R$169,0)),0))/100</f>
        <v>0</v>
      </c>
      <c r="AW133" s="996">
        <f t="shared" si="239"/>
        <v>0</v>
      </c>
      <c r="AX133" s="1194">
        <f t="shared" si="240"/>
        <v>0</v>
      </c>
      <c r="AY133" s="981"/>
      <c r="AZ133" s="1543">
        <f t="shared" si="229"/>
        <v>0</v>
      </c>
      <c r="BA133" s="1543">
        <f t="shared" si="229"/>
        <v>0</v>
      </c>
      <c r="BB133" s="1543">
        <f t="shared" si="229"/>
        <v>0</v>
      </c>
      <c r="BC133" s="1543">
        <f t="shared" si="229"/>
        <v>0</v>
      </c>
      <c r="BD133" s="1543">
        <f t="shared" si="229"/>
        <v>0</v>
      </c>
      <c r="BE133" s="1543">
        <f t="shared" si="229"/>
        <v>0</v>
      </c>
      <c r="BF133" s="1543">
        <f t="shared" si="229"/>
        <v>0</v>
      </c>
      <c r="BG133" s="1543">
        <f t="shared" si="229"/>
        <v>0</v>
      </c>
      <c r="BH133" s="1543">
        <f t="shared" si="229"/>
        <v>0</v>
      </c>
      <c r="BI133" s="1543">
        <f t="shared" si="229"/>
        <v>0</v>
      </c>
      <c r="BJ133" s="1543">
        <f t="shared" si="229"/>
        <v>0</v>
      </c>
      <c r="BK133" s="1543">
        <f t="shared" si="229"/>
        <v>0</v>
      </c>
      <c r="BL133" s="1543">
        <f t="shared" si="229"/>
        <v>0</v>
      </c>
      <c r="BM133" s="1543">
        <f t="shared" si="229"/>
        <v>0</v>
      </c>
      <c r="BN133" s="1543">
        <f t="shared" si="229"/>
        <v>0</v>
      </c>
      <c r="BO133" s="1543">
        <f t="shared" si="229"/>
        <v>0</v>
      </c>
      <c r="BP133" s="1543">
        <f t="shared" si="249"/>
        <v>0</v>
      </c>
      <c r="BQ133" s="1543">
        <f t="shared" si="249"/>
        <v>0</v>
      </c>
      <c r="BR133" s="1543">
        <f t="shared" si="249"/>
        <v>0</v>
      </c>
      <c r="BS133" s="1543">
        <f t="shared" si="249"/>
        <v>0</v>
      </c>
      <c r="BT133" s="1543">
        <f t="shared" si="249"/>
        <v>0</v>
      </c>
      <c r="BU133" s="1543">
        <f t="shared" si="249"/>
        <v>0</v>
      </c>
      <c r="BV133" s="1543">
        <f t="shared" si="249"/>
        <v>0</v>
      </c>
      <c r="BW133" s="1543">
        <f t="shared" si="249"/>
        <v>0</v>
      </c>
      <c r="BX133" s="1543">
        <f t="shared" si="249"/>
        <v>0</v>
      </c>
      <c r="BY133" s="1543">
        <f t="shared" si="249"/>
        <v>0</v>
      </c>
      <c r="BZ133" s="1543">
        <f t="shared" si="249"/>
        <v>0</v>
      </c>
      <c r="CB133" s="1543">
        <f t="shared" si="230"/>
        <v>0</v>
      </c>
      <c r="CC133" s="1543">
        <f t="shared" si="230"/>
        <v>0</v>
      </c>
      <c r="CD133" s="1543">
        <f t="shared" si="230"/>
        <v>0</v>
      </c>
      <c r="CE133" s="1543">
        <f t="shared" si="230"/>
        <v>0</v>
      </c>
      <c r="CF133" s="1543">
        <f t="shared" si="230"/>
        <v>0</v>
      </c>
      <c r="CG133" s="1543">
        <f t="shared" si="230"/>
        <v>0</v>
      </c>
      <c r="CH133" s="1543">
        <f t="shared" si="230"/>
        <v>0</v>
      </c>
      <c r="CI133" s="1543">
        <f t="shared" si="230"/>
        <v>0</v>
      </c>
      <c r="CJ133" s="1543">
        <f t="shared" si="230"/>
        <v>0</v>
      </c>
      <c r="CK133" s="1543">
        <f t="shared" si="230"/>
        <v>0</v>
      </c>
      <c r="CL133" s="1543">
        <f t="shared" si="230"/>
        <v>0</v>
      </c>
      <c r="CM133" s="1543">
        <f t="shared" si="230"/>
        <v>0</v>
      </c>
      <c r="CN133" s="1543">
        <f t="shared" si="230"/>
        <v>0</v>
      </c>
      <c r="CO133" s="1543">
        <f t="shared" si="230"/>
        <v>0</v>
      </c>
      <c r="CP133" s="1543">
        <f t="shared" si="230"/>
        <v>0</v>
      </c>
      <c r="CQ133" s="1543">
        <f t="shared" si="230"/>
        <v>0</v>
      </c>
      <c r="CR133" s="1543">
        <f t="shared" si="250"/>
        <v>0</v>
      </c>
      <c r="CS133" s="1543">
        <f t="shared" si="250"/>
        <v>0</v>
      </c>
      <c r="CT133" s="1543">
        <f t="shared" si="248"/>
        <v>0</v>
      </c>
      <c r="CU133" s="1543">
        <f t="shared" si="248"/>
        <v>0</v>
      </c>
      <c r="CV133" s="1543">
        <f t="shared" si="248"/>
        <v>0</v>
      </c>
      <c r="CW133" s="1543">
        <f t="shared" si="248"/>
        <v>0</v>
      </c>
      <c r="CX133" s="1543">
        <f t="shared" si="248"/>
        <v>0</v>
      </c>
      <c r="CY133" s="1543">
        <f t="shared" si="248"/>
        <v>0</v>
      </c>
      <c r="CZ133" s="1543">
        <f t="shared" si="248"/>
        <v>0</v>
      </c>
      <c r="DA133" s="1543">
        <f t="shared" si="248"/>
        <v>0</v>
      </c>
      <c r="DB133" s="1543">
        <f t="shared" si="248"/>
        <v>0</v>
      </c>
      <c r="DD133" s="1543">
        <f t="shared" si="251"/>
        <v>0</v>
      </c>
      <c r="DE133" s="1543">
        <f t="shared" si="252"/>
        <v>0</v>
      </c>
      <c r="DF133" s="1543">
        <f t="shared" si="253"/>
        <v>0</v>
      </c>
      <c r="DG133" s="1543">
        <f t="shared" si="259"/>
        <v>0</v>
      </c>
      <c r="DI133" s="1543">
        <f t="shared" si="260"/>
        <v>0</v>
      </c>
      <c r="DJ133" s="1543">
        <f t="shared" si="254"/>
        <v>0</v>
      </c>
      <c r="DK133" s="1543">
        <f t="shared" si="254"/>
        <v>0</v>
      </c>
      <c r="DL133" s="1543">
        <f t="shared" si="254"/>
        <v>0</v>
      </c>
      <c r="DM133" s="1543">
        <f t="shared" si="254"/>
        <v>0</v>
      </c>
      <c r="DO133" s="1543">
        <f t="shared" si="231"/>
        <v>0</v>
      </c>
      <c r="DP133" s="1543">
        <f t="shared" si="231"/>
        <v>0</v>
      </c>
      <c r="DQ133" s="1543">
        <f t="shared" si="231"/>
        <v>0</v>
      </c>
      <c r="DR133" s="1543">
        <f t="shared" si="231"/>
        <v>0</v>
      </c>
      <c r="DS133" s="1543">
        <f t="shared" si="231"/>
        <v>0</v>
      </c>
      <c r="DT133" s="1543">
        <f t="shared" si="231"/>
        <v>0</v>
      </c>
      <c r="DU133" s="1543">
        <f t="shared" si="231"/>
        <v>0</v>
      </c>
      <c r="DV133" s="1543">
        <f t="shared" si="231"/>
        <v>0</v>
      </c>
      <c r="DW133" s="1543">
        <f t="shared" si="231"/>
        <v>0</v>
      </c>
      <c r="DX133" s="1543">
        <f t="shared" si="231"/>
        <v>0</v>
      </c>
      <c r="DY133" s="1543">
        <f t="shared" si="231"/>
        <v>0</v>
      </c>
      <c r="DZ133" s="1543">
        <f t="shared" si="231"/>
        <v>0</v>
      </c>
      <c r="EA133" s="1543">
        <f t="shared" si="231"/>
        <v>0</v>
      </c>
      <c r="EB133" s="1543">
        <f t="shared" si="255"/>
        <v>0</v>
      </c>
      <c r="EC133" s="1543">
        <f t="shared" si="255"/>
        <v>0</v>
      </c>
      <c r="ED133" s="1543">
        <f t="shared" si="255"/>
        <v>0</v>
      </c>
      <c r="EE133" s="1543">
        <f t="shared" si="255"/>
        <v>0</v>
      </c>
      <c r="EF133" s="1543">
        <f t="shared" si="255"/>
        <v>0</v>
      </c>
      <c r="EH133" s="1543">
        <f t="shared" si="241"/>
        <v>0</v>
      </c>
      <c r="EI133" s="1543">
        <f t="shared" si="242"/>
        <v>0</v>
      </c>
      <c r="EJ133" s="1543">
        <f t="shared" si="243"/>
        <v>0</v>
      </c>
      <c r="EK133" s="1543">
        <f t="shared" si="244"/>
        <v>0</v>
      </c>
      <c r="EL133" s="1543">
        <f t="shared" si="245"/>
        <v>0</v>
      </c>
      <c r="EM133" s="1543">
        <f t="shared" si="246"/>
        <v>0</v>
      </c>
      <c r="EN133" s="1543">
        <f t="shared" si="247"/>
        <v>0</v>
      </c>
      <c r="EP133" s="1543">
        <f t="shared" si="197"/>
        <v>0</v>
      </c>
      <c r="EQ133" s="1543">
        <f t="shared" si="197"/>
        <v>0</v>
      </c>
      <c r="ER133" s="1543">
        <f t="shared" si="197"/>
        <v>0</v>
      </c>
      <c r="ES133" s="1543">
        <f t="shared" si="192"/>
        <v>0</v>
      </c>
      <c r="ET133" s="1543">
        <f t="shared" si="228"/>
        <v>0</v>
      </c>
      <c r="EU133" s="1543">
        <f t="shared" si="228"/>
        <v>0</v>
      </c>
      <c r="EV133" s="1543">
        <f t="shared" si="228"/>
        <v>0</v>
      </c>
      <c r="EW133" s="1543">
        <f t="shared" si="228"/>
        <v>0</v>
      </c>
      <c r="EX133" s="1543">
        <f t="shared" si="228"/>
        <v>0</v>
      </c>
      <c r="EY133" s="1543">
        <f t="shared" si="228"/>
        <v>0</v>
      </c>
      <c r="EZ133" s="1543">
        <f t="shared" si="228"/>
        <v>0</v>
      </c>
      <c r="FA133" s="1543">
        <f t="shared" si="228"/>
        <v>0</v>
      </c>
      <c r="FB133" s="1543">
        <f t="shared" si="228"/>
        <v>0</v>
      </c>
      <c r="FC133" s="1543">
        <f t="shared" si="228"/>
        <v>0</v>
      </c>
      <c r="FD133" s="1543">
        <f t="shared" si="228"/>
        <v>0</v>
      </c>
      <c r="FE133" s="1543">
        <f t="shared" si="184"/>
        <v>0</v>
      </c>
      <c r="FF133" s="1543">
        <f t="shared" si="261"/>
        <v>1</v>
      </c>
      <c r="FH133" s="1543">
        <f t="shared" si="262"/>
        <v>0</v>
      </c>
      <c r="FI133" s="1543">
        <f t="shared" si="262"/>
        <v>0</v>
      </c>
      <c r="FJ133" s="1543">
        <f t="shared" si="262"/>
        <v>0</v>
      </c>
      <c r="FK133" s="1543">
        <f t="shared" si="262"/>
        <v>0</v>
      </c>
      <c r="FL133" s="1543">
        <f t="shared" si="262"/>
        <v>0</v>
      </c>
      <c r="FM133" s="1543">
        <f t="shared" si="262"/>
        <v>0</v>
      </c>
      <c r="FN133" s="1543">
        <f t="shared" si="262"/>
        <v>0</v>
      </c>
      <c r="FO133" s="1543">
        <f t="shared" si="262"/>
        <v>0</v>
      </c>
      <c r="FP133" s="1543">
        <f t="shared" si="262"/>
        <v>0</v>
      </c>
      <c r="FQ133" s="1543">
        <f t="shared" si="262"/>
        <v>0</v>
      </c>
      <c r="FR133" s="1543">
        <f t="shared" si="262"/>
        <v>0</v>
      </c>
      <c r="FS133" s="1543">
        <f t="shared" si="262"/>
        <v>0</v>
      </c>
      <c r="FT133" s="1543">
        <f t="shared" si="263"/>
        <v>0</v>
      </c>
      <c r="FV133" s="1543">
        <f t="shared" si="264"/>
        <v>1</v>
      </c>
      <c r="FW133" s="1543">
        <f t="shared" si="264"/>
        <v>0</v>
      </c>
      <c r="FX133" s="1543">
        <f t="shared" si="264"/>
        <v>0</v>
      </c>
      <c r="FY133" s="1543">
        <f t="shared" si="264"/>
        <v>0</v>
      </c>
      <c r="FZ133" s="1543">
        <f t="shared" si="264"/>
        <v>0</v>
      </c>
      <c r="GA133" s="1543">
        <f t="shared" si="264"/>
        <v>0</v>
      </c>
      <c r="GB133" s="1543">
        <f t="shared" si="264"/>
        <v>0</v>
      </c>
      <c r="GC133" s="1543">
        <f t="shared" si="264"/>
        <v>0</v>
      </c>
      <c r="GD133" s="1543">
        <f t="shared" si="264"/>
        <v>0</v>
      </c>
    </row>
    <row r="134" spans="1:186" s="982" customFormat="1" ht="15.6" x14ac:dyDescent="0.3">
      <c r="A134" s="974">
        <v>132</v>
      </c>
      <c r="B134" s="983"/>
      <c r="C134" s="984"/>
      <c r="D134" s="983"/>
      <c r="E134" s="968" t="str">
        <f>IFERROR(VLOOKUP($D134&amp;"."&amp;B134,'Piping Class'!$1:$1048576,MATCH($I134,'Piping Class'!$2:$2,0),0),"")</f>
        <v/>
      </c>
      <c r="F134" s="985" t="str">
        <f>IFERROR(IF(B134="Flange",VLOOKUP($D134,'Piping Class'!$88:$102,MATCH(F$1,'Piping Class'!$88:$88,0),0),""),"")</f>
        <v/>
      </c>
      <c r="G134" s="968" t="str">
        <f>IFERROR(IF(B134="Flange",VLOOKUP($D134,'Piping Class'!$88:$102,MATCH(G$1,'Piping Class'!$88:$88,0),0),""),"")</f>
        <v/>
      </c>
      <c r="H134" s="968" t="str">
        <f>IFERROR(VLOOKUP($D134,'Piping Class'!$88:$102,MATCH(H$1,'Piping Class'!$88:$88,0),0),"")</f>
        <v/>
      </c>
      <c r="I134" s="986"/>
      <c r="J134" s="987"/>
      <c r="K134" s="968" t="str">
        <f>IFERROR(VLOOKUP(I134,'Thickness Tab'!$1:$1048576,MATCH(L134,'Thickness Tab'!$1:$1,0),0),"")</f>
        <v/>
      </c>
      <c r="L134" s="969" t="str">
        <f>IFERROR(VLOOKUP($D134,'Piping Class'!$1:$1048576,MATCH($I134,'Piping Class'!$2:$2,0),0),"")</f>
        <v/>
      </c>
      <c r="M134" s="968" t="str">
        <f>IFERROR(VLOOKUP(J134,'Thickness Tab'!$1:$1048576,MATCH(N134,'Thickness Tab'!$1:$1,0),0),"")</f>
        <v/>
      </c>
      <c r="N134" s="969" t="str">
        <f>IFERROR(VLOOKUP($D134,'Piping Class'!$1:$1048576,MATCH($J134,'Piping Class'!$2:$2,0),0),"")</f>
        <v/>
      </c>
      <c r="O134" s="968" t="str">
        <f>IFERROR(VLOOKUP($D134,'Piping Class'!$88:$102,MATCH(O$1,'Piping Class'!$88:$88,0),0),"")</f>
        <v/>
      </c>
      <c r="P134" s="968" t="str">
        <f>IFERROR(VLOOKUP($D134,'Piping Class'!$88:$102,MATCH(P$1,'Piping Class'!$88:$88,0),0),"")</f>
        <v/>
      </c>
      <c r="Q134" s="983"/>
      <c r="R134" s="988"/>
      <c r="S134" s="969" t="str">
        <f t="shared" si="232"/>
        <v/>
      </c>
      <c r="T134" s="968">
        <f>IFERROR(VLOOKUP(I134&amp;"."&amp;L134,'Fitting Chart'!$1:$1048576,MATCH(C134,'Fitting Chart'!$1:$1,0),0),0)+IF(B134="piping",PI()*K134*(VLOOKUP(I134,'Thickness Tab'!$1:$1048576,3,0)-K134)*7.86/1000,0)+IF(B134="Flange",VLOOKUP(I134&amp;"F"&amp;F134,'Flanges Chart'!$1:$1048576,MATCH(C134&amp;"."&amp;T$1,'Flanges Chart'!$1:$1,0),0),0)</f>
        <v>0</v>
      </c>
      <c r="U134" s="989">
        <f t="shared" si="233"/>
        <v>0</v>
      </c>
      <c r="V134" s="1003"/>
      <c r="W134" s="1001">
        <f t="shared" si="234"/>
        <v>0</v>
      </c>
      <c r="X134" s="997"/>
      <c r="Y134" s="983"/>
      <c r="Z134" s="989">
        <f>IF(B134="Piping",VLOOKUP(I134,'Thickness Tab'!$1:$1048576,3,0)/1000*PI(),0)+IFERROR(VLOOKUP(I134&amp;"F"&amp;F134,'Flanges Chart'!$1:$1048576,MATCH(C134&amp;".Unit Surface",'Flanges Chart'!$1:$1,0),0),0)+IF(B134="Fitting",VLOOKUP(I134,'Thickness Tab'!$1:$1048576,3,0)/1000*PI(),0)</f>
        <v>0</v>
      </c>
      <c r="AA134" s="989">
        <f t="shared" si="235"/>
        <v>0</v>
      </c>
      <c r="AB134" s="983">
        <v>0</v>
      </c>
      <c r="AC134" s="989">
        <f t="shared" si="256"/>
        <v>0</v>
      </c>
      <c r="AD134" s="989">
        <f t="shared" si="257"/>
        <v>0</v>
      </c>
      <c r="AE134" s="974">
        <f>(IFERROR(VLOOKUP($C134,List!$J:$L,2,0),0)*R134+IF(B134="piping",R134,0)+IF(C134="Welding Neck",1,0)*R134)*$AE$2</f>
        <v>0</v>
      </c>
      <c r="AF134" s="970">
        <f>IFERROR(VLOOKUP($C134,List!$J:$L,3,0),0)*R134*$AF$2</f>
        <v>0</v>
      </c>
      <c r="AG134" s="990">
        <f t="shared" si="236"/>
        <v>0</v>
      </c>
      <c r="AH134" s="1118" t="str">
        <f>IFERROR(VLOOKUP($D134,'Piping Class'!$88:$102,MATCH(AH$1,'Piping Class'!$88:$88,0),0),"")</f>
        <v/>
      </c>
      <c r="AI134" s="991" t="str">
        <f>IFERROR(VLOOKUP($D134,'Piping Class'!$88:$102,MATCH(AI$1,'Piping Class'!$88:$88,0),0),"")</f>
        <v/>
      </c>
      <c r="AJ134" s="991" t="str">
        <f>IFERROR(VLOOKUP($D134,'Piping Class'!$88:$102,MATCH(AJ$1,'Piping Class'!$88:$88,0),0),"")</f>
        <v/>
      </c>
      <c r="AK134" s="991" t="str">
        <f>IFERROR(VLOOKUP($D134,'Piping Class'!$88:$102,MATCH(AK$1,'Piping Class'!$88:$88,0),0),"")</f>
        <v/>
      </c>
      <c r="AL134" s="991">
        <f t="shared" si="182"/>
        <v>0</v>
      </c>
      <c r="AM134" s="1119" t="str">
        <f>IFERROR(VLOOKUP($D134,'Piping Class'!$88:$102,MATCH(AM$1,'Piping Class'!$88:$88,0),0),"")</f>
        <v/>
      </c>
      <c r="AN134" s="992">
        <f t="shared" si="258"/>
        <v>0</v>
      </c>
      <c r="AO134" s="993">
        <f>IFERROR(VLOOKUP(I134&amp;"B"&amp;F134,'Bolting Chart'!$1:$1048576,4,0),0)</f>
        <v>0</v>
      </c>
      <c r="AP134" s="993">
        <f t="shared" si="237"/>
        <v>0</v>
      </c>
      <c r="AQ134" s="993">
        <f t="shared" si="238"/>
        <v>0</v>
      </c>
      <c r="AR134" s="993">
        <f>IF(AO134=0,0,VLOOKUP(D134&amp;".bolting",'Piping Class'!$1:$1048576,MATCH(I134,'Piping Class'!$2:$2,0),0))</f>
        <v>0</v>
      </c>
      <c r="AS134" s="994">
        <f>IFERROR(VLOOKUP(I134&amp;"B"&amp;F134,'Bolting Chart'!$1:$1048576,IF(AS$2="UNC",5,6),0),0)</f>
        <v>0</v>
      </c>
      <c r="AT134" s="995">
        <f>IFERROR(VLOOKUP(I134&amp;"B"&amp;F134,'Bolting Chart'!$1:$1048576,IF(G134="RF",8,9),0),0)</f>
        <v>0</v>
      </c>
      <c r="AU134" s="993">
        <f>IF(AO134=0,0,VLOOKUP(D134&amp;".gasket",'Piping Class'!$1:$1048576,MATCH(I134,'Piping Class'!$2:$2,0),0))</f>
        <v>0</v>
      </c>
      <c r="AV134" s="996">
        <f>(IFERROR(INDEX('Bolting Chart'!$A$169:$R$251,MATCH(AT134,'Bolting Chart'!$A$170:$A$251,0),MATCH(IFERROR(VLOOKUP(I134&amp;"B"&amp;F134,'Bolting Chart'!$1:$1048576,7,0),0)+0,'Bolting Chart'!$A$169:$R$169,0)),0))/100</f>
        <v>0</v>
      </c>
      <c r="AW134" s="996">
        <f t="shared" si="239"/>
        <v>0</v>
      </c>
      <c r="AX134" s="1194">
        <f t="shared" si="240"/>
        <v>0</v>
      </c>
      <c r="AY134" s="981"/>
      <c r="AZ134" s="1543">
        <f t="shared" si="229"/>
        <v>0</v>
      </c>
      <c r="BA134" s="1543">
        <f t="shared" si="229"/>
        <v>0</v>
      </c>
      <c r="BB134" s="1543">
        <f t="shared" si="229"/>
        <v>0</v>
      </c>
      <c r="BC134" s="1543">
        <f t="shared" si="229"/>
        <v>0</v>
      </c>
      <c r="BD134" s="1543">
        <f t="shared" si="229"/>
        <v>0</v>
      </c>
      <c r="BE134" s="1543">
        <f t="shared" si="229"/>
        <v>0</v>
      </c>
      <c r="BF134" s="1543">
        <f t="shared" si="229"/>
        <v>0</v>
      </c>
      <c r="BG134" s="1543">
        <f t="shared" si="229"/>
        <v>0</v>
      </c>
      <c r="BH134" s="1543">
        <f t="shared" si="229"/>
        <v>0</v>
      </c>
      <c r="BI134" s="1543">
        <f t="shared" si="229"/>
        <v>0</v>
      </c>
      <c r="BJ134" s="1543">
        <f t="shared" si="229"/>
        <v>0</v>
      </c>
      <c r="BK134" s="1543">
        <f t="shared" si="229"/>
        <v>0</v>
      </c>
      <c r="BL134" s="1543">
        <f t="shared" si="229"/>
        <v>0</v>
      </c>
      <c r="BM134" s="1543">
        <f t="shared" si="229"/>
        <v>0</v>
      </c>
      <c r="BN134" s="1543">
        <f t="shared" si="229"/>
        <v>0</v>
      </c>
      <c r="BO134" s="1543">
        <f t="shared" si="229"/>
        <v>0</v>
      </c>
      <c r="BP134" s="1543">
        <f t="shared" si="249"/>
        <v>0</v>
      </c>
      <c r="BQ134" s="1543">
        <f t="shared" si="249"/>
        <v>0</v>
      </c>
      <c r="BR134" s="1543">
        <f t="shared" si="249"/>
        <v>0</v>
      </c>
      <c r="BS134" s="1543">
        <f t="shared" si="249"/>
        <v>0</v>
      </c>
      <c r="BT134" s="1543">
        <f t="shared" si="249"/>
        <v>0</v>
      </c>
      <c r="BU134" s="1543">
        <f t="shared" si="249"/>
        <v>0</v>
      </c>
      <c r="BV134" s="1543">
        <f t="shared" si="249"/>
        <v>0</v>
      </c>
      <c r="BW134" s="1543">
        <f t="shared" si="249"/>
        <v>0</v>
      </c>
      <c r="BX134" s="1543">
        <f t="shared" si="249"/>
        <v>0</v>
      </c>
      <c r="BY134" s="1543">
        <f t="shared" si="249"/>
        <v>0</v>
      </c>
      <c r="BZ134" s="1543">
        <f t="shared" si="249"/>
        <v>0</v>
      </c>
      <c r="CB134" s="1543">
        <f t="shared" si="230"/>
        <v>0</v>
      </c>
      <c r="CC134" s="1543">
        <f t="shared" si="230"/>
        <v>0</v>
      </c>
      <c r="CD134" s="1543">
        <f t="shared" si="230"/>
        <v>0</v>
      </c>
      <c r="CE134" s="1543">
        <f t="shared" si="230"/>
        <v>0</v>
      </c>
      <c r="CF134" s="1543">
        <f t="shared" si="230"/>
        <v>0</v>
      </c>
      <c r="CG134" s="1543">
        <f t="shared" si="230"/>
        <v>0</v>
      </c>
      <c r="CH134" s="1543">
        <f t="shared" si="230"/>
        <v>0</v>
      </c>
      <c r="CI134" s="1543">
        <f t="shared" si="230"/>
        <v>0</v>
      </c>
      <c r="CJ134" s="1543">
        <f t="shared" si="230"/>
        <v>0</v>
      </c>
      <c r="CK134" s="1543">
        <f t="shared" si="230"/>
        <v>0</v>
      </c>
      <c r="CL134" s="1543">
        <f t="shared" si="230"/>
        <v>0</v>
      </c>
      <c r="CM134" s="1543">
        <f t="shared" si="230"/>
        <v>0</v>
      </c>
      <c r="CN134" s="1543">
        <f t="shared" si="230"/>
        <v>0</v>
      </c>
      <c r="CO134" s="1543">
        <f t="shared" si="230"/>
        <v>0</v>
      </c>
      <c r="CP134" s="1543">
        <f t="shared" si="230"/>
        <v>0</v>
      </c>
      <c r="CQ134" s="1543">
        <f t="shared" si="230"/>
        <v>0</v>
      </c>
      <c r="CR134" s="1543">
        <f t="shared" si="250"/>
        <v>0</v>
      </c>
      <c r="CS134" s="1543">
        <f t="shared" si="250"/>
        <v>0</v>
      </c>
      <c r="CT134" s="1543">
        <f t="shared" si="248"/>
        <v>0</v>
      </c>
      <c r="CU134" s="1543">
        <f t="shared" si="248"/>
        <v>0</v>
      </c>
      <c r="CV134" s="1543">
        <f t="shared" si="248"/>
        <v>0</v>
      </c>
      <c r="CW134" s="1543">
        <f t="shared" si="248"/>
        <v>0</v>
      </c>
      <c r="CX134" s="1543">
        <f t="shared" si="248"/>
        <v>0</v>
      </c>
      <c r="CY134" s="1543">
        <f t="shared" si="248"/>
        <v>0</v>
      </c>
      <c r="CZ134" s="1543">
        <f t="shared" si="248"/>
        <v>0</v>
      </c>
      <c r="DA134" s="1543">
        <f t="shared" si="248"/>
        <v>0</v>
      </c>
      <c r="DB134" s="1543">
        <f t="shared" si="248"/>
        <v>0</v>
      </c>
      <c r="DD134" s="1543">
        <f t="shared" si="251"/>
        <v>0</v>
      </c>
      <c r="DE134" s="1543">
        <f t="shared" si="252"/>
        <v>0</v>
      </c>
      <c r="DF134" s="1543">
        <f t="shared" si="253"/>
        <v>0</v>
      </c>
      <c r="DG134" s="1543">
        <f t="shared" si="259"/>
        <v>0</v>
      </c>
      <c r="DI134" s="1543">
        <f t="shared" si="260"/>
        <v>0</v>
      </c>
      <c r="DJ134" s="1543">
        <f t="shared" si="254"/>
        <v>0</v>
      </c>
      <c r="DK134" s="1543">
        <f t="shared" si="254"/>
        <v>0</v>
      </c>
      <c r="DL134" s="1543">
        <f t="shared" si="254"/>
        <v>0</v>
      </c>
      <c r="DM134" s="1543">
        <f t="shared" si="254"/>
        <v>0</v>
      </c>
      <c r="DO134" s="1543">
        <f t="shared" si="231"/>
        <v>0</v>
      </c>
      <c r="DP134" s="1543">
        <f t="shared" si="231"/>
        <v>0</v>
      </c>
      <c r="DQ134" s="1543">
        <f t="shared" si="231"/>
        <v>0</v>
      </c>
      <c r="DR134" s="1543">
        <f t="shared" si="231"/>
        <v>0</v>
      </c>
      <c r="DS134" s="1543">
        <f t="shared" si="231"/>
        <v>0</v>
      </c>
      <c r="DT134" s="1543">
        <f t="shared" si="231"/>
        <v>0</v>
      </c>
      <c r="DU134" s="1543">
        <f t="shared" si="231"/>
        <v>0</v>
      </c>
      <c r="DV134" s="1543">
        <f t="shared" si="231"/>
        <v>0</v>
      </c>
      <c r="DW134" s="1543">
        <f t="shared" si="231"/>
        <v>0</v>
      </c>
      <c r="DX134" s="1543">
        <f t="shared" si="231"/>
        <v>0</v>
      </c>
      <c r="DY134" s="1543">
        <f t="shared" si="231"/>
        <v>0</v>
      </c>
      <c r="DZ134" s="1543">
        <f t="shared" si="231"/>
        <v>0</v>
      </c>
      <c r="EA134" s="1543">
        <f t="shared" si="231"/>
        <v>0</v>
      </c>
      <c r="EB134" s="1543">
        <f t="shared" si="255"/>
        <v>0</v>
      </c>
      <c r="EC134" s="1543">
        <f t="shared" si="255"/>
        <v>0</v>
      </c>
      <c r="ED134" s="1543">
        <f t="shared" si="255"/>
        <v>0</v>
      </c>
      <c r="EE134" s="1543">
        <f t="shared" si="255"/>
        <v>0</v>
      </c>
      <c r="EF134" s="1543">
        <f t="shared" si="255"/>
        <v>0</v>
      </c>
      <c r="EH134" s="1543">
        <f t="shared" si="241"/>
        <v>0</v>
      </c>
      <c r="EI134" s="1543">
        <f t="shared" si="242"/>
        <v>0</v>
      </c>
      <c r="EJ134" s="1543">
        <f t="shared" si="243"/>
        <v>0</v>
      </c>
      <c r="EK134" s="1543">
        <f t="shared" si="244"/>
        <v>0</v>
      </c>
      <c r="EL134" s="1543">
        <f t="shared" si="245"/>
        <v>0</v>
      </c>
      <c r="EM134" s="1543">
        <f t="shared" si="246"/>
        <v>0</v>
      </c>
      <c r="EN134" s="1543">
        <f t="shared" si="247"/>
        <v>0</v>
      </c>
      <c r="EP134" s="1543">
        <f t="shared" si="197"/>
        <v>0</v>
      </c>
      <c r="EQ134" s="1543">
        <f t="shared" si="197"/>
        <v>0</v>
      </c>
      <c r="ER134" s="1543">
        <f t="shared" si="197"/>
        <v>0</v>
      </c>
      <c r="ES134" s="1543">
        <f t="shared" si="192"/>
        <v>0</v>
      </c>
      <c r="ET134" s="1543">
        <f t="shared" si="228"/>
        <v>0</v>
      </c>
      <c r="EU134" s="1543">
        <f t="shared" si="228"/>
        <v>0</v>
      </c>
      <c r="EV134" s="1543">
        <f t="shared" si="228"/>
        <v>0</v>
      </c>
      <c r="EW134" s="1543">
        <f t="shared" si="228"/>
        <v>0</v>
      </c>
      <c r="EX134" s="1543">
        <f t="shared" si="228"/>
        <v>0</v>
      </c>
      <c r="EY134" s="1543">
        <f t="shared" si="228"/>
        <v>0</v>
      </c>
      <c r="EZ134" s="1543">
        <f t="shared" si="228"/>
        <v>0</v>
      </c>
      <c r="FA134" s="1543">
        <f t="shared" si="228"/>
        <v>0</v>
      </c>
      <c r="FB134" s="1543">
        <f t="shared" si="228"/>
        <v>0</v>
      </c>
      <c r="FC134" s="1543">
        <f t="shared" si="228"/>
        <v>0</v>
      </c>
      <c r="FD134" s="1543">
        <f t="shared" si="228"/>
        <v>0</v>
      </c>
      <c r="FE134" s="1543">
        <f t="shared" si="184"/>
        <v>0</v>
      </c>
      <c r="FF134" s="1543">
        <f t="shared" si="261"/>
        <v>1</v>
      </c>
      <c r="FH134" s="1543">
        <f t="shared" si="262"/>
        <v>0</v>
      </c>
      <c r="FI134" s="1543">
        <f t="shared" si="262"/>
        <v>0</v>
      </c>
      <c r="FJ134" s="1543">
        <f t="shared" si="262"/>
        <v>0</v>
      </c>
      <c r="FK134" s="1543">
        <f t="shared" si="262"/>
        <v>0</v>
      </c>
      <c r="FL134" s="1543">
        <f t="shared" si="262"/>
        <v>0</v>
      </c>
      <c r="FM134" s="1543">
        <f t="shared" si="262"/>
        <v>0</v>
      </c>
      <c r="FN134" s="1543">
        <f t="shared" si="262"/>
        <v>0</v>
      </c>
      <c r="FO134" s="1543">
        <f t="shared" si="262"/>
        <v>0</v>
      </c>
      <c r="FP134" s="1543">
        <f t="shared" si="262"/>
        <v>0</v>
      </c>
      <c r="FQ134" s="1543">
        <f t="shared" si="262"/>
        <v>0</v>
      </c>
      <c r="FR134" s="1543">
        <f t="shared" si="262"/>
        <v>0</v>
      </c>
      <c r="FS134" s="1543">
        <f t="shared" si="262"/>
        <v>0</v>
      </c>
      <c r="FT134" s="1543">
        <f t="shared" si="263"/>
        <v>0</v>
      </c>
      <c r="FV134" s="1543">
        <f t="shared" si="264"/>
        <v>1</v>
      </c>
      <c r="FW134" s="1543">
        <f t="shared" si="264"/>
        <v>0</v>
      </c>
      <c r="FX134" s="1543">
        <f t="shared" si="264"/>
        <v>0</v>
      </c>
      <c r="FY134" s="1543">
        <f t="shared" si="264"/>
        <v>0</v>
      </c>
      <c r="FZ134" s="1543">
        <f t="shared" si="264"/>
        <v>0</v>
      </c>
      <c r="GA134" s="1543">
        <f t="shared" si="264"/>
        <v>0</v>
      </c>
      <c r="GB134" s="1543">
        <f t="shared" si="264"/>
        <v>0</v>
      </c>
      <c r="GC134" s="1543">
        <f t="shared" si="264"/>
        <v>0</v>
      </c>
      <c r="GD134" s="1543">
        <f t="shared" si="264"/>
        <v>0</v>
      </c>
    </row>
    <row r="135" spans="1:186" s="982" customFormat="1" ht="15.6" x14ac:dyDescent="0.3">
      <c r="A135" s="974">
        <v>133</v>
      </c>
      <c r="B135" s="983"/>
      <c r="C135" s="984"/>
      <c r="D135" s="983"/>
      <c r="E135" s="968" t="str">
        <f>IFERROR(VLOOKUP($D135&amp;"."&amp;B135,'Piping Class'!$1:$1048576,MATCH($I135,'Piping Class'!$2:$2,0),0),"")</f>
        <v/>
      </c>
      <c r="F135" s="985" t="str">
        <f>IFERROR(IF(B135="Flange",VLOOKUP($D135,'Piping Class'!$88:$102,MATCH(F$1,'Piping Class'!$88:$88,0),0),""),"")</f>
        <v/>
      </c>
      <c r="G135" s="968" t="str">
        <f>IFERROR(IF(B135="Flange",VLOOKUP($D135,'Piping Class'!$88:$102,MATCH(G$1,'Piping Class'!$88:$88,0),0),""),"")</f>
        <v/>
      </c>
      <c r="H135" s="968" t="str">
        <f>IFERROR(VLOOKUP($D135,'Piping Class'!$88:$102,MATCH(H$1,'Piping Class'!$88:$88,0),0),"")</f>
        <v/>
      </c>
      <c r="I135" s="986"/>
      <c r="J135" s="987"/>
      <c r="K135" s="968" t="str">
        <f>IFERROR(VLOOKUP(I135,'Thickness Tab'!$1:$1048576,MATCH(L135,'Thickness Tab'!$1:$1,0),0),"")</f>
        <v/>
      </c>
      <c r="L135" s="969" t="str">
        <f>IFERROR(VLOOKUP($D135,'Piping Class'!$1:$1048576,MATCH($I135,'Piping Class'!$2:$2,0),0),"")</f>
        <v/>
      </c>
      <c r="M135" s="968" t="str">
        <f>IFERROR(VLOOKUP(J135,'Thickness Tab'!$1:$1048576,MATCH(N135,'Thickness Tab'!$1:$1,0),0),"")</f>
        <v/>
      </c>
      <c r="N135" s="969" t="str">
        <f>IFERROR(VLOOKUP($D135,'Piping Class'!$1:$1048576,MATCH($J135,'Piping Class'!$2:$2,0),0),"")</f>
        <v/>
      </c>
      <c r="O135" s="968" t="str">
        <f>IFERROR(VLOOKUP($D135,'Piping Class'!$88:$102,MATCH(O$1,'Piping Class'!$88:$88,0),0),"")</f>
        <v/>
      </c>
      <c r="P135" s="968" t="str">
        <f>IFERROR(VLOOKUP($D135,'Piping Class'!$88:$102,MATCH(P$1,'Piping Class'!$88:$88,0),0),"")</f>
        <v/>
      </c>
      <c r="Q135" s="983"/>
      <c r="R135" s="988"/>
      <c r="S135" s="969" t="str">
        <f t="shared" si="232"/>
        <v/>
      </c>
      <c r="T135" s="968">
        <f>IFERROR(VLOOKUP(I135&amp;"."&amp;L135,'Fitting Chart'!$1:$1048576,MATCH(C135,'Fitting Chart'!$1:$1,0),0),0)+IF(B135="piping",PI()*K135*(VLOOKUP(I135,'Thickness Tab'!$1:$1048576,3,0)-K135)*7.86/1000,0)+IF(B135="Flange",VLOOKUP(I135&amp;"F"&amp;F135,'Flanges Chart'!$1:$1048576,MATCH(C135&amp;"."&amp;T$1,'Flanges Chart'!$1:$1,0),0),0)</f>
        <v>0</v>
      </c>
      <c r="U135" s="989">
        <f t="shared" si="233"/>
        <v>0</v>
      </c>
      <c r="V135" s="1003"/>
      <c r="W135" s="1001">
        <f t="shared" si="234"/>
        <v>0</v>
      </c>
      <c r="X135" s="997"/>
      <c r="Y135" s="983"/>
      <c r="Z135" s="989">
        <f>IF(B135="Piping",VLOOKUP(I135,'Thickness Tab'!$1:$1048576,3,0)/1000*PI(),0)+IFERROR(VLOOKUP(I135&amp;"F"&amp;F135,'Flanges Chart'!$1:$1048576,MATCH(C135&amp;".Unit Surface",'Flanges Chart'!$1:$1,0),0),0)+IF(B135="Fitting",VLOOKUP(I135,'Thickness Tab'!$1:$1048576,3,0)/1000*PI(),0)</f>
        <v>0</v>
      </c>
      <c r="AA135" s="989">
        <f t="shared" si="235"/>
        <v>0</v>
      </c>
      <c r="AB135" s="983">
        <v>0</v>
      </c>
      <c r="AC135" s="989">
        <f t="shared" si="256"/>
        <v>0</v>
      </c>
      <c r="AD135" s="989">
        <f t="shared" si="257"/>
        <v>0</v>
      </c>
      <c r="AE135" s="974">
        <f>(IFERROR(VLOOKUP($C135,List!$J:$L,2,0),0)*R135+IF(B135="piping",R135,0)+IF(C135="Welding Neck",1,0)*R135)*$AE$2</f>
        <v>0</v>
      </c>
      <c r="AF135" s="970">
        <f>IFERROR(VLOOKUP($C135,List!$J:$L,3,0),0)*R135*$AF$2</f>
        <v>0</v>
      </c>
      <c r="AG135" s="990">
        <f t="shared" si="236"/>
        <v>0</v>
      </c>
      <c r="AH135" s="1118" t="str">
        <f>IFERROR(VLOOKUP($D135,'Piping Class'!$88:$102,MATCH(AH$1,'Piping Class'!$88:$88,0),0),"")</f>
        <v/>
      </c>
      <c r="AI135" s="991" t="str">
        <f>IFERROR(VLOOKUP($D135,'Piping Class'!$88:$102,MATCH(AI$1,'Piping Class'!$88:$88,0),0),"")</f>
        <v/>
      </c>
      <c r="AJ135" s="991" t="str">
        <f>IFERROR(VLOOKUP($D135,'Piping Class'!$88:$102,MATCH(AJ$1,'Piping Class'!$88:$88,0),0),"")</f>
        <v/>
      </c>
      <c r="AK135" s="991" t="str">
        <f>IFERROR(VLOOKUP($D135,'Piping Class'!$88:$102,MATCH(AK$1,'Piping Class'!$88:$88,0),0),"")</f>
        <v/>
      </c>
      <c r="AL135" s="991">
        <f t="shared" si="182"/>
        <v>0</v>
      </c>
      <c r="AM135" s="1119" t="str">
        <f>IFERROR(VLOOKUP($D135,'Piping Class'!$88:$102,MATCH(AM$1,'Piping Class'!$88:$88,0),0),"")</f>
        <v/>
      </c>
      <c r="AN135" s="992">
        <f t="shared" si="258"/>
        <v>0</v>
      </c>
      <c r="AO135" s="993">
        <f>IFERROR(VLOOKUP(I135&amp;"B"&amp;F135,'Bolting Chart'!$1:$1048576,4,0),0)</f>
        <v>0</v>
      </c>
      <c r="AP135" s="993">
        <f t="shared" si="237"/>
        <v>0</v>
      </c>
      <c r="AQ135" s="993">
        <f t="shared" si="238"/>
        <v>0</v>
      </c>
      <c r="AR135" s="993">
        <f>IF(AO135=0,0,VLOOKUP(D135&amp;".bolting",'Piping Class'!$1:$1048576,MATCH(I135,'Piping Class'!$2:$2,0),0))</f>
        <v>0</v>
      </c>
      <c r="AS135" s="994">
        <f>IFERROR(VLOOKUP(I135&amp;"B"&amp;F135,'Bolting Chart'!$1:$1048576,IF(AS$2="UNC",5,6),0),0)</f>
        <v>0</v>
      </c>
      <c r="AT135" s="995">
        <f>IFERROR(VLOOKUP(I135&amp;"B"&amp;F135,'Bolting Chart'!$1:$1048576,IF(G135="RF",8,9),0),0)</f>
        <v>0</v>
      </c>
      <c r="AU135" s="993">
        <f>IF(AO135=0,0,VLOOKUP(D135&amp;".gasket",'Piping Class'!$1:$1048576,MATCH(I135,'Piping Class'!$2:$2,0),0))</f>
        <v>0</v>
      </c>
      <c r="AV135" s="996">
        <f>(IFERROR(INDEX('Bolting Chart'!$A$169:$R$251,MATCH(AT135,'Bolting Chart'!$A$170:$A$251,0),MATCH(IFERROR(VLOOKUP(I135&amp;"B"&amp;F135,'Bolting Chart'!$1:$1048576,7,0),0)+0,'Bolting Chart'!$A$169:$R$169,0)),0))/100</f>
        <v>0</v>
      </c>
      <c r="AW135" s="996">
        <f t="shared" si="239"/>
        <v>0</v>
      </c>
      <c r="AX135" s="1194">
        <f t="shared" si="240"/>
        <v>0</v>
      </c>
      <c r="AY135" s="981"/>
      <c r="AZ135" s="1543">
        <f t="shared" si="229"/>
        <v>0</v>
      </c>
      <c r="BA135" s="1543">
        <f t="shared" si="229"/>
        <v>0</v>
      </c>
      <c r="BB135" s="1543">
        <f t="shared" si="229"/>
        <v>0</v>
      </c>
      <c r="BC135" s="1543">
        <f t="shared" si="229"/>
        <v>0</v>
      </c>
      <c r="BD135" s="1543">
        <f t="shared" si="229"/>
        <v>0</v>
      </c>
      <c r="BE135" s="1543">
        <f t="shared" si="229"/>
        <v>0</v>
      </c>
      <c r="BF135" s="1543">
        <f t="shared" si="229"/>
        <v>0</v>
      </c>
      <c r="BG135" s="1543">
        <f t="shared" si="229"/>
        <v>0</v>
      </c>
      <c r="BH135" s="1543">
        <f t="shared" si="229"/>
        <v>0</v>
      </c>
      <c r="BI135" s="1543">
        <f t="shared" si="229"/>
        <v>0</v>
      </c>
      <c r="BJ135" s="1543">
        <f t="shared" si="229"/>
        <v>0</v>
      </c>
      <c r="BK135" s="1543">
        <f t="shared" si="229"/>
        <v>0</v>
      </c>
      <c r="BL135" s="1543">
        <f t="shared" si="229"/>
        <v>0</v>
      </c>
      <c r="BM135" s="1543">
        <f t="shared" si="229"/>
        <v>0</v>
      </c>
      <c r="BN135" s="1543">
        <f t="shared" si="229"/>
        <v>0</v>
      </c>
      <c r="BO135" s="1543">
        <f t="shared" si="229"/>
        <v>0</v>
      </c>
      <c r="BP135" s="1543">
        <f t="shared" si="249"/>
        <v>0</v>
      </c>
      <c r="BQ135" s="1543">
        <f t="shared" si="249"/>
        <v>0</v>
      </c>
      <c r="BR135" s="1543">
        <f t="shared" si="249"/>
        <v>0</v>
      </c>
      <c r="BS135" s="1543">
        <f t="shared" si="249"/>
        <v>0</v>
      </c>
      <c r="BT135" s="1543">
        <f t="shared" si="249"/>
        <v>0</v>
      </c>
      <c r="BU135" s="1543">
        <f t="shared" si="249"/>
        <v>0</v>
      </c>
      <c r="BV135" s="1543">
        <f t="shared" si="249"/>
        <v>0</v>
      </c>
      <c r="BW135" s="1543">
        <f t="shared" si="249"/>
        <v>0</v>
      </c>
      <c r="BX135" s="1543">
        <f t="shared" si="249"/>
        <v>0</v>
      </c>
      <c r="BY135" s="1543">
        <f t="shared" si="249"/>
        <v>0</v>
      </c>
      <c r="BZ135" s="1543">
        <f t="shared" si="249"/>
        <v>0</v>
      </c>
      <c r="CB135" s="1543">
        <f t="shared" si="230"/>
        <v>0</v>
      </c>
      <c r="CC135" s="1543">
        <f t="shared" si="230"/>
        <v>0</v>
      </c>
      <c r="CD135" s="1543">
        <f t="shared" si="230"/>
        <v>0</v>
      </c>
      <c r="CE135" s="1543">
        <f t="shared" si="230"/>
        <v>0</v>
      </c>
      <c r="CF135" s="1543">
        <f t="shared" si="230"/>
        <v>0</v>
      </c>
      <c r="CG135" s="1543">
        <f t="shared" si="230"/>
        <v>0</v>
      </c>
      <c r="CH135" s="1543">
        <f t="shared" si="230"/>
        <v>0</v>
      </c>
      <c r="CI135" s="1543">
        <f t="shared" si="230"/>
        <v>0</v>
      </c>
      <c r="CJ135" s="1543">
        <f t="shared" si="230"/>
        <v>0</v>
      </c>
      <c r="CK135" s="1543">
        <f t="shared" si="230"/>
        <v>0</v>
      </c>
      <c r="CL135" s="1543">
        <f t="shared" si="230"/>
        <v>0</v>
      </c>
      <c r="CM135" s="1543">
        <f t="shared" si="230"/>
        <v>0</v>
      </c>
      <c r="CN135" s="1543">
        <f t="shared" si="230"/>
        <v>0</v>
      </c>
      <c r="CO135" s="1543">
        <f t="shared" si="230"/>
        <v>0</v>
      </c>
      <c r="CP135" s="1543">
        <f t="shared" si="230"/>
        <v>0</v>
      </c>
      <c r="CQ135" s="1543">
        <f t="shared" si="230"/>
        <v>0</v>
      </c>
      <c r="CR135" s="1543">
        <f t="shared" si="250"/>
        <v>0</v>
      </c>
      <c r="CS135" s="1543">
        <f t="shared" si="250"/>
        <v>0</v>
      </c>
      <c r="CT135" s="1543">
        <f t="shared" si="248"/>
        <v>0</v>
      </c>
      <c r="CU135" s="1543">
        <f t="shared" si="248"/>
        <v>0</v>
      </c>
      <c r="CV135" s="1543">
        <f t="shared" si="248"/>
        <v>0</v>
      </c>
      <c r="CW135" s="1543">
        <f t="shared" si="248"/>
        <v>0</v>
      </c>
      <c r="CX135" s="1543">
        <f t="shared" si="248"/>
        <v>0</v>
      </c>
      <c r="CY135" s="1543">
        <f t="shared" si="248"/>
        <v>0</v>
      </c>
      <c r="CZ135" s="1543">
        <f t="shared" si="248"/>
        <v>0</v>
      </c>
      <c r="DA135" s="1543">
        <f t="shared" si="248"/>
        <v>0</v>
      </c>
      <c r="DB135" s="1543">
        <f t="shared" si="248"/>
        <v>0</v>
      </c>
      <c r="DD135" s="1543">
        <f t="shared" si="251"/>
        <v>0</v>
      </c>
      <c r="DE135" s="1543">
        <f t="shared" si="252"/>
        <v>0</v>
      </c>
      <c r="DF135" s="1543">
        <f t="shared" si="253"/>
        <v>0</v>
      </c>
      <c r="DG135" s="1543">
        <f t="shared" si="259"/>
        <v>0</v>
      </c>
      <c r="DI135" s="1543">
        <f t="shared" si="260"/>
        <v>0</v>
      </c>
      <c r="DJ135" s="1543">
        <f t="shared" si="254"/>
        <v>0</v>
      </c>
      <c r="DK135" s="1543">
        <f t="shared" si="254"/>
        <v>0</v>
      </c>
      <c r="DL135" s="1543">
        <f t="shared" si="254"/>
        <v>0</v>
      </c>
      <c r="DM135" s="1543">
        <f t="shared" si="254"/>
        <v>0</v>
      </c>
      <c r="DO135" s="1543">
        <f t="shared" si="231"/>
        <v>0</v>
      </c>
      <c r="DP135" s="1543">
        <f t="shared" si="231"/>
        <v>0</v>
      </c>
      <c r="DQ135" s="1543">
        <f t="shared" si="231"/>
        <v>0</v>
      </c>
      <c r="DR135" s="1543">
        <f t="shared" si="231"/>
        <v>0</v>
      </c>
      <c r="DS135" s="1543">
        <f t="shared" si="231"/>
        <v>0</v>
      </c>
      <c r="DT135" s="1543">
        <f t="shared" si="231"/>
        <v>0</v>
      </c>
      <c r="DU135" s="1543">
        <f t="shared" si="231"/>
        <v>0</v>
      </c>
      <c r="DV135" s="1543">
        <f t="shared" si="231"/>
        <v>0</v>
      </c>
      <c r="DW135" s="1543">
        <f t="shared" si="231"/>
        <v>0</v>
      </c>
      <c r="DX135" s="1543">
        <f t="shared" si="231"/>
        <v>0</v>
      </c>
      <c r="DY135" s="1543">
        <f t="shared" si="231"/>
        <v>0</v>
      </c>
      <c r="DZ135" s="1543">
        <f t="shared" si="231"/>
        <v>0</v>
      </c>
      <c r="EA135" s="1543">
        <f t="shared" si="231"/>
        <v>0</v>
      </c>
      <c r="EB135" s="1543">
        <f t="shared" si="255"/>
        <v>0</v>
      </c>
      <c r="EC135" s="1543">
        <f t="shared" si="255"/>
        <v>0</v>
      </c>
      <c r="ED135" s="1543">
        <f t="shared" si="255"/>
        <v>0</v>
      </c>
      <c r="EE135" s="1543">
        <f t="shared" si="255"/>
        <v>0</v>
      </c>
      <c r="EF135" s="1543">
        <f t="shared" si="255"/>
        <v>0</v>
      </c>
      <c r="EH135" s="1543">
        <f t="shared" si="241"/>
        <v>0</v>
      </c>
      <c r="EI135" s="1543">
        <f t="shared" si="242"/>
        <v>0</v>
      </c>
      <c r="EJ135" s="1543">
        <f t="shared" si="243"/>
        <v>0</v>
      </c>
      <c r="EK135" s="1543">
        <f t="shared" si="244"/>
        <v>0</v>
      </c>
      <c r="EL135" s="1543">
        <f t="shared" si="245"/>
        <v>0</v>
      </c>
      <c r="EM135" s="1543">
        <f t="shared" si="246"/>
        <v>0</v>
      </c>
      <c r="EN135" s="1543">
        <f t="shared" si="247"/>
        <v>0</v>
      </c>
      <c r="EP135" s="1543">
        <f t="shared" si="197"/>
        <v>0</v>
      </c>
      <c r="EQ135" s="1543">
        <f t="shared" si="197"/>
        <v>0</v>
      </c>
      <c r="ER135" s="1543">
        <f t="shared" si="197"/>
        <v>0</v>
      </c>
      <c r="ES135" s="1543">
        <f t="shared" si="192"/>
        <v>0</v>
      </c>
      <c r="ET135" s="1543">
        <f t="shared" si="228"/>
        <v>0</v>
      </c>
      <c r="EU135" s="1543">
        <f t="shared" si="228"/>
        <v>0</v>
      </c>
      <c r="EV135" s="1543">
        <f t="shared" si="228"/>
        <v>0</v>
      </c>
      <c r="EW135" s="1543">
        <f t="shared" si="228"/>
        <v>0</v>
      </c>
      <c r="EX135" s="1543">
        <f t="shared" si="228"/>
        <v>0</v>
      </c>
      <c r="EY135" s="1543">
        <f t="shared" si="228"/>
        <v>0</v>
      </c>
      <c r="EZ135" s="1543">
        <f t="shared" si="228"/>
        <v>0</v>
      </c>
      <c r="FA135" s="1543">
        <f t="shared" si="228"/>
        <v>0</v>
      </c>
      <c r="FB135" s="1543">
        <f t="shared" si="228"/>
        <v>0</v>
      </c>
      <c r="FC135" s="1543">
        <f t="shared" si="228"/>
        <v>0</v>
      </c>
      <c r="FD135" s="1543">
        <f t="shared" si="228"/>
        <v>0</v>
      </c>
      <c r="FE135" s="1543">
        <f t="shared" si="184"/>
        <v>0</v>
      </c>
      <c r="FF135" s="1543">
        <f t="shared" si="261"/>
        <v>1</v>
      </c>
      <c r="FH135" s="1543">
        <f t="shared" si="262"/>
        <v>0</v>
      </c>
      <c r="FI135" s="1543">
        <f t="shared" si="262"/>
        <v>0</v>
      </c>
      <c r="FJ135" s="1543">
        <f t="shared" si="262"/>
        <v>0</v>
      </c>
      <c r="FK135" s="1543">
        <f t="shared" si="262"/>
        <v>0</v>
      </c>
      <c r="FL135" s="1543">
        <f t="shared" si="262"/>
        <v>0</v>
      </c>
      <c r="FM135" s="1543">
        <f t="shared" si="262"/>
        <v>0</v>
      </c>
      <c r="FN135" s="1543">
        <f t="shared" si="262"/>
        <v>0</v>
      </c>
      <c r="FO135" s="1543">
        <f t="shared" si="262"/>
        <v>0</v>
      </c>
      <c r="FP135" s="1543">
        <f t="shared" si="262"/>
        <v>0</v>
      </c>
      <c r="FQ135" s="1543">
        <f t="shared" si="262"/>
        <v>0</v>
      </c>
      <c r="FR135" s="1543">
        <f t="shared" si="262"/>
        <v>0</v>
      </c>
      <c r="FS135" s="1543">
        <f t="shared" si="262"/>
        <v>0</v>
      </c>
      <c r="FT135" s="1543">
        <f t="shared" si="263"/>
        <v>0</v>
      </c>
      <c r="FV135" s="1543">
        <f t="shared" si="264"/>
        <v>1</v>
      </c>
      <c r="FW135" s="1543">
        <f t="shared" si="264"/>
        <v>0</v>
      </c>
      <c r="FX135" s="1543">
        <f t="shared" si="264"/>
        <v>0</v>
      </c>
      <c r="FY135" s="1543">
        <f t="shared" si="264"/>
        <v>0</v>
      </c>
      <c r="FZ135" s="1543">
        <f t="shared" si="264"/>
        <v>0</v>
      </c>
      <c r="GA135" s="1543">
        <f t="shared" si="264"/>
        <v>0</v>
      </c>
      <c r="GB135" s="1543">
        <f t="shared" si="264"/>
        <v>0</v>
      </c>
      <c r="GC135" s="1543">
        <f t="shared" si="264"/>
        <v>0</v>
      </c>
      <c r="GD135" s="1543">
        <f t="shared" si="264"/>
        <v>0</v>
      </c>
    </row>
    <row r="136" spans="1:186" s="982" customFormat="1" ht="15.6" x14ac:dyDescent="0.3">
      <c r="A136" s="974">
        <v>134</v>
      </c>
      <c r="B136" s="983"/>
      <c r="C136" s="984"/>
      <c r="D136" s="983"/>
      <c r="E136" s="968" t="str">
        <f>IFERROR(VLOOKUP($D136&amp;"."&amp;B136,'Piping Class'!$1:$1048576,MATCH($I136,'Piping Class'!$2:$2,0),0),"")</f>
        <v/>
      </c>
      <c r="F136" s="985" t="str">
        <f>IFERROR(IF(B136="Flange",VLOOKUP($D136,'Piping Class'!$88:$102,MATCH(F$1,'Piping Class'!$88:$88,0),0),""),"")</f>
        <v/>
      </c>
      <c r="G136" s="968" t="str">
        <f>IFERROR(IF(B136="Flange",VLOOKUP($D136,'Piping Class'!$88:$102,MATCH(G$1,'Piping Class'!$88:$88,0),0),""),"")</f>
        <v/>
      </c>
      <c r="H136" s="968" t="str">
        <f>IFERROR(VLOOKUP($D136,'Piping Class'!$88:$102,MATCH(H$1,'Piping Class'!$88:$88,0),0),"")</f>
        <v/>
      </c>
      <c r="I136" s="986"/>
      <c r="J136" s="987"/>
      <c r="K136" s="968" t="str">
        <f>IFERROR(VLOOKUP(I136,'Thickness Tab'!$1:$1048576,MATCH(L136,'Thickness Tab'!$1:$1,0),0),"")</f>
        <v/>
      </c>
      <c r="L136" s="969" t="str">
        <f>IFERROR(VLOOKUP($D136,'Piping Class'!$1:$1048576,MATCH($I136,'Piping Class'!$2:$2,0),0),"")</f>
        <v/>
      </c>
      <c r="M136" s="968" t="str">
        <f>IFERROR(VLOOKUP(J136,'Thickness Tab'!$1:$1048576,MATCH(N136,'Thickness Tab'!$1:$1,0),0),"")</f>
        <v/>
      </c>
      <c r="N136" s="969" t="str">
        <f>IFERROR(VLOOKUP($D136,'Piping Class'!$1:$1048576,MATCH($J136,'Piping Class'!$2:$2,0),0),"")</f>
        <v/>
      </c>
      <c r="O136" s="968" t="str">
        <f>IFERROR(VLOOKUP($D136,'Piping Class'!$88:$102,MATCH(O$1,'Piping Class'!$88:$88,0),0),"")</f>
        <v/>
      </c>
      <c r="P136" s="968" t="str">
        <f>IFERROR(VLOOKUP($D136,'Piping Class'!$88:$102,MATCH(P$1,'Piping Class'!$88:$88,0),0),"")</f>
        <v/>
      </c>
      <c r="Q136" s="983"/>
      <c r="R136" s="988"/>
      <c r="S136" s="969" t="str">
        <f t="shared" si="232"/>
        <v/>
      </c>
      <c r="T136" s="968">
        <f>IFERROR(VLOOKUP(I136&amp;"."&amp;L136,'Fitting Chart'!$1:$1048576,MATCH(C136,'Fitting Chart'!$1:$1,0),0),0)+IF(B136="piping",PI()*K136*(VLOOKUP(I136,'Thickness Tab'!$1:$1048576,3,0)-K136)*7.86/1000,0)+IF(B136="Flange",VLOOKUP(I136&amp;"F"&amp;F136,'Flanges Chart'!$1:$1048576,MATCH(C136&amp;"."&amp;T$1,'Flanges Chart'!$1:$1,0),0),0)</f>
        <v>0</v>
      </c>
      <c r="U136" s="989">
        <f t="shared" si="233"/>
        <v>0</v>
      </c>
      <c r="V136" s="1003"/>
      <c r="W136" s="1001">
        <f t="shared" si="234"/>
        <v>0</v>
      </c>
      <c r="X136" s="997"/>
      <c r="Y136" s="983"/>
      <c r="Z136" s="989">
        <f>IF(B136="Piping",VLOOKUP(I136,'Thickness Tab'!$1:$1048576,3,0)/1000*PI(),0)+IFERROR(VLOOKUP(I136&amp;"F"&amp;F136,'Flanges Chart'!$1:$1048576,MATCH(C136&amp;".Unit Surface",'Flanges Chart'!$1:$1,0),0),0)+IF(B136="Fitting",VLOOKUP(I136,'Thickness Tab'!$1:$1048576,3,0)/1000*PI(),0)</f>
        <v>0</v>
      </c>
      <c r="AA136" s="989">
        <f t="shared" si="235"/>
        <v>0</v>
      </c>
      <c r="AB136" s="983">
        <v>0</v>
      </c>
      <c r="AC136" s="989">
        <f t="shared" si="256"/>
        <v>0</v>
      </c>
      <c r="AD136" s="989">
        <f t="shared" si="257"/>
        <v>0</v>
      </c>
      <c r="AE136" s="974">
        <f>(IFERROR(VLOOKUP($C136,List!$J:$L,2,0),0)*R136+IF(B136="piping",R136,0)+IF(C136="Welding Neck",1,0)*R136)*$AE$2</f>
        <v>0</v>
      </c>
      <c r="AF136" s="970">
        <f>IFERROR(VLOOKUP($C136,List!$J:$L,3,0),0)*R136*$AF$2</f>
        <v>0</v>
      </c>
      <c r="AG136" s="990">
        <f t="shared" si="236"/>
        <v>0</v>
      </c>
      <c r="AH136" s="1118" t="str">
        <f>IFERROR(VLOOKUP($D136,'Piping Class'!$88:$102,MATCH(AH$1,'Piping Class'!$88:$88,0),0),"")</f>
        <v/>
      </c>
      <c r="AI136" s="991" t="str">
        <f>IFERROR(VLOOKUP($D136,'Piping Class'!$88:$102,MATCH(AI$1,'Piping Class'!$88:$88,0),0),"")</f>
        <v/>
      </c>
      <c r="AJ136" s="991" t="str">
        <f>IFERROR(VLOOKUP($D136,'Piping Class'!$88:$102,MATCH(AJ$1,'Piping Class'!$88:$88,0),0),"")</f>
        <v/>
      </c>
      <c r="AK136" s="991" t="str">
        <f>IFERROR(VLOOKUP($D136,'Piping Class'!$88:$102,MATCH(AK$1,'Piping Class'!$88:$88,0),0),"")</f>
        <v/>
      </c>
      <c r="AL136" s="991">
        <f t="shared" si="182"/>
        <v>0</v>
      </c>
      <c r="AM136" s="1119" t="str">
        <f>IFERROR(VLOOKUP($D136,'Piping Class'!$88:$102,MATCH(AM$1,'Piping Class'!$88:$88,0),0),"")</f>
        <v/>
      </c>
      <c r="AN136" s="992">
        <f t="shared" si="258"/>
        <v>0</v>
      </c>
      <c r="AO136" s="993">
        <f>IFERROR(VLOOKUP(I136&amp;"B"&amp;F136,'Bolting Chart'!$1:$1048576,4,0),0)</f>
        <v>0</v>
      </c>
      <c r="AP136" s="993">
        <f t="shared" si="237"/>
        <v>0</v>
      </c>
      <c r="AQ136" s="993">
        <f t="shared" si="238"/>
        <v>0</v>
      </c>
      <c r="AR136" s="993">
        <f>IF(AO136=0,0,VLOOKUP(D136&amp;".bolting",'Piping Class'!$1:$1048576,MATCH(I136,'Piping Class'!$2:$2,0),0))</f>
        <v>0</v>
      </c>
      <c r="AS136" s="994">
        <f>IFERROR(VLOOKUP(I136&amp;"B"&amp;F136,'Bolting Chart'!$1:$1048576,IF(AS$2="UNC",5,6),0),0)</f>
        <v>0</v>
      </c>
      <c r="AT136" s="995">
        <f>IFERROR(VLOOKUP(I136&amp;"B"&amp;F136,'Bolting Chart'!$1:$1048576,IF(G136="RF",8,9),0),0)</f>
        <v>0</v>
      </c>
      <c r="AU136" s="993">
        <f>IF(AO136=0,0,VLOOKUP(D136&amp;".gasket",'Piping Class'!$1:$1048576,MATCH(I136,'Piping Class'!$2:$2,0),0))</f>
        <v>0</v>
      </c>
      <c r="AV136" s="996">
        <f>(IFERROR(INDEX('Bolting Chart'!$A$169:$R$251,MATCH(AT136,'Bolting Chart'!$A$170:$A$251,0),MATCH(IFERROR(VLOOKUP(I136&amp;"B"&amp;F136,'Bolting Chart'!$1:$1048576,7,0),0)+0,'Bolting Chart'!$A$169:$R$169,0)),0))/100</f>
        <v>0</v>
      </c>
      <c r="AW136" s="996">
        <f t="shared" si="239"/>
        <v>0</v>
      </c>
      <c r="AX136" s="1194">
        <f t="shared" si="240"/>
        <v>0</v>
      </c>
      <c r="AY136" s="981"/>
      <c r="AZ136" s="1543">
        <f t="shared" si="229"/>
        <v>0</v>
      </c>
      <c r="BA136" s="1543">
        <f t="shared" si="229"/>
        <v>0</v>
      </c>
      <c r="BB136" s="1543">
        <f t="shared" si="229"/>
        <v>0</v>
      </c>
      <c r="BC136" s="1543">
        <f t="shared" si="229"/>
        <v>0</v>
      </c>
      <c r="BD136" s="1543">
        <f t="shared" si="229"/>
        <v>0</v>
      </c>
      <c r="BE136" s="1543">
        <f t="shared" si="229"/>
        <v>0</v>
      </c>
      <c r="BF136" s="1543">
        <f t="shared" si="229"/>
        <v>0</v>
      </c>
      <c r="BG136" s="1543">
        <f t="shared" si="229"/>
        <v>0</v>
      </c>
      <c r="BH136" s="1543">
        <f t="shared" si="229"/>
        <v>0</v>
      </c>
      <c r="BI136" s="1543">
        <f t="shared" si="229"/>
        <v>0</v>
      </c>
      <c r="BJ136" s="1543">
        <f t="shared" si="229"/>
        <v>0</v>
      </c>
      <c r="BK136" s="1543">
        <f t="shared" si="229"/>
        <v>0</v>
      </c>
      <c r="BL136" s="1543">
        <f t="shared" si="229"/>
        <v>0</v>
      </c>
      <c r="BM136" s="1543">
        <f t="shared" si="229"/>
        <v>0</v>
      </c>
      <c r="BN136" s="1543">
        <f t="shared" si="229"/>
        <v>0</v>
      </c>
      <c r="BO136" s="1543">
        <f t="shared" si="229"/>
        <v>0</v>
      </c>
      <c r="BP136" s="1543">
        <f t="shared" si="249"/>
        <v>0</v>
      </c>
      <c r="BQ136" s="1543">
        <f t="shared" si="249"/>
        <v>0</v>
      </c>
      <c r="BR136" s="1543">
        <f t="shared" si="249"/>
        <v>0</v>
      </c>
      <c r="BS136" s="1543">
        <f t="shared" si="249"/>
        <v>0</v>
      </c>
      <c r="BT136" s="1543">
        <f t="shared" si="249"/>
        <v>0</v>
      </c>
      <c r="BU136" s="1543">
        <f t="shared" si="249"/>
        <v>0</v>
      </c>
      <c r="BV136" s="1543">
        <f t="shared" si="249"/>
        <v>0</v>
      </c>
      <c r="BW136" s="1543">
        <f t="shared" si="249"/>
        <v>0</v>
      </c>
      <c r="BX136" s="1543">
        <f t="shared" si="249"/>
        <v>0</v>
      </c>
      <c r="BY136" s="1543">
        <f t="shared" si="249"/>
        <v>0</v>
      </c>
      <c r="BZ136" s="1543">
        <f t="shared" si="249"/>
        <v>0</v>
      </c>
      <c r="CB136" s="1543">
        <f t="shared" si="230"/>
        <v>0</v>
      </c>
      <c r="CC136" s="1543">
        <f t="shared" si="230"/>
        <v>0</v>
      </c>
      <c r="CD136" s="1543">
        <f t="shared" si="230"/>
        <v>0</v>
      </c>
      <c r="CE136" s="1543">
        <f t="shared" si="230"/>
        <v>0</v>
      </c>
      <c r="CF136" s="1543">
        <f t="shared" si="230"/>
        <v>0</v>
      </c>
      <c r="CG136" s="1543">
        <f t="shared" si="230"/>
        <v>0</v>
      </c>
      <c r="CH136" s="1543">
        <f t="shared" si="230"/>
        <v>0</v>
      </c>
      <c r="CI136" s="1543">
        <f t="shared" si="230"/>
        <v>0</v>
      </c>
      <c r="CJ136" s="1543">
        <f t="shared" si="230"/>
        <v>0</v>
      </c>
      <c r="CK136" s="1543">
        <f t="shared" si="230"/>
        <v>0</v>
      </c>
      <c r="CL136" s="1543">
        <f t="shared" si="230"/>
        <v>0</v>
      </c>
      <c r="CM136" s="1543">
        <f t="shared" si="230"/>
        <v>0</v>
      </c>
      <c r="CN136" s="1543">
        <f t="shared" si="230"/>
        <v>0</v>
      </c>
      <c r="CO136" s="1543">
        <f t="shared" si="230"/>
        <v>0</v>
      </c>
      <c r="CP136" s="1543">
        <f t="shared" si="230"/>
        <v>0</v>
      </c>
      <c r="CQ136" s="1543">
        <f t="shared" si="230"/>
        <v>0</v>
      </c>
      <c r="CR136" s="1543">
        <f t="shared" si="250"/>
        <v>0</v>
      </c>
      <c r="CS136" s="1543">
        <f t="shared" si="250"/>
        <v>0</v>
      </c>
      <c r="CT136" s="1543">
        <f t="shared" si="248"/>
        <v>0</v>
      </c>
      <c r="CU136" s="1543">
        <f t="shared" si="248"/>
        <v>0</v>
      </c>
      <c r="CV136" s="1543">
        <f t="shared" si="248"/>
        <v>0</v>
      </c>
      <c r="CW136" s="1543">
        <f t="shared" si="248"/>
        <v>0</v>
      </c>
      <c r="CX136" s="1543">
        <f t="shared" si="248"/>
        <v>0</v>
      </c>
      <c r="CY136" s="1543">
        <f t="shared" si="248"/>
        <v>0</v>
      </c>
      <c r="CZ136" s="1543">
        <f t="shared" si="248"/>
        <v>0</v>
      </c>
      <c r="DA136" s="1543">
        <f t="shared" si="248"/>
        <v>0</v>
      </c>
      <c r="DB136" s="1543">
        <f t="shared" si="248"/>
        <v>0</v>
      </c>
      <c r="DD136" s="1543">
        <f t="shared" si="251"/>
        <v>0</v>
      </c>
      <c r="DE136" s="1543">
        <f t="shared" si="252"/>
        <v>0</v>
      </c>
      <c r="DF136" s="1543">
        <f t="shared" si="253"/>
        <v>0</v>
      </c>
      <c r="DG136" s="1543">
        <f t="shared" si="259"/>
        <v>0</v>
      </c>
      <c r="DI136" s="1543">
        <f t="shared" si="260"/>
        <v>0</v>
      </c>
      <c r="DJ136" s="1543">
        <f t="shared" si="254"/>
        <v>0</v>
      </c>
      <c r="DK136" s="1543">
        <f t="shared" si="254"/>
        <v>0</v>
      </c>
      <c r="DL136" s="1543">
        <f t="shared" si="254"/>
        <v>0</v>
      </c>
      <c r="DM136" s="1543">
        <f t="shared" si="254"/>
        <v>0</v>
      </c>
      <c r="DO136" s="1543">
        <f t="shared" si="231"/>
        <v>0</v>
      </c>
      <c r="DP136" s="1543">
        <f t="shared" si="231"/>
        <v>0</v>
      </c>
      <c r="DQ136" s="1543">
        <f t="shared" si="231"/>
        <v>0</v>
      </c>
      <c r="DR136" s="1543">
        <f t="shared" si="231"/>
        <v>0</v>
      </c>
      <c r="DS136" s="1543">
        <f t="shared" si="231"/>
        <v>0</v>
      </c>
      <c r="DT136" s="1543">
        <f t="shared" si="231"/>
        <v>0</v>
      </c>
      <c r="DU136" s="1543">
        <f t="shared" si="231"/>
        <v>0</v>
      </c>
      <c r="DV136" s="1543">
        <f t="shared" si="231"/>
        <v>0</v>
      </c>
      <c r="DW136" s="1543">
        <f t="shared" si="231"/>
        <v>0</v>
      </c>
      <c r="DX136" s="1543">
        <f t="shared" si="231"/>
        <v>0</v>
      </c>
      <c r="DY136" s="1543">
        <f t="shared" si="231"/>
        <v>0</v>
      </c>
      <c r="DZ136" s="1543">
        <f t="shared" si="231"/>
        <v>0</v>
      </c>
      <c r="EA136" s="1543">
        <f t="shared" si="231"/>
        <v>0</v>
      </c>
      <c r="EB136" s="1543">
        <f t="shared" si="255"/>
        <v>0</v>
      </c>
      <c r="EC136" s="1543">
        <f t="shared" si="255"/>
        <v>0</v>
      </c>
      <c r="ED136" s="1543">
        <f t="shared" si="255"/>
        <v>0</v>
      </c>
      <c r="EE136" s="1543">
        <f t="shared" si="255"/>
        <v>0</v>
      </c>
      <c r="EF136" s="1543">
        <f t="shared" si="255"/>
        <v>0</v>
      </c>
      <c r="EH136" s="1543">
        <f t="shared" si="241"/>
        <v>0</v>
      </c>
      <c r="EI136" s="1543">
        <f t="shared" si="242"/>
        <v>0</v>
      </c>
      <c r="EJ136" s="1543">
        <f t="shared" si="243"/>
        <v>0</v>
      </c>
      <c r="EK136" s="1543">
        <f t="shared" si="244"/>
        <v>0</v>
      </c>
      <c r="EL136" s="1543">
        <f t="shared" si="245"/>
        <v>0</v>
      </c>
      <c r="EM136" s="1543">
        <f t="shared" si="246"/>
        <v>0</v>
      </c>
      <c r="EN136" s="1543">
        <f t="shared" si="247"/>
        <v>0</v>
      </c>
      <c r="EP136" s="1543">
        <f t="shared" si="197"/>
        <v>0</v>
      </c>
      <c r="EQ136" s="1543">
        <f t="shared" si="197"/>
        <v>0</v>
      </c>
      <c r="ER136" s="1543">
        <f t="shared" si="197"/>
        <v>0</v>
      </c>
      <c r="ES136" s="1543">
        <f t="shared" si="192"/>
        <v>0</v>
      </c>
      <c r="ET136" s="1543">
        <f t="shared" si="228"/>
        <v>0</v>
      </c>
      <c r="EU136" s="1543">
        <f t="shared" si="228"/>
        <v>0</v>
      </c>
      <c r="EV136" s="1543">
        <f t="shared" si="228"/>
        <v>0</v>
      </c>
      <c r="EW136" s="1543">
        <f t="shared" si="228"/>
        <v>0</v>
      </c>
      <c r="EX136" s="1543">
        <f t="shared" si="228"/>
        <v>0</v>
      </c>
      <c r="EY136" s="1543">
        <f t="shared" si="228"/>
        <v>0</v>
      </c>
      <c r="EZ136" s="1543">
        <f t="shared" si="228"/>
        <v>0</v>
      </c>
      <c r="FA136" s="1543">
        <f t="shared" si="228"/>
        <v>0</v>
      </c>
      <c r="FB136" s="1543">
        <f t="shared" si="228"/>
        <v>0</v>
      </c>
      <c r="FC136" s="1543">
        <f t="shared" si="228"/>
        <v>0</v>
      </c>
      <c r="FD136" s="1543">
        <f t="shared" si="228"/>
        <v>0</v>
      </c>
      <c r="FE136" s="1543">
        <f t="shared" si="184"/>
        <v>0</v>
      </c>
      <c r="FF136" s="1543">
        <f t="shared" si="261"/>
        <v>1</v>
      </c>
      <c r="FH136" s="1543">
        <f t="shared" si="262"/>
        <v>0</v>
      </c>
      <c r="FI136" s="1543">
        <f t="shared" si="262"/>
        <v>0</v>
      </c>
      <c r="FJ136" s="1543">
        <f t="shared" si="262"/>
        <v>0</v>
      </c>
      <c r="FK136" s="1543">
        <f t="shared" si="262"/>
        <v>0</v>
      </c>
      <c r="FL136" s="1543">
        <f t="shared" si="262"/>
        <v>0</v>
      </c>
      <c r="FM136" s="1543">
        <f t="shared" si="262"/>
        <v>0</v>
      </c>
      <c r="FN136" s="1543">
        <f t="shared" si="262"/>
        <v>0</v>
      </c>
      <c r="FO136" s="1543">
        <f t="shared" si="262"/>
        <v>0</v>
      </c>
      <c r="FP136" s="1543">
        <f t="shared" si="262"/>
        <v>0</v>
      </c>
      <c r="FQ136" s="1543">
        <f t="shared" si="262"/>
        <v>0</v>
      </c>
      <c r="FR136" s="1543">
        <f t="shared" si="262"/>
        <v>0</v>
      </c>
      <c r="FS136" s="1543">
        <f t="shared" si="262"/>
        <v>0</v>
      </c>
      <c r="FT136" s="1543">
        <f t="shared" si="263"/>
        <v>0</v>
      </c>
      <c r="FV136" s="1543">
        <f t="shared" si="264"/>
        <v>1</v>
      </c>
      <c r="FW136" s="1543">
        <f t="shared" si="264"/>
        <v>0</v>
      </c>
      <c r="FX136" s="1543">
        <f t="shared" si="264"/>
        <v>0</v>
      </c>
      <c r="FY136" s="1543">
        <f t="shared" si="264"/>
        <v>0</v>
      </c>
      <c r="FZ136" s="1543">
        <f t="shared" si="264"/>
        <v>0</v>
      </c>
      <c r="GA136" s="1543">
        <f t="shared" si="264"/>
        <v>0</v>
      </c>
      <c r="GB136" s="1543">
        <f t="shared" si="264"/>
        <v>0</v>
      </c>
      <c r="GC136" s="1543">
        <f t="shared" si="264"/>
        <v>0</v>
      </c>
      <c r="GD136" s="1543">
        <f t="shared" si="264"/>
        <v>0</v>
      </c>
    </row>
    <row r="137" spans="1:186" s="982" customFormat="1" ht="15.6" x14ac:dyDescent="0.3">
      <c r="A137" s="974">
        <v>135</v>
      </c>
      <c r="B137" s="983"/>
      <c r="C137" s="984"/>
      <c r="D137" s="983"/>
      <c r="E137" s="968" t="str">
        <f>IFERROR(VLOOKUP($D137&amp;"."&amp;B137,'Piping Class'!$1:$1048576,MATCH($I137,'Piping Class'!$2:$2,0),0),"")</f>
        <v/>
      </c>
      <c r="F137" s="985" t="str">
        <f>IFERROR(IF(B137="Flange",VLOOKUP($D137,'Piping Class'!$88:$102,MATCH(F$1,'Piping Class'!$88:$88,0),0),""),"")</f>
        <v/>
      </c>
      <c r="G137" s="968" t="str">
        <f>IFERROR(IF(B137="Flange",VLOOKUP($D137,'Piping Class'!$88:$102,MATCH(G$1,'Piping Class'!$88:$88,0),0),""),"")</f>
        <v/>
      </c>
      <c r="H137" s="968" t="str">
        <f>IFERROR(VLOOKUP($D137,'Piping Class'!$88:$102,MATCH(H$1,'Piping Class'!$88:$88,0),0),"")</f>
        <v/>
      </c>
      <c r="I137" s="986"/>
      <c r="J137" s="987"/>
      <c r="K137" s="968" t="str">
        <f>IFERROR(VLOOKUP(I137,'Thickness Tab'!$1:$1048576,MATCH(L137,'Thickness Tab'!$1:$1,0),0),"")</f>
        <v/>
      </c>
      <c r="L137" s="969" t="str">
        <f>IFERROR(VLOOKUP($D137,'Piping Class'!$1:$1048576,MATCH($I137,'Piping Class'!$2:$2,0),0),"")</f>
        <v/>
      </c>
      <c r="M137" s="968" t="str">
        <f>IFERROR(VLOOKUP(J137,'Thickness Tab'!$1:$1048576,MATCH(N137,'Thickness Tab'!$1:$1,0),0),"")</f>
        <v/>
      </c>
      <c r="N137" s="969" t="str">
        <f>IFERROR(VLOOKUP($D137,'Piping Class'!$1:$1048576,MATCH($J137,'Piping Class'!$2:$2,0),0),"")</f>
        <v/>
      </c>
      <c r="O137" s="968" t="str">
        <f>IFERROR(VLOOKUP($D137,'Piping Class'!$88:$102,MATCH(O$1,'Piping Class'!$88:$88,0),0),"")</f>
        <v/>
      </c>
      <c r="P137" s="968" t="str">
        <f>IFERROR(VLOOKUP($D137,'Piping Class'!$88:$102,MATCH(P$1,'Piping Class'!$88:$88,0),0),"")</f>
        <v/>
      </c>
      <c r="Q137" s="983"/>
      <c r="R137" s="988"/>
      <c r="S137" s="969" t="str">
        <f t="shared" si="232"/>
        <v/>
      </c>
      <c r="T137" s="968">
        <f>IFERROR(VLOOKUP(I137&amp;"."&amp;L137,'Fitting Chart'!$1:$1048576,MATCH(C137,'Fitting Chart'!$1:$1,0),0),0)+IF(B137="piping",PI()*K137*(VLOOKUP(I137,'Thickness Tab'!$1:$1048576,3,0)-K137)*7.86/1000,0)+IF(B137="Flange",VLOOKUP(I137&amp;"F"&amp;F137,'Flanges Chart'!$1:$1048576,MATCH(C137&amp;"."&amp;T$1,'Flanges Chart'!$1:$1,0),0),0)</f>
        <v>0</v>
      </c>
      <c r="U137" s="989">
        <f t="shared" si="233"/>
        <v>0</v>
      </c>
      <c r="V137" s="1003"/>
      <c r="W137" s="1001">
        <f t="shared" si="234"/>
        <v>0</v>
      </c>
      <c r="X137" s="997"/>
      <c r="Y137" s="983"/>
      <c r="Z137" s="989">
        <f>IF(B137="Piping",VLOOKUP(I137,'Thickness Tab'!$1:$1048576,3,0)/1000*PI(),0)+IFERROR(VLOOKUP(I137&amp;"F"&amp;F137,'Flanges Chart'!$1:$1048576,MATCH(C137&amp;".Unit Surface",'Flanges Chart'!$1:$1,0),0),0)+IF(B137="Fitting",VLOOKUP(I137,'Thickness Tab'!$1:$1048576,3,0)/1000*PI(),0)</f>
        <v>0</v>
      </c>
      <c r="AA137" s="989">
        <f t="shared" si="235"/>
        <v>0</v>
      </c>
      <c r="AB137" s="983">
        <v>0</v>
      </c>
      <c r="AC137" s="989">
        <f t="shared" si="256"/>
        <v>0</v>
      </c>
      <c r="AD137" s="989">
        <f t="shared" si="257"/>
        <v>0</v>
      </c>
      <c r="AE137" s="974">
        <f>(IFERROR(VLOOKUP($C137,List!$J:$L,2,0),0)*R137+IF(B137="piping",R137,0)+IF(C137="Welding Neck",1,0)*R137)*$AE$2</f>
        <v>0</v>
      </c>
      <c r="AF137" s="970">
        <f>IFERROR(VLOOKUP($C137,List!$J:$L,3,0),0)*R137*$AF$2</f>
        <v>0</v>
      </c>
      <c r="AG137" s="990">
        <f t="shared" si="236"/>
        <v>0</v>
      </c>
      <c r="AH137" s="1118" t="str">
        <f>IFERROR(VLOOKUP($D137,'Piping Class'!$88:$102,MATCH(AH$1,'Piping Class'!$88:$88,0),0),"")</f>
        <v/>
      </c>
      <c r="AI137" s="991" t="str">
        <f>IFERROR(VLOOKUP($D137,'Piping Class'!$88:$102,MATCH(AI$1,'Piping Class'!$88:$88,0),0),"")</f>
        <v/>
      </c>
      <c r="AJ137" s="991" t="str">
        <f>IFERROR(VLOOKUP($D137,'Piping Class'!$88:$102,MATCH(AJ$1,'Piping Class'!$88:$88,0),0),"")</f>
        <v/>
      </c>
      <c r="AK137" s="991" t="str">
        <f>IFERROR(VLOOKUP($D137,'Piping Class'!$88:$102,MATCH(AK$1,'Piping Class'!$88:$88,0),0),"")</f>
        <v/>
      </c>
      <c r="AL137" s="991">
        <f t="shared" si="182"/>
        <v>0</v>
      </c>
      <c r="AM137" s="1119" t="str">
        <f>IFERROR(VLOOKUP($D137,'Piping Class'!$88:$102,MATCH(AM$1,'Piping Class'!$88:$88,0),0),"")</f>
        <v/>
      </c>
      <c r="AN137" s="992">
        <f t="shared" si="258"/>
        <v>0</v>
      </c>
      <c r="AO137" s="993">
        <f>IFERROR(VLOOKUP(I137&amp;"B"&amp;F137,'Bolting Chart'!$1:$1048576,4,0),0)</f>
        <v>0</v>
      </c>
      <c r="AP137" s="993">
        <f t="shared" si="237"/>
        <v>0</v>
      </c>
      <c r="AQ137" s="993">
        <f t="shared" si="238"/>
        <v>0</v>
      </c>
      <c r="AR137" s="993">
        <f>IF(AO137=0,0,VLOOKUP(D137&amp;".bolting",'Piping Class'!$1:$1048576,MATCH(I137,'Piping Class'!$2:$2,0),0))</f>
        <v>0</v>
      </c>
      <c r="AS137" s="994">
        <f>IFERROR(VLOOKUP(I137&amp;"B"&amp;F137,'Bolting Chart'!$1:$1048576,IF(AS$2="UNC",5,6),0),0)</f>
        <v>0</v>
      </c>
      <c r="AT137" s="995">
        <f>IFERROR(VLOOKUP(I137&amp;"B"&amp;F137,'Bolting Chart'!$1:$1048576,IF(G137="RF",8,9),0),0)</f>
        <v>0</v>
      </c>
      <c r="AU137" s="993">
        <f>IF(AO137=0,0,VLOOKUP(D137&amp;".gasket",'Piping Class'!$1:$1048576,MATCH(I137,'Piping Class'!$2:$2,0),0))</f>
        <v>0</v>
      </c>
      <c r="AV137" s="996">
        <f>(IFERROR(INDEX('Bolting Chart'!$A$169:$R$251,MATCH(AT137,'Bolting Chart'!$A$170:$A$251,0),MATCH(IFERROR(VLOOKUP(I137&amp;"B"&amp;F137,'Bolting Chart'!$1:$1048576,7,0),0)+0,'Bolting Chart'!$A$169:$R$169,0)),0))/100</f>
        <v>0</v>
      </c>
      <c r="AW137" s="996">
        <f t="shared" si="239"/>
        <v>0</v>
      </c>
      <c r="AX137" s="1194">
        <f t="shared" si="240"/>
        <v>0</v>
      </c>
      <c r="AY137" s="981"/>
      <c r="AZ137" s="1543">
        <f t="shared" si="229"/>
        <v>0</v>
      </c>
      <c r="BA137" s="1543">
        <f t="shared" si="229"/>
        <v>0</v>
      </c>
      <c r="BB137" s="1543">
        <f t="shared" si="229"/>
        <v>0</v>
      </c>
      <c r="BC137" s="1543">
        <f t="shared" si="229"/>
        <v>0</v>
      </c>
      <c r="BD137" s="1543">
        <f t="shared" si="229"/>
        <v>0</v>
      </c>
      <c r="BE137" s="1543">
        <f t="shared" si="229"/>
        <v>0</v>
      </c>
      <c r="BF137" s="1543">
        <f t="shared" si="229"/>
        <v>0</v>
      </c>
      <c r="BG137" s="1543">
        <f t="shared" si="229"/>
        <v>0</v>
      </c>
      <c r="BH137" s="1543">
        <f t="shared" si="229"/>
        <v>0</v>
      </c>
      <c r="BI137" s="1543">
        <f t="shared" si="229"/>
        <v>0</v>
      </c>
      <c r="BJ137" s="1543">
        <f t="shared" si="229"/>
        <v>0</v>
      </c>
      <c r="BK137" s="1543">
        <f t="shared" si="229"/>
        <v>0</v>
      </c>
      <c r="BL137" s="1543">
        <f t="shared" si="229"/>
        <v>0</v>
      </c>
      <c r="BM137" s="1543">
        <f t="shared" si="229"/>
        <v>0</v>
      </c>
      <c r="BN137" s="1543">
        <f t="shared" si="229"/>
        <v>0</v>
      </c>
      <c r="BO137" s="1543">
        <f t="shared" si="229"/>
        <v>0</v>
      </c>
      <c r="BP137" s="1543">
        <f t="shared" si="249"/>
        <v>0</v>
      </c>
      <c r="BQ137" s="1543">
        <f t="shared" si="249"/>
        <v>0</v>
      </c>
      <c r="BR137" s="1543">
        <f t="shared" si="249"/>
        <v>0</v>
      </c>
      <c r="BS137" s="1543">
        <f t="shared" si="249"/>
        <v>0</v>
      </c>
      <c r="BT137" s="1543">
        <f t="shared" si="249"/>
        <v>0</v>
      </c>
      <c r="BU137" s="1543">
        <f t="shared" si="249"/>
        <v>0</v>
      </c>
      <c r="BV137" s="1543">
        <f t="shared" si="249"/>
        <v>0</v>
      </c>
      <c r="BW137" s="1543">
        <f t="shared" si="249"/>
        <v>0</v>
      </c>
      <c r="BX137" s="1543">
        <f t="shared" si="249"/>
        <v>0</v>
      </c>
      <c r="BY137" s="1543">
        <f t="shared" si="249"/>
        <v>0</v>
      </c>
      <c r="BZ137" s="1543">
        <f t="shared" si="249"/>
        <v>0</v>
      </c>
      <c r="CB137" s="1543">
        <f t="shared" si="230"/>
        <v>0</v>
      </c>
      <c r="CC137" s="1543">
        <f t="shared" si="230"/>
        <v>0</v>
      </c>
      <c r="CD137" s="1543">
        <f t="shared" si="230"/>
        <v>0</v>
      </c>
      <c r="CE137" s="1543">
        <f t="shared" si="230"/>
        <v>0</v>
      </c>
      <c r="CF137" s="1543">
        <f t="shared" si="230"/>
        <v>0</v>
      </c>
      <c r="CG137" s="1543">
        <f t="shared" si="230"/>
        <v>0</v>
      </c>
      <c r="CH137" s="1543">
        <f t="shared" si="230"/>
        <v>0</v>
      </c>
      <c r="CI137" s="1543">
        <f t="shared" si="230"/>
        <v>0</v>
      </c>
      <c r="CJ137" s="1543">
        <f t="shared" si="230"/>
        <v>0</v>
      </c>
      <c r="CK137" s="1543">
        <f t="shared" si="230"/>
        <v>0</v>
      </c>
      <c r="CL137" s="1543">
        <f t="shared" si="230"/>
        <v>0</v>
      </c>
      <c r="CM137" s="1543">
        <f t="shared" si="230"/>
        <v>0</v>
      </c>
      <c r="CN137" s="1543">
        <f t="shared" si="230"/>
        <v>0</v>
      </c>
      <c r="CO137" s="1543">
        <f t="shared" si="230"/>
        <v>0</v>
      </c>
      <c r="CP137" s="1543">
        <f t="shared" si="230"/>
        <v>0</v>
      </c>
      <c r="CQ137" s="1543">
        <f t="shared" si="230"/>
        <v>0</v>
      </c>
      <c r="CR137" s="1543">
        <f t="shared" si="250"/>
        <v>0</v>
      </c>
      <c r="CS137" s="1543">
        <f t="shared" si="250"/>
        <v>0</v>
      </c>
      <c r="CT137" s="1543">
        <f t="shared" si="248"/>
        <v>0</v>
      </c>
      <c r="CU137" s="1543">
        <f t="shared" si="248"/>
        <v>0</v>
      </c>
      <c r="CV137" s="1543">
        <f t="shared" si="248"/>
        <v>0</v>
      </c>
      <c r="CW137" s="1543">
        <f t="shared" si="248"/>
        <v>0</v>
      </c>
      <c r="CX137" s="1543">
        <f t="shared" si="248"/>
        <v>0</v>
      </c>
      <c r="CY137" s="1543">
        <f t="shared" si="248"/>
        <v>0</v>
      </c>
      <c r="CZ137" s="1543">
        <f t="shared" si="248"/>
        <v>0</v>
      </c>
      <c r="DA137" s="1543">
        <f t="shared" si="248"/>
        <v>0</v>
      </c>
      <c r="DB137" s="1543">
        <f t="shared" si="248"/>
        <v>0</v>
      </c>
      <c r="DD137" s="1543">
        <f t="shared" si="251"/>
        <v>0</v>
      </c>
      <c r="DE137" s="1543">
        <f t="shared" si="252"/>
        <v>0</v>
      </c>
      <c r="DF137" s="1543">
        <f t="shared" si="253"/>
        <v>0</v>
      </c>
      <c r="DG137" s="1543">
        <f t="shared" si="259"/>
        <v>0</v>
      </c>
      <c r="DI137" s="1543">
        <f t="shared" si="260"/>
        <v>0</v>
      </c>
      <c r="DJ137" s="1543">
        <f t="shared" si="254"/>
        <v>0</v>
      </c>
      <c r="DK137" s="1543">
        <f t="shared" si="254"/>
        <v>0</v>
      </c>
      <c r="DL137" s="1543">
        <f t="shared" si="254"/>
        <v>0</v>
      </c>
      <c r="DM137" s="1543">
        <f t="shared" si="254"/>
        <v>0</v>
      </c>
      <c r="DO137" s="1543">
        <f t="shared" si="231"/>
        <v>0</v>
      </c>
      <c r="DP137" s="1543">
        <f t="shared" si="231"/>
        <v>0</v>
      </c>
      <c r="DQ137" s="1543">
        <f t="shared" si="231"/>
        <v>0</v>
      </c>
      <c r="DR137" s="1543">
        <f t="shared" si="231"/>
        <v>0</v>
      </c>
      <c r="DS137" s="1543">
        <f t="shared" si="231"/>
        <v>0</v>
      </c>
      <c r="DT137" s="1543">
        <f t="shared" si="231"/>
        <v>0</v>
      </c>
      <c r="DU137" s="1543">
        <f t="shared" si="231"/>
        <v>0</v>
      </c>
      <c r="DV137" s="1543">
        <f t="shared" si="231"/>
        <v>0</v>
      </c>
      <c r="DW137" s="1543">
        <f t="shared" si="231"/>
        <v>0</v>
      </c>
      <c r="DX137" s="1543">
        <f t="shared" si="231"/>
        <v>0</v>
      </c>
      <c r="DY137" s="1543">
        <f t="shared" si="231"/>
        <v>0</v>
      </c>
      <c r="DZ137" s="1543">
        <f t="shared" si="231"/>
        <v>0</v>
      </c>
      <c r="EA137" s="1543">
        <f t="shared" si="231"/>
        <v>0</v>
      </c>
      <c r="EB137" s="1543">
        <f t="shared" si="255"/>
        <v>0</v>
      </c>
      <c r="EC137" s="1543">
        <f t="shared" si="255"/>
        <v>0</v>
      </c>
      <c r="ED137" s="1543">
        <f t="shared" si="255"/>
        <v>0</v>
      </c>
      <c r="EE137" s="1543">
        <f t="shared" si="255"/>
        <v>0</v>
      </c>
      <c r="EF137" s="1543">
        <f t="shared" si="255"/>
        <v>0</v>
      </c>
      <c r="EH137" s="1543">
        <f t="shared" si="241"/>
        <v>0</v>
      </c>
      <c r="EI137" s="1543">
        <f t="shared" si="242"/>
        <v>0</v>
      </c>
      <c r="EJ137" s="1543">
        <f t="shared" si="243"/>
        <v>0</v>
      </c>
      <c r="EK137" s="1543">
        <f t="shared" si="244"/>
        <v>0</v>
      </c>
      <c r="EL137" s="1543">
        <f t="shared" si="245"/>
        <v>0</v>
      </c>
      <c r="EM137" s="1543">
        <f t="shared" si="246"/>
        <v>0</v>
      </c>
      <c r="EN137" s="1543">
        <f t="shared" si="247"/>
        <v>0</v>
      </c>
      <c r="EP137" s="1543">
        <f t="shared" si="197"/>
        <v>0</v>
      </c>
      <c r="EQ137" s="1543">
        <f t="shared" si="197"/>
        <v>0</v>
      </c>
      <c r="ER137" s="1543">
        <f t="shared" si="197"/>
        <v>0</v>
      </c>
      <c r="ES137" s="1543">
        <f t="shared" si="192"/>
        <v>0</v>
      </c>
      <c r="ET137" s="1543">
        <f t="shared" si="228"/>
        <v>0</v>
      </c>
      <c r="EU137" s="1543">
        <f t="shared" si="228"/>
        <v>0</v>
      </c>
      <c r="EV137" s="1543">
        <f t="shared" si="228"/>
        <v>0</v>
      </c>
      <c r="EW137" s="1543">
        <f t="shared" si="228"/>
        <v>0</v>
      </c>
      <c r="EX137" s="1543">
        <f t="shared" si="228"/>
        <v>0</v>
      </c>
      <c r="EY137" s="1543">
        <f t="shared" si="228"/>
        <v>0</v>
      </c>
      <c r="EZ137" s="1543">
        <f t="shared" si="228"/>
        <v>0</v>
      </c>
      <c r="FA137" s="1543">
        <f t="shared" si="228"/>
        <v>0</v>
      </c>
      <c r="FB137" s="1543">
        <f t="shared" si="228"/>
        <v>0</v>
      </c>
      <c r="FC137" s="1543">
        <f t="shared" si="228"/>
        <v>0</v>
      </c>
      <c r="FD137" s="1543">
        <f t="shared" si="228"/>
        <v>0</v>
      </c>
      <c r="FE137" s="1543">
        <f t="shared" si="184"/>
        <v>0</v>
      </c>
      <c r="FF137" s="1543">
        <f t="shared" si="261"/>
        <v>1</v>
      </c>
      <c r="FH137" s="1543">
        <f t="shared" si="262"/>
        <v>0</v>
      </c>
      <c r="FI137" s="1543">
        <f t="shared" si="262"/>
        <v>0</v>
      </c>
      <c r="FJ137" s="1543">
        <f t="shared" si="262"/>
        <v>0</v>
      </c>
      <c r="FK137" s="1543">
        <f t="shared" si="262"/>
        <v>0</v>
      </c>
      <c r="FL137" s="1543">
        <f t="shared" si="262"/>
        <v>0</v>
      </c>
      <c r="FM137" s="1543">
        <f t="shared" si="262"/>
        <v>0</v>
      </c>
      <c r="FN137" s="1543">
        <f t="shared" si="262"/>
        <v>0</v>
      </c>
      <c r="FO137" s="1543">
        <f t="shared" si="262"/>
        <v>0</v>
      </c>
      <c r="FP137" s="1543">
        <f t="shared" si="262"/>
        <v>0</v>
      </c>
      <c r="FQ137" s="1543">
        <f t="shared" si="262"/>
        <v>0</v>
      </c>
      <c r="FR137" s="1543">
        <f t="shared" si="262"/>
        <v>0</v>
      </c>
      <c r="FS137" s="1543">
        <f t="shared" si="262"/>
        <v>0</v>
      </c>
      <c r="FT137" s="1543">
        <f t="shared" si="263"/>
        <v>0</v>
      </c>
      <c r="FV137" s="1543">
        <f t="shared" si="264"/>
        <v>1</v>
      </c>
      <c r="FW137" s="1543">
        <f t="shared" si="264"/>
        <v>0</v>
      </c>
      <c r="FX137" s="1543">
        <f t="shared" si="264"/>
        <v>0</v>
      </c>
      <c r="FY137" s="1543">
        <f t="shared" si="264"/>
        <v>0</v>
      </c>
      <c r="FZ137" s="1543">
        <f t="shared" si="264"/>
        <v>0</v>
      </c>
      <c r="GA137" s="1543">
        <f t="shared" si="264"/>
        <v>0</v>
      </c>
      <c r="GB137" s="1543">
        <f t="shared" si="264"/>
        <v>0</v>
      </c>
      <c r="GC137" s="1543">
        <f t="shared" si="264"/>
        <v>0</v>
      </c>
      <c r="GD137" s="1543">
        <f t="shared" si="264"/>
        <v>0</v>
      </c>
    </row>
    <row r="138" spans="1:186" s="982" customFormat="1" ht="15.6" x14ac:dyDescent="0.3">
      <c r="A138" s="974">
        <v>136</v>
      </c>
      <c r="B138" s="983"/>
      <c r="C138" s="984"/>
      <c r="D138" s="983"/>
      <c r="E138" s="968" t="str">
        <f>IFERROR(VLOOKUP($D138&amp;"."&amp;B138,'Piping Class'!$1:$1048576,MATCH($I138,'Piping Class'!$2:$2,0),0),"")</f>
        <v/>
      </c>
      <c r="F138" s="985" t="str">
        <f>IFERROR(IF(B138="Flange",VLOOKUP($D138,'Piping Class'!$88:$102,MATCH(F$1,'Piping Class'!$88:$88,0),0),""),"")</f>
        <v/>
      </c>
      <c r="G138" s="968" t="str">
        <f>IFERROR(IF(B138="Flange",VLOOKUP($D138,'Piping Class'!$88:$102,MATCH(G$1,'Piping Class'!$88:$88,0),0),""),"")</f>
        <v/>
      </c>
      <c r="H138" s="968" t="str">
        <f>IFERROR(VLOOKUP($D138,'Piping Class'!$88:$102,MATCH(H$1,'Piping Class'!$88:$88,0),0),"")</f>
        <v/>
      </c>
      <c r="I138" s="986"/>
      <c r="J138" s="987"/>
      <c r="K138" s="968" t="str">
        <f>IFERROR(VLOOKUP(I138,'Thickness Tab'!$1:$1048576,MATCH(L138,'Thickness Tab'!$1:$1,0),0),"")</f>
        <v/>
      </c>
      <c r="L138" s="969" t="str">
        <f>IFERROR(VLOOKUP($D138,'Piping Class'!$1:$1048576,MATCH($I138,'Piping Class'!$2:$2,0),0),"")</f>
        <v/>
      </c>
      <c r="M138" s="968" t="str">
        <f>IFERROR(VLOOKUP(J138,'Thickness Tab'!$1:$1048576,MATCH(N138,'Thickness Tab'!$1:$1,0),0),"")</f>
        <v/>
      </c>
      <c r="N138" s="969" t="str">
        <f>IFERROR(VLOOKUP($D138,'Piping Class'!$1:$1048576,MATCH($J138,'Piping Class'!$2:$2,0),0),"")</f>
        <v/>
      </c>
      <c r="O138" s="968" t="str">
        <f>IFERROR(VLOOKUP($D138,'Piping Class'!$88:$102,MATCH(O$1,'Piping Class'!$88:$88,0),0),"")</f>
        <v/>
      </c>
      <c r="P138" s="968" t="str">
        <f>IFERROR(VLOOKUP($D138,'Piping Class'!$88:$102,MATCH(P$1,'Piping Class'!$88:$88,0),0),"")</f>
        <v/>
      </c>
      <c r="Q138" s="983"/>
      <c r="R138" s="988"/>
      <c r="S138" s="969" t="str">
        <f t="shared" si="232"/>
        <v/>
      </c>
      <c r="T138" s="968">
        <f>IFERROR(VLOOKUP(I138&amp;"."&amp;L138,'Fitting Chart'!$1:$1048576,MATCH(C138,'Fitting Chart'!$1:$1,0),0),0)+IF(B138="piping",PI()*K138*(VLOOKUP(I138,'Thickness Tab'!$1:$1048576,3,0)-K138)*7.86/1000,0)+IF(B138="Flange",VLOOKUP(I138&amp;"F"&amp;F138,'Flanges Chart'!$1:$1048576,MATCH(C138&amp;"."&amp;T$1,'Flanges Chart'!$1:$1,0),0),0)</f>
        <v>0</v>
      </c>
      <c r="U138" s="989">
        <f t="shared" si="233"/>
        <v>0</v>
      </c>
      <c r="V138" s="1003"/>
      <c r="W138" s="1001">
        <f t="shared" si="234"/>
        <v>0</v>
      </c>
      <c r="X138" s="997"/>
      <c r="Y138" s="983"/>
      <c r="Z138" s="989">
        <f>IF(B138="Piping",VLOOKUP(I138,'Thickness Tab'!$1:$1048576,3,0)/1000*PI(),0)+IFERROR(VLOOKUP(I138&amp;"F"&amp;F138,'Flanges Chart'!$1:$1048576,MATCH(C138&amp;".Unit Surface",'Flanges Chart'!$1:$1,0),0),0)+IF(B138="Fitting",VLOOKUP(I138,'Thickness Tab'!$1:$1048576,3,0)/1000*PI(),0)</f>
        <v>0</v>
      </c>
      <c r="AA138" s="989">
        <f t="shared" si="235"/>
        <v>0</v>
      </c>
      <c r="AB138" s="983">
        <v>0</v>
      </c>
      <c r="AC138" s="989">
        <f t="shared" si="256"/>
        <v>0</v>
      </c>
      <c r="AD138" s="989">
        <f t="shared" si="257"/>
        <v>0</v>
      </c>
      <c r="AE138" s="974">
        <f>(IFERROR(VLOOKUP($C138,List!$J:$L,2,0),0)*R138+IF(B138="piping",R138,0)+IF(C138="Welding Neck",1,0)*R138)*$AE$2</f>
        <v>0</v>
      </c>
      <c r="AF138" s="970">
        <f>IFERROR(VLOOKUP($C138,List!$J:$L,3,0),0)*R138*$AF$2</f>
        <v>0</v>
      </c>
      <c r="AG138" s="990">
        <f t="shared" si="236"/>
        <v>0</v>
      </c>
      <c r="AH138" s="1118" t="str">
        <f>IFERROR(VLOOKUP($D138,'Piping Class'!$88:$102,MATCH(AH$1,'Piping Class'!$88:$88,0),0),"")</f>
        <v/>
      </c>
      <c r="AI138" s="991" t="str">
        <f>IFERROR(VLOOKUP($D138,'Piping Class'!$88:$102,MATCH(AI$1,'Piping Class'!$88:$88,0),0),"")</f>
        <v/>
      </c>
      <c r="AJ138" s="991" t="str">
        <f>IFERROR(VLOOKUP($D138,'Piping Class'!$88:$102,MATCH(AJ$1,'Piping Class'!$88:$88,0),0),"")</f>
        <v/>
      </c>
      <c r="AK138" s="991" t="str">
        <f>IFERROR(VLOOKUP($D138,'Piping Class'!$88:$102,MATCH(AK$1,'Piping Class'!$88:$88,0),0),"")</f>
        <v/>
      </c>
      <c r="AL138" s="991">
        <f t="shared" si="182"/>
        <v>0</v>
      </c>
      <c r="AM138" s="1119" t="str">
        <f>IFERROR(VLOOKUP($D138,'Piping Class'!$88:$102,MATCH(AM$1,'Piping Class'!$88:$88,0),0),"")</f>
        <v/>
      </c>
      <c r="AN138" s="992">
        <f t="shared" si="258"/>
        <v>0</v>
      </c>
      <c r="AO138" s="993">
        <f>IFERROR(VLOOKUP(I138&amp;"B"&amp;F138,'Bolting Chart'!$1:$1048576,4,0),0)</f>
        <v>0</v>
      </c>
      <c r="AP138" s="993">
        <f t="shared" si="237"/>
        <v>0</v>
      </c>
      <c r="AQ138" s="993">
        <f t="shared" si="238"/>
        <v>0</v>
      </c>
      <c r="AR138" s="993">
        <f>IF(AO138=0,0,VLOOKUP(D138&amp;".bolting",'Piping Class'!$1:$1048576,MATCH(I138,'Piping Class'!$2:$2,0),0))</f>
        <v>0</v>
      </c>
      <c r="AS138" s="994">
        <f>IFERROR(VLOOKUP(I138&amp;"B"&amp;F138,'Bolting Chart'!$1:$1048576,IF(AS$2="UNC",5,6),0),0)</f>
        <v>0</v>
      </c>
      <c r="AT138" s="995">
        <f>IFERROR(VLOOKUP(I138&amp;"B"&amp;F138,'Bolting Chart'!$1:$1048576,IF(G138="RF",8,9),0),0)</f>
        <v>0</v>
      </c>
      <c r="AU138" s="993">
        <f>IF(AO138=0,0,VLOOKUP(D138&amp;".gasket",'Piping Class'!$1:$1048576,MATCH(I138,'Piping Class'!$2:$2,0),0))</f>
        <v>0</v>
      </c>
      <c r="AV138" s="996">
        <f>(IFERROR(INDEX('Bolting Chart'!$A$169:$R$251,MATCH(AT138,'Bolting Chart'!$A$170:$A$251,0),MATCH(IFERROR(VLOOKUP(I138&amp;"B"&amp;F138,'Bolting Chart'!$1:$1048576,7,0),0)+0,'Bolting Chart'!$A$169:$R$169,0)),0))/100</f>
        <v>0</v>
      </c>
      <c r="AW138" s="996">
        <f t="shared" si="239"/>
        <v>0</v>
      </c>
      <c r="AX138" s="1194">
        <f t="shared" si="240"/>
        <v>0</v>
      </c>
      <c r="AY138" s="981"/>
      <c r="AZ138" s="1543">
        <f t="shared" si="229"/>
        <v>0</v>
      </c>
      <c r="BA138" s="1543">
        <f t="shared" si="229"/>
        <v>0</v>
      </c>
      <c r="BB138" s="1543">
        <f t="shared" si="229"/>
        <v>0</v>
      </c>
      <c r="BC138" s="1543">
        <f t="shared" si="229"/>
        <v>0</v>
      </c>
      <c r="BD138" s="1543">
        <f t="shared" si="229"/>
        <v>0</v>
      </c>
      <c r="BE138" s="1543">
        <f t="shared" si="229"/>
        <v>0</v>
      </c>
      <c r="BF138" s="1543">
        <f t="shared" si="229"/>
        <v>0</v>
      </c>
      <c r="BG138" s="1543">
        <f t="shared" si="229"/>
        <v>0</v>
      </c>
      <c r="BH138" s="1543">
        <f t="shared" si="229"/>
        <v>0</v>
      </c>
      <c r="BI138" s="1543">
        <f t="shared" si="229"/>
        <v>0</v>
      </c>
      <c r="BJ138" s="1543">
        <f t="shared" si="229"/>
        <v>0</v>
      </c>
      <c r="BK138" s="1543">
        <f t="shared" si="229"/>
        <v>0</v>
      </c>
      <c r="BL138" s="1543">
        <f t="shared" si="229"/>
        <v>0</v>
      </c>
      <c r="BM138" s="1543">
        <f t="shared" si="229"/>
        <v>0</v>
      </c>
      <c r="BN138" s="1543">
        <f t="shared" si="229"/>
        <v>0</v>
      </c>
      <c r="BO138" s="1543">
        <f t="shared" si="229"/>
        <v>0</v>
      </c>
      <c r="BP138" s="1543">
        <f t="shared" si="249"/>
        <v>0</v>
      </c>
      <c r="BQ138" s="1543">
        <f t="shared" si="249"/>
        <v>0</v>
      </c>
      <c r="BR138" s="1543">
        <f t="shared" si="249"/>
        <v>0</v>
      </c>
      <c r="BS138" s="1543">
        <f t="shared" si="249"/>
        <v>0</v>
      </c>
      <c r="BT138" s="1543">
        <f t="shared" si="249"/>
        <v>0</v>
      </c>
      <c r="BU138" s="1543">
        <f t="shared" si="249"/>
        <v>0</v>
      </c>
      <c r="BV138" s="1543">
        <f t="shared" si="249"/>
        <v>0</v>
      </c>
      <c r="BW138" s="1543">
        <f t="shared" si="249"/>
        <v>0</v>
      </c>
      <c r="BX138" s="1543">
        <f t="shared" si="249"/>
        <v>0</v>
      </c>
      <c r="BY138" s="1543">
        <f t="shared" si="249"/>
        <v>0</v>
      </c>
      <c r="BZ138" s="1543">
        <f t="shared" si="249"/>
        <v>0</v>
      </c>
      <c r="CB138" s="1543">
        <f t="shared" si="230"/>
        <v>0</v>
      </c>
      <c r="CC138" s="1543">
        <f t="shared" si="230"/>
        <v>0</v>
      </c>
      <c r="CD138" s="1543">
        <f t="shared" si="230"/>
        <v>0</v>
      </c>
      <c r="CE138" s="1543">
        <f t="shared" si="230"/>
        <v>0</v>
      </c>
      <c r="CF138" s="1543">
        <f t="shared" si="230"/>
        <v>0</v>
      </c>
      <c r="CG138" s="1543">
        <f t="shared" si="230"/>
        <v>0</v>
      </c>
      <c r="CH138" s="1543">
        <f t="shared" si="230"/>
        <v>0</v>
      </c>
      <c r="CI138" s="1543">
        <f t="shared" si="230"/>
        <v>0</v>
      </c>
      <c r="CJ138" s="1543">
        <f t="shared" si="230"/>
        <v>0</v>
      </c>
      <c r="CK138" s="1543">
        <f t="shared" si="230"/>
        <v>0</v>
      </c>
      <c r="CL138" s="1543">
        <f t="shared" si="230"/>
        <v>0</v>
      </c>
      <c r="CM138" s="1543">
        <f t="shared" si="230"/>
        <v>0</v>
      </c>
      <c r="CN138" s="1543">
        <f t="shared" si="230"/>
        <v>0</v>
      </c>
      <c r="CO138" s="1543">
        <f t="shared" si="230"/>
        <v>0</v>
      </c>
      <c r="CP138" s="1543">
        <f t="shared" si="230"/>
        <v>0</v>
      </c>
      <c r="CQ138" s="1543">
        <f t="shared" si="230"/>
        <v>0</v>
      </c>
      <c r="CR138" s="1543">
        <f t="shared" si="250"/>
        <v>0</v>
      </c>
      <c r="CS138" s="1543">
        <f t="shared" si="250"/>
        <v>0</v>
      </c>
      <c r="CT138" s="1543">
        <f t="shared" si="248"/>
        <v>0</v>
      </c>
      <c r="CU138" s="1543">
        <f t="shared" si="248"/>
        <v>0</v>
      </c>
      <c r="CV138" s="1543">
        <f t="shared" si="248"/>
        <v>0</v>
      </c>
      <c r="CW138" s="1543">
        <f t="shared" si="248"/>
        <v>0</v>
      </c>
      <c r="CX138" s="1543">
        <f t="shared" si="248"/>
        <v>0</v>
      </c>
      <c r="CY138" s="1543">
        <f t="shared" si="248"/>
        <v>0</v>
      </c>
      <c r="CZ138" s="1543">
        <f t="shared" si="248"/>
        <v>0</v>
      </c>
      <c r="DA138" s="1543">
        <f t="shared" si="248"/>
        <v>0</v>
      </c>
      <c r="DB138" s="1543">
        <f t="shared" si="248"/>
        <v>0</v>
      </c>
      <c r="DD138" s="1543">
        <f t="shared" si="251"/>
        <v>0</v>
      </c>
      <c r="DE138" s="1543">
        <f t="shared" si="252"/>
        <v>0</v>
      </c>
      <c r="DF138" s="1543">
        <f t="shared" si="253"/>
        <v>0</v>
      </c>
      <c r="DG138" s="1543">
        <f t="shared" si="259"/>
        <v>0</v>
      </c>
      <c r="DI138" s="1543">
        <f t="shared" si="260"/>
        <v>0</v>
      </c>
      <c r="DJ138" s="1543">
        <f t="shared" si="254"/>
        <v>0</v>
      </c>
      <c r="DK138" s="1543">
        <f t="shared" si="254"/>
        <v>0</v>
      </c>
      <c r="DL138" s="1543">
        <f t="shared" si="254"/>
        <v>0</v>
      </c>
      <c r="DM138" s="1543">
        <f t="shared" si="254"/>
        <v>0</v>
      </c>
      <c r="DO138" s="1543">
        <f t="shared" si="231"/>
        <v>0</v>
      </c>
      <c r="DP138" s="1543">
        <f t="shared" si="231"/>
        <v>0</v>
      </c>
      <c r="DQ138" s="1543">
        <f t="shared" si="231"/>
        <v>0</v>
      </c>
      <c r="DR138" s="1543">
        <f t="shared" si="231"/>
        <v>0</v>
      </c>
      <c r="DS138" s="1543">
        <f t="shared" si="231"/>
        <v>0</v>
      </c>
      <c r="DT138" s="1543">
        <f t="shared" si="231"/>
        <v>0</v>
      </c>
      <c r="DU138" s="1543">
        <f t="shared" si="231"/>
        <v>0</v>
      </c>
      <c r="DV138" s="1543">
        <f t="shared" si="231"/>
        <v>0</v>
      </c>
      <c r="DW138" s="1543">
        <f t="shared" si="231"/>
        <v>0</v>
      </c>
      <c r="DX138" s="1543">
        <f t="shared" si="231"/>
        <v>0</v>
      </c>
      <c r="DY138" s="1543">
        <f t="shared" si="231"/>
        <v>0</v>
      </c>
      <c r="DZ138" s="1543">
        <f t="shared" si="231"/>
        <v>0</v>
      </c>
      <c r="EA138" s="1543">
        <f t="shared" si="231"/>
        <v>0</v>
      </c>
      <c r="EB138" s="1543">
        <f t="shared" si="255"/>
        <v>0</v>
      </c>
      <c r="EC138" s="1543">
        <f t="shared" si="255"/>
        <v>0</v>
      </c>
      <c r="ED138" s="1543">
        <f t="shared" si="255"/>
        <v>0</v>
      </c>
      <c r="EE138" s="1543">
        <f t="shared" si="255"/>
        <v>0</v>
      </c>
      <c r="EF138" s="1543">
        <f t="shared" si="255"/>
        <v>0</v>
      </c>
      <c r="EH138" s="1543">
        <f t="shared" si="241"/>
        <v>0</v>
      </c>
      <c r="EI138" s="1543">
        <f t="shared" si="242"/>
        <v>0</v>
      </c>
      <c r="EJ138" s="1543">
        <f t="shared" si="243"/>
        <v>0</v>
      </c>
      <c r="EK138" s="1543">
        <f t="shared" si="244"/>
        <v>0</v>
      </c>
      <c r="EL138" s="1543">
        <f t="shared" si="245"/>
        <v>0</v>
      </c>
      <c r="EM138" s="1543">
        <f t="shared" si="246"/>
        <v>0</v>
      </c>
      <c r="EN138" s="1543">
        <f t="shared" si="247"/>
        <v>0</v>
      </c>
      <c r="EP138" s="1543">
        <f t="shared" si="197"/>
        <v>0</v>
      </c>
      <c r="EQ138" s="1543">
        <f t="shared" si="197"/>
        <v>0</v>
      </c>
      <c r="ER138" s="1543">
        <f t="shared" si="197"/>
        <v>0</v>
      </c>
      <c r="ES138" s="1543">
        <f t="shared" si="192"/>
        <v>0</v>
      </c>
      <c r="ET138" s="1543">
        <f t="shared" si="228"/>
        <v>0</v>
      </c>
      <c r="EU138" s="1543">
        <f t="shared" si="228"/>
        <v>0</v>
      </c>
      <c r="EV138" s="1543">
        <f t="shared" si="228"/>
        <v>0</v>
      </c>
      <c r="EW138" s="1543">
        <f t="shared" si="228"/>
        <v>0</v>
      </c>
      <c r="EX138" s="1543">
        <f t="shared" si="228"/>
        <v>0</v>
      </c>
      <c r="EY138" s="1543">
        <f t="shared" si="228"/>
        <v>0</v>
      </c>
      <c r="EZ138" s="1543">
        <f t="shared" si="228"/>
        <v>0</v>
      </c>
      <c r="FA138" s="1543">
        <f t="shared" si="228"/>
        <v>0</v>
      </c>
      <c r="FB138" s="1543">
        <f t="shared" si="228"/>
        <v>0</v>
      </c>
      <c r="FC138" s="1543">
        <f t="shared" si="228"/>
        <v>0</v>
      </c>
      <c r="FD138" s="1543">
        <f t="shared" si="228"/>
        <v>0</v>
      </c>
      <c r="FE138" s="1543">
        <f t="shared" si="184"/>
        <v>0</v>
      </c>
      <c r="FF138" s="1543">
        <f t="shared" si="261"/>
        <v>1</v>
      </c>
      <c r="FH138" s="1543">
        <f t="shared" si="262"/>
        <v>0</v>
      </c>
      <c r="FI138" s="1543">
        <f t="shared" si="262"/>
        <v>0</v>
      </c>
      <c r="FJ138" s="1543">
        <f t="shared" si="262"/>
        <v>0</v>
      </c>
      <c r="FK138" s="1543">
        <f t="shared" si="262"/>
        <v>0</v>
      </c>
      <c r="FL138" s="1543">
        <f t="shared" si="262"/>
        <v>0</v>
      </c>
      <c r="FM138" s="1543">
        <f t="shared" si="262"/>
        <v>0</v>
      </c>
      <c r="FN138" s="1543">
        <f t="shared" si="262"/>
        <v>0</v>
      </c>
      <c r="FO138" s="1543">
        <f t="shared" si="262"/>
        <v>0</v>
      </c>
      <c r="FP138" s="1543">
        <f t="shared" si="262"/>
        <v>0</v>
      </c>
      <c r="FQ138" s="1543">
        <f t="shared" si="262"/>
        <v>0</v>
      </c>
      <c r="FR138" s="1543">
        <f t="shared" si="262"/>
        <v>0</v>
      </c>
      <c r="FS138" s="1543">
        <f t="shared" si="262"/>
        <v>0</v>
      </c>
      <c r="FT138" s="1543">
        <f t="shared" si="263"/>
        <v>0</v>
      </c>
      <c r="FV138" s="1543">
        <f t="shared" si="264"/>
        <v>1</v>
      </c>
      <c r="FW138" s="1543">
        <f t="shared" si="264"/>
        <v>0</v>
      </c>
      <c r="FX138" s="1543">
        <f t="shared" si="264"/>
        <v>0</v>
      </c>
      <c r="FY138" s="1543">
        <f t="shared" si="264"/>
        <v>0</v>
      </c>
      <c r="FZ138" s="1543">
        <f t="shared" si="264"/>
        <v>0</v>
      </c>
      <c r="GA138" s="1543">
        <f t="shared" si="264"/>
        <v>0</v>
      </c>
      <c r="GB138" s="1543">
        <f t="shared" si="264"/>
        <v>0</v>
      </c>
      <c r="GC138" s="1543">
        <f t="shared" si="264"/>
        <v>0</v>
      </c>
      <c r="GD138" s="1543">
        <f t="shared" si="264"/>
        <v>0</v>
      </c>
    </row>
    <row r="139" spans="1:186" s="982" customFormat="1" ht="16.2" thickBot="1" x14ac:dyDescent="0.35">
      <c r="A139" s="1195">
        <v>137</v>
      </c>
      <c r="B139" s="1196"/>
      <c r="C139" s="1197"/>
      <c r="D139" s="1196"/>
      <c r="E139" s="1198" t="str">
        <f>IFERROR(VLOOKUP($D139&amp;"."&amp;B139,'Piping Class'!$1:$1048576,MATCH($I139,'Piping Class'!$2:$2,0),0),"")</f>
        <v/>
      </c>
      <c r="F139" s="1199" t="str">
        <f>IFERROR(IF(B139="Flange",VLOOKUP($D139,'Piping Class'!$88:$102,MATCH(F$1,'Piping Class'!$88:$88,0),0),""),"")</f>
        <v/>
      </c>
      <c r="G139" s="1198" t="str">
        <f>IFERROR(IF(B139="Flange",VLOOKUP($D139,'Piping Class'!$88:$102,MATCH(G$1,'Piping Class'!$88:$88,0),0),""),"")</f>
        <v/>
      </c>
      <c r="H139" s="1198" t="str">
        <f>IFERROR(VLOOKUP($D139,'Piping Class'!$88:$102,MATCH(H$1,'Piping Class'!$88:$88,0),0),"")</f>
        <v/>
      </c>
      <c r="I139" s="1200"/>
      <c r="J139" s="1201"/>
      <c r="K139" s="1198" t="str">
        <f>IFERROR(VLOOKUP(I139,'Thickness Tab'!$1:$1048576,MATCH(L139,'Thickness Tab'!$1:$1,0),0),"")</f>
        <v/>
      </c>
      <c r="L139" s="1202" t="str">
        <f>IFERROR(VLOOKUP($D139,'Piping Class'!$1:$1048576,MATCH($I139,'Piping Class'!$2:$2,0),0),"")</f>
        <v/>
      </c>
      <c r="M139" s="1198" t="str">
        <f>IFERROR(VLOOKUP(J139,'Thickness Tab'!$1:$1048576,MATCH(N139,'Thickness Tab'!$1:$1,0),0),"")</f>
        <v/>
      </c>
      <c r="N139" s="1202" t="str">
        <f>IFERROR(VLOOKUP($D139,'Piping Class'!$1:$1048576,MATCH($J139,'Piping Class'!$2:$2,0),0),"")</f>
        <v/>
      </c>
      <c r="O139" s="1198" t="str">
        <f>IFERROR(VLOOKUP($D139,'Piping Class'!$88:$102,MATCH(O$1,'Piping Class'!$88:$88,0),0),"")</f>
        <v/>
      </c>
      <c r="P139" s="1198" t="str">
        <f>IFERROR(VLOOKUP($D139,'Piping Class'!$88:$102,MATCH(P$1,'Piping Class'!$88:$88,0),0),"")</f>
        <v/>
      </c>
      <c r="Q139" s="1196"/>
      <c r="R139" s="1203"/>
      <c r="S139" s="1202" t="str">
        <f t="shared" si="232"/>
        <v/>
      </c>
      <c r="T139" s="1198">
        <f>IFERROR(VLOOKUP(I139&amp;"."&amp;L139,'Fitting Chart'!$1:$1048576,MATCH(C139,'Fitting Chart'!$1:$1,0),0),0)+IF(B139="piping",PI()*K139*(VLOOKUP(I139,'Thickness Tab'!$1:$1048576,3,0)-K139)*7.86/1000,0)+IF(B139="Flange",VLOOKUP(I139&amp;"F"&amp;F139,'Flanges Chart'!$1:$1048576,MATCH(C139&amp;"."&amp;T$1,'Flanges Chart'!$1:$1,0),0),0)</f>
        <v>0</v>
      </c>
      <c r="U139" s="1204">
        <f t="shared" si="233"/>
        <v>0</v>
      </c>
      <c r="V139" s="1205"/>
      <c r="W139" s="1206">
        <f t="shared" si="234"/>
        <v>0</v>
      </c>
      <c r="X139" s="1207"/>
      <c r="Y139" s="1196"/>
      <c r="Z139" s="1204">
        <f>IF(B139="Piping",VLOOKUP(I139,'Thickness Tab'!$1:$1048576,3,0)/1000*PI(),0)+IFERROR(VLOOKUP(I139&amp;"F"&amp;F139,'Flanges Chart'!$1:$1048576,MATCH(C139&amp;".Unit Surface",'Flanges Chart'!$1:$1,0),0),0)+IF(B139="Fitting",VLOOKUP(I139,'Thickness Tab'!$1:$1048576,3,0)/1000*PI(),0)</f>
        <v>0</v>
      </c>
      <c r="AA139" s="1204">
        <f t="shared" si="235"/>
        <v>0</v>
      </c>
      <c r="AB139" s="1196">
        <v>0</v>
      </c>
      <c r="AC139" s="1204">
        <f t="shared" si="256"/>
        <v>0</v>
      </c>
      <c r="AD139" s="1204">
        <f t="shared" si="257"/>
        <v>0</v>
      </c>
      <c r="AE139" s="1195">
        <f>(IFERROR(VLOOKUP($C139,List!$J:$L,2,0),0)*R139+IF(B139="piping",R139,0)+IF(C139="Welding Neck",1,0)*R139)*$AE$2</f>
        <v>0</v>
      </c>
      <c r="AF139" s="1208">
        <f>IFERROR(VLOOKUP($C139,List!$J:$L,3,0),0)*R139*$AF$2</f>
        <v>0</v>
      </c>
      <c r="AG139" s="1209">
        <f t="shared" si="236"/>
        <v>0</v>
      </c>
      <c r="AH139" s="1120" t="str">
        <f>IFERROR(VLOOKUP($D139,'Piping Class'!$88:$102,MATCH(AH$1,'Piping Class'!$88:$88,0),0),"")</f>
        <v/>
      </c>
      <c r="AI139" s="1121" t="str">
        <f>IFERROR(VLOOKUP($D139,'Piping Class'!$88:$102,MATCH(AI$1,'Piping Class'!$88:$88,0),0),"")</f>
        <v/>
      </c>
      <c r="AJ139" s="1121" t="str">
        <f>IFERROR(VLOOKUP($D139,'Piping Class'!$88:$102,MATCH(AJ$1,'Piping Class'!$88:$88,0),0),"")</f>
        <v/>
      </c>
      <c r="AK139" s="1121" t="str">
        <f>IFERROR(VLOOKUP($D139,'Piping Class'!$88:$102,MATCH(AK$1,'Piping Class'!$88:$88,0),0),"")</f>
        <v/>
      </c>
      <c r="AL139" s="1121">
        <f t="shared" si="182"/>
        <v>0</v>
      </c>
      <c r="AM139" s="1122" t="str">
        <f>IFERROR(VLOOKUP($D139,'Piping Class'!$88:$102,MATCH(AM$1,'Piping Class'!$88:$88,0),0),"")</f>
        <v/>
      </c>
      <c r="AN139" s="1210">
        <f t="shared" si="258"/>
        <v>0</v>
      </c>
      <c r="AO139" s="1211">
        <f>IFERROR(VLOOKUP(I139&amp;"B"&amp;F139,'Bolting Chart'!$1:$1048576,4,0),0)</f>
        <v>0</v>
      </c>
      <c r="AP139" s="1211">
        <f t="shared" si="237"/>
        <v>0</v>
      </c>
      <c r="AQ139" s="1211">
        <f t="shared" si="238"/>
        <v>0</v>
      </c>
      <c r="AR139" s="1211">
        <f>IF(AO139=0,0,VLOOKUP(D139&amp;".bolting",'Piping Class'!$1:$1048576,MATCH(I139,'Piping Class'!$2:$2,0),0))</f>
        <v>0</v>
      </c>
      <c r="AS139" s="1212">
        <f>IFERROR(VLOOKUP(I139&amp;"B"&amp;F139,'Bolting Chart'!$1:$1048576,IF(AS$2="UNC",5,6),0),0)</f>
        <v>0</v>
      </c>
      <c r="AT139" s="1213">
        <f>IFERROR(VLOOKUP(I139&amp;"B"&amp;F139,'Bolting Chart'!$1:$1048576,IF(G139="RF",8,9),0),0)</f>
        <v>0</v>
      </c>
      <c r="AU139" s="1211">
        <f>IF(AO139=0,0,VLOOKUP(D139&amp;".gasket",'Piping Class'!$1:$1048576,MATCH(I139,'Piping Class'!$2:$2,0),0))</f>
        <v>0</v>
      </c>
      <c r="AV139" s="1214">
        <f>(IFERROR(INDEX('Bolting Chart'!$A$169:$R$251,MATCH(AT139,'Bolting Chart'!$A$170:$A$251,0),MATCH(IFERROR(VLOOKUP(I139&amp;"B"&amp;F139,'Bolting Chart'!$1:$1048576,7,0),0)+0,'Bolting Chart'!$A$169:$R$169,0)),0))/100</f>
        <v>0</v>
      </c>
      <c r="AW139" s="1214">
        <f t="shared" si="239"/>
        <v>0</v>
      </c>
      <c r="AX139" s="1215">
        <f t="shared" si="240"/>
        <v>0</v>
      </c>
      <c r="AY139" s="981"/>
      <c r="AZ139" s="1543">
        <f t="shared" ref="AZ139:BO139" si="265">IF($I139=AZ$2,1,0)</f>
        <v>0</v>
      </c>
      <c r="BA139" s="1543">
        <f t="shared" si="265"/>
        <v>0</v>
      </c>
      <c r="BB139" s="1543">
        <f t="shared" si="265"/>
        <v>0</v>
      </c>
      <c r="BC139" s="1543">
        <f t="shared" si="265"/>
        <v>0</v>
      </c>
      <c r="BD139" s="1543">
        <f t="shared" si="265"/>
        <v>0</v>
      </c>
      <c r="BE139" s="1543">
        <f t="shared" si="265"/>
        <v>0</v>
      </c>
      <c r="BF139" s="1543">
        <f t="shared" si="265"/>
        <v>0</v>
      </c>
      <c r="BG139" s="1543">
        <f t="shared" si="265"/>
        <v>0</v>
      </c>
      <c r="BH139" s="1543">
        <f t="shared" si="265"/>
        <v>0</v>
      </c>
      <c r="BI139" s="1543">
        <f t="shared" si="265"/>
        <v>0</v>
      </c>
      <c r="BJ139" s="1543">
        <f t="shared" si="265"/>
        <v>0</v>
      </c>
      <c r="BK139" s="1543">
        <f t="shared" si="265"/>
        <v>0</v>
      </c>
      <c r="BL139" s="1543">
        <f t="shared" si="265"/>
        <v>0</v>
      </c>
      <c r="BM139" s="1543">
        <f t="shared" si="265"/>
        <v>0</v>
      </c>
      <c r="BN139" s="1543">
        <f t="shared" si="265"/>
        <v>0</v>
      </c>
      <c r="BO139" s="1543">
        <f t="shared" si="265"/>
        <v>0</v>
      </c>
      <c r="BP139" s="1543">
        <f t="shared" si="249"/>
        <v>0</v>
      </c>
      <c r="BQ139" s="1543">
        <f t="shared" si="249"/>
        <v>0</v>
      </c>
      <c r="BR139" s="1543">
        <f t="shared" si="249"/>
        <v>0</v>
      </c>
      <c r="BS139" s="1543">
        <f t="shared" si="249"/>
        <v>0</v>
      </c>
      <c r="BT139" s="1543">
        <f t="shared" si="249"/>
        <v>0</v>
      </c>
      <c r="BU139" s="1543">
        <f t="shared" si="249"/>
        <v>0</v>
      </c>
      <c r="BV139" s="1543">
        <f t="shared" si="249"/>
        <v>0</v>
      </c>
      <c r="BW139" s="1543">
        <f t="shared" si="249"/>
        <v>0</v>
      </c>
      <c r="BX139" s="1543">
        <f t="shared" si="249"/>
        <v>0</v>
      </c>
      <c r="BY139" s="1543">
        <f t="shared" si="249"/>
        <v>0</v>
      </c>
      <c r="BZ139" s="1543">
        <f t="shared" si="249"/>
        <v>0</v>
      </c>
      <c r="CB139" s="1543">
        <f t="shared" ref="CB139:CQ139" si="266">IF($J139=CB$2,1,0)</f>
        <v>0</v>
      </c>
      <c r="CC139" s="1543">
        <f t="shared" si="266"/>
        <v>0</v>
      </c>
      <c r="CD139" s="1543">
        <f t="shared" si="266"/>
        <v>0</v>
      </c>
      <c r="CE139" s="1543">
        <f t="shared" si="266"/>
        <v>0</v>
      </c>
      <c r="CF139" s="1543">
        <f t="shared" si="266"/>
        <v>0</v>
      </c>
      <c r="CG139" s="1543">
        <f t="shared" si="266"/>
        <v>0</v>
      </c>
      <c r="CH139" s="1543">
        <f t="shared" si="266"/>
        <v>0</v>
      </c>
      <c r="CI139" s="1543">
        <f t="shared" si="266"/>
        <v>0</v>
      </c>
      <c r="CJ139" s="1543">
        <f t="shared" si="266"/>
        <v>0</v>
      </c>
      <c r="CK139" s="1543">
        <f t="shared" si="266"/>
        <v>0</v>
      </c>
      <c r="CL139" s="1543">
        <f t="shared" si="266"/>
        <v>0</v>
      </c>
      <c r="CM139" s="1543">
        <f t="shared" si="266"/>
        <v>0</v>
      </c>
      <c r="CN139" s="1543">
        <f t="shared" si="266"/>
        <v>0</v>
      </c>
      <c r="CO139" s="1543">
        <f t="shared" si="266"/>
        <v>0</v>
      </c>
      <c r="CP139" s="1543">
        <f t="shared" si="266"/>
        <v>0</v>
      </c>
      <c r="CQ139" s="1543">
        <f t="shared" si="266"/>
        <v>0</v>
      </c>
      <c r="CR139" s="1543">
        <f t="shared" si="250"/>
        <v>0</v>
      </c>
      <c r="CS139" s="1543">
        <f t="shared" si="250"/>
        <v>0</v>
      </c>
      <c r="CT139" s="1543">
        <f t="shared" si="248"/>
        <v>0</v>
      </c>
      <c r="CU139" s="1543">
        <f t="shared" si="248"/>
        <v>0</v>
      </c>
      <c r="CV139" s="1543">
        <f t="shared" si="248"/>
        <v>0</v>
      </c>
      <c r="CW139" s="1543">
        <f t="shared" si="248"/>
        <v>0</v>
      </c>
      <c r="CX139" s="1543">
        <f t="shared" si="248"/>
        <v>0</v>
      </c>
      <c r="CY139" s="1543">
        <f t="shared" si="248"/>
        <v>0</v>
      </c>
      <c r="CZ139" s="1543">
        <f t="shared" si="248"/>
        <v>0</v>
      </c>
      <c r="DA139" s="1543">
        <f t="shared" si="248"/>
        <v>0</v>
      </c>
      <c r="DB139" s="1543">
        <f t="shared" si="248"/>
        <v>0</v>
      </c>
      <c r="DD139" s="1543">
        <f t="shared" si="251"/>
        <v>0</v>
      </c>
      <c r="DE139" s="1543">
        <f t="shared" si="252"/>
        <v>0</v>
      </c>
      <c r="DF139" s="1543">
        <f t="shared" si="253"/>
        <v>0</v>
      </c>
      <c r="DG139" s="1543">
        <f t="shared" si="259"/>
        <v>0</v>
      </c>
      <c r="DI139" s="1543">
        <f t="shared" si="260"/>
        <v>0</v>
      </c>
      <c r="DJ139" s="1543">
        <f t="shared" si="254"/>
        <v>0</v>
      </c>
      <c r="DK139" s="1543">
        <f t="shared" si="254"/>
        <v>0</v>
      </c>
      <c r="DL139" s="1543">
        <f t="shared" si="254"/>
        <v>0</v>
      </c>
      <c r="DM139" s="1543">
        <f t="shared" si="254"/>
        <v>0</v>
      </c>
      <c r="DO139" s="1543">
        <f t="shared" ref="DO139:EA139" si="267">IF($L139=DO$2,1,0)</f>
        <v>0</v>
      </c>
      <c r="DP139" s="1543">
        <f t="shared" si="267"/>
        <v>0</v>
      </c>
      <c r="DQ139" s="1543">
        <f t="shared" si="267"/>
        <v>0</v>
      </c>
      <c r="DR139" s="1543">
        <f t="shared" si="267"/>
        <v>0</v>
      </c>
      <c r="DS139" s="1543">
        <f t="shared" si="267"/>
        <v>0</v>
      </c>
      <c r="DT139" s="1543">
        <f t="shared" si="267"/>
        <v>0</v>
      </c>
      <c r="DU139" s="1543">
        <f t="shared" si="267"/>
        <v>0</v>
      </c>
      <c r="DV139" s="1543">
        <f t="shared" si="267"/>
        <v>0</v>
      </c>
      <c r="DW139" s="1543">
        <f t="shared" si="267"/>
        <v>0</v>
      </c>
      <c r="DX139" s="1543">
        <f t="shared" si="267"/>
        <v>0</v>
      </c>
      <c r="DY139" s="1543">
        <f t="shared" si="267"/>
        <v>0</v>
      </c>
      <c r="DZ139" s="1543">
        <f t="shared" si="267"/>
        <v>0</v>
      </c>
      <c r="EA139" s="1543">
        <f t="shared" si="267"/>
        <v>0</v>
      </c>
      <c r="EB139" s="1543">
        <f t="shared" si="255"/>
        <v>0</v>
      </c>
      <c r="EC139" s="1543">
        <f t="shared" si="255"/>
        <v>0</v>
      </c>
      <c r="ED139" s="1543">
        <f t="shared" si="255"/>
        <v>0</v>
      </c>
      <c r="EE139" s="1543">
        <f t="shared" si="255"/>
        <v>0</v>
      </c>
      <c r="EF139" s="1543">
        <f t="shared" si="255"/>
        <v>0</v>
      </c>
      <c r="EH139" s="1543">
        <f t="shared" si="241"/>
        <v>0</v>
      </c>
      <c r="EI139" s="1543">
        <f t="shared" si="242"/>
        <v>0</v>
      </c>
      <c r="EJ139" s="1543">
        <f t="shared" si="243"/>
        <v>0</v>
      </c>
      <c r="EK139" s="1543">
        <f t="shared" si="244"/>
        <v>0</v>
      </c>
      <c r="EL139" s="1543">
        <f t="shared" si="245"/>
        <v>0</v>
      </c>
      <c r="EM139" s="1543">
        <f t="shared" si="246"/>
        <v>0</v>
      </c>
      <c r="EN139" s="1543">
        <f t="shared" si="247"/>
        <v>0</v>
      </c>
      <c r="EP139" s="1543">
        <f t="shared" si="197"/>
        <v>0</v>
      </c>
      <c r="EQ139" s="1543">
        <f t="shared" si="197"/>
        <v>0</v>
      </c>
      <c r="ER139" s="1543">
        <f t="shared" si="197"/>
        <v>0</v>
      </c>
      <c r="ES139" s="1543">
        <f t="shared" si="192"/>
        <v>0</v>
      </c>
      <c r="ET139" s="1543">
        <f t="shared" si="228"/>
        <v>0</v>
      </c>
      <c r="EU139" s="1543">
        <f t="shared" si="228"/>
        <v>0</v>
      </c>
      <c r="EV139" s="1543">
        <f t="shared" si="228"/>
        <v>0</v>
      </c>
      <c r="EW139" s="1543">
        <f t="shared" si="228"/>
        <v>0</v>
      </c>
      <c r="EX139" s="1543">
        <f t="shared" si="228"/>
        <v>0</v>
      </c>
      <c r="EY139" s="1543">
        <f t="shared" si="228"/>
        <v>0</v>
      </c>
      <c r="EZ139" s="1543">
        <f t="shared" si="228"/>
        <v>0</v>
      </c>
      <c r="FA139" s="1543">
        <f t="shared" si="228"/>
        <v>0</v>
      </c>
      <c r="FB139" s="1543">
        <f t="shared" si="228"/>
        <v>0</v>
      </c>
      <c r="FC139" s="1543">
        <f t="shared" si="228"/>
        <v>0</v>
      </c>
      <c r="FD139" s="1543">
        <f t="shared" si="228"/>
        <v>0</v>
      </c>
      <c r="FE139" s="1543">
        <f t="shared" si="184"/>
        <v>0</v>
      </c>
      <c r="FF139" s="1543">
        <f t="shared" si="261"/>
        <v>1</v>
      </c>
      <c r="FH139" s="1543">
        <f t="shared" si="262"/>
        <v>0</v>
      </c>
      <c r="FI139" s="1543">
        <f t="shared" si="262"/>
        <v>0</v>
      </c>
      <c r="FJ139" s="1543">
        <f t="shared" si="262"/>
        <v>0</v>
      </c>
      <c r="FK139" s="1543">
        <f t="shared" si="262"/>
        <v>0</v>
      </c>
      <c r="FL139" s="1543">
        <f t="shared" si="262"/>
        <v>0</v>
      </c>
      <c r="FM139" s="1543">
        <f t="shared" si="262"/>
        <v>0</v>
      </c>
      <c r="FN139" s="1543">
        <f t="shared" si="262"/>
        <v>0</v>
      </c>
      <c r="FO139" s="1543">
        <f t="shared" si="262"/>
        <v>0</v>
      </c>
      <c r="FP139" s="1543">
        <f t="shared" si="262"/>
        <v>0</v>
      </c>
      <c r="FQ139" s="1543">
        <f t="shared" si="262"/>
        <v>0</v>
      </c>
      <c r="FR139" s="1543">
        <f t="shared" si="262"/>
        <v>0</v>
      </c>
      <c r="FS139" s="1543">
        <f t="shared" si="262"/>
        <v>0</v>
      </c>
      <c r="FT139" s="1543">
        <f t="shared" si="263"/>
        <v>0</v>
      </c>
      <c r="FV139" s="1543">
        <f t="shared" si="264"/>
        <v>1</v>
      </c>
      <c r="FW139" s="1543">
        <f t="shared" si="264"/>
        <v>0</v>
      </c>
      <c r="FX139" s="1543">
        <f t="shared" si="264"/>
        <v>0</v>
      </c>
      <c r="FY139" s="1543">
        <f t="shared" si="264"/>
        <v>0</v>
      </c>
      <c r="FZ139" s="1543">
        <f t="shared" si="264"/>
        <v>0</v>
      </c>
      <c r="GA139" s="1543">
        <f t="shared" si="264"/>
        <v>0</v>
      </c>
      <c r="GB139" s="1543">
        <f t="shared" si="264"/>
        <v>0</v>
      </c>
      <c r="GC139" s="1543">
        <f t="shared" si="264"/>
        <v>0</v>
      </c>
      <c r="GD139" s="1543">
        <f t="shared" si="264"/>
        <v>0</v>
      </c>
    </row>
  </sheetData>
  <sheetProtection autoFilter="0"/>
  <autoFilter ref="A2:FF139" xr:uid="{00000000-0009-0000-0000-00000B000000}"/>
  <mergeCells count="18">
    <mergeCell ref="M1:N1"/>
    <mergeCell ref="Q1:Q2"/>
    <mergeCell ref="AR1:AR2"/>
    <mergeCell ref="AU1:AU2"/>
    <mergeCell ref="O1:O2"/>
    <mergeCell ref="P1:P2"/>
    <mergeCell ref="S1:S2"/>
    <mergeCell ref="R1:R2"/>
    <mergeCell ref="Y1:Y2"/>
    <mergeCell ref="A1:A2"/>
    <mergeCell ref="C1:C2"/>
    <mergeCell ref="D1:D2"/>
    <mergeCell ref="E1:E2"/>
    <mergeCell ref="K1:L1"/>
    <mergeCell ref="B1:B2"/>
    <mergeCell ref="H1:H2"/>
    <mergeCell ref="G1:G2"/>
    <mergeCell ref="F1:F2"/>
  </mergeCells>
  <conditionalFormatting sqref="A1:AB1048576">
    <cfRule type="cellIs" dxfId="292" priority="2" operator="equal">
      <formula>0</formula>
    </cfRule>
  </conditionalFormatting>
  <conditionalFormatting sqref="AC2:AD1048576">
    <cfRule type="cellIs" dxfId="291" priority="41" operator="equal">
      <formula>0</formula>
    </cfRule>
  </conditionalFormatting>
  <conditionalFormatting sqref="AC1:AS1">
    <cfRule type="cellIs" dxfId="290" priority="40" operator="equal">
      <formula>0</formula>
    </cfRule>
  </conditionalFormatting>
  <conditionalFormatting sqref="AE2:AQ2">
    <cfRule type="cellIs" dxfId="289" priority="595" operator="equal">
      <formula>0</formula>
    </cfRule>
  </conditionalFormatting>
  <conditionalFormatting sqref="AE3:AS1048576">
    <cfRule type="cellIs" dxfId="288" priority="206" operator="equal">
      <formula>0</formula>
    </cfRule>
  </conditionalFormatting>
  <conditionalFormatting sqref="AT1:AT1048576">
    <cfRule type="cellIs" dxfId="287" priority="378" operator="equal">
      <formula>0</formula>
    </cfRule>
  </conditionalFormatting>
  <conditionalFormatting sqref="AU3:AY1048576">
    <cfRule type="cellIs" dxfId="286" priority="350" operator="equal">
      <formula>0</formula>
    </cfRule>
  </conditionalFormatting>
  <conditionalFormatting sqref="AU1:CS1">
    <cfRule type="cellIs" dxfId="285" priority="596" operator="equal">
      <formula>0</formula>
    </cfRule>
  </conditionalFormatting>
  <conditionalFormatting sqref="AZ3:BZ139">
    <cfRule type="cellIs" dxfId="284" priority="78" operator="equal">
      <formula>0</formula>
    </cfRule>
  </conditionalFormatting>
  <conditionalFormatting sqref="BA2:CA2 CA3 BA3:BQ40 CA4:CS139 AZ140:CS1048576 DC140:EA1048576">
    <cfRule type="cellIs" dxfId="283" priority="643" operator="equal">
      <formula>0</formula>
    </cfRule>
  </conditionalFormatting>
  <conditionalFormatting sqref="CB3:CS139">
    <cfRule type="cellIs" dxfId="282" priority="375" operator="equal">
      <formula>0</formula>
    </cfRule>
  </conditionalFormatting>
  <conditionalFormatting sqref="CC2:CS139">
    <cfRule type="cellIs" dxfId="281" priority="376" operator="equal">
      <formula>0</formula>
    </cfRule>
  </conditionalFormatting>
  <conditionalFormatting sqref="CT1:DB1048576">
    <cfRule type="cellIs" dxfId="280" priority="72" operator="equal">
      <formula>0</formula>
    </cfRule>
  </conditionalFormatting>
  <conditionalFormatting sqref="DC2:DN139">
    <cfRule type="cellIs" dxfId="279" priority="369" operator="equal">
      <formula>0</formula>
    </cfRule>
  </conditionalFormatting>
  <conditionalFormatting sqref="DC1:FG1">
    <cfRule type="cellIs" dxfId="278" priority="594" operator="equal">
      <formula>0</formula>
    </cfRule>
  </conditionalFormatting>
  <conditionalFormatting sqref="DO3:EA139">
    <cfRule type="cellIs" dxfId="277" priority="366" operator="equal">
      <formula>0</formula>
    </cfRule>
  </conditionalFormatting>
  <conditionalFormatting sqref="DO2:EF2">
    <cfRule type="cellIs" dxfId="276" priority="632" operator="equal">
      <formula>0</formula>
    </cfRule>
  </conditionalFormatting>
  <conditionalFormatting sqref="EB3:EF1048576">
    <cfRule type="cellIs" dxfId="275" priority="347" operator="equal">
      <formula>0</formula>
    </cfRule>
  </conditionalFormatting>
  <conditionalFormatting sqref="EG2:FG1048576">
    <cfRule type="cellIs" dxfId="274" priority="202" operator="equal">
      <formula>0</formula>
    </cfRule>
  </conditionalFormatting>
  <conditionalFormatting sqref="FH1:XFD1048576">
    <cfRule type="cellIs" dxfId="273" priority="26" operator="equal">
      <formula>0</formula>
    </cfRule>
  </conditionalFormatting>
  <dataValidations count="14">
    <dataValidation type="list" allowBlank="1" showInputMessage="1" showErrorMessage="1" sqref="D3:D139" xr:uid="{00000000-0002-0000-0B00-000000000000}">
      <formula1>Piping_Class</formula1>
    </dataValidation>
    <dataValidation type="list" allowBlank="1" showInputMessage="1" showErrorMessage="1" sqref="B3:B139" xr:uid="{00000000-0002-0000-0B00-000001000000}">
      <formula1>Piping_Type</formula1>
    </dataValidation>
    <dataValidation type="list" allowBlank="1" showInputMessage="1" showErrorMessage="1" sqref="C3:C139" xr:uid="{00000000-0002-0000-0B00-000002000000}">
      <formula1>INDIRECT($B3)</formula1>
    </dataValidation>
    <dataValidation allowBlank="1" showInputMessage="1" showErrorMessage="1" promptTitle="HT" prompt="Hardness Test" sqref="AM1" xr:uid="{00000000-0002-0000-0B00-000003000000}"/>
    <dataValidation allowBlank="1" showInputMessage="1" showErrorMessage="1" promptTitle="PMI" prompt="Positive Material Identification" sqref="AL1" xr:uid="{00000000-0002-0000-0B00-000004000000}"/>
    <dataValidation allowBlank="1" showInputMessage="1" showErrorMessage="1" prompt="Dipende dal servizio della linea / può variare da 10% a 100% per le saldature BW " sqref="AH2" xr:uid="{00000000-0002-0000-0B00-000005000000}"/>
    <dataValidation allowBlank="1" showInputMessage="1" showErrorMessage="1" promptTitle="UT" prompt="Ultrasonic testing" sqref="AK1" xr:uid="{00000000-0002-0000-0B00-000006000000}"/>
    <dataValidation allowBlank="1" showInputMessage="1" showErrorMessage="1" promptTitle="LPI" prompt="Liquid penetrant inspection" sqref="AJ1" xr:uid="{00000000-0002-0000-0B00-000007000000}"/>
    <dataValidation allowBlank="1" showInputMessage="1" showErrorMessage="1" promptTitle="MPI" prompt="Magnetic particle Inspection" sqref="AI1" xr:uid="{00000000-0002-0000-0B00-000008000000}"/>
    <dataValidation allowBlank="1" showInputMessage="1" showErrorMessage="1" promptTitle="RT" prompt="Radiographic Testing" sqref="AH1" xr:uid="{00000000-0002-0000-0B00-000009000000}"/>
    <dataValidation type="list" allowBlank="1" showInputMessage="1" showErrorMessage="1" sqref="Q3:Q139" xr:uid="{00000000-0002-0000-0B00-00000A000000}">
      <formula1>Skid_section</formula1>
    </dataValidation>
    <dataValidation type="list" allowBlank="1" showInputMessage="1" showErrorMessage="1" sqref="AS2" xr:uid="{00000000-0002-0000-0B00-00000B000000}">
      <formula1>Bolting_Dia</formula1>
    </dataValidation>
    <dataValidation type="list" allowBlank="1" showInputMessage="1" showErrorMessage="1" sqref="Y3:Y139" xr:uid="{00000000-0002-0000-0B00-00000C000000}">
      <formula1>Painting_cycle</formula1>
    </dataValidation>
    <dataValidation type="list" allowBlank="1" showInputMessage="1" showErrorMessage="1" sqref="AB3:AB139" xr:uid="{00000000-0002-0000-0B00-00000D000000}">
      <formula1>Piping_insulation</formula1>
    </dataValidation>
  </dataValidations>
  <pageMargins left="0.70866141732283472" right="0.70866141732283472" top="0.74803149606299213" bottom="0.74803149606299213" header="0.31496062992125984" footer="0.31496062992125984"/>
  <pageSetup scale="26" fitToHeight="0" orientation="portrait" r:id="rId1"/>
  <headerFooter>
    <oddHeader>&amp;LMCE Vers. 1.0&amp;C&amp;F&amp;R&amp;"Calibri,Normale"&amp;8 Document classified as: 2 - Company Confidential&amp;1#</oddHeader>
    <oddFooter>&amp;C&amp;A - &amp;P&amp;R&amp;D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oglio9">
    <tabColor theme="4" tint="-0.249977111117893"/>
    <pageSetUpPr fitToPage="1"/>
  </sheetPr>
  <dimension ref="A1:EC73"/>
  <sheetViews>
    <sheetView topLeftCell="A3" zoomScale="70" zoomScaleNormal="70" workbookViewId="0">
      <pane xSplit="10" ySplit="1" topLeftCell="AD4" activePane="bottomRight" state="frozenSplit"/>
      <selection pane="topRight" activeCell="K3" sqref="K3"/>
      <selection pane="bottomLeft" activeCell="A4" sqref="A4"/>
      <selection pane="bottomRight" activeCell="AH16" sqref="AH16"/>
    </sheetView>
  </sheetViews>
  <sheetFormatPr defaultColWidth="9.21875" defaultRowHeight="14.4" x14ac:dyDescent="0.3"/>
  <cols>
    <col min="1" max="1" width="9.21875" style="3"/>
    <col min="2" max="2" width="13.44140625" style="3" customWidth="1"/>
    <col min="3" max="3" width="31.44140625" style="3" customWidth="1"/>
    <col min="4" max="4" width="22.21875" style="3" customWidth="1"/>
    <col min="5" max="5" width="11.77734375" style="496" customWidth="1"/>
    <col min="6" max="6" width="10.21875" style="1327" customWidth="1"/>
    <col min="7" max="10" width="11.5546875" style="496" customWidth="1"/>
    <col min="11" max="16" width="8.77734375" style="496" customWidth="1"/>
    <col min="17" max="17" width="10.21875" style="496" customWidth="1"/>
    <col min="18" max="25" width="8.77734375" style="496" customWidth="1"/>
    <col min="26" max="26" width="10.21875" style="3" customWidth="1"/>
    <col min="27" max="27" width="30.5546875" style="496" customWidth="1"/>
    <col min="28" max="31" width="13.77734375" style="3" customWidth="1"/>
    <col min="32" max="32" width="16.77734375" style="1328" customWidth="1"/>
    <col min="33" max="33" width="14.44140625" style="3" bestFit="1" customWidth="1"/>
    <col min="34" max="34" width="14.21875" style="3" customWidth="1"/>
    <col min="35" max="35" width="3.44140625" style="496" customWidth="1"/>
    <col min="36" max="36" width="37.21875" style="3" customWidth="1"/>
    <col min="37" max="38" width="14.21875" style="3" customWidth="1"/>
    <col min="39" max="39" width="9.21875" style="496" customWidth="1"/>
    <col min="40" max="58" width="9.21875" style="1313" hidden="1" customWidth="1"/>
    <col min="59" max="59" width="9.77734375" style="496" hidden="1" customWidth="1"/>
    <col min="60" max="61" width="9.21875" style="496" hidden="1" customWidth="1"/>
    <col min="62" max="62" width="9.77734375" style="496" hidden="1" customWidth="1"/>
    <col min="63" max="65" width="9.21875" style="1313" hidden="1" customWidth="1"/>
    <col min="66" max="66" width="9.77734375" style="496" hidden="1" customWidth="1"/>
    <col min="67" max="68" width="9.21875" style="1313" hidden="1" customWidth="1"/>
    <col min="69" max="116" width="9.21875" style="496" hidden="1" customWidth="1"/>
    <col min="117" max="117" width="20" style="496" hidden="1" customWidth="1"/>
    <col min="118" max="118" width="9.21875" style="496" hidden="1" customWidth="1"/>
    <col min="119" max="119" width="23.77734375" style="496" hidden="1" customWidth="1"/>
    <col min="120" max="120" width="9.21875" style="496" hidden="1" customWidth="1"/>
    <col min="121" max="121" width="15.44140625" style="496" hidden="1" customWidth="1"/>
    <col min="122" max="122" width="15.77734375" style="496" hidden="1" customWidth="1"/>
    <col min="123" max="123" width="15.44140625" style="496" hidden="1" customWidth="1"/>
    <col min="124" max="124" width="15.77734375" style="496" hidden="1" customWidth="1"/>
    <col min="125" max="125" width="14.44140625" style="496" hidden="1" customWidth="1"/>
    <col min="126" max="126" width="16.77734375" style="496" hidden="1" customWidth="1"/>
    <col min="127" max="133" width="9.21875" style="496" hidden="1" customWidth="1"/>
    <col min="134" max="135" width="9.21875" style="496" customWidth="1"/>
    <col min="136" max="16384" width="9.21875" style="496"/>
  </cols>
  <sheetData>
    <row r="1" spans="1:133" ht="21.6" thickBot="1" x14ac:dyDescent="0.35">
      <c r="A1" s="380" t="s">
        <v>1910</v>
      </c>
      <c r="B1" s="381"/>
      <c r="C1" s="381"/>
      <c r="D1" s="381"/>
      <c r="E1" s="381"/>
      <c r="F1" s="734"/>
      <c r="G1" s="1308"/>
      <c r="H1" s="1308"/>
      <c r="I1" s="1308"/>
      <c r="J1" s="1308"/>
      <c r="K1" s="1308"/>
      <c r="L1" s="1308"/>
      <c r="M1" s="1308"/>
      <c r="N1" s="1308"/>
      <c r="O1" s="1308"/>
      <c r="P1" s="1308"/>
      <c r="Q1" s="1308"/>
      <c r="R1" s="1308"/>
      <c r="S1" s="1308"/>
      <c r="T1" s="1308"/>
      <c r="U1" s="1308"/>
      <c r="V1" s="1308"/>
      <c r="W1" s="1308"/>
      <c r="X1" s="1308"/>
      <c r="Y1" s="1308"/>
      <c r="Z1" s="1308"/>
      <c r="AA1" s="1308"/>
      <c r="AB1" s="1308"/>
      <c r="AC1" s="1308"/>
      <c r="AD1" s="1308"/>
      <c r="AE1" s="1308"/>
      <c r="AF1" s="1309"/>
      <c r="AG1" s="1308"/>
      <c r="AH1" s="1310"/>
      <c r="AJ1" s="1311"/>
      <c r="AK1" s="1308"/>
      <c r="AL1" s="1312"/>
    </row>
    <row r="2" spans="1:133" s="3" customFormat="1" ht="29.25" customHeight="1" x14ac:dyDescent="0.3">
      <c r="A2" s="1782" t="s">
        <v>366</v>
      </c>
      <c r="B2" s="1782" t="s">
        <v>1911</v>
      </c>
      <c r="C2" s="1782" t="s">
        <v>1912</v>
      </c>
      <c r="D2" s="1782" t="s">
        <v>1913</v>
      </c>
      <c r="E2" s="1782" t="s">
        <v>58</v>
      </c>
      <c r="F2" s="1424" t="s">
        <v>1914</v>
      </c>
      <c r="G2" s="1782" t="s">
        <v>1915</v>
      </c>
      <c r="H2" s="1780" t="s">
        <v>1916</v>
      </c>
      <c r="I2" s="1780" t="s">
        <v>1917</v>
      </c>
      <c r="J2" s="1786" t="s">
        <v>1918</v>
      </c>
      <c r="K2" s="1790" t="s">
        <v>1919</v>
      </c>
      <c r="L2" s="1791"/>
      <c r="M2" s="1791"/>
      <c r="N2" s="1791"/>
      <c r="O2" s="1791"/>
      <c r="P2" s="1791"/>
      <c r="Q2" s="1791"/>
      <c r="R2" s="1791"/>
      <c r="S2" s="1791"/>
      <c r="T2" s="1791"/>
      <c r="U2" s="1791"/>
      <c r="V2" s="1791"/>
      <c r="W2" s="1791"/>
      <c r="X2" s="1791"/>
      <c r="Y2" s="1791"/>
      <c r="Z2" s="1008" t="s">
        <v>292</v>
      </c>
      <c r="AA2" s="1782" t="s">
        <v>1871</v>
      </c>
      <c r="AB2" s="1425" t="s">
        <v>1920</v>
      </c>
      <c r="AC2" s="1425" t="s">
        <v>1921</v>
      </c>
      <c r="AD2" s="1425" t="s">
        <v>184</v>
      </c>
      <c r="AE2" s="1425" t="s">
        <v>313</v>
      </c>
      <c r="AF2" s="1426" t="s">
        <v>370</v>
      </c>
      <c r="AG2" s="1425" t="s">
        <v>372</v>
      </c>
      <c r="AH2" s="1780" t="s">
        <v>373</v>
      </c>
      <c r="AJ2" s="1788" t="s">
        <v>1912</v>
      </c>
      <c r="AK2" s="1425" t="s">
        <v>1922</v>
      </c>
      <c r="AL2" s="1784" t="s">
        <v>1918</v>
      </c>
      <c r="AN2" s="1314"/>
      <c r="AO2" s="1314"/>
      <c r="AP2" s="1314"/>
      <c r="AQ2" s="1314"/>
      <c r="AR2" s="1314"/>
      <c r="AS2" s="1314"/>
      <c r="AT2" s="1314"/>
      <c r="AU2" s="1314"/>
      <c r="AV2" s="1314"/>
      <c r="AW2" s="1314"/>
      <c r="AX2" s="1314"/>
      <c r="AY2" s="1314"/>
      <c r="AZ2" s="1314"/>
      <c r="BA2" s="1314"/>
      <c r="BB2" s="1314"/>
      <c r="BC2" s="1314"/>
      <c r="BD2" s="1314"/>
      <c r="BE2" s="1314"/>
      <c r="BF2" s="1314"/>
      <c r="BK2" s="1314"/>
      <c r="BL2" s="1314"/>
      <c r="BM2" s="1314"/>
      <c r="BO2" s="1314"/>
      <c r="BP2" s="1314"/>
    </row>
    <row r="3" spans="1:133" s="3" customFormat="1" ht="54" customHeight="1" thickBot="1" x14ac:dyDescent="0.35">
      <c r="A3" s="1783"/>
      <c r="B3" s="1783"/>
      <c r="C3" s="1783"/>
      <c r="D3" s="1783"/>
      <c r="E3" s="1783"/>
      <c r="F3" s="735" t="s">
        <v>214</v>
      </c>
      <c r="G3" s="1783"/>
      <c r="H3" s="1781"/>
      <c r="I3" s="1781"/>
      <c r="J3" s="1787"/>
      <c r="K3" s="780" t="str">
        <f>'Valve List'!AG2</f>
        <v>Sh. 1</v>
      </c>
      <c r="L3" s="340" t="str">
        <f>'Valve List'!AH2</f>
        <v>Sh. 2</v>
      </c>
      <c r="M3" s="340" t="str">
        <f>'Valve List'!AI2</f>
        <v>Sh. 3</v>
      </c>
      <c r="N3" s="340" t="str">
        <f>'Valve List'!AJ2</f>
        <v>Sh. 4</v>
      </c>
      <c r="O3" s="340" t="str">
        <f>'Valve List'!AK2</f>
        <v>Sh. 5</v>
      </c>
      <c r="P3" s="340" t="str">
        <f>'Valve List'!AL2</f>
        <v>Sh. 6</v>
      </c>
      <c r="Q3" s="340" t="str">
        <f>'Valve List'!AM2</f>
        <v>Sh. 7</v>
      </c>
      <c r="R3" s="340" t="str">
        <f>'Valve List'!AN2</f>
        <v>Sh. 8</v>
      </c>
      <c r="S3" s="340" t="str">
        <f>'Valve List'!AO2</f>
        <v>Sh. 9</v>
      </c>
      <c r="T3" s="340" t="str">
        <f>'Valve List'!AP2</f>
        <v>Sh. 10</v>
      </c>
      <c r="U3" s="340" t="str">
        <f>'Valve List'!AQ2</f>
        <v>Sh. 11</v>
      </c>
      <c r="V3" s="340" t="str">
        <f>'Valve List'!AR2</f>
        <v>Sh. 12</v>
      </c>
      <c r="W3" s="340" t="str">
        <f>'Valve List'!AS2</f>
        <v>Sh. 13</v>
      </c>
      <c r="X3" s="340" t="str">
        <f>'Valve List'!AT2</f>
        <v>Sh. 14</v>
      </c>
      <c r="Y3" s="1007" t="str">
        <f>'Valve List'!AU2</f>
        <v>Sh. 15</v>
      </c>
      <c r="Z3" s="1009" t="s">
        <v>301</v>
      </c>
      <c r="AA3" s="1783"/>
      <c r="AB3" s="489" t="s">
        <v>1923</v>
      </c>
      <c r="AC3" s="489" t="s">
        <v>414</v>
      </c>
      <c r="AD3" s="489" t="s">
        <v>1924</v>
      </c>
      <c r="AE3" s="489" t="s">
        <v>222</v>
      </c>
      <c r="AF3" s="736" t="s">
        <v>1925</v>
      </c>
      <c r="AG3" s="489" t="s">
        <v>375</v>
      </c>
      <c r="AH3" s="1781"/>
      <c r="AJ3" s="1789"/>
      <c r="AK3" s="489" t="s">
        <v>414</v>
      </c>
      <c r="AL3" s="1785"/>
      <c r="AN3" s="1542" t="str">
        <f>List!P1</f>
        <v>FT</v>
      </c>
      <c r="AO3" s="1542" t="str">
        <f>List!R1</f>
        <v>FI</v>
      </c>
      <c r="AP3" s="1542" t="str">
        <f>List!S1</f>
        <v>LT</v>
      </c>
      <c r="AQ3" s="1542" t="str">
        <f>List!T1</f>
        <v>LI</v>
      </c>
      <c r="AR3" s="1542" t="str">
        <f>List!U1</f>
        <v>PT</v>
      </c>
      <c r="AS3" s="1542" t="str">
        <f>List!X1</f>
        <v>PI</v>
      </c>
      <c r="AT3" s="1542" t="s">
        <v>1926</v>
      </c>
      <c r="AU3" s="1542" t="s">
        <v>1927</v>
      </c>
      <c r="AV3" s="1542" t="str">
        <f>List!Y1</f>
        <v>TT</v>
      </c>
      <c r="AW3" s="1542" t="str">
        <f>List!Z1</f>
        <v>TE</v>
      </c>
      <c r="AX3" s="1542" t="str">
        <f>List!AA1</f>
        <v>TI</v>
      </c>
      <c r="AY3" s="1542" t="str">
        <f>List!AB1</f>
        <v>PSV</v>
      </c>
      <c r="AZ3" s="1542" t="str">
        <f>List!AC1</f>
        <v>CV</v>
      </c>
      <c r="BA3" s="1542" t="s">
        <v>1928</v>
      </c>
      <c r="BB3" s="1542" t="s">
        <v>1929</v>
      </c>
      <c r="BC3" s="1542" t="s">
        <v>1930</v>
      </c>
      <c r="BD3" s="1542" t="s">
        <v>1931</v>
      </c>
      <c r="BE3" s="1542" t="s">
        <v>1932</v>
      </c>
      <c r="BF3" s="1542" t="str">
        <f>List!AI1</f>
        <v>ESDV</v>
      </c>
      <c r="BH3" s="1544" t="s">
        <v>1933</v>
      </c>
      <c r="BI3" s="1544" t="s">
        <v>1934</v>
      </c>
      <c r="BK3" s="1542" t="s">
        <v>339</v>
      </c>
      <c r="BL3" s="1542" t="s">
        <v>341</v>
      </c>
      <c r="BM3" s="1542" t="s">
        <v>1935</v>
      </c>
      <c r="BO3" s="1542" t="s">
        <v>1936</v>
      </c>
      <c r="BP3" s="1542" t="s">
        <v>1937</v>
      </c>
      <c r="BR3" s="1542" t="str">
        <f>List!$BF$2</f>
        <v>Loose</v>
      </c>
      <c r="BS3" s="1542" t="str">
        <f>List!$BF$3</f>
        <v>SKID 1 MODULO PIANO 1</v>
      </c>
      <c r="BT3" s="1542" t="str">
        <f>List!$BF$4</f>
        <v>SKID 1 MODULO PIANO 2</v>
      </c>
      <c r="BU3" s="1542" t="str">
        <f>List!$BF$5</f>
        <v>SKID 2 MODULO PIANO 1</v>
      </c>
      <c r="BV3" s="1542" t="str">
        <f>List!$BF$6</f>
        <v>X</v>
      </c>
      <c r="BW3" s="1542" t="str">
        <f>List!$BF$7</f>
        <v>X</v>
      </c>
      <c r="BX3" s="1542" t="str">
        <f>List!$BF$8</f>
        <v>X</v>
      </c>
      <c r="BY3" s="1542" t="str">
        <f>List!$BF$9</f>
        <v>X</v>
      </c>
      <c r="BZ3" s="1542" t="str">
        <f>List!$BF$10</f>
        <v>X</v>
      </c>
      <c r="CA3" s="1542" t="str">
        <f>List!$BF$11</f>
        <v>X</v>
      </c>
      <c r="CB3" s="1542" t="str">
        <f>List!$BF$12</f>
        <v>X</v>
      </c>
      <c r="CC3" s="1542" t="str">
        <f>List!$BF$13</f>
        <v>X</v>
      </c>
      <c r="CD3" s="1542" t="str">
        <f>List!$BF$14</f>
        <v>X</v>
      </c>
      <c r="CE3" s="1542" t="str">
        <f>List!$BF$15</f>
        <v>X</v>
      </c>
      <c r="CF3" s="1542" t="str">
        <f>List!$BF$16</f>
        <v>X</v>
      </c>
      <c r="CG3" s="1542" t="str">
        <f>List!$BF$17</f>
        <v>X</v>
      </c>
      <c r="CH3" s="1542" t="s">
        <v>1905</v>
      </c>
      <c r="CI3" s="1542"/>
      <c r="CJ3" s="1542">
        <v>0.5</v>
      </c>
      <c r="CK3" s="1542">
        <v>0.75</v>
      </c>
      <c r="CL3" s="1542">
        <v>1</v>
      </c>
      <c r="CM3" s="1542">
        <v>1.5</v>
      </c>
      <c r="CN3" s="1542">
        <v>2</v>
      </c>
      <c r="CO3" s="1542">
        <v>2.5</v>
      </c>
      <c r="CP3" s="1542">
        <v>3</v>
      </c>
      <c r="CQ3" s="1542">
        <v>4</v>
      </c>
      <c r="CR3" s="1542">
        <v>6</v>
      </c>
      <c r="CS3" s="1542">
        <v>8</v>
      </c>
      <c r="CT3" s="1542">
        <v>10</v>
      </c>
      <c r="CU3" s="1542">
        <v>12</v>
      </c>
      <c r="CV3" s="1542">
        <v>14</v>
      </c>
      <c r="CW3" s="1542">
        <v>16</v>
      </c>
      <c r="CX3" s="1542">
        <v>18</v>
      </c>
      <c r="CY3" s="1542">
        <v>20</v>
      </c>
      <c r="CZ3" s="1542">
        <v>22</v>
      </c>
      <c r="DA3" s="1542">
        <v>24</v>
      </c>
      <c r="DB3" s="1218">
        <v>26</v>
      </c>
      <c r="DC3" s="1218">
        <v>28</v>
      </c>
      <c r="DD3" s="1218">
        <v>30</v>
      </c>
      <c r="DE3" s="1218">
        <v>32</v>
      </c>
      <c r="DF3" s="1218">
        <v>34</v>
      </c>
      <c r="DG3" s="1218">
        <v>36</v>
      </c>
      <c r="DH3" s="1218">
        <v>38</v>
      </c>
      <c r="DI3" s="1218">
        <v>40</v>
      </c>
      <c r="DJ3" s="1218">
        <v>42</v>
      </c>
      <c r="DK3" s="1218"/>
      <c r="DM3" s="1542" t="s">
        <v>1938</v>
      </c>
      <c r="DN3" s="804"/>
      <c r="DO3" s="1542" t="s">
        <v>1939</v>
      </c>
      <c r="DQ3" s="1542" t="str">
        <f>List!$BH$2</f>
        <v>CS-150#</v>
      </c>
      <c r="DR3" s="1542" t="str">
        <f>List!$BH$3</f>
        <v>SS-300#</v>
      </c>
      <c r="DS3" s="1542" t="str">
        <f>List!$BH$4</f>
        <v>X</v>
      </c>
      <c r="DT3" s="1542" t="str">
        <f>List!$BH$5</f>
        <v>X</v>
      </c>
      <c r="DU3" s="1542" t="str">
        <f>List!$BH$6</f>
        <v>X</v>
      </c>
      <c r="DV3" s="1542" t="str">
        <f>List!$BH$7</f>
        <v>X</v>
      </c>
      <c r="DW3" s="1542" t="str">
        <f>List!$BH$8</f>
        <v>X</v>
      </c>
      <c r="DX3" s="1542" t="str">
        <f>List!$BH$9</f>
        <v>X</v>
      </c>
      <c r="DY3" s="1542" t="str">
        <f>List!$BH$10</f>
        <v>X</v>
      </c>
      <c r="DZ3" s="1542" t="str">
        <f>List!$BH$11</f>
        <v>X</v>
      </c>
      <c r="EA3" s="1542" t="str">
        <f>List!$BH$12</f>
        <v>X</v>
      </c>
      <c r="EB3" s="1542" t="str">
        <f>List!$BH$13</f>
        <v>X</v>
      </c>
      <c r="EC3" s="1542" t="str">
        <f>List!$BH$14</f>
        <v>X</v>
      </c>
    </row>
    <row r="4" spans="1:133" x14ac:dyDescent="0.3">
      <c r="A4" s="123">
        <v>1</v>
      </c>
      <c r="B4" s="679" t="s">
        <v>1940</v>
      </c>
      <c r="C4" s="679" t="s">
        <v>1941</v>
      </c>
      <c r="D4" s="679"/>
      <c r="E4" s="679" t="s">
        <v>67</v>
      </c>
      <c r="F4" s="690">
        <f>'Instrument List'!$F$14</f>
        <v>4</v>
      </c>
      <c r="G4" s="326" t="str">
        <f>IFERROR(VLOOKUP(E4,'Piping Class'!$90:$102,7,0),"")</f>
        <v>SS</v>
      </c>
      <c r="H4" s="326">
        <f>IFERROR(VLOOKUP(E4,'Piping Class'!$90:$102,2,0),"")</f>
        <v>300</v>
      </c>
      <c r="I4" s="679"/>
      <c r="J4" s="778" t="str">
        <f t="shared" ref="J4:J43" si="0">IF(C4=0,"",IFERROR(VLOOKUP(C4,$AJ:$AL,3,0),""))</f>
        <v>-</v>
      </c>
      <c r="K4" s="1367">
        <v>3</v>
      </c>
      <c r="L4" s="679"/>
      <c r="M4" s="679"/>
      <c r="N4" s="679"/>
      <c r="O4" s="679"/>
      <c r="P4" s="679"/>
      <c r="Q4" s="679"/>
      <c r="R4" s="679"/>
      <c r="S4" s="679"/>
      <c r="T4" s="689"/>
      <c r="U4" s="689"/>
      <c r="V4" s="689"/>
      <c r="W4" s="689"/>
      <c r="X4" s="689"/>
      <c r="Y4" s="689"/>
      <c r="Z4" s="270">
        <f t="shared" ref="Z4:Z43" si="1">SUM(K4:Y4)</f>
        <v>3</v>
      </c>
      <c r="AA4" s="863" t="s">
        <v>1664</v>
      </c>
      <c r="AB4" s="326">
        <f t="shared" ref="AB4:AB43" si="2">IFERROR(VLOOKUP(C4,$AJ:$AL,2,0),"")</f>
        <v>1</v>
      </c>
      <c r="AC4" s="326">
        <f t="shared" ref="AC4:AC43" si="3">IFERROR(AB4*Z4,"")</f>
        <v>3</v>
      </c>
      <c r="AD4" s="1367">
        <v>5</v>
      </c>
      <c r="AE4" s="326">
        <f>AD4*Z4</f>
        <v>15</v>
      </c>
      <c r="AF4" s="1371">
        <v>100</v>
      </c>
      <c r="AG4" s="1316">
        <f>AF4*Z4</f>
        <v>300</v>
      </c>
      <c r="AH4" s="1373" t="s">
        <v>1942</v>
      </c>
      <c r="AJ4" s="123" t="s">
        <v>1943</v>
      </c>
      <c r="AK4" s="679"/>
      <c r="AL4" s="330" t="s">
        <v>339</v>
      </c>
      <c r="AN4" s="1545">
        <f t="shared" ref="AN4:AN39" si="4">IF($B4=AN$3,1,0)</f>
        <v>0</v>
      </c>
      <c r="AO4" s="1545">
        <f t="shared" ref="AO4:BF19" si="5">IF($B4=AO$3,1,0)</f>
        <v>0</v>
      </c>
      <c r="AP4" s="1545">
        <f t="shared" si="5"/>
        <v>0</v>
      </c>
      <c r="AQ4" s="1545">
        <f t="shared" si="5"/>
        <v>0</v>
      </c>
      <c r="AR4" s="1545">
        <f t="shared" si="5"/>
        <v>0</v>
      </c>
      <c r="AS4" s="1545">
        <f t="shared" si="5"/>
        <v>1</v>
      </c>
      <c r="AT4" s="1545">
        <f t="shared" si="5"/>
        <v>0</v>
      </c>
      <c r="AU4" s="1545">
        <f t="shared" si="5"/>
        <v>0</v>
      </c>
      <c r="AV4" s="1545">
        <f t="shared" si="5"/>
        <v>0</v>
      </c>
      <c r="AW4" s="1545">
        <f t="shared" si="5"/>
        <v>0</v>
      </c>
      <c r="AX4" s="1545">
        <f t="shared" si="5"/>
        <v>0</v>
      </c>
      <c r="AY4" s="1545">
        <f t="shared" si="5"/>
        <v>0</v>
      </c>
      <c r="AZ4" s="1545">
        <f t="shared" si="5"/>
        <v>0</v>
      </c>
      <c r="BA4" s="1545">
        <f t="shared" si="5"/>
        <v>0</v>
      </c>
      <c r="BB4" s="1545">
        <f t="shared" si="5"/>
        <v>0</v>
      </c>
      <c r="BC4" s="1545">
        <f t="shared" si="5"/>
        <v>0</v>
      </c>
      <c r="BD4" s="1545">
        <f t="shared" si="5"/>
        <v>0</v>
      </c>
      <c r="BE4" s="1545">
        <f t="shared" si="5"/>
        <v>0</v>
      </c>
      <c r="BF4" s="1545">
        <f t="shared" si="5"/>
        <v>0</v>
      </c>
      <c r="BH4" s="1546">
        <f>IF($C4=BH$3,1,0)</f>
        <v>0</v>
      </c>
      <c r="BI4" s="1546">
        <f>IF($C4=BI$3,1,0)</f>
        <v>0</v>
      </c>
      <c r="BK4" s="1545">
        <f>IF($J4=BK$3,1,0)</f>
        <v>0</v>
      </c>
      <c r="BL4" s="1545">
        <f>IF($J4=BL$3,1,0)</f>
        <v>0</v>
      </c>
      <c r="BM4" s="1545">
        <f>BL4+BK4</f>
        <v>0</v>
      </c>
      <c r="BO4" s="1545">
        <f>IF($I4=BO$3,1,0)</f>
        <v>0</v>
      </c>
      <c r="BP4" s="1545">
        <f>IF($I4=BP$3,1,0)</f>
        <v>0</v>
      </c>
      <c r="BR4" s="1546">
        <f>IF(BR$3="X",0,IF($AA4=BR$3,1,0))</f>
        <v>0</v>
      </c>
      <c r="BS4" s="1546">
        <f t="shared" ref="BS4:CG19" si="6">IF(BS$3="X",0,IF($AA4=BS$3,1,0))</f>
        <v>0</v>
      </c>
      <c r="BT4" s="1546">
        <f t="shared" si="6"/>
        <v>0</v>
      </c>
      <c r="BU4" s="1546">
        <f t="shared" si="6"/>
        <v>0</v>
      </c>
      <c r="BV4" s="1546">
        <f t="shared" si="6"/>
        <v>0</v>
      </c>
      <c r="BW4" s="1546">
        <f t="shared" si="6"/>
        <v>0</v>
      </c>
      <c r="BX4" s="1546">
        <f t="shared" si="6"/>
        <v>0</v>
      </c>
      <c r="BY4" s="1546">
        <f t="shared" si="6"/>
        <v>0</v>
      </c>
      <c r="BZ4" s="1546">
        <f t="shared" si="6"/>
        <v>0</v>
      </c>
      <c r="CA4" s="1546">
        <f t="shared" si="6"/>
        <v>0</v>
      </c>
      <c r="CB4" s="1546">
        <f t="shared" si="6"/>
        <v>0</v>
      </c>
      <c r="CC4" s="1546">
        <f t="shared" si="6"/>
        <v>0</v>
      </c>
      <c r="CD4" s="1546">
        <f t="shared" si="6"/>
        <v>0</v>
      </c>
      <c r="CE4" s="1546">
        <f t="shared" si="6"/>
        <v>0</v>
      </c>
      <c r="CF4" s="1546">
        <f t="shared" si="6"/>
        <v>0</v>
      </c>
      <c r="CG4" s="1546">
        <f t="shared" si="6"/>
        <v>0</v>
      </c>
      <c r="CH4" s="1546">
        <f>IF(CH$3="X",0,IF($AA4="",1,0))</f>
        <v>0</v>
      </c>
      <c r="CJ4" s="1546">
        <f>IF(CJ$3=0,0,IF($F4=CJ$3,1,0))</f>
        <v>0</v>
      </c>
      <c r="CK4" s="1546">
        <f t="shared" ref="CK4:DA18" si="7">IF(CK$3=0,0,IF($F4=CK$3,1,0))</f>
        <v>0</v>
      </c>
      <c r="CL4" s="1546">
        <f t="shared" si="7"/>
        <v>0</v>
      </c>
      <c r="CM4" s="1546">
        <f t="shared" si="7"/>
        <v>0</v>
      </c>
      <c r="CN4" s="1546">
        <f t="shared" si="7"/>
        <v>0</v>
      </c>
      <c r="CO4" s="1546">
        <f t="shared" si="7"/>
        <v>0</v>
      </c>
      <c r="CP4" s="1546">
        <f t="shared" si="7"/>
        <v>0</v>
      </c>
      <c r="CQ4" s="1546">
        <f t="shared" si="7"/>
        <v>1</v>
      </c>
      <c r="CR4" s="1546">
        <f t="shared" si="7"/>
        <v>0</v>
      </c>
      <c r="CS4" s="1546">
        <f t="shared" si="7"/>
        <v>0</v>
      </c>
      <c r="CT4" s="1546">
        <f t="shared" si="7"/>
        <v>0</v>
      </c>
      <c r="CU4" s="1546">
        <f t="shared" si="7"/>
        <v>0</v>
      </c>
      <c r="CV4" s="1546">
        <f t="shared" si="7"/>
        <v>0</v>
      </c>
      <c r="CW4" s="1546">
        <f t="shared" si="7"/>
        <v>0</v>
      </c>
      <c r="CX4" s="1546">
        <f t="shared" si="7"/>
        <v>0</v>
      </c>
      <c r="CY4" s="1546">
        <f t="shared" si="7"/>
        <v>0</v>
      </c>
      <c r="CZ4" s="1546">
        <f t="shared" si="7"/>
        <v>0</v>
      </c>
      <c r="DA4" s="1546">
        <f t="shared" si="7"/>
        <v>0</v>
      </c>
      <c r="DB4" s="1546">
        <f>IF(DB$3=0,0,IF($F4=DB$3,1,0))</f>
        <v>0</v>
      </c>
      <c r="DC4" s="1546">
        <f t="shared" ref="DB4:DJ18" si="8">IF(DC$3=0,0,IF($F4=DC$3,1,0))</f>
        <v>0</v>
      </c>
      <c r="DD4" s="1546">
        <f t="shared" si="8"/>
        <v>0</v>
      </c>
      <c r="DE4" s="1546">
        <f t="shared" si="8"/>
        <v>0</v>
      </c>
      <c r="DF4" s="1546">
        <f t="shared" si="8"/>
        <v>0</v>
      </c>
      <c r="DG4" s="1546">
        <f t="shared" si="8"/>
        <v>0</v>
      </c>
      <c r="DH4" s="1546">
        <f t="shared" si="8"/>
        <v>0</v>
      </c>
      <c r="DI4" s="1546">
        <f t="shared" si="8"/>
        <v>0</v>
      </c>
      <c r="DJ4" s="1546">
        <f t="shared" si="8"/>
        <v>0</v>
      </c>
      <c r="DK4" s="3"/>
      <c r="DM4" s="1546">
        <f>SUM(AN4:AO4,AY4:BF4)</f>
        <v>0</v>
      </c>
      <c r="DN4" s="3"/>
      <c r="DO4" s="1546">
        <f>SUM(AY4:BF4)</f>
        <v>0</v>
      </c>
      <c r="DQ4" s="1546">
        <f>IF(DQ$3="X",0,IF($E4=DQ$3,1,0))</f>
        <v>0</v>
      </c>
      <c r="DR4" s="1546">
        <f t="shared" ref="DR4:EC19" si="9">IF(DR$3="X",0,IF($E4=DR$3,1,0))</f>
        <v>1</v>
      </c>
      <c r="DS4" s="1546">
        <f t="shared" si="9"/>
        <v>0</v>
      </c>
      <c r="DT4" s="1546">
        <f t="shared" si="9"/>
        <v>0</v>
      </c>
      <c r="DU4" s="1546">
        <f t="shared" si="9"/>
        <v>0</v>
      </c>
      <c r="DV4" s="1546">
        <f t="shared" si="9"/>
        <v>0</v>
      </c>
      <c r="DW4" s="1546">
        <f t="shared" si="9"/>
        <v>0</v>
      </c>
      <c r="DX4" s="1546">
        <f t="shared" si="9"/>
        <v>0</v>
      </c>
      <c r="DY4" s="1546">
        <f t="shared" si="9"/>
        <v>0</v>
      </c>
      <c r="DZ4" s="1546">
        <f t="shared" si="9"/>
        <v>0</v>
      </c>
      <c r="EA4" s="1546">
        <f t="shared" si="9"/>
        <v>0</v>
      </c>
      <c r="EB4" s="1546">
        <f t="shared" si="9"/>
        <v>0</v>
      </c>
      <c r="EC4" s="1546">
        <f t="shared" si="9"/>
        <v>0</v>
      </c>
    </row>
    <row r="5" spans="1:133" x14ac:dyDescent="0.3">
      <c r="A5" s="91">
        <v>2</v>
      </c>
      <c r="B5" s="680" t="s">
        <v>1944</v>
      </c>
      <c r="C5" s="680" t="s">
        <v>1945</v>
      </c>
      <c r="D5" s="680"/>
      <c r="E5" s="680" t="s">
        <v>67</v>
      </c>
      <c r="F5" s="683">
        <f>'Instrument List'!$F$14</f>
        <v>4</v>
      </c>
      <c r="G5" s="21" t="str">
        <f>IFERROR(VLOOKUP(E5,'Piping Class'!$90:$102,7,0),"")</f>
        <v>SS</v>
      </c>
      <c r="H5" s="21">
        <f>IFERROR(VLOOKUP(E5,'Piping Class'!$90:$102,2,0),"")</f>
        <v>300</v>
      </c>
      <c r="I5" s="680"/>
      <c r="J5" s="611" t="str">
        <f t="shared" si="0"/>
        <v>IN</v>
      </c>
      <c r="K5" s="1368">
        <v>3</v>
      </c>
      <c r="L5" s="680"/>
      <c r="M5" s="680"/>
      <c r="N5" s="680"/>
      <c r="O5" s="680"/>
      <c r="P5" s="680"/>
      <c r="Q5" s="680"/>
      <c r="R5" s="680"/>
      <c r="S5" s="680"/>
      <c r="T5" s="684"/>
      <c r="U5" s="684"/>
      <c r="V5" s="684"/>
      <c r="W5" s="684"/>
      <c r="X5" s="684"/>
      <c r="Y5" s="684"/>
      <c r="Z5" s="271">
        <f t="shared" si="1"/>
        <v>3</v>
      </c>
      <c r="AA5" s="865" t="s">
        <v>1664</v>
      </c>
      <c r="AB5" s="21">
        <f t="shared" si="2"/>
        <v>2</v>
      </c>
      <c r="AC5" s="21">
        <f t="shared" si="3"/>
        <v>6</v>
      </c>
      <c r="AD5" s="1368">
        <v>15</v>
      </c>
      <c r="AE5" s="21">
        <f t="shared" ref="AE5:AE57" si="10">AD5*Z5</f>
        <v>45</v>
      </c>
      <c r="AF5" s="1371">
        <v>750</v>
      </c>
      <c r="AG5" s="1317">
        <f t="shared" ref="AG5:AG23" si="11">AF5*Z5</f>
        <v>2250</v>
      </c>
      <c r="AH5" s="1373" t="s">
        <v>1942</v>
      </c>
      <c r="AJ5" s="91" t="s">
        <v>1946</v>
      </c>
      <c r="AK5" s="680"/>
      <c r="AL5" s="331" t="s">
        <v>339</v>
      </c>
      <c r="AN5" s="1545">
        <f t="shared" si="4"/>
        <v>0</v>
      </c>
      <c r="AO5" s="1545">
        <f t="shared" si="5"/>
        <v>0</v>
      </c>
      <c r="AP5" s="1545">
        <f t="shared" si="5"/>
        <v>0</v>
      </c>
      <c r="AQ5" s="1545">
        <f t="shared" si="5"/>
        <v>0</v>
      </c>
      <c r="AR5" s="1545">
        <f t="shared" si="5"/>
        <v>1</v>
      </c>
      <c r="AS5" s="1545">
        <f t="shared" si="5"/>
        <v>0</v>
      </c>
      <c r="AT5" s="1545">
        <f t="shared" si="5"/>
        <v>0</v>
      </c>
      <c r="AU5" s="1545">
        <f t="shared" si="5"/>
        <v>0</v>
      </c>
      <c r="AV5" s="1545">
        <f t="shared" si="5"/>
        <v>0</v>
      </c>
      <c r="AW5" s="1545">
        <f t="shared" si="5"/>
        <v>0</v>
      </c>
      <c r="AX5" s="1545">
        <f t="shared" si="5"/>
        <v>0</v>
      </c>
      <c r="AY5" s="1545">
        <f t="shared" si="5"/>
        <v>0</v>
      </c>
      <c r="AZ5" s="1545">
        <f t="shared" si="5"/>
        <v>0</v>
      </c>
      <c r="BA5" s="1545">
        <f t="shared" si="5"/>
        <v>0</v>
      </c>
      <c r="BB5" s="1545">
        <f t="shared" si="5"/>
        <v>0</v>
      </c>
      <c r="BC5" s="1545">
        <f t="shared" si="5"/>
        <v>0</v>
      </c>
      <c r="BD5" s="1545">
        <f t="shared" si="5"/>
        <v>0</v>
      </c>
      <c r="BE5" s="1545">
        <f t="shared" si="5"/>
        <v>0</v>
      </c>
      <c r="BF5" s="1545">
        <f t="shared" si="5"/>
        <v>0</v>
      </c>
      <c r="BH5" s="1546">
        <f t="shared" ref="BH5:BI43" si="12">IF($C5=BH$3,1,0)</f>
        <v>0</v>
      </c>
      <c r="BI5" s="1546">
        <f t="shared" si="12"/>
        <v>0</v>
      </c>
      <c r="BK5" s="1545">
        <f t="shared" ref="BK5:BL43" si="13">IF($J5=BK$3,1,0)</f>
        <v>1</v>
      </c>
      <c r="BL5" s="1545">
        <f t="shared" si="13"/>
        <v>0</v>
      </c>
      <c r="BM5" s="1545">
        <f t="shared" ref="BM5:BM43" si="14">BL5+BK5</f>
        <v>1</v>
      </c>
      <c r="BO5" s="1545">
        <f t="shared" ref="BO5:BP42" si="15">IF($I5=BO$3,1,0)</f>
        <v>0</v>
      </c>
      <c r="BP5" s="1545">
        <f t="shared" si="15"/>
        <v>0</v>
      </c>
      <c r="BR5" s="1546">
        <f t="shared" ref="BR5:CG34" si="16">IF(BR$3="X",0,IF($AA5=BR$3,1,0))</f>
        <v>0</v>
      </c>
      <c r="BS5" s="1546">
        <f t="shared" si="6"/>
        <v>0</v>
      </c>
      <c r="BT5" s="1546">
        <f t="shared" si="6"/>
        <v>0</v>
      </c>
      <c r="BU5" s="1546">
        <f t="shared" si="6"/>
        <v>0</v>
      </c>
      <c r="BV5" s="1546">
        <f t="shared" si="6"/>
        <v>0</v>
      </c>
      <c r="BW5" s="1546">
        <f t="shared" si="6"/>
        <v>0</v>
      </c>
      <c r="BX5" s="1546">
        <f t="shared" si="6"/>
        <v>0</v>
      </c>
      <c r="BY5" s="1546">
        <f t="shared" si="6"/>
        <v>0</v>
      </c>
      <c r="BZ5" s="1546">
        <f t="shared" si="6"/>
        <v>0</v>
      </c>
      <c r="CA5" s="1546">
        <f t="shared" si="6"/>
        <v>0</v>
      </c>
      <c r="CB5" s="1546">
        <f t="shared" si="6"/>
        <v>0</v>
      </c>
      <c r="CC5" s="1546">
        <f t="shared" si="6"/>
        <v>0</v>
      </c>
      <c r="CD5" s="1546">
        <f t="shared" si="6"/>
        <v>0</v>
      </c>
      <c r="CE5" s="1546">
        <f t="shared" si="6"/>
        <v>0</v>
      </c>
      <c r="CF5" s="1546">
        <f t="shared" si="6"/>
        <v>0</v>
      </c>
      <c r="CG5" s="1546">
        <f t="shared" si="6"/>
        <v>0</v>
      </c>
      <c r="CH5" s="1546">
        <f t="shared" ref="CH5:CH43" si="17">IF(CH$3="X",0,IF($AA5="",1,0))</f>
        <v>0</v>
      </c>
      <c r="CJ5" s="1546">
        <f t="shared" ref="CJ5:CY34" si="18">IF(CJ$3=0,0,IF($F5=CJ$3,1,0))</f>
        <v>0</v>
      </c>
      <c r="CK5" s="1546">
        <f t="shared" si="7"/>
        <v>0</v>
      </c>
      <c r="CL5" s="1546">
        <f t="shared" si="7"/>
        <v>0</v>
      </c>
      <c r="CM5" s="1546">
        <f t="shared" si="7"/>
        <v>0</v>
      </c>
      <c r="CN5" s="1546">
        <f t="shared" si="7"/>
        <v>0</v>
      </c>
      <c r="CO5" s="1546">
        <f t="shared" si="7"/>
        <v>0</v>
      </c>
      <c r="CP5" s="1546">
        <f t="shared" si="7"/>
        <v>0</v>
      </c>
      <c r="CQ5" s="1546">
        <f t="shared" si="7"/>
        <v>1</v>
      </c>
      <c r="CR5" s="1546">
        <f t="shared" si="7"/>
        <v>0</v>
      </c>
      <c r="CS5" s="1546">
        <f t="shared" si="7"/>
        <v>0</v>
      </c>
      <c r="CT5" s="1546">
        <f t="shared" si="7"/>
        <v>0</v>
      </c>
      <c r="CU5" s="1546">
        <f t="shared" si="7"/>
        <v>0</v>
      </c>
      <c r="CV5" s="1546">
        <f t="shared" si="7"/>
        <v>0</v>
      </c>
      <c r="CW5" s="1546">
        <f t="shared" si="7"/>
        <v>0</v>
      </c>
      <c r="CX5" s="1546">
        <f t="shared" si="7"/>
        <v>0</v>
      </c>
      <c r="CY5" s="1546">
        <f t="shared" si="7"/>
        <v>0</v>
      </c>
      <c r="CZ5" s="1546">
        <f t="shared" si="7"/>
        <v>0</v>
      </c>
      <c r="DA5" s="1546">
        <f t="shared" si="7"/>
        <v>0</v>
      </c>
      <c r="DB5" s="1546">
        <f t="shared" si="8"/>
        <v>0</v>
      </c>
      <c r="DC5" s="1546">
        <f t="shared" si="8"/>
        <v>0</v>
      </c>
      <c r="DD5" s="1546">
        <f t="shared" si="8"/>
        <v>0</v>
      </c>
      <c r="DE5" s="1546">
        <f t="shared" si="8"/>
        <v>0</v>
      </c>
      <c r="DF5" s="1546">
        <f t="shared" si="8"/>
        <v>0</v>
      </c>
      <c r="DG5" s="1546">
        <f t="shared" si="8"/>
        <v>0</v>
      </c>
      <c r="DH5" s="1546">
        <f t="shared" si="8"/>
        <v>0</v>
      </c>
      <c r="DI5" s="1546">
        <f t="shared" si="8"/>
        <v>0</v>
      </c>
      <c r="DJ5" s="1546">
        <f t="shared" si="8"/>
        <v>0</v>
      </c>
      <c r="DK5" s="3"/>
      <c r="DM5" s="1546">
        <f t="shared" ref="DM5:DM43" si="19">SUM(AN5:AO5,AY5:BF5)</f>
        <v>0</v>
      </c>
      <c r="DN5" s="3"/>
      <c r="DO5" s="1546">
        <f t="shared" ref="DO5:DO43" si="20">SUM(AY5:BF5)</f>
        <v>0</v>
      </c>
      <c r="DQ5" s="1546">
        <f t="shared" ref="DQ5:EC38" si="21">IF(DQ$3="X",0,IF($E5=DQ$3,1,0))</f>
        <v>0</v>
      </c>
      <c r="DR5" s="1546">
        <f t="shared" si="9"/>
        <v>1</v>
      </c>
      <c r="DS5" s="1546">
        <f t="shared" si="9"/>
        <v>0</v>
      </c>
      <c r="DT5" s="1546">
        <f t="shared" si="9"/>
        <v>0</v>
      </c>
      <c r="DU5" s="1546">
        <f t="shared" si="9"/>
        <v>0</v>
      </c>
      <c r="DV5" s="1546">
        <f t="shared" si="9"/>
        <v>0</v>
      </c>
      <c r="DW5" s="1546">
        <f t="shared" si="9"/>
        <v>0</v>
      </c>
      <c r="DX5" s="1546">
        <f t="shared" si="9"/>
        <v>0</v>
      </c>
      <c r="DY5" s="1546">
        <f t="shared" si="9"/>
        <v>0</v>
      </c>
      <c r="DZ5" s="1546">
        <f t="shared" si="9"/>
        <v>0</v>
      </c>
      <c r="EA5" s="1546">
        <f t="shared" si="9"/>
        <v>0</v>
      </c>
      <c r="EB5" s="1546">
        <f t="shared" si="9"/>
        <v>0</v>
      </c>
      <c r="EC5" s="1546">
        <f t="shared" si="9"/>
        <v>0</v>
      </c>
    </row>
    <row r="6" spans="1:133" x14ac:dyDescent="0.3">
      <c r="A6" s="91">
        <v>3</v>
      </c>
      <c r="B6" s="680" t="s">
        <v>1926</v>
      </c>
      <c r="C6" s="680" t="s">
        <v>1947</v>
      </c>
      <c r="D6" s="680"/>
      <c r="E6" s="680" t="s">
        <v>67</v>
      </c>
      <c r="F6" s="683">
        <f>'Instrument List'!$F$14</f>
        <v>4</v>
      </c>
      <c r="G6" s="21" t="str">
        <f>IFERROR(VLOOKUP(E6,'Piping Class'!$90:$102,7,0),"")</f>
        <v>SS</v>
      </c>
      <c r="H6" s="21">
        <f>IFERROR(VLOOKUP(E6,'Piping Class'!$90:$102,2,0),"")</f>
        <v>300</v>
      </c>
      <c r="I6" s="680"/>
      <c r="J6" s="611" t="str">
        <f t="shared" si="0"/>
        <v>IN</v>
      </c>
      <c r="K6" s="1369">
        <v>1</v>
      </c>
      <c r="L6" s="680"/>
      <c r="M6" s="680"/>
      <c r="N6" s="680"/>
      <c r="O6" s="680"/>
      <c r="P6" s="680"/>
      <c r="Q6" s="680"/>
      <c r="R6" s="680"/>
      <c r="S6" s="680"/>
      <c r="T6" s="684"/>
      <c r="U6" s="684"/>
      <c r="V6" s="684"/>
      <c r="W6" s="684"/>
      <c r="X6" s="684"/>
      <c r="Y6" s="684"/>
      <c r="Z6" s="271">
        <f t="shared" si="1"/>
        <v>1</v>
      </c>
      <c r="AA6" s="865" t="s">
        <v>1664</v>
      </c>
      <c r="AB6" s="21">
        <f t="shared" si="2"/>
        <v>2</v>
      </c>
      <c r="AC6" s="21">
        <f t="shared" si="3"/>
        <v>2</v>
      </c>
      <c r="AD6" s="1368">
        <v>15</v>
      </c>
      <c r="AE6" s="21">
        <f t="shared" si="10"/>
        <v>15</v>
      </c>
      <c r="AF6" s="1372">
        <v>1650</v>
      </c>
      <c r="AG6" s="1317">
        <f t="shared" si="11"/>
        <v>1650</v>
      </c>
      <c r="AH6" s="1374" t="s">
        <v>1942</v>
      </c>
      <c r="AJ6" s="91" t="s">
        <v>1948</v>
      </c>
      <c r="AK6" s="680">
        <v>0.5</v>
      </c>
      <c r="AL6" s="331" t="s">
        <v>339</v>
      </c>
      <c r="AN6" s="1545">
        <f t="shared" si="4"/>
        <v>0</v>
      </c>
      <c r="AO6" s="1545">
        <f t="shared" si="5"/>
        <v>0</v>
      </c>
      <c r="AP6" s="1545">
        <f t="shared" si="5"/>
        <v>0</v>
      </c>
      <c r="AQ6" s="1545">
        <f t="shared" si="5"/>
        <v>0</v>
      </c>
      <c r="AR6" s="1545">
        <f t="shared" si="5"/>
        <v>0</v>
      </c>
      <c r="AS6" s="1545">
        <f t="shared" si="5"/>
        <v>0</v>
      </c>
      <c r="AT6" s="1545">
        <f t="shared" si="5"/>
        <v>1</v>
      </c>
      <c r="AU6" s="1545">
        <f t="shared" si="5"/>
        <v>0</v>
      </c>
      <c r="AV6" s="1545">
        <f t="shared" si="5"/>
        <v>0</v>
      </c>
      <c r="AW6" s="1545">
        <f t="shared" si="5"/>
        <v>0</v>
      </c>
      <c r="AX6" s="1545">
        <f t="shared" si="5"/>
        <v>0</v>
      </c>
      <c r="AY6" s="1545">
        <f t="shared" si="5"/>
        <v>0</v>
      </c>
      <c r="AZ6" s="1545">
        <f t="shared" si="5"/>
        <v>0</v>
      </c>
      <c r="BA6" s="1545">
        <f t="shared" si="5"/>
        <v>0</v>
      </c>
      <c r="BB6" s="1545">
        <f t="shared" si="5"/>
        <v>0</v>
      </c>
      <c r="BC6" s="1545">
        <f t="shared" si="5"/>
        <v>0</v>
      </c>
      <c r="BD6" s="1545">
        <f t="shared" si="5"/>
        <v>0</v>
      </c>
      <c r="BE6" s="1545">
        <f t="shared" si="5"/>
        <v>0</v>
      </c>
      <c r="BF6" s="1545">
        <f t="shared" si="5"/>
        <v>0</v>
      </c>
      <c r="BH6" s="1546">
        <f t="shared" si="12"/>
        <v>0</v>
      </c>
      <c r="BI6" s="1546">
        <f t="shared" si="12"/>
        <v>0</v>
      </c>
      <c r="BK6" s="1545">
        <f t="shared" si="13"/>
        <v>1</v>
      </c>
      <c r="BL6" s="1545">
        <f t="shared" si="13"/>
        <v>0</v>
      </c>
      <c r="BM6" s="1545">
        <f t="shared" si="14"/>
        <v>1</v>
      </c>
      <c r="BO6" s="1545">
        <f t="shared" si="15"/>
        <v>0</v>
      </c>
      <c r="BP6" s="1545">
        <f t="shared" si="15"/>
        <v>0</v>
      </c>
      <c r="BR6" s="1546">
        <f t="shared" si="16"/>
        <v>0</v>
      </c>
      <c r="BS6" s="1546">
        <f t="shared" si="6"/>
        <v>0</v>
      </c>
      <c r="BT6" s="1546">
        <f t="shared" si="6"/>
        <v>0</v>
      </c>
      <c r="BU6" s="1546">
        <f t="shared" si="6"/>
        <v>0</v>
      </c>
      <c r="BV6" s="1546">
        <f t="shared" si="6"/>
        <v>0</v>
      </c>
      <c r="BW6" s="1546">
        <f t="shared" si="6"/>
        <v>0</v>
      </c>
      <c r="BX6" s="1546">
        <f t="shared" si="6"/>
        <v>0</v>
      </c>
      <c r="BY6" s="1546">
        <f t="shared" si="6"/>
        <v>0</v>
      </c>
      <c r="BZ6" s="1546">
        <f t="shared" si="6"/>
        <v>0</v>
      </c>
      <c r="CA6" s="1546">
        <f t="shared" si="6"/>
        <v>0</v>
      </c>
      <c r="CB6" s="1546">
        <f t="shared" si="6"/>
        <v>0</v>
      </c>
      <c r="CC6" s="1546">
        <f t="shared" si="6"/>
        <v>0</v>
      </c>
      <c r="CD6" s="1546">
        <f t="shared" si="6"/>
        <v>0</v>
      </c>
      <c r="CE6" s="1546">
        <f t="shared" si="6"/>
        <v>0</v>
      </c>
      <c r="CF6" s="1546">
        <f t="shared" si="6"/>
        <v>0</v>
      </c>
      <c r="CG6" s="1546">
        <f t="shared" si="6"/>
        <v>0</v>
      </c>
      <c r="CH6" s="1546">
        <f t="shared" si="17"/>
        <v>0</v>
      </c>
      <c r="CJ6" s="1546">
        <f t="shared" si="18"/>
        <v>0</v>
      </c>
      <c r="CK6" s="1546">
        <f t="shared" si="7"/>
        <v>0</v>
      </c>
      <c r="CL6" s="1546">
        <f t="shared" si="7"/>
        <v>0</v>
      </c>
      <c r="CM6" s="1546">
        <f t="shared" si="7"/>
        <v>0</v>
      </c>
      <c r="CN6" s="1546">
        <f t="shared" si="7"/>
        <v>0</v>
      </c>
      <c r="CO6" s="1546">
        <f t="shared" si="7"/>
        <v>0</v>
      </c>
      <c r="CP6" s="1546">
        <f t="shared" si="7"/>
        <v>0</v>
      </c>
      <c r="CQ6" s="1546">
        <f t="shared" si="7"/>
        <v>1</v>
      </c>
      <c r="CR6" s="1546">
        <f t="shared" si="7"/>
        <v>0</v>
      </c>
      <c r="CS6" s="1546">
        <f t="shared" si="7"/>
        <v>0</v>
      </c>
      <c r="CT6" s="1546">
        <f t="shared" si="7"/>
        <v>0</v>
      </c>
      <c r="CU6" s="1546">
        <f t="shared" si="7"/>
        <v>0</v>
      </c>
      <c r="CV6" s="1546">
        <f t="shared" si="7"/>
        <v>0</v>
      </c>
      <c r="CW6" s="1546">
        <f t="shared" si="7"/>
        <v>0</v>
      </c>
      <c r="CX6" s="1546">
        <f t="shared" si="7"/>
        <v>0</v>
      </c>
      <c r="CY6" s="1546">
        <f t="shared" si="7"/>
        <v>0</v>
      </c>
      <c r="CZ6" s="1546">
        <f t="shared" si="7"/>
        <v>0</v>
      </c>
      <c r="DA6" s="1546">
        <f t="shared" si="7"/>
        <v>0</v>
      </c>
      <c r="DB6" s="1546">
        <f t="shared" si="8"/>
        <v>0</v>
      </c>
      <c r="DC6" s="1546">
        <f t="shared" si="8"/>
        <v>0</v>
      </c>
      <c r="DD6" s="1546">
        <f t="shared" si="8"/>
        <v>0</v>
      </c>
      <c r="DE6" s="1546">
        <f t="shared" si="8"/>
        <v>0</v>
      </c>
      <c r="DF6" s="1546">
        <f t="shared" si="8"/>
        <v>0</v>
      </c>
      <c r="DG6" s="1546">
        <f t="shared" si="8"/>
        <v>0</v>
      </c>
      <c r="DH6" s="1546">
        <f t="shared" si="8"/>
        <v>0</v>
      </c>
      <c r="DI6" s="1546">
        <f t="shared" si="8"/>
        <v>0</v>
      </c>
      <c r="DJ6" s="1546">
        <f t="shared" si="8"/>
        <v>0</v>
      </c>
      <c r="DK6" s="3"/>
      <c r="DM6" s="1546">
        <f t="shared" si="19"/>
        <v>0</v>
      </c>
      <c r="DN6" s="3"/>
      <c r="DO6" s="1546">
        <f t="shared" si="20"/>
        <v>0</v>
      </c>
      <c r="DQ6" s="1546">
        <f t="shared" si="21"/>
        <v>0</v>
      </c>
      <c r="DR6" s="1546">
        <f t="shared" si="9"/>
        <v>1</v>
      </c>
      <c r="DS6" s="1546">
        <f t="shared" si="9"/>
        <v>0</v>
      </c>
      <c r="DT6" s="1546">
        <f t="shared" si="9"/>
        <v>0</v>
      </c>
      <c r="DU6" s="1546">
        <f t="shared" si="9"/>
        <v>0</v>
      </c>
      <c r="DV6" s="1546">
        <f t="shared" si="9"/>
        <v>0</v>
      </c>
      <c r="DW6" s="1546">
        <f t="shared" si="9"/>
        <v>0</v>
      </c>
      <c r="DX6" s="1546">
        <f t="shared" si="9"/>
        <v>0</v>
      </c>
      <c r="DY6" s="1546">
        <f t="shared" si="9"/>
        <v>0</v>
      </c>
      <c r="DZ6" s="1546">
        <f t="shared" si="9"/>
        <v>0</v>
      </c>
      <c r="EA6" s="1546">
        <f t="shared" si="9"/>
        <v>0</v>
      </c>
      <c r="EB6" s="1546">
        <f t="shared" si="9"/>
        <v>0</v>
      </c>
      <c r="EC6" s="1546">
        <f t="shared" si="9"/>
        <v>0</v>
      </c>
    </row>
    <row r="7" spans="1:133" ht="16.5" customHeight="1" x14ac:dyDescent="0.3">
      <c r="A7" s="91">
        <v>4</v>
      </c>
      <c r="B7" s="680" t="s">
        <v>1949</v>
      </c>
      <c r="C7" s="680" t="s">
        <v>1950</v>
      </c>
      <c r="D7" s="680"/>
      <c r="E7" s="680" t="s">
        <v>67</v>
      </c>
      <c r="F7" s="683">
        <v>0.75</v>
      </c>
      <c r="G7" s="21" t="str">
        <f>IFERROR(VLOOKUP(E7,'Piping Class'!$90:$102,7,0),"")</f>
        <v>SS</v>
      </c>
      <c r="H7" s="21">
        <f>IFERROR(VLOOKUP(E7,'Piping Class'!$90:$102,2,0),"")</f>
        <v>300</v>
      </c>
      <c r="I7" s="680"/>
      <c r="J7" s="611" t="str">
        <f t="shared" si="0"/>
        <v>-</v>
      </c>
      <c r="K7" s="1368">
        <v>6</v>
      </c>
      <c r="L7" s="680"/>
      <c r="M7" s="680"/>
      <c r="N7" s="680"/>
      <c r="O7" s="680"/>
      <c r="P7" s="680"/>
      <c r="Q7" s="680"/>
      <c r="R7" s="680"/>
      <c r="S7" s="680"/>
      <c r="T7" s="684"/>
      <c r="U7" s="684"/>
      <c r="V7" s="684"/>
      <c r="W7" s="684"/>
      <c r="X7" s="684"/>
      <c r="Y7" s="684"/>
      <c r="Z7" s="271">
        <f t="shared" si="1"/>
        <v>6</v>
      </c>
      <c r="AA7" s="865" t="s">
        <v>1664</v>
      </c>
      <c r="AB7" s="21">
        <f t="shared" si="2"/>
        <v>0.5</v>
      </c>
      <c r="AC7" s="21">
        <f t="shared" si="3"/>
        <v>3</v>
      </c>
      <c r="AD7" s="1368">
        <v>12</v>
      </c>
      <c r="AE7" s="21">
        <f t="shared" si="10"/>
        <v>72</v>
      </c>
      <c r="AF7" s="1371">
        <v>268</v>
      </c>
      <c r="AG7" s="1317">
        <f t="shared" si="11"/>
        <v>1608</v>
      </c>
      <c r="AH7" s="1373" t="s">
        <v>1942</v>
      </c>
      <c r="AJ7" s="91" t="s">
        <v>1951</v>
      </c>
      <c r="AK7" s="680"/>
      <c r="AL7" s="331" t="s">
        <v>339</v>
      </c>
      <c r="AN7" s="1545">
        <f t="shared" si="4"/>
        <v>0</v>
      </c>
      <c r="AO7" s="1545">
        <f t="shared" si="5"/>
        <v>0</v>
      </c>
      <c r="AP7" s="1545">
        <f t="shared" si="5"/>
        <v>0</v>
      </c>
      <c r="AQ7" s="1545">
        <f t="shared" si="5"/>
        <v>0</v>
      </c>
      <c r="AR7" s="1545">
        <f t="shared" si="5"/>
        <v>0</v>
      </c>
      <c r="AS7" s="1545">
        <f t="shared" si="5"/>
        <v>0</v>
      </c>
      <c r="AT7" s="1545">
        <f t="shared" si="5"/>
        <v>0</v>
      </c>
      <c r="AU7" s="1545">
        <f t="shared" si="5"/>
        <v>0</v>
      </c>
      <c r="AV7" s="1545">
        <f t="shared" si="5"/>
        <v>0</v>
      </c>
      <c r="AW7" s="1545">
        <f t="shared" si="5"/>
        <v>0</v>
      </c>
      <c r="AX7" s="1545">
        <f t="shared" si="5"/>
        <v>1</v>
      </c>
      <c r="AY7" s="1545">
        <f t="shared" si="5"/>
        <v>0</v>
      </c>
      <c r="AZ7" s="1545">
        <f t="shared" si="5"/>
        <v>0</v>
      </c>
      <c r="BA7" s="1545">
        <f t="shared" si="5"/>
        <v>0</v>
      </c>
      <c r="BB7" s="1545">
        <f t="shared" si="5"/>
        <v>0</v>
      </c>
      <c r="BC7" s="1545">
        <f t="shared" si="5"/>
        <v>0</v>
      </c>
      <c r="BD7" s="1545">
        <f t="shared" si="5"/>
        <v>0</v>
      </c>
      <c r="BE7" s="1545">
        <f t="shared" si="5"/>
        <v>0</v>
      </c>
      <c r="BF7" s="1545">
        <f t="shared" si="5"/>
        <v>0</v>
      </c>
      <c r="BH7" s="1546">
        <f t="shared" si="12"/>
        <v>0</v>
      </c>
      <c r="BI7" s="1546">
        <f t="shared" si="12"/>
        <v>0</v>
      </c>
      <c r="BK7" s="1545">
        <f t="shared" si="13"/>
        <v>0</v>
      </c>
      <c r="BL7" s="1545">
        <f t="shared" si="13"/>
        <v>0</v>
      </c>
      <c r="BM7" s="1545">
        <f t="shared" si="14"/>
        <v>0</v>
      </c>
      <c r="BO7" s="1545">
        <f t="shared" si="15"/>
        <v>0</v>
      </c>
      <c r="BP7" s="1545">
        <f t="shared" si="15"/>
        <v>0</v>
      </c>
      <c r="BR7" s="1546">
        <f t="shared" si="16"/>
        <v>0</v>
      </c>
      <c r="BS7" s="1546">
        <f t="shared" si="6"/>
        <v>0</v>
      </c>
      <c r="BT7" s="1546">
        <f t="shared" si="6"/>
        <v>0</v>
      </c>
      <c r="BU7" s="1546">
        <f t="shared" si="6"/>
        <v>0</v>
      </c>
      <c r="BV7" s="1546">
        <f t="shared" si="6"/>
        <v>0</v>
      </c>
      <c r="BW7" s="1546">
        <f t="shared" si="6"/>
        <v>0</v>
      </c>
      <c r="BX7" s="1546">
        <f t="shared" si="6"/>
        <v>0</v>
      </c>
      <c r="BY7" s="1546">
        <f t="shared" si="6"/>
        <v>0</v>
      </c>
      <c r="BZ7" s="1546">
        <f t="shared" si="6"/>
        <v>0</v>
      </c>
      <c r="CA7" s="1546">
        <f t="shared" si="6"/>
        <v>0</v>
      </c>
      <c r="CB7" s="1546">
        <f t="shared" si="6"/>
        <v>0</v>
      </c>
      <c r="CC7" s="1546">
        <f t="shared" si="6"/>
        <v>0</v>
      </c>
      <c r="CD7" s="1546">
        <f t="shared" si="6"/>
        <v>0</v>
      </c>
      <c r="CE7" s="1546">
        <f t="shared" si="6"/>
        <v>0</v>
      </c>
      <c r="CF7" s="1546">
        <f t="shared" si="6"/>
        <v>0</v>
      </c>
      <c r="CG7" s="1546">
        <f t="shared" si="6"/>
        <v>0</v>
      </c>
      <c r="CH7" s="1546">
        <f t="shared" si="17"/>
        <v>0</v>
      </c>
      <c r="CJ7" s="1546">
        <f t="shared" si="18"/>
        <v>0</v>
      </c>
      <c r="CK7" s="1546">
        <f t="shared" si="7"/>
        <v>1</v>
      </c>
      <c r="CL7" s="1546">
        <f t="shared" si="7"/>
        <v>0</v>
      </c>
      <c r="CM7" s="1546">
        <f t="shared" si="7"/>
        <v>0</v>
      </c>
      <c r="CN7" s="1546">
        <f t="shared" si="7"/>
        <v>0</v>
      </c>
      <c r="CO7" s="1546">
        <f t="shared" si="7"/>
        <v>0</v>
      </c>
      <c r="CP7" s="1546">
        <f t="shared" si="7"/>
        <v>0</v>
      </c>
      <c r="CQ7" s="1546">
        <f t="shared" si="7"/>
        <v>0</v>
      </c>
      <c r="CR7" s="1546">
        <f t="shared" si="7"/>
        <v>0</v>
      </c>
      <c r="CS7" s="1546">
        <f t="shared" si="7"/>
        <v>0</v>
      </c>
      <c r="CT7" s="1546">
        <f t="shared" si="7"/>
        <v>0</v>
      </c>
      <c r="CU7" s="1546">
        <f t="shared" si="7"/>
        <v>0</v>
      </c>
      <c r="CV7" s="1546">
        <f t="shared" si="7"/>
        <v>0</v>
      </c>
      <c r="CW7" s="1546">
        <f t="shared" si="7"/>
        <v>0</v>
      </c>
      <c r="CX7" s="1546">
        <f t="shared" si="7"/>
        <v>0</v>
      </c>
      <c r="CY7" s="1546">
        <f t="shared" si="7"/>
        <v>0</v>
      </c>
      <c r="CZ7" s="1546">
        <f t="shared" si="7"/>
        <v>0</v>
      </c>
      <c r="DA7" s="1546">
        <f t="shared" si="7"/>
        <v>0</v>
      </c>
      <c r="DB7" s="1546">
        <f t="shared" si="8"/>
        <v>0</v>
      </c>
      <c r="DC7" s="1546">
        <f t="shared" si="8"/>
        <v>0</v>
      </c>
      <c r="DD7" s="1546">
        <f t="shared" si="8"/>
        <v>0</v>
      </c>
      <c r="DE7" s="1546">
        <f t="shared" si="8"/>
        <v>0</v>
      </c>
      <c r="DF7" s="1546">
        <f t="shared" si="8"/>
        <v>0</v>
      </c>
      <c r="DG7" s="1546">
        <f t="shared" si="8"/>
        <v>0</v>
      </c>
      <c r="DH7" s="1546">
        <f t="shared" si="8"/>
        <v>0</v>
      </c>
      <c r="DI7" s="1546">
        <f t="shared" si="8"/>
        <v>0</v>
      </c>
      <c r="DJ7" s="1546">
        <f t="shared" si="8"/>
        <v>0</v>
      </c>
      <c r="DK7" s="3"/>
      <c r="DM7" s="1546">
        <f t="shared" si="19"/>
        <v>0</v>
      </c>
      <c r="DN7" s="3"/>
      <c r="DO7" s="1546">
        <f t="shared" si="20"/>
        <v>0</v>
      </c>
      <c r="DQ7" s="1546">
        <f t="shared" si="21"/>
        <v>0</v>
      </c>
      <c r="DR7" s="1546">
        <f t="shared" si="9"/>
        <v>1</v>
      </c>
      <c r="DS7" s="1546">
        <f t="shared" si="9"/>
        <v>0</v>
      </c>
      <c r="DT7" s="1546">
        <f t="shared" si="9"/>
        <v>0</v>
      </c>
      <c r="DU7" s="1546">
        <f t="shared" si="9"/>
        <v>0</v>
      </c>
      <c r="DV7" s="1546">
        <f t="shared" si="9"/>
        <v>0</v>
      </c>
      <c r="DW7" s="1546">
        <f t="shared" si="9"/>
        <v>0</v>
      </c>
      <c r="DX7" s="1546">
        <f t="shared" si="9"/>
        <v>0</v>
      </c>
      <c r="DY7" s="1546">
        <f t="shared" si="9"/>
        <v>0</v>
      </c>
      <c r="DZ7" s="1546">
        <f t="shared" si="9"/>
        <v>0</v>
      </c>
      <c r="EA7" s="1546">
        <f t="shared" si="9"/>
        <v>0</v>
      </c>
      <c r="EB7" s="1546">
        <f t="shared" si="9"/>
        <v>0</v>
      </c>
      <c r="EC7" s="1546">
        <f t="shared" si="9"/>
        <v>0</v>
      </c>
    </row>
    <row r="8" spans="1:133" x14ac:dyDescent="0.3">
      <c r="A8" s="91">
        <v>5</v>
      </c>
      <c r="B8" s="680" t="s">
        <v>1952</v>
      </c>
      <c r="C8" s="680" t="s">
        <v>1953</v>
      </c>
      <c r="D8" s="680"/>
      <c r="E8" s="680" t="s">
        <v>67</v>
      </c>
      <c r="F8" s="683">
        <v>0.75</v>
      </c>
      <c r="G8" s="21" t="str">
        <f>IFERROR(VLOOKUP(E8,'Piping Class'!$90:$102,7,0),"")</f>
        <v>SS</v>
      </c>
      <c r="H8" s="21">
        <f>IFERROR(VLOOKUP(E8,'Piping Class'!$90:$102,2,0),"")</f>
        <v>300</v>
      </c>
      <c r="I8" s="680"/>
      <c r="J8" s="611" t="str">
        <f t="shared" si="0"/>
        <v>IN</v>
      </c>
      <c r="K8" s="1368">
        <v>4</v>
      </c>
      <c r="L8" s="680"/>
      <c r="M8" s="680"/>
      <c r="N8" s="680"/>
      <c r="O8" s="680"/>
      <c r="P8" s="680"/>
      <c r="Q8" s="680"/>
      <c r="R8" s="680"/>
      <c r="S8" s="680"/>
      <c r="T8" s="684"/>
      <c r="U8" s="684"/>
      <c r="V8" s="684"/>
      <c r="W8" s="684"/>
      <c r="X8" s="684"/>
      <c r="Y8" s="684"/>
      <c r="Z8" s="271">
        <f t="shared" si="1"/>
        <v>4</v>
      </c>
      <c r="AA8" s="865" t="s">
        <v>1664</v>
      </c>
      <c r="AB8" s="21">
        <f t="shared" si="2"/>
        <v>2</v>
      </c>
      <c r="AC8" s="21">
        <f t="shared" si="3"/>
        <v>8</v>
      </c>
      <c r="AD8" s="1368">
        <v>15</v>
      </c>
      <c r="AE8" s="21">
        <f t="shared" si="10"/>
        <v>60</v>
      </c>
      <c r="AF8" s="1371">
        <v>1200</v>
      </c>
      <c r="AG8" s="1317">
        <f t="shared" si="11"/>
        <v>4800</v>
      </c>
      <c r="AH8" s="1375" t="s">
        <v>1942</v>
      </c>
      <c r="AJ8" s="91" t="s">
        <v>1954</v>
      </c>
      <c r="AK8" s="680"/>
      <c r="AL8" s="331" t="s">
        <v>339</v>
      </c>
      <c r="AN8" s="1545">
        <f t="shared" si="4"/>
        <v>0</v>
      </c>
      <c r="AO8" s="1545">
        <f t="shared" si="5"/>
        <v>0</v>
      </c>
      <c r="AP8" s="1545">
        <f t="shared" si="5"/>
        <v>0</v>
      </c>
      <c r="AQ8" s="1545">
        <f t="shared" si="5"/>
        <v>0</v>
      </c>
      <c r="AR8" s="1545">
        <f t="shared" si="5"/>
        <v>0</v>
      </c>
      <c r="AS8" s="1545">
        <f t="shared" si="5"/>
        <v>0</v>
      </c>
      <c r="AT8" s="1545">
        <f t="shared" si="5"/>
        <v>0</v>
      </c>
      <c r="AU8" s="1545">
        <f t="shared" si="5"/>
        <v>0</v>
      </c>
      <c r="AV8" s="1545">
        <f t="shared" si="5"/>
        <v>1</v>
      </c>
      <c r="AW8" s="1545">
        <f t="shared" si="5"/>
        <v>0</v>
      </c>
      <c r="AX8" s="1545">
        <f t="shared" si="5"/>
        <v>0</v>
      </c>
      <c r="AY8" s="1545">
        <f t="shared" si="5"/>
        <v>0</v>
      </c>
      <c r="AZ8" s="1545">
        <f t="shared" si="5"/>
        <v>0</v>
      </c>
      <c r="BA8" s="1545">
        <f t="shared" si="5"/>
        <v>0</v>
      </c>
      <c r="BB8" s="1545">
        <f t="shared" si="5"/>
        <v>0</v>
      </c>
      <c r="BC8" s="1545">
        <f t="shared" si="5"/>
        <v>0</v>
      </c>
      <c r="BD8" s="1545">
        <f t="shared" si="5"/>
        <v>0</v>
      </c>
      <c r="BE8" s="1545">
        <f t="shared" si="5"/>
        <v>0</v>
      </c>
      <c r="BF8" s="1545">
        <f t="shared" si="5"/>
        <v>0</v>
      </c>
      <c r="BH8" s="1546">
        <f t="shared" si="12"/>
        <v>0</v>
      </c>
      <c r="BI8" s="1546">
        <f t="shared" si="12"/>
        <v>0</v>
      </c>
      <c r="BK8" s="1545">
        <f t="shared" si="13"/>
        <v>1</v>
      </c>
      <c r="BL8" s="1545">
        <f t="shared" si="13"/>
        <v>0</v>
      </c>
      <c r="BM8" s="1545">
        <f t="shared" si="14"/>
        <v>1</v>
      </c>
      <c r="BO8" s="1545">
        <f t="shared" si="15"/>
        <v>0</v>
      </c>
      <c r="BP8" s="1545">
        <f t="shared" si="15"/>
        <v>0</v>
      </c>
      <c r="BR8" s="1546">
        <f t="shared" si="16"/>
        <v>0</v>
      </c>
      <c r="BS8" s="1546">
        <f t="shared" si="6"/>
        <v>0</v>
      </c>
      <c r="BT8" s="1546">
        <f t="shared" si="6"/>
        <v>0</v>
      </c>
      <c r="BU8" s="1546">
        <f t="shared" si="6"/>
        <v>0</v>
      </c>
      <c r="BV8" s="1546">
        <f t="shared" si="6"/>
        <v>0</v>
      </c>
      <c r="BW8" s="1546">
        <f t="shared" si="6"/>
        <v>0</v>
      </c>
      <c r="BX8" s="1546">
        <f t="shared" si="6"/>
        <v>0</v>
      </c>
      <c r="BY8" s="1546">
        <f t="shared" si="6"/>
        <v>0</v>
      </c>
      <c r="BZ8" s="1546">
        <f t="shared" si="6"/>
        <v>0</v>
      </c>
      <c r="CA8" s="1546">
        <f t="shared" si="6"/>
        <v>0</v>
      </c>
      <c r="CB8" s="1546">
        <f t="shared" si="6"/>
        <v>0</v>
      </c>
      <c r="CC8" s="1546">
        <f t="shared" si="6"/>
        <v>0</v>
      </c>
      <c r="CD8" s="1546">
        <f t="shared" si="6"/>
        <v>0</v>
      </c>
      <c r="CE8" s="1546">
        <f t="shared" si="6"/>
        <v>0</v>
      </c>
      <c r="CF8" s="1546">
        <f t="shared" si="6"/>
        <v>0</v>
      </c>
      <c r="CG8" s="1546">
        <f t="shared" si="6"/>
        <v>0</v>
      </c>
      <c r="CH8" s="1546">
        <f t="shared" si="17"/>
        <v>0</v>
      </c>
      <c r="CJ8" s="1546">
        <f t="shared" si="18"/>
        <v>0</v>
      </c>
      <c r="CK8" s="1546">
        <f t="shared" si="7"/>
        <v>1</v>
      </c>
      <c r="CL8" s="1546">
        <f t="shared" si="7"/>
        <v>0</v>
      </c>
      <c r="CM8" s="1546">
        <f t="shared" si="7"/>
        <v>0</v>
      </c>
      <c r="CN8" s="1546">
        <f t="shared" si="7"/>
        <v>0</v>
      </c>
      <c r="CO8" s="1546">
        <f t="shared" si="7"/>
        <v>0</v>
      </c>
      <c r="CP8" s="1546">
        <f t="shared" si="7"/>
        <v>0</v>
      </c>
      <c r="CQ8" s="1546">
        <f t="shared" si="7"/>
        <v>0</v>
      </c>
      <c r="CR8" s="1546">
        <f t="shared" si="7"/>
        <v>0</v>
      </c>
      <c r="CS8" s="1546">
        <f t="shared" si="7"/>
        <v>0</v>
      </c>
      <c r="CT8" s="1546">
        <f t="shared" si="7"/>
        <v>0</v>
      </c>
      <c r="CU8" s="1546">
        <f t="shared" si="7"/>
        <v>0</v>
      </c>
      <c r="CV8" s="1546">
        <f t="shared" si="7"/>
        <v>0</v>
      </c>
      <c r="CW8" s="1546">
        <f t="shared" si="7"/>
        <v>0</v>
      </c>
      <c r="CX8" s="1546">
        <f t="shared" si="7"/>
        <v>0</v>
      </c>
      <c r="CY8" s="1546">
        <f t="shared" si="7"/>
        <v>0</v>
      </c>
      <c r="CZ8" s="1546">
        <f t="shared" si="7"/>
        <v>0</v>
      </c>
      <c r="DA8" s="1546">
        <f t="shared" si="7"/>
        <v>0</v>
      </c>
      <c r="DB8" s="1546">
        <f t="shared" si="8"/>
        <v>0</v>
      </c>
      <c r="DC8" s="1546">
        <f t="shared" si="8"/>
        <v>0</v>
      </c>
      <c r="DD8" s="1546">
        <f t="shared" si="8"/>
        <v>0</v>
      </c>
      <c r="DE8" s="1546">
        <f t="shared" si="8"/>
        <v>0</v>
      </c>
      <c r="DF8" s="1546">
        <f t="shared" si="8"/>
        <v>0</v>
      </c>
      <c r="DG8" s="1546">
        <f t="shared" si="8"/>
        <v>0</v>
      </c>
      <c r="DH8" s="1546">
        <f t="shared" si="8"/>
        <v>0</v>
      </c>
      <c r="DI8" s="1546">
        <f t="shared" si="8"/>
        <v>0</v>
      </c>
      <c r="DJ8" s="1546">
        <f t="shared" si="8"/>
        <v>0</v>
      </c>
      <c r="DK8" s="3"/>
      <c r="DM8" s="1546">
        <f t="shared" si="19"/>
        <v>0</v>
      </c>
      <c r="DN8" s="3"/>
      <c r="DO8" s="1546">
        <f t="shared" si="20"/>
        <v>0</v>
      </c>
      <c r="DQ8" s="1546">
        <f t="shared" si="21"/>
        <v>0</v>
      </c>
      <c r="DR8" s="1546">
        <f t="shared" si="9"/>
        <v>1</v>
      </c>
      <c r="DS8" s="1546">
        <f t="shared" si="9"/>
        <v>0</v>
      </c>
      <c r="DT8" s="1546">
        <f t="shared" si="9"/>
        <v>0</v>
      </c>
      <c r="DU8" s="1546">
        <f t="shared" si="9"/>
        <v>0</v>
      </c>
      <c r="DV8" s="1546">
        <f t="shared" si="9"/>
        <v>0</v>
      </c>
      <c r="DW8" s="1546">
        <f t="shared" si="9"/>
        <v>0</v>
      </c>
      <c r="DX8" s="1546">
        <f t="shared" si="9"/>
        <v>0</v>
      </c>
      <c r="DY8" s="1546">
        <f t="shared" si="9"/>
        <v>0</v>
      </c>
      <c r="DZ8" s="1546">
        <f t="shared" si="9"/>
        <v>0</v>
      </c>
      <c r="EA8" s="1546">
        <f t="shared" si="9"/>
        <v>0</v>
      </c>
      <c r="EB8" s="1546">
        <f t="shared" si="9"/>
        <v>0</v>
      </c>
      <c r="EC8" s="1546">
        <f t="shared" si="9"/>
        <v>0</v>
      </c>
    </row>
    <row r="9" spans="1:133" x14ac:dyDescent="0.3">
      <c r="A9" s="91">
        <v>6</v>
      </c>
      <c r="B9" s="680" t="s">
        <v>1955</v>
      </c>
      <c r="C9" s="680" t="s">
        <v>1956</v>
      </c>
      <c r="D9" s="680"/>
      <c r="E9" s="680" t="s">
        <v>67</v>
      </c>
      <c r="F9" s="683">
        <v>1</v>
      </c>
      <c r="G9" s="21" t="str">
        <f>IFERROR(VLOOKUP(E9,'Piping Class'!$90:$102,7,0),"")</f>
        <v>SS</v>
      </c>
      <c r="H9" s="21">
        <f>IFERROR(VLOOKUP(E9,'Piping Class'!$90:$102,2,0),"")</f>
        <v>300</v>
      </c>
      <c r="I9" s="680"/>
      <c r="J9" s="611" t="str">
        <f t="shared" si="0"/>
        <v>-</v>
      </c>
      <c r="K9" s="1368">
        <v>1</v>
      </c>
      <c r="L9" s="680"/>
      <c r="M9" s="680"/>
      <c r="N9" s="680"/>
      <c r="O9" s="680"/>
      <c r="P9" s="680"/>
      <c r="Q9" s="680"/>
      <c r="R9" s="680"/>
      <c r="S9" s="680"/>
      <c r="T9" s="684"/>
      <c r="U9" s="684"/>
      <c r="V9" s="684"/>
      <c r="W9" s="684"/>
      <c r="X9" s="684"/>
      <c r="Y9" s="684"/>
      <c r="Z9" s="271">
        <f t="shared" si="1"/>
        <v>1</v>
      </c>
      <c r="AA9" s="865" t="s">
        <v>1664</v>
      </c>
      <c r="AB9" s="21">
        <f t="shared" si="2"/>
        <v>1.5</v>
      </c>
      <c r="AC9" s="21">
        <f t="shared" si="3"/>
        <v>1.5</v>
      </c>
      <c r="AD9" s="1368">
        <v>25</v>
      </c>
      <c r="AE9" s="21">
        <f t="shared" si="10"/>
        <v>25</v>
      </c>
      <c r="AF9" s="1371">
        <v>4200</v>
      </c>
      <c r="AG9" s="1317">
        <f t="shared" si="11"/>
        <v>4200</v>
      </c>
      <c r="AH9" s="1375" t="s">
        <v>1942</v>
      </c>
      <c r="AJ9" s="91" t="s">
        <v>1957</v>
      </c>
      <c r="AK9" s="680"/>
      <c r="AL9" s="331" t="s">
        <v>339</v>
      </c>
      <c r="AN9" s="1545">
        <f t="shared" si="4"/>
        <v>0</v>
      </c>
      <c r="AO9" s="1545">
        <f t="shared" si="5"/>
        <v>0</v>
      </c>
      <c r="AP9" s="1545">
        <f t="shared" si="5"/>
        <v>0</v>
      </c>
      <c r="AQ9" s="1545">
        <f t="shared" si="5"/>
        <v>1</v>
      </c>
      <c r="AR9" s="1545">
        <f t="shared" si="5"/>
        <v>0</v>
      </c>
      <c r="AS9" s="1545">
        <f t="shared" si="5"/>
        <v>0</v>
      </c>
      <c r="AT9" s="1545">
        <f t="shared" si="5"/>
        <v>0</v>
      </c>
      <c r="AU9" s="1545">
        <f t="shared" si="5"/>
        <v>0</v>
      </c>
      <c r="AV9" s="1545">
        <f t="shared" si="5"/>
        <v>0</v>
      </c>
      <c r="AW9" s="1545">
        <f t="shared" si="5"/>
        <v>0</v>
      </c>
      <c r="AX9" s="1545">
        <f t="shared" si="5"/>
        <v>0</v>
      </c>
      <c r="AY9" s="1545">
        <f t="shared" si="5"/>
        <v>0</v>
      </c>
      <c r="AZ9" s="1545">
        <f t="shared" si="5"/>
        <v>0</v>
      </c>
      <c r="BA9" s="1545">
        <f t="shared" si="5"/>
        <v>0</v>
      </c>
      <c r="BB9" s="1545">
        <f t="shared" si="5"/>
        <v>0</v>
      </c>
      <c r="BC9" s="1545">
        <f t="shared" si="5"/>
        <v>0</v>
      </c>
      <c r="BD9" s="1545">
        <f t="shared" si="5"/>
        <v>0</v>
      </c>
      <c r="BE9" s="1545">
        <f t="shared" si="5"/>
        <v>0</v>
      </c>
      <c r="BF9" s="1545">
        <f t="shared" si="5"/>
        <v>0</v>
      </c>
      <c r="BH9" s="1546">
        <f t="shared" si="12"/>
        <v>0</v>
      </c>
      <c r="BI9" s="1546">
        <f t="shared" si="12"/>
        <v>0</v>
      </c>
      <c r="BK9" s="1545">
        <f t="shared" si="13"/>
        <v>0</v>
      </c>
      <c r="BL9" s="1545">
        <f t="shared" si="13"/>
        <v>0</v>
      </c>
      <c r="BM9" s="1545">
        <f t="shared" si="14"/>
        <v>0</v>
      </c>
      <c r="BO9" s="1545">
        <f t="shared" si="15"/>
        <v>0</v>
      </c>
      <c r="BP9" s="1545">
        <f t="shared" si="15"/>
        <v>0</v>
      </c>
      <c r="BR9" s="1546">
        <f t="shared" si="16"/>
        <v>0</v>
      </c>
      <c r="BS9" s="1546">
        <f t="shared" si="6"/>
        <v>0</v>
      </c>
      <c r="BT9" s="1546">
        <f t="shared" si="6"/>
        <v>0</v>
      </c>
      <c r="BU9" s="1546">
        <f t="shared" si="6"/>
        <v>0</v>
      </c>
      <c r="BV9" s="1546">
        <f t="shared" si="6"/>
        <v>0</v>
      </c>
      <c r="BW9" s="1546">
        <f t="shared" si="6"/>
        <v>0</v>
      </c>
      <c r="BX9" s="1546">
        <f t="shared" si="6"/>
        <v>0</v>
      </c>
      <c r="BY9" s="1546">
        <f t="shared" si="6"/>
        <v>0</v>
      </c>
      <c r="BZ9" s="1546">
        <f t="shared" si="6"/>
        <v>0</v>
      </c>
      <c r="CA9" s="1546">
        <f t="shared" si="6"/>
        <v>0</v>
      </c>
      <c r="CB9" s="1546">
        <f t="shared" si="6"/>
        <v>0</v>
      </c>
      <c r="CC9" s="1546">
        <f t="shared" si="6"/>
        <v>0</v>
      </c>
      <c r="CD9" s="1546">
        <f t="shared" si="6"/>
        <v>0</v>
      </c>
      <c r="CE9" s="1546">
        <f t="shared" si="6"/>
        <v>0</v>
      </c>
      <c r="CF9" s="1546">
        <f t="shared" si="6"/>
        <v>0</v>
      </c>
      <c r="CG9" s="1546">
        <f t="shared" si="6"/>
        <v>0</v>
      </c>
      <c r="CH9" s="1546">
        <f t="shared" si="17"/>
        <v>0</v>
      </c>
      <c r="CJ9" s="1546">
        <f t="shared" si="18"/>
        <v>0</v>
      </c>
      <c r="CK9" s="1546">
        <f t="shared" si="7"/>
        <v>0</v>
      </c>
      <c r="CL9" s="1546">
        <f t="shared" si="7"/>
        <v>1</v>
      </c>
      <c r="CM9" s="1546">
        <f t="shared" si="7"/>
        <v>0</v>
      </c>
      <c r="CN9" s="1546">
        <f t="shared" si="7"/>
        <v>0</v>
      </c>
      <c r="CO9" s="1546">
        <f t="shared" si="7"/>
        <v>0</v>
      </c>
      <c r="CP9" s="1546">
        <f t="shared" si="7"/>
        <v>0</v>
      </c>
      <c r="CQ9" s="1546">
        <f t="shared" si="7"/>
        <v>0</v>
      </c>
      <c r="CR9" s="1546">
        <f t="shared" si="7"/>
        <v>0</v>
      </c>
      <c r="CS9" s="1546">
        <f t="shared" si="7"/>
        <v>0</v>
      </c>
      <c r="CT9" s="1546">
        <f t="shared" si="7"/>
        <v>0</v>
      </c>
      <c r="CU9" s="1546">
        <f t="shared" si="7"/>
        <v>0</v>
      </c>
      <c r="CV9" s="1546">
        <f t="shared" si="7"/>
        <v>0</v>
      </c>
      <c r="CW9" s="1546">
        <f t="shared" si="7"/>
        <v>0</v>
      </c>
      <c r="CX9" s="1546">
        <f t="shared" si="7"/>
        <v>0</v>
      </c>
      <c r="CY9" s="1546">
        <f t="shared" si="7"/>
        <v>0</v>
      </c>
      <c r="CZ9" s="1546">
        <f t="shared" si="7"/>
        <v>0</v>
      </c>
      <c r="DA9" s="1546">
        <f t="shared" si="7"/>
        <v>0</v>
      </c>
      <c r="DB9" s="1546">
        <f t="shared" si="8"/>
        <v>0</v>
      </c>
      <c r="DC9" s="1546">
        <f t="shared" si="8"/>
        <v>0</v>
      </c>
      <c r="DD9" s="1546">
        <f t="shared" si="8"/>
        <v>0</v>
      </c>
      <c r="DE9" s="1546">
        <f t="shared" si="8"/>
        <v>0</v>
      </c>
      <c r="DF9" s="1546">
        <f t="shared" si="8"/>
        <v>0</v>
      </c>
      <c r="DG9" s="1546">
        <f t="shared" si="8"/>
        <v>0</v>
      </c>
      <c r="DH9" s="1546">
        <f t="shared" si="8"/>
        <v>0</v>
      </c>
      <c r="DI9" s="1546">
        <f t="shared" si="8"/>
        <v>0</v>
      </c>
      <c r="DJ9" s="1546">
        <f t="shared" si="8"/>
        <v>0</v>
      </c>
      <c r="DK9" s="3"/>
      <c r="DM9" s="1546">
        <f t="shared" si="19"/>
        <v>0</v>
      </c>
      <c r="DN9" s="3"/>
      <c r="DO9" s="1546">
        <f t="shared" si="20"/>
        <v>0</v>
      </c>
      <c r="DQ9" s="1546">
        <f t="shared" si="21"/>
        <v>0</v>
      </c>
      <c r="DR9" s="1546">
        <f t="shared" si="9"/>
        <v>1</v>
      </c>
      <c r="DS9" s="1546">
        <f t="shared" si="9"/>
        <v>0</v>
      </c>
      <c r="DT9" s="1546">
        <f t="shared" si="9"/>
        <v>0</v>
      </c>
      <c r="DU9" s="1546">
        <f t="shared" si="9"/>
        <v>0</v>
      </c>
      <c r="DV9" s="1546">
        <f t="shared" si="9"/>
        <v>0</v>
      </c>
      <c r="DW9" s="1546">
        <f t="shared" si="9"/>
        <v>0</v>
      </c>
      <c r="DX9" s="1546">
        <f t="shared" si="9"/>
        <v>0</v>
      </c>
      <c r="DY9" s="1546">
        <f t="shared" si="9"/>
        <v>0</v>
      </c>
      <c r="DZ9" s="1546">
        <f t="shared" si="9"/>
        <v>0</v>
      </c>
      <c r="EA9" s="1546">
        <f t="shared" si="9"/>
        <v>0</v>
      </c>
      <c r="EB9" s="1546">
        <f t="shared" si="9"/>
        <v>0</v>
      </c>
      <c r="EC9" s="1546">
        <f t="shared" si="9"/>
        <v>0</v>
      </c>
    </row>
    <row r="10" spans="1:133" x14ac:dyDescent="0.3">
      <c r="A10" s="91">
        <v>7</v>
      </c>
      <c r="B10" s="680" t="s">
        <v>1958</v>
      </c>
      <c r="C10" s="680" t="s">
        <v>1959</v>
      </c>
      <c r="D10" s="680"/>
      <c r="E10" s="680" t="s">
        <v>67</v>
      </c>
      <c r="F10" s="683">
        <v>1</v>
      </c>
      <c r="G10" s="21" t="str">
        <f>IFERROR(VLOOKUP(E10,'Piping Class'!$90:$102,7,0),"")</f>
        <v>SS</v>
      </c>
      <c r="H10" s="21">
        <f>IFERROR(VLOOKUP(E10,'Piping Class'!$90:$102,2,0),"")</f>
        <v>300</v>
      </c>
      <c r="I10" s="680"/>
      <c r="J10" s="611" t="str">
        <f t="shared" si="0"/>
        <v>-</v>
      </c>
      <c r="K10" s="1368">
        <v>0</v>
      </c>
      <c r="L10" s="680"/>
      <c r="M10" s="680"/>
      <c r="N10" s="680"/>
      <c r="O10" s="680"/>
      <c r="P10" s="680"/>
      <c r="Q10" s="680"/>
      <c r="R10" s="680"/>
      <c r="S10" s="680"/>
      <c r="T10" s="684"/>
      <c r="U10" s="684"/>
      <c r="V10" s="684"/>
      <c r="W10" s="684"/>
      <c r="X10" s="684"/>
      <c r="Y10" s="684"/>
      <c r="Z10" s="271">
        <f t="shared" si="1"/>
        <v>0</v>
      </c>
      <c r="AA10" s="865" t="s">
        <v>1664</v>
      </c>
      <c r="AB10" s="21">
        <f t="shared" si="2"/>
        <v>1.5</v>
      </c>
      <c r="AC10" s="21">
        <f t="shared" si="3"/>
        <v>0</v>
      </c>
      <c r="AD10" s="1368">
        <v>22</v>
      </c>
      <c r="AE10" s="21">
        <f t="shared" si="10"/>
        <v>0</v>
      </c>
      <c r="AF10" s="1371"/>
      <c r="AG10" s="1317">
        <f t="shared" si="11"/>
        <v>0</v>
      </c>
      <c r="AH10" s="1373"/>
      <c r="AJ10" s="91" t="s">
        <v>1960</v>
      </c>
      <c r="AK10" s="680"/>
      <c r="AL10" s="331" t="s">
        <v>339</v>
      </c>
      <c r="AN10" s="1545">
        <f t="shared" si="4"/>
        <v>0</v>
      </c>
      <c r="AO10" s="1545">
        <f t="shared" si="5"/>
        <v>0</v>
      </c>
      <c r="AP10" s="1545">
        <f t="shared" si="5"/>
        <v>1</v>
      </c>
      <c r="AQ10" s="1545">
        <f t="shared" si="5"/>
        <v>0</v>
      </c>
      <c r="AR10" s="1545">
        <f t="shared" si="5"/>
        <v>0</v>
      </c>
      <c r="AS10" s="1545">
        <f t="shared" si="5"/>
        <v>0</v>
      </c>
      <c r="AT10" s="1545">
        <f t="shared" si="5"/>
        <v>0</v>
      </c>
      <c r="AU10" s="1545">
        <f t="shared" si="5"/>
        <v>0</v>
      </c>
      <c r="AV10" s="1545">
        <f t="shared" si="5"/>
        <v>0</v>
      </c>
      <c r="AW10" s="1545">
        <f t="shared" si="5"/>
        <v>0</v>
      </c>
      <c r="AX10" s="1545">
        <f t="shared" si="5"/>
        <v>0</v>
      </c>
      <c r="AY10" s="1545">
        <f t="shared" si="5"/>
        <v>0</v>
      </c>
      <c r="AZ10" s="1545">
        <f t="shared" si="5"/>
        <v>0</v>
      </c>
      <c r="BA10" s="1545">
        <f t="shared" si="5"/>
        <v>0</v>
      </c>
      <c r="BB10" s="1545">
        <f t="shared" si="5"/>
        <v>0</v>
      </c>
      <c r="BC10" s="1545">
        <f t="shared" si="5"/>
        <v>0</v>
      </c>
      <c r="BD10" s="1545">
        <f t="shared" si="5"/>
        <v>0</v>
      </c>
      <c r="BE10" s="1545">
        <f t="shared" si="5"/>
        <v>0</v>
      </c>
      <c r="BF10" s="1545">
        <f t="shared" si="5"/>
        <v>0</v>
      </c>
      <c r="BH10" s="1546">
        <f t="shared" si="12"/>
        <v>0</v>
      </c>
      <c r="BI10" s="1546">
        <f t="shared" si="12"/>
        <v>0</v>
      </c>
      <c r="BK10" s="1545">
        <f t="shared" si="13"/>
        <v>0</v>
      </c>
      <c r="BL10" s="1545">
        <f t="shared" si="13"/>
        <v>0</v>
      </c>
      <c r="BM10" s="1545">
        <f t="shared" si="14"/>
        <v>0</v>
      </c>
      <c r="BO10" s="1545">
        <f t="shared" si="15"/>
        <v>0</v>
      </c>
      <c r="BP10" s="1545">
        <f t="shared" si="15"/>
        <v>0</v>
      </c>
      <c r="BR10" s="1546">
        <f t="shared" si="16"/>
        <v>0</v>
      </c>
      <c r="BS10" s="1546">
        <f t="shared" si="6"/>
        <v>0</v>
      </c>
      <c r="BT10" s="1546">
        <f t="shared" si="6"/>
        <v>0</v>
      </c>
      <c r="BU10" s="1546">
        <f t="shared" si="6"/>
        <v>0</v>
      </c>
      <c r="BV10" s="1546">
        <f t="shared" si="6"/>
        <v>0</v>
      </c>
      <c r="BW10" s="1546">
        <f t="shared" si="6"/>
        <v>0</v>
      </c>
      <c r="BX10" s="1546">
        <f t="shared" si="6"/>
        <v>0</v>
      </c>
      <c r="BY10" s="1546">
        <f t="shared" si="6"/>
        <v>0</v>
      </c>
      <c r="BZ10" s="1546">
        <f t="shared" si="6"/>
        <v>0</v>
      </c>
      <c r="CA10" s="1546">
        <f t="shared" si="6"/>
        <v>0</v>
      </c>
      <c r="CB10" s="1546">
        <f t="shared" si="6"/>
        <v>0</v>
      </c>
      <c r="CC10" s="1546">
        <f t="shared" si="6"/>
        <v>0</v>
      </c>
      <c r="CD10" s="1546">
        <f t="shared" si="6"/>
        <v>0</v>
      </c>
      <c r="CE10" s="1546">
        <f t="shared" si="6"/>
        <v>0</v>
      </c>
      <c r="CF10" s="1546">
        <f t="shared" si="6"/>
        <v>0</v>
      </c>
      <c r="CG10" s="1546">
        <f t="shared" si="6"/>
        <v>0</v>
      </c>
      <c r="CH10" s="1546">
        <f t="shared" si="17"/>
        <v>0</v>
      </c>
      <c r="CJ10" s="1546">
        <f t="shared" si="18"/>
        <v>0</v>
      </c>
      <c r="CK10" s="1546">
        <f t="shared" si="7"/>
        <v>0</v>
      </c>
      <c r="CL10" s="1546">
        <f t="shared" si="7"/>
        <v>1</v>
      </c>
      <c r="CM10" s="1546">
        <f t="shared" si="7"/>
        <v>0</v>
      </c>
      <c r="CN10" s="1546">
        <f t="shared" si="7"/>
        <v>0</v>
      </c>
      <c r="CO10" s="1546">
        <f t="shared" si="7"/>
        <v>0</v>
      </c>
      <c r="CP10" s="1546">
        <f t="shared" si="7"/>
        <v>0</v>
      </c>
      <c r="CQ10" s="1546">
        <f t="shared" si="7"/>
        <v>0</v>
      </c>
      <c r="CR10" s="1546">
        <f t="shared" si="7"/>
        <v>0</v>
      </c>
      <c r="CS10" s="1546">
        <f t="shared" si="7"/>
        <v>0</v>
      </c>
      <c r="CT10" s="1546">
        <f t="shared" si="7"/>
        <v>0</v>
      </c>
      <c r="CU10" s="1546">
        <f t="shared" si="7"/>
        <v>0</v>
      </c>
      <c r="CV10" s="1546">
        <f t="shared" si="7"/>
        <v>0</v>
      </c>
      <c r="CW10" s="1546">
        <f t="shared" si="7"/>
        <v>0</v>
      </c>
      <c r="CX10" s="1546">
        <f t="shared" si="7"/>
        <v>0</v>
      </c>
      <c r="CY10" s="1546">
        <f t="shared" si="7"/>
        <v>0</v>
      </c>
      <c r="CZ10" s="1546">
        <f t="shared" si="7"/>
        <v>0</v>
      </c>
      <c r="DA10" s="1546">
        <f t="shared" si="7"/>
        <v>0</v>
      </c>
      <c r="DB10" s="1546">
        <f t="shared" si="8"/>
        <v>0</v>
      </c>
      <c r="DC10" s="1546">
        <f t="shared" si="8"/>
        <v>0</v>
      </c>
      <c r="DD10" s="1546">
        <f t="shared" si="8"/>
        <v>0</v>
      </c>
      <c r="DE10" s="1546">
        <f t="shared" si="8"/>
        <v>0</v>
      </c>
      <c r="DF10" s="1546">
        <f t="shared" si="8"/>
        <v>0</v>
      </c>
      <c r="DG10" s="1546">
        <f t="shared" si="8"/>
        <v>0</v>
      </c>
      <c r="DH10" s="1546">
        <f t="shared" si="8"/>
        <v>0</v>
      </c>
      <c r="DI10" s="1546">
        <f t="shared" si="8"/>
        <v>0</v>
      </c>
      <c r="DJ10" s="1546">
        <f t="shared" si="8"/>
        <v>0</v>
      </c>
      <c r="DK10" s="3"/>
      <c r="DM10" s="1546">
        <f t="shared" si="19"/>
        <v>0</v>
      </c>
      <c r="DN10" s="3"/>
      <c r="DO10" s="1546">
        <f t="shared" si="20"/>
        <v>0</v>
      </c>
      <c r="DQ10" s="1546">
        <f t="shared" si="21"/>
        <v>0</v>
      </c>
      <c r="DR10" s="1546">
        <f t="shared" si="9"/>
        <v>1</v>
      </c>
      <c r="DS10" s="1546">
        <f t="shared" si="9"/>
        <v>0</v>
      </c>
      <c r="DT10" s="1546">
        <f t="shared" si="9"/>
        <v>0</v>
      </c>
      <c r="DU10" s="1546">
        <f t="shared" si="9"/>
        <v>0</v>
      </c>
      <c r="DV10" s="1546">
        <f t="shared" si="9"/>
        <v>0</v>
      </c>
      <c r="DW10" s="1546">
        <f t="shared" si="9"/>
        <v>0</v>
      </c>
      <c r="DX10" s="1546">
        <f t="shared" si="9"/>
        <v>0</v>
      </c>
      <c r="DY10" s="1546">
        <f t="shared" si="9"/>
        <v>0</v>
      </c>
      <c r="DZ10" s="1546">
        <f t="shared" si="9"/>
        <v>0</v>
      </c>
      <c r="EA10" s="1546">
        <f t="shared" si="9"/>
        <v>0</v>
      </c>
      <c r="EB10" s="1546">
        <f t="shared" si="9"/>
        <v>0</v>
      </c>
      <c r="EC10" s="1546">
        <f t="shared" si="9"/>
        <v>0</v>
      </c>
    </row>
    <row r="11" spans="1:133" x14ac:dyDescent="0.3">
      <c r="A11" s="91">
        <v>8</v>
      </c>
      <c r="B11" s="680" t="s">
        <v>1961</v>
      </c>
      <c r="C11" s="680" t="s">
        <v>1962</v>
      </c>
      <c r="D11" s="680"/>
      <c r="E11" s="680" t="s">
        <v>67</v>
      </c>
      <c r="F11" s="683">
        <v>1.5</v>
      </c>
      <c r="G11" s="21" t="str">
        <f>IFERROR(VLOOKUP(E11,'Piping Class'!$90:$102,7,0),"")</f>
        <v>SS</v>
      </c>
      <c r="H11" s="21">
        <f>IFERROR(VLOOKUP(E11,'Piping Class'!$90:$102,2,0),"")</f>
        <v>300</v>
      </c>
      <c r="I11" s="680"/>
      <c r="J11" s="611" t="str">
        <f t="shared" si="0"/>
        <v>-</v>
      </c>
      <c r="K11" s="1369">
        <v>1</v>
      </c>
      <c r="L11" s="680"/>
      <c r="M11" s="680"/>
      <c r="N11" s="680"/>
      <c r="O11" s="680"/>
      <c r="P11" s="680"/>
      <c r="Q11" s="680"/>
      <c r="R11" s="680"/>
      <c r="S11" s="680"/>
      <c r="T11" s="684"/>
      <c r="U11" s="684"/>
      <c r="V11" s="684"/>
      <c r="W11" s="684"/>
      <c r="X11" s="684"/>
      <c r="Y11" s="684"/>
      <c r="Z11" s="271">
        <f t="shared" si="1"/>
        <v>1</v>
      </c>
      <c r="AA11" s="865" t="s">
        <v>1664</v>
      </c>
      <c r="AB11" s="21">
        <f t="shared" si="2"/>
        <v>0.5</v>
      </c>
      <c r="AC11" s="21">
        <f t="shared" si="3"/>
        <v>0.5</v>
      </c>
      <c r="AD11" s="1368">
        <v>10</v>
      </c>
      <c r="AE11" s="21">
        <f t="shared" si="10"/>
        <v>10</v>
      </c>
      <c r="AF11" s="1371">
        <v>1600</v>
      </c>
      <c r="AG11" s="1317">
        <f t="shared" si="11"/>
        <v>1600</v>
      </c>
      <c r="AH11" s="1374" t="s">
        <v>1942</v>
      </c>
      <c r="AJ11" s="91" t="s">
        <v>1963</v>
      </c>
      <c r="AK11" s="680"/>
      <c r="AL11" s="331" t="s">
        <v>339</v>
      </c>
      <c r="AN11" s="1545">
        <f t="shared" si="4"/>
        <v>0</v>
      </c>
      <c r="AO11" s="1545">
        <f t="shared" si="5"/>
        <v>1</v>
      </c>
      <c r="AP11" s="1545">
        <f t="shared" si="5"/>
        <v>0</v>
      </c>
      <c r="AQ11" s="1545">
        <f t="shared" si="5"/>
        <v>0</v>
      </c>
      <c r="AR11" s="1545">
        <f t="shared" si="5"/>
        <v>0</v>
      </c>
      <c r="AS11" s="1545">
        <f t="shared" si="5"/>
        <v>0</v>
      </c>
      <c r="AT11" s="1545">
        <f t="shared" si="5"/>
        <v>0</v>
      </c>
      <c r="AU11" s="1545">
        <f t="shared" si="5"/>
        <v>0</v>
      </c>
      <c r="AV11" s="1545">
        <f t="shared" si="5"/>
        <v>0</v>
      </c>
      <c r="AW11" s="1545">
        <f t="shared" si="5"/>
        <v>0</v>
      </c>
      <c r="AX11" s="1545">
        <f t="shared" si="5"/>
        <v>0</v>
      </c>
      <c r="AY11" s="1545">
        <f t="shared" si="5"/>
        <v>0</v>
      </c>
      <c r="AZ11" s="1545">
        <f t="shared" si="5"/>
        <v>0</v>
      </c>
      <c r="BA11" s="1545">
        <f t="shared" si="5"/>
        <v>0</v>
      </c>
      <c r="BB11" s="1545">
        <f t="shared" si="5"/>
        <v>0</v>
      </c>
      <c r="BC11" s="1545">
        <f t="shared" si="5"/>
        <v>0</v>
      </c>
      <c r="BD11" s="1545">
        <f t="shared" si="5"/>
        <v>0</v>
      </c>
      <c r="BE11" s="1545">
        <f t="shared" si="5"/>
        <v>0</v>
      </c>
      <c r="BF11" s="1545">
        <f t="shared" si="5"/>
        <v>0</v>
      </c>
      <c r="BH11" s="1546">
        <f t="shared" si="12"/>
        <v>0</v>
      </c>
      <c r="BI11" s="1546">
        <f t="shared" si="12"/>
        <v>0</v>
      </c>
      <c r="BK11" s="1545">
        <f t="shared" si="13"/>
        <v>0</v>
      </c>
      <c r="BL11" s="1545">
        <f t="shared" si="13"/>
        <v>0</v>
      </c>
      <c r="BM11" s="1545">
        <f t="shared" si="14"/>
        <v>0</v>
      </c>
      <c r="BO11" s="1545">
        <f t="shared" si="15"/>
        <v>0</v>
      </c>
      <c r="BP11" s="1545">
        <f t="shared" si="15"/>
        <v>0</v>
      </c>
      <c r="BR11" s="1546">
        <f t="shared" si="16"/>
        <v>0</v>
      </c>
      <c r="BS11" s="1546">
        <f t="shared" si="6"/>
        <v>0</v>
      </c>
      <c r="BT11" s="1546">
        <f t="shared" si="6"/>
        <v>0</v>
      </c>
      <c r="BU11" s="1546">
        <f t="shared" si="6"/>
        <v>0</v>
      </c>
      <c r="BV11" s="1546">
        <f t="shared" si="6"/>
        <v>0</v>
      </c>
      <c r="BW11" s="1546">
        <f t="shared" si="6"/>
        <v>0</v>
      </c>
      <c r="BX11" s="1546">
        <f t="shared" si="6"/>
        <v>0</v>
      </c>
      <c r="BY11" s="1546">
        <f t="shared" si="6"/>
        <v>0</v>
      </c>
      <c r="BZ11" s="1546">
        <f t="shared" si="6"/>
        <v>0</v>
      </c>
      <c r="CA11" s="1546">
        <f t="shared" si="6"/>
        <v>0</v>
      </c>
      <c r="CB11" s="1546">
        <f t="shared" si="6"/>
        <v>0</v>
      </c>
      <c r="CC11" s="1546">
        <f t="shared" si="6"/>
        <v>0</v>
      </c>
      <c r="CD11" s="1546">
        <f t="shared" si="6"/>
        <v>0</v>
      </c>
      <c r="CE11" s="1546">
        <f t="shared" si="6"/>
        <v>0</v>
      </c>
      <c r="CF11" s="1546">
        <f t="shared" si="6"/>
        <v>0</v>
      </c>
      <c r="CG11" s="1546">
        <f t="shared" si="6"/>
        <v>0</v>
      </c>
      <c r="CH11" s="1546">
        <f t="shared" si="17"/>
        <v>0</v>
      </c>
      <c r="CJ11" s="1546">
        <f t="shared" si="18"/>
        <v>0</v>
      </c>
      <c r="CK11" s="1546">
        <f t="shared" si="7"/>
        <v>0</v>
      </c>
      <c r="CL11" s="1546">
        <f t="shared" si="7"/>
        <v>0</v>
      </c>
      <c r="CM11" s="1546">
        <f t="shared" si="7"/>
        <v>1</v>
      </c>
      <c r="CN11" s="1546">
        <f t="shared" si="7"/>
        <v>0</v>
      </c>
      <c r="CO11" s="1546">
        <f t="shared" si="7"/>
        <v>0</v>
      </c>
      <c r="CP11" s="1546">
        <f t="shared" si="7"/>
        <v>0</v>
      </c>
      <c r="CQ11" s="1546">
        <f t="shared" si="7"/>
        <v>0</v>
      </c>
      <c r="CR11" s="1546">
        <f t="shared" si="7"/>
        <v>0</v>
      </c>
      <c r="CS11" s="1546">
        <f t="shared" si="7"/>
        <v>0</v>
      </c>
      <c r="CT11" s="1546">
        <f t="shared" si="7"/>
        <v>0</v>
      </c>
      <c r="CU11" s="1546">
        <f t="shared" si="7"/>
        <v>0</v>
      </c>
      <c r="CV11" s="1546">
        <f t="shared" si="7"/>
        <v>0</v>
      </c>
      <c r="CW11" s="1546">
        <f t="shared" si="7"/>
        <v>0</v>
      </c>
      <c r="CX11" s="1546">
        <f t="shared" si="7"/>
        <v>0</v>
      </c>
      <c r="CY11" s="1546">
        <f t="shared" si="7"/>
        <v>0</v>
      </c>
      <c r="CZ11" s="1546">
        <f t="shared" si="7"/>
        <v>0</v>
      </c>
      <c r="DA11" s="1546">
        <f t="shared" si="7"/>
        <v>0</v>
      </c>
      <c r="DB11" s="1546">
        <f t="shared" si="8"/>
        <v>0</v>
      </c>
      <c r="DC11" s="1546">
        <f t="shared" si="8"/>
        <v>0</v>
      </c>
      <c r="DD11" s="1546">
        <f t="shared" si="8"/>
        <v>0</v>
      </c>
      <c r="DE11" s="1546">
        <f t="shared" si="8"/>
        <v>0</v>
      </c>
      <c r="DF11" s="1546">
        <f t="shared" si="8"/>
        <v>0</v>
      </c>
      <c r="DG11" s="1546">
        <f t="shared" si="8"/>
        <v>0</v>
      </c>
      <c r="DH11" s="1546">
        <f t="shared" si="8"/>
        <v>0</v>
      </c>
      <c r="DI11" s="1546">
        <f t="shared" si="8"/>
        <v>0</v>
      </c>
      <c r="DJ11" s="1546">
        <f t="shared" si="8"/>
        <v>0</v>
      </c>
      <c r="DK11" s="3"/>
      <c r="DM11" s="1546">
        <f t="shared" si="19"/>
        <v>1</v>
      </c>
      <c r="DN11" s="3"/>
      <c r="DO11" s="1546">
        <f t="shared" si="20"/>
        <v>0</v>
      </c>
      <c r="DQ11" s="1546">
        <f t="shared" si="21"/>
        <v>0</v>
      </c>
      <c r="DR11" s="1546">
        <f t="shared" si="9"/>
        <v>1</v>
      </c>
      <c r="DS11" s="1546">
        <f t="shared" si="9"/>
        <v>0</v>
      </c>
      <c r="DT11" s="1546">
        <f t="shared" si="9"/>
        <v>0</v>
      </c>
      <c r="DU11" s="1546">
        <f t="shared" si="9"/>
        <v>0</v>
      </c>
      <c r="DV11" s="1546">
        <f t="shared" si="9"/>
        <v>0</v>
      </c>
      <c r="DW11" s="1546">
        <f t="shared" si="9"/>
        <v>0</v>
      </c>
      <c r="DX11" s="1546">
        <f t="shared" si="9"/>
        <v>0</v>
      </c>
      <c r="DY11" s="1546">
        <f t="shared" si="9"/>
        <v>0</v>
      </c>
      <c r="DZ11" s="1546">
        <f t="shared" si="9"/>
        <v>0</v>
      </c>
      <c r="EA11" s="1546">
        <f t="shared" si="9"/>
        <v>0</v>
      </c>
      <c r="EB11" s="1546">
        <f t="shared" si="9"/>
        <v>0</v>
      </c>
      <c r="EC11" s="1546">
        <f t="shared" si="9"/>
        <v>0</v>
      </c>
    </row>
    <row r="12" spans="1:133" x14ac:dyDescent="0.3">
      <c r="A12" s="91">
        <v>9</v>
      </c>
      <c r="B12" s="680" t="s">
        <v>1961</v>
      </c>
      <c r="C12" s="680" t="s">
        <v>1962</v>
      </c>
      <c r="D12" s="680"/>
      <c r="E12" s="680" t="s">
        <v>67</v>
      </c>
      <c r="F12" s="683">
        <v>4</v>
      </c>
      <c r="G12" s="21" t="str">
        <f>IFERROR(VLOOKUP(E12,'Piping Class'!$90:$102,7,0),"")</f>
        <v>SS</v>
      </c>
      <c r="H12" s="21">
        <f>IFERROR(VLOOKUP(E12,'Piping Class'!$90:$102,2,0),"")</f>
        <v>300</v>
      </c>
      <c r="I12" s="680"/>
      <c r="J12" s="611" t="str">
        <f t="shared" si="0"/>
        <v>-</v>
      </c>
      <c r="K12" s="1369">
        <v>1</v>
      </c>
      <c r="L12" s="680"/>
      <c r="M12" s="680"/>
      <c r="N12" s="680"/>
      <c r="O12" s="680"/>
      <c r="P12" s="680"/>
      <c r="Q12" s="680"/>
      <c r="R12" s="680"/>
      <c r="S12" s="680"/>
      <c r="T12" s="684"/>
      <c r="U12" s="684"/>
      <c r="V12" s="684"/>
      <c r="W12" s="684"/>
      <c r="X12" s="684"/>
      <c r="Y12" s="684"/>
      <c r="Z12" s="271">
        <f t="shared" si="1"/>
        <v>1</v>
      </c>
      <c r="AA12" s="865" t="s">
        <v>1664</v>
      </c>
      <c r="AB12" s="21">
        <f t="shared" si="2"/>
        <v>0.5</v>
      </c>
      <c r="AC12" s="21">
        <f t="shared" si="3"/>
        <v>0.5</v>
      </c>
      <c r="AD12" s="1368">
        <v>0.5</v>
      </c>
      <c r="AE12" s="21">
        <f t="shared" si="10"/>
        <v>0.5</v>
      </c>
      <c r="AF12" s="1371">
        <v>3400</v>
      </c>
      <c r="AG12" s="1317">
        <f t="shared" si="11"/>
        <v>3400</v>
      </c>
      <c r="AH12" s="1374" t="s">
        <v>1942</v>
      </c>
      <c r="AJ12" s="91" t="s">
        <v>1966</v>
      </c>
      <c r="AK12" s="680"/>
      <c r="AL12" s="331" t="s">
        <v>339</v>
      </c>
      <c r="AN12" s="1545">
        <f t="shared" si="4"/>
        <v>0</v>
      </c>
      <c r="AO12" s="1545">
        <f t="shared" si="5"/>
        <v>1</v>
      </c>
      <c r="AP12" s="1545">
        <f t="shared" si="5"/>
        <v>0</v>
      </c>
      <c r="AQ12" s="1545">
        <f t="shared" si="5"/>
        <v>0</v>
      </c>
      <c r="AR12" s="1545">
        <f t="shared" si="5"/>
        <v>0</v>
      </c>
      <c r="AS12" s="1545">
        <f t="shared" si="5"/>
        <v>0</v>
      </c>
      <c r="AT12" s="1545">
        <f t="shared" si="5"/>
        <v>0</v>
      </c>
      <c r="AU12" s="1545">
        <f t="shared" si="5"/>
        <v>0</v>
      </c>
      <c r="AV12" s="1545">
        <f t="shared" si="5"/>
        <v>0</v>
      </c>
      <c r="AW12" s="1545">
        <f t="shared" si="5"/>
        <v>0</v>
      </c>
      <c r="AX12" s="1545">
        <f t="shared" si="5"/>
        <v>0</v>
      </c>
      <c r="AY12" s="1545">
        <f t="shared" si="5"/>
        <v>0</v>
      </c>
      <c r="AZ12" s="1545">
        <f t="shared" si="5"/>
        <v>0</v>
      </c>
      <c r="BA12" s="1545">
        <f t="shared" si="5"/>
        <v>0</v>
      </c>
      <c r="BB12" s="1545">
        <f t="shared" si="5"/>
        <v>0</v>
      </c>
      <c r="BC12" s="1545">
        <f t="shared" si="5"/>
        <v>0</v>
      </c>
      <c r="BD12" s="1545">
        <f t="shared" si="5"/>
        <v>0</v>
      </c>
      <c r="BE12" s="1545">
        <f t="shared" si="5"/>
        <v>0</v>
      </c>
      <c r="BF12" s="1545">
        <f t="shared" si="5"/>
        <v>0</v>
      </c>
      <c r="BH12" s="1546">
        <f t="shared" si="12"/>
        <v>0</v>
      </c>
      <c r="BI12" s="1546">
        <f t="shared" si="12"/>
        <v>0</v>
      </c>
      <c r="BK12" s="1545">
        <f t="shared" si="13"/>
        <v>0</v>
      </c>
      <c r="BL12" s="1545">
        <f t="shared" si="13"/>
        <v>0</v>
      </c>
      <c r="BM12" s="1545">
        <f t="shared" si="14"/>
        <v>0</v>
      </c>
      <c r="BO12" s="1545">
        <f t="shared" si="15"/>
        <v>0</v>
      </c>
      <c r="BP12" s="1545">
        <f t="shared" si="15"/>
        <v>0</v>
      </c>
      <c r="BR12" s="1546">
        <f t="shared" si="16"/>
        <v>0</v>
      </c>
      <c r="BS12" s="1546">
        <f t="shared" si="6"/>
        <v>0</v>
      </c>
      <c r="BT12" s="1546">
        <f t="shared" si="6"/>
        <v>0</v>
      </c>
      <c r="BU12" s="1546">
        <f t="shared" si="6"/>
        <v>0</v>
      </c>
      <c r="BV12" s="1546">
        <f t="shared" si="6"/>
        <v>0</v>
      </c>
      <c r="BW12" s="1546">
        <f t="shared" si="6"/>
        <v>0</v>
      </c>
      <c r="BX12" s="1546">
        <f t="shared" si="6"/>
        <v>0</v>
      </c>
      <c r="BY12" s="1546">
        <f t="shared" si="6"/>
        <v>0</v>
      </c>
      <c r="BZ12" s="1546">
        <f t="shared" si="6"/>
        <v>0</v>
      </c>
      <c r="CA12" s="1546">
        <f t="shared" si="6"/>
        <v>0</v>
      </c>
      <c r="CB12" s="1546">
        <f t="shared" si="6"/>
        <v>0</v>
      </c>
      <c r="CC12" s="1546">
        <f t="shared" si="6"/>
        <v>0</v>
      </c>
      <c r="CD12" s="1546">
        <f t="shared" si="6"/>
        <v>0</v>
      </c>
      <c r="CE12" s="1546">
        <f t="shared" si="6"/>
        <v>0</v>
      </c>
      <c r="CF12" s="1546">
        <f t="shared" si="6"/>
        <v>0</v>
      </c>
      <c r="CG12" s="1546">
        <f t="shared" si="6"/>
        <v>0</v>
      </c>
      <c r="CH12" s="1546">
        <f t="shared" si="17"/>
        <v>0</v>
      </c>
      <c r="CJ12" s="1546">
        <f t="shared" si="18"/>
        <v>0</v>
      </c>
      <c r="CK12" s="1546">
        <f t="shared" si="7"/>
        <v>0</v>
      </c>
      <c r="CL12" s="1546">
        <f t="shared" si="7"/>
        <v>0</v>
      </c>
      <c r="CM12" s="1546">
        <f t="shared" si="7"/>
        <v>0</v>
      </c>
      <c r="CN12" s="1546">
        <f t="shared" si="7"/>
        <v>0</v>
      </c>
      <c r="CO12" s="1546">
        <f t="shared" si="7"/>
        <v>0</v>
      </c>
      <c r="CP12" s="1546">
        <f t="shared" si="7"/>
        <v>0</v>
      </c>
      <c r="CQ12" s="1546">
        <f t="shared" si="7"/>
        <v>1</v>
      </c>
      <c r="CR12" s="1546">
        <f t="shared" si="7"/>
        <v>0</v>
      </c>
      <c r="CS12" s="1546">
        <f t="shared" si="7"/>
        <v>0</v>
      </c>
      <c r="CT12" s="1546">
        <f t="shared" si="7"/>
        <v>0</v>
      </c>
      <c r="CU12" s="1546">
        <f t="shared" si="7"/>
        <v>0</v>
      </c>
      <c r="CV12" s="1546">
        <f t="shared" si="7"/>
        <v>0</v>
      </c>
      <c r="CW12" s="1546">
        <f t="shared" si="7"/>
        <v>0</v>
      </c>
      <c r="CX12" s="1546">
        <f t="shared" si="7"/>
        <v>0</v>
      </c>
      <c r="CY12" s="1546">
        <f t="shared" si="7"/>
        <v>0</v>
      </c>
      <c r="CZ12" s="1546">
        <f t="shared" si="7"/>
        <v>0</v>
      </c>
      <c r="DA12" s="1546">
        <f t="shared" si="7"/>
        <v>0</v>
      </c>
      <c r="DB12" s="1546">
        <f t="shared" si="8"/>
        <v>0</v>
      </c>
      <c r="DC12" s="1546">
        <f t="shared" si="8"/>
        <v>0</v>
      </c>
      <c r="DD12" s="1546">
        <f t="shared" si="8"/>
        <v>0</v>
      </c>
      <c r="DE12" s="1546">
        <f t="shared" si="8"/>
        <v>0</v>
      </c>
      <c r="DF12" s="1546">
        <f t="shared" si="8"/>
        <v>0</v>
      </c>
      <c r="DG12" s="1546">
        <f t="shared" si="8"/>
        <v>0</v>
      </c>
      <c r="DH12" s="1546">
        <f t="shared" si="8"/>
        <v>0</v>
      </c>
      <c r="DI12" s="1546">
        <f t="shared" si="8"/>
        <v>0</v>
      </c>
      <c r="DJ12" s="1546">
        <f t="shared" si="8"/>
        <v>0</v>
      </c>
      <c r="DK12" s="3"/>
      <c r="DM12" s="1546">
        <f t="shared" si="19"/>
        <v>1</v>
      </c>
      <c r="DN12" s="3"/>
      <c r="DO12" s="1546">
        <f t="shared" si="20"/>
        <v>0</v>
      </c>
      <c r="DQ12" s="1546">
        <f t="shared" si="21"/>
        <v>0</v>
      </c>
      <c r="DR12" s="1546">
        <f t="shared" si="9"/>
        <v>1</v>
      </c>
      <c r="DS12" s="1546">
        <f t="shared" si="9"/>
        <v>0</v>
      </c>
      <c r="DT12" s="1546">
        <f t="shared" si="9"/>
        <v>0</v>
      </c>
      <c r="DU12" s="1546">
        <f t="shared" si="9"/>
        <v>0</v>
      </c>
      <c r="DV12" s="1546">
        <f t="shared" si="9"/>
        <v>0</v>
      </c>
      <c r="DW12" s="1546">
        <f t="shared" si="9"/>
        <v>0</v>
      </c>
      <c r="DX12" s="1546">
        <f t="shared" si="9"/>
        <v>0</v>
      </c>
      <c r="DY12" s="1546">
        <f t="shared" si="9"/>
        <v>0</v>
      </c>
      <c r="DZ12" s="1546">
        <f t="shared" si="9"/>
        <v>0</v>
      </c>
      <c r="EA12" s="1546">
        <f t="shared" si="9"/>
        <v>0</v>
      </c>
      <c r="EB12" s="1546">
        <f t="shared" si="9"/>
        <v>0</v>
      </c>
      <c r="EC12" s="1546">
        <f t="shared" si="9"/>
        <v>0</v>
      </c>
    </row>
    <row r="13" spans="1:133" x14ac:dyDescent="0.3">
      <c r="A13" s="91">
        <v>10</v>
      </c>
      <c r="B13" s="680" t="s">
        <v>1928</v>
      </c>
      <c r="C13" s="680" t="s">
        <v>1934</v>
      </c>
      <c r="D13" s="680"/>
      <c r="E13" s="680" t="s">
        <v>67</v>
      </c>
      <c r="F13" s="683">
        <v>1</v>
      </c>
      <c r="G13" s="21" t="str">
        <f>IFERROR(VLOOKUP(E13,'Piping Class'!$90:$102,7,0),"")</f>
        <v>SS</v>
      </c>
      <c r="H13" s="21">
        <f>IFERROR(VLOOKUP(E13,'Piping Class'!$90:$102,2,0),"")</f>
        <v>300</v>
      </c>
      <c r="I13" s="680"/>
      <c r="J13" s="611" t="str">
        <f t="shared" si="0"/>
        <v>OUT</v>
      </c>
      <c r="K13" s="1369"/>
      <c r="L13" s="680"/>
      <c r="M13" s="680"/>
      <c r="N13" s="680"/>
      <c r="O13" s="680"/>
      <c r="P13" s="680"/>
      <c r="Q13" s="680"/>
      <c r="R13" s="680"/>
      <c r="S13" s="680"/>
      <c r="T13" s="684"/>
      <c r="U13" s="684"/>
      <c r="V13" s="684"/>
      <c r="W13" s="684"/>
      <c r="X13" s="684"/>
      <c r="Y13" s="684"/>
      <c r="Z13" s="271">
        <f t="shared" si="1"/>
        <v>0</v>
      </c>
      <c r="AA13" s="865"/>
      <c r="AB13" s="21">
        <f t="shared" si="2"/>
        <v>4</v>
      </c>
      <c r="AC13" s="21">
        <f t="shared" si="3"/>
        <v>0</v>
      </c>
      <c r="AD13" s="1368">
        <v>0.5</v>
      </c>
      <c r="AE13" s="21">
        <f t="shared" si="10"/>
        <v>0</v>
      </c>
      <c r="AF13" s="1371"/>
      <c r="AG13" s="1317">
        <f t="shared" si="11"/>
        <v>0</v>
      </c>
      <c r="AH13" s="1374"/>
      <c r="AJ13" s="91" t="s">
        <v>1967</v>
      </c>
      <c r="AK13" s="680"/>
      <c r="AL13" s="331" t="s">
        <v>339</v>
      </c>
      <c r="AN13" s="1545">
        <f t="shared" si="4"/>
        <v>0</v>
      </c>
      <c r="AO13" s="1545">
        <f t="shared" si="5"/>
        <v>0</v>
      </c>
      <c r="AP13" s="1545">
        <f t="shared" si="5"/>
        <v>0</v>
      </c>
      <c r="AQ13" s="1545">
        <f t="shared" si="5"/>
        <v>0</v>
      </c>
      <c r="AR13" s="1545">
        <f t="shared" si="5"/>
        <v>0</v>
      </c>
      <c r="AS13" s="1545">
        <f t="shared" si="5"/>
        <v>0</v>
      </c>
      <c r="AT13" s="1545">
        <f t="shared" si="5"/>
        <v>0</v>
      </c>
      <c r="AU13" s="1545">
        <f t="shared" si="5"/>
        <v>0</v>
      </c>
      <c r="AV13" s="1545">
        <f t="shared" si="5"/>
        <v>0</v>
      </c>
      <c r="AW13" s="1545">
        <f t="shared" si="5"/>
        <v>0</v>
      </c>
      <c r="AX13" s="1545">
        <f t="shared" si="5"/>
        <v>0</v>
      </c>
      <c r="AY13" s="1545">
        <f t="shared" si="5"/>
        <v>0</v>
      </c>
      <c r="AZ13" s="1545">
        <f t="shared" si="5"/>
        <v>0</v>
      </c>
      <c r="BA13" s="1545">
        <f t="shared" si="5"/>
        <v>1</v>
      </c>
      <c r="BB13" s="1545">
        <f t="shared" si="5"/>
        <v>0</v>
      </c>
      <c r="BC13" s="1545">
        <f t="shared" ref="BA13:BE43" si="22">IF($B13=BC$3,1,0)</f>
        <v>0</v>
      </c>
      <c r="BD13" s="1545">
        <f t="shared" si="22"/>
        <v>0</v>
      </c>
      <c r="BE13" s="1545">
        <f t="shared" si="22"/>
        <v>0</v>
      </c>
      <c r="BF13" s="1545">
        <f t="shared" si="5"/>
        <v>0</v>
      </c>
      <c r="BH13" s="1546">
        <f t="shared" si="12"/>
        <v>0</v>
      </c>
      <c r="BI13" s="1546">
        <f t="shared" si="12"/>
        <v>1</v>
      </c>
      <c r="BK13" s="1545">
        <f t="shared" si="13"/>
        <v>0</v>
      </c>
      <c r="BL13" s="1545">
        <f t="shared" si="13"/>
        <v>1</v>
      </c>
      <c r="BM13" s="1545">
        <f t="shared" si="14"/>
        <v>1</v>
      </c>
      <c r="BO13" s="1545">
        <f t="shared" si="15"/>
        <v>0</v>
      </c>
      <c r="BP13" s="1545">
        <f t="shared" si="15"/>
        <v>0</v>
      </c>
      <c r="BR13" s="1546">
        <f t="shared" si="16"/>
        <v>0</v>
      </c>
      <c r="BS13" s="1546">
        <f t="shared" si="6"/>
        <v>0</v>
      </c>
      <c r="BT13" s="1546">
        <f t="shared" si="6"/>
        <v>0</v>
      </c>
      <c r="BU13" s="1546">
        <f t="shared" si="6"/>
        <v>0</v>
      </c>
      <c r="BV13" s="1546">
        <f t="shared" si="6"/>
        <v>0</v>
      </c>
      <c r="BW13" s="1546">
        <f t="shared" si="6"/>
        <v>0</v>
      </c>
      <c r="BX13" s="1546">
        <f t="shared" si="6"/>
        <v>0</v>
      </c>
      <c r="BY13" s="1546">
        <f t="shared" si="6"/>
        <v>0</v>
      </c>
      <c r="BZ13" s="1546">
        <f t="shared" si="6"/>
        <v>0</v>
      </c>
      <c r="CA13" s="1546">
        <f t="shared" si="6"/>
        <v>0</v>
      </c>
      <c r="CB13" s="1546">
        <f t="shared" si="6"/>
        <v>0</v>
      </c>
      <c r="CC13" s="1546">
        <f t="shared" si="6"/>
        <v>0</v>
      </c>
      <c r="CD13" s="1546">
        <f t="shared" si="6"/>
        <v>0</v>
      </c>
      <c r="CE13" s="1546">
        <f t="shared" si="6"/>
        <v>0</v>
      </c>
      <c r="CF13" s="1546">
        <f t="shared" si="6"/>
        <v>0</v>
      </c>
      <c r="CG13" s="1546">
        <f t="shared" si="6"/>
        <v>0</v>
      </c>
      <c r="CH13" s="1546">
        <f t="shared" si="17"/>
        <v>1</v>
      </c>
      <c r="CJ13" s="1546">
        <f t="shared" si="18"/>
        <v>0</v>
      </c>
      <c r="CK13" s="1546">
        <f t="shared" si="7"/>
        <v>0</v>
      </c>
      <c r="CL13" s="1546">
        <f t="shared" si="7"/>
        <v>1</v>
      </c>
      <c r="CM13" s="1546">
        <f t="shared" si="7"/>
        <v>0</v>
      </c>
      <c r="CN13" s="1546">
        <f t="shared" si="7"/>
        <v>0</v>
      </c>
      <c r="CO13" s="1546">
        <f t="shared" si="7"/>
        <v>0</v>
      </c>
      <c r="CP13" s="1546">
        <f t="shared" si="7"/>
        <v>0</v>
      </c>
      <c r="CQ13" s="1546">
        <f t="shared" si="7"/>
        <v>0</v>
      </c>
      <c r="CR13" s="1546">
        <f t="shared" si="7"/>
        <v>0</v>
      </c>
      <c r="CS13" s="1546">
        <f t="shared" si="7"/>
        <v>0</v>
      </c>
      <c r="CT13" s="1546">
        <f t="shared" si="7"/>
        <v>0</v>
      </c>
      <c r="CU13" s="1546">
        <f t="shared" si="7"/>
        <v>0</v>
      </c>
      <c r="CV13" s="1546">
        <f t="shared" si="7"/>
        <v>0</v>
      </c>
      <c r="CW13" s="1546">
        <f t="shared" si="7"/>
        <v>0</v>
      </c>
      <c r="CX13" s="1546">
        <f t="shared" si="7"/>
        <v>0</v>
      </c>
      <c r="CY13" s="1546">
        <f t="shared" si="7"/>
        <v>0</v>
      </c>
      <c r="CZ13" s="1546">
        <f t="shared" si="7"/>
        <v>0</v>
      </c>
      <c r="DA13" s="1546">
        <f t="shared" si="7"/>
        <v>0</v>
      </c>
      <c r="DB13" s="1546">
        <f t="shared" si="8"/>
        <v>0</v>
      </c>
      <c r="DC13" s="1546">
        <f t="shared" si="8"/>
        <v>0</v>
      </c>
      <c r="DD13" s="1546">
        <f t="shared" si="8"/>
        <v>0</v>
      </c>
      <c r="DE13" s="1546">
        <f t="shared" si="8"/>
        <v>0</v>
      </c>
      <c r="DF13" s="1546">
        <f t="shared" si="8"/>
        <v>0</v>
      </c>
      <c r="DG13" s="1546">
        <f t="shared" si="8"/>
        <v>0</v>
      </c>
      <c r="DH13" s="1546">
        <f t="shared" si="8"/>
        <v>0</v>
      </c>
      <c r="DI13" s="1546">
        <f t="shared" si="8"/>
        <v>0</v>
      </c>
      <c r="DJ13" s="1546">
        <f t="shared" si="8"/>
        <v>0</v>
      </c>
      <c r="DK13" s="3"/>
      <c r="DM13" s="1546">
        <f t="shared" si="19"/>
        <v>1</v>
      </c>
      <c r="DN13" s="3"/>
      <c r="DO13" s="1546">
        <f t="shared" si="20"/>
        <v>1</v>
      </c>
      <c r="DQ13" s="1546">
        <f t="shared" si="21"/>
        <v>0</v>
      </c>
      <c r="DR13" s="1546">
        <f t="shared" si="9"/>
        <v>1</v>
      </c>
      <c r="DS13" s="1546">
        <f t="shared" si="9"/>
        <v>0</v>
      </c>
      <c r="DT13" s="1546">
        <f t="shared" si="9"/>
        <v>0</v>
      </c>
      <c r="DU13" s="1546">
        <f t="shared" si="9"/>
        <v>0</v>
      </c>
      <c r="DV13" s="1546">
        <f t="shared" si="9"/>
        <v>0</v>
      </c>
      <c r="DW13" s="1546">
        <f t="shared" si="9"/>
        <v>0</v>
      </c>
      <c r="DX13" s="1546">
        <f t="shared" si="9"/>
        <v>0</v>
      </c>
      <c r="DY13" s="1546">
        <f t="shared" si="9"/>
        <v>0</v>
      </c>
      <c r="DZ13" s="1546">
        <f t="shared" si="9"/>
        <v>0</v>
      </c>
      <c r="EA13" s="1546">
        <f t="shared" si="9"/>
        <v>0</v>
      </c>
      <c r="EB13" s="1546">
        <f t="shared" si="9"/>
        <v>0</v>
      </c>
      <c r="EC13" s="1546">
        <f t="shared" si="9"/>
        <v>0</v>
      </c>
    </row>
    <row r="14" spans="1:133" x14ac:dyDescent="0.3">
      <c r="A14" s="91">
        <v>11</v>
      </c>
      <c r="B14" s="680" t="s">
        <v>1964</v>
      </c>
      <c r="C14" s="680" t="s">
        <v>1968</v>
      </c>
      <c r="D14" s="680"/>
      <c r="E14" s="680" t="s">
        <v>67</v>
      </c>
      <c r="F14" s="683">
        <v>4</v>
      </c>
      <c r="G14" s="21" t="str">
        <f>IFERROR(VLOOKUP(E14,'Piping Class'!$90:$102,7,0),"")</f>
        <v>SS</v>
      </c>
      <c r="H14" s="21">
        <f>IFERROR(VLOOKUP(E14,'Piping Class'!$90:$102,2,0),"")</f>
        <v>300</v>
      </c>
      <c r="I14" s="680"/>
      <c r="J14" s="611" t="str">
        <f t="shared" si="0"/>
        <v>OUT</v>
      </c>
      <c r="K14" s="1369">
        <v>2</v>
      </c>
      <c r="L14" s="680"/>
      <c r="M14" s="680"/>
      <c r="N14" s="680"/>
      <c r="O14" s="680"/>
      <c r="P14" s="680"/>
      <c r="Q14" s="680"/>
      <c r="R14" s="680"/>
      <c r="S14" s="680"/>
      <c r="T14" s="684"/>
      <c r="U14" s="684"/>
      <c r="V14" s="684"/>
      <c r="W14" s="684"/>
      <c r="X14" s="684"/>
      <c r="Y14" s="684"/>
      <c r="Z14" s="271">
        <f t="shared" si="1"/>
        <v>2</v>
      </c>
      <c r="AA14" s="865" t="s">
        <v>1664</v>
      </c>
      <c r="AB14" s="21">
        <f t="shared" si="2"/>
        <v>2</v>
      </c>
      <c r="AC14" s="21">
        <f t="shared" si="3"/>
        <v>4</v>
      </c>
      <c r="AD14" s="1368">
        <v>10</v>
      </c>
      <c r="AE14" s="21">
        <f t="shared" si="10"/>
        <v>20</v>
      </c>
      <c r="AF14" s="1371">
        <v>10000</v>
      </c>
      <c r="AG14" s="1317">
        <f t="shared" si="11"/>
        <v>20000</v>
      </c>
      <c r="AH14" s="1374" t="s">
        <v>2121</v>
      </c>
      <c r="AJ14" s="91" t="s">
        <v>1969</v>
      </c>
      <c r="AK14" s="680"/>
      <c r="AL14" s="331" t="s">
        <v>339</v>
      </c>
      <c r="AN14" s="1545">
        <f t="shared" si="4"/>
        <v>0</v>
      </c>
      <c r="AO14" s="1545">
        <f t="shared" si="5"/>
        <v>0</v>
      </c>
      <c r="AP14" s="1545">
        <f t="shared" si="5"/>
        <v>0</v>
      </c>
      <c r="AQ14" s="1545">
        <f t="shared" si="5"/>
        <v>0</v>
      </c>
      <c r="AR14" s="1545">
        <f t="shared" si="5"/>
        <v>0</v>
      </c>
      <c r="AS14" s="1545">
        <f t="shared" si="5"/>
        <v>0</v>
      </c>
      <c r="AT14" s="1545">
        <f t="shared" si="5"/>
        <v>0</v>
      </c>
      <c r="AU14" s="1545">
        <f t="shared" si="5"/>
        <v>0</v>
      </c>
      <c r="AV14" s="1545">
        <f t="shared" si="5"/>
        <v>0</v>
      </c>
      <c r="AW14" s="1545">
        <f t="shared" si="5"/>
        <v>0</v>
      </c>
      <c r="AX14" s="1545">
        <f t="shared" si="5"/>
        <v>0</v>
      </c>
      <c r="AY14" s="1545">
        <f t="shared" si="5"/>
        <v>0</v>
      </c>
      <c r="AZ14" s="1545">
        <f t="shared" si="5"/>
        <v>1</v>
      </c>
      <c r="BA14" s="1545">
        <f t="shared" si="22"/>
        <v>0</v>
      </c>
      <c r="BB14" s="1545">
        <f t="shared" si="22"/>
        <v>0</v>
      </c>
      <c r="BC14" s="1545">
        <f t="shared" si="22"/>
        <v>0</v>
      </c>
      <c r="BD14" s="1545">
        <f t="shared" si="22"/>
        <v>0</v>
      </c>
      <c r="BE14" s="1545">
        <f t="shared" si="22"/>
        <v>0</v>
      </c>
      <c r="BF14" s="1545">
        <f t="shared" si="5"/>
        <v>0</v>
      </c>
      <c r="BH14" s="1546">
        <f t="shared" si="12"/>
        <v>0</v>
      </c>
      <c r="BI14" s="1546">
        <f t="shared" si="12"/>
        <v>0</v>
      </c>
      <c r="BK14" s="1545">
        <f t="shared" si="13"/>
        <v>0</v>
      </c>
      <c r="BL14" s="1545">
        <f t="shared" si="13"/>
        <v>1</v>
      </c>
      <c r="BM14" s="1545">
        <f t="shared" si="14"/>
        <v>1</v>
      </c>
      <c r="BO14" s="1545">
        <f t="shared" si="15"/>
        <v>0</v>
      </c>
      <c r="BP14" s="1545">
        <f t="shared" si="15"/>
        <v>0</v>
      </c>
      <c r="BR14" s="1546">
        <f t="shared" si="16"/>
        <v>0</v>
      </c>
      <c r="BS14" s="1546">
        <f t="shared" si="6"/>
        <v>0</v>
      </c>
      <c r="BT14" s="1546">
        <f t="shared" si="6"/>
        <v>0</v>
      </c>
      <c r="BU14" s="1546">
        <f t="shared" si="6"/>
        <v>0</v>
      </c>
      <c r="BV14" s="1546">
        <f t="shared" si="6"/>
        <v>0</v>
      </c>
      <c r="BW14" s="1546">
        <f t="shared" si="6"/>
        <v>0</v>
      </c>
      <c r="BX14" s="1546">
        <f t="shared" si="6"/>
        <v>0</v>
      </c>
      <c r="BY14" s="1546">
        <f t="shared" si="6"/>
        <v>0</v>
      </c>
      <c r="BZ14" s="1546">
        <f t="shared" si="6"/>
        <v>0</v>
      </c>
      <c r="CA14" s="1546">
        <f t="shared" si="6"/>
        <v>0</v>
      </c>
      <c r="CB14" s="1546">
        <f t="shared" si="6"/>
        <v>0</v>
      </c>
      <c r="CC14" s="1546">
        <f t="shared" si="6"/>
        <v>0</v>
      </c>
      <c r="CD14" s="1546">
        <f t="shared" si="6"/>
        <v>0</v>
      </c>
      <c r="CE14" s="1546">
        <f t="shared" si="6"/>
        <v>0</v>
      </c>
      <c r="CF14" s="1546">
        <f t="shared" si="6"/>
        <v>0</v>
      </c>
      <c r="CG14" s="1546">
        <f t="shared" si="6"/>
        <v>0</v>
      </c>
      <c r="CH14" s="1546">
        <f t="shared" si="17"/>
        <v>0</v>
      </c>
      <c r="CJ14" s="1546">
        <f t="shared" si="18"/>
        <v>0</v>
      </c>
      <c r="CK14" s="1546">
        <f t="shared" si="7"/>
        <v>0</v>
      </c>
      <c r="CL14" s="1546">
        <f t="shared" si="7"/>
        <v>0</v>
      </c>
      <c r="CM14" s="1546">
        <f t="shared" si="7"/>
        <v>0</v>
      </c>
      <c r="CN14" s="1546">
        <f t="shared" si="7"/>
        <v>0</v>
      </c>
      <c r="CO14" s="1546">
        <f t="shared" si="7"/>
        <v>0</v>
      </c>
      <c r="CP14" s="1546">
        <f t="shared" si="7"/>
        <v>0</v>
      </c>
      <c r="CQ14" s="1546">
        <f t="shared" si="7"/>
        <v>1</v>
      </c>
      <c r="CR14" s="1546">
        <f t="shared" si="7"/>
        <v>0</v>
      </c>
      <c r="CS14" s="1546">
        <f t="shared" si="7"/>
        <v>0</v>
      </c>
      <c r="CT14" s="1546">
        <f t="shared" si="7"/>
        <v>0</v>
      </c>
      <c r="CU14" s="1546">
        <f t="shared" si="7"/>
        <v>0</v>
      </c>
      <c r="CV14" s="1546">
        <f t="shared" si="7"/>
        <v>0</v>
      </c>
      <c r="CW14" s="1546">
        <f t="shared" si="7"/>
        <v>0</v>
      </c>
      <c r="CX14" s="1546">
        <f t="shared" si="7"/>
        <v>0</v>
      </c>
      <c r="CY14" s="1546">
        <f t="shared" si="7"/>
        <v>0</v>
      </c>
      <c r="CZ14" s="1546">
        <f t="shared" si="7"/>
        <v>0</v>
      </c>
      <c r="DA14" s="1546">
        <f t="shared" si="7"/>
        <v>0</v>
      </c>
      <c r="DB14" s="1546">
        <f t="shared" si="8"/>
        <v>0</v>
      </c>
      <c r="DC14" s="1546">
        <f t="shared" si="8"/>
        <v>0</v>
      </c>
      <c r="DD14" s="1546">
        <f t="shared" si="8"/>
        <v>0</v>
      </c>
      <c r="DE14" s="1546">
        <f t="shared" si="8"/>
        <v>0</v>
      </c>
      <c r="DF14" s="1546">
        <f t="shared" si="8"/>
        <v>0</v>
      </c>
      <c r="DG14" s="1546">
        <f t="shared" si="8"/>
        <v>0</v>
      </c>
      <c r="DH14" s="1546">
        <f t="shared" si="8"/>
        <v>0</v>
      </c>
      <c r="DI14" s="1546">
        <f t="shared" si="8"/>
        <v>0</v>
      </c>
      <c r="DJ14" s="1546">
        <f t="shared" si="8"/>
        <v>0</v>
      </c>
      <c r="DK14" s="3"/>
      <c r="DM14" s="1546">
        <f t="shared" si="19"/>
        <v>1</v>
      </c>
      <c r="DN14" s="3"/>
      <c r="DO14" s="1546">
        <f t="shared" si="20"/>
        <v>1</v>
      </c>
      <c r="DQ14" s="1546">
        <f t="shared" si="21"/>
        <v>0</v>
      </c>
      <c r="DR14" s="1546">
        <f t="shared" si="9"/>
        <v>1</v>
      </c>
      <c r="DS14" s="1546">
        <f t="shared" si="9"/>
        <v>0</v>
      </c>
      <c r="DT14" s="1546">
        <f t="shared" si="9"/>
        <v>0</v>
      </c>
      <c r="DU14" s="1546">
        <f t="shared" si="9"/>
        <v>0</v>
      </c>
      <c r="DV14" s="1546">
        <f t="shared" si="9"/>
        <v>0</v>
      </c>
      <c r="DW14" s="1546">
        <f t="shared" si="9"/>
        <v>0</v>
      </c>
      <c r="DX14" s="1546">
        <f t="shared" si="9"/>
        <v>0</v>
      </c>
      <c r="DY14" s="1546">
        <f t="shared" si="9"/>
        <v>0</v>
      </c>
      <c r="DZ14" s="1546">
        <f t="shared" si="9"/>
        <v>0</v>
      </c>
      <c r="EA14" s="1546">
        <f t="shared" si="9"/>
        <v>0</v>
      </c>
      <c r="EB14" s="1546">
        <f t="shared" si="9"/>
        <v>0</v>
      </c>
      <c r="EC14" s="1546">
        <f t="shared" si="9"/>
        <v>0</v>
      </c>
    </row>
    <row r="15" spans="1:133" x14ac:dyDescent="0.3">
      <c r="A15" s="91">
        <v>12</v>
      </c>
      <c r="B15" s="680" t="s">
        <v>1964</v>
      </c>
      <c r="C15" s="680" t="s">
        <v>1988</v>
      </c>
      <c r="D15" s="680"/>
      <c r="E15" s="680" t="s">
        <v>67</v>
      </c>
      <c r="F15" s="683">
        <v>4</v>
      </c>
      <c r="G15" s="21" t="str">
        <f>IFERROR(VLOOKUP(E15,'Piping Class'!$90:$102,7,0),"")</f>
        <v>SS</v>
      </c>
      <c r="H15" s="21">
        <f>IFERROR(VLOOKUP(E15,'Piping Class'!$90:$102,2,0),"")</f>
        <v>300</v>
      </c>
      <c r="I15" s="680"/>
      <c r="J15" s="611" t="str">
        <f t="shared" si="0"/>
        <v>OUT</v>
      </c>
      <c r="K15" s="1369">
        <v>1</v>
      </c>
      <c r="L15" s="680"/>
      <c r="M15" s="680"/>
      <c r="N15" s="680"/>
      <c r="O15" s="680"/>
      <c r="P15" s="680"/>
      <c r="Q15" s="680"/>
      <c r="R15" s="680"/>
      <c r="S15" s="680"/>
      <c r="T15" s="684"/>
      <c r="U15" s="684"/>
      <c r="V15" s="684"/>
      <c r="W15" s="684"/>
      <c r="X15" s="684"/>
      <c r="Y15" s="684"/>
      <c r="Z15" s="271">
        <f t="shared" si="1"/>
        <v>1</v>
      </c>
      <c r="AA15" s="865"/>
      <c r="AB15" s="21">
        <f t="shared" si="2"/>
        <v>2</v>
      </c>
      <c r="AC15" s="21">
        <f>IFERROR(AB15*Z15,"")</f>
        <v>2</v>
      </c>
      <c r="AD15" s="1368">
        <v>0.5</v>
      </c>
      <c r="AE15" s="21">
        <f t="shared" si="10"/>
        <v>0.5</v>
      </c>
      <c r="AF15" s="1371">
        <v>9500</v>
      </c>
      <c r="AG15" s="1317">
        <f t="shared" si="11"/>
        <v>9500</v>
      </c>
      <c r="AH15" s="1374" t="s">
        <v>2121</v>
      </c>
      <c r="AJ15" s="91" t="s">
        <v>1970</v>
      </c>
      <c r="AK15" s="680">
        <v>0.5</v>
      </c>
      <c r="AL15" s="331" t="s">
        <v>1721</v>
      </c>
      <c r="AN15" s="1545">
        <f t="shared" si="4"/>
        <v>0</v>
      </c>
      <c r="AO15" s="1545">
        <f t="shared" si="5"/>
        <v>0</v>
      </c>
      <c r="AP15" s="1545">
        <f t="shared" si="5"/>
        <v>0</v>
      </c>
      <c r="AQ15" s="1545">
        <f t="shared" si="5"/>
        <v>0</v>
      </c>
      <c r="AR15" s="1545">
        <f t="shared" si="5"/>
        <v>0</v>
      </c>
      <c r="AS15" s="1545">
        <f t="shared" si="5"/>
        <v>0</v>
      </c>
      <c r="AT15" s="1545">
        <f t="shared" si="5"/>
        <v>0</v>
      </c>
      <c r="AU15" s="1545">
        <f t="shared" si="5"/>
        <v>0</v>
      </c>
      <c r="AV15" s="1545">
        <f t="shared" si="5"/>
        <v>0</v>
      </c>
      <c r="AW15" s="1545">
        <f t="shared" si="5"/>
        <v>0</v>
      </c>
      <c r="AX15" s="1545">
        <f t="shared" si="5"/>
        <v>0</v>
      </c>
      <c r="AY15" s="1545">
        <f t="shared" si="5"/>
        <v>0</v>
      </c>
      <c r="AZ15" s="1545">
        <f t="shared" si="5"/>
        <v>1</v>
      </c>
      <c r="BA15" s="1545">
        <f t="shared" si="22"/>
        <v>0</v>
      </c>
      <c r="BB15" s="1545">
        <f t="shared" si="22"/>
        <v>0</v>
      </c>
      <c r="BC15" s="1545">
        <f t="shared" si="22"/>
        <v>0</v>
      </c>
      <c r="BD15" s="1545">
        <f t="shared" si="22"/>
        <v>0</v>
      </c>
      <c r="BE15" s="1545">
        <f t="shared" si="22"/>
        <v>0</v>
      </c>
      <c r="BF15" s="1545">
        <f t="shared" si="5"/>
        <v>0</v>
      </c>
      <c r="BH15" s="1546">
        <f t="shared" si="12"/>
        <v>0</v>
      </c>
      <c r="BI15" s="1546">
        <f t="shared" si="12"/>
        <v>0</v>
      </c>
      <c r="BK15" s="1545">
        <f t="shared" si="13"/>
        <v>0</v>
      </c>
      <c r="BL15" s="1545">
        <f t="shared" si="13"/>
        <v>1</v>
      </c>
      <c r="BM15" s="1545">
        <f t="shared" si="14"/>
        <v>1</v>
      </c>
      <c r="BO15" s="1545">
        <f t="shared" si="15"/>
        <v>0</v>
      </c>
      <c r="BP15" s="1545">
        <f t="shared" si="15"/>
        <v>0</v>
      </c>
      <c r="BR15" s="1546">
        <f t="shared" si="16"/>
        <v>0</v>
      </c>
      <c r="BS15" s="1546">
        <f t="shared" si="6"/>
        <v>0</v>
      </c>
      <c r="BT15" s="1546">
        <f t="shared" si="6"/>
        <v>0</v>
      </c>
      <c r="BU15" s="1546">
        <f t="shared" si="6"/>
        <v>0</v>
      </c>
      <c r="BV15" s="1546">
        <f t="shared" si="6"/>
        <v>0</v>
      </c>
      <c r="BW15" s="1546">
        <f t="shared" si="6"/>
        <v>0</v>
      </c>
      <c r="BX15" s="1546">
        <f t="shared" si="6"/>
        <v>0</v>
      </c>
      <c r="BY15" s="1546">
        <f t="shared" si="6"/>
        <v>0</v>
      </c>
      <c r="BZ15" s="1546">
        <f t="shared" si="6"/>
        <v>0</v>
      </c>
      <c r="CA15" s="1546">
        <f t="shared" si="6"/>
        <v>0</v>
      </c>
      <c r="CB15" s="1546">
        <f t="shared" si="6"/>
        <v>0</v>
      </c>
      <c r="CC15" s="1546">
        <f t="shared" si="6"/>
        <v>0</v>
      </c>
      <c r="CD15" s="1546">
        <f t="shared" si="6"/>
        <v>0</v>
      </c>
      <c r="CE15" s="1546">
        <f t="shared" si="6"/>
        <v>0</v>
      </c>
      <c r="CF15" s="1546">
        <f t="shared" si="6"/>
        <v>0</v>
      </c>
      <c r="CG15" s="1546">
        <f t="shared" si="6"/>
        <v>0</v>
      </c>
      <c r="CH15" s="1546">
        <f t="shared" si="17"/>
        <v>1</v>
      </c>
      <c r="CJ15" s="1546">
        <f t="shared" si="18"/>
        <v>0</v>
      </c>
      <c r="CK15" s="1546">
        <f t="shared" si="7"/>
        <v>0</v>
      </c>
      <c r="CL15" s="1546">
        <f t="shared" si="7"/>
        <v>0</v>
      </c>
      <c r="CM15" s="1546">
        <f t="shared" si="7"/>
        <v>0</v>
      </c>
      <c r="CN15" s="1546">
        <f t="shared" si="7"/>
        <v>0</v>
      </c>
      <c r="CO15" s="1546">
        <f t="shared" si="7"/>
        <v>0</v>
      </c>
      <c r="CP15" s="1546">
        <f t="shared" si="7"/>
        <v>0</v>
      </c>
      <c r="CQ15" s="1546">
        <f t="shared" si="7"/>
        <v>1</v>
      </c>
      <c r="CR15" s="1546">
        <f t="shared" si="7"/>
        <v>0</v>
      </c>
      <c r="CS15" s="1546">
        <f t="shared" si="7"/>
        <v>0</v>
      </c>
      <c r="CT15" s="1546">
        <f t="shared" si="7"/>
        <v>0</v>
      </c>
      <c r="CU15" s="1546">
        <f t="shared" si="7"/>
        <v>0</v>
      </c>
      <c r="CV15" s="1546">
        <f t="shared" si="7"/>
        <v>0</v>
      </c>
      <c r="CW15" s="1546">
        <f t="shared" si="7"/>
        <v>0</v>
      </c>
      <c r="CX15" s="1546">
        <f t="shared" si="7"/>
        <v>0</v>
      </c>
      <c r="CY15" s="1546">
        <f t="shared" si="7"/>
        <v>0</v>
      </c>
      <c r="CZ15" s="1546">
        <f t="shared" si="7"/>
        <v>0</v>
      </c>
      <c r="DA15" s="1546">
        <f t="shared" si="7"/>
        <v>0</v>
      </c>
      <c r="DB15" s="1546">
        <f t="shared" si="8"/>
        <v>0</v>
      </c>
      <c r="DC15" s="1546">
        <f t="shared" si="8"/>
        <v>0</v>
      </c>
      <c r="DD15" s="1546">
        <f t="shared" si="8"/>
        <v>0</v>
      </c>
      <c r="DE15" s="1546">
        <f t="shared" si="8"/>
        <v>0</v>
      </c>
      <c r="DF15" s="1546">
        <f t="shared" si="8"/>
        <v>0</v>
      </c>
      <c r="DG15" s="1546">
        <f t="shared" si="8"/>
        <v>0</v>
      </c>
      <c r="DH15" s="1546">
        <f t="shared" si="8"/>
        <v>0</v>
      </c>
      <c r="DI15" s="1546">
        <f t="shared" si="8"/>
        <v>0</v>
      </c>
      <c r="DJ15" s="1546">
        <f t="shared" si="8"/>
        <v>0</v>
      </c>
      <c r="DK15" s="3"/>
      <c r="DM15" s="1546">
        <f t="shared" si="19"/>
        <v>1</v>
      </c>
      <c r="DN15" s="3"/>
      <c r="DO15" s="1546">
        <f t="shared" si="20"/>
        <v>1</v>
      </c>
      <c r="DQ15" s="1546">
        <f t="shared" si="21"/>
        <v>0</v>
      </c>
      <c r="DR15" s="1546">
        <f t="shared" si="9"/>
        <v>1</v>
      </c>
      <c r="DS15" s="1546">
        <f t="shared" si="9"/>
        <v>0</v>
      </c>
      <c r="DT15" s="1546">
        <f t="shared" si="9"/>
        <v>0</v>
      </c>
      <c r="DU15" s="1546">
        <f t="shared" si="9"/>
        <v>0</v>
      </c>
      <c r="DV15" s="1546">
        <f t="shared" si="9"/>
        <v>0</v>
      </c>
      <c r="DW15" s="1546">
        <f t="shared" si="9"/>
        <v>0</v>
      </c>
      <c r="DX15" s="1546">
        <f t="shared" si="9"/>
        <v>0</v>
      </c>
      <c r="DY15" s="1546">
        <f t="shared" si="9"/>
        <v>0</v>
      </c>
      <c r="DZ15" s="1546">
        <f t="shared" si="9"/>
        <v>0</v>
      </c>
      <c r="EA15" s="1546">
        <f t="shared" si="9"/>
        <v>0</v>
      </c>
      <c r="EB15" s="1546">
        <f t="shared" si="9"/>
        <v>0</v>
      </c>
      <c r="EC15" s="1546">
        <f t="shared" si="9"/>
        <v>0</v>
      </c>
    </row>
    <row r="16" spans="1:133" x14ac:dyDescent="0.3">
      <c r="A16" s="91">
        <v>13</v>
      </c>
      <c r="B16" s="680" t="s">
        <v>1964</v>
      </c>
      <c r="C16" s="680" t="s">
        <v>1968</v>
      </c>
      <c r="D16" s="680"/>
      <c r="E16" s="680" t="s">
        <v>67</v>
      </c>
      <c r="F16" s="683">
        <v>0.75</v>
      </c>
      <c r="G16" s="21" t="str">
        <f>IFERROR(VLOOKUP(E16,'Piping Class'!$90:$102,7,0),"")</f>
        <v>SS</v>
      </c>
      <c r="H16" s="21">
        <f>IFERROR(VLOOKUP(E16,'Piping Class'!$90:$102,2,0),"")</f>
        <v>300</v>
      </c>
      <c r="I16" s="680"/>
      <c r="J16" s="611" t="str">
        <f t="shared" si="0"/>
        <v>OUT</v>
      </c>
      <c r="K16" s="1369"/>
      <c r="L16" s="680"/>
      <c r="M16" s="680"/>
      <c r="N16" s="680"/>
      <c r="O16" s="680"/>
      <c r="P16" s="680"/>
      <c r="Q16" s="680"/>
      <c r="R16" s="680"/>
      <c r="S16" s="680"/>
      <c r="T16" s="684"/>
      <c r="U16" s="684"/>
      <c r="V16" s="684"/>
      <c r="W16" s="684"/>
      <c r="X16" s="684"/>
      <c r="Y16" s="684"/>
      <c r="Z16" s="271">
        <f t="shared" si="1"/>
        <v>0</v>
      </c>
      <c r="AA16" s="865"/>
      <c r="AB16" s="21">
        <f t="shared" si="2"/>
        <v>2</v>
      </c>
      <c r="AC16" s="21">
        <f t="shared" si="3"/>
        <v>0</v>
      </c>
      <c r="AD16" s="1369"/>
      <c r="AE16" s="21">
        <f t="shared" si="10"/>
        <v>0</v>
      </c>
      <c r="AF16" s="1371"/>
      <c r="AG16" s="1317">
        <f t="shared" si="11"/>
        <v>0</v>
      </c>
      <c r="AH16" s="1374"/>
      <c r="AJ16" s="91" t="s">
        <v>1962</v>
      </c>
      <c r="AK16" s="680">
        <v>0.5</v>
      </c>
      <c r="AL16" s="331" t="s">
        <v>1721</v>
      </c>
      <c r="AN16" s="1545">
        <f t="shared" si="4"/>
        <v>0</v>
      </c>
      <c r="AO16" s="1545">
        <f t="shared" si="5"/>
        <v>0</v>
      </c>
      <c r="AP16" s="1545">
        <f t="shared" si="5"/>
        <v>0</v>
      </c>
      <c r="AQ16" s="1545">
        <f t="shared" si="5"/>
        <v>0</v>
      </c>
      <c r="AR16" s="1545">
        <f t="shared" si="5"/>
        <v>0</v>
      </c>
      <c r="AS16" s="1545">
        <f t="shared" si="5"/>
        <v>0</v>
      </c>
      <c r="AT16" s="1545">
        <f t="shared" si="5"/>
        <v>0</v>
      </c>
      <c r="AU16" s="1545">
        <f t="shared" si="5"/>
        <v>0</v>
      </c>
      <c r="AV16" s="1545">
        <f t="shared" si="5"/>
        <v>0</v>
      </c>
      <c r="AW16" s="1545">
        <f t="shared" si="5"/>
        <v>0</v>
      </c>
      <c r="AX16" s="1545">
        <f t="shared" si="5"/>
        <v>0</v>
      </c>
      <c r="AY16" s="1545">
        <f t="shared" si="5"/>
        <v>0</v>
      </c>
      <c r="AZ16" s="1545">
        <f t="shared" si="5"/>
        <v>1</v>
      </c>
      <c r="BA16" s="1545">
        <f t="shared" si="22"/>
        <v>0</v>
      </c>
      <c r="BB16" s="1545">
        <f t="shared" si="22"/>
        <v>0</v>
      </c>
      <c r="BC16" s="1545">
        <f t="shared" si="22"/>
        <v>0</v>
      </c>
      <c r="BD16" s="1545">
        <f t="shared" si="22"/>
        <v>0</v>
      </c>
      <c r="BE16" s="1545">
        <f t="shared" si="22"/>
        <v>0</v>
      </c>
      <c r="BF16" s="1545">
        <f t="shared" si="5"/>
        <v>0</v>
      </c>
      <c r="BH16" s="1546">
        <f t="shared" si="12"/>
        <v>0</v>
      </c>
      <c r="BI16" s="1546">
        <f t="shared" si="12"/>
        <v>0</v>
      </c>
      <c r="BK16" s="1545">
        <f t="shared" si="13"/>
        <v>0</v>
      </c>
      <c r="BL16" s="1545">
        <f t="shared" si="13"/>
        <v>1</v>
      </c>
      <c r="BM16" s="1545">
        <f t="shared" si="14"/>
        <v>1</v>
      </c>
      <c r="BO16" s="1545">
        <f t="shared" si="15"/>
        <v>0</v>
      </c>
      <c r="BP16" s="1545">
        <f t="shared" si="15"/>
        <v>0</v>
      </c>
      <c r="BR16" s="1546">
        <f t="shared" si="16"/>
        <v>0</v>
      </c>
      <c r="BS16" s="1546">
        <f t="shared" si="6"/>
        <v>0</v>
      </c>
      <c r="BT16" s="1546">
        <f t="shared" si="6"/>
        <v>0</v>
      </c>
      <c r="BU16" s="1546">
        <f t="shared" si="6"/>
        <v>0</v>
      </c>
      <c r="BV16" s="1546">
        <f t="shared" si="6"/>
        <v>0</v>
      </c>
      <c r="BW16" s="1546">
        <f t="shared" si="6"/>
        <v>0</v>
      </c>
      <c r="BX16" s="1546">
        <f t="shared" si="6"/>
        <v>0</v>
      </c>
      <c r="BY16" s="1546">
        <f t="shared" si="6"/>
        <v>0</v>
      </c>
      <c r="BZ16" s="1546">
        <f t="shared" si="6"/>
        <v>0</v>
      </c>
      <c r="CA16" s="1546">
        <f t="shared" si="6"/>
        <v>0</v>
      </c>
      <c r="CB16" s="1546">
        <f t="shared" si="6"/>
        <v>0</v>
      </c>
      <c r="CC16" s="1546">
        <f t="shared" si="6"/>
        <v>0</v>
      </c>
      <c r="CD16" s="1546">
        <f t="shared" si="6"/>
        <v>0</v>
      </c>
      <c r="CE16" s="1546">
        <f t="shared" si="6"/>
        <v>0</v>
      </c>
      <c r="CF16" s="1546">
        <f t="shared" si="6"/>
        <v>0</v>
      </c>
      <c r="CG16" s="1546">
        <f t="shared" si="6"/>
        <v>0</v>
      </c>
      <c r="CH16" s="1546">
        <f t="shared" si="17"/>
        <v>1</v>
      </c>
      <c r="CJ16" s="1546">
        <f t="shared" si="18"/>
        <v>0</v>
      </c>
      <c r="CK16" s="1546">
        <f t="shared" si="7"/>
        <v>1</v>
      </c>
      <c r="CL16" s="1546">
        <f t="shared" si="7"/>
        <v>0</v>
      </c>
      <c r="CM16" s="1546">
        <f t="shared" si="7"/>
        <v>0</v>
      </c>
      <c r="CN16" s="1546">
        <f t="shared" si="7"/>
        <v>0</v>
      </c>
      <c r="CO16" s="1546">
        <f t="shared" si="7"/>
        <v>0</v>
      </c>
      <c r="CP16" s="1546">
        <f t="shared" si="7"/>
        <v>0</v>
      </c>
      <c r="CQ16" s="1546">
        <f t="shared" si="7"/>
        <v>0</v>
      </c>
      <c r="CR16" s="1546">
        <f t="shared" si="7"/>
        <v>0</v>
      </c>
      <c r="CS16" s="1546">
        <f t="shared" si="7"/>
        <v>0</v>
      </c>
      <c r="CT16" s="1546">
        <f t="shared" si="7"/>
        <v>0</v>
      </c>
      <c r="CU16" s="1546">
        <f t="shared" si="7"/>
        <v>0</v>
      </c>
      <c r="CV16" s="1546">
        <f t="shared" si="7"/>
        <v>0</v>
      </c>
      <c r="CW16" s="1546">
        <f t="shared" si="7"/>
        <v>0</v>
      </c>
      <c r="CX16" s="1546">
        <f t="shared" si="7"/>
        <v>0</v>
      </c>
      <c r="CY16" s="1546">
        <f t="shared" si="7"/>
        <v>0</v>
      </c>
      <c r="CZ16" s="1546">
        <f t="shared" si="7"/>
        <v>0</v>
      </c>
      <c r="DA16" s="1546">
        <f t="shared" si="7"/>
        <v>0</v>
      </c>
      <c r="DB16" s="1546">
        <f t="shared" si="8"/>
        <v>0</v>
      </c>
      <c r="DC16" s="1546">
        <f t="shared" si="8"/>
        <v>0</v>
      </c>
      <c r="DD16" s="1546">
        <f t="shared" si="8"/>
        <v>0</v>
      </c>
      <c r="DE16" s="1546">
        <f t="shared" si="8"/>
        <v>0</v>
      </c>
      <c r="DF16" s="1546">
        <f t="shared" si="8"/>
        <v>0</v>
      </c>
      <c r="DG16" s="1546">
        <f t="shared" si="8"/>
        <v>0</v>
      </c>
      <c r="DH16" s="1546">
        <f t="shared" si="8"/>
        <v>0</v>
      </c>
      <c r="DI16" s="1546">
        <f t="shared" si="8"/>
        <v>0</v>
      </c>
      <c r="DJ16" s="1546">
        <f t="shared" si="8"/>
        <v>0</v>
      </c>
      <c r="DK16" s="3"/>
      <c r="DM16" s="1546">
        <f t="shared" si="19"/>
        <v>1</v>
      </c>
      <c r="DN16" s="3"/>
      <c r="DO16" s="1546">
        <f t="shared" si="20"/>
        <v>1</v>
      </c>
      <c r="DQ16" s="1546">
        <f t="shared" si="21"/>
        <v>0</v>
      </c>
      <c r="DR16" s="1546">
        <f t="shared" si="9"/>
        <v>1</v>
      </c>
      <c r="DS16" s="1546">
        <f t="shared" si="9"/>
        <v>0</v>
      </c>
      <c r="DT16" s="1546">
        <f t="shared" si="9"/>
        <v>0</v>
      </c>
      <c r="DU16" s="1546">
        <f t="shared" si="9"/>
        <v>0</v>
      </c>
      <c r="DV16" s="1546">
        <f t="shared" si="9"/>
        <v>0</v>
      </c>
      <c r="DW16" s="1546">
        <f t="shared" si="9"/>
        <v>0</v>
      </c>
      <c r="DX16" s="1546">
        <f t="shared" si="9"/>
        <v>0</v>
      </c>
      <c r="DY16" s="1546">
        <f t="shared" si="9"/>
        <v>0</v>
      </c>
      <c r="DZ16" s="1546">
        <f t="shared" si="9"/>
        <v>0</v>
      </c>
      <c r="EA16" s="1546">
        <f t="shared" si="9"/>
        <v>0</v>
      </c>
      <c r="EB16" s="1546">
        <f t="shared" si="9"/>
        <v>0</v>
      </c>
      <c r="EC16" s="1546">
        <f t="shared" si="9"/>
        <v>0</v>
      </c>
    </row>
    <row r="17" spans="1:133" x14ac:dyDescent="0.3">
      <c r="A17" s="91">
        <v>14</v>
      </c>
      <c r="B17" s="680" t="s">
        <v>1964</v>
      </c>
      <c r="C17" s="680" t="s">
        <v>1968</v>
      </c>
      <c r="D17" s="680"/>
      <c r="E17" s="680" t="s">
        <v>67</v>
      </c>
      <c r="F17" s="683">
        <v>1</v>
      </c>
      <c r="G17" s="21" t="str">
        <f>IFERROR(VLOOKUP(E17,'Piping Class'!$90:$102,7,0),"")</f>
        <v>SS</v>
      </c>
      <c r="H17" s="21">
        <f>IFERROR(VLOOKUP(E17,'Piping Class'!$90:$102,2,0),"")</f>
        <v>300</v>
      </c>
      <c r="I17" s="680"/>
      <c r="J17" s="611" t="str">
        <f t="shared" si="0"/>
        <v>OUT</v>
      </c>
      <c r="K17" s="1369">
        <v>0</v>
      </c>
      <c r="L17" s="680"/>
      <c r="M17" s="680"/>
      <c r="N17" s="680"/>
      <c r="O17" s="680"/>
      <c r="P17" s="680"/>
      <c r="Q17" s="680"/>
      <c r="R17" s="680"/>
      <c r="S17" s="680"/>
      <c r="T17" s="684"/>
      <c r="U17" s="684"/>
      <c r="V17" s="684"/>
      <c r="W17" s="684"/>
      <c r="X17" s="684"/>
      <c r="Y17" s="684"/>
      <c r="Z17" s="271">
        <f t="shared" si="1"/>
        <v>0</v>
      </c>
      <c r="AA17" s="865" t="s">
        <v>1664</v>
      </c>
      <c r="AB17" s="21">
        <f t="shared" si="2"/>
        <v>2</v>
      </c>
      <c r="AC17" s="21">
        <f t="shared" si="3"/>
        <v>0</v>
      </c>
      <c r="AD17" s="1369"/>
      <c r="AE17" s="21">
        <f t="shared" si="10"/>
        <v>0</v>
      </c>
      <c r="AF17" s="1371">
        <v>1200</v>
      </c>
      <c r="AG17" s="1317">
        <f t="shared" si="11"/>
        <v>0</v>
      </c>
      <c r="AH17" s="1374"/>
      <c r="AJ17" s="91" t="s">
        <v>1959</v>
      </c>
      <c r="AK17" s="680">
        <v>1.5</v>
      </c>
      <c r="AL17" s="331" t="s">
        <v>1721</v>
      </c>
      <c r="AN17" s="1545">
        <f t="shared" si="4"/>
        <v>0</v>
      </c>
      <c r="AO17" s="1545">
        <f t="shared" si="5"/>
        <v>0</v>
      </c>
      <c r="AP17" s="1545">
        <f t="shared" si="5"/>
        <v>0</v>
      </c>
      <c r="AQ17" s="1545">
        <f t="shared" si="5"/>
        <v>0</v>
      </c>
      <c r="AR17" s="1545">
        <f t="shared" si="5"/>
        <v>0</v>
      </c>
      <c r="AS17" s="1545">
        <f t="shared" si="5"/>
        <v>0</v>
      </c>
      <c r="AT17" s="1545">
        <f t="shared" si="5"/>
        <v>0</v>
      </c>
      <c r="AU17" s="1545">
        <f t="shared" si="5"/>
        <v>0</v>
      </c>
      <c r="AV17" s="1545">
        <f t="shared" si="5"/>
        <v>0</v>
      </c>
      <c r="AW17" s="1545">
        <f t="shared" si="5"/>
        <v>0</v>
      </c>
      <c r="AX17" s="1545">
        <f t="shared" si="5"/>
        <v>0</v>
      </c>
      <c r="AY17" s="1545">
        <f t="shared" si="5"/>
        <v>0</v>
      </c>
      <c r="AZ17" s="1545">
        <f t="shared" si="5"/>
        <v>1</v>
      </c>
      <c r="BA17" s="1545">
        <f t="shared" si="22"/>
        <v>0</v>
      </c>
      <c r="BB17" s="1545">
        <f t="shared" si="22"/>
        <v>0</v>
      </c>
      <c r="BC17" s="1545">
        <f t="shared" si="22"/>
        <v>0</v>
      </c>
      <c r="BD17" s="1545">
        <f t="shared" si="22"/>
        <v>0</v>
      </c>
      <c r="BE17" s="1545">
        <f t="shared" si="22"/>
        <v>0</v>
      </c>
      <c r="BF17" s="1545">
        <f t="shared" si="5"/>
        <v>0</v>
      </c>
      <c r="BH17" s="1546">
        <f t="shared" si="12"/>
        <v>0</v>
      </c>
      <c r="BI17" s="1546">
        <f t="shared" si="12"/>
        <v>0</v>
      </c>
      <c r="BK17" s="1545">
        <f t="shared" si="13"/>
        <v>0</v>
      </c>
      <c r="BL17" s="1545">
        <f t="shared" si="13"/>
        <v>1</v>
      </c>
      <c r="BM17" s="1545">
        <f t="shared" si="14"/>
        <v>1</v>
      </c>
      <c r="BO17" s="1545">
        <f t="shared" si="15"/>
        <v>0</v>
      </c>
      <c r="BP17" s="1545">
        <f t="shared" si="15"/>
        <v>0</v>
      </c>
      <c r="BR17" s="1546">
        <f t="shared" si="16"/>
        <v>0</v>
      </c>
      <c r="BS17" s="1546">
        <f t="shared" si="6"/>
        <v>0</v>
      </c>
      <c r="BT17" s="1546">
        <f t="shared" si="6"/>
        <v>0</v>
      </c>
      <c r="BU17" s="1546">
        <f t="shared" si="6"/>
        <v>0</v>
      </c>
      <c r="BV17" s="1546">
        <f t="shared" si="6"/>
        <v>0</v>
      </c>
      <c r="BW17" s="1546">
        <f t="shared" si="6"/>
        <v>0</v>
      </c>
      <c r="BX17" s="1546">
        <f t="shared" si="6"/>
        <v>0</v>
      </c>
      <c r="BY17" s="1546">
        <f t="shared" si="6"/>
        <v>0</v>
      </c>
      <c r="BZ17" s="1546">
        <f t="shared" si="6"/>
        <v>0</v>
      </c>
      <c r="CA17" s="1546">
        <f t="shared" si="6"/>
        <v>0</v>
      </c>
      <c r="CB17" s="1546">
        <f t="shared" si="6"/>
        <v>0</v>
      </c>
      <c r="CC17" s="1546">
        <f t="shared" si="6"/>
        <v>0</v>
      </c>
      <c r="CD17" s="1546">
        <f t="shared" si="6"/>
        <v>0</v>
      </c>
      <c r="CE17" s="1546">
        <f t="shared" si="6"/>
        <v>0</v>
      </c>
      <c r="CF17" s="1546">
        <f t="shared" si="6"/>
        <v>0</v>
      </c>
      <c r="CG17" s="1546">
        <f t="shared" si="6"/>
        <v>0</v>
      </c>
      <c r="CH17" s="1546">
        <f t="shared" si="17"/>
        <v>0</v>
      </c>
      <c r="CJ17" s="1546">
        <f t="shared" si="18"/>
        <v>0</v>
      </c>
      <c r="CK17" s="1546">
        <f t="shared" si="7"/>
        <v>0</v>
      </c>
      <c r="CL17" s="1546">
        <f t="shared" si="7"/>
        <v>1</v>
      </c>
      <c r="CM17" s="1546">
        <f t="shared" si="7"/>
        <v>0</v>
      </c>
      <c r="CN17" s="1546">
        <f t="shared" si="7"/>
        <v>0</v>
      </c>
      <c r="CO17" s="1546">
        <f t="shared" si="7"/>
        <v>0</v>
      </c>
      <c r="CP17" s="1546">
        <f t="shared" si="7"/>
        <v>0</v>
      </c>
      <c r="CQ17" s="1546">
        <f t="shared" si="7"/>
        <v>0</v>
      </c>
      <c r="CR17" s="1546">
        <f t="shared" si="7"/>
        <v>0</v>
      </c>
      <c r="CS17" s="1546">
        <f t="shared" si="7"/>
        <v>0</v>
      </c>
      <c r="CT17" s="1546">
        <f t="shared" si="7"/>
        <v>0</v>
      </c>
      <c r="CU17" s="1546">
        <f t="shared" si="7"/>
        <v>0</v>
      </c>
      <c r="CV17" s="1546">
        <f t="shared" si="7"/>
        <v>0</v>
      </c>
      <c r="CW17" s="1546">
        <f t="shared" si="7"/>
        <v>0</v>
      </c>
      <c r="CX17" s="1546">
        <f t="shared" si="7"/>
        <v>0</v>
      </c>
      <c r="CY17" s="1546">
        <f t="shared" si="7"/>
        <v>0</v>
      </c>
      <c r="CZ17" s="1546">
        <f t="shared" si="7"/>
        <v>0</v>
      </c>
      <c r="DA17" s="1546">
        <f t="shared" si="7"/>
        <v>0</v>
      </c>
      <c r="DB17" s="1546">
        <f t="shared" si="8"/>
        <v>0</v>
      </c>
      <c r="DC17" s="1546">
        <f t="shared" si="8"/>
        <v>0</v>
      </c>
      <c r="DD17" s="1546">
        <f t="shared" si="8"/>
        <v>0</v>
      </c>
      <c r="DE17" s="1546">
        <f t="shared" si="8"/>
        <v>0</v>
      </c>
      <c r="DF17" s="1546">
        <f t="shared" si="8"/>
        <v>0</v>
      </c>
      <c r="DG17" s="1546">
        <f t="shared" si="8"/>
        <v>0</v>
      </c>
      <c r="DH17" s="1546">
        <f t="shared" si="8"/>
        <v>0</v>
      </c>
      <c r="DI17" s="1546">
        <f t="shared" si="8"/>
        <v>0</v>
      </c>
      <c r="DJ17" s="1546">
        <f t="shared" si="8"/>
        <v>0</v>
      </c>
      <c r="DK17" s="3"/>
      <c r="DM17" s="1546">
        <f t="shared" si="19"/>
        <v>1</v>
      </c>
      <c r="DN17" s="3"/>
      <c r="DO17" s="1546">
        <f t="shared" si="20"/>
        <v>1</v>
      </c>
      <c r="DQ17" s="1546">
        <f t="shared" si="21"/>
        <v>0</v>
      </c>
      <c r="DR17" s="1546">
        <f t="shared" si="9"/>
        <v>1</v>
      </c>
      <c r="DS17" s="1546">
        <f t="shared" si="9"/>
        <v>0</v>
      </c>
      <c r="DT17" s="1546">
        <f t="shared" si="9"/>
        <v>0</v>
      </c>
      <c r="DU17" s="1546">
        <f t="shared" si="9"/>
        <v>0</v>
      </c>
      <c r="DV17" s="1546">
        <f t="shared" si="9"/>
        <v>0</v>
      </c>
      <c r="DW17" s="1546">
        <f t="shared" si="9"/>
        <v>0</v>
      </c>
      <c r="DX17" s="1546">
        <f t="shared" si="9"/>
        <v>0</v>
      </c>
      <c r="DY17" s="1546">
        <f t="shared" si="9"/>
        <v>0</v>
      </c>
      <c r="DZ17" s="1546">
        <f t="shared" si="9"/>
        <v>0</v>
      </c>
      <c r="EA17" s="1546">
        <f t="shared" si="9"/>
        <v>0</v>
      </c>
      <c r="EB17" s="1546">
        <f t="shared" si="9"/>
        <v>0</v>
      </c>
      <c r="EC17" s="1546">
        <f t="shared" si="9"/>
        <v>0</v>
      </c>
    </row>
    <row r="18" spans="1:133" x14ac:dyDescent="0.3">
      <c r="A18" s="91">
        <v>15</v>
      </c>
      <c r="B18" s="680" t="s">
        <v>1932</v>
      </c>
      <c r="C18" s="680" t="s">
        <v>1934</v>
      </c>
      <c r="D18" s="680"/>
      <c r="E18" s="680" t="s">
        <v>61</v>
      </c>
      <c r="F18" s="683">
        <v>4</v>
      </c>
      <c r="G18" s="21" t="str">
        <f>IFERROR(VLOOKUP(E18,'Piping Class'!$90:$102,7,0),"")</f>
        <v>CS</v>
      </c>
      <c r="H18" s="21">
        <f>IFERROR(VLOOKUP(E18,'Piping Class'!$90:$102,2,0),"")</f>
        <v>150</v>
      </c>
      <c r="I18" s="680"/>
      <c r="J18" s="611" t="str">
        <f t="shared" si="0"/>
        <v>OUT</v>
      </c>
      <c r="K18" s="1368">
        <v>2</v>
      </c>
      <c r="L18" s="680"/>
      <c r="M18" s="680"/>
      <c r="N18" s="680"/>
      <c r="O18" s="680"/>
      <c r="P18" s="680"/>
      <c r="Q18" s="680"/>
      <c r="R18" s="680"/>
      <c r="S18" s="680"/>
      <c r="T18" s="684"/>
      <c r="U18" s="684"/>
      <c r="V18" s="684"/>
      <c r="W18" s="684"/>
      <c r="X18" s="684"/>
      <c r="Y18" s="684"/>
      <c r="Z18" s="271">
        <f t="shared" si="1"/>
        <v>2</v>
      </c>
      <c r="AA18" s="865" t="s">
        <v>1664</v>
      </c>
      <c r="AB18" s="21">
        <f t="shared" si="2"/>
        <v>4</v>
      </c>
      <c r="AC18" s="21">
        <f t="shared" si="3"/>
        <v>8</v>
      </c>
      <c r="AD18" s="1368">
        <v>10</v>
      </c>
      <c r="AE18" s="21">
        <f t="shared" si="10"/>
        <v>20</v>
      </c>
      <c r="AF18" s="1371">
        <v>5400</v>
      </c>
      <c r="AG18" s="1317">
        <f t="shared" si="11"/>
        <v>10800</v>
      </c>
      <c r="AH18" s="1373" t="s">
        <v>2121</v>
      </c>
      <c r="AJ18" s="91" t="s">
        <v>1971</v>
      </c>
      <c r="AK18" s="680">
        <v>1.5</v>
      </c>
      <c r="AL18" s="331" t="s">
        <v>1721</v>
      </c>
      <c r="AN18" s="1545">
        <f t="shared" si="4"/>
        <v>0</v>
      </c>
      <c r="AO18" s="1545">
        <f t="shared" si="5"/>
        <v>0</v>
      </c>
      <c r="AP18" s="1545">
        <f t="shared" si="5"/>
        <v>0</v>
      </c>
      <c r="AQ18" s="1545">
        <f t="shared" si="5"/>
        <v>0</v>
      </c>
      <c r="AR18" s="1545">
        <f t="shared" si="5"/>
        <v>0</v>
      </c>
      <c r="AS18" s="1545">
        <f t="shared" si="5"/>
        <v>0</v>
      </c>
      <c r="AT18" s="1545">
        <f t="shared" si="5"/>
        <v>0</v>
      </c>
      <c r="AU18" s="1545">
        <f t="shared" si="5"/>
        <v>0</v>
      </c>
      <c r="AV18" s="1545">
        <f t="shared" si="5"/>
        <v>0</v>
      </c>
      <c r="AW18" s="1545">
        <f t="shared" si="5"/>
        <v>0</v>
      </c>
      <c r="AX18" s="1545">
        <f t="shared" si="5"/>
        <v>0</v>
      </c>
      <c r="AY18" s="1545">
        <f t="shared" si="5"/>
        <v>0</v>
      </c>
      <c r="AZ18" s="1545">
        <f t="shared" si="5"/>
        <v>0</v>
      </c>
      <c r="BA18" s="1545">
        <f t="shared" si="22"/>
        <v>0</v>
      </c>
      <c r="BB18" s="1545">
        <f t="shared" si="22"/>
        <v>0</v>
      </c>
      <c r="BC18" s="1545">
        <f t="shared" si="22"/>
        <v>0</v>
      </c>
      <c r="BD18" s="1545">
        <f t="shared" si="22"/>
        <v>0</v>
      </c>
      <c r="BE18" s="1545">
        <f t="shared" si="22"/>
        <v>1</v>
      </c>
      <c r="BF18" s="1545">
        <f t="shared" si="5"/>
        <v>0</v>
      </c>
      <c r="BH18" s="1546">
        <f t="shared" si="12"/>
        <v>0</v>
      </c>
      <c r="BI18" s="1546">
        <f t="shared" si="12"/>
        <v>1</v>
      </c>
      <c r="BK18" s="1545">
        <f t="shared" si="13"/>
        <v>0</v>
      </c>
      <c r="BL18" s="1545">
        <f t="shared" si="13"/>
        <v>1</v>
      </c>
      <c r="BM18" s="1545">
        <f t="shared" si="14"/>
        <v>1</v>
      </c>
      <c r="BO18" s="1545">
        <f t="shared" si="15"/>
        <v>0</v>
      </c>
      <c r="BP18" s="1545">
        <f t="shared" si="15"/>
        <v>0</v>
      </c>
      <c r="BR18" s="1546">
        <f t="shared" si="16"/>
        <v>0</v>
      </c>
      <c r="BS18" s="1546">
        <f t="shared" si="6"/>
        <v>0</v>
      </c>
      <c r="BT18" s="1546">
        <f t="shared" si="6"/>
        <v>0</v>
      </c>
      <c r="BU18" s="1546">
        <f t="shared" si="6"/>
        <v>0</v>
      </c>
      <c r="BV18" s="1546">
        <f t="shared" si="6"/>
        <v>0</v>
      </c>
      <c r="BW18" s="1546">
        <f t="shared" si="6"/>
        <v>0</v>
      </c>
      <c r="BX18" s="1546">
        <f t="shared" si="6"/>
        <v>0</v>
      </c>
      <c r="BY18" s="1546">
        <f t="shared" si="6"/>
        <v>0</v>
      </c>
      <c r="BZ18" s="1546">
        <f t="shared" si="6"/>
        <v>0</v>
      </c>
      <c r="CA18" s="1546">
        <f t="shared" si="6"/>
        <v>0</v>
      </c>
      <c r="CB18" s="1546">
        <f t="shared" si="6"/>
        <v>0</v>
      </c>
      <c r="CC18" s="1546">
        <f t="shared" si="6"/>
        <v>0</v>
      </c>
      <c r="CD18" s="1546">
        <f t="shared" si="6"/>
        <v>0</v>
      </c>
      <c r="CE18" s="1546">
        <f t="shared" si="6"/>
        <v>0</v>
      </c>
      <c r="CF18" s="1546">
        <f t="shared" si="6"/>
        <v>0</v>
      </c>
      <c r="CG18" s="1546">
        <f t="shared" si="6"/>
        <v>0</v>
      </c>
      <c r="CH18" s="1546">
        <f t="shared" si="17"/>
        <v>0</v>
      </c>
      <c r="CJ18" s="1546">
        <f t="shared" si="18"/>
        <v>0</v>
      </c>
      <c r="CK18" s="1546">
        <f t="shared" si="7"/>
        <v>0</v>
      </c>
      <c r="CL18" s="1546">
        <f t="shared" si="7"/>
        <v>0</v>
      </c>
      <c r="CM18" s="1546">
        <f t="shared" si="7"/>
        <v>0</v>
      </c>
      <c r="CN18" s="1546">
        <f t="shared" si="7"/>
        <v>0</v>
      </c>
      <c r="CO18" s="1546">
        <f t="shared" si="7"/>
        <v>0</v>
      </c>
      <c r="CP18" s="1546">
        <f t="shared" si="7"/>
        <v>0</v>
      </c>
      <c r="CQ18" s="1546">
        <f t="shared" si="7"/>
        <v>1</v>
      </c>
      <c r="CR18" s="1546">
        <f t="shared" si="7"/>
        <v>0</v>
      </c>
      <c r="CS18" s="1546">
        <f t="shared" si="7"/>
        <v>0</v>
      </c>
      <c r="CT18" s="1546">
        <f t="shared" si="7"/>
        <v>0</v>
      </c>
      <c r="CU18" s="1546">
        <f t="shared" si="7"/>
        <v>0</v>
      </c>
      <c r="CV18" s="1546">
        <f t="shared" si="7"/>
        <v>0</v>
      </c>
      <c r="CW18" s="1546">
        <f t="shared" si="7"/>
        <v>0</v>
      </c>
      <c r="CX18" s="1546">
        <f t="shared" si="7"/>
        <v>0</v>
      </c>
      <c r="CY18" s="1546">
        <f t="shared" si="7"/>
        <v>0</v>
      </c>
      <c r="CZ18" s="1546">
        <f t="shared" si="7"/>
        <v>0</v>
      </c>
      <c r="DA18" s="1546">
        <f t="shared" si="7"/>
        <v>0</v>
      </c>
      <c r="DB18" s="1546">
        <f t="shared" si="8"/>
        <v>0</v>
      </c>
      <c r="DC18" s="1546">
        <f t="shared" si="8"/>
        <v>0</v>
      </c>
      <c r="DD18" s="1546">
        <f t="shared" si="8"/>
        <v>0</v>
      </c>
      <c r="DE18" s="1546">
        <f t="shared" si="8"/>
        <v>0</v>
      </c>
      <c r="DF18" s="1546">
        <f t="shared" si="8"/>
        <v>0</v>
      </c>
      <c r="DG18" s="1546">
        <f t="shared" si="8"/>
        <v>0</v>
      </c>
      <c r="DH18" s="1546">
        <f t="shared" si="8"/>
        <v>0</v>
      </c>
      <c r="DI18" s="1546">
        <f t="shared" si="8"/>
        <v>0</v>
      </c>
      <c r="DJ18" s="1546">
        <f t="shared" si="8"/>
        <v>0</v>
      </c>
      <c r="DK18" s="3"/>
      <c r="DM18" s="1546">
        <f t="shared" si="19"/>
        <v>1</v>
      </c>
      <c r="DN18" s="3"/>
      <c r="DO18" s="1546">
        <f t="shared" si="20"/>
        <v>1</v>
      </c>
      <c r="DQ18" s="1546">
        <f t="shared" si="21"/>
        <v>1</v>
      </c>
      <c r="DR18" s="1546">
        <f t="shared" si="9"/>
        <v>0</v>
      </c>
      <c r="DS18" s="1546">
        <f t="shared" si="9"/>
        <v>0</v>
      </c>
      <c r="DT18" s="1546">
        <f t="shared" si="9"/>
        <v>0</v>
      </c>
      <c r="DU18" s="1546">
        <f t="shared" si="9"/>
        <v>0</v>
      </c>
      <c r="DV18" s="1546">
        <f t="shared" si="9"/>
        <v>0</v>
      </c>
      <c r="DW18" s="1546">
        <f t="shared" si="9"/>
        <v>0</v>
      </c>
      <c r="DX18" s="1546">
        <f t="shared" si="9"/>
        <v>0</v>
      </c>
      <c r="DY18" s="1546">
        <f t="shared" si="9"/>
        <v>0</v>
      </c>
      <c r="DZ18" s="1546">
        <f t="shared" si="9"/>
        <v>0</v>
      </c>
      <c r="EA18" s="1546">
        <f t="shared" si="9"/>
        <v>0</v>
      </c>
      <c r="EB18" s="1546">
        <f t="shared" si="9"/>
        <v>0</v>
      </c>
      <c r="EC18" s="1546">
        <f t="shared" si="9"/>
        <v>0</v>
      </c>
    </row>
    <row r="19" spans="1:133" x14ac:dyDescent="0.3">
      <c r="A19" s="91">
        <v>16</v>
      </c>
      <c r="B19" s="680" t="s">
        <v>1932</v>
      </c>
      <c r="C19" s="680" t="s">
        <v>1934</v>
      </c>
      <c r="D19" s="680"/>
      <c r="E19" s="680" t="s">
        <v>61</v>
      </c>
      <c r="F19" s="683">
        <v>1</v>
      </c>
      <c r="G19" s="21" t="str">
        <f>IFERROR(VLOOKUP(E19,'Piping Class'!$90:$102,7,0),"")</f>
        <v>CS</v>
      </c>
      <c r="H19" s="21">
        <f>IFERROR(VLOOKUP(E19,'Piping Class'!$90:$102,2,0),"")</f>
        <v>150</v>
      </c>
      <c r="I19" s="680"/>
      <c r="J19" s="611" t="str">
        <f t="shared" si="0"/>
        <v>OUT</v>
      </c>
      <c r="K19" s="1369">
        <v>0</v>
      </c>
      <c r="L19" s="680"/>
      <c r="M19" s="680"/>
      <c r="N19" s="680"/>
      <c r="O19" s="680"/>
      <c r="P19" s="680"/>
      <c r="Q19" s="680"/>
      <c r="R19" s="680"/>
      <c r="S19" s="680"/>
      <c r="T19" s="684"/>
      <c r="U19" s="684"/>
      <c r="V19" s="684"/>
      <c r="W19" s="684"/>
      <c r="X19" s="684"/>
      <c r="Y19" s="684"/>
      <c r="Z19" s="271">
        <f t="shared" si="1"/>
        <v>0</v>
      </c>
      <c r="AA19" s="865" t="s">
        <v>1664</v>
      </c>
      <c r="AB19" s="21">
        <f t="shared" si="2"/>
        <v>4</v>
      </c>
      <c r="AC19" s="21">
        <f t="shared" si="3"/>
        <v>0</v>
      </c>
      <c r="AD19" s="1368">
        <v>15</v>
      </c>
      <c r="AE19" s="21">
        <f t="shared" si="10"/>
        <v>0</v>
      </c>
      <c r="AF19" s="1371">
        <v>750</v>
      </c>
      <c r="AG19" s="1317">
        <f t="shared" si="11"/>
        <v>0</v>
      </c>
      <c r="AH19" s="1374" t="s">
        <v>1942</v>
      </c>
      <c r="AJ19" s="91" t="s">
        <v>1972</v>
      </c>
      <c r="AK19" s="680">
        <v>1.5</v>
      </c>
      <c r="AL19" s="331" t="s">
        <v>1721</v>
      </c>
      <c r="AN19" s="1545">
        <f t="shared" si="4"/>
        <v>0</v>
      </c>
      <c r="AO19" s="1545">
        <f t="shared" si="5"/>
        <v>0</v>
      </c>
      <c r="AP19" s="1545">
        <f t="shared" si="5"/>
        <v>0</v>
      </c>
      <c r="AQ19" s="1545">
        <f t="shared" si="5"/>
        <v>0</v>
      </c>
      <c r="AR19" s="1545">
        <f t="shared" si="5"/>
        <v>0</v>
      </c>
      <c r="AS19" s="1545">
        <f t="shared" si="5"/>
        <v>0</v>
      </c>
      <c r="AT19" s="1545">
        <f t="shared" si="5"/>
        <v>0</v>
      </c>
      <c r="AU19" s="1545">
        <f t="shared" si="5"/>
        <v>0</v>
      </c>
      <c r="AV19" s="1545">
        <f t="shared" si="5"/>
        <v>0</v>
      </c>
      <c r="AW19" s="1545">
        <f t="shared" si="5"/>
        <v>0</v>
      </c>
      <c r="AX19" s="1545">
        <f t="shared" si="5"/>
        <v>0</v>
      </c>
      <c r="AY19" s="1545">
        <f t="shared" si="5"/>
        <v>0</v>
      </c>
      <c r="AZ19" s="1545">
        <f t="shared" si="5"/>
        <v>0</v>
      </c>
      <c r="BA19" s="1545">
        <f t="shared" si="22"/>
        <v>0</v>
      </c>
      <c r="BB19" s="1545">
        <f t="shared" si="22"/>
        <v>0</v>
      </c>
      <c r="BC19" s="1545">
        <f t="shared" si="22"/>
        <v>0</v>
      </c>
      <c r="BD19" s="1545">
        <f t="shared" si="22"/>
        <v>0</v>
      </c>
      <c r="BE19" s="1545">
        <f t="shared" si="22"/>
        <v>1</v>
      </c>
      <c r="BF19" s="1545">
        <f t="shared" si="5"/>
        <v>0</v>
      </c>
      <c r="BH19" s="1546">
        <f t="shared" si="12"/>
        <v>0</v>
      </c>
      <c r="BI19" s="1546">
        <f t="shared" si="12"/>
        <v>1</v>
      </c>
      <c r="BK19" s="1545">
        <f t="shared" si="13"/>
        <v>0</v>
      </c>
      <c r="BL19" s="1545">
        <f t="shared" si="13"/>
        <v>1</v>
      </c>
      <c r="BM19" s="1545">
        <f t="shared" si="14"/>
        <v>1</v>
      </c>
      <c r="BO19" s="1545">
        <f t="shared" si="15"/>
        <v>0</v>
      </c>
      <c r="BP19" s="1545">
        <f t="shared" si="15"/>
        <v>0</v>
      </c>
      <c r="BR19" s="1546">
        <f t="shared" si="16"/>
        <v>0</v>
      </c>
      <c r="BS19" s="1546">
        <f t="shared" si="6"/>
        <v>0</v>
      </c>
      <c r="BT19" s="1546">
        <f t="shared" si="6"/>
        <v>0</v>
      </c>
      <c r="BU19" s="1546">
        <f t="shared" si="6"/>
        <v>0</v>
      </c>
      <c r="BV19" s="1546">
        <f t="shared" si="6"/>
        <v>0</v>
      </c>
      <c r="BW19" s="1546">
        <f t="shared" si="6"/>
        <v>0</v>
      </c>
      <c r="BX19" s="1546">
        <f t="shared" si="6"/>
        <v>0</v>
      </c>
      <c r="BY19" s="1546">
        <f t="shared" si="6"/>
        <v>0</v>
      </c>
      <c r="BZ19" s="1546">
        <f t="shared" si="6"/>
        <v>0</v>
      </c>
      <c r="CA19" s="1546">
        <f t="shared" si="6"/>
        <v>0</v>
      </c>
      <c r="CB19" s="1546">
        <f t="shared" si="6"/>
        <v>0</v>
      </c>
      <c r="CC19" s="1546">
        <f t="shared" si="6"/>
        <v>0</v>
      </c>
      <c r="CD19" s="1546">
        <f t="shared" si="6"/>
        <v>0</v>
      </c>
      <c r="CE19" s="1546">
        <f t="shared" si="6"/>
        <v>0</v>
      </c>
      <c r="CF19" s="1546">
        <f t="shared" si="6"/>
        <v>0</v>
      </c>
      <c r="CG19" s="1546">
        <f t="shared" si="6"/>
        <v>0</v>
      </c>
      <c r="CH19" s="1546">
        <f t="shared" si="17"/>
        <v>0</v>
      </c>
      <c r="CJ19" s="1546">
        <f t="shared" si="18"/>
        <v>0</v>
      </c>
      <c r="CK19" s="1546">
        <f t="shared" si="18"/>
        <v>0</v>
      </c>
      <c r="CL19" s="1546">
        <f t="shared" si="18"/>
        <v>1</v>
      </c>
      <c r="CM19" s="1546">
        <f t="shared" si="18"/>
        <v>0</v>
      </c>
      <c r="CN19" s="1546">
        <f t="shared" si="18"/>
        <v>0</v>
      </c>
      <c r="CO19" s="1546">
        <f t="shared" si="18"/>
        <v>0</v>
      </c>
      <c r="CP19" s="1546">
        <f t="shared" si="18"/>
        <v>0</v>
      </c>
      <c r="CQ19" s="1546">
        <f t="shared" si="18"/>
        <v>0</v>
      </c>
      <c r="CR19" s="1546">
        <f t="shared" si="18"/>
        <v>0</v>
      </c>
      <c r="CS19" s="1546">
        <f t="shared" si="18"/>
        <v>0</v>
      </c>
      <c r="CT19" s="1546">
        <f t="shared" si="18"/>
        <v>0</v>
      </c>
      <c r="CU19" s="1546">
        <f t="shared" si="18"/>
        <v>0</v>
      </c>
      <c r="CV19" s="1546">
        <f t="shared" si="18"/>
        <v>0</v>
      </c>
      <c r="CW19" s="1546">
        <f t="shared" si="18"/>
        <v>0</v>
      </c>
      <c r="CX19" s="1546">
        <f t="shared" si="18"/>
        <v>0</v>
      </c>
      <c r="CY19" s="1546">
        <f t="shared" si="18"/>
        <v>0</v>
      </c>
      <c r="CZ19" s="1546">
        <f t="shared" ref="CZ19:DJ43" si="23">IF(CZ$3=0,0,IF($F19=CZ$3,1,0))</f>
        <v>0</v>
      </c>
      <c r="DA19" s="1546">
        <f t="shared" si="23"/>
        <v>0</v>
      </c>
      <c r="DB19" s="1546">
        <f t="shared" si="23"/>
        <v>0</v>
      </c>
      <c r="DC19" s="1546">
        <f t="shared" si="23"/>
        <v>0</v>
      </c>
      <c r="DD19" s="1546">
        <f t="shared" si="23"/>
        <v>0</v>
      </c>
      <c r="DE19" s="1546">
        <f t="shared" si="23"/>
        <v>0</v>
      </c>
      <c r="DF19" s="1546">
        <f t="shared" si="23"/>
        <v>0</v>
      </c>
      <c r="DG19" s="1546">
        <f t="shared" si="23"/>
        <v>0</v>
      </c>
      <c r="DH19" s="1546">
        <f t="shared" si="23"/>
        <v>0</v>
      </c>
      <c r="DI19" s="1546">
        <f t="shared" si="23"/>
        <v>0</v>
      </c>
      <c r="DJ19" s="1546">
        <f t="shared" si="23"/>
        <v>0</v>
      </c>
      <c r="DK19" s="3"/>
      <c r="DM19" s="1546">
        <f t="shared" si="19"/>
        <v>1</v>
      </c>
      <c r="DN19" s="3"/>
      <c r="DO19" s="1546">
        <f t="shared" si="20"/>
        <v>1</v>
      </c>
      <c r="DQ19" s="1546">
        <f t="shared" si="21"/>
        <v>1</v>
      </c>
      <c r="DR19" s="1546">
        <f t="shared" si="9"/>
        <v>0</v>
      </c>
      <c r="DS19" s="1546">
        <f t="shared" si="9"/>
        <v>0</v>
      </c>
      <c r="DT19" s="1546">
        <f t="shared" si="9"/>
        <v>0</v>
      </c>
      <c r="DU19" s="1546">
        <f t="shared" si="9"/>
        <v>0</v>
      </c>
      <c r="DV19" s="1546">
        <f t="shared" si="9"/>
        <v>0</v>
      </c>
      <c r="DW19" s="1546">
        <f t="shared" si="9"/>
        <v>0</v>
      </c>
      <c r="DX19" s="1546">
        <f t="shared" si="9"/>
        <v>0</v>
      </c>
      <c r="DY19" s="1546">
        <f t="shared" si="9"/>
        <v>0</v>
      </c>
      <c r="DZ19" s="1546">
        <f t="shared" si="9"/>
        <v>0</v>
      </c>
      <c r="EA19" s="1546">
        <f t="shared" si="9"/>
        <v>0</v>
      </c>
      <c r="EB19" s="1546">
        <f t="shared" si="9"/>
        <v>0</v>
      </c>
      <c r="EC19" s="1546">
        <f t="shared" si="9"/>
        <v>0</v>
      </c>
    </row>
    <row r="20" spans="1:133" x14ac:dyDescent="0.3">
      <c r="A20" s="91">
        <v>17</v>
      </c>
      <c r="B20" s="680" t="s">
        <v>1932</v>
      </c>
      <c r="C20" s="680" t="s">
        <v>1934</v>
      </c>
      <c r="D20" s="680"/>
      <c r="E20" s="680" t="s">
        <v>67</v>
      </c>
      <c r="F20" s="683">
        <v>1</v>
      </c>
      <c r="G20" s="21" t="str">
        <f>IFERROR(VLOOKUP(E20,'Piping Class'!$90:$102,7,0),"")</f>
        <v>SS</v>
      </c>
      <c r="H20" s="21">
        <f>IFERROR(VLOOKUP(E20,'Piping Class'!$90:$102,2,0),"")</f>
        <v>300</v>
      </c>
      <c r="I20" s="680"/>
      <c r="J20" s="611" t="str">
        <f t="shared" si="0"/>
        <v>OUT</v>
      </c>
      <c r="K20" s="1369">
        <v>0</v>
      </c>
      <c r="L20" s="680"/>
      <c r="M20" s="680"/>
      <c r="N20" s="680"/>
      <c r="O20" s="680"/>
      <c r="P20" s="680"/>
      <c r="Q20" s="680"/>
      <c r="R20" s="680"/>
      <c r="S20" s="680"/>
      <c r="T20" s="684"/>
      <c r="U20" s="684"/>
      <c r="V20" s="684"/>
      <c r="W20" s="684"/>
      <c r="X20" s="684"/>
      <c r="Y20" s="684"/>
      <c r="Z20" s="271">
        <f t="shared" si="1"/>
        <v>0</v>
      </c>
      <c r="AA20" s="865" t="s">
        <v>1664</v>
      </c>
      <c r="AB20" s="21">
        <f t="shared" si="2"/>
        <v>4</v>
      </c>
      <c r="AC20" s="21">
        <f t="shared" si="3"/>
        <v>0</v>
      </c>
      <c r="AD20" s="1368">
        <v>10</v>
      </c>
      <c r="AE20" s="21">
        <f t="shared" si="10"/>
        <v>0</v>
      </c>
      <c r="AF20" s="1371"/>
      <c r="AG20" s="1317">
        <f t="shared" si="11"/>
        <v>0</v>
      </c>
      <c r="AH20" s="1374"/>
      <c r="AJ20" s="91" t="s">
        <v>1973</v>
      </c>
      <c r="AK20" s="680">
        <v>1.5</v>
      </c>
      <c r="AL20" s="331" t="s">
        <v>339</v>
      </c>
      <c r="AN20" s="1545">
        <f t="shared" si="4"/>
        <v>0</v>
      </c>
      <c r="AO20" s="1545">
        <f t="shared" ref="AO20:AR39" si="24">IF($B20=AO$3,1,0)</f>
        <v>0</v>
      </c>
      <c r="AP20" s="1545">
        <f t="shared" si="24"/>
        <v>0</v>
      </c>
      <c r="AQ20" s="1545">
        <f t="shared" si="24"/>
        <v>0</v>
      </c>
      <c r="AR20" s="1545">
        <f t="shared" si="24"/>
        <v>0</v>
      </c>
      <c r="AS20" s="1545">
        <f t="shared" ref="AS20:AU43" si="25">IF($B20=AS$3,1,0)</f>
        <v>0</v>
      </c>
      <c r="AT20" s="1545">
        <f t="shared" si="25"/>
        <v>0</v>
      </c>
      <c r="AU20" s="1545">
        <f t="shared" si="25"/>
        <v>0</v>
      </c>
      <c r="AV20" s="1545">
        <f t="shared" ref="AV20:AZ29" si="26">IF($B20=AV$3,1,0)</f>
        <v>0</v>
      </c>
      <c r="AW20" s="1545">
        <f t="shared" si="26"/>
        <v>0</v>
      </c>
      <c r="AX20" s="1545">
        <f t="shared" si="26"/>
        <v>0</v>
      </c>
      <c r="AY20" s="1545">
        <f t="shared" si="26"/>
        <v>0</v>
      </c>
      <c r="AZ20" s="1545">
        <f t="shared" si="26"/>
        <v>0</v>
      </c>
      <c r="BA20" s="1545">
        <f t="shared" si="22"/>
        <v>0</v>
      </c>
      <c r="BB20" s="1545">
        <f t="shared" si="22"/>
        <v>0</v>
      </c>
      <c r="BC20" s="1545">
        <f t="shared" si="22"/>
        <v>0</v>
      </c>
      <c r="BD20" s="1545">
        <f t="shared" si="22"/>
        <v>0</v>
      </c>
      <c r="BE20" s="1545">
        <f t="shared" si="22"/>
        <v>1</v>
      </c>
      <c r="BF20" s="1545">
        <f t="shared" ref="BF20:BF39" si="27">IF($B20=BF$3,1,0)</f>
        <v>0</v>
      </c>
      <c r="BH20" s="1546">
        <f t="shared" si="12"/>
        <v>0</v>
      </c>
      <c r="BI20" s="1546">
        <f t="shared" si="12"/>
        <v>1</v>
      </c>
      <c r="BK20" s="1545">
        <f t="shared" si="13"/>
        <v>0</v>
      </c>
      <c r="BL20" s="1545">
        <f t="shared" si="13"/>
        <v>1</v>
      </c>
      <c r="BM20" s="1545">
        <f t="shared" si="14"/>
        <v>1</v>
      </c>
      <c r="BO20" s="1545">
        <f t="shared" si="15"/>
        <v>0</v>
      </c>
      <c r="BP20" s="1545">
        <f t="shared" si="15"/>
        <v>0</v>
      </c>
      <c r="BR20" s="1546">
        <f t="shared" si="16"/>
        <v>0</v>
      </c>
      <c r="BS20" s="1546">
        <f t="shared" si="16"/>
        <v>0</v>
      </c>
      <c r="BT20" s="1546">
        <f t="shared" si="16"/>
        <v>0</v>
      </c>
      <c r="BU20" s="1546">
        <f t="shared" si="16"/>
        <v>0</v>
      </c>
      <c r="BV20" s="1546">
        <f t="shared" si="16"/>
        <v>0</v>
      </c>
      <c r="BW20" s="1546">
        <f t="shared" si="16"/>
        <v>0</v>
      </c>
      <c r="BX20" s="1546">
        <f t="shared" si="16"/>
        <v>0</v>
      </c>
      <c r="BY20" s="1546">
        <f t="shared" si="16"/>
        <v>0</v>
      </c>
      <c r="BZ20" s="1546">
        <f t="shared" si="16"/>
        <v>0</v>
      </c>
      <c r="CA20" s="1546">
        <f t="shared" si="16"/>
        <v>0</v>
      </c>
      <c r="CB20" s="1546">
        <f t="shared" si="16"/>
        <v>0</v>
      </c>
      <c r="CC20" s="1546">
        <f t="shared" si="16"/>
        <v>0</v>
      </c>
      <c r="CD20" s="1546">
        <f t="shared" si="16"/>
        <v>0</v>
      </c>
      <c r="CE20" s="1546">
        <f t="shared" si="16"/>
        <v>0</v>
      </c>
      <c r="CF20" s="1546">
        <f t="shared" si="16"/>
        <v>0</v>
      </c>
      <c r="CG20" s="1546">
        <f t="shared" si="16"/>
        <v>0</v>
      </c>
      <c r="CH20" s="1546">
        <f t="shared" si="17"/>
        <v>0</v>
      </c>
      <c r="CJ20" s="1546">
        <f t="shared" si="18"/>
        <v>0</v>
      </c>
      <c r="CK20" s="1546">
        <f t="shared" si="18"/>
        <v>0</v>
      </c>
      <c r="CL20" s="1546">
        <f t="shared" si="18"/>
        <v>1</v>
      </c>
      <c r="CM20" s="1546">
        <f t="shared" si="18"/>
        <v>0</v>
      </c>
      <c r="CN20" s="1546">
        <f t="shared" si="18"/>
        <v>0</v>
      </c>
      <c r="CO20" s="1546">
        <f t="shared" si="18"/>
        <v>0</v>
      </c>
      <c r="CP20" s="1546">
        <f t="shared" si="18"/>
        <v>0</v>
      </c>
      <c r="CQ20" s="1546">
        <f t="shared" si="18"/>
        <v>0</v>
      </c>
      <c r="CR20" s="1546">
        <f t="shared" si="18"/>
        <v>0</v>
      </c>
      <c r="CS20" s="1546">
        <f t="shared" si="18"/>
        <v>0</v>
      </c>
      <c r="CT20" s="1546">
        <f t="shared" si="18"/>
        <v>0</v>
      </c>
      <c r="CU20" s="1546">
        <f t="shared" si="18"/>
        <v>0</v>
      </c>
      <c r="CV20" s="1546">
        <f t="shared" si="18"/>
        <v>0</v>
      </c>
      <c r="CW20" s="1546">
        <f t="shared" si="18"/>
        <v>0</v>
      </c>
      <c r="CX20" s="1546">
        <f t="shared" si="18"/>
        <v>0</v>
      </c>
      <c r="CY20" s="1546">
        <f t="shared" si="18"/>
        <v>0</v>
      </c>
      <c r="CZ20" s="1546">
        <f t="shared" si="23"/>
        <v>0</v>
      </c>
      <c r="DA20" s="1546">
        <f t="shared" si="23"/>
        <v>0</v>
      </c>
      <c r="DB20" s="1546">
        <f t="shared" si="23"/>
        <v>0</v>
      </c>
      <c r="DC20" s="1546">
        <f t="shared" si="23"/>
        <v>0</v>
      </c>
      <c r="DD20" s="1546">
        <f t="shared" si="23"/>
        <v>0</v>
      </c>
      <c r="DE20" s="1546">
        <f t="shared" si="23"/>
        <v>0</v>
      </c>
      <c r="DF20" s="1546">
        <f t="shared" si="23"/>
        <v>0</v>
      </c>
      <c r="DG20" s="1546">
        <f t="shared" si="23"/>
        <v>0</v>
      </c>
      <c r="DH20" s="1546">
        <f t="shared" si="23"/>
        <v>0</v>
      </c>
      <c r="DI20" s="1546">
        <f t="shared" si="23"/>
        <v>0</v>
      </c>
      <c r="DJ20" s="1546">
        <f t="shared" si="23"/>
        <v>0</v>
      </c>
      <c r="DK20" s="3"/>
      <c r="DM20" s="1546">
        <f t="shared" si="19"/>
        <v>1</v>
      </c>
      <c r="DN20" s="3"/>
      <c r="DO20" s="1546">
        <f t="shared" si="20"/>
        <v>1</v>
      </c>
      <c r="DQ20" s="1546">
        <f t="shared" si="21"/>
        <v>0</v>
      </c>
      <c r="DR20" s="1546">
        <f t="shared" si="21"/>
        <v>1</v>
      </c>
      <c r="DS20" s="1546">
        <f t="shared" si="21"/>
        <v>0</v>
      </c>
      <c r="DT20" s="1546">
        <f t="shared" si="21"/>
        <v>0</v>
      </c>
      <c r="DU20" s="1546">
        <f t="shared" si="21"/>
        <v>0</v>
      </c>
      <c r="DV20" s="1546">
        <f t="shared" si="21"/>
        <v>0</v>
      </c>
      <c r="DW20" s="1546">
        <f t="shared" si="21"/>
        <v>0</v>
      </c>
      <c r="DX20" s="1546">
        <f t="shared" si="21"/>
        <v>0</v>
      </c>
      <c r="DY20" s="1546">
        <f t="shared" si="21"/>
        <v>0</v>
      </c>
      <c r="DZ20" s="1546">
        <f t="shared" si="21"/>
        <v>0</v>
      </c>
      <c r="EA20" s="1546">
        <f t="shared" si="21"/>
        <v>0</v>
      </c>
      <c r="EB20" s="1546">
        <f t="shared" si="21"/>
        <v>0</v>
      </c>
      <c r="EC20" s="1546">
        <f t="shared" si="21"/>
        <v>0</v>
      </c>
    </row>
    <row r="21" spans="1:133" x14ac:dyDescent="0.3">
      <c r="A21" s="91">
        <v>18</v>
      </c>
      <c r="B21" s="680" t="s">
        <v>1932</v>
      </c>
      <c r="C21" s="680" t="s">
        <v>1934</v>
      </c>
      <c r="D21" s="680"/>
      <c r="E21" s="680" t="s">
        <v>67</v>
      </c>
      <c r="F21" s="683">
        <v>6</v>
      </c>
      <c r="G21" s="21" t="str">
        <f>IFERROR(VLOOKUP(E21,'Piping Class'!$90:$102,7,0),"")</f>
        <v>SS</v>
      </c>
      <c r="H21" s="21">
        <f>IFERROR(VLOOKUP(E21,'Piping Class'!$90:$102,2,0),"")</f>
        <v>300</v>
      </c>
      <c r="I21" s="680"/>
      <c r="J21" s="611" t="str">
        <f t="shared" si="0"/>
        <v>OUT</v>
      </c>
      <c r="K21" s="1369">
        <v>3</v>
      </c>
      <c r="L21" s="680"/>
      <c r="M21" s="680"/>
      <c r="N21" s="680"/>
      <c r="O21" s="680"/>
      <c r="P21" s="680"/>
      <c r="Q21" s="680"/>
      <c r="R21" s="680"/>
      <c r="S21" s="680"/>
      <c r="T21" s="684"/>
      <c r="U21" s="684"/>
      <c r="V21" s="684"/>
      <c r="W21" s="684"/>
      <c r="X21" s="684"/>
      <c r="Y21" s="684"/>
      <c r="Z21" s="271">
        <f t="shared" si="1"/>
        <v>3</v>
      </c>
      <c r="AA21" s="865" t="s">
        <v>1664</v>
      </c>
      <c r="AB21" s="21">
        <f t="shared" si="2"/>
        <v>4</v>
      </c>
      <c r="AC21" s="21">
        <f t="shared" si="3"/>
        <v>12</v>
      </c>
      <c r="AD21" s="1368">
        <v>15</v>
      </c>
      <c r="AE21" s="21">
        <f t="shared" si="10"/>
        <v>45</v>
      </c>
      <c r="AF21" s="1371">
        <v>8400</v>
      </c>
      <c r="AG21" s="1317">
        <f t="shared" si="11"/>
        <v>25200</v>
      </c>
      <c r="AH21" s="1374" t="s">
        <v>2121</v>
      </c>
      <c r="AJ21" s="91" t="s">
        <v>1974</v>
      </c>
      <c r="AK21" s="680">
        <v>1.5</v>
      </c>
      <c r="AL21" s="331" t="s">
        <v>339</v>
      </c>
      <c r="AN21" s="1545">
        <f t="shared" si="4"/>
        <v>0</v>
      </c>
      <c r="AO21" s="1545">
        <f t="shared" si="24"/>
        <v>0</v>
      </c>
      <c r="AP21" s="1545">
        <f t="shared" si="24"/>
        <v>0</v>
      </c>
      <c r="AQ21" s="1545">
        <f t="shared" si="24"/>
        <v>0</v>
      </c>
      <c r="AR21" s="1545">
        <f t="shared" si="24"/>
        <v>0</v>
      </c>
      <c r="AS21" s="1545">
        <f t="shared" si="25"/>
        <v>0</v>
      </c>
      <c r="AT21" s="1545">
        <f t="shared" si="25"/>
        <v>0</v>
      </c>
      <c r="AU21" s="1545">
        <f t="shared" si="25"/>
        <v>0</v>
      </c>
      <c r="AV21" s="1545">
        <f t="shared" si="26"/>
        <v>0</v>
      </c>
      <c r="AW21" s="1545">
        <f t="shared" si="26"/>
        <v>0</v>
      </c>
      <c r="AX21" s="1545">
        <f t="shared" si="26"/>
        <v>0</v>
      </c>
      <c r="AY21" s="1545">
        <f t="shared" si="26"/>
        <v>0</v>
      </c>
      <c r="AZ21" s="1545">
        <f t="shared" si="26"/>
        <v>0</v>
      </c>
      <c r="BA21" s="1545">
        <f t="shared" si="22"/>
        <v>0</v>
      </c>
      <c r="BB21" s="1545">
        <f t="shared" si="22"/>
        <v>0</v>
      </c>
      <c r="BC21" s="1545">
        <f t="shared" si="22"/>
        <v>0</v>
      </c>
      <c r="BD21" s="1545">
        <f t="shared" si="22"/>
        <v>0</v>
      </c>
      <c r="BE21" s="1545">
        <f t="shared" si="22"/>
        <v>1</v>
      </c>
      <c r="BF21" s="1545">
        <f t="shared" si="27"/>
        <v>0</v>
      </c>
      <c r="BH21" s="1546">
        <f t="shared" si="12"/>
        <v>0</v>
      </c>
      <c r="BI21" s="1546">
        <f t="shared" si="12"/>
        <v>1</v>
      </c>
      <c r="BK21" s="1545">
        <f t="shared" si="13"/>
        <v>0</v>
      </c>
      <c r="BL21" s="1545">
        <f t="shared" si="13"/>
        <v>1</v>
      </c>
      <c r="BM21" s="1545">
        <f t="shared" si="14"/>
        <v>1</v>
      </c>
      <c r="BO21" s="1545">
        <f t="shared" si="15"/>
        <v>0</v>
      </c>
      <c r="BP21" s="1545">
        <f t="shared" si="15"/>
        <v>0</v>
      </c>
      <c r="BR21" s="1546">
        <f t="shared" si="16"/>
        <v>0</v>
      </c>
      <c r="BS21" s="1546">
        <f t="shared" si="16"/>
        <v>0</v>
      </c>
      <c r="BT21" s="1546">
        <f t="shared" si="16"/>
        <v>0</v>
      </c>
      <c r="BU21" s="1546">
        <f t="shared" si="16"/>
        <v>0</v>
      </c>
      <c r="BV21" s="1546">
        <f t="shared" si="16"/>
        <v>0</v>
      </c>
      <c r="BW21" s="1546">
        <f t="shared" si="16"/>
        <v>0</v>
      </c>
      <c r="BX21" s="1546">
        <f t="shared" si="16"/>
        <v>0</v>
      </c>
      <c r="BY21" s="1546">
        <f t="shared" si="16"/>
        <v>0</v>
      </c>
      <c r="BZ21" s="1546">
        <f t="shared" si="16"/>
        <v>0</v>
      </c>
      <c r="CA21" s="1546">
        <f t="shared" si="16"/>
        <v>0</v>
      </c>
      <c r="CB21" s="1546">
        <f t="shared" si="16"/>
        <v>0</v>
      </c>
      <c r="CC21" s="1546">
        <f t="shared" si="16"/>
        <v>0</v>
      </c>
      <c r="CD21" s="1546">
        <f t="shared" si="16"/>
        <v>0</v>
      </c>
      <c r="CE21" s="1546">
        <f t="shared" si="16"/>
        <v>0</v>
      </c>
      <c r="CF21" s="1546">
        <f t="shared" si="16"/>
        <v>0</v>
      </c>
      <c r="CG21" s="1546">
        <f t="shared" si="16"/>
        <v>0</v>
      </c>
      <c r="CH21" s="1546">
        <f t="shared" si="17"/>
        <v>0</v>
      </c>
      <c r="CJ21" s="1546">
        <f t="shared" si="18"/>
        <v>0</v>
      </c>
      <c r="CK21" s="1546">
        <f t="shared" si="18"/>
        <v>0</v>
      </c>
      <c r="CL21" s="1546">
        <f t="shared" si="18"/>
        <v>0</v>
      </c>
      <c r="CM21" s="1546">
        <f t="shared" si="18"/>
        <v>0</v>
      </c>
      <c r="CN21" s="1546">
        <f t="shared" si="18"/>
        <v>0</v>
      </c>
      <c r="CO21" s="1546">
        <f t="shared" si="18"/>
        <v>0</v>
      </c>
      <c r="CP21" s="1546">
        <f t="shared" si="18"/>
        <v>0</v>
      </c>
      <c r="CQ21" s="1546">
        <f t="shared" si="18"/>
        <v>0</v>
      </c>
      <c r="CR21" s="1546">
        <f t="shared" si="18"/>
        <v>1</v>
      </c>
      <c r="CS21" s="1546">
        <f t="shared" si="18"/>
        <v>0</v>
      </c>
      <c r="CT21" s="1546">
        <f t="shared" si="18"/>
        <v>0</v>
      </c>
      <c r="CU21" s="1546">
        <f t="shared" si="18"/>
        <v>0</v>
      </c>
      <c r="CV21" s="1546">
        <f t="shared" si="18"/>
        <v>0</v>
      </c>
      <c r="CW21" s="1546">
        <f t="shared" si="18"/>
        <v>0</v>
      </c>
      <c r="CX21" s="1546">
        <f t="shared" si="18"/>
        <v>0</v>
      </c>
      <c r="CY21" s="1546">
        <f t="shared" si="18"/>
        <v>0</v>
      </c>
      <c r="CZ21" s="1546">
        <f t="shared" si="23"/>
        <v>0</v>
      </c>
      <c r="DA21" s="1546">
        <f t="shared" si="23"/>
        <v>0</v>
      </c>
      <c r="DB21" s="1546">
        <f t="shared" si="23"/>
        <v>0</v>
      </c>
      <c r="DC21" s="1546">
        <f t="shared" si="23"/>
        <v>0</v>
      </c>
      <c r="DD21" s="1546">
        <f t="shared" si="23"/>
        <v>0</v>
      </c>
      <c r="DE21" s="1546">
        <f t="shared" si="23"/>
        <v>0</v>
      </c>
      <c r="DF21" s="1546">
        <f t="shared" si="23"/>
        <v>0</v>
      </c>
      <c r="DG21" s="1546">
        <f t="shared" si="23"/>
        <v>0</v>
      </c>
      <c r="DH21" s="1546">
        <f t="shared" si="23"/>
        <v>0</v>
      </c>
      <c r="DI21" s="1546">
        <f t="shared" si="23"/>
        <v>0</v>
      </c>
      <c r="DJ21" s="1546">
        <f t="shared" si="23"/>
        <v>0</v>
      </c>
      <c r="DK21" s="3"/>
      <c r="DM21" s="1546">
        <f t="shared" si="19"/>
        <v>1</v>
      </c>
      <c r="DN21" s="3"/>
      <c r="DO21" s="1546">
        <f t="shared" si="20"/>
        <v>1</v>
      </c>
      <c r="DQ21" s="1546">
        <f t="shared" si="21"/>
        <v>0</v>
      </c>
      <c r="DR21" s="1546">
        <f t="shared" si="21"/>
        <v>1</v>
      </c>
      <c r="DS21" s="1546">
        <f t="shared" si="21"/>
        <v>0</v>
      </c>
      <c r="DT21" s="1546">
        <f t="shared" si="21"/>
        <v>0</v>
      </c>
      <c r="DU21" s="1546">
        <f t="shared" si="21"/>
        <v>0</v>
      </c>
      <c r="DV21" s="1546">
        <f t="shared" si="21"/>
        <v>0</v>
      </c>
      <c r="DW21" s="1546">
        <f t="shared" si="21"/>
        <v>0</v>
      </c>
      <c r="DX21" s="1546">
        <f t="shared" si="21"/>
        <v>0</v>
      </c>
      <c r="DY21" s="1546">
        <f t="shared" si="21"/>
        <v>0</v>
      </c>
      <c r="DZ21" s="1546">
        <f t="shared" si="21"/>
        <v>0</v>
      </c>
      <c r="EA21" s="1546">
        <f t="shared" si="21"/>
        <v>0</v>
      </c>
      <c r="EB21" s="1546">
        <f t="shared" si="21"/>
        <v>0</v>
      </c>
      <c r="EC21" s="1546">
        <f t="shared" si="21"/>
        <v>0</v>
      </c>
    </row>
    <row r="22" spans="1:133" x14ac:dyDescent="0.3">
      <c r="A22" s="91">
        <v>19</v>
      </c>
      <c r="B22" s="680" t="s">
        <v>1929</v>
      </c>
      <c r="C22" s="680" t="s">
        <v>1934</v>
      </c>
      <c r="D22" s="680"/>
      <c r="E22" s="680" t="s">
        <v>67</v>
      </c>
      <c r="F22" s="683">
        <v>4</v>
      </c>
      <c r="G22" s="21" t="str">
        <f>IFERROR(VLOOKUP(E22,'Piping Class'!$90:$102,7,0),"")</f>
        <v>SS</v>
      </c>
      <c r="H22" s="21">
        <f>IFERROR(VLOOKUP(E22,'Piping Class'!$90:$102,2,0),"")</f>
        <v>300</v>
      </c>
      <c r="I22" s="680"/>
      <c r="J22" s="611" t="str">
        <f t="shared" si="0"/>
        <v>OUT</v>
      </c>
      <c r="K22" s="1369">
        <v>18</v>
      </c>
      <c r="L22" s="680"/>
      <c r="M22" s="680"/>
      <c r="N22" s="680"/>
      <c r="O22" s="680"/>
      <c r="P22" s="680"/>
      <c r="Q22" s="680"/>
      <c r="R22" s="680"/>
      <c r="S22" s="680"/>
      <c r="T22" s="684"/>
      <c r="U22" s="684"/>
      <c r="V22" s="684"/>
      <c r="W22" s="684"/>
      <c r="X22" s="684"/>
      <c r="Y22" s="684"/>
      <c r="Z22" s="271">
        <f t="shared" si="1"/>
        <v>18</v>
      </c>
      <c r="AA22" s="865" t="s">
        <v>1664</v>
      </c>
      <c r="AB22" s="21">
        <f t="shared" si="2"/>
        <v>4</v>
      </c>
      <c r="AC22" s="21">
        <f t="shared" si="3"/>
        <v>72</v>
      </c>
      <c r="AD22" s="1369">
        <v>20</v>
      </c>
      <c r="AE22" s="21">
        <f t="shared" si="10"/>
        <v>360</v>
      </c>
      <c r="AF22" s="1371">
        <v>7400</v>
      </c>
      <c r="AG22" s="1317">
        <f t="shared" si="11"/>
        <v>133200</v>
      </c>
      <c r="AH22" s="1374" t="s">
        <v>2121</v>
      </c>
      <c r="AJ22" s="91" t="s">
        <v>1975</v>
      </c>
      <c r="AK22" s="680">
        <v>1.5</v>
      </c>
      <c r="AL22" s="331" t="s">
        <v>339</v>
      </c>
      <c r="AN22" s="1545">
        <f t="shared" si="4"/>
        <v>0</v>
      </c>
      <c r="AO22" s="1545">
        <f t="shared" si="24"/>
        <v>0</v>
      </c>
      <c r="AP22" s="1545">
        <f t="shared" si="24"/>
        <v>0</v>
      </c>
      <c r="AQ22" s="1545">
        <f t="shared" si="24"/>
        <v>0</v>
      </c>
      <c r="AR22" s="1545">
        <f t="shared" si="24"/>
        <v>0</v>
      </c>
      <c r="AS22" s="1545">
        <f t="shared" si="25"/>
        <v>0</v>
      </c>
      <c r="AT22" s="1545">
        <f t="shared" si="25"/>
        <v>0</v>
      </c>
      <c r="AU22" s="1545">
        <f t="shared" si="25"/>
        <v>0</v>
      </c>
      <c r="AV22" s="1545">
        <f t="shared" si="26"/>
        <v>0</v>
      </c>
      <c r="AW22" s="1545">
        <f t="shared" si="26"/>
        <v>0</v>
      </c>
      <c r="AX22" s="1545">
        <f t="shared" si="26"/>
        <v>0</v>
      </c>
      <c r="AY22" s="1545">
        <f t="shared" si="26"/>
        <v>0</v>
      </c>
      <c r="AZ22" s="1545">
        <f t="shared" si="26"/>
        <v>0</v>
      </c>
      <c r="BA22" s="1545">
        <f t="shared" si="22"/>
        <v>0</v>
      </c>
      <c r="BB22" s="1545">
        <f t="shared" si="22"/>
        <v>1</v>
      </c>
      <c r="BC22" s="1545">
        <f t="shared" si="22"/>
        <v>0</v>
      </c>
      <c r="BD22" s="1545">
        <f t="shared" si="22"/>
        <v>0</v>
      </c>
      <c r="BE22" s="1545">
        <f t="shared" si="22"/>
        <v>0</v>
      </c>
      <c r="BF22" s="1545">
        <f t="shared" si="27"/>
        <v>0</v>
      </c>
      <c r="BH22" s="1546">
        <f t="shared" si="12"/>
        <v>0</v>
      </c>
      <c r="BI22" s="1546">
        <f t="shared" si="12"/>
        <v>1</v>
      </c>
      <c r="BK22" s="1545">
        <f t="shared" si="13"/>
        <v>0</v>
      </c>
      <c r="BL22" s="1545">
        <f t="shared" si="13"/>
        <v>1</v>
      </c>
      <c r="BM22" s="1545">
        <f t="shared" si="14"/>
        <v>1</v>
      </c>
      <c r="BO22" s="1545">
        <f t="shared" si="15"/>
        <v>0</v>
      </c>
      <c r="BP22" s="1545">
        <f t="shared" si="15"/>
        <v>0</v>
      </c>
      <c r="BR22" s="1546">
        <f t="shared" si="16"/>
        <v>0</v>
      </c>
      <c r="BS22" s="1546">
        <f t="shared" si="16"/>
        <v>0</v>
      </c>
      <c r="BT22" s="1546">
        <f t="shared" si="16"/>
        <v>0</v>
      </c>
      <c r="BU22" s="1546">
        <f t="shared" si="16"/>
        <v>0</v>
      </c>
      <c r="BV22" s="1546">
        <f t="shared" si="16"/>
        <v>0</v>
      </c>
      <c r="BW22" s="1546">
        <f t="shared" si="16"/>
        <v>0</v>
      </c>
      <c r="BX22" s="1546">
        <f t="shared" si="16"/>
        <v>0</v>
      </c>
      <c r="BY22" s="1546">
        <f t="shared" si="16"/>
        <v>0</v>
      </c>
      <c r="BZ22" s="1546">
        <f t="shared" si="16"/>
        <v>0</v>
      </c>
      <c r="CA22" s="1546">
        <f t="shared" si="16"/>
        <v>0</v>
      </c>
      <c r="CB22" s="1546">
        <f t="shared" si="16"/>
        <v>0</v>
      </c>
      <c r="CC22" s="1546">
        <f t="shared" si="16"/>
        <v>0</v>
      </c>
      <c r="CD22" s="1546">
        <f t="shared" si="16"/>
        <v>0</v>
      </c>
      <c r="CE22" s="1546">
        <f t="shared" si="16"/>
        <v>0</v>
      </c>
      <c r="CF22" s="1546">
        <f t="shared" si="16"/>
        <v>0</v>
      </c>
      <c r="CG22" s="1546">
        <f t="shared" si="16"/>
        <v>0</v>
      </c>
      <c r="CH22" s="1546">
        <f t="shared" si="17"/>
        <v>0</v>
      </c>
      <c r="CJ22" s="1546">
        <f t="shared" si="18"/>
        <v>0</v>
      </c>
      <c r="CK22" s="1546">
        <f t="shared" si="18"/>
        <v>0</v>
      </c>
      <c r="CL22" s="1546">
        <f t="shared" si="18"/>
        <v>0</v>
      </c>
      <c r="CM22" s="1546">
        <f t="shared" si="18"/>
        <v>0</v>
      </c>
      <c r="CN22" s="1546">
        <f t="shared" si="18"/>
        <v>0</v>
      </c>
      <c r="CO22" s="1546">
        <f t="shared" si="18"/>
        <v>0</v>
      </c>
      <c r="CP22" s="1546">
        <f t="shared" si="18"/>
        <v>0</v>
      </c>
      <c r="CQ22" s="1546">
        <f t="shared" si="18"/>
        <v>1</v>
      </c>
      <c r="CR22" s="1546">
        <f t="shared" si="18"/>
        <v>0</v>
      </c>
      <c r="CS22" s="1546">
        <f t="shared" si="18"/>
        <v>0</v>
      </c>
      <c r="CT22" s="1546">
        <f t="shared" si="18"/>
        <v>0</v>
      </c>
      <c r="CU22" s="1546">
        <f t="shared" si="18"/>
        <v>0</v>
      </c>
      <c r="CV22" s="1546">
        <f t="shared" si="18"/>
        <v>0</v>
      </c>
      <c r="CW22" s="1546">
        <f t="shared" si="18"/>
        <v>0</v>
      </c>
      <c r="CX22" s="1546">
        <f t="shared" si="18"/>
        <v>0</v>
      </c>
      <c r="CY22" s="1546">
        <f t="shared" si="18"/>
        <v>0</v>
      </c>
      <c r="CZ22" s="1546">
        <f t="shared" si="23"/>
        <v>0</v>
      </c>
      <c r="DA22" s="1546">
        <f t="shared" si="23"/>
        <v>0</v>
      </c>
      <c r="DB22" s="1546">
        <f t="shared" si="23"/>
        <v>0</v>
      </c>
      <c r="DC22" s="1546">
        <f t="shared" si="23"/>
        <v>0</v>
      </c>
      <c r="DD22" s="1546">
        <f t="shared" si="23"/>
        <v>0</v>
      </c>
      <c r="DE22" s="1546">
        <f t="shared" si="23"/>
        <v>0</v>
      </c>
      <c r="DF22" s="1546">
        <f t="shared" si="23"/>
        <v>0</v>
      </c>
      <c r="DG22" s="1546">
        <f t="shared" si="23"/>
        <v>0</v>
      </c>
      <c r="DH22" s="1546">
        <f t="shared" si="23"/>
        <v>0</v>
      </c>
      <c r="DI22" s="1546">
        <f t="shared" si="23"/>
        <v>0</v>
      </c>
      <c r="DJ22" s="1546">
        <f t="shared" si="23"/>
        <v>0</v>
      </c>
      <c r="DK22" s="3"/>
      <c r="DM22" s="1546">
        <f t="shared" si="19"/>
        <v>1</v>
      </c>
      <c r="DN22" s="3"/>
      <c r="DO22" s="1546">
        <f t="shared" si="20"/>
        <v>1</v>
      </c>
      <c r="DQ22" s="1546">
        <f t="shared" si="21"/>
        <v>0</v>
      </c>
      <c r="DR22" s="1546">
        <f t="shared" si="21"/>
        <v>1</v>
      </c>
      <c r="DS22" s="1546">
        <f t="shared" si="21"/>
        <v>0</v>
      </c>
      <c r="DT22" s="1546">
        <f t="shared" si="21"/>
        <v>0</v>
      </c>
      <c r="DU22" s="1546">
        <f t="shared" si="21"/>
        <v>0</v>
      </c>
      <c r="DV22" s="1546">
        <f t="shared" si="21"/>
        <v>0</v>
      </c>
      <c r="DW22" s="1546">
        <f t="shared" si="21"/>
        <v>0</v>
      </c>
      <c r="DX22" s="1546">
        <f t="shared" si="21"/>
        <v>0</v>
      </c>
      <c r="DY22" s="1546">
        <f t="shared" si="21"/>
        <v>0</v>
      </c>
      <c r="DZ22" s="1546">
        <f t="shared" si="21"/>
        <v>0</v>
      </c>
      <c r="EA22" s="1546">
        <f t="shared" si="21"/>
        <v>0</v>
      </c>
      <c r="EB22" s="1546">
        <f t="shared" si="21"/>
        <v>0</v>
      </c>
      <c r="EC22" s="1546">
        <f t="shared" si="21"/>
        <v>0</v>
      </c>
    </row>
    <row r="23" spans="1:133" x14ac:dyDescent="0.3">
      <c r="A23" s="91">
        <v>20</v>
      </c>
      <c r="B23" s="680" t="s">
        <v>1929</v>
      </c>
      <c r="C23" s="680" t="s">
        <v>1934</v>
      </c>
      <c r="D23" s="680" t="s">
        <v>4544</v>
      </c>
      <c r="E23" s="680" t="s">
        <v>67</v>
      </c>
      <c r="F23" s="683">
        <v>3</v>
      </c>
      <c r="G23" s="21" t="str">
        <f>IFERROR(VLOOKUP(E23,'Piping Class'!$90:$102,7,0),"")</f>
        <v>SS</v>
      </c>
      <c r="H23" s="21">
        <f>IFERROR(VLOOKUP(E23,'Piping Class'!$90:$102,2,0),"")</f>
        <v>300</v>
      </c>
      <c r="I23" s="680"/>
      <c r="J23" s="611" t="str">
        <f t="shared" si="0"/>
        <v>OUT</v>
      </c>
      <c r="K23" s="1369">
        <v>1</v>
      </c>
      <c r="L23" s="680"/>
      <c r="M23" s="680"/>
      <c r="N23" s="680"/>
      <c r="O23" s="680"/>
      <c r="P23" s="680"/>
      <c r="Q23" s="680"/>
      <c r="R23" s="680"/>
      <c r="S23" s="680"/>
      <c r="T23" s="684"/>
      <c r="U23" s="684"/>
      <c r="V23" s="684"/>
      <c r="W23" s="684"/>
      <c r="X23" s="684"/>
      <c r="Y23" s="684"/>
      <c r="Z23" s="271">
        <f t="shared" si="1"/>
        <v>1</v>
      </c>
      <c r="AA23" s="865" t="s">
        <v>1664</v>
      </c>
      <c r="AB23" s="21">
        <f t="shared" si="2"/>
        <v>4</v>
      </c>
      <c r="AC23" s="21">
        <f t="shared" si="3"/>
        <v>4</v>
      </c>
      <c r="AD23" s="1368">
        <v>10</v>
      </c>
      <c r="AE23" s="21">
        <f t="shared" si="10"/>
        <v>10</v>
      </c>
      <c r="AF23" s="1371">
        <v>0</v>
      </c>
      <c r="AG23" s="1317">
        <f t="shared" si="11"/>
        <v>0</v>
      </c>
      <c r="AH23" s="1374"/>
      <c r="AJ23" s="91" t="s">
        <v>1976</v>
      </c>
      <c r="AK23" s="680">
        <v>1.5</v>
      </c>
      <c r="AL23" s="331" t="s">
        <v>339</v>
      </c>
      <c r="AN23" s="1545">
        <f t="shared" si="4"/>
        <v>0</v>
      </c>
      <c r="AO23" s="1545">
        <f t="shared" si="24"/>
        <v>0</v>
      </c>
      <c r="AP23" s="1545">
        <f t="shared" si="24"/>
        <v>0</v>
      </c>
      <c r="AQ23" s="1545">
        <f t="shared" si="24"/>
        <v>0</v>
      </c>
      <c r="AR23" s="1545">
        <f t="shared" si="24"/>
        <v>0</v>
      </c>
      <c r="AS23" s="1545">
        <f t="shared" si="25"/>
        <v>0</v>
      </c>
      <c r="AT23" s="1545">
        <f t="shared" si="25"/>
        <v>0</v>
      </c>
      <c r="AU23" s="1545">
        <f t="shared" si="25"/>
        <v>0</v>
      </c>
      <c r="AV23" s="1545">
        <f t="shared" si="26"/>
        <v>0</v>
      </c>
      <c r="AW23" s="1545">
        <f t="shared" si="26"/>
        <v>0</v>
      </c>
      <c r="AX23" s="1545">
        <f t="shared" si="26"/>
        <v>0</v>
      </c>
      <c r="AY23" s="1545">
        <f t="shared" si="26"/>
        <v>0</v>
      </c>
      <c r="AZ23" s="1545">
        <f t="shared" si="26"/>
        <v>0</v>
      </c>
      <c r="BA23" s="1545">
        <f t="shared" si="22"/>
        <v>0</v>
      </c>
      <c r="BB23" s="1545">
        <f t="shared" si="22"/>
        <v>1</v>
      </c>
      <c r="BC23" s="1545">
        <f t="shared" si="22"/>
        <v>0</v>
      </c>
      <c r="BD23" s="1545">
        <f t="shared" si="22"/>
        <v>0</v>
      </c>
      <c r="BE23" s="1545">
        <f t="shared" si="22"/>
        <v>0</v>
      </c>
      <c r="BF23" s="1545">
        <f t="shared" si="27"/>
        <v>0</v>
      </c>
      <c r="BH23" s="1546">
        <f t="shared" si="12"/>
        <v>0</v>
      </c>
      <c r="BI23" s="1546">
        <f t="shared" si="12"/>
        <v>1</v>
      </c>
      <c r="BK23" s="1545">
        <f t="shared" si="13"/>
        <v>0</v>
      </c>
      <c r="BL23" s="1545">
        <f t="shared" si="13"/>
        <v>1</v>
      </c>
      <c r="BM23" s="1545">
        <f t="shared" si="14"/>
        <v>1</v>
      </c>
      <c r="BO23" s="1545">
        <f t="shared" si="15"/>
        <v>0</v>
      </c>
      <c r="BP23" s="1545">
        <f t="shared" si="15"/>
        <v>0</v>
      </c>
      <c r="BR23" s="1546">
        <f t="shared" si="16"/>
        <v>0</v>
      </c>
      <c r="BS23" s="1546">
        <f t="shared" si="16"/>
        <v>0</v>
      </c>
      <c r="BT23" s="1546">
        <f t="shared" si="16"/>
        <v>0</v>
      </c>
      <c r="BU23" s="1546">
        <f t="shared" si="16"/>
        <v>0</v>
      </c>
      <c r="BV23" s="1546">
        <f t="shared" si="16"/>
        <v>0</v>
      </c>
      <c r="BW23" s="1546">
        <f t="shared" si="16"/>
        <v>0</v>
      </c>
      <c r="BX23" s="1546">
        <f t="shared" si="16"/>
        <v>0</v>
      </c>
      <c r="BY23" s="1546">
        <f t="shared" si="16"/>
        <v>0</v>
      </c>
      <c r="BZ23" s="1546">
        <f t="shared" si="16"/>
        <v>0</v>
      </c>
      <c r="CA23" s="1546">
        <f t="shared" si="16"/>
        <v>0</v>
      </c>
      <c r="CB23" s="1546">
        <f t="shared" si="16"/>
        <v>0</v>
      </c>
      <c r="CC23" s="1546">
        <f t="shared" si="16"/>
        <v>0</v>
      </c>
      <c r="CD23" s="1546">
        <f t="shared" si="16"/>
        <v>0</v>
      </c>
      <c r="CE23" s="1546">
        <f t="shared" si="16"/>
        <v>0</v>
      </c>
      <c r="CF23" s="1546">
        <f t="shared" si="16"/>
        <v>0</v>
      </c>
      <c r="CG23" s="1546">
        <f t="shared" si="16"/>
        <v>0</v>
      </c>
      <c r="CH23" s="1546">
        <f t="shared" si="17"/>
        <v>0</v>
      </c>
      <c r="CJ23" s="1546">
        <f t="shared" si="18"/>
        <v>0</v>
      </c>
      <c r="CK23" s="1546">
        <f t="shared" si="18"/>
        <v>0</v>
      </c>
      <c r="CL23" s="1546">
        <f t="shared" si="18"/>
        <v>0</v>
      </c>
      <c r="CM23" s="1546">
        <f t="shared" si="18"/>
        <v>0</v>
      </c>
      <c r="CN23" s="1546">
        <f t="shared" si="18"/>
        <v>0</v>
      </c>
      <c r="CO23" s="1546">
        <f t="shared" si="18"/>
        <v>0</v>
      </c>
      <c r="CP23" s="1546">
        <f t="shared" si="18"/>
        <v>1</v>
      </c>
      <c r="CQ23" s="1546">
        <f t="shared" si="18"/>
        <v>0</v>
      </c>
      <c r="CR23" s="1546">
        <f t="shared" si="18"/>
        <v>0</v>
      </c>
      <c r="CS23" s="1546">
        <f t="shared" si="18"/>
        <v>0</v>
      </c>
      <c r="CT23" s="1546">
        <f t="shared" si="18"/>
        <v>0</v>
      </c>
      <c r="CU23" s="1546">
        <f t="shared" si="18"/>
        <v>0</v>
      </c>
      <c r="CV23" s="1546">
        <f t="shared" si="18"/>
        <v>0</v>
      </c>
      <c r="CW23" s="1546">
        <f t="shared" si="18"/>
        <v>0</v>
      </c>
      <c r="CX23" s="1546">
        <f t="shared" si="18"/>
        <v>0</v>
      </c>
      <c r="CY23" s="1546">
        <f t="shared" si="18"/>
        <v>0</v>
      </c>
      <c r="CZ23" s="1546">
        <f t="shared" si="23"/>
        <v>0</v>
      </c>
      <c r="DA23" s="1546">
        <f t="shared" si="23"/>
        <v>0</v>
      </c>
      <c r="DB23" s="1546">
        <f t="shared" si="23"/>
        <v>0</v>
      </c>
      <c r="DC23" s="1546">
        <f t="shared" si="23"/>
        <v>0</v>
      </c>
      <c r="DD23" s="1546">
        <f t="shared" si="23"/>
        <v>0</v>
      </c>
      <c r="DE23" s="1546">
        <f t="shared" si="23"/>
        <v>0</v>
      </c>
      <c r="DF23" s="1546">
        <f t="shared" si="23"/>
        <v>0</v>
      </c>
      <c r="DG23" s="1546">
        <f t="shared" si="23"/>
        <v>0</v>
      </c>
      <c r="DH23" s="1546">
        <f t="shared" si="23"/>
        <v>0</v>
      </c>
      <c r="DI23" s="1546">
        <f t="shared" si="23"/>
        <v>0</v>
      </c>
      <c r="DJ23" s="1546">
        <f t="shared" si="23"/>
        <v>0</v>
      </c>
      <c r="DK23" s="3"/>
      <c r="DM23" s="1546">
        <f t="shared" si="19"/>
        <v>1</v>
      </c>
      <c r="DN23" s="3"/>
      <c r="DO23" s="1546">
        <f t="shared" si="20"/>
        <v>1</v>
      </c>
      <c r="DQ23" s="1546">
        <f t="shared" si="21"/>
        <v>0</v>
      </c>
      <c r="DR23" s="1546">
        <f t="shared" si="21"/>
        <v>1</v>
      </c>
      <c r="DS23" s="1546">
        <f t="shared" si="21"/>
        <v>0</v>
      </c>
      <c r="DT23" s="1546">
        <f t="shared" si="21"/>
        <v>0</v>
      </c>
      <c r="DU23" s="1546">
        <f t="shared" si="21"/>
        <v>0</v>
      </c>
      <c r="DV23" s="1546">
        <f t="shared" si="21"/>
        <v>0</v>
      </c>
      <c r="DW23" s="1546">
        <f t="shared" si="21"/>
        <v>0</v>
      </c>
      <c r="DX23" s="1546">
        <f t="shared" si="21"/>
        <v>0</v>
      </c>
      <c r="DY23" s="1546">
        <f t="shared" si="21"/>
        <v>0</v>
      </c>
      <c r="DZ23" s="1546">
        <f t="shared" si="21"/>
        <v>0</v>
      </c>
      <c r="EA23" s="1546">
        <f t="shared" si="21"/>
        <v>0</v>
      </c>
      <c r="EB23" s="1546">
        <f t="shared" si="21"/>
        <v>0</v>
      </c>
      <c r="EC23" s="1546">
        <f t="shared" si="21"/>
        <v>0</v>
      </c>
    </row>
    <row r="24" spans="1:133" x14ac:dyDescent="0.3">
      <c r="A24" s="91">
        <v>21</v>
      </c>
      <c r="B24" s="680" t="s">
        <v>1977</v>
      </c>
      <c r="C24" s="680" t="s">
        <v>1978</v>
      </c>
      <c r="D24" s="680"/>
      <c r="E24" s="680" t="s">
        <v>67</v>
      </c>
      <c r="F24" s="683">
        <v>0.5</v>
      </c>
      <c r="G24" s="21" t="str">
        <f>IFERROR(VLOOKUP(E24,'Piping Class'!$90:$102,7,0),"")</f>
        <v>SS</v>
      </c>
      <c r="H24" s="21">
        <f>IFERROR(VLOOKUP(E24,'Piping Class'!$90:$102,2,0),"")</f>
        <v>300</v>
      </c>
      <c r="I24" s="680"/>
      <c r="J24" s="611" t="str">
        <f t="shared" si="0"/>
        <v>-</v>
      </c>
      <c r="K24" s="1368">
        <v>0</v>
      </c>
      <c r="L24" s="680"/>
      <c r="M24" s="680"/>
      <c r="N24" s="680"/>
      <c r="O24" s="680"/>
      <c r="P24" s="680"/>
      <c r="Q24" s="680"/>
      <c r="R24" s="680"/>
      <c r="S24" s="680"/>
      <c r="T24" s="684"/>
      <c r="U24" s="684"/>
      <c r="V24" s="684"/>
      <c r="W24" s="684"/>
      <c r="X24" s="684"/>
      <c r="Y24" s="684"/>
      <c r="Z24" s="271">
        <f t="shared" si="1"/>
        <v>0</v>
      </c>
      <c r="AA24" s="865" t="s">
        <v>1664</v>
      </c>
      <c r="AB24" s="21">
        <f t="shared" si="2"/>
        <v>1</v>
      </c>
      <c r="AC24" s="21">
        <f t="shared" si="3"/>
        <v>0</v>
      </c>
      <c r="AD24" s="1368">
        <v>18</v>
      </c>
      <c r="AE24" s="21">
        <f t="shared" si="10"/>
        <v>0</v>
      </c>
      <c r="AF24" s="1371"/>
      <c r="AG24" s="1317">
        <f t="shared" ref="AG24:AG35" si="28">AF24*Z24</f>
        <v>0</v>
      </c>
      <c r="AH24" s="1373"/>
      <c r="AJ24" s="91" t="s">
        <v>1979</v>
      </c>
      <c r="AK24" s="680">
        <v>1.5</v>
      </c>
      <c r="AL24" s="331" t="s">
        <v>339</v>
      </c>
      <c r="AN24" s="1545">
        <f t="shared" si="4"/>
        <v>0</v>
      </c>
      <c r="AO24" s="1545">
        <f t="shared" si="24"/>
        <v>0</v>
      </c>
      <c r="AP24" s="1545">
        <f t="shared" si="24"/>
        <v>0</v>
      </c>
      <c r="AQ24" s="1545">
        <f t="shared" si="24"/>
        <v>0</v>
      </c>
      <c r="AR24" s="1545">
        <f t="shared" si="24"/>
        <v>0</v>
      </c>
      <c r="AS24" s="1545">
        <f t="shared" si="25"/>
        <v>0</v>
      </c>
      <c r="AT24" s="1545">
        <f t="shared" si="25"/>
        <v>0</v>
      </c>
      <c r="AU24" s="1545">
        <f t="shared" si="25"/>
        <v>0</v>
      </c>
      <c r="AV24" s="1545">
        <f t="shared" si="26"/>
        <v>0</v>
      </c>
      <c r="AW24" s="1545">
        <f t="shared" si="26"/>
        <v>0</v>
      </c>
      <c r="AX24" s="1545">
        <f t="shared" si="26"/>
        <v>0</v>
      </c>
      <c r="AY24" s="1545">
        <f t="shared" si="26"/>
        <v>1</v>
      </c>
      <c r="AZ24" s="1545">
        <f t="shared" si="26"/>
        <v>0</v>
      </c>
      <c r="BA24" s="1545">
        <f t="shared" si="22"/>
        <v>0</v>
      </c>
      <c r="BB24" s="1545">
        <f t="shared" si="22"/>
        <v>0</v>
      </c>
      <c r="BC24" s="1545">
        <f t="shared" si="22"/>
        <v>0</v>
      </c>
      <c r="BD24" s="1545">
        <f t="shared" si="22"/>
        <v>0</v>
      </c>
      <c r="BE24" s="1545">
        <f t="shared" si="22"/>
        <v>0</v>
      </c>
      <c r="BF24" s="1545">
        <f t="shared" si="27"/>
        <v>0</v>
      </c>
      <c r="BH24" s="1546">
        <f t="shared" si="12"/>
        <v>0</v>
      </c>
      <c r="BI24" s="1546">
        <f t="shared" si="12"/>
        <v>0</v>
      </c>
      <c r="BK24" s="1545">
        <f t="shared" si="13"/>
        <v>0</v>
      </c>
      <c r="BL24" s="1545">
        <f t="shared" si="13"/>
        <v>0</v>
      </c>
      <c r="BM24" s="1545">
        <f t="shared" si="14"/>
        <v>0</v>
      </c>
      <c r="BO24" s="1545">
        <f t="shared" si="15"/>
        <v>0</v>
      </c>
      <c r="BP24" s="1545">
        <f t="shared" si="15"/>
        <v>0</v>
      </c>
      <c r="BR24" s="1546">
        <f t="shared" si="16"/>
        <v>0</v>
      </c>
      <c r="BS24" s="1546">
        <f t="shared" si="16"/>
        <v>0</v>
      </c>
      <c r="BT24" s="1546">
        <f t="shared" si="16"/>
        <v>0</v>
      </c>
      <c r="BU24" s="1546">
        <f t="shared" si="16"/>
        <v>0</v>
      </c>
      <c r="BV24" s="1546">
        <f t="shared" si="16"/>
        <v>0</v>
      </c>
      <c r="BW24" s="1546">
        <f t="shared" si="16"/>
        <v>0</v>
      </c>
      <c r="BX24" s="1546">
        <f t="shared" si="16"/>
        <v>0</v>
      </c>
      <c r="BY24" s="1546">
        <f t="shared" si="16"/>
        <v>0</v>
      </c>
      <c r="BZ24" s="1546">
        <f t="shared" si="16"/>
        <v>0</v>
      </c>
      <c r="CA24" s="1546">
        <f t="shared" si="16"/>
        <v>0</v>
      </c>
      <c r="CB24" s="1546">
        <f t="shared" si="16"/>
        <v>0</v>
      </c>
      <c r="CC24" s="1546">
        <f t="shared" si="16"/>
        <v>0</v>
      </c>
      <c r="CD24" s="1546">
        <f t="shared" si="16"/>
        <v>0</v>
      </c>
      <c r="CE24" s="1546">
        <f t="shared" si="16"/>
        <v>0</v>
      </c>
      <c r="CF24" s="1546">
        <f t="shared" si="16"/>
        <v>0</v>
      </c>
      <c r="CG24" s="1546">
        <f t="shared" si="16"/>
        <v>0</v>
      </c>
      <c r="CH24" s="1546">
        <f t="shared" si="17"/>
        <v>0</v>
      </c>
      <c r="CJ24" s="1546">
        <f t="shared" si="18"/>
        <v>1</v>
      </c>
      <c r="CK24" s="1546">
        <f t="shared" si="18"/>
        <v>0</v>
      </c>
      <c r="CL24" s="1546">
        <f t="shared" si="18"/>
        <v>0</v>
      </c>
      <c r="CM24" s="1546">
        <f t="shared" si="18"/>
        <v>0</v>
      </c>
      <c r="CN24" s="1546">
        <f t="shared" si="18"/>
        <v>0</v>
      </c>
      <c r="CO24" s="1546">
        <f t="shared" si="18"/>
        <v>0</v>
      </c>
      <c r="CP24" s="1546">
        <f t="shared" si="18"/>
        <v>0</v>
      </c>
      <c r="CQ24" s="1546">
        <f t="shared" si="18"/>
        <v>0</v>
      </c>
      <c r="CR24" s="1546">
        <f t="shared" si="18"/>
        <v>0</v>
      </c>
      <c r="CS24" s="1546">
        <f t="shared" si="18"/>
        <v>0</v>
      </c>
      <c r="CT24" s="1546">
        <f t="shared" si="18"/>
        <v>0</v>
      </c>
      <c r="CU24" s="1546">
        <f t="shared" si="18"/>
        <v>0</v>
      </c>
      <c r="CV24" s="1546">
        <f t="shared" si="18"/>
        <v>0</v>
      </c>
      <c r="CW24" s="1546">
        <f t="shared" si="18"/>
        <v>0</v>
      </c>
      <c r="CX24" s="1546">
        <f t="shared" si="18"/>
        <v>0</v>
      </c>
      <c r="CY24" s="1546">
        <f t="shared" si="18"/>
        <v>0</v>
      </c>
      <c r="CZ24" s="1546">
        <f t="shared" si="23"/>
        <v>0</v>
      </c>
      <c r="DA24" s="1546">
        <f t="shared" si="23"/>
        <v>0</v>
      </c>
      <c r="DB24" s="1546">
        <f t="shared" si="23"/>
        <v>0</v>
      </c>
      <c r="DC24" s="1546">
        <f t="shared" si="23"/>
        <v>0</v>
      </c>
      <c r="DD24" s="1546">
        <f t="shared" si="23"/>
        <v>0</v>
      </c>
      <c r="DE24" s="1546">
        <f t="shared" si="23"/>
        <v>0</v>
      </c>
      <c r="DF24" s="1546">
        <f t="shared" si="23"/>
        <v>0</v>
      </c>
      <c r="DG24" s="1546">
        <f t="shared" si="23"/>
        <v>0</v>
      </c>
      <c r="DH24" s="1546">
        <f t="shared" si="23"/>
        <v>0</v>
      </c>
      <c r="DI24" s="1546">
        <f t="shared" si="23"/>
        <v>0</v>
      </c>
      <c r="DJ24" s="1546">
        <f t="shared" si="23"/>
        <v>0</v>
      </c>
      <c r="DK24" s="3"/>
      <c r="DM24" s="1546">
        <f t="shared" si="19"/>
        <v>1</v>
      </c>
      <c r="DN24" s="3"/>
      <c r="DO24" s="1546">
        <f t="shared" si="20"/>
        <v>1</v>
      </c>
      <c r="DQ24" s="1546">
        <f t="shared" si="21"/>
        <v>0</v>
      </c>
      <c r="DR24" s="1546">
        <f t="shared" si="21"/>
        <v>1</v>
      </c>
      <c r="DS24" s="1546">
        <f t="shared" si="21"/>
        <v>0</v>
      </c>
      <c r="DT24" s="1546">
        <f t="shared" si="21"/>
        <v>0</v>
      </c>
      <c r="DU24" s="1546">
        <f t="shared" si="21"/>
        <v>0</v>
      </c>
      <c r="DV24" s="1546">
        <f t="shared" si="21"/>
        <v>0</v>
      </c>
      <c r="DW24" s="1546">
        <f t="shared" si="21"/>
        <v>0</v>
      </c>
      <c r="DX24" s="1546">
        <f t="shared" si="21"/>
        <v>0</v>
      </c>
      <c r="DY24" s="1546">
        <f t="shared" si="21"/>
        <v>0</v>
      </c>
      <c r="DZ24" s="1546">
        <f t="shared" si="21"/>
        <v>0</v>
      </c>
      <c r="EA24" s="1546">
        <f t="shared" si="21"/>
        <v>0</v>
      </c>
      <c r="EB24" s="1546">
        <f t="shared" si="21"/>
        <v>0</v>
      </c>
      <c r="EC24" s="1546">
        <f t="shared" si="21"/>
        <v>0</v>
      </c>
    </row>
    <row r="25" spans="1:133" x14ac:dyDescent="0.3">
      <c r="A25" s="91">
        <v>22</v>
      </c>
      <c r="B25" s="680" t="s">
        <v>1977</v>
      </c>
      <c r="C25" s="680" t="s">
        <v>1978</v>
      </c>
      <c r="D25" s="680"/>
      <c r="E25" s="680" t="s">
        <v>67</v>
      </c>
      <c r="F25" s="683">
        <v>6</v>
      </c>
      <c r="G25" s="21" t="str">
        <f>IFERROR(VLOOKUP(E25,'Piping Class'!$90:$102,7,0),"")</f>
        <v>SS</v>
      </c>
      <c r="H25" s="21">
        <f>IFERROR(VLOOKUP(E25,'Piping Class'!$90:$102,2,0),"")</f>
        <v>300</v>
      </c>
      <c r="I25" s="680"/>
      <c r="J25" s="611" t="str">
        <f t="shared" si="0"/>
        <v>-</v>
      </c>
      <c r="K25" s="1368">
        <v>3</v>
      </c>
      <c r="L25" s="680"/>
      <c r="M25" s="680"/>
      <c r="N25" s="680"/>
      <c r="O25" s="680"/>
      <c r="P25" s="680"/>
      <c r="Q25" s="680"/>
      <c r="R25" s="680"/>
      <c r="S25" s="680"/>
      <c r="T25" s="684"/>
      <c r="U25" s="684"/>
      <c r="V25" s="684"/>
      <c r="W25" s="684"/>
      <c r="X25" s="684"/>
      <c r="Y25" s="684"/>
      <c r="Z25" s="271">
        <f t="shared" si="1"/>
        <v>3</v>
      </c>
      <c r="AA25" s="865" t="s">
        <v>1664</v>
      </c>
      <c r="AB25" s="21">
        <f t="shared" si="2"/>
        <v>1</v>
      </c>
      <c r="AC25" s="21">
        <f t="shared" si="3"/>
        <v>3</v>
      </c>
      <c r="AD25" s="1368">
        <v>18</v>
      </c>
      <c r="AE25" s="21">
        <f t="shared" si="10"/>
        <v>54</v>
      </c>
      <c r="AF25" s="1371">
        <v>1800</v>
      </c>
      <c r="AG25" s="1317">
        <f t="shared" si="28"/>
        <v>5400</v>
      </c>
      <c r="AH25" s="1373" t="s">
        <v>1942</v>
      </c>
      <c r="AJ25" s="91" t="s">
        <v>1980</v>
      </c>
      <c r="AK25" s="680">
        <v>1.5</v>
      </c>
      <c r="AL25" s="331" t="s">
        <v>339</v>
      </c>
      <c r="AN25" s="1545">
        <f t="shared" si="4"/>
        <v>0</v>
      </c>
      <c r="AO25" s="1545">
        <f t="shared" si="24"/>
        <v>0</v>
      </c>
      <c r="AP25" s="1545">
        <f t="shared" si="24"/>
        <v>0</v>
      </c>
      <c r="AQ25" s="1545">
        <f t="shared" si="24"/>
        <v>0</v>
      </c>
      <c r="AR25" s="1545">
        <f t="shared" si="24"/>
        <v>0</v>
      </c>
      <c r="AS25" s="1545">
        <f t="shared" si="25"/>
        <v>0</v>
      </c>
      <c r="AT25" s="1545">
        <f t="shared" si="25"/>
        <v>0</v>
      </c>
      <c r="AU25" s="1545">
        <f t="shared" si="25"/>
        <v>0</v>
      </c>
      <c r="AV25" s="1545">
        <f t="shared" si="26"/>
        <v>0</v>
      </c>
      <c r="AW25" s="1545">
        <f t="shared" si="26"/>
        <v>0</v>
      </c>
      <c r="AX25" s="1545">
        <f t="shared" si="26"/>
        <v>0</v>
      </c>
      <c r="AY25" s="1545">
        <f t="shared" si="26"/>
        <v>1</v>
      </c>
      <c r="AZ25" s="1545">
        <f t="shared" si="26"/>
        <v>0</v>
      </c>
      <c r="BA25" s="1545">
        <f t="shared" si="22"/>
        <v>0</v>
      </c>
      <c r="BB25" s="1545">
        <f t="shared" si="22"/>
        <v>0</v>
      </c>
      <c r="BC25" s="1545">
        <f t="shared" si="22"/>
        <v>0</v>
      </c>
      <c r="BD25" s="1545">
        <f t="shared" si="22"/>
        <v>0</v>
      </c>
      <c r="BE25" s="1545">
        <f t="shared" si="22"/>
        <v>0</v>
      </c>
      <c r="BF25" s="1545">
        <f t="shared" si="27"/>
        <v>0</v>
      </c>
      <c r="BH25" s="1546">
        <f t="shared" si="12"/>
        <v>0</v>
      </c>
      <c r="BI25" s="1546">
        <f t="shared" si="12"/>
        <v>0</v>
      </c>
      <c r="BK25" s="1545">
        <f t="shared" si="13"/>
        <v>0</v>
      </c>
      <c r="BL25" s="1545">
        <f t="shared" si="13"/>
        <v>0</v>
      </c>
      <c r="BM25" s="1545">
        <f t="shared" si="14"/>
        <v>0</v>
      </c>
      <c r="BO25" s="1545">
        <f t="shared" si="15"/>
        <v>0</v>
      </c>
      <c r="BP25" s="1545">
        <f t="shared" si="15"/>
        <v>0</v>
      </c>
      <c r="BR25" s="1546">
        <f t="shared" si="16"/>
        <v>0</v>
      </c>
      <c r="BS25" s="1546">
        <f t="shared" si="16"/>
        <v>0</v>
      </c>
      <c r="BT25" s="1546">
        <f t="shared" si="16"/>
        <v>0</v>
      </c>
      <c r="BU25" s="1546">
        <f t="shared" si="16"/>
        <v>0</v>
      </c>
      <c r="BV25" s="1546">
        <f t="shared" si="16"/>
        <v>0</v>
      </c>
      <c r="BW25" s="1546">
        <f t="shared" si="16"/>
        <v>0</v>
      </c>
      <c r="BX25" s="1546">
        <f t="shared" si="16"/>
        <v>0</v>
      </c>
      <c r="BY25" s="1546">
        <f t="shared" si="16"/>
        <v>0</v>
      </c>
      <c r="BZ25" s="1546">
        <f t="shared" si="16"/>
        <v>0</v>
      </c>
      <c r="CA25" s="1546">
        <f t="shared" si="16"/>
        <v>0</v>
      </c>
      <c r="CB25" s="1546">
        <f t="shared" si="16"/>
        <v>0</v>
      </c>
      <c r="CC25" s="1546">
        <f t="shared" si="16"/>
        <v>0</v>
      </c>
      <c r="CD25" s="1546">
        <f t="shared" si="16"/>
        <v>0</v>
      </c>
      <c r="CE25" s="1546">
        <f t="shared" si="16"/>
        <v>0</v>
      </c>
      <c r="CF25" s="1546">
        <f t="shared" si="16"/>
        <v>0</v>
      </c>
      <c r="CG25" s="1546">
        <f t="shared" si="16"/>
        <v>0</v>
      </c>
      <c r="CH25" s="1546">
        <f t="shared" si="17"/>
        <v>0</v>
      </c>
      <c r="CJ25" s="1546">
        <f t="shared" si="18"/>
        <v>0</v>
      </c>
      <c r="CK25" s="1546">
        <f t="shared" si="18"/>
        <v>0</v>
      </c>
      <c r="CL25" s="1546">
        <f t="shared" si="18"/>
        <v>0</v>
      </c>
      <c r="CM25" s="1546">
        <f t="shared" si="18"/>
        <v>0</v>
      </c>
      <c r="CN25" s="1546">
        <f t="shared" si="18"/>
        <v>0</v>
      </c>
      <c r="CO25" s="1546">
        <f t="shared" si="18"/>
        <v>0</v>
      </c>
      <c r="CP25" s="1546">
        <f t="shared" si="18"/>
        <v>0</v>
      </c>
      <c r="CQ25" s="1546">
        <f t="shared" si="18"/>
        <v>0</v>
      </c>
      <c r="CR25" s="1546">
        <f t="shared" si="18"/>
        <v>1</v>
      </c>
      <c r="CS25" s="1546">
        <f t="shared" si="18"/>
        <v>0</v>
      </c>
      <c r="CT25" s="1546">
        <f t="shared" si="18"/>
        <v>0</v>
      </c>
      <c r="CU25" s="1546">
        <f t="shared" si="18"/>
        <v>0</v>
      </c>
      <c r="CV25" s="1546">
        <f t="shared" si="18"/>
        <v>0</v>
      </c>
      <c r="CW25" s="1546">
        <f t="shared" si="18"/>
        <v>0</v>
      </c>
      <c r="CX25" s="1546">
        <f t="shared" si="18"/>
        <v>0</v>
      </c>
      <c r="CY25" s="1546">
        <f t="shared" si="18"/>
        <v>0</v>
      </c>
      <c r="CZ25" s="1546">
        <f t="shared" si="23"/>
        <v>0</v>
      </c>
      <c r="DA25" s="1546">
        <f t="shared" si="23"/>
        <v>0</v>
      </c>
      <c r="DB25" s="1546">
        <f t="shared" si="23"/>
        <v>0</v>
      </c>
      <c r="DC25" s="1546">
        <f t="shared" si="23"/>
        <v>0</v>
      </c>
      <c r="DD25" s="1546">
        <f t="shared" si="23"/>
        <v>0</v>
      </c>
      <c r="DE25" s="1546">
        <f t="shared" si="23"/>
        <v>0</v>
      </c>
      <c r="DF25" s="1546">
        <f t="shared" si="23"/>
        <v>0</v>
      </c>
      <c r="DG25" s="1546">
        <f t="shared" si="23"/>
        <v>0</v>
      </c>
      <c r="DH25" s="1546">
        <f t="shared" si="23"/>
        <v>0</v>
      </c>
      <c r="DI25" s="1546">
        <f t="shared" si="23"/>
        <v>0</v>
      </c>
      <c r="DJ25" s="1546">
        <f t="shared" si="23"/>
        <v>0</v>
      </c>
      <c r="DK25" s="3"/>
      <c r="DM25" s="1546">
        <f t="shared" si="19"/>
        <v>1</v>
      </c>
      <c r="DN25" s="3"/>
      <c r="DO25" s="1546">
        <f t="shared" si="20"/>
        <v>1</v>
      </c>
      <c r="DQ25" s="1546">
        <f t="shared" si="21"/>
        <v>0</v>
      </c>
      <c r="DR25" s="1546">
        <f t="shared" si="21"/>
        <v>1</v>
      </c>
      <c r="DS25" s="1546">
        <f t="shared" si="21"/>
        <v>0</v>
      </c>
      <c r="DT25" s="1546">
        <f t="shared" si="21"/>
        <v>0</v>
      </c>
      <c r="DU25" s="1546">
        <f t="shared" si="21"/>
        <v>0</v>
      </c>
      <c r="DV25" s="1546">
        <f t="shared" si="21"/>
        <v>0</v>
      </c>
      <c r="DW25" s="1546">
        <f t="shared" si="21"/>
        <v>0</v>
      </c>
      <c r="DX25" s="1546">
        <f t="shared" si="21"/>
        <v>0</v>
      </c>
      <c r="DY25" s="1546">
        <f t="shared" si="21"/>
        <v>0</v>
      </c>
      <c r="DZ25" s="1546">
        <f t="shared" si="21"/>
        <v>0</v>
      </c>
      <c r="EA25" s="1546">
        <f t="shared" si="21"/>
        <v>0</v>
      </c>
      <c r="EB25" s="1546">
        <f t="shared" si="21"/>
        <v>0</v>
      </c>
      <c r="EC25" s="1546">
        <f t="shared" si="21"/>
        <v>0</v>
      </c>
    </row>
    <row r="26" spans="1:133" x14ac:dyDescent="0.3">
      <c r="A26" s="91">
        <v>23</v>
      </c>
      <c r="B26" s="680" t="s">
        <v>1977</v>
      </c>
      <c r="C26" s="680" t="s">
        <v>1978</v>
      </c>
      <c r="D26" s="680"/>
      <c r="E26" s="680" t="s">
        <v>67</v>
      </c>
      <c r="F26" s="683">
        <v>2</v>
      </c>
      <c r="G26" s="21" t="str">
        <f>IFERROR(VLOOKUP(E26,'Piping Class'!$90:$102,7,0),"")</f>
        <v>SS</v>
      </c>
      <c r="H26" s="21">
        <f>IFERROR(VLOOKUP(E26,'Piping Class'!$90:$102,2,0),"")</f>
        <v>300</v>
      </c>
      <c r="I26" s="680"/>
      <c r="J26" s="611" t="str">
        <f t="shared" si="0"/>
        <v>-</v>
      </c>
      <c r="K26" s="1369">
        <v>2</v>
      </c>
      <c r="L26" s="680"/>
      <c r="M26" s="680"/>
      <c r="N26" s="680"/>
      <c r="O26" s="680"/>
      <c r="P26" s="680"/>
      <c r="Q26" s="680"/>
      <c r="R26" s="680"/>
      <c r="S26" s="680"/>
      <c r="T26" s="684"/>
      <c r="U26" s="684"/>
      <c r="V26" s="684"/>
      <c r="W26" s="684"/>
      <c r="X26" s="684"/>
      <c r="Y26" s="684"/>
      <c r="Z26" s="271">
        <f t="shared" si="1"/>
        <v>2</v>
      </c>
      <c r="AA26" s="865"/>
      <c r="AB26" s="21">
        <f t="shared" si="2"/>
        <v>1</v>
      </c>
      <c r="AC26" s="21">
        <f t="shared" si="3"/>
        <v>2</v>
      </c>
      <c r="AD26" s="1369"/>
      <c r="AE26" s="21">
        <f t="shared" si="10"/>
        <v>0</v>
      </c>
      <c r="AF26" s="1371">
        <v>1200</v>
      </c>
      <c r="AG26" s="1317">
        <f t="shared" si="28"/>
        <v>2400</v>
      </c>
      <c r="AH26" s="1374"/>
      <c r="AJ26" s="91" t="s">
        <v>1981</v>
      </c>
      <c r="AK26" s="680">
        <v>1.5</v>
      </c>
      <c r="AL26" s="331" t="s">
        <v>1721</v>
      </c>
      <c r="AN26" s="1545">
        <f t="shared" si="4"/>
        <v>0</v>
      </c>
      <c r="AO26" s="1545">
        <f t="shared" si="24"/>
        <v>0</v>
      </c>
      <c r="AP26" s="1545">
        <f t="shared" si="24"/>
        <v>0</v>
      </c>
      <c r="AQ26" s="1545">
        <f t="shared" si="24"/>
        <v>0</v>
      </c>
      <c r="AR26" s="1545">
        <f t="shared" si="24"/>
        <v>0</v>
      </c>
      <c r="AS26" s="1545">
        <f t="shared" si="25"/>
        <v>0</v>
      </c>
      <c r="AT26" s="1545">
        <f t="shared" si="25"/>
        <v>0</v>
      </c>
      <c r="AU26" s="1545">
        <f t="shared" si="25"/>
        <v>0</v>
      </c>
      <c r="AV26" s="1545">
        <f t="shared" si="26"/>
        <v>0</v>
      </c>
      <c r="AW26" s="1545">
        <f t="shared" si="26"/>
        <v>0</v>
      </c>
      <c r="AX26" s="1545">
        <f t="shared" si="26"/>
        <v>0</v>
      </c>
      <c r="AY26" s="1545">
        <f t="shared" si="26"/>
        <v>1</v>
      </c>
      <c r="AZ26" s="1545">
        <f t="shared" si="26"/>
        <v>0</v>
      </c>
      <c r="BA26" s="1545">
        <f t="shared" si="22"/>
        <v>0</v>
      </c>
      <c r="BB26" s="1545">
        <f t="shared" si="22"/>
        <v>0</v>
      </c>
      <c r="BC26" s="1545">
        <f t="shared" si="22"/>
        <v>0</v>
      </c>
      <c r="BD26" s="1545">
        <f t="shared" si="22"/>
        <v>0</v>
      </c>
      <c r="BE26" s="1545">
        <f t="shared" si="22"/>
        <v>0</v>
      </c>
      <c r="BF26" s="1545">
        <f t="shared" si="27"/>
        <v>0</v>
      </c>
      <c r="BH26" s="1546">
        <f t="shared" si="12"/>
        <v>0</v>
      </c>
      <c r="BI26" s="1546">
        <f t="shared" si="12"/>
        <v>0</v>
      </c>
      <c r="BK26" s="1545">
        <f t="shared" si="13"/>
        <v>0</v>
      </c>
      <c r="BL26" s="1545">
        <f t="shared" si="13"/>
        <v>0</v>
      </c>
      <c r="BM26" s="1545">
        <f t="shared" si="14"/>
        <v>0</v>
      </c>
      <c r="BO26" s="1545">
        <f t="shared" si="15"/>
        <v>0</v>
      </c>
      <c r="BP26" s="1545">
        <f t="shared" si="15"/>
        <v>0</v>
      </c>
      <c r="BR26" s="1546">
        <f t="shared" si="16"/>
        <v>0</v>
      </c>
      <c r="BS26" s="1546">
        <f t="shared" si="16"/>
        <v>0</v>
      </c>
      <c r="BT26" s="1546">
        <f t="shared" si="16"/>
        <v>0</v>
      </c>
      <c r="BU26" s="1546">
        <f t="shared" si="16"/>
        <v>0</v>
      </c>
      <c r="BV26" s="1546">
        <f t="shared" si="16"/>
        <v>0</v>
      </c>
      <c r="BW26" s="1546">
        <f t="shared" si="16"/>
        <v>0</v>
      </c>
      <c r="BX26" s="1546">
        <f t="shared" si="16"/>
        <v>0</v>
      </c>
      <c r="BY26" s="1546">
        <f t="shared" si="16"/>
        <v>0</v>
      </c>
      <c r="BZ26" s="1546">
        <f t="shared" si="16"/>
        <v>0</v>
      </c>
      <c r="CA26" s="1546">
        <f t="shared" si="16"/>
        <v>0</v>
      </c>
      <c r="CB26" s="1546">
        <f t="shared" si="16"/>
        <v>0</v>
      </c>
      <c r="CC26" s="1546">
        <f t="shared" si="16"/>
        <v>0</v>
      </c>
      <c r="CD26" s="1546">
        <f t="shared" si="16"/>
        <v>0</v>
      </c>
      <c r="CE26" s="1546">
        <f t="shared" si="16"/>
        <v>0</v>
      </c>
      <c r="CF26" s="1546">
        <f t="shared" si="16"/>
        <v>0</v>
      </c>
      <c r="CG26" s="1546">
        <f t="shared" si="16"/>
        <v>0</v>
      </c>
      <c r="CH26" s="1546">
        <f t="shared" si="17"/>
        <v>1</v>
      </c>
      <c r="CJ26" s="1546">
        <f t="shared" si="18"/>
        <v>0</v>
      </c>
      <c r="CK26" s="1546">
        <f t="shared" si="18"/>
        <v>0</v>
      </c>
      <c r="CL26" s="1546">
        <f t="shared" si="18"/>
        <v>0</v>
      </c>
      <c r="CM26" s="1546">
        <f t="shared" si="18"/>
        <v>0</v>
      </c>
      <c r="CN26" s="1546">
        <f t="shared" si="18"/>
        <v>1</v>
      </c>
      <c r="CO26" s="1546">
        <f t="shared" si="18"/>
        <v>0</v>
      </c>
      <c r="CP26" s="1546">
        <f t="shared" si="18"/>
        <v>0</v>
      </c>
      <c r="CQ26" s="1546">
        <f t="shared" si="18"/>
        <v>0</v>
      </c>
      <c r="CR26" s="1546">
        <f t="shared" si="18"/>
        <v>0</v>
      </c>
      <c r="CS26" s="1546">
        <f t="shared" si="18"/>
        <v>0</v>
      </c>
      <c r="CT26" s="1546">
        <f t="shared" si="18"/>
        <v>0</v>
      </c>
      <c r="CU26" s="1546">
        <f t="shared" si="18"/>
        <v>0</v>
      </c>
      <c r="CV26" s="1546">
        <f t="shared" si="18"/>
        <v>0</v>
      </c>
      <c r="CW26" s="1546">
        <f t="shared" si="18"/>
        <v>0</v>
      </c>
      <c r="CX26" s="1546">
        <f t="shared" si="18"/>
        <v>0</v>
      </c>
      <c r="CY26" s="1546">
        <f t="shared" si="18"/>
        <v>0</v>
      </c>
      <c r="CZ26" s="1546">
        <f t="shared" si="23"/>
        <v>0</v>
      </c>
      <c r="DA26" s="1546">
        <f t="shared" si="23"/>
        <v>0</v>
      </c>
      <c r="DB26" s="1546">
        <f t="shared" si="23"/>
        <v>0</v>
      </c>
      <c r="DC26" s="1546">
        <f t="shared" si="23"/>
        <v>0</v>
      </c>
      <c r="DD26" s="1546">
        <f t="shared" si="23"/>
        <v>0</v>
      </c>
      <c r="DE26" s="1546">
        <f t="shared" si="23"/>
        <v>0</v>
      </c>
      <c r="DF26" s="1546">
        <f t="shared" si="23"/>
        <v>0</v>
      </c>
      <c r="DG26" s="1546">
        <f t="shared" si="23"/>
        <v>0</v>
      </c>
      <c r="DH26" s="1546">
        <f t="shared" si="23"/>
        <v>0</v>
      </c>
      <c r="DI26" s="1546">
        <f t="shared" si="23"/>
        <v>0</v>
      </c>
      <c r="DJ26" s="1546">
        <f t="shared" si="23"/>
        <v>0</v>
      </c>
      <c r="DK26" s="3"/>
      <c r="DM26" s="1546">
        <f t="shared" si="19"/>
        <v>1</v>
      </c>
      <c r="DN26" s="3"/>
      <c r="DO26" s="1546">
        <f t="shared" si="20"/>
        <v>1</v>
      </c>
      <c r="DQ26" s="1546">
        <f t="shared" si="21"/>
        <v>0</v>
      </c>
      <c r="DR26" s="1546">
        <f t="shared" si="21"/>
        <v>1</v>
      </c>
      <c r="DS26" s="1546">
        <f t="shared" si="21"/>
        <v>0</v>
      </c>
      <c r="DT26" s="1546">
        <f t="shared" si="21"/>
        <v>0</v>
      </c>
      <c r="DU26" s="1546">
        <f t="shared" si="21"/>
        <v>0</v>
      </c>
      <c r="DV26" s="1546">
        <f t="shared" si="21"/>
        <v>0</v>
      </c>
      <c r="DW26" s="1546">
        <f t="shared" si="21"/>
        <v>0</v>
      </c>
      <c r="DX26" s="1546">
        <f t="shared" si="21"/>
        <v>0</v>
      </c>
      <c r="DY26" s="1546">
        <f t="shared" si="21"/>
        <v>0</v>
      </c>
      <c r="DZ26" s="1546">
        <f t="shared" si="21"/>
        <v>0</v>
      </c>
      <c r="EA26" s="1546">
        <f t="shared" si="21"/>
        <v>0</v>
      </c>
      <c r="EB26" s="1546">
        <f t="shared" si="21"/>
        <v>0</v>
      </c>
      <c r="EC26" s="1546">
        <f t="shared" si="21"/>
        <v>0</v>
      </c>
    </row>
    <row r="27" spans="1:133" x14ac:dyDescent="0.3">
      <c r="A27" s="91">
        <v>24</v>
      </c>
      <c r="B27" s="680" t="s">
        <v>1977</v>
      </c>
      <c r="C27" s="680" t="s">
        <v>1978</v>
      </c>
      <c r="D27" s="680"/>
      <c r="E27" s="680" t="s">
        <v>67</v>
      </c>
      <c r="F27" s="683">
        <v>6</v>
      </c>
      <c r="G27" s="21" t="str">
        <f>IFERROR(VLOOKUP(E27,'Piping Class'!$90:$102,7,0),"")</f>
        <v>SS</v>
      </c>
      <c r="H27" s="21">
        <f>IFERROR(VLOOKUP(E27,'Piping Class'!$90:$102,2,0),"")</f>
        <v>300</v>
      </c>
      <c r="I27" s="680"/>
      <c r="J27" s="611" t="str">
        <f t="shared" si="0"/>
        <v>-</v>
      </c>
      <c r="K27" s="1369"/>
      <c r="L27" s="680"/>
      <c r="M27" s="680"/>
      <c r="N27" s="680"/>
      <c r="O27" s="680"/>
      <c r="P27" s="680"/>
      <c r="Q27" s="680"/>
      <c r="R27" s="680"/>
      <c r="S27" s="680"/>
      <c r="T27" s="684"/>
      <c r="U27" s="684"/>
      <c r="V27" s="684"/>
      <c r="W27" s="684"/>
      <c r="X27" s="684"/>
      <c r="Y27" s="684"/>
      <c r="Z27" s="271">
        <f t="shared" si="1"/>
        <v>0</v>
      </c>
      <c r="AA27" s="865"/>
      <c r="AB27" s="21">
        <f t="shared" si="2"/>
        <v>1</v>
      </c>
      <c r="AC27" s="21">
        <f t="shared" si="3"/>
        <v>0</v>
      </c>
      <c r="AD27" s="1369"/>
      <c r="AE27" s="21">
        <f t="shared" si="10"/>
        <v>0</v>
      </c>
      <c r="AF27" s="1371"/>
      <c r="AG27" s="1317">
        <f t="shared" si="28"/>
        <v>0</v>
      </c>
      <c r="AH27" s="1374"/>
      <c r="AJ27" s="91" t="s">
        <v>1956</v>
      </c>
      <c r="AK27" s="680">
        <v>1.5</v>
      </c>
      <c r="AL27" s="331" t="s">
        <v>1721</v>
      </c>
      <c r="AN27" s="1545">
        <f t="shared" si="4"/>
        <v>0</v>
      </c>
      <c r="AO27" s="1545">
        <f t="shared" si="24"/>
        <v>0</v>
      </c>
      <c r="AP27" s="1545">
        <f t="shared" si="24"/>
        <v>0</v>
      </c>
      <c r="AQ27" s="1545">
        <f t="shared" si="24"/>
        <v>0</v>
      </c>
      <c r="AR27" s="1545">
        <f t="shared" si="24"/>
        <v>0</v>
      </c>
      <c r="AS27" s="1545">
        <f t="shared" si="25"/>
        <v>0</v>
      </c>
      <c r="AT27" s="1545">
        <f t="shared" si="25"/>
        <v>0</v>
      </c>
      <c r="AU27" s="1545">
        <f t="shared" si="25"/>
        <v>0</v>
      </c>
      <c r="AV27" s="1545">
        <f t="shared" si="26"/>
        <v>0</v>
      </c>
      <c r="AW27" s="1545">
        <f t="shared" si="26"/>
        <v>0</v>
      </c>
      <c r="AX27" s="1545">
        <f t="shared" si="26"/>
        <v>0</v>
      </c>
      <c r="AY27" s="1545">
        <f t="shared" si="26"/>
        <v>1</v>
      </c>
      <c r="AZ27" s="1545">
        <f t="shared" si="26"/>
        <v>0</v>
      </c>
      <c r="BA27" s="1545">
        <f t="shared" si="22"/>
        <v>0</v>
      </c>
      <c r="BB27" s="1545">
        <f t="shared" si="22"/>
        <v>0</v>
      </c>
      <c r="BC27" s="1545">
        <f t="shared" si="22"/>
        <v>0</v>
      </c>
      <c r="BD27" s="1545">
        <f t="shared" si="22"/>
        <v>0</v>
      </c>
      <c r="BE27" s="1545">
        <f t="shared" si="22"/>
        <v>0</v>
      </c>
      <c r="BF27" s="1545">
        <f t="shared" si="27"/>
        <v>0</v>
      </c>
      <c r="BH27" s="1546">
        <f t="shared" si="12"/>
        <v>0</v>
      </c>
      <c r="BI27" s="1546">
        <f t="shared" si="12"/>
        <v>0</v>
      </c>
      <c r="BK27" s="1545">
        <f t="shared" si="13"/>
        <v>0</v>
      </c>
      <c r="BL27" s="1545">
        <f t="shared" si="13"/>
        <v>0</v>
      </c>
      <c r="BM27" s="1545">
        <f t="shared" si="14"/>
        <v>0</v>
      </c>
      <c r="BO27" s="1545">
        <f t="shared" si="15"/>
        <v>0</v>
      </c>
      <c r="BP27" s="1545">
        <f t="shared" si="15"/>
        <v>0</v>
      </c>
      <c r="BR27" s="1546">
        <f t="shared" si="16"/>
        <v>0</v>
      </c>
      <c r="BS27" s="1546">
        <f t="shared" si="16"/>
        <v>0</v>
      </c>
      <c r="BT27" s="1546">
        <f t="shared" si="16"/>
        <v>0</v>
      </c>
      <c r="BU27" s="1546">
        <f t="shared" si="16"/>
        <v>0</v>
      </c>
      <c r="BV27" s="1546">
        <f t="shared" si="16"/>
        <v>0</v>
      </c>
      <c r="BW27" s="1546">
        <f t="shared" si="16"/>
        <v>0</v>
      </c>
      <c r="BX27" s="1546">
        <f t="shared" si="16"/>
        <v>0</v>
      </c>
      <c r="BY27" s="1546">
        <f t="shared" si="16"/>
        <v>0</v>
      </c>
      <c r="BZ27" s="1546">
        <f t="shared" si="16"/>
        <v>0</v>
      </c>
      <c r="CA27" s="1546">
        <f t="shared" si="16"/>
        <v>0</v>
      </c>
      <c r="CB27" s="1546">
        <f t="shared" si="16"/>
        <v>0</v>
      </c>
      <c r="CC27" s="1546">
        <f t="shared" si="16"/>
        <v>0</v>
      </c>
      <c r="CD27" s="1546">
        <f t="shared" si="16"/>
        <v>0</v>
      </c>
      <c r="CE27" s="1546">
        <f t="shared" si="16"/>
        <v>0</v>
      </c>
      <c r="CF27" s="1546">
        <f t="shared" si="16"/>
        <v>0</v>
      </c>
      <c r="CG27" s="1546">
        <f t="shared" si="16"/>
        <v>0</v>
      </c>
      <c r="CH27" s="1546">
        <f t="shared" si="17"/>
        <v>1</v>
      </c>
      <c r="CJ27" s="1546">
        <f t="shared" si="18"/>
        <v>0</v>
      </c>
      <c r="CK27" s="1546">
        <f t="shared" si="18"/>
        <v>0</v>
      </c>
      <c r="CL27" s="1546">
        <f t="shared" si="18"/>
        <v>0</v>
      </c>
      <c r="CM27" s="1546">
        <f t="shared" si="18"/>
        <v>0</v>
      </c>
      <c r="CN27" s="1546">
        <f t="shared" si="18"/>
        <v>0</v>
      </c>
      <c r="CO27" s="1546">
        <f t="shared" si="18"/>
        <v>0</v>
      </c>
      <c r="CP27" s="1546">
        <f t="shared" si="18"/>
        <v>0</v>
      </c>
      <c r="CQ27" s="1546">
        <f t="shared" si="18"/>
        <v>0</v>
      </c>
      <c r="CR27" s="1546">
        <f t="shared" si="18"/>
        <v>1</v>
      </c>
      <c r="CS27" s="1546">
        <f t="shared" si="18"/>
        <v>0</v>
      </c>
      <c r="CT27" s="1546">
        <f t="shared" si="18"/>
        <v>0</v>
      </c>
      <c r="CU27" s="1546">
        <f t="shared" si="18"/>
        <v>0</v>
      </c>
      <c r="CV27" s="1546">
        <f t="shared" si="18"/>
        <v>0</v>
      </c>
      <c r="CW27" s="1546">
        <f t="shared" si="18"/>
        <v>0</v>
      </c>
      <c r="CX27" s="1546">
        <f t="shared" si="18"/>
        <v>0</v>
      </c>
      <c r="CY27" s="1546">
        <f t="shared" si="18"/>
        <v>0</v>
      </c>
      <c r="CZ27" s="1546">
        <f t="shared" si="23"/>
        <v>0</v>
      </c>
      <c r="DA27" s="1546">
        <f t="shared" si="23"/>
        <v>0</v>
      </c>
      <c r="DB27" s="1546">
        <f t="shared" si="23"/>
        <v>0</v>
      </c>
      <c r="DC27" s="1546">
        <f t="shared" si="23"/>
        <v>0</v>
      </c>
      <c r="DD27" s="1546">
        <f t="shared" si="23"/>
        <v>0</v>
      </c>
      <c r="DE27" s="1546">
        <f t="shared" si="23"/>
        <v>0</v>
      </c>
      <c r="DF27" s="1546">
        <f t="shared" si="23"/>
        <v>0</v>
      </c>
      <c r="DG27" s="1546">
        <f t="shared" si="23"/>
        <v>0</v>
      </c>
      <c r="DH27" s="1546">
        <f t="shared" si="23"/>
        <v>0</v>
      </c>
      <c r="DI27" s="1546">
        <f t="shared" si="23"/>
        <v>0</v>
      </c>
      <c r="DJ27" s="1546">
        <f t="shared" si="23"/>
        <v>0</v>
      </c>
      <c r="DK27" s="3"/>
      <c r="DM27" s="1546">
        <f t="shared" si="19"/>
        <v>1</v>
      </c>
      <c r="DN27" s="3"/>
      <c r="DO27" s="1546">
        <f t="shared" si="20"/>
        <v>1</v>
      </c>
      <c r="DQ27" s="1546">
        <f t="shared" si="21"/>
        <v>0</v>
      </c>
      <c r="DR27" s="1546">
        <f t="shared" si="21"/>
        <v>1</v>
      </c>
      <c r="DS27" s="1546">
        <f t="shared" si="21"/>
        <v>0</v>
      </c>
      <c r="DT27" s="1546">
        <f t="shared" si="21"/>
        <v>0</v>
      </c>
      <c r="DU27" s="1546">
        <f t="shared" si="21"/>
        <v>0</v>
      </c>
      <c r="DV27" s="1546">
        <f t="shared" si="21"/>
        <v>0</v>
      </c>
      <c r="DW27" s="1546">
        <f t="shared" si="21"/>
        <v>0</v>
      </c>
      <c r="DX27" s="1546">
        <f t="shared" si="21"/>
        <v>0</v>
      </c>
      <c r="DY27" s="1546">
        <f t="shared" si="21"/>
        <v>0</v>
      </c>
      <c r="DZ27" s="1546">
        <f t="shared" si="21"/>
        <v>0</v>
      </c>
      <c r="EA27" s="1546">
        <f t="shared" si="21"/>
        <v>0</v>
      </c>
      <c r="EB27" s="1546">
        <f t="shared" si="21"/>
        <v>0</v>
      </c>
      <c r="EC27" s="1546">
        <f t="shared" si="21"/>
        <v>0</v>
      </c>
    </row>
    <row r="28" spans="1:133" x14ac:dyDescent="0.3">
      <c r="A28" s="91">
        <v>25</v>
      </c>
      <c r="B28" s="680" t="s">
        <v>1977</v>
      </c>
      <c r="C28" s="680" t="s">
        <v>1978</v>
      </c>
      <c r="D28" s="680"/>
      <c r="E28" s="680" t="s">
        <v>67</v>
      </c>
      <c r="F28" s="683">
        <v>2</v>
      </c>
      <c r="G28" s="21" t="str">
        <f>IFERROR(VLOOKUP(E28,'Piping Class'!$90:$102,7,0),"")</f>
        <v>SS</v>
      </c>
      <c r="H28" s="21">
        <f>IFERROR(VLOOKUP(E28,'Piping Class'!$90:$102,2,0),"")</f>
        <v>300</v>
      </c>
      <c r="I28" s="680"/>
      <c r="J28" s="611" t="str">
        <f t="shared" si="0"/>
        <v>-</v>
      </c>
      <c r="K28" s="1369"/>
      <c r="L28" s="680"/>
      <c r="M28" s="680"/>
      <c r="N28" s="680"/>
      <c r="O28" s="680"/>
      <c r="P28" s="680"/>
      <c r="Q28" s="680"/>
      <c r="R28" s="680"/>
      <c r="S28" s="680"/>
      <c r="T28" s="684"/>
      <c r="U28" s="684"/>
      <c r="V28" s="684"/>
      <c r="W28" s="684"/>
      <c r="X28" s="684"/>
      <c r="Y28" s="684"/>
      <c r="Z28" s="271">
        <f t="shared" si="1"/>
        <v>0</v>
      </c>
      <c r="AA28" s="865"/>
      <c r="AB28" s="21">
        <f t="shared" si="2"/>
        <v>1</v>
      </c>
      <c r="AC28" s="21">
        <f t="shared" si="3"/>
        <v>0</v>
      </c>
      <c r="AD28" s="1369"/>
      <c r="AE28" s="21">
        <f t="shared" si="10"/>
        <v>0</v>
      </c>
      <c r="AF28" s="1371"/>
      <c r="AG28" s="1317">
        <f t="shared" si="28"/>
        <v>0</v>
      </c>
      <c r="AH28" s="1374"/>
      <c r="AJ28" s="91" t="s">
        <v>1982</v>
      </c>
      <c r="AK28" s="680">
        <v>1.5</v>
      </c>
      <c r="AL28" s="331" t="s">
        <v>1721</v>
      </c>
      <c r="AN28" s="1545">
        <f t="shared" si="4"/>
        <v>0</v>
      </c>
      <c r="AO28" s="1545">
        <f t="shared" si="24"/>
        <v>0</v>
      </c>
      <c r="AP28" s="1545">
        <f t="shared" si="24"/>
        <v>0</v>
      </c>
      <c r="AQ28" s="1545">
        <f t="shared" si="24"/>
        <v>0</v>
      </c>
      <c r="AR28" s="1545">
        <f t="shared" si="24"/>
        <v>0</v>
      </c>
      <c r="AS28" s="1545">
        <f t="shared" si="25"/>
        <v>0</v>
      </c>
      <c r="AT28" s="1545">
        <f t="shared" si="25"/>
        <v>0</v>
      </c>
      <c r="AU28" s="1545">
        <f t="shared" si="25"/>
        <v>0</v>
      </c>
      <c r="AV28" s="1545">
        <f t="shared" si="26"/>
        <v>0</v>
      </c>
      <c r="AW28" s="1545">
        <f t="shared" si="26"/>
        <v>0</v>
      </c>
      <c r="AX28" s="1545">
        <f t="shared" si="26"/>
        <v>0</v>
      </c>
      <c r="AY28" s="1545">
        <f t="shared" si="26"/>
        <v>1</v>
      </c>
      <c r="AZ28" s="1545">
        <f t="shared" si="26"/>
        <v>0</v>
      </c>
      <c r="BA28" s="1545">
        <f t="shared" si="22"/>
        <v>0</v>
      </c>
      <c r="BB28" s="1545">
        <f t="shared" si="22"/>
        <v>0</v>
      </c>
      <c r="BC28" s="1545">
        <f t="shared" si="22"/>
        <v>0</v>
      </c>
      <c r="BD28" s="1545">
        <f t="shared" si="22"/>
        <v>0</v>
      </c>
      <c r="BE28" s="1545">
        <f t="shared" si="22"/>
        <v>0</v>
      </c>
      <c r="BF28" s="1545">
        <f t="shared" si="27"/>
        <v>0</v>
      </c>
      <c r="BH28" s="1546">
        <f t="shared" si="12"/>
        <v>0</v>
      </c>
      <c r="BI28" s="1546">
        <f t="shared" si="12"/>
        <v>0</v>
      </c>
      <c r="BK28" s="1545">
        <f t="shared" si="13"/>
        <v>0</v>
      </c>
      <c r="BL28" s="1545">
        <f t="shared" si="13"/>
        <v>0</v>
      </c>
      <c r="BM28" s="1545">
        <f t="shared" si="14"/>
        <v>0</v>
      </c>
      <c r="BO28" s="1545">
        <f t="shared" si="15"/>
        <v>0</v>
      </c>
      <c r="BP28" s="1545">
        <f t="shared" si="15"/>
        <v>0</v>
      </c>
      <c r="BR28" s="1546">
        <f t="shared" si="16"/>
        <v>0</v>
      </c>
      <c r="BS28" s="1546">
        <f t="shared" si="16"/>
        <v>0</v>
      </c>
      <c r="BT28" s="1546">
        <f t="shared" si="16"/>
        <v>0</v>
      </c>
      <c r="BU28" s="1546">
        <f t="shared" si="16"/>
        <v>0</v>
      </c>
      <c r="BV28" s="1546">
        <f t="shared" si="16"/>
        <v>0</v>
      </c>
      <c r="BW28" s="1546">
        <f t="shared" si="16"/>
        <v>0</v>
      </c>
      <c r="BX28" s="1546">
        <f t="shared" si="16"/>
        <v>0</v>
      </c>
      <c r="BY28" s="1546">
        <f t="shared" si="16"/>
        <v>0</v>
      </c>
      <c r="BZ28" s="1546">
        <f t="shared" si="16"/>
        <v>0</v>
      </c>
      <c r="CA28" s="1546">
        <f t="shared" si="16"/>
        <v>0</v>
      </c>
      <c r="CB28" s="1546">
        <f t="shared" si="16"/>
        <v>0</v>
      </c>
      <c r="CC28" s="1546">
        <f t="shared" si="16"/>
        <v>0</v>
      </c>
      <c r="CD28" s="1546">
        <f t="shared" si="16"/>
        <v>0</v>
      </c>
      <c r="CE28" s="1546">
        <f t="shared" si="16"/>
        <v>0</v>
      </c>
      <c r="CF28" s="1546">
        <f t="shared" si="16"/>
        <v>0</v>
      </c>
      <c r="CG28" s="1546">
        <f t="shared" si="16"/>
        <v>0</v>
      </c>
      <c r="CH28" s="1546">
        <f t="shared" si="17"/>
        <v>1</v>
      </c>
      <c r="CJ28" s="1546">
        <f t="shared" si="18"/>
        <v>0</v>
      </c>
      <c r="CK28" s="1546">
        <f t="shared" si="18"/>
        <v>0</v>
      </c>
      <c r="CL28" s="1546">
        <f t="shared" si="18"/>
        <v>0</v>
      </c>
      <c r="CM28" s="1546">
        <f t="shared" si="18"/>
        <v>0</v>
      </c>
      <c r="CN28" s="1546">
        <f t="shared" si="18"/>
        <v>1</v>
      </c>
      <c r="CO28" s="1546">
        <f t="shared" si="18"/>
        <v>0</v>
      </c>
      <c r="CP28" s="1546">
        <f t="shared" si="18"/>
        <v>0</v>
      </c>
      <c r="CQ28" s="1546">
        <f t="shared" si="18"/>
        <v>0</v>
      </c>
      <c r="CR28" s="1546">
        <f t="shared" si="18"/>
        <v>0</v>
      </c>
      <c r="CS28" s="1546">
        <f t="shared" si="18"/>
        <v>0</v>
      </c>
      <c r="CT28" s="1546">
        <f t="shared" si="18"/>
        <v>0</v>
      </c>
      <c r="CU28" s="1546">
        <f t="shared" si="18"/>
        <v>0</v>
      </c>
      <c r="CV28" s="1546">
        <f t="shared" si="18"/>
        <v>0</v>
      </c>
      <c r="CW28" s="1546">
        <f t="shared" si="18"/>
        <v>0</v>
      </c>
      <c r="CX28" s="1546">
        <f t="shared" si="18"/>
        <v>0</v>
      </c>
      <c r="CY28" s="1546">
        <f t="shared" si="18"/>
        <v>0</v>
      </c>
      <c r="CZ28" s="1546">
        <f t="shared" si="23"/>
        <v>0</v>
      </c>
      <c r="DA28" s="1546">
        <f t="shared" si="23"/>
        <v>0</v>
      </c>
      <c r="DB28" s="1546">
        <f t="shared" si="23"/>
        <v>0</v>
      </c>
      <c r="DC28" s="1546">
        <f t="shared" si="23"/>
        <v>0</v>
      </c>
      <c r="DD28" s="1546">
        <f t="shared" si="23"/>
        <v>0</v>
      </c>
      <c r="DE28" s="1546">
        <f t="shared" si="23"/>
        <v>0</v>
      </c>
      <c r="DF28" s="1546">
        <f t="shared" si="23"/>
        <v>0</v>
      </c>
      <c r="DG28" s="1546">
        <f t="shared" si="23"/>
        <v>0</v>
      </c>
      <c r="DH28" s="1546">
        <f t="shared" si="23"/>
        <v>0</v>
      </c>
      <c r="DI28" s="1546">
        <f t="shared" si="23"/>
        <v>0</v>
      </c>
      <c r="DJ28" s="1546">
        <f t="shared" si="23"/>
        <v>0</v>
      </c>
      <c r="DK28" s="3"/>
      <c r="DM28" s="1546">
        <f t="shared" si="19"/>
        <v>1</v>
      </c>
      <c r="DN28" s="3"/>
      <c r="DO28" s="1546">
        <f t="shared" si="20"/>
        <v>1</v>
      </c>
      <c r="DQ28" s="1546">
        <f t="shared" si="21"/>
        <v>0</v>
      </c>
      <c r="DR28" s="1546">
        <f t="shared" si="21"/>
        <v>1</v>
      </c>
      <c r="DS28" s="1546">
        <f t="shared" si="21"/>
        <v>0</v>
      </c>
      <c r="DT28" s="1546">
        <f t="shared" si="21"/>
        <v>0</v>
      </c>
      <c r="DU28" s="1546">
        <f t="shared" si="21"/>
        <v>0</v>
      </c>
      <c r="DV28" s="1546">
        <f t="shared" si="21"/>
        <v>0</v>
      </c>
      <c r="DW28" s="1546">
        <f t="shared" si="21"/>
        <v>0</v>
      </c>
      <c r="DX28" s="1546">
        <f t="shared" si="21"/>
        <v>0</v>
      </c>
      <c r="DY28" s="1546">
        <f t="shared" si="21"/>
        <v>0</v>
      </c>
      <c r="DZ28" s="1546">
        <f t="shared" si="21"/>
        <v>0</v>
      </c>
      <c r="EA28" s="1546">
        <f t="shared" si="21"/>
        <v>0</v>
      </c>
      <c r="EB28" s="1546">
        <f t="shared" si="21"/>
        <v>0</v>
      </c>
      <c r="EC28" s="1546">
        <f t="shared" si="21"/>
        <v>0</v>
      </c>
    </row>
    <row r="29" spans="1:133" x14ac:dyDescent="0.3">
      <c r="A29" s="91">
        <v>26</v>
      </c>
      <c r="B29" s="1368" t="s">
        <v>4542</v>
      </c>
      <c r="C29" s="1368" t="s">
        <v>4541</v>
      </c>
      <c r="D29" s="1369"/>
      <c r="E29" s="1368" t="s">
        <v>67</v>
      </c>
      <c r="F29" s="1370">
        <v>6</v>
      </c>
      <c r="G29" s="21" t="str">
        <f>IFERROR(VLOOKUP(E29,'Piping Class'!$90:$102,7,0),"")</f>
        <v>SS</v>
      </c>
      <c r="H29" s="21">
        <f>IFERROR(VLOOKUP(E29,'Piping Class'!$90:$102,2,0),"")</f>
        <v>300</v>
      </c>
      <c r="I29" s="680"/>
      <c r="J29" s="611" t="str">
        <f t="shared" si="0"/>
        <v/>
      </c>
      <c r="K29" s="1368">
        <v>1</v>
      </c>
      <c r="L29" s="680"/>
      <c r="M29" s="680"/>
      <c r="N29" s="680"/>
      <c r="O29" s="680"/>
      <c r="P29" s="680"/>
      <c r="Q29" s="680"/>
      <c r="R29" s="680"/>
      <c r="S29" s="680"/>
      <c r="T29" s="684"/>
      <c r="U29" s="684"/>
      <c r="V29" s="684"/>
      <c r="W29" s="684"/>
      <c r="X29" s="684"/>
      <c r="Y29" s="684"/>
      <c r="Z29" s="271">
        <f t="shared" si="1"/>
        <v>1</v>
      </c>
      <c r="AA29" s="865" t="s">
        <v>1664</v>
      </c>
      <c r="AB29" s="21" t="str">
        <f t="shared" si="2"/>
        <v/>
      </c>
      <c r="AC29" s="21" t="str">
        <f t="shared" si="3"/>
        <v/>
      </c>
      <c r="AD29" s="1369">
        <v>14</v>
      </c>
      <c r="AE29" s="21">
        <f t="shared" si="10"/>
        <v>14</v>
      </c>
      <c r="AF29" s="1315">
        <v>5000</v>
      </c>
      <c r="AG29" s="1317">
        <f t="shared" si="28"/>
        <v>5000</v>
      </c>
      <c r="AH29" s="1374" t="s">
        <v>1942</v>
      </c>
      <c r="AJ29" s="91" t="s">
        <v>1983</v>
      </c>
      <c r="AK29" s="680">
        <v>1.5</v>
      </c>
      <c r="AL29" s="331" t="s">
        <v>1721</v>
      </c>
      <c r="AN29" s="1545">
        <f t="shared" si="4"/>
        <v>0</v>
      </c>
      <c r="AO29" s="1545">
        <f t="shared" si="24"/>
        <v>0</v>
      </c>
      <c r="AP29" s="1545">
        <f t="shared" si="24"/>
        <v>0</v>
      </c>
      <c r="AQ29" s="1545">
        <f t="shared" si="24"/>
        <v>0</v>
      </c>
      <c r="AR29" s="1545">
        <f t="shared" si="24"/>
        <v>0</v>
      </c>
      <c r="AS29" s="1545">
        <f t="shared" si="25"/>
        <v>0</v>
      </c>
      <c r="AT29" s="1545">
        <f t="shared" si="25"/>
        <v>0</v>
      </c>
      <c r="AU29" s="1545">
        <f t="shared" si="25"/>
        <v>0</v>
      </c>
      <c r="AV29" s="1545">
        <f t="shared" si="26"/>
        <v>0</v>
      </c>
      <c r="AW29" s="1545">
        <f t="shared" si="26"/>
        <v>0</v>
      </c>
      <c r="AX29" s="1545">
        <f t="shared" si="26"/>
        <v>0</v>
      </c>
      <c r="AY29" s="1545">
        <f t="shared" si="26"/>
        <v>0</v>
      </c>
      <c r="AZ29" s="1545">
        <f t="shared" si="26"/>
        <v>0</v>
      </c>
      <c r="BA29" s="1545">
        <f t="shared" si="22"/>
        <v>0</v>
      </c>
      <c r="BB29" s="1545">
        <f t="shared" si="22"/>
        <v>0</v>
      </c>
      <c r="BC29" s="1545">
        <f t="shared" si="22"/>
        <v>0</v>
      </c>
      <c r="BD29" s="1545">
        <f t="shared" si="22"/>
        <v>0</v>
      </c>
      <c r="BE29" s="1545">
        <f t="shared" si="22"/>
        <v>0</v>
      </c>
      <c r="BF29" s="1545">
        <f t="shared" si="27"/>
        <v>0</v>
      </c>
      <c r="BH29" s="1546">
        <f t="shared" si="12"/>
        <v>0</v>
      </c>
      <c r="BI29" s="1546">
        <f t="shared" si="12"/>
        <v>0</v>
      </c>
      <c r="BK29" s="1545">
        <f t="shared" si="13"/>
        <v>0</v>
      </c>
      <c r="BL29" s="1545">
        <f t="shared" si="13"/>
        <v>0</v>
      </c>
      <c r="BM29" s="1545">
        <f t="shared" si="14"/>
        <v>0</v>
      </c>
      <c r="BO29" s="1545">
        <f t="shared" si="15"/>
        <v>0</v>
      </c>
      <c r="BP29" s="1545">
        <f t="shared" si="15"/>
        <v>0</v>
      </c>
      <c r="BR29" s="1546">
        <f t="shared" si="16"/>
        <v>0</v>
      </c>
      <c r="BS29" s="1546">
        <f t="shared" si="16"/>
        <v>0</v>
      </c>
      <c r="BT29" s="1546">
        <f t="shared" si="16"/>
        <v>0</v>
      </c>
      <c r="BU29" s="1546">
        <f t="shared" si="16"/>
        <v>0</v>
      </c>
      <c r="BV29" s="1546">
        <f t="shared" si="16"/>
        <v>0</v>
      </c>
      <c r="BW29" s="1546">
        <f t="shared" si="16"/>
        <v>0</v>
      </c>
      <c r="BX29" s="1546">
        <f t="shared" si="16"/>
        <v>0</v>
      </c>
      <c r="BY29" s="1546">
        <f t="shared" si="16"/>
        <v>0</v>
      </c>
      <c r="BZ29" s="1546">
        <f t="shared" si="16"/>
        <v>0</v>
      </c>
      <c r="CA29" s="1546">
        <f t="shared" si="16"/>
        <v>0</v>
      </c>
      <c r="CB29" s="1546">
        <f t="shared" si="16"/>
        <v>0</v>
      </c>
      <c r="CC29" s="1546">
        <f t="shared" si="16"/>
        <v>0</v>
      </c>
      <c r="CD29" s="1546">
        <f t="shared" si="16"/>
        <v>0</v>
      </c>
      <c r="CE29" s="1546">
        <f t="shared" si="16"/>
        <v>0</v>
      </c>
      <c r="CF29" s="1546">
        <f t="shared" si="16"/>
        <v>0</v>
      </c>
      <c r="CG29" s="1546">
        <f t="shared" si="16"/>
        <v>0</v>
      </c>
      <c r="CH29" s="1546">
        <f t="shared" si="17"/>
        <v>0</v>
      </c>
      <c r="CJ29" s="1546">
        <f t="shared" si="18"/>
        <v>0</v>
      </c>
      <c r="CK29" s="1546">
        <f t="shared" si="18"/>
        <v>0</v>
      </c>
      <c r="CL29" s="1546">
        <f t="shared" si="18"/>
        <v>0</v>
      </c>
      <c r="CM29" s="1546">
        <f t="shared" si="18"/>
        <v>0</v>
      </c>
      <c r="CN29" s="1546">
        <f t="shared" si="18"/>
        <v>0</v>
      </c>
      <c r="CO29" s="1546">
        <f t="shared" si="18"/>
        <v>0</v>
      </c>
      <c r="CP29" s="1546">
        <f t="shared" si="18"/>
        <v>0</v>
      </c>
      <c r="CQ29" s="1546">
        <f t="shared" si="18"/>
        <v>0</v>
      </c>
      <c r="CR29" s="1546">
        <f t="shared" si="18"/>
        <v>1</v>
      </c>
      <c r="CS29" s="1546">
        <f t="shared" si="18"/>
        <v>0</v>
      </c>
      <c r="CT29" s="1546">
        <f t="shared" si="18"/>
        <v>0</v>
      </c>
      <c r="CU29" s="1546">
        <f t="shared" si="18"/>
        <v>0</v>
      </c>
      <c r="CV29" s="1546">
        <f t="shared" si="18"/>
        <v>0</v>
      </c>
      <c r="CW29" s="1546">
        <f t="shared" si="18"/>
        <v>0</v>
      </c>
      <c r="CX29" s="1546">
        <f t="shared" si="18"/>
        <v>0</v>
      </c>
      <c r="CY29" s="1546">
        <f t="shared" si="18"/>
        <v>0</v>
      </c>
      <c r="CZ29" s="1546">
        <f t="shared" si="23"/>
        <v>0</v>
      </c>
      <c r="DA29" s="1546">
        <f t="shared" si="23"/>
        <v>0</v>
      </c>
      <c r="DB29" s="1546">
        <f t="shared" si="23"/>
        <v>0</v>
      </c>
      <c r="DC29" s="1546">
        <f t="shared" si="23"/>
        <v>0</v>
      </c>
      <c r="DD29" s="1546">
        <f t="shared" si="23"/>
        <v>0</v>
      </c>
      <c r="DE29" s="1546">
        <f t="shared" si="23"/>
        <v>0</v>
      </c>
      <c r="DF29" s="1546">
        <f t="shared" si="23"/>
        <v>0</v>
      </c>
      <c r="DG29" s="1546">
        <f t="shared" si="23"/>
        <v>0</v>
      </c>
      <c r="DH29" s="1546">
        <f t="shared" si="23"/>
        <v>0</v>
      </c>
      <c r="DI29" s="1546">
        <f t="shared" si="23"/>
        <v>0</v>
      </c>
      <c r="DJ29" s="1546">
        <f t="shared" si="23"/>
        <v>0</v>
      </c>
      <c r="DK29" s="3"/>
      <c r="DM29" s="1546">
        <f t="shared" si="19"/>
        <v>0</v>
      </c>
      <c r="DN29" s="3"/>
      <c r="DO29" s="1546">
        <f t="shared" si="20"/>
        <v>0</v>
      </c>
      <c r="DQ29" s="1546">
        <f t="shared" si="21"/>
        <v>0</v>
      </c>
      <c r="DR29" s="1546">
        <f t="shared" si="21"/>
        <v>1</v>
      </c>
      <c r="DS29" s="1546">
        <f t="shared" si="21"/>
        <v>0</v>
      </c>
      <c r="DT29" s="1546">
        <f t="shared" si="21"/>
        <v>0</v>
      </c>
      <c r="DU29" s="1546">
        <f t="shared" si="21"/>
        <v>0</v>
      </c>
      <c r="DV29" s="1546">
        <f t="shared" si="21"/>
        <v>0</v>
      </c>
      <c r="DW29" s="1546">
        <f t="shared" si="21"/>
        <v>0</v>
      </c>
      <c r="DX29" s="1546">
        <f t="shared" si="21"/>
        <v>0</v>
      </c>
      <c r="DY29" s="1546">
        <f t="shared" si="21"/>
        <v>0</v>
      </c>
      <c r="DZ29" s="1546">
        <f t="shared" si="21"/>
        <v>0</v>
      </c>
      <c r="EA29" s="1546">
        <f t="shared" si="21"/>
        <v>0</v>
      </c>
      <c r="EB29" s="1546">
        <f t="shared" si="21"/>
        <v>0</v>
      </c>
      <c r="EC29" s="1546">
        <f t="shared" si="21"/>
        <v>0</v>
      </c>
    </row>
    <row r="30" spans="1:133" x14ac:dyDescent="0.3">
      <c r="A30" s="91">
        <v>27</v>
      </c>
      <c r="B30" s="680" t="s">
        <v>1940</v>
      </c>
      <c r="C30" s="680" t="s">
        <v>1941</v>
      </c>
      <c r="D30" s="680"/>
      <c r="E30" s="680" t="s">
        <v>67</v>
      </c>
      <c r="F30" s="683">
        <f>'Instrument List'!$F$14</f>
        <v>4</v>
      </c>
      <c r="G30" s="21" t="str">
        <f>IFERROR(VLOOKUP(E30,'Piping Class'!$90:$102,7,0),"")</f>
        <v>SS</v>
      </c>
      <c r="H30" s="21">
        <f>IFERROR(VLOOKUP(E30,'Piping Class'!$90:$102,2,0),"")</f>
        <v>300</v>
      </c>
      <c r="I30" s="680"/>
      <c r="J30" s="611" t="str">
        <f t="shared" si="0"/>
        <v>-</v>
      </c>
      <c r="K30" s="680">
        <v>2</v>
      </c>
      <c r="L30" s="680"/>
      <c r="M30" s="680"/>
      <c r="N30" s="680"/>
      <c r="O30" s="680"/>
      <c r="P30" s="680"/>
      <c r="Q30" s="680"/>
      <c r="R30" s="680"/>
      <c r="S30" s="680"/>
      <c r="T30" s="684"/>
      <c r="U30" s="684"/>
      <c r="V30" s="684"/>
      <c r="W30" s="684"/>
      <c r="X30" s="684"/>
      <c r="Y30" s="684"/>
      <c r="Z30" s="271">
        <f t="shared" si="1"/>
        <v>2</v>
      </c>
      <c r="AA30" s="865" t="s">
        <v>1664</v>
      </c>
      <c r="AB30" s="21">
        <f t="shared" si="2"/>
        <v>1</v>
      </c>
      <c r="AC30" s="21">
        <f t="shared" si="3"/>
        <v>2</v>
      </c>
      <c r="AD30" s="1369">
        <v>5</v>
      </c>
      <c r="AE30" s="21">
        <f t="shared" si="10"/>
        <v>10</v>
      </c>
      <c r="AF30" s="1315">
        <v>100</v>
      </c>
      <c r="AG30" s="1317">
        <f t="shared" si="28"/>
        <v>200</v>
      </c>
      <c r="AH30" s="713" t="s">
        <v>1942</v>
      </c>
      <c r="AJ30" s="91" t="s">
        <v>1941</v>
      </c>
      <c r="AK30" s="680">
        <v>1</v>
      </c>
      <c r="AL30" s="331" t="s">
        <v>1721</v>
      </c>
      <c r="AN30" s="1545">
        <f t="shared" si="4"/>
        <v>0</v>
      </c>
      <c r="AO30" s="1545">
        <f t="shared" si="24"/>
        <v>0</v>
      </c>
      <c r="AP30" s="1545">
        <f t="shared" si="24"/>
        <v>0</v>
      </c>
      <c r="AQ30" s="1545">
        <f t="shared" si="24"/>
        <v>0</v>
      </c>
      <c r="AR30" s="1545">
        <f t="shared" si="24"/>
        <v>0</v>
      </c>
      <c r="AS30" s="1545">
        <f t="shared" si="25"/>
        <v>1</v>
      </c>
      <c r="AT30" s="1545">
        <f t="shared" si="25"/>
        <v>0</v>
      </c>
      <c r="AU30" s="1545">
        <f t="shared" si="25"/>
        <v>0</v>
      </c>
      <c r="AV30" s="1545">
        <f t="shared" ref="AV30:AZ39" si="29">IF($B30=AV$3,1,0)</f>
        <v>0</v>
      </c>
      <c r="AW30" s="1545">
        <f t="shared" si="29"/>
        <v>0</v>
      </c>
      <c r="AX30" s="1545">
        <f t="shared" si="29"/>
        <v>0</v>
      </c>
      <c r="AY30" s="1545">
        <f t="shared" si="29"/>
        <v>0</v>
      </c>
      <c r="AZ30" s="1545">
        <f t="shared" si="29"/>
        <v>0</v>
      </c>
      <c r="BA30" s="1545">
        <f t="shared" si="22"/>
        <v>0</v>
      </c>
      <c r="BB30" s="1545">
        <f t="shared" si="22"/>
        <v>0</v>
      </c>
      <c r="BC30" s="1545">
        <f t="shared" si="22"/>
        <v>0</v>
      </c>
      <c r="BD30" s="1545">
        <f t="shared" si="22"/>
        <v>0</v>
      </c>
      <c r="BE30" s="1545">
        <f t="shared" si="22"/>
        <v>0</v>
      </c>
      <c r="BF30" s="1545">
        <f t="shared" si="27"/>
        <v>0</v>
      </c>
      <c r="BH30" s="1546">
        <f t="shared" si="12"/>
        <v>0</v>
      </c>
      <c r="BI30" s="1546">
        <f t="shared" si="12"/>
        <v>0</v>
      </c>
      <c r="BK30" s="1545">
        <f t="shared" si="13"/>
        <v>0</v>
      </c>
      <c r="BL30" s="1545">
        <f t="shared" si="13"/>
        <v>0</v>
      </c>
      <c r="BM30" s="1545">
        <f t="shared" si="14"/>
        <v>0</v>
      </c>
      <c r="BO30" s="1545">
        <f t="shared" si="15"/>
        <v>0</v>
      </c>
      <c r="BP30" s="1545">
        <f t="shared" si="15"/>
        <v>0</v>
      </c>
      <c r="BR30" s="1546">
        <f t="shared" si="16"/>
        <v>0</v>
      </c>
      <c r="BS30" s="1546">
        <f t="shared" si="16"/>
        <v>0</v>
      </c>
      <c r="BT30" s="1546">
        <f t="shared" si="16"/>
        <v>0</v>
      </c>
      <c r="BU30" s="1546">
        <f t="shared" si="16"/>
        <v>0</v>
      </c>
      <c r="BV30" s="1546">
        <f t="shared" si="16"/>
        <v>0</v>
      </c>
      <c r="BW30" s="1546">
        <f t="shared" si="16"/>
        <v>0</v>
      </c>
      <c r="BX30" s="1546">
        <f t="shared" si="16"/>
        <v>0</v>
      </c>
      <c r="BY30" s="1546">
        <f t="shared" si="16"/>
        <v>0</v>
      </c>
      <c r="BZ30" s="1546">
        <f t="shared" si="16"/>
        <v>0</v>
      </c>
      <c r="CA30" s="1546">
        <f t="shared" si="16"/>
        <v>0</v>
      </c>
      <c r="CB30" s="1546">
        <f t="shared" si="16"/>
        <v>0</v>
      </c>
      <c r="CC30" s="1546">
        <f t="shared" si="16"/>
        <v>0</v>
      </c>
      <c r="CD30" s="1546">
        <f t="shared" si="16"/>
        <v>0</v>
      </c>
      <c r="CE30" s="1546">
        <f t="shared" si="16"/>
        <v>0</v>
      </c>
      <c r="CF30" s="1546">
        <f t="shared" si="16"/>
        <v>0</v>
      </c>
      <c r="CG30" s="1546">
        <f t="shared" si="16"/>
        <v>0</v>
      </c>
      <c r="CH30" s="1546">
        <f t="shared" si="17"/>
        <v>0</v>
      </c>
      <c r="CJ30" s="1546">
        <f t="shared" si="18"/>
        <v>0</v>
      </c>
      <c r="CK30" s="1546">
        <f t="shared" si="18"/>
        <v>0</v>
      </c>
      <c r="CL30" s="1546">
        <f t="shared" si="18"/>
        <v>0</v>
      </c>
      <c r="CM30" s="1546">
        <f t="shared" si="18"/>
        <v>0</v>
      </c>
      <c r="CN30" s="1546">
        <f t="shared" si="18"/>
        <v>0</v>
      </c>
      <c r="CO30" s="1546">
        <f t="shared" si="18"/>
        <v>0</v>
      </c>
      <c r="CP30" s="1546">
        <f t="shared" si="18"/>
        <v>0</v>
      </c>
      <c r="CQ30" s="1546">
        <f t="shared" si="18"/>
        <v>1</v>
      </c>
      <c r="CR30" s="1546">
        <f t="shared" si="18"/>
        <v>0</v>
      </c>
      <c r="CS30" s="1546">
        <f t="shared" si="18"/>
        <v>0</v>
      </c>
      <c r="CT30" s="1546">
        <f t="shared" si="18"/>
        <v>0</v>
      </c>
      <c r="CU30" s="1546">
        <f t="shared" si="18"/>
        <v>0</v>
      </c>
      <c r="CV30" s="1546">
        <f t="shared" si="18"/>
        <v>0</v>
      </c>
      <c r="CW30" s="1546">
        <f t="shared" si="18"/>
        <v>0</v>
      </c>
      <c r="CX30" s="1546">
        <f t="shared" si="18"/>
        <v>0</v>
      </c>
      <c r="CY30" s="1546">
        <f t="shared" si="18"/>
        <v>0</v>
      </c>
      <c r="CZ30" s="1546">
        <f t="shared" si="23"/>
        <v>0</v>
      </c>
      <c r="DA30" s="1546">
        <f t="shared" si="23"/>
        <v>0</v>
      </c>
      <c r="DB30" s="1546">
        <f t="shared" si="23"/>
        <v>0</v>
      </c>
      <c r="DC30" s="1546">
        <f t="shared" si="23"/>
        <v>0</v>
      </c>
      <c r="DD30" s="1546">
        <f t="shared" si="23"/>
        <v>0</v>
      </c>
      <c r="DE30" s="1546">
        <f t="shared" si="23"/>
        <v>0</v>
      </c>
      <c r="DF30" s="1546">
        <f t="shared" si="23"/>
        <v>0</v>
      </c>
      <c r="DG30" s="1546">
        <f t="shared" si="23"/>
        <v>0</v>
      </c>
      <c r="DH30" s="1546">
        <f t="shared" si="23"/>
        <v>0</v>
      </c>
      <c r="DI30" s="1546">
        <f t="shared" si="23"/>
        <v>0</v>
      </c>
      <c r="DJ30" s="1546">
        <f t="shared" si="23"/>
        <v>0</v>
      </c>
      <c r="DK30" s="3"/>
      <c r="DM30" s="1546">
        <f t="shared" si="19"/>
        <v>0</v>
      </c>
      <c r="DN30" s="3"/>
      <c r="DO30" s="1546">
        <f t="shared" si="20"/>
        <v>0</v>
      </c>
      <c r="DQ30" s="1546">
        <f t="shared" si="21"/>
        <v>0</v>
      </c>
      <c r="DR30" s="1546">
        <f t="shared" si="21"/>
        <v>1</v>
      </c>
      <c r="DS30" s="1546">
        <f t="shared" si="21"/>
        <v>0</v>
      </c>
      <c r="DT30" s="1546">
        <f t="shared" si="21"/>
        <v>0</v>
      </c>
      <c r="DU30" s="1546">
        <f t="shared" si="21"/>
        <v>0</v>
      </c>
      <c r="DV30" s="1546">
        <f t="shared" si="21"/>
        <v>0</v>
      </c>
      <c r="DW30" s="1546">
        <f t="shared" si="21"/>
        <v>0</v>
      </c>
      <c r="DX30" s="1546">
        <f t="shared" si="21"/>
        <v>0</v>
      </c>
      <c r="DY30" s="1546">
        <f t="shared" si="21"/>
        <v>0</v>
      </c>
      <c r="DZ30" s="1546">
        <f t="shared" si="21"/>
        <v>0</v>
      </c>
      <c r="EA30" s="1546">
        <f t="shared" si="21"/>
        <v>0</v>
      </c>
      <c r="EB30" s="1546">
        <f t="shared" si="21"/>
        <v>0</v>
      </c>
      <c r="EC30" s="1546">
        <f t="shared" si="21"/>
        <v>0</v>
      </c>
    </row>
    <row r="31" spans="1:133" x14ac:dyDescent="0.3">
      <c r="A31" s="91">
        <v>28</v>
      </c>
      <c r="B31" s="680" t="s">
        <v>2117</v>
      </c>
      <c r="C31" s="680" t="s">
        <v>1969</v>
      </c>
      <c r="D31" s="680"/>
      <c r="E31" s="680" t="s">
        <v>67</v>
      </c>
      <c r="F31" s="683">
        <v>6</v>
      </c>
      <c r="G31" s="21" t="str">
        <f>IFERROR(VLOOKUP(E31,'Piping Class'!$90:$102,7,0),"")</f>
        <v>SS</v>
      </c>
      <c r="H31" s="21">
        <f>IFERROR(VLOOKUP(E31,'Piping Class'!$90:$102,2,0),"")</f>
        <v>300</v>
      </c>
      <c r="I31" s="680"/>
      <c r="J31" s="611" t="str">
        <f t="shared" si="0"/>
        <v>IN</v>
      </c>
      <c r="K31" s="680">
        <v>0</v>
      </c>
      <c r="L31" s="680"/>
      <c r="M31" s="680"/>
      <c r="N31" s="680"/>
      <c r="O31" s="680"/>
      <c r="P31" s="680"/>
      <c r="Q31" s="680"/>
      <c r="R31" s="680"/>
      <c r="S31" s="680"/>
      <c r="T31" s="684"/>
      <c r="U31" s="684"/>
      <c r="V31" s="684"/>
      <c r="W31" s="684"/>
      <c r="X31" s="684"/>
      <c r="Y31" s="684"/>
      <c r="Z31" s="271">
        <f t="shared" si="1"/>
        <v>0</v>
      </c>
      <c r="AA31" s="865" t="s">
        <v>1664</v>
      </c>
      <c r="AB31" s="21">
        <f t="shared" si="2"/>
        <v>0</v>
      </c>
      <c r="AC31" s="21">
        <f t="shared" si="3"/>
        <v>0</v>
      </c>
      <c r="AD31" s="1369">
        <v>8</v>
      </c>
      <c r="AE31" s="21">
        <f t="shared" si="10"/>
        <v>0</v>
      </c>
      <c r="AF31" s="1315">
        <v>15000</v>
      </c>
      <c r="AG31" s="1317">
        <f t="shared" si="28"/>
        <v>0</v>
      </c>
      <c r="AH31" s="713" t="s">
        <v>1942</v>
      </c>
      <c r="AJ31" s="91" t="s">
        <v>1945</v>
      </c>
      <c r="AK31" s="680">
        <v>2</v>
      </c>
      <c r="AL31" s="331" t="s">
        <v>339</v>
      </c>
      <c r="AN31" s="1545">
        <f t="shared" si="4"/>
        <v>1</v>
      </c>
      <c r="AO31" s="1545">
        <f t="shared" si="24"/>
        <v>0</v>
      </c>
      <c r="AP31" s="1545">
        <f t="shared" si="24"/>
        <v>0</v>
      </c>
      <c r="AQ31" s="1545">
        <f t="shared" si="24"/>
        <v>0</v>
      </c>
      <c r="AR31" s="1545">
        <f t="shared" si="24"/>
        <v>0</v>
      </c>
      <c r="AS31" s="1545">
        <f t="shared" si="25"/>
        <v>0</v>
      </c>
      <c r="AT31" s="1545">
        <f t="shared" si="25"/>
        <v>0</v>
      </c>
      <c r="AU31" s="1545">
        <f t="shared" si="25"/>
        <v>0</v>
      </c>
      <c r="AV31" s="1545">
        <f t="shared" si="29"/>
        <v>0</v>
      </c>
      <c r="AW31" s="1545">
        <f t="shared" si="29"/>
        <v>0</v>
      </c>
      <c r="AX31" s="1545">
        <f t="shared" si="29"/>
        <v>0</v>
      </c>
      <c r="AY31" s="1545">
        <f t="shared" si="29"/>
        <v>0</v>
      </c>
      <c r="AZ31" s="1545">
        <f t="shared" si="29"/>
        <v>0</v>
      </c>
      <c r="BA31" s="1545">
        <f t="shared" si="22"/>
        <v>0</v>
      </c>
      <c r="BB31" s="1545">
        <f t="shared" si="22"/>
        <v>0</v>
      </c>
      <c r="BC31" s="1545">
        <f t="shared" si="22"/>
        <v>0</v>
      </c>
      <c r="BD31" s="1545">
        <f t="shared" si="22"/>
        <v>0</v>
      </c>
      <c r="BE31" s="1545">
        <f t="shared" si="22"/>
        <v>0</v>
      </c>
      <c r="BF31" s="1545">
        <f t="shared" si="27"/>
        <v>0</v>
      </c>
      <c r="BH31" s="1546">
        <f t="shared" si="12"/>
        <v>0</v>
      </c>
      <c r="BI31" s="1546">
        <f t="shared" si="12"/>
        <v>0</v>
      </c>
      <c r="BK31" s="1545">
        <f t="shared" si="13"/>
        <v>1</v>
      </c>
      <c r="BL31" s="1545">
        <f t="shared" si="13"/>
        <v>0</v>
      </c>
      <c r="BM31" s="1545">
        <f t="shared" si="14"/>
        <v>1</v>
      </c>
      <c r="BO31" s="1545">
        <f t="shared" si="15"/>
        <v>0</v>
      </c>
      <c r="BP31" s="1545">
        <f t="shared" si="15"/>
        <v>0</v>
      </c>
      <c r="BR31" s="1546">
        <f t="shared" si="16"/>
        <v>0</v>
      </c>
      <c r="BS31" s="1546">
        <f t="shared" si="16"/>
        <v>0</v>
      </c>
      <c r="BT31" s="1546">
        <f t="shared" si="16"/>
        <v>0</v>
      </c>
      <c r="BU31" s="1546">
        <f t="shared" si="16"/>
        <v>0</v>
      </c>
      <c r="BV31" s="1546">
        <f t="shared" si="16"/>
        <v>0</v>
      </c>
      <c r="BW31" s="1546">
        <f t="shared" si="16"/>
        <v>0</v>
      </c>
      <c r="BX31" s="1546">
        <f t="shared" si="16"/>
        <v>0</v>
      </c>
      <c r="BY31" s="1546">
        <f t="shared" si="16"/>
        <v>0</v>
      </c>
      <c r="BZ31" s="1546">
        <f t="shared" si="16"/>
        <v>0</v>
      </c>
      <c r="CA31" s="1546">
        <f t="shared" si="16"/>
        <v>0</v>
      </c>
      <c r="CB31" s="1546">
        <f t="shared" si="16"/>
        <v>0</v>
      </c>
      <c r="CC31" s="1546">
        <f t="shared" si="16"/>
        <v>0</v>
      </c>
      <c r="CD31" s="1546">
        <f t="shared" si="16"/>
        <v>0</v>
      </c>
      <c r="CE31" s="1546">
        <f t="shared" si="16"/>
        <v>0</v>
      </c>
      <c r="CF31" s="1546">
        <f t="shared" si="16"/>
        <v>0</v>
      </c>
      <c r="CG31" s="1546">
        <f t="shared" si="16"/>
        <v>0</v>
      </c>
      <c r="CH31" s="1546">
        <f t="shared" si="17"/>
        <v>0</v>
      </c>
      <c r="CJ31" s="1546">
        <f t="shared" si="18"/>
        <v>0</v>
      </c>
      <c r="CK31" s="1546">
        <f t="shared" si="18"/>
        <v>0</v>
      </c>
      <c r="CL31" s="1546">
        <f t="shared" si="18"/>
        <v>0</v>
      </c>
      <c r="CM31" s="1546">
        <f t="shared" si="18"/>
        <v>0</v>
      </c>
      <c r="CN31" s="1546">
        <f t="shared" si="18"/>
        <v>0</v>
      </c>
      <c r="CO31" s="1546">
        <f t="shared" si="18"/>
        <v>0</v>
      </c>
      <c r="CP31" s="1546">
        <f t="shared" si="18"/>
        <v>0</v>
      </c>
      <c r="CQ31" s="1546">
        <f t="shared" si="18"/>
        <v>0</v>
      </c>
      <c r="CR31" s="1546">
        <f t="shared" si="18"/>
        <v>1</v>
      </c>
      <c r="CS31" s="1546">
        <f t="shared" si="18"/>
        <v>0</v>
      </c>
      <c r="CT31" s="1546">
        <f t="shared" si="18"/>
        <v>0</v>
      </c>
      <c r="CU31" s="1546">
        <f t="shared" si="18"/>
        <v>0</v>
      </c>
      <c r="CV31" s="1546">
        <f t="shared" si="18"/>
        <v>0</v>
      </c>
      <c r="CW31" s="1546">
        <f t="shared" si="18"/>
        <v>0</v>
      </c>
      <c r="CX31" s="1546">
        <f t="shared" si="18"/>
        <v>0</v>
      </c>
      <c r="CY31" s="1546">
        <f t="shared" si="18"/>
        <v>0</v>
      </c>
      <c r="CZ31" s="1546">
        <f t="shared" si="23"/>
        <v>0</v>
      </c>
      <c r="DA31" s="1546">
        <f t="shared" si="23"/>
        <v>0</v>
      </c>
      <c r="DB31" s="1546">
        <f t="shared" si="23"/>
        <v>0</v>
      </c>
      <c r="DC31" s="1546">
        <f t="shared" si="23"/>
        <v>0</v>
      </c>
      <c r="DD31" s="1546">
        <f t="shared" si="23"/>
        <v>0</v>
      </c>
      <c r="DE31" s="1546">
        <f t="shared" si="23"/>
        <v>0</v>
      </c>
      <c r="DF31" s="1546">
        <f t="shared" si="23"/>
        <v>0</v>
      </c>
      <c r="DG31" s="1546">
        <f t="shared" si="23"/>
        <v>0</v>
      </c>
      <c r="DH31" s="1546">
        <f t="shared" si="23"/>
        <v>0</v>
      </c>
      <c r="DI31" s="1546">
        <f t="shared" si="23"/>
        <v>0</v>
      </c>
      <c r="DJ31" s="1546">
        <f t="shared" si="23"/>
        <v>0</v>
      </c>
      <c r="DK31" s="3"/>
      <c r="DM31" s="1546">
        <f t="shared" si="19"/>
        <v>1</v>
      </c>
      <c r="DN31" s="3"/>
      <c r="DO31" s="1546">
        <f t="shared" si="20"/>
        <v>0</v>
      </c>
      <c r="DQ31" s="1546">
        <f t="shared" si="21"/>
        <v>0</v>
      </c>
      <c r="DR31" s="1546">
        <f t="shared" si="21"/>
        <v>1</v>
      </c>
      <c r="DS31" s="1546">
        <f t="shared" si="21"/>
        <v>0</v>
      </c>
      <c r="DT31" s="1546">
        <f t="shared" si="21"/>
        <v>0</v>
      </c>
      <c r="DU31" s="1546">
        <f t="shared" si="21"/>
        <v>0</v>
      </c>
      <c r="DV31" s="1546">
        <f t="shared" si="21"/>
        <v>0</v>
      </c>
      <c r="DW31" s="1546">
        <f t="shared" si="21"/>
        <v>0</v>
      </c>
      <c r="DX31" s="1546">
        <f t="shared" si="21"/>
        <v>0</v>
      </c>
      <c r="DY31" s="1546">
        <f t="shared" si="21"/>
        <v>0</v>
      </c>
      <c r="DZ31" s="1546">
        <f t="shared" si="21"/>
        <v>0</v>
      </c>
      <c r="EA31" s="1546">
        <f t="shared" si="21"/>
        <v>0</v>
      </c>
      <c r="EB31" s="1546">
        <f t="shared" si="21"/>
        <v>0</v>
      </c>
      <c r="EC31" s="1546">
        <f t="shared" si="21"/>
        <v>0</v>
      </c>
    </row>
    <row r="32" spans="1:133" x14ac:dyDescent="0.3">
      <c r="A32" s="91">
        <v>29</v>
      </c>
      <c r="B32" s="680" t="s">
        <v>4542</v>
      </c>
      <c r="C32" s="680" t="s">
        <v>4541</v>
      </c>
      <c r="D32" s="680"/>
      <c r="E32" s="680" t="s">
        <v>67</v>
      </c>
      <c r="F32" s="683">
        <v>4</v>
      </c>
      <c r="G32" s="21" t="str">
        <f>IFERROR(VLOOKUP(E32,'Piping Class'!$90:$102,7,0),"")</f>
        <v>SS</v>
      </c>
      <c r="H32" s="21">
        <f>IFERROR(VLOOKUP(E32,'Piping Class'!$90:$102,2,0),"")</f>
        <v>300</v>
      </c>
      <c r="I32" s="680"/>
      <c r="J32" s="611" t="str">
        <f t="shared" si="0"/>
        <v/>
      </c>
      <c r="K32" s="680">
        <v>1</v>
      </c>
      <c r="L32" s="680"/>
      <c r="M32" s="680"/>
      <c r="N32" s="680"/>
      <c r="O32" s="680"/>
      <c r="P32" s="680"/>
      <c r="Q32" s="680"/>
      <c r="R32" s="680"/>
      <c r="S32" s="680"/>
      <c r="T32" s="684"/>
      <c r="U32" s="684"/>
      <c r="V32" s="684"/>
      <c r="W32" s="684"/>
      <c r="X32" s="684"/>
      <c r="Y32" s="684"/>
      <c r="Z32" s="271">
        <f t="shared" si="1"/>
        <v>1</v>
      </c>
      <c r="AA32" s="865" t="s">
        <v>1664</v>
      </c>
      <c r="AB32" s="21" t="str">
        <f t="shared" si="2"/>
        <v/>
      </c>
      <c r="AC32" s="21" t="str">
        <f t="shared" si="3"/>
        <v/>
      </c>
      <c r="AD32" s="1369"/>
      <c r="AE32" s="21">
        <f t="shared" si="10"/>
        <v>0</v>
      </c>
      <c r="AF32" s="1315">
        <v>4000</v>
      </c>
      <c r="AG32" s="1317">
        <f t="shared" si="28"/>
        <v>4000</v>
      </c>
      <c r="AH32" s="713" t="s">
        <v>1942</v>
      </c>
      <c r="AJ32" s="91" t="s">
        <v>1947</v>
      </c>
      <c r="AK32" s="680">
        <v>2</v>
      </c>
      <c r="AL32" s="331" t="s">
        <v>339</v>
      </c>
      <c r="AN32" s="1545">
        <f t="shared" si="4"/>
        <v>0</v>
      </c>
      <c r="AO32" s="1545">
        <f t="shared" si="24"/>
        <v>0</v>
      </c>
      <c r="AP32" s="1545">
        <f t="shared" si="24"/>
        <v>0</v>
      </c>
      <c r="AQ32" s="1545">
        <f t="shared" si="24"/>
        <v>0</v>
      </c>
      <c r="AR32" s="1545">
        <f t="shared" si="24"/>
        <v>0</v>
      </c>
      <c r="AS32" s="1545">
        <f t="shared" si="25"/>
        <v>0</v>
      </c>
      <c r="AT32" s="1545">
        <f t="shared" si="25"/>
        <v>0</v>
      </c>
      <c r="AU32" s="1545">
        <f t="shared" si="25"/>
        <v>0</v>
      </c>
      <c r="AV32" s="1545">
        <f t="shared" si="29"/>
        <v>0</v>
      </c>
      <c r="AW32" s="1545">
        <f t="shared" si="29"/>
        <v>0</v>
      </c>
      <c r="AX32" s="1545">
        <f t="shared" si="29"/>
        <v>0</v>
      </c>
      <c r="AY32" s="1545">
        <f t="shared" si="29"/>
        <v>0</v>
      </c>
      <c r="AZ32" s="1545">
        <f t="shared" si="29"/>
        <v>0</v>
      </c>
      <c r="BA32" s="1545">
        <f t="shared" si="22"/>
        <v>0</v>
      </c>
      <c r="BB32" s="1545">
        <f t="shared" si="22"/>
        <v>0</v>
      </c>
      <c r="BC32" s="1545">
        <f t="shared" si="22"/>
        <v>0</v>
      </c>
      <c r="BD32" s="1545">
        <f t="shared" si="22"/>
        <v>0</v>
      </c>
      <c r="BE32" s="1545">
        <f t="shared" si="22"/>
        <v>0</v>
      </c>
      <c r="BF32" s="1545">
        <f t="shared" si="27"/>
        <v>0</v>
      </c>
      <c r="BH32" s="1546">
        <f t="shared" si="12"/>
        <v>0</v>
      </c>
      <c r="BI32" s="1546">
        <f t="shared" si="12"/>
        <v>0</v>
      </c>
      <c r="BK32" s="1545">
        <f t="shared" si="13"/>
        <v>0</v>
      </c>
      <c r="BL32" s="1545">
        <f t="shared" si="13"/>
        <v>0</v>
      </c>
      <c r="BM32" s="1545">
        <f t="shared" si="14"/>
        <v>0</v>
      </c>
      <c r="BO32" s="1545">
        <f t="shared" si="15"/>
        <v>0</v>
      </c>
      <c r="BP32" s="1545">
        <f t="shared" si="15"/>
        <v>0</v>
      </c>
      <c r="BR32" s="1546">
        <f t="shared" si="16"/>
        <v>0</v>
      </c>
      <c r="BS32" s="1546">
        <f t="shared" si="16"/>
        <v>0</v>
      </c>
      <c r="BT32" s="1546">
        <f t="shared" si="16"/>
        <v>0</v>
      </c>
      <c r="BU32" s="1546">
        <f t="shared" si="16"/>
        <v>0</v>
      </c>
      <c r="BV32" s="1546">
        <f t="shared" si="16"/>
        <v>0</v>
      </c>
      <c r="BW32" s="1546">
        <f t="shared" si="16"/>
        <v>0</v>
      </c>
      <c r="BX32" s="1546">
        <f t="shared" si="16"/>
        <v>0</v>
      </c>
      <c r="BY32" s="1546">
        <f t="shared" si="16"/>
        <v>0</v>
      </c>
      <c r="BZ32" s="1546">
        <f t="shared" si="16"/>
        <v>0</v>
      </c>
      <c r="CA32" s="1546">
        <f t="shared" si="16"/>
        <v>0</v>
      </c>
      <c r="CB32" s="1546">
        <f t="shared" si="16"/>
        <v>0</v>
      </c>
      <c r="CC32" s="1546">
        <f t="shared" si="16"/>
        <v>0</v>
      </c>
      <c r="CD32" s="1546">
        <f t="shared" si="16"/>
        <v>0</v>
      </c>
      <c r="CE32" s="1546">
        <f t="shared" si="16"/>
        <v>0</v>
      </c>
      <c r="CF32" s="1546">
        <f t="shared" si="16"/>
        <v>0</v>
      </c>
      <c r="CG32" s="1546">
        <f t="shared" si="16"/>
        <v>0</v>
      </c>
      <c r="CH32" s="1546">
        <f t="shared" si="17"/>
        <v>0</v>
      </c>
      <c r="CJ32" s="1546">
        <f t="shared" si="18"/>
        <v>0</v>
      </c>
      <c r="CK32" s="1546">
        <f t="shared" si="18"/>
        <v>0</v>
      </c>
      <c r="CL32" s="1546">
        <f t="shared" si="18"/>
        <v>0</v>
      </c>
      <c r="CM32" s="1546">
        <f t="shared" si="18"/>
        <v>0</v>
      </c>
      <c r="CN32" s="1546">
        <f t="shared" si="18"/>
        <v>0</v>
      </c>
      <c r="CO32" s="1546">
        <f t="shared" si="18"/>
        <v>0</v>
      </c>
      <c r="CP32" s="1546">
        <f t="shared" si="18"/>
        <v>0</v>
      </c>
      <c r="CQ32" s="1546">
        <f t="shared" si="18"/>
        <v>1</v>
      </c>
      <c r="CR32" s="1546">
        <f t="shared" si="18"/>
        <v>0</v>
      </c>
      <c r="CS32" s="1546">
        <f t="shared" si="18"/>
        <v>0</v>
      </c>
      <c r="CT32" s="1546">
        <f t="shared" si="18"/>
        <v>0</v>
      </c>
      <c r="CU32" s="1546">
        <f t="shared" si="18"/>
        <v>0</v>
      </c>
      <c r="CV32" s="1546">
        <f t="shared" si="18"/>
        <v>0</v>
      </c>
      <c r="CW32" s="1546">
        <f t="shared" si="18"/>
        <v>0</v>
      </c>
      <c r="CX32" s="1546">
        <f t="shared" si="18"/>
        <v>0</v>
      </c>
      <c r="CY32" s="1546">
        <f t="shared" si="18"/>
        <v>0</v>
      </c>
      <c r="CZ32" s="1546">
        <f t="shared" si="23"/>
        <v>0</v>
      </c>
      <c r="DA32" s="1546">
        <f t="shared" si="23"/>
        <v>0</v>
      </c>
      <c r="DB32" s="1546">
        <f t="shared" si="23"/>
        <v>0</v>
      </c>
      <c r="DC32" s="1546">
        <f t="shared" si="23"/>
        <v>0</v>
      </c>
      <c r="DD32" s="1546">
        <f t="shared" si="23"/>
        <v>0</v>
      </c>
      <c r="DE32" s="1546">
        <f t="shared" si="23"/>
        <v>0</v>
      </c>
      <c r="DF32" s="1546">
        <f t="shared" si="23"/>
        <v>0</v>
      </c>
      <c r="DG32" s="1546">
        <f t="shared" si="23"/>
        <v>0</v>
      </c>
      <c r="DH32" s="1546">
        <f t="shared" si="23"/>
        <v>0</v>
      </c>
      <c r="DI32" s="1546">
        <f t="shared" si="23"/>
        <v>0</v>
      </c>
      <c r="DJ32" s="1546">
        <f t="shared" si="23"/>
        <v>0</v>
      </c>
      <c r="DK32" s="3"/>
      <c r="DM32" s="1546">
        <f t="shared" si="19"/>
        <v>0</v>
      </c>
      <c r="DN32" s="3"/>
      <c r="DO32" s="1546">
        <f t="shared" si="20"/>
        <v>0</v>
      </c>
      <c r="DQ32" s="1546">
        <f t="shared" si="21"/>
        <v>0</v>
      </c>
      <c r="DR32" s="1546">
        <f t="shared" si="21"/>
        <v>1</v>
      </c>
      <c r="DS32" s="1546">
        <f t="shared" si="21"/>
        <v>0</v>
      </c>
      <c r="DT32" s="1546">
        <f t="shared" si="21"/>
        <v>0</v>
      </c>
      <c r="DU32" s="1546">
        <f t="shared" si="21"/>
        <v>0</v>
      </c>
      <c r="DV32" s="1546">
        <f t="shared" si="21"/>
        <v>0</v>
      </c>
      <c r="DW32" s="1546">
        <f t="shared" si="21"/>
        <v>0</v>
      </c>
      <c r="DX32" s="1546">
        <f t="shared" si="21"/>
        <v>0</v>
      </c>
      <c r="DY32" s="1546">
        <f t="shared" si="21"/>
        <v>0</v>
      </c>
      <c r="DZ32" s="1546">
        <f t="shared" si="21"/>
        <v>0</v>
      </c>
      <c r="EA32" s="1546">
        <f t="shared" si="21"/>
        <v>0</v>
      </c>
      <c r="EB32" s="1546">
        <f t="shared" si="21"/>
        <v>0</v>
      </c>
      <c r="EC32" s="1546">
        <f t="shared" si="21"/>
        <v>0</v>
      </c>
    </row>
    <row r="33" spans="1:133" x14ac:dyDescent="0.3">
      <c r="A33" s="91">
        <v>30</v>
      </c>
      <c r="B33" s="680"/>
      <c r="C33" s="680"/>
      <c r="D33" s="680"/>
      <c r="E33" s="680"/>
      <c r="F33" s="683"/>
      <c r="G33" s="21" t="str">
        <f>IFERROR(VLOOKUP(E33,'Piping Class'!$90:$102,7,0),"")</f>
        <v/>
      </c>
      <c r="H33" s="21" t="str">
        <f>IFERROR(VLOOKUP(E33,'Piping Class'!$90:$102,2,0),"")</f>
        <v/>
      </c>
      <c r="I33" s="680"/>
      <c r="J33" s="611" t="str">
        <f t="shared" si="0"/>
        <v/>
      </c>
      <c r="K33" s="680"/>
      <c r="L33" s="680"/>
      <c r="M33" s="680"/>
      <c r="N33" s="680"/>
      <c r="O33" s="680"/>
      <c r="P33" s="680"/>
      <c r="Q33" s="680"/>
      <c r="R33" s="680"/>
      <c r="S33" s="680"/>
      <c r="T33" s="684"/>
      <c r="U33" s="684"/>
      <c r="V33" s="684"/>
      <c r="W33" s="684"/>
      <c r="X33" s="684"/>
      <c r="Y33" s="684"/>
      <c r="Z33" s="271">
        <f t="shared" si="1"/>
        <v>0</v>
      </c>
      <c r="AA33" s="865"/>
      <c r="AB33" s="21" t="str">
        <f t="shared" si="2"/>
        <v/>
      </c>
      <c r="AC33" s="21" t="str">
        <f t="shared" si="3"/>
        <v/>
      </c>
      <c r="AD33" s="680"/>
      <c r="AE33" s="21">
        <f t="shared" si="10"/>
        <v>0</v>
      </c>
      <c r="AF33" s="1315"/>
      <c r="AG33" s="1317">
        <f t="shared" si="28"/>
        <v>0</v>
      </c>
      <c r="AH33" s="713"/>
      <c r="AJ33" s="91" t="s">
        <v>1984</v>
      </c>
      <c r="AK33" s="680">
        <v>2</v>
      </c>
      <c r="AL33" s="331" t="s">
        <v>339</v>
      </c>
      <c r="AN33" s="1545">
        <f t="shared" si="4"/>
        <v>0</v>
      </c>
      <c r="AO33" s="1545">
        <f t="shared" si="24"/>
        <v>0</v>
      </c>
      <c r="AP33" s="1545">
        <f t="shared" si="24"/>
        <v>0</v>
      </c>
      <c r="AQ33" s="1545">
        <f t="shared" si="24"/>
        <v>0</v>
      </c>
      <c r="AR33" s="1545">
        <f t="shared" si="24"/>
        <v>0</v>
      </c>
      <c r="AS33" s="1545">
        <f t="shared" si="25"/>
        <v>0</v>
      </c>
      <c r="AT33" s="1545">
        <f t="shared" si="25"/>
        <v>0</v>
      </c>
      <c r="AU33" s="1545">
        <f t="shared" si="25"/>
        <v>0</v>
      </c>
      <c r="AV33" s="1545">
        <f t="shared" si="29"/>
        <v>0</v>
      </c>
      <c r="AW33" s="1545">
        <f t="shared" si="29"/>
        <v>0</v>
      </c>
      <c r="AX33" s="1545">
        <f t="shared" si="29"/>
        <v>0</v>
      </c>
      <c r="AY33" s="1545">
        <f t="shared" si="29"/>
        <v>0</v>
      </c>
      <c r="AZ33" s="1545">
        <f t="shared" si="29"/>
        <v>0</v>
      </c>
      <c r="BA33" s="1545">
        <f t="shared" si="22"/>
        <v>0</v>
      </c>
      <c r="BB33" s="1545">
        <f t="shared" si="22"/>
        <v>0</v>
      </c>
      <c r="BC33" s="1545">
        <f t="shared" si="22"/>
        <v>0</v>
      </c>
      <c r="BD33" s="1545">
        <f t="shared" si="22"/>
        <v>0</v>
      </c>
      <c r="BE33" s="1545">
        <f t="shared" si="22"/>
        <v>0</v>
      </c>
      <c r="BF33" s="1545">
        <f t="shared" si="27"/>
        <v>0</v>
      </c>
      <c r="BH33" s="1546">
        <f t="shared" si="12"/>
        <v>0</v>
      </c>
      <c r="BI33" s="1546">
        <f t="shared" si="12"/>
        <v>0</v>
      </c>
      <c r="BK33" s="1545">
        <f t="shared" si="13"/>
        <v>0</v>
      </c>
      <c r="BL33" s="1545">
        <f t="shared" si="13"/>
        <v>0</v>
      </c>
      <c r="BM33" s="1545">
        <f t="shared" si="14"/>
        <v>0</v>
      </c>
      <c r="BO33" s="1545">
        <f t="shared" si="15"/>
        <v>0</v>
      </c>
      <c r="BP33" s="1545">
        <f t="shared" si="15"/>
        <v>0</v>
      </c>
      <c r="BR33" s="1546">
        <f t="shared" si="16"/>
        <v>0</v>
      </c>
      <c r="BS33" s="1546">
        <f t="shared" si="16"/>
        <v>0</v>
      </c>
      <c r="BT33" s="1546">
        <f t="shared" si="16"/>
        <v>0</v>
      </c>
      <c r="BU33" s="1546">
        <f t="shared" si="16"/>
        <v>0</v>
      </c>
      <c r="BV33" s="1546">
        <f t="shared" si="16"/>
        <v>0</v>
      </c>
      <c r="BW33" s="1546">
        <f t="shared" si="16"/>
        <v>0</v>
      </c>
      <c r="BX33" s="1546">
        <f t="shared" si="16"/>
        <v>0</v>
      </c>
      <c r="BY33" s="1546">
        <f t="shared" si="16"/>
        <v>0</v>
      </c>
      <c r="BZ33" s="1546">
        <f t="shared" si="16"/>
        <v>0</v>
      </c>
      <c r="CA33" s="1546">
        <f t="shared" si="16"/>
        <v>0</v>
      </c>
      <c r="CB33" s="1546">
        <f t="shared" si="16"/>
        <v>0</v>
      </c>
      <c r="CC33" s="1546">
        <f t="shared" si="16"/>
        <v>0</v>
      </c>
      <c r="CD33" s="1546">
        <f t="shared" si="16"/>
        <v>0</v>
      </c>
      <c r="CE33" s="1546">
        <f t="shared" si="16"/>
        <v>0</v>
      </c>
      <c r="CF33" s="1546">
        <f t="shared" si="16"/>
        <v>0</v>
      </c>
      <c r="CG33" s="1546">
        <f t="shared" si="16"/>
        <v>0</v>
      </c>
      <c r="CH33" s="1546">
        <f t="shared" si="17"/>
        <v>1</v>
      </c>
      <c r="CJ33" s="1546">
        <f t="shared" si="18"/>
        <v>0</v>
      </c>
      <c r="CK33" s="1546">
        <f t="shared" si="18"/>
        <v>0</v>
      </c>
      <c r="CL33" s="1546">
        <f t="shared" si="18"/>
        <v>0</v>
      </c>
      <c r="CM33" s="1546">
        <f t="shared" si="18"/>
        <v>0</v>
      </c>
      <c r="CN33" s="1546">
        <f t="shared" si="18"/>
        <v>0</v>
      </c>
      <c r="CO33" s="1546">
        <f t="shared" si="18"/>
        <v>0</v>
      </c>
      <c r="CP33" s="1546">
        <f t="shared" si="18"/>
        <v>0</v>
      </c>
      <c r="CQ33" s="1546">
        <f t="shared" si="18"/>
        <v>0</v>
      </c>
      <c r="CR33" s="1546">
        <f t="shared" si="18"/>
        <v>0</v>
      </c>
      <c r="CS33" s="1546">
        <f t="shared" si="18"/>
        <v>0</v>
      </c>
      <c r="CT33" s="1546">
        <f t="shared" si="18"/>
        <v>0</v>
      </c>
      <c r="CU33" s="1546">
        <f t="shared" si="18"/>
        <v>0</v>
      </c>
      <c r="CV33" s="1546">
        <f t="shared" si="18"/>
        <v>0</v>
      </c>
      <c r="CW33" s="1546">
        <f t="shared" si="18"/>
        <v>0</v>
      </c>
      <c r="CX33" s="1546">
        <f t="shared" si="18"/>
        <v>0</v>
      </c>
      <c r="CY33" s="1546">
        <f t="shared" si="18"/>
        <v>0</v>
      </c>
      <c r="CZ33" s="1546">
        <f t="shared" si="23"/>
        <v>0</v>
      </c>
      <c r="DA33" s="1546">
        <f t="shared" si="23"/>
        <v>0</v>
      </c>
      <c r="DB33" s="1546">
        <f t="shared" si="23"/>
        <v>0</v>
      </c>
      <c r="DC33" s="1546">
        <f t="shared" si="23"/>
        <v>0</v>
      </c>
      <c r="DD33" s="1546">
        <f t="shared" si="23"/>
        <v>0</v>
      </c>
      <c r="DE33" s="1546">
        <f t="shared" si="23"/>
        <v>0</v>
      </c>
      <c r="DF33" s="1546">
        <f t="shared" si="23"/>
        <v>0</v>
      </c>
      <c r="DG33" s="1546">
        <f t="shared" si="23"/>
        <v>0</v>
      </c>
      <c r="DH33" s="1546">
        <f t="shared" si="23"/>
        <v>0</v>
      </c>
      <c r="DI33" s="1546">
        <f t="shared" si="23"/>
        <v>0</v>
      </c>
      <c r="DJ33" s="1546">
        <f t="shared" si="23"/>
        <v>0</v>
      </c>
      <c r="DK33" s="3"/>
      <c r="DM33" s="1546">
        <f t="shared" si="19"/>
        <v>0</v>
      </c>
      <c r="DN33" s="3"/>
      <c r="DO33" s="1546">
        <f t="shared" si="20"/>
        <v>0</v>
      </c>
      <c r="DQ33" s="1546">
        <f t="shared" si="21"/>
        <v>0</v>
      </c>
      <c r="DR33" s="1546">
        <f t="shared" si="21"/>
        <v>0</v>
      </c>
      <c r="DS33" s="1546">
        <f t="shared" si="21"/>
        <v>0</v>
      </c>
      <c r="DT33" s="1546">
        <f t="shared" si="21"/>
        <v>0</v>
      </c>
      <c r="DU33" s="1546">
        <f t="shared" si="21"/>
        <v>0</v>
      </c>
      <c r="DV33" s="1546">
        <f t="shared" si="21"/>
        <v>0</v>
      </c>
      <c r="DW33" s="1546">
        <f t="shared" si="21"/>
        <v>0</v>
      </c>
      <c r="DX33" s="1546">
        <f t="shared" si="21"/>
        <v>0</v>
      </c>
      <c r="DY33" s="1546">
        <f t="shared" si="21"/>
        <v>0</v>
      </c>
      <c r="DZ33" s="1546">
        <f t="shared" si="21"/>
        <v>0</v>
      </c>
      <c r="EA33" s="1546">
        <f t="shared" si="21"/>
        <v>0</v>
      </c>
      <c r="EB33" s="1546">
        <f t="shared" si="21"/>
        <v>0</v>
      </c>
      <c r="EC33" s="1546">
        <f t="shared" si="21"/>
        <v>0</v>
      </c>
    </row>
    <row r="34" spans="1:133" x14ac:dyDescent="0.3">
      <c r="A34" s="91">
        <v>31</v>
      </c>
      <c r="B34" s="680"/>
      <c r="C34" s="680"/>
      <c r="D34" s="680"/>
      <c r="E34" s="680"/>
      <c r="F34" s="683"/>
      <c r="G34" s="21" t="str">
        <f>IFERROR(VLOOKUP(E34,'Piping Class'!$90:$102,7,0),"")</f>
        <v/>
      </c>
      <c r="H34" s="21" t="str">
        <f>IFERROR(VLOOKUP(E34,'Piping Class'!$90:$102,2,0),"")</f>
        <v/>
      </c>
      <c r="I34" s="680"/>
      <c r="J34" s="611" t="str">
        <f t="shared" si="0"/>
        <v/>
      </c>
      <c r="K34" s="680"/>
      <c r="L34" s="680"/>
      <c r="M34" s="680"/>
      <c r="N34" s="680"/>
      <c r="O34" s="680"/>
      <c r="P34" s="680"/>
      <c r="Q34" s="680"/>
      <c r="R34" s="680"/>
      <c r="S34" s="680"/>
      <c r="T34" s="684"/>
      <c r="U34" s="684"/>
      <c r="V34" s="684"/>
      <c r="W34" s="684"/>
      <c r="X34" s="684"/>
      <c r="Y34" s="684"/>
      <c r="Z34" s="271">
        <f t="shared" si="1"/>
        <v>0</v>
      </c>
      <c r="AA34" s="865"/>
      <c r="AB34" s="21" t="str">
        <f t="shared" si="2"/>
        <v/>
      </c>
      <c r="AC34" s="21" t="str">
        <f t="shared" si="3"/>
        <v/>
      </c>
      <c r="AD34" s="680"/>
      <c r="AE34" s="21">
        <f t="shared" si="10"/>
        <v>0</v>
      </c>
      <c r="AF34" s="1315"/>
      <c r="AG34" s="1317">
        <f t="shared" si="28"/>
        <v>0</v>
      </c>
      <c r="AH34" s="713"/>
      <c r="AJ34" s="91" t="s">
        <v>1985</v>
      </c>
      <c r="AK34" s="680">
        <v>2</v>
      </c>
      <c r="AL34" s="331" t="s">
        <v>339</v>
      </c>
      <c r="AN34" s="1545">
        <f t="shared" si="4"/>
        <v>0</v>
      </c>
      <c r="AO34" s="1545">
        <f t="shared" si="24"/>
        <v>0</v>
      </c>
      <c r="AP34" s="1545">
        <f t="shared" si="24"/>
        <v>0</v>
      </c>
      <c r="AQ34" s="1545">
        <f t="shared" si="24"/>
        <v>0</v>
      </c>
      <c r="AR34" s="1545">
        <f t="shared" si="24"/>
        <v>0</v>
      </c>
      <c r="AS34" s="1545">
        <f t="shared" si="25"/>
        <v>0</v>
      </c>
      <c r="AT34" s="1545">
        <f t="shared" si="25"/>
        <v>0</v>
      </c>
      <c r="AU34" s="1545">
        <f t="shared" si="25"/>
        <v>0</v>
      </c>
      <c r="AV34" s="1545">
        <f t="shared" si="29"/>
        <v>0</v>
      </c>
      <c r="AW34" s="1545">
        <f t="shared" si="29"/>
        <v>0</v>
      </c>
      <c r="AX34" s="1545">
        <f t="shared" si="29"/>
        <v>0</v>
      </c>
      <c r="AY34" s="1545">
        <f t="shared" si="29"/>
        <v>0</v>
      </c>
      <c r="AZ34" s="1545">
        <f t="shared" si="29"/>
        <v>0</v>
      </c>
      <c r="BA34" s="1545">
        <f t="shared" si="22"/>
        <v>0</v>
      </c>
      <c r="BB34" s="1545">
        <f t="shared" si="22"/>
        <v>0</v>
      </c>
      <c r="BC34" s="1545">
        <f t="shared" si="22"/>
        <v>0</v>
      </c>
      <c r="BD34" s="1545">
        <f t="shared" si="22"/>
        <v>0</v>
      </c>
      <c r="BE34" s="1545">
        <f t="shared" si="22"/>
        <v>0</v>
      </c>
      <c r="BF34" s="1545">
        <f t="shared" si="27"/>
        <v>0</v>
      </c>
      <c r="BH34" s="1546">
        <f t="shared" si="12"/>
        <v>0</v>
      </c>
      <c r="BI34" s="1546">
        <f t="shared" si="12"/>
        <v>0</v>
      </c>
      <c r="BK34" s="1545">
        <f t="shared" si="13"/>
        <v>0</v>
      </c>
      <c r="BL34" s="1545">
        <f t="shared" si="13"/>
        <v>0</v>
      </c>
      <c r="BM34" s="1545">
        <f t="shared" si="14"/>
        <v>0</v>
      </c>
      <c r="BO34" s="1545">
        <f t="shared" si="15"/>
        <v>0</v>
      </c>
      <c r="BP34" s="1545">
        <f t="shared" si="15"/>
        <v>0</v>
      </c>
      <c r="BR34" s="1546">
        <f t="shared" si="16"/>
        <v>0</v>
      </c>
      <c r="BS34" s="1546">
        <f t="shared" si="16"/>
        <v>0</v>
      </c>
      <c r="BT34" s="1546">
        <f t="shared" si="16"/>
        <v>0</v>
      </c>
      <c r="BU34" s="1546">
        <f t="shared" si="16"/>
        <v>0</v>
      </c>
      <c r="BV34" s="1546">
        <f t="shared" si="16"/>
        <v>0</v>
      </c>
      <c r="BW34" s="1546">
        <f t="shared" si="16"/>
        <v>0</v>
      </c>
      <c r="BX34" s="1546">
        <f t="shared" si="16"/>
        <v>0</v>
      </c>
      <c r="BY34" s="1546">
        <f t="shared" si="16"/>
        <v>0</v>
      </c>
      <c r="BZ34" s="1546">
        <f t="shared" si="16"/>
        <v>0</v>
      </c>
      <c r="CA34" s="1546">
        <f t="shared" si="16"/>
        <v>0</v>
      </c>
      <c r="CB34" s="1546">
        <f t="shared" si="16"/>
        <v>0</v>
      </c>
      <c r="CC34" s="1546">
        <f t="shared" si="16"/>
        <v>0</v>
      </c>
      <c r="CD34" s="1546">
        <f t="shared" si="16"/>
        <v>0</v>
      </c>
      <c r="CE34" s="1546">
        <f t="shared" si="16"/>
        <v>0</v>
      </c>
      <c r="CF34" s="1546">
        <f t="shared" si="16"/>
        <v>0</v>
      </c>
      <c r="CG34" s="1546">
        <f t="shared" si="16"/>
        <v>0</v>
      </c>
      <c r="CH34" s="1546">
        <f t="shared" si="17"/>
        <v>1</v>
      </c>
      <c r="CJ34" s="1546">
        <f t="shared" si="18"/>
        <v>0</v>
      </c>
      <c r="CK34" s="1546">
        <f t="shared" ref="CK34:CZ43" si="30">IF(CK$3=0,0,IF($F34=CK$3,1,0))</f>
        <v>0</v>
      </c>
      <c r="CL34" s="1546">
        <f t="shared" si="30"/>
        <v>0</v>
      </c>
      <c r="CM34" s="1546">
        <f t="shared" si="30"/>
        <v>0</v>
      </c>
      <c r="CN34" s="1546">
        <f t="shared" si="30"/>
        <v>0</v>
      </c>
      <c r="CO34" s="1546">
        <f t="shared" si="30"/>
        <v>0</v>
      </c>
      <c r="CP34" s="1546">
        <f t="shared" si="30"/>
        <v>0</v>
      </c>
      <c r="CQ34" s="1546">
        <f t="shared" si="30"/>
        <v>0</v>
      </c>
      <c r="CR34" s="1546">
        <f t="shared" si="30"/>
        <v>0</v>
      </c>
      <c r="CS34" s="1546">
        <f t="shared" si="30"/>
        <v>0</v>
      </c>
      <c r="CT34" s="1546">
        <f t="shared" si="30"/>
        <v>0</v>
      </c>
      <c r="CU34" s="1546">
        <f t="shared" si="30"/>
        <v>0</v>
      </c>
      <c r="CV34" s="1546">
        <f t="shared" si="30"/>
        <v>0</v>
      </c>
      <c r="CW34" s="1546">
        <f t="shared" si="30"/>
        <v>0</v>
      </c>
      <c r="CX34" s="1546">
        <f t="shared" si="30"/>
        <v>0</v>
      </c>
      <c r="CY34" s="1546">
        <f t="shared" si="30"/>
        <v>0</v>
      </c>
      <c r="CZ34" s="1546">
        <f t="shared" si="30"/>
        <v>0</v>
      </c>
      <c r="DA34" s="1546">
        <f t="shared" si="23"/>
        <v>0</v>
      </c>
      <c r="DB34" s="1546">
        <f t="shared" si="23"/>
        <v>0</v>
      </c>
      <c r="DC34" s="1546">
        <f t="shared" si="23"/>
        <v>0</v>
      </c>
      <c r="DD34" s="1546">
        <f t="shared" si="23"/>
        <v>0</v>
      </c>
      <c r="DE34" s="1546">
        <f t="shared" si="23"/>
        <v>0</v>
      </c>
      <c r="DF34" s="1546">
        <f t="shared" si="23"/>
        <v>0</v>
      </c>
      <c r="DG34" s="1546">
        <f t="shared" si="23"/>
        <v>0</v>
      </c>
      <c r="DH34" s="1546">
        <f t="shared" si="23"/>
        <v>0</v>
      </c>
      <c r="DI34" s="1546">
        <f t="shared" si="23"/>
        <v>0</v>
      </c>
      <c r="DJ34" s="1546">
        <f t="shared" ref="DJ34:DJ43" si="31">IF(DJ$3=0,0,IF($F34=DJ$3,1,0))</f>
        <v>0</v>
      </c>
      <c r="DK34" s="3"/>
      <c r="DM34" s="1546">
        <f t="shared" si="19"/>
        <v>0</v>
      </c>
      <c r="DN34" s="3"/>
      <c r="DO34" s="1546">
        <f t="shared" si="20"/>
        <v>0</v>
      </c>
      <c r="DQ34" s="1546">
        <f t="shared" si="21"/>
        <v>0</v>
      </c>
      <c r="DR34" s="1546">
        <f t="shared" si="21"/>
        <v>0</v>
      </c>
      <c r="DS34" s="1546">
        <f t="shared" si="21"/>
        <v>0</v>
      </c>
      <c r="DT34" s="1546">
        <f t="shared" si="21"/>
        <v>0</v>
      </c>
      <c r="DU34" s="1546">
        <f t="shared" si="21"/>
        <v>0</v>
      </c>
      <c r="DV34" s="1546">
        <f t="shared" si="21"/>
        <v>0</v>
      </c>
      <c r="DW34" s="1546">
        <f t="shared" si="21"/>
        <v>0</v>
      </c>
      <c r="DX34" s="1546">
        <f t="shared" si="21"/>
        <v>0</v>
      </c>
      <c r="DY34" s="1546">
        <f t="shared" si="21"/>
        <v>0</v>
      </c>
      <c r="DZ34" s="1546">
        <f t="shared" si="21"/>
        <v>0</v>
      </c>
      <c r="EA34" s="1546">
        <f t="shared" si="21"/>
        <v>0</v>
      </c>
      <c r="EB34" s="1546">
        <f t="shared" si="21"/>
        <v>0</v>
      </c>
      <c r="EC34" s="1546">
        <f t="shared" si="21"/>
        <v>0</v>
      </c>
    </row>
    <row r="35" spans="1:133" x14ac:dyDescent="0.3">
      <c r="A35" s="91">
        <v>32</v>
      </c>
      <c r="B35" s="680"/>
      <c r="C35" s="680"/>
      <c r="D35" s="680"/>
      <c r="E35" s="680"/>
      <c r="F35" s="683"/>
      <c r="G35" s="21" t="str">
        <f>IFERROR(VLOOKUP(E35,'Piping Class'!$90:$102,7,0),"")</f>
        <v/>
      </c>
      <c r="H35" s="21" t="str">
        <f>IFERROR(VLOOKUP(E35,'Piping Class'!$90:$102,2,0),"")</f>
        <v/>
      </c>
      <c r="I35" s="680"/>
      <c r="J35" s="611" t="str">
        <f t="shared" si="0"/>
        <v/>
      </c>
      <c r="K35" s="680"/>
      <c r="L35" s="680"/>
      <c r="M35" s="680"/>
      <c r="N35" s="680"/>
      <c r="O35" s="680"/>
      <c r="P35" s="680"/>
      <c r="Q35" s="680"/>
      <c r="R35" s="680"/>
      <c r="S35" s="680"/>
      <c r="T35" s="684"/>
      <c r="U35" s="684"/>
      <c r="V35" s="684"/>
      <c r="W35" s="684"/>
      <c r="X35" s="684"/>
      <c r="Y35" s="684"/>
      <c r="Z35" s="271">
        <f t="shared" si="1"/>
        <v>0</v>
      </c>
      <c r="AA35" s="865"/>
      <c r="AB35" s="21" t="str">
        <f t="shared" si="2"/>
        <v/>
      </c>
      <c r="AC35" s="21" t="str">
        <f t="shared" si="3"/>
        <v/>
      </c>
      <c r="AD35" s="680"/>
      <c r="AE35" s="21">
        <f t="shared" si="10"/>
        <v>0</v>
      </c>
      <c r="AF35" s="1315"/>
      <c r="AG35" s="1317">
        <f t="shared" si="28"/>
        <v>0</v>
      </c>
      <c r="AH35" s="713"/>
      <c r="AJ35" s="91" t="s">
        <v>1950</v>
      </c>
      <c r="AK35" s="680">
        <v>0.5</v>
      </c>
      <c r="AL35" s="331" t="s">
        <v>1721</v>
      </c>
      <c r="AN35" s="1545">
        <f t="shared" si="4"/>
        <v>0</v>
      </c>
      <c r="AO35" s="1545">
        <f t="shared" si="24"/>
        <v>0</v>
      </c>
      <c r="AP35" s="1545">
        <f t="shared" si="24"/>
        <v>0</v>
      </c>
      <c r="AQ35" s="1545">
        <f t="shared" si="24"/>
        <v>0</v>
      </c>
      <c r="AR35" s="1545">
        <f t="shared" si="24"/>
        <v>0</v>
      </c>
      <c r="AS35" s="1545">
        <f t="shared" si="25"/>
        <v>0</v>
      </c>
      <c r="AT35" s="1545">
        <f t="shared" si="25"/>
        <v>0</v>
      </c>
      <c r="AU35" s="1545">
        <f t="shared" si="25"/>
        <v>0</v>
      </c>
      <c r="AV35" s="1545">
        <f t="shared" si="29"/>
        <v>0</v>
      </c>
      <c r="AW35" s="1545">
        <f t="shared" si="29"/>
        <v>0</v>
      </c>
      <c r="AX35" s="1545">
        <f t="shared" si="29"/>
        <v>0</v>
      </c>
      <c r="AY35" s="1545">
        <f t="shared" si="29"/>
        <v>0</v>
      </c>
      <c r="AZ35" s="1545">
        <f t="shared" si="29"/>
        <v>0</v>
      </c>
      <c r="BA35" s="1545">
        <f t="shared" si="22"/>
        <v>0</v>
      </c>
      <c r="BB35" s="1545">
        <f t="shared" si="22"/>
        <v>0</v>
      </c>
      <c r="BC35" s="1545">
        <f t="shared" si="22"/>
        <v>0</v>
      </c>
      <c r="BD35" s="1545">
        <f t="shared" si="22"/>
        <v>0</v>
      </c>
      <c r="BE35" s="1545">
        <f t="shared" si="22"/>
        <v>0</v>
      </c>
      <c r="BF35" s="1545">
        <f t="shared" si="27"/>
        <v>0</v>
      </c>
      <c r="BH35" s="1546">
        <f t="shared" si="12"/>
        <v>0</v>
      </c>
      <c r="BI35" s="1546">
        <f t="shared" si="12"/>
        <v>0</v>
      </c>
      <c r="BK35" s="1545">
        <f t="shared" si="13"/>
        <v>0</v>
      </c>
      <c r="BL35" s="1545">
        <f t="shared" si="13"/>
        <v>0</v>
      </c>
      <c r="BM35" s="1545">
        <f t="shared" si="14"/>
        <v>0</v>
      </c>
      <c r="BO35" s="1545">
        <f t="shared" si="15"/>
        <v>0</v>
      </c>
      <c r="BP35" s="1545">
        <f t="shared" si="15"/>
        <v>0</v>
      </c>
      <c r="BR35" s="1546">
        <f t="shared" ref="BR35:CG43" si="32">IF(BR$3="X",0,IF($AA35=BR$3,1,0))</f>
        <v>0</v>
      </c>
      <c r="BS35" s="1546">
        <f t="shared" si="32"/>
        <v>0</v>
      </c>
      <c r="BT35" s="1546">
        <f t="shared" si="32"/>
        <v>0</v>
      </c>
      <c r="BU35" s="1546">
        <f t="shared" si="32"/>
        <v>0</v>
      </c>
      <c r="BV35" s="1546">
        <f t="shared" si="32"/>
        <v>0</v>
      </c>
      <c r="BW35" s="1546">
        <f t="shared" si="32"/>
        <v>0</v>
      </c>
      <c r="BX35" s="1546">
        <f t="shared" si="32"/>
        <v>0</v>
      </c>
      <c r="BY35" s="1546">
        <f t="shared" si="32"/>
        <v>0</v>
      </c>
      <c r="BZ35" s="1546">
        <f t="shared" si="32"/>
        <v>0</v>
      </c>
      <c r="CA35" s="1546">
        <f t="shared" si="32"/>
        <v>0</v>
      </c>
      <c r="CB35" s="1546">
        <f t="shared" si="32"/>
        <v>0</v>
      </c>
      <c r="CC35" s="1546">
        <f t="shared" si="32"/>
        <v>0</v>
      </c>
      <c r="CD35" s="1546">
        <f t="shared" si="32"/>
        <v>0</v>
      </c>
      <c r="CE35" s="1546">
        <f t="shared" si="32"/>
        <v>0</v>
      </c>
      <c r="CF35" s="1546">
        <f t="shared" si="32"/>
        <v>0</v>
      </c>
      <c r="CG35" s="1546">
        <f t="shared" si="32"/>
        <v>0</v>
      </c>
      <c r="CH35" s="1546">
        <f t="shared" si="17"/>
        <v>1</v>
      </c>
      <c r="CJ35" s="1546">
        <f t="shared" ref="CJ35:CJ43" si="33">IF(CJ$3=0,0,IF($F35=CJ$3,1,0))</f>
        <v>0</v>
      </c>
      <c r="CK35" s="1546">
        <f t="shared" si="30"/>
        <v>0</v>
      </c>
      <c r="CL35" s="1546">
        <f t="shared" si="30"/>
        <v>0</v>
      </c>
      <c r="CM35" s="1546">
        <f t="shared" si="30"/>
        <v>0</v>
      </c>
      <c r="CN35" s="1546">
        <f t="shared" si="30"/>
        <v>0</v>
      </c>
      <c r="CO35" s="1546">
        <f t="shared" si="30"/>
        <v>0</v>
      </c>
      <c r="CP35" s="1546">
        <f t="shared" si="30"/>
        <v>0</v>
      </c>
      <c r="CQ35" s="1546">
        <f t="shared" si="30"/>
        <v>0</v>
      </c>
      <c r="CR35" s="1546">
        <f t="shared" si="30"/>
        <v>0</v>
      </c>
      <c r="CS35" s="1546">
        <f t="shared" si="30"/>
        <v>0</v>
      </c>
      <c r="CT35" s="1546">
        <f t="shared" si="30"/>
        <v>0</v>
      </c>
      <c r="CU35" s="1546">
        <f t="shared" si="30"/>
        <v>0</v>
      </c>
      <c r="CV35" s="1546">
        <f t="shared" si="30"/>
        <v>0</v>
      </c>
      <c r="CW35" s="1546">
        <f t="shared" si="30"/>
        <v>0</v>
      </c>
      <c r="CX35" s="1546">
        <f t="shared" si="30"/>
        <v>0</v>
      </c>
      <c r="CY35" s="1546">
        <f t="shared" si="30"/>
        <v>0</v>
      </c>
      <c r="CZ35" s="1546">
        <f t="shared" si="30"/>
        <v>0</v>
      </c>
      <c r="DA35" s="1546">
        <f t="shared" si="23"/>
        <v>0</v>
      </c>
      <c r="DB35" s="1546">
        <f t="shared" si="23"/>
        <v>0</v>
      </c>
      <c r="DC35" s="1546">
        <f t="shared" si="23"/>
        <v>0</v>
      </c>
      <c r="DD35" s="1546">
        <f t="shared" si="23"/>
        <v>0</v>
      </c>
      <c r="DE35" s="1546">
        <f t="shared" si="23"/>
        <v>0</v>
      </c>
      <c r="DF35" s="1546">
        <f t="shared" si="23"/>
        <v>0</v>
      </c>
      <c r="DG35" s="1546">
        <f t="shared" si="23"/>
        <v>0</v>
      </c>
      <c r="DH35" s="1546">
        <f t="shared" si="23"/>
        <v>0</v>
      </c>
      <c r="DI35" s="1546">
        <f t="shared" si="23"/>
        <v>0</v>
      </c>
      <c r="DJ35" s="1546">
        <f t="shared" si="31"/>
        <v>0</v>
      </c>
      <c r="DK35" s="3"/>
      <c r="DM35" s="1546">
        <f t="shared" si="19"/>
        <v>0</v>
      </c>
      <c r="DN35" s="3"/>
      <c r="DO35" s="1546">
        <f t="shared" si="20"/>
        <v>0</v>
      </c>
      <c r="DQ35" s="1546">
        <f t="shared" si="21"/>
        <v>0</v>
      </c>
      <c r="DR35" s="1546">
        <f t="shared" si="21"/>
        <v>0</v>
      </c>
      <c r="DS35" s="1546">
        <f t="shared" si="21"/>
        <v>0</v>
      </c>
      <c r="DT35" s="1546">
        <f t="shared" si="21"/>
        <v>0</v>
      </c>
      <c r="DU35" s="1546">
        <f t="shared" si="21"/>
        <v>0</v>
      </c>
      <c r="DV35" s="1546">
        <f t="shared" si="21"/>
        <v>0</v>
      </c>
      <c r="DW35" s="1546">
        <f t="shared" si="21"/>
        <v>0</v>
      </c>
      <c r="DX35" s="1546">
        <f t="shared" si="21"/>
        <v>0</v>
      </c>
      <c r="DY35" s="1546">
        <f t="shared" si="21"/>
        <v>0</v>
      </c>
      <c r="DZ35" s="1546">
        <f t="shared" si="21"/>
        <v>0</v>
      </c>
      <c r="EA35" s="1546">
        <f t="shared" si="21"/>
        <v>0</v>
      </c>
      <c r="EB35" s="1546">
        <f t="shared" si="21"/>
        <v>0</v>
      </c>
      <c r="EC35" s="1546">
        <f t="shared" si="21"/>
        <v>0</v>
      </c>
    </row>
    <row r="36" spans="1:133" x14ac:dyDescent="0.3">
      <c r="A36" s="91">
        <v>33</v>
      </c>
      <c r="B36" s="680"/>
      <c r="C36" s="680"/>
      <c r="D36" s="680"/>
      <c r="E36" s="680"/>
      <c r="F36" s="683"/>
      <c r="G36" s="21" t="str">
        <f>IFERROR(VLOOKUP(E36,'Piping Class'!$90:$102,7,0),"")</f>
        <v/>
      </c>
      <c r="H36" s="21" t="str">
        <f>IFERROR(VLOOKUP(E36,'Piping Class'!$90:$102,2,0),"")</f>
        <v/>
      </c>
      <c r="I36" s="680"/>
      <c r="J36" s="611" t="str">
        <f t="shared" si="0"/>
        <v/>
      </c>
      <c r="K36" s="680"/>
      <c r="L36" s="680"/>
      <c r="M36" s="680"/>
      <c r="N36" s="680"/>
      <c r="O36" s="680"/>
      <c r="P36" s="680"/>
      <c r="Q36" s="680"/>
      <c r="R36" s="680"/>
      <c r="S36" s="680"/>
      <c r="T36" s="684"/>
      <c r="U36" s="684"/>
      <c r="V36" s="684"/>
      <c r="W36" s="684"/>
      <c r="X36" s="684"/>
      <c r="Y36" s="684"/>
      <c r="Z36" s="271">
        <f t="shared" si="1"/>
        <v>0</v>
      </c>
      <c r="AA36" s="865"/>
      <c r="AB36" s="21" t="str">
        <f t="shared" si="2"/>
        <v/>
      </c>
      <c r="AC36" s="21" t="str">
        <f t="shared" si="3"/>
        <v/>
      </c>
      <c r="AD36" s="680"/>
      <c r="AE36" s="21">
        <f t="shared" si="10"/>
        <v>0</v>
      </c>
      <c r="AF36" s="1315"/>
      <c r="AG36" s="1317">
        <f t="shared" ref="AG36:AG43" si="34">AF36*Z36</f>
        <v>0</v>
      </c>
      <c r="AH36" s="713"/>
      <c r="AJ36" s="91" t="s">
        <v>1986</v>
      </c>
      <c r="AK36" s="680">
        <v>2</v>
      </c>
      <c r="AL36" s="331" t="s">
        <v>339</v>
      </c>
      <c r="AN36" s="1545">
        <f t="shared" si="4"/>
        <v>0</v>
      </c>
      <c r="AO36" s="1545">
        <f t="shared" si="24"/>
        <v>0</v>
      </c>
      <c r="AP36" s="1545">
        <f t="shared" si="24"/>
        <v>0</v>
      </c>
      <c r="AQ36" s="1545">
        <f t="shared" si="24"/>
        <v>0</v>
      </c>
      <c r="AR36" s="1545">
        <f t="shared" si="24"/>
        <v>0</v>
      </c>
      <c r="AS36" s="1545">
        <f t="shared" si="25"/>
        <v>0</v>
      </c>
      <c r="AT36" s="1545">
        <f t="shared" si="25"/>
        <v>0</v>
      </c>
      <c r="AU36" s="1545">
        <f t="shared" si="25"/>
        <v>0</v>
      </c>
      <c r="AV36" s="1545">
        <f t="shared" si="29"/>
        <v>0</v>
      </c>
      <c r="AW36" s="1545">
        <f t="shared" si="29"/>
        <v>0</v>
      </c>
      <c r="AX36" s="1545">
        <f t="shared" si="29"/>
        <v>0</v>
      </c>
      <c r="AY36" s="1545">
        <f t="shared" si="29"/>
        <v>0</v>
      </c>
      <c r="AZ36" s="1545">
        <f t="shared" si="29"/>
        <v>0</v>
      </c>
      <c r="BA36" s="1545">
        <f t="shared" si="22"/>
        <v>0</v>
      </c>
      <c r="BB36" s="1545">
        <f t="shared" si="22"/>
        <v>0</v>
      </c>
      <c r="BC36" s="1545">
        <f t="shared" si="22"/>
        <v>0</v>
      </c>
      <c r="BD36" s="1545">
        <f t="shared" si="22"/>
        <v>0</v>
      </c>
      <c r="BE36" s="1545">
        <f t="shared" si="22"/>
        <v>0</v>
      </c>
      <c r="BF36" s="1545">
        <f t="shared" si="27"/>
        <v>0</v>
      </c>
      <c r="BH36" s="1546">
        <f t="shared" si="12"/>
        <v>0</v>
      </c>
      <c r="BI36" s="1546">
        <f t="shared" si="12"/>
        <v>0</v>
      </c>
      <c r="BK36" s="1545">
        <f t="shared" si="13"/>
        <v>0</v>
      </c>
      <c r="BL36" s="1545">
        <f t="shared" si="13"/>
        <v>0</v>
      </c>
      <c r="BM36" s="1545">
        <f t="shared" si="14"/>
        <v>0</v>
      </c>
      <c r="BO36" s="1545">
        <f t="shared" si="15"/>
        <v>0</v>
      </c>
      <c r="BP36" s="1545">
        <f t="shared" si="15"/>
        <v>0</v>
      </c>
      <c r="BR36" s="1546">
        <f t="shared" si="32"/>
        <v>0</v>
      </c>
      <c r="BS36" s="1546">
        <f t="shared" si="32"/>
        <v>0</v>
      </c>
      <c r="BT36" s="1546">
        <f t="shared" si="32"/>
        <v>0</v>
      </c>
      <c r="BU36" s="1546">
        <f t="shared" si="32"/>
        <v>0</v>
      </c>
      <c r="BV36" s="1546">
        <f t="shared" si="32"/>
        <v>0</v>
      </c>
      <c r="BW36" s="1546">
        <f t="shared" si="32"/>
        <v>0</v>
      </c>
      <c r="BX36" s="1546">
        <f t="shared" si="32"/>
        <v>0</v>
      </c>
      <c r="BY36" s="1546">
        <f t="shared" si="32"/>
        <v>0</v>
      </c>
      <c r="BZ36" s="1546">
        <f t="shared" si="32"/>
        <v>0</v>
      </c>
      <c r="CA36" s="1546">
        <f t="shared" si="32"/>
        <v>0</v>
      </c>
      <c r="CB36" s="1546">
        <f t="shared" si="32"/>
        <v>0</v>
      </c>
      <c r="CC36" s="1546">
        <f t="shared" si="32"/>
        <v>0</v>
      </c>
      <c r="CD36" s="1546">
        <f t="shared" si="32"/>
        <v>0</v>
      </c>
      <c r="CE36" s="1546">
        <f t="shared" si="32"/>
        <v>0</v>
      </c>
      <c r="CF36" s="1546">
        <f t="shared" si="32"/>
        <v>0</v>
      </c>
      <c r="CG36" s="1546">
        <f t="shared" si="32"/>
        <v>0</v>
      </c>
      <c r="CH36" s="1546">
        <f t="shared" si="17"/>
        <v>1</v>
      </c>
      <c r="CJ36" s="1546">
        <f t="shared" si="33"/>
        <v>0</v>
      </c>
      <c r="CK36" s="1546">
        <f t="shared" si="30"/>
        <v>0</v>
      </c>
      <c r="CL36" s="1546">
        <f t="shared" si="30"/>
        <v>0</v>
      </c>
      <c r="CM36" s="1546">
        <f t="shared" si="30"/>
        <v>0</v>
      </c>
      <c r="CN36" s="1546">
        <f t="shared" si="30"/>
        <v>0</v>
      </c>
      <c r="CO36" s="1546">
        <f t="shared" si="30"/>
        <v>0</v>
      </c>
      <c r="CP36" s="1546">
        <f t="shared" si="30"/>
        <v>0</v>
      </c>
      <c r="CQ36" s="1546">
        <f t="shared" si="30"/>
        <v>0</v>
      </c>
      <c r="CR36" s="1546">
        <f t="shared" si="30"/>
        <v>0</v>
      </c>
      <c r="CS36" s="1546">
        <f t="shared" si="30"/>
        <v>0</v>
      </c>
      <c r="CT36" s="1546">
        <f t="shared" si="30"/>
        <v>0</v>
      </c>
      <c r="CU36" s="1546">
        <f t="shared" si="30"/>
        <v>0</v>
      </c>
      <c r="CV36" s="1546">
        <f t="shared" si="30"/>
        <v>0</v>
      </c>
      <c r="CW36" s="1546">
        <f t="shared" si="30"/>
        <v>0</v>
      </c>
      <c r="CX36" s="1546">
        <f t="shared" si="30"/>
        <v>0</v>
      </c>
      <c r="CY36" s="1546">
        <f t="shared" si="30"/>
        <v>0</v>
      </c>
      <c r="CZ36" s="1546">
        <f t="shared" si="30"/>
        <v>0</v>
      </c>
      <c r="DA36" s="1546">
        <f t="shared" si="23"/>
        <v>0</v>
      </c>
      <c r="DB36" s="1546">
        <f t="shared" si="23"/>
        <v>0</v>
      </c>
      <c r="DC36" s="1546">
        <f t="shared" si="23"/>
        <v>0</v>
      </c>
      <c r="DD36" s="1546">
        <f t="shared" si="23"/>
        <v>0</v>
      </c>
      <c r="DE36" s="1546">
        <f t="shared" si="23"/>
        <v>0</v>
      </c>
      <c r="DF36" s="1546">
        <f t="shared" si="23"/>
        <v>0</v>
      </c>
      <c r="DG36" s="1546">
        <f t="shared" si="23"/>
        <v>0</v>
      </c>
      <c r="DH36" s="1546">
        <f t="shared" si="23"/>
        <v>0</v>
      </c>
      <c r="DI36" s="1546">
        <f t="shared" si="23"/>
        <v>0</v>
      </c>
      <c r="DJ36" s="1546">
        <f t="shared" si="31"/>
        <v>0</v>
      </c>
      <c r="DK36" s="3"/>
      <c r="DM36" s="1546">
        <f t="shared" si="19"/>
        <v>0</v>
      </c>
      <c r="DN36" s="3"/>
      <c r="DO36" s="1546">
        <f t="shared" si="20"/>
        <v>0</v>
      </c>
      <c r="DQ36" s="1546">
        <f t="shared" si="21"/>
        <v>0</v>
      </c>
      <c r="DR36" s="1546">
        <f t="shared" si="21"/>
        <v>0</v>
      </c>
      <c r="DS36" s="1546">
        <f t="shared" si="21"/>
        <v>0</v>
      </c>
      <c r="DT36" s="1546">
        <f t="shared" si="21"/>
        <v>0</v>
      </c>
      <c r="DU36" s="1546">
        <f t="shared" si="21"/>
        <v>0</v>
      </c>
      <c r="DV36" s="1546">
        <f t="shared" si="21"/>
        <v>0</v>
      </c>
      <c r="DW36" s="1546">
        <f t="shared" si="21"/>
        <v>0</v>
      </c>
      <c r="DX36" s="1546">
        <f t="shared" si="21"/>
        <v>0</v>
      </c>
      <c r="DY36" s="1546">
        <f t="shared" si="21"/>
        <v>0</v>
      </c>
      <c r="DZ36" s="1546">
        <f t="shared" si="21"/>
        <v>0</v>
      </c>
      <c r="EA36" s="1546">
        <f t="shared" si="21"/>
        <v>0</v>
      </c>
      <c r="EB36" s="1546">
        <f t="shared" si="21"/>
        <v>0</v>
      </c>
      <c r="EC36" s="1546">
        <f t="shared" si="21"/>
        <v>0</v>
      </c>
    </row>
    <row r="37" spans="1:133" x14ac:dyDescent="0.3">
      <c r="A37" s="91">
        <v>34</v>
      </c>
      <c r="B37" s="680"/>
      <c r="C37" s="680"/>
      <c r="D37" s="680"/>
      <c r="E37" s="680"/>
      <c r="F37" s="683"/>
      <c r="G37" s="21" t="str">
        <f>IFERROR(VLOOKUP(E37,'Piping Class'!$90:$102,7,0),"")</f>
        <v/>
      </c>
      <c r="H37" s="21" t="str">
        <f>IFERROR(VLOOKUP(E37,'Piping Class'!$90:$102,2,0),"")</f>
        <v/>
      </c>
      <c r="I37" s="680"/>
      <c r="J37" s="611" t="str">
        <f t="shared" si="0"/>
        <v/>
      </c>
      <c r="K37" s="680"/>
      <c r="L37" s="680"/>
      <c r="M37" s="680"/>
      <c r="N37" s="680"/>
      <c r="O37" s="680"/>
      <c r="P37" s="680"/>
      <c r="Q37" s="680"/>
      <c r="R37" s="680"/>
      <c r="S37" s="680"/>
      <c r="T37" s="684"/>
      <c r="U37" s="684"/>
      <c r="V37" s="684"/>
      <c r="W37" s="684"/>
      <c r="X37" s="684"/>
      <c r="Y37" s="684"/>
      <c r="Z37" s="271">
        <f t="shared" si="1"/>
        <v>0</v>
      </c>
      <c r="AA37" s="865"/>
      <c r="AB37" s="21" t="str">
        <f t="shared" si="2"/>
        <v/>
      </c>
      <c r="AC37" s="21" t="str">
        <f t="shared" si="3"/>
        <v/>
      </c>
      <c r="AD37" s="680"/>
      <c r="AE37" s="21">
        <f t="shared" si="10"/>
        <v>0</v>
      </c>
      <c r="AF37" s="1315"/>
      <c r="AG37" s="1317">
        <f t="shared" si="34"/>
        <v>0</v>
      </c>
      <c r="AH37" s="713"/>
      <c r="AJ37" s="91" t="s">
        <v>1978</v>
      </c>
      <c r="AK37" s="680">
        <v>1</v>
      </c>
      <c r="AL37" s="331" t="s">
        <v>1721</v>
      </c>
      <c r="AN37" s="1545">
        <f t="shared" si="4"/>
        <v>0</v>
      </c>
      <c r="AO37" s="1545">
        <f t="shared" si="24"/>
        <v>0</v>
      </c>
      <c r="AP37" s="1545">
        <f t="shared" si="24"/>
        <v>0</v>
      </c>
      <c r="AQ37" s="1545">
        <f t="shared" si="24"/>
        <v>0</v>
      </c>
      <c r="AR37" s="1545">
        <f t="shared" si="24"/>
        <v>0</v>
      </c>
      <c r="AS37" s="1545">
        <f t="shared" si="25"/>
        <v>0</v>
      </c>
      <c r="AT37" s="1545">
        <f t="shared" si="25"/>
        <v>0</v>
      </c>
      <c r="AU37" s="1545">
        <f t="shared" si="25"/>
        <v>0</v>
      </c>
      <c r="AV37" s="1545">
        <f t="shared" si="29"/>
        <v>0</v>
      </c>
      <c r="AW37" s="1545">
        <f t="shared" si="29"/>
        <v>0</v>
      </c>
      <c r="AX37" s="1545">
        <f t="shared" si="29"/>
        <v>0</v>
      </c>
      <c r="AY37" s="1545">
        <f t="shared" si="29"/>
        <v>0</v>
      </c>
      <c r="AZ37" s="1545">
        <f t="shared" si="29"/>
        <v>0</v>
      </c>
      <c r="BA37" s="1545">
        <f t="shared" si="22"/>
        <v>0</v>
      </c>
      <c r="BB37" s="1545">
        <f t="shared" si="22"/>
        <v>0</v>
      </c>
      <c r="BC37" s="1545">
        <f t="shared" si="22"/>
        <v>0</v>
      </c>
      <c r="BD37" s="1545">
        <f t="shared" si="22"/>
        <v>0</v>
      </c>
      <c r="BE37" s="1545">
        <f t="shared" si="22"/>
        <v>0</v>
      </c>
      <c r="BF37" s="1545">
        <f t="shared" si="27"/>
        <v>0</v>
      </c>
      <c r="BH37" s="1546">
        <f t="shared" si="12"/>
        <v>0</v>
      </c>
      <c r="BI37" s="1546">
        <f t="shared" si="12"/>
        <v>0</v>
      </c>
      <c r="BK37" s="1545">
        <f t="shared" si="13"/>
        <v>0</v>
      </c>
      <c r="BL37" s="1545">
        <f t="shared" si="13"/>
        <v>0</v>
      </c>
      <c r="BM37" s="1545">
        <f t="shared" si="14"/>
        <v>0</v>
      </c>
      <c r="BO37" s="1545">
        <f t="shared" si="15"/>
        <v>0</v>
      </c>
      <c r="BP37" s="1545">
        <f t="shared" si="15"/>
        <v>0</v>
      </c>
      <c r="BR37" s="1546">
        <f t="shared" si="32"/>
        <v>0</v>
      </c>
      <c r="BS37" s="1546">
        <f t="shared" si="32"/>
        <v>0</v>
      </c>
      <c r="BT37" s="1546">
        <f t="shared" si="32"/>
        <v>0</v>
      </c>
      <c r="BU37" s="1546">
        <f t="shared" si="32"/>
        <v>0</v>
      </c>
      <c r="BV37" s="1546">
        <f t="shared" si="32"/>
        <v>0</v>
      </c>
      <c r="BW37" s="1546">
        <f t="shared" si="32"/>
        <v>0</v>
      </c>
      <c r="BX37" s="1546">
        <f t="shared" si="32"/>
        <v>0</v>
      </c>
      <c r="BY37" s="1546">
        <f t="shared" si="32"/>
        <v>0</v>
      </c>
      <c r="BZ37" s="1546">
        <f t="shared" si="32"/>
        <v>0</v>
      </c>
      <c r="CA37" s="1546">
        <f t="shared" si="32"/>
        <v>0</v>
      </c>
      <c r="CB37" s="1546">
        <f t="shared" si="32"/>
        <v>0</v>
      </c>
      <c r="CC37" s="1546">
        <f t="shared" si="32"/>
        <v>0</v>
      </c>
      <c r="CD37" s="1546">
        <f t="shared" si="32"/>
        <v>0</v>
      </c>
      <c r="CE37" s="1546">
        <f t="shared" si="32"/>
        <v>0</v>
      </c>
      <c r="CF37" s="1546">
        <f t="shared" si="32"/>
        <v>0</v>
      </c>
      <c r="CG37" s="1546">
        <f t="shared" si="32"/>
        <v>0</v>
      </c>
      <c r="CH37" s="1546">
        <f t="shared" si="17"/>
        <v>1</v>
      </c>
      <c r="CJ37" s="1546">
        <f t="shared" si="33"/>
        <v>0</v>
      </c>
      <c r="CK37" s="1546">
        <f t="shared" si="30"/>
        <v>0</v>
      </c>
      <c r="CL37" s="1546">
        <f t="shared" si="30"/>
        <v>0</v>
      </c>
      <c r="CM37" s="1546">
        <f t="shared" si="30"/>
        <v>0</v>
      </c>
      <c r="CN37" s="1546">
        <f t="shared" si="30"/>
        <v>0</v>
      </c>
      <c r="CO37" s="1546">
        <f t="shared" si="30"/>
        <v>0</v>
      </c>
      <c r="CP37" s="1546">
        <f t="shared" si="30"/>
        <v>0</v>
      </c>
      <c r="CQ37" s="1546">
        <f t="shared" si="30"/>
        <v>0</v>
      </c>
      <c r="CR37" s="1546">
        <f t="shared" si="30"/>
        <v>0</v>
      </c>
      <c r="CS37" s="1546">
        <f t="shared" si="30"/>
        <v>0</v>
      </c>
      <c r="CT37" s="1546">
        <f t="shared" si="30"/>
        <v>0</v>
      </c>
      <c r="CU37" s="1546">
        <f t="shared" si="30"/>
        <v>0</v>
      </c>
      <c r="CV37" s="1546">
        <f t="shared" si="30"/>
        <v>0</v>
      </c>
      <c r="CW37" s="1546">
        <f t="shared" si="30"/>
        <v>0</v>
      </c>
      <c r="CX37" s="1546">
        <f t="shared" si="30"/>
        <v>0</v>
      </c>
      <c r="CY37" s="1546">
        <f t="shared" si="30"/>
        <v>0</v>
      </c>
      <c r="CZ37" s="1546">
        <f t="shared" si="30"/>
        <v>0</v>
      </c>
      <c r="DA37" s="1546">
        <f t="shared" si="23"/>
        <v>0</v>
      </c>
      <c r="DB37" s="1546">
        <f t="shared" si="23"/>
        <v>0</v>
      </c>
      <c r="DC37" s="1546">
        <f t="shared" si="23"/>
        <v>0</v>
      </c>
      <c r="DD37" s="1546">
        <f t="shared" si="23"/>
        <v>0</v>
      </c>
      <c r="DE37" s="1546">
        <f t="shared" si="23"/>
        <v>0</v>
      </c>
      <c r="DF37" s="1546">
        <f t="shared" si="23"/>
        <v>0</v>
      </c>
      <c r="DG37" s="1546">
        <f t="shared" si="23"/>
        <v>0</v>
      </c>
      <c r="DH37" s="1546">
        <f t="shared" si="23"/>
        <v>0</v>
      </c>
      <c r="DI37" s="1546">
        <f t="shared" si="23"/>
        <v>0</v>
      </c>
      <c r="DJ37" s="1546">
        <f t="shared" si="31"/>
        <v>0</v>
      </c>
      <c r="DK37" s="3"/>
      <c r="DM37" s="1546">
        <f t="shared" si="19"/>
        <v>0</v>
      </c>
      <c r="DN37" s="3"/>
      <c r="DO37" s="1546">
        <f t="shared" si="20"/>
        <v>0</v>
      </c>
      <c r="DQ37" s="1546">
        <f t="shared" si="21"/>
        <v>0</v>
      </c>
      <c r="DR37" s="1546">
        <f t="shared" si="21"/>
        <v>0</v>
      </c>
      <c r="DS37" s="1546">
        <f t="shared" si="21"/>
        <v>0</v>
      </c>
      <c r="DT37" s="1546">
        <f t="shared" si="21"/>
        <v>0</v>
      </c>
      <c r="DU37" s="1546">
        <f t="shared" si="21"/>
        <v>0</v>
      </c>
      <c r="DV37" s="1546">
        <f t="shared" si="21"/>
        <v>0</v>
      </c>
      <c r="DW37" s="1546">
        <f t="shared" si="21"/>
        <v>0</v>
      </c>
      <c r="DX37" s="1546">
        <f t="shared" si="21"/>
        <v>0</v>
      </c>
      <c r="DY37" s="1546">
        <f t="shared" si="21"/>
        <v>0</v>
      </c>
      <c r="DZ37" s="1546">
        <f t="shared" si="21"/>
        <v>0</v>
      </c>
      <c r="EA37" s="1546">
        <f t="shared" si="21"/>
        <v>0</v>
      </c>
      <c r="EB37" s="1546">
        <f t="shared" si="21"/>
        <v>0</v>
      </c>
      <c r="EC37" s="1546">
        <f t="shared" si="21"/>
        <v>0</v>
      </c>
    </row>
    <row r="38" spans="1:133" x14ac:dyDescent="0.3">
      <c r="A38" s="91">
        <v>35</v>
      </c>
      <c r="B38" s="680"/>
      <c r="C38" s="680"/>
      <c r="D38" s="680"/>
      <c r="E38" s="680"/>
      <c r="F38" s="683"/>
      <c r="G38" s="21" t="str">
        <f>IFERROR(VLOOKUP(E38,'Piping Class'!$90:$102,7,0),"")</f>
        <v/>
      </c>
      <c r="H38" s="21" t="str">
        <f>IFERROR(VLOOKUP(E38,'Piping Class'!$90:$102,2,0),"")</f>
        <v/>
      </c>
      <c r="I38" s="680"/>
      <c r="J38" s="611" t="str">
        <f t="shared" si="0"/>
        <v/>
      </c>
      <c r="K38" s="680"/>
      <c r="L38" s="680"/>
      <c r="M38" s="680"/>
      <c r="N38" s="680"/>
      <c r="O38" s="680"/>
      <c r="P38" s="680"/>
      <c r="Q38" s="680"/>
      <c r="R38" s="680"/>
      <c r="S38" s="680"/>
      <c r="T38" s="684"/>
      <c r="U38" s="684"/>
      <c r="V38" s="684"/>
      <c r="W38" s="684"/>
      <c r="X38" s="684"/>
      <c r="Y38" s="684"/>
      <c r="Z38" s="271">
        <f t="shared" si="1"/>
        <v>0</v>
      </c>
      <c r="AA38" s="865"/>
      <c r="AB38" s="21" t="str">
        <f t="shared" si="2"/>
        <v/>
      </c>
      <c r="AC38" s="21" t="str">
        <f t="shared" si="3"/>
        <v/>
      </c>
      <c r="AD38" s="680"/>
      <c r="AE38" s="21">
        <f t="shared" si="10"/>
        <v>0</v>
      </c>
      <c r="AF38" s="1315"/>
      <c r="AG38" s="1317">
        <f t="shared" si="34"/>
        <v>0</v>
      </c>
      <c r="AH38" s="713"/>
      <c r="AJ38" s="91" t="s">
        <v>1987</v>
      </c>
      <c r="AK38" s="680">
        <v>4</v>
      </c>
      <c r="AL38" s="331" t="s">
        <v>341</v>
      </c>
      <c r="AN38" s="1545">
        <f t="shared" si="4"/>
        <v>0</v>
      </c>
      <c r="AO38" s="1545">
        <f t="shared" si="24"/>
        <v>0</v>
      </c>
      <c r="AP38" s="1545">
        <f t="shared" si="24"/>
        <v>0</v>
      </c>
      <c r="AQ38" s="1545">
        <f t="shared" si="24"/>
        <v>0</v>
      </c>
      <c r="AR38" s="1545">
        <f t="shared" si="24"/>
        <v>0</v>
      </c>
      <c r="AS38" s="1545">
        <f t="shared" si="25"/>
        <v>0</v>
      </c>
      <c r="AT38" s="1545">
        <f t="shared" si="25"/>
        <v>0</v>
      </c>
      <c r="AU38" s="1545">
        <f t="shared" si="25"/>
        <v>0</v>
      </c>
      <c r="AV38" s="1545">
        <f t="shared" si="29"/>
        <v>0</v>
      </c>
      <c r="AW38" s="1545">
        <f t="shared" si="29"/>
        <v>0</v>
      </c>
      <c r="AX38" s="1545">
        <f t="shared" si="29"/>
        <v>0</v>
      </c>
      <c r="AY38" s="1545">
        <f t="shared" si="29"/>
        <v>0</v>
      </c>
      <c r="AZ38" s="1545">
        <f t="shared" si="29"/>
        <v>0</v>
      </c>
      <c r="BA38" s="1545">
        <f t="shared" si="22"/>
        <v>0</v>
      </c>
      <c r="BB38" s="1545">
        <f t="shared" si="22"/>
        <v>0</v>
      </c>
      <c r="BC38" s="1545">
        <f t="shared" si="22"/>
        <v>0</v>
      </c>
      <c r="BD38" s="1545">
        <f t="shared" si="22"/>
        <v>0</v>
      </c>
      <c r="BE38" s="1545">
        <f t="shared" si="22"/>
        <v>0</v>
      </c>
      <c r="BF38" s="1545">
        <f t="shared" si="27"/>
        <v>0</v>
      </c>
      <c r="BH38" s="1546">
        <f t="shared" si="12"/>
        <v>0</v>
      </c>
      <c r="BI38" s="1546">
        <f t="shared" si="12"/>
        <v>0</v>
      </c>
      <c r="BK38" s="1545">
        <f t="shared" si="13"/>
        <v>0</v>
      </c>
      <c r="BL38" s="1545">
        <f t="shared" si="13"/>
        <v>0</v>
      </c>
      <c r="BM38" s="1545">
        <f t="shared" si="14"/>
        <v>0</v>
      </c>
      <c r="BO38" s="1545">
        <f t="shared" si="15"/>
        <v>0</v>
      </c>
      <c r="BP38" s="1545">
        <f t="shared" si="15"/>
        <v>0</v>
      </c>
      <c r="BR38" s="1546">
        <f t="shared" si="32"/>
        <v>0</v>
      </c>
      <c r="BS38" s="1546">
        <f t="shared" si="32"/>
        <v>0</v>
      </c>
      <c r="BT38" s="1546">
        <f t="shared" si="32"/>
        <v>0</v>
      </c>
      <c r="BU38" s="1546">
        <f t="shared" si="32"/>
        <v>0</v>
      </c>
      <c r="BV38" s="1546">
        <f t="shared" si="32"/>
        <v>0</v>
      </c>
      <c r="BW38" s="1546">
        <f t="shared" si="32"/>
        <v>0</v>
      </c>
      <c r="BX38" s="1546">
        <f t="shared" si="32"/>
        <v>0</v>
      </c>
      <c r="BY38" s="1546">
        <f t="shared" si="32"/>
        <v>0</v>
      </c>
      <c r="BZ38" s="1546">
        <f t="shared" si="32"/>
        <v>0</v>
      </c>
      <c r="CA38" s="1546">
        <f t="shared" si="32"/>
        <v>0</v>
      </c>
      <c r="CB38" s="1546">
        <f t="shared" si="32"/>
        <v>0</v>
      </c>
      <c r="CC38" s="1546">
        <f t="shared" si="32"/>
        <v>0</v>
      </c>
      <c r="CD38" s="1546">
        <f t="shared" si="32"/>
        <v>0</v>
      </c>
      <c r="CE38" s="1546">
        <f t="shared" si="32"/>
        <v>0</v>
      </c>
      <c r="CF38" s="1546">
        <f t="shared" si="32"/>
        <v>0</v>
      </c>
      <c r="CG38" s="1546">
        <f t="shared" si="32"/>
        <v>0</v>
      </c>
      <c r="CH38" s="1546">
        <f t="shared" si="17"/>
        <v>1</v>
      </c>
      <c r="CJ38" s="1546">
        <f t="shared" si="33"/>
        <v>0</v>
      </c>
      <c r="CK38" s="1546">
        <f t="shared" si="30"/>
        <v>0</v>
      </c>
      <c r="CL38" s="1546">
        <f t="shared" si="30"/>
        <v>0</v>
      </c>
      <c r="CM38" s="1546">
        <f t="shared" si="30"/>
        <v>0</v>
      </c>
      <c r="CN38" s="1546">
        <f t="shared" si="30"/>
        <v>0</v>
      </c>
      <c r="CO38" s="1546">
        <f t="shared" si="30"/>
        <v>0</v>
      </c>
      <c r="CP38" s="1546">
        <f t="shared" si="30"/>
        <v>0</v>
      </c>
      <c r="CQ38" s="1546">
        <f t="shared" si="30"/>
        <v>0</v>
      </c>
      <c r="CR38" s="1546">
        <f t="shared" si="30"/>
        <v>0</v>
      </c>
      <c r="CS38" s="1546">
        <f t="shared" si="30"/>
        <v>0</v>
      </c>
      <c r="CT38" s="1546">
        <f t="shared" si="30"/>
        <v>0</v>
      </c>
      <c r="CU38" s="1546">
        <f t="shared" si="30"/>
        <v>0</v>
      </c>
      <c r="CV38" s="1546">
        <f t="shared" si="30"/>
        <v>0</v>
      </c>
      <c r="CW38" s="1546">
        <f t="shared" si="30"/>
        <v>0</v>
      </c>
      <c r="CX38" s="1546">
        <f t="shared" si="30"/>
        <v>0</v>
      </c>
      <c r="CY38" s="1546">
        <f t="shared" si="30"/>
        <v>0</v>
      </c>
      <c r="CZ38" s="1546">
        <f t="shared" si="30"/>
        <v>0</v>
      </c>
      <c r="DA38" s="1546">
        <f t="shared" si="23"/>
        <v>0</v>
      </c>
      <c r="DB38" s="1546">
        <f t="shared" si="23"/>
        <v>0</v>
      </c>
      <c r="DC38" s="1546">
        <f t="shared" si="23"/>
        <v>0</v>
      </c>
      <c r="DD38" s="1546">
        <f t="shared" si="23"/>
        <v>0</v>
      </c>
      <c r="DE38" s="1546">
        <f t="shared" si="23"/>
        <v>0</v>
      </c>
      <c r="DF38" s="1546">
        <f t="shared" si="23"/>
        <v>0</v>
      </c>
      <c r="DG38" s="1546">
        <f t="shared" si="23"/>
        <v>0</v>
      </c>
      <c r="DH38" s="1546">
        <f t="shared" si="23"/>
        <v>0</v>
      </c>
      <c r="DI38" s="1546">
        <f t="shared" si="23"/>
        <v>0</v>
      </c>
      <c r="DJ38" s="1546">
        <f t="shared" si="31"/>
        <v>0</v>
      </c>
      <c r="DK38" s="3"/>
      <c r="DM38" s="1546">
        <f t="shared" si="19"/>
        <v>0</v>
      </c>
      <c r="DN38" s="3"/>
      <c r="DO38" s="1546">
        <f t="shared" si="20"/>
        <v>0</v>
      </c>
      <c r="DQ38" s="1546">
        <f t="shared" si="21"/>
        <v>0</v>
      </c>
      <c r="DR38" s="1546">
        <f t="shared" si="21"/>
        <v>0</v>
      </c>
      <c r="DS38" s="1546">
        <f t="shared" si="21"/>
        <v>0</v>
      </c>
      <c r="DT38" s="1546">
        <f t="shared" si="21"/>
        <v>0</v>
      </c>
      <c r="DU38" s="1546">
        <f t="shared" si="21"/>
        <v>0</v>
      </c>
      <c r="DV38" s="1546">
        <f t="shared" si="21"/>
        <v>0</v>
      </c>
      <c r="DW38" s="1546">
        <f t="shared" ref="DR38:EC43" si="35">IF(DW$3="X",0,IF($E38=DW$3,1,0))</f>
        <v>0</v>
      </c>
      <c r="DX38" s="1546">
        <f t="shared" si="35"/>
        <v>0</v>
      </c>
      <c r="DY38" s="1546">
        <f t="shared" si="35"/>
        <v>0</v>
      </c>
      <c r="DZ38" s="1546">
        <f t="shared" si="35"/>
        <v>0</v>
      </c>
      <c r="EA38" s="1546">
        <f t="shared" si="35"/>
        <v>0</v>
      </c>
      <c r="EB38" s="1546">
        <f t="shared" si="35"/>
        <v>0</v>
      </c>
      <c r="EC38" s="1546">
        <f t="shared" si="35"/>
        <v>0</v>
      </c>
    </row>
    <row r="39" spans="1:133" x14ac:dyDescent="0.3">
      <c r="A39" s="91">
        <v>36</v>
      </c>
      <c r="B39" s="680"/>
      <c r="C39" s="680"/>
      <c r="D39" s="680"/>
      <c r="E39" s="680"/>
      <c r="F39" s="683"/>
      <c r="G39" s="21" t="str">
        <f>IFERROR(VLOOKUP(E39,'Piping Class'!$90:$102,7,0),"")</f>
        <v/>
      </c>
      <c r="H39" s="21" t="str">
        <f>IFERROR(VLOOKUP(E39,'Piping Class'!$90:$102,2,0),"")</f>
        <v/>
      </c>
      <c r="I39" s="680"/>
      <c r="J39" s="611" t="str">
        <f t="shared" si="0"/>
        <v/>
      </c>
      <c r="K39" s="680"/>
      <c r="L39" s="680"/>
      <c r="M39" s="680"/>
      <c r="N39" s="680"/>
      <c r="O39" s="680"/>
      <c r="P39" s="680"/>
      <c r="Q39" s="680"/>
      <c r="R39" s="680"/>
      <c r="S39" s="680"/>
      <c r="T39" s="684"/>
      <c r="U39" s="684"/>
      <c r="V39" s="684"/>
      <c r="W39" s="684"/>
      <c r="X39" s="684"/>
      <c r="Y39" s="684"/>
      <c r="Z39" s="271">
        <f t="shared" si="1"/>
        <v>0</v>
      </c>
      <c r="AA39" s="865"/>
      <c r="AB39" s="21" t="str">
        <f t="shared" si="2"/>
        <v/>
      </c>
      <c r="AC39" s="21" t="str">
        <f t="shared" si="3"/>
        <v/>
      </c>
      <c r="AD39" s="680"/>
      <c r="AE39" s="21">
        <f t="shared" si="10"/>
        <v>0</v>
      </c>
      <c r="AF39" s="1315"/>
      <c r="AG39" s="1317">
        <f t="shared" si="34"/>
        <v>0</v>
      </c>
      <c r="AH39" s="713"/>
      <c r="AJ39" s="91" t="s">
        <v>1934</v>
      </c>
      <c r="AK39" s="680">
        <v>4</v>
      </c>
      <c r="AL39" s="331" t="s">
        <v>341</v>
      </c>
      <c r="AN39" s="1545">
        <f t="shared" si="4"/>
        <v>0</v>
      </c>
      <c r="AO39" s="1545">
        <f t="shared" si="24"/>
        <v>0</v>
      </c>
      <c r="AP39" s="1545">
        <f t="shared" si="24"/>
        <v>0</v>
      </c>
      <c r="AQ39" s="1545">
        <f t="shared" si="24"/>
        <v>0</v>
      </c>
      <c r="AR39" s="1545">
        <f t="shared" si="24"/>
        <v>0</v>
      </c>
      <c r="AS39" s="1545">
        <f t="shared" si="25"/>
        <v>0</v>
      </c>
      <c r="AT39" s="1545">
        <f t="shared" si="25"/>
        <v>0</v>
      </c>
      <c r="AU39" s="1545">
        <f t="shared" si="25"/>
        <v>0</v>
      </c>
      <c r="AV39" s="1545">
        <f t="shared" si="29"/>
        <v>0</v>
      </c>
      <c r="AW39" s="1545">
        <f t="shared" si="29"/>
        <v>0</v>
      </c>
      <c r="AX39" s="1545">
        <f t="shared" si="29"/>
        <v>0</v>
      </c>
      <c r="AY39" s="1545">
        <f t="shared" si="29"/>
        <v>0</v>
      </c>
      <c r="AZ39" s="1545">
        <f t="shared" si="29"/>
        <v>0</v>
      </c>
      <c r="BA39" s="1545">
        <f t="shared" si="22"/>
        <v>0</v>
      </c>
      <c r="BB39" s="1545">
        <f t="shared" si="22"/>
        <v>0</v>
      </c>
      <c r="BC39" s="1545">
        <f t="shared" si="22"/>
        <v>0</v>
      </c>
      <c r="BD39" s="1545">
        <f t="shared" si="22"/>
        <v>0</v>
      </c>
      <c r="BE39" s="1545">
        <f t="shared" si="22"/>
        <v>0</v>
      </c>
      <c r="BF39" s="1545">
        <f t="shared" si="27"/>
        <v>0</v>
      </c>
      <c r="BH39" s="1546">
        <f t="shared" si="12"/>
        <v>0</v>
      </c>
      <c r="BI39" s="1546">
        <f t="shared" si="12"/>
        <v>0</v>
      </c>
      <c r="BK39" s="1545">
        <f t="shared" si="13"/>
        <v>0</v>
      </c>
      <c r="BL39" s="1545">
        <f t="shared" si="13"/>
        <v>0</v>
      </c>
      <c r="BM39" s="1545">
        <f t="shared" si="14"/>
        <v>0</v>
      </c>
      <c r="BO39" s="1545">
        <f t="shared" si="15"/>
        <v>0</v>
      </c>
      <c r="BP39" s="1545">
        <f t="shared" si="15"/>
        <v>0</v>
      </c>
      <c r="BR39" s="1546">
        <f t="shared" si="32"/>
        <v>0</v>
      </c>
      <c r="BS39" s="1546">
        <f t="shared" si="32"/>
        <v>0</v>
      </c>
      <c r="BT39" s="1546">
        <f t="shared" si="32"/>
        <v>0</v>
      </c>
      <c r="BU39" s="1546">
        <f t="shared" si="32"/>
        <v>0</v>
      </c>
      <c r="BV39" s="1546">
        <f t="shared" si="32"/>
        <v>0</v>
      </c>
      <c r="BW39" s="1546">
        <f t="shared" si="32"/>
        <v>0</v>
      </c>
      <c r="BX39" s="1546">
        <f t="shared" si="32"/>
        <v>0</v>
      </c>
      <c r="BY39" s="1546">
        <f t="shared" si="32"/>
        <v>0</v>
      </c>
      <c r="BZ39" s="1546">
        <f t="shared" si="32"/>
        <v>0</v>
      </c>
      <c r="CA39" s="1546">
        <f t="shared" si="32"/>
        <v>0</v>
      </c>
      <c r="CB39" s="1546">
        <f t="shared" si="32"/>
        <v>0</v>
      </c>
      <c r="CC39" s="1546">
        <f t="shared" si="32"/>
        <v>0</v>
      </c>
      <c r="CD39" s="1546">
        <f t="shared" si="32"/>
        <v>0</v>
      </c>
      <c r="CE39" s="1546">
        <f t="shared" si="32"/>
        <v>0</v>
      </c>
      <c r="CF39" s="1546">
        <f t="shared" si="32"/>
        <v>0</v>
      </c>
      <c r="CG39" s="1546">
        <f t="shared" si="32"/>
        <v>0</v>
      </c>
      <c r="CH39" s="1546">
        <f t="shared" si="17"/>
        <v>1</v>
      </c>
      <c r="CJ39" s="1546">
        <f t="shared" si="33"/>
        <v>0</v>
      </c>
      <c r="CK39" s="1546">
        <f t="shared" si="30"/>
        <v>0</v>
      </c>
      <c r="CL39" s="1546">
        <f t="shared" si="30"/>
        <v>0</v>
      </c>
      <c r="CM39" s="1546">
        <f t="shared" si="30"/>
        <v>0</v>
      </c>
      <c r="CN39" s="1546">
        <f t="shared" si="30"/>
        <v>0</v>
      </c>
      <c r="CO39" s="1546">
        <f t="shared" si="30"/>
        <v>0</v>
      </c>
      <c r="CP39" s="1546">
        <f t="shared" si="30"/>
        <v>0</v>
      </c>
      <c r="CQ39" s="1546">
        <f t="shared" si="30"/>
        <v>0</v>
      </c>
      <c r="CR39" s="1546">
        <f t="shared" si="30"/>
        <v>0</v>
      </c>
      <c r="CS39" s="1546">
        <f t="shared" si="30"/>
        <v>0</v>
      </c>
      <c r="CT39" s="1546">
        <f t="shared" si="30"/>
        <v>0</v>
      </c>
      <c r="CU39" s="1546">
        <f t="shared" si="30"/>
        <v>0</v>
      </c>
      <c r="CV39" s="1546">
        <f t="shared" si="30"/>
        <v>0</v>
      </c>
      <c r="CW39" s="1546">
        <f t="shared" si="30"/>
        <v>0</v>
      </c>
      <c r="CX39" s="1546">
        <f t="shared" si="30"/>
        <v>0</v>
      </c>
      <c r="CY39" s="1546">
        <f t="shared" si="30"/>
        <v>0</v>
      </c>
      <c r="CZ39" s="1546">
        <f t="shared" si="30"/>
        <v>0</v>
      </c>
      <c r="DA39" s="1546">
        <f t="shared" si="23"/>
        <v>0</v>
      </c>
      <c r="DB39" s="1546">
        <f t="shared" si="23"/>
        <v>0</v>
      </c>
      <c r="DC39" s="1546">
        <f t="shared" si="23"/>
        <v>0</v>
      </c>
      <c r="DD39" s="1546">
        <f t="shared" si="23"/>
        <v>0</v>
      </c>
      <c r="DE39" s="1546">
        <f t="shared" si="23"/>
        <v>0</v>
      </c>
      <c r="DF39" s="1546">
        <f t="shared" si="23"/>
        <v>0</v>
      </c>
      <c r="DG39" s="1546">
        <f t="shared" si="23"/>
        <v>0</v>
      </c>
      <c r="DH39" s="1546">
        <f t="shared" si="23"/>
        <v>0</v>
      </c>
      <c r="DI39" s="1546">
        <f t="shared" si="23"/>
        <v>0</v>
      </c>
      <c r="DJ39" s="1546">
        <f t="shared" si="31"/>
        <v>0</v>
      </c>
      <c r="DK39" s="3"/>
      <c r="DM39" s="1546">
        <f t="shared" si="19"/>
        <v>0</v>
      </c>
      <c r="DN39" s="3"/>
      <c r="DO39" s="1546">
        <f t="shared" si="20"/>
        <v>0</v>
      </c>
      <c r="DQ39" s="1546">
        <f>IF(DQ$3="X",0,IF($E39=DQ$3,1,0))</f>
        <v>0</v>
      </c>
      <c r="DR39" s="1546">
        <f t="shared" si="35"/>
        <v>0</v>
      </c>
      <c r="DS39" s="1546">
        <f t="shared" si="35"/>
        <v>0</v>
      </c>
      <c r="DT39" s="1546">
        <f t="shared" si="35"/>
        <v>0</v>
      </c>
      <c r="DU39" s="1546">
        <f t="shared" si="35"/>
        <v>0</v>
      </c>
      <c r="DV39" s="1546">
        <f t="shared" si="35"/>
        <v>0</v>
      </c>
      <c r="DW39" s="1546">
        <f t="shared" si="35"/>
        <v>0</v>
      </c>
      <c r="DX39" s="1546">
        <f t="shared" si="35"/>
        <v>0</v>
      </c>
      <c r="DY39" s="1546">
        <f t="shared" si="35"/>
        <v>0</v>
      </c>
      <c r="DZ39" s="1546">
        <f t="shared" si="35"/>
        <v>0</v>
      </c>
      <c r="EA39" s="1546">
        <f t="shared" si="35"/>
        <v>0</v>
      </c>
      <c r="EB39" s="1546">
        <f t="shared" si="35"/>
        <v>0</v>
      </c>
      <c r="EC39" s="1546">
        <f t="shared" si="35"/>
        <v>0</v>
      </c>
    </row>
    <row r="40" spans="1:133" x14ac:dyDescent="0.3">
      <c r="A40" s="91">
        <v>37</v>
      </c>
      <c r="B40" s="680"/>
      <c r="C40" s="680"/>
      <c r="D40" s="680"/>
      <c r="E40" s="680"/>
      <c r="F40" s="683"/>
      <c r="G40" s="21" t="str">
        <f>IFERROR(VLOOKUP(E40,'Piping Class'!$90:$102,7,0),"")</f>
        <v/>
      </c>
      <c r="H40" s="21" t="str">
        <f>IFERROR(VLOOKUP(E40,'Piping Class'!$90:$102,2,0),"")</f>
        <v/>
      </c>
      <c r="I40" s="680"/>
      <c r="J40" s="611" t="str">
        <f t="shared" si="0"/>
        <v/>
      </c>
      <c r="K40" s="680"/>
      <c r="L40" s="680"/>
      <c r="M40" s="680"/>
      <c r="N40" s="680"/>
      <c r="O40" s="680"/>
      <c r="P40" s="680"/>
      <c r="Q40" s="680"/>
      <c r="R40" s="680"/>
      <c r="S40" s="680"/>
      <c r="T40" s="684"/>
      <c r="U40" s="684"/>
      <c r="V40" s="684"/>
      <c r="W40" s="684"/>
      <c r="X40" s="684"/>
      <c r="Y40" s="684"/>
      <c r="Z40" s="271">
        <f t="shared" si="1"/>
        <v>0</v>
      </c>
      <c r="AA40" s="865"/>
      <c r="AB40" s="21" t="str">
        <f t="shared" si="2"/>
        <v/>
      </c>
      <c r="AC40" s="21" t="str">
        <f t="shared" si="3"/>
        <v/>
      </c>
      <c r="AD40" s="680"/>
      <c r="AE40" s="21">
        <f t="shared" si="10"/>
        <v>0</v>
      </c>
      <c r="AF40" s="1315"/>
      <c r="AG40" s="1317">
        <f t="shared" si="34"/>
        <v>0</v>
      </c>
      <c r="AH40" s="713"/>
      <c r="AJ40" s="91" t="s">
        <v>1933</v>
      </c>
      <c r="AK40" s="680">
        <v>4</v>
      </c>
      <c r="AL40" s="331" t="s">
        <v>341</v>
      </c>
      <c r="AN40" s="1545">
        <f t="shared" ref="AN40:BF43" si="36">IF($B40=AN$3,1,0)</f>
        <v>0</v>
      </c>
      <c r="AO40" s="1545">
        <f t="shared" si="36"/>
        <v>0</v>
      </c>
      <c r="AP40" s="1545">
        <f t="shared" si="36"/>
        <v>0</v>
      </c>
      <c r="AQ40" s="1545">
        <f t="shared" si="36"/>
        <v>0</v>
      </c>
      <c r="AR40" s="1545">
        <f t="shared" si="36"/>
        <v>0</v>
      </c>
      <c r="AS40" s="1545">
        <f t="shared" si="25"/>
        <v>0</v>
      </c>
      <c r="AT40" s="1545">
        <f t="shared" si="25"/>
        <v>0</v>
      </c>
      <c r="AU40" s="1545">
        <f t="shared" si="25"/>
        <v>0</v>
      </c>
      <c r="AV40" s="1545">
        <f t="shared" si="36"/>
        <v>0</v>
      </c>
      <c r="AW40" s="1545">
        <f t="shared" si="36"/>
        <v>0</v>
      </c>
      <c r="AX40" s="1545">
        <f t="shared" si="36"/>
        <v>0</v>
      </c>
      <c r="AY40" s="1545">
        <f t="shared" si="36"/>
        <v>0</v>
      </c>
      <c r="AZ40" s="1545">
        <f t="shared" si="36"/>
        <v>0</v>
      </c>
      <c r="BA40" s="1545">
        <f t="shared" si="22"/>
        <v>0</v>
      </c>
      <c r="BB40" s="1545">
        <f t="shared" si="22"/>
        <v>0</v>
      </c>
      <c r="BC40" s="1545">
        <f t="shared" si="22"/>
        <v>0</v>
      </c>
      <c r="BD40" s="1545">
        <f t="shared" si="22"/>
        <v>0</v>
      </c>
      <c r="BE40" s="1545">
        <f t="shared" si="22"/>
        <v>0</v>
      </c>
      <c r="BF40" s="1545">
        <f t="shared" si="36"/>
        <v>0</v>
      </c>
      <c r="BH40" s="1546">
        <f t="shared" si="12"/>
        <v>0</v>
      </c>
      <c r="BI40" s="1546">
        <f t="shared" si="12"/>
        <v>0</v>
      </c>
      <c r="BK40" s="1545">
        <f t="shared" si="13"/>
        <v>0</v>
      </c>
      <c r="BL40" s="1545">
        <f t="shared" si="13"/>
        <v>0</v>
      </c>
      <c r="BM40" s="1545">
        <f t="shared" si="14"/>
        <v>0</v>
      </c>
      <c r="BO40" s="1545">
        <f t="shared" si="15"/>
        <v>0</v>
      </c>
      <c r="BP40" s="1545">
        <f t="shared" si="15"/>
        <v>0</v>
      </c>
      <c r="BR40" s="1546">
        <f t="shared" si="32"/>
        <v>0</v>
      </c>
      <c r="BS40" s="1546">
        <f t="shared" si="32"/>
        <v>0</v>
      </c>
      <c r="BT40" s="1546">
        <f t="shared" si="32"/>
        <v>0</v>
      </c>
      <c r="BU40" s="1546">
        <f t="shared" si="32"/>
        <v>0</v>
      </c>
      <c r="BV40" s="1546">
        <f t="shared" si="32"/>
        <v>0</v>
      </c>
      <c r="BW40" s="1546">
        <f t="shared" si="32"/>
        <v>0</v>
      </c>
      <c r="BX40" s="1546">
        <f t="shared" si="32"/>
        <v>0</v>
      </c>
      <c r="BY40" s="1546">
        <f t="shared" si="32"/>
        <v>0</v>
      </c>
      <c r="BZ40" s="1546">
        <f t="shared" si="32"/>
        <v>0</v>
      </c>
      <c r="CA40" s="1546">
        <f t="shared" si="32"/>
        <v>0</v>
      </c>
      <c r="CB40" s="1546">
        <f t="shared" si="32"/>
        <v>0</v>
      </c>
      <c r="CC40" s="1546">
        <f t="shared" si="32"/>
        <v>0</v>
      </c>
      <c r="CD40" s="1546">
        <f t="shared" si="32"/>
        <v>0</v>
      </c>
      <c r="CE40" s="1546">
        <f t="shared" si="32"/>
        <v>0</v>
      </c>
      <c r="CF40" s="1546">
        <f t="shared" si="32"/>
        <v>0</v>
      </c>
      <c r="CG40" s="1546">
        <f t="shared" si="32"/>
        <v>0</v>
      </c>
      <c r="CH40" s="1546">
        <f t="shared" si="17"/>
        <v>1</v>
      </c>
      <c r="CJ40" s="1546">
        <f t="shared" si="33"/>
        <v>0</v>
      </c>
      <c r="CK40" s="1546">
        <f t="shared" si="30"/>
        <v>0</v>
      </c>
      <c r="CL40" s="1546">
        <f t="shared" si="30"/>
        <v>0</v>
      </c>
      <c r="CM40" s="1546">
        <f t="shared" si="30"/>
        <v>0</v>
      </c>
      <c r="CN40" s="1546">
        <f t="shared" si="30"/>
        <v>0</v>
      </c>
      <c r="CO40" s="1546">
        <f t="shared" si="30"/>
        <v>0</v>
      </c>
      <c r="CP40" s="1546">
        <f t="shared" si="30"/>
        <v>0</v>
      </c>
      <c r="CQ40" s="1546">
        <f t="shared" si="30"/>
        <v>0</v>
      </c>
      <c r="CR40" s="1546">
        <f t="shared" si="30"/>
        <v>0</v>
      </c>
      <c r="CS40" s="1546">
        <f t="shared" si="30"/>
        <v>0</v>
      </c>
      <c r="CT40" s="1546">
        <f t="shared" si="30"/>
        <v>0</v>
      </c>
      <c r="CU40" s="1546">
        <f t="shared" si="30"/>
        <v>0</v>
      </c>
      <c r="CV40" s="1546">
        <f t="shared" si="30"/>
        <v>0</v>
      </c>
      <c r="CW40" s="1546">
        <f t="shared" si="30"/>
        <v>0</v>
      </c>
      <c r="CX40" s="1546">
        <f t="shared" si="30"/>
        <v>0</v>
      </c>
      <c r="CY40" s="1546">
        <f t="shared" si="30"/>
        <v>0</v>
      </c>
      <c r="CZ40" s="1546">
        <f t="shared" si="30"/>
        <v>0</v>
      </c>
      <c r="DA40" s="1546">
        <f t="shared" si="23"/>
        <v>0</v>
      </c>
      <c r="DB40" s="1546">
        <f t="shared" si="23"/>
        <v>0</v>
      </c>
      <c r="DC40" s="1546">
        <f t="shared" si="23"/>
        <v>0</v>
      </c>
      <c r="DD40" s="1546">
        <f t="shared" si="23"/>
        <v>0</v>
      </c>
      <c r="DE40" s="1546">
        <f t="shared" si="23"/>
        <v>0</v>
      </c>
      <c r="DF40" s="1546">
        <f t="shared" si="23"/>
        <v>0</v>
      </c>
      <c r="DG40" s="1546">
        <f t="shared" si="23"/>
        <v>0</v>
      </c>
      <c r="DH40" s="1546">
        <f t="shared" si="23"/>
        <v>0</v>
      </c>
      <c r="DI40" s="1546">
        <f t="shared" si="23"/>
        <v>0</v>
      </c>
      <c r="DJ40" s="1546">
        <f t="shared" si="31"/>
        <v>0</v>
      </c>
      <c r="DK40" s="3"/>
      <c r="DM40" s="1546">
        <f t="shared" si="19"/>
        <v>0</v>
      </c>
      <c r="DN40" s="3"/>
      <c r="DO40" s="1546">
        <f t="shared" si="20"/>
        <v>0</v>
      </c>
      <c r="DQ40" s="1546">
        <f>IF(DQ$3="X",0,IF($E40=DQ$3,1,0))</f>
        <v>0</v>
      </c>
      <c r="DR40" s="1546">
        <f t="shared" si="35"/>
        <v>0</v>
      </c>
      <c r="DS40" s="1546">
        <f t="shared" si="35"/>
        <v>0</v>
      </c>
      <c r="DT40" s="1546">
        <f t="shared" si="35"/>
        <v>0</v>
      </c>
      <c r="DU40" s="1546">
        <f t="shared" si="35"/>
        <v>0</v>
      </c>
      <c r="DV40" s="1546">
        <f t="shared" si="35"/>
        <v>0</v>
      </c>
      <c r="DW40" s="1546">
        <f t="shared" si="35"/>
        <v>0</v>
      </c>
      <c r="DX40" s="1546">
        <f t="shared" si="35"/>
        <v>0</v>
      </c>
      <c r="DY40" s="1546">
        <f t="shared" si="35"/>
        <v>0</v>
      </c>
      <c r="DZ40" s="1546">
        <f t="shared" si="35"/>
        <v>0</v>
      </c>
      <c r="EA40" s="1546">
        <f t="shared" si="35"/>
        <v>0</v>
      </c>
      <c r="EB40" s="1546">
        <f t="shared" si="35"/>
        <v>0</v>
      </c>
      <c r="EC40" s="1546">
        <f t="shared" si="35"/>
        <v>0</v>
      </c>
    </row>
    <row r="41" spans="1:133" x14ac:dyDescent="0.3">
      <c r="A41" s="91">
        <v>38</v>
      </c>
      <c r="B41" s="680"/>
      <c r="C41" s="680"/>
      <c r="D41" s="680"/>
      <c r="E41" s="680"/>
      <c r="F41" s="683"/>
      <c r="G41" s="21" t="str">
        <f>IFERROR(VLOOKUP(E41,'Piping Class'!$90:$102,7,0),"")</f>
        <v/>
      </c>
      <c r="H41" s="21" t="str">
        <f>IFERROR(VLOOKUP(E41,'Piping Class'!$90:$102,2,0),"")</f>
        <v/>
      </c>
      <c r="I41" s="680"/>
      <c r="J41" s="611" t="str">
        <f t="shared" si="0"/>
        <v/>
      </c>
      <c r="K41" s="680"/>
      <c r="L41" s="680"/>
      <c r="M41" s="680"/>
      <c r="N41" s="680"/>
      <c r="O41" s="680"/>
      <c r="P41" s="680"/>
      <c r="Q41" s="680"/>
      <c r="R41" s="680"/>
      <c r="S41" s="680"/>
      <c r="T41" s="684"/>
      <c r="U41" s="684"/>
      <c r="V41" s="684"/>
      <c r="W41" s="684"/>
      <c r="X41" s="684"/>
      <c r="Y41" s="684"/>
      <c r="Z41" s="271">
        <f t="shared" si="1"/>
        <v>0</v>
      </c>
      <c r="AA41" s="865"/>
      <c r="AB41" s="21" t="str">
        <f t="shared" si="2"/>
        <v/>
      </c>
      <c r="AC41" s="21" t="str">
        <f t="shared" si="3"/>
        <v/>
      </c>
      <c r="AD41" s="680"/>
      <c r="AE41" s="21">
        <f t="shared" si="10"/>
        <v>0</v>
      </c>
      <c r="AF41" s="1315"/>
      <c r="AG41" s="1317">
        <f t="shared" si="34"/>
        <v>0</v>
      </c>
      <c r="AH41" s="713"/>
      <c r="AJ41" s="91" t="s">
        <v>1965</v>
      </c>
      <c r="AK41" s="680">
        <v>2</v>
      </c>
      <c r="AL41" s="331" t="s">
        <v>341</v>
      </c>
      <c r="AN41" s="1545">
        <f t="shared" si="36"/>
        <v>0</v>
      </c>
      <c r="AO41" s="1545">
        <f t="shared" si="36"/>
        <v>0</v>
      </c>
      <c r="AP41" s="1545">
        <f t="shared" si="36"/>
        <v>0</v>
      </c>
      <c r="AQ41" s="1545">
        <f t="shared" si="36"/>
        <v>0</v>
      </c>
      <c r="AR41" s="1545">
        <f t="shared" si="36"/>
        <v>0</v>
      </c>
      <c r="AS41" s="1545">
        <f t="shared" si="25"/>
        <v>0</v>
      </c>
      <c r="AT41" s="1545">
        <f t="shared" si="25"/>
        <v>0</v>
      </c>
      <c r="AU41" s="1545">
        <f t="shared" si="25"/>
        <v>0</v>
      </c>
      <c r="AV41" s="1545">
        <f t="shared" si="36"/>
        <v>0</v>
      </c>
      <c r="AW41" s="1545">
        <f t="shared" si="36"/>
        <v>0</v>
      </c>
      <c r="AX41" s="1545">
        <f t="shared" si="36"/>
        <v>0</v>
      </c>
      <c r="AY41" s="1545">
        <f t="shared" si="36"/>
        <v>0</v>
      </c>
      <c r="AZ41" s="1545">
        <f t="shared" si="36"/>
        <v>0</v>
      </c>
      <c r="BA41" s="1545">
        <f t="shared" si="22"/>
        <v>0</v>
      </c>
      <c r="BB41" s="1545">
        <f t="shared" si="22"/>
        <v>0</v>
      </c>
      <c r="BC41" s="1545">
        <f t="shared" si="22"/>
        <v>0</v>
      </c>
      <c r="BD41" s="1545">
        <f t="shared" si="22"/>
        <v>0</v>
      </c>
      <c r="BE41" s="1545">
        <f t="shared" si="22"/>
        <v>0</v>
      </c>
      <c r="BF41" s="1545">
        <f t="shared" si="36"/>
        <v>0</v>
      </c>
      <c r="BH41" s="1546">
        <f t="shared" si="12"/>
        <v>0</v>
      </c>
      <c r="BI41" s="1546">
        <f t="shared" si="12"/>
        <v>0</v>
      </c>
      <c r="BK41" s="1545">
        <f t="shared" si="13"/>
        <v>0</v>
      </c>
      <c r="BL41" s="1545">
        <f t="shared" si="13"/>
        <v>0</v>
      </c>
      <c r="BM41" s="1545">
        <f t="shared" si="14"/>
        <v>0</v>
      </c>
      <c r="BO41" s="1545">
        <f t="shared" si="15"/>
        <v>0</v>
      </c>
      <c r="BP41" s="1545">
        <f t="shared" si="15"/>
        <v>0</v>
      </c>
      <c r="BR41" s="1546">
        <f t="shared" si="32"/>
        <v>0</v>
      </c>
      <c r="BS41" s="1546">
        <f t="shared" si="32"/>
        <v>0</v>
      </c>
      <c r="BT41" s="1546">
        <f t="shared" si="32"/>
        <v>0</v>
      </c>
      <c r="BU41" s="1546">
        <f t="shared" si="32"/>
        <v>0</v>
      </c>
      <c r="BV41" s="1546">
        <f t="shared" si="32"/>
        <v>0</v>
      </c>
      <c r="BW41" s="1546">
        <f t="shared" si="32"/>
        <v>0</v>
      </c>
      <c r="BX41" s="1546">
        <f t="shared" si="32"/>
        <v>0</v>
      </c>
      <c r="BY41" s="1546">
        <f t="shared" si="32"/>
        <v>0</v>
      </c>
      <c r="BZ41" s="1546">
        <f t="shared" si="32"/>
        <v>0</v>
      </c>
      <c r="CA41" s="1546">
        <f t="shared" si="32"/>
        <v>0</v>
      </c>
      <c r="CB41" s="1546">
        <f t="shared" si="32"/>
        <v>0</v>
      </c>
      <c r="CC41" s="1546">
        <f t="shared" si="32"/>
        <v>0</v>
      </c>
      <c r="CD41" s="1546">
        <f t="shared" si="32"/>
        <v>0</v>
      </c>
      <c r="CE41" s="1546">
        <f t="shared" si="32"/>
        <v>0</v>
      </c>
      <c r="CF41" s="1546">
        <f t="shared" si="32"/>
        <v>0</v>
      </c>
      <c r="CG41" s="1546">
        <f t="shared" si="32"/>
        <v>0</v>
      </c>
      <c r="CH41" s="1546">
        <f t="shared" si="17"/>
        <v>1</v>
      </c>
      <c r="CJ41" s="1546">
        <f t="shared" si="33"/>
        <v>0</v>
      </c>
      <c r="CK41" s="1546">
        <f t="shared" si="30"/>
        <v>0</v>
      </c>
      <c r="CL41" s="1546">
        <f t="shared" si="30"/>
        <v>0</v>
      </c>
      <c r="CM41" s="1546">
        <f t="shared" si="30"/>
        <v>0</v>
      </c>
      <c r="CN41" s="1546">
        <f t="shared" si="30"/>
        <v>0</v>
      </c>
      <c r="CO41" s="1546">
        <f t="shared" si="30"/>
        <v>0</v>
      </c>
      <c r="CP41" s="1546">
        <f t="shared" si="30"/>
        <v>0</v>
      </c>
      <c r="CQ41" s="1546">
        <f t="shared" si="30"/>
        <v>0</v>
      </c>
      <c r="CR41" s="1546">
        <f t="shared" si="30"/>
        <v>0</v>
      </c>
      <c r="CS41" s="1546">
        <f t="shared" si="30"/>
        <v>0</v>
      </c>
      <c r="CT41" s="1546">
        <f t="shared" si="30"/>
        <v>0</v>
      </c>
      <c r="CU41" s="1546">
        <f t="shared" si="30"/>
        <v>0</v>
      </c>
      <c r="CV41" s="1546">
        <f t="shared" si="30"/>
        <v>0</v>
      </c>
      <c r="CW41" s="1546">
        <f t="shared" si="30"/>
        <v>0</v>
      </c>
      <c r="CX41" s="1546">
        <f t="shared" si="30"/>
        <v>0</v>
      </c>
      <c r="CY41" s="1546">
        <f t="shared" si="30"/>
        <v>0</v>
      </c>
      <c r="CZ41" s="1546">
        <f t="shared" si="30"/>
        <v>0</v>
      </c>
      <c r="DA41" s="1546">
        <f t="shared" si="23"/>
        <v>0</v>
      </c>
      <c r="DB41" s="1546">
        <f t="shared" si="23"/>
        <v>0</v>
      </c>
      <c r="DC41" s="1546">
        <f t="shared" si="23"/>
        <v>0</v>
      </c>
      <c r="DD41" s="1546">
        <f t="shared" si="23"/>
        <v>0</v>
      </c>
      <c r="DE41" s="1546">
        <f t="shared" si="23"/>
        <v>0</v>
      </c>
      <c r="DF41" s="1546">
        <f t="shared" si="23"/>
        <v>0</v>
      </c>
      <c r="DG41" s="1546">
        <f t="shared" si="23"/>
        <v>0</v>
      </c>
      <c r="DH41" s="1546">
        <f t="shared" si="23"/>
        <v>0</v>
      </c>
      <c r="DI41" s="1546">
        <f t="shared" si="23"/>
        <v>0</v>
      </c>
      <c r="DJ41" s="1546">
        <f t="shared" si="31"/>
        <v>0</v>
      </c>
      <c r="DK41" s="3"/>
      <c r="DM41" s="1546">
        <f t="shared" si="19"/>
        <v>0</v>
      </c>
      <c r="DN41" s="3"/>
      <c r="DO41" s="1546">
        <f t="shared" si="20"/>
        <v>0</v>
      </c>
      <c r="DQ41" s="1546">
        <f>IF(DQ$3="X",0,IF($E41=DQ$3,1,0))</f>
        <v>0</v>
      </c>
      <c r="DR41" s="1546">
        <f t="shared" si="35"/>
        <v>0</v>
      </c>
      <c r="DS41" s="1546">
        <f t="shared" si="35"/>
        <v>0</v>
      </c>
      <c r="DT41" s="1546">
        <f t="shared" si="35"/>
        <v>0</v>
      </c>
      <c r="DU41" s="1546">
        <f t="shared" si="35"/>
        <v>0</v>
      </c>
      <c r="DV41" s="1546">
        <f t="shared" si="35"/>
        <v>0</v>
      </c>
      <c r="DW41" s="1546">
        <f t="shared" si="35"/>
        <v>0</v>
      </c>
      <c r="DX41" s="1546">
        <f t="shared" si="35"/>
        <v>0</v>
      </c>
      <c r="DY41" s="1546">
        <f t="shared" si="35"/>
        <v>0</v>
      </c>
      <c r="DZ41" s="1546">
        <f t="shared" si="35"/>
        <v>0</v>
      </c>
      <c r="EA41" s="1546">
        <f t="shared" si="35"/>
        <v>0</v>
      </c>
      <c r="EB41" s="1546">
        <f t="shared" si="35"/>
        <v>0</v>
      </c>
      <c r="EC41" s="1546">
        <f t="shared" si="35"/>
        <v>0</v>
      </c>
    </row>
    <row r="42" spans="1:133" x14ac:dyDescent="0.3">
      <c r="A42" s="91">
        <v>39</v>
      </c>
      <c r="B42" s="680"/>
      <c r="C42" s="680"/>
      <c r="D42" s="680"/>
      <c r="E42" s="680"/>
      <c r="F42" s="683"/>
      <c r="G42" s="21" t="str">
        <f>IFERROR(VLOOKUP(E42,'Piping Class'!$90:$102,7,0),"")</f>
        <v/>
      </c>
      <c r="H42" s="21" t="str">
        <f>IFERROR(VLOOKUP(E42,'Piping Class'!$90:$102,2,0),"")</f>
        <v/>
      </c>
      <c r="I42" s="680"/>
      <c r="J42" s="611" t="str">
        <f t="shared" si="0"/>
        <v/>
      </c>
      <c r="K42" s="680"/>
      <c r="L42" s="680"/>
      <c r="M42" s="680"/>
      <c r="N42" s="680"/>
      <c r="O42" s="680"/>
      <c r="P42" s="680"/>
      <c r="Q42" s="680"/>
      <c r="R42" s="680"/>
      <c r="S42" s="680"/>
      <c r="T42" s="684"/>
      <c r="U42" s="684"/>
      <c r="V42" s="684"/>
      <c r="W42" s="684"/>
      <c r="X42" s="684"/>
      <c r="Y42" s="684"/>
      <c r="Z42" s="271">
        <f t="shared" si="1"/>
        <v>0</v>
      </c>
      <c r="AA42" s="865"/>
      <c r="AB42" s="21" t="str">
        <f t="shared" si="2"/>
        <v/>
      </c>
      <c r="AC42" s="21" t="str">
        <f t="shared" si="3"/>
        <v/>
      </c>
      <c r="AD42" s="680"/>
      <c r="AE42" s="21">
        <f t="shared" si="10"/>
        <v>0</v>
      </c>
      <c r="AF42" s="1315"/>
      <c r="AG42" s="1317">
        <f t="shared" si="34"/>
        <v>0</v>
      </c>
      <c r="AH42" s="713"/>
      <c r="AJ42" s="91" t="s">
        <v>1968</v>
      </c>
      <c r="AK42" s="680">
        <v>2</v>
      </c>
      <c r="AL42" s="331" t="s">
        <v>341</v>
      </c>
      <c r="AN42" s="1545">
        <f t="shared" si="36"/>
        <v>0</v>
      </c>
      <c r="AO42" s="1545">
        <f t="shared" si="36"/>
        <v>0</v>
      </c>
      <c r="AP42" s="1545">
        <f t="shared" si="36"/>
        <v>0</v>
      </c>
      <c r="AQ42" s="1545">
        <f t="shared" si="36"/>
        <v>0</v>
      </c>
      <c r="AR42" s="1545">
        <f t="shared" si="36"/>
        <v>0</v>
      </c>
      <c r="AS42" s="1545">
        <f t="shared" si="25"/>
        <v>0</v>
      </c>
      <c r="AT42" s="1545">
        <f t="shared" si="25"/>
        <v>0</v>
      </c>
      <c r="AU42" s="1545">
        <f t="shared" si="25"/>
        <v>0</v>
      </c>
      <c r="AV42" s="1545">
        <f t="shared" si="36"/>
        <v>0</v>
      </c>
      <c r="AW42" s="1545">
        <f t="shared" si="36"/>
        <v>0</v>
      </c>
      <c r="AX42" s="1545">
        <f t="shared" si="36"/>
        <v>0</v>
      </c>
      <c r="AY42" s="1545">
        <f t="shared" si="36"/>
        <v>0</v>
      </c>
      <c r="AZ42" s="1545">
        <f t="shared" si="36"/>
        <v>0</v>
      </c>
      <c r="BA42" s="1545">
        <f t="shared" si="22"/>
        <v>0</v>
      </c>
      <c r="BB42" s="1545">
        <f t="shared" si="22"/>
        <v>0</v>
      </c>
      <c r="BC42" s="1545">
        <f t="shared" si="22"/>
        <v>0</v>
      </c>
      <c r="BD42" s="1545">
        <f t="shared" si="22"/>
        <v>0</v>
      </c>
      <c r="BE42" s="1545">
        <f t="shared" si="22"/>
        <v>0</v>
      </c>
      <c r="BF42" s="1545">
        <f t="shared" si="36"/>
        <v>0</v>
      </c>
      <c r="BH42" s="1546">
        <f t="shared" si="12"/>
        <v>0</v>
      </c>
      <c r="BI42" s="1546">
        <f t="shared" si="12"/>
        <v>0</v>
      </c>
      <c r="BK42" s="1545">
        <f t="shared" si="13"/>
        <v>0</v>
      </c>
      <c r="BL42" s="1545">
        <f t="shared" si="13"/>
        <v>0</v>
      </c>
      <c r="BM42" s="1545">
        <f t="shared" si="14"/>
        <v>0</v>
      </c>
      <c r="BO42" s="1545">
        <f t="shared" si="15"/>
        <v>0</v>
      </c>
      <c r="BP42" s="1545">
        <f t="shared" si="15"/>
        <v>0</v>
      </c>
      <c r="BR42" s="1546">
        <f t="shared" si="32"/>
        <v>0</v>
      </c>
      <c r="BS42" s="1546">
        <f t="shared" si="32"/>
        <v>0</v>
      </c>
      <c r="BT42" s="1546">
        <f t="shared" si="32"/>
        <v>0</v>
      </c>
      <c r="BU42" s="1546">
        <f t="shared" si="32"/>
        <v>0</v>
      </c>
      <c r="BV42" s="1546">
        <f t="shared" si="32"/>
        <v>0</v>
      </c>
      <c r="BW42" s="1546">
        <f t="shared" si="32"/>
        <v>0</v>
      </c>
      <c r="BX42" s="1546">
        <f t="shared" si="32"/>
        <v>0</v>
      </c>
      <c r="BY42" s="1546">
        <f t="shared" si="32"/>
        <v>0</v>
      </c>
      <c r="BZ42" s="1546">
        <f t="shared" si="32"/>
        <v>0</v>
      </c>
      <c r="CA42" s="1546">
        <f t="shared" si="32"/>
        <v>0</v>
      </c>
      <c r="CB42" s="1546">
        <f t="shared" si="32"/>
        <v>0</v>
      </c>
      <c r="CC42" s="1546">
        <f t="shared" si="32"/>
        <v>0</v>
      </c>
      <c r="CD42" s="1546">
        <f t="shared" si="32"/>
        <v>0</v>
      </c>
      <c r="CE42" s="1546">
        <f t="shared" si="32"/>
        <v>0</v>
      </c>
      <c r="CF42" s="1546">
        <f t="shared" si="32"/>
        <v>0</v>
      </c>
      <c r="CG42" s="1546">
        <f t="shared" si="32"/>
        <v>0</v>
      </c>
      <c r="CH42" s="1546">
        <f t="shared" si="17"/>
        <v>1</v>
      </c>
      <c r="CJ42" s="1546">
        <f t="shared" si="33"/>
        <v>0</v>
      </c>
      <c r="CK42" s="1546">
        <f t="shared" si="30"/>
        <v>0</v>
      </c>
      <c r="CL42" s="1546">
        <f t="shared" si="30"/>
        <v>0</v>
      </c>
      <c r="CM42" s="1546">
        <f t="shared" si="30"/>
        <v>0</v>
      </c>
      <c r="CN42" s="1546">
        <f t="shared" si="30"/>
        <v>0</v>
      </c>
      <c r="CO42" s="1546">
        <f t="shared" si="30"/>
        <v>0</v>
      </c>
      <c r="CP42" s="1546">
        <f t="shared" si="30"/>
        <v>0</v>
      </c>
      <c r="CQ42" s="1546">
        <f t="shared" si="30"/>
        <v>0</v>
      </c>
      <c r="CR42" s="1546">
        <f t="shared" si="30"/>
        <v>0</v>
      </c>
      <c r="CS42" s="1546">
        <f t="shared" si="30"/>
        <v>0</v>
      </c>
      <c r="CT42" s="1546">
        <f t="shared" si="30"/>
        <v>0</v>
      </c>
      <c r="CU42" s="1546">
        <f t="shared" si="30"/>
        <v>0</v>
      </c>
      <c r="CV42" s="1546">
        <f t="shared" si="30"/>
        <v>0</v>
      </c>
      <c r="CW42" s="1546">
        <f t="shared" si="30"/>
        <v>0</v>
      </c>
      <c r="CX42" s="1546">
        <f t="shared" si="30"/>
        <v>0</v>
      </c>
      <c r="CY42" s="1546">
        <f t="shared" si="30"/>
        <v>0</v>
      </c>
      <c r="CZ42" s="1546">
        <f t="shared" si="30"/>
        <v>0</v>
      </c>
      <c r="DA42" s="1546">
        <f t="shared" si="23"/>
        <v>0</v>
      </c>
      <c r="DB42" s="1546">
        <f t="shared" si="23"/>
        <v>0</v>
      </c>
      <c r="DC42" s="1546">
        <f t="shared" si="23"/>
        <v>0</v>
      </c>
      <c r="DD42" s="1546">
        <f t="shared" si="23"/>
        <v>0</v>
      </c>
      <c r="DE42" s="1546">
        <f t="shared" si="23"/>
        <v>0</v>
      </c>
      <c r="DF42" s="1546">
        <f t="shared" si="23"/>
        <v>0</v>
      </c>
      <c r="DG42" s="1546">
        <f t="shared" si="23"/>
        <v>0</v>
      </c>
      <c r="DH42" s="1546">
        <f t="shared" si="23"/>
        <v>0</v>
      </c>
      <c r="DI42" s="1546">
        <f t="shared" si="23"/>
        <v>0</v>
      </c>
      <c r="DJ42" s="1546">
        <f t="shared" si="31"/>
        <v>0</v>
      </c>
      <c r="DK42" s="3"/>
      <c r="DM42" s="1546">
        <f t="shared" si="19"/>
        <v>0</v>
      </c>
      <c r="DN42" s="3"/>
      <c r="DO42" s="1546">
        <f t="shared" si="20"/>
        <v>0</v>
      </c>
      <c r="DQ42" s="1546">
        <f>IF(DQ$3="X",0,IF($E42=DQ$3,1,0))</f>
        <v>0</v>
      </c>
      <c r="DR42" s="1546">
        <f t="shared" si="35"/>
        <v>0</v>
      </c>
      <c r="DS42" s="1546">
        <f t="shared" si="35"/>
        <v>0</v>
      </c>
      <c r="DT42" s="1546">
        <f t="shared" si="35"/>
        <v>0</v>
      </c>
      <c r="DU42" s="1546">
        <f t="shared" si="35"/>
        <v>0</v>
      </c>
      <c r="DV42" s="1546">
        <f t="shared" si="35"/>
        <v>0</v>
      </c>
      <c r="DW42" s="1546">
        <f t="shared" si="35"/>
        <v>0</v>
      </c>
      <c r="DX42" s="1546">
        <f t="shared" si="35"/>
        <v>0</v>
      </c>
      <c r="DY42" s="1546">
        <f t="shared" si="35"/>
        <v>0</v>
      </c>
      <c r="DZ42" s="1546">
        <f t="shared" si="35"/>
        <v>0</v>
      </c>
      <c r="EA42" s="1546">
        <f t="shared" si="35"/>
        <v>0</v>
      </c>
      <c r="EB42" s="1546">
        <f t="shared" si="35"/>
        <v>0</v>
      </c>
      <c r="EC42" s="1546">
        <f t="shared" si="35"/>
        <v>0</v>
      </c>
    </row>
    <row r="43" spans="1:133" ht="15" thickBot="1" x14ac:dyDescent="0.35">
      <c r="A43" s="94">
        <v>40</v>
      </c>
      <c r="B43" s="681"/>
      <c r="C43" s="681"/>
      <c r="D43" s="681"/>
      <c r="E43" s="681"/>
      <c r="F43" s="686"/>
      <c r="G43" s="23" t="str">
        <f>IFERROR(VLOOKUP(E43,'Piping Class'!$90:$102,7,0),"")</f>
        <v/>
      </c>
      <c r="H43" s="23" t="str">
        <f>IFERROR(VLOOKUP(E43,'Piping Class'!$90:$102,2,0),"")</f>
        <v/>
      </c>
      <c r="I43" s="681"/>
      <c r="J43" s="779" t="str">
        <f t="shared" si="0"/>
        <v/>
      </c>
      <c r="K43" s="681"/>
      <c r="L43" s="681"/>
      <c r="M43" s="681"/>
      <c r="N43" s="681"/>
      <c r="O43" s="681"/>
      <c r="P43" s="681"/>
      <c r="Q43" s="681"/>
      <c r="R43" s="681"/>
      <c r="S43" s="681"/>
      <c r="T43" s="687"/>
      <c r="U43" s="687"/>
      <c r="V43" s="687"/>
      <c r="W43" s="687"/>
      <c r="X43" s="687"/>
      <c r="Y43" s="687"/>
      <c r="Z43" s="272">
        <f t="shared" si="1"/>
        <v>0</v>
      </c>
      <c r="AA43" s="869"/>
      <c r="AB43" s="23" t="str">
        <f t="shared" si="2"/>
        <v/>
      </c>
      <c r="AC43" s="23" t="str">
        <f t="shared" si="3"/>
        <v/>
      </c>
      <c r="AD43" s="681"/>
      <c r="AE43" s="23">
        <f t="shared" si="10"/>
        <v>0</v>
      </c>
      <c r="AF43" s="1318"/>
      <c r="AG43" s="1319">
        <f t="shared" si="34"/>
        <v>0</v>
      </c>
      <c r="AH43" s="714"/>
      <c r="AJ43" s="91" t="s">
        <v>1988</v>
      </c>
      <c r="AK43" s="680">
        <v>2</v>
      </c>
      <c r="AL43" s="331" t="s">
        <v>341</v>
      </c>
      <c r="AN43" s="1545">
        <f t="shared" si="36"/>
        <v>0</v>
      </c>
      <c r="AO43" s="1545">
        <f t="shared" si="36"/>
        <v>0</v>
      </c>
      <c r="AP43" s="1545">
        <f t="shared" si="36"/>
        <v>0</v>
      </c>
      <c r="AQ43" s="1545">
        <f t="shared" si="36"/>
        <v>0</v>
      </c>
      <c r="AR43" s="1545">
        <f t="shared" si="36"/>
        <v>0</v>
      </c>
      <c r="AS43" s="1545">
        <f t="shared" si="25"/>
        <v>0</v>
      </c>
      <c r="AT43" s="1545">
        <f t="shared" si="25"/>
        <v>0</v>
      </c>
      <c r="AU43" s="1545">
        <f t="shared" si="25"/>
        <v>0</v>
      </c>
      <c r="AV43" s="1545">
        <f t="shared" si="36"/>
        <v>0</v>
      </c>
      <c r="AW43" s="1545">
        <f t="shared" si="36"/>
        <v>0</v>
      </c>
      <c r="AX43" s="1545">
        <f t="shared" si="36"/>
        <v>0</v>
      </c>
      <c r="AY43" s="1545">
        <f t="shared" si="36"/>
        <v>0</v>
      </c>
      <c r="AZ43" s="1545">
        <f t="shared" si="36"/>
        <v>0</v>
      </c>
      <c r="BA43" s="1545">
        <f t="shared" si="22"/>
        <v>0</v>
      </c>
      <c r="BB43" s="1545">
        <f t="shared" si="22"/>
        <v>0</v>
      </c>
      <c r="BC43" s="1545">
        <f t="shared" si="22"/>
        <v>0</v>
      </c>
      <c r="BD43" s="1545">
        <f t="shared" si="22"/>
        <v>0</v>
      </c>
      <c r="BE43" s="1545">
        <f t="shared" si="22"/>
        <v>0</v>
      </c>
      <c r="BF43" s="1545">
        <f t="shared" si="36"/>
        <v>0</v>
      </c>
      <c r="BH43" s="1546">
        <f t="shared" si="12"/>
        <v>0</v>
      </c>
      <c r="BI43" s="1546">
        <f t="shared" si="12"/>
        <v>0</v>
      </c>
      <c r="BK43" s="1545">
        <f t="shared" si="13"/>
        <v>0</v>
      </c>
      <c r="BL43" s="1545">
        <f t="shared" si="13"/>
        <v>0</v>
      </c>
      <c r="BM43" s="1545">
        <f t="shared" si="14"/>
        <v>0</v>
      </c>
      <c r="BO43" s="1545">
        <f>IF($I43=BO$3,1,0)</f>
        <v>0</v>
      </c>
      <c r="BP43" s="1545">
        <f>IF($I43=BP$3,1,0)</f>
        <v>0</v>
      </c>
      <c r="BR43" s="1546">
        <f t="shared" si="32"/>
        <v>0</v>
      </c>
      <c r="BS43" s="1546">
        <f t="shared" si="32"/>
        <v>0</v>
      </c>
      <c r="BT43" s="1546">
        <f t="shared" si="32"/>
        <v>0</v>
      </c>
      <c r="BU43" s="1546">
        <f t="shared" si="32"/>
        <v>0</v>
      </c>
      <c r="BV43" s="1546">
        <f t="shared" si="32"/>
        <v>0</v>
      </c>
      <c r="BW43" s="1546">
        <f t="shared" si="32"/>
        <v>0</v>
      </c>
      <c r="BX43" s="1546">
        <f t="shared" si="32"/>
        <v>0</v>
      </c>
      <c r="BY43" s="1546">
        <f t="shared" si="32"/>
        <v>0</v>
      </c>
      <c r="BZ43" s="1546">
        <f t="shared" si="32"/>
        <v>0</v>
      </c>
      <c r="CA43" s="1546">
        <f t="shared" si="32"/>
        <v>0</v>
      </c>
      <c r="CB43" s="1546">
        <f t="shared" si="32"/>
        <v>0</v>
      </c>
      <c r="CC43" s="1546">
        <f t="shared" si="32"/>
        <v>0</v>
      </c>
      <c r="CD43" s="1546">
        <f t="shared" si="32"/>
        <v>0</v>
      </c>
      <c r="CE43" s="1546">
        <f t="shared" si="32"/>
        <v>0</v>
      </c>
      <c r="CF43" s="1546">
        <f t="shared" si="32"/>
        <v>0</v>
      </c>
      <c r="CG43" s="1546">
        <f t="shared" si="32"/>
        <v>0</v>
      </c>
      <c r="CH43" s="1546">
        <f t="shared" si="17"/>
        <v>1</v>
      </c>
      <c r="CJ43" s="1546">
        <f t="shared" si="33"/>
        <v>0</v>
      </c>
      <c r="CK43" s="1546">
        <f t="shared" si="30"/>
        <v>0</v>
      </c>
      <c r="CL43" s="1546">
        <f t="shared" si="30"/>
        <v>0</v>
      </c>
      <c r="CM43" s="1546">
        <f t="shared" si="30"/>
        <v>0</v>
      </c>
      <c r="CN43" s="1546">
        <f t="shared" si="30"/>
        <v>0</v>
      </c>
      <c r="CO43" s="1546">
        <f t="shared" si="30"/>
        <v>0</v>
      </c>
      <c r="CP43" s="1546">
        <f t="shared" si="30"/>
        <v>0</v>
      </c>
      <c r="CQ43" s="1546">
        <f t="shared" si="30"/>
        <v>0</v>
      </c>
      <c r="CR43" s="1546">
        <f t="shared" si="30"/>
        <v>0</v>
      </c>
      <c r="CS43" s="1546">
        <f t="shared" si="30"/>
        <v>0</v>
      </c>
      <c r="CT43" s="1546">
        <f t="shared" si="30"/>
        <v>0</v>
      </c>
      <c r="CU43" s="1546">
        <f t="shared" si="30"/>
        <v>0</v>
      </c>
      <c r="CV43" s="1546">
        <f t="shared" si="30"/>
        <v>0</v>
      </c>
      <c r="CW43" s="1546">
        <f t="shared" si="30"/>
        <v>0</v>
      </c>
      <c r="CX43" s="1546">
        <f t="shared" si="30"/>
        <v>0</v>
      </c>
      <c r="CY43" s="1546">
        <f t="shared" si="30"/>
        <v>0</v>
      </c>
      <c r="CZ43" s="1546">
        <f t="shared" si="30"/>
        <v>0</v>
      </c>
      <c r="DA43" s="1546">
        <f t="shared" si="23"/>
        <v>0</v>
      </c>
      <c r="DB43" s="1546">
        <f t="shared" si="23"/>
        <v>0</v>
      </c>
      <c r="DC43" s="1546">
        <f t="shared" si="23"/>
        <v>0</v>
      </c>
      <c r="DD43" s="1546">
        <f t="shared" si="23"/>
        <v>0</v>
      </c>
      <c r="DE43" s="1546">
        <f t="shared" si="23"/>
        <v>0</v>
      </c>
      <c r="DF43" s="1546">
        <f t="shared" si="23"/>
        <v>0</v>
      </c>
      <c r="DG43" s="1546">
        <f t="shared" si="23"/>
        <v>0</v>
      </c>
      <c r="DH43" s="1546">
        <f t="shared" si="23"/>
        <v>0</v>
      </c>
      <c r="DI43" s="1546">
        <f t="shared" si="23"/>
        <v>0</v>
      </c>
      <c r="DJ43" s="1546">
        <f t="shared" si="31"/>
        <v>0</v>
      </c>
      <c r="DK43" s="3"/>
      <c r="DM43" s="1546">
        <f t="shared" si="19"/>
        <v>0</v>
      </c>
      <c r="DN43" s="3"/>
      <c r="DO43" s="1546">
        <f t="shared" si="20"/>
        <v>0</v>
      </c>
      <c r="DQ43" s="1546">
        <f>IF(DQ$3="X",0,IF($E43=DQ$3,1,0))</f>
        <v>0</v>
      </c>
      <c r="DR43" s="1546">
        <f t="shared" si="35"/>
        <v>0</v>
      </c>
      <c r="DS43" s="1546">
        <f t="shared" si="35"/>
        <v>0</v>
      </c>
      <c r="DT43" s="1546">
        <f t="shared" si="35"/>
        <v>0</v>
      </c>
      <c r="DU43" s="1546">
        <f t="shared" si="35"/>
        <v>0</v>
      </c>
      <c r="DV43" s="1546">
        <f t="shared" si="35"/>
        <v>0</v>
      </c>
      <c r="DW43" s="1546">
        <f t="shared" si="35"/>
        <v>0</v>
      </c>
      <c r="DX43" s="1546">
        <f t="shared" si="35"/>
        <v>0</v>
      </c>
      <c r="DY43" s="1546">
        <f t="shared" si="35"/>
        <v>0</v>
      </c>
      <c r="DZ43" s="1546">
        <f t="shared" si="35"/>
        <v>0</v>
      </c>
      <c r="EA43" s="1546">
        <f t="shared" si="35"/>
        <v>0</v>
      </c>
      <c r="EB43" s="1546">
        <f t="shared" si="35"/>
        <v>0</v>
      </c>
      <c r="EC43" s="1546">
        <f t="shared" si="35"/>
        <v>0</v>
      </c>
    </row>
    <row r="44" spans="1:133" x14ac:dyDescent="0.3">
      <c r="A44" s="123">
        <v>41</v>
      </c>
      <c r="B44" s="326" t="s">
        <v>1989</v>
      </c>
      <c r="C44" s="326" t="s">
        <v>1990</v>
      </c>
      <c r="D44" s="679"/>
      <c r="E44" s="326"/>
      <c r="F44" s="333"/>
      <c r="G44" s="326"/>
      <c r="H44" s="326"/>
      <c r="I44" s="326"/>
      <c r="J44" s="778"/>
      <c r="K44" s="123"/>
      <c r="L44" s="326"/>
      <c r="M44" s="326"/>
      <c r="N44" s="326"/>
      <c r="O44" s="326"/>
      <c r="P44" s="326"/>
      <c r="Q44" s="326"/>
      <c r="R44" s="326"/>
      <c r="S44" s="326"/>
      <c r="T44" s="778"/>
      <c r="U44" s="778"/>
      <c r="V44" s="778"/>
      <c r="W44" s="778"/>
      <c r="X44" s="778"/>
      <c r="Y44" s="778"/>
      <c r="Z44" s="270">
        <f>SUMPRODUCT($Z$4:$Z$43,AX4:AX43)+SUMPRODUCT($Z$4:$Z$43,AW4:AW43)+SUMPRODUCT($Z$4:$Z$43,AV4:AV43)</f>
        <v>10</v>
      </c>
      <c r="AA44" s="863" t="s">
        <v>1664</v>
      </c>
      <c r="AB44" s="863">
        <v>0.5</v>
      </c>
      <c r="AC44" s="326">
        <f>IFERROR(AB44*Z44,"")</f>
        <v>5</v>
      </c>
      <c r="AD44" s="326"/>
      <c r="AE44" s="326">
        <f t="shared" si="10"/>
        <v>0</v>
      </c>
      <c r="AF44" s="1320">
        <v>100</v>
      </c>
      <c r="AG44" s="1316">
        <f>AF44*Z44</f>
        <v>1000</v>
      </c>
      <c r="AH44" s="715"/>
      <c r="AJ44" s="632" t="s">
        <v>1991</v>
      </c>
      <c r="AK44" s="1321">
        <v>2</v>
      </c>
      <c r="AL44" s="1322" t="s">
        <v>1721</v>
      </c>
    </row>
    <row r="45" spans="1:133" x14ac:dyDescent="0.3">
      <c r="A45" s="97">
        <v>42</v>
      </c>
      <c r="B45" s="19"/>
      <c r="C45" s="19" t="s">
        <v>1992</v>
      </c>
      <c r="D45" s="680"/>
      <c r="E45" s="19"/>
      <c r="F45" s="759"/>
      <c r="G45" s="19"/>
      <c r="H45" s="19"/>
      <c r="I45" s="19"/>
      <c r="J45" s="610"/>
      <c r="K45" s="97"/>
      <c r="L45" s="19"/>
      <c r="M45" s="19"/>
      <c r="N45" s="19"/>
      <c r="O45" s="19"/>
      <c r="P45" s="19"/>
      <c r="Q45" s="19"/>
      <c r="R45" s="19"/>
      <c r="S45" s="19"/>
      <c r="T45" s="610"/>
      <c r="U45" s="610"/>
      <c r="V45" s="610"/>
      <c r="W45" s="610"/>
      <c r="X45" s="610"/>
      <c r="Y45" s="610"/>
      <c r="Z45" s="271">
        <f>SUMPRODUCT($Z$4:$Z$43,AS4:AS43)+SUMPRODUCT($Z$4:$Z$43,AR4:AR43)</f>
        <v>8</v>
      </c>
      <c r="AA45" s="865" t="s">
        <v>1664</v>
      </c>
      <c r="AB45" s="865">
        <v>2</v>
      </c>
      <c r="AC45" s="21">
        <f t="shared" ref="AC45:AC62" si="37">IFERROR(AB45*Z45,"")</f>
        <v>16</v>
      </c>
      <c r="AD45" s="19"/>
      <c r="AE45" s="19">
        <f t="shared" si="10"/>
        <v>0</v>
      </c>
      <c r="AF45" s="1323">
        <v>120</v>
      </c>
      <c r="AG45" s="1317">
        <f t="shared" ref="AG45:AG53" si="38">AF45*Z45</f>
        <v>960</v>
      </c>
      <c r="AH45" s="697"/>
      <c r="AJ45" s="632" t="s">
        <v>1993</v>
      </c>
      <c r="AK45" s="680">
        <v>0.5</v>
      </c>
      <c r="AL45" s="331" t="s">
        <v>1721</v>
      </c>
    </row>
    <row r="46" spans="1:133" x14ac:dyDescent="0.3">
      <c r="A46" s="97">
        <v>43</v>
      </c>
      <c r="B46" s="21"/>
      <c r="C46" s="21" t="s">
        <v>1994</v>
      </c>
      <c r="D46" s="680"/>
      <c r="E46" s="21"/>
      <c r="F46" s="334"/>
      <c r="G46" s="21"/>
      <c r="H46" s="21"/>
      <c r="I46" s="21"/>
      <c r="J46" s="611"/>
      <c r="K46" s="91"/>
      <c r="L46" s="21"/>
      <c r="M46" s="21"/>
      <c r="N46" s="21"/>
      <c r="O46" s="21"/>
      <c r="P46" s="21"/>
      <c r="Q46" s="21"/>
      <c r="R46" s="21"/>
      <c r="S46" s="21"/>
      <c r="T46" s="611"/>
      <c r="U46" s="611"/>
      <c r="V46" s="611"/>
      <c r="W46" s="611"/>
      <c r="X46" s="611"/>
      <c r="Y46" s="611"/>
      <c r="Z46" s="271">
        <f>SUMPRODUCT($Z$4:$Z$43,AU4:AU43)+SUMPRODUCT($Z$4:$Z$43,AT4:AT43)</f>
        <v>1</v>
      </c>
      <c r="AA46" s="865"/>
      <c r="AB46" s="865">
        <v>2</v>
      </c>
      <c r="AC46" s="21">
        <f t="shared" si="37"/>
        <v>2</v>
      </c>
      <c r="AD46" s="21"/>
      <c r="AE46" s="21">
        <f t="shared" si="10"/>
        <v>0</v>
      </c>
      <c r="AF46" s="1315">
        <v>160</v>
      </c>
      <c r="AG46" s="1317">
        <f t="shared" si="38"/>
        <v>160</v>
      </c>
      <c r="AH46" s="713"/>
      <c r="AJ46" s="632" t="s">
        <v>1995</v>
      </c>
      <c r="AK46" s="680">
        <v>0.5</v>
      </c>
      <c r="AL46" s="331" t="s">
        <v>1721</v>
      </c>
    </row>
    <row r="47" spans="1:133" x14ac:dyDescent="0.3">
      <c r="A47" s="97">
        <v>44</v>
      </c>
      <c r="B47" s="21" t="s">
        <v>1996</v>
      </c>
      <c r="C47" s="21" t="s">
        <v>1997</v>
      </c>
      <c r="D47" s="680"/>
      <c r="E47" s="21"/>
      <c r="F47" s="334"/>
      <c r="G47" s="21"/>
      <c r="H47" s="21"/>
      <c r="I47" s="21"/>
      <c r="J47" s="611"/>
      <c r="K47" s="91"/>
      <c r="L47" s="21"/>
      <c r="M47" s="21"/>
      <c r="N47" s="21"/>
      <c r="O47" s="21"/>
      <c r="P47" s="21"/>
      <c r="Q47" s="21"/>
      <c r="R47" s="21"/>
      <c r="S47" s="21"/>
      <c r="T47" s="611"/>
      <c r="U47" s="611"/>
      <c r="V47" s="611"/>
      <c r="W47" s="611"/>
      <c r="X47" s="611"/>
      <c r="Y47" s="611"/>
      <c r="Z47" s="271">
        <f>SUMPRODUCT($Z$4:$Z$43,$BI$4:$BI$43)</f>
        <v>24</v>
      </c>
      <c r="AA47" s="865" t="s">
        <v>1664</v>
      </c>
      <c r="AB47" s="865">
        <v>2</v>
      </c>
      <c r="AC47" s="21">
        <f t="shared" si="37"/>
        <v>48</v>
      </c>
      <c r="AD47" s="21"/>
      <c r="AE47" s="21">
        <f t="shared" si="10"/>
        <v>0</v>
      </c>
      <c r="AF47" s="1315">
        <v>450</v>
      </c>
      <c r="AG47" s="1317">
        <f t="shared" si="38"/>
        <v>10800</v>
      </c>
      <c r="AH47" s="713"/>
      <c r="AJ47" s="632" t="s">
        <v>1998</v>
      </c>
      <c r="AK47" s="680">
        <v>0.5</v>
      </c>
      <c r="AL47" s="331" t="s">
        <v>1721</v>
      </c>
    </row>
    <row r="48" spans="1:133" x14ac:dyDescent="0.3">
      <c r="A48" s="97">
        <v>45</v>
      </c>
      <c r="B48" s="21" t="s">
        <v>1996</v>
      </c>
      <c r="C48" s="21" t="s">
        <v>1999</v>
      </c>
      <c r="D48" s="680"/>
      <c r="E48" s="21"/>
      <c r="F48" s="334"/>
      <c r="G48" s="21"/>
      <c r="H48" s="21"/>
      <c r="I48" s="21"/>
      <c r="J48" s="611"/>
      <c r="K48" s="91"/>
      <c r="L48" s="21"/>
      <c r="M48" s="21"/>
      <c r="N48" s="21"/>
      <c r="O48" s="21"/>
      <c r="P48" s="21"/>
      <c r="Q48" s="21"/>
      <c r="R48" s="21"/>
      <c r="S48" s="21"/>
      <c r="T48" s="611"/>
      <c r="U48" s="611"/>
      <c r="V48" s="611"/>
      <c r="W48" s="611"/>
      <c r="X48" s="611"/>
      <c r="Y48" s="611"/>
      <c r="Z48" s="271">
        <f>SUMPRODUCT($Z$4:$Z$43,$BH$4:$BH$43)*2</f>
        <v>0</v>
      </c>
      <c r="AA48" s="865"/>
      <c r="AB48" s="865">
        <v>2</v>
      </c>
      <c r="AC48" s="21">
        <f t="shared" si="37"/>
        <v>0</v>
      </c>
      <c r="AD48" s="21"/>
      <c r="AE48" s="21">
        <f t="shared" si="10"/>
        <v>0</v>
      </c>
      <c r="AF48" s="1315"/>
      <c r="AG48" s="1317">
        <f t="shared" si="38"/>
        <v>0</v>
      </c>
      <c r="AH48" s="713"/>
      <c r="AJ48" s="632" t="s">
        <v>2000</v>
      </c>
      <c r="AK48" s="680">
        <v>0.5</v>
      </c>
      <c r="AL48" s="331" t="s">
        <v>1721</v>
      </c>
    </row>
    <row r="49" spans="1:38" x14ac:dyDescent="0.3">
      <c r="A49" s="97">
        <v>46</v>
      </c>
      <c r="B49" s="21" t="s">
        <v>2001</v>
      </c>
      <c r="C49" s="21" t="s">
        <v>2002</v>
      </c>
      <c r="D49" s="680"/>
      <c r="E49" s="21"/>
      <c r="F49" s="334"/>
      <c r="G49" s="21"/>
      <c r="H49" s="21"/>
      <c r="I49" s="21"/>
      <c r="J49" s="611"/>
      <c r="K49" s="91"/>
      <c r="L49" s="21"/>
      <c r="M49" s="21"/>
      <c r="N49" s="21"/>
      <c r="O49" s="21"/>
      <c r="P49" s="21"/>
      <c r="Q49" s="21"/>
      <c r="R49" s="21"/>
      <c r="S49" s="21"/>
      <c r="T49" s="611"/>
      <c r="U49" s="611"/>
      <c r="V49" s="611"/>
      <c r="W49" s="611"/>
      <c r="X49" s="611"/>
      <c r="Y49" s="611"/>
      <c r="Z49" s="271">
        <f>ROUNDUP(SUM(AK57:AL57)/24,0)+ROUNDUP(SUM(AK58:AL58)/24,0)+ROUNDUP(SUM(AK59:AL59)/24,0)+ROUNDUP(SUM(AK60:AL60)/24,0)+ROUNDUP(SUM(AK61:AL61)/24,0)+ROUNDUP(SUM(AK62:AL62)/24,0)+ROUNDUP(SUM(AK63:AL63)/24,0)+ROUNDUP(SUM(AK64:AL64)/24,0)+ROUNDUP(SUM(AK65:AL65)/24,0)+ROUNDUP(SUM(AK66:AL66)/24,0)+ROUNDUP(SUM(AK73:AL73)/24,0)+ROUNDUP(SUM(AK72:AL72)/24,0)+ROUNDUP(SUM(AK71:AL71)/24,0)+ROUNDUP(SUM(AK70:AL70)/24,0)+ROUNDUP(SUM(AK69:AL69)/24,0)+ROUNDUP(SUM(AK68:AL68)/24,0)+ROUNDUP(SUM(AK67:AL67)/24,0)</f>
        <v>1</v>
      </c>
      <c r="AA49" s="865" t="s">
        <v>1664</v>
      </c>
      <c r="AB49" s="865">
        <v>8</v>
      </c>
      <c r="AC49" s="21">
        <f t="shared" si="37"/>
        <v>8</v>
      </c>
      <c r="AD49" s="19"/>
      <c r="AE49" s="19">
        <f t="shared" si="10"/>
        <v>0</v>
      </c>
      <c r="AF49" s="1323"/>
      <c r="AG49" s="1317">
        <f t="shared" si="38"/>
        <v>0</v>
      </c>
      <c r="AH49" s="697"/>
      <c r="AJ49" s="632" t="s">
        <v>2003</v>
      </c>
      <c r="AK49" s="680">
        <v>1.5</v>
      </c>
      <c r="AL49" s="331" t="s">
        <v>1721</v>
      </c>
    </row>
    <row r="50" spans="1:38" x14ac:dyDescent="0.3">
      <c r="A50" s="97">
        <v>47</v>
      </c>
      <c r="B50" s="19" t="s">
        <v>2004</v>
      </c>
      <c r="C50" s="19" t="s">
        <v>2005</v>
      </c>
      <c r="D50" s="1173" t="str">
        <f>"foreseen "&amp;SUMPRODUCT($Z$4:$Z$43,$DO$4:$DO$43)</f>
        <v>foreseen 32</v>
      </c>
      <c r="E50" s="19"/>
      <c r="F50" s="759"/>
      <c r="G50" s="19"/>
      <c r="H50" s="19"/>
      <c r="I50" s="19"/>
      <c r="J50" s="610"/>
      <c r="K50" s="97"/>
      <c r="L50" s="19"/>
      <c r="M50" s="19"/>
      <c r="N50" s="19"/>
      <c r="O50" s="19"/>
      <c r="P50" s="19"/>
      <c r="Q50" s="19"/>
      <c r="R50" s="19"/>
      <c r="S50" s="19"/>
      <c r="T50" s="610"/>
      <c r="U50" s="610"/>
      <c r="V50" s="610"/>
      <c r="W50" s="610"/>
      <c r="X50" s="610"/>
      <c r="Y50" s="610"/>
      <c r="Z50" s="703"/>
      <c r="AA50" s="865"/>
      <c r="AB50" s="865"/>
      <c r="AC50" s="21">
        <f t="shared" si="37"/>
        <v>0</v>
      </c>
      <c r="AD50" s="19"/>
      <c r="AE50" s="19">
        <f t="shared" si="10"/>
        <v>0</v>
      </c>
      <c r="AF50" s="1323"/>
      <c r="AG50" s="1317">
        <f t="shared" si="38"/>
        <v>0</v>
      </c>
      <c r="AH50" s="697"/>
      <c r="AJ50" s="632" t="s">
        <v>2006</v>
      </c>
      <c r="AK50" s="680">
        <v>1.5</v>
      </c>
      <c r="AL50" s="1322" t="s">
        <v>339</v>
      </c>
    </row>
    <row r="51" spans="1:38" x14ac:dyDescent="0.3">
      <c r="A51" s="97">
        <v>48</v>
      </c>
      <c r="B51" s="680"/>
      <c r="C51" s="680"/>
      <c r="D51" s="680"/>
      <c r="E51" s="21"/>
      <c r="F51" s="334"/>
      <c r="G51" s="21"/>
      <c r="H51" s="21"/>
      <c r="I51" s="21"/>
      <c r="J51" s="611"/>
      <c r="K51" s="91"/>
      <c r="L51" s="21"/>
      <c r="M51" s="21"/>
      <c r="N51" s="21"/>
      <c r="O51" s="21"/>
      <c r="P51" s="21"/>
      <c r="Q51" s="21"/>
      <c r="R51" s="21"/>
      <c r="S51" s="21"/>
      <c r="T51" s="611"/>
      <c r="U51" s="611"/>
      <c r="V51" s="611"/>
      <c r="W51" s="611"/>
      <c r="X51" s="611"/>
      <c r="Y51" s="611"/>
      <c r="Z51" s="703"/>
      <c r="AA51" s="865"/>
      <c r="AB51" s="865">
        <v>8</v>
      </c>
      <c r="AC51" s="21">
        <f t="shared" si="37"/>
        <v>0</v>
      </c>
      <c r="AD51" s="21"/>
      <c r="AE51" s="21">
        <f t="shared" si="10"/>
        <v>0</v>
      </c>
      <c r="AF51" s="1315"/>
      <c r="AG51" s="1317">
        <f t="shared" si="38"/>
        <v>0</v>
      </c>
      <c r="AH51" s="713"/>
      <c r="AJ51" s="632" t="s">
        <v>2007</v>
      </c>
      <c r="AK51" s="1321">
        <v>4</v>
      </c>
      <c r="AL51" s="1322" t="s">
        <v>341</v>
      </c>
    </row>
    <row r="52" spans="1:38" x14ac:dyDescent="0.3">
      <c r="A52" s="97">
        <v>49</v>
      </c>
      <c r="B52" s="680" t="s">
        <v>2008</v>
      </c>
      <c r="C52" s="680" t="s">
        <v>4547</v>
      </c>
      <c r="D52" s="680"/>
      <c r="E52" s="21"/>
      <c r="F52" s="334"/>
      <c r="G52" s="21"/>
      <c r="H52" s="21"/>
      <c r="I52" s="21"/>
      <c r="J52" s="611"/>
      <c r="K52" s="91"/>
      <c r="L52" s="21"/>
      <c r="M52" s="21"/>
      <c r="N52" s="21"/>
      <c r="O52" s="21"/>
      <c r="P52" s="21"/>
      <c r="Q52" s="21"/>
      <c r="R52" s="21"/>
      <c r="S52" s="21"/>
      <c r="T52" s="611"/>
      <c r="U52" s="611"/>
      <c r="V52" s="611"/>
      <c r="W52" s="611"/>
      <c r="X52" s="611"/>
      <c r="Y52" s="611"/>
      <c r="Z52" s="703">
        <v>1</v>
      </c>
      <c r="AA52" s="865" t="s">
        <v>1664</v>
      </c>
      <c r="AB52" s="865">
        <v>12</v>
      </c>
      <c r="AC52" s="21">
        <f t="shared" si="37"/>
        <v>12</v>
      </c>
      <c r="AD52" s="21"/>
      <c r="AE52" s="21">
        <f t="shared" si="10"/>
        <v>0</v>
      </c>
      <c r="AF52" s="1315">
        <v>0</v>
      </c>
      <c r="AG52" s="1317">
        <f t="shared" si="38"/>
        <v>0</v>
      </c>
      <c r="AH52" s="713"/>
      <c r="AJ52" s="632" t="s">
        <v>2009</v>
      </c>
      <c r="AK52" s="1321">
        <v>0.5</v>
      </c>
      <c r="AL52" s="1322" t="s">
        <v>341</v>
      </c>
    </row>
    <row r="53" spans="1:38" x14ac:dyDescent="0.3">
      <c r="A53" s="97">
        <v>50</v>
      </c>
      <c r="B53" s="680" t="s">
        <v>2008</v>
      </c>
      <c r="C53" s="680" t="s">
        <v>4546</v>
      </c>
      <c r="D53" s="680"/>
      <c r="E53" s="21"/>
      <c r="F53" s="334"/>
      <c r="G53" s="21"/>
      <c r="H53" s="21"/>
      <c r="I53" s="21"/>
      <c r="J53" s="611"/>
      <c r="K53" s="91"/>
      <c r="L53" s="21"/>
      <c r="M53" s="21"/>
      <c r="N53" s="21"/>
      <c r="O53" s="21"/>
      <c r="P53" s="21"/>
      <c r="Q53" s="21"/>
      <c r="R53" s="21"/>
      <c r="S53" s="21"/>
      <c r="T53" s="611"/>
      <c r="U53" s="611"/>
      <c r="V53" s="611"/>
      <c r="W53" s="611"/>
      <c r="X53" s="611"/>
      <c r="Y53" s="611"/>
      <c r="Z53" s="703">
        <v>1</v>
      </c>
      <c r="AA53" s="865" t="s">
        <v>1664</v>
      </c>
      <c r="AB53" s="865">
        <v>12</v>
      </c>
      <c r="AC53" s="21">
        <f t="shared" si="37"/>
        <v>12</v>
      </c>
      <c r="AD53" s="21"/>
      <c r="AE53" s="21">
        <f t="shared" si="10"/>
        <v>0</v>
      </c>
      <c r="AF53" s="1315">
        <v>0</v>
      </c>
      <c r="AG53" s="1317">
        <f t="shared" si="38"/>
        <v>0</v>
      </c>
      <c r="AH53" s="713"/>
      <c r="AJ53" s="632"/>
      <c r="AK53" s="1321"/>
      <c r="AL53" s="1322"/>
    </row>
    <row r="54" spans="1:38" ht="15" thickBot="1" x14ac:dyDescent="0.35">
      <c r="A54" s="97">
        <v>51</v>
      </c>
      <c r="B54" s="680" t="s">
        <v>2010</v>
      </c>
      <c r="C54" s="680" t="s">
        <v>2011</v>
      </c>
      <c r="D54" s="680"/>
      <c r="E54" s="21"/>
      <c r="F54" s="334"/>
      <c r="G54" s="21"/>
      <c r="H54" s="21"/>
      <c r="I54" s="21"/>
      <c r="J54" s="611"/>
      <c r="K54" s="91"/>
      <c r="L54" s="21"/>
      <c r="M54" s="21"/>
      <c r="N54" s="21"/>
      <c r="O54" s="21"/>
      <c r="P54" s="21"/>
      <c r="Q54" s="21"/>
      <c r="R54" s="21"/>
      <c r="S54" s="21"/>
      <c r="T54" s="611"/>
      <c r="U54" s="611"/>
      <c r="V54" s="611"/>
      <c r="W54" s="611"/>
      <c r="X54" s="611"/>
      <c r="Y54" s="611"/>
      <c r="Z54" s="703"/>
      <c r="AA54" s="865"/>
      <c r="AB54" s="865">
        <v>12</v>
      </c>
      <c r="AC54" s="21">
        <f t="shared" si="37"/>
        <v>0</v>
      </c>
      <c r="AD54" s="21"/>
      <c r="AE54" s="21">
        <f t="shared" si="10"/>
        <v>0</v>
      </c>
      <c r="AF54" s="1315"/>
      <c r="AG54" s="1317">
        <f>AF54*Z54</f>
        <v>0</v>
      </c>
      <c r="AH54" s="713"/>
      <c r="AJ54" s="632"/>
      <c r="AK54" s="1321"/>
      <c r="AL54" s="1322"/>
    </row>
    <row r="55" spans="1:38" x14ac:dyDescent="0.3">
      <c r="A55" s="97">
        <v>52</v>
      </c>
      <c r="B55" s="680"/>
      <c r="C55" s="680" t="s">
        <v>2012</v>
      </c>
      <c r="D55" s="1005"/>
      <c r="E55" s="21"/>
      <c r="F55" s="334"/>
      <c r="G55" s="21"/>
      <c r="H55" s="21"/>
      <c r="I55" s="21"/>
      <c r="J55" s="611"/>
      <c r="K55" s="91"/>
      <c r="L55" s="21"/>
      <c r="M55" s="21"/>
      <c r="N55" s="21"/>
      <c r="O55" s="21"/>
      <c r="P55" s="21"/>
      <c r="Q55" s="21"/>
      <c r="R55" s="21"/>
      <c r="S55" s="21"/>
      <c r="T55" s="611"/>
      <c r="U55" s="611"/>
      <c r="V55" s="611"/>
      <c r="W55" s="611"/>
      <c r="X55" s="611"/>
      <c r="Y55" s="611"/>
      <c r="Z55" s="1324">
        <v>0.1</v>
      </c>
      <c r="AA55" s="865" t="s">
        <v>1664</v>
      </c>
      <c r="AB55" s="865"/>
      <c r="AC55" s="21">
        <f t="shared" si="37"/>
        <v>0</v>
      </c>
      <c r="AD55" s="21"/>
      <c r="AE55" s="21">
        <f t="shared" si="10"/>
        <v>0</v>
      </c>
      <c r="AF55" s="1325">
        <f>SUM(AF4:AF53)*Z55</f>
        <v>8374.8000000000011</v>
      </c>
      <c r="AG55" s="1317">
        <f>AF55</f>
        <v>8374.8000000000011</v>
      </c>
      <c r="AH55" s="713"/>
      <c r="AJ55" s="1777" t="s">
        <v>2013</v>
      </c>
      <c r="AK55" s="1778"/>
      <c r="AL55" s="1779"/>
    </row>
    <row r="56" spans="1:38" ht="15" thickBot="1" x14ac:dyDescent="0.35">
      <c r="A56" s="97">
        <v>53</v>
      </c>
      <c r="B56" s="680" t="s">
        <v>2001</v>
      </c>
      <c r="C56" s="680" t="s">
        <v>4553</v>
      </c>
      <c r="D56" s="680"/>
      <c r="E56" s="21"/>
      <c r="F56" s="334"/>
      <c r="G56" s="21"/>
      <c r="H56" s="21"/>
      <c r="I56" s="21"/>
      <c r="J56" s="611"/>
      <c r="K56" s="91"/>
      <c r="L56" s="21"/>
      <c r="M56" s="21"/>
      <c r="N56" s="21"/>
      <c r="O56" s="21"/>
      <c r="P56" s="21"/>
      <c r="Q56" s="21"/>
      <c r="R56" s="21"/>
      <c r="S56" s="21"/>
      <c r="T56" s="611"/>
      <c r="U56" s="611"/>
      <c r="V56" s="611"/>
      <c r="W56" s="611"/>
      <c r="X56" s="611"/>
      <c r="Y56" s="611"/>
      <c r="Z56" s="703">
        <v>1</v>
      </c>
      <c r="AA56" s="865"/>
      <c r="AB56" s="865">
        <v>8</v>
      </c>
      <c r="AC56" s="21">
        <f t="shared" si="37"/>
        <v>8</v>
      </c>
      <c r="AD56" s="21"/>
      <c r="AE56" s="21">
        <f t="shared" si="10"/>
        <v>0</v>
      </c>
      <c r="AF56" s="1315"/>
      <c r="AG56" s="1317">
        <f>AF56*Z56</f>
        <v>0</v>
      </c>
      <c r="AH56" s="713"/>
      <c r="AJ56" s="660" t="s">
        <v>1099</v>
      </c>
      <c r="AK56" s="489" t="s">
        <v>339</v>
      </c>
      <c r="AL56" s="661" t="s">
        <v>341</v>
      </c>
    </row>
    <row r="57" spans="1:38" x14ac:dyDescent="0.3">
      <c r="A57" s="97">
        <v>54</v>
      </c>
      <c r="B57" s="680" t="s">
        <v>2014</v>
      </c>
      <c r="C57" s="680" t="s">
        <v>2015</v>
      </c>
      <c r="D57" s="680"/>
      <c r="E57" s="21"/>
      <c r="F57" s="334"/>
      <c r="G57" s="21"/>
      <c r="H57" s="21"/>
      <c r="I57" s="21"/>
      <c r="J57" s="611"/>
      <c r="K57" s="91"/>
      <c r="L57" s="21"/>
      <c r="M57" s="21"/>
      <c r="N57" s="21"/>
      <c r="O57" s="21"/>
      <c r="P57" s="21"/>
      <c r="Q57" s="21"/>
      <c r="R57" s="21"/>
      <c r="S57" s="21"/>
      <c r="T57" s="611"/>
      <c r="U57" s="611"/>
      <c r="V57" s="611"/>
      <c r="W57" s="611"/>
      <c r="X57" s="611"/>
      <c r="Y57" s="611"/>
      <c r="Z57" s="703"/>
      <c r="AA57" s="865"/>
      <c r="AB57" s="865"/>
      <c r="AC57" s="21">
        <f t="shared" si="37"/>
        <v>0</v>
      </c>
      <c r="AD57" s="21"/>
      <c r="AE57" s="21">
        <f t="shared" si="10"/>
        <v>0</v>
      </c>
      <c r="AF57" s="1315"/>
      <c r="AG57" s="1317">
        <f>AF57*Z57</f>
        <v>0</v>
      </c>
      <c r="AH57" s="713"/>
      <c r="AJ57" s="123" t="str">
        <f>List!BF2</f>
        <v>Loose</v>
      </c>
      <c r="AK57" s="326">
        <f>SUMPRODUCT($Z$4:$Z$43,$BR$4:$BR$43,$BK$4:$BK$43)</f>
        <v>0</v>
      </c>
      <c r="AL57" s="330">
        <f>SUMPRODUCT($Z$4:$Z$43,$BR$4:$BR$43,$BL$4:$BL$43)</f>
        <v>0</v>
      </c>
    </row>
    <row r="58" spans="1:38" x14ac:dyDescent="0.3">
      <c r="A58" s="97">
        <v>55</v>
      </c>
      <c r="B58" s="680" t="s">
        <v>2001</v>
      </c>
      <c r="C58" s="680" t="s">
        <v>4559</v>
      </c>
      <c r="D58" s="680"/>
      <c r="E58" s="21"/>
      <c r="F58" s="334"/>
      <c r="G58" s="21"/>
      <c r="H58" s="21"/>
      <c r="I58" s="21"/>
      <c r="J58" s="611"/>
      <c r="K58" s="91"/>
      <c r="L58" s="21"/>
      <c r="M58" s="21"/>
      <c r="N58" s="21"/>
      <c r="O58" s="21"/>
      <c r="P58" s="21"/>
      <c r="Q58" s="21"/>
      <c r="R58" s="21"/>
      <c r="S58" s="21"/>
      <c r="T58" s="611"/>
      <c r="U58" s="611"/>
      <c r="V58" s="611"/>
      <c r="W58" s="611"/>
      <c r="X58" s="611"/>
      <c r="Y58" s="611"/>
      <c r="Z58" s="703">
        <v>1</v>
      </c>
      <c r="AA58" s="865" t="s">
        <v>1664</v>
      </c>
      <c r="AB58" s="865">
        <v>12</v>
      </c>
      <c r="AC58" s="21">
        <f t="shared" si="37"/>
        <v>12</v>
      </c>
      <c r="AD58" s="21"/>
      <c r="AE58" s="21">
        <f t="shared" ref="AE58:AE66" si="39">AD58*Z58</f>
        <v>0</v>
      </c>
      <c r="AF58" s="1315">
        <v>22000</v>
      </c>
      <c r="AG58" s="1317">
        <f t="shared" ref="AG58:AG66" si="40">AF58*Z58</f>
        <v>22000</v>
      </c>
      <c r="AH58" s="713"/>
      <c r="AJ58" s="91" t="str">
        <f>List!BF3</f>
        <v>SKID 1 MODULO PIANO 1</v>
      </c>
      <c r="AK58" s="21">
        <f>SUMPRODUCT($Z$4:$Z$43,$BS$4:$BS$43,$BK$4:$BK$43)</f>
        <v>0</v>
      </c>
      <c r="AL58" s="331">
        <f>SUMPRODUCT($Z$4:$Z$43,$BS$4:$BS$43,$BL$4:$BL$43)</f>
        <v>0</v>
      </c>
    </row>
    <row r="59" spans="1:38" x14ac:dyDescent="0.3">
      <c r="A59" s="97">
        <v>56</v>
      </c>
      <c r="B59" s="680"/>
      <c r="C59" s="680" t="s">
        <v>4568</v>
      </c>
      <c r="D59" s="680"/>
      <c r="E59" s="21"/>
      <c r="F59" s="334"/>
      <c r="G59" s="21"/>
      <c r="H59" s="21"/>
      <c r="I59" s="21"/>
      <c r="J59" s="611"/>
      <c r="K59" s="91"/>
      <c r="L59" s="21"/>
      <c r="M59" s="21"/>
      <c r="N59" s="21"/>
      <c r="O59" s="21"/>
      <c r="P59" s="21"/>
      <c r="Q59" s="21"/>
      <c r="R59" s="21"/>
      <c r="S59" s="21"/>
      <c r="T59" s="611"/>
      <c r="U59" s="611"/>
      <c r="V59" s="611"/>
      <c r="W59" s="611"/>
      <c r="X59" s="611"/>
      <c r="Y59" s="611"/>
      <c r="Z59" s="703">
        <v>1</v>
      </c>
      <c r="AA59" s="865"/>
      <c r="AB59" s="865"/>
      <c r="AC59" s="21">
        <f t="shared" si="37"/>
        <v>0</v>
      </c>
      <c r="AD59" s="21"/>
      <c r="AE59" s="21">
        <f t="shared" si="39"/>
        <v>0</v>
      </c>
      <c r="AF59" s="1315">
        <v>6000</v>
      </c>
      <c r="AG59" s="1317">
        <f t="shared" si="40"/>
        <v>6000</v>
      </c>
      <c r="AH59" s="713"/>
      <c r="AJ59" s="91" t="str">
        <f>List!BF4</f>
        <v>SKID 1 MODULO PIANO 2</v>
      </c>
      <c r="AK59" s="21">
        <f>SUMPRODUCT($Z$4:$Z$43,$BT$4:$BT$43,$BK$4:$BK$43)</f>
        <v>0</v>
      </c>
      <c r="AL59" s="331">
        <f>SUMPRODUCT($Z$4:$Z$43,$BT$4:$BT$43,$BL$4:$BL$43)</f>
        <v>0</v>
      </c>
    </row>
    <row r="60" spans="1:38" x14ac:dyDescent="0.3">
      <c r="A60" s="97">
        <v>57</v>
      </c>
      <c r="B60" s="680"/>
      <c r="C60" s="680" t="s">
        <v>4543</v>
      </c>
      <c r="D60" s="680"/>
      <c r="E60" s="21"/>
      <c r="F60" s="334"/>
      <c r="G60" s="21"/>
      <c r="H60" s="21"/>
      <c r="I60" s="21"/>
      <c r="J60" s="611"/>
      <c r="K60" s="91"/>
      <c r="L60" s="21"/>
      <c r="M60" s="21"/>
      <c r="N60" s="21"/>
      <c r="O60" s="21"/>
      <c r="P60" s="21"/>
      <c r="Q60" s="21"/>
      <c r="R60" s="21"/>
      <c r="S60" s="21"/>
      <c r="T60" s="611"/>
      <c r="U60" s="611"/>
      <c r="V60" s="611"/>
      <c r="W60" s="611"/>
      <c r="X60" s="611"/>
      <c r="Y60" s="611"/>
      <c r="Z60" s="703">
        <v>8</v>
      </c>
      <c r="AA60" s="865" t="s">
        <v>1664</v>
      </c>
      <c r="AB60" s="865">
        <v>2</v>
      </c>
      <c r="AC60" s="21">
        <f t="shared" si="37"/>
        <v>16</v>
      </c>
      <c r="AD60" s="21"/>
      <c r="AE60" s="21">
        <f t="shared" si="39"/>
        <v>0</v>
      </c>
      <c r="AF60" s="1315">
        <v>450</v>
      </c>
      <c r="AG60" s="1317">
        <f t="shared" si="40"/>
        <v>3600</v>
      </c>
      <c r="AH60" s="713"/>
      <c r="AJ60" s="91" t="str">
        <f>List!BF5</f>
        <v>SKID 2 MODULO PIANO 1</v>
      </c>
      <c r="AK60" s="21">
        <f>SUMPRODUCT($Z$4:$Z$43,$BU$4:$BU$43,$BK$4:$BK$43)</f>
        <v>0</v>
      </c>
      <c r="AL60" s="331">
        <f>SUMPRODUCT($Z$4:$Z$43,$BU$4:$BU$43,$BL$4:$BL$43)</f>
        <v>0</v>
      </c>
    </row>
    <row r="61" spans="1:38" x14ac:dyDescent="0.3">
      <c r="A61" s="97">
        <v>58</v>
      </c>
      <c r="B61" s="680"/>
      <c r="C61" s="680" t="s">
        <v>4569</v>
      </c>
      <c r="D61" s="680"/>
      <c r="E61" s="21"/>
      <c r="F61" s="334"/>
      <c r="G61" s="21"/>
      <c r="H61" s="21"/>
      <c r="I61" s="21"/>
      <c r="J61" s="611"/>
      <c r="K61" s="91"/>
      <c r="L61" s="21"/>
      <c r="M61" s="21"/>
      <c r="N61" s="21"/>
      <c r="O61" s="21"/>
      <c r="P61" s="21"/>
      <c r="Q61" s="21"/>
      <c r="R61" s="21"/>
      <c r="S61" s="21"/>
      <c r="T61" s="611"/>
      <c r="U61" s="611"/>
      <c r="V61" s="611"/>
      <c r="W61" s="611"/>
      <c r="X61" s="611"/>
      <c r="Y61" s="611"/>
      <c r="Z61" s="703">
        <v>1</v>
      </c>
      <c r="AA61" s="865"/>
      <c r="AB61" s="865"/>
      <c r="AC61" s="21">
        <f t="shared" si="37"/>
        <v>0</v>
      </c>
      <c r="AD61" s="21"/>
      <c r="AE61" s="21">
        <f t="shared" si="39"/>
        <v>0</v>
      </c>
      <c r="AF61" s="1315">
        <v>8000</v>
      </c>
      <c r="AG61" s="1317">
        <f t="shared" si="40"/>
        <v>8000</v>
      </c>
      <c r="AH61" s="713"/>
      <c r="AJ61" s="91" t="str">
        <f>List!BF6</f>
        <v>X</v>
      </c>
      <c r="AK61" s="21">
        <f>SUMPRODUCT($Z$4:$Z$43,$BV$4:$BV$43,$BK$4:$BK$43)</f>
        <v>0</v>
      </c>
      <c r="AL61" s="331">
        <f>SUMPRODUCT($Z$4:$Z$43,$BV$4:$BV$43,$BL$4:$BL$43)</f>
        <v>0</v>
      </c>
    </row>
    <row r="62" spans="1:38" x14ac:dyDescent="0.3">
      <c r="A62" s="97">
        <v>59</v>
      </c>
      <c r="B62" s="680"/>
      <c r="C62" s="680"/>
      <c r="D62" s="680"/>
      <c r="E62" s="21"/>
      <c r="F62" s="334"/>
      <c r="G62" s="21"/>
      <c r="H62" s="21"/>
      <c r="I62" s="21"/>
      <c r="J62" s="611"/>
      <c r="K62" s="91"/>
      <c r="L62" s="21"/>
      <c r="M62" s="21"/>
      <c r="N62" s="21"/>
      <c r="O62" s="21"/>
      <c r="P62" s="21"/>
      <c r="Q62" s="21"/>
      <c r="R62" s="21"/>
      <c r="S62" s="21"/>
      <c r="T62" s="611"/>
      <c r="U62" s="611"/>
      <c r="V62" s="611"/>
      <c r="W62" s="611"/>
      <c r="X62" s="611"/>
      <c r="Y62" s="611"/>
      <c r="Z62" s="703"/>
      <c r="AA62" s="865"/>
      <c r="AB62" s="865"/>
      <c r="AC62" s="21">
        <f t="shared" si="37"/>
        <v>0</v>
      </c>
      <c r="AD62" s="21"/>
      <c r="AE62" s="21">
        <f t="shared" si="39"/>
        <v>0</v>
      </c>
      <c r="AF62" s="1315"/>
      <c r="AG62" s="1317">
        <f t="shared" si="40"/>
        <v>0</v>
      </c>
      <c r="AH62" s="713"/>
      <c r="AJ62" s="91" t="str">
        <f>List!BF7</f>
        <v>X</v>
      </c>
      <c r="AK62" s="21">
        <f>SUMPRODUCT($Z$4:$Z$43,$BW$4:$BW$43,$BK$4:$BK$43)</f>
        <v>0</v>
      </c>
      <c r="AL62" s="331">
        <f>SUMPRODUCT($Z$4:$Z$43,$BW$4:$BW$43,$BL$4:$BL$43)</f>
        <v>0</v>
      </c>
    </row>
    <row r="63" spans="1:38" x14ac:dyDescent="0.3">
      <c r="A63" s="97">
        <v>60</v>
      </c>
      <c r="B63" s="680"/>
      <c r="C63" s="680"/>
      <c r="D63" s="680"/>
      <c r="E63" s="21"/>
      <c r="F63" s="334"/>
      <c r="G63" s="21"/>
      <c r="H63" s="21"/>
      <c r="I63" s="21"/>
      <c r="J63" s="611"/>
      <c r="K63" s="91"/>
      <c r="L63" s="21"/>
      <c r="M63" s="21"/>
      <c r="N63" s="21"/>
      <c r="O63" s="21"/>
      <c r="P63" s="21"/>
      <c r="Q63" s="21"/>
      <c r="R63" s="21"/>
      <c r="S63" s="21"/>
      <c r="T63" s="611"/>
      <c r="U63" s="611"/>
      <c r="V63" s="611"/>
      <c r="W63" s="611"/>
      <c r="X63" s="611"/>
      <c r="Y63" s="611"/>
      <c r="Z63" s="703"/>
      <c r="AA63" s="865"/>
      <c r="AB63" s="865"/>
      <c r="AC63" s="21">
        <f>IFERROR(AB63*Z64,"")</f>
        <v>0</v>
      </c>
      <c r="AD63" s="21"/>
      <c r="AE63" s="21">
        <f t="shared" si="39"/>
        <v>0</v>
      </c>
      <c r="AF63" s="1315"/>
      <c r="AG63" s="1317">
        <f t="shared" si="40"/>
        <v>0</v>
      </c>
      <c r="AH63" s="713"/>
      <c r="AJ63" s="91" t="str">
        <f>List!BF8</f>
        <v>X</v>
      </c>
      <c r="AK63" s="21">
        <f>SUMPRODUCT($Z$4:$Z$43,$BX$4:$BX$43,$BK$4:$BK$43)</f>
        <v>0</v>
      </c>
      <c r="AL63" s="331">
        <f>SUMPRODUCT($Z$4:$Z$43,$BX$4:$BX$43,$BL$4:$BL$43)</f>
        <v>0</v>
      </c>
    </row>
    <row r="64" spans="1:38" x14ac:dyDescent="0.3">
      <c r="A64" s="97">
        <v>61</v>
      </c>
      <c r="B64" s="680"/>
      <c r="C64" s="680"/>
      <c r="D64" s="680"/>
      <c r="E64" s="21"/>
      <c r="F64" s="334"/>
      <c r="G64" s="21"/>
      <c r="H64" s="21"/>
      <c r="I64" s="21"/>
      <c r="J64" s="611"/>
      <c r="K64" s="91"/>
      <c r="L64" s="21"/>
      <c r="M64" s="21"/>
      <c r="N64" s="21"/>
      <c r="O64" s="21"/>
      <c r="P64" s="21"/>
      <c r="Q64" s="21"/>
      <c r="R64" s="21"/>
      <c r="S64" s="21"/>
      <c r="T64" s="611"/>
      <c r="U64" s="611"/>
      <c r="V64" s="611"/>
      <c r="W64" s="611"/>
      <c r="X64" s="611"/>
      <c r="Y64" s="611"/>
      <c r="Z64" s="703"/>
      <c r="AA64" s="865"/>
      <c r="AB64" s="865"/>
      <c r="AC64" s="21">
        <f>IFERROR(AB64*Z65,"")</f>
        <v>0</v>
      </c>
      <c r="AD64" s="21"/>
      <c r="AE64" s="21">
        <f t="shared" si="39"/>
        <v>0</v>
      </c>
      <c r="AF64" s="1315"/>
      <c r="AG64" s="1317">
        <f t="shared" si="40"/>
        <v>0</v>
      </c>
      <c r="AH64" s="713"/>
      <c r="AJ64" s="91" t="str">
        <f>List!BF9</f>
        <v>X</v>
      </c>
      <c r="AK64" s="21">
        <f>SUMPRODUCT($Z$4:$Z$43,$BY$4:$BY$43,$BK$4:$BK$43)</f>
        <v>0</v>
      </c>
      <c r="AL64" s="331">
        <f>SUMPRODUCT($Z$4:$Z$43,$BY$4:$BY$43,$BL$4:$BL$43)</f>
        <v>0</v>
      </c>
    </row>
    <row r="65" spans="1:38" x14ac:dyDescent="0.3">
      <c r="A65" s="97">
        <v>62</v>
      </c>
      <c r="B65" s="680"/>
      <c r="C65" s="680"/>
      <c r="D65" s="680"/>
      <c r="E65" s="21"/>
      <c r="F65" s="334"/>
      <c r="G65" s="21"/>
      <c r="H65" s="21"/>
      <c r="I65" s="21"/>
      <c r="J65" s="611"/>
      <c r="K65" s="91"/>
      <c r="L65" s="21"/>
      <c r="M65" s="21"/>
      <c r="N65" s="21"/>
      <c r="O65" s="21"/>
      <c r="P65" s="21"/>
      <c r="Q65" s="21"/>
      <c r="R65" s="21"/>
      <c r="S65" s="21"/>
      <c r="T65" s="611"/>
      <c r="U65" s="611"/>
      <c r="V65" s="611"/>
      <c r="W65" s="611"/>
      <c r="X65" s="611"/>
      <c r="Y65" s="611"/>
      <c r="Z65" s="703"/>
      <c r="AA65" s="865"/>
      <c r="AB65" s="865"/>
      <c r="AC65" s="21">
        <f>IFERROR(AB65*Z66,"")</f>
        <v>0</v>
      </c>
      <c r="AD65" s="21"/>
      <c r="AE65" s="21">
        <f t="shared" si="39"/>
        <v>0</v>
      </c>
      <c r="AF65" s="1315"/>
      <c r="AG65" s="1317">
        <f t="shared" si="40"/>
        <v>0</v>
      </c>
      <c r="AH65" s="713"/>
      <c r="AJ65" s="91" t="str">
        <f>List!BF10</f>
        <v>X</v>
      </c>
      <c r="AK65" s="21">
        <f>SUMPRODUCT($Z$4:$Z$43,$BZ$4:$BZ$43,$BK$4:$BK$43)</f>
        <v>0</v>
      </c>
      <c r="AL65" s="331">
        <f>SUMPRODUCT($Z$4:$Z$43,$BZ$4:$BZ$43,$BL$4:$BL$43)</f>
        <v>0</v>
      </c>
    </row>
    <row r="66" spans="1:38" x14ac:dyDescent="0.3">
      <c r="A66" s="97">
        <v>63</v>
      </c>
      <c r="B66" s="680"/>
      <c r="C66" s="680"/>
      <c r="D66" s="680"/>
      <c r="E66" s="21"/>
      <c r="F66" s="334"/>
      <c r="G66" s="21"/>
      <c r="H66" s="21"/>
      <c r="I66" s="21"/>
      <c r="J66" s="611"/>
      <c r="K66" s="91"/>
      <c r="L66" s="21"/>
      <c r="M66" s="21"/>
      <c r="N66" s="21"/>
      <c r="O66" s="21"/>
      <c r="P66" s="21"/>
      <c r="Q66" s="21"/>
      <c r="R66" s="21"/>
      <c r="S66" s="21"/>
      <c r="T66" s="611"/>
      <c r="U66" s="611"/>
      <c r="V66" s="611"/>
      <c r="W66" s="611"/>
      <c r="X66" s="611"/>
      <c r="Y66" s="611"/>
      <c r="Z66" s="703"/>
      <c r="AA66" s="865"/>
      <c r="AB66" s="865"/>
      <c r="AC66" s="21">
        <f>IFERROR(AB66*Z67,"")</f>
        <v>0</v>
      </c>
      <c r="AD66" s="21"/>
      <c r="AE66" s="21">
        <f t="shared" si="39"/>
        <v>0</v>
      </c>
      <c r="AF66" s="1315"/>
      <c r="AG66" s="1317">
        <f t="shared" si="40"/>
        <v>0</v>
      </c>
      <c r="AH66" s="713"/>
      <c r="AJ66" s="91" t="str">
        <f>List!BF11</f>
        <v>X</v>
      </c>
      <c r="AK66" s="21">
        <f>SUMPRODUCT($Z$4:$Z$43,$CA$4:$CA$43,$BK$4:$BK$43)</f>
        <v>0</v>
      </c>
      <c r="AL66" s="331">
        <f>SUMPRODUCT($Z$4:$Z$43,$CA$4:$CA$43,$BL$4:$BL$43)</f>
        <v>0</v>
      </c>
    </row>
    <row r="67" spans="1:38" x14ac:dyDescent="0.3">
      <c r="A67" s="97">
        <v>64</v>
      </c>
      <c r="B67" s="680"/>
      <c r="C67" s="680"/>
      <c r="D67" s="680"/>
      <c r="E67" s="21"/>
      <c r="F67" s="334"/>
      <c r="G67" s="21"/>
      <c r="H67" s="21"/>
      <c r="I67" s="21"/>
      <c r="J67" s="611"/>
      <c r="K67" s="91"/>
      <c r="L67" s="21"/>
      <c r="M67" s="21"/>
      <c r="N67" s="21"/>
      <c r="O67" s="21"/>
      <c r="P67" s="21"/>
      <c r="Q67" s="21"/>
      <c r="R67" s="21"/>
      <c r="S67" s="21"/>
      <c r="T67" s="611"/>
      <c r="U67" s="611"/>
      <c r="V67" s="611"/>
      <c r="W67" s="611"/>
      <c r="X67" s="611"/>
      <c r="Y67" s="611"/>
      <c r="Z67" s="703"/>
      <c r="AA67" s="865"/>
      <c r="AB67" s="865"/>
      <c r="AC67" s="21">
        <f t="shared" ref="AC67:AC72" si="41">IFERROR(AB67*Z68,"")</f>
        <v>0</v>
      </c>
      <c r="AD67" s="21"/>
      <c r="AE67" s="21">
        <f t="shared" ref="AE67:AE72" si="42">AD67*Z67</f>
        <v>0</v>
      </c>
      <c r="AF67" s="1315"/>
      <c r="AG67" s="1317">
        <f t="shared" ref="AG67:AG72" si="43">AF67*Z67</f>
        <v>0</v>
      </c>
      <c r="AH67" s="713"/>
      <c r="AJ67" s="91" t="str">
        <f>List!BF12</f>
        <v>X</v>
      </c>
      <c r="AK67" s="21">
        <f>SUMPRODUCT($Z$4:$Z$43,$CB$4:$CB$43,$BK$4:$BK$43)</f>
        <v>0</v>
      </c>
      <c r="AL67" s="331">
        <f>SUMPRODUCT($Z$4:$Z$43,$CB$4:$CB$43,$BL$4:$BL$43)</f>
        <v>0</v>
      </c>
    </row>
    <row r="68" spans="1:38" x14ac:dyDescent="0.3">
      <c r="A68" s="97">
        <v>65</v>
      </c>
      <c r="B68" s="680"/>
      <c r="C68" s="680"/>
      <c r="D68" s="680"/>
      <c r="E68" s="21"/>
      <c r="F68" s="334"/>
      <c r="G68" s="21"/>
      <c r="H68" s="21"/>
      <c r="I68" s="21"/>
      <c r="J68" s="611"/>
      <c r="K68" s="91"/>
      <c r="L68" s="21"/>
      <c r="M68" s="21"/>
      <c r="N68" s="21"/>
      <c r="O68" s="21"/>
      <c r="P68" s="21"/>
      <c r="Q68" s="21"/>
      <c r="R68" s="21"/>
      <c r="S68" s="21"/>
      <c r="T68" s="611"/>
      <c r="U68" s="611"/>
      <c r="V68" s="611"/>
      <c r="W68" s="611"/>
      <c r="X68" s="611"/>
      <c r="Y68" s="611"/>
      <c r="Z68" s="703"/>
      <c r="AA68" s="865"/>
      <c r="AB68" s="865"/>
      <c r="AC68" s="21">
        <f t="shared" si="41"/>
        <v>0</v>
      </c>
      <c r="AD68" s="21"/>
      <c r="AE68" s="21">
        <f t="shared" si="42"/>
        <v>0</v>
      </c>
      <c r="AF68" s="1315"/>
      <c r="AG68" s="1317">
        <f t="shared" si="43"/>
        <v>0</v>
      </c>
      <c r="AH68" s="713"/>
      <c r="AJ68" s="91" t="str">
        <f>List!BF13</f>
        <v>X</v>
      </c>
      <c r="AK68" s="21">
        <f t="shared" ref="AK68:AK73" si="44">SUMPRODUCT($Z$4:$Z$43,$CB$4:$CB$43,$BK$4:$BK$43)</f>
        <v>0</v>
      </c>
      <c r="AL68" s="331">
        <f>SUMPRODUCT($Z$4:$Z$43,$CC$4:$CC$43,$BL$4:$BL$43)</f>
        <v>0</v>
      </c>
    </row>
    <row r="69" spans="1:38" x14ac:dyDescent="0.3">
      <c r="A69" s="97">
        <v>66</v>
      </c>
      <c r="B69" s="680"/>
      <c r="C69" s="680"/>
      <c r="D69" s="680"/>
      <c r="E69" s="21"/>
      <c r="F69" s="334"/>
      <c r="G69" s="21"/>
      <c r="H69" s="21"/>
      <c r="I69" s="21"/>
      <c r="J69" s="611"/>
      <c r="K69" s="91"/>
      <c r="L69" s="21"/>
      <c r="M69" s="21"/>
      <c r="N69" s="21"/>
      <c r="O69" s="21"/>
      <c r="P69" s="21"/>
      <c r="Q69" s="21"/>
      <c r="R69" s="21"/>
      <c r="S69" s="21"/>
      <c r="T69" s="611"/>
      <c r="U69" s="611"/>
      <c r="V69" s="611"/>
      <c r="W69" s="611"/>
      <c r="X69" s="611"/>
      <c r="Y69" s="611"/>
      <c r="Z69" s="703"/>
      <c r="AA69" s="865"/>
      <c r="AB69" s="865"/>
      <c r="AC69" s="21">
        <f t="shared" si="41"/>
        <v>0</v>
      </c>
      <c r="AD69" s="21"/>
      <c r="AE69" s="21">
        <f t="shared" si="42"/>
        <v>0</v>
      </c>
      <c r="AF69" s="1315"/>
      <c r="AG69" s="1317">
        <f t="shared" si="43"/>
        <v>0</v>
      </c>
      <c r="AH69" s="713"/>
      <c r="AJ69" s="91" t="str">
        <f>List!BF14</f>
        <v>X</v>
      </c>
      <c r="AK69" s="21">
        <f t="shared" si="44"/>
        <v>0</v>
      </c>
      <c r="AL69" s="331">
        <f>SUMPRODUCT($Z$4:$Z$43,$CD$4:$CD$43,$BL$4:$BL$43)</f>
        <v>0</v>
      </c>
    </row>
    <row r="70" spans="1:38" x14ac:dyDescent="0.3">
      <c r="A70" s="97">
        <v>67</v>
      </c>
      <c r="B70" s="680"/>
      <c r="C70" s="680"/>
      <c r="D70" s="680"/>
      <c r="E70" s="21"/>
      <c r="F70" s="334"/>
      <c r="G70" s="21"/>
      <c r="H70" s="21"/>
      <c r="I70" s="21"/>
      <c r="J70" s="611"/>
      <c r="K70" s="91"/>
      <c r="L70" s="21"/>
      <c r="M70" s="21"/>
      <c r="N70" s="21"/>
      <c r="O70" s="21"/>
      <c r="P70" s="21"/>
      <c r="Q70" s="21"/>
      <c r="R70" s="21"/>
      <c r="S70" s="21"/>
      <c r="T70" s="611"/>
      <c r="U70" s="611"/>
      <c r="V70" s="611"/>
      <c r="W70" s="611"/>
      <c r="X70" s="611"/>
      <c r="Y70" s="611"/>
      <c r="Z70" s="703"/>
      <c r="AA70" s="865"/>
      <c r="AB70" s="865"/>
      <c r="AC70" s="21">
        <f t="shared" si="41"/>
        <v>0</v>
      </c>
      <c r="AD70" s="21"/>
      <c r="AE70" s="21">
        <f t="shared" si="42"/>
        <v>0</v>
      </c>
      <c r="AF70" s="1315"/>
      <c r="AG70" s="1317">
        <f t="shared" si="43"/>
        <v>0</v>
      </c>
      <c r="AH70" s="713"/>
      <c r="AJ70" s="91" t="str">
        <f>List!BF15</f>
        <v>X</v>
      </c>
      <c r="AK70" s="21">
        <f t="shared" si="44"/>
        <v>0</v>
      </c>
      <c r="AL70" s="331">
        <f>SUMPRODUCT($Z$4:$Z$43,$CE$4:$CE$43,$BL$4:$BL$43)</f>
        <v>0</v>
      </c>
    </row>
    <row r="71" spans="1:38" x14ac:dyDescent="0.3">
      <c r="A71" s="97">
        <v>68</v>
      </c>
      <c r="B71" s="680"/>
      <c r="C71" s="680"/>
      <c r="D71" s="680"/>
      <c r="E71" s="21"/>
      <c r="F71" s="334"/>
      <c r="G71" s="21"/>
      <c r="H71" s="21"/>
      <c r="I71" s="21"/>
      <c r="J71" s="611"/>
      <c r="K71" s="91"/>
      <c r="L71" s="21"/>
      <c r="M71" s="21"/>
      <c r="N71" s="21"/>
      <c r="O71" s="21"/>
      <c r="P71" s="21"/>
      <c r="Q71" s="21"/>
      <c r="R71" s="21"/>
      <c r="S71" s="21"/>
      <c r="T71" s="611"/>
      <c r="U71" s="611"/>
      <c r="V71" s="611"/>
      <c r="W71" s="611"/>
      <c r="X71" s="611"/>
      <c r="Y71" s="611"/>
      <c r="Z71" s="703"/>
      <c r="AA71" s="865"/>
      <c r="AB71" s="865"/>
      <c r="AC71" s="21">
        <f t="shared" si="41"/>
        <v>0</v>
      </c>
      <c r="AD71" s="21"/>
      <c r="AE71" s="21">
        <f t="shared" si="42"/>
        <v>0</v>
      </c>
      <c r="AF71" s="1315"/>
      <c r="AG71" s="1317">
        <f t="shared" si="43"/>
        <v>0</v>
      </c>
      <c r="AH71" s="713"/>
      <c r="AJ71" s="91" t="str">
        <f>List!BF16</f>
        <v>X</v>
      </c>
      <c r="AK71" s="21">
        <f t="shared" si="44"/>
        <v>0</v>
      </c>
      <c r="AL71" s="331">
        <f>SUMPRODUCT($Z$4:$Z$43,$CF$4:$CF$43,$BL$4:$BL$43)</f>
        <v>0</v>
      </c>
    </row>
    <row r="72" spans="1:38" x14ac:dyDescent="0.3">
      <c r="A72" s="97">
        <v>69</v>
      </c>
      <c r="B72" s="680"/>
      <c r="C72" s="680"/>
      <c r="D72" s="680"/>
      <c r="E72" s="21"/>
      <c r="F72" s="334"/>
      <c r="G72" s="21"/>
      <c r="H72" s="21"/>
      <c r="I72" s="21"/>
      <c r="J72" s="611"/>
      <c r="K72" s="91"/>
      <c r="L72" s="21"/>
      <c r="M72" s="21"/>
      <c r="N72" s="21"/>
      <c r="O72" s="21"/>
      <c r="P72" s="21"/>
      <c r="Q72" s="21"/>
      <c r="R72" s="21"/>
      <c r="S72" s="21"/>
      <c r="T72" s="611"/>
      <c r="U72" s="611"/>
      <c r="V72" s="611"/>
      <c r="W72" s="611"/>
      <c r="X72" s="611"/>
      <c r="Y72" s="611"/>
      <c r="Z72" s="703"/>
      <c r="AA72" s="865"/>
      <c r="AB72" s="865"/>
      <c r="AC72" s="21">
        <f t="shared" si="41"/>
        <v>0</v>
      </c>
      <c r="AD72" s="21"/>
      <c r="AE72" s="21">
        <f t="shared" si="42"/>
        <v>0</v>
      </c>
      <c r="AF72" s="1315"/>
      <c r="AG72" s="1317">
        <f t="shared" si="43"/>
        <v>0</v>
      </c>
      <c r="AH72" s="713"/>
      <c r="AJ72" s="91" t="str">
        <f>List!BF17</f>
        <v>X</v>
      </c>
      <c r="AK72" s="21">
        <f t="shared" si="44"/>
        <v>0</v>
      </c>
      <c r="AL72" s="331">
        <f>SUMPRODUCT($Z$4:$Z$43,$CG$4:$CG$43,$BL$4:$BL$43)</f>
        <v>0</v>
      </c>
    </row>
    <row r="73" spans="1:38" ht="15" thickBot="1" x14ac:dyDescent="0.35">
      <c r="A73" s="1326">
        <v>70</v>
      </c>
      <c r="B73" s="680"/>
      <c r="C73" s="680"/>
      <c r="D73" s="681"/>
      <c r="E73" s="23"/>
      <c r="F73" s="335"/>
      <c r="G73" s="23"/>
      <c r="H73" s="23"/>
      <c r="I73" s="23"/>
      <c r="J73" s="779"/>
      <c r="K73" s="94"/>
      <c r="L73" s="23"/>
      <c r="M73" s="23"/>
      <c r="N73" s="23"/>
      <c r="O73" s="23"/>
      <c r="P73" s="23"/>
      <c r="Q73" s="23"/>
      <c r="R73" s="23"/>
      <c r="S73" s="23"/>
      <c r="T73" s="779"/>
      <c r="U73" s="779"/>
      <c r="V73" s="779"/>
      <c r="W73" s="779"/>
      <c r="X73" s="779"/>
      <c r="Y73" s="779"/>
      <c r="Z73" s="704"/>
      <c r="AA73" s="869"/>
      <c r="AB73" s="869"/>
      <c r="AC73" s="23" t="str">
        <f>IFERROR(AB73*#REF!,"")</f>
        <v/>
      </c>
      <c r="AD73" s="23"/>
      <c r="AE73" s="23">
        <f>AD73*Z73</f>
        <v>0</v>
      </c>
      <c r="AF73" s="1318"/>
      <c r="AG73" s="1319">
        <f>AF73*Z73</f>
        <v>0</v>
      </c>
      <c r="AH73" s="714"/>
      <c r="AJ73" s="94" t="s">
        <v>1106</v>
      </c>
      <c r="AK73" s="23">
        <f t="shared" si="44"/>
        <v>0</v>
      </c>
      <c r="AL73" s="332">
        <f>SUMPRODUCT($Z$4:$Z$43,$CH$4:$CH$43,$BL$4:$BL$43)</f>
        <v>1</v>
      </c>
    </row>
  </sheetData>
  <sheetProtection algorithmName="SHA-512" hashValue="9ZYhay8DYFZVNop4ja7Od2D3PFrchu5tx6ZpC4l0D52gtNjysgmohD1fUwPbYAI2CbkJdczs8EesqFJN/GuMnA==" saltValue="P4lujZKEh4BK5L1Tte7fNw==" spinCount="100000" sheet="1" autoFilter="0"/>
  <autoFilter ref="A3:EC73" xr:uid="{00000000-0009-0000-0000-00000C000000}"/>
  <mergeCells count="15">
    <mergeCell ref="AJ55:AL55"/>
    <mergeCell ref="H2:H3"/>
    <mergeCell ref="I2:I3"/>
    <mergeCell ref="A2:A3"/>
    <mergeCell ref="B2:B3"/>
    <mergeCell ref="C2:C3"/>
    <mergeCell ref="E2:E3"/>
    <mergeCell ref="G2:G3"/>
    <mergeCell ref="D2:D3"/>
    <mergeCell ref="AL2:AL3"/>
    <mergeCell ref="J2:J3"/>
    <mergeCell ref="AJ2:AJ3"/>
    <mergeCell ref="AH2:AH3"/>
    <mergeCell ref="AA2:AA3"/>
    <mergeCell ref="K2:Y2"/>
  </mergeCells>
  <conditionalFormatting sqref="A51:D73">
    <cfRule type="cellIs" dxfId="272" priority="216" operator="equal">
      <formula>0</formula>
    </cfRule>
  </conditionalFormatting>
  <conditionalFormatting sqref="A44:J50">
    <cfRule type="cellIs" dxfId="271" priority="415" operator="equal">
      <formula>0</formula>
    </cfRule>
  </conditionalFormatting>
  <conditionalFormatting sqref="A1:AK1">
    <cfRule type="cellIs" dxfId="270" priority="605" operator="equal">
      <formula>0</formula>
    </cfRule>
  </conditionalFormatting>
  <conditionalFormatting sqref="B19:C41">
    <cfRule type="cellIs" dxfId="269" priority="1" operator="equal">
      <formula>0</formula>
    </cfRule>
  </conditionalFormatting>
  <conditionalFormatting sqref="B4:D18">
    <cfRule type="cellIs" dxfId="268" priority="29" operator="equal">
      <formula>0</formula>
    </cfRule>
  </conditionalFormatting>
  <conditionalFormatting sqref="B42:F43">
    <cfRule type="cellIs" dxfId="267" priority="279" operator="equal">
      <formula>0</formula>
    </cfRule>
  </conditionalFormatting>
  <conditionalFormatting sqref="D19:D31">
    <cfRule type="cellIs" dxfId="266" priority="3" operator="equal">
      <formula>0</formula>
    </cfRule>
  </conditionalFormatting>
  <conditionalFormatting sqref="D33:D41">
    <cfRule type="cellIs" dxfId="265" priority="55" operator="equal">
      <formula>0</formula>
    </cfRule>
  </conditionalFormatting>
  <conditionalFormatting sqref="D32:F32 F33">
    <cfRule type="cellIs" dxfId="264" priority="214" operator="equal">
      <formula>0</formula>
    </cfRule>
  </conditionalFormatting>
  <conditionalFormatting sqref="E33:E35">
    <cfRule type="cellIs" dxfId="263" priority="35" operator="equal">
      <formula>0</formula>
    </cfRule>
  </conditionalFormatting>
  <conditionalFormatting sqref="E4:F31">
    <cfRule type="cellIs" dxfId="262" priority="5" operator="equal">
      <formula>0</formula>
    </cfRule>
  </conditionalFormatting>
  <conditionalFormatting sqref="E34:F41">
    <cfRule type="cellIs" dxfId="261" priority="56" operator="equal">
      <formula>0</formula>
    </cfRule>
  </conditionalFormatting>
  <conditionalFormatting sqref="G4:J43">
    <cfRule type="cellIs" dxfId="260" priority="112" operator="equal">
      <formula>0</formula>
    </cfRule>
  </conditionalFormatting>
  <conditionalFormatting sqref="K4:K15">
    <cfRule type="cellIs" dxfId="259" priority="96" operator="equal">
      <formula>0</formula>
    </cfRule>
  </conditionalFormatting>
  <conditionalFormatting sqref="K21">
    <cfRule type="cellIs" dxfId="258" priority="48" operator="equal">
      <formula>0</formula>
    </cfRule>
  </conditionalFormatting>
  <conditionalFormatting sqref="K11:L20">
    <cfRule type="cellIs" dxfId="257" priority="49" operator="equal">
      <formula>0</formula>
    </cfRule>
  </conditionalFormatting>
  <conditionalFormatting sqref="K21:W40">
    <cfRule type="cellIs" dxfId="256" priority="97" operator="equal">
      <formula>0</formula>
    </cfRule>
  </conditionalFormatting>
  <conditionalFormatting sqref="K2:Y4">
    <cfRule type="cellIs" dxfId="255" priority="50" operator="equal">
      <formula>0</formula>
    </cfRule>
  </conditionalFormatting>
  <conditionalFormatting sqref="L5:L10">
    <cfRule type="cellIs" dxfId="254" priority="108" operator="equal">
      <formula>0</formula>
    </cfRule>
  </conditionalFormatting>
  <conditionalFormatting sqref="L5:W20">
    <cfRule type="cellIs" dxfId="253" priority="39" operator="equal">
      <formula>0</formula>
    </cfRule>
  </conditionalFormatting>
  <conditionalFormatting sqref="Z50:Z59">
    <cfRule type="cellIs" dxfId="252" priority="79" operator="equal">
      <formula>0</formula>
    </cfRule>
  </conditionalFormatting>
  <conditionalFormatting sqref="AA2:AH3">
    <cfRule type="cellIs" dxfId="251" priority="571" operator="equal">
      <formula>0</formula>
    </cfRule>
  </conditionalFormatting>
  <conditionalFormatting sqref="AB44:AB73">
    <cfRule type="cellIs" dxfId="250" priority="246" operator="equal">
      <formula>0</formula>
    </cfRule>
  </conditionalFormatting>
  <conditionalFormatting sqref="AB4:AF38">
    <cfRule type="cellIs" dxfId="249" priority="84" operator="equal">
      <formula>0</formula>
    </cfRule>
  </conditionalFormatting>
  <conditionalFormatting sqref="AD47:AE58 AM51:AN67 AX51:AZ67 AD59:AI62 AC63:AI67 AC66:AH73">
    <cfRule type="cellIs" dxfId="248" priority="444" operator="equal">
      <formula>0</formula>
    </cfRule>
  </conditionalFormatting>
  <conditionalFormatting sqref="AF44:AI58">
    <cfRule type="cellIs" dxfId="247" priority="81" operator="equal">
      <formula>0</formula>
    </cfRule>
  </conditionalFormatting>
  <conditionalFormatting sqref="AG11:AH38 X15:Z40 AB39:AH43">
    <cfRule type="cellIs" dxfId="246" priority="599" operator="equal">
      <formula>0</formula>
    </cfRule>
  </conditionalFormatting>
  <conditionalFormatting sqref="AH4:AH15">
    <cfRule type="cellIs" dxfId="245" priority="396" operator="equal">
      <formula>0</formula>
    </cfRule>
  </conditionalFormatting>
  <conditionalFormatting sqref="AJ55:AJ56">
    <cfRule type="cellIs" dxfId="244" priority="485" operator="equal">
      <formula>0</formula>
    </cfRule>
  </conditionalFormatting>
  <conditionalFormatting sqref="AJ2:AK54">
    <cfRule type="cellIs" dxfId="243" priority="409" operator="equal">
      <formula>0</formula>
    </cfRule>
  </conditionalFormatting>
  <conditionalFormatting sqref="AJ57:AL73">
    <cfRule type="cellIs" dxfId="242" priority="237" operator="equal">
      <formula>0</formula>
    </cfRule>
  </conditionalFormatting>
  <conditionalFormatting sqref="AK56">
    <cfRule type="cellIs" dxfId="241" priority="484" operator="equal">
      <formula>0</formula>
    </cfRule>
  </conditionalFormatting>
  <conditionalFormatting sqref="AL4:AL54">
    <cfRule type="cellIs" dxfId="240" priority="410" operator="equal">
      <formula>0</formula>
    </cfRule>
  </conditionalFormatting>
  <conditionalFormatting sqref="AM1 AL1:AL2 A2:J2 Z2:Z14 A3:G3 AG4:AG10 A4:A43 X5:Y14 AI17:AI43 K41:Z49 AC44:AE46 AM47:AM50 AC47:AC62 AN48 AX48:AZ48 AN49:AZ50 K50:Y50 E51:Y59 E60:Z72 D68:AI73 AM68:AZ73 A74:AZ1048576">
    <cfRule type="cellIs" dxfId="239" priority="609" operator="equal">
      <formula>0</formula>
    </cfRule>
  </conditionalFormatting>
  <conditionalFormatting sqref="AM4:AM44">
    <cfRule type="cellIs" dxfId="238" priority="607" operator="equal">
      <formula>0</formula>
    </cfRule>
  </conditionalFormatting>
  <conditionalFormatting sqref="AN1:AZ47">
    <cfRule type="cellIs" dxfId="237" priority="547" operator="equal">
      <formula>0</formula>
    </cfRule>
  </conditionalFormatting>
  <conditionalFormatting sqref="BA1:XFD1048576">
    <cfRule type="cellIs" dxfId="236" priority="221" operator="equal">
      <formula>0</formula>
    </cfRule>
  </conditionalFormatting>
  <dataValidations count="6">
    <dataValidation type="list" allowBlank="1" showInputMessage="1" showErrorMessage="1" sqref="B36:B42 B4:B28 B30:B34" xr:uid="{00000000-0002-0000-0C00-000000000000}">
      <formula1>Instrument_type</formula1>
    </dataValidation>
    <dataValidation type="list" allowBlank="1" showInputMessage="1" showErrorMessage="1" sqref="C4:C28 C30:C42" xr:uid="{00000000-0002-0000-0C00-000001000000}">
      <formula1>INDIRECT($B4)</formula1>
    </dataValidation>
    <dataValidation type="list" allowBlank="1" showInputMessage="1" showErrorMessage="1" sqref="E36:E42 E33:E34 E4:E28 E30:E31" xr:uid="{00000000-0002-0000-0C00-000002000000}">
      <formula1>Piping_Class</formula1>
    </dataValidation>
    <dataValidation type="list" allowBlank="1" showInputMessage="1" showErrorMessage="1" sqref="I4:I43" xr:uid="{00000000-0002-0000-0C00-000003000000}">
      <formula1>System</formula1>
    </dataValidation>
    <dataValidation type="list" allowBlank="1" showInputMessage="1" showErrorMessage="1" sqref="F4:F28 F30:F43" xr:uid="{00000000-0002-0000-0C00-000004000000}">
      <formula1>DN</formula1>
    </dataValidation>
    <dataValidation type="list" allowBlank="1" showInputMessage="1" showErrorMessage="1" sqref="AA4:AA73" xr:uid="{00000000-0002-0000-0C00-000005000000}">
      <formula1>Skid_section</formula1>
    </dataValidation>
  </dataValidations>
  <pageMargins left="0.70866141732283472" right="0.70866141732283472" top="0.74803149606299213" bottom="0.74803149606299213" header="0.31496062992125984" footer="0.31496062992125984"/>
  <pageSetup scale="21" fitToHeight="0" orientation="portrait" r:id="rId1"/>
  <headerFooter>
    <oddHeader>&amp;LMCE Vers. 1.0&amp;C&amp;F&amp;R&amp;"Calibri,Normale"&amp;8 Document classified as: 2 - Company Confidential&amp;1#</oddHeader>
    <oddFooter>&amp;C&amp;A - &amp;P&amp;R&amp;D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oglio10">
    <tabColor theme="4" tint="-0.249977111117893"/>
    <pageSetUpPr fitToPage="1"/>
  </sheetPr>
  <dimension ref="A1:DN99"/>
  <sheetViews>
    <sheetView zoomScaleNormal="100" workbookViewId="0">
      <pane xSplit="7" ySplit="2" topLeftCell="AT3" activePane="bottomRight" state="frozenSplit"/>
      <selection pane="topRight" activeCell="H1" sqref="H1"/>
      <selection pane="bottomLeft" activeCell="A3" sqref="A3"/>
      <selection pane="bottomRight" activeCell="AZ5" sqref="AZ5"/>
    </sheetView>
  </sheetViews>
  <sheetFormatPr defaultRowHeight="14.4" x14ac:dyDescent="0.3"/>
  <cols>
    <col min="1" max="1" width="4.77734375" bestFit="1" customWidth="1"/>
    <col min="2" max="2" width="6" customWidth="1"/>
    <col min="3" max="3" width="18" customWidth="1"/>
    <col min="4" max="4" width="6.44140625" customWidth="1"/>
    <col min="5" max="5" width="14" bestFit="1" customWidth="1"/>
    <col min="6" max="6" width="16.77734375" customWidth="1"/>
    <col min="7" max="7" width="6.5546875" customWidth="1"/>
    <col min="8" max="8" width="19.44140625" customWidth="1"/>
    <col min="9" max="9" width="16.44140625" customWidth="1"/>
    <col min="10" max="10" width="9.77734375" style="2" customWidth="1"/>
    <col min="11" max="11" width="18.77734375" customWidth="1"/>
    <col min="12" max="12" width="9" customWidth="1"/>
    <col min="13" max="13" width="11.77734375" customWidth="1"/>
    <col min="14" max="14" width="10" customWidth="1"/>
    <col min="15" max="16" width="10.21875" customWidth="1"/>
    <col min="17" max="17" width="25" customWidth="1"/>
    <col min="18" max="18" width="18.21875" customWidth="1"/>
    <col min="19" max="19" width="11.21875" customWidth="1"/>
    <col min="20" max="20" width="13.77734375" customWidth="1"/>
    <col min="21" max="21" width="11.77734375" customWidth="1"/>
    <col min="22" max="23" width="9.21875" customWidth="1"/>
    <col min="24" max="24" width="13.21875" customWidth="1"/>
    <col min="25" max="25" width="9.77734375" customWidth="1"/>
    <col min="26" max="26" width="12.5546875" customWidth="1"/>
    <col min="27" max="27" width="6.77734375" customWidth="1"/>
    <col min="28" max="28" width="20" style="3" customWidth="1"/>
    <col min="29" max="29" width="11.5546875" style="3" customWidth="1"/>
    <col min="30" max="30" width="9.77734375" style="3" customWidth="1"/>
    <col min="31" max="31" width="9.77734375" customWidth="1"/>
    <col min="32" max="32" width="11.5546875" customWidth="1"/>
    <col min="33" max="33" width="9.21875" customWidth="1"/>
    <col min="34" max="34" width="8.77734375" customWidth="1"/>
    <col min="35" max="39" width="9.21875" customWidth="1"/>
    <col min="40" max="46" width="9.44140625" customWidth="1"/>
    <col min="47" max="47" width="10.21875" customWidth="1"/>
    <col min="49" max="49" width="20.21875" customWidth="1"/>
    <col min="50" max="51" width="11" customWidth="1"/>
    <col min="52" max="52" width="13.21875" bestFit="1" customWidth="1"/>
    <col min="53" max="53" width="14.44140625" bestFit="1" customWidth="1"/>
    <col min="54" max="54" width="9.21875" customWidth="1"/>
    <col min="55" max="55" width="10.21875" hidden="1" customWidth="1"/>
    <col min="56" max="56" width="11" hidden="1" customWidth="1"/>
    <col min="57" max="118" width="8.77734375" hidden="1" customWidth="1"/>
    <col min="119" max="120" width="8.77734375" customWidth="1"/>
  </cols>
  <sheetData>
    <row r="1" spans="1:118" s="3" customFormat="1" ht="36" customHeight="1" x14ac:dyDescent="0.3">
      <c r="A1" s="1794" t="s">
        <v>366</v>
      </c>
      <c r="B1" s="1796" t="s">
        <v>2016</v>
      </c>
      <c r="C1" s="1794" t="s">
        <v>58</v>
      </c>
      <c r="D1" s="1428" t="s">
        <v>59</v>
      </c>
      <c r="E1" s="1428" t="s">
        <v>2017</v>
      </c>
      <c r="F1" s="1798" t="s">
        <v>110</v>
      </c>
      <c r="G1" s="1794" t="s">
        <v>114</v>
      </c>
      <c r="H1" s="1792" t="s">
        <v>115</v>
      </c>
      <c r="I1" s="1792" t="s">
        <v>116</v>
      </c>
      <c r="J1" s="1792" t="s">
        <v>131</v>
      </c>
      <c r="K1" s="1800" t="s">
        <v>118</v>
      </c>
      <c r="L1" s="1800" t="s">
        <v>86</v>
      </c>
      <c r="M1" s="1800" t="s">
        <v>119</v>
      </c>
      <c r="N1" s="1796" t="s">
        <v>120</v>
      </c>
      <c r="O1" s="1800" t="s">
        <v>121</v>
      </c>
      <c r="P1" s="1792" t="s">
        <v>122</v>
      </c>
      <c r="Q1" s="1792" t="s">
        <v>123</v>
      </c>
      <c r="R1" s="1792" t="s">
        <v>132</v>
      </c>
      <c r="S1" s="1800" t="s">
        <v>124</v>
      </c>
      <c r="T1" s="1802" t="s">
        <v>125</v>
      </c>
      <c r="U1" s="1794" t="s">
        <v>126</v>
      </c>
      <c r="V1" s="1792" t="s">
        <v>85</v>
      </c>
      <c r="W1" s="1792" t="s">
        <v>127</v>
      </c>
      <c r="X1" s="1802" t="s">
        <v>128</v>
      </c>
      <c r="Y1" s="1430" t="s">
        <v>2018</v>
      </c>
      <c r="Z1" s="1430" t="s">
        <v>2019</v>
      </c>
      <c r="AA1" s="1430" t="s">
        <v>2020</v>
      </c>
      <c r="AB1" s="1792" t="s">
        <v>2021</v>
      </c>
      <c r="AC1" s="1428" t="s">
        <v>2022</v>
      </c>
      <c r="AD1" s="1428" t="s">
        <v>2023</v>
      </c>
      <c r="AE1" s="1798" t="s">
        <v>103</v>
      </c>
      <c r="AF1" s="1804" t="s">
        <v>1655</v>
      </c>
      <c r="AG1" s="1791" t="s">
        <v>1919</v>
      </c>
      <c r="AH1" s="1791"/>
      <c r="AI1" s="1791"/>
      <c r="AJ1" s="1791"/>
      <c r="AK1" s="1791"/>
      <c r="AL1" s="1791"/>
      <c r="AM1" s="1791"/>
      <c r="AN1" s="1791"/>
      <c r="AO1" s="1791"/>
      <c r="AP1" s="1791"/>
      <c r="AQ1" s="1791"/>
      <c r="AR1" s="1791"/>
      <c r="AS1" s="1791"/>
      <c r="AT1" s="1791"/>
      <c r="AU1" s="1791"/>
      <c r="AV1" s="1804" t="s">
        <v>2024</v>
      </c>
      <c r="AW1" s="1782" t="s">
        <v>1871</v>
      </c>
      <c r="AX1" s="1430" t="s">
        <v>184</v>
      </c>
      <c r="AY1" s="1428" t="s">
        <v>313</v>
      </c>
      <c r="AZ1" s="1428" t="s">
        <v>1873</v>
      </c>
      <c r="BA1" s="1547" t="s">
        <v>1874</v>
      </c>
      <c r="BC1" s="1428" t="s">
        <v>2025</v>
      </c>
      <c r="BD1" s="399"/>
    </row>
    <row r="2" spans="1:118" s="3" customFormat="1" ht="39.6" customHeight="1" thickBot="1" x14ac:dyDescent="0.35">
      <c r="A2" s="1795"/>
      <c r="B2" s="1797"/>
      <c r="C2" s="1795"/>
      <c r="D2" s="338" t="s">
        <v>214</v>
      </c>
      <c r="E2" s="338" t="s">
        <v>2026</v>
      </c>
      <c r="F2" s="1799"/>
      <c r="G2" s="1795"/>
      <c r="H2" s="1793"/>
      <c r="I2" s="1793"/>
      <c r="J2" s="1793"/>
      <c r="K2" s="1801"/>
      <c r="L2" s="1801"/>
      <c r="M2" s="1801"/>
      <c r="N2" s="1797"/>
      <c r="O2" s="1801"/>
      <c r="P2" s="1793"/>
      <c r="Q2" s="1793"/>
      <c r="R2" s="1793"/>
      <c r="S2" s="1801"/>
      <c r="T2" s="1803"/>
      <c r="U2" s="1795"/>
      <c r="V2" s="1793"/>
      <c r="W2" s="1793"/>
      <c r="X2" s="1803"/>
      <c r="Y2" s="339" t="s">
        <v>2027</v>
      </c>
      <c r="Z2" s="339" t="s">
        <v>177</v>
      </c>
      <c r="AA2" s="339" t="s">
        <v>177</v>
      </c>
      <c r="AB2" s="1793"/>
      <c r="AC2" s="340" t="s">
        <v>93</v>
      </c>
      <c r="AD2" s="340" t="s">
        <v>93</v>
      </c>
      <c r="AE2" s="1799"/>
      <c r="AF2" s="1805"/>
      <c r="AG2" s="688" t="s">
        <v>2028</v>
      </c>
      <c r="AH2" s="688" t="s">
        <v>2029</v>
      </c>
      <c r="AI2" s="688" t="s">
        <v>2030</v>
      </c>
      <c r="AJ2" s="688" t="s">
        <v>2031</v>
      </c>
      <c r="AK2" s="688" t="s">
        <v>2032</v>
      </c>
      <c r="AL2" s="688" t="s">
        <v>2033</v>
      </c>
      <c r="AM2" s="688" t="s">
        <v>2034</v>
      </c>
      <c r="AN2" s="688" t="s">
        <v>2035</v>
      </c>
      <c r="AO2" s="688" t="s">
        <v>2036</v>
      </c>
      <c r="AP2" s="688" t="s">
        <v>2037</v>
      </c>
      <c r="AQ2" s="688" t="s">
        <v>2038</v>
      </c>
      <c r="AR2" s="688" t="s">
        <v>2039</v>
      </c>
      <c r="AS2" s="688" t="s">
        <v>2040</v>
      </c>
      <c r="AT2" s="688" t="s">
        <v>2041</v>
      </c>
      <c r="AU2" s="688" t="s">
        <v>2042</v>
      </c>
      <c r="AV2" s="1805"/>
      <c r="AW2" s="1783"/>
      <c r="AX2" s="339" t="s">
        <v>222</v>
      </c>
      <c r="AY2" s="338" t="s">
        <v>222</v>
      </c>
      <c r="AZ2" s="338" t="s">
        <v>375</v>
      </c>
      <c r="BA2" s="341" t="s">
        <v>375</v>
      </c>
      <c r="BC2" s="338" t="s">
        <v>222</v>
      </c>
      <c r="BD2" s="400"/>
      <c r="BE2" s="1542">
        <v>0.5</v>
      </c>
      <c r="BF2" s="1542">
        <v>0.75</v>
      </c>
      <c r="BG2" s="1542">
        <v>1</v>
      </c>
      <c r="BH2" s="1542">
        <v>1.5</v>
      </c>
      <c r="BI2" s="1542">
        <v>2</v>
      </c>
      <c r="BJ2" s="1542">
        <v>2.5</v>
      </c>
      <c r="BK2" s="1542">
        <v>3</v>
      </c>
      <c r="BL2" s="1542">
        <v>4</v>
      </c>
      <c r="BM2" s="1542">
        <v>6</v>
      </c>
      <c r="BN2" s="1542">
        <v>8</v>
      </c>
      <c r="BO2" s="1542">
        <v>10</v>
      </c>
      <c r="BP2" s="1542">
        <v>12</v>
      </c>
      <c r="BQ2" s="1542">
        <v>14</v>
      </c>
      <c r="BR2" s="1542">
        <v>16</v>
      </c>
      <c r="BS2" s="1542">
        <v>18</v>
      </c>
      <c r="BT2" s="1542">
        <v>20</v>
      </c>
      <c r="BU2" s="1542">
        <v>22</v>
      </c>
      <c r="BV2" s="1542">
        <v>24</v>
      </c>
      <c r="BX2" s="1542" t="str">
        <f>List!$BH$2</f>
        <v>CS-150#</v>
      </c>
      <c r="BY2" s="1542" t="str">
        <f>List!$BH$3</f>
        <v>SS-300#</v>
      </c>
      <c r="BZ2" s="1542" t="str">
        <f>List!$BH$4</f>
        <v>X</v>
      </c>
      <c r="CA2" s="1542" t="str">
        <f>List!$BH$5</f>
        <v>X</v>
      </c>
      <c r="CB2" s="1542" t="str">
        <f>List!$BH$6</f>
        <v>X</v>
      </c>
      <c r="CC2" s="1542" t="str">
        <f>List!$BH$7</f>
        <v>X</v>
      </c>
      <c r="CD2" s="1542" t="str">
        <f>List!$BH$8</f>
        <v>X</v>
      </c>
      <c r="CE2" s="1542" t="str">
        <f>List!$BH$9</f>
        <v>X</v>
      </c>
      <c r="CF2" s="1542" t="str">
        <f>List!$BH$10</f>
        <v>X</v>
      </c>
      <c r="CG2" s="1542" t="str">
        <f>List!$BH$11</f>
        <v>X</v>
      </c>
      <c r="CH2" s="1542" t="str">
        <f>List!$BH$12</f>
        <v>X</v>
      </c>
      <c r="CI2" s="1542" t="str">
        <f>List!$BH$13</f>
        <v>X</v>
      </c>
      <c r="CJ2" s="1542" t="str">
        <f>List!$BH$14</f>
        <v>X</v>
      </c>
      <c r="CL2" s="1542" t="s">
        <v>99</v>
      </c>
      <c r="CM2" s="1542" t="s">
        <v>102</v>
      </c>
      <c r="CN2" s="1542" t="s">
        <v>1900</v>
      </c>
      <c r="CO2" s="1542" t="s">
        <v>1901</v>
      </c>
      <c r="CQ2" s="1542" t="str">
        <f>List!$BF$2</f>
        <v>Loose</v>
      </c>
      <c r="CR2" s="1542" t="str">
        <f>List!$BF$3</f>
        <v>SKID 1 MODULO PIANO 1</v>
      </c>
      <c r="CS2" s="1542" t="str">
        <f>List!$BF$4</f>
        <v>SKID 1 MODULO PIANO 2</v>
      </c>
      <c r="CT2" s="1542" t="str">
        <f>List!$BF$5</f>
        <v>SKID 2 MODULO PIANO 1</v>
      </c>
      <c r="CU2" s="1542" t="str">
        <f>List!$BF$6</f>
        <v>X</v>
      </c>
      <c r="CV2" s="1542" t="str">
        <f>List!$BF$7</f>
        <v>X</v>
      </c>
      <c r="CW2" s="1542" t="str">
        <f>List!$BF$8</f>
        <v>X</v>
      </c>
      <c r="CX2" s="1542" t="str">
        <f>List!$BF$9</f>
        <v>X</v>
      </c>
      <c r="CY2" s="1542" t="str">
        <f>List!$BF$10</f>
        <v>X</v>
      </c>
      <c r="CZ2" s="1542" t="str">
        <f>List!$BF$11</f>
        <v>X</v>
      </c>
      <c r="DA2" s="1542" t="str">
        <f>List!$BF$12</f>
        <v>X</v>
      </c>
      <c r="DB2" s="1542" t="str">
        <f>List!$BF$13</f>
        <v>X</v>
      </c>
      <c r="DC2" s="1542" t="str">
        <f>List!$BF$14</f>
        <v>X</v>
      </c>
      <c r="DD2" s="1542" t="str">
        <f>List!$BF$15</f>
        <v>X</v>
      </c>
      <c r="DE2" s="1542" t="str">
        <f>List!$BF$16</f>
        <v>X</v>
      </c>
      <c r="DF2" s="1542" t="str">
        <f>List!$BF$17</f>
        <v>X</v>
      </c>
      <c r="DG2" s="1542" t="s">
        <v>1905</v>
      </c>
      <c r="DI2" s="1542">
        <v>150</v>
      </c>
      <c r="DJ2" s="1542">
        <v>300</v>
      </c>
      <c r="DK2" s="1542">
        <v>600</v>
      </c>
      <c r="DL2" s="1542">
        <v>900</v>
      </c>
      <c r="DM2" s="1542">
        <v>1500</v>
      </c>
      <c r="DN2" s="1542">
        <v>2500</v>
      </c>
    </row>
    <row r="3" spans="1:118" x14ac:dyDescent="0.3">
      <c r="A3" s="284">
        <v>1</v>
      </c>
      <c r="B3" s="324">
        <f t="shared" ref="B3:B34" si="0">IFERROR(MATCH(CONCATENATE(F3,".",C3,".",E3,".",D3),DN_0.5,0),0)+IFERROR(MATCH(CONCATENATE(F3,".",C3,".",E3,".",D3),DN_0.75,0),0)+IFERROR(MATCH(CONCATENATE(F3,".",C3,".",E3,".",D3),DN_1,0),0)+IFERROR(MATCH(CONCATENATE(F3,".",C3,".",E3,".",D3),DN_1.5,0),0)+IFERROR(MATCH(CONCATENATE(F3,".",C3,".",E3,".",D3),DN_10,0),0)+IFERROR(MATCH(CONCATENATE(F3,".",C3,".",E3,".",D3),DN_12,0),0)+IFERROR(MATCH(CONCATENATE(F3,".",C3,".",E3,".",D3),DN_14,0),0)+IFERROR(MATCH(CONCATENATE(F3,".",C3,".",E3,".",D3),DN_16,0),0)+IFERROR(MATCH(CONCATENATE(F3,".",C3,".",E3,".",D3),DN_18,0),0)+IFERROR(MATCH(CONCATENATE(F3,".",C3,".",E3,".",D3),DN_2,0),0)+IFERROR(MATCH(CONCATENATE(F3,".",C3,".",E3,".",D3),DN_2.5,0),0)+IFERROR(MATCH(CONCATENATE(F3,".",C3,".",E3,".",D3),DN_20,0),0)+IFERROR(MATCH(CONCATENATE(F3,".",C3,".",E3,".",D3),DN_22,0),0)+IFERROR(MATCH(CONCATENATE(F3,".",C3,".",E3,".",D3),DN_24,0),0)+IFERROR(MATCH(CONCATENATE(F3,".",C3,".",E3,".",D3),DN_3,0),0)+IFERROR(MATCH(CONCATENATE(F3,".",C3,".",E3,".",D3),DN_4,0),0)+IFERROR(MATCH(CONCATENATE(F3,".",C3,".",E3,".",D3),DN_6,0),0)+IFERROR(MATCH(CONCATENATE(F3,".",C3,".",E3,".",D3),DN_8,0),0)+IFERROR(MATCH(CONCATENATE(F3,".",C3,".",E3,".",D3),DN_26,0),0)+IFERROR(MATCH(CONCATENATE(F3,".",C3,".",E3,".",D3),DN_28,0),0)+IFERROR(MATCH(CONCATENATE(F3,".",C3,".",E3,".",D3),DN_30,0),0)+IFERROR(MATCH(CONCATENATE(F3,".",C3,".",E3,".",D3),DN_32,0),0)+IFERROR(MATCH(CONCATENATE(F3,".",C3,".",E3,".",D3),DN_34,0),0)+IFERROR(MATCH(CONCATENATE(F3,".",C3,".",E3,".",D3),DN_36,0),0)+IFERROR(MATCH(CONCATENATE(F3,".",C3,".",E3,".",D3),DN_38,0),0)+IFERROR(MATCH(CONCATENATE(F3,".",C3,".",E3,".",D3),DN_40,0),0+IFERROR(MATCH(CONCATENATE(F3,".",C3,".",E3,".",D3),DN_42,0),0))</f>
        <v>28</v>
      </c>
      <c r="C3" s="682" t="s">
        <v>61</v>
      </c>
      <c r="D3" s="690">
        <v>4</v>
      </c>
      <c r="E3" s="679" t="s">
        <v>136</v>
      </c>
      <c r="F3" s="715" t="s">
        <v>135</v>
      </c>
      <c r="G3" s="123">
        <f>IF($B3=0,"",VLOOKUP($B3,'Valve Data'!$1:$1048576,MATCH(G$1,'Valve Data'!$1:$1,0),0))</f>
        <v>150</v>
      </c>
      <c r="H3" s="326" t="str">
        <f>IF($B3=0,"",VLOOKUP($B3,'Valve Data'!$1:$1048576,MATCH(H$1,'Valve Data'!$1:$1,0),0))</f>
        <v>ISO 14313 / API 608</v>
      </c>
      <c r="I3" s="326" t="str">
        <f>IF($B3=0,"",VLOOKUP($B3,'Valve Data'!$1:$1048576,MATCH(I$1,'Valve Data'!$1:$1,0),0))</f>
        <v>Split Body</v>
      </c>
      <c r="J3" s="327">
        <f>IF($B3=0,"",VLOOKUP($B3,'Valve Data'!$1:$1048576,MATCH(J$1,'Valve Data'!$1:$1,0),0))</f>
        <v>3</v>
      </c>
      <c r="K3" s="326" t="str">
        <f>IF($B3=0,"",VLOOKUP($B3,'Valve Data'!$1:$1048576,MATCH(K$1,'Valve Data'!$1:$1,0),0))</f>
        <v>A105</v>
      </c>
      <c r="L3" s="326" t="str">
        <f>IF($B3=0,"",VLOOKUP($B3,'Valve Data'!$1:$1048576,MATCH(L$1,'Valve Data'!$1:$1,0),0))</f>
        <v>CS</v>
      </c>
      <c r="M3" s="326" t="str">
        <f>IF($B3=0,"",VLOOKUP($B3,'Valve Data'!$1:$1048576,MATCH(M$1,'Valve Data'!$1:$1,0),0))</f>
        <v>F316</v>
      </c>
      <c r="N3" s="326" t="str">
        <f>IF($B3=0,"",VLOOKUP($B3,'Valve Data'!$1:$1048576,MATCH(N$1,'Valve Data'!$1:$1,0),0))</f>
        <v>Flange</v>
      </c>
      <c r="O3" s="326" t="str">
        <f>IF($B3=0,"",VLOOKUP($B3,'Valve Data'!$1:$1048576,MATCH(O$1,'Valve Data'!$1:$1,0),0))</f>
        <v>RF</v>
      </c>
      <c r="P3" s="326" t="str">
        <f>IF($B3=0,"",VLOOKUP($B3,'Valve Data'!$1:$1048576,MATCH(P$1,'Valve Data'!$1:$1,0),0))</f>
        <v>Floating</v>
      </c>
      <c r="Q3" s="326" t="str">
        <f>IF($B3=0,"",VLOOKUP($B3,'Valve Data'!$1:$1048576,MATCH(Q$1,'Valve Data'!$1:$1,0),0))</f>
        <v>Lever</v>
      </c>
      <c r="R3" s="326" t="str">
        <f>IF($B3=0,"",VLOOKUP($B3,'Valve Data'!$1:$1048576,MATCH(R$1,'Valve Data'!$1:$1,0),0))</f>
        <v>API 608 / ISO 10497</v>
      </c>
      <c r="S3" s="326" t="str">
        <f>IF($B3=0,"",VLOOKUP($B3,'Valve Data'!$1:$1048576,MATCH(S$1,'Valve Data'!$1:$1,0),0))</f>
        <v>R-PTFE</v>
      </c>
      <c r="T3" s="330" t="str">
        <f>IF($B3=0,"",VLOOKUP($B3,'Valve Data'!$1:$1048576,MATCH(T$1,'Valve Data'!$1:$1,0),0))</f>
        <v>Graphite</v>
      </c>
      <c r="U3" s="123" t="str">
        <f>IF($B3=0,"",VLOOKUP($B3,'Valve Data'!$1:$1048576,MATCH(U$1,'Valve Data'!$1:$1,0),0))</f>
        <v>YES</v>
      </c>
      <c r="V3" s="326" t="str">
        <f>IF($B3=0,"",VLOOKUP($B3,'Valve Data'!$1:$1048576,MATCH(V$1,'Valve Data'!$1:$1,0),0))</f>
        <v>NO</v>
      </c>
      <c r="W3" s="326" t="str">
        <f>IF($B3=0,"",VLOOKUP($B3,'Valve Data'!$1:$1048576,MATCH(W$1,'Valve Data'!$1:$1,0),0))</f>
        <v>NO</v>
      </c>
      <c r="X3" s="330" t="str">
        <f>IF($B3=0,"",VLOOKUP($B3,'Valve Data'!$1:$1048576,MATCH(X$1,'Valve Data'!$1:$1,0),0))</f>
        <v>3.1</v>
      </c>
      <c r="Y3" s="863"/>
      <c r="Z3" s="690"/>
      <c r="AA3" s="679"/>
      <c r="AB3" s="679"/>
      <c r="AC3" s="679"/>
      <c r="AD3" s="679"/>
      <c r="AE3" s="689"/>
      <c r="AF3" s="864"/>
      <c r="AG3" s="680">
        <v>2</v>
      </c>
      <c r="AH3" s="679"/>
      <c r="AI3" s="679"/>
      <c r="AJ3" s="679"/>
      <c r="AK3" s="679"/>
      <c r="AL3" s="679"/>
      <c r="AM3" s="679"/>
      <c r="AN3" s="679"/>
      <c r="AO3" s="679"/>
      <c r="AP3" s="689"/>
      <c r="AQ3" s="689"/>
      <c r="AR3" s="689"/>
      <c r="AS3" s="689"/>
      <c r="AT3" s="689"/>
      <c r="AU3" s="689"/>
      <c r="AV3" s="270">
        <f t="shared" ref="AV3:AV34" si="1">SUM(AG3:AU3)</f>
        <v>2</v>
      </c>
      <c r="AW3" s="680" t="s">
        <v>1664</v>
      </c>
      <c r="AX3" s="847">
        <f>IF(F3="Ball_valve",IFERROR(VLOOKUP(E3&amp;"."&amp;D3,'Ball Valves Chart'!$1:$1048576,MATCH(G3,'Ball Valves Chart'!$3:$3,0),0),0),0)+IF(F3="DBB",IFERROR(VLOOKUP(E3&amp;"."&amp;D3,'Ball Valves Chart'!$1:$1048576,MATCH(G3,'Ball Valves Chart'!$3:$3,0),0)*2,0),0)+IFERROR(VLOOKUP(D3&amp;"."&amp;F3,'Manual Valves Chart'!$1:$1048576,MATCH('Valve List'!G3,'Manual Valves Chart'!$1:$1,0),0),0)</f>
        <v>65</v>
      </c>
      <c r="AY3" s="848">
        <f t="shared" ref="AY3:AY34" si="2">$AV3*AX3</f>
        <v>130</v>
      </c>
      <c r="AZ3" s="854">
        <v>650</v>
      </c>
      <c r="BA3" s="855">
        <f t="shared" ref="BA3:BA34" si="3">AZ3*AV3</f>
        <v>1300</v>
      </c>
      <c r="BC3" s="851">
        <f t="shared" ref="BC3:BC34" si="4">AX3*0.18</f>
        <v>11.7</v>
      </c>
      <c r="BD3" s="398"/>
      <c r="BE3" s="1546">
        <f t="shared" ref="BE3:BN12" si="5">IF(BE$2=$D3,1,0)</f>
        <v>0</v>
      </c>
      <c r="BF3" s="1546">
        <f t="shared" si="5"/>
        <v>0</v>
      </c>
      <c r="BG3" s="1546">
        <f t="shared" si="5"/>
        <v>0</v>
      </c>
      <c r="BH3" s="1546">
        <f t="shared" si="5"/>
        <v>0</v>
      </c>
      <c r="BI3" s="1546">
        <f t="shared" si="5"/>
        <v>0</v>
      </c>
      <c r="BJ3" s="1546">
        <f t="shared" si="5"/>
        <v>0</v>
      </c>
      <c r="BK3" s="1546">
        <f t="shared" si="5"/>
        <v>0</v>
      </c>
      <c r="BL3" s="1546">
        <f t="shared" si="5"/>
        <v>1</v>
      </c>
      <c r="BM3" s="1546">
        <f t="shared" si="5"/>
        <v>0</v>
      </c>
      <c r="BN3" s="1546">
        <f t="shared" si="5"/>
        <v>0</v>
      </c>
      <c r="BO3" s="1546">
        <f t="shared" ref="BO3:BV12" si="6">IF(BO$2=$D3,1,0)</f>
        <v>0</v>
      </c>
      <c r="BP3" s="1546">
        <f t="shared" si="6"/>
        <v>0</v>
      </c>
      <c r="BQ3" s="1546">
        <f t="shared" si="6"/>
        <v>0</v>
      </c>
      <c r="BR3" s="1546">
        <f t="shared" si="6"/>
        <v>0</v>
      </c>
      <c r="BS3" s="1546">
        <f t="shared" si="6"/>
        <v>0</v>
      </c>
      <c r="BT3" s="1546">
        <f t="shared" si="6"/>
        <v>0</v>
      </c>
      <c r="BU3" s="1546">
        <f t="shared" si="6"/>
        <v>0</v>
      </c>
      <c r="BV3" s="1546">
        <f t="shared" si="6"/>
        <v>0</v>
      </c>
      <c r="BX3" s="1546">
        <f>IF(BX$2="X",0,IF(BX$2=$C3,1,0))</f>
        <v>1</v>
      </c>
      <c r="BY3" s="1546">
        <f t="shared" ref="BY3:CJ18" si="7">IF(BY$2="X",0,IF(BY$2=$C3,1,0))</f>
        <v>0</v>
      </c>
      <c r="BZ3" s="1546">
        <f t="shared" si="7"/>
        <v>0</v>
      </c>
      <c r="CA3" s="1546">
        <f t="shared" si="7"/>
        <v>0</v>
      </c>
      <c r="CB3" s="1546">
        <f t="shared" si="7"/>
        <v>0</v>
      </c>
      <c r="CC3" s="1546">
        <f t="shared" si="7"/>
        <v>0</v>
      </c>
      <c r="CD3" s="1546">
        <f t="shared" si="7"/>
        <v>0</v>
      </c>
      <c r="CE3" s="1546">
        <f t="shared" si="7"/>
        <v>0</v>
      </c>
      <c r="CF3" s="1546">
        <f t="shared" si="7"/>
        <v>0</v>
      </c>
      <c r="CG3" s="1546">
        <f t="shared" si="7"/>
        <v>0</v>
      </c>
      <c r="CH3" s="1546">
        <f t="shared" si="7"/>
        <v>0</v>
      </c>
      <c r="CI3" s="1546">
        <f t="shared" si="7"/>
        <v>0</v>
      </c>
      <c r="CJ3" s="1546">
        <f t="shared" si="7"/>
        <v>0</v>
      </c>
      <c r="CL3" s="1546">
        <f t="shared" ref="CL3:CO22" si="8">IF($L3=CL$2,1,0)</f>
        <v>1</v>
      </c>
      <c r="CM3" s="1546">
        <f t="shared" si="8"/>
        <v>0</v>
      </c>
      <c r="CN3" s="1546">
        <f t="shared" si="8"/>
        <v>0</v>
      </c>
      <c r="CO3" s="1546">
        <f t="shared" si="8"/>
        <v>0</v>
      </c>
      <c r="CQ3" s="1546">
        <f t="shared" ref="CQ3:CQ34" si="9">IF(CQ$2=0,0,IF($AW3=CQ$2,1,0))</f>
        <v>0</v>
      </c>
      <c r="CR3" s="1546">
        <f t="shared" ref="CR3:DF12" si="10">IF(CR$2=0,0,IF($AW3=CR$2,1,0))</f>
        <v>0</v>
      </c>
      <c r="CS3" s="1546">
        <f t="shared" si="10"/>
        <v>0</v>
      </c>
      <c r="CT3" s="1546">
        <f t="shared" si="10"/>
        <v>0</v>
      </c>
      <c r="CU3" s="1546">
        <f t="shared" si="10"/>
        <v>0</v>
      </c>
      <c r="CV3" s="1546">
        <f t="shared" si="10"/>
        <v>0</v>
      </c>
      <c r="CW3" s="1546">
        <f t="shared" si="10"/>
        <v>0</v>
      </c>
      <c r="CX3" s="1546">
        <f t="shared" si="10"/>
        <v>0</v>
      </c>
      <c r="CY3" s="1546">
        <f t="shared" si="10"/>
        <v>0</v>
      </c>
      <c r="CZ3" s="1546">
        <f t="shared" si="10"/>
        <v>0</v>
      </c>
      <c r="DA3" s="1546">
        <f t="shared" si="10"/>
        <v>0</v>
      </c>
      <c r="DB3" s="1546">
        <f t="shared" si="10"/>
        <v>0</v>
      </c>
      <c r="DC3" s="1546">
        <f t="shared" si="10"/>
        <v>0</v>
      </c>
      <c r="DD3" s="1546">
        <f t="shared" si="10"/>
        <v>0</v>
      </c>
      <c r="DE3" s="1546">
        <f t="shared" si="10"/>
        <v>0</v>
      </c>
      <c r="DF3" s="1546">
        <f t="shared" si="10"/>
        <v>0</v>
      </c>
      <c r="DG3" s="1546">
        <f>IF(DG$2=0,0,IF($AW3="",1,0))</f>
        <v>0</v>
      </c>
      <c r="DI3" s="1546">
        <f t="shared" ref="DI3:DN12" si="11">IF($G3=DI$2,1,0)</f>
        <v>1</v>
      </c>
      <c r="DJ3" s="1546">
        <f t="shared" si="11"/>
        <v>0</v>
      </c>
      <c r="DK3" s="1546">
        <f t="shared" si="11"/>
        <v>0</v>
      </c>
      <c r="DL3" s="1546">
        <f t="shared" si="11"/>
        <v>0</v>
      </c>
      <c r="DM3" s="1546">
        <f t="shared" si="11"/>
        <v>0</v>
      </c>
      <c r="DN3" s="1546">
        <f t="shared" si="11"/>
        <v>0</v>
      </c>
    </row>
    <row r="4" spans="1:118" x14ac:dyDescent="0.3">
      <c r="A4" s="285">
        <v>2</v>
      </c>
      <c r="B4" s="325">
        <f t="shared" si="0"/>
        <v>9</v>
      </c>
      <c r="C4" s="682" t="s">
        <v>67</v>
      </c>
      <c r="D4" s="683">
        <v>6</v>
      </c>
      <c r="E4" s="680" t="s">
        <v>136</v>
      </c>
      <c r="F4" s="713" t="s">
        <v>135</v>
      </c>
      <c r="G4" s="91">
        <f>IF($B4=0,"",VLOOKUP($B4,'Valve Data'!$1:$1048576,MATCH(G$1,'Valve Data'!$1:$1,0),0))</f>
        <v>300</v>
      </c>
      <c r="H4" s="21" t="str">
        <f>IF($B4=0,"",VLOOKUP($B4,'Valve Data'!$1:$1048576,MATCH(H$1,'Valve Data'!$1:$1,0),0))</f>
        <v>ISO 14313 / API 608</v>
      </c>
      <c r="I4" s="21" t="str">
        <f>IF($B4=0,"",VLOOKUP($B4,'Valve Data'!$1:$1048576,MATCH(I$1,'Valve Data'!$1:$1,0),0))</f>
        <v>Split Body</v>
      </c>
      <c r="J4" s="328">
        <f>IF($B4=0,"",VLOOKUP($B4,'Valve Data'!$1:$1048576,MATCH(J$1,'Valve Data'!$1:$1,0),0))</f>
        <v>3</v>
      </c>
      <c r="K4" s="21" t="str">
        <f>IF($B4=0,"",VLOOKUP($B4,'Valve Data'!$1:$1048576,MATCH(K$1,'Valve Data'!$1:$1,0),0))</f>
        <v>AISI 316L</v>
      </c>
      <c r="L4" s="21" t="str">
        <f>IF($B4=0,"",VLOOKUP($B4,'Valve Data'!$1:$1048576,MATCH(L$1,'Valve Data'!$1:$1,0),0))</f>
        <v>SS</v>
      </c>
      <c r="M4" s="21" t="str">
        <f>IF($B4=0,"",VLOOKUP($B4,'Valve Data'!$1:$1048576,MATCH(M$1,'Valve Data'!$1:$1,0),0))</f>
        <v>F316</v>
      </c>
      <c r="N4" s="21" t="str">
        <f>IF($B4=0,"",VLOOKUP($B4,'Valve Data'!$1:$1048576,MATCH(N$1,'Valve Data'!$1:$1,0),0))</f>
        <v>Flange</v>
      </c>
      <c r="O4" s="21" t="str">
        <f>IF($B4=0,"",VLOOKUP($B4,'Valve Data'!$1:$1048576,MATCH(O$1,'Valve Data'!$1:$1,0),0))</f>
        <v>RF</v>
      </c>
      <c r="P4" s="21" t="str">
        <f>IF($B4=0,"",VLOOKUP($B4,'Valve Data'!$1:$1048576,MATCH(P$1,'Valve Data'!$1:$1,0),0))</f>
        <v>Trunion</v>
      </c>
      <c r="Q4" s="21" t="str">
        <f>IF($B4=0,"",VLOOKUP($B4,'Valve Data'!$1:$1048576,MATCH(Q$1,'Valve Data'!$1:$1,0),0))</f>
        <v>Lever</v>
      </c>
      <c r="R4" s="21" t="str">
        <f>IF($B4=0,"",VLOOKUP($B4,'Valve Data'!$1:$1048576,MATCH(R$1,'Valve Data'!$1:$1,0),0))</f>
        <v>API 608 / ISO 10497</v>
      </c>
      <c r="S4" s="21" t="str">
        <f>IF($B4=0,"",VLOOKUP($B4,'Valve Data'!$1:$1048576,MATCH(S$1,'Valve Data'!$1:$1,0),0))</f>
        <v>R-PTFE</v>
      </c>
      <c r="T4" s="331" t="str">
        <f>IF($B4=0,"",VLOOKUP($B4,'Valve Data'!$1:$1048576,MATCH(T$1,'Valve Data'!$1:$1,0),0))</f>
        <v>Graphite</v>
      </c>
      <c r="U4" s="91" t="str">
        <f>IF($B4=0,"",VLOOKUP($B4,'Valve Data'!$1:$1048576,MATCH(U$1,'Valve Data'!$1:$1,0),0))</f>
        <v>YES</v>
      </c>
      <c r="V4" s="21" t="str">
        <f>IF($B4=0,"",VLOOKUP($B4,'Valve Data'!$1:$1048576,MATCH(V$1,'Valve Data'!$1:$1,0),0))</f>
        <v>NO</v>
      </c>
      <c r="W4" s="21" t="str">
        <f>IF($B4=0,"",VLOOKUP($B4,'Valve Data'!$1:$1048576,MATCH(W$1,'Valve Data'!$1:$1,0),0))</f>
        <v>NO</v>
      </c>
      <c r="X4" s="331" t="str">
        <f>IF($B4=0,"",VLOOKUP($B4,'Valve Data'!$1:$1048576,MATCH(X$1,'Valve Data'!$1:$1,0),0))</f>
        <v>3.1</v>
      </c>
      <c r="Y4" s="865"/>
      <c r="Z4" s="683"/>
      <c r="AA4" s="680"/>
      <c r="AB4" s="680"/>
      <c r="AC4" s="680"/>
      <c r="AD4" s="680"/>
      <c r="AE4" s="684"/>
      <c r="AF4" s="866"/>
      <c r="AG4" s="680">
        <v>11</v>
      </c>
      <c r="AH4" s="680"/>
      <c r="AI4" s="680"/>
      <c r="AJ4" s="680"/>
      <c r="AK4" s="680"/>
      <c r="AL4" s="680"/>
      <c r="AM4" s="680"/>
      <c r="AN4" s="680"/>
      <c r="AO4" s="680"/>
      <c r="AP4" s="684"/>
      <c r="AQ4" s="684"/>
      <c r="AR4" s="684"/>
      <c r="AS4" s="684"/>
      <c r="AT4" s="684"/>
      <c r="AU4" s="684"/>
      <c r="AV4" s="271">
        <f t="shared" si="1"/>
        <v>11</v>
      </c>
      <c r="AW4" s="680" t="s">
        <v>1664</v>
      </c>
      <c r="AX4" s="845">
        <f>IF(F4="Ball_valve",IFERROR(VLOOKUP(E4&amp;"."&amp;D4,'Ball Valves Chart'!$1:$1048576,MATCH(G4,'Ball Valves Chart'!$3:$3,0),0),0),0)+IF(F4="DBB",IFERROR(VLOOKUP(E4&amp;"."&amp;D4,'Ball Valves Chart'!$1:$1048576,MATCH(G4,'Ball Valves Chart'!$3:$3,0),0)*2,0),0)+IFERROR(VLOOKUP(D4&amp;"."&amp;F4,'Manual Valves Chart'!$1:$1048576,MATCH('Valve List'!G4,'Manual Valves Chart'!$1:$1,0),0),0)</f>
        <v>119</v>
      </c>
      <c r="AY4" s="846">
        <f t="shared" si="2"/>
        <v>1309</v>
      </c>
      <c r="AZ4" s="854">
        <v>4000</v>
      </c>
      <c r="BA4" s="856">
        <f t="shared" si="3"/>
        <v>44000</v>
      </c>
      <c r="BC4" s="852">
        <f t="shared" si="4"/>
        <v>21.419999999999998</v>
      </c>
      <c r="BD4" s="398"/>
      <c r="BE4" s="1546">
        <f t="shared" si="5"/>
        <v>0</v>
      </c>
      <c r="BF4" s="1546">
        <f t="shared" si="5"/>
        <v>0</v>
      </c>
      <c r="BG4" s="1546">
        <f t="shared" si="5"/>
        <v>0</v>
      </c>
      <c r="BH4" s="1546">
        <f t="shared" si="5"/>
        <v>0</v>
      </c>
      <c r="BI4" s="1546">
        <f t="shared" si="5"/>
        <v>0</v>
      </c>
      <c r="BJ4" s="1546">
        <f t="shared" si="5"/>
        <v>0</v>
      </c>
      <c r="BK4" s="1546">
        <f t="shared" si="5"/>
        <v>0</v>
      </c>
      <c r="BL4" s="1546">
        <f t="shared" si="5"/>
        <v>0</v>
      </c>
      <c r="BM4" s="1546">
        <f t="shared" si="5"/>
        <v>1</v>
      </c>
      <c r="BN4" s="1546">
        <f t="shared" si="5"/>
        <v>0</v>
      </c>
      <c r="BO4" s="1546">
        <f t="shared" si="6"/>
        <v>0</v>
      </c>
      <c r="BP4" s="1546">
        <f t="shared" si="6"/>
        <v>0</v>
      </c>
      <c r="BQ4" s="1546">
        <f t="shared" si="6"/>
        <v>0</v>
      </c>
      <c r="BR4" s="1546">
        <f t="shared" si="6"/>
        <v>0</v>
      </c>
      <c r="BS4" s="1546">
        <f t="shared" si="6"/>
        <v>0</v>
      </c>
      <c r="BT4" s="1546">
        <f t="shared" si="6"/>
        <v>0</v>
      </c>
      <c r="BU4" s="1546">
        <f t="shared" si="6"/>
        <v>0</v>
      </c>
      <c r="BV4" s="1546">
        <f t="shared" si="6"/>
        <v>0</v>
      </c>
      <c r="BX4" s="1546">
        <f t="shared" ref="BX4:CJ35" si="12">IF(BX$2="X",0,IF(BX$2=$C4,1,0))</f>
        <v>0</v>
      </c>
      <c r="BY4" s="1546">
        <f t="shared" si="7"/>
        <v>1</v>
      </c>
      <c r="BZ4" s="1546">
        <f t="shared" si="7"/>
        <v>0</v>
      </c>
      <c r="CA4" s="1546">
        <f t="shared" si="7"/>
        <v>0</v>
      </c>
      <c r="CB4" s="1546">
        <f t="shared" si="7"/>
        <v>0</v>
      </c>
      <c r="CC4" s="1546">
        <f t="shared" si="7"/>
        <v>0</v>
      </c>
      <c r="CD4" s="1546">
        <f t="shared" si="7"/>
        <v>0</v>
      </c>
      <c r="CE4" s="1546">
        <f t="shared" si="7"/>
        <v>0</v>
      </c>
      <c r="CF4" s="1546">
        <f t="shared" si="7"/>
        <v>0</v>
      </c>
      <c r="CG4" s="1546">
        <f t="shared" si="7"/>
        <v>0</v>
      </c>
      <c r="CH4" s="1546">
        <f t="shared" si="7"/>
        <v>0</v>
      </c>
      <c r="CI4" s="1546">
        <f t="shared" si="7"/>
        <v>0</v>
      </c>
      <c r="CJ4" s="1546">
        <f t="shared" si="7"/>
        <v>0</v>
      </c>
      <c r="CL4" s="1546">
        <f t="shared" si="8"/>
        <v>0</v>
      </c>
      <c r="CM4" s="1546">
        <f t="shared" si="8"/>
        <v>1</v>
      </c>
      <c r="CN4" s="1546">
        <f t="shared" si="8"/>
        <v>0</v>
      </c>
      <c r="CO4" s="1546">
        <f t="shared" si="8"/>
        <v>0</v>
      </c>
      <c r="CQ4" s="1546">
        <f t="shared" si="9"/>
        <v>0</v>
      </c>
      <c r="CR4" s="1546">
        <f t="shared" si="10"/>
        <v>0</v>
      </c>
      <c r="CS4" s="1546">
        <f t="shared" si="10"/>
        <v>0</v>
      </c>
      <c r="CT4" s="1546">
        <f t="shared" si="10"/>
        <v>0</v>
      </c>
      <c r="CU4" s="1546">
        <f t="shared" si="10"/>
        <v>0</v>
      </c>
      <c r="CV4" s="1546">
        <f t="shared" si="10"/>
        <v>0</v>
      </c>
      <c r="CW4" s="1546">
        <f t="shared" si="10"/>
        <v>0</v>
      </c>
      <c r="CX4" s="1546">
        <f t="shared" si="10"/>
        <v>0</v>
      </c>
      <c r="CY4" s="1546">
        <f t="shared" si="10"/>
        <v>0</v>
      </c>
      <c r="CZ4" s="1546">
        <f t="shared" si="10"/>
        <v>0</v>
      </c>
      <c r="DA4" s="1546">
        <f t="shared" si="10"/>
        <v>0</v>
      </c>
      <c r="DB4" s="1546">
        <f t="shared" si="10"/>
        <v>0</v>
      </c>
      <c r="DC4" s="1546">
        <f t="shared" si="10"/>
        <v>0</v>
      </c>
      <c r="DD4" s="1546">
        <f t="shared" si="10"/>
        <v>0</v>
      </c>
      <c r="DE4" s="1546">
        <f t="shared" si="10"/>
        <v>0</v>
      </c>
      <c r="DF4" s="1546">
        <f t="shared" si="10"/>
        <v>0</v>
      </c>
      <c r="DG4" s="1546">
        <f t="shared" ref="DG4:DG67" si="13">IF(DG$2=0,0,IF($AW4="",1,0))</f>
        <v>0</v>
      </c>
      <c r="DI4" s="1546">
        <f t="shared" si="11"/>
        <v>0</v>
      </c>
      <c r="DJ4" s="1546">
        <f t="shared" si="11"/>
        <v>1</v>
      </c>
      <c r="DK4" s="1546">
        <f t="shared" si="11"/>
        <v>0</v>
      </c>
      <c r="DL4" s="1546">
        <f t="shared" si="11"/>
        <v>0</v>
      </c>
      <c r="DM4" s="1546">
        <f t="shared" si="11"/>
        <v>0</v>
      </c>
      <c r="DN4" s="1546">
        <f t="shared" si="11"/>
        <v>0</v>
      </c>
    </row>
    <row r="5" spans="1:118" x14ac:dyDescent="0.3">
      <c r="A5" s="285">
        <v>3</v>
      </c>
      <c r="B5" s="325">
        <f t="shared" si="0"/>
        <v>0</v>
      </c>
      <c r="C5" s="682" t="s">
        <v>67</v>
      </c>
      <c r="D5" s="683">
        <v>6</v>
      </c>
      <c r="E5" s="680" t="s">
        <v>136</v>
      </c>
      <c r="F5" s="713" t="s">
        <v>147</v>
      </c>
      <c r="G5" s="91" t="str">
        <f>IF($B5=0,"",VLOOKUP($B5,'Valve Data'!$1:$1048576,MATCH(G$1,'Valve Data'!$1:$1,0),0))</f>
        <v/>
      </c>
      <c r="H5" s="21" t="str">
        <f>IF($B5=0,"",VLOOKUP($B5,'Valve Data'!$1:$1048576,MATCH(H$1,'Valve Data'!$1:$1,0),0))</f>
        <v/>
      </c>
      <c r="I5" s="21" t="str">
        <f>IF($B5=0,"",VLOOKUP($B5,'Valve Data'!$1:$1048576,MATCH(I$1,'Valve Data'!$1:$1,0),0))</f>
        <v/>
      </c>
      <c r="J5" s="328" t="str">
        <f>IF($B5=0,"",VLOOKUP($B5,'Valve Data'!$1:$1048576,MATCH(J$1,'Valve Data'!$1:$1,0),0))</f>
        <v/>
      </c>
      <c r="K5" s="21" t="str">
        <f>IF($B5=0,"",VLOOKUP($B5,'Valve Data'!$1:$1048576,MATCH(K$1,'Valve Data'!$1:$1,0),0))</f>
        <v/>
      </c>
      <c r="L5" s="21" t="str">
        <f>IF($B5=0,"",VLOOKUP($B5,'Valve Data'!$1:$1048576,MATCH(L$1,'Valve Data'!$1:$1,0),0))</f>
        <v/>
      </c>
      <c r="M5" s="21" t="str">
        <f>IF($B5=0,"",VLOOKUP($B5,'Valve Data'!$1:$1048576,MATCH(M$1,'Valve Data'!$1:$1,0),0))</f>
        <v/>
      </c>
      <c r="N5" s="21" t="str">
        <f>IF($B5=0,"",VLOOKUP($B5,'Valve Data'!$1:$1048576,MATCH(N$1,'Valve Data'!$1:$1,0),0))</f>
        <v/>
      </c>
      <c r="O5" s="21" t="str">
        <f>IF($B5=0,"",VLOOKUP($B5,'Valve Data'!$1:$1048576,MATCH(O$1,'Valve Data'!$1:$1,0),0))</f>
        <v/>
      </c>
      <c r="P5" s="21" t="str">
        <f>IF($B5=0,"",VLOOKUP($B5,'Valve Data'!$1:$1048576,MATCH(P$1,'Valve Data'!$1:$1,0),0))</f>
        <v/>
      </c>
      <c r="Q5" s="21" t="str">
        <f>IF($B5=0,"",VLOOKUP($B5,'Valve Data'!$1:$1048576,MATCH(Q$1,'Valve Data'!$1:$1,0),0))</f>
        <v/>
      </c>
      <c r="R5" s="21" t="str">
        <f>IF($B5=0,"",VLOOKUP($B5,'Valve Data'!$1:$1048576,MATCH(R$1,'Valve Data'!$1:$1,0),0))</f>
        <v/>
      </c>
      <c r="S5" s="21" t="str">
        <f>IF($B5=0,"",VLOOKUP($B5,'Valve Data'!$1:$1048576,MATCH(S$1,'Valve Data'!$1:$1,0),0))</f>
        <v/>
      </c>
      <c r="T5" s="331" t="str">
        <f>IF($B5=0,"",VLOOKUP($B5,'Valve Data'!$1:$1048576,MATCH(T$1,'Valve Data'!$1:$1,0),0))</f>
        <v/>
      </c>
      <c r="U5" s="91" t="str">
        <f>IF($B5=0,"",VLOOKUP($B5,'Valve Data'!$1:$1048576,MATCH(U$1,'Valve Data'!$1:$1,0),0))</f>
        <v/>
      </c>
      <c r="V5" s="21" t="str">
        <f>IF($B5=0,"",VLOOKUP($B5,'Valve Data'!$1:$1048576,MATCH(V$1,'Valve Data'!$1:$1,0),0))</f>
        <v/>
      </c>
      <c r="W5" s="21" t="str">
        <f>IF($B5=0,"",VLOOKUP($B5,'Valve Data'!$1:$1048576,MATCH(W$1,'Valve Data'!$1:$1,0),0))</f>
        <v/>
      </c>
      <c r="X5" s="331" t="str">
        <f>IF($B5=0,"",VLOOKUP($B5,'Valve Data'!$1:$1048576,MATCH(X$1,'Valve Data'!$1:$1,0),0))</f>
        <v/>
      </c>
      <c r="Y5" s="865"/>
      <c r="Z5" s="683"/>
      <c r="AA5" s="680"/>
      <c r="AB5" s="680"/>
      <c r="AC5" s="680"/>
      <c r="AD5" s="680"/>
      <c r="AE5" s="684"/>
      <c r="AF5" s="866"/>
      <c r="AG5" s="680">
        <v>3</v>
      </c>
      <c r="AH5" s="680"/>
      <c r="AI5" s="680"/>
      <c r="AJ5" s="680"/>
      <c r="AK5" s="680"/>
      <c r="AL5" s="680"/>
      <c r="AM5" s="680"/>
      <c r="AN5" s="680"/>
      <c r="AO5" s="680"/>
      <c r="AP5" s="684"/>
      <c r="AQ5" s="684"/>
      <c r="AR5" s="684"/>
      <c r="AS5" s="684"/>
      <c r="AT5" s="684"/>
      <c r="AU5" s="684"/>
      <c r="AV5" s="271">
        <f t="shared" si="1"/>
        <v>3</v>
      </c>
      <c r="AW5" s="680" t="s">
        <v>1664</v>
      </c>
      <c r="AX5" s="845">
        <f>IF(F5="Ball_valve",IFERROR(VLOOKUP(E5&amp;"."&amp;D5,'Ball Valves Chart'!$1:$1048576,MATCH(G5,'Ball Valves Chart'!$3:$3,0),0),0),0)+IF(F5="DBB",IFERROR(VLOOKUP(E5&amp;"."&amp;D5,'Ball Valves Chart'!$1:$1048576,MATCH(G5,'Ball Valves Chart'!$3:$3,0),0)*2,0),0)+IFERROR(VLOOKUP(D5&amp;"."&amp;F5,'Manual Valves Chart'!$1:$1048576,MATCH('Valve List'!G5,'Manual Valves Chart'!$1:$1,0),0),0)</f>
        <v>0</v>
      </c>
      <c r="AY5" s="846">
        <f t="shared" si="2"/>
        <v>0</v>
      </c>
      <c r="AZ5" s="854">
        <v>3800</v>
      </c>
      <c r="BA5" s="856">
        <f t="shared" si="3"/>
        <v>11400</v>
      </c>
      <c r="BC5" s="852">
        <f t="shared" si="4"/>
        <v>0</v>
      </c>
      <c r="BD5" s="398"/>
      <c r="BE5" s="1546">
        <f t="shared" si="5"/>
        <v>0</v>
      </c>
      <c r="BF5" s="1546">
        <f t="shared" si="5"/>
        <v>0</v>
      </c>
      <c r="BG5" s="1546">
        <f t="shared" si="5"/>
        <v>0</v>
      </c>
      <c r="BH5" s="1546">
        <f t="shared" si="5"/>
        <v>0</v>
      </c>
      <c r="BI5" s="1546">
        <f t="shared" si="5"/>
        <v>0</v>
      </c>
      <c r="BJ5" s="1546">
        <f t="shared" si="5"/>
        <v>0</v>
      </c>
      <c r="BK5" s="1546">
        <f t="shared" si="5"/>
        <v>0</v>
      </c>
      <c r="BL5" s="1546">
        <f t="shared" si="5"/>
        <v>0</v>
      </c>
      <c r="BM5" s="1546">
        <f t="shared" si="5"/>
        <v>1</v>
      </c>
      <c r="BN5" s="1546">
        <f t="shared" si="5"/>
        <v>0</v>
      </c>
      <c r="BO5" s="1546">
        <f t="shared" si="6"/>
        <v>0</v>
      </c>
      <c r="BP5" s="1546">
        <f t="shared" si="6"/>
        <v>0</v>
      </c>
      <c r="BQ5" s="1546">
        <f t="shared" si="6"/>
        <v>0</v>
      </c>
      <c r="BR5" s="1546">
        <f t="shared" si="6"/>
        <v>0</v>
      </c>
      <c r="BS5" s="1546">
        <f t="shared" si="6"/>
        <v>0</v>
      </c>
      <c r="BT5" s="1546">
        <f t="shared" si="6"/>
        <v>0</v>
      </c>
      <c r="BU5" s="1546">
        <f t="shared" si="6"/>
        <v>0</v>
      </c>
      <c r="BV5" s="1546">
        <f t="shared" si="6"/>
        <v>0</v>
      </c>
      <c r="BX5" s="1546">
        <f t="shared" si="12"/>
        <v>0</v>
      </c>
      <c r="BY5" s="1546">
        <f t="shared" si="7"/>
        <v>1</v>
      </c>
      <c r="BZ5" s="1546">
        <f t="shared" si="7"/>
        <v>0</v>
      </c>
      <c r="CA5" s="1546">
        <f t="shared" si="7"/>
        <v>0</v>
      </c>
      <c r="CB5" s="1546">
        <f t="shared" si="7"/>
        <v>0</v>
      </c>
      <c r="CC5" s="1546">
        <f t="shared" si="7"/>
        <v>0</v>
      </c>
      <c r="CD5" s="1546">
        <f t="shared" si="7"/>
        <v>0</v>
      </c>
      <c r="CE5" s="1546">
        <f t="shared" si="7"/>
        <v>0</v>
      </c>
      <c r="CF5" s="1546">
        <f t="shared" si="7"/>
        <v>0</v>
      </c>
      <c r="CG5" s="1546">
        <f t="shared" si="7"/>
        <v>0</v>
      </c>
      <c r="CH5" s="1546">
        <f t="shared" si="7"/>
        <v>0</v>
      </c>
      <c r="CI5" s="1546">
        <f t="shared" si="7"/>
        <v>0</v>
      </c>
      <c r="CJ5" s="1546">
        <f t="shared" si="7"/>
        <v>0</v>
      </c>
      <c r="CL5" s="1546">
        <f t="shared" si="8"/>
        <v>0</v>
      </c>
      <c r="CM5" s="1546">
        <f t="shared" si="8"/>
        <v>0</v>
      </c>
      <c r="CN5" s="1546">
        <f t="shared" si="8"/>
        <v>0</v>
      </c>
      <c r="CO5" s="1546">
        <f t="shared" si="8"/>
        <v>0</v>
      </c>
      <c r="CQ5" s="1546">
        <f t="shared" si="9"/>
        <v>0</v>
      </c>
      <c r="CR5" s="1546">
        <f t="shared" si="10"/>
        <v>0</v>
      </c>
      <c r="CS5" s="1546">
        <f t="shared" si="10"/>
        <v>0</v>
      </c>
      <c r="CT5" s="1546">
        <f t="shared" si="10"/>
        <v>0</v>
      </c>
      <c r="CU5" s="1546">
        <f t="shared" si="10"/>
        <v>0</v>
      </c>
      <c r="CV5" s="1546">
        <f t="shared" si="10"/>
        <v>0</v>
      </c>
      <c r="CW5" s="1546">
        <f t="shared" si="10"/>
        <v>0</v>
      </c>
      <c r="CX5" s="1546">
        <f t="shared" si="10"/>
        <v>0</v>
      </c>
      <c r="CY5" s="1546">
        <f t="shared" si="10"/>
        <v>0</v>
      </c>
      <c r="CZ5" s="1546">
        <f t="shared" si="10"/>
        <v>0</v>
      </c>
      <c r="DA5" s="1546">
        <f t="shared" si="10"/>
        <v>0</v>
      </c>
      <c r="DB5" s="1546">
        <f t="shared" si="10"/>
        <v>0</v>
      </c>
      <c r="DC5" s="1546">
        <f t="shared" si="10"/>
        <v>0</v>
      </c>
      <c r="DD5" s="1546">
        <f t="shared" si="10"/>
        <v>0</v>
      </c>
      <c r="DE5" s="1546">
        <f t="shared" si="10"/>
        <v>0</v>
      </c>
      <c r="DF5" s="1546">
        <f t="shared" si="10"/>
        <v>0</v>
      </c>
      <c r="DG5" s="1546">
        <f t="shared" si="13"/>
        <v>0</v>
      </c>
      <c r="DI5" s="1546">
        <f t="shared" si="11"/>
        <v>0</v>
      </c>
      <c r="DJ5" s="1546">
        <f t="shared" si="11"/>
        <v>0</v>
      </c>
      <c r="DK5" s="1546">
        <f t="shared" si="11"/>
        <v>0</v>
      </c>
      <c r="DL5" s="1546">
        <f t="shared" si="11"/>
        <v>0</v>
      </c>
      <c r="DM5" s="1546">
        <f t="shared" si="11"/>
        <v>0</v>
      </c>
      <c r="DN5" s="1546">
        <f t="shared" si="11"/>
        <v>0</v>
      </c>
    </row>
    <row r="6" spans="1:118" x14ac:dyDescent="0.3">
      <c r="A6" s="285">
        <v>4</v>
      </c>
      <c r="B6" s="325">
        <f t="shared" si="0"/>
        <v>8</v>
      </c>
      <c r="C6" s="682" t="s">
        <v>67</v>
      </c>
      <c r="D6" s="683">
        <v>1</v>
      </c>
      <c r="E6" s="680" t="s">
        <v>136</v>
      </c>
      <c r="F6" s="713" t="s">
        <v>135</v>
      </c>
      <c r="G6" s="91">
        <f>IF($B6=0,"",VLOOKUP($B6,'Valve Data'!$1:$1048576,MATCH(G$1,'Valve Data'!$1:$1,0),0))</f>
        <v>300</v>
      </c>
      <c r="H6" s="21" t="str">
        <f>IF($B6=0,"",VLOOKUP($B6,'Valve Data'!$1:$1048576,MATCH(H$1,'Valve Data'!$1:$1,0),0))</f>
        <v>ISO 14313 / API 608</v>
      </c>
      <c r="I6" s="21" t="str">
        <f>IF($B6=0,"",VLOOKUP($B6,'Valve Data'!$1:$1048576,MATCH(I$1,'Valve Data'!$1:$1,0),0))</f>
        <v>Split Body</v>
      </c>
      <c r="J6" s="328">
        <f>IF($B6=0,"",VLOOKUP($B6,'Valve Data'!$1:$1048576,MATCH(J$1,'Valve Data'!$1:$1,0),0))</f>
        <v>3</v>
      </c>
      <c r="K6" s="21" t="str">
        <f>IF($B6=0,"",VLOOKUP($B6,'Valve Data'!$1:$1048576,MATCH(K$1,'Valve Data'!$1:$1,0),0))</f>
        <v>AISI 316L</v>
      </c>
      <c r="L6" s="21" t="str">
        <f>IF($B6=0,"",VLOOKUP($B6,'Valve Data'!$1:$1048576,MATCH(L$1,'Valve Data'!$1:$1,0),0))</f>
        <v>SS</v>
      </c>
      <c r="M6" s="21" t="str">
        <f>IF($B6=0,"",VLOOKUP($B6,'Valve Data'!$1:$1048576,MATCH(M$1,'Valve Data'!$1:$1,0),0))</f>
        <v>F316</v>
      </c>
      <c r="N6" s="21" t="str">
        <f>IF($B6=0,"",VLOOKUP($B6,'Valve Data'!$1:$1048576,MATCH(N$1,'Valve Data'!$1:$1,0),0))</f>
        <v>Flange</v>
      </c>
      <c r="O6" s="21" t="str">
        <f>IF($B6=0,"",VLOOKUP($B6,'Valve Data'!$1:$1048576,MATCH(O$1,'Valve Data'!$1:$1,0),0))</f>
        <v>RF</v>
      </c>
      <c r="P6" s="21" t="str">
        <f>IF($B6=0,"",VLOOKUP($B6,'Valve Data'!$1:$1048576,MATCH(P$1,'Valve Data'!$1:$1,0),0))</f>
        <v>Floating</v>
      </c>
      <c r="Q6" s="21" t="str">
        <f>IF($B6=0,"",VLOOKUP($B6,'Valve Data'!$1:$1048576,MATCH(Q$1,'Valve Data'!$1:$1,0),0))</f>
        <v>Lever</v>
      </c>
      <c r="R6" s="21" t="str">
        <f>IF($B6=0,"",VLOOKUP($B6,'Valve Data'!$1:$1048576,MATCH(R$1,'Valve Data'!$1:$1,0),0))</f>
        <v>API 608 / ISO 10497</v>
      </c>
      <c r="S6" s="21" t="str">
        <f>IF($B6=0,"",VLOOKUP($B6,'Valve Data'!$1:$1048576,MATCH(S$1,'Valve Data'!$1:$1,0),0))</f>
        <v>R-PTFE</v>
      </c>
      <c r="T6" s="331" t="str">
        <f>IF($B6=0,"",VLOOKUP($B6,'Valve Data'!$1:$1048576,MATCH(T$1,'Valve Data'!$1:$1,0),0))</f>
        <v>Graphite</v>
      </c>
      <c r="U6" s="91" t="str">
        <f>IF($B6=0,"",VLOOKUP($B6,'Valve Data'!$1:$1048576,MATCH(U$1,'Valve Data'!$1:$1,0),0))</f>
        <v>YES</v>
      </c>
      <c r="V6" s="21" t="str">
        <f>IF($B6=0,"",VLOOKUP($B6,'Valve Data'!$1:$1048576,MATCH(V$1,'Valve Data'!$1:$1,0),0))</f>
        <v>NO</v>
      </c>
      <c r="W6" s="21" t="str">
        <f>IF($B6=0,"",VLOOKUP($B6,'Valve Data'!$1:$1048576,MATCH(W$1,'Valve Data'!$1:$1,0),0))</f>
        <v>NO</v>
      </c>
      <c r="X6" s="331" t="str">
        <f>IF($B6=0,"",VLOOKUP($B6,'Valve Data'!$1:$1048576,MATCH(X$1,'Valve Data'!$1:$1,0),0))</f>
        <v>3.1</v>
      </c>
      <c r="Y6" s="865"/>
      <c r="Z6" s="683"/>
      <c r="AA6" s="680"/>
      <c r="AB6" s="680"/>
      <c r="AC6" s="680"/>
      <c r="AD6" s="680"/>
      <c r="AE6" s="684"/>
      <c r="AF6" s="866"/>
      <c r="AG6" s="680">
        <v>5</v>
      </c>
      <c r="AH6" s="680"/>
      <c r="AI6" s="680"/>
      <c r="AJ6" s="680"/>
      <c r="AK6" s="680"/>
      <c r="AL6" s="680"/>
      <c r="AM6" s="680"/>
      <c r="AN6" s="680"/>
      <c r="AO6" s="680"/>
      <c r="AP6" s="684"/>
      <c r="AQ6" s="684"/>
      <c r="AR6" s="684"/>
      <c r="AS6" s="684"/>
      <c r="AT6" s="684"/>
      <c r="AU6" s="684"/>
      <c r="AV6" s="271">
        <f t="shared" si="1"/>
        <v>5</v>
      </c>
      <c r="AW6" s="680" t="s">
        <v>1664</v>
      </c>
      <c r="AX6" s="845">
        <f>IF(F6="Ball_valve",IFERROR(VLOOKUP(E6&amp;"."&amp;D6,'Ball Valves Chart'!$1:$1048576,MATCH(G6,'Ball Valves Chart'!$3:$3,0),0),0),0)+IF(F6="DBB",IFERROR(VLOOKUP(E6&amp;"."&amp;D6,'Ball Valves Chart'!$1:$1048576,MATCH(G6,'Ball Valves Chart'!$3:$3,0),0)*2,0),0)+IFERROR(VLOOKUP(D6&amp;"."&amp;F6,'Manual Valves Chart'!$1:$1048576,MATCH('Valve List'!G6,'Manual Valves Chart'!$1:$1,0),0),0)</f>
        <v>8</v>
      </c>
      <c r="AY6" s="846">
        <f t="shared" si="2"/>
        <v>40</v>
      </c>
      <c r="AZ6" s="854">
        <v>216</v>
      </c>
      <c r="BA6" s="856">
        <f t="shared" si="3"/>
        <v>1080</v>
      </c>
      <c r="BC6" s="852">
        <f t="shared" si="4"/>
        <v>1.44</v>
      </c>
      <c r="BD6" s="398"/>
      <c r="BE6" s="1546">
        <f t="shared" si="5"/>
        <v>0</v>
      </c>
      <c r="BF6" s="1546">
        <f t="shared" si="5"/>
        <v>0</v>
      </c>
      <c r="BG6" s="1546">
        <f t="shared" si="5"/>
        <v>1</v>
      </c>
      <c r="BH6" s="1546">
        <f t="shared" si="5"/>
        <v>0</v>
      </c>
      <c r="BI6" s="1546">
        <f t="shared" si="5"/>
        <v>0</v>
      </c>
      <c r="BJ6" s="1546">
        <f t="shared" si="5"/>
        <v>0</v>
      </c>
      <c r="BK6" s="1546">
        <f t="shared" si="5"/>
        <v>0</v>
      </c>
      <c r="BL6" s="1546">
        <f t="shared" si="5"/>
        <v>0</v>
      </c>
      <c r="BM6" s="1546">
        <f t="shared" si="5"/>
        <v>0</v>
      </c>
      <c r="BN6" s="1546">
        <f t="shared" si="5"/>
        <v>0</v>
      </c>
      <c r="BO6" s="1546">
        <f t="shared" si="6"/>
        <v>0</v>
      </c>
      <c r="BP6" s="1546">
        <f t="shared" si="6"/>
        <v>0</v>
      </c>
      <c r="BQ6" s="1546">
        <f t="shared" si="6"/>
        <v>0</v>
      </c>
      <c r="BR6" s="1546">
        <f t="shared" si="6"/>
        <v>0</v>
      </c>
      <c r="BS6" s="1546">
        <f t="shared" si="6"/>
        <v>0</v>
      </c>
      <c r="BT6" s="1546">
        <f t="shared" si="6"/>
        <v>0</v>
      </c>
      <c r="BU6" s="1546">
        <f t="shared" si="6"/>
        <v>0</v>
      </c>
      <c r="BV6" s="1546">
        <f t="shared" si="6"/>
        <v>0</v>
      </c>
      <c r="BX6" s="1546">
        <f t="shared" si="12"/>
        <v>0</v>
      </c>
      <c r="BY6" s="1546">
        <f t="shared" si="7"/>
        <v>1</v>
      </c>
      <c r="BZ6" s="1546">
        <f t="shared" si="7"/>
        <v>0</v>
      </c>
      <c r="CA6" s="1546">
        <f t="shared" si="7"/>
        <v>0</v>
      </c>
      <c r="CB6" s="1546">
        <f t="shared" si="7"/>
        <v>0</v>
      </c>
      <c r="CC6" s="1546">
        <f t="shared" si="7"/>
        <v>0</v>
      </c>
      <c r="CD6" s="1546">
        <f t="shared" si="7"/>
        <v>0</v>
      </c>
      <c r="CE6" s="1546">
        <f t="shared" si="7"/>
        <v>0</v>
      </c>
      <c r="CF6" s="1546">
        <f t="shared" si="7"/>
        <v>0</v>
      </c>
      <c r="CG6" s="1546">
        <f t="shared" si="7"/>
        <v>0</v>
      </c>
      <c r="CH6" s="1546">
        <f t="shared" si="7"/>
        <v>0</v>
      </c>
      <c r="CI6" s="1546">
        <f t="shared" si="7"/>
        <v>0</v>
      </c>
      <c r="CJ6" s="1546">
        <f t="shared" si="7"/>
        <v>0</v>
      </c>
      <c r="CL6" s="1546">
        <f t="shared" si="8"/>
        <v>0</v>
      </c>
      <c r="CM6" s="1546">
        <f t="shared" si="8"/>
        <v>1</v>
      </c>
      <c r="CN6" s="1546">
        <f t="shared" si="8"/>
        <v>0</v>
      </c>
      <c r="CO6" s="1546">
        <f t="shared" si="8"/>
        <v>0</v>
      </c>
      <c r="CQ6" s="1546">
        <f t="shared" si="9"/>
        <v>0</v>
      </c>
      <c r="CR6" s="1546">
        <f t="shared" si="10"/>
        <v>0</v>
      </c>
      <c r="CS6" s="1546">
        <f t="shared" si="10"/>
        <v>0</v>
      </c>
      <c r="CT6" s="1546">
        <f t="shared" si="10"/>
        <v>0</v>
      </c>
      <c r="CU6" s="1546">
        <f t="shared" si="10"/>
        <v>0</v>
      </c>
      <c r="CV6" s="1546">
        <f t="shared" si="10"/>
        <v>0</v>
      </c>
      <c r="CW6" s="1546">
        <f t="shared" si="10"/>
        <v>0</v>
      </c>
      <c r="CX6" s="1546">
        <f t="shared" si="10"/>
        <v>0</v>
      </c>
      <c r="CY6" s="1546">
        <f t="shared" si="10"/>
        <v>0</v>
      </c>
      <c r="CZ6" s="1546">
        <f t="shared" si="10"/>
        <v>0</v>
      </c>
      <c r="DA6" s="1546">
        <f t="shared" si="10"/>
        <v>0</v>
      </c>
      <c r="DB6" s="1546">
        <f t="shared" si="10"/>
        <v>0</v>
      </c>
      <c r="DC6" s="1546">
        <f t="shared" si="10"/>
        <v>0</v>
      </c>
      <c r="DD6" s="1546">
        <f t="shared" si="10"/>
        <v>0</v>
      </c>
      <c r="DE6" s="1546">
        <f t="shared" si="10"/>
        <v>0</v>
      </c>
      <c r="DF6" s="1546">
        <f t="shared" si="10"/>
        <v>0</v>
      </c>
      <c r="DG6" s="1546">
        <f t="shared" si="13"/>
        <v>0</v>
      </c>
      <c r="DI6" s="1546">
        <f t="shared" si="11"/>
        <v>0</v>
      </c>
      <c r="DJ6" s="1546">
        <f t="shared" si="11"/>
        <v>1</v>
      </c>
      <c r="DK6" s="1546">
        <f t="shared" si="11"/>
        <v>0</v>
      </c>
      <c r="DL6" s="1546">
        <f t="shared" si="11"/>
        <v>0</v>
      </c>
      <c r="DM6" s="1546">
        <f t="shared" si="11"/>
        <v>0</v>
      </c>
      <c r="DN6" s="1546">
        <f t="shared" si="11"/>
        <v>0</v>
      </c>
    </row>
    <row r="7" spans="1:118" x14ac:dyDescent="0.3">
      <c r="A7" s="285">
        <v>5</v>
      </c>
      <c r="B7" s="325">
        <f t="shared" si="0"/>
        <v>8</v>
      </c>
      <c r="C7" s="682" t="s">
        <v>67</v>
      </c>
      <c r="D7" s="683">
        <v>0.5</v>
      </c>
      <c r="E7" s="680" t="s">
        <v>136</v>
      </c>
      <c r="F7" s="713" t="s">
        <v>135</v>
      </c>
      <c r="G7" s="91">
        <f>IF($B7=0,"",VLOOKUP($B7,'Valve Data'!$1:$1048576,MATCH(G$1,'Valve Data'!$1:$1,0),0))</f>
        <v>300</v>
      </c>
      <c r="H7" s="21" t="str">
        <f>IF($B7=0,"",VLOOKUP($B7,'Valve Data'!$1:$1048576,MATCH(H$1,'Valve Data'!$1:$1,0),0))</f>
        <v>ISO 14313 / API 608</v>
      </c>
      <c r="I7" s="21" t="str">
        <f>IF($B7=0,"",VLOOKUP($B7,'Valve Data'!$1:$1048576,MATCH(I$1,'Valve Data'!$1:$1,0),0))</f>
        <v>Split Body</v>
      </c>
      <c r="J7" s="328">
        <f>IF($B7=0,"",VLOOKUP($B7,'Valve Data'!$1:$1048576,MATCH(J$1,'Valve Data'!$1:$1,0),0))</f>
        <v>3</v>
      </c>
      <c r="K7" s="21" t="str">
        <f>IF($B7=0,"",VLOOKUP($B7,'Valve Data'!$1:$1048576,MATCH(K$1,'Valve Data'!$1:$1,0),0))</f>
        <v>AISI 316L</v>
      </c>
      <c r="L7" s="21" t="str">
        <f>IF($B7=0,"",VLOOKUP($B7,'Valve Data'!$1:$1048576,MATCH(L$1,'Valve Data'!$1:$1,0),0))</f>
        <v>SS</v>
      </c>
      <c r="M7" s="21" t="str">
        <f>IF($B7=0,"",VLOOKUP($B7,'Valve Data'!$1:$1048576,MATCH(M$1,'Valve Data'!$1:$1,0),0))</f>
        <v>F316</v>
      </c>
      <c r="N7" s="21" t="str">
        <f>IF($B7=0,"",VLOOKUP($B7,'Valve Data'!$1:$1048576,MATCH(N$1,'Valve Data'!$1:$1,0),0))</f>
        <v>Flange</v>
      </c>
      <c r="O7" s="21" t="str">
        <f>IF($B7=0,"",VLOOKUP($B7,'Valve Data'!$1:$1048576,MATCH(O$1,'Valve Data'!$1:$1,0),0))</f>
        <v>RF</v>
      </c>
      <c r="P7" s="21" t="str">
        <f>IF($B7=0,"",VLOOKUP($B7,'Valve Data'!$1:$1048576,MATCH(P$1,'Valve Data'!$1:$1,0),0))</f>
        <v>Floating</v>
      </c>
      <c r="Q7" s="21" t="str">
        <f>IF($B7=0,"",VLOOKUP($B7,'Valve Data'!$1:$1048576,MATCH(Q$1,'Valve Data'!$1:$1,0),0))</f>
        <v>Lever</v>
      </c>
      <c r="R7" s="21" t="str">
        <f>IF($B7=0,"",VLOOKUP($B7,'Valve Data'!$1:$1048576,MATCH(R$1,'Valve Data'!$1:$1,0),0))</f>
        <v>API 608 / ISO 10497</v>
      </c>
      <c r="S7" s="21" t="str">
        <f>IF($B7=0,"",VLOOKUP($B7,'Valve Data'!$1:$1048576,MATCH(S$1,'Valve Data'!$1:$1,0),0))</f>
        <v>R-PTFE</v>
      </c>
      <c r="T7" s="331" t="str">
        <f>IF($B7=0,"",VLOOKUP($B7,'Valve Data'!$1:$1048576,MATCH(T$1,'Valve Data'!$1:$1,0),0))</f>
        <v>Graphite</v>
      </c>
      <c r="U7" s="91" t="str">
        <f>IF($B7=0,"",VLOOKUP($B7,'Valve Data'!$1:$1048576,MATCH(U$1,'Valve Data'!$1:$1,0),0))</f>
        <v>YES</v>
      </c>
      <c r="V7" s="21" t="str">
        <f>IF($B7=0,"",VLOOKUP($B7,'Valve Data'!$1:$1048576,MATCH(V$1,'Valve Data'!$1:$1,0),0))</f>
        <v>NO</v>
      </c>
      <c r="W7" s="21" t="str">
        <f>IF($B7=0,"",VLOOKUP($B7,'Valve Data'!$1:$1048576,MATCH(W$1,'Valve Data'!$1:$1,0),0))</f>
        <v>NO</v>
      </c>
      <c r="X7" s="331" t="str">
        <f>IF($B7=0,"",VLOOKUP($B7,'Valve Data'!$1:$1048576,MATCH(X$1,'Valve Data'!$1:$1,0),0))</f>
        <v>3.1</v>
      </c>
      <c r="Y7" s="865"/>
      <c r="Z7" s="683"/>
      <c r="AA7" s="680"/>
      <c r="AB7" s="680"/>
      <c r="AC7" s="680"/>
      <c r="AD7" s="680"/>
      <c r="AE7" s="684"/>
      <c r="AF7" s="866"/>
      <c r="AG7" s="680">
        <v>17</v>
      </c>
      <c r="AH7" s="680"/>
      <c r="AI7" s="680"/>
      <c r="AJ7" s="680"/>
      <c r="AK7" s="680"/>
      <c r="AL7" s="680"/>
      <c r="AM7" s="680"/>
      <c r="AN7" s="680"/>
      <c r="AO7" s="680"/>
      <c r="AP7" s="684"/>
      <c r="AQ7" s="684"/>
      <c r="AR7" s="684"/>
      <c r="AS7" s="684"/>
      <c r="AT7" s="684"/>
      <c r="AU7" s="684"/>
      <c r="AV7" s="271">
        <f t="shared" si="1"/>
        <v>17</v>
      </c>
      <c r="AW7" s="680" t="s">
        <v>1664</v>
      </c>
      <c r="AX7" s="845">
        <f>IF(F7="Ball_valve",IFERROR(VLOOKUP(E7&amp;"."&amp;D7,'Ball Valves Chart'!$1:$1048576,MATCH(G7,'Ball Valves Chart'!$3:$3,0),0),0),0)+IF(F7="DBB",IFERROR(VLOOKUP(E7&amp;"."&amp;D7,'Ball Valves Chart'!$1:$1048576,MATCH(G7,'Ball Valves Chart'!$3:$3,0),0)*2,0),0)+IFERROR(VLOOKUP(D7&amp;"."&amp;F7,'Manual Valves Chart'!$1:$1048576,MATCH('Valve List'!G7,'Manual Valves Chart'!$1:$1,0),0),0)</f>
        <v>5</v>
      </c>
      <c r="AY7" s="846">
        <f t="shared" si="2"/>
        <v>85</v>
      </c>
      <c r="AZ7" s="854">
        <v>300</v>
      </c>
      <c r="BA7" s="856">
        <f t="shared" si="3"/>
        <v>5100</v>
      </c>
      <c r="BC7" s="852">
        <f t="shared" si="4"/>
        <v>0.89999999999999991</v>
      </c>
      <c r="BD7" s="398"/>
      <c r="BE7" s="1546">
        <f t="shared" si="5"/>
        <v>1</v>
      </c>
      <c r="BF7" s="1546">
        <f t="shared" si="5"/>
        <v>0</v>
      </c>
      <c r="BG7" s="1546">
        <f t="shared" si="5"/>
        <v>0</v>
      </c>
      <c r="BH7" s="1546">
        <f t="shared" si="5"/>
        <v>0</v>
      </c>
      <c r="BI7" s="1546">
        <f t="shared" si="5"/>
        <v>0</v>
      </c>
      <c r="BJ7" s="1546">
        <f t="shared" si="5"/>
        <v>0</v>
      </c>
      <c r="BK7" s="1546">
        <f t="shared" si="5"/>
        <v>0</v>
      </c>
      <c r="BL7" s="1546">
        <f t="shared" si="5"/>
        <v>0</v>
      </c>
      <c r="BM7" s="1546">
        <f t="shared" si="5"/>
        <v>0</v>
      </c>
      <c r="BN7" s="1546">
        <f t="shared" si="5"/>
        <v>0</v>
      </c>
      <c r="BO7" s="1546">
        <f t="shared" si="6"/>
        <v>0</v>
      </c>
      <c r="BP7" s="1546">
        <f t="shared" si="6"/>
        <v>0</v>
      </c>
      <c r="BQ7" s="1546">
        <f t="shared" si="6"/>
        <v>0</v>
      </c>
      <c r="BR7" s="1546">
        <f t="shared" si="6"/>
        <v>0</v>
      </c>
      <c r="BS7" s="1546">
        <f t="shared" si="6"/>
        <v>0</v>
      </c>
      <c r="BT7" s="1546">
        <f t="shared" si="6"/>
        <v>0</v>
      </c>
      <c r="BU7" s="1546">
        <f t="shared" si="6"/>
        <v>0</v>
      </c>
      <c r="BV7" s="1546">
        <f t="shared" si="6"/>
        <v>0</v>
      </c>
      <c r="BX7" s="1546">
        <f t="shared" si="12"/>
        <v>0</v>
      </c>
      <c r="BY7" s="1546">
        <f t="shared" si="7"/>
        <v>1</v>
      </c>
      <c r="BZ7" s="1546">
        <f t="shared" si="7"/>
        <v>0</v>
      </c>
      <c r="CA7" s="1546">
        <f t="shared" si="7"/>
        <v>0</v>
      </c>
      <c r="CB7" s="1546">
        <f t="shared" si="7"/>
        <v>0</v>
      </c>
      <c r="CC7" s="1546">
        <f t="shared" si="7"/>
        <v>0</v>
      </c>
      <c r="CD7" s="1546">
        <f t="shared" si="7"/>
        <v>0</v>
      </c>
      <c r="CE7" s="1546">
        <f t="shared" si="7"/>
        <v>0</v>
      </c>
      <c r="CF7" s="1546">
        <f t="shared" si="7"/>
        <v>0</v>
      </c>
      <c r="CG7" s="1546">
        <f t="shared" si="7"/>
        <v>0</v>
      </c>
      <c r="CH7" s="1546">
        <f t="shared" si="7"/>
        <v>0</v>
      </c>
      <c r="CI7" s="1546">
        <f t="shared" si="7"/>
        <v>0</v>
      </c>
      <c r="CJ7" s="1546">
        <f t="shared" si="7"/>
        <v>0</v>
      </c>
      <c r="CL7" s="1546">
        <f t="shared" si="8"/>
        <v>0</v>
      </c>
      <c r="CM7" s="1546">
        <f t="shared" si="8"/>
        <v>1</v>
      </c>
      <c r="CN7" s="1546">
        <f t="shared" si="8"/>
        <v>0</v>
      </c>
      <c r="CO7" s="1546">
        <f t="shared" si="8"/>
        <v>0</v>
      </c>
      <c r="CQ7" s="1546">
        <f t="shared" si="9"/>
        <v>0</v>
      </c>
      <c r="CR7" s="1546">
        <f t="shared" si="10"/>
        <v>0</v>
      </c>
      <c r="CS7" s="1546">
        <f t="shared" si="10"/>
        <v>0</v>
      </c>
      <c r="CT7" s="1546">
        <f t="shared" si="10"/>
        <v>0</v>
      </c>
      <c r="CU7" s="1546">
        <f t="shared" si="10"/>
        <v>0</v>
      </c>
      <c r="CV7" s="1546">
        <f t="shared" si="10"/>
        <v>0</v>
      </c>
      <c r="CW7" s="1546">
        <f t="shared" si="10"/>
        <v>0</v>
      </c>
      <c r="CX7" s="1546">
        <f t="shared" si="10"/>
        <v>0</v>
      </c>
      <c r="CY7" s="1546">
        <f t="shared" si="10"/>
        <v>0</v>
      </c>
      <c r="CZ7" s="1546">
        <f t="shared" si="10"/>
        <v>0</v>
      </c>
      <c r="DA7" s="1546">
        <f t="shared" si="10"/>
        <v>0</v>
      </c>
      <c r="DB7" s="1546">
        <f t="shared" si="10"/>
        <v>0</v>
      </c>
      <c r="DC7" s="1546">
        <f t="shared" si="10"/>
        <v>0</v>
      </c>
      <c r="DD7" s="1546">
        <f t="shared" si="10"/>
        <v>0</v>
      </c>
      <c r="DE7" s="1546">
        <f t="shared" si="10"/>
        <v>0</v>
      </c>
      <c r="DF7" s="1546">
        <f t="shared" si="10"/>
        <v>0</v>
      </c>
      <c r="DG7" s="1546">
        <f t="shared" si="13"/>
        <v>0</v>
      </c>
      <c r="DI7" s="1546">
        <f t="shared" si="11"/>
        <v>0</v>
      </c>
      <c r="DJ7" s="1546">
        <f t="shared" si="11"/>
        <v>1</v>
      </c>
      <c r="DK7" s="1546">
        <f t="shared" si="11"/>
        <v>0</v>
      </c>
      <c r="DL7" s="1546">
        <f t="shared" si="11"/>
        <v>0</v>
      </c>
      <c r="DM7" s="1546">
        <f t="shared" si="11"/>
        <v>0</v>
      </c>
      <c r="DN7" s="1546">
        <f t="shared" si="11"/>
        <v>0</v>
      </c>
    </row>
    <row r="8" spans="1:118" x14ac:dyDescent="0.3">
      <c r="A8" s="285">
        <v>6</v>
      </c>
      <c r="B8" s="325">
        <f t="shared" si="0"/>
        <v>1</v>
      </c>
      <c r="C8" s="682" t="s">
        <v>61</v>
      </c>
      <c r="D8" s="683">
        <v>1</v>
      </c>
      <c r="E8" s="680" t="s">
        <v>136</v>
      </c>
      <c r="F8" s="713" t="s">
        <v>135</v>
      </c>
      <c r="G8" s="91">
        <f>IF($B8=0,"",VLOOKUP($B8,'Valve Data'!$1:$1048576,MATCH(G$1,'Valve Data'!$1:$1,0),0))</f>
        <v>150</v>
      </c>
      <c r="H8" s="21" t="str">
        <f>IF($B8=0,"",VLOOKUP($B8,'Valve Data'!$1:$1048576,MATCH(H$1,'Valve Data'!$1:$1,0),0))</f>
        <v>ISO 14313 / API 608</v>
      </c>
      <c r="I8" s="21" t="str">
        <f>IF($B8=0,"",VLOOKUP($B8,'Valve Data'!$1:$1048576,MATCH(I$1,'Valve Data'!$1:$1,0),0))</f>
        <v>Split Body</v>
      </c>
      <c r="J8" s="328">
        <f>IF($B8=0,"",VLOOKUP($B8,'Valve Data'!$1:$1048576,MATCH(J$1,'Valve Data'!$1:$1,0),0))</f>
        <v>3</v>
      </c>
      <c r="K8" s="21" t="str">
        <f>IF($B8=0,"",VLOOKUP($B8,'Valve Data'!$1:$1048576,MATCH(K$1,'Valve Data'!$1:$1,0),0))</f>
        <v>A105</v>
      </c>
      <c r="L8" s="21" t="str">
        <f>IF($B8=0,"",VLOOKUP($B8,'Valve Data'!$1:$1048576,MATCH(L$1,'Valve Data'!$1:$1,0),0))</f>
        <v>CS</v>
      </c>
      <c r="M8" s="21" t="str">
        <f>IF($B8=0,"",VLOOKUP($B8,'Valve Data'!$1:$1048576,MATCH(M$1,'Valve Data'!$1:$1,0),0))</f>
        <v>F316</v>
      </c>
      <c r="N8" s="21" t="str">
        <f>IF($B8=0,"",VLOOKUP($B8,'Valve Data'!$1:$1048576,MATCH(N$1,'Valve Data'!$1:$1,0),0))</f>
        <v>Flange</v>
      </c>
      <c r="O8" s="21" t="str">
        <f>IF($B8=0,"",VLOOKUP($B8,'Valve Data'!$1:$1048576,MATCH(O$1,'Valve Data'!$1:$1,0),0))</f>
        <v>RF</v>
      </c>
      <c r="P8" s="21" t="str">
        <f>IF($B8=0,"",VLOOKUP($B8,'Valve Data'!$1:$1048576,MATCH(P$1,'Valve Data'!$1:$1,0),0))</f>
        <v>Floating</v>
      </c>
      <c r="Q8" s="21" t="str">
        <f>IF($B8=0,"",VLOOKUP($B8,'Valve Data'!$1:$1048576,MATCH(Q$1,'Valve Data'!$1:$1,0),0))</f>
        <v>Lever</v>
      </c>
      <c r="R8" s="21" t="str">
        <f>IF($B8=0,"",VLOOKUP($B8,'Valve Data'!$1:$1048576,MATCH(R$1,'Valve Data'!$1:$1,0),0))</f>
        <v>API 608 / ISO 10497</v>
      </c>
      <c r="S8" s="21" t="str">
        <f>IF($B8=0,"",VLOOKUP($B8,'Valve Data'!$1:$1048576,MATCH(S$1,'Valve Data'!$1:$1,0),0))</f>
        <v>R-PTFE</v>
      </c>
      <c r="T8" s="331" t="str">
        <f>IF($B8=0,"",VLOOKUP($B8,'Valve Data'!$1:$1048576,MATCH(T$1,'Valve Data'!$1:$1,0),0))</f>
        <v>Graphite</v>
      </c>
      <c r="U8" s="91" t="str">
        <f>IF($B8=0,"",VLOOKUP($B8,'Valve Data'!$1:$1048576,MATCH(U$1,'Valve Data'!$1:$1,0),0))</f>
        <v>YES</v>
      </c>
      <c r="V8" s="21" t="str">
        <f>IF($B8=0,"",VLOOKUP($B8,'Valve Data'!$1:$1048576,MATCH(V$1,'Valve Data'!$1:$1,0),0))</f>
        <v>NO</v>
      </c>
      <c r="W8" s="21" t="str">
        <f>IF($B8=0,"",VLOOKUP($B8,'Valve Data'!$1:$1048576,MATCH(W$1,'Valve Data'!$1:$1,0),0))</f>
        <v>NO</v>
      </c>
      <c r="X8" s="331" t="str">
        <f>IF($B8=0,"",VLOOKUP($B8,'Valve Data'!$1:$1048576,MATCH(X$1,'Valve Data'!$1:$1,0),0))</f>
        <v>3.1</v>
      </c>
      <c r="Y8" s="865"/>
      <c r="Z8" s="683"/>
      <c r="AA8" s="680"/>
      <c r="AB8" s="680"/>
      <c r="AC8" s="680"/>
      <c r="AD8" s="680"/>
      <c r="AE8" s="684"/>
      <c r="AF8" s="866"/>
      <c r="AG8" s="680">
        <v>2</v>
      </c>
      <c r="AH8" s="680"/>
      <c r="AI8" s="680"/>
      <c r="AJ8" s="680"/>
      <c r="AK8" s="680"/>
      <c r="AL8" s="680"/>
      <c r="AM8" s="680"/>
      <c r="AN8" s="680"/>
      <c r="AO8" s="680"/>
      <c r="AP8" s="684"/>
      <c r="AQ8" s="684"/>
      <c r="AR8" s="684"/>
      <c r="AS8" s="684"/>
      <c r="AT8" s="684"/>
      <c r="AU8" s="684"/>
      <c r="AV8" s="271">
        <f t="shared" si="1"/>
        <v>2</v>
      </c>
      <c r="AW8" s="680" t="s">
        <v>1664</v>
      </c>
      <c r="AX8" s="845">
        <f>IF(F8="Ball_valve",IFERROR(VLOOKUP(E8&amp;"."&amp;D8,'Ball Valves Chart'!$1:$1048576,MATCH(G8,'Ball Valves Chart'!$3:$3,0),0),0),0)+IF(F8="DBB",IFERROR(VLOOKUP(E8&amp;"."&amp;D8,'Ball Valves Chart'!$1:$1048576,MATCH(G8,'Ball Valves Chart'!$3:$3,0),0)*2,0),0)+IFERROR(VLOOKUP(D8&amp;"."&amp;F8,'Manual Valves Chart'!$1:$1048576,MATCH('Valve List'!G8,'Manual Valves Chart'!$1:$1,0),0),0)</f>
        <v>8</v>
      </c>
      <c r="AY8" s="846">
        <f t="shared" si="2"/>
        <v>16</v>
      </c>
      <c r="AZ8" s="854">
        <v>120</v>
      </c>
      <c r="BA8" s="856">
        <f t="shared" si="3"/>
        <v>240</v>
      </c>
      <c r="BC8" s="852">
        <f t="shared" si="4"/>
        <v>1.44</v>
      </c>
      <c r="BD8" s="398"/>
      <c r="BE8" s="1546">
        <f t="shared" si="5"/>
        <v>0</v>
      </c>
      <c r="BF8" s="1546">
        <f t="shared" si="5"/>
        <v>0</v>
      </c>
      <c r="BG8" s="1546">
        <f t="shared" si="5"/>
        <v>1</v>
      </c>
      <c r="BH8" s="1546">
        <f t="shared" si="5"/>
        <v>0</v>
      </c>
      <c r="BI8" s="1546">
        <f t="shared" si="5"/>
        <v>0</v>
      </c>
      <c r="BJ8" s="1546">
        <f t="shared" si="5"/>
        <v>0</v>
      </c>
      <c r="BK8" s="1546">
        <f t="shared" si="5"/>
        <v>0</v>
      </c>
      <c r="BL8" s="1546">
        <f t="shared" si="5"/>
        <v>0</v>
      </c>
      <c r="BM8" s="1546">
        <f t="shared" si="5"/>
        <v>0</v>
      </c>
      <c r="BN8" s="1546">
        <f t="shared" si="5"/>
        <v>0</v>
      </c>
      <c r="BO8" s="1546">
        <f t="shared" si="6"/>
        <v>0</v>
      </c>
      <c r="BP8" s="1546">
        <f t="shared" si="6"/>
        <v>0</v>
      </c>
      <c r="BQ8" s="1546">
        <f t="shared" si="6"/>
        <v>0</v>
      </c>
      <c r="BR8" s="1546">
        <f t="shared" si="6"/>
        <v>0</v>
      </c>
      <c r="BS8" s="1546">
        <f t="shared" si="6"/>
        <v>0</v>
      </c>
      <c r="BT8" s="1546">
        <f t="shared" si="6"/>
        <v>0</v>
      </c>
      <c r="BU8" s="1546">
        <f t="shared" si="6"/>
        <v>0</v>
      </c>
      <c r="BV8" s="1546">
        <f t="shared" si="6"/>
        <v>0</v>
      </c>
      <c r="BX8" s="1546">
        <f t="shared" si="12"/>
        <v>1</v>
      </c>
      <c r="BY8" s="1546">
        <f t="shared" si="7"/>
        <v>0</v>
      </c>
      <c r="BZ8" s="1546">
        <f t="shared" si="7"/>
        <v>0</v>
      </c>
      <c r="CA8" s="1546">
        <f t="shared" si="7"/>
        <v>0</v>
      </c>
      <c r="CB8" s="1546">
        <f t="shared" si="7"/>
        <v>0</v>
      </c>
      <c r="CC8" s="1546">
        <f t="shared" si="7"/>
        <v>0</v>
      </c>
      <c r="CD8" s="1546">
        <f t="shared" si="7"/>
        <v>0</v>
      </c>
      <c r="CE8" s="1546">
        <f t="shared" si="7"/>
        <v>0</v>
      </c>
      <c r="CF8" s="1546">
        <f t="shared" si="7"/>
        <v>0</v>
      </c>
      <c r="CG8" s="1546">
        <f t="shared" si="7"/>
        <v>0</v>
      </c>
      <c r="CH8" s="1546">
        <f t="shared" si="7"/>
        <v>0</v>
      </c>
      <c r="CI8" s="1546">
        <f t="shared" si="7"/>
        <v>0</v>
      </c>
      <c r="CJ8" s="1546">
        <f t="shared" si="7"/>
        <v>0</v>
      </c>
      <c r="CL8" s="1546">
        <f t="shared" si="8"/>
        <v>1</v>
      </c>
      <c r="CM8" s="1546">
        <f t="shared" si="8"/>
        <v>0</v>
      </c>
      <c r="CN8" s="1546">
        <f t="shared" si="8"/>
        <v>0</v>
      </c>
      <c r="CO8" s="1546">
        <f t="shared" si="8"/>
        <v>0</v>
      </c>
      <c r="CQ8" s="1546">
        <f t="shared" si="9"/>
        <v>0</v>
      </c>
      <c r="CR8" s="1546">
        <f t="shared" si="10"/>
        <v>0</v>
      </c>
      <c r="CS8" s="1546">
        <f t="shared" si="10"/>
        <v>0</v>
      </c>
      <c r="CT8" s="1546">
        <f t="shared" si="10"/>
        <v>0</v>
      </c>
      <c r="CU8" s="1546">
        <f t="shared" si="10"/>
        <v>0</v>
      </c>
      <c r="CV8" s="1546">
        <f t="shared" si="10"/>
        <v>0</v>
      </c>
      <c r="CW8" s="1546">
        <f t="shared" si="10"/>
        <v>0</v>
      </c>
      <c r="CX8" s="1546">
        <f t="shared" si="10"/>
        <v>0</v>
      </c>
      <c r="CY8" s="1546">
        <f t="shared" si="10"/>
        <v>0</v>
      </c>
      <c r="CZ8" s="1546">
        <f t="shared" si="10"/>
        <v>0</v>
      </c>
      <c r="DA8" s="1546">
        <f t="shared" si="10"/>
        <v>0</v>
      </c>
      <c r="DB8" s="1546">
        <f t="shared" si="10"/>
        <v>0</v>
      </c>
      <c r="DC8" s="1546">
        <f t="shared" si="10"/>
        <v>0</v>
      </c>
      <c r="DD8" s="1546">
        <f t="shared" si="10"/>
        <v>0</v>
      </c>
      <c r="DE8" s="1546">
        <f t="shared" si="10"/>
        <v>0</v>
      </c>
      <c r="DF8" s="1546">
        <f t="shared" si="10"/>
        <v>0</v>
      </c>
      <c r="DG8" s="1546">
        <f t="shared" si="13"/>
        <v>0</v>
      </c>
      <c r="DI8" s="1546">
        <f t="shared" si="11"/>
        <v>1</v>
      </c>
      <c r="DJ8" s="1546">
        <f t="shared" si="11"/>
        <v>0</v>
      </c>
      <c r="DK8" s="1546">
        <f t="shared" si="11"/>
        <v>0</v>
      </c>
      <c r="DL8" s="1546">
        <f t="shared" si="11"/>
        <v>0</v>
      </c>
      <c r="DM8" s="1546">
        <f t="shared" si="11"/>
        <v>0</v>
      </c>
      <c r="DN8" s="1546">
        <f t="shared" si="11"/>
        <v>0</v>
      </c>
    </row>
    <row r="9" spans="1:118" x14ac:dyDescent="0.3">
      <c r="A9" s="285">
        <v>7</v>
      </c>
      <c r="B9" s="325">
        <f t="shared" si="0"/>
        <v>0</v>
      </c>
      <c r="C9" s="682"/>
      <c r="D9" s="683"/>
      <c r="E9" s="680"/>
      <c r="F9" s="713"/>
      <c r="G9" s="91" t="str">
        <f>IF($B9=0,"",VLOOKUP($B9,'Valve Data'!$1:$1048576,MATCH(G$1,'Valve Data'!$1:$1,0),0))</f>
        <v/>
      </c>
      <c r="H9" s="21" t="str">
        <f>IF($B9=0,"",VLOOKUP($B9,'Valve Data'!$1:$1048576,MATCH(H$1,'Valve Data'!$1:$1,0),0))</f>
        <v/>
      </c>
      <c r="I9" s="21" t="str">
        <f>IF($B9=0,"",VLOOKUP($B9,'Valve Data'!$1:$1048576,MATCH(I$1,'Valve Data'!$1:$1,0),0))</f>
        <v/>
      </c>
      <c r="J9" s="328" t="str">
        <f>IF($B9=0,"",VLOOKUP($B9,'Valve Data'!$1:$1048576,MATCH(J$1,'Valve Data'!$1:$1,0),0))</f>
        <v/>
      </c>
      <c r="K9" s="21" t="str">
        <f>IF($B9=0,"",VLOOKUP($B9,'Valve Data'!$1:$1048576,MATCH(K$1,'Valve Data'!$1:$1,0),0))</f>
        <v/>
      </c>
      <c r="L9" s="21" t="str">
        <f>IF($B9=0,"",VLOOKUP($B9,'Valve Data'!$1:$1048576,MATCH(L$1,'Valve Data'!$1:$1,0),0))</f>
        <v/>
      </c>
      <c r="M9" s="21" t="str">
        <f>IF($B9=0,"",VLOOKUP($B9,'Valve Data'!$1:$1048576,MATCH(M$1,'Valve Data'!$1:$1,0),0))</f>
        <v/>
      </c>
      <c r="N9" s="21" t="str">
        <f>IF($B9=0,"",VLOOKUP($B9,'Valve Data'!$1:$1048576,MATCH(N$1,'Valve Data'!$1:$1,0),0))</f>
        <v/>
      </c>
      <c r="O9" s="21" t="str">
        <f>IF($B9=0,"",VLOOKUP($B9,'Valve Data'!$1:$1048576,MATCH(O$1,'Valve Data'!$1:$1,0),0))</f>
        <v/>
      </c>
      <c r="P9" s="21" t="str">
        <f>IF($B9=0,"",VLOOKUP($B9,'Valve Data'!$1:$1048576,MATCH(P$1,'Valve Data'!$1:$1,0),0))</f>
        <v/>
      </c>
      <c r="Q9" s="21" t="str">
        <f>IF($B9=0,"",VLOOKUP($B9,'Valve Data'!$1:$1048576,MATCH(Q$1,'Valve Data'!$1:$1,0),0))</f>
        <v/>
      </c>
      <c r="R9" s="21" t="str">
        <f>IF($B9=0,"",VLOOKUP($B9,'Valve Data'!$1:$1048576,MATCH(R$1,'Valve Data'!$1:$1,0),0))</f>
        <v/>
      </c>
      <c r="S9" s="21" t="str">
        <f>IF($B9=0,"",VLOOKUP($B9,'Valve Data'!$1:$1048576,MATCH(S$1,'Valve Data'!$1:$1,0),0))</f>
        <v/>
      </c>
      <c r="T9" s="331" t="str">
        <f>IF($B9=0,"",VLOOKUP($B9,'Valve Data'!$1:$1048576,MATCH(T$1,'Valve Data'!$1:$1,0),0))</f>
        <v/>
      </c>
      <c r="U9" s="91" t="str">
        <f>IF($B9=0,"",VLOOKUP($B9,'Valve Data'!$1:$1048576,MATCH(U$1,'Valve Data'!$1:$1,0),0))</f>
        <v/>
      </c>
      <c r="V9" s="21" t="str">
        <f>IF($B9=0,"",VLOOKUP($B9,'Valve Data'!$1:$1048576,MATCH(V$1,'Valve Data'!$1:$1,0),0))</f>
        <v/>
      </c>
      <c r="W9" s="21" t="str">
        <f>IF($B9=0,"",VLOOKUP($B9,'Valve Data'!$1:$1048576,MATCH(W$1,'Valve Data'!$1:$1,0),0))</f>
        <v/>
      </c>
      <c r="X9" s="331" t="str">
        <f>IF($B9=0,"",VLOOKUP($B9,'Valve Data'!$1:$1048576,MATCH(X$1,'Valve Data'!$1:$1,0),0))</f>
        <v/>
      </c>
      <c r="Y9" s="865"/>
      <c r="Z9" s="683"/>
      <c r="AA9" s="680"/>
      <c r="AB9" s="680"/>
      <c r="AC9" s="680"/>
      <c r="AD9" s="680"/>
      <c r="AE9" s="684"/>
      <c r="AF9" s="866"/>
      <c r="AG9" s="680"/>
      <c r="AH9" s="680"/>
      <c r="AI9" s="680"/>
      <c r="AJ9" s="680"/>
      <c r="AK9" s="680"/>
      <c r="AL9" s="680"/>
      <c r="AM9" s="680"/>
      <c r="AN9" s="680"/>
      <c r="AO9" s="680"/>
      <c r="AP9" s="684"/>
      <c r="AQ9" s="684"/>
      <c r="AR9" s="684"/>
      <c r="AS9" s="684"/>
      <c r="AT9" s="684"/>
      <c r="AU9" s="684"/>
      <c r="AV9" s="271">
        <f t="shared" si="1"/>
        <v>0</v>
      </c>
      <c r="AW9" s="680"/>
      <c r="AX9" s="845">
        <f>IF(F9="Ball_valve",IFERROR(VLOOKUP(E9&amp;"."&amp;D9,'Ball Valves Chart'!$1:$1048576,MATCH(G9,'Ball Valves Chart'!$3:$3,0),0),0),0)+IF(F9="DBB",IFERROR(VLOOKUP(E9&amp;"."&amp;D9,'Ball Valves Chart'!$1:$1048576,MATCH(G9,'Ball Valves Chart'!$3:$3,0),0)*2,0),0)+IFERROR(VLOOKUP(D9&amp;"."&amp;F9,'Manual Valves Chart'!$1:$1048576,MATCH('Valve List'!G9,'Manual Valves Chart'!$1:$1,0),0),0)</f>
        <v>0</v>
      </c>
      <c r="AY9" s="846">
        <f t="shared" si="2"/>
        <v>0</v>
      </c>
      <c r="AZ9" s="854"/>
      <c r="BA9" s="856">
        <f t="shared" si="3"/>
        <v>0</v>
      </c>
      <c r="BC9" s="852">
        <f t="shared" si="4"/>
        <v>0</v>
      </c>
      <c r="BD9" s="398"/>
      <c r="BE9" s="1546">
        <f t="shared" si="5"/>
        <v>0</v>
      </c>
      <c r="BF9" s="1546">
        <f t="shared" si="5"/>
        <v>0</v>
      </c>
      <c r="BG9" s="1546">
        <f t="shared" si="5"/>
        <v>0</v>
      </c>
      <c r="BH9" s="1546">
        <f t="shared" si="5"/>
        <v>0</v>
      </c>
      <c r="BI9" s="1546">
        <f t="shared" si="5"/>
        <v>0</v>
      </c>
      <c r="BJ9" s="1546">
        <f t="shared" si="5"/>
        <v>0</v>
      </c>
      <c r="BK9" s="1546">
        <f t="shared" si="5"/>
        <v>0</v>
      </c>
      <c r="BL9" s="1546">
        <f t="shared" si="5"/>
        <v>0</v>
      </c>
      <c r="BM9" s="1546">
        <f t="shared" si="5"/>
        <v>0</v>
      </c>
      <c r="BN9" s="1546">
        <f t="shared" si="5"/>
        <v>0</v>
      </c>
      <c r="BO9" s="1546">
        <f t="shared" si="6"/>
        <v>0</v>
      </c>
      <c r="BP9" s="1546">
        <f t="shared" si="6"/>
        <v>0</v>
      </c>
      <c r="BQ9" s="1546">
        <f t="shared" si="6"/>
        <v>0</v>
      </c>
      <c r="BR9" s="1546">
        <f t="shared" si="6"/>
        <v>0</v>
      </c>
      <c r="BS9" s="1546">
        <f t="shared" si="6"/>
        <v>0</v>
      </c>
      <c r="BT9" s="1546">
        <f t="shared" si="6"/>
        <v>0</v>
      </c>
      <c r="BU9" s="1546">
        <f t="shared" si="6"/>
        <v>0</v>
      </c>
      <c r="BV9" s="1546">
        <f t="shared" si="6"/>
        <v>0</v>
      </c>
      <c r="BX9" s="1546">
        <f t="shared" si="12"/>
        <v>0</v>
      </c>
      <c r="BY9" s="1546">
        <f t="shared" si="7"/>
        <v>0</v>
      </c>
      <c r="BZ9" s="1546">
        <f t="shared" si="7"/>
        <v>0</v>
      </c>
      <c r="CA9" s="1546">
        <f t="shared" si="7"/>
        <v>0</v>
      </c>
      <c r="CB9" s="1546">
        <f t="shared" si="7"/>
        <v>0</v>
      </c>
      <c r="CC9" s="1546">
        <f t="shared" si="7"/>
        <v>0</v>
      </c>
      <c r="CD9" s="1546">
        <f t="shared" si="7"/>
        <v>0</v>
      </c>
      <c r="CE9" s="1546">
        <f t="shared" si="7"/>
        <v>0</v>
      </c>
      <c r="CF9" s="1546">
        <f t="shared" si="7"/>
        <v>0</v>
      </c>
      <c r="CG9" s="1546">
        <f t="shared" si="7"/>
        <v>0</v>
      </c>
      <c r="CH9" s="1546">
        <f t="shared" si="7"/>
        <v>0</v>
      </c>
      <c r="CI9" s="1546">
        <f t="shared" si="7"/>
        <v>0</v>
      </c>
      <c r="CJ9" s="1546">
        <f t="shared" si="7"/>
        <v>0</v>
      </c>
      <c r="CL9" s="1546">
        <f t="shared" si="8"/>
        <v>0</v>
      </c>
      <c r="CM9" s="1546">
        <f t="shared" si="8"/>
        <v>0</v>
      </c>
      <c r="CN9" s="1546">
        <f t="shared" si="8"/>
        <v>0</v>
      </c>
      <c r="CO9" s="1546">
        <f t="shared" si="8"/>
        <v>0</v>
      </c>
      <c r="CQ9" s="1546">
        <f t="shared" si="9"/>
        <v>0</v>
      </c>
      <c r="CR9" s="1546">
        <f t="shared" si="10"/>
        <v>0</v>
      </c>
      <c r="CS9" s="1546">
        <f t="shared" si="10"/>
        <v>0</v>
      </c>
      <c r="CT9" s="1546">
        <f t="shared" si="10"/>
        <v>0</v>
      </c>
      <c r="CU9" s="1546">
        <f t="shared" si="10"/>
        <v>0</v>
      </c>
      <c r="CV9" s="1546">
        <f t="shared" si="10"/>
        <v>0</v>
      </c>
      <c r="CW9" s="1546">
        <f t="shared" si="10"/>
        <v>0</v>
      </c>
      <c r="CX9" s="1546">
        <f t="shared" si="10"/>
        <v>0</v>
      </c>
      <c r="CY9" s="1546">
        <f t="shared" si="10"/>
        <v>0</v>
      </c>
      <c r="CZ9" s="1546">
        <f t="shared" si="10"/>
        <v>0</v>
      </c>
      <c r="DA9" s="1546">
        <f t="shared" si="10"/>
        <v>0</v>
      </c>
      <c r="DB9" s="1546">
        <f t="shared" si="10"/>
        <v>0</v>
      </c>
      <c r="DC9" s="1546">
        <f t="shared" si="10"/>
        <v>0</v>
      </c>
      <c r="DD9" s="1546">
        <f t="shared" si="10"/>
        <v>0</v>
      </c>
      <c r="DE9" s="1546">
        <f t="shared" si="10"/>
        <v>0</v>
      </c>
      <c r="DF9" s="1546">
        <f t="shared" si="10"/>
        <v>0</v>
      </c>
      <c r="DG9" s="1546">
        <f t="shared" si="13"/>
        <v>1</v>
      </c>
      <c r="DI9" s="1546">
        <f t="shared" si="11"/>
        <v>0</v>
      </c>
      <c r="DJ9" s="1546">
        <f t="shared" si="11"/>
        <v>0</v>
      </c>
      <c r="DK9" s="1546">
        <f t="shared" si="11"/>
        <v>0</v>
      </c>
      <c r="DL9" s="1546">
        <f t="shared" si="11"/>
        <v>0</v>
      </c>
      <c r="DM9" s="1546">
        <f t="shared" si="11"/>
        <v>0</v>
      </c>
      <c r="DN9" s="1546">
        <f t="shared" si="11"/>
        <v>0</v>
      </c>
    </row>
    <row r="10" spans="1:118" x14ac:dyDescent="0.3">
      <c r="A10" s="285">
        <v>8</v>
      </c>
      <c r="B10" s="325">
        <f t="shared" si="0"/>
        <v>0</v>
      </c>
      <c r="C10" s="682"/>
      <c r="D10" s="683"/>
      <c r="E10" s="680"/>
      <c r="F10" s="713"/>
      <c r="G10" s="91" t="str">
        <f>IF($B10=0,"",VLOOKUP($B10,'Valve Data'!$1:$1048576,MATCH(G$1,'Valve Data'!$1:$1,0),0))</f>
        <v/>
      </c>
      <c r="H10" s="21" t="str">
        <f>IF($B10=0,"",VLOOKUP($B10,'Valve Data'!$1:$1048576,MATCH(H$1,'Valve Data'!$1:$1,0),0))</f>
        <v/>
      </c>
      <c r="I10" s="21" t="str">
        <f>IF($B10=0,"",VLOOKUP($B10,'Valve Data'!$1:$1048576,MATCH(I$1,'Valve Data'!$1:$1,0),0))</f>
        <v/>
      </c>
      <c r="J10" s="328" t="str">
        <f>IF($B10=0,"",VLOOKUP($B10,'Valve Data'!$1:$1048576,MATCH(J$1,'Valve Data'!$1:$1,0),0))</f>
        <v/>
      </c>
      <c r="K10" s="21" t="str">
        <f>IF($B10=0,"",VLOOKUP($B10,'Valve Data'!$1:$1048576,MATCH(K$1,'Valve Data'!$1:$1,0),0))</f>
        <v/>
      </c>
      <c r="L10" s="21" t="str">
        <f>IF($B10=0,"",VLOOKUP($B10,'Valve Data'!$1:$1048576,MATCH(L$1,'Valve Data'!$1:$1,0),0))</f>
        <v/>
      </c>
      <c r="M10" s="21" t="str">
        <f>IF($B10=0,"",VLOOKUP($B10,'Valve Data'!$1:$1048576,MATCH(M$1,'Valve Data'!$1:$1,0),0))</f>
        <v/>
      </c>
      <c r="N10" s="21" t="str">
        <f>IF($B10=0,"",VLOOKUP($B10,'Valve Data'!$1:$1048576,MATCH(N$1,'Valve Data'!$1:$1,0),0))</f>
        <v/>
      </c>
      <c r="O10" s="21" t="str">
        <f>IF($B10=0,"",VLOOKUP($B10,'Valve Data'!$1:$1048576,MATCH(O$1,'Valve Data'!$1:$1,0),0))</f>
        <v/>
      </c>
      <c r="P10" s="21" t="str">
        <f>IF($B10=0,"",VLOOKUP($B10,'Valve Data'!$1:$1048576,MATCH(P$1,'Valve Data'!$1:$1,0),0))</f>
        <v/>
      </c>
      <c r="Q10" s="21" t="str">
        <f>IF($B10=0,"",VLOOKUP($B10,'Valve Data'!$1:$1048576,MATCH(Q$1,'Valve Data'!$1:$1,0),0))</f>
        <v/>
      </c>
      <c r="R10" s="21" t="str">
        <f>IF($B10=0,"",VLOOKUP($B10,'Valve Data'!$1:$1048576,MATCH(R$1,'Valve Data'!$1:$1,0),0))</f>
        <v/>
      </c>
      <c r="S10" s="21" t="str">
        <f>IF($B10=0,"",VLOOKUP($B10,'Valve Data'!$1:$1048576,MATCH(S$1,'Valve Data'!$1:$1,0),0))</f>
        <v/>
      </c>
      <c r="T10" s="331" t="str">
        <f>IF($B10=0,"",VLOOKUP($B10,'Valve Data'!$1:$1048576,MATCH(T$1,'Valve Data'!$1:$1,0),0))</f>
        <v/>
      </c>
      <c r="U10" s="91" t="str">
        <f>IF($B10=0,"",VLOOKUP($B10,'Valve Data'!$1:$1048576,MATCH(U$1,'Valve Data'!$1:$1,0),0))</f>
        <v/>
      </c>
      <c r="V10" s="21" t="str">
        <f>IF($B10=0,"",VLOOKUP($B10,'Valve Data'!$1:$1048576,MATCH(V$1,'Valve Data'!$1:$1,0),0))</f>
        <v/>
      </c>
      <c r="W10" s="21" t="str">
        <f>IF($B10=0,"",VLOOKUP($B10,'Valve Data'!$1:$1048576,MATCH(W$1,'Valve Data'!$1:$1,0),0))</f>
        <v/>
      </c>
      <c r="X10" s="331" t="str">
        <f>IF($B10=0,"",VLOOKUP($B10,'Valve Data'!$1:$1048576,MATCH(X$1,'Valve Data'!$1:$1,0),0))</f>
        <v/>
      </c>
      <c r="Y10" s="865"/>
      <c r="Z10" s="683"/>
      <c r="AA10" s="680"/>
      <c r="AB10" s="680"/>
      <c r="AC10" s="680"/>
      <c r="AD10" s="680"/>
      <c r="AE10" s="684"/>
      <c r="AF10" s="866"/>
      <c r="AG10" s="680"/>
      <c r="AH10" s="680"/>
      <c r="AI10" s="680"/>
      <c r="AJ10" s="680"/>
      <c r="AK10" s="680"/>
      <c r="AL10" s="680"/>
      <c r="AM10" s="680"/>
      <c r="AN10" s="680"/>
      <c r="AO10" s="680"/>
      <c r="AP10" s="684"/>
      <c r="AQ10" s="684"/>
      <c r="AR10" s="684"/>
      <c r="AS10" s="684"/>
      <c r="AT10" s="684"/>
      <c r="AU10" s="684"/>
      <c r="AV10" s="271">
        <f t="shared" si="1"/>
        <v>0</v>
      </c>
      <c r="AW10" s="680"/>
      <c r="AX10" s="845">
        <f>IF(F10="Ball_valve",IFERROR(VLOOKUP(E10&amp;"."&amp;D10,'Ball Valves Chart'!$1:$1048576,MATCH(G10,'Ball Valves Chart'!$3:$3,0),0),0),0)+IF(F10="DBB",IFERROR(VLOOKUP(E10&amp;"."&amp;D10,'Ball Valves Chart'!$1:$1048576,MATCH(G10,'Ball Valves Chart'!$3:$3,0),0)*2,0),0)+IFERROR(VLOOKUP(D10&amp;"."&amp;F10,'Manual Valves Chart'!$1:$1048576,MATCH('Valve List'!G10,'Manual Valves Chart'!$1:$1,0),0),0)</f>
        <v>0</v>
      </c>
      <c r="AY10" s="846">
        <f t="shared" si="2"/>
        <v>0</v>
      </c>
      <c r="AZ10" s="854"/>
      <c r="BA10" s="856">
        <f t="shared" si="3"/>
        <v>0</v>
      </c>
      <c r="BC10" s="852">
        <f t="shared" si="4"/>
        <v>0</v>
      </c>
      <c r="BD10" s="398"/>
      <c r="BE10" s="1546">
        <f t="shared" si="5"/>
        <v>0</v>
      </c>
      <c r="BF10" s="1546">
        <f t="shared" si="5"/>
        <v>0</v>
      </c>
      <c r="BG10" s="1546">
        <f t="shared" si="5"/>
        <v>0</v>
      </c>
      <c r="BH10" s="1546">
        <f t="shared" si="5"/>
        <v>0</v>
      </c>
      <c r="BI10" s="1546">
        <f t="shared" si="5"/>
        <v>0</v>
      </c>
      <c r="BJ10" s="1546">
        <f t="shared" si="5"/>
        <v>0</v>
      </c>
      <c r="BK10" s="1546">
        <f t="shared" si="5"/>
        <v>0</v>
      </c>
      <c r="BL10" s="1546">
        <f t="shared" si="5"/>
        <v>0</v>
      </c>
      <c r="BM10" s="1546">
        <f t="shared" si="5"/>
        <v>0</v>
      </c>
      <c r="BN10" s="1546">
        <f t="shared" si="5"/>
        <v>0</v>
      </c>
      <c r="BO10" s="1546">
        <f t="shared" si="6"/>
        <v>0</v>
      </c>
      <c r="BP10" s="1546">
        <f t="shared" si="6"/>
        <v>0</v>
      </c>
      <c r="BQ10" s="1546">
        <f t="shared" si="6"/>
        <v>0</v>
      </c>
      <c r="BR10" s="1546">
        <f t="shared" si="6"/>
        <v>0</v>
      </c>
      <c r="BS10" s="1546">
        <f t="shared" si="6"/>
        <v>0</v>
      </c>
      <c r="BT10" s="1546">
        <f t="shared" si="6"/>
        <v>0</v>
      </c>
      <c r="BU10" s="1546">
        <f t="shared" si="6"/>
        <v>0</v>
      </c>
      <c r="BV10" s="1546">
        <f t="shared" si="6"/>
        <v>0</v>
      </c>
      <c r="BX10" s="1546">
        <f t="shared" si="12"/>
        <v>0</v>
      </c>
      <c r="BY10" s="1546">
        <f t="shared" si="7"/>
        <v>0</v>
      </c>
      <c r="BZ10" s="1546">
        <f t="shared" si="7"/>
        <v>0</v>
      </c>
      <c r="CA10" s="1546">
        <f t="shared" si="7"/>
        <v>0</v>
      </c>
      <c r="CB10" s="1546">
        <f t="shared" si="7"/>
        <v>0</v>
      </c>
      <c r="CC10" s="1546">
        <f t="shared" si="7"/>
        <v>0</v>
      </c>
      <c r="CD10" s="1546">
        <f t="shared" si="7"/>
        <v>0</v>
      </c>
      <c r="CE10" s="1546">
        <f t="shared" si="7"/>
        <v>0</v>
      </c>
      <c r="CF10" s="1546">
        <f t="shared" si="7"/>
        <v>0</v>
      </c>
      <c r="CG10" s="1546">
        <f t="shared" si="7"/>
        <v>0</v>
      </c>
      <c r="CH10" s="1546">
        <f t="shared" si="7"/>
        <v>0</v>
      </c>
      <c r="CI10" s="1546">
        <f t="shared" si="7"/>
        <v>0</v>
      </c>
      <c r="CJ10" s="1546">
        <f t="shared" si="7"/>
        <v>0</v>
      </c>
      <c r="CL10" s="1546">
        <f t="shared" si="8"/>
        <v>0</v>
      </c>
      <c r="CM10" s="1546">
        <f t="shared" si="8"/>
        <v>0</v>
      </c>
      <c r="CN10" s="1546">
        <f t="shared" si="8"/>
        <v>0</v>
      </c>
      <c r="CO10" s="1546">
        <f t="shared" si="8"/>
        <v>0</v>
      </c>
      <c r="CQ10" s="1546">
        <f t="shared" si="9"/>
        <v>0</v>
      </c>
      <c r="CR10" s="1546">
        <f t="shared" si="10"/>
        <v>0</v>
      </c>
      <c r="CS10" s="1546">
        <f t="shared" si="10"/>
        <v>0</v>
      </c>
      <c r="CT10" s="1546">
        <f t="shared" si="10"/>
        <v>0</v>
      </c>
      <c r="CU10" s="1546">
        <f t="shared" si="10"/>
        <v>0</v>
      </c>
      <c r="CV10" s="1546">
        <f t="shared" si="10"/>
        <v>0</v>
      </c>
      <c r="CW10" s="1546">
        <f t="shared" si="10"/>
        <v>0</v>
      </c>
      <c r="CX10" s="1546">
        <f t="shared" si="10"/>
        <v>0</v>
      </c>
      <c r="CY10" s="1546">
        <f t="shared" si="10"/>
        <v>0</v>
      </c>
      <c r="CZ10" s="1546">
        <f t="shared" si="10"/>
        <v>0</v>
      </c>
      <c r="DA10" s="1546">
        <f t="shared" si="10"/>
        <v>0</v>
      </c>
      <c r="DB10" s="1546">
        <f t="shared" si="10"/>
        <v>0</v>
      </c>
      <c r="DC10" s="1546">
        <f t="shared" si="10"/>
        <v>0</v>
      </c>
      <c r="DD10" s="1546">
        <f t="shared" si="10"/>
        <v>0</v>
      </c>
      <c r="DE10" s="1546">
        <f t="shared" si="10"/>
        <v>0</v>
      </c>
      <c r="DF10" s="1546">
        <f t="shared" si="10"/>
        <v>0</v>
      </c>
      <c r="DG10" s="1546">
        <f t="shared" si="13"/>
        <v>1</v>
      </c>
      <c r="DI10" s="1546">
        <f t="shared" si="11"/>
        <v>0</v>
      </c>
      <c r="DJ10" s="1546">
        <f t="shared" si="11"/>
        <v>0</v>
      </c>
      <c r="DK10" s="1546">
        <f t="shared" si="11"/>
        <v>0</v>
      </c>
      <c r="DL10" s="1546">
        <f t="shared" si="11"/>
        <v>0</v>
      </c>
      <c r="DM10" s="1546">
        <f t="shared" si="11"/>
        <v>0</v>
      </c>
      <c r="DN10" s="1546">
        <f t="shared" si="11"/>
        <v>0</v>
      </c>
    </row>
    <row r="11" spans="1:118" x14ac:dyDescent="0.3">
      <c r="A11" s="285">
        <v>9</v>
      </c>
      <c r="B11" s="325">
        <f t="shared" si="0"/>
        <v>0</v>
      </c>
      <c r="C11" s="682"/>
      <c r="D11" s="683"/>
      <c r="E11" s="680"/>
      <c r="F11" s="713"/>
      <c r="G11" s="91" t="str">
        <f>IF($B11=0,"",VLOOKUP($B11,'Valve Data'!$1:$1048576,MATCH(G$1,'Valve Data'!$1:$1,0),0))</f>
        <v/>
      </c>
      <c r="H11" s="21" t="str">
        <f>IF($B11=0,"",VLOOKUP($B11,'Valve Data'!$1:$1048576,MATCH(H$1,'Valve Data'!$1:$1,0),0))</f>
        <v/>
      </c>
      <c r="I11" s="21" t="str">
        <f>IF($B11=0,"",VLOOKUP($B11,'Valve Data'!$1:$1048576,MATCH(I$1,'Valve Data'!$1:$1,0),0))</f>
        <v/>
      </c>
      <c r="J11" s="328" t="str">
        <f>IF($B11=0,"",VLOOKUP($B11,'Valve Data'!$1:$1048576,MATCH(J$1,'Valve Data'!$1:$1,0),0))</f>
        <v/>
      </c>
      <c r="K11" s="21" t="str">
        <f>IF($B11=0,"",VLOOKUP($B11,'Valve Data'!$1:$1048576,MATCH(K$1,'Valve Data'!$1:$1,0),0))</f>
        <v/>
      </c>
      <c r="L11" s="21" t="str">
        <f>IF($B11=0,"",VLOOKUP($B11,'Valve Data'!$1:$1048576,MATCH(L$1,'Valve Data'!$1:$1,0),0))</f>
        <v/>
      </c>
      <c r="M11" s="21" t="str">
        <f>IF($B11=0,"",VLOOKUP($B11,'Valve Data'!$1:$1048576,MATCH(M$1,'Valve Data'!$1:$1,0),0))</f>
        <v/>
      </c>
      <c r="N11" s="21" t="str">
        <f>IF($B11=0,"",VLOOKUP($B11,'Valve Data'!$1:$1048576,MATCH(N$1,'Valve Data'!$1:$1,0),0))</f>
        <v/>
      </c>
      <c r="O11" s="21" t="str">
        <f>IF($B11=0,"",VLOOKUP($B11,'Valve Data'!$1:$1048576,MATCH(O$1,'Valve Data'!$1:$1,0),0))</f>
        <v/>
      </c>
      <c r="P11" s="21" t="str">
        <f>IF($B11=0,"",VLOOKUP($B11,'Valve Data'!$1:$1048576,MATCH(P$1,'Valve Data'!$1:$1,0),0))</f>
        <v/>
      </c>
      <c r="Q11" s="21" t="str">
        <f>IF($B11=0,"",VLOOKUP($B11,'Valve Data'!$1:$1048576,MATCH(Q$1,'Valve Data'!$1:$1,0),0))</f>
        <v/>
      </c>
      <c r="R11" s="21" t="str">
        <f>IF($B11=0,"",VLOOKUP($B11,'Valve Data'!$1:$1048576,MATCH(R$1,'Valve Data'!$1:$1,0),0))</f>
        <v/>
      </c>
      <c r="S11" s="21" t="str">
        <f>IF($B11=0,"",VLOOKUP($B11,'Valve Data'!$1:$1048576,MATCH(S$1,'Valve Data'!$1:$1,0),0))</f>
        <v/>
      </c>
      <c r="T11" s="331" t="str">
        <f>IF($B11=0,"",VLOOKUP($B11,'Valve Data'!$1:$1048576,MATCH(T$1,'Valve Data'!$1:$1,0),0))</f>
        <v/>
      </c>
      <c r="U11" s="91" t="str">
        <f>IF($B11=0,"",VLOOKUP($B11,'Valve Data'!$1:$1048576,MATCH(U$1,'Valve Data'!$1:$1,0),0))</f>
        <v/>
      </c>
      <c r="V11" s="21" t="str">
        <f>IF($B11=0,"",VLOOKUP($B11,'Valve Data'!$1:$1048576,MATCH(V$1,'Valve Data'!$1:$1,0),0))</f>
        <v/>
      </c>
      <c r="W11" s="21" t="str">
        <f>IF($B11=0,"",VLOOKUP($B11,'Valve Data'!$1:$1048576,MATCH(W$1,'Valve Data'!$1:$1,0),0))</f>
        <v/>
      </c>
      <c r="X11" s="331" t="str">
        <f>IF($B11=0,"",VLOOKUP($B11,'Valve Data'!$1:$1048576,MATCH(X$1,'Valve Data'!$1:$1,0),0))</f>
        <v/>
      </c>
      <c r="Y11" s="865"/>
      <c r="Z11" s="683"/>
      <c r="AA11" s="680"/>
      <c r="AB11" s="680"/>
      <c r="AC11" s="680"/>
      <c r="AD11" s="680"/>
      <c r="AE11" s="684"/>
      <c r="AF11" s="866"/>
      <c r="AG11" s="680"/>
      <c r="AH11" s="680"/>
      <c r="AI11" s="680"/>
      <c r="AJ11" s="680"/>
      <c r="AK11" s="680"/>
      <c r="AL11" s="680"/>
      <c r="AM11" s="680"/>
      <c r="AN11" s="680"/>
      <c r="AO11" s="680"/>
      <c r="AP11" s="684"/>
      <c r="AQ11" s="684"/>
      <c r="AR11" s="684"/>
      <c r="AS11" s="684"/>
      <c r="AT11" s="684"/>
      <c r="AU11" s="684"/>
      <c r="AV11" s="271">
        <f t="shared" si="1"/>
        <v>0</v>
      </c>
      <c r="AW11" s="680"/>
      <c r="AX11" s="845">
        <f>IF(F11="Ball_valve",IFERROR(VLOOKUP(E11&amp;"."&amp;D11,'Ball Valves Chart'!$1:$1048576,MATCH(G11,'Ball Valves Chart'!$3:$3,0),0),0),0)+IF(F11="DBB",IFERROR(VLOOKUP(E11&amp;"."&amp;D11,'Ball Valves Chart'!$1:$1048576,MATCH(G11,'Ball Valves Chart'!$3:$3,0),0)*2,0),0)+IFERROR(VLOOKUP(D11&amp;"."&amp;F11,'Manual Valves Chart'!$1:$1048576,MATCH('Valve List'!G11,'Manual Valves Chart'!$1:$1,0),0),0)</f>
        <v>0</v>
      </c>
      <c r="AY11" s="846">
        <f t="shared" si="2"/>
        <v>0</v>
      </c>
      <c r="AZ11" s="854"/>
      <c r="BA11" s="856">
        <f t="shared" si="3"/>
        <v>0</v>
      </c>
      <c r="BC11" s="852">
        <f t="shared" si="4"/>
        <v>0</v>
      </c>
      <c r="BD11" s="398"/>
      <c r="BE11" s="1546">
        <f t="shared" si="5"/>
        <v>0</v>
      </c>
      <c r="BF11" s="1546">
        <f t="shared" si="5"/>
        <v>0</v>
      </c>
      <c r="BG11" s="1546">
        <f t="shared" si="5"/>
        <v>0</v>
      </c>
      <c r="BH11" s="1546">
        <f t="shared" si="5"/>
        <v>0</v>
      </c>
      <c r="BI11" s="1546">
        <f t="shared" si="5"/>
        <v>0</v>
      </c>
      <c r="BJ11" s="1546">
        <f t="shared" si="5"/>
        <v>0</v>
      </c>
      <c r="BK11" s="1546">
        <f t="shared" si="5"/>
        <v>0</v>
      </c>
      <c r="BL11" s="1546">
        <f t="shared" si="5"/>
        <v>0</v>
      </c>
      <c r="BM11" s="1546">
        <f t="shared" si="5"/>
        <v>0</v>
      </c>
      <c r="BN11" s="1546">
        <f t="shared" si="5"/>
        <v>0</v>
      </c>
      <c r="BO11" s="1546">
        <f t="shared" si="6"/>
        <v>0</v>
      </c>
      <c r="BP11" s="1546">
        <f t="shared" si="6"/>
        <v>0</v>
      </c>
      <c r="BQ11" s="1546">
        <f t="shared" si="6"/>
        <v>0</v>
      </c>
      <c r="BR11" s="1546">
        <f t="shared" si="6"/>
        <v>0</v>
      </c>
      <c r="BS11" s="1546">
        <f t="shared" si="6"/>
        <v>0</v>
      </c>
      <c r="BT11" s="1546">
        <f t="shared" si="6"/>
        <v>0</v>
      </c>
      <c r="BU11" s="1546">
        <f t="shared" si="6"/>
        <v>0</v>
      </c>
      <c r="BV11" s="1546">
        <f t="shared" si="6"/>
        <v>0</v>
      </c>
      <c r="BX11" s="1546">
        <f t="shared" si="12"/>
        <v>0</v>
      </c>
      <c r="BY11" s="1546">
        <f t="shared" si="7"/>
        <v>0</v>
      </c>
      <c r="BZ11" s="1546">
        <f t="shared" si="7"/>
        <v>0</v>
      </c>
      <c r="CA11" s="1546">
        <f t="shared" si="7"/>
        <v>0</v>
      </c>
      <c r="CB11" s="1546">
        <f t="shared" si="7"/>
        <v>0</v>
      </c>
      <c r="CC11" s="1546">
        <f t="shared" si="7"/>
        <v>0</v>
      </c>
      <c r="CD11" s="1546">
        <f t="shared" si="7"/>
        <v>0</v>
      </c>
      <c r="CE11" s="1546">
        <f t="shared" si="7"/>
        <v>0</v>
      </c>
      <c r="CF11" s="1546">
        <f t="shared" si="7"/>
        <v>0</v>
      </c>
      <c r="CG11" s="1546">
        <f t="shared" si="7"/>
        <v>0</v>
      </c>
      <c r="CH11" s="1546">
        <f t="shared" si="7"/>
        <v>0</v>
      </c>
      <c r="CI11" s="1546">
        <f t="shared" si="7"/>
        <v>0</v>
      </c>
      <c r="CJ11" s="1546">
        <f t="shared" si="7"/>
        <v>0</v>
      </c>
      <c r="CL11" s="1546">
        <f t="shared" si="8"/>
        <v>0</v>
      </c>
      <c r="CM11" s="1546">
        <f t="shared" si="8"/>
        <v>0</v>
      </c>
      <c r="CN11" s="1546">
        <f t="shared" si="8"/>
        <v>0</v>
      </c>
      <c r="CO11" s="1546">
        <f t="shared" si="8"/>
        <v>0</v>
      </c>
      <c r="CQ11" s="1546">
        <f t="shared" si="9"/>
        <v>0</v>
      </c>
      <c r="CR11" s="1546">
        <f t="shared" si="10"/>
        <v>0</v>
      </c>
      <c r="CS11" s="1546">
        <f t="shared" si="10"/>
        <v>0</v>
      </c>
      <c r="CT11" s="1546">
        <f t="shared" si="10"/>
        <v>0</v>
      </c>
      <c r="CU11" s="1546">
        <f t="shared" si="10"/>
        <v>0</v>
      </c>
      <c r="CV11" s="1546">
        <f t="shared" si="10"/>
        <v>0</v>
      </c>
      <c r="CW11" s="1546">
        <f t="shared" si="10"/>
        <v>0</v>
      </c>
      <c r="CX11" s="1546">
        <f t="shared" si="10"/>
        <v>0</v>
      </c>
      <c r="CY11" s="1546">
        <f t="shared" si="10"/>
        <v>0</v>
      </c>
      <c r="CZ11" s="1546">
        <f t="shared" si="10"/>
        <v>0</v>
      </c>
      <c r="DA11" s="1546">
        <f t="shared" si="10"/>
        <v>0</v>
      </c>
      <c r="DB11" s="1546">
        <f t="shared" si="10"/>
        <v>0</v>
      </c>
      <c r="DC11" s="1546">
        <f t="shared" si="10"/>
        <v>0</v>
      </c>
      <c r="DD11" s="1546">
        <f t="shared" si="10"/>
        <v>0</v>
      </c>
      <c r="DE11" s="1546">
        <f t="shared" si="10"/>
        <v>0</v>
      </c>
      <c r="DF11" s="1546">
        <f t="shared" si="10"/>
        <v>0</v>
      </c>
      <c r="DG11" s="1546">
        <f t="shared" si="13"/>
        <v>1</v>
      </c>
      <c r="DI11" s="1546">
        <f t="shared" si="11"/>
        <v>0</v>
      </c>
      <c r="DJ11" s="1546">
        <f t="shared" si="11"/>
        <v>0</v>
      </c>
      <c r="DK11" s="1546">
        <f t="shared" si="11"/>
        <v>0</v>
      </c>
      <c r="DL11" s="1546">
        <f t="shared" si="11"/>
        <v>0</v>
      </c>
      <c r="DM11" s="1546">
        <f t="shared" si="11"/>
        <v>0</v>
      </c>
      <c r="DN11" s="1546">
        <f t="shared" si="11"/>
        <v>0</v>
      </c>
    </row>
    <row r="12" spans="1:118" x14ac:dyDescent="0.3">
      <c r="A12" s="285">
        <v>10</v>
      </c>
      <c r="B12" s="325">
        <f t="shared" si="0"/>
        <v>0</v>
      </c>
      <c r="C12" s="682"/>
      <c r="D12" s="683"/>
      <c r="E12" s="680"/>
      <c r="F12" s="713"/>
      <c r="G12" s="91" t="str">
        <f>IF($B12=0,"",VLOOKUP($B12,'Valve Data'!$1:$1048576,MATCH(G$1,'Valve Data'!$1:$1,0),0))</f>
        <v/>
      </c>
      <c r="H12" s="21" t="str">
        <f>IF($B12=0,"",VLOOKUP($B12,'Valve Data'!$1:$1048576,MATCH(H$1,'Valve Data'!$1:$1,0),0))</f>
        <v/>
      </c>
      <c r="I12" s="21" t="str">
        <f>IF($B12=0,"",VLOOKUP($B12,'Valve Data'!$1:$1048576,MATCH(I$1,'Valve Data'!$1:$1,0),0))</f>
        <v/>
      </c>
      <c r="J12" s="328" t="str">
        <f>IF($B12=0,"",VLOOKUP($B12,'Valve Data'!$1:$1048576,MATCH(J$1,'Valve Data'!$1:$1,0),0))</f>
        <v/>
      </c>
      <c r="K12" s="21" t="str">
        <f>IF($B12=0,"",VLOOKUP($B12,'Valve Data'!$1:$1048576,MATCH(K$1,'Valve Data'!$1:$1,0),0))</f>
        <v/>
      </c>
      <c r="L12" s="21" t="str">
        <f>IF($B12=0,"",VLOOKUP($B12,'Valve Data'!$1:$1048576,MATCH(L$1,'Valve Data'!$1:$1,0),0))</f>
        <v/>
      </c>
      <c r="M12" s="21" t="str">
        <f>IF($B12=0,"",VLOOKUP($B12,'Valve Data'!$1:$1048576,MATCH(M$1,'Valve Data'!$1:$1,0),0))</f>
        <v/>
      </c>
      <c r="N12" s="21" t="str">
        <f>IF($B12=0,"",VLOOKUP($B12,'Valve Data'!$1:$1048576,MATCH(N$1,'Valve Data'!$1:$1,0),0))</f>
        <v/>
      </c>
      <c r="O12" s="21" t="str">
        <f>IF($B12=0,"",VLOOKUP($B12,'Valve Data'!$1:$1048576,MATCH(O$1,'Valve Data'!$1:$1,0),0))</f>
        <v/>
      </c>
      <c r="P12" s="21" t="str">
        <f>IF($B12=0,"",VLOOKUP($B12,'Valve Data'!$1:$1048576,MATCH(P$1,'Valve Data'!$1:$1,0),0))</f>
        <v/>
      </c>
      <c r="Q12" s="21" t="str">
        <f>IF($B12=0,"",VLOOKUP($B12,'Valve Data'!$1:$1048576,MATCH(Q$1,'Valve Data'!$1:$1,0),0))</f>
        <v/>
      </c>
      <c r="R12" s="21" t="str">
        <f>IF($B12=0,"",VLOOKUP($B12,'Valve Data'!$1:$1048576,MATCH(R$1,'Valve Data'!$1:$1,0),0))</f>
        <v/>
      </c>
      <c r="S12" s="21" t="str">
        <f>IF($B12=0,"",VLOOKUP($B12,'Valve Data'!$1:$1048576,MATCH(S$1,'Valve Data'!$1:$1,0),0))</f>
        <v/>
      </c>
      <c r="T12" s="331" t="str">
        <f>IF($B12=0,"",VLOOKUP($B12,'Valve Data'!$1:$1048576,MATCH(T$1,'Valve Data'!$1:$1,0),0))</f>
        <v/>
      </c>
      <c r="U12" s="91" t="str">
        <f>IF($B12=0,"",VLOOKUP($B12,'Valve Data'!$1:$1048576,MATCH(U$1,'Valve Data'!$1:$1,0),0))</f>
        <v/>
      </c>
      <c r="V12" s="21" t="str">
        <f>IF($B12=0,"",VLOOKUP($B12,'Valve Data'!$1:$1048576,MATCH(V$1,'Valve Data'!$1:$1,0),0))</f>
        <v/>
      </c>
      <c r="W12" s="21" t="str">
        <f>IF($B12=0,"",VLOOKUP($B12,'Valve Data'!$1:$1048576,MATCH(W$1,'Valve Data'!$1:$1,0),0))</f>
        <v/>
      </c>
      <c r="X12" s="331" t="str">
        <f>IF($B12=0,"",VLOOKUP($B12,'Valve Data'!$1:$1048576,MATCH(X$1,'Valve Data'!$1:$1,0),0))</f>
        <v/>
      </c>
      <c r="Y12" s="865"/>
      <c r="Z12" s="683"/>
      <c r="AA12" s="680"/>
      <c r="AB12" s="680"/>
      <c r="AC12" s="680"/>
      <c r="AD12" s="680"/>
      <c r="AE12" s="684"/>
      <c r="AF12" s="866"/>
      <c r="AG12" s="680"/>
      <c r="AH12" s="680"/>
      <c r="AI12" s="680"/>
      <c r="AJ12" s="680"/>
      <c r="AK12" s="680"/>
      <c r="AL12" s="680"/>
      <c r="AM12" s="680"/>
      <c r="AN12" s="680"/>
      <c r="AO12" s="680"/>
      <c r="AP12" s="684"/>
      <c r="AQ12" s="684"/>
      <c r="AR12" s="684"/>
      <c r="AS12" s="684"/>
      <c r="AT12" s="684"/>
      <c r="AU12" s="684"/>
      <c r="AV12" s="271">
        <f t="shared" si="1"/>
        <v>0</v>
      </c>
      <c r="AW12" s="680"/>
      <c r="AX12" s="845">
        <f>IF(F12="Ball_valve",IFERROR(VLOOKUP(E12&amp;"."&amp;D12,'Ball Valves Chart'!$1:$1048576,MATCH(G12,'Ball Valves Chart'!$3:$3,0),0),0),0)+IF(F12="DBB",IFERROR(VLOOKUP(E12&amp;"."&amp;D12,'Ball Valves Chart'!$1:$1048576,MATCH(G12,'Ball Valves Chart'!$3:$3,0),0)*2,0),0)+IFERROR(VLOOKUP(D12&amp;"."&amp;F12,'Manual Valves Chart'!$1:$1048576,MATCH('Valve List'!G12,'Manual Valves Chart'!$1:$1,0),0),0)</f>
        <v>0</v>
      </c>
      <c r="AY12" s="846">
        <f t="shared" si="2"/>
        <v>0</v>
      </c>
      <c r="AZ12" s="854"/>
      <c r="BA12" s="856">
        <f t="shared" si="3"/>
        <v>0</v>
      </c>
      <c r="BC12" s="852">
        <f t="shared" si="4"/>
        <v>0</v>
      </c>
      <c r="BD12" s="398"/>
      <c r="BE12" s="1546">
        <f t="shared" si="5"/>
        <v>0</v>
      </c>
      <c r="BF12" s="1546">
        <f t="shared" si="5"/>
        <v>0</v>
      </c>
      <c r="BG12" s="1546">
        <f t="shared" si="5"/>
        <v>0</v>
      </c>
      <c r="BH12" s="1546">
        <f t="shared" si="5"/>
        <v>0</v>
      </c>
      <c r="BI12" s="1546">
        <f t="shared" si="5"/>
        <v>0</v>
      </c>
      <c r="BJ12" s="1546">
        <f t="shared" si="5"/>
        <v>0</v>
      </c>
      <c r="BK12" s="1546">
        <f t="shared" si="5"/>
        <v>0</v>
      </c>
      <c r="BL12" s="1546">
        <f t="shared" si="5"/>
        <v>0</v>
      </c>
      <c r="BM12" s="1546">
        <f t="shared" si="5"/>
        <v>0</v>
      </c>
      <c r="BN12" s="1546">
        <f t="shared" si="5"/>
        <v>0</v>
      </c>
      <c r="BO12" s="1546">
        <f t="shared" si="6"/>
        <v>0</v>
      </c>
      <c r="BP12" s="1546">
        <f t="shared" si="6"/>
        <v>0</v>
      </c>
      <c r="BQ12" s="1546">
        <f t="shared" si="6"/>
        <v>0</v>
      </c>
      <c r="BR12" s="1546">
        <f t="shared" si="6"/>
        <v>0</v>
      </c>
      <c r="BS12" s="1546">
        <f t="shared" si="6"/>
        <v>0</v>
      </c>
      <c r="BT12" s="1546">
        <f t="shared" si="6"/>
        <v>0</v>
      </c>
      <c r="BU12" s="1546">
        <f t="shared" si="6"/>
        <v>0</v>
      </c>
      <c r="BV12" s="1546">
        <f t="shared" si="6"/>
        <v>0</v>
      </c>
      <c r="BX12" s="1546">
        <f t="shared" si="12"/>
        <v>0</v>
      </c>
      <c r="BY12" s="1546">
        <f t="shared" si="7"/>
        <v>0</v>
      </c>
      <c r="BZ12" s="1546">
        <f t="shared" si="7"/>
        <v>0</v>
      </c>
      <c r="CA12" s="1546">
        <f t="shared" si="7"/>
        <v>0</v>
      </c>
      <c r="CB12" s="1546">
        <f t="shared" si="7"/>
        <v>0</v>
      </c>
      <c r="CC12" s="1546">
        <f t="shared" si="7"/>
        <v>0</v>
      </c>
      <c r="CD12" s="1546">
        <f t="shared" si="7"/>
        <v>0</v>
      </c>
      <c r="CE12" s="1546">
        <f t="shared" si="7"/>
        <v>0</v>
      </c>
      <c r="CF12" s="1546">
        <f t="shared" si="7"/>
        <v>0</v>
      </c>
      <c r="CG12" s="1546">
        <f t="shared" si="7"/>
        <v>0</v>
      </c>
      <c r="CH12" s="1546">
        <f t="shared" si="7"/>
        <v>0</v>
      </c>
      <c r="CI12" s="1546">
        <f t="shared" si="7"/>
        <v>0</v>
      </c>
      <c r="CJ12" s="1546">
        <f t="shared" si="7"/>
        <v>0</v>
      </c>
      <c r="CL12" s="1546">
        <f t="shared" si="8"/>
        <v>0</v>
      </c>
      <c r="CM12" s="1546">
        <f t="shared" si="8"/>
        <v>0</v>
      </c>
      <c r="CN12" s="1546">
        <f t="shared" si="8"/>
        <v>0</v>
      </c>
      <c r="CO12" s="1546">
        <f t="shared" si="8"/>
        <v>0</v>
      </c>
      <c r="CQ12" s="1546">
        <f t="shared" si="9"/>
        <v>0</v>
      </c>
      <c r="CR12" s="1546">
        <f t="shared" si="10"/>
        <v>0</v>
      </c>
      <c r="CS12" s="1546">
        <f t="shared" si="10"/>
        <v>0</v>
      </c>
      <c r="CT12" s="1546">
        <f t="shared" si="10"/>
        <v>0</v>
      </c>
      <c r="CU12" s="1546">
        <f t="shared" si="10"/>
        <v>0</v>
      </c>
      <c r="CV12" s="1546">
        <f t="shared" si="10"/>
        <v>0</v>
      </c>
      <c r="CW12" s="1546">
        <f t="shared" si="10"/>
        <v>0</v>
      </c>
      <c r="CX12" s="1546">
        <f t="shared" si="10"/>
        <v>0</v>
      </c>
      <c r="CY12" s="1546">
        <f t="shared" si="10"/>
        <v>0</v>
      </c>
      <c r="CZ12" s="1546">
        <f t="shared" si="10"/>
        <v>0</v>
      </c>
      <c r="DA12" s="1546">
        <f t="shared" si="10"/>
        <v>0</v>
      </c>
      <c r="DB12" s="1546">
        <f t="shared" si="10"/>
        <v>0</v>
      </c>
      <c r="DC12" s="1546">
        <f t="shared" si="10"/>
        <v>0</v>
      </c>
      <c r="DD12" s="1546">
        <f t="shared" si="10"/>
        <v>0</v>
      </c>
      <c r="DE12" s="1546">
        <f t="shared" si="10"/>
        <v>0</v>
      </c>
      <c r="DF12" s="1546">
        <f t="shared" si="10"/>
        <v>0</v>
      </c>
      <c r="DG12" s="1546">
        <f t="shared" si="13"/>
        <v>1</v>
      </c>
      <c r="DI12" s="1546">
        <f t="shared" si="11"/>
        <v>0</v>
      </c>
      <c r="DJ12" s="1546">
        <f t="shared" si="11"/>
        <v>0</v>
      </c>
      <c r="DK12" s="1546">
        <f t="shared" si="11"/>
        <v>0</v>
      </c>
      <c r="DL12" s="1546">
        <f t="shared" si="11"/>
        <v>0</v>
      </c>
      <c r="DM12" s="1546">
        <f t="shared" si="11"/>
        <v>0</v>
      </c>
      <c r="DN12" s="1546">
        <f t="shared" si="11"/>
        <v>0</v>
      </c>
    </row>
    <row r="13" spans="1:118" x14ac:dyDescent="0.3">
      <c r="A13" s="285">
        <v>11</v>
      </c>
      <c r="B13" s="325">
        <f t="shared" si="0"/>
        <v>0</v>
      </c>
      <c r="C13" s="682"/>
      <c r="D13" s="683"/>
      <c r="E13" s="680"/>
      <c r="F13" s="713"/>
      <c r="G13" s="91" t="str">
        <f>IF($B13=0,"",VLOOKUP($B13,'Valve Data'!$1:$1048576,MATCH(G$1,'Valve Data'!$1:$1,0),0))</f>
        <v/>
      </c>
      <c r="H13" s="21" t="str">
        <f>IF($B13=0,"",VLOOKUP($B13,'Valve Data'!$1:$1048576,MATCH(H$1,'Valve Data'!$1:$1,0),0))</f>
        <v/>
      </c>
      <c r="I13" s="21" t="str">
        <f>IF($B13=0,"",VLOOKUP($B13,'Valve Data'!$1:$1048576,MATCH(I$1,'Valve Data'!$1:$1,0),0))</f>
        <v/>
      </c>
      <c r="J13" s="328" t="str">
        <f>IF($B13=0,"",VLOOKUP($B13,'Valve Data'!$1:$1048576,MATCH(J$1,'Valve Data'!$1:$1,0),0))</f>
        <v/>
      </c>
      <c r="K13" s="21" t="str">
        <f>IF($B13=0,"",VLOOKUP($B13,'Valve Data'!$1:$1048576,MATCH(K$1,'Valve Data'!$1:$1,0),0))</f>
        <v/>
      </c>
      <c r="L13" s="21" t="str">
        <f>IF($B13=0,"",VLOOKUP($B13,'Valve Data'!$1:$1048576,MATCH(L$1,'Valve Data'!$1:$1,0),0))</f>
        <v/>
      </c>
      <c r="M13" s="21" t="str">
        <f>IF($B13=0,"",VLOOKUP($B13,'Valve Data'!$1:$1048576,MATCH(M$1,'Valve Data'!$1:$1,0),0))</f>
        <v/>
      </c>
      <c r="N13" s="21" t="str">
        <f>IF($B13=0,"",VLOOKUP($B13,'Valve Data'!$1:$1048576,MATCH(N$1,'Valve Data'!$1:$1,0),0))</f>
        <v/>
      </c>
      <c r="O13" s="21" t="str">
        <f>IF($B13=0,"",VLOOKUP($B13,'Valve Data'!$1:$1048576,MATCH(O$1,'Valve Data'!$1:$1,0),0))</f>
        <v/>
      </c>
      <c r="P13" s="21" t="str">
        <f>IF($B13=0,"",VLOOKUP($B13,'Valve Data'!$1:$1048576,MATCH(P$1,'Valve Data'!$1:$1,0),0))</f>
        <v/>
      </c>
      <c r="Q13" s="21" t="str">
        <f>IF($B13=0,"",VLOOKUP($B13,'Valve Data'!$1:$1048576,MATCH(Q$1,'Valve Data'!$1:$1,0),0))</f>
        <v/>
      </c>
      <c r="R13" s="21" t="str">
        <f>IF($B13=0,"",VLOOKUP($B13,'Valve Data'!$1:$1048576,MATCH(R$1,'Valve Data'!$1:$1,0),0))</f>
        <v/>
      </c>
      <c r="S13" s="21" t="str">
        <f>IF($B13=0,"",VLOOKUP($B13,'Valve Data'!$1:$1048576,MATCH(S$1,'Valve Data'!$1:$1,0),0))</f>
        <v/>
      </c>
      <c r="T13" s="331" t="str">
        <f>IF($B13=0,"",VLOOKUP($B13,'Valve Data'!$1:$1048576,MATCH(T$1,'Valve Data'!$1:$1,0),0))</f>
        <v/>
      </c>
      <c r="U13" s="91" t="str">
        <f>IF($B13=0,"",VLOOKUP($B13,'Valve Data'!$1:$1048576,MATCH(U$1,'Valve Data'!$1:$1,0),0))</f>
        <v/>
      </c>
      <c r="V13" s="21" t="str">
        <f>IF($B13=0,"",VLOOKUP($B13,'Valve Data'!$1:$1048576,MATCH(V$1,'Valve Data'!$1:$1,0),0))</f>
        <v/>
      </c>
      <c r="W13" s="21" t="str">
        <f>IF($B13=0,"",VLOOKUP($B13,'Valve Data'!$1:$1048576,MATCH(W$1,'Valve Data'!$1:$1,0),0))</f>
        <v/>
      </c>
      <c r="X13" s="331" t="str">
        <f>IF($B13=0,"",VLOOKUP($B13,'Valve Data'!$1:$1048576,MATCH(X$1,'Valve Data'!$1:$1,0),0))</f>
        <v/>
      </c>
      <c r="Y13" s="865"/>
      <c r="Z13" s="683"/>
      <c r="AA13" s="680"/>
      <c r="AB13" s="680"/>
      <c r="AC13" s="680"/>
      <c r="AD13" s="680"/>
      <c r="AE13" s="867"/>
      <c r="AF13" s="866"/>
      <c r="AG13" s="680"/>
      <c r="AH13" s="680"/>
      <c r="AI13" s="680"/>
      <c r="AJ13" s="680"/>
      <c r="AK13" s="680"/>
      <c r="AL13" s="680"/>
      <c r="AM13" s="680"/>
      <c r="AN13" s="680"/>
      <c r="AO13" s="680"/>
      <c r="AP13" s="684"/>
      <c r="AQ13" s="684"/>
      <c r="AR13" s="684"/>
      <c r="AS13" s="684"/>
      <c r="AT13" s="684"/>
      <c r="AU13" s="684"/>
      <c r="AV13" s="271">
        <f t="shared" si="1"/>
        <v>0</v>
      </c>
      <c r="AW13" s="680"/>
      <c r="AX13" s="845">
        <f>IF(F13="Ball_valve",IFERROR(VLOOKUP(E13&amp;"."&amp;D13,'Ball Valves Chart'!$1:$1048576,MATCH(G13,'Ball Valves Chart'!$3:$3,0),0),0),0)+IF(F13="DBB",IFERROR(VLOOKUP(E13&amp;"."&amp;D13,'Ball Valves Chart'!$1:$1048576,MATCH(G13,'Ball Valves Chart'!$3:$3,0),0)*2,0),0)+IFERROR(VLOOKUP(D13&amp;"."&amp;F13,'Manual Valves Chart'!$1:$1048576,MATCH('Valve List'!G13,'Manual Valves Chart'!$1:$1,0),0),0)</f>
        <v>0</v>
      </c>
      <c r="AY13" s="846">
        <f t="shared" si="2"/>
        <v>0</v>
      </c>
      <c r="AZ13" s="854"/>
      <c r="BA13" s="856">
        <f t="shared" si="3"/>
        <v>0</v>
      </c>
      <c r="BB13" s="286"/>
      <c r="BC13" s="852">
        <f t="shared" si="4"/>
        <v>0</v>
      </c>
      <c r="BD13" s="398"/>
      <c r="BE13" s="1546">
        <f t="shared" ref="BE13:BN22" si="14">IF(BE$2=$D13,1,0)</f>
        <v>0</v>
      </c>
      <c r="BF13" s="1546">
        <f t="shared" si="14"/>
        <v>0</v>
      </c>
      <c r="BG13" s="1546">
        <f t="shared" si="14"/>
        <v>0</v>
      </c>
      <c r="BH13" s="1546">
        <f t="shared" si="14"/>
        <v>0</v>
      </c>
      <c r="BI13" s="1546">
        <f t="shared" si="14"/>
        <v>0</v>
      </c>
      <c r="BJ13" s="1546">
        <f t="shared" si="14"/>
        <v>0</v>
      </c>
      <c r="BK13" s="1546">
        <f t="shared" si="14"/>
        <v>0</v>
      </c>
      <c r="BL13" s="1546">
        <f t="shared" si="14"/>
        <v>0</v>
      </c>
      <c r="BM13" s="1546">
        <f t="shared" si="14"/>
        <v>0</v>
      </c>
      <c r="BN13" s="1546">
        <f t="shared" si="14"/>
        <v>0</v>
      </c>
      <c r="BO13" s="1546">
        <f t="shared" ref="BO13:BV22" si="15">IF(BO$2=$D13,1,0)</f>
        <v>0</v>
      </c>
      <c r="BP13" s="1546">
        <f t="shared" si="15"/>
        <v>0</v>
      </c>
      <c r="BQ13" s="1546">
        <f t="shared" si="15"/>
        <v>0</v>
      </c>
      <c r="BR13" s="1546">
        <f t="shared" si="15"/>
        <v>0</v>
      </c>
      <c r="BS13" s="1546">
        <f t="shared" si="15"/>
        <v>0</v>
      </c>
      <c r="BT13" s="1546">
        <f t="shared" si="15"/>
        <v>0</v>
      </c>
      <c r="BU13" s="1546">
        <f t="shared" si="15"/>
        <v>0</v>
      </c>
      <c r="BV13" s="1546">
        <f t="shared" si="15"/>
        <v>0</v>
      </c>
      <c r="BX13" s="1546">
        <f t="shared" si="12"/>
        <v>0</v>
      </c>
      <c r="BY13" s="1546">
        <f t="shared" si="7"/>
        <v>0</v>
      </c>
      <c r="BZ13" s="1546">
        <f t="shared" si="7"/>
        <v>0</v>
      </c>
      <c r="CA13" s="1546">
        <f t="shared" si="7"/>
        <v>0</v>
      </c>
      <c r="CB13" s="1546">
        <f t="shared" si="7"/>
        <v>0</v>
      </c>
      <c r="CC13" s="1546">
        <f t="shared" si="7"/>
        <v>0</v>
      </c>
      <c r="CD13" s="1546">
        <f t="shared" si="7"/>
        <v>0</v>
      </c>
      <c r="CE13" s="1546">
        <f t="shared" si="7"/>
        <v>0</v>
      </c>
      <c r="CF13" s="1546">
        <f t="shared" si="7"/>
        <v>0</v>
      </c>
      <c r="CG13" s="1546">
        <f t="shared" si="7"/>
        <v>0</v>
      </c>
      <c r="CH13" s="1546">
        <f t="shared" si="7"/>
        <v>0</v>
      </c>
      <c r="CI13" s="1546">
        <f t="shared" si="7"/>
        <v>0</v>
      </c>
      <c r="CJ13" s="1546">
        <f t="shared" si="7"/>
        <v>0</v>
      </c>
      <c r="CL13" s="1546">
        <f t="shared" si="8"/>
        <v>0</v>
      </c>
      <c r="CM13" s="1546">
        <f t="shared" si="8"/>
        <v>0</v>
      </c>
      <c r="CN13" s="1546">
        <f t="shared" si="8"/>
        <v>0</v>
      </c>
      <c r="CO13" s="1546">
        <f t="shared" si="8"/>
        <v>0</v>
      </c>
      <c r="CQ13" s="1546">
        <f t="shared" si="9"/>
        <v>0</v>
      </c>
      <c r="CR13" s="1546">
        <f t="shared" ref="CR13:DF22" si="16">IF(CR$2=0,0,IF($AW13=CR$2,1,0))</f>
        <v>0</v>
      </c>
      <c r="CS13" s="1546">
        <f t="shared" si="16"/>
        <v>0</v>
      </c>
      <c r="CT13" s="1546">
        <f t="shared" si="16"/>
        <v>0</v>
      </c>
      <c r="CU13" s="1546">
        <f t="shared" si="16"/>
        <v>0</v>
      </c>
      <c r="CV13" s="1546">
        <f t="shared" si="16"/>
        <v>0</v>
      </c>
      <c r="CW13" s="1546">
        <f t="shared" si="16"/>
        <v>0</v>
      </c>
      <c r="CX13" s="1546">
        <f t="shared" si="16"/>
        <v>0</v>
      </c>
      <c r="CY13" s="1546">
        <f t="shared" si="16"/>
        <v>0</v>
      </c>
      <c r="CZ13" s="1546">
        <f t="shared" si="16"/>
        <v>0</v>
      </c>
      <c r="DA13" s="1546">
        <f t="shared" si="16"/>
        <v>0</v>
      </c>
      <c r="DB13" s="1546">
        <f t="shared" si="16"/>
        <v>0</v>
      </c>
      <c r="DC13" s="1546">
        <f t="shared" si="16"/>
        <v>0</v>
      </c>
      <c r="DD13" s="1546">
        <f t="shared" si="16"/>
        <v>0</v>
      </c>
      <c r="DE13" s="1546">
        <f t="shared" si="16"/>
        <v>0</v>
      </c>
      <c r="DF13" s="1546">
        <f t="shared" si="16"/>
        <v>0</v>
      </c>
      <c r="DG13" s="1546">
        <f t="shared" si="13"/>
        <v>1</v>
      </c>
      <c r="DI13" s="1546">
        <f t="shared" ref="DI13:DN22" si="17">IF($G13=DI$2,1,0)</f>
        <v>0</v>
      </c>
      <c r="DJ13" s="1546">
        <f t="shared" si="17"/>
        <v>0</v>
      </c>
      <c r="DK13" s="1546">
        <f t="shared" si="17"/>
        <v>0</v>
      </c>
      <c r="DL13" s="1546">
        <f t="shared" si="17"/>
        <v>0</v>
      </c>
      <c r="DM13" s="1546">
        <f t="shared" si="17"/>
        <v>0</v>
      </c>
      <c r="DN13" s="1546">
        <f t="shared" si="17"/>
        <v>0</v>
      </c>
    </row>
    <row r="14" spans="1:118" x14ac:dyDescent="0.3">
      <c r="A14" s="285">
        <v>12</v>
      </c>
      <c r="B14" s="325">
        <f t="shared" si="0"/>
        <v>0</v>
      </c>
      <c r="C14" s="682"/>
      <c r="D14" s="683"/>
      <c r="E14" s="680"/>
      <c r="F14" s="713"/>
      <c r="G14" s="91" t="str">
        <f>IF($B14=0,"",VLOOKUP($B14,'Valve Data'!$1:$1048576,MATCH(G$1,'Valve Data'!$1:$1,0),0))</f>
        <v/>
      </c>
      <c r="H14" s="21" t="str">
        <f>IF($B14=0,"",VLOOKUP($B14,'Valve Data'!$1:$1048576,MATCH(H$1,'Valve Data'!$1:$1,0),0))</f>
        <v/>
      </c>
      <c r="I14" s="21" t="str">
        <f>IF($B14=0,"",VLOOKUP($B14,'Valve Data'!$1:$1048576,MATCH(I$1,'Valve Data'!$1:$1,0),0))</f>
        <v/>
      </c>
      <c r="J14" s="328" t="str">
        <f>IF($B14=0,"",VLOOKUP($B14,'Valve Data'!$1:$1048576,MATCH(J$1,'Valve Data'!$1:$1,0),0))</f>
        <v/>
      </c>
      <c r="K14" s="21" t="str">
        <f>IF($B14=0,"",VLOOKUP($B14,'Valve Data'!$1:$1048576,MATCH(K$1,'Valve Data'!$1:$1,0),0))</f>
        <v/>
      </c>
      <c r="L14" s="21" t="str">
        <f>IF($B14=0,"",VLOOKUP($B14,'Valve Data'!$1:$1048576,MATCH(L$1,'Valve Data'!$1:$1,0),0))</f>
        <v/>
      </c>
      <c r="M14" s="21" t="str">
        <f>IF($B14=0,"",VLOOKUP($B14,'Valve Data'!$1:$1048576,MATCH(M$1,'Valve Data'!$1:$1,0),0))</f>
        <v/>
      </c>
      <c r="N14" s="21" t="str">
        <f>IF($B14=0,"",VLOOKUP($B14,'Valve Data'!$1:$1048576,MATCH(N$1,'Valve Data'!$1:$1,0),0))</f>
        <v/>
      </c>
      <c r="O14" s="21" t="str">
        <f>IF($B14=0,"",VLOOKUP($B14,'Valve Data'!$1:$1048576,MATCH(O$1,'Valve Data'!$1:$1,0),0))</f>
        <v/>
      </c>
      <c r="P14" s="21" t="str">
        <f>IF($B14=0,"",VLOOKUP($B14,'Valve Data'!$1:$1048576,MATCH(P$1,'Valve Data'!$1:$1,0),0))</f>
        <v/>
      </c>
      <c r="Q14" s="21" t="str">
        <f>IF($B14=0,"",VLOOKUP($B14,'Valve Data'!$1:$1048576,MATCH(Q$1,'Valve Data'!$1:$1,0),0))</f>
        <v/>
      </c>
      <c r="R14" s="21" t="str">
        <f>IF($B14=0,"",VLOOKUP($B14,'Valve Data'!$1:$1048576,MATCH(R$1,'Valve Data'!$1:$1,0),0))</f>
        <v/>
      </c>
      <c r="S14" s="21" t="str">
        <f>IF($B14=0,"",VLOOKUP($B14,'Valve Data'!$1:$1048576,MATCH(S$1,'Valve Data'!$1:$1,0),0))</f>
        <v/>
      </c>
      <c r="T14" s="331" t="str">
        <f>IF($B14=0,"",VLOOKUP($B14,'Valve Data'!$1:$1048576,MATCH(T$1,'Valve Data'!$1:$1,0),0))</f>
        <v/>
      </c>
      <c r="U14" s="91" t="str">
        <f>IF($B14=0,"",VLOOKUP($B14,'Valve Data'!$1:$1048576,MATCH(U$1,'Valve Data'!$1:$1,0),0))</f>
        <v/>
      </c>
      <c r="V14" s="21" t="str">
        <f>IF($B14=0,"",VLOOKUP($B14,'Valve Data'!$1:$1048576,MATCH(V$1,'Valve Data'!$1:$1,0),0))</f>
        <v/>
      </c>
      <c r="W14" s="21" t="str">
        <f>IF($B14=0,"",VLOOKUP($B14,'Valve Data'!$1:$1048576,MATCH(W$1,'Valve Data'!$1:$1,0),0))</f>
        <v/>
      </c>
      <c r="X14" s="331" t="str">
        <f>IF($B14=0,"",VLOOKUP($B14,'Valve Data'!$1:$1048576,MATCH(X$1,'Valve Data'!$1:$1,0),0))</f>
        <v/>
      </c>
      <c r="Y14" s="865"/>
      <c r="Z14" s="683"/>
      <c r="AA14" s="680"/>
      <c r="AB14" s="680"/>
      <c r="AC14" s="680"/>
      <c r="AD14" s="680"/>
      <c r="AE14" s="868"/>
      <c r="AF14" s="866"/>
      <c r="AG14" s="680"/>
      <c r="AH14" s="680"/>
      <c r="AI14" s="680"/>
      <c r="AJ14" s="680"/>
      <c r="AK14" s="680"/>
      <c r="AL14" s="680"/>
      <c r="AM14" s="680"/>
      <c r="AN14" s="680"/>
      <c r="AO14" s="680"/>
      <c r="AP14" s="684"/>
      <c r="AQ14" s="684"/>
      <c r="AR14" s="684"/>
      <c r="AS14" s="684"/>
      <c r="AT14" s="684"/>
      <c r="AU14" s="684"/>
      <c r="AV14" s="271">
        <f t="shared" si="1"/>
        <v>0</v>
      </c>
      <c r="AW14" s="680"/>
      <c r="AX14" s="845">
        <f>IF(F14="Ball_valve",IFERROR(VLOOKUP(E14&amp;"."&amp;D14,'Ball Valves Chart'!$1:$1048576,MATCH(G14,'Ball Valves Chart'!$3:$3,0),0),0),0)+IF(F14="DBB",IFERROR(VLOOKUP(E14&amp;"."&amp;D14,'Ball Valves Chart'!$1:$1048576,MATCH(G14,'Ball Valves Chart'!$3:$3,0),0)*2,0),0)+IFERROR(VLOOKUP(D14&amp;"."&amp;F14,'Manual Valves Chart'!$1:$1048576,MATCH('Valve List'!G14,'Manual Valves Chart'!$1:$1,0),0),0)</f>
        <v>0</v>
      </c>
      <c r="AY14" s="846">
        <f t="shared" si="2"/>
        <v>0</v>
      </c>
      <c r="AZ14" s="854"/>
      <c r="BA14" s="856">
        <f t="shared" si="3"/>
        <v>0</v>
      </c>
      <c r="BB14" s="286"/>
      <c r="BC14" s="852">
        <f t="shared" si="4"/>
        <v>0</v>
      </c>
      <c r="BD14" s="398"/>
      <c r="BE14" s="1546">
        <f t="shared" si="14"/>
        <v>0</v>
      </c>
      <c r="BF14" s="1546">
        <f t="shared" si="14"/>
        <v>0</v>
      </c>
      <c r="BG14" s="1546">
        <f t="shared" si="14"/>
        <v>0</v>
      </c>
      <c r="BH14" s="1546">
        <f t="shared" si="14"/>
        <v>0</v>
      </c>
      <c r="BI14" s="1546">
        <f t="shared" si="14"/>
        <v>0</v>
      </c>
      <c r="BJ14" s="1546">
        <f t="shared" si="14"/>
        <v>0</v>
      </c>
      <c r="BK14" s="1546">
        <f t="shared" si="14"/>
        <v>0</v>
      </c>
      <c r="BL14" s="1546">
        <f t="shared" si="14"/>
        <v>0</v>
      </c>
      <c r="BM14" s="1546">
        <f t="shared" si="14"/>
        <v>0</v>
      </c>
      <c r="BN14" s="1546">
        <f t="shared" si="14"/>
        <v>0</v>
      </c>
      <c r="BO14" s="1546">
        <f t="shared" si="15"/>
        <v>0</v>
      </c>
      <c r="BP14" s="1546">
        <f t="shared" si="15"/>
        <v>0</v>
      </c>
      <c r="BQ14" s="1546">
        <f t="shared" si="15"/>
        <v>0</v>
      </c>
      <c r="BR14" s="1546">
        <f t="shared" si="15"/>
        <v>0</v>
      </c>
      <c r="BS14" s="1546">
        <f t="shared" si="15"/>
        <v>0</v>
      </c>
      <c r="BT14" s="1546">
        <f t="shared" si="15"/>
        <v>0</v>
      </c>
      <c r="BU14" s="1546">
        <f t="shared" si="15"/>
        <v>0</v>
      </c>
      <c r="BV14" s="1546">
        <f t="shared" si="15"/>
        <v>0</v>
      </c>
      <c r="BX14" s="1546">
        <f t="shared" si="12"/>
        <v>0</v>
      </c>
      <c r="BY14" s="1546">
        <f t="shared" si="7"/>
        <v>0</v>
      </c>
      <c r="BZ14" s="1546">
        <f t="shared" si="7"/>
        <v>0</v>
      </c>
      <c r="CA14" s="1546">
        <f t="shared" si="7"/>
        <v>0</v>
      </c>
      <c r="CB14" s="1546">
        <f t="shared" si="7"/>
        <v>0</v>
      </c>
      <c r="CC14" s="1546">
        <f t="shared" si="7"/>
        <v>0</v>
      </c>
      <c r="CD14" s="1546">
        <f t="shared" si="7"/>
        <v>0</v>
      </c>
      <c r="CE14" s="1546">
        <f t="shared" si="7"/>
        <v>0</v>
      </c>
      <c r="CF14" s="1546">
        <f t="shared" si="7"/>
        <v>0</v>
      </c>
      <c r="CG14" s="1546">
        <f t="shared" si="7"/>
        <v>0</v>
      </c>
      <c r="CH14" s="1546">
        <f t="shared" si="7"/>
        <v>0</v>
      </c>
      <c r="CI14" s="1546">
        <f t="shared" si="7"/>
        <v>0</v>
      </c>
      <c r="CJ14" s="1546">
        <f t="shared" si="7"/>
        <v>0</v>
      </c>
      <c r="CL14" s="1546">
        <f t="shared" si="8"/>
        <v>0</v>
      </c>
      <c r="CM14" s="1546">
        <f t="shared" si="8"/>
        <v>0</v>
      </c>
      <c r="CN14" s="1546">
        <f t="shared" si="8"/>
        <v>0</v>
      </c>
      <c r="CO14" s="1546">
        <f t="shared" si="8"/>
        <v>0</v>
      </c>
      <c r="CQ14" s="1546">
        <f t="shared" si="9"/>
        <v>0</v>
      </c>
      <c r="CR14" s="1546">
        <f t="shared" si="16"/>
        <v>0</v>
      </c>
      <c r="CS14" s="1546">
        <f t="shared" si="16"/>
        <v>0</v>
      </c>
      <c r="CT14" s="1546">
        <f t="shared" si="16"/>
        <v>0</v>
      </c>
      <c r="CU14" s="1546">
        <f t="shared" si="16"/>
        <v>0</v>
      </c>
      <c r="CV14" s="1546">
        <f t="shared" si="16"/>
        <v>0</v>
      </c>
      <c r="CW14" s="1546">
        <f t="shared" si="16"/>
        <v>0</v>
      </c>
      <c r="CX14" s="1546">
        <f t="shared" si="16"/>
        <v>0</v>
      </c>
      <c r="CY14" s="1546">
        <f t="shared" si="16"/>
        <v>0</v>
      </c>
      <c r="CZ14" s="1546">
        <f t="shared" si="16"/>
        <v>0</v>
      </c>
      <c r="DA14" s="1546">
        <f t="shared" si="16"/>
        <v>0</v>
      </c>
      <c r="DB14" s="1546">
        <f t="shared" si="16"/>
        <v>0</v>
      </c>
      <c r="DC14" s="1546">
        <f t="shared" si="16"/>
        <v>0</v>
      </c>
      <c r="DD14" s="1546">
        <f t="shared" si="16"/>
        <v>0</v>
      </c>
      <c r="DE14" s="1546">
        <f t="shared" si="16"/>
        <v>0</v>
      </c>
      <c r="DF14" s="1546">
        <f t="shared" si="16"/>
        <v>0</v>
      </c>
      <c r="DG14" s="1546">
        <f t="shared" si="13"/>
        <v>1</v>
      </c>
      <c r="DI14" s="1546">
        <f t="shared" si="17"/>
        <v>0</v>
      </c>
      <c r="DJ14" s="1546">
        <f t="shared" si="17"/>
        <v>0</v>
      </c>
      <c r="DK14" s="1546">
        <f t="shared" si="17"/>
        <v>0</v>
      </c>
      <c r="DL14" s="1546">
        <f t="shared" si="17"/>
        <v>0</v>
      </c>
      <c r="DM14" s="1546">
        <f t="shared" si="17"/>
        <v>0</v>
      </c>
      <c r="DN14" s="1546">
        <f t="shared" si="17"/>
        <v>0</v>
      </c>
    </row>
    <row r="15" spans="1:118" x14ac:dyDescent="0.3">
      <c r="A15" s="285">
        <v>13</v>
      </c>
      <c r="B15" s="325">
        <f t="shared" si="0"/>
        <v>0</v>
      </c>
      <c r="C15" s="682"/>
      <c r="D15" s="683"/>
      <c r="E15" s="680"/>
      <c r="F15" s="713"/>
      <c r="G15" s="91" t="str">
        <f>IF($B15=0,"",VLOOKUP($B15,'Valve Data'!$1:$1048576,MATCH(G$1,'Valve Data'!$1:$1,0),0))</f>
        <v/>
      </c>
      <c r="H15" s="21" t="str">
        <f>IF($B15=0,"",VLOOKUP($B15,'Valve Data'!$1:$1048576,MATCH(H$1,'Valve Data'!$1:$1,0),0))</f>
        <v/>
      </c>
      <c r="I15" s="21" t="str">
        <f>IF($B15=0,"",VLOOKUP($B15,'Valve Data'!$1:$1048576,MATCH(I$1,'Valve Data'!$1:$1,0),0))</f>
        <v/>
      </c>
      <c r="J15" s="328" t="str">
        <f>IF($B15=0,"",VLOOKUP($B15,'Valve Data'!$1:$1048576,MATCH(J$1,'Valve Data'!$1:$1,0),0))</f>
        <v/>
      </c>
      <c r="K15" s="21" t="str">
        <f>IF($B15=0,"",VLOOKUP($B15,'Valve Data'!$1:$1048576,MATCH(K$1,'Valve Data'!$1:$1,0),0))</f>
        <v/>
      </c>
      <c r="L15" s="21" t="str">
        <f>IF($B15=0,"",VLOOKUP($B15,'Valve Data'!$1:$1048576,MATCH(L$1,'Valve Data'!$1:$1,0),0))</f>
        <v/>
      </c>
      <c r="M15" s="21" t="str">
        <f>IF($B15=0,"",VLOOKUP($B15,'Valve Data'!$1:$1048576,MATCH(M$1,'Valve Data'!$1:$1,0),0))</f>
        <v/>
      </c>
      <c r="N15" s="21" t="str">
        <f>IF($B15=0,"",VLOOKUP($B15,'Valve Data'!$1:$1048576,MATCH(N$1,'Valve Data'!$1:$1,0),0))</f>
        <v/>
      </c>
      <c r="O15" s="21" t="str">
        <f>IF($B15=0,"",VLOOKUP($B15,'Valve Data'!$1:$1048576,MATCH(O$1,'Valve Data'!$1:$1,0),0))</f>
        <v/>
      </c>
      <c r="P15" s="21" t="str">
        <f>IF($B15=0,"",VLOOKUP($B15,'Valve Data'!$1:$1048576,MATCH(P$1,'Valve Data'!$1:$1,0),0))</f>
        <v/>
      </c>
      <c r="Q15" s="21" t="str">
        <f>IF($B15=0,"",VLOOKUP($B15,'Valve Data'!$1:$1048576,MATCH(Q$1,'Valve Data'!$1:$1,0),0))</f>
        <v/>
      </c>
      <c r="R15" s="21" t="str">
        <f>IF($B15=0,"",VLOOKUP($B15,'Valve Data'!$1:$1048576,MATCH(R$1,'Valve Data'!$1:$1,0),0))</f>
        <v/>
      </c>
      <c r="S15" s="21" t="str">
        <f>IF($B15=0,"",VLOOKUP($B15,'Valve Data'!$1:$1048576,MATCH(S$1,'Valve Data'!$1:$1,0),0))</f>
        <v/>
      </c>
      <c r="T15" s="331" t="str">
        <f>IF($B15=0,"",VLOOKUP($B15,'Valve Data'!$1:$1048576,MATCH(T$1,'Valve Data'!$1:$1,0),0))</f>
        <v/>
      </c>
      <c r="U15" s="91" t="str">
        <f>IF($B15=0,"",VLOOKUP($B15,'Valve Data'!$1:$1048576,MATCH(U$1,'Valve Data'!$1:$1,0),0))</f>
        <v/>
      </c>
      <c r="V15" s="21" t="str">
        <f>IF($B15=0,"",VLOOKUP($B15,'Valve Data'!$1:$1048576,MATCH(V$1,'Valve Data'!$1:$1,0),0))</f>
        <v/>
      </c>
      <c r="W15" s="21" t="str">
        <f>IF($B15=0,"",VLOOKUP($B15,'Valve Data'!$1:$1048576,MATCH(W$1,'Valve Data'!$1:$1,0),0))</f>
        <v/>
      </c>
      <c r="X15" s="331" t="str">
        <f>IF($B15=0,"",VLOOKUP($B15,'Valve Data'!$1:$1048576,MATCH(X$1,'Valve Data'!$1:$1,0),0))</f>
        <v/>
      </c>
      <c r="Y15" s="865"/>
      <c r="Z15" s="683"/>
      <c r="AA15" s="680"/>
      <c r="AB15" s="680"/>
      <c r="AC15" s="680"/>
      <c r="AD15" s="680"/>
      <c r="AE15" s="868"/>
      <c r="AF15" s="866"/>
      <c r="AG15" s="680"/>
      <c r="AH15" s="680"/>
      <c r="AI15" s="680"/>
      <c r="AJ15" s="680"/>
      <c r="AK15" s="680"/>
      <c r="AL15" s="680"/>
      <c r="AM15" s="680"/>
      <c r="AN15" s="680"/>
      <c r="AO15" s="680"/>
      <c r="AP15" s="684"/>
      <c r="AQ15" s="684"/>
      <c r="AR15" s="684"/>
      <c r="AS15" s="684"/>
      <c r="AT15" s="684"/>
      <c r="AU15" s="684"/>
      <c r="AV15" s="271">
        <f t="shared" si="1"/>
        <v>0</v>
      </c>
      <c r="AW15" s="680"/>
      <c r="AX15" s="845">
        <f>IF(F15="Ball_valve",IFERROR(VLOOKUP(E15&amp;"."&amp;D15,'Ball Valves Chart'!$1:$1048576,MATCH(G15,'Ball Valves Chart'!$3:$3,0),0),0),0)+IF(F15="DBB",IFERROR(VLOOKUP(E15&amp;"."&amp;D15,'Ball Valves Chart'!$1:$1048576,MATCH(G15,'Ball Valves Chart'!$3:$3,0),0)*2,0),0)+IFERROR(VLOOKUP(D15&amp;"."&amp;F15,'Manual Valves Chart'!$1:$1048576,MATCH('Valve List'!G15,'Manual Valves Chart'!$1:$1,0),0),0)</f>
        <v>0</v>
      </c>
      <c r="AY15" s="846">
        <f t="shared" si="2"/>
        <v>0</v>
      </c>
      <c r="AZ15" s="854"/>
      <c r="BA15" s="856">
        <f t="shared" si="3"/>
        <v>0</v>
      </c>
      <c r="BB15" s="286"/>
      <c r="BC15" s="852">
        <f t="shared" si="4"/>
        <v>0</v>
      </c>
      <c r="BD15" s="398"/>
      <c r="BE15" s="1546">
        <f t="shared" si="14"/>
        <v>0</v>
      </c>
      <c r="BF15" s="1546">
        <f t="shared" si="14"/>
        <v>0</v>
      </c>
      <c r="BG15" s="1546">
        <f t="shared" si="14"/>
        <v>0</v>
      </c>
      <c r="BH15" s="1546">
        <f t="shared" si="14"/>
        <v>0</v>
      </c>
      <c r="BI15" s="1546">
        <f t="shared" si="14"/>
        <v>0</v>
      </c>
      <c r="BJ15" s="1546">
        <f t="shared" si="14"/>
        <v>0</v>
      </c>
      <c r="BK15" s="1546">
        <f t="shared" si="14"/>
        <v>0</v>
      </c>
      <c r="BL15" s="1546">
        <f t="shared" si="14"/>
        <v>0</v>
      </c>
      <c r="BM15" s="1546">
        <f t="shared" si="14"/>
        <v>0</v>
      </c>
      <c r="BN15" s="1546">
        <f t="shared" si="14"/>
        <v>0</v>
      </c>
      <c r="BO15" s="1546">
        <f t="shared" si="15"/>
        <v>0</v>
      </c>
      <c r="BP15" s="1546">
        <f t="shared" si="15"/>
        <v>0</v>
      </c>
      <c r="BQ15" s="1546">
        <f t="shared" si="15"/>
        <v>0</v>
      </c>
      <c r="BR15" s="1546">
        <f t="shared" si="15"/>
        <v>0</v>
      </c>
      <c r="BS15" s="1546">
        <f t="shared" si="15"/>
        <v>0</v>
      </c>
      <c r="BT15" s="1546">
        <f t="shared" si="15"/>
        <v>0</v>
      </c>
      <c r="BU15" s="1546">
        <f t="shared" si="15"/>
        <v>0</v>
      </c>
      <c r="BV15" s="1546">
        <f t="shared" si="15"/>
        <v>0</v>
      </c>
      <c r="BX15" s="1546">
        <f t="shared" si="12"/>
        <v>0</v>
      </c>
      <c r="BY15" s="1546">
        <f t="shared" si="7"/>
        <v>0</v>
      </c>
      <c r="BZ15" s="1546">
        <f t="shared" si="7"/>
        <v>0</v>
      </c>
      <c r="CA15" s="1546">
        <f t="shared" si="7"/>
        <v>0</v>
      </c>
      <c r="CB15" s="1546">
        <f t="shared" si="7"/>
        <v>0</v>
      </c>
      <c r="CC15" s="1546">
        <f t="shared" si="7"/>
        <v>0</v>
      </c>
      <c r="CD15" s="1546">
        <f t="shared" si="7"/>
        <v>0</v>
      </c>
      <c r="CE15" s="1546">
        <f t="shared" si="7"/>
        <v>0</v>
      </c>
      <c r="CF15" s="1546">
        <f t="shared" si="7"/>
        <v>0</v>
      </c>
      <c r="CG15" s="1546">
        <f t="shared" si="7"/>
        <v>0</v>
      </c>
      <c r="CH15" s="1546">
        <f t="shared" si="7"/>
        <v>0</v>
      </c>
      <c r="CI15" s="1546">
        <f t="shared" si="7"/>
        <v>0</v>
      </c>
      <c r="CJ15" s="1546">
        <f t="shared" si="7"/>
        <v>0</v>
      </c>
      <c r="CL15" s="1546">
        <f t="shared" si="8"/>
        <v>0</v>
      </c>
      <c r="CM15" s="1546">
        <f t="shared" si="8"/>
        <v>0</v>
      </c>
      <c r="CN15" s="1546">
        <f t="shared" si="8"/>
        <v>0</v>
      </c>
      <c r="CO15" s="1546">
        <f t="shared" si="8"/>
        <v>0</v>
      </c>
      <c r="CQ15" s="1546">
        <f t="shared" si="9"/>
        <v>0</v>
      </c>
      <c r="CR15" s="1546">
        <f t="shared" si="16"/>
        <v>0</v>
      </c>
      <c r="CS15" s="1546">
        <f t="shared" si="16"/>
        <v>0</v>
      </c>
      <c r="CT15" s="1546">
        <f t="shared" si="16"/>
        <v>0</v>
      </c>
      <c r="CU15" s="1546">
        <f t="shared" si="16"/>
        <v>0</v>
      </c>
      <c r="CV15" s="1546">
        <f t="shared" si="16"/>
        <v>0</v>
      </c>
      <c r="CW15" s="1546">
        <f t="shared" si="16"/>
        <v>0</v>
      </c>
      <c r="CX15" s="1546">
        <f t="shared" si="16"/>
        <v>0</v>
      </c>
      <c r="CY15" s="1546">
        <f t="shared" si="16"/>
        <v>0</v>
      </c>
      <c r="CZ15" s="1546">
        <f t="shared" si="16"/>
        <v>0</v>
      </c>
      <c r="DA15" s="1546">
        <f t="shared" si="16"/>
        <v>0</v>
      </c>
      <c r="DB15" s="1546">
        <f t="shared" si="16"/>
        <v>0</v>
      </c>
      <c r="DC15" s="1546">
        <f t="shared" si="16"/>
        <v>0</v>
      </c>
      <c r="DD15" s="1546">
        <f t="shared" si="16"/>
        <v>0</v>
      </c>
      <c r="DE15" s="1546">
        <f t="shared" si="16"/>
        <v>0</v>
      </c>
      <c r="DF15" s="1546">
        <f t="shared" si="16"/>
        <v>0</v>
      </c>
      <c r="DG15" s="1546">
        <f t="shared" si="13"/>
        <v>1</v>
      </c>
      <c r="DI15" s="1546">
        <f t="shared" si="17"/>
        <v>0</v>
      </c>
      <c r="DJ15" s="1546">
        <f t="shared" si="17"/>
        <v>0</v>
      </c>
      <c r="DK15" s="1546">
        <f t="shared" si="17"/>
        <v>0</v>
      </c>
      <c r="DL15" s="1546">
        <f t="shared" si="17"/>
        <v>0</v>
      </c>
      <c r="DM15" s="1546">
        <f t="shared" si="17"/>
        <v>0</v>
      </c>
      <c r="DN15" s="1546">
        <f t="shared" si="17"/>
        <v>0</v>
      </c>
    </row>
    <row r="16" spans="1:118" x14ac:dyDescent="0.3">
      <c r="A16" s="285">
        <v>14</v>
      </c>
      <c r="B16" s="325">
        <f t="shared" si="0"/>
        <v>0</v>
      </c>
      <c r="C16" s="682"/>
      <c r="D16" s="683"/>
      <c r="E16" s="680"/>
      <c r="F16" s="713"/>
      <c r="G16" s="91" t="str">
        <f>IF($B16=0,"",VLOOKUP($B16,'Valve Data'!$1:$1048576,MATCH(G$1,'Valve Data'!$1:$1,0),0))</f>
        <v/>
      </c>
      <c r="H16" s="21" t="str">
        <f>IF($B16=0,"",VLOOKUP($B16,'Valve Data'!$1:$1048576,MATCH(H$1,'Valve Data'!$1:$1,0),0))</f>
        <v/>
      </c>
      <c r="I16" s="21" t="str">
        <f>IF($B16=0,"",VLOOKUP($B16,'Valve Data'!$1:$1048576,MATCH(I$1,'Valve Data'!$1:$1,0),0))</f>
        <v/>
      </c>
      <c r="J16" s="328" t="str">
        <f>IF($B16=0,"",VLOOKUP($B16,'Valve Data'!$1:$1048576,MATCH(J$1,'Valve Data'!$1:$1,0),0))</f>
        <v/>
      </c>
      <c r="K16" s="21" t="str">
        <f>IF($B16=0,"",VLOOKUP($B16,'Valve Data'!$1:$1048576,MATCH(K$1,'Valve Data'!$1:$1,0),0))</f>
        <v/>
      </c>
      <c r="L16" s="21" t="str">
        <f>IF($B16=0,"",VLOOKUP($B16,'Valve Data'!$1:$1048576,MATCH(L$1,'Valve Data'!$1:$1,0),0))</f>
        <v/>
      </c>
      <c r="M16" s="21" t="str">
        <f>IF($B16=0,"",VLOOKUP($B16,'Valve Data'!$1:$1048576,MATCH(M$1,'Valve Data'!$1:$1,0),0))</f>
        <v/>
      </c>
      <c r="N16" s="21" t="str">
        <f>IF($B16=0,"",VLOOKUP($B16,'Valve Data'!$1:$1048576,MATCH(N$1,'Valve Data'!$1:$1,0),0))</f>
        <v/>
      </c>
      <c r="O16" s="21" t="str">
        <f>IF($B16=0,"",VLOOKUP($B16,'Valve Data'!$1:$1048576,MATCH(O$1,'Valve Data'!$1:$1,0),0))</f>
        <v/>
      </c>
      <c r="P16" s="21" t="str">
        <f>IF($B16=0,"",VLOOKUP($B16,'Valve Data'!$1:$1048576,MATCH(P$1,'Valve Data'!$1:$1,0),0))</f>
        <v/>
      </c>
      <c r="Q16" s="21" t="str">
        <f>IF($B16=0,"",VLOOKUP($B16,'Valve Data'!$1:$1048576,MATCH(Q$1,'Valve Data'!$1:$1,0),0))</f>
        <v/>
      </c>
      <c r="R16" s="21" t="str">
        <f>IF($B16=0,"",VLOOKUP($B16,'Valve Data'!$1:$1048576,MATCH(R$1,'Valve Data'!$1:$1,0),0))</f>
        <v/>
      </c>
      <c r="S16" s="21" t="str">
        <f>IF($B16=0,"",VLOOKUP($B16,'Valve Data'!$1:$1048576,MATCH(S$1,'Valve Data'!$1:$1,0),0))</f>
        <v/>
      </c>
      <c r="T16" s="331" t="str">
        <f>IF($B16=0,"",VLOOKUP($B16,'Valve Data'!$1:$1048576,MATCH(T$1,'Valve Data'!$1:$1,0),0))</f>
        <v/>
      </c>
      <c r="U16" s="91" t="str">
        <f>IF($B16=0,"",VLOOKUP($B16,'Valve Data'!$1:$1048576,MATCH(U$1,'Valve Data'!$1:$1,0),0))</f>
        <v/>
      </c>
      <c r="V16" s="21" t="str">
        <f>IF($B16=0,"",VLOOKUP($B16,'Valve Data'!$1:$1048576,MATCH(V$1,'Valve Data'!$1:$1,0),0))</f>
        <v/>
      </c>
      <c r="W16" s="21" t="str">
        <f>IF($B16=0,"",VLOOKUP($B16,'Valve Data'!$1:$1048576,MATCH(W$1,'Valve Data'!$1:$1,0),0))</f>
        <v/>
      </c>
      <c r="X16" s="331" t="str">
        <f>IF($B16=0,"",VLOOKUP($B16,'Valve Data'!$1:$1048576,MATCH(X$1,'Valve Data'!$1:$1,0),0))</f>
        <v/>
      </c>
      <c r="Y16" s="865"/>
      <c r="Z16" s="683"/>
      <c r="AA16" s="680"/>
      <c r="AB16" s="680"/>
      <c r="AC16" s="680"/>
      <c r="AD16" s="680"/>
      <c r="AE16" s="868"/>
      <c r="AF16" s="866"/>
      <c r="AG16" s="680"/>
      <c r="AH16" s="680"/>
      <c r="AI16" s="680"/>
      <c r="AJ16" s="680"/>
      <c r="AK16" s="680"/>
      <c r="AL16" s="680"/>
      <c r="AM16" s="680"/>
      <c r="AN16" s="680"/>
      <c r="AO16" s="680"/>
      <c r="AP16" s="684"/>
      <c r="AQ16" s="684"/>
      <c r="AR16" s="684"/>
      <c r="AS16" s="684"/>
      <c r="AT16" s="684"/>
      <c r="AU16" s="684"/>
      <c r="AV16" s="271">
        <f t="shared" si="1"/>
        <v>0</v>
      </c>
      <c r="AW16" s="680"/>
      <c r="AX16" s="845">
        <f>IF(F16="Ball_valve",IFERROR(VLOOKUP(E16&amp;"."&amp;D16,'Ball Valves Chart'!$1:$1048576,MATCH(G16,'Ball Valves Chart'!$3:$3,0),0),0),0)+IF(F16="DBB",IFERROR(VLOOKUP(E16&amp;"."&amp;D16,'Ball Valves Chart'!$1:$1048576,MATCH(G16,'Ball Valves Chart'!$3:$3,0),0)*2,0),0)+IFERROR(VLOOKUP(D16&amp;"."&amp;F16,'Manual Valves Chart'!$1:$1048576,MATCH('Valve List'!G16,'Manual Valves Chart'!$1:$1,0),0),0)</f>
        <v>0</v>
      </c>
      <c r="AY16" s="846">
        <f t="shared" si="2"/>
        <v>0</v>
      </c>
      <c r="AZ16" s="854"/>
      <c r="BA16" s="856">
        <f t="shared" si="3"/>
        <v>0</v>
      </c>
      <c r="BB16" s="286"/>
      <c r="BC16" s="852">
        <f t="shared" si="4"/>
        <v>0</v>
      </c>
      <c r="BD16" s="398"/>
      <c r="BE16" s="1546">
        <f t="shared" si="14"/>
        <v>0</v>
      </c>
      <c r="BF16" s="1546">
        <f t="shared" si="14"/>
        <v>0</v>
      </c>
      <c r="BG16" s="1546">
        <f t="shared" si="14"/>
        <v>0</v>
      </c>
      <c r="BH16" s="1546">
        <f t="shared" si="14"/>
        <v>0</v>
      </c>
      <c r="BI16" s="1546">
        <f t="shared" si="14"/>
        <v>0</v>
      </c>
      <c r="BJ16" s="1546">
        <f t="shared" si="14"/>
        <v>0</v>
      </c>
      <c r="BK16" s="1546">
        <f t="shared" si="14"/>
        <v>0</v>
      </c>
      <c r="BL16" s="1546">
        <f t="shared" si="14"/>
        <v>0</v>
      </c>
      <c r="BM16" s="1546">
        <f t="shared" si="14"/>
        <v>0</v>
      </c>
      <c r="BN16" s="1546">
        <f t="shared" si="14"/>
        <v>0</v>
      </c>
      <c r="BO16" s="1546">
        <f t="shared" si="15"/>
        <v>0</v>
      </c>
      <c r="BP16" s="1546">
        <f t="shared" si="15"/>
        <v>0</v>
      </c>
      <c r="BQ16" s="1546">
        <f t="shared" si="15"/>
        <v>0</v>
      </c>
      <c r="BR16" s="1546">
        <f t="shared" si="15"/>
        <v>0</v>
      </c>
      <c r="BS16" s="1546">
        <f t="shared" si="15"/>
        <v>0</v>
      </c>
      <c r="BT16" s="1546">
        <f t="shared" si="15"/>
        <v>0</v>
      </c>
      <c r="BU16" s="1546">
        <f t="shared" si="15"/>
        <v>0</v>
      </c>
      <c r="BV16" s="1546">
        <f t="shared" si="15"/>
        <v>0</v>
      </c>
      <c r="BX16" s="1546">
        <f t="shared" si="12"/>
        <v>0</v>
      </c>
      <c r="BY16" s="1546">
        <f t="shared" si="7"/>
        <v>0</v>
      </c>
      <c r="BZ16" s="1546">
        <f t="shared" si="7"/>
        <v>0</v>
      </c>
      <c r="CA16" s="1546">
        <f t="shared" si="7"/>
        <v>0</v>
      </c>
      <c r="CB16" s="1546">
        <f t="shared" si="7"/>
        <v>0</v>
      </c>
      <c r="CC16" s="1546">
        <f t="shared" si="7"/>
        <v>0</v>
      </c>
      <c r="CD16" s="1546">
        <f t="shared" si="7"/>
        <v>0</v>
      </c>
      <c r="CE16" s="1546">
        <f t="shared" si="7"/>
        <v>0</v>
      </c>
      <c r="CF16" s="1546">
        <f t="shared" si="7"/>
        <v>0</v>
      </c>
      <c r="CG16" s="1546">
        <f t="shared" si="7"/>
        <v>0</v>
      </c>
      <c r="CH16" s="1546">
        <f t="shared" si="7"/>
        <v>0</v>
      </c>
      <c r="CI16" s="1546">
        <f t="shared" si="7"/>
        <v>0</v>
      </c>
      <c r="CJ16" s="1546">
        <f t="shared" si="7"/>
        <v>0</v>
      </c>
      <c r="CL16" s="1546">
        <f t="shared" si="8"/>
        <v>0</v>
      </c>
      <c r="CM16" s="1546">
        <f t="shared" si="8"/>
        <v>0</v>
      </c>
      <c r="CN16" s="1546">
        <f t="shared" si="8"/>
        <v>0</v>
      </c>
      <c r="CO16" s="1546">
        <f t="shared" si="8"/>
        <v>0</v>
      </c>
      <c r="CQ16" s="1546">
        <f t="shared" si="9"/>
        <v>0</v>
      </c>
      <c r="CR16" s="1546">
        <f t="shared" si="16"/>
        <v>0</v>
      </c>
      <c r="CS16" s="1546">
        <f t="shared" si="16"/>
        <v>0</v>
      </c>
      <c r="CT16" s="1546">
        <f t="shared" si="16"/>
        <v>0</v>
      </c>
      <c r="CU16" s="1546">
        <f t="shared" si="16"/>
        <v>0</v>
      </c>
      <c r="CV16" s="1546">
        <f t="shared" si="16"/>
        <v>0</v>
      </c>
      <c r="CW16" s="1546">
        <f t="shared" si="16"/>
        <v>0</v>
      </c>
      <c r="CX16" s="1546">
        <f t="shared" si="16"/>
        <v>0</v>
      </c>
      <c r="CY16" s="1546">
        <f t="shared" si="16"/>
        <v>0</v>
      </c>
      <c r="CZ16" s="1546">
        <f t="shared" si="16"/>
        <v>0</v>
      </c>
      <c r="DA16" s="1546">
        <f t="shared" si="16"/>
        <v>0</v>
      </c>
      <c r="DB16" s="1546">
        <f t="shared" si="16"/>
        <v>0</v>
      </c>
      <c r="DC16" s="1546">
        <f t="shared" si="16"/>
        <v>0</v>
      </c>
      <c r="DD16" s="1546">
        <f t="shared" si="16"/>
        <v>0</v>
      </c>
      <c r="DE16" s="1546">
        <f t="shared" si="16"/>
        <v>0</v>
      </c>
      <c r="DF16" s="1546">
        <f t="shared" si="16"/>
        <v>0</v>
      </c>
      <c r="DG16" s="1546">
        <f t="shared" si="13"/>
        <v>1</v>
      </c>
      <c r="DI16" s="1546">
        <f t="shared" si="17"/>
        <v>0</v>
      </c>
      <c r="DJ16" s="1546">
        <f t="shared" si="17"/>
        <v>0</v>
      </c>
      <c r="DK16" s="1546">
        <f t="shared" si="17"/>
        <v>0</v>
      </c>
      <c r="DL16" s="1546">
        <f t="shared" si="17"/>
        <v>0</v>
      </c>
      <c r="DM16" s="1546">
        <f t="shared" si="17"/>
        <v>0</v>
      </c>
      <c r="DN16" s="1546">
        <f t="shared" si="17"/>
        <v>0</v>
      </c>
    </row>
    <row r="17" spans="1:118" x14ac:dyDescent="0.3">
      <c r="A17" s="285">
        <v>15</v>
      </c>
      <c r="B17" s="325">
        <f t="shared" si="0"/>
        <v>0</v>
      </c>
      <c r="C17" s="682"/>
      <c r="D17" s="683"/>
      <c r="E17" s="680"/>
      <c r="F17" s="713"/>
      <c r="G17" s="91" t="str">
        <f>IF($B17=0,"",VLOOKUP($B17,'Valve Data'!$1:$1048576,MATCH(G$1,'Valve Data'!$1:$1,0),0))</f>
        <v/>
      </c>
      <c r="H17" s="21" t="str">
        <f>IF($B17=0,"",VLOOKUP($B17,'Valve Data'!$1:$1048576,MATCH(H$1,'Valve Data'!$1:$1,0),0))</f>
        <v/>
      </c>
      <c r="I17" s="21" t="str">
        <f>IF($B17=0,"",VLOOKUP($B17,'Valve Data'!$1:$1048576,MATCH(I$1,'Valve Data'!$1:$1,0),0))</f>
        <v/>
      </c>
      <c r="J17" s="328" t="str">
        <f>IF($B17=0,"",VLOOKUP($B17,'Valve Data'!$1:$1048576,MATCH(J$1,'Valve Data'!$1:$1,0),0))</f>
        <v/>
      </c>
      <c r="K17" s="21" t="str">
        <f>IF($B17=0,"",VLOOKUP($B17,'Valve Data'!$1:$1048576,MATCH(K$1,'Valve Data'!$1:$1,0),0))</f>
        <v/>
      </c>
      <c r="L17" s="21" t="str">
        <f>IF($B17=0,"",VLOOKUP($B17,'Valve Data'!$1:$1048576,MATCH(L$1,'Valve Data'!$1:$1,0),0))</f>
        <v/>
      </c>
      <c r="M17" s="21" t="str">
        <f>IF($B17=0,"",VLOOKUP($B17,'Valve Data'!$1:$1048576,MATCH(M$1,'Valve Data'!$1:$1,0),0))</f>
        <v/>
      </c>
      <c r="N17" s="21" t="str">
        <f>IF($B17=0,"",VLOOKUP($B17,'Valve Data'!$1:$1048576,MATCH(N$1,'Valve Data'!$1:$1,0),0))</f>
        <v/>
      </c>
      <c r="O17" s="21" t="str">
        <f>IF($B17=0,"",VLOOKUP($B17,'Valve Data'!$1:$1048576,MATCH(O$1,'Valve Data'!$1:$1,0),0))</f>
        <v/>
      </c>
      <c r="P17" s="21" t="str">
        <f>IF($B17=0,"",VLOOKUP($B17,'Valve Data'!$1:$1048576,MATCH(P$1,'Valve Data'!$1:$1,0),0))</f>
        <v/>
      </c>
      <c r="Q17" s="21" t="str">
        <f>IF($B17=0,"",VLOOKUP($B17,'Valve Data'!$1:$1048576,MATCH(Q$1,'Valve Data'!$1:$1,0),0))</f>
        <v/>
      </c>
      <c r="R17" s="21" t="str">
        <f>IF($B17=0,"",VLOOKUP($B17,'Valve Data'!$1:$1048576,MATCH(R$1,'Valve Data'!$1:$1,0),0))</f>
        <v/>
      </c>
      <c r="S17" s="21" t="str">
        <f>IF($B17=0,"",VLOOKUP($B17,'Valve Data'!$1:$1048576,MATCH(S$1,'Valve Data'!$1:$1,0),0))</f>
        <v/>
      </c>
      <c r="T17" s="331" t="str">
        <f>IF($B17=0,"",VLOOKUP($B17,'Valve Data'!$1:$1048576,MATCH(T$1,'Valve Data'!$1:$1,0),0))</f>
        <v/>
      </c>
      <c r="U17" s="91" t="str">
        <f>IF($B17=0,"",VLOOKUP($B17,'Valve Data'!$1:$1048576,MATCH(U$1,'Valve Data'!$1:$1,0),0))</f>
        <v/>
      </c>
      <c r="V17" s="21" t="str">
        <f>IF($B17=0,"",VLOOKUP($B17,'Valve Data'!$1:$1048576,MATCH(V$1,'Valve Data'!$1:$1,0),0))</f>
        <v/>
      </c>
      <c r="W17" s="21" t="str">
        <f>IF($B17=0,"",VLOOKUP($B17,'Valve Data'!$1:$1048576,MATCH(W$1,'Valve Data'!$1:$1,0),0))</f>
        <v/>
      </c>
      <c r="X17" s="331" t="str">
        <f>IF($B17=0,"",VLOOKUP($B17,'Valve Data'!$1:$1048576,MATCH(X$1,'Valve Data'!$1:$1,0),0))</f>
        <v/>
      </c>
      <c r="Y17" s="865"/>
      <c r="Z17" s="683"/>
      <c r="AA17" s="680"/>
      <c r="AB17" s="680"/>
      <c r="AC17" s="680"/>
      <c r="AD17" s="680"/>
      <c r="AE17" s="868"/>
      <c r="AF17" s="866"/>
      <c r="AG17" s="680"/>
      <c r="AH17" s="680"/>
      <c r="AI17" s="680"/>
      <c r="AJ17" s="680"/>
      <c r="AK17" s="680"/>
      <c r="AL17" s="680"/>
      <c r="AM17" s="680"/>
      <c r="AN17" s="680"/>
      <c r="AO17" s="680"/>
      <c r="AP17" s="684"/>
      <c r="AQ17" s="684"/>
      <c r="AR17" s="684"/>
      <c r="AS17" s="684"/>
      <c r="AT17" s="684"/>
      <c r="AU17" s="684"/>
      <c r="AV17" s="271">
        <f t="shared" si="1"/>
        <v>0</v>
      </c>
      <c r="AW17" s="680"/>
      <c r="AX17" s="845">
        <f>IF(F17="Ball_valve",IFERROR(VLOOKUP(E17&amp;"."&amp;D17,'Ball Valves Chart'!$1:$1048576,MATCH(G17,'Ball Valves Chart'!$3:$3,0),0),0),0)+IF(F17="DBB",IFERROR(VLOOKUP(E17&amp;"."&amp;D17,'Ball Valves Chart'!$1:$1048576,MATCH(G17,'Ball Valves Chart'!$3:$3,0),0)*2,0),0)+IFERROR(VLOOKUP(D17&amp;"."&amp;F17,'Manual Valves Chart'!$1:$1048576,MATCH('Valve List'!G17,'Manual Valves Chart'!$1:$1,0),0),0)</f>
        <v>0</v>
      </c>
      <c r="AY17" s="846">
        <f t="shared" si="2"/>
        <v>0</v>
      </c>
      <c r="AZ17" s="854"/>
      <c r="BA17" s="856">
        <f t="shared" si="3"/>
        <v>0</v>
      </c>
      <c r="BB17" s="286"/>
      <c r="BC17" s="852">
        <f t="shared" si="4"/>
        <v>0</v>
      </c>
      <c r="BD17" s="398"/>
      <c r="BE17" s="1546">
        <f t="shared" si="14"/>
        <v>0</v>
      </c>
      <c r="BF17" s="1546">
        <f t="shared" si="14"/>
        <v>0</v>
      </c>
      <c r="BG17" s="1546">
        <f t="shared" si="14"/>
        <v>0</v>
      </c>
      <c r="BH17" s="1546">
        <f t="shared" si="14"/>
        <v>0</v>
      </c>
      <c r="BI17" s="1546">
        <f t="shared" si="14"/>
        <v>0</v>
      </c>
      <c r="BJ17" s="1546">
        <f t="shared" si="14"/>
        <v>0</v>
      </c>
      <c r="BK17" s="1546">
        <f t="shared" si="14"/>
        <v>0</v>
      </c>
      <c r="BL17" s="1546">
        <f t="shared" si="14"/>
        <v>0</v>
      </c>
      <c r="BM17" s="1546">
        <f t="shared" si="14"/>
        <v>0</v>
      </c>
      <c r="BN17" s="1546">
        <f t="shared" si="14"/>
        <v>0</v>
      </c>
      <c r="BO17" s="1546">
        <f t="shared" si="15"/>
        <v>0</v>
      </c>
      <c r="BP17" s="1546">
        <f t="shared" si="15"/>
        <v>0</v>
      </c>
      <c r="BQ17" s="1546">
        <f t="shared" si="15"/>
        <v>0</v>
      </c>
      <c r="BR17" s="1546">
        <f t="shared" si="15"/>
        <v>0</v>
      </c>
      <c r="BS17" s="1546">
        <f t="shared" si="15"/>
        <v>0</v>
      </c>
      <c r="BT17" s="1546">
        <f t="shared" si="15"/>
        <v>0</v>
      </c>
      <c r="BU17" s="1546">
        <f t="shared" si="15"/>
        <v>0</v>
      </c>
      <c r="BV17" s="1546">
        <f t="shared" si="15"/>
        <v>0</v>
      </c>
      <c r="BX17" s="1546">
        <f t="shared" si="12"/>
        <v>0</v>
      </c>
      <c r="BY17" s="1546">
        <f t="shared" si="7"/>
        <v>0</v>
      </c>
      <c r="BZ17" s="1546">
        <f t="shared" si="7"/>
        <v>0</v>
      </c>
      <c r="CA17" s="1546">
        <f t="shared" si="7"/>
        <v>0</v>
      </c>
      <c r="CB17" s="1546">
        <f t="shared" si="7"/>
        <v>0</v>
      </c>
      <c r="CC17" s="1546">
        <f t="shared" si="7"/>
        <v>0</v>
      </c>
      <c r="CD17" s="1546">
        <f t="shared" si="7"/>
        <v>0</v>
      </c>
      <c r="CE17" s="1546">
        <f t="shared" si="7"/>
        <v>0</v>
      </c>
      <c r="CF17" s="1546">
        <f t="shared" si="7"/>
        <v>0</v>
      </c>
      <c r="CG17" s="1546">
        <f t="shared" si="7"/>
        <v>0</v>
      </c>
      <c r="CH17" s="1546">
        <f t="shared" si="7"/>
        <v>0</v>
      </c>
      <c r="CI17" s="1546">
        <f t="shared" si="7"/>
        <v>0</v>
      </c>
      <c r="CJ17" s="1546">
        <f t="shared" si="7"/>
        <v>0</v>
      </c>
      <c r="CL17" s="1546">
        <f t="shared" si="8"/>
        <v>0</v>
      </c>
      <c r="CM17" s="1546">
        <f t="shared" si="8"/>
        <v>0</v>
      </c>
      <c r="CN17" s="1546">
        <f t="shared" si="8"/>
        <v>0</v>
      </c>
      <c r="CO17" s="1546">
        <f t="shared" si="8"/>
        <v>0</v>
      </c>
      <c r="CQ17" s="1546">
        <f t="shared" si="9"/>
        <v>0</v>
      </c>
      <c r="CR17" s="1546">
        <f t="shared" si="16"/>
        <v>0</v>
      </c>
      <c r="CS17" s="1546">
        <f t="shared" si="16"/>
        <v>0</v>
      </c>
      <c r="CT17" s="1546">
        <f t="shared" si="16"/>
        <v>0</v>
      </c>
      <c r="CU17" s="1546">
        <f t="shared" si="16"/>
        <v>0</v>
      </c>
      <c r="CV17" s="1546">
        <f t="shared" si="16"/>
        <v>0</v>
      </c>
      <c r="CW17" s="1546">
        <f t="shared" si="16"/>
        <v>0</v>
      </c>
      <c r="CX17" s="1546">
        <f t="shared" si="16"/>
        <v>0</v>
      </c>
      <c r="CY17" s="1546">
        <f t="shared" si="16"/>
        <v>0</v>
      </c>
      <c r="CZ17" s="1546">
        <f t="shared" si="16"/>
        <v>0</v>
      </c>
      <c r="DA17" s="1546">
        <f t="shared" si="16"/>
        <v>0</v>
      </c>
      <c r="DB17" s="1546">
        <f t="shared" si="16"/>
        <v>0</v>
      </c>
      <c r="DC17" s="1546">
        <f t="shared" si="16"/>
        <v>0</v>
      </c>
      <c r="DD17" s="1546">
        <f t="shared" si="16"/>
        <v>0</v>
      </c>
      <c r="DE17" s="1546">
        <f t="shared" si="16"/>
        <v>0</v>
      </c>
      <c r="DF17" s="1546">
        <f t="shared" si="16"/>
        <v>0</v>
      </c>
      <c r="DG17" s="1546">
        <f t="shared" si="13"/>
        <v>1</v>
      </c>
      <c r="DI17" s="1546">
        <f t="shared" si="17"/>
        <v>0</v>
      </c>
      <c r="DJ17" s="1546">
        <f t="shared" si="17"/>
        <v>0</v>
      </c>
      <c r="DK17" s="1546">
        <f t="shared" si="17"/>
        <v>0</v>
      </c>
      <c r="DL17" s="1546">
        <f t="shared" si="17"/>
        <v>0</v>
      </c>
      <c r="DM17" s="1546">
        <f t="shared" si="17"/>
        <v>0</v>
      </c>
      <c r="DN17" s="1546">
        <f t="shared" si="17"/>
        <v>0</v>
      </c>
    </row>
    <row r="18" spans="1:118" x14ac:dyDescent="0.3">
      <c r="A18" s="285">
        <v>19</v>
      </c>
      <c r="B18" s="325">
        <f t="shared" si="0"/>
        <v>0</v>
      </c>
      <c r="C18" s="682"/>
      <c r="D18" s="683"/>
      <c r="E18" s="680"/>
      <c r="F18" s="713"/>
      <c r="G18" s="91" t="str">
        <f>IF($B18=0,"",VLOOKUP($B18,'Valve Data'!$1:$1048576,MATCH(G$1,'Valve Data'!$1:$1,0),0))</f>
        <v/>
      </c>
      <c r="H18" s="21" t="str">
        <f>IF($B18=0,"",VLOOKUP($B18,'Valve Data'!$1:$1048576,MATCH(H$1,'Valve Data'!$1:$1,0),0))</f>
        <v/>
      </c>
      <c r="I18" s="21" t="str">
        <f>IF($B18=0,"",VLOOKUP($B18,'Valve Data'!$1:$1048576,MATCH(I$1,'Valve Data'!$1:$1,0),0))</f>
        <v/>
      </c>
      <c r="J18" s="328" t="str">
        <f>IF($B18=0,"",VLOOKUP($B18,'Valve Data'!$1:$1048576,MATCH(J$1,'Valve Data'!$1:$1,0),0))</f>
        <v/>
      </c>
      <c r="K18" s="21" t="str">
        <f>IF($B18=0,"",VLOOKUP($B18,'Valve Data'!$1:$1048576,MATCH(K$1,'Valve Data'!$1:$1,0),0))</f>
        <v/>
      </c>
      <c r="L18" s="21" t="str">
        <f>IF($B18=0,"",VLOOKUP($B18,'Valve Data'!$1:$1048576,MATCH(L$1,'Valve Data'!$1:$1,0),0))</f>
        <v/>
      </c>
      <c r="M18" s="21" t="str">
        <f>IF($B18=0,"",VLOOKUP($B18,'Valve Data'!$1:$1048576,MATCH(M$1,'Valve Data'!$1:$1,0),0))</f>
        <v/>
      </c>
      <c r="N18" s="21" t="str">
        <f>IF($B18=0,"",VLOOKUP($B18,'Valve Data'!$1:$1048576,MATCH(N$1,'Valve Data'!$1:$1,0),0))</f>
        <v/>
      </c>
      <c r="O18" s="21" t="str">
        <f>IF($B18=0,"",VLOOKUP($B18,'Valve Data'!$1:$1048576,MATCH(O$1,'Valve Data'!$1:$1,0),0))</f>
        <v/>
      </c>
      <c r="P18" s="21" t="str">
        <f>IF($B18=0,"",VLOOKUP($B18,'Valve Data'!$1:$1048576,MATCH(P$1,'Valve Data'!$1:$1,0),0))</f>
        <v/>
      </c>
      <c r="Q18" s="21" t="str">
        <f>IF($B18=0,"",VLOOKUP($B18,'Valve Data'!$1:$1048576,MATCH(Q$1,'Valve Data'!$1:$1,0),0))</f>
        <v/>
      </c>
      <c r="R18" s="21" t="str">
        <f>IF($B18=0,"",VLOOKUP($B18,'Valve Data'!$1:$1048576,MATCH(R$1,'Valve Data'!$1:$1,0),0))</f>
        <v/>
      </c>
      <c r="S18" s="21" t="str">
        <f>IF($B18=0,"",VLOOKUP($B18,'Valve Data'!$1:$1048576,MATCH(S$1,'Valve Data'!$1:$1,0),0))</f>
        <v/>
      </c>
      <c r="T18" s="331" t="str">
        <f>IF($B18=0,"",VLOOKUP($B18,'Valve Data'!$1:$1048576,MATCH(T$1,'Valve Data'!$1:$1,0),0))</f>
        <v/>
      </c>
      <c r="U18" s="91" t="str">
        <f>IF($B18=0,"",VLOOKUP($B18,'Valve Data'!$1:$1048576,MATCH(U$1,'Valve Data'!$1:$1,0),0))</f>
        <v/>
      </c>
      <c r="V18" s="21" t="str">
        <f>IF($B18=0,"",VLOOKUP($B18,'Valve Data'!$1:$1048576,MATCH(V$1,'Valve Data'!$1:$1,0),0))</f>
        <v/>
      </c>
      <c r="W18" s="21" t="str">
        <f>IF($B18=0,"",VLOOKUP($B18,'Valve Data'!$1:$1048576,MATCH(W$1,'Valve Data'!$1:$1,0),0))</f>
        <v/>
      </c>
      <c r="X18" s="331" t="str">
        <f>IF($B18=0,"",VLOOKUP($B18,'Valve Data'!$1:$1048576,MATCH(X$1,'Valve Data'!$1:$1,0),0))</f>
        <v/>
      </c>
      <c r="Y18" s="865"/>
      <c r="Z18" s="683"/>
      <c r="AA18" s="680"/>
      <c r="AB18" s="680"/>
      <c r="AC18" s="680"/>
      <c r="AD18" s="680"/>
      <c r="AE18" s="868"/>
      <c r="AF18" s="866"/>
      <c r="AG18" s="680"/>
      <c r="AH18" s="680"/>
      <c r="AI18" s="680"/>
      <c r="AJ18" s="680"/>
      <c r="AK18" s="680"/>
      <c r="AL18" s="680"/>
      <c r="AM18" s="680"/>
      <c r="AN18" s="680"/>
      <c r="AO18" s="680"/>
      <c r="AP18" s="684"/>
      <c r="AQ18" s="684"/>
      <c r="AR18" s="684"/>
      <c r="AS18" s="684"/>
      <c r="AT18" s="684"/>
      <c r="AU18" s="684"/>
      <c r="AV18" s="271">
        <f t="shared" si="1"/>
        <v>0</v>
      </c>
      <c r="AW18" s="680"/>
      <c r="AX18" s="845">
        <f>IF(F18="Ball_valve",IFERROR(VLOOKUP(E18&amp;"."&amp;D18,'Ball Valves Chart'!$1:$1048576,MATCH(G18,'Ball Valves Chart'!$3:$3,0),0),0),0)+IF(F18="DBB",IFERROR(VLOOKUP(E18&amp;"."&amp;D18,'Ball Valves Chart'!$1:$1048576,MATCH(G18,'Ball Valves Chart'!$3:$3,0),0)*2,0),0)+IFERROR(VLOOKUP(D18&amp;"."&amp;F18,'Manual Valves Chart'!$1:$1048576,MATCH('Valve List'!G21,'Manual Valves Chart'!$1:$1,0),0),0)</f>
        <v>0</v>
      </c>
      <c r="AY18" s="846">
        <f t="shared" si="2"/>
        <v>0</v>
      </c>
      <c r="AZ18" s="854"/>
      <c r="BA18" s="856">
        <f t="shared" si="3"/>
        <v>0</v>
      </c>
      <c r="BC18" s="852">
        <f t="shared" si="4"/>
        <v>0</v>
      </c>
      <c r="BD18" s="398"/>
      <c r="BE18" s="1546">
        <f t="shared" si="14"/>
        <v>0</v>
      </c>
      <c r="BF18" s="1546">
        <f t="shared" si="14"/>
        <v>0</v>
      </c>
      <c r="BG18" s="1546">
        <f t="shared" si="14"/>
        <v>0</v>
      </c>
      <c r="BH18" s="1546">
        <f t="shared" si="14"/>
        <v>0</v>
      </c>
      <c r="BI18" s="1546">
        <f t="shared" si="14"/>
        <v>0</v>
      </c>
      <c r="BJ18" s="1546">
        <f t="shared" si="14"/>
        <v>0</v>
      </c>
      <c r="BK18" s="1546">
        <f t="shared" si="14"/>
        <v>0</v>
      </c>
      <c r="BL18" s="1546">
        <f t="shared" si="14"/>
        <v>0</v>
      </c>
      <c r="BM18" s="1546">
        <f t="shared" si="14"/>
        <v>0</v>
      </c>
      <c r="BN18" s="1546">
        <f t="shared" si="14"/>
        <v>0</v>
      </c>
      <c r="BO18" s="1546">
        <f t="shared" si="15"/>
        <v>0</v>
      </c>
      <c r="BP18" s="1546">
        <f t="shared" si="15"/>
        <v>0</v>
      </c>
      <c r="BQ18" s="1546">
        <f t="shared" si="15"/>
        <v>0</v>
      </c>
      <c r="BR18" s="1546">
        <f t="shared" si="15"/>
        <v>0</v>
      </c>
      <c r="BS18" s="1546">
        <f t="shared" si="15"/>
        <v>0</v>
      </c>
      <c r="BT18" s="1546">
        <f t="shared" si="15"/>
        <v>0</v>
      </c>
      <c r="BU18" s="1546">
        <f t="shared" si="15"/>
        <v>0</v>
      </c>
      <c r="BV18" s="1546">
        <f t="shared" si="15"/>
        <v>0</v>
      </c>
      <c r="BX18" s="1546">
        <f t="shared" si="12"/>
        <v>0</v>
      </c>
      <c r="BY18" s="1546">
        <f t="shared" si="7"/>
        <v>0</v>
      </c>
      <c r="BZ18" s="1546">
        <f t="shared" si="7"/>
        <v>0</v>
      </c>
      <c r="CA18" s="1546">
        <f t="shared" si="7"/>
        <v>0</v>
      </c>
      <c r="CB18" s="1546">
        <f t="shared" si="7"/>
        <v>0</v>
      </c>
      <c r="CC18" s="1546">
        <f t="shared" si="7"/>
        <v>0</v>
      </c>
      <c r="CD18" s="1546">
        <f t="shared" si="7"/>
        <v>0</v>
      </c>
      <c r="CE18" s="1546">
        <f t="shared" si="7"/>
        <v>0</v>
      </c>
      <c r="CF18" s="1546">
        <f t="shared" si="7"/>
        <v>0</v>
      </c>
      <c r="CG18" s="1546">
        <f t="shared" si="7"/>
        <v>0</v>
      </c>
      <c r="CH18" s="1546">
        <f t="shared" si="7"/>
        <v>0</v>
      </c>
      <c r="CI18" s="1546">
        <f t="shared" si="7"/>
        <v>0</v>
      </c>
      <c r="CJ18" s="1546">
        <f t="shared" si="7"/>
        <v>0</v>
      </c>
      <c r="CL18" s="1546">
        <f t="shared" si="8"/>
        <v>0</v>
      </c>
      <c r="CM18" s="1546">
        <f t="shared" si="8"/>
        <v>0</v>
      </c>
      <c r="CN18" s="1546">
        <f t="shared" si="8"/>
        <v>0</v>
      </c>
      <c r="CO18" s="1546">
        <f t="shared" si="8"/>
        <v>0</v>
      </c>
      <c r="CQ18" s="1546">
        <f t="shared" si="9"/>
        <v>0</v>
      </c>
      <c r="CR18" s="1546">
        <f t="shared" si="16"/>
        <v>0</v>
      </c>
      <c r="CS18" s="1546">
        <f t="shared" si="16"/>
        <v>0</v>
      </c>
      <c r="CT18" s="1546">
        <f t="shared" si="16"/>
        <v>0</v>
      </c>
      <c r="CU18" s="1546">
        <f t="shared" si="16"/>
        <v>0</v>
      </c>
      <c r="CV18" s="1546">
        <f t="shared" si="16"/>
        <v>0</v>
      </c>
      <c r="CW18" s="1546">
        <f t="shared" si="16"/>
        <v>0</v>
      </c>
      <c r="CX18" s="1546">
        <f t="shared" si="16"/>
        <v>0</v>
      </c>
      <c r="CY18" s="1546">
        <f t="shared" si="16"/>
        <v>0</v>
      </c>
      <c r="CZ18" s="1546">
        <f t="shared" si="16"/>
        <v>0</v>
      </c>
      <c r="DA18" s="1546">
        <f t="shared" si="16"/>
        <v>0</v>
      </c>
      <c r="DB18" s="1546">
        <f t="shared" si="16"/>
        <v>0</v>
      </c>
      <c r="DC18" s="1546">
        <f t="shared" si="16"/>
        <v>0</v>
      </c>
      <c r="DD18" s="1546">
        <f t="shared" si="16"/>
        <v>0</v>
      </c>
      <c r="DE18" s="1546">
        <f t="shared" si="16"/>
        <v>0</v>
      </c>
      <c r="DF18" s="1546">
        <f t="shared" si="16"/>
        <v>0</v>
      </c>
      <c r="DG18" s="1546">
        <f t="shared" si="13"/>
        <v>1</v>
      </c>
      <c r="DI18" s="1546">
        <f t="shared" si="17"/>
        <v>0</v>
      </c>
      <c r="DJ18" s="1546">
        <f t="shared" si="17"/>
        <v>0</v>
      </c>
      <c r="DK18" s="1546">
        <f t="shared" si="17"/>
        <v>0</v>
      </c>
      <c r="DL18" s="1546">
        <f t="shared" si="17"/>
        <v>0</v>
      </c>
      <c r="DM18" s="1546">
        <f t="shared" si="17"/>
        <v>0</v>
      </c>
      <c r="DN18" s="1546">
        <f t="shared" si="17"/>
        <v>0</v>
      </c>
    </row>
    <row r="19" spans="1:118" x14ac:dyDescent="0.3">
      <c r="A19" s="285">
        <v>20</v>
      </c>
      <c r="B19" s="325">
        <f t="shared" si="0"/>
        <v>0</v>
      </c>
      <c r="C19" s="682"/>
      <c r="D19" s="683"/>
      <c r="E19" s="680"/>
      <c r="F19" s="713"/>
      <c r="G19" s="91" t="str">
        <f>IF($B19=0,"",VLOOKUP($B19,'Valve Data'!$1:$1048576,MATCH(G$1,'Valve Data'!$1:$1,0),0))</f>
        <v/>
      </c>
      <c r="H19" s="21" t="str">
        <f>IF($B19=0,"",VLOOKUP($B19,'Valve Data'!$1:$1048576,MATCH(H$1,'Valve Data'!$1:$1,0),0))</f>
        <v/>
      </c>
      <c r="I19" s="21" t="str">
        <f>IF($B19=0,"",VLOOKUP($B19,'Valve Data'!$1:$1048576,MATCH(I$1,'Valve Data'!$1:$1,0),0))</f>
        <v/>
      </c>
      <c r="J19" s="328" t="str">
        <f>IF($B19=0,"",VLOOKUP($B19,'Valve Data'!$1:$1048576,MATCH(J$1,'Valve Data'!$1:$1,0),0))</f>
        <v/>
      </c>
      <c r="K19" s="21" t="str">
        <f>IF($B19=0,"",VLOOKUP($B19,'Valve Data'!$1:$1048576,MATCH(K$1,'Valve Data'!$1:$1,0),0))</f>
        <v/>
      </c>
      <c r="L19" s="21" t="str">
        <f>IF($B19=0,"",VLOOKUP($B19,'Valve Data'!$1:$1048576,MATCH(L$1,'Valve Data'!$1:$1,0),0))</f>
        <v/>
      </c>
      <c r="M19" s="21" t="str">
        <f>IF($B19=0,"",VLOOKUP($B19,'Valve Data'!$1:$1048576,MATCH(M$1,'Valve Data'!$1:$1,0),0))</f>
        <v/>
      </c>
      <c r="N19" s="21" t="str">
        <f>IF($B19=0,"",VLOOKUP($B19,'Valve Data'!$1:$1048576,MATCH(N$1,'Valve Data'!$1:$1,0),0))</f>
        <v/>
      </c>
      <c r="O19" s="21" t="str">
        <f>IF($B19=0,"",VLOOKUP($B19,'Valve Data'!$1:$1048576,MATCH(O$1,'Valve Data'!$1:$1,0),0))</f>
        <v/>
      </c>
      <c r="P19" s="21" t="str">
        <f>IF($B19=0,"",VLOOKUP($B19,'Valve Data'!$1:$1048576,MATCH(P$1,'Valve Data'!$1:$1,0),0))</f>
        <v/>
      </c>
      <c r="Q19" s="21" t="str">
        <f>IF($B19=0,"",VLOOKUP($B19,'Valve Data'!$1:$1048576,MATCH(Q$1,'Valve Data'!$1:$1,0),0))</f>
        <v/>
      </c>
      <c r="R19" s="21" t="str">
        <f>IF($B19=0,"",VLOOKUP($B19,'Valve Data'!$1:$1048576,MATCH(R$1,'Valve Data'!$1:$1,0),0))</f>
        <v/>
      </c>
      <c r="S19" s="21" t="str">
        <f>IF($B19=0,"",VLOOKUP($B19,'Valve Data'!$1:$1048576,MATCH(S$1,'Valve Data'!$1:$1,0),0))</f>
        <v/>
      </c>
      <c r="T19" s="331" t="str">
        <f>IF($B19=0,"",VLOOKUP($B19,'Valve Data'!$1:$1048576,MATCH(T$1,'Valve Data'!$1:$1,0),0))</f>
        <v/>
      </c>
      <c r="U19" s="91" t="str">
        <f>IF($B19=0,"",VLOOKUP($B19,'Valve Data'!$1:$1048576,MATCH(U$1,'Valve Data'!$1:$1,0),0))</f>
        <v/>
      </c>
      <c r="V19" s="21" t="str">
        <f>IF($B19=0,"",VLOOKUP($B19,'Valve Data'!$1:$1048576,MATCH(V$1,'Valve Data'!$1:$1,0),0))</f>
        <v/>
      </c>
      <c r="W19" s="21" t="str">
        <f>IF($B19=0,"",VLOOKUP($B19,'Valve Data'!$1:$1048576,MATCH(W$1,'Valve Data'!$1:$1,0),0))</f>
        <v/>
      </c>
      <c r="X19" s="331" t="str">
        <f>IF($B19=0,"",VLOOKUP($B19,'Valve Data'!$1:$1048576,MATCH(X$1,'Valve Data'!$1:$1,0),0))</f>
        <v/>
      </c>
      <c r="Y19" s="865"/>
      <c r="Z19" s="683"/>
      <c r="AA19" s="680"/>
      <c r="AB19" s="680"/>
      <c r="AC19" s="680"/>
      <c r="AD19" s="680"/>
      <c r="AE19" s="868"/>
      <c r="AF19" s="866"/>
      <c r="AG19" s="680"/>
      <c r="AH19" s="680"/>
      <c r="AI19" s="680"/>
      <c r="AJ19" s="680"/>
      <c r="AK19" s="680"/>
      <c r="AL19" s="680"/>
      <c r="AM19" s="680"/>
      <c r="AN19" s="680"/>
      <c r="AO19" s="680"/>
      <c r="AP19" s="684"/>
      <c r="AQ19" s="684"/>
      <c r="AR19" s="684"/>
      <c r="AS19" s="684"/>
      <c r="AT19" s="684"/>
      <c r="AU19" s="684"/>
      <c r="AV19" s="271">
        <f t="shared" si="1"/>
        <v>0</v>
      </c>
      <c r="AW19" s="680"/>
      <c r="AX19" s="845">
        <f>IF(F19="Ball_valve",IFERROR(VLOOKUP(E19&amp;"."&amp;D19,'Ball Valves Chart'!$1:$1048576,MATCH(G19,'Ball Valves Chart'!$3:$3,0),0),0),0)+IF(F19="DBB",IFERROR(VLOOKUP(E19&amp;"."&amp;D19,'Ball Valves Chart'!$1:$1048576,MATCH(G19,'Ball Valves Chart'!$3:$3,0),0)*2,0),0)+IFERROR(VLOOKUP(D19&amp;"."&amp;F19,'Manual Valves Chart'!$1:$1048576,MATCH('Valve List'!G22,'Manual Valves Chart'!$1:$1,0),0),0)</f>
        <v>0</v>
      </c>
      <c r="AY19" s="846">
        <f t="shared" si="2"/>
        <v>0</v>
      </c>
      <c r="AZ19" s="854"/>
      <c r="BA19" s="856">
        <f t="shared" si="3"/>
        <v>0</v>
      </c>
      <c r="BC19" s="852">
        <f t="shared" si="4"/>
        <v>0</v>
      </c>
      <c r="BD19" s="398"/>
      <c r="BE19" s="1546">
        <f t="shared" si="14"/>
        <v>0</v>
      </c>
      <c r="BF19" s="1546">
        <f t="shared" si="14"/>
        <v>0</v>
      </c>
      <c r="BG19" s="1546">
        <f t="shared" si="14"/>
        <v>0</v>
      </c>
      <c r="BH19" s="1546">
        <f t="shared" si="14"/>
        <v>0</v>
      </c>
      <c r="BI19" s="1546">
        <f t="shared" si="14"/>
        <v>0</v>
      </c>
      <c r="BJ19" s="1546">
        <f t="shared" si="14"/>
        <v>0</v>
      </c>
      <c r="BK19" s="1546">
        <f t="shared" si="14"/>
        <v>0</v>
      </c>
      <c r="BL19" s="1546">
        <f t="shared" si="14"/>
        <v>0</v>
      </c>
      <c r="BM19" s="1546">
        <f t="shared" si="14"/>
        <v>0</v>
      </c>
      <c r="BN19" s="1546">
        <f t="shared" si="14"/>
        <v>0</v>
      </c>
      <c r="BO19" s="1546">
        <f t="shared" si="15"/>
        <v>0</v>
      </c>
      <c r="BP19" s="1546">
        <f t="shared" si="15"/>
        <v>0</v>
      </c>
      <c r="BQ19" s="1546">
        <f t="shared" si="15"/>
        <v>0</v>
      </c>
      <c r="BR19" s="1546">
        <f t="shared" si="15"/>
        <v>0</v>
      </c>
      <c r="BS19" s="1546">
        <f t="shared" si="15"/>
        <v>0</v>
      </c>
      <c r="BT19" s="1546">
        <f t="shared" si="15"/>
        <v>0</v>
      </c>
      <c r="BU19" s="1546">
        <f t="shared" si="15"/>
        <v>0</v>
      </c>
      <c r="BV19" s="1546">
        <f t="shared" si="15"/>
        <v>0</v>
      </c>
      <c r="BX19" s="1546">
        <f t="shared" si="12"/>
        <v>0</v>
      </c>
      <c r="BY19" s="1546">
        <f t="shared" si="12"/>
        <v>0</v>
      </c>
      <c r="BZ19" s="1546">
        <f t="shared" si="12"/>
        <v>0</v>
      </c>
      <c r="CA19" s="1546">
        <f t="shared" si="12"/>
        <v>0</v>
      </c>
      <c r="CB19" s="1546">
        <f t="shared" si="12"/>
        <v>0</v>
      </c>
      <c r="CC19" s="1546">
        <f t="shared" si="12"/>
        <v>0</v>
      </c>
      <c r="CD19" s="1546">
        <f t="shared" si="12"/>
        <v>0</v>
      </c>
      <c r="CE19" s="1546">
        <f t="shared" si="12"/>
        <v>0</v>
      </c>
      <c r="CF19" s="1546">
        <f t="shared" si="12"/>
        <v>0</v>
      </c>
      <c r="CG19" s="1546">
        <f t="shared" si="12"/>
        <v>0</v>
      </c>
      <c r="CH19" s="1546">
        <f t="shared" si="12"/>
        <v>0</v>
      </c>
      <c r="CI19" s="1546">
        <f t="shared" si="12"/>
        <v>0</v>
      </c>
      <c r="CJ19" s="1546">
        <f t="shared" si="12"/>
        <v>0</v>
      </c>
      <c r="CL19" s="1546">
        <f t="shared" si="8"/>
        <v>0</v>
      </c>
      <c r="CM19" s="1546">
        <f t="shared" si="8"/>
        <v>0</v>
      </c>
      <c r="CN19" s="1546">
        <f t="shared" si="8"/>
        <v>0</v>
      </c>
      <c r="CO19" s="1546">
        <f t="shared" si="8"/>
        <v>0</v>
      </c>
      <c r="CQ19" s="1546">
        <f t="shared" si="9"/>
        <v>0</v>
      </c>
      <c r="CR19" s="1546">
        <f t="shared" si="16"/>
        <v>0</v>
      </c>
      <c r="CS19" s="1546">
        <f t="shared" si="16"/>
        <v>0</v>
      </c>
      <c r="CT19" s="1546">
        <f t="shared" si="16"/>
        <v>0</v>
      </c>
      <c r="CU19" s="1546">
        <f t="shared" si="16"/>
        <v>0</v>
      </c>
      <c r="CV19" s="1546">
        <f t="shared" si="16"/>
        <v>0</v>
      </c>
      <c r="CW19" s="1546">
        <f t="shared" si="16"/>
        <v>0</v>
      </c>
      <c r="CX19" s="1546">
        <f t="shared" si="16"/>
        <v>0</v>
      </c>
      <c r="CY19" s="1546">
        <f t="shared" si="16"/>
        <v>0</v>
      </c>
      <c r="CZ19" s="1546">
        <f t="shared" si="16"/>
        <v>0</v>
      </c>
      <c r="DA19" s="1546">
        <f t="shared" si="16"/>
        <v>0</v>
      </c>
      <c r="DB19" s="1546">
        <f t="shared" si="16"/>
        <v>0</v>
      </c>
      <c r="DC19" s="1546">
        <f t="shared" si="16"/>
        <v>0</v>
      </c>
      <c r="DD19" s="1546">
        <f t="shared" si="16"/>
        <v>0</v>
      </c>
      <c r="DE19" s="1546">
        <f t="shared" si="16"/>
        <v>0</v>
      </c>
      <c r="DF19" s="1546">
        <f t="shared" si="16"/>
        <v>0</v>
      </c>
      <c r="DG19" s="1546">
        <f t="shared" si="13"/>
        <v>1</v>
      </c>
      <c r="DI19" s="1546">
        <f t="shared" si="17"/>
        <v>0</v>
      </c>
      <c r="DJ19" s="1546">
        <f t="shared" si="17"/>
        <v>0</v>
      </c>
      <c r="DK19" s="1546">
        <f t="shared" si="17"/>
        <v>0</v>
      </c>
      <c r="DL19" s="1546">
        <f t="shared" si="17"/>
        <v>0</v>
      </c>
      <c r="DM19" s="1546">
        <f t="shared" si="17"/>
        <v>0</v>
      </c>
      <c r="DN19" s="1546">
        <f t="shared" si="17"/>
        <v>0</v>
      </c>
    </row>
    <row r="20" spans="1:118" x14ac:dyDescent="0.3">
      <c r="A20" s="285">
        <v>18</v>
      </c>
      <c r="B20" s="325">
        <f t="shared" si="0"/>
        <v>0</v>
      </c>
      <c r="C20" s="682"/>
      <c r="D20" s="683"/>
      <c r="E20" s="680"/>
      <c r="F20" s="713"/>
      <c r="G20" s="91" t="str">
        <f>IF($B20=0,"",VLOOKUP($B20,'Valve Data'!$1:$1048576,MATCH(G$1,'Valve Data'!$1:$1,0),0))</f>
        <v/>
      </c>
      <c r="H20" s="21" t="str">
        <f>IF($B20=0,"",VLOOKUP($B20,'Valve Data'!$1:$1048576,MATCH(H$1,'Valve Data'!$1:$1,0),0))</f>
        <v/>
      </c>
      <c r="I20" s="21" t="str">
        <f>IF($B20=0,"",VLOOKUP($B20,'Valve Data'!$1:$1048576,MATCH(I$1,'Valve Data'!$1:$1,0),0))</f>
        <v/>
      </c>
      <c r="J20" s="328" t="str">
        <f>IF($B20=0,"",VLOOKUP($B20,'Valve Data'!$1:$1048576,MATCH(J$1,'Valve Data'!$1:$1,0),0))</f>
        <v/>
      </c>
      <c r="K20" s="21" t="str">
        <f>IF($B20=0,"",VLOOKUP($B20,'Valve Data'!$1:$1048576,MATCH(K$1,'Valve Data'!$1:$1,0),0))</f>
        <v/>
      </c>
      <c r="L20" s="21" t="str">
        <f>IF($B20=0,"",VLOOKUP($B20,'Valve Data'!$1:$1048576,MATCH(L$1,'Valve Data'!$1:$1,0),0))</f>
        <v/>
      </c>
      <c r="M20" s="21" t="str">
        <f>IF($B20=0,"",VLOOKUP($B20,'Valve Data'!$1:$1048576,MATCH(M$1,'Valve Data'!$1:$1,0),0))</f>
        <v/>
      </c>
      <c r="N20" s="21" t="str">
        <f>IF($B20=0,"",VLOOKUP($B20,'Valve Data'!$1:$1048576,MATCH(N$1,'Valve Data'!$1:$1,0),0))</f>
        <v/>
      </c>
      <c r="O20" s="21" t="str">
        <f>IF($B20=0,"",VLOOKUP($B20,'Valve Data'!$1:$1048576,MATCH(O$1,'Valve Data'!$1:$1,0),0))</f>
        <v/>
      </c>
      <c r="P20" s="21" t="str">
        <f>IF($B20=0,"",VLOOKUP($B20,'Valve Data'!$1:$1048576,MATCH(P$1,'Valve Data'!$1:$1,0),0))</f>
        <v/>
      </c>
      <c r="Q20" s="21" t="str">
        <f>IF($B20=0,"",VLOOKUP($B20,'Valve Data'!$1:$1048576,MATCH(Q$1,'Valve Data'!$1:$1,0),0))</f>
        <v/>
      </c>
      <c r="R20" s="21" t="str">
        <f>IF($B20=0,"",VLOOKUP($B20,'Valve Data'!$1:$1048576,MATCH(R$1,'Valve Data'!$1:$1,0),0))</f>
        <v/>
      </c>
      <c r="S20" s="21" t="str">
        <f>IF($B20=0,"",VLOOKUP($B20,'Valve Data'!$1:$1048576,MATCH(S$1,'Valve Data'!$1:$1,0),0))</f>
        <v/>
      </c>
      <c r="T20" s="331" t="str">
        <f>IF($B20=0,"",VLOOKUP($B20,'Valve Data'!$1:$1048576,MATCH(T$1,'Valve Data'!$1:$1,0),0))</f>
        <v/>
      </c>
      <c r="U20" s="91" t="str">
        <f>IF($B20=0,"",VLOOKUP($B20,'Valve Data'!$1:$1048576,MATCH(U$1,'Valve Data'!$1:$1,0),0))</f>
        <v/>
      </c>
      <c r="V20" s="21" t="str">
        <f>IF($B20=0,"",VLOOKUP($B20,'Valve Data'!$1:$1048576,MATCH(V$1,'Valve Data'!$1:$1,0),0))</f>
        <v/>
      </c>
      <c r="W20" s="21" t="str">
        <f>IF($B20=0,"",VLOOKUP($B20,'Valve Data'!$1:$1048576,MATCH(W$1,'Valve Data'!$1:$1,0),0))</f>
        <v/>
      </c>
      <c r="X20" s="331" t="str">
        <f>IF($B20=0,"",VLOOKUP($B20,'Valve Data'!$1:$1048576,MATCH(X$1,'Valve Data'!$1:$1,0),0))</f>
        <v/>
      </c>
      <c r="Y20" s="865"/>
      <c r="Z20" s="683"/>
      <c r="AA20" s="680"/>
      <c r="AB20" s="680"/>
      <c r="AC20" s="680"/>
      <c r="AD20" s="680"/>
      <c r="AE20" s="868"/>
      <c r="AF20" s="866"/>
      <c r="AG20" s="680"/>
      <c r="AH20" s="680"/>
      <c r="AI20" s="680"/>
      <c r="AJ20" s="680"/>
      <c r="AK20" s="680"/>
      <c r="AL20" s="680"/>
      <c r="AM20" s="680"/>
      <c r="AN20" s="680"/>
      <c r="AO20" s="680"/>
      <c r="AP20" s="684"/>
      <c r="AQ20" s="684"/>
      <c r="AR20" s="684"/>
      <c r="AS20" s="684"/>
      <c r="AT20" s="684"/>
      <c r="AU20" s="684"/>
      <c r="AV20" s="271">
        <f t="shared" si="1"/>
        <v>0</v>
      </c>
      <c r="AW20" s="680"/>
      <c r="AX20" s="845">
        <f>IF(F20="Ball_valve",IFERROR(VLOOKUP(E20&amp;"."&amp;D20,'Ball Valves Chart'!$1:$1048576,MATCH(G20,'Ball Valves Chart'!$3:$3,0),0),0),0)+IF(F20="DBB",IFERROR(VLOOKUP(E20&amp;"."&amp;D20,'Ball Valves Chart'!$1:$1048576,MATCH(G20,'Ball Valves Chart'!$3:$3,0),0)*2,0),0)+IFERROR(VLOOKUP(D20&amp;"."&amp;F20,'Manual Valves Chart'!$1:$1048576,MATCH('Valve List'!G20,'Manual Valves Chart'!$1:$1,0),0),0)</f>
        <v>0</v>
      </c>
      <c r="AY20" s="846">
        <f t="shared" si="2"/>
        <v>0</v>
      </c>
      <c r="AZ20" s="854"/>
      <c r="BA20" s="856">
        <f t="shared" si="3"/>
        <v>0</v>
      </c>
      <c r="BB20" s="286"/>
      <c r="BC20" s="852">
        <f t="shared" si="4"/>
        <v>0</v>
      </c>
      <c r="BD20" s="398"/>
      <c r="BE20" s="1546">
        <f t="shared" si="14"/>
        <v>0</v>
      </c>
      <c r="BF20" s="1546">
        <f t="shared" si="14"/>
        <v>0</v>
      </c>
      <c r="BG20" s="1546">
        <f t="shared" si="14"/>
        <v>0</v>
      </c>
      <c r="BH20" s="1546">
        <f t="shared" si="14"/>
        <v>0</v>
      </c>
      <c r="BI20" s="1546">
        <f t="shared" si="14"/>
        <v>0</v>
      </c>
      <c r="BJ20" s="1546">
        <f t="shared" si="14"/>
        <v>0</v>
      </c>
      <c r="BK20" s="1546">
        <f t="shared" si="14"/>
        <v>0</v>
      </c>
      <c r="BL20" s="1546">
        <f t="shared" si="14"/>
        <v>0</v>
      </c>
      <c r="BM20" s="1546">
        <f t="shared" si="14"/>
        <v>0</v>
      </c>
      <c r="BN20" s="1546">
        <f t="shared" si="14"/>
        <v>0</v>
      </c>
      <c r="BO20" s="1546">
        <f t="shared" si="15"/>
        <v>0</v>
      </c>
      <c r="BP20" s="1546">
        <f t="shared" si="15"/>
        <v>0</v>
      </c>
      <c r="BQ20" s="1546">
        <f t="shared" si="15"/>
        <v>0</v>
      </c>
      <c r="BR20" s="1546">
        <f t="shared" si="15"/>
        <v>0</v>
      </c>
      <c r="BS20" s="1546">
        <f t="shared" si="15"/>
        <v>0</v>
      </c>
      <c r="BT20" s="1546">
        <f t="shared" si="15"/>
        <v>0</v>
      </c>
      <c r="BU20" s="1546">
        <f t="shared" si="15"/>
        <v>0</v>
      </c>
      <c r="BV20" s="1546">
        <f t="shared" si="15"/>
        <v>0</v>
      </c>
      <c r="BX20" s="1546">
        <f t="shared" si="12"/>
        <v>0</v>
      </c>
      <c r="BY20" s="1546">
        <f t="shared" si="12"/>
        <v>0</v>
      </c>
      <c r="BZ20" s="1546">
        <f t="shared" si="12"/>
        <v>0</v>
      </c>
      <c r="CA20" s="1546">
        <f t="shared" si="12"/>
        <v>0</v>
      </c>
      <c r="CB20" s="1546">
        <f t="shared" si="12"/>
        <v>0</v>
      </c>
      <c r="CC20" s="1546">
        <f t="shared" si="12"/>
        <v>0</v>
      </c>
      <c r="CD20" s="1546">
        <f t="shared" si="12"/>
        <v>0</v>
      </c>
      <c r="CE20" s="1546">
        <f t="shared" si="12"/>
        <v>0</v>
      </c>
      <c r="CF20" s="1546">
        <f t="shared" si="12"/>
        <v>0</v>
      </c>
      <c r="CG20" s="1546">
        <f t="shared" si="12"/>
        <v>0</v>
      </c>
      <c r="CH20" s="1546">
        <f t="shared" si="12"/>
        <v>0</v>
      </c>
      <c r="CI20" s="1546">
        <f t="shared" si="12"/>
        <v>0</v>
      </c>
      <c r="CJ20" s="1546">
        <f t="shared" si="12"/>
        <v>0</v>
      </c>
      <c r="CL20" s="1546">
        <f t="shared" si="8"/>
        <v>0</v>
      </c>
      <c r="CM20" s="1546">
        <f t="shared" si="8"/>
        <v>0</v>
      </c>
      <c r="CN20" s="1546">
        <f t="shared" si="8"/>
        <v>0</v>
      </c>
      <c r="CO20" s="1546">
        <f t="shared" si="8"/>
        <v>0</v>
      </c>
      <c r="CQ20" s="1546">
        <f t="shared" si="9"/>
        <v>0</v>
      </c>
      <c r="CR20" s="1546">
        <f t="shared" si="16"/>
        <v>0</v>
      </c>
      <c r="CS20" s="1546">
        <f t="shared" si="16"/>
        <v>0</v>
      </c>
      <c r="CT20" s="1546">
        <f t="shared" si="16"/>
        <v>0</v>
      </c>
      <c r="CU20" s="1546">
        <f t="shared" si="16"/>
        <v>0</v>
      </c>
      <c r="CV20" s="1546">
        <f t="shared" si="16"/>
        <v>0</v>
      </c>
      <c r="CW20" s="1546">
        <f t="shared" si="16"/>
        <v>0</v>
      </c>
      <c r="CX20" s="1546">
        <f t="shared" si="16"/>
        <v>0</v>
      </c>
      <c r="CY20" s="1546">
        <f t="shared" si="16"/>
        <v>0</v>
      </c>
      <c r="CZ20" s="1546">
        <f t="shared" si="16"/>
        <v>0</v>
      </c>
      <c r="DA20" s="1546">
        <f t="shared" si="16"/>
        <v>0</v>
      </c>
      <c r="DB20" s="1546">
        <f t="shared" si="16"/>
        <v>0</v>
      </c>
      <c r="DC20" s="1546">
        <f t="shared" si="16"/>
        <v>0</v>
      </c>
      <c r="DD20" s="1546">
        <f t="shared" si="16"/>
        <v>0</v>
      </c>
      <c r="DE20" s="1546">
        <f t="shared" si="16"/>
        <v>0</v>
      </c>
      <c r="DF20" s="1546">
        <f t="shared" si="16"/>
        <v>0</v>
      </c>
      <c r="DG20" s="1546">
        <f t="shared" si="13"/>
        <v>1</v>
      </c>
      <c r="DI20" s="1546">
        <f t="shared" si="17"/>
        <v>0</v>
      </c>
      <c r="DJ20" s="1546">
        <f t="shared" si="17"/>
        <v>0</v>
      </c>
      <c r="DK20" s="1546">
        <f t="shared" si="17"/>
        <v>0</v>
      </c>
      <c r="DL20" s="1546">
        <f t="shared" si="17"/>
        <v>0</v>
      </c>
      <c r="DM20" s="1546">
        <f t="shared" si="17"/>
        <v>0</v>
      </c>
      <c r="DN20" s="1546">
        <f t="shared" si="17"/>
        <v>0</v>
      </c>
    </row>
    <row r="21" spans="1:118" x14ac:dyDescent="0.3">
      <c r="A21" s="285">
        <v>21</v>
      </c>
      <c r="B21" s="325">
        <f t="shared" si="0"/>
        <v>0</v>
      </c>
      <c r="C21" s="682"/>
      <c r="D21" s="683"/>
      <c r="E21" s="680"/>
      <c r="F21" s="713"/>
      <c r="G21" s="91" t="str">
        <f>IF($B21=0,"",VLOOKUP($B21,'Valve Data'!$1:$1048576,MATCH(G$1,'Valve Data'!$1:$1,0),0))</f>
        <v/>
      </c>
      <c r="H21" s="21" t="str">
        <f>IF($B21=0,"",VLOOKUP($B21,'Valve Data'!$1:$1048576,MATCH(H$1,'Valve Data'!$1:$1,0),0))</f>
        <v/>
      </c>
      <c r="I21" s="21" t="str">
        <f>IF($B21=0,"",VLOOKUP($B21,'Valve Data'!$1:$1048576,MATCH(I$1,'Valve Data'!$1:$1,0),0))</f>
        <v/>
      </c>
      <c r="J21" s="328" t="str">
        <f>IF($B21=0,"",VLOOKUP($B21,'Valve Data'!$1:$1048576,MATCH(J$1,'Valve Data'!$1:$1,0),0))</f>
        <v/>
      </c>
      <c r="K21" s="21" t="str">
        <f>IF($B21=0,"",VLOOKUP($B21,'Valve Data'!$1:$1048576,MATCH(K$1,'Valve Data'!$1:$1,0),0))</f>
        <v/>
      </c>
      <c r="L21" s="21" t="str">
        <f>IF($B21=0,"",VLOOKUP($B21,'Valve Data'!$1:$1048576,MATCH(L$1,'Valve Data'!$1:$1,0),0))</f>
        <v/>
      </c>
      <c r="M21" s="21" t="str">
        <f>IF($B21=0,"",VLOOKUP($B21,'Valve Data'!$1:$1048576,MATCH(M$1,'Valve Data'!$1:$1,0),0))</f>
        <v/>
      </c>
      <c r="N21" s="21" t="str">
        <f>IF($B21=0,"",VLOOKUP($B21,'Valve Data'!$1:$1048576,MATCH(N$1,'Valve Data'!$1:$1,0),0))</f>
        <v/>
      </c>
      <c r="O21" s="21" t="str">
        <f>IF($B21=0,"",VLOOKUP($B21,'Valve Data'!$1:$1048576,MATCH(O$1,'Valve Data'!$1:$1,0),0))</f>
        <v/>
      </c>
      <c r="P21" s="21" t="str">
        <f>IF($B21=0,"",VLOOKUP($B21,'Valve Data'!$1:$1048576,MATCH(P$1,'Valve Data'!$1:$1,0),0))</f>
        <v/>
      </c>
      <c r="Q21" s="21" t="str">
        <f>IF($B21=0,"",VLOOKUP($B21,'Valve Data'!$1:$1048576,MATCH(Q$1,'Valve Data'!$1:$1,0),0))</f>
        <v/>
      </c>
      <c r="R21" s="21" t="str">
        <f>IF($B21=0,"",VLOOKUP($B21,'Valve Data'!$1:$1048576,MATCH(R$1,'Valve Data'!$1:$1,0),0))</f>
        <v/>
      </c>
      <c r="S21" s="21" t="str">
        <f>IF($B21=0,"",VLOOKUP($B21,'Valve Data'!$1:$1048576,MATCH(S$1,'Valve Data'!$1:$1,0),0))</f>
        <v/>
      </c>
      <c r="T21" s="331" t="str">
        <f>IF($B21=0,"",VLOOKUP($B21,'Valve Data'!$1:$1048576,MATCH(T$1,'Valve Data'!$1:$1,0),0))</f>
        <v/>
      </c>
      <c r="U21" s="91" t="str">
        <f>IF($B21=0,"",VLOOKUP($B21,'Valve Data'!$1:$1048576,MATCH(U$1,'Valve Data'!$1:$1,0),0))</f>
        <v/>
      </c>
      <c r="V21" s="21" t="str">
        <f>IF($B21=0,"",VLOOKUP($B21,'Valve Data'!$1:$1048576,MATCH(V$1,'Valve Data'!$1:$1,0),0))</f>
        <v/>
      </c>
      <c r="W21" s="21" t="str">
        <f>IF($B21=0,"",VLOOKUP($B21,'Valve Data'!$1:$1048576,MATCH(W$1,'Valve Data'!$1:$1,0),0))</f>
        <v/>
      </c>
      <c r="X21" s="331" t="str">
        <f>IF($B21=0,"",VLOOKUP($B21,'Valve Data'!$1:$1048576,MATCH(X$1,'Valve Data'!$1:$1,0),0))</f>
        <v/>
      </c>
      <c r="Y21" s="865"/>
      <c r="Z21" s="683"/>
      <c r="AA21" s="680"/>
      <c r="AB21" s="680"/>
      <c r="AC21" s="680"/>
      <c r="AD21" s="680"/>
      <c r="AE21" s="868"/>
      <c r="AF21" s="866"/>
      <c r="AG21" s="680"/>
      <c r="AH21" s="680"/>
      <c r="AI21" s="680"/>
      <c r="AJ21" s="680"/>
      <c r="AK21" s="680"/>
      <c r="AL21" s="680"/>
      <c r="AM21" s="680"/>
      <c r="AN21" s="680"/>
      <c r="AO21" s="680"/>
      <c r="AP21" s="684"/>
      <c r="AQ21" s="684"/>
      <c r="AR21" s="684"/>
      <c r="AS21" s="684"/>
      <c r="AT21" s="684"/>
      <c r="AU21" s="684"/>
      <c r="AV21" s="271">
        <f t="shared" si="1"/>
        <v>0</v>
      </c>
      <c r="AW21" s="680"/>
      <c r="AX21" s="845">
        <f>IF(F21="Ball_valve",IFERROR(VLOOKUP(E21&amp;"."&amp;D21,'Ball Valves Chart'!$1:$1048576,MATCH(G21,'Ball Valves Chart'!$3:$3,0),0),0),0)+IF(F21="DBB",IFERROR(VLOOKUP(E21&amp;"."&amp;D21,'Ball Valves Chart'!$1:$1048576,MATCH(G21,'Ball Valves Chart'!$3:$3,0),0)*2,0),0)+IFERROR(VLOOKUP(D21&amp;"."&amp;F21,'Manual Valves Chart'!$1:$1048576,MATCH('Valve List'!G23,'Manual Valves Chart'!$1:$1,0),0),0)</f>
        <v>0</v>
      </c>
      <c r="AY21" s="846">
        <f t="shared" si="2"/>
        <v>0</v>
      </c>
      <c r="AZ21" s="854"/>
      <c r="BA21" s="856">
        <f t="shared" si="3"/>
        <v>0</v>
      </c>
      <c r="BC21" s="852">
        <f t="shared" si="4"/>
        <v>0</v>
      </c>
      <c r="BD21" s="398"/>
      <c r="BE21" s="1546">
        <f t="shared" si="14"/>
        <v>0</v>
      </c>
      <c r="BF21" s="1546">
        <f t="shared" si="14"/>
        <v>0</v>
      </c>
      <c r="BG21" s="1546">
        <f t="shared" si="14"/>
        <v>0</v>
      </c>
      <c r="BH21" s="1546">
        <f t="shared" si="14"/>
        <v>0</v>
      </c>
      <c r="BI21" s="1546">
        <f t="shared" si="14"/>
        <v>0</v>
      </c>
      <c r="BJ21" s="1546">
        <f t="shared" si="14"/>
        <v>0</v>
      </c>
      <c r="BK21" s="1546">
        <f t="shared" si="14"/>
        <v>0</v>
      </c>
      <c r="BL21" s="1546">
        <f t="shared" si="14"/>
        <v>0</v>
      </c>
      <c r="BM21" s="1546">
        <f t="shared" si="14"/>
        <v>0</v>
      </c>
      <c r="BN21" s="1546">
        <f t="shared" si="14"/>
        <v>0</v>
      </c>
      <c r="BO21" s="1546">
        <f t="shared" si="15"/>
        <v>0</v>
      </c>
      <c r="BP21" s="1546">
        <f t="shared" si="15"/>
        <v>0</v>
      </c>
      <c r="BQ21" s="1546">
        <f t="shared" si="15"/>
        <v>0</v>
      </c>
      <c r="BR21" s="1546">
        <f t="shared" si="15"/>
        <v>0</v>
      </c>
      <c r="BS21" s="1546">
        <f t="shared" si="15"/>
        <v>0</v>
      </c>
      <c r="BT21" s="1546">
        <f t="shared" si="15"/>
        <v>0</v>
      </c>
      <c r="BU21" s="1546">
        <f t="shared" si="15"/>
        <v>0</v>
      </c>
      <c r="BV21" s="1546">
        <f t="shared" si="15"/>
        <v>0</v>
      </c>
      <c r="BX21" s="1546">
        <f t="shared" si="12"/>
        <v>0</v>
      </c>
      <c r="BY21" s="1546">
        <f t="shared" si="12"/>
        <v>0</v>
      </c>
      <c r="BZ21" s="1546">
        <f t="shared" si="12"/>
        <v>0</v>
      </c>
      <c r="CA21" s="1546">
        <f t="shared" si="12"/>
        <v>0</v>
      </c>
      <c r="CB21" s="1546">
        <f t="shared" si="12"/>
        <v>0</v>
      </c>
      <c r="CC21" s="1546">
        <f t="shared" si="12"/>
        <v>0</v>
      </c>
      <c r="CD21" s="1546">
        <f t="shared" si="12"/>
        <v>0</v>
      </c>
      <c r="CE21" s="1546">
        <f t="shared" si="12"/>
        <v>0</v>
      </c>
      <c r="CF21" s="1546">
        <f t="shared" si="12"/>
        <v>0</v>
      </c>
      <c r="CG21" s="1546">
        <f t="shared" si="12"/>
        <v>0</v>
      </c>
      <c r="CH21" s="1546">
        <f t="shared" si="12"/>
        <v>0</v>
      </c>
      <c r="CI21" s="1546">
        <f t="shared" si="12"/>
        <v>0</v>
      </c>
      <c r="CJ21" s="1546">
        <f t="shared" si="12"/>
        <v>0</v>
      </c>
      <c r="CL21" s="1546">
        <f t="shared" si="8"/>
        <v>0</v>
      </c>
      <c r="CM21" s="1546">
        <f t="shared" si="8"/>
        <v>0</v>
      </c>
      <c r="CN21" s="1546">
        <f t="shared" si="8"/>
        <v>0</v>
      </c>
      <c r="CO21" s="1546">
        <f t="shared" si="8"/>
        <v>0</v>
      </c>
      <c r="CQ21" s="1546">
        <f t="shared" si="9"/>
        <v>0</v>
      </c>
      <c r="CR21" s="1546">
        <f t="shared" si="16"/>
        <v>0</v>
      </c>
      <c r="CS21" s="1546">
        <f t="shared" si="16"/>
        <v>0</v>
      </c>
      <c r="CT21" s="1546">
        <f t="shared" si="16"/>
        <v>0</v>
      </c>
      <c r="CU21" s="1546">
        <f t="shared" si="16"/>
        <v>0</v>
      </c>
      <c r="CV21" s="1546">
        <f t="shared" si="16"/>
        <v>0</v>
      </c>
      <c r="CW21" s="1546">
        <f t="shared" si="16"/>
        <v>0</v>
      </c>
      <c r="CX21" s="1546">
        <f t="shared" si="16"/>
        <v>0</v>
      </c>
      <c r="CY21" s="1546">
        <f t="shared" si="16"/>
        <v>0</v>
      </c>
      <c r="CZ21" s="1546">
        <f t="shared" si="16"/>
        <v>0</v>
      </c>
      <c r="DA21" s="1546">
        <f t="shared" si="16"/>
        <v>0</v>
      </c>
      <c r="DB21" s="1546">
        <f t="shared" si="16"/>
        <v>0</v>
      </c>
      <c r="DC21" s="1546">
        <f t="shared" si="16"/>
        <v>0</v>
      </c>
      <c r="DD21" s="1546">
        <f t="shared" si="16"/>
        <v>0</v>
      </c>
      <c r="DE21" s="1546">
        <f t="shared" si="16"/>
        <v>0</v>
      </c>
      <c r="DF21" s="1546">
        <f t="shared" si="16"/>
        <v>0</v>
      </c>
      <c r="DG21" s="1546">
        <f t="shared" si="13"/>
        <v>1</v>
      </c>
      <c r="DI21" s="1546">
        <f t="shared" si="17"/>
        <v>0</v>
      </c>
      <c r="DJ21" s="1546">
        <f t="shared" si="17"/>
        <v>0</v>
      </c>
      <c r="DK21" s="1546">
        <f t="shared" si="17"/>
        <v>0</v>
      </c>
      <c r="DL21" s="1546">
        <f t="shared" si="17"/>
        <v>0</v>
      </c>
      <c r="DM21" s="1546">
        <f t="shared" si="17"/>
        <v>0</v>
      </c>
      <c r="DN21" s="1546">
        <f t="shared" si="17"/>
        <v>0</v>
      </c>
    </row>
    <row r="22" spans="1:118" x14ac:dyDescent="0.3">
      <c r="A22" s="285">
        <v>24</v>
      </c>
      <c r="B22" s="325">
        <f t="shared" si="0"/>
        <v>0</v>
      </c>
      <c r="C22" s="682"/>
      <c r="D22" s="683"/>
      <c r="E22" s="680"/>
      <c r="F22" s="713"/>
      <c r="G22" s="91" t="str">
        <f>IF($B22=0,"",VLOOKUP($B22,'Valve Data'!$1:$1048576,MATCH(G$1,'Valve Data'!$1:$1,0),0))</f>
        <v/>
      </c>
      <c r="H22" s="21" t="str">
        <f>IF($B22=0,"",VLOOKUP($B22,'Valve Data'!$1:$1048576,MATCH(H$1,'Valve Data'!$1:$1,0),0))</f>
        <v/>
      </c>
      <c r="I22" s="21" t="str">
        <f>IF($B22=0,"",VLOOKUP($B22,'Valve Data'!$1:$1048576,MATCH(I$1,'Valve Data'!$1:$1,0),0))</f>
        <v/>
      </c>
      <c r="J22" s="328" t="str">
        <f>IF($B22=0,"",VLOOKUP($B22,'Valve Data'!$1:$1048576,MATCH(J$1,'Valve Data'!$1:$1,0),0))</f>
        <v/>
      </c>
      <c r="K22" s="21" t="str">
        <f>IF($B22=0,"",VLOOKUP($B22,'Valve Data'!$1:$1048576,MATCH(K$1,'Valve Data'!$1:$1,0),0))</f>
        <v/>
      </c>
      <c r="L22" s="21" t="str">
        <f>IF($B22=0,"",VLOOKUP($B22,'Valve Data'!$1:$1048576,MATCH(L$1,'Valve Data'!$1:$1,0),0))</f>
        <v/>
      </c>
      <c r="M22" s="21" t="str">
        <f>IF($B22=0,"",VLOOKUP($B22,'Valve Data'!$1:$1048576,MATCH(M$1,'Valve Data'!$1:$1,0),0))</f>
        <v/>
      </c>
      <c r="N22" s="21" t="str">
        <f>IF($B22=0,"",VLOOKUP($B22,'Valve Data'!$1:$1048576,MATCH(N$1,'Valve Data'!$1:$1,0),0))</f>
        <v/>
      </c>
      <c r="O22" s="21" t="str">
        <f>IF($B22=0,"",VLOOKUP($B22,'Valve Data'!$1:$1048576,MATCH(O$1,'Valve Data'!$1:$1,0),0))</f>
        <v/>
      </c>
      <c r="P22" s="21" t="str">
        <f>IF($B22=0,"",VLOOKUP($B22,'Valve Data'!$1:$1048576,MATCH(P$1,'Valve Data'!$1:$1,0),0))</f>
        <v/>
      </c>
      <c r="Q22" s="21" t="str">
        <f>IF($B22=0,"",VLOOKUP($B22,'Valve Data'!$1:$1048576,MATCH(Q$1,'Valve Data'!$1:$1,0),0))</f>
        <v/>
      </c>
      <c r="R22" s="21" t="str">
        <f>IF($B22=0,"",VLOOKUP($B22,'Valve Data'!$1:$1048576,MATCH(R$1,'Valve Data'!$1:$1,0),0))</f>
        <v/>
      </c>
      <c r="S22" s="21" t="str">
        <f>IF($B22=0,"",VLOOKUP($B22,'Valve Data'!$1:$1048576,MATCH(S$1,'Valve Data'!$1:$1,0),0))</f>
        <v/>
      </c>
      <c r="T22" s="331" t="str">
        <f>IF($B22=0,"",VLOOKUP($B22,'Valve Data'!$1:$1048576,MATCH(T$1,'Valve Data'!$1:$1,0),0))</f>
        <v/>
      </c>
      <c r="U22" s="91" t="str">
        <f>IF($B22=0,"",VLOOKUP($B22,'Valve Data'!$1:$1048576,MATCH(U$1,'Valve Data'!$1:$1,0),0))</f>
        <v/>
      </c>
      <c r="V22" s="21" t="str">
        <f>IF($B22=0,"",VLOOKUP($B22,'Valve Data'!$1:$1048576,MATCH(V$1,'Valve Data'!$1:$1,0),0))</f>
        <v/>
      </c>
      <c r="W22" s="21" t="str">
        <f>IF($B22=0,"",VLOOKUP($B22,'Valve Data'!$1:$1048576,MATCH(W$1,'Valve Data'!$1:$1,0),0))</f>
        <v/>
      </c>
      <c r="X22" s="331" t="str">
        <f>IF($B22=0,"",VLOOKUP($B22,'Valve Data'!$1:$1048576,MATCH(X$1,'Valve Data'!$1:$1,0),0))</f>
        <v/>
      </c>
      <c r="Y22" s="865"/>
      <c r="Z22" s="683"/>
      <c r="AA22" s="680"/>
      <c r="AB22" s="680"/>
      <c r="AC22" s="680"/>
      <c r="AD22" s="680"/>
      <c r="AE22" s="868"/>
      <c r="AF22" s="866"/>
      <c r="AG22" s="680"/>
      <c r="AH22" s="680"/>
      <c r="AI22" s="680"/>
      <c r="AJ22" s="680"/>
      <c r="AK22" s="680"/>
      <c r="AL22" s="680"/>
      <c r="AM22" s="680"/>
      <c r="AN22" s="680"/>
      <c r="AO22" s="680"/>
      <c r="AP22" s="684"/>
      <c r="AQ22" s="684"/>
      <c r="AR22" s="684"/>
      <c r="AS22" s="684"/>
      <c r="AT22" s="684"/>
      <c r="AU22" s="684"/>
      <c r="AV22" s="271">
        <f t="shared" si="1"/>
        <v>0</v>
      </c>
      <c r="AW22" s="680"/>
      <c r="AX22" s="845">
        <f>IF(F22="Ball_valve",IFERROR(VLOOKUP(E22&amp;"."&amp;D22,'Ball Valves Chart'!$1:$1048576,MATCH(G22,'Ball Valves Chart'!$3:$3,0),0),0),0)+IF(F22="DBB",IFERROR(VLOOKUP(E22&amp;"."&amp;D22,'Ball Valves Chart'!$1:$1048576,MATCH(G22,'Ball Valves Chart'!$3:$3,0),0)*2,0),0)+IFERROR(VLOOKUP(D22&amp;"."&amp;F22,'Manual Valves Chart'!$1:$1048576,MATCH('Valve List'!G26,'Manual Valves Chart'!$1:$1,0),0),0)</f>
        <v>0</v>
      </c>
      <c r="AY22" s="846">
        <f t="shared" si="2"/>
        <v>0</v>
      </c>
      <c r="AZ22" s="854"/>
      <c r="BA22" s="856">
        <f t="shared" si="3"/>
        <v>0</v>
      </c>
      <c r="BB22" s="286"/>
      <c r="BC22" s="852">
        <f t="shared" si="4"/>
        <v>0</v>
      </c>
      <c r="BD22" s="398"/>
      <c r="BE22" s="1546">
        <f t="shared" si="14"/>
        <v>0</v>
      </c>
      <c r="BF22" s="1546">
        <f t="shared" si="14"/>
        <v>0</v>
      </c>
      <c r="BG22" s="1546">
        <f t="shared" si="14"/>
        <v>0</v>
      </c>
      <c r="BH22" s="1546">
        <f t="shared" si="14"/>
        <v>0</v>
      </c>
      <c r="BI22" s="1546">
        <f t="shared" si="14"/>
        <v>0</v>
      </c>
      <c r="BJ22" s="1546">
        <f t="shared" si="14"/>
        <v>0</v>
      </c>
      <c r="BK22" s="1546">
        <f t="shared" si="14"/>
        <v>0</v>
      </c>
      <c r="BL22" s="1546">
        <f t="shared" si="14"/>
        <v>0</v>
      </c>
      <c r="BM22" s="1546">
        <f t="shared" si="14"/>
        <v>0</v>
      </c>
      <c r="BN22" s="1546">
        <f t="shared" si="14"/>
        <v>0</v>
      </c>
      <c r="BO22" s="1546">
        <f t="shared" si="15"/>
        <v>0</v>
      </c>
      <c r="BP22" s="1546">
        <f t="shared" si="15"/>
        <v>0</v>
      </c>
      <c r="BQ22" s="1546">
        <f t="shared" si="15"/>
        <v>0</v>
      </c>
      <c r="BR22" s="1546">
        <f t="shared" si="15"/>
        <v>0</v>
      </c>
      <c r="BS22" s="1546">
        <f t="shared" si="15"/>
        <v>0</v>
      </c>
      <c r="BT22" s="1546">
        <f t="shared" si="15"/>
        <v>0</v>
      </c>
      <c r="BU22" s="1546">
        <f t="shared" si="15"/>
        <v>0</v>
      </c>
      <c r="BV22" s="1546">
        <f t="shared" si="15"/>
        <v>0</v>
      </c>
      <c r="BX22" s="1546">
        <f t="shared" si="12"/>
        <v>0</v>
      </c>
      <c r="BY22" s="1546">
        <f t="shared" si="12"/>
        <v>0</v>
      </c>
      <c r="BZ22" s="1546">
        <f t="shared" si="12"/>
        <v>0</v>
      </c>
      <c r="CA22" s="1546">
        <f t="shared" si="12"/>
        <v>0</v>
      </c>
      <c r="CB22" s="1546">
        <f t="shared" si="12"/>
        <v>0</v>
      </c>
      <c r="CC22" s="1546">
        <f t="shared" si="12"/>
        <v>0</v>
      </c>
      <c r="CD22" s="1546">
        <f t="shared" si="12"/>
        <v>0</v>
      </c>
      <c r="CE22" s="1546">
        <f t="shared" si="12"/>
        <v>0</v>
      </c>
      <c r="CF22" s="1546">
        <f t="shared" si="12"/>
        <v>0</v>
      </c>
      <c r="CG22" s="1546">
        <f t="shared" si="12"/>
        <v>0</v>
      </c>
      <c r="CH22" s="1546">
        <f t="shared" si="12"/>
        <v>0</v>
      </c>
      <c r="CI22" s="1546">
        <f t="shared" si="12"/>
        <v>0</v>
      </c>
      <c r="CJ22" s="1546">
        <f t="shared" si="12"/>
        <v>0</v>
      </c>
      <c r="CL22" s="1546">
        <f t="shared" si="8"/>
        <v>0</v>
      </c>
      <c r="CM22" s="1546">
        <f t="shared" si="8"/>
        <v>0</v>
      </c>
      <c r="CN22" s="1546">
        <f t="shared" si="8"/>
        <v>0</v>
      </c>
      <c r="CO22" s="1546">
        <f t="shared" si="8"/>
        <v>0</v>
      </c>
      <c r="CQ22" s="1546">
        <f t="shared" si="9"/>
        <v>0</v>
      </c>
      <c r="CR22" s="1546">
        <f t="shared" si="16"/>
        <v>0</v>
      </c>
      <c r="CS22" s="1546">
        <f t="shared" si="16"/>
        <v>0</v>
      </c>
      <c r="CT22" s="1546">
        <f t="shared" si="16"/>
        <v>0</v>
      </c>
      <c r="CU22" s="1546">
        <f t="shared" si="16"/>
        <v>0</v>
      </c>
      <c r="CV22" s="1546">
        <f t="shared" si="16"/>
        <v>0</v>
      </c>
      <c r="CW22" s="1546">
        <f t="shared" si="16"/>
        <v>0</v>
      </c>
      <c r="CX22" s="1546">
        <f t="shared" si="16"/>
        <v>0</v>
      </c>
      <c r="CY22" s="1546">
        <f t="shared" si="16"/>
        <v>0</v>
      </c>
      <c r="CZ22" s="1546">
        <f t="shared" si="16"/>
        <v>0</v>
      </c>
      <c r="DA22" s="1546">
        <f t="shared" si="16"/>
        <v>0</v>
      </c>
      <c r="DB22" s="1546">
        <f t="shared" si="16"/>
        <v>0</v>
      </c>
      <c r="DC22" s="1546">
        <f t="shared" si="16"/>
        <v>0</v>
      </c>
      <c r="DD22" s="1546">
        <f t="shared" si="16"/>
        <v>0</v>
      </c>
      <c r="DE22" s="1546">
        <f t="shared" si="16"/>
        <v>0</v>
      </c>
      <c r="DF22" s="1546">
        <f t="shared" si="16"/>
        <v>0</v>
      </c>
      <c r="DG22" s="1546">
        <f t="shared" si="13"/>
        <v>1</v>
      </c>
      <c r="DI22" s="1546">
        <f t="shared" si="17"/>
        <v>0</v>
      </c>
      <c r="DJ22" s="1546">
        <f t="shared" si="17"/>
        <v>0</v>
      </c>
      <c r="DK22" s="1546">
        <f t="shared" si="17"/>
        <v>0</v>
      </c>
      <c r="DL22" s="1546">
        <f t="shared" si="17"/>
        <v>0</v>
      </c>
      <c r="DM22" s="1546">
        <f t="shared" si="17"/>
        <v>0</v>
      </c>
      <c r="DN22" s="1546">
        <f t="shared" si="17"/>
        <v>0</v>
      </c>
    </row>
    <row r="23" spans="1:118" x14ac:dyDescent="0.3">
      <c r="A23" s="285">
        <v>25</v>
      </c>
      <c r="B23" s="325">
        <f t="shared" si="0"/>
        <v>0</v>
      </c>
      <c r="C23" s="682"/>
      <c r="D23" s="683"/>
      <c r="E23" s="680"/>
      <c r="F23" s="713"/>
      <c r="G23" s="91" t="str">
        <f>IF($B23=0,"",VLOOKUP($B23,'Valve Data'!$1:$1048576,MATCH(G$1,'Valve Data'!$1:$1,0),0))</f>
        <v/>
      </c>
      <c r="H23" s="21" t="str">
        <f>IF($B23=0,"",VLOOKUP($B23,'Valve Data'!$1:$1048576,MATCH(H$1,'Valve Data'!$1:$1,0),0))</f>
        <v/>
      </c>
      <c r="I23" s="21" t="str">
        <f>IF($B23=0,"",VLOOKUP($B23,'Valve Data'!$1:$1048576,MATCH(I$1,'Valve Data'!$1:$1,0),0))</f>
        <v/>
      </c>
      <c r="J23" s="328" t="str">
        <f>IF($B23=0,"",VLOOKUP($B23,'Valve Data'!$1:$1048576,MATCH(J$1,'Valve Data'!$1:$1,0),0))</f>
        <v/>
      </c>
      <c r="K23" s="21" t="str">
        <f>IF($B23=0,"",VLOOKUP($B23,'Valve Data'!$1:$1048576,MATCH(K$1,'Valve Data'!$1:$1,0),0))</f>
        <v/>
      </c>
      <c r="L23" s="21" t="str">
        <f>IF($B23=0,"",VLOOKUP($B23,'Valve Data'!$1:$1048576,MATCH(L$1,'Valve Data'!$1:$1,0),0))</f>
        <v/>
      </c>
      <c r="M23" s="21" t="str">
        <f>IF($B23=0,"",VLOOKUP($B23,'Valve Data'!$1:$1048576,MATCH(M$1,'Valve Data'!$1:$1,0),0))</f>
        <v/>
      </c>
      <c r="N23" s="21" t="str">
        <f>IF($B23=0,"",VLOOKUP($B23,'Valve Data'!$1:$1048576,MATCH(N$1,'Valve Data'!$1:$1,0),0))</f>
        <v/>
      </c>
      <c r="O23" s="21" t="str">
        <f>IF($B23=0,"",VLOOKUP($B23,'Valve Data'!$1:$1048576,MATCH(O$1,'Valve Data'!$1:$1,0),0))</f>
        <v/>
      </c>
      <c r="P23" s="21" t="str">
        <f>IF($B23=0,"",VLOOKUP($B23,'Valve Data'!$1:$1048576,MATCH(P$1,'Valve Data'!$1:$1,0),0))</f>
        <v/>
      </c>
      <c r="Q23" s="21" t="str">
        <f>IF($B23=0,"",VLOOKUP($B23,'Valve Data'!$1:$1048576,MATCH(Q$1,'Valve Data'!$1:$1,0),0))</f>
        <v/>
      </c>
      <c r="R23" s="21" t="str">
        <f>IF($B23=0,"",VLOOKUP($B23,'Valve Data'!$1:$1048576,MATCH(R$1,'Valve Data'!$1:$1,0),0))</f>
        <v/>
      </c>
      <c r="S23" s="21" t="str">
        <f>IF($B23=0,"",VLOOKUP($B23,'Valve Data'!$1:$1048576,MATCH(S$1,'Valve Data'!$1:$1,0),0))</f>
        <v/>
      </c>
      <c r="T23" s="331" t="str">
        <f>IF($B23=0,"",VLOOKUP($B23,'Valve Data'!$1:$1048576,MATCH(T$1,'Valve Data'!$1:$1,0),0))</f>
        <v/>
      </c>
      <c r="U23" s="91" t="str">
        <f>IF($B23=0,"",VLOOKUP($B23,'Valve Data'!$1:$1048576,MATCH(U$1,'Valve Data'!$1:$1,0),0))</f>
        <v/>
      </c>
      <c r="V23" s="21" t="str">
        <f>IF($B23=0,"",VLOOKUP($B23,'Valve Data'!$1:$1048576,MATCH(V$1,'Valve Data'!$1:$1,0),0))</f>
        <v/>
      </c>
      <c r="W23" s="21" t="str">
        <f>IF($B23=0,"",VLOOKUP($B23,'Valve Data'!$1:$1048576,MATCH(W$1,'Valve Data'!$1:$1,0),0))</f>
        <v/>
      </c>
      <c r="X23" s="331" t="str">
        <f>IF($B23=0,"",VLOOKUP($B23,'Valve Data'!$1:$1048576,MATCH(X$1,'Valve Data'!$1:$1,0),0))</f>
        <v/>
      </c>
      <c r="Y23" s="865"/>
      <c r="Z23" s="683"/>
      <c r="AA23" s="680"/>
      <c r="AB23" s="680"/>
      <c r="AC23" s="680"/>
      <c r="AD23" s="680"/>
      <c r="AE23" s="868"/>
      <c r="AF23" s="866"/>
      <c r="AG23" s="680"/>
      <c r="AH23" s="680"/>
      <c r="AI23" s="680"/>
      <c r="AJ23" s="680"/>
      <c r="AK23" s="680"/>
      <c r="AL23" s="680"/>
      <c r="AM23" s="680"/>
      <c r="AN23" s="680"/>
      <c r="AO23" s="680"/>
      <c r="AP23" s="684"/>
      <c r="AQ23" s="684"/>
      <c r="AR23" s="684"/>
      <c r="AS23" s="684"/>
      <c r="AT23" s="684"/>
      <c r="AU23" s="684"/>
      <c r="AV23" s="271">
        <f t="shared" si="1"/>
        <v>0</v>
      </c>
      <c r="AW23" s="680"/>
      <c r="AX23" s="845">
        <f>IF(F23="Ball_valve",IFERROR(VLOOKUP(E23&amp;"."&amp;D23,'Ball Valves Chart'!$1:$1048576,MATCH(G23,'Ball Valves Chart'!$3:$3,0),0),0),0)+IF(F23="DBB",IFERROR(VLOOKUP(E23&amp;"."&amp;D23,'Ball Valves Chart'!$1:$1048576,MATCH(G23,'Ball Valves Chart'!$3:$3,0),0)*2,0),0)+IFERROR(VLOOKUP(D23&amp;"."&amp;F23,'Manual Valves Chart'!$1:$1048576,MATCH('Valve List'!G27,'Manual Valves Chart'!$1:$1,0),0),0)</f>
        <v>0</v>
      </c>
      <c r="AY23" s="846">
        <f t="shared" si="2"/>
        <v>0</v>
      </c>
      <c r="AZ23" s="854"/>
      <c r="BA23" s="856">
        <f t="shared" si="3"/>
        <v>0</v>
      </c>
      <c r="BB23" s="286"/>
      <c r="BC23" s="852">
        <f t="shared" si="4"/>
        <v>0</v>
      </c>
      <c r="BD23" s="398"/>
      <c r="BE23" s="1546">
        <f t="shared" ref="BE23:BN32" si="18">IF(BE$2=$D23,1,0)</f>
        <v>0</v>
      </c>
      <c r="BF23" s="1546">
        <f t="shared" si="18"/>
        <v>0</v>
      </c>
      <c r="BG23" s="1546">
        <f t="shared" si="18"/>
        <v>0</v>
      </c>
      <c r="BH23" s="1546">
        <f t="shared" si="18"/>
        <v>0</v>
      </c>
      <c r="BI23" s="1546">
        <f t="shared" si="18"/>
        <v>0</v>
      </c>
      <c r="BJ23" s="1546">
        <f t="shared" si="18"/>
        <v>0</v>
      </c>
      <c r="BK23" s="1546">
        <f t="shared" si="18"/>
        <v>0</v>
      </c>
      <c r="BL23" s="1546">
        <f t="shared" si="18"/>
        <v>0</v>
      </c>
      <c r="BM23" s="1546">
        <f t="shared" si="18"/>
        <v>0</v>
      </c>
      <c r="BN23" s="1546">
        <f t="shared" si="18"/>
        <v>0</v>
      </c>
      <c r="BO23" s="1546">
        <f t="shared" ref="BO23:BV32" si="19">IF(BO$2=$D23,1,0)</f>
        <v>0</v>
      </c>
      <c r="BP23" s="1546">
        <f t="shared" si="19"/>
        <v>0</v>
      </c>
      <c r="BQ23" s="1546">
        <f t="shared" si="19"/>
        <v>0</v>
      </c>
      <c r="BR23" s="1546">
        <f t="shared" si="19"/>
        <v>0</v>
      </c>
      <c r="BS23" s="1546">
        <f t="shared" si="19"/>
        <v>0</v>
      </c>
      <c r="BT23" s="1546">
        <f t="shared" si="19"/>
        <v>0</v>
      </c>
      <c r="BU23" s="1546">
        <f t="shared" si="19"/>
        <v>0</v>
      </c>
      <c r="BV23" s="1546">
        <f t="shared" si="19"/>
        <v>0</v>
      </c>
      <c r="BX23" s="1546">
        <f t="shared" si="12"/>
        <v>0</v>
      </c>
      <c r="BY23" s="1546">
        <f t="shared" si="12"/>
        <v>0</v>
      </c>
      <c r="BZ23" s="1546">
        <f t="shared" si="12"/>
        <v>0</v>
      </c>
      <c r="CA23" s="1546">
        <f t="shared" si="12"/>
        <v>0</v>
      </c>
      <c r="CB23" s="1546">
        <f t="shared" si="12"/>
        <v>0</v>
      </c>
      <c r="CC23" s="1546">
        <f t="shared" si="12"/>
        <v>0</v>
      </c>
      <c r="CD23" s="1546">
        <f t="shared" si="12"/>
        <v>0</v>
      </c>
      <c r="CE23" s="1546">
        <f t="shared" si="12"/>
        <v>0</v>
      </c>
      <c r="CF23" s="1546">
        <f t="shared" si="12"/>
        <v>0</v>
      </c>
      <c r="CG23" s="1546">
        <f t="shared" si="12"/>
        <v>0</v>
      </c>
      <c r="CH23" s="1546">
        <f t="shared" si="12"/>
        <v>0</v>
      </c>
      <c r="CI23" s="1546">
        <f t="shared" si="12"/>
        <v>0</v>
      </c>
      <c r="CJ23" s="1546">
        <f t="shared" si="12"/>
        <v>0</v>
      </c>
      <c r="CL23" s="1546">
        <f t="shared" ref="CL23:CO42" si="20">IF($L23=CL$2,1,0)</f>
        <v>0</v>
      </c>
      <c r="CM23" s="1546">
        <f t="shared" si="20"/>
        <v>0</v>
      </c>
      <c r="CN23" s="1546">
        <f t="shared" si="20"/>
        <v>0</v>
      </c>
      <c r="CO23" s="1546">
        <f t="shared" si="20"/>
        <v>0</v>
      </c>
      <c r="CQ23" s="1546">
        <f t="shared" si="9"/>
        <v>0</v>
      </c>
      <c r="CR23" s="1546">
        <f t="shared" ref="CR23:DF32" si="21">IF(CR$2=0,0,IF($AW23=CR$2,1,0))</f>
        <v>0</v>
      </c>
      <c r="CS23" s="1546">
        <f t="shared" si="21"/>
        <v>0</v>
      </c>
      <c r="CT23" s="1546">
        <f t="shared" si="21"/>
        <v>0</v>
      </c>
      <c r="CU23" s="1546">
        <f t="shared" si="21"/>
        <v>0</v>
      </c>
      <c r="CV23" s="1546">
        <f t="shared" si="21"/>
        <v>0</v>
      </c>
      <c r="CW23" s="1546">
        <f t="shared" si="21"/>
        <v>0</v>
      </c>
      <c r="CX23" s="1546">
        <f t="shared" si="21"/>
        <v>0</v>
      </c>
      <c r="CY23" s="1546">
        <f t="shared" si="21"/>
        <v>0</v>
      </c>
      <c r="CZ23" s="1546">
        <f t="shared" si="21"/>
        <v>0</v>
      </c>
      <c r="DA23" s="1546">
        <f t="shared" si="21"/>
        <v>0</v>
      </c>
      <c r="DB23" s="1546">
        <f t="shared" si="21"/>
        <v>0</v>
      </c>
      <c r="DC23" s="1546">
        <f t="shared" si="21"/>
        <v>0</v>
      </c>
      <c r="DD23" s="1546">
        <f t="shared" si="21"/>
        <v>0</v>
      </c>
      <c r="DE23" s="1546">
        <f t="shared" si="21"/>
        <v>0</v>
      </c>
      <c r="DF23" s="1546">
        <f t="shared" si="21"/>
        <v>0</v>
      </c>
      <c r="DG23" s="1546">
        <f t="shared" si="13"/>
        <v>1</v>
      </c>
      <c r="DI23" s="1546">
        <f t="shared" ref="DI23:DN32" si="22">IF($G23=DI$2,1,0)</f>
        <v>0</v>
      </c>
      <c r="DJ23" s="1546">
        <f t="shared" si="22"/>
        <v>0</v>
      </c>
      <c r="DK23" s="1546">
        <f t="shared" si="22"/>
        <v>0</v>
      </c>
      <c r="DL23" s="1546">
        <f t="shared" si="22"/>
        <v>0</v>
      </c>
      <c r="DM23" s="1546">
        <f t="shared" si="22"/>
        <v>0</v>
      </c>
      <c r="DN23" s="1546">
        <f t="shared" si="22"/>
        <v>0</v>
      </c>
    </row>
    <row r="24" spans="1:118" x14ac:dyDescent="0.3">
      <c r="A24" s="285">
        <v>26</v>
      </c>
      <c r="B24" s="325">
        <f t="shared" si="0"/>
        <v>0</v>
      </c>
      <c r="C24" s="682"/>
      <c r="D24" s="683"/>
      <c r="E24" s="680"/>
      <c r="F24" s="713"/>
      <c r="G24" s="91" t="str">
        <f>IF($B24=0,"",VLOOKUP($B24,'Valve Data'!$1:$1048576,MATCH(G$1,'Valve Data'!$1:$1,0),0))</f>
        <v/>
      </c>
      <c r="H24" s="21" t="str">
        <f>IF($B24=0,"",VLOOKUP($B24,'Valve Data'!$1:$1048576,MATCH(H$1,'Valve Data'!$1:$1,0),0))</f>
        <v/>
      </c>
      <c r="I24" s="21" t="str">
        <f>IF($B24=0,"",VLOOKUP($B24,'Valve Data'!$1:$1048576,MATCH(I$1,'Valve Data'!$1:$1,0),0))</f>
        <v/>
      </c>
      <c r="J24" s="328" t="str">
        <f>IF($B24=0,"",VLOOKUP($B24,'Valve Data'!$1:$1048576,MATCH(J$1,'Valve Data'!$1:$1,0),0))</f>
        <v/>
      </c>
      <c r="K24" s="21" t="str">
        <f>IF($B24=0,"",VLOOKUP($B24,'Valve Data'!$1:$1048576,MATCH(K$1,'Valve Data'!$1:$1,0),0))</f>
        <v/>
      </c>
      <c r="L24" s="21" t="str">
        <f>IF($B24=0,"",VLOOKUP($B24,'Valve Data'!$1:$1048576,MATCH(L$1,'Valve Data'!$1:$1,0),0))</f>
        <v/>
      </c>
      <c r="M24" s="21" t="str">
        <f>IF($B24=0,"",VLOOKUP($B24,'Valve Data'!$1:$1048576,MATCH(M$1,'Valve Data'!$1:$1,0),0))</f>
        <v/>
      </c>
      <c r="N24" s="21" t="str">
        <f>IF($B24=0,"",VLOOKUP($B24,'Valve Data'!$1:$1048576,MATCH(N$1,'Valve Data'!$1:$1,0),0))</f>
        <v/>
      </c>
      <c r="O24" s="21" t="str">
        <f>IF($B24=0,"",VLOOKUP($B24,'Valve Data'!$1:$1048576,MATCH(O$1,'Valve Data'!$1:$1,0),0))</f>
        <v/>
      </c>
      <c r="P24" s="21" t="str">
        <f>IF($B24=0,"",VLOOKUP($B24,'Valve Data'!$1:$1048576,MATCH(P$1,'Valve Data'!$1:$1,0),0))</f>
        <v/>
      </c>
      <c r="Q24" s="21" t="str">
        <f>IF($B24=0,"",VLOOKUP($B24,'Valve Data'!$1:$1048576,MATCH(Q$1,'Valve Data'!$1:$1,0),0))</f>
        <v/>
      </c>
      <c r="R24" s="21" t="str">
        <f>IF($B24=0,"",VLOOKUP($B24,'Valve Data'!$1:$1048576,MATCH(R$1,'Valve Data'!$1:$1,0),0))</f>
        <v/>
      </c>
      <c r="S24" s="21" t="str">
        <f>IF($B24=0,"",VLOOKUP($B24,'Valve Data'!$1:$1048576,MATCH(S$1,'Valve Data'!$1:$1,0),0))</f>
        <v/>
      </c>
      <c r="T24" s="331" t="str">
        <f>IF($B24=0,"",VLOOKUP($B24,'Valve Data'!$1:$1048576,MATCH(T$1,'Valve Data'!$1:$1,0),0))</f>
        <v/>
      </c>
      <c r="U24" s="91" t="str">
        <f>IF($B24=0,"",VLOOKUP($B24,'Valve Data'!$1:$1048576,MATCH(U$1,'Valve Data'!$1:$1,0),0))</f>
        <v/>
      </c>
      <c r="V24" s="21" t="str">
        <f>IF($B24=0,"",VLOOKUP($B24,'Valve Data'!$1:$1048576,MATCH(V$1,'Valve Data'!$1:$1,0),0))</f>
        <v/>
      </c>
      <c r="W24" s="21" t="str">
        <f>IF($B24=0,"",VLOOKUP($B24,'Valve Data'!$1:$1048576,MATCH(W$1,'Valve Data'!$1:$1,0),0))</f>
        <v/>
      </c>
      <c r="X24" s="331" t="str">
        <f>IF($B24=0,"",VLOOKUP($B24,'Valve Data'!$1:$1048576,MATCH(X$1,'Valve Data'!$1:$1,0),0))</f>
        <v/>
      </c>
      <c r="Y24" s="865"/>
      <c r="Z24" s="683"/>
      <c r="AA24" s="680"/>
      <c r="AB24" s="680"/>
      <c r="AC24" s="680"/>
      <c r="AD24" s="680"/>
      <c r="AE24" s="868"/>
      <c r="AF24" s="866"/>
      <c r="AG24" s="680"/>
      <c r="AH24" s="680"/>
      <c r="AI24" s="680"/>
      <c r="AJ24" s="680"/>
      <c r="AK24" s="680"/>
      <c r="AL24" s="680"/>
      <c r="AM24" s="680"/>
      <c r="AN24" s="680"/>
      <c r="AO24" s="680"/>
      <c r="AP24" s="684"/>
      <c r="AQ24" s="684"/>
      <c r="AR24" s="684"/>
      <c r="AS24" s="684"/>
      <c r="AT24" s="684"/>
      <c r="AU24" s="684"/>
      <c r="AV24" s="271">
        <f t="shared" si="1"/>
        <v>0</v>
      </c>
      <c r="AW24" s="680"/>
      <c r="AX24" s="845">
        <f>IF(F24="Ball_valve",IFERROR(VLOOKUP(E24&amp;"."&amp;D24,'Ball Valves Chart'!$1:$1048576,MATCH(G24,'Ball Valves Chart'!$3:$3,0),0),0),0)+IF(F24="DBB",IFERROR(VLOOKUP(E24&amp;"."&amp;D24,'Ball Valves Chart'!$1:$1048576,MATCH(G24,'Ball Valves Chart'!$3:$3,0),0)*2,0),0)+IFERROR(VLOOKUP(D24&amp;"."&amp;F24,'Manual Valves Chart'!$1:$1048576,MATCH('Valve List'!G28,'Manual Valves Chart'!$1:$1,0),0),0)</f>
        <v>0</v>
      </c>
      <c r="AY24" s="846">
        <f t="shared" si="2"/>
        <v>0</v>
      </c>
      <c r="AZ24" s="854"/>
      <c r="BA24" s="856">
        <f t="shared" si="3"/>
        <v>0</v>
      </c>
      <c r="BB24" s="286"/>
      <c r="BC24" s="852">
        <f t="shared" si="4"/>
        <v>0</v>
      </c>
      <c r="BD24" s="398"/>
      <c r="BE24" s="1546">
        <f t="shared" si="18"/>
        <v>0</v>
      </c>
      <c r="BF24" s="1546">
        <f t="shared" si="18"/>
        <v>0</v>
      </c>
      <c r="BG24" s="1546">
        <f t="shared" si="18"/>
        <v>0</v>
      </c>
      <c r="BH24" s="1546">
        <f t="shared" si="18"/>
        <v>0</v>
      </c>
      <c r="BI24" s="1546">
        <f t="shared" si="18"/>
        <v>0</v>
      </c>
      <c r="BJ24" s="1546">
        <f t="shared" si="18"/>
        <v>0</v>
      </c>
      <c r="BK24" s="1546">
        <f t="shared" si="18"/>
        <v>0</v>
      </c>
      <c r="BL24" s="1546">
        <f t="shared" si="18"/>
        <v>0</v>
      </c>
      <c r="BM24" s="1546">
        <f t="shared" si="18"/>
        <v>0</v>
      </c>
      <c r="BN24" s="1546">
        <f t="shared" si="18"/>
        <v>0</v>
      </c>
      <c r="BO24" s="1546">
        <f t="shared" si="19"/>
        <v>0</v>
      </c>
      <c r="BP24" s="1546">
        <f t="shared" si="19"/>
        <v>0</v>
      </c>
      <c r="BQ24" s="1546">
        <f t="shared" si="19"/>
        <v>0</v>
      </c>
      <c r="BR24" s="1546">
        <f t="shared" si="19"/>
        <v>0</v>
      </c>
      <c r="BS24" s="1546">
        <f t="shared" si="19"/>
        <v>0</v>
      </c>
      <c r="BT24" s="1546">
        <f t="shared" si="19"/>
        <v>0</v>
      </c>
      <c r="BU24" s="1546">
        <f t="shared" si="19"/>
        <v>0</v>
      </c>
      <c r="BV24" s="1546">
        <f t="shared" si="19"/>
        <v>0</v>
      </c>
      <c r="BX24" s="1546">
        <f t="shared" si="12"/>
        <v>0</v>
      </c>
      <c r="BY24" s="1546">
        <f t="shared" si="12"/>
        <v>0</v>
      </c>
      <c r="BZ24" s="1546">
        <f t="shared" si="12"/>
        <v>0</v>
      </c>
      <c r="CA24" s="1546">
        <f t="shared" si="12"/>
        <v>0</v>
      </c>
      <c r="CB24" s="1546">
        <f t="shared" si="12"/>
        <v>0</v>
      </c>
      <c r="CC24" s="1546">
        <f t="shared" si="12"/>
        <v>0</v>
      </c>
      <c r="CD24" s="1546">
        <f t="shared" si="12"/>
        <v>0</v>
      </c>
      <c r="CE24" s="1546">
        <f t="shared" si="12"/>
        <v>0</v>
      </c>
      <c r="CF24" s="1546">
        <f t="shared" si="12"/>
        <v>0</v>
      </c>
      <c r="CG24" s="1546">
        <f t="shared" si="12"/>
        <v>0</v>
      </c>
      <c r="CH24" s="1546">
        <f t="shared" si="12"/>
        <v>0</v>
      </c>
      <c r="CI24" s="1546">
        <f t="shared" si="12"/>
        <v>0</v>
      </c>
      <c r="CJ24" s="1546">
        <f t="shared" si="12"/>
        <v>0</v>
      </c>
      <c r="CL24" s="1546">
        <f t="shared" si="20"/>
        <v>0</v>
      </c>
      <c r="CM24" s="1546">
        <f t="shared" si="20"/>
        <v>0</v>
      </c>
      <c r="CN24" s="1546">
        <f t="shared" si="20"/>
        <v>0</v>
      </c>
      <c r="CO24" s="1546">
        <f t="shared" si="20"/>
        <v>0</v>
      </c>
      <c r="CQ24" s="1546">
        <f t="shared" si="9"/>
        <v>0</v>
      </c>
      <c r="CR24" s="1546">
        <f t="shared" si="21"/>
        <v>0</v>
      </c>
      <c r="CS24" s="1546">
        <f t="shared" si="21"/>
        <v>0</v>
      </c>
      <c r="CT24" s="1546">
        <f t="shared" si="21"/>
        <v>0</v>
      </c>
      <c r="CU24" s="1546">
        <f t="shared" si="21"/>
        <v>0</v>
      </c>
      <c r="CV24" s="1546">
        <f t="shared" si="21"/>
        <v>0</v>
      </c>
      <c r="CW24" s="1546">
        <f t="shared" si="21"/>
        <v>0</v>
      </c>
      <c r="CX24" s="1546">
        <f t="shared" si="21"/>
        <v>0</v>
      </c>
      <c r="CY24" s="1546">
        <f t="shared" si="21"/>
        <v>0</v>
      </c>
      <c r="CZ24" s="1546">
        <f t="shared" si="21"/>
        <v>0</v>
      </c>
      <c r="DA24" s="1546">
        <f t="shared" si="21"/>
        <v>0</v>
      </c>
      <c r="DB24" s="1546">
        <f t="shared" si="21"/>
        <v>0</v>
      </c>
      <c r="DC24" s="1546">
        <f t="shared" si="21"/>
        <v>0</v>
      </c>
      <c r="DD24" s="1546">
        <f t="shared" si="21"/>
        <v>0</v>
      </c>
      <c r="DE24" s="1546">
        <f t="shared" si="21"/>
        <v>0</v>
      </c>
      <c r="DF24" s="1546">
        <f t="shared" si="21"/>
        <v>0</v>
      </c>
      <c r="DG24" s="1546">
        <f t="shared" si="13"/>
        <v>1</v>
      </c>
      <c r="DI24" s="1546">
        <f t="shared" si="22"/>
        <v>0</v>
      </c>
      <c r="DJ24" s="1546">
        <f t="shared" si="22"/>
        <v>0</v>
      </c>
      <c r="DK24" s="1546">
        <f t="shared" si="22"/>
        <v>0</v>
      </c>
      <c r="DL24" s="1546">
        <f t="shared" si="22"/>
        <v>0</v>
      </c>
      <c r="DM24" s="1546">
        <f t="shared" si="22"/>
        <v>0</v>
      </c>
      <c r="DN24" s="1546">
        <f t="shared" si="22"/>
        <v>0</v>
      </c>
    </row>
    <row r="25" spans="1:118" x14ac:dyDescent="0.3">
      <c r="A25" s="285">
        <v>23</v>
      </c>
      <c r="B25" s="325">
        <f t="shared" si="0"/>
        <v>0</v>
      </c>
      <c r="C25" s="682"/>
      <c r="D25" s="683"/>
      <c r="E25" s="680"/>
      <c r="F25" s="713"/>
      <c r="G25" s="91" t="str">
        <f>IF($B25=0,"",VLOOKUP($B25,'Valve Data'!$1:$1048576,MATCH(G$1,'Valve Data'!$1:$1,0),0))</f>
        <v/>
      </c>
      <c r="H25" s="21" t="str">
        <f>IF($B25=0,"",VLOOKUP($B25,'Valve Data'!$1:$1048576,MATCH(H$1,'Valve Data'!$1:$1,0),0))</f>
        <v/>
      </c>
      <c r="I25" s="21" t="str">
        <f>IF($B25=0,"",VLOOKUP($B25,'Valve Data'!$1:$1048576,MATCH(I$1,'Valve Data'!$1:$1,0),0))</f>
        <v/>
      </c>
      <c r="J25" s="328" t="str">
        <f>IF($B25=0,"",VLOOKUP($B25,'Valve Data'!$1:$1048576,MATCH(J$1,'Valve Data'!$1:$1,0),0))</f>
        <v/>
      </c>
      <c r="K25" s="21" t="str">
        <f>IF($B25=0,"",VLOOKUP($B25,'Valve Data'!$1:$1048576,MATCH(K$1,'Valve Data'!$1:$1,0),0))</f>
        <v/>
      </c>
      <c r="L25" s="21" t="str">
        <f>IF($B25=0,"",VLOOKUP($B25,'Valve Data'!$1:$1048576,MATCH(L$1,'Valve Data'!$1:$1,0),0))</f>
        <v/>
      </c>
      <c r="M25" s="21" t="str">
        <f>IF($B25=0,"",VLOOKUP($B25,'Valve Data'!$1:$1048576,MATCH(M$1,'Valve Data'!$1:$1,0),0))</f>
        <v/>
      </c>
      <c r="N25" s="21" t="str">
        <f>IF($B25=0,"",VLOOKUP($B25,'Valve Data'!$1:$1048576,MATCH(N$1,'Valve Data'!$1:$1,0),0))</f>
        <v/>
      </c>
      <c r="O25" s="21" t="str">
        <f>IF($B25=0,"",VLOOKUP($B25,'Valve Data'!$1:$1048576,MATCH(O$1,'Valve Data'!$1:$1,0),0))</f>
        <v/>
      </c>
      <c r="P25" s="21" t="str">
        <f>IF($B25=0,"",VLOOKUP($B25,'Valve Data'!$1:$1048576,MATCH(P$1,'Valve Data'!$1:$1,0),0))</f>
        <v/>
      </c>
      <c r="Q25" s="21" t="str">
        <f>IF($B25=0,"",VLOOKUP($B25,'Valve Data'!$1:$1048576,MATCH(Q$1,'Valve Data'!$1:$1,0),0))</f>
        <v/>
      </c>
      <c r="R25" s="21" t="str">
        <f>IF($B25=0,"",VLOOKUP($B25,'Valve Data'!$1:$1048576,MATCH(R$1,'Valve Data'!$1:$1,0),0))</f>
        <v/>
      </c>
      <c r="S25" s="21" t="str">
        <f>IF($B25=0,"",VLOOKUP($B25,'Valve Data'!$1:$1048576,MATCH(S$1,'Valve Data'!$1:$1,0),0))</f>
        <v/>
      </c>
      <c r="T25" s="331" t="str">
        <f>IF($B25=0,"",VLOOKUP($B25,'Valve Data'!$1:$1048576,MATCH(T$1,'Valve Data'!$1:$1,0),0))</f>
        <v/>
      </c>
      <c r="U25" s="91" t="str">
        <f>IF($B25=0,"",VLOOKUP($B25,'Valve Data'!$1:$1048576,MATCH(U$1,'Valve Data'!$1:$1,0),0))</f>
        <v/>
      </c>
      <c r="V25" s="21" t="str">
        <f>IF($B25=0,"",VLOOKUP($B25,'Valve Data'!$1:$1048576,MATCH(V$1,'Valve Data'!$1:$1,0),0))</f>
        <v/>
      </c>
      <c r="W25" s="21" t="str">
        <f>IF($B25=0,"",VLOOKUP($B25,'Valve Data'!$1:$1048576,MATCH(W$1,'Valve Data'!$1:$1,0),0))</f>
        <v/>
      </c>
      <c r="X25" s="331" t="str">
        <f>IF($B25=0,"",VLOOKUP($B25,'Valve Data'!$1:$1048576,MATCH(X$1,'Valve Data'!$1:$1,0),0))</f>
        <v/>
      </c>
      <c r="Y25" s="865"/>
      <c r="Z25" s="683"/>
      <c r="AA25" s="680"/>
      <c r="AB25" s="680"/>
      <c r="AC25" s="680"/>
      <c r="AD25" s="680"/>
      <c r="AE25" s="868"/>
      <c r="AF25" s="866"/>
      <c r="AG25" s="680"/>
      <c r="AH25" s="680"/>
      <c r="AI25" s="680"/>
      <c r="AJ25" s="680"/>
      <c r="AK25" s="680"/>
      <c r="AL25" s="680"/>
      <c r="AM25" s="680"/>
      <c r="AN25" s="680"/>
      <c r="AO25" s="680"/>
      <c r="AP25" s="684"/>
      <c r="AQ25" s="684"/>
      <c r="AR25" s="684"/>
      <c r="AS25" s="684"/>
      <c r="AT25" s="684"/>
      <c r="AU25" s="684"/>
      <c r="AV25" s="271">
        <f t="shared" si="1"/>
        <v>0</v>
      </c>
      <c r="AW25" s="680"/>
      <c r="AX25" s="845">
        <f>IF(F25="Ball_valve",IFERROR(VLOOKUP(E25&amp;"."&amp;D25,'Ball Valves Chart'!$1:$1048576,MATCH(G25,'Ball Valves Chart'!$3:$3,0),0),0),0)+IF(F25="DBB",IFERROR(VLOOKUP(E25&amp;"."&amp;D25,'Ball Valves Chart'!$1:$1048576,MATCH(G25,'Ball Valves Chart'!$3:$3,0),0)*2,0),0)+IFERROR(VLOOKUP(D25&amp;"."&amp;F25,'Manual Valves Chart'!$1:$1048576,MATCH('Valve List'!G25,'Manual Valves Chart'!$1:$1,0),0),0)</f>
        <v>0</v>
      </c>
      <c r="AY25" s="846">
        <f t="shared" si="2"/>
        <v>0</v>
      </c>
      <c r="AZ25" s="854"/>
      <c r="BA25" s="856">
        <f t="shared" si="3"/>
        <v>0</v>
      </c>
      <c r="BB25" s="286"/>
      <c r="BC25" s="852">
        <f t="shared" si="4"/>
        <v>0</v>
      </c>
      <c r="BD25" s="398"/>
      <c r="BE25" s="1546">
        <f t="shared" si="18"/>
        <v>0</v>
      </c>
      <c r="BF25" s="1546">
        <f t="shared" si="18"/>
        <v>0</v>
      </c>
      <c r="BG25" s="1546">
        <f t="shared" si="18"/>
        <v>0</v>
      </c>
      <c r="BH25" s="1546">
        <f t="shared" si="18"/>
        <v>0</v>
      </c>
      <c r="BI25" s="1546">
        <f t="shared" si="18"/>
        <v>0</v>
      </c>
      <c r="BJ25" s="1546">
        <f t="shared" si="18"/>
        <v>0</v>
      </c>
      <c r="BK25" s="1546">
        <f t="shared" si="18"/>
        <v>0</v>
      </c>
      <c r="BL25" s="1546">
        <f t="shared" si="18"/>
        <v>0</v>
      </c>
      <c r="BM25" s="1546">
        <f t="shared" si="18"/>
        <v>0</v>
      </c>
      <c r="BN25" s="1546">
        <f t="shared" si="18"/>
        <v>0</v>
      </c>
      <c r="BO25" s="1546">
        <f t="shared" si="19"/>
        <v>0</v>
      </c>
      <c r="BP25" s="1546">
        <f t="shared" si="19"/>
        <v>0</v>
      </c>
      <c r="BQ25" s="1546">
        <f t="shared" si="19"/>
        <v>0</v>
      </c>
      <c r="BR25" s="1546">
        <f t="shared" si="19"/>
        <v>0</v>
      </c>
      <c r="BS25" s="1546">
        <f t="shared" si="19"/>
        <v>0</v>
      </c>
      <c r="BT25" s="1546">
        <f t="shared" si="19"/>
        <v>0</v>
      </c>
      <c r="BU25" s="1546">
        <f t="shared" si="19"/>
        <v>0</v>
      </c>
      <c r="BV25" s="1546">
        <f t="shared" si="19"/>
        <v>0</v>
      </c>
      <c r="BX25" s="1546">
        <f t="shared" si="12"/>
        <v>0</v>
      </c>
      <c r="BY25" s="1546">
        <f t="shared" si="12"/>
        <v>0</v>
      </c>
      <c r="BZ25" s="1546">
        <f t="shared" si="12"/>
        <v>0</v>
      </c>
      <c r="CA25" s="1546">
        <f t="shared" si="12"/>
        <v>0</v>
      </c>
      <c r="CB25" s="1546">
        <f t="shared" si="12"/>
        <v>0</v>
      </c>
      <c r="CC25" s="1546">
        <f t="shared" si="12"/>
        <v>0</v>
      </c>
      <c r="CD25" s="1546">
        <f t="shared" si="12"/>
        <v>0</v>
      </c>
      <c r="CE25" s="1546">
        <f t="shared" si="12"/>
        <v>0</v>
      </c>
      <c r="CF25" s="1546">
        <f t="shared" si="12"/>
        <v>0</v>
      </c>
      <c r="CG25" s="1546">
        <f t="shared" si="12"/>
        <v>0</v>
      </c>
      <c r="CH25" s="1546">
        <f t="shared" si="12"/>
        <v>0</v>
      </c>
      <c r="CI25" s="1546">
        <f t="shared" si="12"/>
        <v>0</v>
      </c>
      <c r="CJ25" s="1546">
        <f t="shared" si="12"/>
        <v>0</v>
      </c>
      <c r="CL25" s="1546">
        <f t="shared" si="20"/>
        <v>0</v>
      </c>
      <c r="CM25" s="1546">
        <f t="shared" si="20"/>
        <v>0</v>
      </c>
      <c r="CN25" s="1546">
        <f t="shared" si="20"/>
        <v>0</v>
      </c>
      <c r="CO25" s="1546">
        <f t="shared" si="20"/>
        <v>0</v>
      </c>
      <c r="CQ25" s="1546">
        <f t="shared" si="9"/>
        <v>0</v>
      </c>
      <c r="CR25" s="1546">
        <f t="shared" si="21"/>
        <v>0</v>
      </c>
      <c r="CS25" s="1546">
        <f t="shared" si="21"/>
        <v>0</v>
      </c>
      <c r="CT25" s="1546">
        <f t="shared" si="21"/>
        <v>0</v>
      </c>
      <c r="CU25" s="1546">
        <f t="shared" si="21"/>
        <v>0</v>
      </c>
      <c r="CV25" s="1546">
        <f t="shared" si="21"/>
        <v>0</v>
      </c>
      <c r="CW25" s="1546">
        <f t="shared" si="21"/>
        <v>0</v>
      </c>
      <c r="CX25" s="1546">
        <f t="shared" si="21"/>
        <v>0</v>
      </c>
      <c r="CY25" s="1546">
        <f t="shared" si="21"/>
        <v>0</v>
      </c>
      <c r="CZ25" s="1546">
        <f t="shared" si="21"/>
        <v>0</v>
      </c>
      <c r="DA25" s="1546">
        <f t="shared" si="21"/>
        <v>0</v>
      </c>
      <c r="DB25" s="1546">
        <f t="shared" si="21"/>
        <v>0</v>
      </c>
      <c r="DC25" s="1546">
        <f t="shared" si="21"/>
        <v>0</v>
      </c>
      <c r="DD25" s="1546">
        <f t="shared" si="21"/>
        <v>0</v>
      </c>
      <c r="DE25" s="1546">
        <f t="shared" si="21"/>
        <v>0</v>
      </c>
      <c r="DF25" s="1546">
        <f t="shared" si="21"/>
        <v>0</v>
      </c>
      <c r="DG25" s="1546">
        <f t="shared" si="13"/>
        <v>1</v>
      </c>
      <c r="DI25" s="1546">
        <f t="shared" si="22"/>
        <v>0</v>
      </c>
      <c r="DJ25" s="1546">
        <f t="shared" si="22"/>
        <v>0</v>
      </c>
      <c r="DK25" s="1546">
        <f t="shared" si="22"/>
        <v>0</v>
      </c>
      <c r="DL25" s="1546">
        <f t="shared" si="22"/>
        <v>0</v>
      </c>
      <c r="DM25" s="1546">
        <f t="shared" si="22"/>
        <v>0</v>
      </c>
      <c r="DN25" s="1546">
        <f t="shared" si="22"/>
        <v>0</v>
      </c>
    </row>
    <row r="26" spans="1:118" x14ac:dyDescent="0.3">
      <c r="A26" s="285">
        <v>27</v>
      </c>
      <c r="B26" s="325">
        <f t="shared" si="0"/>
        <v>0</v>
      </c>
      <c r="C26" s="682"/>
      <c r="D26" s="683"/>
      <c r="E26" s="680"/>
      <c r="F26" s="713"/>
      <c r="G26" s="91" t="str">
        <f>IF($B26=0,"",VLOOKUP($B26,'Valve Data'!$1:$1048576,MATCH(G$1,'Valve Data'!$1:$1,0),0))</f>
        <v/>
      </c>
      <c r="H26" s="21" t="str">
        <f>IF($B26=0,"",VLOOKUP($B26,'Valve Data'!$1:$1048576,MATCH(H$1,'Valve Data'!$1:$1,0),0))</f>
        <v/>
      </c>
      <c r="I26" s="21" t="str">
        <f>IF($B26=0,"",VLOOKUP($B26,'Valve Data'!$1:$1048576,MATCH(I$1,'Valve Data'!$1:$1,0),0))</f>
        <v/>
      </c>
      <c r="J26" s="328" t="str">
        <f>IF($B26=0,"",VLOOKUP($B26,'Valve Data'!$1:$1048576,MATCH(J$1,'Valve Data'!$1:$1,0),0))</f>
        <v/>
      </c>
      <c r="K26" s="21" t="str">
        <f>IF($B26=0,"",VLOOKUP($B26,'Valve Data'!$1:$1048576,MATCH(K$1,'Valve Data'!$1:$1,0),0))</f>
        <v/>
      </c>
      <c r="L26" s="21" t="str">
        <f>IF($B26=0,"",VLOOKUP($B26,'Valve Data'!$1:$1048576,MATCH(L$1,'Valve Data'!$1:$1,0),0))</f>
        <v/>
      </c>
      <c r="M26" s="21" t="str">
        <f>IF($B26=0,"",VLOOKUP($B26,'Valve Data'!$1:$1048576,MATCH(M$1,'Valve Data'!$1:$1,0),0))</f>
        <v/>
      </c>
      <c r="N26" s="21" t="str">
        <f>IF($B26=0,"",VLOOKUP($B26,'Valve Data'!$1:$1048576,MATCH(N$1,'Valve Data'!$1:$1,0),0))</f>
        <v/>
      </c>
      <c r="O26" s="21" t="str">
        <f>IF($B26=0,"",VLOOKUP($B26,'Valve Data'!$1:$1048576,MATCH(O$1,'Valve Data'!$1:$1,0),0))</f>
        <v/>
      </c>
      <c r="P26" s="21" t="str">
        <f>IF($B26=0,"",VLOOKUP($B26,'Valve Data'!$1:$1048576,MATCH(P$1,'Valve Data'!$1:$1,0),0))</f>
        <v/>
      </c>
      <c r="Q26" s="21" t="str">
        <f>IF($B26=0,"",VLOOKUP($B26,'Valve Data'!$1:$1048576,MATCH(Q$1,'Valve Data'!$1:$1,0),0))</f>
        <v/>
      </c>
      <c r="R26" s="21" t="str">
        <f>IF($B26=0,"",VLOOKUP($B26,'Valve Data'!$1:$1048576,MATCH(R$1,'Valve Data'!$1:$1,0),0))</f>
        <v/>
      </c>
      <c r="S26" s="21" t="str">
        <f>IF($B26=0,"",VLOOKUP($B26,'Valve Data'!$1:$1048576,MATCH(S$1,'Valve Data'!$1:$1,0),0))</f>
        <v/>
      </c>
      <c r="T26" s="331" t="str">
        <f>IF($B26=0,"",VLOOKUP($B26,'Valve Data'!$1:$1048576,MATCH(T$1,'Valve Data'!$1:$1,0),0))</f>
        <v/>
      </c>
      <c r="U26" s="91" t="str">
        <f>IF($B26=0,"",VLOOKUP($B26,'Valve Data'!$1:$1048576,MATCH(U$1,'Valve Data'!$1:$1,0),0))</f>
        <v/>
      </c>
      <c r="V26" s="21" t="str">
        <f>IF($B26=0,"",VLOOKUP($B26,'Valve Data'!$1:$1048576,MATCH(V$1,'Valve Data'!$1:$1,0),0))</f>
        <v/>
      </c>
      <c r="W26" s="21" t="str">
        <f>IF($B26=0,"",VLOOKUP($B26,'Valve Data'!$1:$1048576,MATCH(W$1,'Valve Data'!$1:$1,0),0))</f>
        <v/>
      </c>
      <c r="X26" s="331" t="str">
        <f>IF($B26=0,"",VLOOKUP($B26,'Valve Data'!$1:$1048576,MATCH(X$1,'Valve Data'!$1:$1,0),0))</f>
        <v/>
      </c>
      <c r="Y26" s="865"/>
      <c r="Z26" s="683"/>
      <c r="AA26" s="680"/>
      <c r="AB26" s="680"/>
      <c r="AC26" s="680"/>
      <c r="AD26" s="680"/>
      <c r="AE26" s="868"/>
      <c r="AF26" s="866"/>
      <c r="AG26" s="680"/>
      <c r="AH26" s="680"/>
      <c r="AI26" s="680"/>
      <c r="AJ26" s="680"/>
      <c r="AK26" s="680"/>
      <c r="AL26" s="680"/>
      <c r="AM26" s="680"/>
      <c r="AN26" s="680"/>
      <c r="AO26" s="680"/>
      <c r="AP26" s="684"/>
      <c r="AQ26" s="684"/>
      <c r="AR26" s="684"/>
      <c r="AS26" s="684"/>
      <c r="AT26" s="684"/>
      <c r="AU26" s="684"/>
      <c r="AV26" s="271">
        <f t="shared" si="1"/>
        <v>0</v>
      </c>
      <c r="AW26" s="680"/>
      <c r="AX26" s="845">
        <f>IF(F26="Ball_valve",IFERROR(VLOOKUP(E26&amp;"."&amp;D26,'Ball Valves Chart'!$1:$1048576,MATCH(G26,'Ball Valves Chart'!$3:$3,0),0),0),0)+IF(F26="DBB",IFERROR(VLOOKUP(E26&amp;"."&amp;D26,'Ball Valves Chart'!$1:$1048576,MATCH(G26,'Ball Valves Chart'!$3:$3,0),0)*2,0),0)+IFERROR(VLOOKUP(D26&amp;"."&amp;F26,'Manual Valves Chart'!$1:$1048576,MATCH('Valve List'!G29,'Manual Valves Chart'!$1:$1,0),0),0)</f>
        <v>0</v>
      </c>
      <c r="AY26" s="846">
        <f t="shared" si="2"/>
        <v>0</v>
      </c>
      <c r="AZ26" s="854"/>
      <c r="BA26" s="856">
        <f t="shared" si="3"/>
        <v>0</v>
      </c>
      <c r="BB26" s="286"/>
      <c r="BC26" s="852">
        <f t="shared" si="4"/>
        <v>0</v>
      </c>
      <c r="BD26" s="398"/>
      <c r="BE26" s="1546">
        <f t="shared" si="18"/>
        <v>0</v>
      </c>
      <c r="BF26" s="1546">
        <f t="shared" si="18"/>
        <v>0</v>
      </c>
      <c r="BG26" s="1546">
        <f t="shared" si="18"/>
        <v>0</v>
      </c>
      <c r="BH26" s="1546">
        <f t="shared" si="18"/>
        <v>0</v>
      </c>
      <c r="BI26" s="1546">
        <f t="shared" si="18"/>
        <v>0</v>
      </c>
      <c r="BJ26" s="1546">
        <f t="shared" si="18"/>
        <v>0</v>
      </c>
      <c r="BK26" s="1546">
        <f t="shared" si="18"/>
        <v>0</v>
      </c>
      <c r="BL26" s="1546">
        <f t="shared" si="18"/>
        <v>0</v>
      </c>
      <c r="BM26" s="1546">
        <f t="shared" si="18"/>
        <v>0</v>
      </c>
      <c r="BN26" s="1546">
        <f t="shared" si="18"/>
        <v>0</v>
      </c>
      <c r="BO26" s="1546">
        <f t="shared" si="19"/>
        <v>0</v>
      </c>
      <c r="BP26" s="1546">
        <f t="shared" si="19"/>
        <v>0</v>
      </c>
      <c r="BQ26" s="1546">
        <f t="shared" si="19"/>
        <v>0</v>
      </c>
      <c r="BR26" s="1546">
        <f t="shared" si="19"/>
        <v>0</v>
      </c>
      <c r="BS26" s="1546">
        <f t="shared" si="19"/>
        <v>0</v>
      </c>
      <c r="BT26" s="1546">
        <f t="shared" si="19"/>
        <v>0</v>
      </c>
      <c r="BU26" s="1546">
        <f t="shared" si="19"/>
        <v>0</v>
      </c>
      <c r="BV26" s="1546">
        <f t="shared" si="19"/>
        <v>0</v>
      </c>
      <c r="BX26" s="1546">
        <f t="shared" si="12"/>
        <v>0</v>
      </c>
      <c r="BY26" s="1546">
        <f t="shared" si="12"/>
        <v>0</v>
      </c>
      <c r="BZ26" s="1546">
        <f t="shared" si="12"/>
        <v>0</v>
      </c>
      <c r="CA26" s="1546">
        <f t="shared" si="12"/>
        <v>0</v>
      </c>
      <c r="CB26" s="1546">
        <f t="shared" si="12"/>
        <v>0</v>
      </c>
      <c r="CC26" s="1546">
        <f t="shared" si="12"/>
        <v>0</v>
      </c>
      <c r="CD26" s="1546">
        <f t="shared" si="12"/>
        <v>0</v>
      </c>
      <c r="CE26" s="1546">
        <f t="shared" si="12"/>
        <v>0</v>
      </c>
      <c r="CF26" s="1546">
        <f t="shared" si="12"/>
        <v>0</v>
      </c>
      <c r="CG26" s="1546">
        <f t="shared" si="12"/>
        <v>0</v>
      </c>
      <c r="CH26" s="1546">
        <f t="shared" si="12"/>
        <v>0</v>
      </c>
      <c r="CI26" s="1546">
        <f t="shared" si="12"/>
        <v>0</v>
      </c>
      <c r="CJ26" s="1546">
        <f t="shared" si="12"/>
        <v>0</v>
      </c>
      <c r="CL26" s="1546">
        <f t="shared" si="20"/>
        <v>0</v>
      </c>
      <c r="CM26" s="1546">
        <f t="shared" si="20"/>
        <v>0</v>
      </c>
      <c r="CN26" s="1546">
        <f t="shared" si="20"/>
        <v>0</v>
      </c>
      <c r="CO26" s="1546">
        <f t="shared" si="20"/>
        <v>0</v>
      </c>
      <c r="CQ26" s="1546">
        <f t="shared" si="9"/>
        <v>0</v>
      </c>
      <c r="CR26" s="1546">
        <f t="shared" si="21"/>
        <v>0</v>
      </c>
      <c r="CS26" s="1546">
        <f t="shared" si="21"/>
        <v>0</v>
      </c>
      <c r="CT26" s="1546">
        <f t="shared" si="21"/>
        <v>0</v>
      </c>
      <c r="CU26" s="1546">
        <f t="shared" si="21"/>
        <v>0</v>
      </c>
      <c r="CV26" s="1546">
        <f t="shared" si="21"/>
        <v>0</v>
      </c>
      <c r="CW26" s="1546">
        <f t="shared" si="21"/>
        <v>0</v>
      </c>
      <c r="CX26" s="1546">
        <f t="shared" si="21"/>
        <v>0</v>
      </c>
      <c r="CY26" s="1546">
        <f t="shared" si="21"/>
        <v>0</v>
      </c>
      <c r="CZ26" s="1546">
        <f t="shared" si="21"/>
        <v>0</v>
      </c>
      <c r="DA26" s="1546">
        <f t="shared" si="21"/>
        <v>0</v>
      </c>
      <c r="DB26" s="1546">
        <f t="shared" si="21"/>
        <v>0</v>
      </c>
      <c r="DC26" s="1546">
        <f t="shared" si="21"/>
        <v>0</v>
      </c>
      <c r="DD26" s="1546">
        <f t="shared" si="21"/>
        <v>0</v>
      </c>
      <c r="DE26" s="1546">
        <f t="shared" si="21"/>
        <v>0</v>
      </c>
      <c r="DF26" s="1546">
        <f t="shared" si="21"/>
        <v>0</v>
      </c>
      <c r="DG26" s="1546">
        <f t="shared" si="13"/>
        <v>1</v>
      </c>
      <c r="DI26" s="1546">
        <f t="shared" si="22"/>
        <v>0</v>
      </c>
      <c r="DJ26" s="1546">
        <f t="shared" si="22"/>
        <v>0</v>
      </c>
      <c r="DK26" s="1546">
        <f t="shared" si="22"/>
        <v>0</v>
      </c>
      <c r="DL26" s="1546">
        <f t="shared" si="22"/>
        <v>0</v>
      </c>
      <c r="DM26" s="1546">
        <f t="shared" si="22"/>
        <v>0</v>
      </c>
      <c r="DN26" s="1546">
        <f t="shared" si="22"/>
        <v>0</v>
      </c>
    </row>
    <row r="27" spans="1:118" x14ac:dyDescent="0.3">
      <c r="A27" s="285">
        <v>30</v>
      </c>
      <c r="B27" s="325">
        <f t="shared" si="0"/>
        <v>0</v>
      </c>
      <c r="C27" s="682"/>
      <c r="D27" s="683"/>
      <c r="E27" s="680"/>
      <c r="F27" s="713"/>
      <c r="G27" s="91" t="str">
        <f>IF($B27=0,"",VLOOKUP($B27,'Valve Data'!$1:$1048576,MATCH(G$1,'Valve Data'!$1:$1,0),0))</f>
        <v/>
      </c>
      <c r="H27" s="21" t="str">
        <f>IF($B27=0,"",VLOOKUP($B27,'Valve Data'!$1:$1048576,MATCH(H$1,'Valve Data'!$1:$1,0),0))</f>
        <v/>
      </c>
      <c r="I27" s="21" t="str">
        <f>IF($B27=0,"",VLOOKUP($B27,'Valve Data'!$1:$1048576,MATCH(I$1,'Valve Data'!$1:$1,0),0))</f>
        <v/>
      </c>
      <c r="J27" s="328" t="str">
        <f>IF($B27=0,"",VLOOKUP($B27,'Valve Data'!$1:$1048576,MATCH(J$1,'Valve Data'!$1:$1,0),0))</f>
        <v/>
      </c>
      <c r="K27" s="21" t="str">
        <f>IF($B27=0,"",VLOOKUP($B27,'Valve Data'!$1:$1048576,MATCH(K$1,'Valve Data'!$1:$1,0),0))</f>
        <v/>
      </c>
      <c r="L27" s="21" t="str">
        <f>IF($B27=0,"",VLOOKUP($B27,'Valve Data'!$1:$1048576,MATCH(L$1,'Valve Data'!$1:$1,0),0))</f>
        <v/>
      </c>
      <c r="M27" s="21" t="str">
        <f>IF($B27=0,"",VLOOKUP($B27,'Valve Data'!$1:$1048576,MATCH(M$1,'Valve Data'!$1:$1,0),0))</f>
        <v/>
      </c>
      <c r="N27" s="21" t="str">
        <f>IF($B27=0,"",VLOOKUP($B27,'Valve Data'!$1:$1048576,MATCH(N$1,'Valve Data'!$1:$1,0),0))</f>
        <v/>
      </c>
      <c r="O27" s="21" t="str">
        <f>IF($B27=0,"",VLOOKUP($B27,'Valve Data'!$1:$1048576,MATCH(O$1,'Valve Data'!$1:$1,0),0))</f>
        <v/>
      </c>
      <c r="P27" s="21" t="str">
        <f>IF($B27=0,"",VLOOKUP($B27,'Valve Data'!$1:$1048576,MATCH(P$1,'Valve Data'!$1:$1,0),0))</f>
        <v/>
      </c>
      <c r="Q27" s="21" t="str">
        <f>IF($B27=0,"",VLOOKUP($B27,'Valve Data'!$1:$1048576,MATCH(Q$1,'Valve Data'!$1:$1,0),0))</f>
        <v/>
      </c>
      <c r="R27" s="21" t="str">
        <f>IF($B27=0,"",VLOOKUP($B27,'Valve Data'!$1:$1048576,MATCH(R$1,'Valve Data'!$1:$1,0),0))</f>
        <v/>
      </c>
      <c r="S27" s="21" t="str">
        <f>IF($B27=0,"",VLOOKUP($B27,'Valve Data'!$1:$1048576,MATCH(S$1,'Valve Data'!$1:$1,0),0))</f>
        <v/>
      </c>
      <c r="T27" s="331" t="str">
        <f>IF($B27=0,"",VLOOKUP($B27,'Valve Data'!$1:$1048576,MATCH(T$1,'Valve Data'!$1:$1,0),0))</f>
        <v/>
      </c>
      <c r="U27" s="91" t="str">
        <f>IF($B27=0,"",VLOOKUP($B27,'Valve Data'!$1:$1048576,MATCH(U$1,'Valve Data'!$1:$1,0),0))</f>
        <v/>
      </c>
      <c r="V27" s="21" t="str">
        <f>IF($B27=0,"",VLOOKUP($B27,'Valve Data'!$1:$1048576,MATCH(V$1,'Valve Data'!$1:$1,0),0))</f>
        <v/>
      </c>
      <c r="W27" s="21" t="str">
        <f>IF($B27=0,"",VLOOKUP($B27,'Valve Data'!$1:$1048576,MATCH(W$1,'Valve Data'!$1:$1,0),0))</f>
        <v/>
      </c>
      <c r="X27" s="331" t="str">
        <f>IF($B27=0,"",VLOOKUP($B27,'Valve Data'!$1:$1048576,MATCH(X$1,'Valve Data'!$1:$1,0),0))</f>
        <v/>
      </c>
      <c r="Y27" s="865"/>
      <c r="Z27" s="683"/>
      <c r="AA27" s="680"/>
      <c r="AB27" s="680"/>
      <c r="AC27" s="680"/>
      <c r="AD27" s="680"/>
      <c r="AE27" s="868"/>
      <c r="AF27" s="866"/>
      <c r="AG27" s="680"/>
      <c r="AH27" s="680"/>
      <c r="AI27" s="680"/>
      <c r="AJ27" s="680"/>
      <c r="AK27" s="680"/>
      <c r="AL27" s="680"/>
      <c r="AM27" s="680"/>
      <c r="AN27" s="680"/>
      <c r="AO27" s="680"/>
      <c r="AP27" s="684"/>
      <c r="AQ27" s="684"/>
      <c r="AR27" s="684"/>
      <c r="AS27" s="684"/>
      <c r="AT27" s="684"/>
      <c r="AU27" s="684"/>
      <c r="AV27" s="271">
        <f t="shared" si="1"/>
        <v>0</v>
      </c>
      <c r="AW27" s="680"/>
      <c r="AX27" s="845">
        <f>IF(F27="Ball_valve",IFERROR(VLOOKUP(E27&amp;"."&amp;D27,'Ball Valves Chart'!$1:$1048576,MATCH(G27,'Ball Valves Chart'!$3:$3,0),0),0),0)+IF(F27="DBB",IFERROR(VLOOKUP(E27&amp;"."&amp;D27,'Ball Valves Chart'!$1:$1048576,MATCH(G27,'Ball Valves Chart'!$3:$3,0),0)*2,0),0)+IFERROR(VLOOKUP(D27&amp;"."&amp;F27,'Manual Valves Chart'!$1:$1048576,MATCH('Valve List'!G32,'Manual Valves Chart'!$1:$1,0),0),0)</f>
        <v>0</v>
      </c>
      <c r="AY27" s="846">
        <f t="shared" si="2"/>
        <v>0</v>
      </c>
      <c r="AZ27" s="854"/>
      <c r="BA27" s="856">
        <f t="shared" si="3"/>
        <v>0</v>
      </c>
      <c r="BC27" s="852">
        <f t="shared" si="4"/>
        <v>0</v>
      </c>
      <c r="BD27" s="398"/>
      <c r="BE27" s="1546">
        <f t="shared" si="18"/>
        <v>0</v>
      </c>
      <c r="BF27" s="1546">
        <f t="shared" si="18"/>
        <v>0</v>
      </c>
      <c r="BG27" s="1546">
        <f t="shared" si="18"/>
        <v>0</v>
      </c>
      <c r="BH27" s="1546">
        <f t="shared" si="18"/>
        <v>0</v>
      </c>
      <c r="BI27" s="1546">
        <f t="shared" si="18"/>
        <v>0</v>
      </c>
      <c r="BJ27" s="1546">
        <f t="shared" si="18"/>
        <v>0</v>
      </c>
      <c r="BK27" s="1546">
        <f t="shared" si="18"/>
        <v>0</v>
      </c>
      <c r="BL27" s="1546">
        <f t="shared" si="18"/>
        <v>0</v>
      </c>
      <c r="BM27" s="1546">
        <f t="shared" si="18"/>
        <v>0</v>
      </c>
      <c r="BN27" s="1546">
        <f t="shared" si="18"/>
        <v>0</v>
      </c>
      <c r="BO27" s="1546">
        <f t="shared" si="19"/>
        <v>0</v>
      </c>
      <c r="BP27" s="1546">
        <f t="shared" si="19"/>
        <v>0</v>
      </c>
      <c r="BQ27" s="1546">
        <f t="shared" si="19"/>
        <v>0</v>
      </c>
      <c r="BR27" s="1546">
        <f t="shared" si="19"/>
        <v>0</v>
      </c>
      <c r="BS27" s="1546">
        <f t="shared" si="19"/>
        <v>0</v>
      </c>
      <c r="BT27" s="1546">
        <f t="shared" si="19"/>
        <v>0</v>
      </c>
      <c r="BU27" s="1546">
        <f t="shared" si="19"/>
        <v>0</v>
      </c>
      <c r="BV27" s="1546">
        <f t="shared" si="19"/>
        <v>0</v>
      </c>
      <c r="BX27" s="1546">
        <f t="shared" si="12"/>
        <v>0</v>
      </c>
      <c r="BY27" s="1546">
        <f t="shared" si="12"/>
        <v>0</v>
      </c>
      <c r="BZ27" s="1546">
        <f t="shared" si="12"/>
        <v>0</v>
      </c>
      <c r="CA27" s="1546">
        <f t="shared" si="12"/>
        <v>0</v>
      </c>
      <c r="CB27" s="1546">
        <f t="shared" si="12"/>
        <v>0</v>
      </c>
      <c r="CC27" s="1546">
        <f t="shared" si="12"/>
        <v>0</v>
      </c>
      <c r="CD27" s="1546">
        <f t="shared" si="12"/>
        <v>0</v>
      </c>
      <c r="CE27" s="1546">
        <f t="shared" si="12"/>
        <v>0</v>
      </c>
      <c r="CF27" s="1546">
        <f t="shared" si="12"/>
        <v>0</v>
      </c>
      <c r="CG27" s="1546">
        <f t="shared" si="12"/>
        <v>0</v>
      </c>
      <c r="CH27" s="1546">
        <f t="shared" si="12"/>
        <v>0</v>
      </c>
      <c r="CI27" s="1546">
        <f t="shared" si="12"/>
        <v>0</v>
      </c>
      <c r="CJ27" s="1546">
        <f t="shared" si="12"/>
        <v>0</v>
      </c>
      <c r="CL27" s="1546">
        <f t="shared" si="20"/>
        <v>0</v>
      </c>
      <c r="CM27" s="1546">
        <f t="shared" si="20"/>
        <v>0</v>
      </c>
      <c r="CN27" s="1546">
        <f t="shared" si="20"/>
        <v>0</v>
      </c>
      <c r="CO27" s="1546">
        <f t="shared" si="20"/>
        <v>0</v>
      </c>
      <c r="CQ27" s="1546">
        <f t="shared" si="9"/>
        <v>0</v>
      </c>
      <c r="CR27" s="1546">
        <f t="shared" si="21"/>
        <v>0</v>
      </c>
      <c r="CS27" s="1546">
        <f t="shared" si="21"/>
        <v>0</v>
      </c>
      <c r="CT27" s="1546">
        <f t="shared" si="21"/>
        <v>0</v>
      </c>
      <c r="CU27" s="1546">
        <f t="shared" si="21"/>
        <v>0</v>
      </c>
      <c r="CV27" s="1546">
        <f t="shared" si="21"/>
        <v>0</v>
      </c>
      <c r="CW27" s="1546">
        <f t="shared" si="21"/>
        <v>0</v>
      </c>
      <c r="CX27" s="1546">
        <f t="shared" si="21"/>
        <v>0</v>
      </c>
      <c r="CY27" s="1546">
        <f t="shared" si="21"/>
        <v>0</v>
      </c>
      <c r="CZ27" s="1546">
        <f t="shared" si="21"/>
        <v>0</v>
      </c>
      <c r="DA27" s="1546">
        <f t="shared" si="21"/>
        <v>0</v>
      </c>
      <c r="DB27" s="1546">
        <f t="shared" si="21"/>
        <v>0</v>
      </c>
      <c r="DC27" s="1546">
        <f t="shared" si="21"/>
        <v>0</v>
      </c>
      <c r="DD27" s="1546">
        <f t="shared" si="21"/>
        <v>0</v>
      </c>
      <c r="DE27" s="1546">
        <f t="shared" si="21"/>
        <v>0</v>
      </c>
      <c r="DF27" s="1546">
        <f t="shared" si="21"/>
        <v>0</v>
      </c>
      <c r="DG27" s="1546">
        <f t="shared" si="13"/>
        <v>1</v>
      </c>
      <c r="DI27" s="1546">
        <f t="shared" si="22"/>
        <v>0</v>
      </c>
      <c r="DJ27" s="1546">
        <f t="shared" si="22"/>
        <v>0</v>
      </c>
      <c r="DK27" s="1546">
        <f t="shared" si="22"/>
        <v>0</v>
      </c>
      <c r="DL27" s="1546">
        <f t="shared" si="22"/>
        <v>0</v>
      </c>
      <c r="DM27" s="1546">
        <f t="shared" si="22"/>
        <v>0</v>
      </c>
      <c r="DN27" s="1546">
        <f t="shared" si="22"/>
        <v>0</v>
      </c>
    </row>
    <row r="28" spans="1:118" x14ac:dyDescent="0.3">
      <c r="A28" s="285">
        <v>31</v>
      </c>
      <c r="B28" s="325">
        <f t="shared" si="0"/>
        <v>0</v>
      </c>
      <c r="C28" s="682"/>
      <c r="D28" s="683"/>
      <c r="E28" s="680"/>
      <c r="F28" s="713"/>
      <c r="G28" s="91" t="str">
        <f>IF($B28=0,"",VLOOKUP($B28,'Valve Data'!$1:$1048576,MATCH(G$1,'Valve Data'!$1:$1,0),0))</f>
        <v/>
      </c>
      <c r="H28" s="21" t="str">
        <f>IF($B28=0,"",VLOOKUP($B28,'Valve Data'!$1:$1048576,MATCH(H$1,'Valve Data'!$1:$1,0),0))</f>
        <v/>
      </c>
      <c r="I28" s="21" t="str">
        <f>IF($B28=0,"",VLOOKUP($B28,'Valve Data'!$1:$1048576,MATCH(I$1,'Valve Data'!$1:$1,0),0))</f>
        <v/>
      </c>
      <c r="J28" s="328" t="str">
        <f>IF($B28=0,"",VLOOKUP($B28,'Valve Data'!$1:$1048576,MATCH(J$1,'Valve Data'!$1:$1,0),0))</f>
        <v/>
      </c>
      <c r="K28" s="21" t="str">
        <f>IF($B28=0,"",VLOOKUP($B28,'Valve Data'!$1:$1048576,MATCH(K$1,'Valve Data'!$1:$1,0),0))</f>
        <v/>
      </c>
      <c r="L28" s="21" t="str">
        <f>IF($B28=0,"",VLOOKUP($B28,'Valve Data'!$1:$1048576,MATCH(L$1,'Valve Data'!$1:$1,0),0))</f>
        <v/>
      </c>
      <c r="M28" s="21" t="str">
        <f>IF($B28=0,"",VLOOKUP($B28,'Valve Data'!$1:$1048576,MATCH(M$1,'Valve Data'!$1:$1,0),0))</f>
        <v/>
      </c>
      <c r="N28" s="21" t="str">
        <f>IF($B28=0,"",VLOOKUP($B28,'Valve Data'!$1:$1048576,MATCH(N$1,'Valve Data'!$1:$1,0),0))</f>
        <v/>
      </c>
      <c r="O28" s="21" t="str">
        <f>IF($B28=0,"",VLOOKUP($B28,'Valve Data'!$1:$1048576,MATCH(O$1,'Valve Data'!$1:$1,0),0))</f>
        <v/>
      </c>
      <c r="P28" s="21" t="str">
        <f>IF($B28=0,"",VLOOKUP($B28,'Valve Data'!$1:$1048576,MATCH(P$1,'Valve Data'!$1:$1,0),0))</f>
        <v/>
      </c>
      <c r="Q28" s="21" t="str">
        <f>IF($B28=0,"",VLOOKUP($B28,'Valve Data'!$1:$1048576,MATCH(Q$1,'Valve Data'!$1:$1,0),0))</f>
        <v/>
      </c>
      <c r="R28" s="21" t="str">
        <f>IF($B28=0,"",VLOOKUP($B28,'Valve Data'!$1:$1048576,MATCH(R$1,'Valve Data'!$1:$1,0),0))</f>
        <v/>
      </c>
      <c r="S28" s="21" t="str">
        <f>IF($B28=0,"",VLOOKUP($B28,'Valve Data'!$1:$1048576,MATCH(S$1,'Valve Data'!$1:$1,0),0))</f>
        <v/>
      </c>
      <c r="T28" s="331" t="str">
        <f>IF($B28=0,"",VLOOKUP($B28,'Valve Data'!$1:$1048576,MATCH(T$1,'Valve Data'!$1:$1,0),0))</f>
        <v/>
      </c>
      <c r="U28" s="91" t="str">
        <f>IF($B28=0,"",VLOOKUP($B28,'Valve Data'!$1:$1048576,MATCH(U$1,'Valve Data'!$1:$1,0),0))</f>
        <v/>
      </c>
      <c r="V28" s="21" t="str">
        <f>IF($B28=0,"",VLOOKUP($B28,'Valve Data'!$1:$1048576,MATCH(V$1,'Valve Data'!$1:$1,0),0))</f>
        <v/>
      </c>
      <c r="W28" s="21" t="str">
        <f>IF($B28=0,"",VLOOKUP($B28,'Valve Data'!$1:$1048576,MATCH(W$1,'Valve Data'!$1:$1,0),0))</f>
        <v/>
      </c>
      <c r="X28" s="331" t="str">
        <f>IF($B28=0,"",VLOOKUP($B28,'Valve Data'!$1:$1048576,MATCH(X$1,'Valve Data'!$1:$1,0),0))</f>
        <v/>
      </c>
      <c r="Y28" s="865"/>
      <c r="Z28" s="683"/>
      <c r="AA28" s="680"/>
      <c r="AB28" s="680"/>
      <c r="AC28" s="680"/>
      <c r="AD28" s="680"/>
      <c r="AE28" s="868"/>
      <c r="AF28" s="866"/>
      <c r="AG28" s="680"/>
      <c r="AH28" s="680"/>
      <c r="AI28" s="680"/>
      <c r="AJ28" s="680"/>
      <c r="AK28" s="680"/>
      <c r="AL28" s="680"/>
      <c r="AM28" s="680"/>
      <c r="AN28" s="680"/>
      <c r="AO28" s="680"/>
      <c r="AP28" s="684"/>
      <c r="AQ28" s="684"/>
      <c r="AR28" s="684"/>
      <c r="AS28" s="684"/>
      <c r="AT28" s="684"/>
      <c r="AU28" s="684"/>
      <c r="AV28" s="271">
        <f t="shared" si="1"/>
        <v>0</v>
      </c>
      <c r="AW28" s="680"/>
      <c r="AX28" s="845">
        <f>IF(F28="Ball_valve",IFERROR(VLOOKUP(E28&amp;"."&amp;D28,'Ball Valves Chart'!$1:$1048576,MATCH(G28,'Ball Valves Chart'!$3:$3,0),0),0),0)+IF(F28="DBB",IFERROR(VLOOKUP(E28&amp;"."&amp;D28,'Ball Valves Chart'!$1:$1048576,MATCH(G28,'Ball Valves Chart'!$3:$3,0),0)*2,0),0)+IFERROR(VLOOKUP(D28&amp;"."&amp;F28,'Manual Valves Chart'!$1:$1048576,MATCH('Valve List'!G33,'Manual Valves Chart'!$1:$1,0),0),0)</f>
        <v>0</v>
      </c>
      <c r="AY28" s="846">
        <f t="shared" si="2"/>
        <v>0</v>
      </c>
      <c r="AZ28" s="854"/>
      <c r="BA28" s="856">
        <f t="shared" si="3"/>
        <v>0</v>
      </c>
      <c r="BC28" s="852">
        <f t="shared" si="4"/>
        <v>0</v>
      </c>
      <c r="BD28" s="398"/>
      <c r="BE28" s="1546">
        <f t="shared" si="18"/>
        <v>0</v>
      </c>
      <c r="BF28" s="1546">
        <f t="shared" si="18"/>
        <v>0</v>
      </c>
      <c r="BG28" s="1546">
        <f t="shared" si="18"/>
        <v>0</v>
      </c>
      <c r="BH28" s="1546">
        <f t="shared" si="18"/>
        <v>0</v>
      </c>
      <c r="BI28" s="1546">
        <f t="shared" si="18"/>
        <v>0</v>
      </c>
      <c r="BJ28" s="1546">
        <f t="shared" si="18"/>
        <v>0</v>
      </c>
      <c r="BK28" s="1546">
        <f t="shared" si="18"/>
        <v>0</v>
      </c>
      <c r="BL28" s="1546">
        <f t="shared" si="18"/>
        <v>0</v>
      </c>
      <c r="BM28" s="1546">
        <f t="shared" si="18"/>
        <v>0</v>
      </c>
      <c r="BN28" s="1546">
        <f t="shared" si="18"/>
        <v>0</v>
      </c>
      <c r="BO28" s="1546">
        <f t="shared" si="19"/>
        <v>0</v>
      </c>
      <c r="BP28" s="1546">
        <f t="shared" si="19"/>
        <v>0</v>
      </c>
      <c r="BQ28" s="1546">
        <f t="shared" si="19"/>
        <v>0</v>
      </c>
      <c r="BR28" s="1546">
        <f t="shared" si="19"/>
        <v>0</v>
      </c>
      <c r="BS28" s="1546">
        <f t="shared" si="19"/>
        <v>0</v>
      </c>
      <c r="BT28" s="1546">
        <f t="shared" si="19"/>
        <v>0</v>
      </c>
      <c r="BU28" s="1546">
        <f t="shared" si="19"/>
        <v>0</v>
      </c>
      <c r="BV28" s="1546">
        <f t="shared" si="19"/>
        <v>0</v>
      </c>
      <c r="BX28" s="1546">
        <f t="shared" si="12"/>
        <v>0</v>
      </c>
      <c r="BY28" s="1546">
        <f t="shared" si="12"/>
        <v>0</v>
      </c>
      <c r="BZ28" s="1546">
        <f t="shared" si="12"/>
        <v>0</v>
      </c>
      <c r="CA28" s="1546">
        <f t="shared" si="12"/>
        <v>0</v>
      </c>
      <c r="CB28" s="1546">
        <f t="shared" si="12"/>
        <v>0</v>
      </c>
      <c r="CC28" s="1546">
        <f t="shared" si="12"/>
        <v>0</v>
      </c>
      <c r="CD28" s="1546">
        <f t="shared" si="12"/>
        <v>0</v>
      </c>
      <c r="CE28" s="1546">
        <f t="shared" si="12"/>
        <v>0</v>
      </c>
      <c r="CF28" s="1546">
        <f t="shared" si="12"/>
        <v>0</v>
      </c>
      <c r="CG28" s="1546">
        <f t="shared" si="12"/>
        <v>0</v>
      </c>
      <c r="CH28" s="1546">
        <f t="shared" si="12"/>
        <v>0</v>
      </c>
      <c r="CI28" s="1546">
        <f t="shared" si="12"/>
        <v>0</v>
      </c>
      <c r="CJ28" s="1546">
        <f t="shared" si="12"/>
        <v>0</v>
      </c>
      <c r="CL28" s="1546">
        <f t="shared" si="20"/>
        <v>0</v>
      </c>
      <c r="CM28" s="1546">
        <f t="shared" si="20"/>
        <v>0</v>
      </c>
      <c r="CN28" s="1546">
        <f t="shared" si="20"/>
        <v>0</v>
      </c>
      <c r="CO28" s="1546">
        <f t="shared" si="20"/>
        <v>0</v>
      </c>
      <c r="CQ28" s="1546">
        <f t="shared" si="9"/>
        <v>0</v>
      </c>
      <c r="CR28" s="1546">
        <f t="shared" si="21"/>
        <v>0</v>
      </c>
      <c r="CS28" s="1546">
        <f t="shared" si="21"/>
        <v>0</v>
      </c>
      <c r="CT28" s="1546">
        <f t="shared" si="21"/>
        <v>0</v>
      </c>
      <c r="CU28" s="1546">
        <f t="shared" si="21"/>
        <v>0</v>
      </c>
      <c r="CV28" s="1546">
        <f t="shared" si="21"/>
        <v>0</v>
      </c>
      <c r="CW28" s="1546">
        <f t="shared" si="21"/>
        <v>0</v>
      </c>
      <c r="CX28" s="1546">
        <f t="shared" si="21"/>
        <v>0</v>
      </c>
      <c r="CY28" s="1546">
        <f t="shared" si="21"/>
        <v>0</v>
      </c>
      <c r="CZ28" s="1546">
        <f t="shared" si="21"/>
        <v>0</v>
      </c>
      <c r="DA28" s="1546">
        <f t="shared" si="21"/>
        <v>0</v>
      </c>
      <c r="DB28" s="1546">
        <f t="shared" si="21"/>
        <v>0</v>
      </c>
      <c r="DC28" s="1546">
        <f t="shared" si="21"/>
        <v>0</v>
      </c>
      <c r="DD28" s="1546">
        <f t="shared" si="21"/>
        <v>0</v>
      </c>
      <c r="DE28" s="1546">
        <f t="shared" si="21"/>
        <v>0</v>
      </c>
      <c r="DF28" s="1546">
        <f t="shared" si="21"/>
        <v>0</v>
      </c>
      <c r="DG28" s="1546">
        <f t="shared" si="13"/>
        <v>1</v>
      </c>
      <c r="DI28" s="1546">
        <f t="shared" si="22"/>
        <v>0</v>
      </c>
      <c r="DJ28" s="1546">
        <f t="shared" si="22"/>
        <v>0</v>
      </c>
      <c r="DK28" s="1546">
        <f t="shared" si="22"/>
        <v>0</v>
      </c>
      <c r="DL28" s="1546">
        <f t="shared" si="22"/>
        <v>0</v>
      </c>
      <c r="DM28" s="1546">
        <f t="shared" si="22"/>
        <v>0</v>
      </c>
      <c r="DN28" s="1546">
        <f t="shared" si="22"/>
        <v>0</v>
      </c>
    </row>
    <row r="29" spans="1:118" x14ac:dyDescent="0.3">
      <c r="A29" s="285">
        <v>32</v>
      </c>
      <c r="B29" s="325">
        <f t="shared" si="0"/>
        <v>0</v>
      </c>
      <c r="C29" s="682"/>
      <c r="D29" s="683"/>
      <c r="E29" s="680"/>
      <c r="F29" s="713"/>
      <c r="G29" s="91" t="str">
        <f>IF($B29=0,"",VLOOKUP($B29,'Valve Data'!$1:$1048576,MATCH(G$1,'Valve Data'!$1:$1,0),0))</f>
        <v/>
      </c>
      <c r="H29" s="21" t="str">
        <f>IF($B29=0,"",VLOOKUP($B29,'Valve Data'!$1:$1048576,MATCH(H$1,'Valve Data'!$1:$1,0),0))</f>
        <v/>
      </c>
      <c r="I29" s="21" t="str">
        <f>IF($B29=0,"",VLOOKUP($B29,'Valve Data'!$1:$1048576,MATCH(I$1,'Valve Data'!$1:$1,0),0))</f>
        <v/>
      </c>
      <c r="J29" s="328" t="str">
        <f>IF($B29=0,"",VLOOKUP($B29,'Valve Data'!$1:$1048576,MATCH(J$1,'Valve Data'!$1:$1,0),0))</f>
        <v/>
      </c>
      <c r="K29" s="21" t="str">
        <f>IF($B29=0,"",VLOOKUP($B29,'Valve Data'!$1:$1048576,MATCH(K$1,'Valve Data'!$1:$1,0),0))</f>
        <v/>
      </c>
      <c r="L29" s="21" t="str">
        <f>IF($B29=0,"",VLOOKUP($B29,'Valve Data'!$1:$1048576,MATCH(L$1,'Valve Data'!$1:$1,0),0))</f>
        <v/>
      </c>
      <c r="M29" s="21" t="str">
        <f>IF($B29=0,"",VLOOKUP($B29,'Valve Data'!$1:$1048576,MATCH(M$1,'Valve Data'!$1:$1,0),0))</f>
        <v/>
      </c>
      <c r="N29" s="21" t="str">
        <f>IF($B29=0,"",VLOOKUP($B29,'Valve Data'!$1:$1048576,MATCH(N$1,'Valve Data'!$1:$1,0),0))</f>
        <v/>
      </c>
      <c r="O29" s="21" t="str">
        <f>IF($B29=0,"",VLOOKUP($B29,'Valve Data'!$1:$1048576,MATCH(O$1,'Valve Data'!$1:$1,0),0))</f>
        <v/>
      </c>
      <c r="P29" s="21" t="str">
        <f>IF($B29=0,"",VLOOKUP($B29,'Valve Data'!$1:$1048576,MATCH(P$1,'Valve Data'!$1:$1,0),0))</f>
        <v/>
      </c>
      <c r="Q29" s="21" t="str">
        <f>IF($B29=0,"",VLOOKUP($B29,'Valve Data'!$1:$1048576,MATCH(Q$1,'Valve Data'!$1:$1,0),0))</f>
        <v/>
      </c>
      <c r="R29" s="21" t="str">
        <f>IF($B29=0,"",VLOOKUP($B29,'Valve Data'!$1:$1048576,MATCH(R$1,'Valve Data'!$1:$1,0),0))</f>
        <v/>
      </c>
      <c r="S29" s="21" t="str">
        <f>IF($B29=0,"",VLOOKUP($B29,'Valve Data'!$1:$1048576,MATCH(S$1,'Valve Data'!$1:$1,0),0))</f>
        <v/>
      </c>
      <c r="T29" s="331" t="str">
        <f>IF($B29=0,"",VLOOKUP($B29,'Valve Data'!$1:$1048576,MATCH(T$1,'Valve Data'!$1:$1,0),0))</f>
        <v/>
      </c>
      <c r="U29" s="91" t="str">
        <f>IF($B29=0,"",VLOOKUP($B29,'Valve Data'!$1:$1048576,MATCH(U$1,'Valve Data'!$1:$1,0),0))</f>
        <v/>
      </c>
      <c r="V29" s="21" t="str">
        <f>IF($B29=0,"",VLOOKUP($B29,'Valve Data'!$1:$1048576,MATCH(V$1,'Valve Data'!$1:$1,0),0))</f>
        <v/>
      </c>
      <c r="W29" s="21" t="str">
        <f>IF($B29=0,"",VLOOKUP($B29,'Valve Data'!$1:$1048576,MATCH(W$1,'Valve Data'!$1:$1,0),0))</f>
        <v/>
      </c>
      <c r="X29" s="331" t="str">
        <f>IF($B29=0,"",VLOOKUP($B29,'Valve Data'!$1:$1048576,MATCH(X$1,'Valve Data'!$1:$1,0),0))</f>
        <v/>
      </c>
      <c r="Y29" s="865"/>
      <c r="Z29" s="683"/>
      <c r="AA29" s="680"/>
      <c r="AB29" s="680"/>
      <c r="AC29" s="680"/>
      <c r="AD29" s="680"/>
      <c r="AE29" s="868"/>
      <c r="AF29" s="866"/>
      <c r="AG29" s="680"/>
      <c r="AH29" s="680"/>
      <c r="AI29" s="680"/>
      <c r="AJ29" s="680"/>
      <c r="AK29" s="680"/>
      <c r="AL29" s="680"/>
      <c r="AM29" s="680"/>
      <c r="AN29" s="680"/>
      <c r="AO29" s="680"/>
      <c r="AP29" s="684"/>
      <c r="AQ29" s="684"/>
      <c r="AR29" s="684"/>
      <c r="AS29" s="684"/>
      <c r="AT29" s="684"/>
      <c r="AU29" s="684"/>
      <c r="AV29" s="271">
        <f t="shared" si="1"/>
        <v>0</v>
      </c>
      <c r="AW29" s="680"/>
      <c r="AX29" s="845">
        <f>IF(F29="Ball_valve",IFERROR(VLOOKUP(E29&amp;"."&amp;D29,'Ball Valves Chart'!$1:$1048576,MATCH(G29,'Ball Valves Chart'!$3:$3,0),0),0),0)+IF(F29="DBB",IFERROR(VLOOKUP(E29&amp;"."&amp;D29,'Ball Valves Chart'!$1:$1048576,MATCH(G29,'Ball Valves Chart'!$3:$3,0),0)*2,0),0)+IFERROR(VLOOKUP(D29&amp;"."&amp;F29,'Manual Valves Chart'!$1:$1048576,MATCH('Valve List'!G34,'Manual Valves Chart'!$1:$1,0),0),0)</f>
        <v>0</v>
      </c>
      <c r="AY29" s="846">
        <f t="shared" si="2"/>
        <v>0</v>
      </c>
      <c r="AZ29" s="854"/>
      <c r="BA29" s="856">
        <f t="shared" si="3"/>
        <v>0</v>
      </c>
      <c r="BC29" s="852">
        <f t="shared" si="4"/>
        <v>0</v>
      </c>
      <c r="BD29" s="398"/>
      <c r="BE29" s="1546">
        <f t="shared" si="18"/>
        <v>0</v>
      </c>
      <c r="BF29" s="1546">
        <f t="shared" si="18"/>
        <v>0</v>
      </c>
      <c r="BG29" s="1546">
        <f t="shared" si="18"/>
        <v>0</v>
      </c>
      <c r="BH29" s="1546">
        <f t="shared" si="18"/>
        <v>0</v>
      </c>
      <c r="BI29" s="1546">
        <f t="shared" si="18"/>
        <v>0</v>
      </c>
      <c r="BJ29" s="1546">
        <f t="shared" si="18"/>
        <v>0</v>
      </c>
      <c r="BK29" s="1546">
        <f t="shared" si="18"/>
        <v>0</v>
      </c>
      <c r="BL29" s="1546">
        <f t="shared" si="18"/>
        <v>0</v>
      </c>
      <c r="BM29" s="1546">
        <f t="shared" si="18"/>
        <v>0</v>
      </c>
      <c r="BN29" s="1546">
        <f t="shared" si="18"/>
        <v>0</v>
      </c>
      <c r="BO29" s="1546">
        <f t="shared" si="19"/>
        <v>0</v>
      </c>
      <c r="BP29" s="1546">
        <f t="shared" si="19"/>
        <v>0</v>
      </c>
      <c r="BQ29" s="1546">
        <f t="shared" si="19"/>
        <v>0</v>
      </c>
      <c r="BR29" s="1546">
        <f t="shared" si="19"/>
        <v>0</v>
      </c>
      <c r="BS29" s="1546">
        <f t="shared" si="19"/>
        <v>0</v>
      </c>
      <c r="BT29" s="1546">
        <f t="shared" si="19"/>
        <v>0</v>
      </c>
      <c r="BU29" s="1546">
        <f t="shared" si="19"/>
        <v>0</v>
      </c>
      <c r="BV29" s="1546">
        <f t="shared" si="19"/>
        <v>0</v>
      </c>
      <c r="BX29" s="1546">
        <f t="shared" si="12"/>
        <v>0</v>
      </c>
      <c r="BY29" s="1546">
        <f t="shared" si="12"/>
        <v>0</v>
      </c>
      <c r="BZ29" s="1546">
        <f t="shared" si="12"/>
        <v>0</v>
      </c>
      <c r="CA29" s="1546">
        <f t="shared" si="12"/>
        <v>0</v>
      </c>
      <c r="CB29" s="1546">
        <f t="shared" si="12"/>
        <v>0</v>
      </c>
      <c r="CC29" s="1546">
        <f t="shared" si="12"/>
        <v>0</v>
      </c>
      <c r="CD29" s="1546">
        <f t="shared" si="12"/>
        <v>0</v>
      </c>
      <c r="CE29" s="1546">
        <f t="shared" si="12"/>
        <v>0</v>
      </c>
      <c r="CF29" s="1546">
        <f t="shared" si="12"/>
        <v>0</v>
      </c>
      <c r="CG29" s="1546">
        <f t="shared" si="12"/>
        <v>0</v>
      </c>
      <c r="CH29" s="1546">
        <f t="shared" si="12"/>
        <v>0</v>
      </c>
      <c r="CI29" s="1546">
        <f t="shared" si="12"/>
        <v>0</v>
      </c>
      <c r="CJ29" s="1546">
        <f t="shared" si="12"/>
        <v>0</v>
      </c>
      <c r="CL29" s="1546">
        <f t="shared" si="20"/>
        <v>0</v>
      </c>
      <c r="CM29" s="1546">
        <f t="shared" si="20"/>
        <v>0</v>
      </c>
      <c r="CN29" s="1546">
        <f t="shared" si="20"/>
        <v>0</v>
      </c>
      <c r="CO29" s="1546">
        <f t="shared" si="20"/>
        <v>0</v>
      </c>
      <c r="CQ29" s="1546">
        <f t="shared" si="9"/>
        <v>0</v>
      </c>
      <c r="CR29" s="1546">
        <f t="shared" si="21"/>
        <v>0</v>
      </c>
      <c r="CS29" s="1546">
        <f t="shared" si="21"/>
        <v>0</v>
      </c>
      <c r="CT29" s="1546">
        <f t="shared" si="21"/>
        <v>0</v>
      </c>
      <c r="CU29" s="1546">
        <f t="shared" si="21"/>
        <v>0</v>
      </c>
      <c r="CV29" s="1546">
        <f t="shared" si="21"/>
        <v>0</v>
      </c>
      <c r="CW29" s="1546">
        <f t="shared" si="21"/>
        <v>0</v>
      </c>
      <c r="CX29" s="1546">
        <f t="shared" si="21"/>
        <v>0</v>
      </c>
      <c r="CY29" s="1546">
        <f t="shared" si="21"/>
        <v>0</v>
      </c>
      <c r="CZ29" s="1546">
        <f t="shared" si="21"/>
        <v>0</v>
      </c>
      <c r="DA29" s="1546">
        <f t="shared" si="21"/>
        <v>0</v>
      </c>
      <c r="DB29" s="1546">
        <f t="shared" si="21"/>
        <v>0</v>
      </c>
      <c r="DC29" s="1546">
        <f t="shared" si="21"/>
        <v>0</v>
      </c>
      <c r="DD29" s="1546">
        <f t="shared" si="21"/>
        <v>0</v>
      </c>
      <c r="DE29" s="1546">
        <f t="shared" si="21"/>
        <v>0</v>
      </c>
      <c r="DF29" s="1546">
        <f t="shared" si="21"/>
        <v>0</v>
      </c>
      <c r="DG29" s="1546">
        <f t="shared" si="13"/>
        <v>1</v>
      </c>
      <c r="DI29" s="1546">
        <f t="shared" si="22"/>
        <v>0</v>
      </c>
      <c r="DJ29" s="1546">
        <f t="shared" si="22"/>
        <v>0</v>
      </c>
      <c r="DK29" s="1546">
        <f t="shared" si="22"/>
        <v>0</v>
      </c>
      <c r="DL29" s="1546">
        <f t="shared" si="22"/>
        <v>0</v>
      </c>
      <c r="DM29" s="1546">
        <f t="shared" si="22"/>
        <v>0</v>
      </c>
      <c r="DN29" s="1546">
        <f t="shared" si="22"/>
        <v>0</v>
      </c>
    </row>
    <row r="30" spans="1:118" x14ac:dyDescent="0.3">
      <c r="A30" s="285">
        <v>34</v>
      </c>
      <c r="B30" s="325">
        <f t="shared" si="0"/>
        <v>0</v>
      </c>
      <c r="C30" s="682"/>
      <c r="D30" s="683"/>
      <c r="E30" s="680"/>
      <c r="F30" s="713"/>
      <c r="G30" s="91" t="str">
        <f>IF($B30=0,"",VLOOKUP($B30,'Valve Data'!$1:$1048576,MATCH(G$1,'Valve Data'!$1:$1,0),0))</f>
        <v/>
      </c>
      <c r="H30" s="21" t="str">
        <f>IF($B30=0,"",VLOOKUP($B30,'Valve Data'!$1:$1048576,MATCH(H$1,'Valve Data'!$1:$1,0),0))</f>
        <v/>
      </c>
      <c r="I30" s="21" t="str">
        <f>IF($B30=0,"",VLOOKUP($B30,'Valve Data'!$1:$1048576,MATCH(I$1,'Valve Data'!$1:$1,0),0))</f>
        <v/>
      </c>
      <c r="J30" s="328" t="str">
        <f>IF($B30=0,"",VLOOKUP($B30,'Valve Data'!$1:$1048576,MATCH(J$1,'Valve Data'!$1:$1,0),0))</f>
        <v/>
      </c>
      <c r="K30" s="21" t="str">
        <f>IF($B30=0,"",VLOOKUP($B30,'Valve Data'!$1:$1048576,MATCH(K$1,'Valve Data'!$1:$1,0),0))</f>
        <v/>
      </c>
      <c r="L30" s="21" t="str">
        <f>IF($B30=0,"",VLOOKUP($B30,'Valve Data'!$1:$1048576,MATCH(L$1,'Valve Data'!$1:$1,0),0))</f>
        <v/>
      </c>
      <c r="M30" s="21" t="str">
        <f>IF($B30=0,"",VLOOKUP($B30,'Valve Data'!$1:$1048576,MATCH(M$1,'Valve Data'!$1:$1,0),0))</f>
        <v/>
      </c>
      <c r="N30" s="21" t="str">
        <f>IF($B30=0,"",VLOOKUP($B30,'Valve Data'!$1:$1048576,MATCH(N$1,'Valve Data'!$1:$1,0),0))</f>
        <v/>
      </c>
      <c r="O30" s="21" t="str">
        <f>IF($B30=0,"",VLOOKUP($B30,'Valve Data'!$1:$1048576,MATCH(O$1,'Valve Data'!$1:$1,0),0))</f>
        <v/>
      </c>
      <c r="P30" s="21" t="str">
        <f>IF($B30=0,"",VLOOKUP($B30,'Valve Data'!$1:$1048576,MATCH(P$1,'Valve Data'!$1:$1,0),0))</f>
        <v/>
      </c>
      <c r="Q30" s="21" t="str">
        <f>IF($B30=0,"",VLOOKUP($B30,'Valve Data'!$1:$1048576,MATCH(Q$1,'Valve Data'!$1:$1,0),0))</f>
        <v/>
      </c>
      <c r="R30" s="21" t="str">
        <f>IF($B30=0,"",VLOOKUP($B30,'Valve Data'!$1:$1048576,MATCH(R$1,'Valve Data'!$1:$1,0),0))</f>
        <v/>
      </c>
      <c r="S30" s="21" t="str">
        <f>IF($B30=0,"",VLOOKUP($B30,'Valve Data'!$1:$1048576,MATCH(S$1,'Valve Data'!$1:$1,0),0))</f>
        <v/>
      </c>
      <c r="T30" s="331" t="str">
        <f>IF($B30=0,"",VLOOKUP($B30,'Valve Data'!$1:$1048576,MATCH(T$1,'Valve Data'!$1:$1,0),0))</f>
        <v/>
      </c>
      <c r="U30" s="91" t="str">
        <f>IF($B30=0,"",VLOOKUP($B30,'Valve Data'!$1:$1048576,MATCH(U$1,'Valve Data'!$1:$1,0),0))</f>
        <v/>
      </c>
      <c r="V30" s="21" t="str">
        <f>IF($B30=0,"",VLOOKUP($B30,'Valve Data'!$1:$1048576,MATCH(V$1,'Valve Data'!$1:$1,0),0))</f>
        <v/>
      </c>
      <c r="W30" s="21" t="str">
        <f>IF($B30=0,"",VLOOKUP($B30,'Valve Data'!$1:$1048576,MATCH(W$1,'Valve Data'!$1:$1,0),0))</f>
        <v/>
      </c>
      <c r="X30" s="331" t="str">
        <f>IF($B30=0,"",VLOOKUP($B30,'Valve Data'!$1:$1048576,MATCH(X$1,'Valve Data'!$1:$1,0),0))</f>
        <v/>
      </c>
      <c r="Y30" s="865"/>
      <c r="Z30" s="683"/>
      <c r="AA30" s="680"/>
      <c r="AB30" s="680"/>
      <c r="AC30" s="680"/>
      <c r="AD30" s="680"/>
      <c r="AE30" s="868"/>
      <c r="AF30" s="866"/>
      <c r="AG30" s="680"/>
      <c r="AH30" s="680"/>
      <c r="AI30" s="680"/>
      <c r="AJ30" s="680"/>
      <c r="AK30" s="680"/>
      <c r="AL30" s="680"/>
      <c r="AM30" s="680"/>
      <c r="AN30" s="680"/>
      <c r="AO30" s="680"/>
      <c r="AP30" s="684"/>
      <c r="AQ30" s="684"/>
      <c r="AR30" s="684"/>
      <c r="AS30" s="684"/>
      <c r="AT30" s="684"/>
      <c r="AU30" s="684"/>
      <c r="AV30" s="271">
        <f t="shared" si="1"/>
        <v>0</v>
      </c>
      <c r="AW30" s="680"/>
      <c r="AX30" s="845">
        <f>IF(F30="Ball_valve",IFERROR(VLOOKUP(E30&amp;"."&amp;D30,'Ball Valves Chart'!$1:$1048576,MATCH(G30,'Ball Valves Chart'!$3:$3,0),0),0),0)+IF(F30="DBB",IFERROR(VLOOKUP(E30&amp;"."&amp;D30,'Ball Valves Chart'!$1:$1048576,MATCH(G30,'Ball Valves Chart'!$3:$3,0),0)*2,0),0)+IFERROR(VLOOKUP(D30&amp;"."&amp;F30,'Manual Valves Chart'!$1:$1048576,MATCH('Valve List'!G36,'Manual Valves Chart'!$1:$1,0),0),0)</f>
        <v>0</v>
      </c>
      <c r="AY30" s="846">
        <f t="shared" si="2"/>
        <v>0</v>
      </c>
      <c r="AZ30" s="854"/>
      <c r="BA30" s="856">
        <f t="shared" si="3"/>
        <v>0</v>
      </c>
      <c r="BC30" s="852">
        <f t="shared" si="4"/>
        <v>0</v>
      </c>
      <c r="BD30" s="398"/>
      <c r="BE30" s="1546">
        <f t="shared" si="18"/>
        <v>0</v>
      </c>
      <c r="BF30" s="1546">
        <f t="shared" si="18"/>
        <v>0</v>
      </c>
      <c r="BG30" s="1546">
        <f t="shared" si="18"/>
        <v>0</v>
      </c>
      <c r="BH30" s="1546">
        <f t="shared" si="18"/>
        <v>0</v>
      </c>
      <c r="BI30" s="1546">
        <f t="shared" si="18"/>
        <v>0</v>
      </c>
      <c r="BJ30" s="1546">
        <f t="shared" si="18"/>
        <v>0</v>
      </c>
      <c r="BK30" s="1546">
        <f t="shared" si="18"/>
        <v>0</v>
      </c>
      <c r="BL30" s="1546">
        <f t="shared" si="18"/>
        <v>0</v>
      </c>
      <c r="BM30" s="1546">
        <f t="shared" si="18"/>
        <v>0</v>
      </c>
      <c r="BN30" s="1546">
        <f t="shared" si="18"/>
        <v>0</v>
      </c>
      <c r="BO30" s="1546">
        <f t="shared" si="19"/>
        <v>0</v>
      </c>
      <c r="BP30" s="1546">
        <f t="shared" si="19"/>
        <v>0</v>
      </c>
      <c r="BQ30" s="1546">
        <f t="shared" si="19"/>
        <v>0</v>
      </c>
      <c r="BR30" s="1546">
        <f t="shared" si="19"/>
        <v>0</v>
      </c>
      <c r="BS30" s="1546">
        <f t="shared" si="19"/>
        <v>0</v>
      </c>
      <c r="BT30" s="1546">
        <f t="shared" si="19"/>
        <v>0</v>
      </c>
      <c r="BU30" s="1546">
        <f t="shared" si="19"/>
        <v>0</v>
      </c>
      <c r="BV30" s="1546">
        <f t="shared" si="19"/>
        <v>0</v>
      </c>
      <c r="BX30" s="1546">
        <f t="shared" si="12"/>
        <v>0</v>
      </c>
      <c r="BY30" s="1546">
        <f t="shared" si="12"/>
        <v>0</v>
      </c>
      <c r="BZ30" s="1546">
        <f t="shared" si="12"/>
        <v>0</v>
      </c>
      <c r="CA30" s="1546">
        <f t="shared" si="12"/>
        <v>0</v>
      </c>
      <c r="CB30" s="1546">
        <f t="shared" si="12"/>
        <v>0</v>
      </c>
      <c r="CC30" s="1546">
        <f t="shared" si="12"/>
        <v>0</v>
      </c>
      <c r="CD30" s="1546">
        <f t="shared" si="12"/>
        <v>0</v>
      </c>
      <c r="CE30" s="1546">
        <f t="shared" si="12"/>
        <v>0</v>
      </c>
      <c r="CF30" s="1546">
        <f t="shared" si="12"/>
        <v>0</v>
      </c>
      <c r="CG30" s="1546">
        <f t="shared" si="12"/>
        <v>0</v>
      </c>
      <c r="CH30" s="1546">
        <f t="shared" si="12"/>
        <v>0</v>
      </c>
      <c r="CI30" s="1546">
        <f t="shared" si="12"/>
        <v>0</v>
      </c>
      <c r="CJ30" s="1546">
        <f t="shared" si="12"/>
        <v>0</v>
      </c>
      <c r="CL30" s="1546">
        <f t="shared" si="20"/>
        <v>0</v>
      </c>
      <c r="CM30" s="1546">
        <f t="shared" si="20"/>
        <v>0</v>
      </c>
      <c r="CN30" s="1546">
        <f t="shared" si="20"/>
        <v>0</v>
      </c>
      <c r="CO30" s="1546">
        <f t="shared" si="20"/>
        <v>0</v>
      </c>
      <c r="CQ30" s="1546">
        <f t="shared" si="9"/>
        <v>0</v>
      </c>
      <c r="CR30" s="1546">
        <f t="shared" si="21"/>
        <v>0</v>
      </c>
      <c r="CS30" s="1546">
        <f t="shared" si="21"/>
        <v>0</v>
      </c>
      <c r="CT30" s="1546">
        <f t="shared" si="21"/>
        <v>0</v>
      </c>
      <c r="CU30" s="1546">
        <f t="shared" si="21"/>
        <v>0</v>
      </c>
      <c r="CV30" s="1546">
        <f t="shared" si="21"/>
        <v>0</v>
      </c>
      <c r="CW30" s="1546">
        <f t="shared" si="21"/>
        <v>0</v>
      </c>
      <c r="CX30" s="1546">
        <f t="shared" si="21"/>
        <v>0</v>
      </c>
      <c r="CY30" s="1546">
        <f t="shared" si="21"/>
        <v>0</v>
      </c>
      <c r="CZ30" s="1546">
        <f t="shared" si="21"/>
        <v>0</v>
      </c>
      <c r="DA30" s="1546">
        <f t="shared" si="21"/>
        <v>0</v>
      </c>
      <c r="DB30" s="1546">
        <f t="shared" si="21"/>
        <v>0</v>
      </c>
      <c r="DC30" s="1546">
        <f t="shared" si="21"/>
        <v>0</v>
      </c>
      <c r="DD30" s="1546">
        <f t="shared" si="21"/>
        <v>0</v>
      </c>
      <c r="DE30" s="1546">
        <f t="shared" si="21"/>
        <v>0</v>
      </c>
      <c r="DF30" s="1546">
        <f t="shared" si="21"/>
        <v>0</v>
      </c>
      <c r="DG30" s="1546">
        <f t="shared" si="13"/>
        <v>1</v>
      </c>
      <c r="DI30" s="1546">
        <f t="shared" si="22"/>
        <v>0</v>
      </c>
      <c r="DJ30" s="1546">
        <f t="shared" si="22"/>
        <v>0</v>
      </c>
      <c r="DK30" s="1546">
        <f t="shared" si="22"/>
        <v>0</v>
      </c>
      <c r="DL30" s="1546">
        <f t="shared" si="22"/>
        <v>0</v>
      </c>
      <c r="DM30" s="1546">
        <f t="shared" si="22"/>
        <v>0</v>
      </c>
      <c r="DN30" s="1546">
        <f t="shared" si="22"/>
        <v>0</v>
      </c>
    </row>
    <row r="31" spans="1:118" x14ac:dyDescent="0.3">
      <c r="A31" s="285">
        <v>29</v>
      </c>
      <c r="B31" s="325">
        <f t="shared" si="0"/>
        <v>0</v>
      </c>
      <c r="C31" s="682"/>
      <c r="D31" s="683"/>
      <c r="E31" s="680"/>
      <c r="F31" s="713"/>
      <c r="G31" s="91" t="str">
        <f>IF($B31=0,"",VLOOKUP($B31,'Valve Data'!$1:$1048576,MATCH(G$1,'Valve Data'!$1:$1,0),0))</f>
        <v/>
      </c>
      <c r="H31" s="21" t="str">
        <f>IF($B31=0,"",VLOOKUP($B31,'Valve Data'!$1:$1048576,MATCH(H$1,'Valve Data'!$1:$1,0),0))</f>
        <v/>
      </c>
      <c r="I31" s="21" t="str">
        <f>IF($B31=0,"",VLOOKUP($B31,'Valve Data'!$1:$1048576,MATCH(I$1,'Valve Data'!$1:$1,0),0))</f>
        <v/>
      </c>
      <c r="J31" s="328" t="str">
        <f>IF($B31=0,"",VLOOKUP($B31,'Valve Data'!$1:$1048576,MATCH(J$1,'Valve Data'!$1:$1,0),0))</f>
        <v/>
      </c>
      <c r="K31" s="21" t="str">
        <f>IF($B31=0,"",VLOOKUP($B31,'Valve Data'!$1:$1048576,MATCH(K$1,'Valve Data'!$1:$1,0),0))</f>
        <v/>
      </c>
      <c r="L31" s="21" t="str">
        <f>IF($B31=0,"",VLOOKUP($B31,'Valve Data'!$1:$1048576,MATCH(L$1,'Valve Data'!$1:$1,0),0))</f>
        <v/>
      </c>
      <c r="M31" s="21" t="str">
        <f>IF($B31=0,"",VLOOKUP($B31,'Valve Data'!$1:$1048576,MATCH(M$1,'Valve Data'!$1:$1,0),0))</f>
        <v/>
      </c>
      <c r="N31" s="21" t="str">
        <f>IF($B31=0,"",VLOOKUP($B31,'Valve Data'!$1:$1048576,MATCH(N$1,'Valve Data'!$1:$1,0),0))</f>
        <v/>
      </c>
      <c r="O31" s="21" t="str">
        <f>IF($B31=0,"",VLOOKUP($B31,'Valve Data'!$1:$1048576,MATCH(O$1,'Valve Data'!$1:$1,0),0))</f>
        <v/>
      </c>
      <c r="P31" s="21" t="str">
        <f>IF($B31=0,"",VLOOKUP($B31,'Valve Data'!$1:$1048576,MATCH(P$1,'Valve Data'!$1:$1,0),0))</f>
        <v/>
      </c>
      <c r="Q31" s="21" t="str">
        <f>IF($B31=0,"",VLOOKUP($B31,'Valve Data'!$1:$1048576,MATCH(Q$1,'Valve Data'!$1:$1,0),0))</f>
        <v/>
      </c>
      <c r="R31" s="21" t="str">
        <f>IF($B31=0,"",VLOOKUP($B31,'Valve Data'!$1:$1048576,MATCH(R$1,'Valve Data'!$1:$1,0),0))</f>
        <v/>
      </c>
      <c r="S31" s="21" t="str">
        <f>IF($B31=0,"",VLOOKUP($B31,'Valve Data'!$1:$1048576,MATCH(S$1,'Valve Data'!$1:$1,0),0))</f>
        <v/>
      </c>
      <c r="T31" s="331" t="str">
        <f>IF($B31=0,"",VLOOKUP($B31,'Valve Data'!$1:$1048576,MATCH(T$1,'Valve Data'!$1:$1,0),0))</f>
        <v/>
      </c>
      <c r="U31" s="91" t="str">
        <f>IF($B31=0,"",VLOOKUP($B31,'Valve Data'!$1:$1048576,MATCH(U$1,'Valve Data'!$1:$1,0),0))</f>
        <v/>
      </c>
      <c r="V31" s="21" t="str">
        <f>IF($B31=0,"",VLOOKUP($B31,'Valve Data'!$1:$1048576,MATCH(V$1,'Valve Data'!$1:$1,0),0))</f>
        <v/>
      </c>
      <c r="W31" s="21" t="str">
        <f>IF($B31=0,"",VLOOKUP($B31,'Valve Data'!$1:$1048576,MATCH(W$1,'Valve Data'!$1:$1,0),0))</f>
        <v/>
      </c>
      <c r="X31" s="331" t="str">
        <f>IF($B31=0,"",VLOOKUP($B31,'Valve Data'!$1:$1048576,MATCH(X$1,'Valve Data'!$1:$1,0),0))</f>
        <v/>
      </c>
      <c r="Y31" s="865"/>
      <c r="Z31" s="683"/>
      <c r="AA31" s="680"/>
      <c r="AB31" s="680"/>
      <c r="AC31" s="680"/>
      <c r="AD31" s="680"/>
      <c r="AE31" s="868"/>
      <c r="AF31" s="866"/>
      <c r="AG31" s="680"/>
      <c r="AH31" s="680"/>
      <c r="AI31" s="680"/>
      <c r="AJ31" s="680"/>
      <c r="AK31" s="680"/>
      <c r="AL31" s="680"/>
      <c r="AM31" s="680"/>
      <c r="AN31" s="680"/>
      <c r="AO31" s="680"/>
      <c r="AP31" s="684"/>
      <c r="AQ31" s="684"/>
      <c r="AR31" s="684"/>
      <c r="AS31" s="684"/>
      <c r="AT31" s="684"/>
      <c r="AU31" s="684"/>
      <c r="AV31" s="271">
        <f t="shared" si="1"/>
        <v>0</v>
      </c>
      <c r="AW31" s="680"/>
      <c r="AX31" s="845">
        <f>IF(F31="Ball_valve",IFERROR(VLOOKUP(E31&amp;"."&amp;D31,'Ball Valves Chart'!$1:$1048576,MATCH(G31,'Ball Valves Chart'!$3:$3,0),0),0),0)+IF(F31="DBB",IFERROR(VLOOKUP(E31&amp;"."&amp;D31,'Ball Valves Chart'!$1:$1048576,MATCH(G31,'Ball Valves Chart'!$3:$3,0),0)*2,0),0)+IFERROR(VLOOKUP(D31&amp;"."&amp;F31,'Manual Valves Chart'!$1:$1048576,MATCH('Valve List'!G31,'Manual Valves Chart'!$1:$1,0),0),0)</f>
        <v>0</v>
      </c>
      <c r="AY31" s="846">
        <f t="shared" si="2"/>
        <v>0</v>
      </c>
      <c r="AZ31" s="854"/>
      <c r="BA31" s="856">
        <f t="shared" si="3"/>
        <v>0</v>
      </c>
      <c r="BC31" s="852">
        <f t="shared" si="4"/>
        <v>0</v>
      </c>
      <c r="BD31" s="398"/>
      <c r="BE31" s="1546">
        <f t="shared" si="18"/>
        <v>0</v>
      </c>
      <c r="BF31" s="1546">
        <f t="shared" si="18"/>
        <v>0</v>
      </c>
      <c r="BG31" s="1546">
        <f t="shared" si="18"/>
        <v>0</v>
      </c>
      <c r="BH31" s="1546">
        <f t="shared" si="18"/>
        <v>0</v>
      </c>
      <c r="BI31" s="1546">
        <f t="shared" si="18"/>
        <v>0</v>
      </c>
      <c r="BJ31" s="1546">
        <f t="shared" si="18"/>
        <v>0</v>
      </c>
      <c r="BK31" s="1546">
        <f t="shared" si="18"/>
        <v>0</v>
      </c>
      <c r="BL31" s="1546">
        <f t="shared" si="18"/>
        <v>0</v>
      </c>
      <c r="BM31" s="1546">
        <f t="shared" si="18"/>
        <v>0</v>
      </c>
      <c r="BN31" s="1546">
        <f t="shared" si="18"/>
        <v>0</v>
      </c>
      <c r="BO31" s="1546">
        <f t="shared" si="19"/>
        <v>0</v>
      </c>
      <c r="BP31" s="1546">
        <f t="shared" si="19"/>
        <v>0</v>
      </c>
      <c r="BQ31" s="1546">
        <f t="shared" si="19"/>
        <v>0</v>
      </c>
      <c r="BR31" s="1546">
        <f t="shared" si="19"/>
        <v>0</v>
      </c>
      <c r="BS31" s="1546">
        <f t="shared" si="19"/>
        <v>0</v>
      </c>
      <c r="BT31" s="1546">
        <f t="shared" si="19"/>
        <v>0</v>
      </c>
      <c r="BU31" s="1546">
        <f t="shared" si="19"/>
        <v>0</v>
      </c>
      <c r="BV31" s="1546">
        <f t="shared" si="19"/>
        <v>0</v>
      </c>
      <c r="BX31" s="1546">
        <f t="shared" si="12"/>
        <v>0</v>
      </c>
      <c r="BY31" s="1546">
        <f t="shared" si="12"/>
        <v>0</v>
      </c>
      <c r="BZ31" s="1546">
        <f t="shared" si="12"/>
        <v>0</v>
      </c>
      <c r="CA31" s="1546">
        <f t="shared" si="12"/>
        <v>0</v>
      </c>
      <c r="CB31" s="1546">
        <f t="shared" si="12"/>
        <v>0</v>
      </c>
      <c r="CC31" s="1546">
        <f t="shared" si="12"/>
        <v>0</v>
      </c>
      <c r="CD31" s="1546">
        <f t="shared" si="12"/>
        <v>0</v>
      </c>
      <c r="CE31" s="1546">
        <f t="shared" si="12"/>
        <v>0</v>
      </c>
      <c r="CF31" s="1546">
        <f t="shared" si="12"/>
        <v>0</v>
      </c>
      <c r="CG31" s="1546">
        <f t="shared" si="12"/>
        <v>0</v>
      </c>
      <c r="CH31" s="1546">
        <f t="shared" si="12"/>
        <v>0</v>
      </c>
      <c r="CI31" s="1546">
        <f t="shared" si="12"/>
        <v>0</v>
      </c>
      <c r="CJ31" s="1546">
        <f t="shared" si="12"/>
        <v>0</v>
      </c>
      <c r="CL31" s="1546">
        <f t="shared" si="20"/>
        <v>0</v>
      </c>
      <c r="CM31" s="1546">
        <f t="shared" si="20"/>
        <v>0</v>
      </c>
      <c r="CN31" s="1546">
        <f t="shared" si="20"/>
        <v>0</v>
      </c>
      <c r="CO31" s="1546">
        <f t="shared" si="20"/>
        <v>0</v>
      </c>
      <c r="CQ31" s="1546">
        <f t="shared" si="9"/>
        <v>0</v>
      </c>
      <c r="CR31" s="1546">
        <f t="shared" si="21"/>
        <v>0</v>
      </c>
      <c r="CS31" s="1546">
        <f t="shared" si="21"/>
        <v>0</v>
      </c>
      <c r="CT31" s="1546">
        <f t="shared" si="21"/>
        <v>0</v>
      </c>
      <c r="CU31" s="1546">
        <f t="shared" si="21"/>
        <v>0</v>
      </c>
      <c r="CV31" s="1546">
        <f t="shared" si="21"/>
        <v>0</v>
      </c>
      <c r="CW31" s="1546">
        <f t="shared" si="21"/>
        <v>0</v>
      </c>
      <c r="CX31" s="1546">
        <f t="shared" si="21"/>
        <v>0</v>
      </c>
      <c r="CY31" s="1546">
        <f t="shared" si="21"/>
        <v>0</v>
      </c>
      <c r="CZ31" s="1546">
        <f t="shared" si="21"/>
        <v>0</v>
      </c>
      <c r="DA31" s="1546">
        <f t="shared" si="21"/>
        <v>0</v>
      </c>
      <c r="DB31" s="1546">
        <f t="shared" si="21"/>
        <v>0</v>
      </c>
      <c r="DC31" s="1546">
        <f t="shared" si="21"/>
        <v>0</v>
      </c>
      <c r="DD31" s="1546">
        <f t="shared" si="21"/>
        <v>0</v>
      </c>
      <c r="DE31" s="1546">
        <f t="shared" si="21"/>
        <v>0</v>
      </c>
      <c r="DF31" s="1546">
        <f t="shared" si="21"/>
        <v>0</v>
      </c>
      <c r="DG31" s="1546">
        <f t="shared" si="13"/>
        <v>1</v>
      </c>
      <c r="DI31" s="1546">
        <f t="shared" si="22"/>
        <v>0</v>
      </c>
      <c r="DJ31" s="1546">
        <f t="shared" si="22"/>
        <v>0</v>
      </c>
      <c r="DK31" s="1546">
        <f t="shared" si="22"/>
        <v>0</v>
      </c>
      <c r="DL31" s="1546">
        <f t="shared" si="22"/>
        <v>0</v>
      </c>
      <c r="DM31" s="1546">
        <f t="shared" si="22"/>
        <v>0</v>
      </c>
      <c r="DN31" s="1546">
        <f t="shared" si="22"/>
        <v>0</v>
      </c>
    </row>
    <row r="32" spans="1:118" x14ac:dyDescent="0.3">
      <c r="A32" s="285">
        <v>36</v>
      </c>
      <c r="B32" s="325">
        <f t="shared" si="0"/>
        <v>0</v>
      </c>
      <c r="C32" s="682"/>
      <c r="D32" s="683"/>
      <c r="E32" s="680"/>
      <c r="F32" s="713"/>
      <c r="G32" s="91" t="str">
        <f>IF($B32=0,"",VLOOKUP($B32,'Valve Data'!$1:$1048576,MATCH(G$1,'Valve Data'!$1:$1,0),0))</f>
        <v/>
      </c>
      <c r="H32" s="21" t="str">
        <f>IF($B32=0,"",VLOOKUP($B32,'Valve Data'!$1:$1048576,MATCH(H$1,'Valve Data'!$1:$1,0),0))</f>
        <v/>
      </c>
      <c r="I32" s="21" t="str">
        <f>IF($B32=0,"",VLOOKUP($B32,'Valve Data'!$1:$1048576,MATCH(I$1,'Valve Data'!$1:$1,0),0))</f>
        <v/>
      </c>
      <c r="J32" s="328" t="str">
        <f>IF($B32=0,"",VLOOKUP($B32,'Valve Data'!$1:$1048576,MATCH(J$1,'Valve Data'!$1:$1,0),0))</f>
        <v/>
      </c>
      <c r="K32" s="21" t="str">
        <f>IF($B32=0,"",VLOOKUP($B32,'Valve Data'!$1:$1048576,MATCH(K$1,'Valve Data'!$1:$1,0),0))</f>
        <v/>
      </c>
      <c r="L32" s="21" t="str">
        <f>IF($B32=0,"",VLOOKUP($B32,'Valve Data'!$1:$1048576,MATCH(L$1,'Valve Data'!$1:$1,0),0))</f>
        <v/>
      </c>
      <c r="M32" s="21" t="str">
        <f>IF($B32=0,"",VLOOKUP($B32,'Valve Data'!$1:$1048576,MATCH(M$1,'Valve Data'!$1:$1,0),0))</f>
        <v/>
      </c>
      <c r="N32" s="21" t="str">
        <f>IF($B32=0,"",VLOOKUP($B32,'Valve Data'!$1:$1048576,MATCH(N$1,'Valve Data'!$1:$1,0),0))</f>
        <v/>
      </c>
      <c r="O32" s="21" t="str">
        <f>IF($B32=0,"",VLOOKUP($B32,'Valve Data'!$1:$1048576,MATCH(O$1,'Valve Data'!$1:$1,0),0))</f>
        <v/>
      </c>
      <c r="P32" s="21" t="str">
        <f>IF($B32=0,"",VLOOKUP($B32,'Valve Data'!$1:$1048576,MATCH(P$1,'Valve Data'!$1:$1,0),0))</f>
        <v/>
      </c>
      <c r="Q32" s="21" t="str">
        <f>IF($B32=0,"",VLOOKUP($B32,'Valve Data'!$1:$1048576,MATCH(Q$1,'Valve Data'!$1:$1,0),0))</f>
        <v/>
      </c>
      <c r="R32" s="21" t="str">
        <f>IF($B32=0,"",VLOOKUP($B32,'Valve Data'!$1:$1048576,MATCH(R$1,'Valve Data'!$1:$1,0),0))</f>
        <v/>
      </c>
      <c r="S32" s="21" t="str">
        <f>IF($B32=0,"",VLOOKUP($B32,'Valve Data'!$1:$1048576,MATCH(S$1,'Valve Data'!$1:$1,0),0))</f>
        <v/>
      </c>
      <c r="T32" s="331" t="str">
        <f>IF($B32=0,"",VLOOKUP($B32,'Valve Data'!$1:$1048576,MATCH(T$1,'Valve Data'!$1:$1,0),0))</f>
        <v/>
      </c>
      <c r="U32" s="91" t="str">
        <f>IF($B32=0,"",VLOOKUP($B32,'Valve Data'!$1:$1048576,MATCH(U$1,'Valve Data'!$1:$1,0),0))</f>
        <v/>
      </c>
      <c r="V32" s="21" t="str">
        <f>IF($B32=0,"",VLOOKUP($B32,'Valve Data'!$1:$1048576,MATCH(V$1,'Valve Data'!$1:$1,0),0))</f>
        <v/>
      </c>
      <c r="W32" s="21" t="str">
        <f>IF($B32=0,"",VLOOKUP($B32,'Valve Data'!$1:$1048576,MATCH(W$1,'Valve Data'!$1:$1,0),0))</f>
        <v/>
      </c>
      <c r="X32" s="331" t="str">
        <f>IF($B32=0,"",VLOOKUP($B32,'Valve Data'!$1:$1048576,MATCH(X$1,'Valve Data'!$1:$1,0),0))</f>
        <v/>
      </c>
      <c r="Y32" s="865"/>
      <c r="Z32" s="683"/>
      <c r="AA32" s="680"/>
      <c r="AB32" s="680"/>
      <c r="AC32" s="680"/>
      <c r="AD32" s="680"/>
      <c r="AE32" s="868"/>
      <c r="AF32" s="866"/>
      <c r="AG32" s="680"/>
      <c r="AH32" s="680"/>
      <c r="AI32" s="680"/>
      <c r="AJ32" s="680"/>
      <c r="AK32" s="680"/>
      <c r="AL32" s="680"/>
      <c r="AM32" s="680"/>
      <c r="AN32" s="680"/>
      <c r="AO32" s="680"/>
      <c r="AP32" s="684"/>
      <c r="AQ32" s="684"/>
      <c r="AR32" s="684"/>
      <c r="AS32" s="684"/>
      <c r="AT32" s="684"/>
      <c r="AU32" s="684"/>
      <c r="AV32" s="271">
        <f t="shared" si="1"/>
        <v>0</v>
      </c>
      <c r="AW32" s="680"/>
      <c r="AX32" s="845">
        <f>IF(F32="Ball_valve",IFERROR(VLOOKUP(E32&amp;"."&amp;D32,'Ball Valves Chart'!$1:$1048576,MATCH(G32,'Ball Valves Chart'!$3:$3,0),0),0),0)+IF(F32="DBB",IFERROR(VLOOKUP(E32&amp;"."&amp;D32,'Ball Valves Chart'!$1:$1048576,MATCH(G32,'Ball Valves Chart'!$3:$3,0),0)*2,0),0)+IFERROR(VLOOKUP(D32&amp;"."&amp;F32,'Manual Valves Chart'!$1:$1048576,MATCH('Valve List'!G38,'Manual Valves Chart'!$1:$1,0),0),0)</f>
        <v>0</v>
      </c>
      <c r="AY32" s="846">
        <f t="shared" si="2"/>
        <v>0</v>
      </c>
      <c r="AZ32" s="854"/>
      <c r="BA32" s="856">
        <f t="shared" si="3"/>
        <v>0</v>
      </c>
      <c r="BB32" s="286"/>
      <c r="BC32" s="852">
        <f t="shared" si="4"/>
        <v>0</v>
      </c>
      <c r="BD32" s="398"/>
      <c r="BE32" s="1546">
        <f t="shared" si="18"/>
        <v>0</v>
      </c>
      <c r="BF32" s="1546">
        <f t="shared" si="18"/>
        <v>0</v>
      </c>
      <c r="BG32" s="1546">
        <f t="shared" si="18"/>
        <v>0</v>
      </c>
      <c r="BH32" s="1546">
        <f t="shared" si="18"/>
        <v>0</v>
      </c>
      <c r="BI32" s="1546">
        <f t="shared" si="18"/>
        <v>0</v>
      </c>
      <c r="BJ32" s="1546">
        <f t="shared" si="18"/>
        <v>0</v>
      </c>
      <c r="BK32" s="1546">
        <f t="shared" si="18"/>
        <v>0</v>
      </c>
      <c r="BL32" s="1546">
        <f t="shared" si="18"/>
        <v>0</v>
      </c>
      <c r="BM32" s="1546">
        <f t="shared" si="18"/>
        <v>0</v>
      </c>
      <c r="BN32" s="1546">
        <f t="shared" si="18"/>
        <v>0</v>
      </c>
      <c r="BO32" s="1546">
        <f t="shared" si="19"/>
        <v>0</v>
      </c>
      <c r="BP32" s="1546">
        <f t="shared" si="19"/>
        <v>0</v>
      </c>
      <c r="BQ32" s="1546">
        <f t="shared" si="19"/>
        <v>0</v>
      </c>
      <c r="BR32" s="1546">
        <f t="shared" si="19"/>
        <v>0</v>
      </c>
      <c r="BS32" s="1546">
        <f t="shared" si="19"/>
        <v>0</v>
      </c>
      <c r="BT32" s="1546">
        <f t="shared" si="19"/>
        <v>0</v>
      </c>
      <c r="BU32" s="1546">
        <f t="shared" si="19"/>
        <v>0</v>
      </c>
      <c r="BV32" s="1546">
        <f t="shared" si="19"/>
        <v>0</v>
      </c>
      <c r="BX32" s="1546">
        <f t="shared" si="12"/>
        <v>0</v>
      </c>
      <c r="BY32" s="1546">
        <f t="shared" si="12"/>
        <v>0</v>
      </c>
      <c r="BZ32" s="1546">
        <f t="shared" si="12"/>
        <v>0</v>
      </c>
      <c r="CA32" s="1546">
        <f t="shared" si="12"/>
        <v>0</v>
      </c>
      <c r="CB32" s="1546">
        <f t="shared" si="12"/>
        <v>0</v>
      </c>
      <c r="CC32" s="1546">
        <f t="shared" si="12"/>
        <v>0</v>
      </c>
      <c r="CD32" s="1546">
        <f t="shared" si="12"/>
        <v>0</v>
      </c>
      <c r="CE32" s="1546">
        <f t="shared" si="12"/>
        <v>0</v>
      </c>
      <c r="CF32" s="1546">
        <f t="shared" si="12"/>
        <v>0</v>
      </c>
      <c r="CG32" s="1546">
        <f t="shared" si="12"/>
        <v>0</v>
      </c>
      <c r="CH32" s="1546">
        <f t="shared" si="12"/>
        <v>0</v>
      </c>
      <c r="CI32" s="1546">
        <f t="shared" si="12"/>
        <v>0</v>
      </c>
      <c r="CJ32" s="1546">
        <f t="shared" si="12"/>
        <v>0</v>
      </c>
      <c r="CL32" s="1546">
        <f t="shared" si="20"/>
        <v>0</v>
      </c>
      <c r="CM32" s="1546">
        <f t="shared" si="20"/>
        <v>0</v>
      </c>
      <c r="CN32" s="1546">
        <f t="shared" si="20"/>
        <v>0</v>
      </c>
      <c r="CO32" s="1546">
        <f t="shared" si="20"/>
        <v>0</v>
      </c>
      <c r="CQ32" s="1546">
        <f t="shared" si="9"/>
        <v>0</v>
      </c>
      <c r="CR32" s="1546">
        <f t="shared" si="21"/>
        <v>0</v>
      </c>
      <c r="CS32" s="1546">
        <f t="shared" si="21"/>
        <v>0</v>
      </c>
      <c r="CT32" s="1546">
        <f t="shared" si="21"/>
        <v>0</v>
      </c>
      <c r="CU32" s="1546">
        <f t="shared" si="21"/>
        <v>0</v>
      </c>
      <c r="CV32" s="1546">
        <f t="shared" si="21"/>
        <v>0</v>
      </c>
      <c r="CW32" s="1546">
        <f t="shared" si="21"/>
        <v>0</v>
      </c>
      <c r="CX32" s="1546">
        <f t="shared" si="21"/>
        <v>0</v>
      </c>
      <c r="CY32" s="1546">
        <f t="shared" si="21"/>
        <v>0</v>
      </c>
      <c r="CZ32" s="1546">
        <f t="shared" si="21"/>
        <v>0</v>
      </c>
      <c r="DA32" s="1546">
        <f t="shared" si="21"/>
        <v>0</v>
      </c>
      <c r="DB32" s="1546">
        <f t="shared" si="21"/>
        <v>0</v>
      </c>
      <c r="DC32" s="1546">
        <f t="shared" si="21"/>
        <v>0</v>
      </c>
      <c r="DD32" s="1546">
        <f t="shared" si="21"/>
        <v>0</v>
      </c>
      <c r="DE32" s="1546">
        <f t="shared" si="21"/>
        <v>0</v>
      </c>
      <c r="DF32" s="1546">
        <f t="shared" si="21"/>
        <v>0</v>
      </c>
      <c r="DG32" s="1546">
        <f t="shared" si="13"/>
        <v>1</v>
      </c>
      <c r="DI32" s="1546">
        <f t="shared" si="22"/>
        <v>0</v>
      </c>
      <c r="DJ32" s="1546">
        <f t="shared" si="22"/>
        <v>0</v>
      </c>
      <c r="DK32" s="1546">
        <f t="shared" si="22"/>
        <v>0</v>
      </c>
      <c r="DL32" s="1546">
        <f t="shared" si="22"/>
        <v>0</v>
      </c>
      <c r="DM32" s="1546">
        <f t="shared" si="22"/>
        <v>0</v>
      </c>
      <c r="DN32" s="1546">
        <f t="shared" si="22"/>
        <v>0</v>
      </c>
    </row>
    <row r="33" spans="1:118" x14ac:dyDescent="0.3">
      <c r="A33" s="285">
        <v>37</v>
      </c>
      <c r="B33" s="325">
        <f t="shared" si="0"/>
        <v>0</v>
      </c>
      <c r="C33" s="682"/>
      <c r="D33" s="683"/>
      <c r="E33" s="680"/>
      <c r="F33" s="713"/>
      <c r="G33" s="91" t="str">
        <f>IF($B33=0,"",VLOOKUP($B33,'Valve Data'!$1:$1048576,MATCH(G$1,'Valve Data'!$1:$1,0),0))</f>
        <v/>
      </c>
      <c r="H33" s="21" t="str">
        <f>IF($B33=0,"",VLOOKUP($B33,'Valve Data'!$1:$1048576,MATCH(H$1,'Valve Data'!$1:$1,0),0))</f>
        <v/>
      </c>
      <c r="I33" s="21" t="str">
        <f>IF($B33=0,"",VLOOKUP($B33,'Valve Data'!$1:$1048576,MATCH(I$1,'Valve Data'!$1:$1,0),0))</f>
        <v/>
      </c>
      <c r="J33" s="328" t="str">
        <f>IF($B33=0,"",VLOOKUP($B33,'Valve Data'!$1:$1048576,MATCH(J$1,'Valve Data'!$1:$1,0),0))</f>
        <v/>
      </c>
      <c r="K33" s="21" t="str">
        <f>IF($B33=0,"",VLOOKUP($B33,'Valve Data'!$1:$1048576,MATCH(K$1,'Valve Data'!$1:$1,0),0))</f>
        <v/>
      </c>
      <c r="L33" s="21" t="str">
        <f>IF($B33=0,"",VLOOKUP($B33,'Valve Data'!$1:$1048576,MATCH(L$1,'Valve Data'!$1:$1,0),0))</f>
        <v/>
      </c>
      <c r="M33" s="21" t="str">
        <f>IF($B33=0,"",VLOOKUP($B33,'Valve Data'!$1:$1048576,MATCH(M$1,'Valve Data'!$1:$1,0),0))</f>
        <v/>
      </c>
      <c r="N33" s="21" t="str">
        <f>IF($B33=0,"",VLOOKUP($B33,'Valve Data'!$1:$1048576,MATCH(N$1,'Valve Data'!$1:$1,0),0))</f>
        <v/>
      </c>
      <c r="O33" s="21" t="str">
        <f>IF($B33=0,"",VLOOKUP($B33,'Valve Data'!$1:$1048576,MATCH(O$1,'Valve Data'!$1:$1,0),0))</f>
        <v/>
      </c>
      <c r="P33" s="21" t="str">
        <f>IF($B33=0,"",VLOOKUP($B33,'Valve Data'!$1:$1048576,MATCH(P$1,'Valve Data'!$1:$1,0),0))</f>
        <v/>
      </c>
      <c r="Q33" s="21" t="str">
        <f>IF($B33=0,"",VLOOKUP($B33,'Valve Data'!$1:$1048576,MATCH(Q$1,'Valve Data'!$1:$1,0),0))</f>
        <v/>
      </c>
      <c r="R33" s="21" t="str">
        <f>IF($B33=0,"",VLOOKUP($B33,'Valve Data'!$1:$1048576,MATCH(R$1,'Valve Data'!$1:$1,0),0))</f>
        <v/>
      </c>
      <c r="S33" s="21" t="str">
        <f>IF($B33=0,"",VLOOKUP($B33,'Valve Data'!$1:$1048576,MATCH(S$1,'Valve Data'!$1:$1,0),0))</f>
        <v/>
      </c>
      <c r="T33" s="331" t="str">
        <f>IF($B33=0,"",VLOOKUP($B33,'Valve Data'!$1:$1048576,MATCH(T$1,'Valve Data'!$1:$1,0),0))</f>
        <v/>
      </c>
      <c r="U33" s="91" t="str">
        <f>IF($B33=0,"",VLOOKUP($B33,'Valve Data'!$1:$1048576,MATCH(U$1,'Valve Data'!$1:$1,0),0))</f>
        <v/>
      </c>
      <c r="V33" s="21" t="str">
        <f>IF($B33=0,"",VLOOKUP($B33,'Valve Data'!$1:$1048576,MATCH(V$1,'Valve Data'!$1:$1,0),0))</f>
        <v/>
      </c>
      <c r="W33" s="21" t="str">
        <f>IF($B33=0,"",VLOOKUP($B33,'Valve Data'!$1:$1048576,MATCH(W$1,'Valve Data'!$1:$1,0),0))</f>
        <v/>
      </c>
      <c r="X33" s="331" t="str">
        <f>IF($B33=0,"",VLOOKUP($B33,'Valve Data'!$1:$1048576,MATCH(X$1,'Valve Data'!$1:$1,0),0))</f>
        <v/>
      </c>
      <c r="Y33" s="865"/>
      <c r="Z33" s="683"/>
      <c r="AA33" s="680"/>
      <c r="AB33" s="680"/>
      <c r="AC33" s="680"/>
      <c r="AD33" s="680"/>
      <c r="AE33" s="868"/>
      <c r="AF33" s="866"/>
      <c r="AG33" s="680"/>
      <c r="AH33" s="680"/>
      <c r="AI33" s="680"/>
      <c r="AJ33" s="680"/>
      <c r="AK33" s="680"/>
      <c r="AL33" s="680"/>
      <c r="AM33" s="680"/>
      <c r="AN33" s="680"/>
      <c r="AO33" s="680"/>
      <c r="AP33" s="684"/>
      <c r="AQ33" s="684"/>
      <c r="AR33" s="684"/>
      <c r="AS33" s="684"/>
      <c r="AT33" s="684"/>
      <c r="AU33" s="684"/>
      <c r="AV33" s="271">
        <f t="shared" si="1"/>
        <v>0</v>
      </c>
      <c r="AW33" s="680"/>
      <c r="AX33" s="845">
        <f>IF(F33="Ball_valve",IFERROR(VLOOKUP(E33&amp;"."&amp;D33,'Ball Valves Chart'!$1:$1048576,MATCH(G33,'Ball Valves Chart'!$3:$3,0),0),0),0)+IF(F33="DBB",IFERROR(VLOOKUP(E33&amp;"."&amp;D33,'Ball Valves Chart'!$1:$1048576,MATCH(G33,'Ball Valves Chart'!$3:$3,0),0)*2,0),0)+IFERROR(VLOOKUP(D33&amp;"."&amp;F33,'Manual Valves Chart'!$1:$1048576,MATCH('Valve List'!G39,'Manual Valves Chart'!$1:$1,0),0),0)</f>
        <v>0</v>
      </c>
      <c r="AY33" s="846">
        <f t="shared" si="2"/>
        <v>0</v>
      </c>
      <c r="AZ33" s="854"/>
      <c r="BA33" s="856">
        <f t="shared" si="3"/>
        <v>0</v>
      </c>
      <c r="BC33" s="852">
        <f t="shared" si="4"/>
        <v>0</v>
      </c>
      <c r="BD33" s="398"/>
      <c r="BE33" s="1546">
        <f t="shared" ref="BE33:BN42" si="23">IF(BE$2=$D33,1,0)</f>
        <v>0</v>
      </c>
      <c r="BF33" s="1546">
        <f t="shared" si="23"/>
        <v>0</v>
      </c>
      <c r="BG33" s="1546">
        <f t="shared" si="23"/>
        <v>0</v>
      </c>
      <c r="BH33" s="1546">
        <f t="shared" si="23"/>
        <v>0</v>
      </c>
      <c r="BI33" s="1546">
        <f t="shared" si="23"/>
        <v>0</v>
      </c>
      <c r="BJ33" s="1546">
        <f t="shared" si="23"/>
        <v>0</v>
      </c>
      <c r="BK33" s="1546">
        <f t="shared" si="23"/>
        <v>0</v>
      </c>
      <c r="BL33" s="1546">
        <f t="shared" si="23"/>
        <v>0</v>
      </c>
      <c r="BM33" s="1546">
        <f t="shared" si="23"/>
        <v>0</v>
      </c>
      <c r="BN33" s="1546">
        <f t="shared" si="23"/>
        <v>0</v>
      </c>
      <c r="BO33" s="1546">
        <f t="shared" ref="BO33:BV42" si="24">IF(BO$2=$D33,1,0)</f>
        <v>0</v>
      </c>
      <c r="BP33" s="1546">
        <f t="shared" si="24"/>
        <v>0</v>
      </c>
      <c r="BQ33" s="1546">
        <f t="shared" si="24"/>
        <v>0</v>
      </c>
      <c r="BR33" s="1546">
        <f t="shared" si="24"/>
        <v>0</v>
      </c>
      <c r="BS33" s="1546">
        <f t="shared" si="24"/>
        <v>0</v>
      </c>
      <c r="BT33" s="1546">
        <f t="shared" si="24"/>
        <v>0</v>
      </c>
      <c r="BU33" s="1546">
        <f t="shared" si="24"/>
        <v>0</v>
      </c>
      <c r="BV33" s="1546">
        <f t="shared" si="24"/>
        <v>0</v>
      </c>
      <c r="BX33" s="1546">
        <f t="shared" si="12"/>
        <v>0</v>
      </c>
      <c r="BY33" s="1546">
        <f t="shared" si="12"/>
        <v>0</v>
      </c>
      <c r="BZ33" s="1546">
        <f t="shared" si="12"/>
        <v>0</v>
      </c>
      <c r="CA33" s="1546">
        <f t="shared" si="12"/>
        <v>0</v>
      </c>
      <c r="CB33" s="1546">
        <f t="shared" si="12"/>
        <v>0</v>
      </c>
      <c r="CC33" s="1546">
        <f t="shared" si="12"/>
        <v>0</v>
      </c>
      <c r="CD33" s="1546">
        <f t="shared" si="12"/>
        <v>0</v>
      </c>
      <c r="CE33" s="1546">
        <f t="shared" si="12"/>
        <v>0</v>
      </c>
      <c r="CF33" s="1546">
        <f t="shared" si="12"/>
        <v>0</v>
      </c>
      <c r="CG33" s="1546">
        <f t="shared" si="12"/>
        <v>0</v>
      </c>
      <c r="CH33" s="1546">
        <f t="shared" si="12"/>
        <v>0</v>
      </c>
      <c r="CI33" s="1546">
        <f t="shared" si="12"/>
        <v>0</v>
      </c>
      <c r="CJ33" s="1546">
        <f t="shared" si="12"/>
        <v>0</v>
      </c>
      <c r="CL33" s="1546">
        <f t="shared" si="20"/>
        <v>0</v>
      </c>
      <c r="CM33" s="1546">
        <f t="shared" si="20"/>
        <v>0</v>
      </c>
      <c r="CN33" s="1546">
        <f t="shared" si="20"/>
        <v>0</v>
      </c>
      <c r="CO33" s="1546">
        <f t="shared" si="20"/>
        <v>0</v>
      </c>
      <c r="CQ33" s="1546">
        <f t="shared" si="9"/>
        <v>0</v>
      </c>
      <c r="CR33" s="1546">
        <f t="shared" ref="CR33:DF42" si="25">IF(CR$2=0,0,IF($AW33=CR$2,1,0))</f>
        <v>0</v>
      </c>
      <c r="CS33" s="1546">
        <f t="shared" si="25"/>
        <v>0</v>
      </c>
      <c r="CT33" s="1546">
        <f t="shared" si="25"/>
        <v>0</v>
      </c>
      <c r="CU33" s="1546">
        <f t="shared" si="25"/>
        <v>0</v>
      </c>
      <c r="CV33" s="1546">
        <f t="shared" si="25"/>
        <v>0</v>
      </c>
      <c r="CW33" s="1546">
        <f t="shared" si="25"/>
        <v>0</v>
      </c>
      <c r="CX33" s="1546">
        <f t="shared" si="25"/>
        <v>0</v>
      </c>
      <c r="CY33" s="1546">
        <f t="shared" si="25"/>
        <v>0</v>
      </c>
      <c r="CZ33" s="1546">
        <f t="shared" si="25"/>
        <v>0</v>
      </c>
      <c r="DA33" s="1546">
        <f t="shared" si="25"/>
        <v>0</v>
      </c>
      <c r="DB33" s="1546">
        <f t="shared" si="25"/>
        <v>0</v>
      </c>
      <c r="DC33" s="1546">
        <f t="shared" si="25"/>
        <v>0</v>
      </c>
      <c r="DD33" s="1546">
        <f t="shared" si="25"/>
        <v>0</v>
      </c>
      <c r="DE33" s="1546">
        <f t="shared" si="25"/>
        <v>0</v>
      </c>
      <c r="DF33" s="1546">
        <f t="shared" si="25"/>
        <v>0</v>
      </c>
      <c r="DG33" s="1546">
        <f t="shared" si="13"/>
        <v>1</v>
      </c>
      <c r="DI33" s="1546">
        <f t="shared" ref="DI33:DN42" si="26">IF($G33=DI$2,1,0)</f>
        <v>0</v>
      </c>
      <c r="DJ33" s="1546">
        <f t="shared" si="26"/>
        <v>0</v>
      </c>
      <c r="DK33" s="1546">
        <f t="shared" si="26"/>
        <v>0</v>
      </c>
      <c r="DL33" s="1546">
        <f t="shared" si="26"/>
        <v>0</v>
      </c>
      <c r="DM33" s="1546">
        <f t="shared" si="26"/>
        <v>0</v>
      </c>
      <c r="DN33" s="1546">
        <f t="shared" si="26"/>
        <v>0</v>
      </c>
    </row>
    <row r="34" spans="1:118" x14ac:dyDescent="0.3">
      <c r="A34" s="285">
        <v>39</v>
      </c>
      <c r="B34" s="325">
        <f t="shared" si="0"/>
        <v>0</v>
      </c>
      <c r="C34" s="682"/>
      <c r="D34" s="683"/>
      <c r="E34" s="680"/>
      <c r="F34" s="713"/>
      <c r="G34" s="91" t="str">
        <f>IF($B34=0,"",VLOOKUP($B34,'Valve Data'!$1:$1048576,MATCH(G$1,'Valve Data'!$1:$1,0),0))</f>
        <v/>
      </c>
      <c r="H34" s="21" t="str">
        <f>IF($B34=0,"",VLOOKUP($B34,'Valve Data'!$1:$1048576,MATCH(H$1,'Valve Data'!$1:$1,0),0))</f>
        <v/>
      </c>
      <c r="I34" s="21" t="str">
        <f>IF($B34=0,"",VLOOKUP($B34,'Valve Data'!$1:$1048576,MATCH(I$1,'Valve Data'!$1:$1,0),0))</f>
        <v/>
      </c>
      <c r="J34" s="328" t="str">
        <f>IF($B34=0,"",VLOOKUP($B34,'Valve Data'!$1:$1048576,MATCH(J$1,'Valve Data'!$1:$1,0),0))</f>
        <v/>
      </c>
      <c r="K34" s="21" t="str">
        <f>IF($B34=0,"",VLOOKUP($B34,'Valve Data'!$1:$1048576,MATCH(K$1,'Valve Data'!$1:$1,0),0))</f>
        <v/>
      </c>
      <c r="L34" s="21" t="str">
        <f>IF($B34=0,"",VLOOKUP($B34,'Valve Data'!$1:$1048576,MATCH(L$1,'Valve Data'!$1:$1,0),0))</f>
        <v/>
      </c>
      <c r="M34" s="21" t="str">
        <f>IF($B34=0,"",VLOOKUP($B34,'Valve Data'!$1:$1048576,MATCH(M$1,'Valve Data'!$1:$1,0),0))</f>
        <v/>
      </c>
      <c r="N34" s="21" t="str">
        <f>IF($B34=0,"",VLOOKUP($B34,'Valve Data'!$1:$1048576,MATCH(N$1,'Valve Data'!$1:$1,0),0))</f>
        <v/>
      </c>
      <c r="O34" s="21" t="str">
        <f>IF($B34=0,"",VLOOKUP($B34,'Valve Data'!$1:$1048576,MATCH(O$1,'Valve Data'!$1:$1,0),0))</f>
        <v/>
      </c>
      <c r="P34" s="21" t="str">
        <f>IF($B34=0,"",VLOOKUP($B34,'Valve Data'!$1:$1048576,MATCH(P$1,'Valve Data'!$1:$1,0),0))</f>
        <v/>
      </c>
      <c r="Q34" s="21" t="str">
        <f>IF($B34=0,"",VLOOKUP($B34,'Valve Data'!$1:$1048576,MATCH(Q$1,'Valve Data'!$1:$1,0),0))</f>
        <v/>
      </c>
      <c r="R34" s="21" t="str">
        <f>IF($B34=0,"",VLOOKUP($B34,'Valve Data'!$1:$1048576,MATCH(R$1,'Valve Data'!$1:$1,0),0))</f>
        <v/>
      </c>
      <c r="S34" s="21" t="str">
        <f>IF($B34=0,"",VLOOKUP($B34,'Valve Data'!$1:$1048576,MATCH(S$1,'Valve Data'!$1:$1,0),0))</f>
        <v/>
      </c>
      <c r="T34" s="331" t="str">
        <f>IF($B34=0,"",VLOOKUP($B34,'Valve Data'!$1:$1048576,MATCH(T$1,'Valve Data'!$1:$1,0),0))</f>
        <v/>
      </c>
      <c r="U34" s="91" t="str">
        <f>IF($B34=0,"",VLOOKUP($B34,'Valve Data'!$1:$1048576,MATCH(U$1,'Valve Data'!$1:$1,0),0))</f>
        <v/>
      </c>
      <c r="V34" s="21" t="str">
        <f>IF($B34=0,"",VLOOKUP($B34,'Valve Data'!$1:$1048576,MATCH(V$1,'Valve Data'!$1:$1,0),0))</f>
        <v/>
      </c>
      <c r="W34" s="21" t="str">
        <f>IF($B34=0,"",VLOOKUP($B34,'Valve Data'!$1:$1048576,MATCH(W$1,'Valve Data'!$1:$1,0),0))</f>
        <v/>
      </c>
      <c r="X34" s="331" t="str">
        <f>IF($B34=0,"",VLOOKUP($B34,'Valve Data'!$1:$1048576,MATCH(X$1,'Valve Data'!$1:$1,0),0))</f>
        <v/>
      </c>
      <c r="Y34" s="865"/>
      <c r="Z34" s="683"/>
      <c r="AA34" s="680"/>
      <c r="AB34" s="680"/>
      <c r="AC34" s="680"/>
      <c r="AD34" s="680"/>
      <c r="AE34" s="868"/>
      <c r="AF34" s="866"/>
      <c r="AG34" s="680"/>
      <c r="AH34" s="680"/>
      <c r="AI34" s="680"/>
      <c r="AJ34" s="680"/>
      <c r="AK34" s="680"/>
      <c r="AL34" s="680"/>
      <c r="AM34" s="680"/>
      <c r="AN34" s="680"/>
      <c r="AO34" s="680"/>
      <c r="AP34" s="684"/>
      <c r="AQ34" s="684"/>
      <c r="AR34" s="684"/>
      <c r="AS34" s="684"/>
      <c r="AT34" s="684"/>
      <c r="AU34" s="684"/>
      <c r="AV34" s="271">
        <f t="shared" si="1"/>
        <v>0</v>
      </c>
      <c r="AW34" s="680"/>
      <c r="AX34" s="845">
        <f>IF(F34="Ball_valve",IFERROR(VLOOKUP(E34&amp;"."&amp;D34,'Ball Valves Chart'!$1:$1048576,MATCH(G34,'Ball Valves Chart'!$3:$3,0),0),0),0)+IF(F34="DBB",IFERROR(VLOOKUP(E34&amp;"."&amp;D34,'Ball Valves Chart'!$1:$1048576,MATCH(G34,'Ball Valves Chart'!$3:$3,0),0)*2,0),0)+IFERROR(VLOOKUP(D34&amp;"."&amp;F34,'Manual Valves Chart'!$1:$1048576,MATCH('Valve List'!G41,'Manual Valves Chart'!$1:$1,0),0),0)</f>
        <v>0</v>
      </c>
      <c r="AY34" s="846">
        <f t="shared" si="2"/>
        <v>0</v>
      </c>
      <c r="AZ34" s="854"/>
      <c r="BA34" s="856">
        <f t="shared" si="3"/>
        <v>0</v>
      </c>
      <c r="BB34" s="286"/>
      <c r="BC34" s="852">
        <f t="shared" si="4"/>
        <v>0</v>
      </c>
      <c r="BD34" s="398"/>
      <c r="BE34" s="1546">
        <f t="shared" si="23"/>
        <v>0</v>
      </c>
      <c r="BF34" s="1546">
        <f t="shared" si="23"/>
        <v>0</v>
      </c>
      <c r="BG34" s="1546">
        <f t="shared" si="23"/>
        <v>0</v>
      </c>
      <c r="BH34" s="1546">
        <f t="shared" si="23"/>
        <v>0</v>
      </c>
      <c r="BI34" s="1546">
        <f t="shared" si="23"/>
        <v>0</v>
      </c>
      <c r="BJ34" s="1546">
        <f t="shared" si="23"/>
        <v>0</v>
      </c>
      <c r="BK34" s="1546">
        <f t="shared" si="23"/>
        <v>0</v>
      </c>
      <c r="BL34" s="1546">
        <f t="shared" si="23"/>
        <v>0</v>
      </c>
      <c r="BM34" s="1546">
        <f t="shared" si="23"/>
        <v>0</v>
      </c>
      <c r="BN34" s="1546">
        <f t="shared" si="23"/>
        <v>0</v>
      </c>
      <c r="BO34" s="1546">
        <f t="shared" si="24"/>
        <v>0</v>
      </c>
      <c r="BP34" s="1546">
        <f t="shared" si="24"/>
        <v>0</v>
      </c>
      <c r="BQ34" s="1546">
        <f t="shared" si="24"/>
        <v>0</v>
      </c>
      <c r="BR34" s="1546">
        <f t="shared" si="24"/>
        <v>0</v>
      </c>
      <c r="BS34" s="1546">
        <f t="shared" si="24"/>
        <v>0</v>
      </c>
      <c r="BT34" s="1546">
        <f t="shared" si="24"/>
        <v>0</v>
      </c>
      <c r="BU34" s="1546">
        <f t="shared" si="24"/>
        <v>0</v>
      </c>
      <c r="BV34" s="1546">
        <f t="shared" si="24"/>
        <v>0</v>
      </c>
      <c r="BX34" s="1546">
        <f t="shared" si="12"/>
        <v>0</v>
      </c>
      <c r="BY34" s="1546">
        <f t="shared" si="12"/>
        <v>0</v>
      </c>
      <c r="BZ34" s="1546">
        <f t="shared" si="12"/>
        <v>0</v>
      </c>
      <c r="CA34" s="1546">
        <f t="shared" si="12"/>
        <v>0</v>
      </c>
      <c r="CB34" s="1546">
        <f t="shared" si="12"/>
        <v>0</v>
      </c>
      <c r="CC34" s="1546">
        <f t="shared" si="12"/>
        <v>0</v>
      </c>
      <c r="CD34" s="1546">
        <f t="shared" si="12"/>
        <v>0</v>
      </c>
      <c r="CE34" s="1546">
        <f t="shared" si="12"/>
        <v>0</v>
      </c>
      <c r="CF34" s="1546">
        <f t="shared" si="12"/>
        <v>0</v>
      </c>
      <c r="CG34" s="1546">
        <f t="shared" si="12"/>
        <v>0</v>
      </c>
      <c r="CH34" s="1546">
        <f t="shared" si="12"/>
        <v>0</v>
      </c>
      <c r="CI34" s="1546">
        <f t="shared" si="12"/>
        <v>0</v>
      </c>
      <c r="CJ34" s="1546">
        <f t="shared" si="12"/>
        <v>0</v>
      </c>
      <c r="CL34" s="1546">
        <f t="shared" si="20"/>
        <v>0</v>
      </c>
      <c r="CM34" s="1546">
        <f t="shared" si="20"/>
        <v>0</v>
      </c>
      <c r="CN34" s="1546">
        <f t="shared" si="20"/>
        <v>0</v>
      </c>
      <c r="CO34" s="1546">
        <f t="shared" si="20"/>
        <v>0</v>
      </c>
      <c r="CQ34" s="1546">
        <f t="shared" si="9"/>
        <v>0</v>
      </c>
      <c r="CR34" s="1546">
        <f t="shared" si="25"/>
        <v>0</v>
      </c>
      <c r="CS34" s="1546">
        <f t="shared" si="25"/>
        <v>0</v>
      </c>
      <c r="CT34" s="1546">
        <f t="shared" si="25"/>
        <v>0</v>
      </c>
      <c r="CU34" s="1546">
        <f t="shared" si="25"/>
        <v>0</v>
      </c>
      <c r="CV34" s="1546">
        <f t="shared" si="25"/>
        <v>0</v>
      </c>
      <c r="CW34" s="1546">
        <f t="shared" si="25"/>
        <v>0</v>
      </c>
      <c r="CX34" s="1546">
        <f t="shared" si="25"/>
        <v>0</v>
      </c>
      <c r="CY34" s="1546">
        <f t="shared" si="25"/>
        <v>0</v>
      </c>
      <c r="CZ34" s="1546">
        <f t="shared" si="25"/>
        <v>0</v>
      </c>
      <c r="DA34" s="1546">
        <f t="shared" si="25"/>
        <v>0</v>
      </c>
      <c r="DB34" s="1546">
        <f t="shared" si="25"/>
        <v>0</v>
      </c>
      <c r="DC34" s="1546">
        <f t="shared" si="25"/>
        <v>0</v>
      </c>
      <c r="DD34" s="1546">
        <f t="shared" si="25"/>
        <v>0</v>
      </c>
      <c r="DE34" s="1546">
        <f t="shared" si="25"/>
        <v>0</v>
      </c>
      <c r="DF34" s="1546">
        <f t="shared" si="25"/>
        <v>0</v>
      </c>
      <c r="DG34" s="1546">
        <f t="shared" si="13"/>
        <v>1</v>
      </c>
      <c r="DI34" s="1546">
        <f t="shared" si="26"/>
        <v>0</v>
      </c>
      <c r="DJ34" s="1546">
        <f t="shared" si="26"/>
        <v>0</v>
      </c>
      <c r="DK34" s="1546">
        <f t="shared" si="26"/>
        <v>0</v>
      </c>
      <c r="DL34" s="1546">
        <f t="shared" si="26"/>
        <v>0</v>
      </c>
      <c r="DM34" s="1546">
        <f t="shared" si="26"/>
        <v>0</v>
      </c>
      <c r="DN34" s="1546">
        <f t="shared" si="26"/>
        <v>0</v>
      </c>
    </row>
    <row r="35" spans="1:118" x14ac:dyDescent="0.3">
      <c r="A35" s="285">
        <v>41</v>
      </c>
      <c r="B35" s="325">
        <f t="shared" ref="B35:B66" si="27">IFERROR(MATCH(CONCATENATE(F35,".",C35,".",E35,".",D35),DN_0.5,0),0)+IFERROR(MATCH(CONCATENATE(F35,".",C35,".",E35,".",D35),DN_0.75,0),0)+IFERROR(MATCH(CONCATENATE(F35,".",C35,".",E35,".",D35),DN_1,0),0)+IFERROR(MATCH(CONCATENATE(F35,".",C35,".",E35,".",D35),DN_1.5,0),0)+IFERROR(MATCH(CONCATENATE(F35,".",C35,".",E35,".",D35),DN_10,0),0)+IFERROR(MATCH(CONCATENATE(F35,".",C35,".",E35,".",D35),DN_12,0),0)+IFERROR(MATCH(CONCATENATE(F35,".",C35,".",E35,".",D35),DN_14,0),0)+IFERROR(MATCH(CONCATENATE(F35,".",C35,".",E35,".",D35),DN_16,0),0)+IFERROR(MATCH(CONCATENATE(F35,".",C35,".",E35,".",D35),DN_18,0),0)+IFERROR(MATCH(CONCATENATE(F35,".",C35,".",E35,".",D35),DN_2,0),0)+IFERROR(MATCH(CONCATENATE(F35,".",C35,".",E35,".",D35),DN_2.5,0),0)+IFERROR(MATCH(CONCATENATE(F35,".",C35,".",E35,".",D35),DN_20,0),0)+IFERROR(MATCH(CONCATENATE(F35,".",C35,".",E35,".",D35),DN_22,0),0)+IFERROR(MATCH(CONCATENATE(F35,".",C35,".",E35,".",D35),DN_24,0),0)+IFERROR(MATCH(CONCATENATE(F35,".",C35,".",E35,".",D35),DN_3,0),0)+IFERROR(MATCH(CONCATENATE(F35,".",C35,".",E35,".",D35),DN_4,0),0)+IFERROR(MATCH(CONCATENATE(F35,".",C35,".",E35,".",D35),DN_6,0),0)+IFERROR(MATCH(CONCATENATE(F35,".",C35,".",E35,".",D35),DN_8,0),0)+IFERROR(MATCH(CONCATENATE(F35,".",C35,".",E35,".",D35),DN_26,0),0)+IFERROR(MATCH(CONCATENATE(F35,".",C35,".",E35,".",D35),DN_28,0),0)+IFERROR(MATCH(CONCATENATE(F35,".",C35,".",E35,".",D35),DN_30,0),0)+IFERROR(MATCH(CONCATENATE(F35,".",C35,".",E35,".",D35),DN_32,0),0)+IFERROR(MATCH(CONCATENATE(F35,".",C35,".",E35,".",D35),DN_34,0),0)+IFERROR(MATCH(CONCATENATE(F35,".",C35,".",E35,".",D35),DN_36,0),0)+IFERROR(MATCH(CONCATENATE(F35,".",C35,".",E35,".",D35),DN_38,0),0)+IFERROR(MATCH(CONCATENATE(F35,".",C35,".",E35,".",D35),DN_40,0),0+IFERROR(MATCH(CONCATENATE(F35,".",C35,".",E35,".",D35),DN_42,0),0))</f>
        <v>0</v>
      </c>
      <c r="C35" s="682"/>
      <c r="D35" s="683"/>
      <c r="E35" s="680"/>
      <c r="F35" s="713"/>
      <c r="G35" s="91" t="str">
        <f>IF($B35=0,"",VLOOKUP($B35,'Valve Data'!$1:$1048576,MATCH(G$1,'Valve Data'!$1:$1,0),0))</f>
        <v/>
      </c>
      <c r="H35" s="21" t="str">
        <f>IF($B35=0,"",VLOOKUP($B35,'Valve Data'!$1:$1048576,MATCH(H$1,'Valve Data'!$1:$1,0),0))</f>
        <v/>
      </c>
      <c r="I35" s="21" t="str">
        <f>IF($B35=0,"",VLOOKUP($B35,'Valve Data'!$1:$1048576,MATCH(I$1,'Valve Data'!$1:$1,0),0))</f>
        <v/>
      </c>
      <c r="J35" s="328" t="str">
        <f>IF($B35=0,"",VLOOKUP($B35,'Valve Data'!$1:$1048576,MATCH(J$1,'Valve Data'!$1:$1,0),0))</f>
        <v/>
      </c>
      <c r="K35" s="21" t="str">
        <f>IF($B35=0,"",VLOOKUP($B35,'Valve Data'!$1:$1048576,MATCH(K$1,'Valve Data'!$1:$1,0),0))</f>
        <v/>
      </c>
      <c r="L35" s="21" t="str">
        <f>IF($B35=0,"",VLOOKUP($B35,'Valve Data'!$1:$1048576,MATCH(L$1,'Valve Data'!$1:$1,0),0))</f>
        <v/>
      </c>
      <c r="M35" s="21" t="str">
        <f>IF($B35=0,"",VLOOKUP($B35,'Valve Data'!$1:$1048576,MATCH(M$1,'Valve Data'!$1:$1,0),0))</f>
        <v/>
      </c>
      <c r="N35" s="21" t="str">
        <f>IF($B35=0,"",VLOOKUP($B35,'Valve Data'!$1:$1048576,MATCH(N$1,'Valve Data'!$1:$1,0),0))</f>
        <v/>
      </c>
      <c r="O35" s="21" t="str">
        <f>IF($B35=0,"",VLOOKUP($B35,'Valve Data'!$1:$1048576,MATCH(O$1,'Valve Data'!$1:$1,0),0))</f>
        <v/>
      </c>
      <c r="P35" s="21" t="str">
        <f>IF($B35=0,"",VLOOKUP($B35,'Valve Data'!$1:$1048576,MATCH(P$1,'Valve Data'!$1:$1,0),0))</f>
        <v/>
      </c>
      <c r="Q35" s="21" t="str">
        <f>IF($B35=0,"",VLOOKUP($B35,'Valve Data'!$1:$1048576,MATCH(Q$1,'Valve Data'!$1:$1,0),0))</f>
        <v/>
      </c>
      <c r="R35" s="21" t="str">
        <f>IF($B35=0,"",VLOOKUP($B35,'Valve Data'!$1:$1048576,MATCH(R$1,'Valve Data'!$1:$1,0),0))</f>
        <v/>
      </c>
      <c r="S35" s="21" t="str">
        <f>IF($B35=0,"",VLOOKUP($B35,'Valve Data'!$1:$1048576,MATCH(S$1,'Valve Data'!$1:$1,0),0))</f>
        <v/>
      </c>
      <c r="T35" s="331" t="str">
        <f>IF($B35=0,"",VLOOKUP($B35,'Valve Data'!$1:$1048576,MATCH(T$1,'Valve Data'!$1:$1,0),0))</f>
        <v/>
      </c>
      <c r="U35" s="91" t="str">
        <f>IF($B35=0,"",VLOOKUP($B35,'Valve Data'!$1:$1048576,MATCH(U$1,'Valve Data'!$1:$1,0),0))</f>
        <v/>
      </c>
      <c r="V35" s="21" t="str">
        <f>IF($B35=0,"",VLOOKUP($B35,'Valve Data'!$1:$1048576,MATCH(V$1,'Valve Data'!$1:$1,0),0))</f>
        <v/>
      </c>
      <c r="W35" s="21" t="str">
        <f>IF($B35=0,"",VLOOKUP($B35,'Valve Data'!$1:$1048576,MATCH(W$1,'Valve Data'!$1:$1,0),0))</f>
        <v/>
      </c>
      <c r="X35" s="331" t="str">
        <f>IF($B35=0,"",VLOOKUP($B35,'Valve Data'!$1:$1048576,MATCH(X$1,'Valve Data'!$1:$1,0),0))</f>
        <v/>
      </c>
      <c r="Y35" s="865"/>
      <c r="Z35" s="683"/>
      <c r="AA35" s="680"/>
      <c r="AB35" s="680"/>
      <c r="AC35" s="680"/>
      <c r="AD35" s="680"/>
      <c r="AE35" s="868"/>
      <c r="AF35" s="866"/>
      <c r="AG35" s="680"/>
      <c r="AH35" s="680"/>
      <c r="AI35" s="680"/>
      <c r="AJ35" s="680"/>
      <c r="AK35" s="680"/>
      <c r="AL35" s="680"/>
      <c r="AM35" s="680"/>
      <c r="AN35" s="680"/>
      <c r="AO35" s="680"/>
      <c r="AP35" s="684"/>
      <c r="AQ35" s="684"/>
      <c r="AR35" s="684"/>
      <c r="AS35" s="684"/>
      <c r="AT35" s="684"/>
      <c r="AU35" s="684"/>
      <c r="AV35" s="271">
        <f t="shared" ref="AV35:AV66" si="28">SUM(AG35:AU35)</f>
        <v>0</v>
      </c>
      <c r="AW35" s="680"/>
      <c r="AX35" s="845">
        <f>IF(F35="Ball_valve",IFERROR(VLOOKUP(E35&amp;"."&amp;D35,'Ball Valves Chart'!$1:$1048576,MATCH(G35,'Ball Valves Chart'!$3:$3,0),0),0),0)+IF(F35="DBB",IFERROR(VLOOKUP(E35&amp;"."&amp;D35,'Ball Valves Chart'!$1:$1048576,MATCH(G35,'Ball Valves Chart'!$3:$3,0),0)*2,0),0)+IFERROR(VLOOKUP(D35&amp;"."&amp;F35,'Manual Valves Chart'!$1:$1048576,MATCH('Valve List'!G43,'Manual Valves Chart'!$1:$1,0),0),0)</f>
        <v>0</v>
      </c>
      <c r="AY35" s="846">
        <f t="shared" ref="AY35:AY66" si="29">$AV35*AX35</f>
        <v>0</v>
      </c>
      <c r="AZ35" s="854"/>
      <c r="BA35" s="856">
        <f t="shared" ref="BA35:BA66" si="30">AZ35*AV35</f>
        <v>0</v>
      </c>
      <c r="BB35" s="286"/>
      <c r="BC35" s="852">
        <f t="shared" ref="BC35:BC66" si="31">AX35*0.18</f>
        <v>0</v>
      </c>
      <c r="BD35" s="398"/>
      <c r="BE35" s="1546">
        <f t="shared" si="23"/>
        <v>0</v>
      </c>
      <c r="BF35" s="1546">
        <f t="shared" si="23"/>
        <v>0</v>
      </c>
      <c r="BG35" s="1546">
        <f t="shared" si="23"/>
        <v>0</v>
      </c>
      <c r="BH35" s="1546">
        <f t="shared" si="23"/>
        <v>0</v>
      </c>
      <c r="BI35" s="1546">
        <f t="shared" si="23"/>
        <v>0</v>
      </c>
      <c r="BJ35" s="1546">
        <f t="shared" si="23"/>
        <v>0</v>
      </c>
      <c r="BK35" s="1546">
        <f t="shared" si="23"/>
        <v>0</v>
      </c>
      <c r="BL35" s="1546">
        <f t="shared" si="23"/>
        <v>0</v>
      </c>
      <c r="BM35" s="1546">
        <f t="shared" si="23"/>
        <v>0</v>
      </c>
      <c r="BN35" s="1546">
        <f t="shared" si="23"/>
        <v>0</v>
      </c>
      <c r="BO35" s="1546">
        <f t="shared" si="24"/>
        <v>0</v>
      </c>
      <c r="BP35" s="1546">
        <f t="shared" si="24"/>
        <v>0</v>
      </c>
      <c r="BQ35" s="1546">
        <f t="shared" si="24"/>
        <v>0</v>
      </c>
      <c r="BR35" s="1546">
        <f t="shared" si="24"/>
        <v>0</v>
      </c>
      <c r="BS35" s="1546">
        <f t="shared" si="24"/>
        <v>0</v>
      </c>
      <c r="BT35" s="1546">
        <f t="shared" si="24"/>
        <v>0</v>
      </c>
      <c r="BU35" s="1546">
        <f t="shared" si="24"/>
        <v>0</v>
      </c>
      <c r="BV35" s="1546">
        <f t="shared" si="24"/>
        <v>0</v>
      </c>
      <c r="BX35" s="1546">
        <f t="shared" si="12"/>
        <v>0</v>
      </c>
      <c r="BY35" s="1546">
        <f t="shared" si="12"/>
        <v>0</v>
      </c>
      <c r="BZ35" s="1546">
        <f t="shared" si="12"/>
        <v>0</v>
      </c>
      <c r="CA35" s="1546">
        <f t="shared" si="12"/>
        <v>0</v>
      </c>
      <c r="CB35" s="1546">
        <f t="shared" si="12"/>
        <v>0</v>
      </c>
      <c r="CC35" s="1546">
        <f t="shared" si="12"/>
        <v>0</v>
      </c>
      <c r="CD35" s="1546">
        <f t="shared" si="12"/>
        <v>0</v>
      </c>
      <c r="CE35" s="1546">
        <f t="shared" si="12"/>
        <v>0</v>
      </c>
      <c r="CF35" s="1546">
        <f t="shared" si="12"/>
        <v>0</v>
      </c>
      <c r="CG35" s="1546">
        <f t="shared" si="12"/>
        <v>0</v>
      </c>
      <c r="CH35" s="1546">
        <f t="shared" si="12"/>
        <v>0</v>
      </c>
      <c r="CI35" s="1546">
        <f t="shared" si="12"/>
        <v>0</v>
      </c>
      <c r="CJ35" s="1546">
        <f t="shared" si="12"/>
        <v>0</v>
      </c>
      <c r="CL35" s="1546">
        <f t="shared" si="20"/>
        <v>0</v>
      </c>
      <c r="CM35" s="1546">
        <f t="shared" si="20"/>
        <v>0</v>
      </c>
      <c r="CN35" s="1546">
        <f t="shared" si="20"/>
        <v>0</v>
      </c>
      <c r="CO35" s="1546">
        <f t="shared" si="20"/>
        <v>0</v>
      </c>
      <c r="CQ35" s="1546">
        <f t="shared" ref="CQ35:CQ66" si="32">IF(CQ$2=0,0,IF($AW35=CQ$2,1,0))</f>
        <v>0</v>
      </c>
      <c r="CR35" s="1546">
        <f t="shared" si="25"/>
        <v>0</v>
      </c>
      <c r="CS35" s="1546">
        <f t="shared" si="25"/>
        <v>0</v>
      </c>
      <c r="CT35" s="1546">
        <f t="shared" si="25"/>
        <v>0</v>
      </c>
      <c r="CU35" s="1546">
        <f t="shared" si="25"/>
        <v>0</v>
      </c>
      <c r="CV35" s="1546">
        <f t="shared" si="25"/>
        <v>0</v>
      </c>
      <c r="CW35" s="1546">
        <f t="shared" si="25"/>
        <v>0</v>
      </c>
      <c r="CX35" s="1546">
        <f t="shared" si="25"/>
        <v>0</v>
      </c>
      <c r="CY35" s="1546">
        <f t="shared" si="25"/>
        <v>0</v>
      </c>
      <c r="CZ35" s="1546">
        <f t="shared" si="25"/>
        <v>0</v>
      </c>
      <c r="DA35" s="1546">
        <f t="shared" si="25"/>
        <v>0</v>
      </c>
      <c r="DB35" s="1546">
        <f t="shared" si="25"/>
        <v>0</v>
      </c>
      <c r="DC35" s="1546">
        <f t="shared" si="25"/>
        <v>0</v>
      </c>
      <c r="DD35" s="1546">
        <f t="shared" si="25"/>
        <v>0</v>
      </c>
      <c r="DE35" s="1546">
        <f t="shared" si="25"/>
        <v>0</v>
      </c>
      <c r="DF35" s="1546">
        <f t="shared" si="25"/>
        <v>0</v>
      </c>
      <c r="DG35" s="1546">
        <f t="shared" si="13"/>
        <v>1</v>
      </c>
      <c r="DI35" s="1546">
        <f t="shared" si="26"/>
        <v>0</v>
      </c>
      <c r="DJ35" s="1546">
        <f t="shared" si="26"/>
        <v>0</v>
      </c>
      <c r="DK35" s="1546">
        <f t="shared" si="26"/>
        <v>0</v>
      </c>
      <c r="DL35" s="1546">
        <f t="shared" si="26"/>
        <v>0</v>
      </c>
      <c r="DM35" s="1546">
        <f t="shared" si="26"/>
        <v>0</v>
      </c>
      <c r="DN35" s="1546">
        <f t="shared" si="26"/>
        <v>0</v>
      </c>
    </row>
    <row r="36" spans="1:118" x14ac:dyDescent="0.3">
      <c r="A36" s="285">
        <v>42</v>
      </c>
      <c r="B36" s="325">
        <f t="shared" si="27"/>
        <v>0</v>
      </c>
      <c r="C36" s="682"/>
      <c r="D36" s="683"/>
      <c r="E36" s="680"/>
      <c r="F36" s="713"/>
      <c r="G36" s="91" t="str">
        <f>IF($B36=0,"",VLOOKUP($B36,'Valve Data'!$1:$1048576,MATCH(G$1,'Valve Data'!$1:$1,0),0))</f>
        <v/>
      </c>
      <c r="H36" s="21" t="str">
        <f>IF($B36=0,"",VLOOKUP($B36,'Valve Data'!$1:$1048576,MATCH(H$1,'Valve Data'!$1:$1,0),0))</f>
        <v/>
      </c>
      <c r="I36" s="21" t="str">
        <f>IF($B36=0,"",VLOOKUP($B36,'Valve Data'!$1:$1048576,MATCH(I$1,'Valve Data'!$1:$1,0),0))</f>
        <v/>
      </c>
      <c r="J36" s="328" t="str">
        <f>IF($B36=0,"",VLOOKUP($B36,'Valve Data'!$1:$1048576,MATCH(J$1,'Valve Data'!$1:$1,0),0))</f>
        <v/>
      </c>
      <c r="K36" s="21" t="str">
        <f>IF($B36=0,"",VLOOKUP($B36,'Valve Data'!$1:$1048576,MATCH(K$1,'Valve Data'!$1:$1,0),0))</f>
        <v/>
      </c>
      <c r="L36" s="21" t="str">
        <f>IF($B36=0,"",VLOOKUP($B36,'Valve Data'!$1:$1048576,MATCH(L$1,'Valve Data'!$1:$1,0),0))</f>
        <v/>
      </c>
      <c r="M36" s="21" t="str">
        <f>IF($B36=0,"",VLOOKUP($B36,'Valve Data'!$1:$1048576,MATCH(M$1,'Valve Data'!$1:$1,0),0))</f>
        <v/>
      </c>
      <c r="N36" s="21" t="str">
        <f>IF($B36=0,"",VLOOKUP($B36,'Valve Data'!$1:$1048576,MATCH(N$1,'Valve Data'!$1:$1,0),0))</f>
        <v/>
      </c>
      <c r="O36" s="21" t="str">
        <f>IF($B36=0,"",VLOOKUP($B36,'Valve Data'!$1:$1048576,MATCH(O$1,'Valve Data'!$1:$1,0),0))</f>
        <v/>
      </c>
      <c r="P36" s="21" t="str">
        <f>IF($B36=0,"",VLOOKUP($B36,'Valve Data'!$1:$1048576,MATCH(P$1,'Valve Data'!$1:$1,0),0))</f>
        <v/>
      </c>
      <c r="Q36" s="21" t="str">
        <f>IF($B36=0,"",VLOOKUP($B36,'Valve Data'!$1:$1048576,MATCH(Q$1,'Valve Data'!$1:$1,0),0))</f>
        <v/>
      </c>
      <c r="R36" s="21" t="str">
        <f>IF($B36=0,"",VLOOKUP($B36,'Valve Data'!$1:$1048576,MATCH(R$1,'Valve Data'!$1:$1,0),0))</f>
        <v/>
      </c>
      <c r="S36" s="21" t="str">
        <f>IF($B36=0,"",VLOOKUP($B36,'Valve Data'!$1:$1048576,MATCH(S$1,'Valve Data'!$1:$1,0),0))</f>
        <v/>
      </c>
      <c r="T36" s="331" t="str">
        <f>IF($B36=0,"",VLOOKUP($B36,'Valve Data'!$1:$1048576,MATCH(T$1,'Valve Data'!$1:$1,0),0))</f>
        <v/>
      </c>
      <c r="U36" s="91" t="str">
        <f>IF($B36=0,"",VLOOKUP($B36,'Valve Data'!$1:$1048576,MATCH(U$1,'Valve Data'!$1:$1,0),0))</f>
        <v/>
      </c>
      <c r="V36" s="21" t="str">
        <f>IF($B36=0,"",VLOOKUP($B36,'Valve Data'!$1:$1048576,MATCH(V$1,'Valve Data'!$1:$1,0),0))</f>
        <v/>
      </c>
      <c r="W36" s="21" t="str">
        <f>IF($B36=0,"",VLOOKUP($B36,'Valve Data'!$1:$1048576,MATCH(W$1,'Valve Data'!$1:$1,0),0))</f>
        <v/>
      </c>
      <c r="X36" s="331" t="str">
        <f>IF($B36=0,"",VLOOKUP($B36,'Valve Data'!$1:$1048576,MATCH(X$1,'Valve Data'!$1:$1,0),0))</f>
        <v/>
      </c>
      <c r="Y36" s="865"/>
      <c r="Z36" s="683"/>
      <c r="AA36" s="680"/>
      <c r="AB36" s="680"/>
      <c r="AC36" s="680"/>
      <c r="AD36" s="680"/>
      <c r="AE36" s="868"/>
      <c r="AF36" s="866"/>
      <c r="AG36" s="680"/>
      <c r="AH36" s="680"/>
      <c r="AI36" s="680"/>
      <c r="AJ36" s="680"/>
      <c r="AK36" s="680"/>
      <c r="AL36" s="680"/>
      <c r="AM36" s="680"/>
      <c r="AN36" s="680"/>
      <c r="AO36" s="680"/>
      <c r="AP36" s="684"/>
      <c r="AQ36" s="684"/>
      <c r="AR36" s="684"/>
      <c r="AS36" s="684"/>
      <c r="AT36" s="684"/>
      <c r="AU36" s="684"/>
      <c r="AV36" s="271">
        <f t="shared" si="28"/>
        <v>0</v>
      </c>
      <c r="AW36" s="680"/>
      <c r="AX36" s="845">
        <f>IF(F36="Ball_valve",IFERROR(VLOOKUP(E36&amp;"."&amp;D36,'Ball Valves Chart'!$1:$1048576,MATCH(G36,'Ball Valves Chart'!$3:$3,0),0),0),0)+IF(F36="DBB",IFERROR(VLOOKUP(E36&amp;"."&amp;D36,'Ball Valves Chart'!$1:$1048576,MATCH(G36,'Ball Valves Chart'!$3:$3,0),0)*2,0),0)+IFERROR(VLOOKUP(D36&amp;"."&amp;F36,'Manual Valves Chart'!$1:$1048576,MATCH('Valve List'!G44,'Manual Valves Chart'!$1:$1,0),0),0)</f>
        <v>0</v>
      </c>
      <c r="AY36" s="846">
        <f t="shared" si="29"/>
        <v>0</v>
      </c>
      <c r="AZ36" s="854"/>
      <c r="BA36" s="856">
        <f t="shared" si="30"/>
        <v>0</v>
      </c>
      <c r="BB36" s="286"/>
      <c r="BC36" s="852">
        <f t="shared" si="31"/>
        <v>0</v>
      </c>
      <c r="BD36" s="398"/>
      <c r="BE36" s="1546">
        <f t="shared" si="23"/>
        <v>0</v>
      </c>
      <c r="BF36" s="1546">
        <f t="shared" si="23"/>
        <v>0</v>
      </c>
      <c r="BG36" s="1546">
        <f t="shared" si="23"/>
        <v>0</v>
      </c>
      <c r="BH36" s="1546">
        <f t="shared" si="23"/>
        <v>0</v>
      </c>
      <c r="BI36" s="1546">
        <f t="shared" si="23"/>
        <v>0</v>
      </c>
      <c r="BJ36" s="1546">
        <f t="shared" si="23"/>
        <v>0</v>
      </c>
      <c r="BK36" s="1546">
        <f t="shared" si="23"/>
        <v>0</v>
      </c>
      <c r="BL36" s="1546">
        <f t="shared" si="23"/>
        <v>0</v>
      </c>
      <c r="BM36" s="1546">
        <f t="shared" si="23"/>
        <v>0</v>
      </c>
      <c r="BN36" s="1546">
        <f t="shared" si="23"/>
        <v>0</v>
      </c>
      <c r="BO36" s="1546">
        <f t="shared" si="24"/>
        <v>0</v>
      </c>
      <c r="BP36" s="1546">
        <f t="shared" si="24"/>
        <v>0</v>
      </c>
      <c r="BQ36" s="1546">
        <f t="shared" si="24"/>
        <v>0</v>
      </c>
      <c r="BR36" s="1546">
        <f t="shared" si="24"/>
        <v>0</v>
      </c>
      <c r="BS36" s="1546">
        <f t="shared" si="24"/>
        <v>0</v>
      </c>
      <c r="BT36" s="1546">
        <f t="shared" si="24"/>
        <v>0</v>
      </c>
      <c r="BU36" s="1546">
        <f t="shared" si="24"/>
        <v>0</v>
      </c>
      <c r="BV36" s="1546">
        <f t="shared" si="24"/>
        <v>0</v>
      </c>
      <c r="BX36" s="1546">
        <f t="shared" ref="BX36:CJ55" si="33">IF(BX$2="X",0,IF(BX$2=$C36,1,0))</f>
        <v>0</v>
      </c>
      <c r="BY36" s="1546">
        <f t="shared" si="33"/>
        <v>0</v>
      </c>
      <c r="BZ36" s="1546">
        <f t="shared" si="33"/>
        <v>0</v>
      </c>
      <c r="CA36" s="1546">
        <f t="shared" si="33"/>
        <v>0</v>
      </c>
      <c r="CB36" s="1546">
        <f t="shared" si="33"/>
        <v>0</v>
      </c>
      <c r="CC36" s="1546">
        <f t="shared" si="33"/>
        <v>0</v>
      </c>
      <c r="CD36" s="1546">
        <f t="shared" si="33"/>
        <v>0</v>
      </c>
      <c r="CE36" s="1546">
        <f t="shared" si="33"/>
        <v>0</v>
      </c>
      <c r="CF36" s="1546">
        <f t="shared" si="33"/>
        <v>0</v>
      </c>
      <c r="CG36" s="1546">
        <f t="shared" si="33"/>
        <v>0</v>
      </c>
      <c r="CH36" s="1546">
        <f t="shared" si="33"/>
        <v>0</v>
      </c>
      <c r="CI36" s="1546">
        <f t="shared" si="33"/>
        <v>0</v>
      </c>
      <c r="CJ36" s="1546">
        <f t="shared" si="33"/>
        <v>0</v>
      </c>
      <c r="CL36" s="1546">
        <f t="shared" si="20"/>
        <v>0</v>
      </c>
      <c r="CM36" s="1546">
        <f t="shared" si="20"/>
        <v>0</v>
      </c>
      <c r="CN36" s="1546">
        <f t="shared" si="20"/>
        <v>0</v>
      </c>
      <c r="CO36" s="1546">
        <f t="shared" si="20"/>
        <v>0</v>
      </c>
      <c r="CQ36" s="1546">
        <f t="shared" si="32"/>
        <v>0</v>
      </c>
      <c r="CR36" s="1546">
        <f t="shared" si="25"/>
        <v>0</v>
      </c>
      <c r="CS36" s="1546">
        <f t="shared" si="25"/>
        <v>0</v>
      </c>
      <c r="CT36" s="1546">
        <f t="shared" si="25"/>
        <v>0</v>
      </c>
      <c r="CU36" s="1546">
        <f t="shared" si="25"/>
        <v>0</v>
      </c>
      <c r="CV36" s="1546">
        <f t="shared" si="25"/>
        <v>0</v>
      </c>
      <c r="CW36" s="1546">
        <f t="shared" si="25"/>
        <v>0</v>
      </c>
      <c r="CX36" s="1546">
        <f t="shared" si="25"/>
        <v>0</v>
      </c>
      <c r="CY36" s="1546">
        <f t="shared" si="25"/>
        <v>0</v>
      </c>
      <c r="CZ36" s="1546">
        <f t="shared" si="25"/>
        <v>0</v>
      </c>
      <c r="DA36" s="1546">
        <f t="shared" si="25"/>
        <v>0</v>
      </c>
      <c r="DB36" s="1546">
        <f t="shared" si="25"/>
        <v>0</v>
      </c>
      <c r="DC36" s="1546">
        <f t="shared" si="25"/>
        <v>0</v>
      </c>
      <c r="DD36" s="1546">
        <f t="shared" si="25"/>
        <v>0</v>
      </c>
      <c r="DE36" s="1546">
        <f t="shared" si="25"/>
        <v>0</v>
      </c>
      <c r="DF36" s="1546">
        <f t="shared" si="25"/>
        <v>0</v>
      </c>
      <c r="DG36" s="1546">
        <f t="shared" si="13"/>
        <v>1</v>
      </c>
      <c r="DI36" s="1546">
        <f t="shared" si="26"/>
        <v>0</v>
      </c>
      <c r="DJ36" s="1546">
        <f t="shared" si="26"/>
        <v>0</v>
      </c>
      <c r="DK36" s="1546">
        <f t="shared" si="26"/>
        <v>0</v>
      </c>
      <c r="DL36" s="1546">
        <f t="shared" si="26"/>
        <v>0</v>
      </c>
      <c r="DM36" s="1546">
        <f t="shared" si="26"/>
        <v>0</v>
      </c>
      <c r="DN36" s="1546">
        <f t="shared" si="26"/>
        <v>0</v>
      </c>
    </row>
    <row r="37" spans="1:118" x14ac:dyDescent="0.3">
      <c r="A37" s="285">
        <v>35</v>
      </c>
      <c r="B37" s="325">
        <f t="shared" si="27"/>
        <v>0</v>
      </c>
      <c r="C37" s="682"/>
      <c r="D37" s="683"/>
      <c r="E37" s="680"/>
      <c r="F37" s="713"/>
      <c r="G37" s="91" t="str">
        <f>IF($B37=0,"",VLOOKUP($B37,'Valve Data'!$1:$1048576,MATCH(G$1,'Valve Data'!$1:$1,0),0))</f>
        <v/>
      </c>
      <c r="H37" s="21" t="str">
        <f>IF($B37=0,"",VLOOKUP($B37,'Valve Data'!$1:$1048576,MATCH(H$1,'Valve Data'!$1:$1,0),0))</f>
        <v/>
      </c>
      <c r="I37" s="21" t="str">
        <f>IF($B37=0,"",VLOOKUP($B37,'Valve Data'!$1:$1048576,MATCH(I$1,'Valve Data'!$1:$1,0),0))</f>
        <v/>
      </c>
      <c r="J37" s="328" t="str">
        <f>IF($B37=0,"",VLOOKUP($B37,'Valve Data'!$1:$1048576,MATCH(J$1,'Valve Data'!$1:$1,0),0))</f>
        <v/>
      </c>
      <c r="K37" s="21" t="str">
        <f>IF($B37=0,"",VLOOKUP($B37,'Valve Data'!$1:$1048576,MATCH(K$1,'Valve Data'!$1:$1,0),0))</f>
        <v/>
      </c>
      <c r="L37" s="21" t="str">
        <f>IF($B37=0,"",VLOOKUP($B37,'Valve Data'!$1:$1048576,MATCH(L$1,'Valve Data'!$1:$1,0),0))</f>
        <v/>
      </c>
      <c r="M37" s="21" t="str">
        <f>IF($B37=0,"",VLOOKUP($B37,'Valve Data'!$1:$1048576,MATCH(M$1,'Valve Data'!$1:$1,0),0))</f>
        <v/>
      </c>
      <c r="N37" s="21" t="str">
        <f>IF($B37=0,"",VLOOKUP($B37,'Valve Data'!$1:$1048576,MATCH(N$1,'Valve Data'!$1:$1,0),0))</f>
        <v/>
      </c>
      <c r="O37" s="21" t="str">
        <f>IF($B37=0,"",VLOOKUP($B37,'Valve Data'!$1:$1048576,MATCH(O$1,'Valve Data'!$1:$1,0),0))</f>
        <v/>
      </c>
      <c r="P37" s="21" t="str">
        <f>IF($B37=0,"",VLOOKUP($B37,'Valve Data'!$1:$1048576,MATCH(P$1,'Valve Data'!$1:$1,0),0))</f>
        <v/>
      </c>
      <c r="Q37" s="21" t="str">
        <f>IF($B37=0,"",VLOOKUP($B37,'Valve Data'!$1:$1048576,MATCH(Q$1,'Valve Data'!$1:$1,0),0))</f>
        <v/>
      </c>
      <c r="R37" s="21" t="str">
        <f>IF($B37=0,"",VLOOKUP($B37,'Valve Data'!$1:$1048576,MATCH(R$1,'Valve Data'!$1:$1,0),0))</f>
        <v/>
      </c>
      <c r="S37" s="21" t="str">
        <f>IF($B37=0,"",VLOOKUP($B37,'Valve Data'!$1:$1048576,MATCH(S$1,'Valve Data'!$1:$1,0),0))</f>
        <v/>
      </c>
      <c r="T37" s="331" t="str">
        <f>IF($B37=0,"",VLOOKUP($B37,'Valve Data'!$1:$1048576,MATCH(T$1,'Valve Data'!$1:$1,0),0))</f>
        <v/>
      </c>
      <c r="U37" s="91" t="str">
        <f>IF($B37=0,"",VLOOKUP($B37,'Valve Data'!$1:$1048576,MATCH(U$1,'Valve Data'!$1:$1,0),0))</f>
        <v/>
      </c>
      <c r="V37" s="21" t="str">
        <f>IF($B37=0,"",VLOOKUP($B37,'Valve Data'!$1:$1048576,MATCH(V$1,'Valve Data'!$1:$1,0),0))</f>
        <v/>
      </c>
      <c r="W37" s="21" t="str">
        <f>IF($B37=0,"",VLOOKUP($B37,'Valve Data'!$1:$1048576,MATCH(W$1,'Valve Data'!$1:$1,0),0))</f>
        <v/>
      </c>
      <c r="X37" s="331" t="str">
        <f>IF($B37=0,"",VLOOKUP($B37,'Valve Data'!$1:$1048576,MATCH(X$1,'Valve Data'!$1:$1,0),0))</f>
        <v/>
      </c>
      <c r="Y37" s="865"/>
      <c r="Z37" s="683"/>
      <c r="AA37" s="680"/>
      <c r="AB37" s="680"/>
      <c r="AC37" s="680"/>
      <c r="AD37" s="680"/>
      <c r="AE37" s="868"/>
      <c r="AF37" s="866"/>
      <c r="AG37" s="680"/>
      <c r="AH37" s="680"/>
      <c r="AI37" s="680"/>
      <c r="AJ37" s="680"/>
      <c r="AK37" s="680"/>
      <c r="AL37" s="680"/>
      <c r="AM37" s="680"/>
      <c r="AN37" s="680"/>
      <c r="AO37" s="680"/>
      <c r="AP37" s="684"/>
      <c r="AQ37" s="684"/>
      <c r="AR37" s="684"/>
      <c r="AS37" s="684"/>
      <c r="AT37" s="684"/>
      <c r="AU37" s="684"/>
      <c r="AV37" s="271">
        <f t="shared" si="28"/>
        <v>0</v>
      </c>
      <c r="AW37" s="680"/>
      <c r="AX37" s="845">
        <f>IF(F37="Ball_valve",IFERROR(VLOOKUP(E37&amp;"."&amp;D37,'Ball Valves Chart'!$1:$1048576,MATCH(G37,'Ball Valves Chart'!$3:$3,0),0),0),0)+IF(F37="DBB",IFERROR(VLOOKUP(E37&amp;"."&amp;D37,'Ball Valves Chart'!$1:$1048576,MATCH(G37,'Ball Valves Chart'!$3:$3,0),0)*2,0),0)+IFERROR(VLOOKUP(D37&amp;"."&amp;F37,'Manual Valves Chart'!$1:$1048576,MATCH('Valve List'!G37,'Manual Valves Chart'!$1:$1,0),0),0)</f>
        <v>0</v>
      </c>
      <c r="AY37" s="846">
        <f t="shared" si="29"/>
        <v>0</v>
      </c>
      <c r="AZ37" s="854"/>
      <c r="BA37" s="856">
        <f t="shared" si="30"/>
        <v>0</v>
      </c>
      <c r="BB37" s="286"/>
      <c r="BC37" s="852">
        <f t="shared" si="31"/>
        <v>0</v>
      </c>
      <c r="BD37" s="398"/>
      <c r="BE37" s="1546">
        <f t="shared" si="23"/>
        <v>0</v>
      </c>
      <c r="BF37" s="1546">
        <f t="shared" si="23"/>
        <v>0</v>
      </c>
      <c r="BG37" s="1546">
        <f t="shared" si="23"/>
        <v>0</v>
      </c>
      <c r="BH37" s="1546">
        <f t="shared" si="23"/>
        <v>0</v>
      </c>
      <c r="BI37" s="1546">
        <f t="shared" si="23"/>
        <v>0</v>
      </c>
      <c r="BJ37" s="1546">
        <f t="shared" si="23"/>
        <v>0</v>
      </c>
      <c r="BK37" s="1546">
        <f t="shared" si="23"/>
        <v>0</v>
      </c>
      <c r="BL37" s="1546">
        <f t="shared" si="23"/>
        <v>0</v>
      </c>
      <c r="BM37" s="1546">
        <f t="shared" si="23"/>
        <v>0</v>
      </c>
      <c r="BN37" s="1546">
        <f t="shared" si="23"/>
        <v>0</v>
      </c>
      <c r="BO37" s="1546">
        <f t="shared" si="24"/>
        <v>0</v>
      </c>
      <c r="BP37" s="1546">
        <f t="shared" si="24"/>
        <v>0</v>
      </c>
      <c r="BQ37" s="1546">
        <f t="shared" si="24"/>
        <v>0</v>
      </c>
      <c r="BR37" s="1546">
        <f t="shared" si="24"/>
        <v>0</v>
      </c>
      <c r="BS37" s="1546">
        <f t="shared" si="24"/>
        <v>0</v>
      </c>
      <c r="BT37" s="1546">
        <f t="shared" si="24"/>
        <v>0</v>
      </c>
      <c r="BU37" s="1546">
        <f t="shared" si="24"/>
        <v>0</v>
      </c>
      <c r="BV37" s="1546">
        <f t="shared" si="24"/>
        <v>0</v>
      </c>
      <c r="BX37" s="1546">
        <f t="shared" si="33"/>
        <v>0</v>
      </c>
      <c r="BY37" s="1546">
        <f t="shared" si="33"/>
        <v>0</v>
      </c>
      <c r="BZ37" s="1546">
        <f t="shared" si="33"/>
        <v>0</v>
      </c>
      <c r="CA37" s="1546">
        <f t="shared" si="33"/>
        <v>0</v>
      </c>
      <c r="CB37" s="1546">
        <f t="shared" si="33"/>
        <v>0</v>
      </c>
      <c r="CC37" s="1546">
        <f t="shared" si="33"/>
        <v>0</v>
      </c>
      <c r="CD37" s="1546">
        <f t="shared" si="33"/>
        <v>0</v>
      </c>
      <c r="CE37" s="1546">
        <f t="shared" si="33"/>
        <v>0</v>
      </c>
      <c r="CF37" s="1546">
        <f t="shared" si="33"/>
        <v>0</v>
      </c>
      <c r="CG37" s="1546">
        <f t="shared" si="33"/>
        <v>0</v>
      </c>
      <c r="CH37" s="1546">
        <f t="shared" si="33"/>
        <v>0</v>
      </c>
      <c r="CI37" s="1546">
        <f t="shared" si="33"/>
        <v>0</v>
      </c>
      <c r="CJ37" s="1546">
        <f t="shared" si="33"/>
        <v>0</v>
      </c>
      <c r="CL37" s="1546">
        <f t="shared" si="20"/>
        <v>0</v>
      </c>
      <c r="CM37" s="1546">
        <f t="shared" si="20"/>
        <v>0</v>
      </c>
      <c r="CN37" s="1546">
        <f t="shared" si="20"/>
        <v>0</v>
      </c>
      <c r="CO37" s="1546">
        <f t="shared" si="20"/>
        <v>0</v>
      </c>
      <c r="CQ37" s="1546">
        <f t="shared" si="32"/>
        <v>0</v>
      </c>
      <c r="CR37" s="1546">
        <f t="shared" si="25"/>
        <v>0</v>
      </c>
      <c r="CS37" s="1546">
        <f t="shared" si="25"/>
        <v>0</v>
      </c>
      <c r="CT37" s="1546">
        <f t="shared" si="25"/>
        <v>0</v>
      </c>
      <c r="CU37" s="1546">
        <f t="shared" si="25"/>
        <v>0</v>
      </c>
      <c r="CV37" s="1546">
        <f t="shared" si="25"/>
        <v>0</v>
      </c>
      <c r="CW37" s="1546">
        <f t="shared" si="25"/>
        <v>0</v>
      </c>
      <c r="CX37" s="1546">
        <f t="shared" si="25"/>
        <v>0</v>
      </c>
      <c r="CY37" s="1546">
        <f t="shared" si="25"/>
        <v>0</v>
      </c>
      <c r="CZ37" s="1546">
        <f t="shared" si="25"/>
        <v>0</v>
      </c>
      <c r="DA37" s="1546">
        <f t="shared" si="25"/>
        <v>0</v>
      </c>
      <c r="DB37" s="1546">
        <f t="shared" si="25"/>
        <v>0</v>
      </c>
      <c r="DC37" s="1546">
        <f t="shared" si="25"/>
        <v>0</v>
      </c>
      <c r="DD37" s="1546">
        <f t="shared" si="25"/>
        <v>0</v>
      </c>
      <c r="DE37" s="1546">
        <f t="shared" si="25"/>
        <v>0</v>
      </c>
      <c r="DF37" s="1546">
        <f t="shared" si="25"/>
        <v>0</v>
      </c>
      <c r="DG37" s="1546">
        <f t="shared" si="13"/>
        <v>1</v>
      </c>
      <c r="DI37" s="1546">
        <f t="shared" si="26"/>
        <v>0</v>
      </c>
      <c r="DJ37" s="1546">
        <f t="shared" si="26"/>
        <v>0</v>
      </c>
      <c r="DK37" s="1546">
        <f t="shared" si="26"/>
        <v>0</v>
      </c>
      <c r="DL37" s="1546">
        <f t="shared" si="26"/>
        <v>0</v>
      </c>
      <c r="DM37" s="1546">
        <f t="shared" si="26"/>
        <v>0</v>
      </c>
      <c r="DN37" s="1546">
        <f t="shared" si="26"/>
        <v>0</v>
      </c>
    </row>
    <row r="38" spans="1:118" x14ac:dyDescent="0.3">
      <c r="A38" s="285">
        <v>44</v>
      </c>
      <c r="B38" s="325">
        <f t="shared" si="27"/>
        <v>0</v>
      </c>
      <c r="C38" s="682"/>
      <c r="D38" s="683"/>
      <c r="E38" s="680"/>
      <c r="F38" s="713"/>
      <c r="G38" s="91" t="str">
        <f>IF($B38=0,"",VLOOKUP($B38,'Valve Data'!$1:$1048576,MATCH(G$1,'Valve Data'!$1:$1,0),0))</f>
        <v/>
      </c>
      <c r="H38" s="21" t="str">
        <f>IF($B38=0,"",VLOOKUP($B38,'Valve Data'!$1:$1048576,MATCH(H$1,'Valve Data'!$1:$1,0),0))</f>
        <v/>
      </c>
      <c r="I38" s="21" t="str">
        <f>IF($B38=0,"",VLOOKUP($B38,'Valve Data'!$1:$1048576,MATCH(I$1,'Valve Data'!$1:$1,0),0))</f>
        <v/>
      </c>
      <c r="J38" s="328" t="str">
        <f>IF($B38=0,"",VLOOKUP($B38,'Valve Data'!$1:$1048576,MATCH(J$1,'Valve Data'!$1:$1,0),0))</f>
        <v/>
      </c>
      <c r="K38" s="21" t="str">
        <f>IF($B38=0,"",VLOOKUP($B38,'Valve Data'!$1:$1048576,MATCH(K$1,'Valve Data'!$1:$1,0),0))</f>
        <v/>
      </c>
      <c r="L38" s="21" t="str">
        <f>IF($B38=0,"",VLOOKUP($B38,'Valve Data'!$1:$1048576,MATCH(L$1,'Valve Data'!$1:$1,0),0))</f>
        <v/>
      </c>
      <c r="M38" s="21" t="str">
        <f>IF($B38=0,"",VLOOKUP($B38,'Valve Data'!$1:$1048576,MATCH(M$1,'Valve Data'!$1:$1,0),0))</f>
        <v/>
      </c>
      <c r="N38" s="21" t="str">
        <f>IF($B38=0,"",VLOOKUP($B38,'Valve Data'!$1:$1048576,MATCH(N$1,'Valve Data'!$1:$1,0),0))</f>
        <v/>
      </c>
      <c r="O38" s="21" t="str">
        <f>IF($B38=0,"",VLOOKUP($B38,'Valve Data'!$1:$1048576,MATCH(O$1,'Valve Data'!$1:$1,0),0))</f>
        <v/>
      </c>
      <c r="P38" s="21" t="str">
        <f>IF($B38=0,"",VLOOKUP($B38,'Valve Data'!$1:$1048576,MATCH(P$1,'Valve Data'!$1:$1,0),0))</f>
        <v/>
      </c>
      <c r="Q38" s="21" t="str">
        <f>IF($B38=0,"",VLOOKUP($B38,'Valve Data'!$1:$1048576,MATCH(Q$1,'Valve Data'!$1:$1,0),0))</f>
        <v/>
      </c>
      <c r="R38" s="21" t="str">
        <f>IF($B38=0,"",VLOOKUP($B38,'Valve Data'!$1:$1048576,MATCH(R$1,'Valve Data'!$1:$1,0),0))</f>
        <v/>
      </c>
      <c r="S38" s="21" t="str">
        <f>IF($B38=0,"",VLOOKUP($B38,'Valve Data'!$1:$1048576,MATCH(S$1,'Valve Data'!$1:$1,0),0))</f>
        <v/>
      </c>
      <c r="T38" s="331" t="str">
        <f>IF($B38=0,"",VLOOKUP($B38,'Valve Data'!$1:$1048576,MATCH(T$1,'Valve Data'!$1:$1,0),0))</f>
        <v/>
      </c>
      <c r="U38" s="91" t="str">
        <f>IF($B38=0,"",VLOOKUP($B38,'Valve Data'!$1:$1048576,MATCH(U$1,'Valve Data'!$1:$1,0),0))</f>
        <v/>
      </c>
      <c r="V38" s="21" t="str">
        <f>IF($B38=0,"",VLOOKUP($B38,'Valve Data'!$1:$1048576,MATCH(V$1,'Valve Data'!$1:$1,0),0))</f>
        <v/>
      </c>
      <c r="W38" s="21" t="str">
        <f>IF($B38=0,"",VLOOKUP($B38,'Valve Data'!$1:$1048576,MATCH(W$1,'Valve Data'!$1:$1,0),0))</f>
        <v/>
      </c>
      <c r="X38" s="331" t="str">
        <f>IF($B38=0,"",VLOOKUP($B38,'Valve Data'!$1:$1048576,MATCH(X$1,'Valve Data'!$1:$1,0),0))</f>
        <v/>
      </c>
      <c r="Y38" s="865"/>
      <c r="Z38" s="683"/>
      <c r="AA38" s="680"/>
      <c r="AB38" s="680"/>
      <c r="AC38" s="680"/>
      <c r="AD38" s="680"/>
      <c r="AE38" s="868"/>
      <c r="AF38" s="866"/>
      <c r="AG38" s="680"/>
      <c r="AH38" s="680"/>
      <c r="AI38" s="680"/>
      <c r="AJ38" s="680"/>
      <c r="AK38" s="680"/>
      <c r="AL38" s="680"/>
      <c r="AM38" s="680"/>
      <c r="AN38" s="680"/>
      <c r="AO38" s="680"/>
      <c r="AP38" s="684"/>
      <c r="AQ38" s="684"/>
      <c r="AR38" s="684"/>
      <c r="AS38" s="684"/>
      <c r="AT38" s="684"/>
      <c r="AU38" s="684"/>
      <c r="AV38" s="271">
        <f t="shared" si="28"/>
        <v>0</v>
      </c>
      <c r="AW38" s="680"/>
      <c r="AX38" s="845">
        <f>IF(F38="Ball_valve",IFERROR(VLOOKUP(E38&amp;"."&amp;D38,'Ball Valves Chart'!$1:$1048576,MATCH(G38,'Ball Valves Chart'!$3:$3,0),0),0),0)+IF(F38="DBB",IFERROR(VLOOKUP(E38&amp;"."&amp;D38,'Ball Valves Chart'!$1:$1048576,MATCH(G38,'Ball Valves Chart'!$3:$3,0),0)*2,0),0)+IFERROR(VLOOKUP(D38&amp;"."&amp;F38,'Manual Valves Chart'!$1:$1048576,MATCH('Valve List'!G46,'Manual Valves Chart'!$1:$1,0),0),0)</f>
        <v>0</v>
      </c>
      <c r="AY38" s="846">
        <f t="shared" si="29"/>
        <v>0</v>
      </c>
      <c r="AZ38" s="854"/>
      <c r="BA38" s="856">
        <f t="shared" si="30"/>
        <v>0</v>
      </c>
      <c r="BB38" s="286"/>
      <c r="BC38" s="852">
        <f t="shared" si="31"/>
        <v>0</v>
      </c>
      <c r="BD38" s="398"/>
      <c r="BE38" s="1546">
        <f t="shared" si="23"/>
        <v>0</v>
      </c>
      <c r="BF38" s="1546">
        <f t="shared" si="23"/>
        <v>0</v>
      </c>
      <c r="BG38" s="1546">
        <f t="shared" si="23"/>
        <v>0</v>
      </c>
      <c r="BH38" s="1546">
        <f t="shared" si="23"/>
        <v>0</v>
      </c>
      <c r="BI38" s="1546">
        <f t="shared" si="23"/>
        <v>0</v>
      </c>
      <c r="BJ38" s="1546">
        <f t="shared" si="23"/>
        <v>0</v>
      </c>
      <c r="BK38" s="1546">
        <f t="shared" si="23"/>
        <v>0</v>
      </c>
      <c r="BL38" s="1546">
        <f t="shared" si="23"/>
        <v>0</v>
      </c>
      <c r="BM38" s="1546">
        <f t="shared" si="23"/>
        <v>0</v>
      </c>
      <c r="BN38" s="1546">
        <f t="shared" si="23"/>
        <v>0</v>
      </c>
      <c r="BO38" s="1546">
        <f t="shared" si="24"/>
        <v>0</v>
      </c>
      <c r="BP38" s="1546">
        <f t="shared" si="24"/>
        <v>0</v>
      </c>
      <c r="BQ38" s="1546">
        <f t="shared" si="24"/>
        <v>0</v>
      </c>
      <c r="BR38" s="1546">
        <f t="shared" si="24"/>
        <v>0</v>
      </c>
      <c r="BS38" s="1546">
        <f t="shared" si="24"/>
        <v>0</v>
      </c>
      <c r="BT38" s="1546">
        <f t="shared" si="24"/>
        <v>0</v>
      </c>
      <c r="BU38" s="1546">
        <f t="shared" si="24"/>
        <v>0</v>
      </c>
      <c r="BV38" s="1546">
        <f t="shared" si="24"/>
        <v>0</v>
      </c>
      <c r="BX38" s="1546">
        <f t="shared" si="33"/>
        <v>0</v>
      </c>
      <c r="BY38" s="1546">
        <f t="shared" si="33"/>
        <v>0</v>
      </c>
      <c r="BZ38" s="1546">
        <f t="shared" si="33"/>
        <v>0</v>
      </c>
      <c r="CA38" s="1546">
        <f t="shared" si="33"/>
        <v>0</v>
      </c>
      <c r="CB38" s="1546">
        <f t="shared" si="33"/>
        <v>0</v>
      </c>
      <c r="CC38" s="1546">
        <f t="shared" si="33"/>
        <v>0</v>
      </c>
      <c r="CD38" s="1546">
        <f t="shared" si="33"/>
        <v>0</v>
      </c>
      <c r="CE38" s="1546">
        <f t="shared" si="33"/>
        <v>0</v>
      </c>
      <c r="CF38" s="1546">
        <f t="shared" si="33"/>
        <v>0</v>
      </c>
      <c r="CG38" s="1546">
        <f t="shared" si="33"/>
        <v>0</v>
      </c>
      <c r="CH38" s="1546">
        <f t="shared" si="33"/>
        <v>0</v>
      </c>
      <c r="CI38" s="1546">
        <f t="shared" si="33"/>
        <v>0</v>
      </c>
      <c r="CJ38" s="1546">
        <f t="shared" si="33"/>
        <v>0</v>
      </c>
      <c r="CL38" s="1546">
        <f t="shared" si="20"/>
        <v>0</v>
      </c>
      <c r="CM38" s="1546">
        <f t="shared" si="20"/>
        <v>0</v>
      </c>
      <c r="CN38" s="1546">
        <f t="shared" si="20"/>
        <v>0</v>
      </c>
      <c r="CO38" s="1546">
        <f t="shared" si="20"/>
        <v>0</v>
      </c>
      <c r="CQ38" s="1546">
        <f t="shared" si="32"/>
        <v>0</v>
      </c>
      <c r="CR38" s="1546">
        <f t="shared" si="25"/>
        <v>0</v>
      </c>
      <c r="CS38" s="1546">
        <f t="shared" si="25"/>
        <v>0</v>
      </c>
      <c r="CT38" s="1546">
        <f t="shared" si="25"/>
        <v>0</v>
      </c>
      <c r="CU38" s="1546">
        <f t="shared" si="25"/>
        <v>0</v>
      </c>
      <c r="CV38" s="1546">
        <f t="shared" si="25"/>
        <v>0</v>
      </c>
      <c r="CW38" s="1546">
        <f t="shared" si="25"/>
        <v>0</v>
      </c>
      <c r="CX38" s="1546">
        <f t="shared" si="25"/>
        <v>0</v>
      </c>
      <c r="CY38" s="1546">
        <f t="shared" si="25"/>
        <v>0</v>
      </c>
      <c r="CZ38" s="1546">
        <f t="shared" si="25"/>
        <v>0</v>
      </c>
      <c r="DA38" s="1546">
        <f t="shared" si="25"/>
        <v>0</v>
      </c>
      <c r="DB38" s="1546">
        <f t="shared" si="25"/>
        <v>0</v>
      </c>
      <c r="DC38" s="1546">
        <f t="shared" si="25"/>
        <v>0</v>
      </c>
      <c r="DD38" s="1546">
        <f t="shared" si="25"/>
        <v>0</v>
      </c>
      <c r="DE38" s="1546">
        <f t="shared" si="25"/>
        <v>0</v>
      </c>
      <c r="DF38" s="1546">
        <f t="shared" si="25"/>
        <v>0</v>
      </c>
      <c r="DG38" s="1546">
        <f t="shared" si="13"/>
        <v>1</v>
      </c>
      <c r="DI38" s="1546">
        <f t="shared" si="26"/>
        <v>0</v>
      </c>
      <c r="DJ38" s="1546">
        <f t="shared" si="26"/>
        <v>0</v>
      </c>
      <c r="DK38" s="1546">
        <f t="shared" si="26"/>
        <v>0</v>
      </c>
      <c r="DL38" s="1546">
        <f t="shared" si="26"/>
        <v>0</v>
      </c>
      <c r="DM38" s="1546">
        <f t="shared" si="26"/>
        <v>0</v>
      </c>
      <c r="DN38" s="1546">
        <f t="shared" si="26"/>
        <v>0</v>
      </c>
    </row>
    <row r="39" spans="1:118" x14ac:dyDescent="0.3">
      <c r="A39" s="285">
        <v>46</v>
      </c>
      <c r="B39" s="325">
        <f t="shared" si="27"/>
        <v>0</v>
      </c>
      <c r="C39" s="682"/>
      <c r="D39" s="683"/>
      <c r="E39" s="680"/>
      <c r="F39" s="713"/>
      <c r="G39" s="91" t="str">
        <f>IF($B39=0,"",VLOOKUP($B39,'Valve Data'!$1:$1048576,MATCH(G$1,'Valve Data'!$1:$1,0),0))</f>
        <v/>
      </c>
      <c r="H39" s="21" t="str">
        <f>IF($B39=0,"",VLOOKUP($B39,'Valve Data'!$1:$1048576,MATCH(H$1,'Valve Data'!$1:$1,0),0))</f>
        <v/>
      </c>
      <c r="I39" s="21" t="str">
        <f>IF($B39=0,"",VLOOKUP($B39,'Valve Data'!$1:$1048576,MATCH(I$1,'Valve Data'!$1:$1,0),0))</f>
        <v/>
      </c>
      <c r="J39" s="328" t="str">
        <f>IF($B39=0,"",VLOOKUP($B39,'Valve Data'!$1:$1048576,MATCH(J$1,'Valve Data'!$1:$1,0),0))</f>
        <v/>
      </c>
      <c r="K39" s="21" t="str">
        <f>IF($B39=0,"",VLOOKUP($B39,'Valve Data'!$1:$1048576,MATCH(K$1,'Valve Data'!$1:$1,0),0))</f>
        <v/>
      </c>
      <c r="L39" s="21" t="str">
        <f>IF($B39=0,"",VLOOKUP($B39,'Valve Data'!$1:$1048576,MATCH(L$1,'Valve Data'!$1:$1,0),0))</f>
        <v/>
      </c>
      <c r="M39" s="21" t="str">
        <f>IF($B39=0,"",VLOOKUP($B39,'Valve Data'!$1:$1048576,MATCH(M$1,'Valve Data'!$1:$1,0),0))</f>
        <v/>
      </c>
      <c r="N39" s="21" t="str">
        <f>IF($B39=0,"",VLOOKUP($B39,'Valve Data'!$1:$1048576,MATCH(N$1,'Valve Data'!$1:$1,0),0))</f>
        <v/>
      </c>
      <c r="O39" s="21" t="str">
        <f>IF($B39=0,"",VLOOKUP($B39,'Valve Data'!$1:$1048576,MATCH(O$1,'Valve Data'!$1:$1,0),0))</f>
        <v/>
      </c>
      <c r="P39" s="21" t="str">
        <f>IF($B39=0,"",VLOOKUP($B39,'Valve Data'!$1:$1048576,MATCH(P$1,'Valve Data'!$1:$1,0),0))</f>
        <v/>
      </c>
      <c r="Q39" s="21" t="str">
        <f>IF($B39=0,"",VLOOKUP($B39,'Valve Data'!$1:$1048576,MATCH(Q$1,'Valve Data'!$1:$1,0),0))</f>
        <v/>
      </c>
      <c r="R39" s="21" t="str">
        <f>IF($B39=0,"",VLOOKUP($B39,'Valve Data'!$1:$1048576,MATCH(R$1,'Valve Data'!$1:$1,0),0))</f>
        <v/>
      </c>
      <c r="S39" s="21" t="str">
        <f>IF($B39=0,"",VLOOKUP($B39,'Valve Data'!$1:$1048576,MATCH(S$1,'Valve Data'!$1:$1,0),0))</f>
        <v/>
      </c>
      <c r="T39" s="331" t="str">
        <f>IF($B39=0,"",VLOOKUP($B39,'Valve Data'!$1:$1048576,MATCH(T$1,'Valve Data'!$1:$1,0),0))</f>
        <v/>
      </c>
      <c r="U39" s="91" t="str">
        <f>IF($B39=0,"",VLOOKUP($B39,'Valve Data'!$1:$1048576,MATCH(U$1,'Valve Data'!$1:$1,0),0))</f>
        <v/>
      </c>
      <c r="V39" s="21" t="str">
        <f>IF($B39=0,"",VLOOKUP($B39,'Valve Data'!$1:$1048576,MATCH(V$1,'Valve Data'!$1:$1,0),0))</f>
        <v/>
      </c>
      <c r="W39" s="21" t="str">
        <f>IF($B39=0,"",VLOOKUP($B39,'Valve Data'!$1:$1048576,MATCH(W$1,'Valve Data'!$1:$1,0),0))</f>
        <v/>
      </c>
      <c r="X39" s="331" t="str">
        <f>IF($B39=0,"",VLOOKUP($B39,'Valve Data'!$1:$1048576,MATCH(X$1,'Valve Data'!$1:$1,0),0))</f>
        <v/>
      </c>
      <c r="Y39" s="865"/>
      <c r="Z39" s="683"/>
      <c r="AA39" s="680"/>
      <c r="AB39" s="680"/>
      <c r="AC39" s="680"/>
      <c r="AD39" s="680"/>
      <c r="AE39" s="868"/>
      <c r="AF39" s="866"/>
      <c r="AG39" s="680"/>
      <c r="AH39" s="680"/>
      <c r="AI39" s="680"/>
      <c r="AJ39" s="680"/>
      <c r="AK39" s="680"/>
      <c r="AL39" s="680"/>
      <c r="AM39" s="680"/>
      <c r="AN39" s="680"/>
      <c r="AO39" s="680"/>
      <c r="AP39" s="684"/>
      <c r="AQ39" s="684"/>
      <c r="AR39" s="684"/>
      <c r="AS39" s="684"/>
      <c r="AT39" s="684"/>
      <c r="AU39" s="684"/>
      <c r="AV39" s="271">
        <f t="shared" si="28"/>
        <v>0</v>
      </c>
      <c r="AW39" s="680"/>
      <c r="AX39" s="845">
        <f>IF(F39="Ball_valve",IFERROR(VLOOKUP(E39&amp;"."&amp;D39,'Ball Valves Chart'!$1:$1048576,MATCH(G39,'Ball Valves Chart'!$3:$3,0),0),0),0)+IF(F39="DBB",IFERROR(VLOOKUP(E39&amp;"."&amp;D39,'Ball Valves Chart'!$1:$1048576,MATCH(G39,'Ball Valves Chart'!$3:$3,0),0)*2,0),0)+IFERROR(VLOOKUP(D39&amp;"."&amp;F39,'Manual Valves Chart'!$1:$1048576,MATCH('Valve List'!G48,'Manual Valves Chart'!$1:$1,0),0),0)</f>
        <v>0</v>
      </c>
      <c r="AY39" s="846">
        <f t="shared" si="29"/>
        <v>0</v>
      </c>
      <c r="AZ39" s="854"/>
      <c r="BA39" s="856">
        <f t="shared" si="30"/>
        <v>0</v>
      </c>
      <c r="BB39" s="286"/>
      <c r="BC39" s="852">
        <f t="shared" si="31"/>
        <v>0</v>
      </c>
      <c r="BD39" s="398"/>
      <c r="BE39" s="1546">
        <f t="shared" si="23"/>
        <v>0</v>
      </c>
      <c r="BF39" s="1546">
        <f t="shared" si="23"/>
        <v>0</v>
      </c>
      <c r="BG39" s="1546">
        <f t="shared" si="23"/>
        <v>0</v>
      </c>
      <c r="BH39" s="1546">
        <f t="shared" si="23"/>
        <v>0</v>
      </c>
      <c r="BI39" s="1546">
        <f t="shared" si="23"/>
        <v>0</v>
      </c>
      <c r="BJ39" s="1546">
        <f t="shared" si="23"/>
        <v>0</v>
      </c>
      <c r="BK39" s="1546">
        <f t="shared" si="23"/>
        <v>0</v>
      </c>
      <c r="BL39" s="1546">
        <f t="shared" si="23"/>
        <v>0</v>
      </c>
      <c r="BM39" s="1546">
        <f t="shared" si="23"/>
        <v>0</v>
      </c>
      <c r="BN39" s="1546">
        <f t="shared" si="23"/>
        <v>0</v>
      </c>
      <c r="BO39" s="1546">
        <f t="shared" si="24"/>
        <v>0</v>
      </c>
      <c r="BP39" s="1546">
        <f t="shared" si="24"/>
        <v>0</v>
      </c>
      <c r="BQ39" s="1546">
        <f t="shared" si="24"/>
        <v>0</v>
      </c>
      <c r="BR39" s="1546">
        <f t="shared" si="24"/>
        <v>0</v>
      </c>
      <c r="BS39" s="1546">
        <f t="shared" si="24"/>
        <v>0</v>
      </c>
      <c r="BT39" s="1546">
        <f t="shared" si="24"/>
        <v>0</v>
      </c>
      <c r="BU39" s="1546">
        <f t="shared" si="24"/>
        <v>0</v>
      </c>
      <c r="BV39" s="1546">
        <f t="shared" si="24"/>
        <v>0</v>
      </c>
      <c r="BX39" s="1546">
        <f t="shared" si="33"/>
        <v>0</v>
      </c>
      <c r="BY39" s="1546">
        <f t="shared" si="33"/>
        <v>0</v>
      </c>
      <c r="BZ39" s="1546">
        <f t="shared" si="33"/>
        <v>0</v>
      </c>
      <c r="CA39" s="1546">
        <f t="shared" si="33"/>
        <v>0</v>
      </c>
      <c r="CB39" s="1546">
        <f t="shared" si="33"/>
        <v>0</v>
      </c>
      <c r="CC39" s="1546">
        <f t="shared" si="33"/>
        <v>0</v>
      </c>
      <c r="CD39" s="1546">
        <f t="shared" si="33"/>
        <v>0</v>
      </c>
      <c r="CE39" s="1546">
        <f t="shared" si="33"/>
        <v>0</v>
      </c>
      <c r="CF39" s="1546">
        <f t="shared" si="33"/>
        <v>0</v>
      </c>
      <c r="CG39" s="1546">
        <f t="shared" si="33"/>
        <v>0</v>
      </c>
      <c r="CH39" s="1546">
        <f t="shared" si="33"/>
        <v>0</v>
      </c>
      <c r="CI39" s="1546">
        <f t="shared" si="33"/>
        <v>0</v>
      </c>
      <c r="CJ39" s="1546">
        <f t="shared" si="33"/>
        <v>0</v>
      </c>
      <c r="CL39" s="1546">
        <f t="shared" si="20"/>
        <v>0</v>
      </c>
      <c r="CM39" s="1546">
        <f t="shared" si="20"/>
        <v>0</v>
      </c>
      <c r="CN39" s="1546">
        <f t="shared" si="20"/>
        <v>0</v>
      </c>
      <c r="CO39" s="1546">
        <f t="shared" si="20"/>
        <v>0</v>
      </c>
      <c r="CQ39" s="1546">
        <f t="shared" si="32"/>
        <v>0</v>
      </c>
      <c r="CR39" s="1546">
        <f t="shared" si="25"/>
        <v>0</v>
      </c>
      <c r="CS39" s="1546">
        <f t="shared" si="25"/>
        <v>0</v>
      </c>
      <c r="CT39" s="1546">
        <f t="shared" si="25"/>
        <v>0</v>
      </c>
      <c r="CU39" s="1546">
        <f t="shared" si="25"/>
        <v>0</v>
      </c>
      <c r="CV39" s="1546">
        <f t="shared" si="25"/>
        <v>0</v>
      </c>
      <c r="CW39" s="1546">
        <f t="shared" si="25"/>
        <v>0</v>
      </c>
      <c r="CX39" s="1546">
        <f t="shared" si="25"/>
        <v>0</v>
      </c>
      <c r="CY39" s="1546">
        <f t="shared" si="25"/>
        <v>0</v>
      </c>
      <c r="CZ39" s="1546">
        <f t="shared" si="25"/>
        <v>0</v>
      </c>
      <c r="DA39" s="1546">
        <f t="shared" si="25"/>
        <v>0</v>
      </c>
      <c r="DB39" s="1546">
        <f t="shared" si="25"/>
        <v>0</v>
      </c>
      <c r="DC39" s="1546">
        <f t="shared" si="25"/>
        <v>0</v>
      </c>
      <c r="DD39" s="1546">
        <f t="shared" si="25"/>
        <v>0</v>
      </c>
      <c r="DE39" s="1546">
        <f t="shared" si="25"/>
        <v>0</v>
      </c>
      <c r="DF39" s="1546">
        <f t="shared" si="25"/>
        <v>0</v>
      </c>
      <c r="DG39" s="1546">
        <f t="shared" si="13"/>
        <v>1</v>
      </c>
      <c r="DI39" s="1546">
        <f t="shared" si="26"/>
        <v>0</v>
      </c>
      <c r="DJ39" s="1546">
        <f t="shared" si="26"/>
        <v>0</v>
      </c>
      <c r="DK39" s="1546">
        <f t="shared" si="26"/>
        <v>0</v>
      </c>
      <c r="DL39" s="1546">
        <f t="shared" si="26"/>
        <v>0</v>
      </c>
      <c r="DM39" s="1546">
        <f t="shared" si="26"/>
        <v>0</v>
      </c>
      <c r="DN39" s="1546">
        <f t="shared" si="26"/>
        <v>0</v>
      </c>
    </row>
    <row r="40" spans="1:118" x14ac:dyDescent="0.3">
      <c r="A40" s="285">
        <v>38</v>
      </c>
      <c r="B40" s="325">
        <f t="shared" si="27"/>
        <v>0</v>
      </c>
      <c r="C40" s="682"/>
      <c r="D40" s="683"/>
      <c r="E40" s="680"/>
      <c r="F40" s="713"/>
      <c r="G40" s="91" t="str">
        <f>IF($B40=0,"",VLOOKUP($B40,'Valve Data'!$1:$1048576,MATCH(G$1,'Valve Data'!$1:$1,0),0))</f>
        <v/>
      </c>
      <c r="H40" s="21" t="str">
        <f>IF($B40=0,"",VLOOKUP($B40,'Valve Data'!$1:$1048576,MATCH(H$1,'Valve Data'!$1:$1,0),0))</f>
        <v/>
      </c>
      <c r="I40" s="21" t="str">
        <f>IF($B40=0,"",VLOOKUP($B40,'Valve Data'!$1:$1048576,MATCH(I$1,'Valve Data'!$1:$1,0),0))</f>
        <v/>
      </c>
      <c r="J40" s="328" t="str">
        <f>IF($B40=0,"",VLOOKUP($B40,'Valve Data'!$1:$1048576,MATCH(J$1,'Valve Data'!$1:$1,0),0))</f>
        <v/>
      </c>
      <c r="K40" s="21" t="str">
        <f>IF($B40=0,"",VLOOKUP($B40,'Valve Data'!$1:$1048576,MATCH(K$1,'Valve Data'!$1:$1,0),0))</f>
        <v/>
      </c>
      <c r="L40" s="21" t="str">
        <f>IF($B40=0,"",VLOOKUP($B40,'Valve Data'!$1:$1048576,MATCH(L$1,'Valve Data'!$1:$1,0),0))</f>
        <v/>
      </c>
      <c r="M40" s="21" t="str">
        <f>IF($B40=0,"",VLOOKUP($B40,'Valve Data'!$1:$1048576,MATCH(M$1,'Valve Data'!$1:$1,0),0))</f>
        <v/>
      </c>
      <c r="N40" s="21" t="str">
        <f>IF($B40=0,"",VLOOKUP($B40,'Valve Data'!$1:$1048576,MATCH(N$1,'Valve Data'!$1:$1,0),0))</f>
        <v/>
      </c>
      <c r="O40" s="21" t="str">
        <f>IF($B40=0,"",VLOOKUP($B40,'Valve Data'!$1:$1048576,MATCH(O$1,'Valve Data'!$1:$1,0),0))</f>
        <v/>
      </c>
      <c r="P40" s="21" t="str">
        <f>IF($B40=0,"",VLOOKUP($B40,'Valve Data'!$1:$1048576,MATCH(P$1,'Valve Data'!$1:$1,0),0))</f>
        <v/>
      </c>
      <c r="Q40" s="21" t="str">
        <f>IF($B40=0,"",VLOOKUP($B40,'Valve Data'!$1:$1048576,MATCH(Q$1,'Valve Data'!$1:$1,0),0))</f>
        <v/>
      </c>
      <c r="R40" s="21" t="str">
        <f>IF($B40=0,"",VLOOKUP($B40,'Valve Data'!$1:$1048576,MATCH(R$1,'Valve Data'!$1:$1,0),0))</f>
        <v/>
      </c>
      <c r="S40" s="21" t="str">
        <f>IF($B40=0,"",VLOOKUP($B40,'Valve Data'!$1:$1048576,MATCH(S$1,'Valve Data'!$1:$1,0),0))</f>
        <v/>
      </c>
      <c r="T40" s="331" t="str">
        <f>IF($B40=0,"",VLOOKUP($B40,'Valve Data'!$1:$1048576,MATCH(T$1,'Valve Data'!$1:$1,0),0))</f>
        <v/>
      </c>
      <c r="U40" s="91" t="str">
        <f>IF($B40=0,"",VLOOKUP($B40,'Valve Data'!$1:$1048576,MATCH(U$1,'Valve Data'!$1:$1,0),0))</f>
        <v/>
      </c>
      <c r="V40" s="21" t="str">
        <f>IF($B40=0,"",VLOOKUP($B40,'Valve Data'!$1:$1048576,MATCH(V$1,'Valve Data'!$1:$1,0),0))</f>
        <v/>
      </c>
      <c r="W40" s="21" t="str">
        <f>IF($B40=0,"",VLOOKUP($B40,'Valve Data'!$1:$1048576,MATCH(W$1,'Valve Data'!$1:$1,0),0))</f>
        <v/>
      </c>
      <c r="X40" s="331" t="str">
        <f>IF($B40=0,"",VLOOKUP($B40,'Valve Data'!$1:$1048576,MATCH(X$1,'Valve Data'!$1:$1,0),0))</f>
        <v/>
      </c>
      <c r="Y40" s="865"/>
      <c r="Z40" s="683"/>
      <c r="AA40" s="680"/>
      <c r="AB40" s="680"/>
      <c r="AC40" s="680"/>
      <c r="AD40" s="680"/>
      <c r="AE40" s="868"/>
      <c r="AF40" s="866"/>
      <c r="AG40" s="680"/>
      <c r="AH40" s="680"/>
      <c r="AI40" s="680"/>
      <c r="AJ40" s="680"/>
      <c r="AK40" s="680"/>
      <c r="AL40" s="680"/>
      <c r="AM40" s="680"/>
      <c r="AN40" s="680"/>
      <c r="AO40" s="680"/>
      <c r="AP40" s="684"/>
      <c r="AQ40" s="684"/>
      <c r="AR40" s="684"/>
      <c r="AS40" s="684"/>
      <c r="AT40" s="684"/>
      <c r="AU40" s="684"/>
      <c r="AV40" s="271">
        <f t="shared" si="28"/>
        <v>0</v>
      </c>
      <c r="AW40" s="680"/>
      <c r="AX40" s="845">
        <f>IF(F40="Ball_valve",IFERROR(VLOOKUP(E40&amp;"."&amp;D40,'Ball Valves Chart'!$1:$1048576,MATCH(G40,'Ball Valves Chart'!$3:$3,0),0),0),0)+IF(F40="DBB",IFERROR(VLOOKUP(E40&amp;"."&amp;D40,'Ball Valves Chart'!$1:$1048576,MATCH(G40,'Ball Valves Chart'!$3:$3,0),0)*2,0),0)+IFERROR(VLOOKUP(D40&amp;"."&amp;F40,'Manual Valves Chart'!$1:$1048576,MATCH('Valve List'!G40,'Manual Valves Chart'!$1:$1,0),0),0)</f>
        <v>0</v>
      </c>
      <c r="AY40" s="846">
        <f t="shared" si="29"/>
        <v>0</v>
      </c>
      <c r="AZ40" s="854"/>
      <c r="BA40" s="856">
        <f t="shared" si="30"/>
        <v>0</v>
      </c>
      <c r="BB40" s="286"/>
      <c r="BC40" s="852">
        <f t="shared" si="31"/>
        <v>0</v>
      </c>
      <c r="BD40" s="398"/>
      <c r="BE40" s="1546">
        <f t="shared" si="23"/>
        <v>0</v>
      </c>
      <c r="BF40" s="1546">
        <f t="shared" si="23"/>
        <v>0</v>
      </c>
      <c r="BG40" s="1546">
        <f t="shared" si="23"/>
        <v>0</v>
      </c>
      <c r="BH40" s="1546">
        <f t="shared" si="23"/>
        <v>0</v>
      </c>
      <c r="BI40" s="1546">
        <f t="shared" si="23"/>
        <v>0</v>
      </c>
      <c r="BJ40" s="1546">
        <f t="shared" si="23"/>
        <v>0</v>
      </c>
      <c r="BK40" s="1546">
        <f t="shared" si="23"/>
        <v>0</v>
      </c>
      <c r="BL40" s="1546">
        <f t="shared" si="23"/>
        <v>0</v>
      </c>
      <c r="BM40" s="1546">
        <f t="shared" si="23"/>
        <v>0</v>
      </c>
      <c r="BN40" s="1546">
        <f t="shared" si="23"/>
        <v>0</v>
      </c>
      <c r="BO40" s="1546">
        <f t="shared" si="24"/>
        <v>0</v>
      </c>
      <c r="BP40" s="1546">
        <f t="shared" si="24"/>
        <v>0</v>
      </c>
      <c r="BQ40" s="1546">
        <f t="shared" si="24"/>
        <v>0</v>
      </c>
      <c r="BR40" s="1546">
        <f t="shared" si="24"/>
        <v>0</v>
      </c>
      <c r="BS40" s="1546">
        <f t="shared" si="24"/>
        <v>0</v>
      </c>
      <c r="BT40" s="1546">
        <f t="shared" si="24"/>
        <v>0</v>
      </c>
      <c r="BU40" s="1546">
        <f t="shared" si="24"/>
        <v>0</v>
      </c>
      <c r="BV40" s="1546">
        <f t="shared" si="24"/>
        <v>0</v>
      </c>
      <c r="BX40" s="1546">
        <f t="shared" si="33"/>
        <v>0</v>
      </c>
      <c r="BY40" s="1546">
        <f t="shared" si="33"/>
        <v>0</v>
      </c>
      <c r="BZ40" s="1546">
        <f t="shared" si="33"/>
        <v>0</v>
      </c>
      <c r="CA40" s="1546">
        <f t="shared" si="33"/>
        <v>0</v>
      </c>
      <c r="CB40" s="1546">
        <f t="shared" si="33"/>
        <v>0</v>
      </c>
      <c r="CC40" s="1546">
        <f t="shared" si="33"/>
        <v>0</v>
      </c>
      <c r="CD40" s="1546">
        <f t="shared" si="33"/>
        <v>0</v>
      </c>
      <c r="CE40" s="1546">
        <f t="shared" si="33"/>
        <v>0</v>
      </c>
      <c r="CF40" s="1546">
        <f t="shared" si="33"/>
        <v>0</v>
      </c>
      <c r="CG40" s="1546">
        <f t="shared" si="33"/>
        <v>0</v>
      </c>
      <c r="CH40" s="1546">
        <f t="shared" si="33"/>
        <v>0</v>
      </c>
      <c r="CI40" s="1546">
        <f t="shared" si="33"/>
        <v>0</v>
      </c>
      <c r="CJ40" s="1546">
        <f t="shared" si="33"/>
        <v>0</v>
      </c>
      <c r="CL40" s="1546">
        <f t="shared" si="20"/>
        <v>0</v>
      </c>
      <c r="CM40" s="1546">
        <f t="shared" si="20"/>
        <v>0</v>
      </c>
      <c r="CN40" s="1546">
        <f t="shared" si="20"/>
        <v>0</v>
      </c>
      <c r="CO40" s="1546">
        <f t="shared" si="20"/>
        <v>0</v>
      </c>
      <c r="CQ40" s="1546">
        <f t="shared" si="32"/>
        <v>0</v>
      </c>
      <c r="CR40" s="1546">
        <f t="shared" si="25"/>
        <v>0</v>
      </c>
      <c r="CS40" s="1546">
        <f t="shared" si="25"/>
        <v>0</v>
      </c>
      <c r="CT40" s="1546">
        <f t="shared" si="25"/>
        <v>0</v>
      </c>
      <c r="CU40" s="1546">
        <f t="shared" si="25"/>
        <v>0</v>
      </c>
      <c r="CV40" s="1546">
        <f t="shared" si="25"/>
        <v>0</v>
      </c>
      <c r="CW40" s="1546">
        <f t="shared" si="25"/>
        <v>0</v>
      </c>
      <c r="CX40" s="1546">
        <f t="shared" si="25"/>
        <v>0</v>
      </c>
      <c r="CY40" s="1546">
        <f t="shared" si="25"/>
        <v>0</v>
      </c>
      <c r="CZ40" s="1546">
        <f t="shared" si="25"/>
        <v>0</v>
      </c>
      <c r="DA40" s="1546">
        <f t="shared" si="25"/>
        <v>0</v>
      </c>
      <c r="DB40" s="1546">
        <f t="shared" si="25"/>
        <v>0</v>
      </c>
      <c r="DC40" s="1546">
        <f t="shared" si="25"/>
        <v>0</v>
      </c>
      <c r="DD40" s="1546">
        <f t="shared" si="25"/>
        <v>0</v>
      </c>
      <c r="DE40" s="1546">
        <f t="shared" si="25"/>
        <v>0</v>
      </c>
      <c r="DF40" s="1546">
        <f t="shared" si="25"/>
        <v>0</v>
      </c>
      <c r="DG40" s="1546">
        <f t="shared" si="13"/>
        <v>1</v>
      </c>
      <c r="DI40" s="1546">
        <f t="shared" si="26"/>
        <v>0</v>
      </c>
      <c r="DJ40" s="1546">
        <f t="shared" si="26"/>
        <v>0</v>
      </c>
      <c r="DK40" s="1546">
        <f t="shared" si="26"/>
        <v>0</v>
      </c>
      <c r="DL40" s="1546">
        <f t="shared" si="26"/>
        <v>0</v>
      </c>
      <c r="DM40" s="1546">
        <f t="shared" si="26"/>
        <v>0</v>
      </c>
      <c r="DN40" s="1546">
        <f t="shared" si="26"/>
        <v>0</v>
      </c>
    </row>
    <row r="41" spans="1:118" x14ac:dyDescent="0.3">
      <c r="A41" s="285">
        <v>48</v>
      </c>
      <c r="B41" s="325">
        <f t="shared" si="27"/>
        <v>0</v>
      </c>
      <c r="C41" s="682"/>
      <c r="D41" s="683"/>
      <c r="E41" s="680"/>
      <c r="F41" s="713"/>
      <c r="G41" s="91" t="str">
        <f>IF($B41=0,"",VLOOKUP($B41,'Valve Data'!$1:$1048576,MATCH(G$1,'Valve Data'!$1:$1,0),0))</f>
        <v/>
      </c>
      <c r="H41" s="21" t="str">
        <f>IF($B41=0,"",VLOOKUP($B41,'Valve Data'!$1:$1048576,MATCH(H$1,'Valve Data'!$1:$1,0),0))</f>
        <v/>
      </c>
      <c r="I41" s="21" t="str">
        <f>IF($B41=0,"",VLOOKUP($B41,'Valve Data'!$1:$1048576,MATCH(I$1,'Valve Data'!$1:$1,0),0))</f>
        <v/>
      </c>
      <c r="J41" s="328" t="str">
        <f>IF($B41=0,"",VLOOKUP($B41,'Valve Data'!$1:$1048576,MATCH(J$1,'Valve Data'!$1:$1,0),0))</f>
        <v/>
      </c>
      <c r="K41" s="21" t="str">
        <f>IF($B41=0,"",VLOOKUP($B41,'Valve Data'!$1:$1048576,MATCH(K$1,'Valve Data'!$1:$1,0),0))</f>
        <v/>
      </c>
      <c r="L41" s="21" t="str">
        <f>IF($B41=0,"",VLOOKUP($B41,'Valve Data'!$1:$1048576,MATCH(L$1,'Valve Data'!$1:$1,0),0))</f>
        <v/>
      </c>
      <c r="M41" s="21" t="str">
        <f>IF($B41=0,"",VLOOKUP($B41,'Valve Data'!$1:$1048576,MATCH(M$1,'Valve Data'!$1:$1,0),0))</f>
        <v/>
      </c>
      <c r="N41" s="21" t="str">
        <f>IF($B41=0,"",VLOOKUP($B41,'Valve Data'!$1:$1048576,MATCH(N$1,'Valve Data'!$1:$1,0),0))</f>
        <v/>
      </c>
      <c r="O41" s="21" t="str">
        <f>IF($B41=0,"",VLOOKUP($B41,'Valve Data'!$1:$1048576,MATCH(O$1,'Valve Data'!$1:$1,0),0))</f>
        <v/>
      </c>
      <c r="P41" s="21" t="str">
        <f>IF($B41=0,"",VLOOKUP($B41,'Valve Data'!$1:$1048576,MATCH(P$1,'Valve Data'!$1:$1,0),0))</f>
        <v/>
      </c>
      <c r="Q41" s="21" t="str">
        <f>IF($B41=0,"",VLOOKUP($B41,'Valve Data'!$1:$1048576,MATCH(Q$1,'Valve Data'!$1:$1,0),0))</f>
        <v/>
      </c>
      <c r="R41" s="21" t="str">
        <f>IF($B41=0,"",VLOOKUP($B41,'Valve Data'!$1:$1048576,MATCH(R$1,'Valve Data'!$1:$1,0),0))</f>
        <v/>
      </c>
      <c r="S41" s="21" t="str">
        <f>IF($B41=0,"",VLOOKUP($B41,'Valve Data'!$1:$1048576,MATCH(S$1,'Valve Data'!$1:$1,0),0))</f>
        <v/>
      </c>
      <c r="T41" s="331" t="str">
        <f>IF($B41=0,"",VLOOKUP($B41,'Valve Data'!$1:$1048576,MATCH(T$1,'Valve Data'!$1:$1,0),0))</f>
        <v/>
      </c>
      <c r="U41" s="91" t="str">
        <f>IF($B41=0,"",VLOOKUP($B41,'Valve Data'!$1:$1048576,MATCH(U$1,'Valve Data'!$1:$1,0),0))</f>
        <v/>
      </c>
      <c r="V41" s="21" t="str">
        <f>IF($B41=0,"",VLOOKUP($B41,'Valve Data'!$1:$1048576,MATCH(V$1,'Valve Data'!$1:$1,0),0))</f>
        <v/>
      </c>
      <c r="W41" s="21" t="str">
        <f>IF($B41=0,"",VLOOKUP($B41,'Valve Data'!$1:$1048576,MATCH(W$1,'Valve Data'!$1:$1,0),0))</f>
        <v/>
      </c>
      <c r="X41" s="331" t="str">
        <f>IF($B41=0,"",VLOOKUP($B41,'Valve Data'!$1:$1048576,MATCH(X$1,'Valve Data'!$1:$1,0),0))</f>
        <v/>
      </c>
      <c r="Y41" s="865"/>
      <c r="Z41" s="683"/>
      <c r="AA41" s="680"/>
      <c r="AB41" s="680"/>
      <c r="AC41" s="680"/>
      <c r="AD41" s="680"/>
      <c r="AE41" s="868"/>
      <c r="AF41" s="866"/>
      <c r="AG41" s="680"/>
      <c r="AH41" s="680"/>
      <c r="AI41" s="680"/>
      <c r="AJ41" s="680"/>
      <c r="AK41" s="680"/>
      <c r="AL41" s="680"/>
      <c r="AM41" s="680"/>
      <c r="AN41" s="680"/>
      <c r="AO41" s="680"/>
      <c r="AP41" s="684"/>
      <c r="AQ41" s="684"/>
      <c r="AR41" s="684"/>
      <c r="AS41" s="684"/>
      <c r="AT41" s="684"/>
      <c r="AU41" s="684"/>
      <c r="AV41" s="271">
        <f t="shared" si="28"/>
        <v>0</v>
      </c>
      <c r="AW41" s="680"/>
      <c r="AX41" s="845">
        <f>IF(F41="Ball_valve",IFERROR(VLOOKUP(E41&amp;"."&amp;D41,'Ball Valves Chart'!$1:$1048576,MATCH(G41,'Ball Valves Chart'!$3:$3,0),0),0),0)+IF(F41="DBB",IFERROR(VLOOKUP(E41&amp;"."&amp;D41,'Ball Valves Chart'!$1:$1048576,MATCH(G41,'Ball Valves Chart'!$3:$3,0),0)*2,0),0)+IFERROR(VLOOKUP(D41&amp;"."&amp;F41,'Manual Valves Chart'!$1:$1048576,MATCH('Valve List'!G50,'Manual Valves Chart'!$1:$1,0),0),0)</f>
        <v>0</v>
      </c>
      <c r="AY41" s="846">
        <f t="shared" si="29"/>
        <v>0</v>
      </c>
      <c r="AZ41" s="854"/>
      <c r="BA41" s="856">
        <f t="shared" si="30"/>
        <v>0</v>
      </c>
      <c r="BB41" s="286"/>
      <c r="BC41" s="852">
        <f t="shared" si="31"/>
        <v>0</v>
      </c>
      <c r="BD41" s="398"/>
      <c r="BE41" s="1546">
        <f t="shared" si="23"/>
        <v>0</v>
      </c>
      <c r="BF41" s="1546">
        <f t="shared" si="23"/>
        <v>0</v>
      </c>
      <c r="BG41" s="1546">
        <f t="shared" si="23"/>
        <v>0</v>
      </c>
      <c r="BH41" s="1546">
        <f t="shared" si="23"/>
        <v>0</v>
      </c>
      <c r="BI41" s="1546">
        <f t="shared" si="23"/>
        <v>0</v>
      </c>
      <c r="BJ41" s="1546">
        <f t="shared" si="23"/>
        <v>0</v>
      </c>
      <c r="BK41" s="1546">
        <f t="shared" si="23"/>
        <v>0</v>
      </c>
      <c r="BL41" s="1546">
        <f t="shared" si="23"/>
        <v>0</v>
      </c>
      <c r="BM41" s="1546">
        <f t="shared" si="23"/>
        <v>0</v>
      </c>
      <c r="BN41" s="1546">
        <f t="shared" si="23"/>
        <v>0</v>
      </c>
      <c r="BO41" s="1546">
        <f t="shared" si="24"/>
        <v>0</v>
      </c>
      <c r="BP41" s="1546">
        <f t="shared" si="24"/>
        <v>0</v>
      </c>
      <c r="BQ41" s="1546">
        <f t="shared" si="24"/>
        <v>0</v>
      </c>
      <c r="BR41" s="1546">
        <f t="shared" si="24"/>
        <v>0</v>
      </c>
      <c r="BS41" s="1546">
        <f t="shared" si="24"/>
        <v>0</v>
      </c>
      <c r="BT41" s="1546">
        <f t="shared" si="24"/>
        <v>0</v>
      </c>
      <c r="BU41" s="1546">
        <f t="shared" si="24"/>
        <v>0</v>
      </c>
      <c r="BV41" s="1546">
        <f t="shared" si="24"/>
        <v>0</v>
      </c>
      <c r="BX41" s="1546">
        <f t="shared" si="33"/>
        <v>0</v>
      </c>
      <c r="BY41" s="1546">
        <f t="shared" si="33"/>
        <v>0</v>
      </c>
      <c r="BZ41" s="1546">
        <f t="shared" si="33"/>
        <v>0</v>
      </c>
      <c r="CA41" s="1546">
        <f t="shared" si="33"/>
        <v>0</v>
      </c>
      <c r="CB41" s="1546">
        <f t="shared" si="33"/>
        <v>0</v>
      </c>
      <c r="CC41" s="1546">
        <f t="shared" si="33"/>
        <v>0</v>
      </c>
      <c r="CD41" s="1546">
        <f t="shared" si="33"/>
        <v>0</v>
      </c>
      <c r="CE41" s="1546">
        <f t="shared" si="33"/>
        <v>0</v>
      </c>
      <c r="CF41" s="1546">
        <f t="shared" si="33"/>
        <v>0</v>
      </c>
      <c r="CG41" s="1546">
        <f t="shared" si="33"/>
        <v>0</v>
      </c>
      <c r="CH41" s="1546">
        <f t="shared" si="33"/>
        <v>0</v>
      </c>
      <c r="CI41" s="1546">
        <f t="shared" si="33"/>
        <v>0</v>
      </c>
      <c r="CJ41" s="1546">
        <f t="shared" si="33"/>
        <v>0</v>
      </c>
      <c r="CL41" s="1546">
        <f t="shared" si="20"/>
        <v>0</v>
      </c>
      <c r="CM41" s="1546">
        <f t="shared" si="20"/>
        <v>0</v>
      </c>
      <c r="CN41" s="1546">
        <f t="shared" si="20"/>
        <v>0</v>
      </c>
      <c r="CO41" s="1546">
        <f t="shared" si="20"/>
        <v>0</v>
      </c>
      <c r="CQ41" s="1546">
        <f t="shared" si="32"/>
        <v>0</v>
      </c>
      <c r="CR41" s="1546">
        <f t="shared" si="25"/>
        <v>0</v>
      </c>
      <c r="CS41" s="1546">
        <f t="shared" si="25"/>
        <v>0</v>
      </c>
      <c r="CT41" s="1546">
        <f t="shared" si="25"/>
        <v>0</v>
      </c>
      <c r="CU41" s="1546">
        <f t="shared" si="25"/>
        <v>0</v>
      </c>
      <c r="CV41" s="1546">
        <f t="shared" si="25"/>
        <v>0</v>
      </c>
      <c r="CW41" s="1546">
        <f t="shared" si="25"/>
        <v>0</v>
      </c>
      <c r="CX41" s="1546">
        <f t="shared" si="25"/>
        <v>0</v>
      </c>
      <c r="CY41" s="1546">
        <f t="shared" si="25"/>
        <v>0</v>
      </c>
      <c r="CZ41" s="1546">
        <f t="shared" si="25"/>
        <v>0</v>
      </c>
      <c r="DA41" s="1546">
        <f t="shared" si="25"/>
        <v>0</v>
      </c>
      <c r="DB41" s="1546">
        <f t="shared" si="25"/>
        <v>0</v>
      </c>
      <c r="DC41" s="1546">
        <f t="shared" si="25"/>
        <v>0</v>
      </c>
      <c r="DD41" s="1546">
        <f t="shared" si="25"/>
        <v>0</v>
      </c>
      <c r="DE41" s="1546">
        <f t="shared" si="25"/>
        <v>0</v>
      </c>
      <c r="DF41" s="1546">
        <f t="shared" si="25"/>
        <v>0</v>
      </c>
      <c r="DG41" s="1546">
        <f t="shared" si="13"/>
        <v>1</v>
      </c>
      <c r="DI41" s="1546">
        <f t="shared" si="26"/>
        <v>0</v>
      </c>
      <c r="DJ41" s="1546">
        <f t="shared" si="26"/>
        <v>0</v>
      </c>
      <c r="DK41" s="1546">
        <f t="shared" si="26"/>
        <v>0</v>
      </c>
      <c r="DL41" s="1546">
        <f t="shared" si="26"/>
        <v>0</v>
      </c>
      <c r="DM41" s="1546">
        <f t="shared" si="26"/>
        <v>0</v>
      </c>
      <c r="DN41" s="1546">
        <f t="shared" si="26"/>
        <v>0</v>
      </c>
    </row>
    <row r="42" spans="1:118" x14ac:dyDescent="0.3">
      <c r="A42" s="285">
        <v>49</v>
      </c>
      <c r="B42" s="325">
        <f t="shared" si="27"/>
        <v>0</v>
      </c>
      <c r="C42" s="682"/>
      <c r="D42" s="683"/>
      <c r="E42" s="680"/>
      <c r="F42" s="713"/>
      <c r="G42" s="91" t="str">
        <f>IF($B42=0,"",VLOOKUP($B42,'Valve Data'!$1:$1048576,MATCH(G$1,'Valve Data'!$1:$1,0),0))</f>
        <v/>
      </c>
      <c r="H42" s="21" t="str">
        <f>IF($B42=0,"",VLOOKUP($B42,'Valve Data'!$1:$1048576,MATCH(H$1,'Valve Data'!$1:$1,0),0))</f>
        <v/>
      </c>
      <c r="I42" s="21" t="str">
        <f>IF($B42=0,"",VLOOKUP($B42,'Valve Data'!$1:$1048576,MATCH(I$1,'Valve Data'!$1:$1,0),0))</f>
        <v/>
      </c>
      <c r="J42" s="328" t="str">
        <f>IF($B42=0,"",VLOOKUP($B42,'Valve Data'!$1:$1048576,MATCH(J$1,'Valve Data'!$1:$1,0),0))</f>
        <v/>
      </c>
      <c r="K42" s="21" t="str">
        <f>IF($B42=0,"",VLOOKUP($B42,'Valve Data'!$1:$1048576,MATCH(K$1,'Valve Data'!$1:$1,0),0))</f>
        <v/>
      </c>
      <c r="L42" s="21" t="str">
        <f>IF($B42=0,"",VLOOKUP($B42,'Valve Data'!$1:$1048576,MATCH(L$1,'Valve Data'!$1:$1,0),0))</f>
        <v/>
      </c>
      <c r="M42" s="21" t="str">
        <f>IF($B42=0,"",VLOOKUP($B42,'Valve Data'!$1:$1048576,MATCH(M$1,'Valve Data'!$1:$1,0),0))</f>
        <v/>
      </c>
      <c r="N42" s="21" t="str">
        <f>IF($B42=0,"",VLOOKUP($B42,'Valve Data'!$1:$1048576,MATCH(N$1,'Valve Data'!$1:$1,0),0))</f>
        <v/>
      </c>
      <c r="O42" s="21" t="str">
        <f>IF($B42=0,"",VLOOKUP($B42,'Valve Data'!$1:$1048576,MATCH(O$1,'Valve Data'!$1:$1,0),0))</f>
        <v/>
      </c>
      <c r="P42" s="21" t="str">
        <f>IF($B42=0,"",VLOOKUP($B42,'Valve Data'!$1:$1048576,MATCH(P$1,'Valve Data'!$1:$1,0),0))</f>
        <v/>
      </c>
      <c r="Q42" s="21" t="str">
        <f>IF($B42=0,"",VLOOKUP($B42,'Valve Data'!$1:$1048576,MATCH(Q$1,'Valve Data'!$1:$1,0),0))</f>
        <v/>
      </c>
      <c r="R42" s="21" t="str">
        <f>IF($B42=0,"",VLOOKUP($B42,'Valve Data'!$1:$1048576,MATCH(R$1,'Valve Data'!$1:$1,0),0))</f>
        <v/>
      </c>
      <c r="S42" s="21" t="str">
        <f>IF($B42=0,"",VLOOKUP($B42,'Valve Data'!$1:$1048576,MATCH(S$1,'Valve Data'!$1:$1,0),0))</f>
        <v/>
      </c>
      <c r="T42" s="331" t="str">
        <f>IF($B42=0,"",VLOOKUP($B42,'Valve Data'!$1:$1048576,MATCH(T$1,'Valve Data'!$1:$1,0),0))</f>
        <v/>
      </c>
      <c r="U42" s="91" t="str">
        <f>IF($B42=0,"",VLOOKUP($B42,'Valve Data'!$1:$1048576,MATCH(U$1,'Valve Data'!$1:$1,0),0))</f>
        <v/>
      </c>
      <c r="V42" s="21" t="str">
        <f>IF($B42=0,"",VLOOKUP($B42,'Valve Data'!$1:$1048576,MATCH(V$1,'Valve Data'!$1:$1,0),0))</f>
        <v/>
      </c>
      <c r="W42" s="21" t="str">
        <f>IF($B42=0,"",VLOOKUP($B42,'Valve Data'!$1:$1048576,MATCH(W$1,'Valve Data'!$1:$1,0),0))</f>
        <v/>
      </c>
      <c r="X42" s="331" t="str">
        <f>IF($B42=0,"",VLOOKUP($B42,'Valve Data'!$1:$1048576,MATCH(X$1,'Valve Data'!$1:$1,0),0))</f>
        <v/>
      </c>
      <c r="Y42" s="865"/>
      <c r="Z42" s="683"/>
      <c r="AA42" s="680"/>
      <c r="AB42" s="680"/>
      <c r="AC42" s="680"/>
      <c r="AD42" s="680"/>
      <c r="AE42" s="868"/>
      <c r="AF42" s="866"/>
      <c r="AG42" s="680"/>
      <c r="AH42" s="680"/>
      <c r="AI42" s="680"/>
      <c r="AJ42" s="680"/>
      <c r="AK42" s="680"/>
      <c r="AL42" s="680"/>
      <c r="AM42" s="680"/>
      <c r="AN42" s="680"/>
      <c r="AO42" s="680"/>
      <c r="AP42" s="684"/>
      <c r="AQ42" s="684"/>
      <c r="AR42" s="684"/>
      <c r="AS42" s="684"/>
      <c r="AT42" s="684"/>
      <c r="AU42" s="684"/>
      <c r="AV42" s="271">
        <f t="shared" si="28"/>
        <v>0</v>
      </c>
      <c r="AW42" s="680"/>
      <c r="AX42" s="845">
        <f>IF(F42="Ball_valve",IFERROR(VLOOKUP(E42&amp;"."&amp;D42,'Ball Valves Chart'!$1:$1048576,MATCH(G42,'Ball Valves Chart'!$3:$3,0),0),0),0)+IF(F42="DBB",IFERROR(VLOOKUP(E42&amp;"."&amp;D42,'Ball Valves Chart'!$1:$1048576,MATCH(G42,'Ball Valves Chart'!$3:$3,0),0)*2,0),0)+IFERROR(VLOOKUP(D42&amp;"."&amp;F42,'Manual Valves Chart'!$1:$1048576,MATCH('Valve List'!G51,'Manual Valves Chart'!$1:$1,0),0),0)</f>
        <v>0</v>
      </c>
      <c r="AY42" s="846">
        <f t="shared" si="29"/>
        <v>0</v>
      </c>
      <c r="AZ42" s="854"/>
      <c r="BA42" s="856">
        <f t="shared" si="30"/>
        <v>0</v>
      </c>
      <c r="BB42" s="286"/>
      <c r="BC42" s="852">
        <f t="shared" si="31"/>
        <v>0</v>
      </c>
      <c r="BD42" s="398"/>
      <c r="BE42" s="1546">
        <f t="shared" si="23"/>
        <v>0</v>
      </c>
      <c r="BF42" s="1546">
        <f t="shared" si="23"/>
        <v>0</v>
      </c>
      <c r="BG42" s="1546">
        <f t="shared" si="23"/>
        <v>0</v>
      </c>
      <c r="BH42" s="1546">
        <f t="shared" si="23"/>
        <v>0</v>
      </c>
      <c r="BI42" s="1546">
        <f t="shared" si="23"/>
        <v>0</v>
      </c>
      <c r="BJ42" s="1546">
        <f t="shared" si="23"/>
        <v>0</v>
      </c>
      <c r="BK42" s="1546">
        <f t="shared" si="23"/>
        <v>0</v>
      </c>
      <c r="BL42" s="1546">
        <f t="shared" si="23"/>
        <v>0</v>
      </c>
      <c r="BM42" s="1546">
        <f t="shared" si="23"/>
        <v>0</v>
      </c>
      <c r="BN42" s="1546">
        <f t="shared" si="23"/>
        <v>0</v>
      </c>
      <c r="BO42" s="1546">
        <f t="shared" si="24"/>
        <v>0</v>
      </c>
      <c r="BP42" s="1546">
        <f t="shared" si="24"/>
        <v>0</v>
      </c>
      <c r="BQ42" s="1546">
        <f t="shared" si="24"/>
        <v>0</v>
      </c>
      <c r="BR42" s="1546">
        <f t="shared" si="24"/>
        <v>0</v>
      </c>
      <c r="BS42" s="1546">
        <f t="shared" si="24"/>
        <v>0</v>
      </c>
      <c r="BT42" s="1546">
        <f t="shared" si="24"/>
        <v>0</v>
      </c>
      <c r="BU42" s="1546">
        <f t="shared" si="24"/>
        <v>0</v>
      </c>
      <c r="BV42" s="1546">
        <f t="shared" si="24"/>
        <v>0</v>
      </c>
      <c r="BX42" s="1546">
        <f t="shared" si="33"/>
        <v>0</v>
      </c>
      <c r="BY42" s="1546">
        <f t="shared" si="33"/>
        <v>0</v>
      </c>
      <c r="BZ42" s="1546">
        <f t="shared" si="33"/>
        <v>0</v>
      </c>
      <c r="CA42" s="1546">
        <f t="shared" si="33"/>
        <v>0</v>
      </c>
      <c r="CB42" s="1546">
        <f t="shared" si="33"/>
        <v>0</v>
      </c>
      <c r="CC42" s="1546">
        <f t="shared" si="33"/>
        <v>0</v>
      </c>
      <c r="CD42" s="1546">
        <f t="shared" si="33"/>
        <v>0</v>
      </c>
      <c r="CE42" s="1546">
        <f t="shared" si="33"/>
        <v>0</v>
      </c>
      <c r="CF42" s="1546">
        <f t="shared" si="33"/>
        <v>0</v>
      </c>
      <c r="CG42" s="1546">
        <f t="shared" si="33"/>
        <v>0</v>
      </c>
      <c r="CH42" s="1546">
        <f t="shared" si="33"/>
        <v>0</v>
      </c>
      <c r="CI42" s="1546">
        <f t="shared" si="33"/>
        <v>0</v>
      </c>
      <c r="CJ42" s="1546">
        <f t="shared" si="33"/>
        <v>0</v>
      </c>
      <c r="CL42" s="1546">
        <f t="shared" si="20"/>
        <v>0</v>
      </c>
      <c r="CM42" s="1546">
        <f t="shared" si="20"/>
        <v>0</v>
      </c>
      <c r="CN42" s="1546">
        <f t="shared" si="20"/>
        <v>0</v>
      </c>
      <c r="CO42" s="1546">
        <f t="shared" si="20"/>
        <v>0</v>
      </c>
      <c r="CQ42" s="1546">
        <f t="shared" si="32"/>
        <v>0</v>
      </c>
      <c r="CR42" s="1546">
        <f t="shared" si="25"/>
        <v>0</v>
      </c>
      <c r="CS42" s="1546">
        <f t="shared" si="25"/>
        <v>0</v>
      </c>
      <c r="CT42" s="1546">
        <f t="shared" si="25"/>
        <v>0</v>
      </c>
      <c r="CU42" s="1546">
        <f t="shared" si="25"/>
        <v>0</v>
      </c>
      <c r="CV42" s="1546">
        <f t="shared" si="25"/>
        <v>0</v>
      </c>
      <c r="CW42" s="1546">
        <f t="shared" si="25"/>
        <v>0</v>
      </c>
      <c r="CX42" s="1546">
        <f t="shared" si="25"/>
        <v>0</v>
      </c>
      <c r="CY42" s="1546">
        <f t="shared" si="25"/>
        <v>0</v>
      </c>
      <c r="CZ42" s="1546">
        <f t="shared" si="25"/>
        <v>0</v>
      </c>
      <c r="DA42" s="1546">
        <f t="shared" si="25"/>
        <v>0</v>
      </c>
      <c r="DB42" s="1546">
        <f t="shared" si="25"/>
        <v>0</v>
      </c>
      <c r="DC42" s="1546">
        <f t="shared" si="25"/>
        <v>0</v>
      </c>
      <c r="DD42" s="1546">
        <f t="shared" si="25"/>
        <v>0</v>
      </c>
      <c r="DE42" s="1546">
        <f t="shared" si="25"/>
        <v>0</v>
      </c>
      <c r="DF42" s="1546">
        <f t="shared" si="25"/>
        <v>0</v>
      </c>
      <c r="DG42" s="1546">
        <f t="shared" si="13"/>
        <v>1</v>
      </c>
      <c r="DI42" s="1546">
        <f t="shared" si="26"/>
        <v>0</v>
      </c>
      <c r="DJ42" s="1546">
        <f t="shared" si="26"/>
        <v>0</v>
      </c>
      <c r="DK42" s="1546">
        <f t="shared" si="26"/>
        <v>0</v>
      </c>
      <c r="DL42" s="1546">
        <f t="shared" si="26"/>
        <v>0</v>
      </c>
      <c r="DM42" s="1546">
        <f t="shared" si="26"/>
        <v>0</v>
      </c>
      <c r="DN42" s="1546">
        <f t="shared" si="26"/>
        <v>0</v>
      </c>
    </row>
    <row r="43" spans="1:118" x14ac:dyDescent="0.3">
      <c r="A43" s="285">
        <v>50</v>
      </c>
      <c r="B43" s="325">
        <f t="shared" si="27"/>
        <v>0</v>
      </c>
      <c r="C43" s="682"/>
      <c r="D43" s="683"/>
      <c r="E43" s="680"/>
      <c r="F43" s="713"/>
      <c r="G43" s="91" t="str">
        <f>IF($B43=0,"",VLOOKUP($B43,'Valve Data'!$1:$1048576,MATCH(G$1,'Valve Data'!$1:$1,0),0))</f>
        <v/>
      </c>
      <c r="H43" s="21" t="str">
        <f>IF($B43=0,"",VLOOKUP($B43,'Valve Data'!$1:$1048576,MATCH(H$1,'Valve Data'!$1:$1,0),0))</f>
        <v/>
      </c>
      <c r="I43" s="21" t="str">
        <f>IF($B43=0,"",VLOOKUP($B43,'Valve Data'!$1:$1048576,MATCH(I$1,'Valve Data'!$1:$1,0),0))</f>
        <v/>
      </c>
      <c r="J43" s="328" t="str">
        <f>IF($B43=0,"",VLOOKUP($B43,'Valve Data'!$1:$1048576,MATCH(J$1,'Valve Data'!$1:$1,0),0))</f>
        <v/>
      </c>
      <c r="K43" s="21" t="str">
        <f>IF($B43=0,"",VLOOKUP($B43,'Valve Data'!$1:$1048576,MATCH(K$1,'Valve Data'!$1:$1,0),0))</f>
        <v/>
      </c>
      <c r="L43" s="21" t="str">
        <f>IF($B43=0,"",VLOOKUP($B43,'Valve Data'!$1:$1048576,MATCH(L$1,'Valve Data'!$1:$1,0),0))</f>
        <v/>
      </c>
      <c r="M43" s="21" t="str">
        <f>IF($B43=0,"",VLOOKUP($B43,'Valve Data'!$1:$1048576,MATCH(M$1,'Valve Data'!$1:$1,0),0))</f>
        <v/>
      </c>
      <c r="N43" s="21" t="str">
        <f>IF($B43=0,"",VLOOKUP($B43,'Valve Data'!$1:$1048576,MATCH(N$1,'Valve Data'!$1:$1,0),0))</f>
        <v/>
      </c>
      <c r="O43" s="21" t="str">
        <f>IF($B43=0,"",VLOOKUP($B43,'Valve Data'!$1:$1048576,MATCH(O$1,'Valve Data'!$1:$1,0),0))</f>
        <v/>
      </c>
      <c r="P43" s="21" t="str">
        <f>IF($B43=0,"",VLOOKUP($B43,'Valve Data'!$1:$1048576,MATCH(P$1,'Valve Data'!$1:$1,0),0))</f>
        <v/>
      </c>
      <c r="Q43" s="21" t="str">
        <f>IF($B43=0,"",VLOOKUP($B43,'Valve Data'!$1:$1048576,MATCH(Q$1,'Valve Data'!$1:$1,0),0))</f>
        <v/>
      </c>
      <c r="R43" s="21" t="str">
        <f>IF($B43=0,"",VLOOKUP($B43,'Valve Data'!$1:$1048576,MATCH(R$1,'Valve Data'!$1:$1,0),0))</f>
        <v/>
      </c>
      <c r="S43" s="21" t="str">
        <f>IF($B43=0,"",VLOOKUP($B43,'Valve Data'!$1:$1048576,MATCH(S$1,'Valve Data'!$1:$1,0),0))</f>
        <v/>
      </c>
      <c r="T43" s="331" t="str">
        <f>IF($B43=0,"",VLOOKUP($B43,'Valve Data'!$1:$1048576,MATCH(T$1,'Valve Data'!$1:$1,0),0))</f>
        <v/>
      </c>
      <c r="U43" s="91" t="str">
        <f>IF($B43=0,"",VLOOKUP($B43,'Valve Data'!$1:$1048576,MATCH(U$1,'Valve Data'!$1:$1,0),0))</f>
        <v/>
      </c>
      <c r="V43" s="21" t="str">
        <f>IF($B43=0,"",VLOOKUP($B43,'Valve Data'!$1:$1048576,MATCH(V$1,'Valve Data'!$1:$1,0),0))</f>
        <v/>
      </c>
      <c r="W43" s="21" t="str">
        <f>IF($B43=0,"",VLOOKUP($B43,'Valve Data'!$1:$1048576,MATCH(W$1,'Valve Data'!$1:$1,0),0))</f>
        <v/>
      </c>
      <c r="X43" s="331" t="str">
        <f>IF($B43=0,"",VLOOKUP($B43,'Valve Data'!$1:$1048576,MATCH(X$1,'Valve Data'!$1:$1,0),0))</f>
        <v/>
      </c>
      <c r="Y43" s="865"/>
      <c r="Z43" s="683"/>
      <c r="AA43" s="680"/>
      <c r="AB43" s="680"/>
      <c r="AC43" s="680"/>
      <c r="AD43" s="680"/>
      <c r="AE43" s="868"/>
      <c r="AF43" s="866"/>
      <c r="AG43" s="680"/>
      <c r="AH43" s="680"/>
      <c r="AI43" s="680"/>
      <c r="AJ43" s="680"/>
      <c r="AK43" s="680"/>
      <c r="AL43" s="680"/>
      <c r="AM43" s="680"/>
      <c r="AN43" s="680"/>
      <c r="AO43" s="680"/>
      <c r="AP43" s="684"/>
      <c r="AQ43" s="684"/>
      <c r="AR43" s="684"/>
      <c r="AS43" s="684"/>
      <c r="AT43" s="684"/>
      <c r="AU43" s="684"/>
      <c r="AV43" s="271">
        <f t="shared" si="28"/>
        <v>0</v>
      </c>
      <c r="AW43" s="680"/>
      <c r="AX43" s="845">
        <f>IF(F43="Ball_valve",IFERROR(VLOOKUP(E43&amp;"."&amp;D43,'Ball Valves Chart'!$1:$1048576,MATCH(G43,'Ball Valves Chart'!$3:$3,0),0),0),0)+IF(F43="DBB",IFERROR(VLOOKUP(E43&amp;"."&amp;D43,'Ball Valves Chart'!$1:$1048576,MATCH(G43,'Ball Valves Chart'!$3:$3,0),0)*2,0),0)+IFERROR(VLOOKUP(D43&amp;"."&amp;F43,'Manual Valves Chart'!$1:$1048576,MATCH('Valve List'!G52,'Manual Valves Chart'!$1:$1,0),0),0)</f>
        <v>0</v>
      </c>
      <c r="AY43" s="846">
        <f t="shared" si="29"/>
        <v>0</v>
      </c>
      <c r="AZ43" s="854"/>
      <c r="BA43" s="856">
        <f t="shared" si="30"/>
        <v>0</v>
      </c>
      <c r="BB43" s="286"/>
      <c r="BC43" s="852">
        <f t="shared" si="31"/>
        <v>0</v>
      </c>
      <c r="BD43" s="398"/>
      <c r="BE43" s="1546">
        <f t="shared" ref="BE43:BN52" si="34">IF(BE$2=$D43,1,0)</f>
        <v>0</v>
      </c>
      <c r="BF43" s="1546">
        <f t="shared" si="34"/>
        <v>0</v>
      </c>
      <c r="BG43" s="1546">
        <f t="shared" si="34"/>
        <v>0</v>
      </c>
      <c r="BH43" s="1546">
        <f t="shared" si="34"/>
        <v>0</v>
      </c>
      <c r="BI43" s="1546">
        <f t="shared" si="34"/>
        <v>0</v>
      </c>
      <c r="BJ43" s="1546">
        <f t="shared" si="34"/>
        <v>0</v>
      </c>
      <c r="BK43" s="1546">
        <f t="shared" si="34"/>
        <v>0</v>
      </c>
      <c r="BL43" s="1546">
        <f t="shared" si="34"/>
        <v>0</v>
      </c>
      <c r="BM43" s="1546">
        <f t="shared" si="34"/>
        <v>0</v>
      </c>
      <c r="BN43" s="1546">
        <f t="shared" si="34"/>
        <v>0</v>
      </c>
      <c r="BO43" s="1546">
        <f t="shared" ref="BO43:BV52" si="35">IF(BO$2=$D43,1,0)</f>
        <v>0</v>
      </c>
      <c r="BP43" s="1546">
        <f t="shared" si="35"/>
        <v>0</v>
      </c>
      <c r="BQ43" s="1546">
        <f t="shared" si="35"/>
        <v>0</v>
      </c>
      <c r="BR43" s="1546">
        <f t="shared" si="35"/>
        <v>0</v>
      </c>
      <c r="BS43" s="1546">
        <f t="shared" si="35"/>
        <v>0</v>
      </c>
      <c r="BT43" s="1546">
        <f t="shared" si="35"/>
        <v>0</v>
      </c>
      <c r="BU43" s="1546">
        <f t="shared" si="35"/>
        <v>0</v>
      </c>
      <c r="BV43" s="1546">
        <f t="shared" si="35"/>
        <v>0</v>
      </c>
      <c r="BX43" s="1546">
        <f t="shared" si="33"/>
        <v>0</v>
      </c>
      <c r="BY43" s="1546">
        <f t="shared" si="33"/>
        <v>0</v>
      </c>
      <c r="BZ43" s="1546">
        <f t="shared" si="33"/>
        <v>0</v>
      </c>
      <c r="CA43" s="1546">
        <f t="shared" si="33"/>
        <v>0</v>
      </c>
      <c r="CB43" s="1546">
        <f t="shared" si="33"/>
        <v>0</v>
      </c>
      <c r="CC43" s="1546">
        <f t="shared" si="33"/>
        <v>0</v>
      </c>
      <c r="CD43" s="1546">
        <f t="shared" si="33"/>
        <v>0</v>
      </c>
      <c r="CE43" s="1546">
        <f t="shared" si="33"/>
        <v>0</v>
      </c>
      <c r="CF43" s="1546">
        <f t="shared" si="33"/>
        <v>0</v>
      </c>
      <c r="CG43" s="1546">
        <f t="shared" si="33"/>
        <v>0</v>
      </c>
      <c r="CH43" s="1546">
        <f t="shared" si="33"/>
        <v>0</v>
      </c>
      <c r="CI43" s="1546">
        <f t="shared" si="33"/>
        <v>0</v>
      </c>
      <c r="CJ43" s="1546">
        <f t="shared" si="33"/>
        <v>0</v>
      </c>
      <c r="CL43" s="1546">
        <f t="shared" ref="CL43:CO62" si="36">IF($L43=CL$2,1,0)</f>
        <v>0</v>
      </c>
      <c r="CM43" s="1546">
        <f t="shared" si="36"/>
        <v>0</v>
      </c>
      <c r="CN43" s="1546">
        <f t="shared" si="36"/>
        <v>0</v>
      </c>
      <c r="CO43" s="1546">
        <f t="shared" si="36"/>
        <v>0</v>
      </c>
      <c r="CQ43" s="1546">
        <f t="shared" si="32"/>
        <v>0</v>
      </c>
      <c r="CR43" s="1546">
        <f t="shared" ref="CR43:DF52" si="37">IF(CR$2=0,0,IF($AW43=CR$2,1,0))</f>
        <v>0</v>
      </c>
      <c r="CS43" s="1546">
        <f t="shared" si="37"/>
        <v>0</v>
      </c>
      <c r="CT43" s="1546">
        <f t="shared" si="37"/>
        <v>0</v>
      </c>
      <c r="CU43" s="1546">
        <f t="shared" si="37"/>
        <v>0</v>
      </c>
      <c r="CV43" s="1546">
        <f t="shared" si="37"/>
        <v>0</v>
      </c>
      <c r="CW43" s="1546">
        <f t="shared" si="37"/>
        <v>0</v>
      </c>
      <c r="CX43" s="1546">
        <f t="shared" si="37"/>
        <v>0</v>
      </c>
      <c r="CY43" s="1546">
        <f t="shared" si="37"/>
        <v>0</v>
      </c>
      <c r="CZ43" s="1546">
        <f t="shared" si="37"/>
        <v>0</v>
      </c>
      <c r="DA43" s="1546">
        <f t="shared" si="37"/>
        <v>0</v>
      </c>
      <c r="DB43" s="1546">
        <f t="shared" si="37"/>
        <v>0</v>
      </c>
      <c r="DC43" s="1546">
        <f t="shared" si="37"/>
        <v>0</v>
      </c>
      <c r="DD43" s="1546">
        <f t="shared" si="37"/>
        <v>0</v>
      </c>
      <c r="DE43" s="1546">
        <f t="shared" si="37"/>
        <v>0</v>
      </c>
      <c r="DF43" s="1546">
        <f t="shared" si="37"/>
        <v>0</v>
      </c>
      <c r="DG43" s="1546">
        <f t="shared" si="13"/>
        <v>1</v>
      </c>
      <c r="DI43" s="1546">
        <f t="shared" ref="DI43:DN52" si="38">IF($G43=DI$2,1,0)</f>
        <v>0</v>
      </c>
      <c r="DJ43" s="1546">
        <f t="shared" si="38"/>
        <v>0</v>
      </c>
      <c r="DK43" s="1546">
        <f t="shared" si="38"/>
        <v>0</v>
      </c>
      <c r="DL43" s="1546">
        <f t="shared" si="38"/>
        <v>0</v>
      </c>
      <c r="DM43" s="1546">
        <f t="shared" si="38"/>
        <v>0</v>
      </c>
      <c r="DN43" s="1546">
        <f t="shared" si="38"/>
        <v>0</v>
      </c>
    </row>
    <row r="44" spans="1:118" x14ac:dyDescent="0.3">
      <c r="A44" s="285">
        <v>52</v>
      </c>
      <c r="B44" s="325">
        <f t="shared" si="27"/>
        <v>0</v>
      </c>
      <c r="C44" s="682"/>
      <c r="D44" s="683"/>
      <c r="E44" s="680"/>
      <c r="F44" s="713"/>
      <c r="G44" s="91" t="str">
        <f>IF($B44=0,"",VLOOKUP($B44,'Valve Data'!$1:$1048576,MATCH(G$1,'Valve Data'!$1:$1,0),0))</f>
        <v/>
      </c>
      <c r="H44" s="21" t="str">
        <f>IF($B44=0,"",VLOOKUP($B44,'Valve Data'!$1:$1048576,MATCH(H$1,'Valve Data'!$1:$1,0),0))</f>
        <v/>
      </c>
      <c r="I44" s="21" t="str">
        <f>IF($B44=0,"",VLOOKUP($B44,'Valve Data'!$1:$1048576,MATCH(I$1,'Valve Data'!$1:$1,0),0))</f>
        <v/>
      </c>
      <c r="J44" s="328" t="str">
        <f>IF($B44=0,"",VLOOKUP($B44,'Valve Data'!$1:$1048576,MATCH(J$1,'Valve Data'!$1:$1,0),0))</f>
        <v/>
      </c>
      <c r="K44" s="21" t="str">
        <f>IF($B44=0,"",VLOOKUP($B44,'Valve Data'!$1:$1048576,MATCH(K$1,'Valve Data'!$1:$1,0),0))</f>
        <v/>
      </c>
      <c r="L44" s="21" t="str">
        <f>IF($B44=0,"",VLOOKUP($B44,'Valve Data'!$1:$1048576,MATCH(L$1,'Valve Data'!$1:$1,0),0))</f>
        <v/>
      </c>
      <c r="M44" s="21" t="str">
        <f>IF($B44=0,"",VLOOKUP($B44,'Valve Data'!$1:$1048576,MATCH(M$1,'Valve Data'!$1:$1,0),0))</f>
        <v/>
      </c>
      <c r="N44" s="21" t="str">
        <f>IF($B44=0,"",VLOOKUP($B44,'Valve Data'!$1:$1048576,MATCH(N$1,'Valve Data'!$1:$1,0),0))</f>
        <v/>
      </c>
      <c r="O44" s="21" t="str">
        <f>IF($B44=0,"",VLOOKUP($B44,'Valve Data'!$1:$1048576,MATCH(O$1,'Valve Data'!$1:$1,0),0))</f>
        <v/>
      </c>
      <c r="P44" s="21" t="str">
        <f>IF($B44=0,"",VLOOKUP($B44,'Valve Data'!$1:$1048576,MATCH(P$1,'Valve Data'!$1:$1,0),0))</f>
        <v/>
      </c>
      <c r="Q44" s="21" t="str">
        <f>IF($B44=0,"",VLOOKUP($B44,'Valve Data'!$1:$1048576,MATCH(Q$1,'Valve Data'!$1:$1,0),0))</f>
        <v/>
      </c>
      <c r="R44" s="21" t="str">
        <f>IF($B44=0,"",VLOOKUP($B44,'Valve Data'!$1:$1048576,MATCH(R$1,'Valve Data'!$1:$1,0),0))</f>
        <v/>
      </c>
      <c r="S44" s="21" t="str">
        <f>IF($B44=0,"",VLOOKUP($B44,'Valve Data'!$1:$1048576,MATCH(S$1,'Valve Data'!$1:$1,0),0))</f>
        <v/>
      </c>
      <c r="T44" s="331" t="str">
        <f>IF($B44=0,"",VLOOKUP($B44,'Valve Data'!$1:$1048576,MATCH(T$1,'Valve Data'!$1:$1,0),0))</f>
        <v/>
      </c>
      <c r="U44" s="91" t="str">
        <f>IF($B44=0,"",VLOOKUP($B44,'Valve Data'!$1:$1048576,MATCH(U$1,'Valve Data'!$1:$1,0),0))</f>
        <v/>
      </c>
      <c r="V44" s="21" t="str">
        <f>IF($B44=0,"",VLOOKUP($B44,'Valve Data'!$1:$1048576,MATCH(V$1,'Valve Data'!$1:$1,0),0))</f>
        <v/>
      </c>
      <c r="W44" s="21" t="str">
        <f>IF($B44=0,"",VLOOKUP($B44,'Valve Data'!$1:$1048576,MATCH(W$1,'Valve Data'!$1:$1,0),0))</f>
        <v/>
      </c>
      <c r="X44" s="331" t="str">
        <f>IF($B44=0,"",VLOOKUP($B44,'Valve Data'!$1:$1048576,MATCH(X$1,'Valve Data'!$1:$1,0),0))</f>
        <v/>
      </c>
      <c r="Y44" s="865"/>
      <c r="Z44" s="683"/>
      <c r="AA44" s="680"/>
      <c r="AB44" s="680"/>
      <c r="AC44" s="680"/>
      <c r="AD44" s="680"/>
      <c r="AE44" s="868"/>
      <c r="AF44" s="866"/>
      <c r="AG44" s="680"/>
      <c r="AH44" s="680"/>
      <c r="AI44" s="680"/>
      <c r="AJ44" s="680"/>
      <c r="AK44" s="680"/>
      <c r="AL44" s="680"/>
      <c r="AM44" s="680"/>
      <c r="AN44" s="680"/>
      <c r="AO44" s="680"/>
      <c r="AP44" s="684"/>
      <c r="AQ44" s="684"/>
      <c r="AR44" s="684"/>
      <c r="AS44" s="684"/>
      <c r="AT44" s="684"/>
      <c r="AU44" s="684"/>
      <c r="AV44" s="271">
        <f t="shared" si="28"/>
        <v>0</v>
      </c>
      <c r="AW44" s="680"/>
      <c r="AX44" s="845">
        <f>IF(F44="Ball_valve",IFERROR(VLOOKUP(E44&amp;"."&amp;D44,'Ball Valves Chart'!$1:$1048576,MATCH(G44,'Ball Valves Chart'!$3:$3,0),0),0),0)+IF(F44="DBB",IFERROR(VLOOKUP(E44&amp;"."&amp;D44,'Ball Valves Chart'!$1:$1048576,MATCH(G44,'Ball Valves Chart'!$3:$3,0),0)*2,0),0)+IFERROR(VLOOKUP(D44&amp;"."&amp;F44,'Manual Valves Chart'!$1:$1048576,MATCH('Valve List'!G54,'Manual Valves Chart'!$1:$1,0),0),0)</f>
        <v>0</v>
      </c>
      <c r="AY44" s="846">
        <f t="shared" si="29"/>
        <v>0</v>
      </c>
      <c r="AZ44" s="854"/>
      <c r="BA44" s="856">
        <f t="shared" si="30"/>
        <v>0</v>
      </c>
      <c r="BB44" s="286"/>
      <c r="BC44" s="852">
        <f t="shared" si="31"/>
        <v>0</v>
      </c>
      <c r="BD44" s="398"/>
      <c r="BE44" s="1546">
        <f t="shared" si="34"/>
        <v>0</v>
      </c>
      <c r="BF44" s="1546">
        <f t="shared" si="34"/>
        <v>0</v>
      </c>
      <c r="BG44" s="1546">
        <f t="shared" si="34"/>
        <v>0</v>
      </c>
      <c r="BH44" s="1546">
        <f t="shared" si="34"/>
        <v>0</v>
      </c>
      <c r="BI44" s="1546">
        <f t="shared" si="34"/>
        <v>0</v>
      </c>
      <c r="BJ44" s="1546">
        <f t="shared" si="34"/>
        <v>0</v>
      </c>
      <c r="BK44" s="1546">
        <f t="shared" si="34"/>
        <v>0</v>
      </c>
      <c r="BL44" s="1546">
        <f t="shared" si="34"/>
        <v>0</v>
      </c>
      <c r="BM44" s="1546">
        <f t="shared" si="34"/>
        <v>0</v>
      </c>
      <c r="BN44" s="1546">
        <f t="shared" si="34"/>
        <v>0</v>
      </c>
      <c r="BO44" s="1546">
        <f t="shared" si="35"/>
        <v>0</v>
      </c>
      <c r="BP44" s="1546">
        <f t="shared" si="35"/>
        <v>0</v>
      </c>
      <c r="BQ44" s="1546">
        <f t="shared" si="35"/>
        <v>0</v>
      </c>
      <c r="BR44" s="1546">
        <f t="shared" si="35"/>
        <v>0</v>
      </c>
      <c r="BS44" s="1546">
        <f t="shared" si="35"/>
        <v>0</v>
      </c>
      <c r="BT44" s="1546">
        <f t="shared" si="35"/>
        <v>0</v>
      </c>
      <c r="BU44" s="1546">
        <f t="shared" si="35"/>
        <v>0</v>
      </c>
      <c r="BV44" s="1546">
        <f t="shared" si="35"/>
        <v>0</v>
      </c>
      <c r="BX44" s="1546">
        <f t="shared" si="33"/>
        <v>0</v>
      </c>
      <c r="BY44" s="1546">
        <f t="shared" si="33"/>
        <v>0</v>
      </c>
      <c r="BZ44" s="1546">
        <f t="shared" si="33"/>
        <v>0</v>
      </c>
      <c r="CA44" s="1546">
        <f t="shared" si="33"/>
        <v>0</v>
      </c>
      <c r="CB44" s="1546">
        <f t="shared" si="33"/>
        <v>0</v>
      </c>
      <c r="CC44" s="1546">
        <f t="shared" si="33"/>
        <v>0</v>
      </c>
      <c r="CD44" s="1546">
        <f t="shared" si="33"/>
        <v>0</v>
      </c>
      <c r="CE44" s="1546">
        <f t="shared" si="33"/>
        <v>0</v>
      </c>
      <c r="CF44" s="1546">
        <f t="shared" si="33"/>
        <v>0</v>
      </c>
      <c r="CG44" s="1546">
        <f t="shared" si="33"/>
        <v>0</v>
      </c>
      <c r="CH44" s="1546">
        <f t="shared" si="33"/>
        <v>0</v>
      </c>
      <c r="CI44" s="1546">
        <f t="shared" si="33"/>
        <v>0</v>
      </c>
      <c r="CJ44" s="1546">
        <f t="shared" si="33"/>
        <v>0</v>
      </c>
      <c r="CL44" s="1546">
        <f t="shared" si="36"/>
        <v>0</v>
      </c>
      <c r="CM44" s="1546">
        <f t="shared" si="36"/>
        <v>0</v>
      </c>
      <c r="CN44" s="1546">
        <f t="shared" si="36"/>
        <v>0</v>
      </c>
      <c r="CO44" s="1546">
        <f t="shared" si="36"/>
        <v>0</v>
      </c>
      <c r="CQ44" s="1546">
        <f t="shared" si="32"/>
        <v>0</v>
      </c>
      <c r="CR44" s="1546">
        <f t="shared" si="37"/>
        <v>0</v>
      </c>
      <c r="CS44" s="1546">
        <f t="shared" si="37"/>
        <v>0</v>
      </c>
      <c r="CT44" s="1546">
        <f t="shared" si="37"/>
        <v>0</v>
      </c>
      <c r="CU44" s="1546">
        <f t="shared" si="37"/>
        <v>0</v>
      </c>
      <c r="CV44" s="1546">
        <f t="shared" si="37"/>
        <v>0</v>
      </c>
      <c r="CW44" s="1546">
        <f t="shared" si="37"/>
        <v>0</v>
      </c>
      <c r="CX44" s="1546">
        <f t="shared" si="37"/>
        <v>0</v>
      </c>
      <c r="CY44" s="1546">
        <f t="shared" si="37"/>
        <v>0</v>
      </c>
      <c r="CZ44" s="1546">
        <f t="shared" si="37"/>
        <v>0</v>
      </c>
      <c r="DA44" s="1546">
        <f t="shared" si="37"/>
        <v>0</v>
      </c>
      <c r="DB44" s="1546">
        <f t="shared" si="37"/>
        <v>0</v>
      </c>
      <c r="DC44" s="1546">
        <f t="shared" si="37"/>
        <v>0</v>
      </c>
      <c r="DD44" s="1546">
        <f t="shared" si="37"/>
        <v>0</v>
      </c>
      <c r="DE44" s="1546">
        <f t="shared" si="37"/>
        <v>0</v>
      </c>
      <c r="DF44" s="1546">
        <f t="shared" si="37"/>
        <v>0</v>
      </c>
      <c r="DG44" s="1546">
        <f t="shared" si="13"/>
        <v>1</v>
      </c>
      <c r="DI44" s="1546">
        <f t="shared" si="38"/>
        <v>0</v>
      </c>
      <c r="DJ44" s="1546">
        <f t="shared" si="38"/>
        <v>0</v>
      </c>
      <c r="DK44" s="1546">
        <f t="shared" si="38"/>
        <v>0</v>
      </c>
      <c r="DL44" s="1546">
        <f t="shared" si="38"/>
        <v>0</v>
      </c>
      <c r="DM44" s="1546">
        <f t="shared" si="38"/>
        <v>0</v>
      </c>
      <c r="DN44" s="1546">
        <f t="shared" si="38"/>
        <v>0</v>
      </c>
    </row>
    <row r="45" spans="1:118" x14ac:dyDescent="0.3">
      <c r="A45" s="285">
        <v>53</v>
      </c>
      <c r="B45" s="325">
        <f t="shared" si="27"/>
        <v>0</v>
      </c>
      <c r="C45" s="682"/>
      <c r="D45" s="683"/>
      <c r="E45" s="680"/>
      <c r="F45" s="713"/>
      <c r="G45" s="91" t="str">
        <f>IF($B45=0,"",VLOOKUP($B45,'Valve Data'!$1:$1048576,MATCH(G$1,'Valve Data'!$1:$1,0),0))</f>
        <v/>
      </c>
      <c r="H45" s="21" t="str">
        <f>IF($B45=0,"",VLOOKUP($B45,'Valve Data'!$1:$1048576,MATCH(H$1,'Valve Data'!$1:$1,0),0))</f>
        <v/>
      </c>
      <c r="I45" s="21" t="str">
        <f>IF($B45=0,"",VLOOKUP($B45,'Valve Data'!$1:$1048576,MATCH(I$1,'Valve Data'!$1:$1,0),0))</f>
        <v/>
      </c>
      <c r="J45" s="328" t="str">
        <f>IF($B45=0,"",VLOOKUP($B45,'Valve Data'!$1:$1048576,MATCH(J$1,'Valve Data'!$1:$1,0),0))</f>
        <v/>
      </c>
      <c r="K45" s="21" t="str">
        <f>IF($B45=0,"",VLOOKUP($B45,'Valve Data'!$1:$1048576,MATCH(K$1,'Valve Data'!$1:$1,0),0))</f>
        <v/>
      </c>
      <c r="L45" s="21" t="str">
        <f>IF($B45=0,"",VLOOKUP($B45,'Valve Data'!$1:$1048576,MATCH(L$1,'Valve Data'!$1:$1,0),0))</f>
        <v/>
      </c>
      <c r="M45" s="21" t="str">
        <f>IF($B45=0,"",VLOOKUP($B45,'Valve Data'!$1:$1048576,MATCH(M$1,'Valve Data'!$1:$1,0),0))</f>
        <v/>
      </c>
      <c r="N45" s="21" t="str">
        <f>IF($B45=0,"",VLOOKUP($B45,'Valve Data'!$1:$1048576,MATCH(N$1,'Valve Data'!$1:$1,0),0))</f>
        <v/>
      </c>
      <c r="O45" s="21" t="str">
        <f>IF($B45=0,"",VLOOKUP($B45,'Valve Data'!$1:$1048576,MATCH(O$1,'Valve Data'!$1:$1,0),0))</f>
        <v/>
      </c>
      <c r="P45" s="21" t="str">
        <f>IF($B45=0,"",VLOOKUP($B45,'Valve Data'!$1:$1048576,MATCH(P$1,'Valve Data'!$1:$1,0),0))</f>
        <v/>
      </c>
      <c r="Q45" s="21" t="str">
        <f>IF($B45=0,"",VLOOKUP($B45,'Valve Data'!$1:$1048576,MATCH(Q$1,'Valve Data'!$1:$1,0),0))</f>
        <v/>
      </c>
      <c r="R45" s="21" t="str">
        <f>IF($B45=0,"",VLOOKUP($B45,'Valve Data'!$1:$1048576,MATCH(R$1,'Valve Data'!$1:$1,0),0))</f>
        <v/>
      </c>
      <c r="S45" s="21" t="str">
        <f>IF($B45=0,"",VLOOKUP($B45,'Valve Data'!$1:$1048576,MATCH(S$1,'Valve Data'!$1:$1,0),0))</f>
        <v/>
      </c>
      <c r="T45" s="331" t="str">
        <f>IF($B45=0,"",VLOOKUP($B45,'Valve Data'!$1:$1048576,MATCH(T$1,'Valve Data'!$1:$1,0),0))</f>
        <v/>
      </c>
      <c r="U45" s="91" t="str">
        <f>IF($B45=0,"",VLOOKUP($B45,'Valve Data'!$1:$1048576,MATCH(U$1,'Valve Data'!$1:$1,0),0))</f>
        <v/>
      </c>
      <c r="V45" s="21" t="str">
        <f>IF($B45=0,"",VLOOKUP($B45,'Valve Data'!$1:$1048576,MATCH(V$1,'Valve Data'!$1:$1,0),0))</f>
        <v/>
      </c>
      <c r="W45" s="21" t="str">
        <f>IF($B45=0,"",VLOOKUP($B45,'Valve Data'!$1:$1048576,MATCH(W$1,'Valve Data'!$1:$1,0),0))</f>
        <v/>
      </c>
      <c r="X45" s="331" t="str">
        <f>IF($B45=0,"",VLOOKUP($B45,'Valve Data'!$1:$1048576,MATCH(X$1,'Valve Data'!$1:$1,0),0))</f>
        <v/>
      </c>
      <c r="Y45" s="865"/>
      <c r="Z45" s="683"/>
      <c r="AA45" s="680"/>
      <c r="AB45" s="680"/>
      <c r="AC45" s="680"/>
      <c r="AD45" s="680"/>
      <c r="AE45" s="868"/>
      <c r="AF45" s="866"/>
      <c r="AG45" s="680"/>
      <c r="AH45" s="680"/>
      <c r="AI45" s="680"/>
      <c r="AJ45" s="680"/>
      <c r="AK45" s="680"/>
      <c r="AL45" s="680"/>
      <c r="AM45" s="680"/>
      <c r="AN45" s="680"/>
      <c r="AO45" s="680"/>
      <c r="AP45" s="684"/>
      <c r="AQ45" s="684"/>
      <c r="AR45" s="684"/>
      <c r="AS45" s="684"/>
      <c r="AT45" s="684"/>
      <c r="AU45" s="684"/>
      <c r="AV45" s="271">
        <f t="shared" si="28"/>
        <v>0</v>
      </c>
      <c r="AW45" s="680"/>
      <c r="AX45" s="845">
        <f>IF(F45="Ball_valve",IFERROR(VLOOKUP(E45&amp;"."&amp;D45,'Ball Valves Chart'!$1:$1048576,MATCH(G45,'Ball Valves Chart'!$3:$3,0),0),0),0)+IF(F45="DBB",IFERROR(VLOOKUP(E45&amp;"."&amp;D45,'Ball Valves Chart'!$1:$1048576,MATCH(G45,'Ball Valves Chart'!$3:$3,0),0)*2,0),0)+IFERROR(VLOOKUP(D45&amp;"."&amp;F45,'Manual Valves Chart'!$1:$1048576,MATCH('Valve List'!G55,'Manual Valves Chart'!$1:$1,0),0),0)</f>
        <v>0</v>
      </c>
      <c r="AY45" s="846">
        <f t="shared" si="29"/>
        <v>0</v>
      </c>
      <c r="AZ45" s="854"/>
      <c r="BA45" s="856">
        <f t="shared" si="30"/>
        <v>0</v>
      </c>
      <c r="BB45" s="286"/>
      <c r="BC45" s="852">
        <f t="shared" si="31"/>
        <v>0</v>
      </c>
      <c r="BD45" s="398"/>
      <c r="BE45" s="1546">
        <f t="shared" si="34"/>
        <v>0</v>
      </c>
      <c r="BF45" s="1546">
        <f t="shared" si="34"/>
        <v>0</v>
      </c>
      <c r="BG45" s="1546">
        <f t="shared" si="34"/>
        <v>0</v>
      </c>
      <c r="BH45" s="1546">
        <f t="shared" si="34"/>
        <v>0</v>
      </c>
      <c r="BI45" s="1546">
        <f t="shared" si="34"/>
        <v>0</v>
      </c>
      <c r="BJ45" s="1546">
        <f t="shared" si="34"/>
        <v>0</v>
      </c>
      <c r="BK45" s="1546">
        <f t="shared" si="34"/>
        <v>0</v>
      </c>
      <c r="BL45" s="1546">
        <f t="shared" si="34"/>
        <v>0</v>
      </c>
      <c r="BM45" s="1546">
        <f t="shared" si="34"/>
        <v>0</v>
      </c>
      <c r="BN45" s="1546">
        <f t="shared" si="34"/>
        <v>0</v>
      </c>
      <c r="BO45" s="1546">
        <f t="shared" si="35"/>
        <v>0</v>
      </c>
      <c r="BP45" s="1546">
        <f t="shared" si="35"/>
        <v>0</v>
      </c>
      <c r="BQ45" s="1546">
        <f t="shared" si="35"/>
        <v>0</v>
      </c>
      <c r="BR45" s="1546">
        <f t="shared" si="35"/>
        <v>0</v>
      </c>
      <c r="BS45" s="1546">
        <f t="shared" si="35"/>
        <v>0</v>
      </c>
      <c r="BT45" s="1546">
        <f t="shared" si="35"/>
        <v>0</v>
      </c>
      <c r="BU45" s="1546">
        <f t="shared" si="35"/>
        <v>0</v>
      </c>
      <c r="BV45" s="1546">
        <f t="shared" si="35"/>
        <v>0</v>
      </c>
      <c r="BX45" s="1546">
        <f t="shared" si="33"/>
        <v>0</v>
      </c>
      <c r="BY45" s="1546">
        <f t="shared" si="33"/>
        <v>0</v>
      </c>
      <c r="BZ45" s="1546">
        <f t="shared" si="33"/>
        <v>0</v>
      </c>
      <c r="CA45" s="1546">
        <f t="shared" si="33"/>
        <v>0</v>
      </c>
      <c r="CB45" s="1546">
        <f t="shared" si="33"/>
        <v>0</v>
      </c>
      <c r="CC45" s="1546">
        <f t="shared" si="33"/>
        <v>0</v>
      </c>
      <c r="CD45" s="1546">
        <f t="shared" si="33"/>
        <v>0</v>
      </c>
      <c r="CE45" s="1546">
        <f t="shared" si="33"/>
        <v>0</v>
      </c>
      <c r="CF45" s="1546">
        <f t="shared" si="33"/>
        <v>0</v>
      </c>
      <c r="CG45" s="1546">
        <f t="shared" si="33"/>
        <v>0</v>
      </c>
      <c r="CH45" s="1546">
        <f t="shared" si="33"/>
        <v>0</v>
      </c>
      <c r="CI45" s="1546">
        <f t="shared" si="33"/>
        <v>0</v>
      </c>
      <c r="CJ45" s="1546">
        <f t="shared" si="33"/>
        <v>0</v>
      </c>
      <c r="CL45" s="1546">
        <f t="shared" si="36"/>
        <v>0</v>
      </c>
      <c r="CM45" s="1546">
        <f t="shared" si="36"/>
        <v>0</v>
      </c>
      <c r="CN45" s="1546">
        <f t="shared" si="36"/>
        <v>0</v>
      </c>
      <c r="CO45" s="1546">
        <f t="shared" si="36"/>
        <v>0</v>
      </c>
      <c r="CQ45" s="1546">
        <f t="shared" si="32"/>
        <v>0</v>
      </c>
      <c r="CR45" s="1546">
        <f t="shared" si="37"/>
        <v>0</v>
      </c>
      <c r="CS45" s="1546">
        <f t="shared" si="37"/>
        <v>0</v>
      </c>
      <c r="CT45" s="1546">
        <f t="shared" si="37"/>
        <v>0</v>
      </c>
      <c r="CU45" s="1546">
        <f t="shared" si="37"/>
        <v>0</v>
      </c>
      <c r="CV45" s="1546">
        <f t="shared" si="37"/>
        <v>0</v>
      </c>
      <c r="CW45" s="1546">
        <f t="shared" si="37"/>
        <v>0</v>
      </c>
      <c r="CX45" s="1546">
        <f t="shared" si="37"/>
        <v>0</v>
      </c>
      <c r="CY45" s="1546">
        <f t="shared" si="37"/>
        <v>0</v>
      </c>
      <c r="CZ45" s="1546">
        <f t="shared" si="37"/>
        <v>0</v>
      </c>
      <c r="DA45" s="1546">
        <f t="shared" si="37"/>
        <v>0</v>
      </c>
      <c r="DB45" s="1546">
        <f t="shared" si="37"/>
        <v>0</v>
      </c>
      <c r="DC45" s="1546">
        <f t="shared" si="37"/>
        <v>0</v>
      </c>
      <c r="DD45" s="1546">
        <f t="shared" si="37"/>
        <v>0</v>
      </c>
      <c r="DE45" s="1546">
        <f t="shared" si="37"/>
        <v>0</v>
      </c>
      <c r="DF45" s="1546">
        <f t="shared" si="37"/>
        <v>0</v>
      </c>
      <c r="DG45" s="1546">
        <f t="shared" si="13"/>
        <v>1</v>
      </c>
      <c r="DI45" s="1546">
        <f t="shared" si="38"/>
        <v>0</v>
      </c>
      <c r="DJ45" s="1546">
        <f t="shared" si="38"/>
        <v>0</v>
      </c>
      <c r="DK45" s="1546">
        <f t="shared" si="38"/>
        <v>0</v>
      </c>
      <c r="DL45" s="1546">
        <f t="shared" si="38"/>
        <v>0</v>
      </c>
      <c r="DM45" s="1546">
        <f t="shared" si="38"/>
        <v>0</v>
      </c>
      <c r="DN45" s="1546">
        <f t="shared" si="38"/>
        <v>0</v>
      </c>
    </row>
    <row r="46" spans="1:118" x14ac:dyDescent="0.3">
      <c r="A46" s="285">
        <v>54</v>
      </c>
      <c r="B46" s="325">
        <f t="shared" si="27"/>
        <v>0</v>
      </c>
      <c r="C46" s="682"/>
      <c r="D46" s="683"/>
      <c r="E46" s="680"/>
      <c r="F46" s="713"/>
      <c r="G46" s="91" t="str">
        <f>IF($B46=0,"",VLOOKUP($B46,'Valve Data'!$1:$1048576,MATCH(G$1,'Valve Data'!$1:$1,0),0))</f>
        <v/>
      </c>
      <c r="H46" s="21" t="str">
        <f>IF($B46=0,"",VLOOKUP($B46,'Valve Data'!$1:$1048576,MATCH(H$1,'Valve Data'!$1:$1,0),0))</f>
        <v/>
      </c>
      <c r="I46" s="21" t="str">
        <f>IF($B46=0,"",VLOOKUP($B46,'Valve Data'!$1:$1048576,MATCH(I$1,'Valve Data'!$1:$1,0),0))</f>
        <v/>
      </c>
      <c r="J46" s="328" t="str">
        <f>IF($B46=0,"",VLOOKUP($B46,'Valve Data'!$1:$1048576,MATCH(J$1,'Valve Data'!$1:$1,0),0))</f>
        <v/>
      </c>
      <c r="K46" s="21" t="str">
        <f>IF($B46=0,"",VLOOKUP($B46,'Valve Data'!$1:$1048576,MATCH(K$1,'Valve Data'!$1:$1,0),0))</f>
        <v/>
      </c>
      <c r="L46" s="21" t="str">
        <f>IF($B46=0,"",VLOOKUP($B46,'Valve Data'!$1:$1048576,MATCH(L$1,'Valve Data'!$1:$1,0),0))</f>
        <v/>
      </c>
      <c r="M46" s="21" t="str">
        <f>IF($B46=0,"",VLOOKUP($B46,'Valve Data'!$1:$1048576,MATCH(M$1,'Valve Data'!$1:$1,0),0))</f>
        <v/>
      </c>
      <c r="N46" s="21" t="str">
        <f>IF($B46=0,"",VLOOKUP($B46,'Valve Data'!$1:$1048576,MATCH(N$1,'Valve Data'!$1:$1,0),0))</f>
        <v/>
      </c>
      <c r="O46" s="21" t="str">
        <f>IF($B46=0,"",VLOOKUP($B46,'Valve Data'!$1:$1048576,MATCH(O$1,'Valve Data'!$1:$1,0),0))</f>
        <v/>
      </c>
      <c r="P46" s="21" t="str">
        <f>IF($B46=0,"",VLOOKUP($B46,'Valve Data'!$1:$1048576,MATCH(P$1,'Valve Data'!$1:$1,0),0))</f>
        <v/>
      </c>
      <c r="Q46" s="21" t="str">
        <f>IF($B46=0,"",VLOOKUP($B46,'Valve Data'!$1:$1048576,MATCH(Q$1,'Valve Data'!$1:$1,0),0))</f>
        <v/>
      </c>
      <c r="R46" s="21" t="str">
        <f>IF($B46=0,"",VLOOKUP($B46,'Valve Data'!$1:$1048576,MATCH(R$1,'Valve Data'!$1:$1,0),0))</f>
        <v/>
      </c>
      <c r="S46" s="21" t="str">
        <f>IF($B46=0,"",VLOOKUP($B46,'Valve Data'!$1:$1048576,MATCH(S$1,'Valve Data'!$1:$1,0),0))</f>
        <v/>
      </c>
      <c r="T46" s="331" t="str">
        <f>IF($B46=0,"",VLOOKUP($B46,'Valve Data'!$1:$1048576,MATCH(T$1,'Valve Data'!$1:$1,0),0))</f>
        <v/>
      </c>
      <c r="U46" s="91" t="str">
        <f>IF($B46=0,"",VLOOKUP($B46,'Valve Data'!$1:$1048576,MATCH(U$1,'Valve Data'!$1:$1,0),0))</f>
        <v/>
      </c>
      <c r="V46" s="21" t="str">
        <f>IF($B46=0,"",VLOOKUP($B46,'Valve Data'!$1:$1048576,MATCH(V$1,'Valve Data'!$1:$1,0),0))</f>
        <v/>
      </c>
      <c r="W46" s="21" t="str">
        <f>IF($B46=0,"",VLOOKUP($B46,'Valve Data'!$1:$1048576,MATCH(W$1,'Valve Data'!$1:$1,0),0))</f>
        <v/>
      </c>
      <c r="X46" s="331" t="str">
        <f>IF($B46=0,"",VLOOKUP($B46,'Valve Data'!$1:$1048576,MATCH(X$1,'Valve Data'!$1:$1,0),0))</f>
        <v/>
      </c>
      <c r="Y46" s="865"/>
      <c r="Z46" s="683"/>
      <c r="AA46" s="680"/>
      <c r="AB46" s="680"/>
      <c r="AC46" s="680"/>
      <c r="AD46" s="680"/>
      <c r="AE46" s="868"/>
      <c r="AF46" s="866"/>
      <c r="AG46" s="680"/>
      <c r="AH46" s="680"/>
      <c r="AI46" s="680"/>
      <c r="AJ46" s="680"/>
      <c r="AK46" s="680"/>
      <c r="AL46" s="680"/>
      <c r="AM46" s="680"/>
      <c r="AN46" s="680"/>
      <c r="AO46" s="680"/>
      <c r="AP46" s="684"/>
      <c r="AQ46" s="684"/>
      <c r="AR46" s="684"/>
      <c r="AS46" s="684"/>
      <c r="AT46" s="684"/>
      <c r="AU46" s="684"/>
      <c r="AV46" s="271">
        <f t="shared" si="28"/>
        <v>0</v>
      </c>
      <c r="AW46" s="680"/>
      <c r="AX46" s="845">
        <f>IF(F46="Ball_valve",IFERROR(VLOOKUP(E46&amp;"."&amp;D46,'Ball Valves Chart'!$1:$1048576,MATCH(G46,'Ball Valves Chart'!$3:$3,0),0),0),0)+IF(F46="DBB",IFERROR(VLOOKUP(E46&amp;"."&amp;D46,'Ball Valves Chart'!$1:$1048576,MATCH(G46,'Ball Valves Chart'!$3:$3,0),0)*2,0),0)+IFERROR(VLOOKUP(D46&amp;"."&amp;F46,'Manual Valves Chart'!$1:$1048576,MATCH('Valve List'!G56,'Manual Valves Chart'!$1:$1,0),0),0)</f>
        <v>0</v>
      </c>
      <c r="AY46" s="846">
        <f t="shared" si="29"/>
        <v>0</v>
      </c>
      <c r="AZ46" s="854"/>
      <c r="BA46" s="856">
        <f t="shared" si="30"/>
        <v>0</v>
      </c>
      <c r="BB46" s="286"/>
      <c r="BC46" s="852">
        <f t="shared" si="31"/>
        <v>0</v>
      </c>
      <c r="BD46" s="398"/>
      <c r="BE46" s="1546">
        <f t="shared" si="34"/>
        <v>0</v>
      </c>
      <c r="BF46" s="1546">
        <f t="shared" si="34"/>
        <v>0</v>
      </c>
      <c r="BG46" s="1546">
        <f t="shared" si="34"/>
        <v>0</v>
      </c>
      <c r="BH46" s="1546">
        <f t="shared" si="34"/>
        <v>0</v>
      </c>
      <c r="BI46" s="1546">
        <f t="shared" si="34"/>
        <v>0</v>
      </c>
      <c r="BJ46" s="1546">
        <f t="shared" si="34"/>
        <v>0</v>
      </c>
      <c r="BK46" s="1546">
        <f t="shared" si="34"/>
        <v>0</v>
      </c>
      <c r="BL46" s="1546">
        <f t="shared" si="34"/>
        <v>0</v>
      </c>
      <c r="BM46" s="1546">
        <f t="shared" si="34"/>
        <v>0</v>
      </c>
      <c r="BN46" s="1546">
        <f t="shared" si="34"/>
        <v>0</v>
      </c>
      <c r="BO46" s="1546">
        <f t="shared" si="35"/>
        <v>0</v>
      </c>
      <c r="BP46" s="1546">
        <f t="shared" si="35"/>
        <v>0</v>
      </c>
      <c r="BQ46" s="1546">
        <f t="shared" si="35"/>
        <v>0</v>
      </c>
      <c r="BR46" s="1546">
        <f t="shared" si="35"/>
        <v>0</v>
      </c>
      <c r="BS46" s="1546">
        <f t="shared" si="35"/>
        <v>0</v>
      </c>
      <c r="BT46" s="1546">
        <f t="shared" si="35"/>
        <v>0</v>
      </c>
      <c r="BU46" s="1546">
        <f t="shared" si="35"/>
        <v>0</v>
      </c>
      <c r="BV46" s="1546">
        <f t="shared" si="35"/>
        <v>0</v>
      </c>
      <c r="BX46" s="1546">
        <f t="shared" si="33"/>
        <v>0</v>
      </c>
      <c r="BY46" s="1546">
        <f t="shared" si="33"/>
        <v>0</v>
      </c>
      <c r="BZ46" s="1546">
        <f t="shared" si="33"/>
        <v>0</v>
      </c>
      <c r="CA46" s="1546">
        <f t="shared" si="33"/>
        <v>0</v>
      </c>
      <c r="CB46" s="1546">
        <f t="shared" si="33"/>
        <v>0</v>
      </c>
      <c r="CC46" s="1546">
        <f t="shared" si="33"/>
        <v>0</v>
      </c>
      <c r="CD46" s="1546">
        <f t="shared" si="33"/>
        <v>0</v>
      </c>
      <c r="CE46" s="1546">
        <f t="shared" si="33"/>
        <v>0</v>
      </c>
      <c r="CF46" s="1546">
        <f t="shared" si="33"/>
        <v>0</v>
      </c>
      <c r="CG46" s="1546">
        <f t="shared" si="33"/>
        <v>0</v>
      </c>
      <c r="CH46" s="1546">
        <f t="shared" si="33"/>
        <v>0</v>
      </c>
      <c r="CI46" s="1546">
        <f t="shared" si="33"/>
        <v>0</v>
      </c>
      <c r="CJ46" s="1546">
        <f t="shared" si="33"/>
        <v>0</v>
      </c>
      <c r="CL46" s="1546">
        <f t="shared" si="36"/>
        <v>0</v>
      </c>
      <c r="CM46" s="1546">
        <f t="shared" si="36"/>
        <v>0</v>
      </c>
      <c r="CN46" s="1546">
        <f t="shared" si="36"/>
        <v>0</v>
      </c>
      <c r="CO46" s="1546">
        <f t="shared" si="36"/>
        <v>0</v>
      </c>
      <c r="CQ46" s="1546">
        <f t="shared" si="32"/>
        <v>0</v>
      </c>
      <c r="CR46" s="1546">
        <f t="shared" si="37"/>
        <v>0</v>
      </c>
      <c r="CS46" s="1546">
        <f t="shared" si="37"/>
        <v>0</v>
      </c>
      <c r="CT46" s="1546">
        <f t="shared" si="37"/>
        <v>0</v>
      </c>
      <c r="CU46" s="1546">
        <f t="shared" si="37"/>
        <v>0</v>
      </c>
      <c r="CV46" s="1546">
        <f t="shared" si="37"/>
        <v>0</v>
      </c>
      <c r="CW46" s="1546">
        <f t="shared" si="37"/>
        <v>0</v>
      </c>
      <c r="CX46" s="1546">
        <f t="shared" si="37"/>
        <v>0</v>
      </c>
      <c r="CY46" s="1546">
        <f t="shared" si="37"/>
        <v>0</v>
      </c>
      <c r="CZ46" s="1546">
        <f t="shared" si="37"/>
        <v>0</v>
      </c>
      <c r="DA46" s="1546">
        <f t="shared" si="37"/>
        <v>0</v>
      </c>
      <c r="DB46" s="1546">
        <f t="shared" si="37"/>
        <v>0</v>
      </c>
      <c r="DC46" s="1546">
        <f t="shared" si="37"/>
        <v>0</v>
      </c>
      <c r="DD46" s="1546">
        <f t="shared" si="37"/>
        <v>0</v>
      </c>
      <c r="DE46" s="1546">
        <f t="shared" si="37"/>
        <v>0</v>
      </c>
      <c r="DF46" s="1546">
        <f t="shared" si="37"/>
        <v>0</v>
      </c>
      <c r="DG46" s="1546">
        <f t="shared" si="13"/>
        <v>1</v>
      </c>
      <c r="DI46" s="1546">
        <f t="shared" si="38"/>
        <v>0</v>
      </c>
      <c r="DJ46" s="1546">
        <f t="shared" si="38"/>
        <v>0</v>
      </c>
      <c r="DK46" s="1546">
        <f t="shared" si="38"/>
        <v>0</v>
      </c>
      <c r="DL46" s="1546">
        <f t="shared" si="38"/>
        <v>0</v>
      </c>
      <c r="DM46" s="1546">
        <f t="shared" si="38"/>
        <v>0</v>
      </c>
      <c r="DN46" s="1546">
        <f t="shared" si="38"/>
        <v>0</v>
      </c>
    </row>
    <row r="47" spans="1:118" x14ac:dyDescent="0.3">
      <c r="A47" s="285">
        <v>55</v>
      </c>
      <c r="B47" s="325">
        <f t="shared" si="27"/>
        <v>0</v>
      </c>
      <c r="C47" s="682"/>
      <c r="D47" s="683"/>
      <c r="E47" s="680"/>
      <c r="F47" s="713"/>
      <c r="G47" s="91" t="str">
        <f>IF($B47=0,"",VLOOKUP($B47,'Valve Data'!$1:$1048576,MATCH(G$1,'Valve Data'!$1:$1,0),0))</f>
        <v/>
      </c>
      <c r="H47" s="21" t="str">
        <f>IF($B47=0,"",VLOOKUP($B47,'Valve Data'!$1:$1048576,MATCH(H$1,'Valve Data'!$1:$1,0),0))</f>
        <v/>
      </c>
      <c r="I47" s="21" t="str">
        <f>IF($B47=0,"",VLOOKUP($B47,'Valve Data'!$1:$1048576,MATCH(I$1,'Valve Data'!$1:$1,0),0))</f>
        <v/>
      </c>
      <c r="J47" s="328" t="str">
        <f>IF($B47=0,"",VLOOKUP($B47,'Valve Data'!$1:$1048576,MATCH(J$1,'Valve Data'!$1:$1,0),0))</f>
        <v/>
      </c>
      <c r="K47" s="21" t="str">
        <f>IF($B47=0,"",VLOOKUP($B47,'Valve Data'!$1:$1048576,MATCH(K$1,'Valve Data'!$1:$1,0),0))</f>
        <v/>
      </c>
      <c r="L47" s="21" t="str">
        <f>IF($B47=0,"",VLOOKUP($B47,'Valve Data'!$1:$1048576,MATCH(L$1,'Valve Data'!$1:$1,0),0))</f>
        <v/>
      </c>
      <c r="M47" s="21" t="str">
        <f>IF($B47=0,"",VLOOKUP($B47,'Valve Data'!$1:$1048576,MATCH(M$1,'Valve Data'!$1:$1,0),0))</f>
        <v/>
      </c>
      <c r="N47" s="21" t="str">
        <f>IF($B47=0,"",VLOOKUP($B47,'Valve Data'!$1:$1048576,MATCH(N$1,'Valve Data'!$1:$1,0),0))</f>
        <v/>
      </c>
      <c r="O47" s="21" t="str">
        <f>IF($B47=0,"",VLOOKUP($B47,'Valve Data'!$1:$1048576,MATCH(O$1,'Valve Data'!$1:$1,0),0))</f>
        <v/>
      </c>
      <c r="P47" s="21" t="str">
        <f>IF($B47=0,"",VLOOKUP($B47,'Valve Data'!$1:$1048576,MATCH(P$1,'Valve Data'!$1:$1,0),0))</f>
        <v/>
      </c>
      <c r="Q47" s="21" t="str">
        <f>IF($B47=0,"",VLOOKUP($B47,'Valve Data'!$1:$1048576,MATCH(Q$1,'Valve Data'!$1:$1,0),0))</f>
        <v/>
      </c>
      <c r="R47" s="21" t="str">
        <f>IF($B47=0,"",VLOOKUP($B47,'Valve Data'!$1:$1048576,MATCH(R$1,'Valve Data'!$1:$1,0),0))</f>
        <v/>
      </c>
      <c r="S47" s="21" t="str">
        <f>IF($B47=0,"",VLOOKUP($B47,'Valve Data'!$1:$1048576,MATCH(S$1,'Valve Data'!$1:$1,0),0))</f>
        <v/>
      </c>
      <c r="T47" s="331" t="str">
        <f>IF($B47=0,"",VLOOKUP($B47,'Valve Data'!$1:$1048576,MATCH(T$1,'Valve Data'!$1:$1,0),0))</f>
        <v/>
      </c>
      <c r="U47" s="91" t="str">
        <f>IF($B47=0,"",VLOOKUP($B47,'Valve Data'!$1:$1048576,MATCH(U$1,'Valve Data'!$1:$1,0),0))</f>
        <v/>
      </c>
      <c r="V47" s="21" t="str">
        <f>IF($B47=0,"",VLOOKUP($B47,'Valve Data'!$1:$1048576,MATCH(V$1,'Valve Data'!$1:$1,0),0))</f>
        <v/>
      </c>
      <c r="W47" s="21" t="str">
        <f>IF($B47=0,"",VLOOKUP($B47,'Valve Data'!$1:$1048576,MATCH(W$1,'Valve Data'!$1:$1,0),0))</f>
        <v/>
      </c>
      <c r="X47" s="331" t="str">
        <f>IF($B47=0,"",VLOOKUP($B47,'Valve Data'!$1:$1048576,MATCH(X$1,'Valve Data'!$1:$1,0),0))</f>
        <v/>
      </c>
      <c r="Y47" s="865"/>
      <c r="Z47" s="683"/>
      <c r="AA47" s="680"/>
      <c r="AB47" s="680"/>
      <c r="AC47" s="680"/>
      <c r="AD47" s="680"/>
      <c r="AE47" s="868"/>
      <c r="AF47" s="866"/>
      <c r="AG47" s="680"/>
      <c r="AH47" s="680"/>
      <c r="AI47" s="680"/>
      <c r="AJ47" s="680"/>
      <c r="AK47" s="680"/>
      <c r="AL47" s="680"/>
      <c r="AM47" s="680"/>
      <c r="AN47" s="680"/>
      <c r="AO47" s="680"/>
      <c r="AP47" s="684"/>
      <c r="AQ47" s="684"/>
      <c r="AR47" s="684"/>
      <c r="AS47" s="684"/>
      <c r="AT47" s="684"/>
      <c r="AU47" s="684"/>
      <c r="AV47" s="271">
        <f t="shared" si="28"/>
        <v>0</v>
      </c>
      <c r="AW47" s="680"/>
      <c r="AX47" s="845">
        <f>IF(F47="Ball_valve",IFERROR(VLOOKUP(E47&amp;"."&amp;D47,'Ball Valves Chart'!$1:$1048576,MATCH(G47,'Ball Valves Chart'!$3:$3,0),0),0),0)+IF(F47="DBB",IFERROR(VLOOKUP(E47&amp;"."&amp;D47,'Ball Valves Chart'!$1:$1048576,MATCH(G47,'Ball Valves Chart'!$3:$3,0),0)*2,0),0)+IFERROR(VLOOKUP(D47&amp;"."&amp;F47,'Manual Valves Chart'!$1:$1048576,MATCH('Valve List'!G57,'Manual Valves Chart'!$1:$1,0),0),0)</f>
        <v>0</v>
      </c>
      <c r="AY47" s="846">
        <f t="shared" si="29"/>
        <v>0</v>
      </c>
      <c r="AZ47" s="854"/>
      <c r="BA47" s="856">
        <f t="shared" si="30"/>
        <v>0</v>
      </c>
      <c r="BB47" s="286"/>
      <c r="BC47" s="852">
        <f t="shared" si="31"/>
        <v>0</v>
      </c>
      <c r="BD47" s="398"/>
      <c r="BE47" s="1546">
        <f t="shared" si="34"/>
        <v>0</v>
      </c>
      <c r="BF47" s="1546">
        <f t="shared" si="34"/>
        <v>0</v>
      </c>
      <c r="BG47" s="1546">
        <f t="shared" si="34"/>
        <v>0</v>
      </c>
      <c r="BH47" s="1546">
        <f t="shared" si="34"/>
        <v>0</v>
      </c>
      <c r="BI47" s="1546">
        <f t="shared" si="34"/>
        <v>0</v>
      </c>
      <c r="BJ47" s="1546">
        <f t="shared" si="34"/>
        <v>0</v>
      </c>
      <c r="BK47" s="1546">
        <f t="shared" si="34"/>
        <v>0</v>
      </c>
      <c r="BL47" s="1546">
        <f t="shared" si="34"/>
        <v>0</v>
      </c>
      <c r="BM47" s="1546">
        <f t="shared" si="34"/>
        <v>0</v>
      </c>
      <c r="BN47" s="1546">
        <f t="shared" si="34"/>
        <v>0</v>
      </c>
      <c r="BO47" s="1546">
        <f t="shared" si="35"/>
        <v>0</v>
      </c>
      <c r="BP47" s="1546">
        <f t="shared" si="35"/>
        <v>0</v>
      </c>
      <c r="BQ47" s="1546">
        <f t="shared" si="35"/>
        <v>0</v>
      </c>
      <c r="BR47" s="1546">
        <f t="shared" si="35"/>
        <v>0</v>
      </c>
      <c r="BS47" s="1546">
        <f t="shared" si="35"/>
        <v>0</v>
      </c>
      <c r="BT47" s="1546">
        <f t="shared" si="35"/>
        <v>0</v>
      </c>
      <c r="BU47" s="1546">
        <f t="shared" si="35"/>
        <v>0</v>
      </c>
      <c r="BV47" s="1546">
        <f t="shared" si="35"/>
        <v>0</v>
      </c>
      <c r="BX47" s="1546">
        <f t="shared" si="33"/>
        <v>0</v>
      </c>
      <c r="BY47" s="1546">
        <f t="shared" si="33"/>
        <v>0</v>
      </c>
      <c r="BZ47" s="1546">
        <f t="shared" si="33"/>
        <v>0</v>
      </c>
      <c r="CA47" s="1546">
        <f t="shared" si="33"/>
        <v>0</v>
      </c>
      <c r="CB47" s="1546">
        <f t="shared" si="33"/>
        <v>0</v>
      </c>
      <c r="CC47" s="1546">
        <f t="shared" si="33"/>
        <v>0</v>
      </c>
      <c r="CD47" s="1546">
        <f t="shared" si="33"/>
        <v>0</v>
      </c>
      <c r="CE47" s="1546">
        <f t="shared" si="33"/>
        <v>0</v>
      </c>
      <c r="CF47" s="1546">
        <f t="shared" si="33"/>
        <v>0</v>
      </c>
      <c r="CG47" s="1546">
        <f t="shared" si="33"/>
        <v>0</v>
      </c>
      <c r="CH47" s="1546">
        <f t="shared" si="33"/>
        <v>0</v>
      </c>
      <c r="CI47" s="1546">
        <f t="shared" si="33"/>
        <v>0</v>
      </c>
      <c r="CJ47" s="1546">
        <f t="shared" si="33"/>
        <v>0</v>
      </c>
      <c r="CL47" s="1546">
        <f t="shared" si="36"/>
        <v>0</v>
      </c>
      <c r="CM47" s="1546">
        <f t="shared" si="36"/>
        <v>0</v>
      </c>
      <c r="CN47" s="1546">
        <f t="shared" si="36"/>
        <v>0</v>
      </c>
      <c r="CO47" s="1546">
        <f t="shared" si="36"/>
        <v>0</v>
      </c>
      <c r="CQ47" s="1546">
        <f t="shared" si="32"/>
        <v>0</v>
      </c>
      <c r="CR47" s="1546">
        <f t="shared" si="37"/>
        <v>0</v>
      </c>
      <c r="CS47" s="1546">
        <f t="shared" si="37"/>
        <v>0</v>
      </c>
      <c r="CT47" s="1546">
        <f t="shared" si="37"/>
        <v>0</v>
      </c>
      <c r="CU47" s="1546">
        <f t="shared" si="37"/>
        <v>0</v>
      </c>
      <c r="CV47" s="1546">
        <f t="shared" si="37"/>
        <v>0</v>
      </c>
      <c r="CW47" s="1546">
        <f t="shared" si="37"/>
        <v>0</v>
      </c>
      <c r="CX47" s="1546">
        <f t="shared" si="37"/>
        <v>0</v>
      </c>
      <c r="CY47" s="1546">
        <f t="shared" si="37"/>
        <v>0</v>
      </c>
      <c r="CZ47" s="1546">
        <f t="shared" si="37"/>
        <v>0</v>
      </c>
      <c r="DA47" s="1546">
        <f t="shared" si="37"/>
        <v>0</v>
      </c>
      <c r="DB47" s="1546">
        <f t="shared" si="37"/>
        <v>0</v>
      </c>
      <c r="DC47" s="1546">
        <f t="shared" si="37"/>
        <v>0</v>
      </c>
      <c r="DD47" s="1546">
        <f t="shared" si="37"/>
        <v>0</v>
      </c>
      <c r="DE47" s="1546">
        <f t="shared" si="37"/>
        <v>0</v>
      </c>
      <c r="DF47" s="1546">
        <f t="shared" si="37"/>
        <v>0</v>
      </c>
      <c r="DG47" s="1546">
        <f t="shared" si="13"/>
        <v>1</v>
      </c>
      <c r="DI47" s="1546">
        <f t="shared" si="38"/>
        <v>0</v>
      </c>
      <c r="DJ47" s="1546">
        <f t="shared" si="38"/>
        <v>0</v>
      </c>
      <c r="DK47" s="1546">
        <f t="shared" si="38"/>
        <v>0</v>
      </c>
      <c r="DL47" s="1546">
        <f t="shared" si="38"/>
        <v>0</v>
      </c>
      <c r="DM47" s="1546">
        <f t="shared" si="38"/>
        <v>0</v>
      </c>
      <c r="DN47" s="1546">
        <f t="shared" si="38"/>
        <v>0</v>
      </c>
    </row>
    <row r="48" spans="1:118" x14ac:dyDescent="0.3">
      <c r="A48" s="285">
        <v>57</v>
      </c>
      <c r="B48" s="325">
        <f t="shared" si="27"/>
        <v>0</v>
      </c>
      <c r="C48" s="682"/>
      <c r="D48" s="683"/>
      <c r="E48" s="680"/>
      <c r="F48" s="713"/>
      <c r="G48" s="91" t="str">
        <f>IF($B48=0,"",VLOOKUP($B48,'Valve Data'!$1:$1048576,MATCH(G$1,'Valve Data'!$1:$1,0),0))</f>
        <v/>
      </c>
      <c r="H48" s="21" t="str">
        <f>IF($B48=0,"",VLOOKUP($B48,'Valve Data'!$1:$1048576,MATCH(H$1,'Valve Data'!$1:$1,0),0))</f>
        <v/>
      </c>
      <c r="I48" s="21" t="str">
        <f>IF($B48=0,"",VLOOKUP($B48,'Valve Data'!$1:$1048576,MATCH(I$1,'Valve Data'!$1:$1,0),0))</f>
        <v/>
      </c>
      <c r="J48" s="328" t="str">
        <f>IF($B48=0,"",VLOOKUP($B48,'Valve Data'!$1:$1048576,MATCH(J$1,'Valve Data'!$1:$1,0),0))</f>
        <v/>
      </c>
      <c r="K48" s="21" t="str">
        <f>IF($B48=0,"",VLOOKUP($B48,'Valve Data'!$1:$1048576,MATCH(K$1,'Valve Data'!$1:$1,0),0))</f>
        <v/>
      </c>
      <c r="L48" s="21" t="str">
        <f>IF($B48=0,"",VLOOKUP($B48,'Valve Data'!$1:$1048576,MATCH(L$1,'Valve Data'!$1:$1,0),0))</f>
        <v/>
      </c>
      <c r="M48" s="21" t="str">
        <f>IF($B48=0,"",VLOOKUP($B48,'Valve Data'!$1:$1048576,MATCH(M$1,'Valve Data'!$1:$1,0),0))</f>
        <v/>
      </c>
      <c r="N48" s="21" t="str">
        <f>IF($B48=0,"",VLOOKUP($B48,'Valve Data'!$1:$1048576,MATCH(N$1,'Valve Data'!$1:$1,0),0))</f>
        <v/>
      </c>
      <c r="O48" s="21" t="str">
        <f>IF($B48=0,"",VLOOKUP($B48,'Valve Data'!$1:$1048576,MATCH(O$1,'Valve Data'!$1:$1,0),0))</f>
        <v/>
      </c>
      <c r="P48" s="21" t="str">
        <f>IF($B48=0,"",VLOOKUP($B48,'Valve Data'!$1:$1048576,MATCH(P$1,'Valve Data'!$1:$1,0),0))</f>
        <v/>
      </c>
      <c r="Q48" s="21" t="str">
        <f>IF($B48=0,"",VLOOKUP($B48,'Valve Data'!$1:$1048576,MATCH(Q$1,'Valve Data'!$1:$1,0),0))</f>
        <v/>
      </c>
      <c r="R48" s="21" t="str">
        <f>IF($B48=0,"",VLOOKUP($B48,'Valve Data'!$1:$1048576,MATCH(R$1,'Valve Data'!$1:$1,0),0))</f>
        <v/>
      </c>
      <c r="S48" s="21" t="str">
        <f>IF($B48=0,"",VLOOKUP($B48,'Valve Data'!$1:$1048576,MATCH(S$1,'Valve Data'!$1:$1,0),0))</f>
        <v/>
      </c>
      <c r="T48" s="331" t="str">
        <f>IF($B48=0,"",VLOOKUP($B48,'Valve Data'!$1:$1048576,MATCH(T$1,'Valve Data'!$1:$1,0),0))</f>
        <v/>
      </c>
      <c r="U48" s="91" t="str">
        <f>IF($B48=0,"",VLOOKUP($B48,'Valve Data'!$1:$1048576,MATCH(U$1,'Valve Data'!$1:$1,0),0))</f>
        <v/>
      </c>
      <c r="V48" s="21" t="str">
        <f>IF($B48=0,"",VLOOKUP($B48,'Valve Data'!$1:$1048576,MATCH(V$1,'Valve Data'!$1:$1,0),0))</f>
        <v/>
      </c>
      <c r="W48" s="21" t="str">
        <f>IF($B48=0,"",VLOOKUP($B48,'Valve Data'!$1:$1048576,MATCH(W$1,'Valve Data'!$1:$1,0),0))</f>
        <v/>
      </c>
      <c r="X48" s="331" t="str">
        <f>IF($B48=0,"",VLOOKUP($B48,'Valve Data'!$1:$1048576,MATCH(X$1,'Valve Data'!$1:$1,0),0))</f>
        <v/>
      </c>
      <c r="Y48" s="865"/>
      <c r="Z48" s="683"/>
      <c r="AA48" s="680"/>
      <c r="AB48" s="680"/>
      <c r="AC48" s="680"/>
      <c r="AD48" s="680"/>
      <c r="AE48" s="868"/>
      <c r="AF48" s="866"/>
      <c r="AG48" s="680"/>
      <c r="AH48" s="680"/>
      <c r="AI48" s="680"/>
      <c r="AJ48" s="680"/>
      <c r="AK48" s="680"/>
      <c r="AL48" s="680"/>
      <c r="AM48" s="680"/>
      <c r="AN48" s="680"/>
      <c r="AO48" s="680"/>
      <c r="AP48" s="684"/>
      <c r="AQ48" s="684"/>
      <c r="AR48" s="684"/>
      <c r="AS48" s="684"/>
      <c r="AT48" s="684"/>
      <c r="AU48" s="684"/>
      <c r="AV48" s="271">
        <f t="shared" si="28"/>
        <v>0</v>
      </c>
      <c r="AW48" s="680"/>
      <c r="AX48" s="845">
        <f>IF(F48="Ball_valve",IFERROR(VLOOKUP(E48&amp;"."&amp;D48,'Ball Valves Chart'!$1:$1048576,MATCH(G48,'Ball Valves Chart'!$3:$3,0),0),0),0)+IF(F48="DBB",IFERROR(VLOOKUP(E48&amp;"."&amp;D48,'Ball Valves Chart'!$1:$1048576,MATCH(G48,'Ball Valves Chart'!$3:$3,0),0)*2,0),0)+IFERROR(VLOOKUP(D48&amp;"."&amp;F48,'Manual Valves Chart'!$1:$1048576,MATCH('Valve List'!G59,'Manual Valves Chart'!$1:$1,0),0),0)</f>
        <v>0</v>
      </c>
      <c r="AY48" s="846">
        <f t="shared" si="29"/>
        <v>0</v>
      </c>
      <c r="AZ48" s="854"/>
      <c r="BA48" s="856">
        <f t="shared" si="30"/>
        <v>0</v>
      </c>
      <c r="BB48" s="286"/>
      <c r="BC48" s="852">
        <f t="shared" si="31"/>
        <v>0</v>
      </c>
      <c r="BD48" s="398"/>
      <c r="BE48" s="1546">
        <f t="shared" si="34"/>
        <v>0</v>
      </c>
      <c r="BF48" s="1546">
        <f t="shared" si="34"/>
        <v>0</v>
      </c>
      <c r="BG48" s="1546">
        <f t="shared" si="34"/>
        <v>0</v>
      </c>
      <c r="BH48" s="1546">
        <f t="shared" si="34"/>
        <v>0</v>
      </c>
      <c r="BI48" s="1546">
        <f t="shared" si="34"/>
        <v>0</v>
      </c>
      <c r="BJ48" s="1546">
        <f t="shared" si="34"/>
        <v>0</v>
      </c>
      <c r="BK48" s="1546">
        <f t="shared" si="34"/>
        <v>0</v>
      </c>
      <c r="BL48" s="1546">
        <f t="shared" si="34"/>
        <v>0</v>
      </c>
      <c r="BM48" s="1546">
        <f t="shared" si="34"/>
        <v>0</v>
      </c>
      <c r="BN48" s="1546">
        <f t="shared" si="34"/>
        <v>0</v>
      </c>
      <c r="BO48" s="1546">
        <f t="shared" si="35"/>
        <v>0</v>
      </c>
      <c r="BP48" s="1546">
        <f t="shared" si="35"/>
        <v>0</v>
      </c>
      <c r="BQ48" s="1546">
        <f t="shared" si="35"/>
        <v>0</v>
      </c>
      <c r="BR48" s="1546">
        <f t="shared" si="35"/>
        <v>0</v>
      </c>
      <c r="BS48" s="1546">
        <f t="shared" si="35"/>
        <v>0</v>
      </c>
      <c r="BT48" s="1546">
        <f t="shared" si="35"/>
        <v>0</v>
      </c>
      <c r="BU48" s="1546">
        <f t="shared" si="35"/>
        <v>0</v>
      </c>
      <c r="BV48" s="1546">
        <f t="shared" si="35"/>
        <v>0</v>
      </c>
      <c r="BX48" s="1546">
        <f t="shared" si="33"/>
        <v>0</v>
      </c>
      <c r="BY48" s="1546">
        <f t="shared" si="33"/>
        <v>0</v>
      </c>
      <c r="BZ48" s="1546">
        <f t="shared" si="33"/>
        <v>0</v>
      </c>
      <c r="CA48" s="1546">
        <f t="shared" si="33"/>
        <v>0</v>
      </c>
      <c r="CB48" s="1546">
        <f t="shared" si="33"/>
        <v>0</v>
      </c>
      <c r="CC48" s="1546">
        <f t="shared" si="33"/>
        <v>0</v>
      </c>
      <c r="CD48" s="1546">
        <f t="shared" si="33"/>
        <v>0</v>
      </c>
      <c r="CE48" s="1546">
        <f t="shared" si="33"/>
        <v>0</v>
      </c>
      <c r="CF48" s="1546">
        <f t="shared" si="33"/>
        <v>0</v>
      </c>
      <c r="CG48" s="1546">
        <f t="shared" si="33"/>
        <v>0</v>
      </c>
      <c r="CH48" s="1546">
        <f t="shared" si="33"/>
        <v>0</v>
      </c>
      <c r="CI48" s="1546">
        <f t="shared" si="33"/>
        <v>0</v>
      </c>
      <c r="CJ48" s="1546">
        <f t="shared" si="33"/>
        <v>0</v>
      </c>
      <c r="CL48" s="1546">
        <f t="shared" si="36"/>
        <v>0</v>
      </c>
      <c r="CM48" s="1546">
        <f t="shared" si="36"/>
        <v>0</v>
      </c>
      <c r="CN48" s="1546">
        <f t="shared" si="36"/>
        <v>0</v>
      </c>
      <c r="CO48" s="1546">
        <f t="shared" si="36"/>
        <v>0</v>
      </c>
      <c r="CQ48" s="1546">
        <f t="shared" si="32"/>
        <v>0</v>
      </c>
      <c r="CR48" s="1546">
        <f t="shared" si="37"/>
        <v>0</v>
      </c>
      <c r="CS48" s="1546">
        <f t="shared" si="37"/>
        <v>0</v>
      </c>
      <c r="CT48" s="1546">
        <f t="shared" si="37"/>
        <v>0</v>
      </c>
      <c r="CU48" s="1546">
        <f t="shared" si="37"/>
        <v>0</v>
      </c>
      <c r="CV48" s="1546">
        <f t="shared" si="37"/>
        <v>0</v>
      </c>
      <c r="CW48" s="1546">
        <f t="shared" si="37"/>
        <v>0</v>
      </c>
      <c r="CX48" s="1546">
        <f t="shared" si="37"/>
        <v>0</v>
      </c>
      <c r="CY48" s="1546">
        <f t="shared" si="37"/>
        <v>0</v>
      </c>
      <c r="CZ48" s="1546">
        <f t="shared" si="37"/>
        <v>0</v>
      </c>
      <c r="DA48" s="1546">
        <f t="shared" si="37"/>
        <v>0</v>
      </c>
      <c r="DB48" s="1546">
        <f t="shared" si="37"/>
        <v>0</v>
      </c>
      <c r="DC48" s="1546">
        <f t="shared" si="37"/>
        <v>0</v>
      </c>
      <c r="DD48" s="1546">
        <f t="shared" si="37"/>
        <v>0</v>
      </c>
      <c r="DE48" s="1546">
        <f t="shared" si="37"/>
        <v>0</v>
      </c>
      <c r="DF48" s="1546">
        <f t="shared" si="37"/>
        <v>0</v>
      </c>
      <c r="DG48" s="1546">
        <f t="shared" si="13"/>
        <v>1</v>
      </c>
      <c r="DI48" s="1546">
        <f t="shared" si="38"/>
        <v>0</v>
      </c>
      <c r="DJ48" s="1546">
        <f t="shared" si="38"/>
        <v>0</v>
      </c>
      <c r="DK48" s="1546">
        <f t="shared" si="38"/>
        <v>0</v>
      </c>
      <c r="DL48" s="1546">
        <f t="shared" si="38"/>
        <v>0</v>
      </c>
      <c r="DM48" s="1546">
        <f t="shared" si="38"/>
        <v>0</v>
      </c>
      <c r="DN48" s="1546">
        <f t="shared" si="38"/>
        <v>0</v>
      </c>
    </row>
    <row r="49" spans="1:118" x14ac:dyDescent="0.3">
      <c r="A49" s="285">
        <v>47</v>
      </c>
      <c r="B49" s="325">
        <f t="shared" si="27"/>
        <v>0</v>
      </c>
      <c r="C49" s="682"/>
      <c r="D49" s="683"/>
      <c r="E49" s="680"/>
      <c r="F49" s="713"/>
      <c r="G49" s="91" t="str">
        <f>IF($B49=0,"",VLOOKUP($B49,'Valve Data'!$1:$1048576,MATCH(G$1,'Valve Data'!$1:$1,0),0))</f>
        <v/>
      </c>
      <c r="H49" s="21" t="str">
        <f>IF($B49=0,"",VLOOKUP($B49,'Valve Data'!$1:$1048576,MATCH(H$1,'Valve Data'!$1:$1,0),0))</f>
        <v/>
      </c>
      <c r="I49" s="21" t="str">
        <f>IF($B49=0,"",VLOOKUP($B49,'Valve Data'!$1:$1048576,MATCH(I$1,'Valve Data'!$1:$1,0),0))</f>
        <v/>
      </c>
      <c r="J49" s="328" t="str">
        <f>IF($B49=0,"",VLOOKUP($B49,'Valve Data'!$1:$1048576,MATCH(J$1,'Valve Data'!$1:$1,0),0))</f>
        <v/>
      </c>
      <c r="K49" s="21" t="str">
        <f>IF($B49=0,"",VLOOKUP($B49,'Valve Data'!$1:$1048576,MATCH(K$1,'Valve Data'!$1:$1,0),0))</f>
        <v/>
      </c>
      <c r="L49" s="21" t="str">
        <f>IF($B49=0,"",VLOOKUP($B49,'Valve Data'!$1:$1048576,MATCH(L$1,'Valve Data'!$1:$1,0),0))</f>
        <v/>
      </c>
      <c r="M49" s="21" t="str">
        <f>IF($B49=0,"",VLOOKUP($B49,'Valve Data'!$1:$1048576,MATCH(M$1,'Valve Data'!$1:$1,0),0))</f>
        <v/>
      </c>
      <c r="N49" s="21" t="str">
        <f>IF($B49=0,"",VLOOKUP($B49,'Valve Data'!$1:$1048576,MATCH(N$1,'Valve Data'!$1:$1,0),0))</f>
        <v/>
      </c>
      <c r="O49" s="21" t="str">
        <f>IF($B49=0,"",VLOOKUP($B49,'Valve Data'!$1:$1048576,MATCH(O$1,'Valve Data'!$1:$1,0),0))</f>
        <v/>
      </c>
      <c r="P49" s="21" t="str">
        <f>IF($B49=0,"",VLOOKUP($B49,'Valve Data'!$1:$1048576,MATCH(P$1,'Valve Data'!$1:$1,0),0))</f>
        <v/>
      </c>
      <c r="Q49" s="21" t="str">
        <f>IF($B49=0,"",VLOOKUP($B49,'Valve Data'!$1:$1048576,MATCH(Q$1,'Valve Data'!$1:$1,0),0))</f>
        <v/>
      </c>
      <c r="R49" s="21" t="str">
        <f>IF($B49=0,"",VLOOKUP($B49,'Valve Data'!$1:$1048576,MATCH(R$1,'Valve Data'!$1:$1,0),0))</f>
        <v/>
      </c>
      <c r="S49" s="21" t="str">
        <f>IF($B49=0,"",VLOOKUP($B49,'Valve Data'!$1:$1048576,MATCH(S$1,'Valve Data'!$1:$1,0),0))</f>
        <v/>
      </c>
      <c r="T49" s="331" t="str">
        <f>IF($B49=0,"",VLOOKUP($B49,'Valve Data'!$1:$1048576,MATCH(T$1,'Valve Data'!$1:$1,0),0))</f>
        <v/>
      </c>
      <c r="U49" s="91" t="str">
        <f>IF($B49=0,"",VLOOKUP($B49,'Valve Data'!$1:$1048576,MATCH(U$1,'Valve Data'!$1:$1,0),0))</f>
        <v/>
      </c>
      <c r="V49" s="21" t="str">
        <f>IF($B49=0,"",VLOOKUP($B49,'Valve Data'!$1:$1048576,MATCH(V$1,'Valve Data'!$1:$1,0),0))</f>
        <v/>
      </c>
      <c r="W49" s="21" t="str">
        <f>IF($B49=0,"",VLOOKUP($B49,'Valve Data'!$1:$1048576,MATCH(W$1,'Valve Data'!$1:$1,0),0))</f>
        <v/>
      </c>
      <c r="X49" s="331" t="str">
        <f>IF($B49=0,"",VLOOKUP($B49,'Valve Data'!$1:$1048576,MATCH(X$1,'Valve Data'!$1:$1,0),0))</f>
        <v/>
      </c>
      <c r="Y49" s="865"/>
      <c r="Z49" s="683"/>
      <c r="AA49" s="680"/>
      <c r="AB49" s="680"/>
      <c r="AC49" s="680"/>
      <c r="AD49" s="680"/>
      <c r="AE49" s="868"/>
      <c r="AF49" s="866"/>
      <c r="AG49" s="680"/>
      <c r="AH49" s="680"/>
      <c r="AI49" s="680"/>
      <c r="AJ49" s="680"/>
      <c r="AK49" s="680"/>
      <c r="AL49" s="680"/>
      <c r="AM49" s="680"/>
      <c r="AN49" s="680"/>
      <c r="AO49" s="680"/>
      <c r="AP49" s="684"/>
      <c r="AQ49" s="684"/>
      <c r="AR49" s="684"/>
      <c r="AS49" s="684"/>
      <c r="AT49" s="684"/>
      <c r="AU49" s="684"/>
      <c r="AV49" s="271">
        <f t="shared" si="28"/>
        <v>0</v>
      </c>
      <c r="AW49" s="680"/>
      <c r="AX49" s="845">
        <f>IF(F49="Ball_valve",IFERROR(VLOOKUP(E49&amp;"."&amp;D49,'Ball Valves Chart'!$1:$1048576,MATCH(G49,'Ball Valves Chart'!$3:$3,0),0),0),0)+IF(F49="DBB",IFERROR(VLOOKUP(E49&amp;"."&amp;D49,'Ball Valves Chart'!$1:$1048576,MATCH(G49,'Ball Valves Chart'!$3:$3,0),0)*2,0),0)+IFERROR(VLOOKUP(D49&amp;"."&amp;F49,'Manual Valves Chart'!$1:$1048576,MATCH('Valve List'!G49,'Manual Valves Chart'!$1:$1,0),0),0)</f>
        <v>0</v>
      </c>
      <c r="AY49" s="846">
        <f t="shared" si="29"/>
        <v>0</v>
      </c>
      <c r="AZ49" s="854"/>
      <c r="BA49" s="856">
        <f t="shared" si="30"/>
        <v>0</v>
      </c>
      <c r="BB49" s="286"/>
      <c r="BC49" s="852">
        <f t="shared" si="31"/>
        <v>0</v>
      </c>
      <c r="BD49" s="398"/>
      <c r="BE49" s="1546">
        <f t="shared" si="34"/>
        <v>0</v>
      </c>
      <c r="BF49" s="1546">
        <f t="shared" si="34"/>
        <v>0</v>
      </c>
      <c r="BG49" s="1546">
        <f t="shared" si="34"/>
        <v>0</v>
      </c>
      <c r="BH49" s="1546">
        <f t="shared" si="34"/>
        <v>0</v>
      </c>
      <c r="BI49" s="1546">
        <f t="shared" si="34"/>
        <v>0</v>
      </c>
      <c r="BJ49" s="1546">
        <f t="shared" si="34"/>
        <v>0</v>
      </c>
      <c r="BK49" s="1546">
        <f t="shared" si="34"/>
        <v>0</v>
      </c>
      <c r="BL49" s="1546">
        <f t="shared" si="34"/>
        <v>0</v>
      </c>
      <c r="BM49" s="1546">
        <f t="shared" si="34"/>
        <v>0</v>
      </c>
      <c r="BN49" s="1546">
        <f t="shared" si="34"/>
        <v>0</v>
      </c>
      <c r="BO49" s="1546">
        <f t="shared" si="35"/>
        <v>0</v>
      </c>
      <c r="BP49" s="1546">
        <f t="shared" si="35"/>
        <v>0</v>
      </c>
      <c r="BQ49" s="1546">
        <f t="shared" si="35"/>
        <v>0</v>
      </c>
      <c r="BR49" s="1546">
        <f t="shared" si="35"/>
        <v>0</v>
      </c>
      <c r="BS49" s="1546">
        <f t="shared" si="35"/>
        <v>0</v>
      </c>
      <c r="BT49" s="1546">
        <f t="shared" si="35"/>
        <v>0</v>
      </c>
      <c r="BU49" s="1546">
        <f t="shared" si="35"/>
        <v>0</v>
      </c>
      <c r="BV49" s="1546">
        <f t="shared" si="35"/>
        <v>0</v>
      </c>
      <c r="BX49" s="1546">
        <f t="shared" si="33"/>
        <v>0</v>
      </c>
      <c r="BY49" s="1546">
        <f t="shared" si="33"/>
        <v>0</v>
      </c>
      <c r="BZ49" s="1546">
        <f t="shared" si="33"/>
        <v>0</v>
      </c>
      <c r="CA49" s="1546">
        <f t="shared" si="33"/>
        <v>0</v>
      </c>
      <c r="CB49" s="1546">
        <f t="shared" si="33"/>
        <v>0</v>
      </c>
      <c r="CC49" s="1546">
        <f t="shared" si="33"/>
        <v>0</v>
      </c>
      <c r="CD49" s="1546">
        <f t="shared" si="33"/>
        <v>0</v>
      </c>
      <c r="CE49" s="1546">
        <f t="shared" si="33"/>
        <v>0</v>
      </c>
      <c r="CF49" s="1546">
        <f t="shared" si="33"/>
        <v>0</v>
      </c>
      <c r="CG49" s="1546">
        <f t="shared" si="33"/>
        <v>0</v>
      </c>
      <c r="CH49" s="1546">
        <f t="shared" si="33"/>
        <v>0</v>
      </c>
      <c r="CI49" s="1546">
        <f t="shared" si="33"/>
        <v>0</v>
      </c>
      <c r="CJ49" s="1546">
        <f t="shared" si="33"/>
        <v>0</v>
      </c>
      <c r="CL49" s="1546">
        <f t="shared" si="36"/>
        <v>0</v>
      </c>
      <c r="CM49" s="1546">
        <f t="shared" si="36"/>
        <v>0</v>
      </c>
      <c r="CN49" s="1546">
        <f t="shared" si="36"/>
        <v>0</v>
      </c>
      <c r="CO49" s="1546">
        <f t="shared" si="36"/>
        <v>0</v>
      </c>
      <c r="CQ49" s="1546">
        <f t="shared" si="32"/>
        <v>0</v>
      </c>
      <c r="CR49" s="1546">
        <f t="shared" si="37"/>
        <v>0</v>
      </c>
      <c r="CS49" s="1546">
        <f t="shared" si="37"/>
        <v>0</v>
      </c>
      <c r="CT49" s="1546">
        <f t="shared" si="37"/>
        <v>0</v>
      </c>
      <c r="CU49" s="1546">
        <f t="shared" si="37"/>
        <v>0</v>
      </c>
      <c r="CV49" s="1546">
        <f t="shared" si="37"/>
        <v>0</v>
      </c>
      <c r="CW49" s="1546">
        <f t="shared" si="37"/>
        <v>0</v>
      </c>
      <c r="CX49" s="1546">
        <f t="shared" si="37"/>
        <v>0</v>
      </c>
      <c r="CY49" s="1546">
        <f t="shared" si="37"/>
        <v>0</v>
      </c>
      <c r="CZ49" s="1546">
        <f t="shared" si="37"/>
        <v>0</v>
      </c>
      <c r="DA49" s="1546">
        <f t="shared" si="37"/>
        <v>0</v>
      </c>
      <c r="DB49" s="1546">
        <f t="shared" si="37"/>
        <v>0</v>
      </c>
      <c r="DC49" s="1546">
        <f t="shared" si="37"/>
        <v>0</v>
      </c>
      <c r="DD49" s="1546">
        <f t="shared" si="37"/>
        <v>0</v>
      </c>
      <c r="DE49" s="1546">
        <f t="shared" si="37"/>
        <v>0</v>
      </c>
      <c r="DF49" s="1546">
        <f t="shared" si="37"/>
        <v>0</v>
      </c>
      <c r="DG49" s="1546">
        <f t="shared" si="13"/>
        <v>1</v>
      </c>
      <c r="DI49" s="1546">
        <f t="shared" si="38"/>
        <v>0</v>
      </c>
      <c r="DJ49" s="1546">
        <f t="shared" si="38"/>
        <v>0</v>
      </c>
      <c r="DK49" s="1546">
        <f t="shared" si="38"/>
        <v>0</v>
      </c>
      <c r="DL49" s="1546">
        <f t="shared" si="38"/>
        <v>0</v>
      </c>
      <c r="DM49" s="1546">
        <f t="shared" si="38"/>
        <v>0</v>
      </c>
      <c r="DN49" s="1546">
        <f t="shared" si="38"/>
        <v>0</v>
      </c>
    </row>
    <row r="50" spans="1:118" x14ac:dyDescent="0.3">
      <c r="A50" s="285">
        <v>59</v>
      </c>
      <c r="B50" s="325">
        <f t="shared" si="27"/>
        <v>0</v>
      </c>
      <c r="C50" s="682"/>
      <c r="D50" s="683"/>
      <c r="E50" s="680"/>
      <c r="F50" s="713"/>
      <c r="G50" s="91" t="str">
        <f>IF($B50=0,"",VLOOKUP($B50,'Valve Data'!$1:$1048576,MATCH(G$1,'Valve Data'!$1:$1,0),0))</f>
        <v/>
      </c>
      <c r="H50" s="21" t="str">
        <f>IF($B50=0,"",VLOOKUP($B50,'Valve Data'!$1:$1048576,MATCH(H$1,'Valve Data'!$1:$1,0),0))</f>
        <v/>
      </c>
      <c r="I50" s="21" t="str">
        <f>IF($B50=0,"",VLOOKUP($B50,'Valve Data'!$1:$1048576,MATCH(I$1,'Valve Data'!$1:$1,0),0))</f>
        <v/>
      </c>
      <c r="J50" s="328" t="str">
        <f>IF($B50=0,"",VLOOKUP($B50,'Valve Data'!$1:$1048576,MATCH(J$1,'Valve Data'!$1:$1,0),0))</f>
        <v/>
      </c>
      <c r="K50" s="21" t="str">
        <f>IF($B50=0,"",VLOOKUP($B50,'Valve Data'!$1:$1048576,MATCH(K$1,'Valve Data'!$1:$1,0),0))</f>
        <v/>
      </c>
      <c r="L50" s="21" t="str">
        <f>IF($B50=0,"",VLOOKUP($B50,'Valve Data'!$1:$1048576,MATCH(L$1,'Valve Data'!$1:$1,0),0))</f>
        <v/>
      </c>
      <c r="M50" s="21" t="str">
        <f>IF($B50=0,"",VLOOKUP($B50,'Valve Data'!$1:$1048576,MATCH(M$1,'Valve Data'!$1:$1,0),0))</f>
        <v/>
      </c>
      <c r="N50" s="21" t="str">
        <f>IF($B50=0,"",VLOOKUP($B50,'Valve Data'!$1:$1048576,MATCH(N$1,'Valve Data'!$1:$1,0),0))</f>
        <v/>
      </c>
      <c r="O50" s="21" t="str">
        <f>IF($B50=0,"",VLOOKUP($B50,'Valve Data'!$1:$1048576,MATCH(O$1,'Valve Data'!$1:$1,0),0))</f>
        <v/>
      </c>
      <c r="P50" s="21" t="str">
        <f>IF($B50=0,"",VLOOKUP($B50,'Valve Data'!$1:$1048576,MATCH(P$1,'Valve Data'!$1:$1,0),0))</f>
        <v/>
      </c>
      <c r="Q50" s="21" t="str">
        <f>IF($B50=0,"",VLOOKUP($B50,'Valve Data'!$1:$1048576,MATCH(Q$1,'Valve Data'!$1:$1,0),0))</f>
        <v/>
      </c>
      <c r="R50" s="21" t="str">
        <f>IF($B50=0,"",VLOOKUP($B50,'Valve Data'!$1:$1048576,MATCH(R$1,'Valve Data'!$1:$1,0),0))</f>
        <v/>
      </c>
      <c r="S50" s="21" t="str">
        <f>IF($B50=0,"",VLOOKUP($B50,'Valve Data'!$1:$1048576,MATCH(S$1,'Valve Data'!$1:$1,0),0))</f>
        <v/>
      </c>
      <c r="T50" s="331" t="str">
        <f>IF($B50=0,"",VLOOKUP($B50,'Valve Data'!$1:$1048576,MATCH(T$1,'Valve Data'!$1:$1,0),0))</f>
        <v/>
      </c>
      <c r="U50" s="91" t="str">
        <f>IF($B50=0,"",VLOOKUP($B50,'Valve Data'!$1:$1048576,MATCH(U$1,'Valve Data'!$1:$1,0),0))</f>
        <v/>
      </c>
      <c r="V50" s="21" t="str">
        <f>IF($B50=0,"",VLOOKUP($B50,'Valve Data'!$1:$1048576,MATCH(V$1,'Valve Data'!$1:$1,0),0))</f>
        <v/>
      </c>
      <c r="W50" s="21" t="str">
        <f>IF($B50=0,"",VLOOKUP($B50,'Valve Data'!$1:$1048576,MATCH(W$1,'Valve Data'!$1:$1,0),0))</f>
        <v/>
      </c>
      <c r="X50" s="331" t="str">
        <f>IF($B50=0,"",VLOOKUP($B50,'Valve Data'!$1:$1048576,MATCH(X$1,'Valve Data'!$1:$1,0),0))</f>
        <v/>
      </c>
      <c r="Y50" s="865"/>
      <c r="Z50" s="683"/>
      <c r="AA50" s="680"/>
      <c r="AB50" s="680"/>
      <c r="AC50" s="680"/>
      <c r="AD50" s="680"/>
      <c r="AE50" s="868"/>
      <c r="AF50" s="866"/>
      <c r="AG50" s="680"/>
      <c r="AH50" s="680"/>
      <c r="AI50" s="680"/>
      <c r="AJ50" s="680"/>
      <c r="AK50" s="680"/>
      <c r="AL50" s="680"/>
      <c r="AM50" s="680"/>
      <c r="AN50" s="680"/>
      <c r="AO50" s="680"/>
      <c r="AP50" s="684"/>
      <c r="AQ50" s="684"/>
      <c r="AR50" s="684"/>
      <c r="AS50" s="684"/>
      <c r="AT50" s="684"/>
      <c r="AU50" s="684"/>
      <c r="AV50" s="271">
        <f t="shared" si="28"/>
        <v>0</v>
      </c>
      <c r="AW50" s="680"/>
      <c r="AX50" s="845">
        <f>IF(F50="Ball_valve",IFERROR(VLOOKUP(E50&amp;"."&amp;D50,'Ball Valves Chart'!$1:$1048576,MATCH(G50,'Ball Valves Chart'!$3:$3,0),0),0),0)+IF(F50="DBB",IFERROR(VLOOKUP(E50&amp;"."&amp;D50,'Ball Valves Chart'!$1:$1048576,MATCH(G50,'Ball Valves Chart'!$3:$3,0),0)*2,0),0)+IFERROR(VLOOKUP(D50&amp;"."&amp;F50,'Manual Valves Chart'!$1:$1048576,MATCH('Valve List'!G61,'Manual Valves Chart'!$1:$1,0),0),0)</f>
        <v>0</v>
      </c>
      <c r="AY50" s="846">
        <f t="shared" si="29"/>
        <v>0</v>
      </c>
      <c r="AZ50" s="854"/>
      <c r="BA50" s="856">
        <f t="shared" si="30"/>
        <v>0</v>
      </c>
      <c r="BB50" s="286"/>
      <c r="BC50" s="852">
        <f t="shared" si="31"/>
        <v>0</v>
      </c>
      <c r="BD50" s="398"/>
      <c r="BE50" s="1546">
        <f t="shared" si="34"/>
        <v>0</v>
      </c>
      <c r="BF50" s="1546">
        <f t="shared" si="34"/>
        <v>0</v>
      </c>
      <c r="BG50" s="1546">
        <f t="shared" si="34"/>
        <v>0</v>
      </c>
      <c r="BH50" s="1546">
        <f t="shared" si="34"/>
        <v>0</v>
      </c>
      <c r="BI50" s="1546">
        <f t="shared" si="34"/>
        <v>0</v>
      </c>
      <c r="BJ50" s="1546">
        <f t="shared" si="34"/>
        <v>0</v>
      </c>
      <c r="BK50" s="1546">
        <f t="shared" si="34"/>
        <v>0</v>
      </c>
      <c r="BL50" s="1546">
        <f t="shared" si="34"/>
        <v>0</v>
      </c>
      <c r="BM50" s="1546">
        <f t="shared" si="34"/>
        <v>0</v>
      </c>
      <c r="BN50" s="1546">
        <f t="shared" si="34"/>
        <v>0</v>
      </c>
      <c r="BO50" s="1546">
        <f t="shared" si="35"/>
        <v>0</v>
      </c>
      <c r="BP50" s="1546">
        <f t="shared" si="35"/>
        <v>0</v>
      </c>
      <c r="BQ50" s="1546">
        <f t="shared" si="35"/>
        <v>0</v>
      </c>
      <c r="BR50" s="1546">
        <f t="shared" si="35"/>
        <v>0</v>
      </c>
      <c r="BS50" s="1546">
        <f t="shared" si="35"/>
        <v>0</v>
      </c>
      <c r="BT50" s="1546">
        <f t="shared" si="35"/>
        <v>0</v>
      </c>
      <c r="BU50" s="1546">
        <f t="shared" si="35"/>
        <v>0</v>
      </c>
      <c r="BV50" s="1546">
        <f t="shared" si="35"/>
        <v>0</v>
      </c>
      <c r="BX50" s="1546">
        <f t="shared" si="33"/>
        <v>0</v>
      </c>
      <c r="BY50" s="1546">
        <f t="shared" si="33"/>
        <v>0</v>
      </c>
      <c r="BZ50" s="1546">
        <f t="shared" si="33"/>
        <v>0</v>
      </c>
      <c r="CA50" s="1546">
        <f t="shared" si="33"/>
        <v>0</v>
      </c>
      <c r="CB50" s="1546">
        <f t="shared" si="33"/>
        <v>0</v>
      </c>
      <c r="CC50" s="1546">
        <f t="shared" si="33"/>
        <v>0</v>
      </c>
      <c r="CD50" s="1546">
        <f t="shared" si="33"/>
        <v>0</v>
      </c>
      <c r="CE50" s="1546">
        <f t="shared" si="33"/>
        <v>0</v>
      </c>
      <c r="CF50" s="1546">
        <f t="shared" si="33"/>
        <v>0</v>
      </c>
      <c r="CG50" s="1546">
        <f t="shared" si="33"/>
        <v>0</v>
      </c>
      <c r="CH50" s="1546">
        <f t="shared" si="33"/>
        <v>0</v>
      </c>
      <c r="CI50" s="1546">
        <f t="shared" si="33"/>
        <v>0</v>
      </c>
      <c r="CJ50" s="1546">
        <f t="shared" si="33"/>
        <v>0</v>
      </c>
      <c r="CL50" s="1546">
        <f t="shared" si="36"/>
        <v>0</v>
      </c>
      <c r="CM50" s="1546">
        <f t="shared" si="36"/>
        <v>0</v>
      </c>
      <c r="CN50" s="1546">
        <f t="shared" si="36"/>
        <v>0</v>
      </c>
      <c r="CO50" s="1546">
        <f t="shared" si="36"/>
        <v>0</v>
      </c>
      <c r="CQ50" s="1546">
        <f t="shared" si="32"/>
        <v>0</v>
      </c>
      <c r="CR50" s="1546">
        <f t="shared" si="37"/>
        <v>0</v>
      </c>
      <c r="CS50" s="1546">
        <f t="shared" si="37"/>
        <v>0</v>
      </c>
      <c r="CT50" s="1546">
        <f t="shared" si="37"/>
        <v>0</v>
      </c>
      <c r="CU50" s="1546">
        <f t="shared" si="37"/>
        <v>0</v>
      </c>
      <c r="CV50" s="1546">
        <f t="shared" si="37"/>
        <v>0</v>
      </c>
      <c r="CW50" s="1546">
        <f t="shared" si="37"/>
        <v>0</v>
      </c>
      <c r="CX50" s="1546">
        <f t="shared" si="37"/>
        <v>0</v>
      </c>
      <c r="CY50" s="1546">
        <f t="shared" si="37"/>
        <v>0</v>
      </c>
      <c r="CZ50" s="1546">
        <f t="shared" si="37"/>
        <v>0</v>
      </c>
      <c r="DA50" s="1546">
        <f t="shared" si="37"/>
        <v>0</v>
      </c>
      <c r="DB50" s="1546">
        <f t="shared" si="37"/>
        <v>0</v>
      </c>
      <c r="DC50" s="1546">
        <f t="shared" si="37"/>
        <v>0</v>
      </c>
      <c r="DD50" s="1546">
        <f t="shared" si="37"/>
        <v>0</v>
      </c>
      <c r="DE50" s="1546">
        <f t="shared" si="37"/>
        <v>0</v>
      </c>
      <c r="DF50" s="1546">
        <f t="shared" si="37"/>
        <v>0</v>
      </c>
      <c r="DG50" s="1546">
        <f t="shared" si="13"/>
        <v>1</v>
      </c>
      <c r="DI50" s="1546">
        <f t="shared" si="38"/>
        <v>0</v>
      </c>
      <c r="DJ50" s="1546">
        <f t="shared" si="38"/>
        <v>0</v>
      </c>
      <c r="DK50" s="1546">
        <f t="shared" si="38"/>
        <v>0</v>
      </c>
      <c r="DL50" s="1546">
        <f t="shared" si="38"/>
        <v>0</v>
      </c>
      <c r="DM50" s="1546">
        <f t="shared" si="38"/>
        <v>0</v>
      </c>
      <c r="DN50" s="1546">
        <f t="shared" si="38"/>
        <v>0</v>
      </c>
    </row>
    <row r="51" spans="1:118" x14ac:dyDescent="0.3">
      <c r="A51" s="285">
        <v>61</v>
      </c>
      <c r="B51" s="325">
        <f t="shared" si="27"/>
        <v>0</v>
      </c>
      <c r="C51" s="682"/>
      <c r="D51" s="683"/>
      <c r="E51" s="680"/>
      <c r="F51" s="713"/>
      <c r="G51" s="91" t="str">
        <f>IF($B51=0,"",VLOOKUP($B51,'Valve Data'!$1:$1048576,MATCH(G$1,'Valve Data'!$1:$1,0),0))</f>
        <v/>
      </c>
      <c r="H51" s="21" t="str">
        <f>IF($B51=0,"",VLOOKUP($B51,'Valve Data'!$1:$1048576,MATCH(H$1,'Valve Data'!$1:$1,0),0))</f>
        <v/>
      </c>
      <c r="I51" s="21" t="str">
        <f>IF($B51=0,"",VLOOKUP($B51,'Valve Data'!$1:$1048576,MATCH(I$1,'Valve Data'!$1:$1,0),0))</f>
        <v/>
      </c>
      <c r="J51" s="328" t="str">
        <f>IF($B51=0,"",VLOOKUP($B51,'Valve Data'!$1:$1048576,MATCH(J$1,'Valve Data'!$1:$1,0),0))</f>
        <v/>
      </c>
      <c r="K51" s="21" t="str">
        <f>IF($B51=0,"",VLOOKUP($B51,'Valve Data'!$1:$1048576,MATCH(K$1,'Valve Data'!$1:$1,0),0))</f>
        <v/>
      </c>
      <c r="L51" s="21" t="str">
        <f>IF($B51=0,"",VLOOKUP($B51,'Valve Data'!$1:$1048576,MATCH(L$1,'Valve Data'!$1:$1,0),0))</f>
        <v/>
      </c>
      <c r="M51" s="21" t="str">
        <f>IF($B51=0,"",VLOOKUP($B51,'Valve Data'!$1:$1048576,MATCH(M$1,'Valve Data'!$1:$1,0),0))</f>
        <v/>
      </c>
      <c r="N51" s="21" t="str">
        <f>IF($B51=0,"",VLOOKUP($B51,'Valve Data'!$1:$1048576,MATCH(N$1,'Valve Data'!$1:$1,0),0))</f>
        <v/>
      </c>
      <c r="O51" s="21" t="str">
        <f>IF($B51=0,"",VLOOKUP($B51,'Valve Data'!$1:$1048576,MATCH(O$1,'Valve Data'!$1:$1,0),0))</f>
        <v/>
      </c>
      <c r="P51" s="21" t="str">
        <f>IF($B51=0,"",VLOOKUP($B51,'Valve Data'!$1:$1048576,MATCH(P$1,'Valve Data'!$1:$1,0),0))</f>
        <v/>
      </c>
      <c r="Q51" s="21" t="str">
        <f>IF($B51=0,"",VLOOKUP($B51,'Valve Data'!$1:$1048576,MATCH(Q$1,'Valve Data'!$1:$1,0),0))</f>
        <v/>
      </c>
      <c r="R51" s="21" t="str">
        <f>IF($B51=0,"",VLOOKUP($B51,'Valve Data'!$1:$1048576,MATCH(R$1,'Valve Data'!$1:$1,0),0))</f>
        <v/>
      </c>
      <c r="S51" s="21" t="str">
        <f>IF($B51=0,"",VLOOKUP($B51,'Valve Data'!$1:$1048576,MATCH(S$1,'Valve Data'!$1:$1,0),0))</f>
        <v/>
      </c>
      <c r="T51" s="331" t="str">
        <f>IF($B51=0,"",VLOOKUP($B51,'Valve Data'!$1:$1048576,MATCH(T$1,'Valve Data'!$1:$1,0),0))</f>
        <v/>
      </c>
      <c r="U51" s="91" t="str">
        <f>IF($B51=0,"",VLOOKUP($B51,'Valve Data'!$1:$1048576,MATCH(U$1,'Valve Data'!$1:$1,0),0))</f>
        <v/>
      </c>
      <c r="V51" s="21" t="str">
        <f>IF($B51=0,"",VLOOKUP($B51,'Valve Data'!$1:$1048576,MATCH(V$1,'Valve Data'!$1:$1,0),0))</f>
        <v/>
      </c>
      <c r="W51" s="21" t="str">
        <f>IF($B51=0,"",VLOOKUP($B51,'Valve Data'!$1:$1048576,MATCH(W$1,'Valve Data'!$1:$1,0),0))</f>
        <v/>
      </c>
      <c r="X51" s="331" t="str">
        <f>IF($B51=0,"",VLOOKUP($B51,'Valve Data'!$1:$1048576,MATCH(X$1,'Valve Data'!$1:$1,0),0))</f>
        <v/>
      </c>
      <c r="Y51" s="865"/>
      <c r="Z51" s="683"/>
      <c r="AA51" s="680"/>
      <c r="AB51" s="680"/>
      <c r="AC51" s="680"/>
      <c r="AD51" s="680"/>
      <c r="AE51" s="868"/>
      <c r="AF51" s="866"/>
      <c r="AG51" s="680"/>
      <c r="AH51" s="680"/>
      <c r="AI51" s="680"/>
      <c r="AJ51" s="680"/>
      <c r="AK51" s="680"/>
      <c r="AL51" s="680"/>
      <c r="AM51" s="680"/>
      <c r="AN51" s="680"/>
      <c r="AO51" s="680"/>
      <c r="AP51" s="684"/>
      <c r="AQ51" s="684"/>
      <c r="AR51" s="684"/>
      <c r="AS51" s="684"/>
      <c r="AT51" s="684"/>
      <c r="AU51" s="684"/>
      <c r="AV51" s="271">
        <f t="shared" si="28"/>
        <v>0</v>
      </c>
      <c r="AW51" s="680"/>
      <c r="AX51" s="845">
        <f>IF(F51="Ball_valve",IFERROR(VLOOKUP(E51&amp;"."&amp;D51,'Ball Valves Chart'!$1:$1048576,MATCH(G51,'Ball Valves Chart'!$3:$3,0),0),0),0)+IF(F51="DBB",IFERROR(VLOOKUP(E51&amp;"."&amp;D51,'Ball Valves Chart'!$1:$1048576,MATCH(G51,'Ball Valves Chart'!$3:$3,0),0)*2,0),0)+IFERROR(VLOOKUP(D51&amp;"."&amp;F51,'Manual Valves Chart'!$1:$1048576,MATCH('Valve List'!G63,'Manual Valves Chart'!$1:$1,0),0),0)</f>
        <v>0</v>
      </c>
      <c r="AY51" s="846">
        <f t="shared" si="29"/>
        <v>0</v>
      </c>
      <c r="AZ51" s="854"/>
      <c r="BA51" s="856">
        <f t="shared" si="30"/>
        <v>0</v>
      </c>
      <c r="BB51" s="286"/>
      <c r="BC51" s="852">
        <f t="shared" si="31"/>
        <v>0</v>
      </c>
      <c r="BD51" s="398"/>
      <c r="BE51" s="1546">
        <f t="shared" si="34"/>
        <v>0</v>
      </c>
      <c r="BF51" s="1546">
        <f t="shared" si="34"/>
        <v>0</v>
      </c>
      <c r="BG51" s="1546">
        <f t="shared" si="34"/>
        <v>0</v>
      </c>
      <c r="BH51" s="1546">
        <f t="shared" si="34"/>
        <v>0</v>
      </c>
      <c r="BI51" s="1546">
        <f t="shared" si="34"/>
        <v>0</v>
      </c>
      <c r="BJ51" s="1546">
        <f t="shared" si="34"/>
        <v>0</v>
      </c>
      <c r="BK51" s="1546">
        <f t="shared" si="34"/>
        <v>0</v>
      </c>
      <c r="BL51" s="1546">
        <f t="shared" si="34"/>
        <v>0</v>
      </c>
      <c r="BM51" s="1546">
        <f t="shared" si="34"/>
        <v>0</v>
      </c>
      <c r="BN51" s="1546">
        <f t="shared" si="34"/>
        <v>0</v>
      </c>
      <c r="BO51" s="1546">
        <f t="shared" si="35"/>
        <v>0</v>
      </c>
      <c r="BP51" s="1546">
        <f t="shared" si="35"/>
        <v>0</v>
      </c>
      <c r="BQ51" s="1546">
        <f t="shared" si="35"/>
        <v>0</v>
      </c>
      <c r="BR51" s="1546">
        <f t="shared" si="35"/>
        <v>0</v>
      </c>
      <c r="BS51" s="1546">
        <f t="shared" si="35"/>
        <v>0</v>
      </c>
      <c r="BT51" s="1546">
        <f t="shared" si="35"/>
        <v>0</v>
      </c>
      <c r="BU51" s="1546">
        <f t="shared" si="35"/>
        <v>0</v>
      </c>
      <c r="BV51" s="1546">
        <f t="shared" si="35"/>
        <v>0</v>
      </c>
      <c r="BX51" s="1546">
        <f t="shared" si="33"/>
        <v>0</v>
      </c>
      <c r="BY51" s="1546">
        <f t="shared" si="33"/>
        <v>0</v>
      </c>
      <c r="BZ51" s="1546">
        <f t="shared" si="33"/>
        <v>0</v>
      </c>
      <c r="CA51" s="1546">
        <f t="shared" si="33"/>
        <v>0</v>
      </c>
      <c r="CB51" s="1546">
        <f t="shared" si="33"/>
        <v>0</v>
      </c>
      <c r="CC51" s="1546">
        <f t="shared" si="33"/>
        <v>0</v>
      </c>
      <c r="CD51" s="1546">
        <f t="shared" si="33"/>
        <v>0</v>
      </c>
      <c r="CE51" s="1546">
        <f t="shared" si="33"/>
        <v>0</v>
      </c>
      <c r="CF51" s="1546">
        <f t="shared" si="33"/>
        <v>0</v>
      </c>
      <c r="CG51" s="1546">
        <f t="shared" si="33"/>
        <v>0</v>
      </c>
      <c r="CH51" s="1546">
        <f t="shared" si="33"/>
        <v>0</v>
      </c>
      <c r="CI51" s="1546">
        <f t="shared" si="33"/>
        <v>0</v>
      </c>
      <c r="CJ51" s="1546">
        <f t="shared" si="33"/>
        <v>0</v>
      </c>
      <c r="CL51" s="1546">
        <f t="shared" si="36"/>
        <v>0</v>
      </c>
      <c r="CM51" s="1546">
        <f t="shared" si="36"/>
        <v>0</v>
      </c>
      <c r="CN51" s="1546">
        <f t="shared" si="36"/>
        <v>0</v>
      </c>
      <c r="CO51" s="1546">
        <f t="shared" si="36"/>
        <v>0</v>
      </c>
      <c r="CQ51" s="1546">
        <f t="shared" si="32"/>
        <v>0</v>
      </c>
      <c r="CR51" s="1546">
        <f t="shared" si="37"/>
        <v>0</v>
      </c>
      <c r="CS51" s="1546">
        <f t="shared" si="37"/>
        <v>0</v>
      </c>
      <c r="CT51" s="1546">
        <f t="shared" si="37"/>
        <v>0</v>
      </c>
      <c r="CU51" s="1546">
        <f t="shared" si="37"/>
        <v>0</v>
      </c>
      <c r="CV51" s="1546">
        <f t="shared" si="37"/>
        <v>0</v>
      </c>
      <c r="CW51" s="1546">
        <f t="shared" si="37"/>
        <v>0</v>
      </c>
      <c r="CX51" s="1546">
        <f t="shared" si="37"/>
        <v>0</v>
      </c>
      <c r="CY51" s="1546">
        <f t="shared" si="37"/>
        <v>0</v>
      </c>
      <c r="CZ51" s="1546">
        <f t="shared" si="37"/>
        <v>0</v>
      </c>
      <c r="DA51" s="1546">
        <f t="shared" si="37"/>
        <v>0</v>
      </c>
      <c r="DB51" s="1546">
        <f t="shared" si="37"/>
        <v>0</v>
      </c>
      <c r="DC51" s="1546">
        <f t="shared" si="37"/>
        <v>0</v>
      </c>
      <c r="DD51" s="1546">
        <f t="shared" si="37"/>
        <v>0</v>
      </c>
      <c r="DE51" s="1546">
        <f t="shared" si="37"/>
        <v>0</v>
      </c>
      <c r="DF51" s="1546">
        <f t="shared" si="37"/>
        <v>0</v>
      </c>
      <c r="DG51" s="1546">
        <f t="shared" si="13"/>
        <v>1</v>
      </c>
      <c r="DI51" s="1546">
        <f t="shared" si="38"/>
        <v>0</v>
      </c>
      <c r="DJ51" s="1546">
        <f t="shared" si="38"/>
        <v>0</v>
      </c>
      <c r="DK51" s="1546">
        <f t="shared" si="38"/>
        <v>0</v>
      </c>
      <c r="DL51" s="1546">
        <f t="shared" si="38"/>
        <v>0</v>
      </c>
      <c r="DM51" s="1546">
        <f t="shared" si="38"/>
        <v>0</v>
      </c>
      <c r="DN51" s="1546">
        <f t="shared" si="38"/>
        <v>0</v>
      </c>
    </row>
    <row r="52" spans="1:118" x14ac:dyDescent="0.3">
      <c r="A52" s="285">
        <v>63</v>
      </c>
      <c r="B52" s="325">
        <f t="shared" si="27"/>
        <v>0</v>
      </c>
      <c r="C52" s="682"/>
      <c r="D52" s="683"/>
      <c r="E52" s="680"/>
      <c r="F52" s="713"/>
      <c r="G52" s="91" t="str">
        <f>IF($B52=0,"",VLOOKUP($B52,'Valve Data'!$1:$1048576,MATCH(G$1,'Valve Data'!$1:$1,0),0))</f>
        <v/>
      </c>
      <c r="H52" s="21" t="str">
        <f>IF($B52=0,"",VLOOKUP($B52,'Valve Data'!$1:$1048576,MATCH(H$1,'Valve Data'!$1:$1,0),0))</f>
        <v/>
      </c>
      <c r="I52" s="21" t="str">
        <f>IF($B52=0,"",VLOOKUP($B52,'Valve Data'!$1:$1048576,MATCH(I$1,'Valve Data'!$1:$1,0),0))</f>
        <v/>
      </c>
      <c r="J52" s="328" t="str">
        <f>IF($B52=0,"",VLOOKUP($B52,'Valve Data'!$1:$1048576,MATCH(J$1,'Valve Data'!$1:$1,0),0))</f>
        <v/>
      </c>
      <c r="K52" s="21" t="str">
        <f>IF($B52=0,"",VLOOKUP($B52,'Valve Data'!$1:$1048576,MATCH(K$1,'Valve Data'!$1:$1,0),0))</f>
        <v/>
      </c>
      <c r="L52" s="21" t="str">
        <f>IF($B52=0,"",VLOOKUP($B52,'Valve Data'!$1:$1048576,MATCH(L$1,'Valve Data'!$1:$1,0),0))</f>
        <v/>
      </c>
      <c r="M52" s="21" t="str">
        <f>IF($B52=0,"",VLOOKUP($B52,'Valve Data'!$1:$1048576,MATCH(M$1,'Valve Data'!$1:$1,0),0))</f>
        <v/>
      </c>
      <c r="N52" s="21" t="str">
        <f>IF($B52=0,"",VLOOKUP($B52,'Valve Data'!$1:$1048576,MATCH(N$1,'Valve Data'!$1:$1,0),0))</f>
        <v/>
      </c>
      <c r="O52" s="21" t="str">
        <f>IF($B52=0,"",VLOOKUP($B52,'Valve Data'!$1:$1048576,MATCH(O$1,'Valve Data'!$1:$1,0),0))</f>
        <v/>
      </c>
      <c r="P52" s="21" t="str">
        <f>IF($B52=0,"",VLOOKUP($B52,'Valve Data'!$1:$1048576,MATCH(P$1,'Valve Data'!$1:$1,0),0))</f>
        <v/>
      </c>
      <c r="Q52" s="21" t="str">
        <f>IF($B52=0,"",VLOOKUP($B52,'Valve Data'!$1:$1048576,MATCH(Q$1,'Valve Data'!$1:$1,0),0))</f>
        <v/>
      </c>
      <c r="R52" s="21" t="str">
        <f>IF($B52=0,"",VLOOKUP($B52,'Valve Data'!$1:$1048576,MATCH(R$1,'Valve Data'!$1:$1,0),0))</f>
        <v/>
      </c>
      <c r="S52" s="21" t="str">
        <f>IF($B52=0,"",VLOOKUP($B52,'Valve Data'!$1:$1048576,MATCH(S$1,'Valve Data'!$1:$1,0),0))</f>
        <v/>
      </c>
      <c r="T52" s="331" t="str">
        <f>IF($B52=0,"",VLOOKUP($B52,'Valve Data'!$1:$1048576,MATCH(T$1,'Valve Data'!$1:$1,0),0))</f>
        <v/>
      </c>
      <c r="U52" s="91" t="str">
        <f>IF($B52=0,"",VLOOKUP($B52,'Valve Data'!$1:$1048576,MATCH(U$1,'Valve Data'!$1:$1,0),0))</f>
        <v/>
      </c>
      <c r="V52" s="21" t="str">
        <f>IF($B52=0,"",VLOOKUP($B52,'Valve Data'!$1:$1048576,MATCH(V$1,'Valve Data'!$1:$1,0),0))</f>
        <v/>
      </c>
      <c r="W52" s="21" t="str">
        <f>IF($B52=0,"",VLOOKUP($B52,'Valve Data'!$1:$1048576,MATCH(W$1,'Valve Data'!$1:$1,0),0))</f>
        <v/>
      </c>
      <c r="X52" s="331" t="str">
        <f>IF($B52=0,"",VLOOKUP($B52,'Valve Data'!$1:$1048576,MATCH(X$1,'Valve Data'!$1:$1,0),0))</f>
        <v/>
      </c>
      <c r="Y52" s="865"/>
      <c r="Z52" s="683"/>
      <c r="AA52" s="680"/>
      <c r="AB52" s="680"/>
      <c r="AC52" s="680"/>
      <c r="AD52" s="680"/>
      <c r="AE52" s="868"/>
      <c r="AF52" s="866"/>
      <c r="AG52" s="680"/>
      <c r="AH52" s="680"/>
      <c r="AI52" s="680"/>
      <c r="AJ52" s="680"/>
      <c r="AK52" s="680"/>
      <c r="AL52" s="680"/>
      <c r="AM52" s="680"/>
      <c r="AN52" s="680"/>
      <c r="AO52" s="680"/>
      <c r="AP52" s="684"/>
      <c r="AQ52" s="684"/>
      <c r="AR52" s="684"/>
      <c r="AS52" s="684"/>
      <c r="AT52" s="684"/>
      <c r="AU52" s="684"/>
      <c r="AV52" s="271">
        <f t="shared" si="28"/>
        <v>0</v>
      </c>
      <c r="AW52" s="680"/>
      <c r="AX52" s="845">
        <f>IF(F52="Ball_valve",IFERROR(VLOOKUP(E52&amp;"."&amp;D52,'Ball Valves Chart'!$1:$1048576,MATCH(G52,'Ball Valves Chart'!$3:$3,0),0),0),0)+IF(F52="DBB",IFERROR(VLOOKUP(E52&amp;"."&amp;D52,'Ball Valves Chart'!$1:$1048576,MATCH(G52,'Ball Valves Chart'!$3:$3,0),0)*2,0),0)+IFERROR(VLOOKUP(D52&amp;"."&amp;F52,'Manual Valves Chart'!$1:$1048576,MATCH('Valve List'!G65,'Manual Valves Chart'!$1:$1,0),0),0)</f>
        <v>0</v>
      </c>
      <c r="AY52" s="846">
        <f t="shared" si="29"/>
        <v>0</v>
      </c>
      <c r="AZ52" s="854"/>
      <c r="BA52" s="856">
        <f t="shared" si="30"/>
        <v>0</v>
      </c>
      <c r="BB52" s="286"/>
      <c r="BC52" s="852">
        <f t="shared" si="31"/>
        <v>0</v>
      </c>
      <c r="BD52" s="398"/>
      <c r="BE52" s="1546">
        <f t="shared" si="34"/>
        <v>0</v>
      </c>
      <c r="BF52" s="1546">
        <f t="shared" si="34"/>
        <v>0</v>
      </c>
      <c r="BG52" s="1546">
        <f t="shared" si="34"/>
        <v>0</v>
      </c>
      <c r="BH52" s="1546">
        <f t="shared" si="34"/>
        <v>0</v>
      </c>
      <c r="BI52" s="1546">
        <f t="shared" si="34"/>
        <v>0</v>
      </c>
      <c r="BJ52" s="1546">
        <f t="shared" si="34"/>
        <v>0</v>
      </c>
      <c r="BK52" s="1546">
        <f t="shared" si="34"/>
        <v>0</v>
      </c>
      <c r="BL52" s="1546">
        <f t="shared" si="34"/>
        <v>0</v>
      </c>
      <c r="BM52" s="1546">
        <f t="shared" si="34"/>
        <v>0</v>
      </c>
      <c r="BN52" s="1546">
        <f t="shared" si="34"/>
        <v>0</v>
      </c>
      <c r="BO52" s="1546">
        <f t="shared" si="35"/>
        <v>0</v>
      </c>
      <c r="BP52" s="1546">
        <f t="shared" si="35"/>
        <v>0</v>
      </c>
      <c r="BQ52" s="1546">
        <f t="shared" si="35"/>
        <v>0</v>
      </c>
      <c r="BR52" s="1546">
        <f t="shared" si="35"/>
        <v>0</v>
      </c>
      <c r="BS52" s="1546">
        <f t="shared" si="35"/>
        <v>0</v>
      </c>
      <c r="BT52" s="1546">
        <f t="shared" si="35"/>
        <v>0</v>
      </c>
      <c r="BU52" s="1546">
        <f t="shared" si="35"/>
        <v>0</v>
      </c>
      <c r="BV52" s="1546">
        <f t="shared" si="35"/>
        <v>0</v>
      </c>
      <c r="BX52" s="1546">
        <f t="shared" si="33"/>
        <v>0</v>
      </c>
      <c r="BY52" s="1546">
        <f t="shared" si="33"/>
        <v>0</v>
      </c>
      <c r="BZ52" s="1546">
        <f t="shared" si="33"/>
        <v>0</v>
      </c>
      <c r="CA52" s="1546">
        <f t="shared" si="33"/>
        <v>0</v>
      </c>
      <c r="CB52" s="1546">
        <f t="shared" si="33"/>
        <v>0</v>
      </c>
      <c r="CC52" s="1546">
        <f t="shared" si="33"/>
        <v>0</v>
      </c>
      <c r="CD52" s="1546">
        <f t="shared" si="33"/>
        <v>0</v>
      </c>
      <c r="CE52" s="1546">
        <f t="shared" si="33"/>
        <v>0</v>
      </c>
      <c r="CF52" s="1546">
        <f t="shared" si="33"/>
        <v>0</v>
      </c>
      <c r="CG52" s="1546">
        <f t="shared" si="33"/>
        <v>0</v>
      </c>
      <c r="CH52" s="1546">
        <f t="shared" si="33"/>
        <v>0</v>
      </c>
      <c r="CI52" s="1546">
        <f t="shared" si="33"/>
        <v>0</v>
      </c>
      <c r="CJ52" s="1546">
        <f t="shared" si="33"/>
        <v>0</v>
      </c>
      <c r="CL52" s="1546">
        <f t="shared" si="36"/>
        <v>0</v>
      </c>
      <c r="CM52" s="1546">
        <f t="shared" si="36"/>
        <v>0</v>
      </c>
      <c r="CN52" s="1546">
        <f t="shared" si="36"/>
        <v>0</v>
      </c>
      <c r="CO52" s="1546">
        <f t="shared" si="36"/>
        <v>0</v>
      </c>
      <c r="CQ52" s="1546">
        <f t="shared" si="32"/>
        <v>0</v>
      </c>
      <c r="CR52" s="1546">
        <f t="shared" si="37"/>
        <v>0</v>
      </c>
      <c r="CS52" s="1546">
        <f t="shared" si="37"/>
        <v>0</v>
      </c>
      <c r="CT52" s="1546">
        <f t="shared" si="37"/>
        <v>0</v>
      </c>
      <c r="CU52" s="1546">
        <f t="shared" si="37"/>
        <v>0</v>
      </c>
      <c r="CV52" s="1546">
        <f t="shared" si="37"/>
        <v>0</v>
      </c>
      <c r="CW52" s="1546">
        <f t="shared" si="37"/>
        <v>0</v>
      </c>
      <c r="CX52" s="1546">
        <f t="shared" si="37"/>
        <v>0</v>
      </c>
      <c r="CY52" s="1546">
        <f t="shared" si="37"/>
        <v>0</v>
      </c>
      <c r="CZ52" s="1546">
        <f t="shared" si="37"/>
        <v>0</v>
      </c>
      <c r="DA52" s="1546">
        <f t="shared" si="37"/>
        <v>0</v>
      </c>
      <c r="DB52" s="1546">
        <f t="shared" si="37"/>
        <v>0</v>
      </c>
      <c r="DC52" s="1546">
        <f t="shared" si="37"/>
        <v>0</v>
      </c>
      <c r="DD52" s="1546">
        <f t="shared" si="37"/>
        <v>0</v>
      </c>
      <c r="DE52" s="1546">
        <f t="shared" si="37"/>
        <v>0</v>
      </c>
      <c r="DF52" s="1546">
        <f t="shared" si="37"/>
        <v>0</v>
      </c>
      <c r="DG52" s="1546">
        <f t="shared" si="13"/>
        <v>1</v>
      </c>
      <c r="DI52" s="1546">
        <f t="shared" si="38"/>
        <v>0</v>
      </c>
      <c r="DJ52" s="1546">
        <f t="shared" si="38"/>
        <v>0</v>
      </c>
      <c r="DK52" s="1546">
        <f t="shared" si="38"/>
        <v>0</v>
      </c>
      <c r="DL52" s="1546">
        <f t="shared" si="38"/>
        <v>0</v>
      </c>
      <c r="DM52" s="1546">
        <f t="shared" si="38"/>
        <v>0</v>
      </c>
      <c r="DN52" s="1546">
        <f t="shared" si="38"/>
        <v>0</v>
      </c>
    </row>
    <row r="53" spans="1:118" x14ac:dyDescent="0.3">
      <c r="A53" s="285">
        <v>51</v>
      </c>
      <c r="B53" s="325">
        <f t="shared" si="27"/>
        <v>0</v>
      </c>
      <c r="C53" s="682"/>
      <c r="D53" s="683"/>
      <c r="E53" s="680"/>
      <c r="F53" s="713"/>
      <c r="G53" s="91" t="str">
        <f>IF($B53=0,"",VLOOKUP($B53,'Valve Data'!$1:$1048576,MATCH(G$1,'Valve Data'!$1:$1,0),0))</f>
        <v/>
      </c>
      <c r="H53" s="21" t="str">
        <f>IF($B53=0,"",VLOOKUP($B53,'Valve Data'!$1:$1048576,MATCH(H$1,'Valve Data'!$1:$1,0),0))</f>
        <v/>
      </c>
      <c r="I53" s="21" t="str">
        <f>IF($B53=0,"",VLOOKUP($B53,'Valve Data'!$1:$1048576,MATCH(I$1,'Valve Data'!$1:$1,0),0))</f>
        <v/>
      </c>
      <c r="J53" s="328" t="str">
        <f>IF($B53=0,"",VLOOKUP($B53,'Valve Data'!$1:$1048576,MATCH(J$1,'Valve Data'!$1:$1,0),0))</f>
        <v/>
      </c>
      <c r="K53" s="21" t="str">
        <f>IF($B53=0,"",VLOOKUP($B53,'Valve Data'!$1:$1048576,MATCH(K$1,'Valve Data'!$1:$1,0),0))</f>
        <v/>
      </c>
      <c r="L53" s="21" t="str">
        <f>IF($B53=0,"",VLOOKUP($B53,'Valve Data'!$1:$1048576,MATCH(L$1,'Valve Data'!$1:$1,0),0))</f>
        <v/>
      </c>
      <c r="M53" s="21" t="str">
        <f>IF($B53=0,"",VLOOKUP($B53,'Valve Data'!$1:$1048576,MATCH(M$1,'Valve Data'!$1:$1,0),0))</f>
        <v/>
      </c>
      <c r="N53" s="21" t="str">
        <f>IF($B53=0,"",VLOOKUP($B53,'Valve Data'!$1:$1048576,MATCH(N$1,'Valve Data'!$1:$1,0),0))</f>
        <v/>
      </c>
      <c r="O53" s="21" t="str">
        <f>IF($B53=0,"",VLOOKUP($B53,'Valve Data'!$1:$1048576,MATCH(O$1,'Valve Data'!$1:$1,0),0))</f>
        <v/>
      </c>
      <c r="P53" s="21" t="str">
        <f>IF($B53=0,"",VLOOKUP($B53,'Valve Data'!$1:$1048576,MATCH(P$1,'Valve Data'!$1:$1,0),0))</f>
        <v/>
      </c>
      <c r="Q53" s="21" t="str">
        <f>IF($B53=0,"",VLOOKUP($B53,'Valve Data'!$1:$1048576,MATCH(Q$1,'Valve Data'!$1:$1,0),0))</f>
        <v/>
      </c>
      <c r="R53" s="21" t="str">
        <f>IF($B53=0,"",VLOOKUP($B53,'Valve Data'!$1:$1048576,MATCH(R$1,'Valve Data'!$1:$1,0),0))</f>
        <v/>
      </c>
      <c r="S53" s="21" t="str">
        <f>IF($B53=0,"",VLOOKUP($B53,'Valve Data'!$1:$1048576,MATCH(S$1,'Valve Data'!$1:$1,0),0))</f>
        <v/>
      </c>
      <c r="T53" s="331" t="str">
        <f>IF($B53=0,"",VLOOKUP($B53,'Valve Data'!$1:$1048576,MATCH(T$1,'Valve Data'!$1:$1,0),0))</f>
        <v/>
      </c>
      <c r="U53" s="91" t="str">
        <f>IF($B53=0,"",VLOOKUP($B53,'Valve Data'!$1:$1048576,MATCH(U$1,'Valve Data'!$1:$1,0),0))</f>
        <v/>
      </c>
      <c r="V53" s="21" t="str">
        <f>IF($B53=0,"",VLOOKUP($B53,'Valve Data'!$1:$1048576,MATCH(V$1,'Valve Data'!$1:$1,0),0))</f>
        <v/>
      </c>
      <c r="W53" s="21" t="str">
        <f>IF($B53=0,"",VLOOKUP($B53,'Valve Data'!$1:$1048576,MATCH(W$1,'Valve Data'!$1:$1,0),0))</f>
        <v/>
      </c>
      <c r="X53" s="331" t="str">
        <f>IF($B53=0,"",VLOOKUP($B53,'Valve Data'!$1:$1048576,MATCH(X$1,'Valve Data'!$1:$1,0),0))</f>
        <v/>
      </c>
      <c r="Y53" s="865"/>
      <c r="Z53" s="683"/>
      <c r="AA53" s="680"/>
      <c r="AB53" s="680"/>
      <c r="AC53" s="680"/>
      <c r="AD53" s="680"/>
      <c r="AE53" s="868"/>
      <c r="AF53" s="866"/>
      <c r="AG53" s="680"/>
      <c r="AH53" s="680"/>
      <c r="AI53" s="680"/>
      <c r="AJ53" s="680"/>
      <c r="AK53" s="680"/>
      <c r="AL53" s="680"/>
      <c r="AM53" s="680"/>
      <c r="AN53" s="680"/>
      <c r="AO53" s="680"/>
      <c r="AP53" s="684"/>
      <c r="AQ53" s="684"/>
      <c r="AR53" s="684"/>
      <c r="AS53" s="684"/>
      <c r="AT53" s="684"/>
      <c r="AU53" s="684"/>
      <c r="AV53" s="271">
        <f t="shared" si="28"/>
        <v>0</v>
      </c>
      <c r="AW53" s="680"/>
      <c r="AX53" s="845">
        <f>IF(F53="Ball_valve",IFERROR(VLOOKUP(E53&amp;"."&amp;D53,'Ball Valves Chart'!$1:$1048576,MATCH(G53,'Ball Valves Chart'!$3:$3,0),0),0),0)+IF(F53="DBB",IFERROR(VLOOKUP(E53&amp;"."&amp;D53,'Ball Valves Chart'!$1:$1048576,MATCH(G53,'Ball Valves Chart'!$3:$3,0),0)*2,0),0)+IFERROR(VLOOKUP(D53&amp;"."&amp;F53,'Manual Valves Chart'!$1:$1048576,MATCH('Valve List'!G53,'Manual Valves Chart'!$1:$1,0),0),0)</f>
        <v>0</v>
      </c>
      <c r="AY53" s="846">
        <f t="shared" si="29"/>
        <v>0</v>
      </c>
      <c r="AZ53" s="854"/>
      <c r="BA53" s="856">
        <f t="shared" si="30"/>
        <v>0</v>
      </c>
      <c r="BB53" s="286"/>
      <c r="BC53" s="852">
        <f t="shared" si="31"/>
        <v>0</v>
      </c>
      <c r="BD53" s="398"/>
      <c r="BE53" s="1546">
        <f t="shared" ref="BE53:BN62" si="39">IF(BE$2=$D53,1,0)</f>
        <v>0</v>
      </c>
      <c r="BF53" s="1546">
        <f t="shared" si="39"/>
        <v>0</v>
      </c>
      <c r="BG53" s="1546">
        <f t="shared" si="39"/>
        <v>0</v>
      </c>
      <c r="BH53" s="1546">
        <f t="shared" si="39"/>
        <v>0</v>
      </c>
      <c r="BI53" s="1546">
        <f t="shared" si="39"/>
        <v>0</v>
      </c>
      <c r="BJ53" s="1546">
        <f t="shared" si="39"/>
        <v>0</v>
      </c>
      <c r="BK53" s="1546">
        <f t="shared" si="39"/>
        <v>0</v>
      </c>
      <c r="BL53" s="1546">
        <f t="shared" si="39"/>
        <v>0</v>
      </c>
      <c r="BM53" s="1546">
        <f t="shared" si="39"/>
        <v>0</v>
      </c>
      <c r="BN53" s="1546">
        <f t="shared" si="39"/>
        <v>0</v>
      </c>
      <c r="BO53" s="1546">
        <f t="shared" ref="BO53:BV62" si="40">IF(BO$2=$D53,1,0)</f>
        <v>0</v>
      </c>
      <c r="BP53" s="1546">
        <f t="shared" si="40"/>
        <v>0</v>
      </c>
      <c r="BQ53" s="1546">
        <f t="shared" si="40"/>
        <v>0</v>
      </c>
      <c r="BR53" s="1546">
        <f t="shared" si="40"/>
        <v>0</v>
      </c>
      <c r="BS53" s="1546">
        <f t="shared" si="40"/>
        <v>0</v>
      </c>
      <c r="BT53" s="1546">
        <f t="shared" si="40"/>
        <v>0</v>
      </c>
      <c r="BU53" s="1546">
        <f t="shared" si="40"/>
        <v>0</v>
      </c>
      <c r="BV53" s="1546">
        <f t="shared" si="40"/>
        <v>0</v>
      </c>
      <c r="BX53" s="1546">
        <f t="shared" si="33"/>
        <v>0</v>
      </c>
      <c r="BY53" s="1546">
        <f t="shared" si="33"/>
        <v>0</v>
      </c>
      <c r="BZ53" s="1546">
        <f t="shared" si="33"/>
        <v>0</v>
      </c>
      <c r="CA53" s="1546">
        <f t="shared" si="33"/>
        <v>0</v>
      </c>
      <c r="CB53" s="1546">
        <f t="shared" si="33"/>
        <v>0</v>
      </c>
      <c r="CC53" s="1546">
        <f t="shared" si="33"/>
        <v>0</v>
      </c>
      <c r="CD53" s="1546">
        <f t="shared" si="33"/>
        <v>0</v>
      </c>
      <c r="CE53" s="1546">
        <f t="shared" si="33"/>
        <v>0</v>
      </c>
      <c r="CF53" s="1546">
        <f t="shared" si="33"/>
        <v>0</v>
      </c>
      <c r="CG53" s="1546">
        <f t="shared" si="33"/>
        <v>0</v>
      </c>
      <c r="CH53" s="1546">
        <f t="shared" si="33"/>
        <v>0</v>
      </c>
      <c r="CI53" s="1546">
        <f t="shared" si="33"/>
        <v>0</v>
      </c>
      <c r="CJ53" s="1546">
        <f t="shared" si="33"/>
        <v>0</v>
      </c>
      <c r="CL53" s="1546">
        <f t="shared" si="36"/>
        <v>0</v>
      </c>
      <c r="CM53" s="1546">
        <f t="shared" si="36"/>
        <v>0</v>
      </c>
      <c r="CN53" s="1546">
        <f t="shared" si="36"/>
        <v>0</v>
      </c>
      <c r="CO53" s="1546">
        <f t="shared" si="36"/>
        <v>0</v>
      </c>
      <c r="CQ53" s="1546">
        <f t="shared" si="32"/>
        <v>0</v>
      </c>
      <c r="CR53" s="1546">
        <f t="shared" ref="CR53:DF62" si="41">IF(CR$2=0,0,IF($AW53=CR$2,1,0))</f>
        <v>0</v>
      </c>
      <c r="CS53" s="1546">
        <f t="shared" si="41"/>
        <v>0</v>
      </c>
      <c r="CT53" s="1546">
        <f t="shared" si="41"/>
        <v>0</v>
      </c>
      <c r="CU53" s="1546">
        <f t="shared" si="41"/>
        <v>0</v>
      </c>
      <c r="CV53" s="1546">
        <f t="shared" si="41"/>
        <v>0</v>
      </c>
      <c r="CW53" s="1546">
        <f t="shared" si="41"/>
        <v>0</v>
      </c>
      <c r="CX53" s="1546">
        <f t="shared" si="41"/>
        <v>0</v>
      </c>
      <c r="CY53" s="1546">
        <f t="shared" si="41"/>
        <v>0</v>
      </c>
      <c r="CZ53" s="1546">
        <f t="shared" si="41"/>
        <v>0</v>
      </c>
      <c r="DA53" s="1546">
        <f t="shared" si="41"/>
        <v>0</v>
      </c>
      <c r="DB53" s="1546">
        <f t="shared" si="41"/>
        <v>0</v>
      </c>
      <c r="DC53" s="1546">
        <f t="shared" si="41"/>
        <v>0</v>
      </c>
      <c r="DD53" s="1546">
        <f t="shared" si="41"/>
        <v>0</v>
      </c>
      <c r="DE53" s="1546">
        <f t="shared" si="41"/>
        <v>0</v>
      </c>
      <c r="DF53" s="1546">
        <f t="shared" si="41"/>
        <v>0</v>
      </c>
      <c r="DG53" s="1546">
        <f t="shared" si="13"/>
        <v>1</v>
      </c>
      <c r="DI53" s="1546">
        <f t="shared" ref="DI53:DN62" si="42">IF($G53=DI$2,1,0)</f>
        <v>0</v>
      </c>
      <c r="DJ53" s="1546">
        <f t="shared" si="42"/>
        <v>0</v>
      </c>
      <c r="DK53" s="1546">
        <f t="shared" si="42"/>
        <v>0</v>
      </c>
      <c r="DL53" s="1546">
        <f t="shared" si="42"/>
        <v>0</v>
      </c>
      <c r="DM53" s="1546">
        <f t="shared" si="42"/>
        <v>0</v>
      </c>
      <c r="DN53" s="1546">
        <f t="shared" si="42"/>
        <v>0</v>
      </c>
    </row>
    <row r="54" spans="1:118" x14ac:dyDescent="0.3">
      <c r="A54" s="285">
        <v>65</v>
      </c>
      <c r="B54" s="325">
        <f t="shared" si="27"/>
        <v>0</v>
      </c>
      <c r="C54" s="682"/>
      <c r="D54" s="683"/>
      <c r="E54" s="680"/>
      <c r="F54" s="713"/>
      <c r="G54" s="91" t="str">
        <f>IF($B54=0,"",VLOOKUP($B54,'Valve Data'!$1:$1048576,MATCH(G$1,'Valve Data'!$1:$1,0),0))</f>
        <v/>
      </c>
      <c r="H54" s="21" t="str">
        <f>IF($B54=0,"",VLOOKUP($B54,'Valve Data'!$1:$1048576,MATCH(H$1,'Valve Data'!$1:$1,0),0))</f>
        <v/>
      </c>
      <c r="I54" s="21" t="str">
        <f>IF($B54=0,"",VLOOKUP($B54,'Valve Data'!$1:$1048576,MATCH(I$1,'Valve Data'!$1:$1,0),0))</f>
        <v/>
      </c>
      <c r="J54" s="328" t="str">
        <f>IF($B54=0,"",VLOOKUP($B54,'Valve Data'!$1:$1048576,MATCH(J$1,'Valve Data'!$1:$1,0),0))</f>
        <v/>
      </c>
      <c r="K54" s="21" t="str">
        <f>IF($B54=0,"",VLOOKUP($B54,'Valve Data'!$1:$1048576,MATCH(K$1,'Valve Data'!$1:$1,0),0))</f>
        <v/>
      </c>
      <c r="L54" s="21" t="str">
        <f>IF($B54=0,"",VLOOKUP($B54,'Valve Data'!$1:$1048576,MATCH(L$1,'Valve Data'!$1:$1,0),0))</f>
        <v/>
      </c>
      <c r="M54" s="21" t="str">
        <f>IF($B54=0,"",VLOOKUP($B54,'Valve Data'!$1:$1048576,MATCH(M$1,'Valve Data'!$1:$1,0),0))</f>
        <v/>
      </c>
      <c r="N54" s="21" t="str">
        <f>IF($B54=0,"",VLOOKUP($B54,'Valve Data'!$1:$1048576,MATCH(N$1,'Valve Data'!$1:$1,0),0))</f>
        <v/>
      </c>
      <c r="O54" s="21" t="str">
        <f>IF($B54=0,"",VLOOKUP($B54,'Valve Data'!$1:$1048576,MATCH(O$1,'Valve Data'!$1:$1,0),0))</f>
        <v/>
      </c>
      <c r="P54" s="21" t="str">
        <f>IF($B54=0,"",VLOOKUP($B54,'Valve Data'!$1:$1048576,MATCH(P$1,'Valve Data'!$1:$1,0),0))</f>
        <v/>
      </c>
      <c r="Q54" s="21" t="str">
        <f>IF($B54=0,"",VLOOKUP($B54,'Valve Data'!$1:$1048576,MATCH(Q$1,'Valve Data'!$1:$1,0),0))</f>
        <v/>
      </c>
      <c r="R54" s="21" t="str">
        <f>IF($B54=0,"",VLOOKUP($B54,'Valve Data'!$1:$1048576,MATCH(R$1,'Valve Data'!$1:$1,0),0))</f>
        <v/>
      </c>
      <c r="S54" s="21" t="str">
        <f>IF($B54=0,"",VLOOKUP($B54,'Valve Data'!$1:$1048576,MATCH(S$1,'Valve Data'!$1:$1,0),0))</f>
        <v/>
      </c>
      <c r="T54" s="331" t="str">
        <f>IF($B54=0,"",VLOOKUP($B54,'Valve Data'!$1:$1048576,MATCH(T$1,'Valve Data'!$1:$1,0),0))</f>
        <v/>
      </c>
      <c r="U54" s="91" t="str">
        <f>IF($B54=0,"",VLOOKUP($B54,'Valve Data'!$1:$1048576,MATCH(U$1,'Valve Data'!$1:$1,0),0))</f>
        <v/>
      </c>
      <c r="V54" s="21" t="str">
        <f>IF($B54=0,"",VLOOKUP($B54,'Valve Data'!$1:$1048576,MATCH(V$1,'Valve Data'!$1:$1,0),0))</f>
        <v/>
      </c>
      <c r="W54" s="21" t="str">
        <f>IF($B54=0,"",VLOOKUP($B54,'Valve Data'!$1:$1048576,MATCH(W$1,'Valve Data'!$1:$1,0),0))</f>
        <v/>
      </c>
      <c r="X54" s="331" t="str">
        <f>IF($B54=0,"",VLOOKUP($B54,'Valve Data'!$1:$1048576,MATCH(X$1,'Valve Data'!$1:$1,0),0))</f>
        <v/>
      </c>
      <c r="Y54" s="865"/>
      <c r="Z54" s="683"/>
      <c r="AA54" s="680"/>
      <c r="AB54" s="680"/>
      <c r="AC54" s="680"/>
      <c r="AD54" s="680"/>
      <c r="AE54" s="868"/>
      <c r="AF54" s="866"/>
      <c r="AG54" s="680"/>
      <c r="AH54" s="680"/>
      <c r="AI54" s="680"/>
      <c r="AJ54" s="680"/>
      <c r="AK54" s="680"/>
      <c r="AL54" s="680"/>
      <c r="AM54" s="680"/>
      <c r="AN54" s="680"/>
      <c r="AO54" s="680"/>
      <c r="AP54" s="680"/>
      <c r="AQ54" s="684"/>
      <c r="AR54" s="684"/>
      <c r="AS54" s="684"/>
      <c r="AT54" s="684"/>
      <c r="AU54" s="684"/>
      <c r="AV54" s="271">
        <f t="shared" si="28"/>
        <v>0</v>
      </c>
      <c r="AW54" s="680"/>
      <c r="AX54" s="845">
        <f>IF(F54="Ball_valve",IFERROR(VLOOKUP(E54&amp;"."&amp;D54,'Ball Valves Chart'!$1:$1048576,MATCH(G54,'Ball Valves Chart'!$3:$3,0),0),0),0)+IF(F54="DBB",IFERROR(VLOOKUP(E54&amp;"."&amp;D54,'Ball Valves Chart'!$1:$1048576,MATCH(G54,'Ball Valves Chart'!$3:$3,0),0)*2,0),0)+IFERROR(VLOOKUP(D54&amp;"."&amp;F54,'Manual Valves Chart'!$1:$1048576,MATCH('Valve List'!G67,'Manual Valves Chart'!$1:$1,0),0),0)</f>
        <v>0</v>
      </c>
      <c r="AY54" s="846">
        <f t="shared" si="29"/>
        <v>0</v>
      </c>
      <c r="AZ54" s="854"/>
      <c r="BA54" s="856">
        <f t="shared" si="30"/>
        <v>0</v>
      </c>
      <c r="BC54" s="852">
        <f t="shared" si="31"/>
        <v>0</v>
      </c>
      <c r="BD54" s="398"/>
      <c r="BE54" s="1546">
        <f t="shared" si="39"/>
        <v>0</v>
      </c>
      <c r="BF54" s="1546">
        <f t="shared" si="39"/>
        <v>0</v>
      </c>
      <c r="BG54" s="1546">
        <f t="shared" si="39"/>
        <v>0</v>
      </c>
      <c r="BH54" s="1546">
        <f t="shared" si="39"/>
        <v>0</v>
      </c>
      <c r="BI54" s="1546">
        <f t="shared" si="39"/>
        <v>0</v>
      </c>
      <c r="BJ54" s="1546">
        <f t="shared" si="39"/>
        <v>0</v>
      </c>
      <c r="BK54" s="1546">
        <f t="shared" si="39"/>
        <v>0</v>
      </c>
      <c r="BL54" s="1546">
        <f t="shared" si="39"/>
        <v>0</v>
      </c>
      <c r="BM54" s="1546">
        <f t="shared" si="39"/>
        <v>0</v>
      </c>
      <c r="BN54" s="1546">
        <f t="shared" si="39"/>
        <v>0</v>
      </c>
      <c r="BO54" s="1546">
        <f t="shared" si="40"/>
        <v>0</v>
      </c>
      <c r="BP54" s="1546">
        <f t="shared" si="40"/>
        <v>0</v>
      </c>
      <c r="BQ54" s="1546">
        <f t="shared" si="40"/>
        <v>0</v>
      </c>
      <c r="BR54" s="1546">
        <f t="shared" si="40"/>
        <v>0</v>
      </c>
      <c r="BS54" s="1546">
        <f t="shared" si="40"/>
        <v>0</v>
      </c>
      <c r="BT54" s="1546">
        <f t="shared" si="40"/>
        <v>0</v>
      </c>
      <c r="BU54" s="1546">
        <f t="shared" si="40"/>
        <v>0</v>
      </c>
      <c r="BV54" s="1546">
        <f t="shared" si="40"/>
        <v>0</v>
      </c>
      <c r="BX54" s="1546">
        <f t="shared" si="33"/>
        <v>0</v>
      </c>
      <c r="BY54" s="1546">
        <f t="shared" si="33"/>
        <v>0</v>
      </c>
      <c r="BZ54" s="1546">
        <f t="shared" si="33"/>
        <v>0</v>
      </c>
      <c r="CA54" s="1546">
        <f t="shared" si="33"/>
        <v>0</v>
      </c>
      <c r="CB54" s="1546">
        <f t="shared" si="33"/>
        <v>0</v>
      </c>
      <c r="CC54" s="1546">
        <f t="shared" si="33"/>
        <v>0</v>
      </c>
      <c r="CD54" s="1546">
        <f t="shared" si="33"/>
        <v>0</v>
      </c>
      <c r="CE54" s="1546">
        <f t="shared" si="33"/>
        <v>0</v>
      </c>
      <c r="CF54" s="1546">
        <f t="shared" si="33"/>
        <v>0</v>
      </c>
      <c r="CG54" s="1546">
        <f t="shared" si="33"/>
        <v>0</v>
      </c>
      <c r="CH54" s="1546">
        <f t="shared" si="33"/>
        <v>0</v>
      </c>
      <c r="CI54" s="1546">
        <f t="shared" si="33"/>
        <v>0</v>
      </c>
      <c r="CJ54" s="1546">
        <f t="shared" si="33"/>
        <v>0</v>
      </c>
      <c r="CL54" s="1546">
        <f t="shared" si="36"/>
        <v>0</v>
      </c>
      <c r="CM54" s="1546">
        <f t="shared" si="36"/>
        <v>0</v>
      </c>
      <c r="CN54" s="1546">
        <f t="shared" si="36"/>
        <v>0</v>
      </c>
      <c r="CO54" s="1546">
        <f t="shared" si="36"/>
        <v>0</v>
      </c>
      <c r="CQ54" s="1546">
        <f t="shared" si="32"/>
        <v>0</v>
      </c>
      <c r="CR54" s="1546">
        <f t="shared" si="41"/>
        <v>0</v>
      </c>
      <c r="CS54" s="1546">
        <f t="shared" si="41"/>
        <v>0</v>
      </c>
      <c r="CT54" s="1546">
        <f t="shared" si="41"/>
        <v>0</v>
      </c>
      <c r="CU54" s="1546">
        <f t="shared" si="41"/>
        <v>0</v>
      </c>
      <c r="CV54" s="1546">
        <f t="shared" si="41"/>
        <v>0</v>
      </c>
      <c r="CW54" s="1546">
        <f t="shared" si="41"/>
        <v>0</v>
      </c>
      <c r="CX54" s="1546">
        <f t="shared" si="41"/>
        <v>0</v>
      </c>
      <c r="CY54" s="1546">
        <f t="shared" si="41"/>
        <v>0</v>
      </c>
      <c r="CZ54" s="1546">
        <f t="shared" si="41"/>
        <v>0</v>
      </c>
      <c r="DA54" s="1546">
        <f t="shared" si="41"/>
        <v>0</v>
      </c>
      <c r="DB54" s="1546">
        <f t="shared" si="41"/>
        <v>0</v>
      </c>
      <c r="DC54" s="1546">
        <f t="shared" si="41"/>
        <v>0</v>
      </c>
      <c r="DD54" s="1546">
        <f t="shared" si="41"/>
        <v>0</v>
      </c>
      <c r="DE54" s="1546">
        <f t="shared" si="41"/>
        <v>0</v>
      </c>
      <c r="DF54" s="1546">
        <f t="shared" si="41"/>
        <v>0</v>
      </c>
      <c r="DG54" s="1546">
        <f t="shared" si="13"/>
        <v>1</v>
      </c>
      <c r="DI54" s="1546">
        <f t="shared" si="42"/>
        <v>0</v>
      </c>
      <c r="DJ54" s="1546">
        <f t="shared" si="42"/>
        <v>0</v>
      </c>
      <c r="DK54" s="1546">
        <f t="shared" si="42"/>
        <v>0</v>
      </c>
      <c r="DL54" s="1546">
        <f t="shared" si="42"/>
        <v>0</v>
      </c>
      <c r="DM54" s="1546">
        <f t="shared" si="42"/>
        <v>0</v>
      </c>
      <c r="DN54" s="1546">
        <f t="shared" si="42"/>
        <v>0</v>
      </c>
    </row>
    <row r="55" spans="1:118" x14ac:dyDescent="0.3">
      <c r="A55" s="285">
        <v>66</v>
      </c>
      <c r="B55" s="325">
        <f t="shared" si="27"/>
        <v>0</v>
      </c>
      <c r="C55" s="682"/>
      <c r="D55" s="683"/>
      <c r="E55" s="680"/>
      <c r="F55" s="713"/>
      <c r="G55" s="91" t="str">
        <f>IF($B55=0,"",VLOOKUP($B55,'Valve Data'!$1:$1048576,MATCH(G$1,'Valve Data'!$1:$1,0),0))</f>
        <v/>
      </c>
      <c r="H55" s="21" t="str">
        <f>IF($B55=0,"",VLOOKUP($B55,'Valve Data'!$1:$1048576,MATCH(H$1,'Valve Data'!$1:$1,0),0))</f>
        <v/>
      </c>
      <c r="I55" s="21" t="str">
        <f>IF($B55=0,"",VLOOKUP($B55,'Valve Data'!$1:$1048576,MATCH(I$1,'Valve Data'!$1:$1,0),0))</f>
        <v/>
      </c>
      <c r="J55" s="328" t="str">
        <f>IF($B55=0,"",VLOOKUP($B55,'Valve Data'!$1:$1048576,MATCH(J$1,'Valve Data'!$1:$1,0),0))</f>
        <v/>
      </c>
      <c r="K55" s="21" t="str">
        <f>IF($B55=0,"",VLOOKUP($B55,'Valve Data'!$1:$1048576,MATCH(K$1,'Valve Data'!$1:$1,0),0))</f>
        <v/>
      </c>
      <c r="L55" s="21" t="str">
        <f>IF($B55=0,"",VLOOKUP($B55,'Valve Data'!$1:$1048576,MATCH(L$1,'Valve Data'!$1:$1,0),0))</f>
        <v/>
      </c>
      <c r="M55" s="21" t="str">
        <f>IF($B55=0,"",VLOOKUP($B55,'Valve Data'!$1:$1048576,MATCH(M$1,'Valve Data'!$1:$1,0),0))</f>
        <v/>
      </c>
      <c r="N55" s="21" t="str">
        <f>IF($B55=0,"",VLOOKUP($B55,'Valve Data'!$1:$1048576,MATCH(N$1,'Valve Data'!$1:$1,0),0))</f>
        <v/>
      </c>
      <c r="O55" s="21" t="str">
        <f>IF($B55=0,"",VLOOKUP($B55,'Valve Data'!$1:$1048576,MATCH(O$1,'Valve Data'!$1:$1,0),0))</f>
        <v/>
      </c>
      <c r="P55" s="21" t="str">
        <f>IF($B55=0,"",VLOOKUP($B55,'Valve Data'!$1:$1048576,MATCH(P$1,'Valve Data'!$1:$1,0),0))</f>
        <v/>
      </c>
      <c r="Q55" s="21" t="str">
        <f>IF($B55=0,"",VLOOKUP($B55,'Valve Data'!$1:$1048576,MATCH(Q$1,'Valve Data'!$1:$1,0),0))</f>
        <v/>
      </c>
      <c r="R55" s="21" t="str">
        <f>IF($B55=0,"",VLOOKUP($B55,'Valve Data'!$1:$1048576,MATCH(R$1,'Valve Data'!$1:$1,0),0))</f>
        <v/>
      </c>
      <c r="S55" s="21" t="str">
        <f>IF($B55=0,"",VLOOKUP($B55,'Valve Data'!$1:$1048576,MATCH(S$1,'Valve Data'!$1:$1,0),0))</f>
        <v/>
      </c>
      <c r="T55" s="331" t="str">
        <f>IF($B55=0,"",VLOOKUP($B55,'Valve Data'!$1:$1048576,MATCH(T$1,'Valve Data'!$1:$1,0),0))</f>
        <v/>
      </c>
      <c r="U55" s="91" t="str">
        <f>IF($B55=0,"",VLOOKUP($B55,'Valve Data'!$1:$1048576,MATCH(U$1,'Valve Data'!$1:$1,0),0))</f>
        <v/>
      </c>
      <c r="V55" s="21" t="str">
        <f>IF($B55=0,"",VLOOKUP($B55,'Valve Data'!$1:$1048576,MATCH(V$1,'Valve Data'!$1:$1,0),0))</f>
        <v/>
      </c>
      <c r="W55" s="21" t="str">
        <f>IF($B55=0,"",VLOOKUP($B55,'Valve Data'!$1:$1048576,MATCH(W$1,'Valve Data'!$1:$1,0),0))</f>
        <v/>
      </c>
      <c r="X55" s="331" t="str">
        <f>IF($B55=0,"",VLOOKUP($B55,'Valve Data'!$1:$1048576,MATCH(X$1,'Valve Data'!$1:$1,0),0))</f>
        <v/>
      </c>
      <c r="Y55" s="865"/>
      <c r="Z55" s="683"/>
      <c r="AA55" s="680"/>
      <c r="AB55" s="680"/>
      <c r="AC55" s="680"/>
      <c r="AD55" s="680"/>
      <c r="AE55" s="868"/>
      <c r="AF55" s="866"/>
      <c r="AG55" s="680"/>
      <c r="AH55" s="680"/>
      <c r="AI55" s="680"/>
      <c r="AJ55" s="680"/>
      <c r="AK55" s="680"/>
      <c r="AL55" s="680"/>
      <c r="AM55" s="680"/>
      <c r="AN55" s="680"/>
      <c r="AO55" s="680"/>
      <c r="AP55" s="680"/>
      <c r="AQ55" s="684"/>
      <c r="AR55" s="684"/>
      <c r="AS55" s="684"/>
      <c r="AT55" s="684"/>
      <c r="AU55" s="684"/>
      <c r="AV55" s="271">
        <f t="shared" si="28"/>
        <v>0</v>
      </c>
      <c r="AW55" s="680"/>
      <c r="AX55" s="845">
        <f>IF(F55="Ball_valve",IFERROR(VLOOKUP(E55&amp;"."&amp;D55,'Ball Valves Chart'!$1:$1048576,MATCH(G55,'Ball Valves Chart'!$3:$3,0),0),0),0)+IF(F55="DBB",IFERROR(VLOOKUP(E55&amp;"."&amp;D55,'Ball Valves Chart'!$1:$1048576,MATCH(G55,'Ball Valves Chart'!$3:$3,0),0)*2,0),0)+IFERROR(VLOOKUP(D55&amp;"."&amp;F55,'Manual Valves Chart'!$1:$1048576,MATCH('Valve List'!G68,'Manual Valves Chart'!$1:$1,0),0),0)</f>
        <v>0</v>
      </c>
      <c r="AY55" s="846">
        <f t="shared" si="29"/>
        <v>0</v>
      </c>
      <c r="AZ55" s="854"/>
      <c r="BA55" s="856">
        <f t="shared" si="30"/>
        <v>0</v>
      </c>
      <c r="BC55" s="852">
        <f t="shared" si="31"/>
        <v>0</v>
      </c>
      <c r="BD55" s="398"/>
      <c r="BE55" s="1546">
        <f t="shared" si="39"/>
        <v>0</v>
      </c>
      <c r="BF55" s="1546">
        <f t="shared" si="39"/>
        <v>0</v>
      </c>
      <c r="BG55" s="1546">
        <f t="shared" si="39"/>
        <v>0</v>
      </c>
      <c r="BH55" s="1546">
        <f t="shared" si="39"/>
        <v>0</v>
      </c>
      <c r="BI55" s="1546">
        <f t="shared" si="39"/>
        <v>0</v>
      </c>
      <c r="BJ55" s="1546">
        <f t="shared" si="39"/>
        <v>0</v>
      </c>
      <c r="BK55" s="1546">
        <f t="shared" si="39"/>
        <v>0</v>
      </c>
      <c r="BL55" s="1546">
        <f t="shared" si="39"/>
        <v>0</v>
      </c>
      <c r="BM55" s="1546">
        <f t="shared" si="39"/>
        <v>0</v>
      </c>
      <c r="BN55" s="1546">
        <f t="shared" si="39"/>
        <v>0</v>
      </c>
      <c r="BO55" s="1546">
        <f t="shared" si="40"/>
        <v>0</v>
      </c>
      <c r="BP55" s="1546">
        <f t="shared" si="40"/>
        <v>0</v>
      </c>
      <c r="BQ55" s="1546">
        <f t="shared" si="40"/>
        <v>0</v>
      </c>
      <c r="BR55" s="1546">
        <f t="shared" si="40"/>
        <v>0</v>
      </c>
      <c r="BS55" s="1546">
        <f t="shared" si="40"/>
        <v>0</v>
      </c>
      <c r="BT55" s="1546">
        <f t="shared" si="40"/>
        <v>0</v>
      </c>
      <c r="BU55" s="1546">
        <f t="shared" si="40"/>
        <v>0</v>
      </c>
      <c r="BV55" s="1546">
        <f t="shared" si="40"/>
        <v>0</v>
      </c>
      <c r="BX55" s="1546">
        <f t="shared" si="33"/>
        <v>0</v>
      </c>
      <c r="BY55" s="1546">
        <f t="shared" si="33"/>
        <v>0</v>
      </c>
      <c r="BZ55" s="1546">
        <f t="shared" si="33"/>
        <v>0</v>
      </c>
      <c r="CA55" s="1546">
        <f t="shared" si="33"/>
        <v>0</v>
      </c>
      <c r="CB55" s="1546">
        <f t="shared" si="33"/>
        <v>0</v>
      </c>
      <c r="CC55" s="1546">
        <f t="shared" si="33"/>
        <v>0</v>
      </c>
      <c r="CD55" s="1546">
        <f t="shared" si="33"/>
        <v>0</v>
      </c>
      <c r="CE55" s="1546">
        <f t="shared" si="33"/>
        <v>0</v>
      </c>
      <c r="CF55" s="1546">
        <f t="shared" ref="BY55:CJ76" si="43">IF(CF$2="X",0,IF(CF$2=$C55,1,0))</f>
        <v>0</v>
      </c>
      <c r="CG55" s="1546">
        <f t="shared" si="43"/>
        <v>0</v>
      </c>
      <c r="CH55" s="1546">
        <f t="shared" si="43"/>
        <v>0</v>
      </c>
      <c r="CI55" s="1546">
        <f t="shared" si="43"/>
        <v>0</v>
      </c>
      <c r="CJ55" s="1546">
        <f t="shared" si="43"/>
        <v>0</v>
      </c>
      <c r="CL55" s="1546">
        <f t="shared" si="36"/>
        <v>0</v>
      </c>
      <c r="CM55" s="1546">
        <f t="shared" si="36"/>
        <v>0</v>
      </c>
      <c r="CN55" s="1546">
        <f t="shared" si="36"/>
        <v>0</v>
      </c>
      <c r="CO55" s="1546">
        <f t="shared" si="36"/>
        <v>0</v>
      </c>
      <c r="CQ55" s="1546">
        <f t="shared" si="32"/>
        <v>0</v>
      </c>
      <c r="CR55" s="1546">
        <f t="shared" si="41"/>
        <v>0</v>
      </c>
      <c r="CS55" s="1546">
        <f t="shared" si="41"/>
        <v>0</v>
      </c>
      <c r="CT55" s="1546">
        <f t="shared" si="41"/>
        <v>0</v>
      </c>
      <c r="CU55" s="1546">
        <f t="shared" si="41"/>
        <v>0</v>
      </c>
      <c r="CV55" s="1546">
        <f t="shared" si="41"/>
        <v>0</v>
      </c>
      <c r="CW55" s="1546">
        <f t="shared" si="41"/>
        <v>0</v>
      </c>
      <c r="CX55" s="1546">
        <f t="shared" si="41"/>
        <v>0</v>
      </c>
      <c r="CY55" s="1546">
        <f t="shared" si="41"/>
        <v>0</v>
      </c>
      <c r="CZ55" s="1546">
        <f t="shared" si="41"/>
        <v>0</v>
      </c>
      <c r="DA55" s="1546">
        <f t="shared" si="41"/>
        <v>0</v>
      </c>
      <c r="DB55" s="1546">
        <f t="shared" si="41"/>
        <v>0</v>
      </c>
      <c r="DC55" s="1546">
        <f t="shared" si="41"/>
        <v>0</v>
      </c>
      <c r="DD55" s="1546">
        <f t="shared" si="41"/>
        <v>0</v>
      </c>
      <c r="DE55" s="1546">
        <f t="shared" si="41"/>
        <v>0</v>
      </c>
      <c r="DF55" s="1546">
        <f t="shared" si="41"/>
        <v>0</v>
      </c>
      <c r="DG55" s="1546">
        <f t="shared" si="13"/>
        <v>1</v>
      </c>
      <c r="DI55" s="1546">
        <f t="shared" si="42"/>
        <v>0</v>
      </c>
      <c r="DJ55" s="1546">
        <f t="shared" si="42"/>
        <v>0</v>
      </c>
      <c r="DK55" s="1546">
        <f t="shared" si="42"/>
        <v>0</v>
      </c>
      <c r="DL55" s="1546">
        <f t="shared" si="42"/>
        <v>0</v>
      </c>
      <c r="DM55" s="1546">
        <f t="shared" si="42"/>
        <v>0</v>
      </c>
      <c r="DN55" s="1546">
        <f t="shared" si="42"/>
        <v>0</v>
      </c>
    </row>
    <row r="56" spans="1:118" x14ac:dyDescent="0.3">
      <c r="A56" s="285">
        <v>67</v>
      </c>
      <c r="B56" s="325">
        <f t="shared" si="27"/>
        <v>0</v>
      </c>
      <c r="C56" s="682"/>
      <c r="D56" s="683"/>
      <c r="E56" s="680"/>
      <c r="F56" s="713"/>
      <c r="G56" s="91" t="str">
        <f>IF($B56=0,"",VLOOKUP($B56,'Valve Data'!$1:$1048576,MATCH(G$1,'Valve Data'!$1:$1,0),0))</f>
        <v/>
      </c>
      <c r="H56" s="21" t="str">
        <f>IF($B56=0,"",VLOOKUP($B56,'Valve Data'!$1:$1048576,MATCH(H$1,'Valve Data'!$1:$1,0),0))</f>
        <v/>
      </c>
      <c r="I56" s="21" t="str">
        <f>IF($B56=0,"",VLOOKUP($B56,'Valve Data'!$1:$1048576,MATCH(I$1,'Valve Data'!$1:$1,0),0))</f>
        <v/>
      </c>
      <c r="J56" s="328" t="str">
        <f>IF($B56=0,"",VLOOKUP($B56,'Valve Data'!$1:$1048576,MATCH(J$1,'Valve Data'!$1:$1,0),0))</f>
        <v/>
      </c>
      <c r="K56" s="21" t="str">
        <f>IF($B56=0,"",VLOOKUP($B56,'Valve Data'!$1:$1048576,MATCH(K$1,'Valve Data'!$1:$1,0),0))</f>
        <v/>
      </c>
      <c r="L56" s="21" t="str">
        <f>IF($B56=0,"",VLOOKUP($B56,'Valve Data'!$1:$1048576,MATCH(L$1,'Valve Data'!$1:$1,0),0))</f>
        <v/>
      </c>
      <c r="M56" s="21" t="str">
        <f>IF($B56=0,"",VLOOKUP($B56,'Valve Data'!$1:$1048576,MATCH(M$1,'Valve Data'!$1:$1,0),0))</f>
        <v/>
      </c>
      <c r="N56" s="21" t="str">
        <f>IF($B56=0,"",VLOOKUP($B56,'Valve Data'!$1:$1048576,MATCH(N$1,'Valve Data'!$1:$1,0),0))</f>
        <v/>
      </c>
      <c r="O56" s="21" t="str">
        <f>IF($B56=0,"",VLOOKUP($B56,'Valve Data'!$1:$1048576,MATCH(O$1,'Valve Data'!$1:$1,0),0))</f>
        <v/>
      </c>
      <c r="P56" s="21" t="str">
        <f>IF($B56=0,"",VLOOKUP($B56,'Valve Data'!$1:$1048576,MATCH(P$1,'Valve Data'!$1:$1,0),0))</f>
        <v/>
      </c>
      <c r="Q56" s="21" t="str">
        <f>IF($B56=0,"",VLOOKUP($B56,'Valve Data'!$1:$1048576,MATCH(Q$1,'Valve Data'!$1:$1,0),0))</f>
        <v/>
      </c>
      <c r="R56" s="21" t="str">
        <f>IF($B56=0,"",VLOOKUP($B56,'Valve Data'!$1:$1048576,MATCH(R$1,'Valve Data'!$1:$1,0),0))</f>
        <v/>
      </c>
      <c r="S56" s="21" t="str">
        <f>IF($B56=0,"",VLOOKUP($B56,'Valve Data'!$1:$1048576,MATCH(S$1,'Valve Data'!$1:$1,0),0))</f>
        <v/>
      </c>
      <c r="T56" s="331" t="str">
        <f>IF($B56=0,"",VLOOKUP($B56,'Valve Data'!$1:$1048576,MATCH(T$1,'Valve Data'!$1:$1,0),0))</f>
        <v/>
      </c>
      <c r="U56" s="91" t="str">
        <f>IF($B56=0,"",VLOOKUP($B56,'Valve Data'!$1:$1048576,MATCH(U$1,'Valve Data'!$1:$1,0),0))</f>
        <v/>
      </c>
      <c r="V56" s="21" t="str">
        <f>IF($B56=0,"",VLOOKUP($B56,'Valve Data'!$1:$1048576,MATCH(V$1,'Valve Data'!$1:$1,0),0))</f>
        <v/>
      </c>
      <c r="W56" s="21" t="str">
        <f>IF($B56=0,"",VLOOKUP($B56,'Valve Data'!$1:$1048576,MATCH(W$1,'Valve Data'!$1:$1,0),0))</f>
        <v/>
      </c>
      <c r="X56" s="331" t="str">
        <f>IF($B56=0,"",VLOOKUP($B56,'Valve Data'!$1:$1048576,MATCH(X$1,'Valve Data'!$1:$1,0),0))</f>
        <v/>
      </c>
      <c r="Y56" s="865"/>
      <c r="Z56" s="683"/>
      <c r="AA56" s="680"/>
      <c r="AB56" s="680"/>
      <c r="AC56" s="680"/>
      <c r="AD56" s="680"/>
      <c r="AE56" s="868"/>
      <c r="AF56" s="866"/>
      <c r="AG56" s="680"/>
      <c r="AH56" s="680"/>
      <c r="AI56" s="680"/>
      <c r="AJ56" s="680"/>
      <c r="AK56" s="680"/>
      <c r="AL56" s="680"/>
      <c r="AM56" s="680"/>
      <c r="AN56" s="680"/>
      <c r="AO56" s="680"/>
      <c r="AP56" s="680"/>
      <c r="AQ56" s="684"/>
      <c r="AR56" s="684"/>
      <c r="AS56" s="684"/>
      <c r="AT56" s="684"/>
      <c r="AU56" s="684"/>
      <c r="AV56" s="271">
        <f t="shared" si="28"/>
        <v>0</v>
      </c>
      <c r="AW56" s="680"/>
      <c r="AX56" s="845">
        <f>IF(F56="Ball_valve",IFERROR(VLOOKUP(E56&amp;"."&amp;D56,'Ball Valves Chart'!$1:$1048576,MATCH(G56,'Ball Valves Chart'!$3:$3,0),0),0),0)+IF(F56="DBB",IFERROR(VLOOKUP(E56&amp;"."&amp;D56,'Ball Valves Chart'!$1:$1048576,MATCH(G56,'Ball Valves Chart'!$3:$3,0),0)*2,0),0)+IFERROR(VLOOKUP(D56&amp;"."&amp;F56,'Manual Valves Chart'!$1:$1048576,MATCH('Valve List'!G69,'Manual Valves Chart'!$1:$1,0),0),0)</f>
        <v>0</v>
      </c>
      <c r="AY56" s="846">
        <f t="shared" si="29"/>
        <v>0</v>
      </c>
      <c r="AZ56" s="854"/>
      <c r="BA56" s="856">
        <f t="shared" si="30"/>
        <v>0</v>
      </c>
      <c r="BB56" s="286"/>
      <c r="BC56" s="852">
        <f t="shared" si="31"/>
        <v>0</v>
      </c>
      <c r="BD56" s="398"/>
      <c r="BE56" s="1546">
        <f t="shared" si="39"/>
        <v>0</v>
      </c>
      <c r="BF56" s="1546">
        <f t="shared" si="39"/>
        <v>0</v>
      </c>
      <c r="BG56" s="1546">
        <f t="shared" si="39"/>
        <v>0</v>
      </c>
      <c r="BH56" s="1546">
        <f t="shared" si="39"/>
        <v>0</v>
      </c>
      <c r="BI56" s="1546">
        <f t="shared" si="39"/>
        <v>0</v>
      </c>
      <c r="BJ56" s="1546">
        <f t="shared" si="39"/>
        <v>0</v>
      </c>
      <c r="BK56" s="1546">
        <f t="shared" si="39"/>
        <v>0</v>
      </c>
      <c r="BL56" s="1546">
        <f t="shared" si="39"/>
        <v>0</v>
      </c>
      <c r="BM56" s="1546">
        <f t="shared" si="39"/>
        <v>0</v>
      </c>
      <c r="BN56" s="1546">
        <f t="shared" si="39"/>
        <v>0</v>
      </c>
      <c r="BO56" s="1546">
        <f t="shared" si="40"/>
        <v>0</v>
      </c>
      <c r="BP56" s="1546">
        <f t="shared" si="40"/>
        <v>0</v>
      </c>
      <c r="BQ56" s="1546">
        <f t="shared" si="40"/>
        <v>0</v>
      </c>
      <c r="BR56" s="1546">
        <f t="shared" si="40"/>
        <v>0</v>
      </c>
      <c r="BS56" s="1546">
        <f t="shared" si="40"/>
        <v>0</v>
      </c>
      <c r="BT56" s="1546">
        <f t="shared" si="40"/>
        <v>0</v>
      </c>
      <c r="BU56" s="1546">
        <f t="shared" si="40"/>
        <v>0</v>
      </c>
      <c r="BV56" s="1546">
        <f t="shared" si="40"/>
        <v>0</v>
      </c>
      <c r="BX56" s="1546">
        <f t="shared" ref="BX56:BX99" si="44">IF(BX$2="X",0,IF(BX$2=$C56,1,0))</f>
        <v>0</v>
      </c>
      <c r="BY56" s="1546">
        <f t="shared" si="43"/>
        <v>0</v>
      </c>
      <c r="BZ56" s="1546">
        <f t="shared" si="43"/>
        <v>0</v>
      </c>
      <c r="CA56" s="1546">
        <f t="shared" si="43"/>
        <v>0</v>
      </c>
      <c r="CB56" s="1546">
        <f t="shared" si="43"/>
        <v>0</v>
      </c>
      <c r="CC56" s="1546">
        <f t="shared" si="43"/>
        <v>0</v>
      </c>
      <c r="CD56" s="1546">
        <f t="shared" si="43"/>
        <v>0</v>
      </c>
      <c r="CE56" s="1546">
        <f t="shared" si="43"/>
        <v>0</v>
      </c>
      <c r="CF56" s="1546">
        <f t="shared" si="43"/>
        <v>0</v>
      </c>
      <c r="CG56" s="1546">
        <f t="shared" si="43"/>
        <v>0</v>
      </c>
      <c r="CH56" s="1546">
        <f t="shared" si="43"/>
        <v>0</v>
      </c>
      <c r="CI56" s="1546">
        <f t="shared" si="43"/>
        <v>0</v>
      </c>
      <c r="CJ56" s="1546">
        <f t="shared" si="43"/>
        <v>0</v>
      </c>
      <c r="CL56" s="1546">
        <f t="shared" si="36"/>
        <v>0</v>
      </c>
      <c r="CM56" s="1546">
        <f t="shared" si="36"/>
        <v>0</v>
      </c>
      <c r="CN56" s="1546">
        <f t="shared" si="36"/>
        <v>0</v>
      </c>
      <c r="CO56" s="1546">
        <f t="shared" si="36"/>
        <v>0</v>
      </c>
      <c r="CQ56" s="1546">
        <f t="shared" si="32"/>
        <v>0</v>
      </c>
      <c r="CR56" s="1546">
        <f t="shared" si="41"/>
        <v>0</v>
      </c>
      <c r="CS56" s="1546">
        <f t="shared" si="41"/>
        <v>0</v>
      </c>
      <c r="CT56" s="1546">
        <f t="shared" si="41"/>
        <v>0</v>
      </c>
      <c r="CU56" s="1546">
        <f t="shared" si="41"/>
        <v>0</v>
      </c>
      <c r="CV56" s="1546">
        <f t="shared" si="41"/>
        <v>0</v>
      </c>
      <c r="CW56" s="1546">
        <f t="shared" si="41"/>
        <v>0</v>
      </c>
      <c r="CX56" s="1546">
        <f t="shared" si="41"/>
        <v>0</v>
      </c>
      <c r="CY56" s="1546">
        <f t="shared" si="41"/>
        <v>0</v>
      </c>
      <c r="CZ56" s="1546">
        <f t="shared" si="41"/>
        <v>0</v>
      </c>
      <c r="DA56" s="1546">
        <f t="shared" si="41"/>
        <v>0</v>
      </c>
      <c r="DB56" s="1546">
        <f t="shared" si="41"/>
        <v>0</v>
      </c>
      <c r="DC56" s="1546">
        <f t="shared" si="41"/>
        <v>0</v>
      </c>
      <c r="DD56" s="1546">
        <f t="shared" si="41"/>
        <v>0</v>
      </c>
      <c r="DE56" s="1546">
        <f t="shared" si="41"/>
        <v>0</v>
      </c>
      <c r="DF56" s="1546">
        <f t="shared" si="41"/>
        <v>0</v>
      </c>
      <c r="DG56" s="1546">
        <f t="shared" si="13"/>
        <v>1</v>
      </c>
      <c r="DI56" s="1546">
        <f t="shared" si="42"/>
        <v>0</v>
      </c>
      <c r="DJ56" s="1546">
        <f t="shared" si="42"/>
        <v>0</v>
      </c>
      <c r="DK56" s="1546">
        <f t="shared" si="42"/>
        <v>0</v>
      </c>
      <c r="DL56" s="1546">
        <f t="shared" si="42"/>
        <v>0</v>
      </c>
      <c r="DM56" s="1546">
        <f t="shared" si="42"/>
        <v>0</v>
      </c>
      <c r="DN56" s="1546">
        <f t="shared" si="42"/>
        <v>0</v>
      </c>
    </row>
    <row r="57" spans="1:118" x14ac:dyDescent="0.3">
      <c r="A57" s="285">
        <v>69</v>
      </c>
      <c r="B57" s="325">
        <f t="shared" si="27"/>
        <v>0</v>
      </c>
      <c r="C57" s="682"/>
      <c r="D57" s="683"/>
      <c r="E57" s="680"/>
      <c r="F57" s="713"/>
      <c r="G57" s="91" t="str">
        <f>IF($B57=0,"",VLOOKUP($B57,'Valve Data'!$1:$1048576,MATCH(G$1,'Valve Data'!$1:$1,0),0))</f>
        <v/>
      </c>
      <c r="H57" s="21" t="str">
        <f>IF($B57=0,"",VLOOKUP($B57,'Valve Data'!$1:$1048576,MATCH(H$1,'Valve Data'!$1:$1,0),0))</f>
        <v/>
      </c>
      <c r="I57" s="21" t="str">
        <f>IF($B57=0,"",VLOOKUP($B57,'Valve Data'!$1:$1048576,MATCH(I$1,'Valve Data'!$1:$1,0),0))</f>
        <v/>
      </c>
      <c r="J57" s="328" t="str">
        <f>IF($B57=0,"",VLOOKUP($B57,'Valve Data'!$1:$1048576,MATCH(J$1,'Valve Data'!$1:$1,0),0))</f>
        <v/>
      </c>
      <c r="K57" s="21" t="str">
        <f>IF($B57=0,"",VLOOKUP($B57,'Valve Data'!$1:$1048576,MATCH(K$1,'Valve Data'!$1:$1,0),0))</f>
        <v/>
      </c>
      <c r="L57" s="21" t="str">
        <f>IF($B57=0,"",VLOOKUP($B57,'Valve Data'!$1:$1048576,MATCH(L$1,'Valve Data'!$1:$1,0),0))</f>
        <v/>
      </c>
      <c r="M57" s="21" t="str">
        <f>IF($B57=0,"",VLOOKUP($B57,'Valve Data'!$1:$1048576,MATCH(M$1,'Valve Data'!$1:$1,0),0))</f>
        <v/>
      </c>
      <c r="N57" s="21" t="str">
        <f>IF($B57=0,"",VLOOKUP($B57,'Valve Data'!$1:$1048576,MATCH(N$1,'Valve Data'!$1:$1,0),0))</f>
        <v/>
      </c>
      <c r="O57" s="21" t="str">
        <f>IF($B57=0,"",VLOOKUP($B57,'Valve Data'!$1:$1048576,MATCH(O$1,'Valve Data'!$1:$1,0),0))</f>
        <v/>
      </c>
      <c r="P57" s="21" t="str">
        <f>IF($B57=0,"",VLOOKUP($B57,'Valve Data'!$1:$1048576,MATCH(P$1,'Valve Data'!$1:$1,0),0))</f>
        <v/>
      </c>
      <c r="Q57" s="21" t="str">
        <f>IF($B57=0,"",VLOOKUP($B57,'Valve Data'!$1:$1048576,MATCH(Q$1,'Valve Data'!$1:$1,0),0))</f>
        <v/>
      </c>
      <c r="R57" s="21" t="str">
        <f>IF($B57=0,"",VLOOKUP($B57,'Valve Data'!$1:$1048576,MATCH(R$1,'Valve Data'!$1:$1,0),0))</f>
        <v/>
      </c>
      <c r="S57" s="21" t="str">
        <f>IF($B57=0,"",VLOOKUP($B57,'Valve Data'!$1:$1048576,MATCH(S$1,'Valve Data'!$1:$1,0),0))</f>
        <v/>
      </c>
      <c r="T57" s="331" t="str">
        <f>IF($B57=0,"",VLOOKUP($B57,'Valve Data'!$1:$1048576,MATCH(T$1,'Valve Data'!$1:$1,0),0))</f>
        <v/>
      </c>
      <c r="U57" s="91" t="str">
        <f>IF($B57=0,"",VLOOKUP($B57,'Valve Data'!$1:$1048576,MATCH(U$1,'Valve Data'!$1:$1,0),0))</f>
        <v/>
      </c>
      <c r="V57" s="21" t="str">
        <f>IF($B57=0,"",VLOOKUP($B57,'Valve Data'!$1:$1048576,MATCH(V$1,'Valve Data'!$1:$1,0),0))</f>
        <v/>
      </c>
      <c r="W57" s="21" t="str">
        <f>IF($B57=0,"",VLOOKUP($B57,'Valve Data'!$1:$1048576,MATCH(W$1,'Valve Data'!$1:$1,0),0))</f>
        <v/>
      </c>
      <c r="X57" s="331" t="str">
        <f>IF($B57=0,"",VLOOKUP($B57,'Valve Data'!$1:$1048576,MATCH(X$1,'Valve Data'!$1:$1,0),0))</f>
        <v/>
      </c>
      <c r="Y57" s="865"/>
      <c r="Z57" s="683"/>
      <c r="AA57" s="680"/>
      <c r="AB57" s="680"/>
      <c r="AC57" s="680"/>
      <c r="AD57" s="680"/>
      <c r="AE57" s="868"/>
      <c r="AF57" s="866"/>
      <c r="AG57" s="680"/>
      <c r="AH57" s="680"/>
      <c r="AI57" s="680"/>
      <c r="AJ57" s="680"/>
      <c r="AK57" s="680"/>
      <c r="AL57" s="680"/>
      <c r="AM57" s="680"/>
      <c r="AN57" s="680"/>
      <c r="AO57" s="680"/>
      <c r="AP57" s="680"/>
      <c r="AQ57" s="684"/>
      <c r="AR57" s="684"/>
      <c r="AS57" s="684"/>
      <c r="AT57" s="684"/>
      <c r="AU57" s="684"/>
      <c r="AV57" s="271">
        <f t="shared" si="28"/>
        <v>0</v>
      </c>
      <c r="AW57" s="680"/>
      <c r="AX57" s="845">
        <f>IF(F57="Ball_valve",IFERROR(VLOOKUP(E57&amp;"."&amp;D57,'Ball Valves Chart'!$1:$1048576,MATCH(G57,'Ball Valves Chart'!$3:$3,0),0),0),0)+IF(F57="DBB",IFERROR(VLOOKUP(E57&amp;"."&amp;D57,'Ball Valves Chart'!$1:$1048576,MATCH(G57,'Ball Valves Chart'!$3:$3,0),0)*2,0),0)+IFERROR(VLOOKUP(D57&amp;"."&amp;F57,'Manual Valves Chart'!$1:$1048576,MATCH('Valve List'!G71,'Manual Valves Chart'!$1:$1,0),0),0)</f>
        <v>0</v>
      </c>
      <c r="AY57" s="846">
        <f t="shared" si="29"/>
        <v>0</v>
      </c>
      <c r="AZ57" s="854"/>
      <c r="BA57" s="856">
        <f t="shared" si="30"/>
        <v>0</v>
      </c>
      <c r="BC57" s="852">
        <f t="shared" si="31"/>
        <v>0</v>
      </c>
      <c r="BD57" s="398"/>
      <c r="BE57" s="1546">
        <f t="shared" si="39"/>
        <v>0</v>
      </c>
      <c r="BF57" s="1546">
        <f t="shared" si="39"/>
        <v>0</v>
      </c>
      <c r="BG57" s="1546">
        <f t="shared" si="39"/>
        <v>0</v>
      </c>
      <c r="BH57" s="1546">
        <f t="shared" si="39"/>
        <v>0</v>
      </c>
      <c r="BI57" s="1546">
        <f t="shared" si="39"/>
        <v>0</v>
      </c>
      <c r="BJ57" s="1546">
        <f t="shared" si="39"/>
        <v>0</v>
      </c>
      <c r="BK57" s="1546">
        <f t="shared" si="39"/>
        <v>0</v>
      </c>
      <c r="BL57" s="1546">
        <f t="shared" si="39"/>
        <v>0</v>
      </c>
      <c r="BM57" s="1546">
        <f t="shared" si="39"/>
        <v>0</v>
      </c>
      <c r="BN57" s="1546">
        <f t="shared" si="39"/>
        <v>0</v>
      </c>
      <c r="BO57" s="1546">
        <f t="shared" si="40"/>
        <v>0</v>
      </c>
      <c r="BP57" s="1546">
        <f t="shared" si="40"/>
        <v>0</v>
      </c>
      <c r="BQ57" s="1546">
        <f t="shared" si="40"/>
        <v>0</v>
      </c>
      <c r="BR57" s="1546">
        <f t="shared" si="40"/>
        <v>0</v>
      </c>
      <c r="BS57" s="1546">
        <f t="shared" si="40"/>
        <v>0</v>
      </c>
      <c r="BT57" s="1546">
        <f t="shared" si="40"/>
        <v>0</v>
      </c>
      <c r="BU57" s="1546">
        <f t="shared" si="40"/>
        <v>0</v>
      </c>
      <c r="BV57" s="1546">
        <f t="shared" si="40"/>
        <v>0</v>
      </c>
      <c r="BX57" s="1546">
        <f t="shared" si="44"/>
        <v>0</v>
      </c>
      <c r="BY57" s="1546">
        <f t="shared" si="43"/>
        <v>0</v>
      </c>
      <c r="BZ57" s="1546">
        <f t="shared" si="43"/>
        <v>0</v>
      </c>
      <c r="CA57" s="1546">
        <f t="shared" si="43"/>
        <v>0</v>
      </c>
      <c r="CB57" s="1546">
        <f t="shared" si="43"/>
        <v>0</v>
      </c>
      <c r="CC57" s="1546">
        <f t="shared" si="43"/>
        <v>0</v>
      </c>
      <c r="CD57" s="1546">
        <f t="shared" si="43"/>
        <v>0</v>
      </c>
      <c r="CE57" s="1546">
        <f t="shared" si="43"/>
        <v>0</v>
      </c>
      <c r="CF57" s="1546">
        <f t="shared" si="43"/>
        <v>0</v>
      </c>
      <c r="CG57" s="1546">
        <f t="shared" si="43"/>
        <v>0</v>
      </c>
      <c r="CH57" s="1546">
        <f t="shared" si="43"/>
        <v>0</v>
      </c>
      <c r="CI57" s="1546">
        <f t="shared" si="43"/>
        <v>0</v>
      </c>
      <c r="CJ57" s="1546">
        <f t="shared" si="43"/>
        <v>0</v>
      </c>
      <c r="CL57" s="1546">
        <f t="shared" si="36"/>
        <v>0</v>
      </c>
      <c r="CM57" s="1546">
        <f t="shared" si="36"/>
        <v>0</v>
      </c>
      <c r="CN57" s="1546">
        <f t="shared" si="36"/>
        <v>0</v>
      </c>
      <c r="CO57" s="1546">
        <f t="shared" si="36"/>
        <v>0</v>
      </c>
      <c r="CQ57" s="1546">
        <f t="shared" si="32"/>
        <v>0</v>
      </c>
      <c r="CR57" s="1546">
        <f t="shared" si="41"/>
        <v>0</v>
      </c>
      <c r="CS57" s="1546">
        <f t="shared" si="41"/>
        <v>0</v>
      </c>
      <c r="CT57" s="1546">
        <f t="shared" si="41"/>
        <v>0</v>
      </c>
      <c r="CU57" s="1546">
        <f t="shared" si="41"/>
        <v>0</v>
      </c>
      <c r="CV57" s="1546">
        <f t="shared" si="41"/>
        <v>0</v>
      </c>
      <c r="CW57" s="1546">
        <f t="shared" si="41"/>
        <v>0</v>
      </c>
      <c r="CX57" s="1546">
        <f t="shared" si="41"/>
        <v>0</v>
      </c>
      <c r="CY57" s="1546">
        <f t="shared" si="41"/>
        <v>0</v>
      </c>
      <c r="CZ57" s="1546">
        <f t="shared" si="41"/>
        <v>0</v>
      </c>
      <c r="DA57" s="1546">
        <f t="shared" si="41"/>
        <v>0</v>
      </c>
      <c r="DB57" s="1546">
        <f t="shared" si="41"/>
        <v>0</v>
      </c>
      <c r="DC57" s="1546">
        <f t="shared" si="41"/>
        <v>0</v>
      </c>
      <c r="DD57" s="1546">
        <f t="shared" si="41"/>
        <v>0</v>
      </c>
      <c r="DE57" s="1546">
        <f t="shared" si="41"/>
        <v>0</v>
      </c>
      <c r="DF57" s="1546">
        <f t="shared" si="41"/>
        <v>0</v>
      </c>
      <c r="DG57" s="1546">
        <f t="shared" si="13"/>
        <v>1</v>
      </c>
      <c r="DI57" s="1546">
        <f t="shared" si="42"/>
        <v>0</v>
      </c>
      <c r="DJ57" s="1546">
        <f t="shared" si="42"/>
        <v>0</v>
      </c>
      <c r="DK57" s="1546">
        <f t="shared" si="42"/>
        <v>0</v>
      </c>
      <c r="DL57" s="1546">
        <f t="shared" si="42"/>
        <v>0</v>
      </c>
      <c r="DM57" s="1546">
        <f t="shared" si="42"/>
        <v>0</v>
      </c>
      <c r="DN57" s="1546">
        <f t="shared" si="42"/>
        <v>0</v>
      </c>
    </row>
    <row r="58" spans="1:118" x14ac:dyDescent="0.3">
      <c r="A58" s="285">
        <v>56</v>
      </c>
      <c r="B58" s="325">
        <f t="shared" si="27"/>
        <v>0</v>
      </c>
      <c r="C58" s="682"/>
      <c r="D58" s="683"/>
      <c r="E58" s="680"/>
      <c r="F58" s="713"/>
      <c r="G58" s="91" t="str">
        <f>IF($B58=0,"",VLOOKUP($B58,'Valve Data'!$1:$1048576,MATCH(G$1,'Valve Data'!$1:$1,0),0))</f>
        <v/>
      </c>
      <c r="H58" s="21" t="str">
        <f>IF($B58=0,"",VLOOKUP($B58,'Valve Data'!$1:$1048576,MATCH(H$1,'Valve Data'!$1:$1,0),0))</f>
        <v/>
      </c>
      <c r="I58" s="21" t="str">
        <f>IF($B58=0,"",VLOOKUP($B58,'Valve Data'!$1:$1048576,MATCH(I$1,'Valve Data'!$1:$1,0),0))</f>
        <v/>
      </c>
      <c r="J58" s="328" t="str">
        <f>IF($B58=0,"",VLOOKUP($B58,'Valve Data'!$1:$1048576,MATCH(J$1,'Valve Data'!$1:$1,0),0))</f>
        <v/>
      </c>
      <c r="K58" s="21" t="str">
        <f>IF($B58=0,"",VLOOKUP($B58,'Valve Data'!$1:$1048576,MATCH(K$1,'Valve Data'!$1:$1,0),0))</f>
        <v/>
      </c>
      <c r="L58" s="21" t="str">
        <f>IF($B58=0,"",VLOOKUP($B58,'Valve Data'!$1:$1048576,MATCH(L$1,'Valve Data'!$1:$1,0),0))</f>
        <v/>
      </c>
      <c r="M58" s="21" t="str">
        <f>IF($B58=0,"",VLOOKUP($B58,'Valve Data'!$1:$1048576,MATCH(M$1,'Valve Data'!$1:$1,0),0))</f>
        <v/>
      </c>
      <c r="N58" s="21" t="str">
        <f>IF($B58=0,"",VLOOKUP($B58,'Valve Data'!$1:$1048576,MATCH(N$1,'Valve Data'!$1:$1,0),0))</f>
        <v/>
      </c>
      <c r="O58" s="21" t="str">
        <f>IF($B58=0,"",VLOOKUP($B58,'Valve Data'!$1:$1048576,MATCH(O$1,'Valve Data'!$1:$1,0),0))</f>
        <v/>
      </c>
      <c r="P58" s="21" t="str">
        <f>IF($B58=0,"",VLOOKUP($B58,'Valve Data'!$1:$1048576,MATCH(P$1,'Valve Data'!$1:$1,0),0))</f>
        <v/>
      </c>
      <c r="Q58" s="21" t="str">
        <f>IF($B58=0,"",VLOOKUP($B58,'Valve Data'!$1:$1048576,MATCH(Q$1,'Valve Data'!$1:$1,0),0))</f>
        <v/>
      </c>
      <c r="R58" s="21" t="str">
        <f>IF($B58=0,"",VLOOKUP($B58,'Valve Data'!$1:$1048576,MATCH(R$1,'Valve Data'!$1:$1,0),0))</f>
        <v/>
      </c>
      <c r="S58" s="21" t="str">
        <f>IF($B58=0,"",VLOOKUP($B58,'Valve Data'!$1:$1048576,MATCH(S$1,'Valve Data'!$1:$1,0),0))</f>
        <v/>
      </c>
      <c r="T58" s="331" t="str">
        <f>IF($B58=0,"",VLOOKUP($B58,'Valve Data'!$1:$1048576,MATCH(T$1,'Valve Data'!$1:$1,0),0))</f>
        <v/>
      </c>
      <c r="U58" s="91" t="str">
        <f>IF($B58=0,"",VLOOKUP($B58,'Valve Data'!$1:$1048576,MATCH(U$1,'Valve Data'!$1:$1,0),0))</f>
        <v/>
      </c>
      <c r="V58" s="21" t="str">
        <f>IF($B58=0,"",VLOOKUP($B58,'Valve Data'!$1:$1048576,MATCH(V$1,'Valve Data'!$1:$1,0),0))</f>
        <v/>
      </c>
      <c r="W58" s="21" t="str">
        <f>IF($B58=0,"",VLOOKUP($B58,'Valve Data'!$1:$1048576,MATCH(W$1,'Valve Data'!$1:$1,0),0))</f>
        <v/>
      </c>
      <c r="X58" s="331" t="str">
        <f>IF($B58=0,"",VLOOKUP($B58,'Valve Data'!$1:$1048576,MATCH(X$1,'Valve Data'!$1:$1,0),0))</f>
        <v/>
      </c>
      <c r="Y58" s="865"/>
      <c r="Z58" s="683"/>
      <c r="AA58" s="680"/>
      <c r="AB58" s="680"/>
      <c r="AC58" s="680"/>
      <c r="AD58" s="680"/>
      <c r="AE58" s="868"/>
      <c r="AF58" s="866"/>
      <c r="AG58" s="680"/>
      <c r="AH58" s="680"/>
      <c r="AI58" s="680"/>
      <c r="AJ58" s="680"/>
      <c r="AK58" s="680"/>
      <c r="AL58" s="680"/>
      <c r="AM58" s="680"/>
      <c r="AN58" s="680"/>
      <c r="AO58" s="680"/>
      <c r="AP58" s="684"/>
      <c r="AQ58" s="684"/>
      <c r="AR58" s="684"/>
      <c r="AS58" s="684"/>
      <c r="AT58" s="684"/>
      <c r="AU58" s="684"/>
      <c r="AV58" s="271">
        <f t="shared" si="28"/>
        <v>0</v>
      </c>
      <c r="AW58" s="680"/>
      <c r="AX58" s="845">
        <f>IF(F58="Ball_valve",IFERROR(VLOOKUP(E58&amp;"."&amp;D58,'Ball Valves Chart'!$1:$1048576,MATCH(G58,'Ball Valves Chart'!$3:$3,0),0),0),0)+IF(F58="DBB",IFERROR(VLOOKUP(E58&amp;"."&amp;D58,'Ball Valves Chart'!$1:$1048576,MATCH(G58,'Ball Valves Chart'!$3:$3,0),0)*2,0),0)+IFERROR(VLOOKUP(D58&amp;"."&amp;F58,'Manual Valves Chart'!$1:$1048576,MATCH('Valve List'!G58,'Manual Valves Chart'!$1:$1,0),0),0)</f>
        <v>0</v>
      </c>
      <c r="AY58" s="846">
        <f t="shared" si="29"/>
        <v>0</v>
      </c>
      <c r="AZ58" s="854"/>
      <c r="BA58" s="856">
        <f t="shared" si="30"/>
        <v>0</v>
      </c>
      <c r="BB58" s="286"/>
      <c r="BC58" s="852">
        <f t="shared" si="31"/>
        <v>0</v>
      </c>
      <c r="BD58" s="398"/>
      <c r="BE58" s="1546">
        <f t="shared" si="39"/>
        <v>0</v>
      </c>
      <c r="BF58" s="1546">
        <f t="shared" si="39"/>
        <v>0</v>
      </c>
      <c r="BG58" s="1546">
        <f t="shared" si="39"/>
        <v>0</v>
      </c>
      <c r="BH58" s="1546">
        <f t="shared" si="39"/>
        <v>0</v>
      </c>
      <c r="BI58" s="1546">
        <f t="shared" si="39"/>
        <v>0</v>
      </c>
      <c r="BJ58" s="1546">
        <f t="shared" si="39"/>
        <v>0</v>
      </c>
      <c r="BK58" s="1546">
        <f t="shared" si="39"/>
        <v>0</v>
      </c>
      <c r="BL58" s="1546">
        <f t="shared" si="39"/>
        <v>0</v>
      </c>
      <c r="BM58" s="1546">
        <f t="shared" si="39"/>
        <v>0</v>
      </c>
      <c r="BN58" s="1546">
        <f t="shared" si="39"/>
        <v>0</v>
      </c>
      <c r="BO58" s="1546">
        <f t="shared" si="40"/>
        <v>0</v>
      </c>
      <c r="BP58" s="1546">
        <f t="shared" si="40"/>
        <v>0</v>
      </c>
      <c r="BQ58" s="1546">
        <f t="shared" si="40"/>
        <v>0</v>
      </c>
      <c r="BR58" s="1546">
        <f t="shared" si="40"/>
        <v>0</v>
      </c>
      <c r="BS58" s="1546">
        <f t="shared" si="40"/>
        <v>0</v>
      </c>
      <c r="BT58" s="1546">
        <f t="shared" si="40"/>
        <v>0</v>
      </c>
      <c r="BU58" s="1546">
        <f t="shared" si="40"/>
        <v>0</v>
      </c>
      <c r="BV58" s="1546">
        <f t="shared" si="40"/>
        <v>0</v>
      </c>
      <c r="BX58" s="1546">
        <f t="shared" si="44"/>
        <v>0</v>
      </c>
      <c r="BY58" s="1546">
        <f t="shared" si="43"/>
        <v>0</v>
      </c>
      <c r="BZ58" s="1546">
        <f t="shared" si="43"/>
        <v>0</v>
      </c>
      <c r="CA58" s="1546">
        <f t="shared" si="43"/>
        <v>0</v>
      </c>
      <c r="CB58" s="1546">
        <f t="shared" si="43"/>
        <v>0</v>
      </c>
      <c r="CC58" s="1546">
        <f t="shared" si="43"/>
        <v>0</v>
      </c>
      <c r="CD58" s="1546">
        <f t="shared" si="43"/>
        <v>0</v>
      </c>
      <c r="CE58" s="1546">
        <f t="shared" si="43"/>
        <v>0</v>
      </c>
      <c r="CF58" s="1546">
        <f t="shared" si="43"/>
        <v>0</v>
      </c>
      <c r="CG58" s="1546">
        <f t="shared" si="43"/>
        <v>0</v>
      </c>
      <c r="CH58" s="1546">
        <f t="shared" si="43"/>
        <v>0</v>
      </c>
      <c r="CI58" s="1546">
        <f t="shared" si="43"/>
        <v>0</v>
      </c>
      <c r="CJ58" s="1546">
        <f t="shared" si="43"/>
        <v>0</v>
      </c>
      <c r="CL58" s="1546">
        <f t="shared" si="36"/>
        <v>0</v>
      </c>
      <c r="CM58" s="1546">
        <f t="shared" si="36"/>
        <v>0</v>
      </c>
      <c r="CN58" s="1546">
        <f t="shared" si="36"/>
        <v>0</v>
      </c>
      <c r="CO58" s="1546">
        <f t="shared" si="36"/>
        <v>0</v>
      </c>
      <c r="CQ58" s="1546">
        <f t="shared" si="32"/>
        <v>0</v>
      </c>
      <c r="CR58" s="1546">
        <f t="shared" si="41"/>
        <v>0</v>
      </c>
      <c r="CS58" s="1546">
        <f t="shared" si="41"/>
        <v>0</v>
      </c>
      <c r="CT58" s="1546">
        <f t="shared" si="41"/>
        <v>0</v>
      </c>
      <c r="CU58" s="1546">
        <f t="shared" si="41"/>
        <v>0</v>
      </c>
      <c r="CV58" s="1546">
        <f t="shared" si="41"/>
        <v>0</v>
      </c>
      <c r="CW58" s="1546">
        <f t="shared" si="41"/>
        <v>0</v>
      </c>
      <c r="CX58" s="1546">
        <f t="shared" si="41"/>
        <v>0</v>
      </c>
      <c r="CY58" s="1546">
        <f t="shared" si="41"/>
        <v>0</v>
      </c>
      <c r="CZ58" s="1546">
        <f t="shared" si="41"/>
        <v>0</v>
      </c>
      <c r="DA58" s="1546">
        <f t="shared" si="41"/>
        <v>0</v>
      </c>
      <c r="DB58" s="1546">
        <f t="shared" si="41"/>
        <v>0</v>
      </c>
      <c r="DC58" s="1546">
        <f t="shared" si="41"/>
        <v>0</v>
      </c>
      <c r="DD58" s="1546">
        <f t="shared" si="41"/>
        <v>0</v>
      </c>
      <c r="DE58" s="1546">
        <f t="shared" si="41"/>
        <v>0</v>
      </c>
      <c r="DF58" s="1546">
        <f t="shared" si="41"/>
        <v>0</v>
      </c>
      <c r="DG58" s="1546">
        <f t="shared" si="13"/>
        <v>1</v>
      </c>
      <c r="DI58" s="1546">
        <f t="shared" si="42"/>
        <v>0</v>
      </c>
      <c r="DJ58" s="1546">
        <f t="shared" si="42"/>
        <v>0</v>
      </c>
      <c r="DK58" s="1546">
        <f t="shared" si="42"/>
        <v>0</v>
      </c>
      <c r="DL58" s="1546">
        <f t="shared" si="42"/>
        <v>0</v>
      </c>
      <c r="DM58" s="1546">
        <f t="shared" si="42"/>
        <v>0</v>
      </c>
      <c r="DN58" s="1546">
        <f t="shared" si="42"/>
        <v>0</v>
      </c>
    </row>
    <row r="59" spans="1:118" x14ac:dyDescent="0.3">
      <c r="A59" s="285">
        <v>70</v>
      </c>
      <c r="B59" s="325">
        <f t="shared" si="27"/>
        <v>0</v>
      </c>
      <c r="C59" s="682"/>
      <c r="D59" s="683"/>
      <c r="E59" s="680"/>
      <c r="F59" s="713"/>
      <c r="G59" s="91" t="str">
        <f>IF($B59=0,"",VLOOKUP($B59,'Valve Data'!$1:$1048576,MATCH(G$1,'Valve Data'!$1:$1,0),0))</f>
        <v/>
      </c>
      <c r="H59" s="21" t="str">
        <f>IF($B59=0,"",VLOOKUP($B59,'Valve Data'!$1:$1048576,MATCH(H$1,'Valve Data'!$1:$1,0),0))</f>
        <v/>
      </c>
      <c r="I59" s="21" t="str">
        <f>IF($B59=0,"",VLOOKUP($B59,'Valve Data'!$1:$1048576,MATCH(I$1,'Valve Data'!$1:$1,0),0))</f>
        <v/>
      </c>
      <c r="J59" s="328" t="str">
        <f>IF($B59=0,"",VLOOKUP($B59,'Valve Data'!$1:$1048576,MATCH(J$1,'Valve Data'!$1:$1,0),0))</f>
        <v/>
      </c>
      <c r="K59" s="21" t="str">
        <f>IF($B59=0,"",VLOOKUP($B59,'Valve Data'!$1:$1048576,MATCH(K$1,'Valve Data'!$1:$1,0),0))</f>
        <v/>
      </c>
      <c r="L59" s="21" t="str">
        <f>IF($B59=0,"",VLOOKUP($B59,'Valve Data'!$1:$1048576,MATCH(L$1,'Valve Data'!$1:$1,0),0))</f>
        <v/>
      </c>
      <c r="M59" s="21" t="str">
        <f>IF($B59=0,"",VLOOKUP($B59,'Valve Data'!$1:$1048576,MATCH(M$1,'Valve Data'!$1:$1,0),0))</f>
        <v/>
      </c>
      <c r="N59" s="21" t="str">
        <f>IF($B59=0,"",VLOOKUP($B59,'Valve Data'!$1:$1048576,MATCH(N$1,'Valve Data'!$1:$1,0),0))</f>
        <v/>
      </c>
      <c r="O59" s="21" t="str">
        <f>IF($B59=0,"",VLOOKUP($B59,'Valve Data'!$1:$1048576,MATCH(O$1,'Valve Data'!$1:$1,0),0))</f>
        <v/>
      </c>
      <c r="P59" s="21" t="str">
        <f>IF($B59=0,"",VLOOKUP($B59,'Valve Data'!$1:$1048576,MATCH(P$1,'Valve Data'!$1:$1,0),0))</f>
        <v/>
      </c>
      <c r="Q59" s="21" t="str">
        <f>IF($B59=0,"",VLOOKUP($B59,'Valve Data'!$1:$1048576,MATCH(Q$1,'Valve Data'!$1:$1,0),0))</f>
        <v/>
      </c>
      <c r="R59" s="21" t="str">
        <f>IF($B59=0,"",VLOOKUP($B59,'Valve Data'!$1:$1048576,MATCH(R$1,'Valve Data'!$1:$1,0),0))</f>
        <v/>
      </c>
      <c r="S59" s="21" t="str">
        <f>IF($B59=0,"",VLOOKUP($B59,'Valve Data'!$1:$1048576,MATCH(S$1,'Valve Data'!$1:$1,0),0))</f>
        <v/>
      </c>
      <c r="T59" s="331" t="str">
        <f>IF($B59=0,"",VLOOKUP($B59,'Valve Data'!$1:$1048576,MATCH(T$1,'Valve Data'!$1:$1,0),0))</f>
        <v/>
      </c>
      <c r="U59" s="91" t="str">
        <f>IF($B59=0,"",VLOOKUP($B59,'Valve Data'!$1:$1048576,MATCH(U$1,'Valve Data'!$1:$1,0),0))</f>
        <v/>
      </c>
      <c r="V59" s="21" t="str">
        <f>IF($B59=0,"",VLOOKUP($B59,'Valve Data'!$1:$1048576,MATCH(V$1,'Valve Data'!$1:$1,0),0))</f>
        <v/>
      </c>
      <c r="W59" s="21" t="str">
        <f>IF($B59=0,"",VLOOKUP($B59,'Valve Data'!$1:$1048576,MATCH(W$1,'Valve Data'!$1:$1,0),0))</f>
        <v/>
      </c>
      <c r="X59" s="331" t="str">
        <f>IF($B59=0,"",VLOOKUP($B59,'Valve Data'!$1:$1048576,MATCH(X$1,'Valve Data'!$1:$1,0),0))</f>
        <v/>
      </c>
      <c r="Y59" s="865"/>
      <c r="Z59" s="683"/>
      <c r="AA59" s="680"/>
      <c r="AB59" s="680"/>
      <c r="AC59" s="680"/>
      <c r="AD59" s="680"/>
      <c r="AE59" s="868"/>
      <c r="AF59" s="866"/>
      <c r="AG59" s="680"/>
      <c r="AH59" s="680"/>
      <c r="AI59" s="680"/>
      <c r="AJ59" s="680"/>
      <c r="AK59" s="680"/>
      <c r="AL59" s="680"/>
      <c r="AM59" s="680"/>
      <c r="AN59" s="680"/>
      <c r="AO59" s="680"/>
      <c r="AP59" s="684"/>
      <c r="AQ59" s="680"/>
      <c r="AR59" s="684"/>
      <c r="AS59" s="684"/>
      <c r="AT59" s="684"/>
      <c r="AU59" s="684"/>
      <c r="AV59" s="271">
        <f t="shared" si="28"/>
        <v>0</v>
      </c>
      <c r="AW59" s="680"/>
      <c r="AX59" s="845">
        <f>IF(F59="Ball_valve",IFERROR(VLOOKUP(E59&amp;"."&amp;D59,'Ball Valves Chart'!$1:$1048576,MATCH(G59,'Ball Valves Chart'!$3:$3,0),0),0),0)+IF(F59="DBB",IFERROR(VLOOKUP(E59&amp;"."&amp;D59,'Ball Valves Chart'!$1:$1048576,MATCH(G59,'Ball Valves Chart'!$3:$3,0),0)*2,0),0)+IFERROR(VLOOKUP(D59&amp;"."&amp;F59,'Manual Valves Chart'!$1:$1048576,MATCH('Valve List'!G72,'Manual Valves Chart'!$1:$1,0),0),0)</f>
        <v>0</v>
      </c>
      <c r="AY59" s="846">
        <f t="shared" si="29"/>
        <v>0</v>
      </c>
      <c r="AZ59" s="854"/>
      <c r="BA59" s="856">
        <f t="shared" si="30"/>
        <v>0</v>
      </c>
      <c r="BC59" s="852">
        <f t="shared" si="31"/>
        <v>0</v>
      </c>
      <c r="BD59" s="398"/>
      <c r="BE59" s="1546">
        <f t="shared" si="39"/>
        <v>0</v>
      </c>
      <c r="BF59" s="1546">
        <f t="shared" si="39"/>
        <v>0</v>
      </c>
      <c r="BG59" s="1546">
        <f t="shared" si="39"/>
        <v>0</v>
      </c>
      <c r="BH59" s="1546">
        <f t="shared" si="39"/>
        <v>0</v>
      </c>
      <c r="BI59" s="1546">
        <f t="shared" si="39"/>
        <v>0</v>
      </c>
      <c r="BJ59" s="1546">
        <f t="shared" si="39"/>
        <v>0</v>
      </c>
      <c r="BK59" s="1546">
        <f t="shared" si="39"/>
        <v>0</v>
      </c>
      <c r="BL59" s="1546">
        <f t="shared" si="39"/>
        <v>0</v>
      </c>
      <c r="BM59" s="1546">
        <f t="shared" si="39"/>
        <v>0</v>
      </c>
      <c r="BN59" s="1546">
        <f t="shared" si="39"/>
        <v>0</v>
      </c>
      <c r="BO59" s="1546">
        <f t="shared" si="40"/>
        <v>0</v>
      </c>
      <c r="BP59" s="1546">
        <f t="shared" si="40"/>
        <v>0</v>
      </c>
      <c r="BQ59" s="1546">
        <f t="shared" si="40"/>
        <v>0</v>
      </c>
      <c r="BR59" s="1546">
        <f t="shared" si="40"/>
        <v>0</v>
      </c>
      <c r="BS59" s="1546">
        <f t="shared" si="40"/>
        <v>0</v>
      </c>
      <c r="BT59" s="1546">
        <f t="shared" si="40"/>
        <v>0</v>
      </c>
      <c r="BU59" s="1546">
        <f t="shared" si="40"/>
        <v>0</v>
      </c>
      <c r="BV59" s="1546">
        <f t="shared" si="40"/>
        <v>0</v>
      </c>
      <c r="BX59" s="1546">
        <f t="shared" si="44"/>
        <v>0</v>
      </c>
      <c r="BY59" s="1546">
        <f t="shared" si="43"/>
        <v>0</v>
      </c>
      <c r="BZ59" s="1546">
        <f t="shared" si="43"/>
        <v>0</v>
      </c>
      <c r="CA59" s="1546">
        <f t="shared" si="43"/>
        <v>0</v>
      </c>
      <c r="CB59" s="1546">
        <f t="shared" si="43"/>
        <v>0</v>
      </c>
      <c r="CC59" s="1546">
        <f t="shared" si="43"/>
        <v>0</v>
      </c>
      <c r="CD59" s="1546">
        <f t="shared" si="43"/>
        <v>0</v>
      </c>
      <c r="CE59" s="1546">
        <f t="shared" si="43"/>
        <v>0</v>
      </c>
      <c r="CF59" s="1546">
        <f t="shared" si="43"/>
        <v>0</v>
      </c>
      <c r="CG59" s="1546">
        <f t="shared" si="43"/>
        <v>0</v>
      </c>
      <c r="CH59" s="1546">
        <f t="shared" si="43"/>
        <v>0</v>
      </c>
      <c r="CI59" s="1546">
        <f t="shared" si="43"/>
        <v>0</v>
      </c>
      <c r="CJ59" s="1546">
        <f t="shared" si="43"/>
        <v>0</v>
      </c>
      <c r="CL59" s="1546">
        <f t="shared" si="36"/>
        <v>0</v>
      </c>
      <c r="CM59" s="1546">
        <f t="shared" si="36"/>
        <v>0</v>
      </c>
      <c r="CN59" s="1546">
        <f t="shared" si="36"/>
        <v>0</v>
      </c>
      <c r="CO59" s="1546">
        <f t="shared" si="36"/>
        <v>0</v>
      </c>
      <c r="CQ59" s="1546">
        <f t="shared" si="32"/>
        <v>0</v>
      </c>
      <c r="CR59" s="1546">
        <f t="shared" si="41"/>
        <v>0</v>
      </c>
      <c r="CS59" s="1546">
        <f t="shared" si="41"/>
        <v>0</v>
      </c>
      <c r="CT59" s="1546">
        <f t="shared" si="41"/>
        <v>0</v>
      </c>
      <c r="CU59" s="1546">
        <f t="shared" si="41"/>
        <v>0</v>
      </c>
      <c r="CV59" s="1546">
        <f t="shared" si="41"/>
        <v>0</v>
      </c>
      <c r="CW59" s="1546">
        <f t="shared" si="41"/>
        <v>0</v>
      </c>
      <c r="CX59" s="1546">
        <f t="shared" si="41"/>
        <v>0</v>
      </c>
      <c r="CY59" s="1546">
        <f t="shared" si="41"/>
        <v>0</v>
      </c>
      <c r="CZ59" s="1546">
        <f t="shared" si="41"/>
        <v>0</v>
      </c>
      <c r="DA59" s="1546">
        <f t="shared" si="41"/>
        <v>0</v>
      </c>
      <c r="DB59" s="1546">
        <f t="shared" si="41"/>
        <v>0</v>
      </c>
      <c r="DC59" s="1546">
        <f t="shared" si="41"/>
        <v>0</v>
      </c>
      <c r="DD59" s="1546">
        <f t="shared" si="41"/>
        <v>0</v>
      </c>
      <c r="DE59" s="1546">
        <f t="shared" si="41"/>
        <v>0</v>
      </c>
      <c r="DF59" s="1546">
        <f t="shared" si="41"/>
        <v>0</v>
      </c>
      <c r="DG59" s="1546">
        <f t="shared" si="13"/>
        <v>1</v>
      </c>
      <c r="DI59" s="1546">
        <f t="shared" si="42"/>
        <v>0</v>
      </c>
      <c r="DJ59" s="1546">
        <f t="shared" si="42"/>
        <v>0</v>
      </c>
      <c r="DK59" s="1546">
        <f t="shared" si="42"/>
        <v>0</v>
      </c>
      <c r="DL59" s="1546">
        <f t="shared" si="42"/>
        <v>0</v>
      </c>
      <c r="DM59" s="1546">
        <f t="shared" si="42"/>
        <v>0</v>
      </c>
      <c r="DN59" s="1546">
        <f t="shared" si="42"/>
        <v>0</v>
      </c>
    </row>
    <row r="60" spans="1:118" x14ac:dyDescent="0.3">
      <c r="A60" s="285">
        <v>16</v>
      </c>
      <c r="B60" s="325">
        <f t="shared" si="27"/>
        <v>0</v>
      </c>
      <c r="C60" s="682"/>
      <c r="D60" s="683"/>
      <c r="E60" s="680"/>
      <c r="F60" s="713"/>
      <c r="G60" s="91" t="str">
        <f>IF($B60=0,"",VLOOKUP($B60,'Valve Data'!$1:$1048576,MATCH(G$1,'Valve Data'!$1:$1,0),0))</f>
        <v/>
      </c>
      <c r="H60" s="21" t="str">
        <f>IF($B60=0,"",VLOOKUP($B60,'Valve Data'!$1:$1048576,MATCH(H$1,'Valve Data'!$1:$1,0),0))</f>
        <v/>
      </c>
      <c r="I60" s="21" t="str">
        <f>IF($B60=0,"",VLOOKUP($B60,'Valve Data'!$1:$1048576,MATCH(I$1,'Valve Data'!$1:$1,0),0))</f>
        <v/>
      </c>
      <c r="J60" s="328" t="str">
        <f>IF($B60=0,"",VLOOKUP($B60,'Valve Data'!$1:$1048576,MATCH(J$1,'Valve Data'!$1:$1,0),0))</f>
        <v/>
      </c>
      <c r="K60" s="21" t="str">
        <f>IF($B60=0,"",VLOOKUP($B60,'Valve Data'!$1:$1048576,MATCH(K$1,'Valve Data'!$1:$1,0),0))</f>
        <v/>
      </c>
      <c r="L60" s="21" t="str">
        <f>IF($B60=0,"",VLOOKUP($B60,'Valve Data'!$1:$1048576,MATCH(L$1,'Valve Data'!$1:$1,0),0))</f>
        <v/>
      </c>
      <c r="M60" s="21" t="str">
        <f>IF($B60=0,"",VLOOKUP($B60,'Valve Data'!$1:$1048576,MATCH(M$1,'Valve Data'!$1:$1,0),0))</f>
        <v/>
      </c>
      <c r="N60" s="21" t="str">
        <f>IF($B60=0,"",VLOOKUP($B60,'Valve Data'!$1:$1048576,MATCH(N$1,'Valve Data'!$1:$1,0),0))</f>
        <v/>
      </c>
      <c r="O60" s="21" t="str">
        <f>IF($B60=0,"",VLOOKUP($B60,'Valve Data'!$1:$1048576,MATCH(O$1,'Valve Data'!$1:$1,0),0))</f>
        <v/>
      </c>
      <c r="P60" s="21" t="str">
        <f>IF($B60=0,"",VLOOKUP($B60,'Valve Data'!$1:$1048576,MATCH(P$1,'Valve Data'!$1:$1,0),0))</f>
        <v/>
      </c>
      <c r="Q60" s="21" t="str">
        <f>IF($B60=0,"",VLOOKUP($B60,'Valve Data'!$1:$1048576,MATCH(Q$1,'Valve Data'!$1:$1,0),0))</f>
        <v/>
      </c>
      <c r="R60" s="21" t="str">
        <f>IF($B60=0,"",VLOOKUP($B60,'Valve Data'!$1:$1048576,MATCH(R$1,'Valve Data'!$1:$1,0),0))</f>
        <v/>
      </c>
      <c r="S60" s="21" t="str">
        <f>IF($B60=0,"",VLOOKUP($B60,'Valve Data'!$1:$1048576,MATCH(S$1,'Valve Data'!$1:$1,0),0))</f>
        <v/>
      </c>
      <c r="T60" s="331" t="str">
        <f>IF($B60=0,"",VLOOKUP($B60,'Valve Data'!$1:$1048576,MATCH(T$1,'Valve Data'!$1:$1,0),0))</f>
        <v/>
      </c>
      <c r="U60" s="91" t="str">
        <f>IF($B60=0,"",VLOOKUP($B60,'Valve Data'!$1:$1048576,MATCH(U$1,'Valve Data'!$1:$1,0),0))</f>
        <v/>
      </c>
      <c r="V60" s="21" t="str">
        <f>IF($B60=0,"",VLOOKUP($B60,'Valve Data'!$1:$1048576,MATCH(V$1,'Valve Data'!$1:$1,0),0))</f>
        <v/>
      </c>
      <c r="W60" s="21" t="str">
        <f>IF($B60=0,"",VLOOKUP($B60,'Valve Data'!$1:$1048576,MATCH(W$1,'Valve Data'!$1:$1,0),0))</f>
        <v/>
      </c>
      <c r="X60" s="331" t="str">
        <f>IF($B60=0,"",VLOOKUP($B60,'Valve Data'!$1:$1048576,MATCH(X$1,'Valve Data'!$1:$1,0),0))</f>
        <v/>
      </c>
      <c r="Y60" s="865"/>
      <c r="Z60" s="683"/>
      <c r="AA60" s="680"/>
      <c r="AB60" s="680"/>
      <c r="AC60" s="680"/>
      <c r="AD60" s="680"/>
      <c r="AE60" s="868"/>
      <c r="AF60" s="866"/>
      <c r="AG60" s="680"/>
      <c r="AH60" s="680"/>
      <c r="AI60" s="680"/>
      <c r="AJ60" s="680"/>
      <c r="AK60" s="680"/>
      <c r="AL60" s="680"/>
      <c r="AM60" s="680"/>
      <c r="AN60" s="680"/>
      <c r="AO60" s="680"/>
      <c r="AP60" s="684"/>
      <c r="AQ60" s="680"/>
      <c r="AR60" s="684"/>
      <c r="AS60" s="684"/>
      <c r="AT60" s="684"/>
      <c r="AU60" s="684"/>
      <c r="AV60" s="271">
        <f t="shared" si="28"/>
        <v>0</v>
      </c>
      <c r="AW60" s="680"/>
      <c r="AX60" s="845">
        <f>IF(F60="Ball_valve",IFERROR(VLOOKUP(E60&amp;"."&amp;D60,'Ball Valves Chart'!$1:$1048576,MATCH(G60,'Ball Valves Chart'!$3:$3,0),0),0),0)+IF(F60="DBB",IFERROR(VLOOKUP(E60&amp;"."&amp;D60,'Ball Valves Chart'!$1:$1048576,MATCH(G60,'Ball Valves Chart'!$3:$3,0),0)*2,0),0)+IFERROR(VLOOKUP(D60&amp;"."&amp;F60,'Manual Valves Chart'!$1:$1048576,MATCH('Valve List'!G18,'Manual Valves Chart'!$1:$1,0),0),0)</f>
        <v>0</v>
      </c>
      <c r="AY60" s="846">
        <f t="shared" si="29"/>
        <v>0</v>
      </c>
      <c r="AZ60" s="854"/>
      <c r="BA60" s="856">
        <f t="shared" si="30"/>
        <v>0</v>
      </c>
      <c r="BB60" s="286"/>
      <c r="BC60" s="852">
        <f t="shared" si="31"/>
        <v>0</v>
      </c>
      <c r="BD60" s="398"/>
      <c r="BE60" s="1546">
        <f t="shared" si="39"/>
        <v>0</v>
      </c>
      <c r="BF60" s="1546">
        <f t="shared" si="39"/>
        <v>0</v>
      </c>
      <c r="BG60" s="1546">
        <f t="shared" si="39"/>
        <v>0</v>
      </c>
      <c r="BH60" s="1546">
        <f t="shared" si="39"/>
        <v>0</v>
      </c>
      <c r="BI60" s="1546">
        <f t="shared" si="39"/>
        <v>0</v>
      </c>
      <c r="BJ60" s="1546">
        <f t="shared" si="39"/>
        <v>0</v>
      </c>
      <c r="BK60" s="1546">
        <f t="shared" si="39"/>
        <v>0</v>
      </c>
      <c r="BL60" s="1546">
        <f t="shared" si="39"/>
        <v>0</v>
      </c>
      <c r="BM60" s="1546">
        <f t="shared" si="39"/>
        <v>0</v>
      </c>
      <c r="BN60" s="1546">
        <f t="shared" si="39"/>
        <v>0</v>
      </c>
      <c r="BO60" s="1546">
        <f t="shared" si="40"/>
        <v>0</v>
      </c>
      <c r="BP60" s="1546">
        <f t="shared" si="40"/>
        <v>0</v>
      </c>
      <c r="BQ60" s="1546">
        <f t="shared" si="40"/>
        <v>0</v>
      </c>
      <c r="BR60" s="1546">
        <f t="shared" si="40"/>
        <v>0</v>
      </c>
      <c r="BS60" s="1546">
        <f t="shared" si="40"/>
        <v>0</v>
      </c>
      <c r="BT60" s="1546">
        <f t="shared" si="40"/>
        <v>0</v>
      </c>
      <c r="BU60" s="1546">
        <f t="shared" si="40"/>
        <v>0</v>
      </c>
      <c r="BV60" s="1546">
        <f t="shared" si="40"/>
        <v>0</v>
      </c>
      <c r="BX60" s="1546">
        <f t="shared" si="44"/>
        <v>0</v>
      </c>
      <c r="BY60" s="1546">
        <f t="shared" si="43"/>
        <v>0</v>
      </c>
      <c r="BZ60" s="1546">
        <f t="shared" si="43"/>
        <v>0</v>
      </c>
      <c r="CA60" s="1546">
        <f t="shared" si="43"/>
        <v>0</v>
      </c>
      <c r="CB60" s="1546">
        <f t="shared" si="43"/>
        <v>0</v>
      </c>
      <c r="CC60" s="1546">
        <f t="shared" si="43"/>
        <v>0</v>
      </c>
      <c r="CD60" s="1546">
        <f t="shared" si="43"/>
        <v>0</v>
      </c>
      <c r="CE60" s="1546">
        <f t="shared" si="43"/>
        <v>0</v>
      </c>
      <c r="CF60" s="1546">
        <f t="shared" si="43"/>
        <v>0</v>
      </c>
      <c r="CG60" s="1546">
        <f t="shared" si="43"/>
        <v>0</v>
      </c>
      <c r="CH60" s="1546">
        <f t="shared" si="43"/>
        <v>0</v>
      </c>
      <c r="CI60" s="1546">
        <f t="shared" si="43"/>
        <v>0</v>
      </c>
      <c r="CJ60" s="1546">
        <f t="shared" si="43"/>
        <v>0</v>
      </c>
      <c r="CL60" s="1546">
        <f t="shared" si="36"/>
        <v>0</v>
      </c>
      <c r="CM60" s="1546">
        <f t="shared" si="36"/>
        <v>0</v>
      </c>
      <c r="CN60" s="1546">
        <f t="shared" si="36"/>
        <v>0</v>
      </c>
      <c r="CO60" s="1546">
        <f t="shared" si="36"/>
        <v>0</v>
      </c>
      <c r="CQ60" s="1546">
        <f t="shared" si="32"/>
        <v>0</v>
      </c>
      <c r="CR60" s="1546">
        <f t="shared" si="41"/>
        <v>0</v>
      </c>
      <c r="CS60" s="1546">
        <f t="shared" si="41"/>
        <v>0</v>
      </c>
      <c r="CT60" s="1546">
        <f t="shared" si="41"/>
        <v>0</v>
      </c>
      <c r="CU60" s="1546">
        <f t="shared" si="41"/>
        <v>0</v>
      </c>
      <c r="CV60" s="1546">
        <f t="shared" si="41"/>
        <v>0</v>
      </c>
      <c r="CW60" s="1546">
        <f t="shared" si="41"/>
        <v>0</v>
      </c>
      <c r="CX60" s="1546">
        <f t="shared" si="41"/>
        <v>0</v>
      </c>
      <c r="CY60" s="1546">
        <f t="shared" si="41"/>
        <v>0</v>
      </c>
      <c r="CZ60" s="1546">
        <f t="shared" si="41"/>
        <v>0</v>
      </c>
      <c r="DA60" s="1546">
        <f t="shared" si="41"/>
        <v>0</v>
      </c>
      <c r="DB60" s="1546">
        <f t="shared" si="41"/>
        <v>0</v>
      </c>
      <c r="DC60" s="1546">
        <f t="shared" si="41"/>
        <v>0</v>
      </c>
      <c r="DD60" s="1546">
        <f t="shared" si="41"/>
        <v>0</v>
      </c>
      <c r="DE60" s="1546">
        <f t="shared" si="41"/>
        <v>0</v>
      </c>
      <c r="DF60" s="1546">
        <f t="shared" si="41"/>
        <v>0</v>
      </c>
      <c r="DG60" s="1546">
        <f t="shared" si="13"/>
        <v>1</v>
      </c>
      <c r="DI60" s="1546">
        <f t="shared" si="42"/>
        <v>0</v>
      </c>
      <c r="DJ60" s="1546">
        <f t="shared" si="42"/>
        <v>0</v>
      </c>
      <c r="DK60" s="1546">
        <f t="shared" si="42"/>
        <v>0</v>
      </c>
      <c r="DL60" s="1546">
        <f t="shared" si="42"/>
        <v>0</v>
      </c>
      <c r="DM60" s="1546">
        <f t="shared" si="42"/>
        <v>0</v>
      </c>
      <c r="DN60" s="1546">
        <f t="shared" si="42"/>
        <v>0</v>
      </c>
    </row>
    <row r="61" spans="1:118" x14ac:dyDescent="0.3">
      <c r="A61" s="285">
        <v>17</v>
      </c>
      <c r="B61" s="325">
        <f t="shared" si="27"/>
        <v>0</v>
      </c>
      <c r="C61" s="682"/>
      <c r="D61" s="683"/>
      <c r="E61" s="680"/>
      <c r="F61" s="713"/>
      <c r="G61" s="91" t="str">
        <f>IF($B61=0,"",VLOOKUP($B61,'Valve Data'!$1:$1048576,MATCH(G$1,'Valve Data'!$1:$1,0),0))</f>
        <v/>
      </c>
      <c r="H61" s="21" t="str">
        <f>IF($B61=0,"",VLOOKUP($B61,'Valve Data'!$1:$1048576,MATCH(H$1,'Valve Data'!$1:$1,0),0))</f>
        <v/>
      </c>
      <c r="I61" s="21" t="str">
        <f>IF($B61=0,"",VLOOKUP($B61,'Valve Data'!$1:$1048576,MATCH(I$1,'Valve Data'!$1:$1,0),0))</f>
        <v/>
      </c>
      <c r="J61" s="328" t="str">
        <f>IF($B61=0,"",VLOOKUP($B61,'Valve Data'!$1:$1048576,MATCH(J$1,'Valve Data'!$1:$1,0),0))</f>
        <v/>
      </c>
      <c r="K61" s="21" t="str">
        <f>IF($B61=0,"",VLOOKUP($B61,'Valve Data'!$1:$1048576,MATCH(K$1,'Valve Data'!$1:$1,0),0))</f>
        <v/>
      </c>
      <c r="L61" s="21" t="str">
        <f>IF($B61=0,"",VLOOKUP($B61,'Valve Data'!$1:$1048576,MATCH(L$1,'Valve Data'!$1:$1,0),0))</f>
        <v/>
      </c>
      <c r="M61" s="21" t="str">
        <f>IF($B61=0,"",VLOOKUP($B61,'Valve Data'!$1:$1048576,MATCH(M$1,'Valve Data'!$1:$1,0),0))</f>
        <v/>
      </c>
      <c r="N61" s="21" t="str">
        <f>IF($B61=0,"",VLOOKUP($B61,'Valve Data'!$1:$1048576,MATCH(N$1,'Valve Data'!$1:$1,0),0))</f>
        <v/>
      </c>
      <c r="O61" s="21" t="str">
        <f>IF($B61=0,"",VLOOKUP($B61,'Valve Data'!$1:$1048576,MATCH(O$1,'Valve Data'!$1:$1,0),0))</f>
        <v/>
      </c>
      <c r="P61" s="21" t="str">
        <f>IF($B61=0,"",VLOOKUP($B61,'Valve Data'!$1:$1048576,MATCH(P$1,'Valve Data'!$1:$1,0),0))</f>
        <v/>
      </c>
      <c r="Q61" s="21" t="str">
        <f>IF($B61=0,"",VLOOKUP($B61,'Valve Data'!$1:$1048576,MATCH(Q$1,'Valve Data'!$1:$1,0),0))</f>
        <v/>
      </c>
      <c r="R61" s="21" t="str">
        <f>IF($B61=0,"",VLOOKUP($B61,'Valve Data'!$1:$1048576,MATCH(R$1,'Valve Data'!$1:$1,0),0))</f>
        <v/>
      </c>
      <c r="S61" s="21" t="str">
        <f>IF($B61=0,"",VLOOKUP($B61,'Valve Data'!$1:$1048576,MATCH(S$1,'Valve Data'!$1:$1,0),0))</f>
        <v/>
      </c>
      <c r="T61" s="331" t="str">
        <f>IF($B61=0,"",VLOOKUP($B61,'Valve Data'!$1:$1048576,MATCH(T$1,'Valve Data'!$1:$1,0),0))</f>
        <v/>
      </c>
      <c r="U61" s="91" t="str">
        <f>IF($B61=0,"",VLOOKUP($B61,'Valve Data'!$1:$1048576,MATCH(U$1,'Valve Data'!$1:$1,0),0))</f>
        <v/>
      </c>
      <c r="V61" s="21" t="str">
        <f>IF($B61=0,"",VLOOKUP($B61,'Valve Data'!$1:$1048576,MATCH(V$1,'Valve Data'!$1:$1,0),0))</f>
        <v/>
      </c>
      <c r="W61" s="21" t="str">
        <f>IF($B61=0,"",VLOOKUP($B61,'Valve Data'!$1:$1048576,MATCH(W$1,'Valve Data'!$1:$1,0),0))</f>
        <v/>
      </c>
      <c r="X61" s="331" t="str">
        <f>IF($B61=0,"",VLOOKUP($B61,'Valve Data'!$1:$1048576,MATCH(X$1,'Valve Data'!$1:$1,0),0))</f>
        <v/>
      </c>
      <c r="Y61" s="865"/>
      <c r="Z61" s="683"/>
      <c r="AA61" s="680"/>
      <c r="AB61" s="680"/>
      <c r="AC61" s="680"/>
      <c r="AD61" s="680"/>
      <c r="AE61" s="868"/>
      <c r="AF61" s="866"/>
      <c r="AG61" s="680"/>
      <c r="AH61" s="680"/>
      <c r="AI61" s="680"/>
      <c r="AJ61" s="680"/>
      <c r="AK61" s="680"/>
      <c r="AL61" s="680"/>
      <c r="AM61" s="680"/>
      <c r="AN61" s="680"/>
      <c r="AO61" s="680"/>
      <c r="AP61" s="684"/>
      <c r="AQ61" s="680"/>
      <c r="AR61" s="684"/>
      <c r="AS61" s="684"/>
      <c r="AT61" s="684"/>
      <c r="AU61" s="684"/>
      <c r="AV61" s="271">
        <f t="shared" si="28"/>
        <v>0</v>
      </c>
      <c r="AW61" s="680"/>
      <c r="AX61" s="845">
        <f>IF(F61="Ball_valve",IFERROR(VLOOKUP(E61&amp;"."&amp;D61,'Ball Valves Chart'!$1:$1048576,MATCH(G61,'Ball Valves Chart'!$3:$3,0),0),0),0)+IF(F61="DBB",IFERROR(VLOOKUP(E61&amp;"."&amp;D61,'Ball Valves Chart'!$1:$1048576,MATCH(G61,'Ball Valves Chart'!$3:$3,0),0)*2,0),0)+IFERROR(VLOOKUP(D61&amp;"."&amp;F61,'Manual Valves Chart'!$1:$1048576,MATCH('Valve List'!G19,'Manual Valves Chart'!$1:$1,0),0),0)</f>
        <v>0</v>
      </c>
      <c r="AY61" s="846">
        <f t="shared" si="29"/>
        <v>0</v>
      </c>
      <c r="AZ61" s="854"/>
      <c r="BA61" s="856">
        <f t="shared" si="30"/>
        <v>0</v>
      </c>
      <c r="BB61" s="286"/>
      <c r="BC61" s="852">
        <f t="shared" si="31"/>
        <v>0</v>
      </c>
      <c r="BD61" s="398"/>
      <c r="BE61" s="1546">
        <f t="shared" si="39"/>
        <v>0</v>
      </c>
      <c r="BF61" s="1546">
        <f t="shared" si="39"/>
        <v>0</v>
      </c>
      <c r="BG61" s="1546">
        <f t="shared" si="39"/>
        <v>0</v>
      </c>
      <c r="BH61" s="1546">
        <f t="shared" si="39"/>
        <v>0</v>
      </c>
      <c r="BI61" s="1546">
        <f t="shared" si="39"/>
        <v>0</v>
      </c>
      <c r="BJ61" s="1546">
        <f t="shared" si="39"/>
        <v>0</v>
      </c>
      <c r="BK61" s="1546">
        <f t="shared" si="39"/>
        <v>0</v>
      </c>
      <c r="BL61" s="1546">
        <f t="shared" si="39"/>
        <v>0</v>
      </c>
      <c r="BM61" s="1546">
        <f t="shared" si="39"/>
        <v>0</v>
      </c>
      <c r="BN61" s="1546">
        <f t="shared" si="39"/>
        <v>0</v>
      </c>
      <c r="BO61" s="1546">
        <f t="shared" si="40"/>
        <v>0</v>
      </c>
      <c r="BP61" s="1546">
        <f t="shared" si="40"/>
        <v>0</v>
      </c>
      <c r="BQ61" s="1546">
        <f t="shared" si="40"/>
        <v>0</v>
      </c>
      <c r="BR61" s="1546">
        <f t="shared" si="40"/>
        <v>0</v>
      </c>
      <c r="BS61" s="1546">
        <f t="shared" si="40"/>
        <v>0</v>
      </c>
      <c r="BT61" s="1546">
        <f t="shared" si="40"/>
        <v>0</v>
      </c>
      <c r="BU61" s="1546">
        <f t="shared" si="40"/>
        <v>0</v>
      </c>
      <c r="BV61" s="1546">
        <f t="shared" si="40"/>
        <v>0</v>
      </c>
      <c r="BX61" s="1546">
        <f t="shared" si="44"/>
        <v>0</v>
      </c>
      <c r="BY61" s="1546">
        <f t="shared" si="43"/>
        <v>0</v>
      </c>
      <c r="BZ61" s="1546">
        <f t="shared" si="43"/>
        <v>0</v>
      </c>
      <c r="CA61" s="1546">
        <f t="shared" si="43"/>
        <v>0</v>
      </c>
      <c r="CB61" s="1546">
        <f t="shared" si="43"/>
        <v>0</v>
      </c>
      <c r="CC61" s="1546">
        <f t="shared" si="43"/>
        <v>0</v>
      </c>
      <c r="CD61" s="1546">
        <f t="shared" si="43"/>
        <v>0</v>
      </c>
      <c r="CE61" s="1546">
        <f t="shared" si="43"/>
        <v>0</v>
      </c>
      <c r="CF61" s="1546">
        <f t="shared" si="43"/>
        <v>0</v>
      </c>
      <c r="CG61" s="1546">
        <f t="shared" si="43"/>
        <v>0</v>
      </c>
      <c r="CH61" s="1546">
        <f t="shared" si="43"/>
        <v>0</v>
      </c>
      <c r="CI61" s="1546">
        <f t="shared" si="43"/>
        <v>0</v>
      </c>
      <c r="CJ61" s="1546">
        <f t="shared" si="43"/>
        <v>0</v>
      </c>
      <c r="CL61" s="1546">
        <f t="shared" si="36"/>
        <v>0</v>
      </c>
      <c r="CM61" s="1546">
        <f t="shared" si="36"/>
        <v>0</v>
      </c>
      <c r="CN61" s="1546">
        <f t="shared" si="36"/>
        <v>0</v>
      </c>
      <c r="CO61" s="1546">
        <f t="shared" si="36"/>
        <v>0</v>
      </c>
      <c r="CQ61" s="1546">
        <f t="shared" si="32"/>
        <v>0</v>
      </c>
      <c r="CR61" s="1546">
        <f t="shared" si="41"/>
        <v>0</v>
      </c>
      <c r="CS61" s="1546">
        <f t="shared" si="41"/>
        <v>0</v>
      </c>
      <c r="CT61" s="1546">
        <f t="shared" si="41"/>
        <v>0</v>
      </c>
      <c r="CU61" s="1546">
        <f t="shared" si="41"/>
        <v>0</v>
      </c>
      <c r="CV61" s="1546">
        <f t="shared" si="41"/>
        <v>0</v>
      </c>
      <c r="CW61" s="1546">
        <f t="shared" si="41"/>
        <v>0</v>
      </c>
      <c r="CX61" s="1546">
        <f t="shared" si="41"/>
        <v>0</v>
      </c>
      <c r="CY61" s="1546">
        <f t="shared" si="41"/>
        <v>0</v>
      </c>
      <c r="CZ61" s="1546">
        <f t="shared" si="41"/>
        <v>0</v>
      </c>
      <c r="DA61" s="1546">
        <f t="shared" si="41"/>
        <v>0</v>
      </c>
      <c r="DB61" s="1546">
        <f t="shared" si="41"/>
        <v>0</v>
      </c>
      <c r="DC61" s="1546">
        <f t="shared" si="41"/>
        <v>0</v>
      </c>
      <c r="DD61" s="1546">
        <f t="shared" si="41"/>
        <v>0</v>
      </c>
      <c r="DE61" s="1546">
        <f t="shared" si="41"/>
        <v>0</v>
      </c>
      <c r="DF61" s="1546">
        <f t="shared" si="41"/>
        <v>0</v>
      </c>
      <c r="DG61" s="1546">
        <f t="shared" si="13"/>
        <v>1</v>
      </c>
      <c r="DI61" s="1546">
        <f t="shared" si="42"/>
        <v>0</v>
      </c>
      <c r="DJ61" s="1546">
        <f t="shared" si="42"/>
        <v>0</v>
      </c>
      <c r="DK61" s="1546">
        <f t="shared" si="42"/>
        <v>0</v>
      </c>
      <c r="DL61" s="1546">
        <f t="shared" si="42"/>
        <v>0</v>
      </c>
      <c r="DM61" s="1546">
        <f t="shared" si="42"/>
        <v>0</v>
      </c>
      <c r="DN61" s="1546">
        <f t="shared" si="42"/>
        <v>0</v>
      </c>
    </row>
    <row r="62" spans="1:118" x14ac:dyDescent="0.3">
      <c r="A62" s="285">
        <v>22</v>
      </c>
      <c r="B62" s="325">
        <f t="shared" si="27"/>
        <v>0</v>
      </c>
      <c r="C62" s="682"/>
      <c r="D62" s="683"/>
      <c r="E62" s="680"/>
      <c r="F62" s="713"/>
      <c r="G62" s="91" t="str">
        <f>IF($B62=0,"",VLOOKUP($B62,'Valve Data'!$1:$1048576,MATCH(G$1,'Valve Data'!$1:$1,0),0))</f>
        <v/>
      </c>
      <c r="H62" s="21" t="str">
        <f>IF($B62=0,"",VLOOKUP($B62,'Valve Data'!$1:$1048576,MATCH(H$1,'Valve Data'!$1:$1,0),0))</f>
        <v/>
      </c>
      <c r="I62" s="21" t="str">
        <f>IF($B62=0,"",VLOOKUP($B62,'Valve Data'!$1:$1048576,MATCH(I$1,'Valve Data'!$1:$1,0),0))</f>
        <v/>
      </c>
      <c r="J62" s="328" t="str">
        <f>IF($B62=0,"",VLOOKUP($B62,'Valve Data'!$1:$1048576,MATCH(J$1,'Valve Data'!$1:$1,0),0))</f>
        <v/>
      </c>
      <c r="K62" s="21" t="str">
        <f>IF($B62=0,"",VLOOKUP($B62,'Valve Data'!$1:$1048576,MATCH(K$1,'Valve Data'!$1:$1,0),0))</f>
        <v/>
      </c>
      <c r="L62" s="21" t="str">
        <f>IF($B62=0,"",VLOOKUP($B62,'Valve Data'!$1:$1048576,MATCH(L$1,'Valve Data'!$1:$1,0),0))</f>
        <v/>
      </c>
      <c r="M62" s="21" t="str">
        <f>IF($B62=0,"",VLOOKUP($B62,'Valve Data'!$1:$1048576,MATCH(M$1,'Valve Data'!$1:$1,0),0))</f>
        <v/>
      </c>
      <c r="N62" s="21" t="str">
        <f>IF($B62=0,"",VLOOKUP($B62,'Valve Data'!$1:$1048576,MATCH(N$1,'Valve Data'!$1:$1,0),0))</f>
        <v/>
      </c>
      <c r="O62" s="21" t="str">
        <f>IF($B62=0,"",VLOOKUP($B62,'Valve Data'!$1:$1048576,MATCH(O$1,'Valve Data'!$1:$1,0),0))</f>
        <v/>
      </c>
      <c r="P62" s="21" t="str">
        <f>IF($B62=0,"",VLOOKUP($B62,'Valve Data'!$1:$1048576,MATCH(P$1,'Valve Data'!$1:$1,0),0))</f>
        <v/>
      </c>
      <c r="Q62" s="21" t="str">
        <f>IF($B62=0,"",VLOOKUP($B62,'Valve Data'!$1:$1048576,MATCH(Q$1,'Valve Data'!$1:$1,0),0))</f>
        <v/>
      </c>
      <c r="R62" s="21" t="str">
        <f>IF($B62=0,"",VLOOKUP($B62,'Valve Data'!$1:$1048576,MATCH(R$1,'Valve Data'!$1:$1,0),0))</f>
        <v/>
      </c>
      <c r="S62" s="21" t="str">
        <f>IF($B62=0,"",VLOOKUP($B62,'Valve Data'!$1:$1048576,MATCH(S$1,'Valve Data'!$1:$1,0),0))</f>
        <v/>
      </c>
      <c r="T62" s="331" t="str">
        <f>IF($B62=0,"",VLOOKUP($B62,'Valve Data'!$1:$1048576,MATCH(T$1,'Valve Data'!$1:$1,0),0))</f>
        <v/>
      </c>
      <c r="U62" s="91" t="str">
        <f>IF($B62=0,"",VLOOKUP($B62,'Valve Data'!$1:$1048576,MATCH(U$1,'Valve Data'!$1:$1,0),0))</f>
        <v/>
      </c>
      <c r="V62" s="21" t="str">
        <f>IF($B62=0,"",VLOOKUP($B62,'Valve Data'!$1:$1048576,MATCH(V$1,'Valve Data'!$1:$1,0),0))</f>
        <v/>
      </c>
      <c r="W62" s="21" t="str">
        <f>IF($B62=0,"",VLOOKUP($B62,'Valve Data'!$1:$1048576,MATCH(W$1,'Valve Data'!$1:$1,0),0))</f>
        <v/>
      </c>
      <c r="X62" s="331" t="str">
        <f>IF($B62=0,"",VLOOKUP($B62,'Valve Data'!$1:$1048576,MATCH(X$1,'Valve Data'!$1:$1,0),0))</f>
        <v/>
      </c>
      <c r="Y62" s="865"/>
      <c r="Z62" s="683"/>
      <c r="AA62" s="680"/>
      <c r="AB62" s="680"/>
      <c r="AC62" s="680"/>
      <c r="AD62" s="680"/>
      <c r="AE62" s="868"/>
      <c r="AF62" s="866"/>
      <c r="AG62" s="680"/>
      <c r="AH62" s="680"/>
      <c r="AI62" s="680"/>
      <c r="AJ62" s="680"/>
      <c r="AK62" s="680"/>
      <c r="AL62" s="680"/>
      <c r="AM62" s="680"/>
      <c r="AN62" s="680"/>
      <c r="AO62" s="680"/>
      <c r="AP62" s="684"/>
      <c r="AQ62" s="680"/>
      <c r="AR62" s="684"/>
      <c r="AS62" s="684"/>
      <c r="AT62" s="684"/>
      <c r="AU62" s="684"/>
      <c r="AV62" s="271">
        <f t="shared" si="28"/>
        <v>0</v>
      </c>
      <c r="AW62" s="680"/>
      <c r="AX62" s="845">
        <f>IF(F62="Ball_valve",IFERROR(VLOOKUP(E62&amp;"."&amp;D62,'Ball Valves Chart'!$1:$1048576,MATCH(G62,'Ball Valves Chart'!$3:$3,0),0),0),0)+IF(F62="DBB",IFERROR(VLOOKUP(E62&amp;"."&amp;D62,'Ball Valves Chart'!$1:$1048576,MATCH(G62,'Ball Valves Chart'!$3:$3,0),0)*2,0),0)+IFERROR(VLOOKUP(D62&amp;"."&amp;F62,'Manual Valves Chart'!$1:$1048576,MATCH('Valve List'!G24,'Manual Valves Chart'!$1:$1,0),0),0)</f>
        <v>0</v>
      </c>
      <c r="AY62" s="846">
        <f t="shared" si="29"/>
        <v>0</v>
      </c>
      <c r="AZ62" s="854"/>
      <c r="BA62" s="856">
        <f t="shared" si="30"/>
        <v>0</v>
      </c>
      <c r="BC62" s="852">
        <f t="shared" si="31"/>
        <v>0</v>
      </c>
      <c r="BD62" s="398"/>
      <c r="BE62" s="1546">
        <f t="shared" si="39"/>
        <v>0</v>
      </c>
      <c r="BF62" s="1546">
        <f t="shared" si="39"/>
        <v>0</v>
      </c>
      <c r="BG62" s="1546">
        <f t="shared" si="39"/>
        <v>0</v>
      </c>
      <c r="BH62" s="1546">
        <f t="shared" si="39"/>
        <v>0</v>
      </c>
      <c r="BI62" s="1546">
        <f t="shared" si="39"/>
        <v>0</v>
      </c>
      <c r="BJ62" s="1546">
        <f t="shared" si="39"/>
        <v>0</v>
      </c>
      <c r="BK62" s="1546">
        <f t="shared" si="39"/>
        <v>0</v>
      </c>
      <c r="BL62" s="1546">
        <f t="shared" si="39"/>
        <v>0</v>
      </c>
      <c r="BM62" s="1546">
        <f t="shared" si="39"/>
        <v>0</v>
      </c>
      <c r="BN62" s="1546">
        <f t="shared" si="39"/>
        <v>0</v>
      </c>
      <c r="BO62" s="1546">
        <f t="shared" si="40"/>
        <v>0</v>
      </c>
      <c r="BP62" s="1546">
        <f t="shared" si="40"/>
        <v>0</v>
      </c>
      <c r="BQ62" s="1546">
        <f t="shared" si="40"/>
        <v>0</v>
      </c>
      <c r="BR62" s="1546">
        <f t="shared" si="40"/>
        <v>0</v>
      </c>
      <c r="BS62" s="1546">
        <f t="shared" si="40"/>
        <v>0</v>
      </c>
      <c r="BT62" s="1546">
        <f t="shared" si="40"/>
        <v>0</v>
      </c>
      <c r="BU62" s="1546">
        <f t="shared" si="40"/>
        <v>0</v>
      </c>
      <c r="BV62" s="1546">
        <f t="shared" si="40"/>
        <v>0</v>
      </c>
      <c r="BX62" s="1546">
        <f t="shared" si="44"/>
        <v>0</v>
      </c>
      <c r="BY62" s="1546">
        <f t="shared" si="43"/>
        <v>0</v>
      </c>
      <c r="BZ62" s="1546">
        <f t="shared" si="43"/>
        <v>0</v>
      </c>
      <c r="CA62" s="1546">
        <f t="shared" si="43"/>
        <v>0</v>
      </c>
      <c r="CB62" s="1546">
        <f t="shared" si="43"/>
        <v>0</v>
      </c>
      <c r="CC62" s="1546">
        <f t="shared" si="43"/>
        <v>0</v>
      </c>
      <c r="CD62" s="1546">
        <f t="shared" si="43"/>
        <v>0</v>
      </c>
      <c r="CE62" s="1546">
        <f t="shared" si="43"/>
        <v>0</v>
      </c>
      <c r="CF62" s="1546">
        <f t="shared" si="43"/>
        <v>0</v>
      </c>
      <c r="CG62" s="1546">
        <f t="shared" si="43"/>
        <v>0</v>
      </c>
      <c r="CH62" s="1546">
        <f t="shared" si="43"/>
        <v>0</v>
      </c>
      <c r="CI62" s="1546">
        <f t="shared" si="43"/>
        <v>0</v>
      </c>
      <c r="CJ62" s="1546">
        <f t="shared" si="43"/>
        <v>0</v>
      </c>
      <c r="CL62" s="1546">
        <f t="shared" si="36"/>
        <v>0</v>
      </c>
      <c r="CM62" s="1546">
        <f t="shared" si="36"/>
        <v>0</v>
      </c>
      <c r="CN62" s="1546">
        <f t="shared" si="36"/>
        <v>0</v>
      </c>
      <c r="CO62" s="1546">
        <f t="shared" si="36"/>
        <v>0</v>
      </c>
      <c r="CQ62" s="1546">
        <f t="shared" si="32"/>
        <v>0</v>
      </c>
      <c r="CR62" s="1546">
        <f t="shared" si="41"/>
        <v>0</v>
      </c>
      <c r="CS62" s="1546">
        <f t="shared" si="41"/>
        <v>0</v>
      </c>
      <c r="CT62" s="1546">
        <f t="shared" si="41"/>
        <v>0</v>
      </c>
      <c r="CU62" s="1546">
        <f t="shared" si="41"/>
        <v>0</v>
      </c>
      <c r="CV62" s="1546">
        <f t="shared" si="41"/>
        <v>0</v>
      </c>
      <c r="CW62" s="1546">
        <f t="shared" si="41"/>
        <v>0</v>
      </c>
      <c r="CX62" s="1546">
        <f t="shared" si="41"/>
        <v>0</v>
      </c>
      <c r="CY62" s="1546">
        <f t="shared" si="41"/>
        <v>0</v>
      </c>
      <c r="CZ62" s="1546">
        <f t="shared" si="41"/>
        <v>0</v>
      </c>
      <c r="DA62" s="1546">
        <f t="shared" si="41"/>
        <v>0</v>
      </c>
      <c r="DB62" s="1546">
        <f t="shared" si="41"/>
        <v>0</v>
      </c>
      <c r="DC62" s="1546">
        <f t="shared" si="41"/>
        <v>0</v>
      </c>
      <c r="DD62" s="1546">
        <f t="shared" si="41"/>
        <v>0</v>
      </c>
      <c r="DE62" s="1546">
        <f t="shared" si="41"/>
        <v>0</v>
      </c>
      <c r="DF62" s="1546">
        <f t="shared" si="41"/>
        <v>0</v>
      </c>
      <c r="DG62" s="1546">
        <f t="shared" si="13"/>
        <v>1</v>
      </c>
      <c r="DI62" s="1546">
        <f t="shared" si="42"/>
        <v>0</v>
      </c>
      <c r="DJ62" s="1546">
        <f t="shared" si="42"/>
        <v>0</v>
      </c>
      <c r="DK62" s="1546">
        <f t="shared" si="42"/>
        <v>0</v>
      </c>
      <c r="DL62" s="1546">
        <f t="shared" si="42"/>
        <v>0</v>
      </c>
      <c r="DM62" s="1546">
        <f t="shared" si="42"/>
        <v>0</v>
      </c>
      <c r="DN62" s="1546">
        <f t="shared" si="42"/>
        <v>0</v>
      </c>
    </row>
    <row r="63" spans="1:118" x14ac:dyDescent="0.3">
      <c r="A63" s="285">
        <v>28</v>
      </c>
      <c r="B63" s="325">
        <f t="shared" si="27"/>
        <v>0</v>
      </c>
      <c r="C63" s="682"/>
      <c r="D63" s="683"/>
      <c r="E63" s="680"/>
      <c r="F63" s="713"/>
      <c r="G63" s="91" t="str">
        <f>IF($B63=0,"",VLOOKUP($B63,'Valve Data'!$1:$1048576,MATCH(G$1,'Valve Data'!$1:$1,0),0))</f>
        <v/>
      </c>
      <c r="H63" s="21" t="str">
        <f>IF($B63=0,"",VLOOKUP($B63,'Valve Data'!$1:$1048576,MATCH(H$1,'Valve Data'!$1:$1,0),0))</f>
        <v/>
      </c>
      <c r="I63" s="21" t="str">
        <f>IF($B63=0,"",VLOOKUP($B63,'Valve Data'!$1:$1048576,MATCH(I$1,'Valve Data'!$1:$1,0),0))</f>
        <v/>
      </c>
      <c r="J63" s="328" t="str">
        <f>IF($B63=0,"",VLOOKUP($B63,'Valve Data'!$1:$1048576,MATCH(J$1,'Valve Data'!$1:$1,0),0))</f>
        <v/>
      </c>
      <c r="K63" s="21" t="str">
        <f>IF($B63=0,"",VLOOKUP($B63,'Valve Data'!$1:$1048576,MATCH(K$1,'Valve Data'!$1:$1,0),0))</f>
        <v/>
      </c>
      <c r="L63" s="21" t="str">
        <f>IF($B63=0,"",VLOOKUP($B63,'Valve Data'!$1:$1048576,MATCH(L$1,'Valve Data'!$1:$1,0),0))</f>
        <v/>
      </c>
      <c r="M63" s="21" t="str">
        <f>IF($B63=0,"",VLOOKUP($B63,'Valve Data'!$1:$1048576,MATCH(M$1,'Valve Data'!$1:$1,0),0))</f>
        <v/>
      </c>
      <c r="N63" s="21" t="str">
        <f>IF($B63=0,"",VLOOKUP($B63,'Valve Data'!$1:$1048576,MATCH(N$1,'Valve Data'!$1:$1,0),0))</f>
        <v/>
      </c>
      <c r="O63" s="21" t="str">
        <f>IF($B63=0,"",VLOOKUP($B63,'Valve Data'!$1:$1048576,MATCH(O$1,'Valve Data'!$1:$1,0),0))</f>
        <v/>
      </c>
      <c r="P63" s="21" t="str">
        <f>IF($B63=0,"",VLOOKUP($B63,'Valve Data'!$1:$1048576,MATCH(P$1,'Valve Data'!$1:$1,0),0))</f>
        <v/>
      </c>
      <c r="Q63" s="21" t="str">
        <f>IF($B63=0,"",VLOOKUP($B63,'Valve Data'!$1:$1048576,MATCH(Q$1,'Valve Data'!$1:$1,0),0))</f>
        <v/>
      </c>
      <c r="R63" s="21" t="str">
        <f>IF($B63=0,"",VLOOKUP($B63,'Valve Data'!$1:$1048576,MATCH(R$1,'Valve Data'!$1:$1,0),0))</f>
        <v/>
      </c>
      <c r="S63" s="21" t="str">
        <f>IF($B63=0,"",VLOOKUP($B63,'Valve Data'!$1:$1048576,MATCH(S$1,'Valve Data'!$1:$1,0),0))</f>
        <v/>
      </c>
      <c r="T63" s="331" t="str">
        <f>IF($B63=0,"",VLOOKUP($B63,'Valve Data'!$1:$1048576,MATCH(T$1,'Valve Data'!$1:$1,0),0))</f>
        <v/>
      </c>
      <c r="U63" s="91" t="str">
        <f>IF($B63=0,"",VLOOKUP($B63,'Valve Data'!$1:$1048576,MATCH(U$1,'Valve Data'!$1:$1,0),0))</f>
        <v/>
      </c>
      <c r="V63" s="21" t="str">
        <f>IF($B63=0,"",VLOOKUP($B63,'Valve Data'!$1:$1048576,MATCH(V$1,'Valve Data'!$1:$1,0),0))</f>
        <v/>
      </c>
      <c r="W63" s="21" t="str">
        <f>IF($B63=0,"",VLOOKUP($B63,'Valve Data'!$1:$1048576,MATCH(W$1,'Valve Data'!$1:$1,0),0))</f>
        <v/>
      </c>
      <c r="X63" s="331" t="str">
        <f>IF($B63=0,"",VLOOKUP($B63,'Valve Data'!$1:$1048576,MATCH(X$1,'Valve Data'!$1:$1,0),0))</f>
        <v/>
      </c>
      <c r="Y63" s="865"/>
      <c r="Z63" s="683"/>
      <c r="AA63" s="680"/>
      <c r="AB63" s="680"/>
      <c r="AC63" s="680"/>
      <c r="AD63" s="680"/>
      <c r="AE63" s="868"/>
      <c r="AF63" s="866"/>
      <c r="AG63" s="680"/>
      <c r="AH63" s="680"/>
      <c r="AI63" s="680"/>
      <c r="AJ63" s="680"/>
      <c r="AK63" s="680"/>
      <c r="AL63" s="680"/>
      <c r="AM63" s="680"/>
      <c r="AN63" s="680"/>
      <c r="AO63" s="680"/>
      <c r="AP63" s="684"/>
      <c r="AQ63" s="680"/>
      <c r="AR63" s="684"/>
      <c r="AS63" s="684"/>
      <c r="AT63" s="684"/>
      <c r="AU63" s="684"/>
      <c r="AV63" s="271">
        <f t="shared" si="28"/>
        <v>0</v>
      </c>
      <c r="AW63" s="680"/>
      <c r="AX63" s="845">
        <f>IF(F63="Ball_valve",IFERROR(VLOOKUP(E63&amp;"."&amp;D63,'Ball Valves Chart'!$1:$1048576,MATCH(G63,'Ball Valves Chart'!$3:$3,0),0),0),0)+IF(F63="DBB",IFERROR(VLOOKUP(E63&amp;"."&amp;D63,'Ball Valves Chart'!$1:$1048576,MATCH(G63,'Ball Valves Chart'!$3:$3,0),0)*2,0),0)+IFERROR(VLOOKUP(D63&amp;"."&amp;F63,'Manual Valves Chart'!$1:$1048576,MATCH('Valve List'!G30,'Manual Valves Chart'!$1:$1,0),0),0)</f>
        <v>0</v>
      </c>
      <c r="AY63" s="846">
        <f t="shared" si="29"/>
        <v>0</v>
      </c>
      <c r="AZ63" s="854"/>
      <c r="BA63" s="856">
        <f t="shared" si="30"/>
        <v>0</v>
      </c>
      <c r="BC63" s="852">
        <f t="shared" si="31"/>
        <v>0</v>
      </c>
      <c r="BD63" s="398"/>
      <c r="BE63" s="1546">
        <f t="shared" ref="BE63:BN72" si="45">IF(BE$2=$D63,1,0)</f>
        <v>0</v>
      </c>
      <c r="BF63" s="1546">
        <f t="shared" si="45"/>
        <v>0</v>
      </c>
      <c r="BG63" s="1546">
        <f t="shared" si="45"/>
        <v>0</v>
      </c>
      <c r="BH63" s="1546">
        <f t="shared" si="45"/>
        <v>0</v>
      </c>
      <c r="BI63" s="1546">
        <f t="shared" si="45"/>
        <v>0</v>
      </c>
      <c r="BJ63" s="1546">
        <f t="shared" si="45"/>
        <v>0</v>
      </c>
      <c r="BK63" s="1546">
        <f t="shared" si="45"/>
        <v>0</v>
      </c>
      <c r="BL63" s="1546">
        <f t="shared" si="45"/>
        <v>0</v>
      </c>
      <c r="BM63" s="1546">
        <f t="shared" si="45"/>
        <v>0</v>
      </c>
      <c r="BN63" s="1546">
        <f t="shared" si="45"/>
        <v>0</v>
      </c>
      <c r="BO63" s="1546">
        <f t="shared" ref="BO63:BV72" si="46">IF(BO$2=$D63,1,0)</f>
        <v>0</v>
      </c>
      <c r="BP63" s="1546">
        <f t="shared" si="46"/>
        <v>0</v>
      </c>
      <c r="BQ63" s="1546">
        <f t="shared" si="46"/>
        <v>0</v>
      </c>
      <c r="BR63" s="1546">
        <f t="shared" si="46"/>
        <v>0</v>
      </c>
      <c r="BS63" s="1546">
        <f t="shared" si="46"/>
        <v>0</v>
      </c>
      <c r="BT63" s="1546">
        <f t="shared" si="46"/>
        <v>0</v>
      </c>
      <c r="BU63" s="1546">
        <f t="shared" si="46"/>
        <v>0</v>
      </c>
      <c r="BV63" s="1546">
        <f t="shared" si="46"/>
        <v>0</v>
      </c>
      <c r="BX63" s="1546">
        <f t="shared" si="44"/>
        <v>0</v>
      </c>
      <c r="BY63" s="1546">
        <f t="shared" si="43"/>
        <v>0</v>
      </c>
      <c r="BZ63" s="1546">
        <f t="shared" si="43"/>
        <v>0</v>
      </c>
      <c r="CA63" s="1546">
        <f t="shared" si="43"/>
        <v>0</v>
      </c>
      <c r="CB63" s="1546">
        <f t="shared" si="43"/>
        <v>0</v>
      </c>
      <c r="CC63" s="1546">
        <f t="shared" si="43"/>
        <v>0</v>
      </c>
      <c r="CD63" s="1546">
        <f t="shared" si="43"/>
        <v>0</v>
      </c>
      <c r="CE63" s="1546">
        <f t="shared" si="43"/>
        <v>0</v>
      </c>
      <c r="CF63" s="1546">
        <f t="shared" si="43"/>
        <v>0</v>
      </c>
      <c r="CG63" s="1546">
        <f t="shared" si="43"/>
        <v>0</v>
      </c>
      <c r="CH63" s="1546">
        <f t="shared" si="43"/>
        <v>0</v>
      </c>
      <c r="CI63" s="1546">
        <f t="shared" si="43"/>
        <v>0</v>
      </c>
      <c r="CJ63" s="1546">
        <f t="shared" si="43"/>
        <v>0</v>
      </c>
      <c r="CL63" s="1546">
        <f t="shared" ref="CL63:CO72" si="47">IF($L63=CL$2,1,0)</f>
        <v>0</v>
      </c>
      <c r="CM63" s="1546">
        <f t="shared" si="47"/>
        <v>0</v>
      </c>
      <c r="CN63" s="1546">
        <f t="shared" si="47"/>
        <v>0</v>
      </c>
      <c r="CO63" s="1546">
        <f t="shared" si="47"/>
        <v>0</v>
      </c>
      <c r="CQ63" s="1546">
        <f t="shared" si="32"/>
        <v>0</v>
      </c>
      <c r="CR63" s="1546">
        <f t="shared" ref="CR63:DF72" si="48">IF(CR$2=0,0,IF($AW63=CR$2,1,0))</f>
        <v>0</v>
      </c>
      <c r="CS63" s="1546">
        <f t="shared" si="48"/>
        <v>0</v>
      </c>
      <c r="CT63" s="1546">
        <f t="shared" si="48"/>
        <v>0</v>
      </c>
      <c r="CU63" s="1546">
        <f t="shared" si="48"/>
        <v>0</v>
      </c>
      <c r="CV63" s="1546">
        <f t="shared" si="48"/>
        <v>0</v>
      </c>
      <c r="CW63" s="1546">
        <f t="shared" si="48"/>
        <v>0</v>
      </c>
      <c r="CX63" s="1546">
        <f t="shared" si="48"/>
        <v>0</v>
      </c>
      <c r="CY63" s="1546">
        <f t="shared" si="48"/>
        <v>0</v>
      </c>
      <c r="CZ63" s="1546">
        <f t="shared" si="48"/>
        <v>0</v>
      </c>
      <c r="DA63" s="1546">
        <f t="shared" si="48"/>
        <v>0</v>
      </c>
      <c r="DB63" s="1546">
        <f t="shared" si="48"/>
        <v>0</v>
      </c>
      <c r="DC63" s="1546">
        <f t="shared" si="48"/>
        <v>0</v>
      </c>
      <c r="DD63" s="1546">
        <f t="shared" si="48"/>
        <v>0</v>
      </c>
      <c r="DE63" s="1546">
        <f t="shared" si="48"/>
        <v>0</v>
      </c>
      <c r="DF63" s="1546">
        <f t="shared" si="48"/>
        <v>0</v>
      </c>
      <c r="DG63" s="1546">
        <f t="shared" si="13"/>
        <v>1</v>
      </c>
      <c r="DI63" s="1546">
        <f t="shared" ref="DI63:DN72" si="49">IF($G63=DI$2,1,0)</f>
        <v>0</v>
      </c>
      <c r="DJ63" s="1546">
        <f t="shared" si="49"/>
        <v>0</v>
      </c>
      <c r="DK63" s="1546">
        <f t="shared" si="49"/>
        <v>0</v>
      </c>
      <c r="DL63" s="1546">
        <f t="shared" si="49"/>
        <v>0</v>
      </c>
      <c r="DM63" s="1546">
        <f t="shared" si="49"/>
        <v>0</v>
      </c>
      <c r="DN63" s="1546">
        <f t="shared" si="49"/>
        <v>0</v>
      </c>
    </row>
    <row r="64" spans="1:118" x14ac:dyDescent="0.3">
      <c r="A64" s="285">
        <v>33</v>
      </c>
      <c r="B64" s="325">
        <f t="shared" si="27"/>
        <v>0</v>
      </c>
      <c r="C64" s="682"/>
      <c r="D64" s="683"/>
      <c r="E64" s="680"/>
      <c r="F64" s="713"/>
      <c r="G64" s="91" t="str">
        <f>IF($B64=0,"",VLOOKUP($B64,'Valve Data'!$1:$1048576,MATCH(G$1,'Valve Data'!$1:$1,0),0))</f>
        <v/>
      </c>
      <c r="H64" s="21" t="str">
        <f>IF($B64=0,"",VLOOKUP($B64,'Valve Data'!$1:$1048576,MATCH(H$1,'Valve Data'!$1:$1,0),0))</f>
        <v/>
      </c>
      <c r="I64" s="21" t="str">
        <f>IF($B64=0,"",VLOOKUP($B64,'Valve Data'!$1:$1048576,MATCH(I$1,'Valve Data'!$1:$1,0),0))</f>
        <v/>
      </c>
      <c r="J64" s="328" t="str">
        <f>IF($B64=0,"",VLOOKUP($B64,'Valve Data'!$1:$1048576,MATCH(J$1,'Valve Data'!$1:$1,0),0))</f>
        <v/>
      </c>
      <c r="K64" s="21" t="str">
        <f>IF($B64=0,"",VLOOKUP($B64,'Valve Data'!$1:$1048576,MATCH(K$1,'Valve Data'!$1:$1,0),0))</f>
        <v/>
      </c>
      <c r="L64" s="21" t="str">
        <f>IF($B64=0,"",VLOOKUP($B64,'Valve Data'!$1:$1048576,MATCH(L$1,'Valve Data'!$1:$1,0),0))</f>
        <v/>
      </c>
      <c r="M64" s="21" t="str">
        <f>IF($B64=0,"",VLOOKUP($B64,'Valve Data'!$1:$1048576,MATCH(M$1,'Valve Data'!$1:$1,0),0))</f>
        <v/>
      </c>
      <c r="N64" s="21" t="str">
        <f>IF($B64=0,"",VLOOKUP($B64,'Valve Data'!$1:$1048576,MATCH(N$1,'Valve Data'!$1:$1,0),0))</f>
        <v/>
      </c>
      <c r="O64" s="21" t="str">
        <f>IF($B64=0,"",VLOOKUP($B64,'Valve Data'!$1:$1048576,MATCH(O$1,'Valve Data'!$1:$1,0),0))</f>
        <v/>
      </c>
      <c r="P64" s="21" t="str">
        <f>IF($B64=0,"",VLOOKUP($B64,'Valve Data'!$1:$1048576,MATCH(P$1,'Valve Data'!$1:$1,0),0))</f>
        <v/>
      </c>
      <c r="Q64" s="21" t="str">
        <f>IF($B64=0,"",VLOOKUP($B64,'Valve Data'!$1:$1048576,MATCH(Q$1,'Valve Data'!$1:$1,0),0))</f>
        <v/>
      </c>
      <c r="R64" s="21" t="str">
        <f>IF($B64=0,"",VLOOKUP($B64,'Valve Data'!$1:$1048576,MATCH(R$1,'Valve Data'!$1:$1,0),0))</f>
        <v/>
      </c>
      <c r="S64" s="21" t="str">
        <f>IF($B64=0,"",VLOOKUP($B64,'Valve Data'!$1:$1048576,MATCH(S$1,'Valve Data'!$1:$1,0),0))</f>
        <v/>
      </c>
      <c r="T64" s="331" t="str">
        <f>IF($B64=0,"",VLOOKUP($B64,'Valve Data'!$1:$1048576,MATCH(T$1,'Valve Data'!$1:$1,0),0))</f>
        <v/>
      </c>
      <c r="U64" s="91" t="str">
        <f>IF($B64=0,"",VLOOKUP($B64,'Valve Data'!$1:$1048576,MATCH(U$1,'Valve Data'!$1:$1,0),0))</f>
        <v/>
      </c>
      <c r="V64" s="21" t="str">
        <f>IF($B64=0,"",VLOOKUP($B64,'Valve Data'!$1:$1048576,MATCH(V$1,'Valve Data'!$1:$1,0),0))</f>
        <v/>
      </c>
      <c r="W64" s="21" t="str">
        <f>IF($B64=0,"",VLOOKUP($B64,'Valve Data'!$1:$1048576,MATCH(W$1,'Valve Data'!$1:$1,0),0))</f>
        <v/>
      </c>
      <c r="X64" s="331" t="str">
        <f>IF($B64=0,"",VLOOKUP($B64,'Valve Data'!$1:$1048576,MATCH(X$1,'Valve Data'!$1:$1,0),0))</f>
        <v/>
      </c>
      <c r="Y64" s="865"/>
      <c r="Z64" s="683"/>
      <c r="AA64" s="680"/>
      <c r="AB64" s="680"/>
      <c r="AC64" s="680"/>
      <c r="AD64" s="680"/>
      <c r="AE64" s="868"/>
      <c r="AF64" s="866"/>
      <c r="AG64" s="680"/>
      <c r="AH64" s="680"/>
      <c r="AI64" s="680"/>
      <c r="AJ64" s="680"/>
      <c r="AK64" s="680"/>
      <c r="AL64" s="680"/>
      <c r="AM64" s="680"/>
      <c r="AN64" s="680"/>
      <c r="AO64" s="680"/>
      <c r="AP64" s="684"/>
      <c r="AQ64" s="680"/>
      <c r="AR64" s="684"/>
      <c r="AS64" s="684"/>
      <c r="AT64" s="684"/>
      <c r="AU64" s="684"/>
      <c r="AV64" s="271">
        <f t="shared" si="28"/>
        <v>0</v>
      </c>
      <c r="AW64" s="680"/>
      <c r="AX64" s="845">
        <f>IF(F64="Ball_valve",IFERROR(VLOOKUP(E64&amp;"."&amp;D64,'Ball Valves Chart'!$1:$1048576,MATCH(G64,'Ball Valves Chart'!$3:$3,0),0),0),0)+IF(F64="DBB",IFERROR(VLOOKUP(E64&amp;"."&amp;D64,'Ball Valves Chart'!$1:$1048576,MATCH(G64,'Ball Valves Chart'!$3:$3,0),0)*2,0),0)+IFERROR(VLOOKUP(D64&amp;"."&amp;F64,'Manual Valves Chart'!$1:$1048576,MATCH('Valve List'!G35,'Manual Valves Chart'!$1:$1,0),0),0)</f>
        <v>0</v>
      </c>
      <c r="AY64" s="846">
        <f t="shared" si="29"/>
        <v>0</v>
      </c>
      <c r="AZ64" s="854"/>
      <c r="BA64" s="856">
        <f t="shared" si="30"/>
        <v>0</v>
      </c>
      <c r="BC64" s="852">
        <f t="shared" si="31"/>
        <v>0</v>
      </c>
      <c r="BD64" s="398"/>
      <c r="BE64" s="1546">
        <f t="shared" si="45"/>
        <v>0</v>
      </c>
      <c r="BF64" s="1546">
        <f t="shared" si="45"/>
        <v>0</v>
      </c>
      <c r="BG64" s="1546">
        <f t="shared" si="45"/>
        <v>0</v>
      </c>
      <c r="BH64" s="1546">
        <f t="shared" si="45"/>
        <v>0</v>
      </c>
      <c r="BI64" s="1546">
        <f t="shared" si="45"/>
        <v>0</v>
      </c>
      <c r="BJ64" s="1546">
        <f t="shared" si="45"/>
        <v>0</v>
      </c>
      <c r="BK64" s="1546">
        <f t="shared" si="45"/>
        <v>0</v>
      </c>
      <c r="BL64" s="1546">
        <f t="shared" si="45"/>
        <v>0</v>
      </c>
      <c r="BM64" s="1546">
        <f t="shared" si="45"/>
        <v>0</v>
      </c>
      <c r="BN64" s="1546">
        <f t="shared" si="45"/>
        <v>0</v>
      </c>
      <c r="BO64" s="1546">
        <f t="shared" si="46"/>
        <v>0</v>
      </c>
      <c r="BP64" s="1546">
        <f t="shared" si="46"/>
        <v>0</v>
      </c>
      <c r="BQ64" s="1546">
        <f t="shared" si="46"/>
        <v>0</v>
      </c>
      <c r="BR64" s="1546">
        <f t="shared" si="46"/>
        <v>0</v>
      </c>
      <c r="BS64" s="1546">
        <f t="shared" si="46"/>
        <v>0</v>
      </c>
      <c r="BT64" s="1546">
        <f t="shared" si="46"/>
        <v>0</v>
      </c>
      <c r="BU64" s="1546">
        <f t="shared" si="46"/>
        <v>0</v>
      </c>
      <c r="BV64" s="1546">
        <f t="shared" si="46"/>
        <v>0</v>
      </c>
      <c r="BX64" s="1546">
        <f t="shared" si="44"/>
        <v>0</v>
      </c>
      <c r="BY64" s="1546">
        <f t="shared" si="43"/>
        <v>0</v>
      </c>
      <c r="BZ64" s="1546">
        <f t="shared" si="43"/>
        <v>0</v>
      </c>
      <c r="CA64" s="1546">
        <f t="shared" si="43"/>
        <v>0</v>
      </c>
      <c r="CB64" s="1546">
        <f t="shared" si="43"/>
        <v>0</v>
      </c>
      <c r="CC64" s="1546">
        <f t="shared" si="43"/>
        <v>0</v>
      </c>
      <c r="CD64" s="1546">
        <f t="shared" si="43"/>
        <v>0</v>
      </c>
      <c r="CE64" s="1546">
        <f t="shared" si="43"/>
        <v>0</v>
      </c>
      <c r="CF64" s="1546">
        <f t="shared" si="43"/>
        <v>0</v>
      </c>
      <c r="CG64" s="1546">
        <f t="shared" si="43"/>
        <v>0</v>
      </c>
      <c r="CH64" s="1546">
        <f t="shared" si="43"/>
        <v>0</v>
      </c>
      <c r="CI64" s="1546">
        <f t="shared" si="43"/>
        <v>0</v>
      </c>
      <c r="CJ64" s="1546">
        <f t="shared" si="43"/>
        <v>0</v>
      </c>
      <c r="CL64" s="1546">
        <f t="shared" si="47"/>
        <v>0</v>
      </c>
      <c r="CM64" s="1546">
        <f t="shared" si="47"/>
        <v>0</v>
      </c>
      <c r="CN64" s="1546">
        <f t="shared" si="47"/>
        <v>0</v>
      </c>
      <c r="CO64" s="1546">
        <f t="shared" si="47"/>
        <v>0</v>
      </c>
      <c r="CQ64" s="1546">
        <f t="shared" si="32"/>
        <v>0</v>
      </c>
      <c r="CR64" s="1546">
        <f t="shared" si="48"/>
        <v>0</v>
      </c>
      <c r="CS64" s="1546">
        <f t="shared" si="48"/>
        <v>0</v>
      </c>
      <c r="CT64" s="1546">
        <f t="shared" si="48"/>
        <v>0</v>
      </c>
      <c r="CU64" s="1546">
        <f t="shared" si="48"/>
        <v>0</v>
      </c>
      <c r="CV64" s="1546">
        <f t="shared" si="48"/>
        <v>0</v>
      </c>
      <c r="CW64" s="1546">
        <f t="shared" si="48"/>
        <v>0</v>
      </c>
      <c r="CX64" s="1546">
        <f t="shared" si="48"/>
        <v>0</v>
      </c>
      <c r="CY64" s="1546">
        <f t="shared" si="48"/>
        <v>0</v>
      </c>
      <c r="CZ64" s="1546">
        <f t="shared" si="48"/>
        <v>0</v>
      </c>
      <c r="DA64" s="1546">
        <f t="shared" si="48"/>
        <v>0</v>
      </c>
      <c r="DB64" s="1546">
        <f t="shared" si="48"/>
        <v>0</v>
      </c>
      <c r="DC64" s="1546">
        <f t="shared" si="48"/>
        <v>0</v>
      </c>
      <c r="DD64" s="1546">
        <f t="shared" si="48"/>
        <v>0</v>
      </c>
      <c r="DE64" s="1546">
        <f t="shared" si="48"/>
        <v>0</v>
      </c>
      <c r="DF64" s="1546">
        <f t="shared" si="48"/>
        <v>0</v>
      </c>
      <c r="DG64" s="1546">
        <f t="shared" si="13"/>
        <v>1</v>
      </c>
      <c r="DI64" s="1546">
        <f t="shared" si="49"/>
        <v>0</v>
      </c>
      <c r="DJ64" s="1546">
        <f t="shared" si="49"/>
        <v>0</v>
      </c>
      <c r="DK64" s="1546">
        <f t="shared" si="49"/>
        <v>0</v>
      </c>
      <c r="DL64" s="1546">
        <f t="shared" si="49"/>
        <v>0</v>
      </c>
      <c r="DM64" s="1546">
        <f t="shared" si="49"/>
        <v>0</v>
      </c>
      <c r="DN64" s="1546">
        <f t="shared" si="49"/>
        <v>0</v>
      </c>
    </row>
    <row r="65" spans="1:118" x14ac:dyDescent="0.3">
      <c r="A65" s="285">
        <v>40</v>
      </c>
      <c r="B65" s="325">
        <f t="shared" si="27"/>
        <v>0</v>
      </c>
      <c r="C65" s="682"/>
      <c r="D65" s="683"/>
      <c r="E65" s="680"/>
      <c r="F65" s="713"/>
      <c r="G65" s="91" t="str">
        <f>IF($B65=0,"",VLOOKUP($B65,'Valve Data'!$1:$1048576,MATCH(G$1,'Valve Data'!$1:$1,0),0))</f>
        <v/>
      </c>
      <c r="H65" s="21" t="str">
        <f>IF($B65=0,"",VLOOKUP($B65,'Valve Data'!$1:$1048576,MATCH(H$1,'Valve Data'!$1:$1,0),0))</f>
        <v/>
      </c>
      <c r="I65" s="21" t="str">
        <f>IF($B65=0,"",VLOOKUP($B65,'Valve Data'!$1:$1048576,MATCH(I$1,'Valve Data'!$1:$1,0),0))</f>
        <v/>
      </c>
      <c r="J65" s="328" t="str">
        <f>IF($B65=0,"",VLOOKUP($B65,'Valve Data'!$1:$1048576,MATCH(J$1,'Valve Data'!$1:$1,0),0))</f>
        <v/>
      </c>
      <c r="K65" s="21" t="str">
        <f>IF($B65=0,"",VLOOKUP($B65,'Valve Data'!$1:$1048576,MATCH(K$1,'Valve Data'!$1:$1,0),0))</f>
        <v/>
      </c>
      <c r="L65" s="21" t="str">
        <f>IF($B65=0,"",VLOOKUP($B65,'Valve Data'!$1:$1048576,MATCH(L$1,'Valve Data'!$1:$1,0),0))</f>
        <v/>
      </c>
      <c r="M65" s="21" t="str">
        <f>IF($B65=0,"",VLOOKUP($B65,'Valve Data'!$1:$1048576,MATCH(M$1,'Valve Data'!$1:$1,0),0))</f>
        <v/>
      </c>
      <c r="N65" s="21" t="str">
        <f>IF($B65=0,"",VLOOKUP($B65,'Valve Data'!$1:$1048576,MATCH(N$1,'Valve Data'!$1:$1,0),0))</f>
        <v/>
      </c>
      <c r="O65" s="21" t="str">
        <f>IF($B65=0,"",VLOOKUP($B65,'Valve Data'!$1:$1048576,MATCH(O$1,'Valve Data'!$1:$1,0),0))</f>
        <v/>
      </c>
      <c r="P65" s="21" t="str">
        <f>IF($B65=0,"",VLOOKUP($B65,'Valve Data'!$1:$1048576,MATCH(P$1,'Valve Data'!$1:$1,0),0))</f>
        <v/>
      </c>
      <c r="Q65" s="21" t="str">
        <f>IF($B65=0,"",VLOOKUP($B65,'Valve Data'!$1:$1048576,MATCH(Q$1,'Valve Data'!$1:$1,0),0))</f>
        <v/>
      </c>
      <c r="R65" s="21" t="str">
        <f>IF($B65=0,"",VLOOKUP($B65,'Valve Data'!$1:$1048576,MATCH(R$1,'Valve Data'!$1:$1,0),0))</f>
        <v/>
      </c>
      <c r="S65" s="21" t="str">
        <f>IF($B65=0,"",VLOOKUP($B65,'Valve Data'!$1:$1048576,MATCH(S$1,'Valve Data'!$1:$1,0),0))</f>
        <v/>
      </c>
      <c r="T65" s="331" t="str">
        <f>IF($B65=0,"",VLOOKUP($B65,'Valve Data'!$1:$1048576,MATCH(T$1,'Valve Data'!$1:$1,0),0))</f>
        <v/>
      </c>
      <c r="U65" s="91" t="str">
        <f>IF($B65=0,"",VLOOKUP($B65,'Valve Data'!$1:$1048576,MATCH(U$1,'Valve Data'!$1:$1,0),0))</f>
        <v/>
      </c>
      <c r="V65" s="21" t="str">
        <f>IF($B65=0,"",VLOOKUP($B65,'Valve Data'!$1:$1048576,MATCH(V$1,'Valve Data'!$1:$1,0),0))</f>
        <v/>
      </c>
      <c r="W65" s="21" t="str">
        <f>IF($B65=0,"",VLOOKUP($B65,'Valve Data'!$1:$1048576,MATCH(W$1,'Valve Data'!$1:$1,0),0))</f>
        <v/>
      </c>
      <c r="X65" s="331" t="str">
        <f>IF($B65=0,"",VLOOKUP($B65,'Valve Data'!$1:$1048576,MATCH(X$1,'Valve Data'!$1:$1,0),0))</f>
        <v/>
      </c>
      <c r="Y65" s="865"/>
      <c r="Z65" s="683"/>
      <c r="AA65" s="680"/>
      <c r="AB65" s="680"/>
      <c r="AC65" s="680"/>
      <c r="AD65" s="680"/>
      <c r="AE65" s="868"/>
      <c r="AF65" s="866"/>
      <c r="AG65" s="680"/>
      <c r="AH65" s="680"/>
      <c r="AI65" s="680"/>
      <c r="AJ65" s="680"/>
      <c r="AK65" s="680"/>
      <c r="AL65" s="680"/>
      <c r="AM65" s="680"/>
      <c r="AN65" s="680"/>
      <c r="AO65" s="680"/>
      <c r="AP65" s="684"/>
      <c r="AQ65" s="680"/>
      <c r="AR65" s="684"/>
      <c r="AS65" s="684"/>
      <c r="AT65" s="684"/>
      <c r="AU65" s="684"/>
      <c r="AV65" s="271">
        <f t="shared" si="28"/>
        <v>0</v>
      </c>
      <c r="AW65" s="680"/>
      <c r="AX65" s="845">
        <f>IF(F65="Ball_valve",IFERROR(VLOOKUP(E65&amp;"."&amp;D65,'Ball Valves Chart'!$1:$1048576,MATCH(G65,'Ball Valves Chart'!$3:$3,0),0),0),0)+IF(F65="DBB",IFERROR(VLOOKUP(E65&amp;"."&amp;D65,'Ball Valves Chart'!$1:$1048576,MATCH(G65,'Ball Valves Chart'!$3:$3,0),0)*2,0),0)+IFERROR(VLOOKUP(D65&amp;"."&amp;F65,'Manual Valves Chart'!$1:$1048576,MATCH('Valve List'!G42,'Manual Valves Chart'!$1:$1,0),0),0)</f>
        <v>0</v>
      </c>
      <c r="AY65" s="846">
        <f t="shared" si="29"/>
        <v>0</v>
      </c>
      <c r="AZ65" s="854"/>
      <c r="BA65" s="856">
        <f t="shared" si="30"/>
        <v>0</v>
      </c>
      <c r="BB65" s="286"/>
      <c r="BC65" s="852">
        <f t="shared" si="31"/>
        <v>0</v>
      </c>
      <c r="BD65" s="398"/>
      <c r="BE65" s="1546">
        <f t="shared" si="45"/>
        <v>0</v>
      </c>
      <c r="BF65" s="1546">
        <f t="shared" si="45"/>
        <v>0</v>
      </c>
      <c r="BG65" s="1546">
        <f t="shared" si="45"/>
        <v>0</v>
      </c>
      <c r="BH65" s="1546">
        <f t="shared" si="45"/>
        <v>0</v>
      </c>
      <c r="BI65" s="1546">
        <f t="shared" si="45"/>
        <v>0</v>
      </c>
      <c r="BJ65" s="1546">
        <f t="shared" si="45"/>
        <v>0</v>
      </c>
      <c r="BK65" s="1546">
        <f t="shared" si="45"/>
        <v>0</v>
      </c>
      <c r="BL65" s="1546">
        <f t="shared" si="45"/>
        <v>0</v>
      </c>
      <c r="BM65" s="1546">
        <f t="shared" si="45"/>
        <v>0</v>
      </c>
      <c r="BN65" s="1546">
        <f t="shared" si="45"/>
        <v>0</v>
      </c>
      <c r="BO65" s="1546">
        <f t="shared" si="46"/>
        <v>0</v>
      </c>
      <c r="BP65" s="1546">
        <f t="shared" si="46"/>
        <v>0</v>
      </c>
      <c r="BQ65" s="1546">
        <f t="shared" si="46"/>
        <v>0</v>
      </c>
      <c r="BR65" s="1546">
        <f t="shared" si="46"/>
        <v>0</v>
      </c>
      <c r="BS65" s="1546">
        <f t="shared" si="46"/>
        <v>0</v>
      </c>
      <c r="BT65" s="1546">
        <f t="shared" si="46"/>
        <v>0</v>
      </c>
      <c r="BU65" s="1546">
        <f t="shared" si="46"/>
        <v>0</v>
      </c>
      <c r="BV65" s="1546">
        <f t="shared" si="46"/>
        <v>0</v>
      </c>
      <c r="BX65" s="1546">
        <f t="shared" si="44"/>
        <v>0</v>
      </c>
      <c r="BY65" s="1546">
        <f t="shared" si="43"/>
        <v>0</v>
      </c>
      <c r="BZ65" s="1546">
        <f t="shared" si="43"/>
        <v>0</v>
      </c>
      <c r="CA65" s="1546">
        <f t="shared" si="43"/>
        <v>0</v>
      </c>
      <c r="CB65" s="1546">
        <f t="shared" si="43"/>
        <v>0</v>
      </c>
      <c r="CC65" s="1546">
        <f t="shared" si="43"/>
        <v>0</v>
      </c>
      <c r="CD65" s="1546">
        <f t="shared" si="43"/>
        <v>0</v>
      </c>
      <c r="CE65" s="1546">
        <f t="shared" si="43"/>
        <v>0</v>
      </c>
      <c r="CF65" s="1546">
        <f t="shared" si="43"/>
        <v>0</v>
      </c>
      <c r="CG65" s="1546">
        <f t="shared" si="43"/>
        <v>0</v>
      </c>
      <c r="CH65" s="1546">
        <f t="shared" si="43"/>
        <v>0</v>
      </c>
      <c r="CI65" s="1546">
        <f t="shared" si="43"/>
        <v>0</v>
      </c>
      <c r="CJ65" s="1546">
        <f t="shared" si="43"/>
        <v>0</v>
      </c>
      <c r="CL65" s="1546">
        <f t="shared" si="47"/>
        <v>0</v>
      </c>
      <c r="CM65" s="1546">
        <f t="shared" si="47"/>
        <v>0</v>
      </c>
      <c r="CN65" s="1546">
        <f t="shared" si="47"/>
        <v>0</v>
      </c>
      <c r="CO65" s="1546">
        <f t="shared" si="47"/>
        <v>0</v>
      </c>
      <c r="CQ65" s="1546">
        <f t="shared" si="32"/>
        <v>0</v>
      </c>
      <c r="CR65" s="1546">
        <f t="shared" si="48"/>
        <v>0</v>
      </c>
      <c r="CS65" s="1546">
        <f t="shared" si="48"/>
        <v>0</v>
      </c>
      <c r="CT65" s="1546">
        <f t="shared" si="48"/>
        <v>0</v>
      </c>
      <c r="CU65" s="1546">
        <f t="shared" si="48"/>
        <v>0</v>
      </c>
      <c r="CV65" s="1546">
        <f t="shared" si="48"/>
        <v>0</v>
      </c>
      <c r="CW65" s="1546">
        <f t="shared" si="48"/>
        <v>0</v>
      </c>
      <c r="CX65" s="1546">
        <f t="shared" si="48"/>
        <v>0</v>
      </c>
      <c r="CY65" s="1546">
        <f t="shared" si="48"/>
        <v>0</v>
      </c>
      <c r="CZ65" s="1546">
        <f t="shared" si="48"/>
        <v>0</v>
      </c>
      <c r="DA65" s="1546">
        <f t="shared" si="48"/>
        <v>0</v>
      </c>
      <c r="DB65" s="1546">
        <f t="shared" si="48"/>
        <v>0</v>
      </c>
      <c r="DC65" s="1546">
        <f t="shared" si="48"/>
        <v>0</v>
      </c>
      <c r="DD65" s="1546">
        <f t="shared" si="48"/>
        <v>0</v>
      </c>
      <c r="DE65" s="1546">
        <f t="shared" si="48"/>
        <v>0</v>
      </c>
      <c r="DF65" s="1546">
        <f t="shared" si="48"/>
        <v>0</v>
      </c>
      <c r="DG65" s="1546">
        <f t="shared" si="13"/>
        <v>1</v>
      </c>
      <c r="DI65" s="1546">
        <f t="shared" si="49"/>
        <v>0</v>
      </c>
      <c r="DJ65" s="1546">
        <f t="shared" si="49"/>
        <v>0</v>
      </c>
      <c r="DK65" s="1546">
        <f t="shared" si="49"/>
        <v>0</v>
      </c>
      <c r="DL65" s="1546">
        <f t="shared" si="49"/>
        <v>0</v>
      </c>
      <c r="DM65" s="1546">
        <f t="shared" si="49"/>
        <v>0</v>
      </c>
      <c r="DN65" s="1546">
        <f t="shared" si="49"/>
        <v>0</v>
      </c>
    </row>
    <row r="66" spans="1:118" x14ac:dyDescent="0.3">
      <c r="A66" s="285">
        <v>64</v>
      </c>
      <c r="B66" s="325">
        <f t="shared" si="27"/>
        <v>0</v>
      </c>
      <c r="C66" s="682"/>
      <c r="D66" s="683"/>
      <c r="E66" s="680"/>
      <c r="F66" s="713"/>
      <c r="G66" s="91" t="str">
        <f>IF($B66=0,"",VLOOKUP($B66,'Valve Data'!$1:$1048576,MATCH(G$1,'Valve Data'!$1:$1,0),0))</f>
        <v/>
      </c>
      <c r="H66" s="21" t="str">
        <f>IF($B66=0,"",VLOOKUP($B66,'Valve Data'!$1:$1048576,MATCH(H$1,'Valve Data'!$1:$1,0),0))</f>
        <v/>
      </c>
      <c r="I66" s="21" t="str">
        <f>IF($B66=0,"",VLOOKUP($B66,'Valve Data'!$1:$1048576,MATCH(I$1,'Valve Data'!$1:$1,0),0))</f>
        <v/>
      </c>
      <c r="J66" s="328" t="str">
        <f>IF($B66=0,"",VLOOKUP($B66,'Valve Data'!$1:$1048576,MATCH(J$1,'Valve Data'!$1:$1,0),0))</f>
        <v/>
      </c>
      <c r="K66" s="21" t="str">
        <f>IF($B66=0,"",VLOOKUP($B66,'Valve Data'!$1:$1048576,MATCH(K$1,'Valve Data'!$1:$1,0),0))</f>
        <v/>
      </c>
      <c r="L66" s="21" t="str">
        <f>IF($B66=0,"",VLOOKUP($B66,'Valve Data'!$1:$1048576,MATCH(L$1,'Valve Data'!$1:$1,0),0))</f>
        <v/>
      </c>
      <c r="M66" s="21" t="str">
        <f>IF($B66=0,"",VLOOKUP($B66,'Valve Data'!$1:$1048576,MATCH(M$1,'Valve Data'!$1:$1,0),0))</f>
        <v/>
      </c>
      <c r="N66" s="21" t="str">
        <f>IF($B66=0,"",VLOOKUP($B66,'Valve Data'!$1:$1048576,MATCH(N$1,'Valve Data'!$1:$1,0),0))</f>
        <v/>
      </c>
      <c r="O66" s="21" t="str">
        <f>IF($B66=0,"",VLOOKUP($B66,'Valve Data'!$1:$1048576,MATCH(O$1,'Valve Data'!$1:$1,0),0))</f>
        <v/>
      </c>
      <c r="P66" s="21" t="str">
        <f>IF($B66=0,"",VLOOKUP($B66,'Valve Data'!$1:$1048576,MATCH(P$1,'Valve Data'!$1:$1,0),0))</f>
        <v/>
      </c>
      <c r="Q66" s="21" t="str">
        <f>IF($B66=0,"",VLOOKUP($B66,'Valve Data'!$1:$1048576,MATCH(Q$1,'Valve Data'!$1:$1,0),0))</f>
        <v/>
      </c>
      <c r="R66" s="21" t="str">
        <f>IF($B66=0,"",VLOOKUP($B66,'Valve Data'!$1:$1048576,MATCH(R$1,'Valve Data'!$1:$1,0),0))</f>
        <v/>
      </c>
      <c r="S66" s="21" t="str">
        <f>IF($B66=0,"",VLOOKUP($B66,'Valve Data'!$1:$1048576,MATCH(S$1,'Valve Data'!$1:$1,0),0))</f>
        <v/>
      </c>
      <c r="T66" s="331" t="str">
        <f>IF($B66=0,"",VLOOKUP($B66,'Valve Data'!$1:$1048576,MATCH(T$1,'Valve Data'!$1:$1,0),0))</f>
        <v/>
      </c>
      <c r="U66" s="91" t="str">
        <f>IF($B66=0,"",VLOOKUP($B66,'Valve Data'!$1:$1048576,MATCH(U$1,'Valve Data'!$1:$1,0),0))</f>
        <v/>
      </c>
      <c r="V66" s="21" t="str">
        <f>IF($B66=0,"",VLOOKUP($B66,'Valve Data'!$1:$1048576,MATCH(V$1,'Valve Data'!$1:$1,0),0))</f>
        <v/>
      </c>
      <c r="W66" s="21" t="str">
        <f>IF($B66=0,"",VLOOKUP($B66,'Valve Data'!$1:$1048576,MATCH(W$1,'Valve Data'!$1:$1,0),0))</f>
        <v/>
      </c>
      <c r="X66" s="331" t="str">
        <f>IF($B66=0,"",VLOOKUP($B66,'Valve Data'!$1:$1048576,MATCH(X$1,'Valve Data'!$1:$1,0),0))</f>
        <v/>
      </c>
      <c r="Y66" s="865"/>
      <c r="Z66" s="683"/>
      <c r="AA66" s="680"/>
      <c r="AB66" s="680"/>
      <c r="AC66" s="680"/>
      <c r="AD66" s="680"/>
      <c r="AE66" s="868"/>
      <c r="AF66" s="866"/>
      <c r="AG66" s="680"/>
      <c r="AH66" s="680"/>
      <c r="AI66" s="680"/>
      <c r="AJ66" s="680"/>
      <c r="AK66" s="680"/>
      <c r="AL66" s="680"/>
      <c r="AM66" s="680"/>
      <c r="AN66" s="680"/>
      <c r="AO66" s="680"/>
      <c r="AP66" s="684"/>
      <c r="AQ66" s="684"/>
      <c r="AR66" s="684"/>
      <c r="AS66" s="684"/>
      <c r="AT66" s="684"/>
      <c r="AU66" s="684"/>
      <c r="AV66" s="271">
        <f t="shared" si="28"/>
        <v>0</v>
      </c>
      <c r="AW66" s="680"/>
      <c r="AX66" s="845">
        <f>IF(F66="Ball_valve",IFERROR(VLOOKUP(E66&amp;"."&amp;D66,'Ball Valves Chart'!$1:$1048576,MATCH(G66,'Ball Valves Chart'!$3:$3,0),0),0),0)+IF(F66="DBB",IFERROR(VLOOKUP(E66&amp;"."&amp;D66,'Ball Valves Chart'!$1:$1048576,MATCH(G66,'Ball Valves Chart'!$3:$3,0),0)*2,0),0)+IFERROR(VLOOKUP(D66&amp;"."&amp;F66,'Manual Valves Chart'!$1:$1048576,MATCH('Valve List'!G66,'Manual Valves Chart'!$1:$1,0),0),0)</f>
        <v>0</v>
      </c>
      <c r="AY66" s="846">
        <f t="shared" si="29"/>
        <v>0</v>
      </c>
      <c r="AZ66" s="854"/>
      <c r="BA66" s="856">
        <f t="shared" si="30"/>
        <v>0</v>
      </c>
      <c r="BB66" s="286"/>
      <c r="BC66" s="852">
        <f t="shared" si="31"/>
        <v>0</v>
      </c>
      <c r="BD66" s="398"/>
      <c r="BE66" s="1546">
        <f t="shared" si="45"/>
        <v>0</v>
      </c>
      <c r="BF66" s="1546">
        <f t="shared" si="45"/>
        <v>0</v>
      </c>
      <c r="BG66" s="1546">
        <f t="shared" si="45"/>
        <v>0</v>
      </c>
      <c r="BH66" s="1546">
        <f t="shared" si="45"/>
        <v>0</v>
      </c>
      <c r="BI66" s="1546">
        <f t="shared" si="45"/>
        <v>0</v>
      </c>
      <c r="BJ66" s="1546">
        <f t="shared" si="45"/>
        <v>0</v>
      </c>
      <c r="BK66" s="1546">
        <f t="shared" si="45"/>
        <v>0</v>
      </c>
      <c r="BL66" s="1546">
        <f t="shared" si="45"/>
        <v>0</v>
      </c>
      <c r="BM66" s="1546">
        <f t="shared" si="45"/>
        <v>0</v>
      </c>
      <c r="BN66" s="1546">
        <f t="shared" si="45"/>
        <v>0</v>
      </c>
      <c r="BO66" s="1546">
        <f t="shared" si="46"/>
        <v>0</v>
      </c>
      <c r="BP66" s="1546">
        <f t="shared" si="46"/>
        <v>0</v>
      </c>
      <c r="BQ66" s="1546">
        <f t="shared" si="46"/>
        <v>0</v>
      </c>
      <c r="BR66" s="1546">
        <f t="shared" si="46"/>
        <v>0</v>
      </c>
      <c r="BS66" s="1546">
        <f t="shared" si="46"/>
        <v>0</v>
      </c>
      <c r="BT66" s="1546">
        <f t="shared" si="46"/>
        <v>0</v>
      </c>
      <c r="BU66" s="1546">
        <f t="shared" si="46"/>
        <v>0</v>
      </c>
      <c r="BV66" s="1546">
        <f t="shared" si="46"/>
        <v>0</v>
      </c>
      <c r="BX66" s="1546">
        <f t="shared" si="44"/>
        <v>0</v>
      </c>
      <c r="BY66" s="1546">
        <f t="shared" si="43"/>
        <v>0</v>
      </c>
      <c r="BZ66" s="1546">
        <f t="shared" si="43"/>
        <v>0</v>
      </c>
      <c r="CA66" s="1546">
        <f t="shared" si="43"/>
        <v>0</v>
      </c>
      <c r="CB66" s="1546">
        <f t="shared" si="43"/>
        <v>0</v>
      </c>
      <c r="CC66" s="1546">
        <f t="shared" si="43"/>
        <v>0</v>
      </c>
      <c r="CD66" s="1546">
        <f t="shared" si="43"/>
        <v>0</v>
      </c>
      <c r="CE66" s="1546">
        <f t="shared" si="43"/>
        <v>0</v>
      </c>
      <c r="CF66" s="1546">
        <f t="shared" si="43"/>
        <v>0</v>
      </c>
      <c r="CG66" s="1546">
        <f t="shared" si="43"/>
        <v>0</v>
      </c>
      <c r="CH66" s="1546">
        <f t="shared" si="43"/>
        <v>0</v>
      </c>
      <c r="CI66" s="1546">
        <f t="shared" si="43"/>
        <v>0</v>
      </c>
      <c r="CJ66" s="1546">
        <f t="shared" si="43"/>
        <v>0</v>
      </c>
      <c r="CL66" s="1546">
        <f t="shared" si="47"/>
        <v>0</v>
      </c>
      <c r="CM66" s="1546">
        <f t="shared" si="47"/>
        <v>0</v>
      </c>
      <c r="CN66" s="1546">
        <f t="shared" si="47"/>
        <v>0</v>
      </c>
      <c r="CO66" s="1546">
        <f t="shared" si="47"/>
        <v>0</v>
      </c>
      <c r="CQ66" s="1546">
        <f t="shared" si="32"/>
        <v>0</v>
      </c>
      <c r="CR66" s="1546">
        <f t="shared" si="48"/>
        <v>0</v>
      </c>
      <c r="CS66" s="1546">
        <f t="shared" si="48"/>
        <v>0</v>
      </c>
      <c r="CT66" s="1546">
        <f t="shared" si="48"/>
        <v>0</v>
      </c>
      <c r="CU66" s="1546">
        <f t="shared" si="48"/>
        <v>0</v>
      </c>
      <c r="CV66" s="1546">
        <f t="shared" si="48"/>
        <v>0</v>
      </c>
      <c r="CW66" s="1546">
        <f t="shared" si="48"/>
        <v>0</v>
      </c>
      <c r="CX66" s="1546">
        <f t="shared" si="48"/>
        <v>0</v>
      </c>
      <c r="CY66" s="1546">
        <f t="shared" si="48"/>
        <v>0</v>
      </c>
      <c r="CZ66" s="1546">
        <f t="shared" si="48"/>
        <v>0</v>
      </c>
      <c r="DA66" s="1546">
        <f t="shared" si="48"/>
        <v>0</v>
      </c>
      <c r="DB66" s="1546">
        <f t="shared" si="48"/>
        <v>0</v>
      </c>
      <c r="DC66" s="1546">
        <f t="shared" si="48"/>
        <v>0</v>
      </c>
      <c r="DD66" s="1546">
        <f t="shared" si="48"/>
        <v>0</v>
      </c>
      <c r="DE66" s="1546">
        <f t="shared" si="48"/>
        <v>0</v>
      </c>
      <c r="DF66" s="1546">
        <f t="shared" si="48"/>
        <v>0</v>
      </c>
      <c r="DG66" s="1546">
        <f t="shared" si="13"/>
        <v>1</v>
      </c>
      <c r="DI66" s="1546">
        <f t="shared" si="49"/>
        <v>0</v>
      </c>
      <c r="DJ66" s="1546">
        <f t="shared" si="49"/>
        <v>0</v>
      </c>
      <c r="DK66" s="1546">
        <f t="shared" si="49"/>
        <v>0</v>
      </c>
      <c r="DL66" s="1546">
        <f t="shared" si="49"/>
        <v>0</v>
      </c>
      <c r="DM66" s="1546">
        <f t="shared" si="49"/>
        <v>0</v>
      </c>
      <c r="DN66" s="1546">
        <f t="shared" si="49"/>
        <v>0</v>
      </c>
    </row>
    <row r="67" spans="1:118" x14ac:dyDescent="0.3">
      <c r="A67" s="285">
        <v>43</v>
      </c>
      <c r="B67" s="325">
        <f t="shared" ref="B67:B72" si="50">IFERROR(MATCH(CONCATENATE(F67,".",C67,".",E67,".",D67),DN_0.5,0),0)+IFERROR(MATCH(CONCATENATE(F67,".",C67,".",E67,".",D67),DN_0.75,0),0)+IFERROR(MATCH(CONCATENATE(F67,".",C67,".",E67,".",D67),DN_1,0),0)+IFERROR(MATCH(CONCATENATE(F67,".",C67,".",E67,".",D67),DN_1.5,0),0)+IFERROR(MATCH(CONCATENATE(F67,".",C67,".",E67,".",D67),DN_10,0),0)+IFERROR(MATCH(CONCATENATE(F67,".",C67,".",E67,".",D67),DN_12,0),0)+IFERROR(MATCH(CONCATENATE(F67,".",C67,".",E67,".",D67),DN_14,0),0)+IFERROR(MATCH(CONCATENATE(F67,".",C67,".",E67,".",D67),DN_16,0),0)+IFERROR(MATCH(CONCATENATE(F67,".",C67,".",E67,".",D67),DN_18,0),0)+IFERROR(MATCH(CONCATENATE(F67,".",C67,".",E67,".",D67),DN_2,0),0)+IFERROR(MATCH(CONCATENATE(F67,".",C67,".",E67,".",D67),DN_2.5,0),0)+IFERROR(MATCH(CONCATENATE(F67,".",C67,".",E67,".",D67),DN_20,0),0)+IFERROR(MATCH(CONCATENATE(F67,".",C67,".",E67,".",D67),DN_22,0),0)+IFERROR(MATCH(CONCATENATE(F67,".",C67,".",E67,".",D67),DN_24,0),0)+IFERROR(MATCH(CONCATENATE(F67,".",C67,".",E67,".",D67),DN_3,0),0)+IFERROR(MATCH(CONCATENATE(F67,".",C67,".",E67,".",D67),DN_4,0),0)+IFERROR(MATCH(CONCATENATE(F67,".",C67,".",E67,".",D67),DN_6,0),0)+IFERROR(MATCH(CONCATENATE(F67,".",C67,".",E67,".",D67),DN_8,0),0)+IFERROR(MATCH(CONCATENATE(F67,".",C67,".",E67,".",D67),DN_26,0),0)+IFERROR(MATCH(CONCATENATE(F67,".",C67,".",E67,".",D67),DN_28,0),0)+IFERROR(MATCH(CONCATENATE(F67,".",C67,".",E67,".",D67),DN_30,0),0)+IFERROR(MATCH(CONCATENATE(F67,".",C67,".",E67,".",D67),DN_32,0),0)+IFERROR(MATCH(CONCATENATE(F67,".",C67,".",E67,".",D67),DN_34,0),0)+IFERROR(MATCH(CONCATENATE(F67,".",C67,".",E67,".",D67),DN_36,0),0)+IFERROR(MATCH(CONCATENATE(F67,".",C67,".",E67,".",D67),DN_38,0),0)+IFERROR(MATCH(CONCATENATE(F67,".",C67,".",E67,".",D67),DN_40,0),0+IFERROR(MATCH(CONCATENATE(F67,".",C67,".",E67,".",D67),DN_42,0),0))</f>
        <v>0</v>
      </c>
      <c r="C67" s="682"/>
      <c r="D67" s="683"/>
      <c r="E67" s="680"/>
      <c r="F67" s="713"/>
      <c r="G67" s="91" t="str">
        <f>IF($B67=0,"",VLOOKUP($B67,'Valve Data'!$1:$1048576,MATCH(G$1,'Valve Data'!$1:$1,0),0))</f>
        <v/>
      </c>
      <c r="H67" s="21" t="str">
        <f>IF($B67=0,"",VLOOKUP($B67,'Valve Data'!$1:$1048576,MATCH(H$1,'Valve Data'!$1:$1,0),0))</f>
        <v/>
      </c>
      <c r="I67" s="21" t="str">
        <f>IF($B67=0,"",VLOOKUP($B67,'Valve Data'!$1:$1048576,MATCH(I$1,'Valve Data'!$1:$1,0),0))</f>
        <v/>
      </c>
      <c r="J67" s="328" t="str">
        <f>IF($B67=0,"",VLOOKUP($B67,'Valve Data'!$1:$1048576,MATCH(J$1,'Valve Data'!$1:$1,0),0))</f>
        <v/>
      </c>
      <c r="K67" s="21" t="str">
        <f>IF($B67=0,"",VLOOKUP($B67,'Valve Data'!$1:$1048576,MATCH(K$1,'Valve Data'!$1:$1,0),0))</f>
        <v/>
      </c>
      <c r="L67" s="21" t="str">
        <f>IF($B67=0,"",VLOOKUP($B67,'Valve Data'!$1:$1048576,MATCH(L$1,'Valve Data'!$1:$1,0),0))</f>
        <v/>
      </c>
      <c r="M67" s="21" t="str">
        <f>IF($B67=0,"",VLOOKUP($B67,'Valve Data'!$1:$1048576,MATCH(M$1,'Valve Data'!$1:$1,0),0))</f>
        <v/>
      </c>
      <c r="N67" s="21" t="str">
        <f>IF($B67=0,"",VLOOKUP($B67,'Valve Data'!$1:$1048576,MATCH(N$1,'Valve Data'!$1:$1,0),0))</f>
        <v/>
      </c>
      <c r="O67" s="21" t="str">
        <f>IF($B67=0,"",VLOOKUP($B67,'Valve Data'!$1:$1048576,MATCH(O$1,'Valve Data'!$1:$1,0),0))</f>
        <v/>
      </c>
      <c r="P67" s="21" t="str">
        <f>IF($B67=0,"",VLOOKUP($B67,'Valve Data'!$1:$1048576,MATCH(P$1,'Valve Data'!$1:$1,0),0))</f>
        <v/>
      </c>
      <c r="Q67" s="21" t="str">
        <f>IF($B67=0,"",VLOOKUP($B67,'Valve Data'!$1:$1048576,MATCH(Q$1,'Valve Data'!$1:$1,0),0))</f>
        <v/>
      </c>
      <c r="R67" s="21" t="str">
        <f>IF($B67=0,"",VLOOKUP($B67,'Valve Data'!$1:$1048576,MATCH(R$1,'Valve Data'!$1:$1,0),0))</f>
        <v/>
      </c>
      <c r="S67" s="21" t="str">
        <f>IF($B67=0,"",VLOOKUP($B67,'Valve Data'!$1:$1048576,MATCH(S$1,'Valve Data'!$1:$1,0),0))</f>
        <v/>
      </c>
      <c r="T67" s="331" t="str">
        <f>IF($B67=0,"",VLOOKUP($B67,'Valve Data'!$1:$1048576,MATCH(T$1,'Valve Data'!$1:$1,0),0))</f>
        <v/>
      </c>
      <c r="U67" s="91" t="str">
        <f>IF($B67=0,"",VLOOKUP($B67,'Valve Data'!$1:$1048576,MATCH(U$1,'Valve Data'!$1:$1,0),0))</f>
        <v/>
      </c>
      <c r="V67" s="21" t="str">
        <f>IF($B67=0,"",VLOOKUP($B67,'Valve Data'!$1:$1048576,MATCH(V$1,'Valve Data'!$1:$1,0),0))</f>
        <v/>
      </c>
      <c r="W67" s="21" t="str">
        <f>IF($B67=0,"",VLOOKUP($B67,'Valve Data'!$1:$1048576,MATCH(W$1,'Valve Data'!$1:$1,0),0))</f>
        <v/>
      </c>
      <c r="X67" s="331" t="str">
        <f>IF($B67=0,"",VLOOKUP($B67,'Valve Data'!$1:$1048576,MATCH(X$1,'Valve Data'!$1:$1,0),0))</f>
        <v/>
      </c>
      <c r="Y67" s="865"/>
      <c r="Z67" s="683"/>
      <c r="AA67" s="680"/>
      <c r="AB67" s="680"/>
      <c r="AC67" s="680"/>
      <c r="AD67" s="680"/>
      <c r="AE67" s="868"/>
      <c r="AF67" s="866"/>
      <c r="AG67" s="680"/>
      <c r="AH67" s="680"/>
      <c r="AI67" s="680"/>
      <c r="AJ67" s="680"/>
      <c r="AK67" s="680"/>
      <c r="AL67" s="680"/>
      <c r="AM67" s="680"/>
      <c r="AN67" s="680"/>
      <c r="AO67" s="680"/>
      <c r="AP67" s="684"/>
      <c r="AQ67" s="684"/>
      <c r="AR67" s="680"/>
      <c r="AS67" s="684"/>
      <c r="AT67" s="684"/>
      <c r="AU67" s="684"/>
      <c r="AV67" s="271">
        <f t="shared" ref="AV67:AV72" si="51">SUM(AG67:AU67)</f>
        <v>0</v>
      </c>
      <c r="AW67" s="680"/>
      <c r="AX67" s="845">
        <f>IF(F67="Ball_valve",IFERROR(VLOOKUP(E67&amp;"."&amp;D67,'Ball Valves Chart'!$1:$1048576,MATCH(G67,'Ball Valves Chart'!$3:$3,0),0),0),0)+IF(F67="DBB",IFERROR(VLOOKUP(E67&amp;"."&amp;D67,'Ball Valves Chart'!$1:$1048576,MATCH(G67,'Ball Valves Chart'!$3:$3,0),0)*2,0),0)+IFERROR(VLOOKUP(D67&amp;"."&amp;F67,'Manual Valves Chart'!$1:$1048576,MATCH('Valve List'!G45,'Manual Valves Chart'!$1:$1,0),0),0)</f>
        <v>0</v>
      </c>
      <c r="AY67" s="846">
        <f t="shared" ref="AY67:AY72" si="52">$AV67*AX67</f>
        <v>0</v>
      </c>
      <c r="AZ67" s="854"/>
      <c r="BA67" s="856">
        <f t="shared" ref="BA67:BA72" si="53">AZ67*AV67</f>
        <v>0</v>
      </c>
      <c r="BB67" s="286"/>
      <c r="BC67" s="852">
        <f t="shared" ref="BC67:BC72" si="54">AX67*0.18</f>
        <v>0</v>
      </c>
      <c r="BD67" s="398"/>
      <c r="BE67" s="1546">
        <f t="shared" si="45"/>
        <v>0</v>
      </c>
      <c r="BF67" s="1546">
        <f t="shared" si="45"/>
        <v>0</v>
      </c>
      <c r="BG67" s="1546">
        <f t="shared" si="45"/>
        <v>0</v>
      </c>
      <c r="BH67" s="1546">
        <f t="shared" si="45"/>
        <v>0</v>
      </c>
      <c r="BI67" s="1546">
        <f t="shared" si="45"/>
        <v>0</v>
      </c>
      <c r="BJ67" s="1546">
        <f t="shared" si="45"/>
        <v>0</v>
      </c>
      <c r="BK67" s="1546">
        <f t="shared" si="45"/>
        <v>0</v>
      </c>
      <c r="BL67" s="1546">
        <f t="shared" si="45"/>
        <v>0</v>
      </c>
      <c r="BM67" s="1546">
        <f t="shared" si="45"/>
        <v>0</v>
      </c>
      <c r="BN67" s="1546">
        <f t="shared" si="45"/>
        <v>0</v>
      </c>
      <c r="BO67" s="1546">
        <f t="shared" si="46"/>
        <v>0</v>
      </c>
      <c r="BP67" s="1546">
        <f t="shared" si="46"/>
        <v>0</v>
      </c>
      <c r="BQ67" s="1546">
        <f t="shared" si="46"/>
        <v>0</v>
      </c>
      <c r="BR67" s="1546">
        <f t="shared" si="46"/>
        <v>0</v>
      </c>
      <c r="BS67" s="1546">
        <f t="shared" si="46"/>
        <v>0</v>
      </c>
      <c r="BT67" s="1546">
        <f t="shared" si="46"/>
        <v>0</v>
      </c>
      <c r="BU67" s="1546">
        <f t="shared" si="46"/>
        <v>0</v>
      </c>
      <c r="BV67" s="1546">
        <f t="shared" si="46"/>
        <v>0</v>
      </c>
      <c r="BX67" s="1546">
        <f t="shared" si="44"/>
        <v>0</v>
      </c>
      <c r="BY67" s="1546">
        <f t="shared" si="43"/>
        <v>0</v>
      </c>
      <c r="BZ67" s="1546">
        <f t="shared" si="43"/>
        <v>0</v>
      </c>
      <c r="CA67" s="1546">
        <f t="shared" si="43"/>
        <v>0</v>
      </c>
      <c r="CB67" s="1546">
        <f t="shared" si="43"/>
        <v>0</v>
      </c>
      <c r="CC67" s="1546">
        <f t="shared" si="43"/>
        <v>0</v>
      </c>
      <c r="CD67" s="1546">
        <f t="shared" si="43"/>
        <v>0</v>
      </c>
      <c r="CE67" s="1546">
        <f t="shared" si="43"/>
        <v>0</v>
      </c>
      <c r="CF67" s="1546">
        <f t="shared" si="43"/>
        <v>0</v>
      </c>
      <c r="CG67" s="1546">
        <f t="shared" si="43"/>
        <v>0</v>
      </c>
      <c r="CH67" s="1546">
        <f t="shared" si="43"/>
        <v>0</v>
      </c>
      <c r="CI67" s="1546">
        <f t="shared" si="43"/>
        <v>0</v>
      </c>
      <c r="CJ67" s="1546">
        <f t="shared" si="43"/>
        <v>0</v>
      </c>
      <c r="CL67" s="1546">
        <f t="shared" si="47"/>
        <v>0</v>
      </c>
      <c r="CM67" s="1546">
        <f t="shared" si="47"/>
        <v>0</v>
      </c>
      <c r="CN67" s="1546">
        <f t="shared" si="47"/>
        <v>0</v>
      </c>
      <c r="CO67" s="1546">
        <f t="shared" si="47"/>
        <v>0</v>
      </c>
      <c r="CQ67" s="1546">
        <f t="shared" ref="CQ67:CQ99" si="55">IF(CQ$2=0,0,IF($AW67=CQ$2,1,0))</f>
        <v>0</v>
      </c>
      <c r="CR67" s="1546">
        <f t="shared" si="48"/>
        <v>0</v>
      </c>
      <c r="CS67" s="1546">
        <f t="shared" si="48"/>
        <v>0</v>
      </c>
      <c r="CT67" s="1546">
        <f t="shared" si="48"/>
        <v>0</v>
      </c>
      <c r="CU67" s="1546">
        <f t="shared" si="48"/>
        <v>0</v>
      </c>
      <c r="CV67" s="1546">
        <f t="shared" si="48"/>
        <v>0</v>
      </c>
      <c r="CW67" s="1546">
        <f t="shared" si="48"/>
        <v>0</v>
      </c>
      <c r="CX67" s="1546">
        <f t="shared" si="48"/>
        <v>0</v>
      </c>
      <c r="CY67" s="1546">
        <f t="shared" si="48"/>
        <v>0</v>
      </c>
      <c r="CZ67" s="1546">
        <f t="shared" si="48"/>
        <v>0</v>
      </c>
      <c r="DA67" s="1546">
        <f t="shared" si="48"/>
        <v>0</v>
      </c>
      <c r="DB67" s="1546">
        <f t="shared" si="48"/>
        <v>0</v>
      </c>
      <c r="DC67" s="1546">
        <f t="shared" si="48"/>
        <v>0</v>
      </c>
      <c r="DD67" s="1546">
        <f t="shared" si="48"/>
        <v>0</v>
      </c>
      <c r="DE67" s="1546">
        <f t="shared" si="48"/>
        <v>0</v>
      </c>
      <c r="DF67" s="1546">
        <f t="shared" si="48"/>
        <v>0</v>
      </c>
      <c r="DG67" s="1546">
        <f t="shared" si="13"/>
        <v>1</v>
      </c>
      <c r="DI67" s="1546">
        <f t="shared" si="49"/>
        <v>0</v>
      </c>
      <c r="DJ67" s="1546">
        <f t="shared" si="49"/>
        <v>0</v>
      </c>
      <c r="DK67" s="1546">
        <f t="shared" si="49"/>
        <v>0</v>
      </c>
      <c r="DL67" s="1546">
        <f t="shared" si="49"/>
        <v>0</v>
      </c>
      <c r="DM67" s="1546">
        <f t="shared" si="49"/>
        <v>0</v>
      </c>
      <c r="DN67" s="1546">
        <f t="shared" si="49"/>
        <v>0</v>
      </c>
    </row>
    <row r="68" spans="1:118" x14ac:dyDescent="0.3">
      <c r="A68" s="285">
        <v>45</v>
      </c>
      <c r="B68" s="325">
        <f t="shared" si="50"/>
        <v>0</v>
      </c>
      <c r="C68" s="682"/>
      <c r="D68" s="683"/>
      <c r="E68" s="680"/>
      <c r="F68" s="713"/>
      <c r="G68" s="91" t="str">
        <f>IF($B68=0,"",VLOOKUP($B68,'Valve Data'!$1:$1048576,MATCH(G$1,'Valve Data'!$1:$1,0),0))</f>
        <v/>
      </c>
      <c r="H68" s="21" t="str">
        <f>IF($B68=0,"",VLOOKUP($B68,'Valve Data'!$1:$1048576,MATCH(H$1,'Valve Data'!$1:$1,0),0))</f>
        <v/>
      </c>
      <c r="I68" s="21" t="str">
        <f>IF($B68=0,"",VLOOKUP($B68,'Valve Data'!$1:$1048576,MATCH(I$1,'Valve Data'!$1:$1,0),0))</f>
        <v/>
      </c>
      <c r="J68" s="328" t="str">
        <f>IF($B68=0,"",VLOOKUP($B68,'Valve Data'!$1:$1048576,MATCH(J$1,'Valve Data'!$1:$1,0),0))</f>
        <v/>
      </c>
      <c r="K68" s="21" t="str">
        <f>IF($B68=0,"",VLOOKUP($B68,'Valve Data'!$1:$1048576,MATCH(K$1,'Valve Data'!$1:$1,0),0))</f>
        <v/>
      </c>
      <c r="L68" s="21" t="str">
        <f>IF($B68=0,"",VLOOKUP($B68,'Valve Data'!$1:$1048576,MATCH(L$1,'Valve Data'!$1:$1,0),0))</f>
        <v/>
      </c>
      <c r="M68" s="21" t="str">
        <f>IF($B68=0,"",VLOOKUP($B68,'Valve Data'!$1:$1048576,MATCH(M$1,'Valve Data'!$1:$1,0),0))</f>
        <v/>
      </c>
      <c r="N68" s="21" t="str">
        <f>IF($B68=0,"",VLOOKUP($B68,'Valve Data'!$1:$1048576,MATCH(N$1,'Valve Data'!$1:$1,0),0))</f>
        <v/>
      </c>
      <c r="O68" s="21" t="str">
        <f>IF($B68=0,"",VLOOKUP($B68,'Valve Data'!$1:$1048576,MATCH(O$1,'Valve Data'!$1:$1,0),0))</f>
        <v/>
      </c>
      <c r="P68" s="21" t="str">
        <f>IF($B68=0,"",VLOOKUP($B68,'Valve Data'!$1:$1048576,MATCH(P$1,'Valve Data'!$1:$1,0),0))</f>
        <v/>
      </c>
      <c r="Q68" s="21" t="str">
        <f>IF($B68=0,"",VLOOKUP($B68,'Valve Data'!$1:$1048576,MATCH(Q$1,'Valve Data'!$1:$1,0),0))</f>
        <v/>
      </c>
      <c r="R68" s="21" t="str">
        <f>IF($B68=0,"",VLOOKUP($B68,'Valve Data'!$1:$1048576,MATCH(R$1,'Valve Data'!$1:$1,0),0))</f>
        <v/>
      </c>
      <c r="S68" s="21" t="str">
        <f>IF($B68=0,"",VLOOKUP($B68,'Valve Data'!$1:$1048576,MATCH(S$1,'Valve Data'!$1:$1,0),0))</f>
        <v/>
      </c>
      <c r="T68" s="331" t="str">
        <f>IF($B68=0,"",VLOOKUP($B68,'Valve Data'!$1:$1048576,MATCH(T$1,'Valve Data'!$1:$1,0),0))</f>
        <v/>
      </c>
      <c r="U68" s="91" t="str">
        <f>IF($B68=0,"",VLOOKUP($B68,'Valve Data'!$1:$1048576,MATCH(U$1,'Valve Data'!$1:$1,0),0))</f>
        <v/>
      </c>
      <c r="V68" s="21" t="str">
        <f>IF($B68=0,"",VLOOKUP($B68,'Valve Data'!$1:$1048576,MATCH(V$1,'Valve Data'!$1:$1,0),0))</f>
        <v/>
      </c>
      <c r="W68" s="21" t="str">
        <f>IF($B68=0,"",VLOOKUP($B68,'Valve Data'!$1:$1048576,MATCH(W$1,'Valve Data'!$1:$1,0),0))</f>
        <v/>
      </c>
      <c r="X68" s="331" t="str">
        <f>IF($B68=0,"",VLOOKUP($B68,'Valve Data'!$1:$1048576,MATCH(X$1,'Valve Data'!$1:$1,0),0))</f>
        <v/>
      </c>
      <c r="Y68" s="865"/>
      <c r="Z68" s="683"/>
      <c r="AA68" s="680"/>
      <c r="AB68" s="680"/>
      <c r="AC68" s="680"/>
      <c r="AD68" s="680"/>
      <c r="AE68" s="868"/>
      <c r="AF68" s="866"/>
      <c r="AG68" s="680"/>
      <c r="AH68" s="680"/>
      <c r="AI68" s="680"/>
      <c r="AJ68" s="680"/>
      <c r="AK68" s="680"/>
      <c r="AL68" s="680"/>
      <c r="AM68" s="680"/>
      <c r="AN68" s="680"/>
      <c r="AO68" s="680"/>
      <c r="AP68" s="684"/>
      <c r="AQ68" s="684"/>
      <c r="AR68" s="680"/>
      <c r="AS68" s="684"/>
      <c r="AT68" s="684"/>
      <c r="AU68" s="684"/>
      <c r="AV68" s="271">
        <f t="shared" si="51"/>
        <v>0</v>
      </c>
      <c r="AW68" s="680"/>
      <c r="AX68" s="845">
        <f>IF(F68="Ball_valve",IFERROR(VLOOKUP(E68&amp;"."&amp;D68,'Ball Valves Chart'!$1:$1048576,MATCH(G68,'Ball Valves Chart'!$3:$3,0),0),0),0)+IF(F68="DBB",IFERROR(VLOOKUP(E68&amp;"."&amp;D68,'Ball Valves Chart'!$1:$1048576,MATCH(G68,'Ball Valves Chart'!$3:$3,0),0)*2,0),0)+IFERROR(VLOOKUP(D68&amp;"."&amp;F68,'Manual Valves Chart'!$1:$1048576,MATCH('Valve List'!G47,'Manual Valves Chart'!$1:$1,0),0),0)</f>
        <v>0</v>
      </c>
      <c r="AY68" s="846">
        <f t="shared" si="52"/>
        <v>0</v>
      </c>
      <c r="AZ68" s="854"/>
      <c r="BA68" s="856">
        <f t="shared" si="53"/>
        <v>0</v>
      </c>
      <c r="BB68" s="286"/>
      <c r="BC68" s="852">
        <f t="shared" si="54"/>
        <v>0</v>
      </c>
      <c r="BD68" s="398"/>
      <c r="BE68" s="1546">
        <f t="shared" si="45"/>
        <v>0</v>
      </c>
      <c r="BF68" s="1546">
        <f t="shared" si="45"/>
        <v>0</v>
      </c>
      <c r="BG68" s="1546">
        <f t="shared" si="45"/>
        <v>0</v>
      </c>
      <c r="BH68" s="1546">
        <f t="shared" si="45"/>
        <v>0</v>
      </c>
      <c r="BI68" s="1546">
        <f t="shared" si="45"/>
        <v>0</v>
      </c>
      <c r="BJ68" s="1546">
        <f t="shared" si="45"/>
        <v>0</v>
      </c>
      <c r="BK68" s="1546">
        <f t="shared" si="45"/>
        <v>0</v>
      </c>
      <c r="BL68" s="1546">
        <f t="shared" si="45"/>
        <v>0</v>
      </c>
      <c r="BM68" s="1546">
        <f t="shared" si="45"/>
        <v>0</v>
      </c>
      <c r="BN68" s="1546">
        <f t="shared" si="45"/>
        <v>0</v>
      </c>
      <c r="BO68" s="1546">
        <f t="shared" si="46"/>
        <v>0</v>
      </c>
      <c r="BP68" s="1546">
        <f t="shared" si="46"/>
        <v>0</v>
      </c>
      <c r="BQ68" s="1546">
        <f t="shared" si="46"/>
        <v>0</v>
      </c>
      <c r="BR68" s="1546">
        <f t="shared" si="46"/>
        <v>0</v>
      </c>
      <c r="BS68" s="1546">
        <f t="shared" si="46"/>
        <v>0</v>
      </c>
      <c r="BT68" s="1546">
        <f t="shared" si="46"/>
        <v>0</v>
      </c>
      <c r="BU68" s="1546">
        <f t="shared" si="46"/>
        <v>0</v>
      </c>
      <c r="BV68" s="1546">
        <f t="shared" si="46"/>
        <v>0</v>
      </c>
      <c r="BX68" s="1546">
        <f t="shared" si="44"/>
        <v>0</v>
      </c>
      <c r="BY68" s="1546">
        <f t="shared" si="43"/>
        <v>0</v>
      </c>
      <c r="BZ68" s="1546">
        <f t="shared" si="43"/>
        <v>0</v>
      </c>
      <c r="CA68" s="1546">
        <f t="shared" si="43"/>
        <v>0</v>
      </c>
      <c r="CB68" s="1546">
        <f t="shared" si="43"/>
        <v>0</v>
      </c>
      <c r="CC68" s="1546">
        <f t="shared" si="43"/>
        <v>0</v>
      </c>
      <c r="CD68" s="1546">
        <f t="shared" si="43"/>
        <v>0</v>
      </c>
      <c r="CE68" s="1546">
        <f t="shared" si="43"/>
        <v>0</v>
      </c>
      <c r="CF68" s="1546">
        <f t="shared" si="43"/>
        <v>0</v>
      </c>
      <c r="CG68" s="1546">
        <f t="shared" si="43"/>
        <v>0</v>
      </c>
      <c r="CH68" s="1546">
        <f t="shared" si="43"/>
        <v>0</v>
      </c>
      <c r="CI68" s="1546">
        <f t="shared" si="43"/>
        <v>0</v>
      </c>
      <c r="CJ68" s="1546">
        <f t="shared" si="43"/>
        <v>0</v>
      </c>
      <c r="CL68" s="1546">
        <f t="shared" si="47"/>
        <v>0</v>
      </c>
      <c r="CM68" s="1546">
        <f t="shared" si="47"/>
        <v>0</v>
      </c>
      <c r="CN68" s="1546">
        <f t="shared" si="47"/>
        <v>0</v>
      </c>
      <c r="CO68" s="1546">
        <f t="shared" si="47"/>
        <v>0</v>
      </c>
      <c r="CQ68" s="1546">
        <f t="shared" si="55"/>
        <v>0</v>
      </c>
      <c r="CR68" s="1546">
        <f t="shared" si="48"/>
        <v>0</v>
      </c>
      <c r="CS68" s="1546">
        <f t="shared" si="48"/>
        <v>0</v>
      </c>
      <c r="CT68" s="1546">
        <f t="shared" si="48"/>
        <v>0</v>
      </c>
      <c r="CU68" s="1546">
        <f t="shared" si="48"/>
        <v>0</v>
      </c>
      <c r="CV68" s="1546">
        <f t="shared" si="48"/>
        <v>0</v>
      </c>
      <c r="CW68" s="1546">
        <f t="shared" si="48"/>
        <v>0</v>
      </c>
      <c r="CX68" s="1546">
        <f t="shared" si="48"/>
        <v>0</v>
      </c>
      <c r="CY68" s="1546">
        <f t="shared" si="48"/>
        <v>0</v>
      </c>
      <c r="CZ68" s="1546">
        <f t="shared" si="48"/>
        <v>0</v>
      </c>
      <c r="DA68" s="1546">
        <f t="shared" si="48"/>
        <v>0</v>
      </c>
      <c r="DB68" s="1546">
        <f t="shared" si="48"/>
        <v>0</v>
      </c>
      <c r="DC68" s="1546">
        <f t="shared" si="48"/>
        <v>0</v>
      </c>
      <c r="DD68" s="1546">
        <f t="shared" si="48"/>
        <v>0</v>
      </c>
      <c r="DE68" s="1546">
        <f t="shared" si="48"/>
        <v>0</v>
      </c>
      <c r="DF68" s="1546">
        <f t="shared" si="48"/>
        <v>0</v>
      </c>
      <c r="DG68" s="1546">
        <f t="shared" ref="DG68:DG99" si="56">IF(DG$2=0,0,IF($AW68="",1,0))</f>
        <v>1</v>
      </c>
      <c r="DI68" s="1546">
        <f t="shared" si="49"/>
        <v>0</v>
      </c>
      <c r="DJ68" s="1546">
        <f t="shared" si="49"/>
        <v>0</v>
      </c>
      <c r="DK68" s="1546">
        <f t="shared" si="49"/>
        <v>0</v>
      </c>
      <c r="DL68" s="1546">
        <f t="shared" si="49"/>
        <v>0</v>
      </c>
      <c r="DM68" s="1546">
        <f t="shared" si="49"/>
        <v>0</v>
      </c>
      <c r="DN68" s="1546">
        <f t="shared" si="49"/>
        <v>0</v>
      </c>
    </row>
    <row r="69" spans="1:118" x14ac:dyDescent="0.3">
      <c r="A69" s="285">
        <v>58</v>
      </c>
      <c r="B69" s="325">
        <f t="shared" si="50"/>
        <v>0</v>
      </c>
      <c r="C69" s="682"/>
      <c r="D69" s="683"/>
      <c r="E69" s="680"/>
      <c r="F69" s="713"/>
      <c r="G69" s="91" t="str">
        <f>IF($B69=0,"",VLOOKUP($B69,'Valve Data'!$1:$1048576,MATCH(G$1,'Valve Data'!$1:$1,0),0))</f>
        <v/>
      </c>
      <c r="H69" s="21" t="str">
        <f>IF($B69=0,"",VLOOKUP($B69,'Valve Data'!$1:$1048576,MATCH(H$1,'Valve Data'!$1:$1,0),0))</f>
        <v/>
      </c>
      <c r="I69" s="21" t="str">
        <f>IF($B69=0,"",VLOOKUP($B69,'Valve Data'!$1:$1048576,MATCH(I$1,'Valve Data'!$1:$1,0),0))</f>
        <v/>
      </c>
      <c r="J69" s="328" t="str">
        <f>IF($B69=0,"",VLOOKUP($B69,'Valve Data'!$1:$1048576,MATCH(J$1,'Valve Data'!$1:$1,0),0))</f>
        <v/>
      </c>
      <c r="K69" s="21" t="str">
        <f>IF($B69=0,"",VLOOKUP($B69,'Valve Data'!$1:$1048576,MATCH(K$1,'Valve Data'!$1:$1,0),0))</f>
        <v/>
      </c>
      <c r="L69" s="21" t="str">
        <f>IF($B69=0,"",VLOOKUP($B69,'Valve Data'!$1:$1048576,MATCH(L$1,'Valve Data'!$1:$1,0),0))</f>
        <v/>
      </c>
      <c r="M69" s="21" t="str">
        <f>IF($B69=0,"",VLOOKUP($B69,'Valve Data'!$1:$1048576,MATCH(M$1,'Valve Data'!$1:$1,0),0))</f>
        <v/>
      </c>
      <c r="N69" s="21" t="str">
        <f>IF($B69=0,"",VLOOKUP($B69,'Valve Data'!$1:$1048576,MATCH(N$1,'Valve Data'!$1:$1,0),0))</f>
        <v/>
      </c>
      <c r="O69" s="21" t="str">
        <f>IF($B69=0,"",VLOOKUP($B69,'Valve Data'!$1:$1048576,MATCH(O$1,'Valve Data'!$1:$1,0),0))</f>
        <v/>
      </c>
      <c r="P69" s="21" t="str">
        <f>IF($B69=0,"",VLOOKUP($B69,'Valve Data'!$1:$1048576,MATCH(P$1,'Valve Data'!$1:$1,0),0))</f>
        <v/>
      </c>
      <c r="Q69" s="21" t="str">
        <f>IF($B69=0,"",VLOOKUP($B69,'Valve Data'!$1:$1048576,MATCH(Q$1,'Valve Data'!$1:$1,0),0))</f>
        <v/>
      </c>
      <c r="R69" s="21" t="str">
        <f>IF($B69=0,"",VLOOKUP($B69,'Valve Data'!$1:$1048576,MATCH(R$1,'Valve Data'!$1:$1,0),0))</f>
        <v/>
      </c>
      <c r="S69" s="21" t="str">
        <f>IF($B69=0,"",VLOOKUP($B69,'Valve Data'!$1:$1048576,MATCH(S$1,'Valve Data'!$1:$1,0),0))</f>
        <v/>
      </c>
      <c r="T69" s="331" t="str">
        <f>IF($B69=0,"",VLOOKUP($B69,'Valve Data'!$1:$1048576,MATCH(T$1,'Valve Data'!$1:$1,0),0))</f>
        <v/>
      </c>
      <c r="U69" s="91" t="str">
        <f>IF($B69=0,"",VLOOKUP($B69,'Valve Data'!$1:$1048576,MATCH(U$1,'Valve Data'!$1:$1,0),0))</f>
        <v/>
      </c>
      <c r="V69" s="21" t="str">
        <f>IF($B69=0,"",VLOOKUP($B69,'Valve Data'!$1:$1048576,MATCH(V$1,'Valve Data'!$1:$1,0),0))</f>
        <v/>
      </c>
      <c r="W69" s="21" t="str">
        <f>IF($B69=0,"",VLOOKUP($B69,'Valve Data'!$1:$1048576,MATCH(W$1,'Valve Data'!$1:$1,0),0))</f>
        <v/>
      </c>
      <c r="X69" s="331" t="str">
        <f>IF($B69=0,"",VLOOKUP($B69,'Valve Data'!$1:$1048576,MATCH(X$1,'Valve Data'!$1:$1,0),0))</f>
        <v/>
      </c>
      <c r="Y69" s="865"/>
      <c r="Z69" s="683"/>
      <c r="AA69" s="680"/>
      <c r="AB69" s="680"/>
      <c r="AC69" s="680"/>
      <c r="AD69" s="680"/>
      <c r="AE69" s="868"/>
      <c r="AF69" s="866"/>
      <c r="AG69" s="680"/>
      <c r="AH69" s="680"/>
      <c r="AI69" s="680"/>
      <c r="AJ69" s="680"/>
      <c r="AK69" s="680"/>
      <c r="AL69" s="680"/>
      <c r="AM69" s="680"/>
      <c r="AN69" s="680"/>
      <c r="AO69" s="680"/>
      <c r="AP69" s="684"/>
      <c r="AQ69" s="684"/>
      <c r="AR69" s="680"/>
      <c r="AS69" s="684"/>
      <c r="AT69" s="684"/>
      <c r="AU69" s="684"/>
      <c r="AV69" s="271">
        <f t="shared" si="51"/>
        <v>0</v>
      </c>
      <c r="AW69" s="680"/>
      <c r="AX69" s="845">
        <f>IF(F69="Ball_valve",IFERROR(VLOOKUP(E69&amp;"."&amp;D69,'Ball Valves Chart'!$1:$1048576,MATCH(G69,'Ball Valves Chart'!$3:$3,0),0),0),0)+IF(F69="DBB",IFERROR(VLOOKUP(E69&amp;"."&amp;D69,'Ball Valves Chart'!$1:$1048576,MATCH(G69,'Ball Valves Chart'!$3:$3,0),0)*2,0),0)+IFERROR(VLOOKUP(D69&amp;"."&amp;F69,'Manual Valves Chart'!$1:$1048576,MATCH('Valve List'!G60,'Manual Valves Chart'!$1:$1,0),0),0)</f>
        <v>0</v>
      </c>
      <c r="AY69" s="846">
        <f t="shared" si="52"/>
        <v>0</v>
      </c>
      <c r="AZ69" s="854"/>
      <c r="BA69" s="856">
        <f t="shared" si="53"/>
        <v>0</v>
      </c>
      <c r="BB69" s="286"/>
      <c r="BC69" s="852">
        <f t="shared" si="54"/>
        <v>0</v>
      </c>
      <c r="BD69" s="398"/>
      <c r="BE69" s="1546">
        <f t="shared" si="45"/>
        <v>0</v>
      </c>
      <c r="BF69" s="1546">
        <f t="shared" si="45"/>
        <v>0</v>
      </c>
      <c r="BG69" s="1546">
        <f t="shared" si="45"/>
        <v>0</v>
      </c>
      <c r="BH69" s="1546">
        <f t="shared" si="45"/>
        <v>0</v>
      </c>
      <c r="BI69" s="1546">
        <f t="shared" si="45"/>
        <v>0</v>
      </c>
      <c r="BJ69" s="1546">
        <f t="shared" si="45"/>
        <v>0</v>
      </c>
      <c r="BK69" s="1546">
        <f t="shared" si="45"/>
        <v>0</v>
      </c>
      <c r="BL69" s="1546">
        <f t="shared" si="45"/>
        <v>0</v>
      </c>
      <c r="BM69" s="1546">
        <f t="shared" si="45"/>
        <v>0</v>
      </c>
      <c r="BN69" s="1546">
        <f t="shared" si="45"/>
        <v>0</v>
      </c>
      <c r="BO69" s="1546">
        <f t="shared" si="46"/>
        <v>0</v>
      </c>
      <c r="BP69" s="1546">
        <f t="shared" si="46"/>
        <v>0</v>
      </c>
      <c r="BQ69" s="1546">
        <f t="shared" si="46"/>
        <v>0</v>
      </c>
      <c r="BR69" s="1546">
        <f t="shared" si="46"/>
        <v>0</v>
      </c>
      <c r="BS69" s="1546">
        <f t="shared" si="46"/>
        <v>0</v>
      </c>
      <c r="BT69" s="1546">
        <f t="shared" si="46"/>
        <v>0</v>
      </c>
      <c r="BU69" s="1546">
        <f t="shared" si="46"/>
        <v>0</v>
      </c>
      <c r="BV69" s="1546">
        <f t="shared" si="46"/>
        <v>0</v>
      </c>
      <c r="BX69" s="1546">
        <f t="shared" si="44"/>
        <v>0</v>
      </c>
      <c r="BY69" s="1546">
        <f t="shared" si="43"/>
        <v>0</v>
      </c>
      <c r="BZ69" s="1546">
        <f t="shared" si="43"/>
        <v>0</v>
      </c>
      <c r="CA69" s="1546">
        <f t="shared" si="43"/>
        <v>0</v>
      </c>
      <c r="CB69" s="1546">
        <f t="shared" si="43"/>
        <v>0</v>
      </c>
      <c r="CC69" s="1546">
        <f t="shared" si="43"/>
        <v>0</v>
      </c>
      <c r="CD69" s="1546">
        <f t="shared" si="43"/>
        <v>0</v>
      </c>
      <c r="CE69" s="1546">
        <f t="shared" si="43"/>
        <v>0</v>
      </c>
      <c r="CF69" s="1546">
        <f t="shared" si="43"/>
        <v>0</v>
      </c>
      <c r="CG69" s="1546">
        <f t="shared" si="43"/>
        <v>0</v>
      </c>
      <c r="CH69" s="1546">
        <f t="shared" si="43"/>
        <v>0</v>
      </c>
      <c r="CI69" s="1546">
        <f t="shared" si="43"/>
        <v>0</v>
      </c>
      <c r="CJ69" s="1546">
        <f t="shared" si="43"/>
        <v>0</v>
      </c>
      <c r="CL69" s="1546">
        <f t="shared" si="47"/>
        <v>0</v>
      </c>
      <c r="CM69" s="1546">
        <f t="shared" si="47"/>
        <v>0</v>
      </c>
      <c r="CN69" s="1546">
        <f t="shared" si="47"/>
        <v>0</v>
      </c>
      <c r="CO69" s="1546">
        <f t="shared" si="47"/>
        <v>0</v>
      </c>
      <c r="CQ69" s="1546">
        <f t="shared" si="55"/>
        <v>0</v>
      </c>
      <c r="CR69" s="1546">
        <f t="shared" si="48"/>
        <v>0</v>
      </c>
      <c r="CS69" s="1546">
        <f t="shared" si="48"/>
        <v>0</v>
      </c>
      <c r="CT69" s="1546">
        <f t="shared" si="48"/>
        <v>0</v>
      </c>
      <c r="CU69" s="1546">
        <f t="shared" si="48"/>
        <v>0</v>
      </c>
      <c r="CV69" s="1546">
        <f t="shared" si="48"/>
        <v>0</v>
      </c>
      <c r="CW69" s="1546">
        <f t="shared" si="48"/>
        <v>0</v>
      </c>
      <c r="CX69" s="1546">
        <f t="shared" si="48"/>
        <v>0</v>
      </c>
      <c r="CY69" s="1546">
        <f t="shared" si="48"/>
        <v>0</v>
      </c>
      <c r="CZ69" s="1546">
        <f t="shared" si="48"/>
        <v>0</v>
      </c>
      <c r="DA69" s="1546">
        <f t="shared" si="48"/>
        <v>0</v>
      </c>
      <c r="DB69" s="1546">
        <f t="shared" si="48"/>
        <v>0</v>
      </c>
      <c r="DC69" s="1546">
        <f t="shared" si="48"/>
        <v>0</v>
      </c>
      <c r="DD69" s="1546">
        <f t="shared" si="48"/>
        <v>0</v>
      </c>
      <c r="DE69" s="1546">
        <f t="shared" si="48"/>
        <v>0</v>
      </c>
      <c r="DF69" s="1546">
        <f t="shared" si="48"/>
        <v>0</v>
      </c>
      <c r="DG69" s="1546">
        <f t="shared" si="56"/>
        <v>1</v>
      </c>
      <c r="DI69" s="1546">
        <f t="shared" si="49"/>
        <v>0</v>
      </c>
      <c r="DJ69" s="1546">
        <f t="shared" si="49"/>
        <v>0</v>
      </c>
      <c r="DK69" s="1546">
        <f t="shared" si="49"/>
        <v>0</v>
      </c>
      <c r="DL69" s="1546">
        <f t="shared" si="49"/>
        <v>0</v>
      </c>
      <c r="DM69" s="1546">
        <f t="shared" si="49"/>
        <v>0</v>
      </c>
      <c r="DN69" s="1546">
        <f t="shared" si="49"/>
        <v>0</v>
      </c>
    </row>
    <row r="70" spans="1:118" x14ac:dyDescent="0.3">
      <c r="A70" s="285">
        <v>60</v>
      </c>
      <c r="B70" s="325">
        <f t="shared" si="50"/>
        <v>0</v>
      </c>
      <c r="C70" s="682"/>
      <c r="D70" s="683"/>
      <c r="E70" s="680"/>
      <c r="F70" s="713"/>
      <c r="G70" s="91" t="str">
        <f>IF($B70=0,"",VLOOKUP($B70,'Valve Data'!$1:$1048576,MATCH(G$1,'Valve Data'!$1:$1,0),0))</f>
        <v/>
      </c>
      <c r="H70" s="21" t="str">
        <f>IF($B70=0,"",VLOOKUP($B70,'Valve Data'!$1:$1048576,MATCH(H$1,'Valve Data'!$1:$1,0),0))</f>
        <v/>
      </c>
      <c r="I70" s="21" t="str">
        <f>IF($B70=0,"",VLOOKUP($B70,'Valve Data'!$1:$1048576,MATCH(I$1,'Valve Data'!$1:$1,0),0))</f>
        <v/>
      </c>
      <c r="J70" s="328" t="str">
        <f>IF($B70=0,"",VLOOKUP($B70,'Valve Data'!$1:$1048576,MATCH(J$1,'Valve Data'!$1:$1,0),0))</f>
        <v/>
      </c>
      <c r="K70" s="21" t="str">
        <f>IF($B70=0,"",VLOOKUP($B70,'Valve Data'!$1:$1048576,MATCH(K$1,'Valve Data'!$1:$1,0),0))</f>
        <v/>
      </c>
      <c r="L70" s="21" t="str">
        <f>IF($B70=0,"",VLOOKUP($B70,'Valve Data'!$1:$1048576,MATCH(L$1,'Valve Data'!$1:$1,0),0))</f>
        <v/>
      </c>
      <c r="M70" s="21" t="str">
        <f>IF($B70=0,"",VLOOKUP($B70,'Valve Data'!$1:$1048576,MATCH(M$1,'Valve Data'!$1:$1,0),0))</f>
        <v/>
      </c>
      <c r="N70" s="21" t="str">
        <f>IF($B70=0,"",VLOOKUP($B70,'Valve Data'!$1:$1048576,MATCH(N$1,'Valve Data'!$1:$1,0),0))</f>
        <v/>
      </c>
      <c r="O70" s="21" t="str">
        <f>IF($B70=0,"",VLOOKUP($B70,'Valve Data'!$1:$1048576,MATCH(O$1,'Valve Data'!$1:$1,0),0))</f>
        <v/>
      </c>
      <c r="P70" s="21" t="str">
        <f>IF($B70=0,"",VLOOKUP($B70,'Valve Data'!$1:$1048576,MATCH(P$1,'Valve Data'!$1:$1,0),0))</f>
        <v/>
      </c>
      <c r="Q70" s="21" t="str">
        <f>IF($B70=0,"",VLOOKUP($B70,'Valve Data'!$1:$1048576,MATCH(Q$1,'Valve Data'!$1:$1,0),0))</f>
        <v/>
      </c>
      <c r="R70" s="21" t="str">
        <f>IF($B70=0,"",VLOOKUP($B70,'Valve Data'!$1:$1048576,MATCH(R$1,'Valve Data'!$1:$1,0),0))</f>
        <v/>
      </c>
      <c r="S70" s="21" t="str">
        <f>IF($B70=0,"",VLOOKUP($B70,'Valve Data'!$1:$1048576,MATCH(S$1,'Valve Data'!$1:$1,0),0))</f>
        <v/>
      </c>
      <c r="T70" s="331" t="str">
        <f>IF($B70=0,"",VLOOKUP($B70,'Valve Data'!$1:$1048576,MATCH(T$1,'Valve Data'!$1:$1,0),0))</f>
        <v/>
      </c>
      <c r="U70" s="91" t="str">
        <f>IF($B70=0,"",VLOOKUP($B70,'Valve Data'!$1:$1048576,MATCH(U$1,'Valve Data'!$1:$1,0),0))</f>
        <v/>
      </c>
      <c r="V70" s="21" t="str">
        <f>IF($B70=0,"",VLOOKUP($B70,'Valve Data'!$1:$1048576,MATCH(V$1,'Valve Data'!$1:$1,0),0))</f>
        <v/>
      </c>
      <c r="W70" s="21" t="str">
        <f>IF($B70=0,"",VLOOKUP($B70,'Valve Data'!$1:$1048576,MATCH(W$1,'Valve Data'!$1:$1,0),0))</f>
        <v/>
      </c>
      <c r="X70" s="331" t="str">
        <f>IF($B70=0,"",VLOOKUP($B70,'Valve Data'!$1:$1048576,MATCH(X$1,'Valve Data'!$1:$1,0),0))</f>
        <v/>
      </c>
      <c r="Y70" s="865"/>
      <c r="Z70" s="683"/>
      <c r="AA70" s="680"/>
      <c r="AB70" s="680"/>
      <c r="AC70" s="680"/>
      <c r="AD70" s="680"/>
      <c r="AE70" s="868"/>
      <c r="AF70" s="866"/>
      <c r="AG70" s="680"/>
      <c r="AH70" s="680"/>
      <c r="AI70" s="680"/>
      <c r="AJ70" s="680"/>
      <c r="AK70" s="680"/>
      <c r="AL70" s="680"/>
      <c r="AM70" s="680"/>
      <c r="AN70" s="680"/>
      <c r="AO70" s="680"/>
      <c r="AP70" s="684"/>
      <c r="AQ70" s="684"/>
      <c r="AR70" s="680"/>
      <c r="AS70" s="684"/>
      <c r="AT70" s="684"/>
      <c r="AU70" s="684"/>
      <c r="AV70" s="271">
        <f t="shared" si="51"/>
        <v>0</v>
      </c>
      <c r="AW70" s="680"/>
      <c r="AX70" s="845">
        <f>IF(F70="Ball_valve",IFERROR(VLOOKUP(E70&amp;"."&amp;D70,'Ball Valves Chart'!$1:$1048576,MATCH(G70,'Ball Valves Chart'!$3:$3,0),0),0),0)+IF(F70="DBB",IFERROR(VLOOKUP(E70&amp;"."&amp;D70,'Ball Valves Chart'!$1:$1048576,MATCH(G70,'Ball Valves Chart'!$3:$3,0),0)*2,0),0)+IFERROR(VLOOKUP(D70&amp;"."&amp;F70,'Manual Valves Chart'!$1:$1048576,MATCH('Valve List'!G62,'Manual Valves Chart'!$1:$1,0),0),0)</f>
        <v>0</v>
      </c>
      <c r="AY70" s="846">
        <f t="shared" si="52"/>
        <v>0</v>
      </c>
      <c r="AZ70" s="854"/>
      <c r="BA70" s="856">
        <f t="shared" si="53"/>
        <v>0</v>
      </c>
      <c r="BB70" s="286"/>
      <c r="BC70" s="852">
        <f t="shared" si="54"/>
        <v>0</v>
      </c>
      <c r="BD70" s="398"/>
      <c r="BE70" s="1546">
        <f t="shared" si="45"/>
        <v>0</v>
      </c>
      <c r="BF70" s="1546">
        <f t="shared" si="45"/>
        <v>0</v>
      </c>
      <c r="BG70" s="1546">
        <f t="shared" si="45"/>
        <v>0</v>
      </c>
      <c r="BH70" s="1546">
        <f t="shared" si="45"/>
        <v>0</v>
      </c>
      <c r="BI70" s="1546">
        <f t="shared" si="45"/>
        <v>0</v>
      </c>
      <c r="BJ70" s="1546">
        <f t="shared" si="45"/>
        <v>0</v>
      </c>
      <c r="BK70" s="1546">
        <f t="shared" si="45"/>
        <v>0</v>
      </c>
      <c r="BL70" s="1546">
        <f t="shared" si="45"/>
        <v>0</v>
      </c>
      <c r="BM70" s="1546">
        <f t="shared" si="45"/>
        <v>0</v>
      </c>
      <c r="BN70" s="1546">
        <f t="shared" si="45"/>
        <v>0</v>
      </c>
      <c r="BO70" s="1546">
        <f t="shared" si="46"/>
        <v>0</v>
      </c>
      <c r="BP70" s="1546">
        <f t="shared" si="46"/>
        <v>0</v>
      </c>
      <c r="BQ70" s="1546">
        <f t="shared" si="46"/>
        <v>0</v>
      </c>
      <c r="BR70" s="1546">
        <f t="shared" si="46"/>
        <v>0</v>
      </c>
      <c r="BS70" s="1546">
        <f t="shared" si="46"/>
        <v>0</v>
      </c>
      <c r="BT70" s="1546">
        <f t="shared" si="46"/>
        <v>0</v>
      </c>
      <c r="BU70" s="1546">
        <f t="shared" si="46"/>
        <v>0</v>
      </c>
      <c r="BV70" s="1546">
        <f t="shared" si="46"/>
        <v>0</v>
      </c>
      <c r="BX70" s="1546">
        <f t="shared" si="44"/>
        <v>0</v>
      </c>
      <c r="BY70" s="1546">
        <f t="shared" si="43"/>
        <v>0</v>
      </c>
      <c r="BZ70" s="1546">
        <f t="shared" si="43"/>
        <v>0</v>
      </c>
      <c r="CA70" s="1546">
        <f t="shared" si="43"/>
        <v>0</v>
      </c>
      <c r="CB70" s="1546">
        <f t="shared" si="43"/>
        <v>0</v>
      </c>
      <c r="CC70" s="1546">
        <f t="shared" si="43"/>
        <v>0</v>
      </c>
      <c r="CD70" s="1546">
        <f t="shared" si="43"/>
        <v>0</v>
      </c>
      <c r="CE70" s="1546">
        <f t="shared" si="43"/>
        <v>0</v>
      </c>
      <c r="CF70" s="1546">
        <f t="shared" si="43"/>
        <v>0</v>
      </c>
      <c r="CG70" s="1546">
        <f t="shared" si="43"/>
        <v>0</v>
      </c>
      <c r="CH70" s="1546">
        <f t="shared" si="43"/>
        <v>0</v>
      </c>
      <c r="CI70" s="1546">
        <f t="shared" si="43"/>
        <v>0</v>
      </c>
      <c r="CJ70" s="1546">
        <f t="shared" si="43"/>
        <v>0</v>
      </c>
      <c r="CL70" s="1546">
        <f t="shared" si="47"/>
        <v>0</v>
      </c>
      <c r="CM70" s="1546">
        <f t="shared" si="47"/>
        <v>0</v>
      </c>
      <c r="CN70" s="1546">
        <f t="shared" si="47"/>
        <v>0</v>
      </c>
      <c r="CO70" s="1546">
        <f t="shared" si="47"/>
        <v>0</v>
      </c>
      <c r="CQ70" s="1546">
        <f t="shared" si="55"/>
        <v>0</v>
      </c>
      <c r="CR70" s="1546">
        <f t="shared" si="48"/>
        <v>0</v>
      </c>
      <c r="CS70" s="1546">
        <f t="shared" si="48"/>
        <v>0</v>
      </c>
      <c r="CT70" s="1546">
        <f t="shared" si="48"/>
        <v>0</v>
      </c>
      <c r="CU70" s="1546">
        <f t="shared" si="48"/>
        <v>0</v>
      </c>
      <c r="CV70" s="1546">
        <f t="shared" si="48"/>
        <v>0</v>
      </c>
      <c r="CW70" s="1546">
        <f t="shared" si="48"/>
        <v>0</v>
      </c>
      <c r="CX70" s="1546">
        <f t="shared" si="48"/>
        <v>0</v>
      </c>
      <c r="CY70" s="1546">
        <f t="shared" si="48"/>
        <v>0</v>
      </c>
      <c r="CZ70" s="1546">
        <f t="shared" si="48"/>
        <v>0</v>
      </c>
      <c r="DA70" s="1546">
        <f t="shared" si="48"/>
        <v>0</v>
      </c>
      <c r="DB70" s="1546">
        <f t="shared" si="48"/>
        <v>0</v>
      </c>
      <c r="DC70" s="1546">
        <f t="shared" si="48"/>
        <v>0</v>
      </c>
      <c r="DD70" s="1546">
        <f t="shared" si="48"/>
        <v>0</v>
      </c>
      <c r="DE70" s="1546">
        <f t="shared" si="48"/>
        <v>0</v>
      </c>
      <c r="DF70" s="1546">
        <f t="shared" si="48"/>
        <v>0</v>
      </c>
      <c r="DG70" s="1546">
        <f t="shared" si="56"/>
        <v>1</v>
      </c>
      <c r="DI70" s="1546">
        <f t="shared" si="49"/>
        <v>0</v>
      </c>
      <c r="DJ70" s="1546">
        <f t="shared" si="49"/>
        <v>0</v>
      </c>
      <c r="DK70" s="1546">
        <f t="shared" si="49"/>
        <v>0</v>
      </c>
      <c r="DL70" s="1546">
        <f t="shared" si="49"/>
        <v>0</v>
      </c>
      <c r="DM70" s="1546">
        <f t="shared" si="49"/>
        <v>0</v>
      </c>
      <c r="DN70" s="1546">
        <f t="shared" si="49"/>
        <v>0</v>
      </c>
    </row>
    <row r="71" spans="1:118" x14ac:dyDescent="0.3">
      <c r="A71" s="285">
        <v>62</v>
      </c>
      <c r="B71" s="325">
        <f t="shared" si="50"/>
        <v>0</v>
      </c>
      <c r="C71" s="682"/>
      <c r="D71" s="683"/>
      <c r="E71" s="680"/>
      <c r="F71" s="713"/>
      <c r="G71" s="91" t="str">
        <f>IF($B71=0,"",VLOOKUP($B71,'Valve Data'!$1:$1048576,MATCH(G$1,'Valve Data'!$1:$1,0),0))</f>
        <v/>
      </c>
      <c r="H71" s="21" t="str">
        <f>IF($B71=0,"",VLOOKUP($B71,'Valve Data'!$1:$1048576,MATCH(H$1,'Valve Data'!$1:$1,0),0))</f>
        <v/>
      </c>
      <c r="I71" s="21" t="str">
        <f>IF($B71=0,"",VLOOKUP($B71,'Valve Data'!$1:$1048576,MATCH(I$1,'Valve Data'!$1:$1,0),0))</f>
        <v/>
      </c>
      <c r="J71" s="328" t="str">
        <f>IF($B71=0,"",VLOOKUP($B71,'Valve Data'!$1:$1048576,MATCH(J$1,'Valve Data'!$1:$1,0),0))</f>
        <v/>
      </c>
      <c r="K71" s="21" t="str">
        <f>IF($B71=0,"",VLOOKUP($B71,'Valve Data'!$1:$1048576,MATCH(K$1,'Valve Data'!$1:$1,0),0))</f>
        <v/>
      </c>
      <c r="L71" s="21" t="str">
        <f>IF($B71=0,"",VLOOKUP($B71,'Valve Data'!$1:$1048576,MATCH(L$1,'Valve Data'!$1:$1,0),0))</f>
        <v/>
      </c>
      <c r="M71" s="21" t="str">
        <f>IF($B71=0,"",VLOOKUP($B71,'Valve Data'!$1:$1048576,MATCH(M$1,'Valve Data'!$1:$1,0),0))</f>
        <v/>
      </c>
      <c r="N71" s="21" t="str">
        <f>IF($B71=0,"",VLOOKUP($B71,'Valve Data'!$1:$1048576,MATCH(N$1,'Valve Data'!$1:$1,0),0))</f>
        <v/>
      </c>
      <c r="O71" s="21" t="str">
        <f>IF($B71=0,"",VLOOKUP($B71,'Valve Data'!$1:$1048576,MATCH(O$1,'Valve Data'!$1:$1,0),0))</f>
        <v/>
      </c>
      <c r="P71" s="21" t="str">
        <f>IF($B71=0,"",VLOOKUP($B71,'Valve Data'!$1:$1048576,MATCH(P$1,'Valve Data'!$1:$1,0),0))</f>
        <v/>
      </c>
      <c r="Q71" s="21" t="str">
        <f>IF($B71=0,"",VLOOKUP($B71,'Valve Data'!$1:$1048576,MATCH(Q$1,'Valve Data'!$1:$1,0),0))</f>
        <v/>
      </c>
      <c r="R71" s="21" t="str">
        <f>IF($B71=0,"",VLOOKUP($B71,'Valve Data'!$1:$1048576,MATCH(R$1,'Valve Data'!$1:$1,0),0))</f>
        <v/>
      </c>
      <c r="S71" s="21" t="str">
        <f>IF($B71=0,"",VLOOKUP($B71,'Valve Data'!$1:$1048576,MATCH(S$1,'Valve Data'!$1:$1,0),0))</f>
        <v/>
      </c>
      <c r="T71" s="331" t="str">
        <f>IF($B71=0,"",VLOOKUP($B71,'Valve Data'!$1:$1048576,MATCH(T$1,'Valve Data'!$1:$1,0),0))</f>
        <v/>
      </c>
      <c r="U71" s="91" t="str">
        <f>IF($B71=0,"",VLOOKUP($B71,'Valve Data'!$1:$1048576,MATCH(U$1,'Valve Data'!$1:$1,0),0))</f>
        <v/>
      </c>
      <c r="V71" s="21" t="str">
        <f>IF($B71=0,"",VLOOKUP($B71,'Valve Data'!$1:$1048576,MATCH(V$1,'Valve Data'!$1:$1,0),0))</f>
        <v/>
      </c>
      <c r="W71" s="21" t="str">
        <f>IF($B71=0,"",VLOOKUP($B71,'Valve Data'!$1:$1048576,MATCH(W$1,'Valve Data'!$1:$1,0),0))</f>
        <v/>
      </c>
      <c r="X71" s="331" t="str">
        <f>IF($B71=0,"",VLOOKUP($B71,'Valve Data'!$1:$1048576,MATCH(X$1,'Valve Data'!$1:$1,0),0))</f>
        <v/>
      </c>
      <c r="Y71" s="865"/>
      <c r="Z71" s="683"/>
      <c r="AA71" s="680"/>
      <c r="AB71" s="680"/>
      <c r="AC71" s="680"/>
      <c r="AD71" s="680"/>
      <c r="AE71" s="868"/>
      <c r="AF71" s="866"/>
      <c r="AG71" s="680"/>
      <c r="AH71" s="680"/>
      <c r="AI71" s="680"/>
      <c r="AJ71" s="680"/>
      <c r="AK71" s="680"/>
      <c r="AL71" s="680"/>
      <c r="AM71" s="680"/>
      <c r="AN71" s="680"/>
      <c r="AO71" s="680"/>
      <c r="AP71" s="684"/>
      <c r="AQ71" s="684"/>
      <c r="AR71" s="680"/>
      <c r="AS71" s="684"/>
      <c r="AT71" s="684"/>
      <c r="AU71" s="684"/>
      <c r="AV71" s="271">
        <f t="shared" si="51"/>
        <v>0</v>
      </c>
      <c r="AW71" s="680"/>
      <c r="AX71" s="845">
        <f>IF(F71="Ball_valve",IFERROR(VLOOKUP(E71&amp;"."&amp;D71,'Ball Valves Chart'!$1:$1048576,MATCH(G71,'Ball Valves Chart'!$3:$3,0),0),0),0)+IF(F71="DBB",IFERROR(VLOOKUP(E71&amp;"."&amp;D71,'Ball Valves Chart'!$1:$1048576,MATCH(G71,'Ball Valves Chart'!$3:$3,0),0)*2,0),0)+IFERROR(VLOOKUP(D71&amp;"."&amp;F71,'Manual Valves Chart'!$1:$1048576,MATCH('Valve List'!G64,'Manual Valves Chart'!$1:$1,0),0),0)</f>
        <v>0</v>
      </c>
      <c r="AY71" s="846">
        <f t="shared" si="52"/>
        <v>0</v>
      </c>
      <c r="AZ71" s="854"/>
      <c r="BA71" s="856">
        <f t="shared" si="53"/>
        <v>0</v>
      </c>
      <c r="BB71" s="286"/>
      <c r="BC71" s="852">
        <f t="shared" si="54"/>
        <v>0</v>
      </c>
      <c r="BD71" s="398"/>
      <c r="BE71" s="1546">
        <f t="shared" si="45"/>
        <v>0</v>
      </c>
      <c r="BF71" s="1546">
        <f t="shared" si="45"/>
        <v>0</v>
      </c>
      <c r="BG71" s="1546">
        <f t="shared" si="45"/>
        <v>0</v>
      </c>
      <c r="BH71" s="1546">
        <f t="shared" si="45"/>
        <v>0</v>
      </c>
      <c r="BI71" s="1546">
        <f t="shared" si="45"/>
        <v>0</v>
      </c>
      <c r="BJ71" s="1546">
        <f t="shared" si="45"/>
        <v>0</v>
      </c>
      <c r="BK71" s="1546">
        <f t="shared" si="45"/>
        <v>0</v>
      </c>
      <c r="BL71" s="1546">
        <f t="shared" si="45"/>
        <v>0</v>
      </c>
      <c r="BM71" s="1546">
        <f t="shared" si="45"/>
        <v>0</v>
      </c>
      <c r="BN71" s="1546">
        <f t="shared" si="45"/>
        <v>0</v>
      </c>
      <c r="BO71" s="1546">
        <f t="shared" si="46"/>
        <v>0</v>
      </c>
      <c r="BP71" s="1546">
        <f t="shared" si="46"/>
        <v>0</v>
      </c>
      <c r="BQ71" s="1546">
        <f t="shared" si="46"/>
        <v>0</v>
      </c>
      <c r="BR71" s="1546">
        <f t="shared" si="46"/>
        <v>0</v>
      </c>
      <c r="BS71" s="1546">
        <f t="shared" si="46"/>
        <v>0</v>
      </c>
      <c r="BT71" s="1546">
        <f t="shared" si="46"/>
        <v>0</v>
      </c>
      <c r="BU71" s="1546">
        <f t="shared" si="46"/>
        <v>0</v>
      </c>
      <c r="BV71" s="1546">
        <f t="shared" si="46"/>
        <v>0</v>
      </c>
      <c r="BX71" s="1546">
        <f t="shared" si="44"/>
        <v>0</v>
      </c>
      <c r="BY71" s="1546">
        <f t="shared" si="43"/>
        <v>0</v>
      </c>
      <c r="BZ71" s="1546">
        <f t="shared" si="43"/>
        <v>0</v>
      </c>
      <c r="CA71" s="1546">
        <f t="shared" si="43"/>
        <v>0</v>
      </c>
      <c r="CB71" s="1546">
        <f t="shared" si="43"/>
        <v>0</v>
      </c>
      <c r="CC71" s="1546">
        <f t="shared" si="43"/>
        <v>0</v>
      </c>
      <c r="CD71" s="1546">
        <f t="shared" si="43"/>
        <v>0</v>
      </c>
      <c r="CE71" s="1546">
        <f t="shared" si="43"/>
        <v>0</v>
      </c>
      <c r="CF71" s="1546">
        <f t="shared" si="43"/>
        <v>0</v>
      </c>
      <c r="CG71" s="1546">
        <f t="shared" si="43"/>
        <v>0</v>
      </c>
      <c r="CH71" s="1546">
        <f t="shared" si="43"/>
        <v>0</v>
      </c>
      <c r="CI71" s="1546">
        <f t="shared" si="43"/>
        <v>0</v>
      </c>
      <c r="CJ71" s="1546">
        <f t="shared" si="43"/>
        <v>0</v>
      </c>
      <c r="CL71" s="1546">
        <f t="shared" si="47"/>
        <v>0</v>
      </c>
      <c r="CM71" s="1546">
        <f t="shared" si="47"/>
        <v>0</v>
      </c>
      <c r="CN71" s="1546">
        <f t="shared" si="47"/>
        <v>0</v>
      </c>
      <c r="CO71" s="1546">
        <f t="shared" si="47"/>
        <v>0</v>
      </c>
      <c r="CQ71" s="1546">
        <f t="shared" si="55"/>
        <v>0</v>
      </c>
      <c r="CR71" s="1546">
        <f t="shared" si="48"/>
        <v>0</v>
      </c>
      <c r="CS71" s="1546">
        <f t="shared" si="48"/>
        <v>0</v>
      </c>
      <c r="CT71" s="1546">
        <f t="shared" si="48"/>
        <v>0</v>
      </c>
      <c r="CU71" s="1546">
        <f t="shared" si="48"/>
        <v>0</v>
      </c>
      <c r="CV71" s="1546">
        <f t="shared" si="48"/>
        <v>0</v>
      </c>
      <c r="CW71" s="1546">
        <f t="shared" si="48"/>
        <v>0</v>
      </c>
      <c r="CX71" s="1546">
        <f t="shared" si="48"/>
        <v>0</v>
      </c>
      <c r="CY71" s="1546">
        <f t="shared" si="48"/>
        <v>0</v>
      </c>
      <c r="CZ71" s="1546">
        <f t="shared" si="48"/>
        <v>0</v>
      </c>
      <c r="DA71" s="1546">
        <f t="shared" si="48"/>
        <v>0</v>
      </c>
      <c r="DB71" s="1546">
        <f t="shared" si="48"/>
        <v>0</v>
      </c>
      <c r="DC71" s="1546">
        <f t="shared" si="48"/>
        <v>0</v>
      </c>
      <c r="DD71" s="1546">
        <f t="shared" si="48"/>
        <v>0</v>
      </c>
      <c r="DE71" s="1546">
        <f t="shared" si="48"/>
        <v>0</v>
      </c>
      <c r="DF71" s="1546">
        <f t="shared" si="48"/>
        <v>0</v>
      </c>
      <c r="DG71" s="1546">
        <f t="shared" si="56"/>
        <v>1</v>
      </c>
      <c r="DI71" s="1546">
        <f t="shared" si="49"/>
        <v>0</v>
      </c>
      <c r="DJ71" s="1546">
        <f t="shared" si="49"/>
        <v>0</v>
      </c>
      <c r="DK71" s="1546">
        <f t="shared" si="49"/>
        <v>0</v>
      </c>
      <c r="DL71" s="1546">
        <f t="shared" si="49"/>
        <v>0</v>
      </c>
      <c r="DM71" s="1546">
        <f t="shared" si="49"/>
        <v>0</v>
      </c>
      <c r="DN71" s="1546">
        <f t="shared" si="49"/>
        <v>0</v>
      </c>
    </row>
    <row r="72" spans="1:118" x14ac:dyDescent="0.3">
      <c r="A72" s="285">
        <v>68</v>
      </c>
      <c r="B72" s="325">
        <f t="shared" si="50"/>
        <v>0</v>
      </c>
      <c r="C72" s="682"/>
      <c r="D72" s="683"/>
      <c r="E72" s="680"/>
      <c r="F72" s="713"/>
      <c r="G72" s="91" t="str">
        <f>IF($B72=0,"",VLOOKUP($B72,'Valve Data'!$1:$1048576,MATCH(G$1,'Valve Data'!$1:$1,0),0))</f>
        <v/>
      </c>
      <c r="H72" s="21" t="str">
        <f>IF($B72=0,"",VLOOKUP($B72,'Valve Data'!$1:$1048576,MATCH(H$1,'Valve Data'!$1:$1,0),0))</f>
        <v/>
      </c>
      <c r="I72" s="21" t="str">
        <f>IF($B72=0,"",VLOOKUP($B72,'Valve Data'!$1:$1048576,MATCH(I$1,'Valve Data'!$1:$1,0),0))</f>
        <v/>
      </c>
      <c r="J72" s="328" t="str">
        <f>IF($B72=0,"",VLOOKUP($B72,'Valve Data'!$1:$1048576,MATCH(J$1,'Valve Data'!$1:$1,0),0))</f>
        <v/>
      </c>
      <c r="K72" s="21" t="str">
        <f>IF($B72=0,"",VLOOKUP($B72,'Valve Data'!$1:$1048576,MATCH(K$1,'Valve Data'!$1:$1,0),0))</f>
        <v/>
      </c>
      <c r="L72" s="21" t="str">
        <f>IF($B72=0,"",VLOOKUP($B72,'Valve Data'!$1:$1048576,MATCH(L$1,'Valve Data'!$1:$1,0),0))</f>
        <v/>
      </c>
      <c r="M72" s="21" t="str">
        <f>IF($B72=0,"",VLOOKUP($B72,'Valve Data'!$1:$1048576,MATCH(M$1,'Valve Data'!$1:$1,0),0))</f>
        <v/>
      </c>
      <c r="N72" s="21" t="str">
        <f>IF($B72=0,"",VLOOKUP($B72,'Valve Data'!$1:$1048576,MATCH(N$1,'Valve Data'!$1:$1,0),0))</f>
        <v/>
      </c>
      <c r="O72" s="21" t="str">
        <f>IF($B72=0,"",VLOOKUP($B72,'Valve Data'!$1:$1048576,MATCH(O$1,'Valve Data'!$1:$1,0),0))</f>
        <v/>
      </c>
      <c r="P72" s="21" t="str">
        <f>IF($B72=0,"",VLOOKUP($B72,'Valve Data'!$1:$1048576,MATCH(P$1,'Valve Data'!$1:$1,0),0))</f>
        <v/>
      </c>
      <c r="Q72" s="21" t="str">
        <f>IF($B72=0,"",VLOOKUP($B72,'Valve Data'!$1:$1048576,MATCH(Q$1,'Valve Data'!$1:$1,0),0))</f>
        <v/>
      </c>
      <c r="R72" s="21" t="str">
        <f>IF($B72=0,"",VLOOKUP($B72,'Valve Data'!$1:$1048576,MATCH(R$1,'Valve Data'!$1:$1,0),0))</f>
        <v/>
      </c>
      <c r="S72" s="21" t="str">
        <f>IF($B72=0,"",VLOOKUP($B72,'Valve Data'!$1:$1048576,MATCH(S$1,'Valve Data'!$1:$1,0),0))</f>
        <v/>
      </c>
      <c r="T72" s="331" t="str">
        <f>IF($B72=0,"",VLOOKUP($B72,'Valve Data'!$1:$1048576,MATCH(T$1,'Valve Data'!$1:$1,0),0))</f>
        <v/>
      </c>
      <c r="U72" s="91" t="str">
        <f>IF($B72=0,"",VLOOKUP($B72,'Valve Data'!$1:$1048576,MATCH(U$1,'Valve Data'!$1:$1,0),0))</f>
        <v/>
      </c>
      <c r="V72" s="21" t="str">
        <f>IF($B72=0,"",VLOOKUP($B72,'Valve Data'!$1:$1048576,MATCH(V$1,'Valve Data'!$1:$1,0),0))</f>
        <v/>
      </c>
      <c r="W72" s="21" t="str">
        <f>IF($B72=0,"",VLOOKUP($B72,'Valve Data'!$1:$1048576,MATCH(W$1,'Valve Data'!$1:$1,0),0))</f>
        <v/>
      </c>
      <c r="X72" s="331" t="str">
        <f>IF($B72=0,"",VLOOKUP($B72,'Valve Data'!$1:$1048576,MATCH(X$1,'Valve Data'!$1:$1,0),0))</f>
        <v/>
      </c>
      <c r="Y72" s="865"/>
      <c r="Z72" s="683"/>
      <c r="AA72" s="680"/>
      <c r="AB72" s="680"/>
      <c r="AC72" s="680"/>
      <c r="AD72" s="680"/>
      <c r="AE72" s="868"/>
      <c r="AF72" s="866"/>
      <c r="AG72" s="680"/>
      <c r="AH72" s="680"/>
      <c r="AI72" s="680"/>
      <c r="AJ72" s="680"/>
      <c r="AK72" s="680"/>
      <c r="AL72" s="680"/>
      <c r="AM72" s="680"/>
      <c r="AN72" s="680"/>
      <c r="AO72" s="680"/>
      <c r="AP72" s="684"/>
      <c r="AQ72" s="684"/>
      <c r="AR72" s="680"/>
      <c r="AS72" s="684"/>
      <c r="AT72" s="684"/>
      <c r="AU72" s="684"/>
      <c r="AV72" s="271">
        <f t="shared" si="51"/>
        <v>0</v>
      </c>
      <c r="AW72" s="680"/>
      <c r="AX72" s="845">
        <f>IF(F72="Ball_valve",IFERROR(VLOOKUP(E72&amp;"."&amp;D72,'Ball Valves Chart'!$1:$1048576,MATCH(G72,'Ball Valves Chart'!$3:$3,0),0),0),0)+IF(F72="DBB",IFERROR(VLOOKUP(E72&amp;"."&amp;D72,'Ball Valves Chart'!$1:$1048576,MATCH(G72,'Ball Valves Chart'!$3:$3,0),0)*2,0),0)+IFERROR(VLOOKUP(D72&amp;"."&amp;F72,'Manual Valves Chart'!$1:$1048576,MATCH('Valve List'!G70,'Manual Valves Chart'!$1:$1,0),0),0)</f>
        <v>0</v>
      </c>
      <c r="AY72" s="846">
        <f t="shared" si="52"/>
        <v>0</v>
      </c>
      <c r="AZ72" s="854"/>
      <c r="BA72" s="856">
        <f t="shared" si="53"/>
        <v>0</v>
      </c>
      <c r="BB72" s="286"/>
      <c r="BC72" s="852">
        <f t="shared" si="54"/>
        <v>0</v>
      </c>
      <c r="BD72" s="398"/>
      <c r="BE72" s="1546">
        <f t="shared" si="45"/>
        <v>0</v>
      </c>
      <c r="BF72" s="1546">
        <f t="shared" si="45"/>
        <v>0</v>
      </c>
      <c r="BG72" s="1546">
        <f t="shared" si="45"/>
        <v>0</v>
      </c>
      <c r="BH72" s="1546">
        <f t="shared" si="45"/>
        <v>0</v>
      </c>
      <c r="BI72" s="1546">
        <f t="shared" si="45"/>
        <v>0</v>
      </c>
      <c r="BJ72" s="1546">
        <f t="shared" si="45"/>
        <v>0</v>
      </c>
      <c r="BK72" s="1546">
        <f t="shared" si="45"/>
        <v>0</v>
      </c>
      <c r="BL72" s="1546">
        <f t="shared" si="45"/>
        <v>0</v>
      </c>
      <c r="BM72" s="1546">
        <f t="shared" si="45"/>
        <v>0</v>
      </c>
      <c r="BN72" s="1546">
        <f t="shared" si="45"/>
        <v>0</v>
      </c>
      <c r="BO72" s="1546">
        <f t="shared" si="46"/>
        <v>0</v>
      </c>
      <c r="BP72" s="1546">
        <f t="shared" si="46"/>
        <v>0</v>
      </c>
      <c r="BQ72" s="1546">
        <f t="shared" si="46"/>
        <v>0</v>
      </c>
      <c r="BR72" s="1546">
        <f t="shared" si="46"/>
        <v>0</v>
      </c>
      <c r="BS72" s="1546">
        <f t="shared" si="46"/>
        <v>0</v>
      </c>
      <c r="BT72" s="1546">
        <f t="shared" si="46"/>
        <v>0</v>
      </c>
      <c r="BU72" s="1546">
        <f t="shared" si="46"/>
        <v>0</v>
      </c>
      <c r="BV72" s="1546">
        <f t="shared" si="46"/>
        <v>0</v>
      </c>
      <c r="BX72" s="1546">
        <f t="shared" si="44"/>
        <v>0</v>
      </c>
      <c r="BY72" s="1546">
        <f t="shared" si="43"/>
        <v>0</v>
      </c>
      <c r="BZ72" s="1546">
        <f t="shared" si="43"/>
        <v>0</v>
      </c>
      <c r="CA72" s="1546">
        <f t="shared" si="43"/>
        <v>0</v>
      </c>
      <c r="CB72" s="1546">
        <f t="shared" si="43"/>
        <v>0</v>
      </c>
      <c r="CC72" s="1546">
        <f t="shared" si="43"/>
        <v>0</v>
      </c>
      <c r="CD72" s="1546">
        <f t="shared" si="43"/>
        <v>0</v>
      </c>
      <c r="CE72" s="1546">
        <f t="shared" si="43"/>
        <v>0</v>
      </c>
      <c r="CF72" s="1546">
        <f t="shared" si="43"/>
        <v>0</v>
      </c>
      <c r="CG72" s="1546">
        <f t="shared" si="43"/>
        <v>0</v>
      </c>
      <c r="CH72" s="1546">
        <f t="shared" si="43"/>
        <v>0</v>
      </c>
      <c r="CI72" s="1546">
        <f t="shared" si="43"/>
        <v>0</v>
      </c>
      <c r="CJ72" s="1546">
        <f t="shared" si="43"/>
        <v>0</v>
      </c>
      <c r="CL72" s="1546">
        <f t="shared" si="47"/>
        <v>0</v>
      </c>
      <c r="CM72" s="1546">
        <f t="shared" si="47"/>
        <v>0</v>
      </c>
      <c r="CN72" s="1546">
        <f t="shared" si="47"/>
        <v>0</v>
      </c>
      <c r="CO72" s="1546">
        <f t="shared" si="47"/>
        <v>0</v>
      </c>
      <c r="CQ72" s="1546">
        <f t="shared" si="55"/>
        <v>0</v>
      </c>
      <c r="CR72" s="1546">
        <f t="shared" si="48"/>
        <v>0</v>
      </c>
      <c r="CS72" s="1546">
        <f t="shared" si="48"/>
        <v>0</v>
      </c>
      <c r="CT72" s="1546">
        <f t="shared" si="48"/>
        <v>0</v>
      </c>
      <c r="CU72" s="1546">
        <f t="shared" si="48"/>
        <v>0</v>
      </c>
      <c r="CV72" s="1546">
        <f t="shared" si="48"/>
        <v>0</v>
      </c>
      <c r="CW72" s="1546">
        <f t="shared" si="48"/>
        <v>0</v>
      </c>
      <c r="CX72" s="1546">
        <f t="shared" si="48"/>
        <v>0</v>
      </c>
      <c r="CY72" s="1546">
        <f t="shared" si="48"/>
        <v>0</v>
      </c>
      <c r="CZ72" s="1546">
        <f t="shared" si="48"/>
        <v>0</v>
      </c>
      <c r="DA72" s="1546">
        <f t="shared" si="48"/>
        <v>0</v>
      </c>
      <c r="DB72" s="1546">
        <f t="shared" si="48"/>
        <v>0</v>
      </c>
      <c r="DC72" s="1546">
        <f t="shared" si="48"/>
        <v>0</v>
      </c>
      <c r="DD72" s="1546">
        <f t="shared" si="48"/>
        <v>0</v>
      </c>
      <c r="DE72" s="1546">
        <f t="shared" si="48"/>
        <v>0</v>
      </c>
      <c r="DF72" s="1546">
        <f t="shared" si="48"/>
        <v>0</v>
      </c>
      <c r="DG72" s="1546">
        <f t="shared" si="56"/>
        <v>1</v>
      </c>
      <c r="DI72" s="1546">
        <f t="shared" si="49"/>
        <v>0</v>
      </c>
      <c r="DJ72" s="1546">
        <f t="shared" si="49"/>
        <v>0</v>
      </c>
      <c r="DK72" s="1546">
        <f t="shared" si="49"/>
        <v>0</v>
      </c>
      <c r="DL72" s="1546">
        <f t="shared" si="49"/>
        <v>0</v>
      </c>
      <c r="DM72" s="1546">
        <f t="shared" si="49"/>
        <v>0</v>
      </c>
      <c r="DN72" s="1546">
        <f t="shared" si="49"/>
        <v>0</v>
      </c>
    </row>
    <row r="73" spans="1:118" x14ac:dyDescent="0.3">
      <c r="A73" s="285">
        <v>71</v>
      </c>
      <c r="B73" s="325">
        <f t="shared" ref="B73:B98" si="57">IFERROR(MATCH(CONCATENATE(F73,".",C73,".",E73,".",D73),DN_0.5,0),0)+IFERROR(MATCH(CONCATENATE(F73,".",C73,".",E73,".",D73),DN_0.75,0),0)+IFERROR(MATCH(CONCATENATE(F73,".",C73,".",E73,".",D73),DN_1,0),0)+IFERROR(MATCH(CONCATENATE(F73,".",C73,".",E73,".",D73),DN_1.5,0),0)+IFERROR(MATCH(CONCATENATE(F73,".",C73,".",E73,".",D73),DN_10,0),0)+IFERROR(MATCH(CONCATENATE(F73,".",C73,".",E73,".",D73),DN_12,0),0)+IFERROR(MATCH(CONCATENATE(F73,".",C73,".",E73,".",D73),DN_14,0),0)+IFERROR(MATCH(CONCATENATE(F73,".",C73,".",E73,".",D73),DN_16,0),0)+IFERROR(MATCH(CONCATENATE(F73,".",C73,".",E73,".",D73),DN_18,0),0)+IFERROR(MATCH(CONCATENATE(F73,".",C73,".",E73,".",D73),DN_2,0),0)+IFERROR(MATCH(CONCATENATE(F73,".",C73,".",E73,".",D73),DN_2.5,0),0)+IFERROR(MATCH(CONCATENATE(F73,".",C73,".",E73,".",D73),DN_20,0),0)+IFERROR(MATCH(CONCATENATE(F73,".",C73,".",E73,".",D73),DN_22,0),0)+IFERROR(MATCH(CONCATENATE(F73,".",C73,".",E73,".",D73),DN_24,0),0)+IFERROR(MATCH(CONCATENATE(F73,".",C73,".",E73,".",D73),DN_3,0),0)+IFERROR(MATCH(CONCATENATE(F73,".",C73,".",E73,".",D73),DN_4,0),0)+IFERROR(MATCH(CONCATENATE(F73,".",C73,".",E73,".",D73),DN_6,0),0)+IFERROR(MATCH(CONCATENATE(F73,".",C73,".",E73,".",D73),DN_8,0),0)+IFERROR(MATCH(CONCATENATE(F73,".",C73,".",E73,".",D73),DN_26,0),0)+IFERROR(MATCH(CONCATENATE(F73,".",C73,".",E73,".",D73),DN_28,0),0)+IFERROR(MATCH(CONCATENATE(F73,".",C73,".",E73,".",D73),DN_30,0),0)+IFERROR(MATCH(CONCATENATE(F73,".",C73,".",E73,".",D73),DN_32,0),0)+IFERROR(MATCH(CONCATENATE(F73,".",C73,".",E73,".",D73),DN_34,0),0)+IFERROR(MATCH(CONCATENATE(F73,".",C73,".",E73,".",D73),DN_36,0),0)+IFERROR(MATCH(CONCATENATE(F73,".",C73,".",E73,".",D73),DN_38,0),0)+IFERROR(MATCH(CONCATENATE(F73,".",C73,".",E73,".",D73),DN_40,0),0+IFERROR(MATCH(CONCATENATE(F73,".",C73,".",E73,".",D73),DN_42,0),0))</f>
        <v>0</v>
      </c>
      <c r="C73" s="682"/>
      <c r="D73" s="683"/>
      <c r="E73" s="680"/>
      <c r="F73" s="713"/>
      <c r="G73" s="91" t="str">
        <f>IF($B73=0,"",VLOOKUP($B73,'Valve Data'!$1:$1048576,MATCH(G$1,'Valve Data'!$1:$1,0),0))</f>
        <v/>
      </c>
      <c r="H73" s="21" t="str">
        <f>IF($B73=0,"",VLOOKUP($B73,'Valve Data'!$1:$1048576,MATCH(H$1,'Valve Data'!$1:$1,0),0))</f>
        <v/>
      </c>
      <c r="I73" s="21" t="str">
        <f>IF($B73=0,"",VLOOKUP($B73,'Valve Data'!$1:$1048576,MATCH(I$1,'Valve Data'!$1:$1,0),0))</f>
        <v/>
      </c>
      <c r="J73" s="328" t="str">
        <f>IF($B73=0,"",VLOOKUP($B73,'Valve Data'!$1:$1048576,MATCH(J$1,'Valve Data'!$1:$1,0),0))</f>
        <v/>
      </c>
      <c r="K73" s="21" t="str">
        <f>IF($B73=0,"",VLOOKUP($B73,'Valve Data'!$1:$1048576,MATCH(K$1,'Valve Data'!$1:$1,0),0))</f>
        <v/>
      </c>
      <c r="L73" s="21" t="str">
        <f>IF($B73=0,"",VLOOKUP($B73,'Valve Data'!$1:$1048576,MATCH(L$1,'Valve Data'!$1:$1,0),0))</f>
        <v/>
      </c>
      <c r="M73" s="21" t="str">
        <f>IF($B73=0,"",VLOOKUP($B73,'Valve Data'!$1:$1048576,MATCH(M$1,'Valve Data'!$1:$1,0),0))</f>
        <v/>
      </c>
      <c r="N73" s="21" t="str">
        <f>IF($B73=0,"",VLOOKUP($B73,'Valve Data'!$1:$1048576,MATCH(N$1,'Valve Data'!$1:$1,0),0))</f>
        <v/>
      </c>
      <c r="O73" s="21" t="str">
        <f>IF($B73=0,"",VLOOKUP($B73,'Valve Data'!$1:$1048576,MATCH(O$1,'Valve Data'!$1:$1,0),0))</f>
        <v/>
      </c>
      <c r="P73" s="21" t="str">
        <f>IF($B73=0,"",VLOOKUP($B73,'Valve Data'!$1:$1048576,MATCH(P$1,'Valve Data'!$1:$1,0),0))</f>
        <v/>
      </c>
      <c r="Q73" s="21" t="str">
        <f>IF($B73=0,"",VLOOKUP($B73,'Valve Data'!$1:$1048576,MATCH(Q$1,'Valve Data'!$1:$1,0),0))</f>
        <v/>
      </c>
      <c r="R73" s="21" t="str">
        <f>IF($B73=0,"",VLOOKUP($B73,'Valve Data'!$1:$1048576,MATCH(R$1,'Valve Data'!$1:$1,0),0))</f>
        <v/>
      </c>
      <c r="S73" s="21" t="str">
        <f>IF($B73=0,"",VLOOKUP($B73,'Valve Data'!$1:$1048576,MATCH(S$1,'Valve Data'!$1:$1,0),0))</f>
        <v/>
      </c>
      <c r="T73" s="331" t="str">
        <f>IF($B73=0,"",VLOOKUP($B73,'Valve Data'!$1:$1048576,MATCH(T$1,'Valve Data'!$1:$1,0),0))</f>
        <v/>
      </c>
      <c r="U73" s="91" t="str">
        <f>IF($B73=0,"",VLOOKUP($B73,'Valve Data'!$1:$1048576,MATCH(U$1,'Valve Data'!$1:$1,0),0))</f>
        <v/>
      </c>
      <c r="V73" s="21" t="str">
        <f>IF($B73=0,"",VLOOKUP($B73,'Valve Data'!$1:$1048576,MATCH(V$1,'Valve Data'!$1:$1,0),0))</f>
        <v/>
      </c>
      <c r="W73" s="21" t="str">
        <f>IF($B73=0,"",VLOOKUP($B73,'Valve Data'!$1:$1048576,MATCH(W$1,'Valve Data'!$1:$1,0),0))</f>
        <v/>
      </c>
      <c r="X73" s="331" t="str">
        <f>IF($B73=0,"",VLOOKUP($B73,'Valve Data'!$1:$1048576,MATCH(X$1,'Valve Data'!$1:$1,0),0))</f>
        <v/>
      </c>
      <c r="Y73" s="865"/>
      <c r="Z73" s="683"/>
      <c r="AA73" s="680"/>
      <c r="AB73" s="680"/>
      <c r="AC73" s="680"/>
      <c r="AD73" s="680"/>
      <c r="AE73" s="868"/>
      <c r="AF73" s="866"/>
      <c r="AG73" s="680"/>
      <c r="AH73" s="680"/>
      <c r="AI73" s="680"/>
      <c r="AJ73" s="680"/>
      <c r="AK73" s="680"/>
      <c r="AL73" s="680"/>
      <c r="AM73" s="680"/>
      <c r="AN73" s="680"/>
      <c r="AO73" s="680"/>
      <c r="AP73" s="684"/>
      <c r="AQ73" s="684"/>
      <c r="AR73" s="680"/>
      <c r="AS73" s="684"/>
      <c r="AT73" s="684"/>
      <c r="AU73" s="684"/>
      <c r="AV73" s="271">
        <f t="shared" ref="AV73:AV98" si="58">SUM(AG73:AU73)</f>
        <v>0</v>
      </c>
      <c r="AW73" s="680"/>
      <c r="AX73" s="845">
        <f>IF(F73="Ball_valve",IFERROR(VLOOKUP(E73&amp;"."&amp;D73,'Ball Valves Chart'!$1:$1048576,MATCH(G73,'Ball Valves Chart'!$3:$3,0),0),0),0)+IF(F73="DBB",IFERROR(VLOOKUP(E73&amp;"."&amp;D73,'Ball Valves Chart'!$1:$1048576,MATCH(G73,'Ball Valves Chart'!$3:$3,0),0)*2,0),0)+IFERROR(VLOOKUP(D73&amp;"."&amp;F73,'Manual Valves Chart'!$1:$1048576,MATCH('Valve List'!G73,'Manual Valves Chart'!$1:$1,0),0),0)</f>
        <v>0</v>
      </c>
      <c r="AY73" s="846">
        <f t="shared" ref="AY73:AY98" si="59">$AV73*AX73</f>
        <v>0</v>
      </c>
      <c r="AZ73" s="854"/>
      <c r="BA73" s="856">
        <f t="shared" ref="BA73:BA98" si="60">AZ73*AV73</f>
        <v>0</v>
      </c>
      <c r="BC73" s="852">
        <f t="shared" ref="BC73:BC98" si="61">AX73*0.18</f>
        <v>0</v>
      </c>
      <c r="BD73" s="398"/>
      <c r="BE73" s="1546">
        <f t="shared" ref="BE73:BS88" si="62">IF(BE$2=$D73,1,0)</f>
        <v>0</v>
      </c>
      <c r="BF73" s="1546">
        <f t="shared" si="62"/>
        <v>0</v>
      </c>
      <c r="BG73" s="1546">
        <f t="shared" si="62"/>
        <v>0</v>
      </c>
      <c r="BH73" s="1546">
        <f t="shared" si="62"/>
        <v>0</v>
      </c>
      <c r="BI73" s="1546">
        <f t="shared" si="62"/>
        <v>0</v>
      </c>
      <c r="BJ73" s="1546">
        <f t="shared" si="62"/>
        <v>0</v>
      </c>
      <c r="BK73" s="1546">
        <f t="shared" si="62"/>
        <v>0</v>
      </c>
      <c r="BL73" s="1546">
        <f t="shared" si="62"/>
        <v>0</v>
      </c>
      <c r="BM73" s="1546">
        <f t="shared" si="62"/>
        <v>0</v>
      </c>
      <c r="BN73" s="1546">
        <f t="shared" si="62"/>
        <v>0</v>
      </c>
      <c r="BO73" s="1546">
        <f t="shared" si="62"/>
        <v>0</v>
      </c>
      <c r="BP73" s="1546">
        <f t="shared" si="62"/>
        <v>0</v>
      </c>
      <c r="BQ73" s="1546">
        <f t="shared" si="62"/>
        <v>0</v>
      </c>
      <c r="BR73" s="1546">
        <f t="shared" si="62"/>
        <v>0</v>
      </c>
      <c r="BS73" s="1546">
        <f t="shared" si="62"/>
        <v>0</v>
      </c>
      <c r="BT73" s="1546">
        <f t="shared" ref="BT73:BV74" si="63">IF(BT$2=$D73,1,0)</f>
        <v>0</v>
      </c>
      <c r="BU73" s="1546">
        <f t="shared" si="63"/>
        <v>0</v>
      </c>
      <c r="BV73" s="1546">
        <f t="shared" si="63"/>
        <v>0</v>
      </c>
      <c r="BX73" s="1546">
        <f t="shared" si="44"/>
        <v>0</v>
      </c>
      <c r="BY73" s="1546">
        <f t="shared" si="43"/>
        <v>0</v>
      </c>
      <c r="BZ73" s="1546">
        <f t="shared" si="43"/>
        <v>0</v>
      </c>
      <c r="CA73" s="1546">
        <f t="shared" si="43"/>
        <v>0</v>
      </c>
      <c r="CB73" s="1546">
        <f t="shared" si="43"/>
        <v>0</v>
      </c>
      <c r="CC73" s="1546">
        <f t="shared" si="43"/>
        <v>0</v>
      </c>
      <c r="CD73" s="1546">
        <f t="shared" si="43"/>
        <v>0</v>
      </c>
      <c r="CE73" s="1546">
        <f t="shared" si="43"/>
        <v>0</v>
      </c>
      <c r="CF73" s="1546">
        <f t="shared" si="43"/>
        <v>0</v>
      </c>
      <c r="CG73" s="1546">
        <f t="shared" si="43"/>
        <v>0</v>
      </c>
      <c r="CH73" s="1546">
        <f t="shared" si="43"/>
        <v>0</v>
      </c>
      <c r="CI73" s="1546">
        <f t="shared" si="43"/>
        <v>0</v>
      </c>
      <c r="CJ73" s="1546">
        <f t="shared" si="43"/>
        <v>0</v>
      </c>
      <c r="CL73" s="1546">
        <f t="shared" ref="CL73:CO98" si="64">IF($L73=CL$2,1,0)</f>
        <v>0</v>
      </c>
      <c r="CM73" s="1546">
        <f t="shared" si="64"/>
        <v>0</v>
      </c>
      <c r="CN73" s="1546">
        <f t="shared" si="64"/>
        <v>0</v>
      </c>
      <c r="CO73" s="1546">
        <f t="shared" si="64"/>
        <v>0</v>
      </c>
      <c r="CQ73" s="1546">
        <f t="shared" si="55"/>
        <v>0</v>
      </c>
      <c r="CR73" s="1546">
        <f t="shared" ref="CR73:DF95" si="65">IF(CR$2=0,0,IF($AW73=CR$2,1,0))</f>
        <v>0</v>
      </c>
      <c r="CS73" s="1546">
        <f t="shared" si="65"/>
        <v>0</v>
      </c>
      <c r="CT73" s="1546">
        <f t="shared" si="65"/>
        <v>0</v>
      </c>
      <c r="CU73" s="1546">
        <f t="shared" si="65"/>
        <v>0</v>
      </c>
      <c r="CV73" s="1546">
        <f t="shared" si="65"/>
        <v>0</v>
      </c>
      <c r="CW73" s="1546">
        <f t="shared" si="65"/>
        <v>0</v>
      </c>
      <c r="CX73" s="1546">
        <f t="shared" si="65"/>
        <v>0</v>
      </c>
      <c r="CY73" s="1546">
        <f t="shared" si="65"/>
        <v>0</v>
      </c>
      <c r="CZ73" s="1546">
        <f t="shared" si="65"/>
        <v>0</v>
      </c>
      <c r="DA73" s="1546">
        <f t="shared" si="65"/>
        <v>0</v>
      </c>
      <c r="DB73" s="1546">
        <f t="shared" si="65"/>
        <v>0</v>
      </c>
      <c r="DC73" s="1546">
        <f t="shared" si="65"/>
        <v>0</v>
      </c>
      <c r="DD73" s="1546">
        <f t="shared" si="65"/>
        <v>0</v>
      </c>
      <c r="DE73" s="1546">
        <f t="shared" si="65"/>
        <v>0</v>
      </c>
      <c r="DF73" s="1546">
        <f t="shared" si="65"/>
        <v>0</v>
      </c>
      <c r="DG73" s="1546">
        <f t="shared" si="56"/>
        <v>1</v>
      </c>
      <c r="DI73" s="1546">
        <f t="shared" ref="DI73:DN98" si="66">IF($G73=DI$2,1,0)</f>
        <v>0</v>
      </c>
      <c r="DJ73" s="1546">
        <f t="shared" si="66"/>
        <v>0</v>
      </c>
      <c r="DK73" s="1546">
        <f t="shared" si="66"/>
        <v>0</v>
      </c>
      <c r="DL73" s="1546">
        <f t="shared" si="66"/>
        <v>0</v>
      </c>
      <c r="DM73" s="1546">
        <f t="shared" si="66"/>
        <v>0</v>
      </c>
      <c r="DN73" s="1546">
        <f t="shared" si="66"/>
        <v>0</v>
      </c>
    </row>
    <row r="74" spans="1:118" x14ac:dyDescent="0.3">
      <c r="A74" s="285">
        <v>72</v>
      </c>
      <c r="B74" s="325">
        <f t="shared" si="57"/>
        <v>0</v>
      </c>
      <c r="C74" s="682"/>
      <c r="D74" s="683"/>
      <c r="E74" s="680"/>
      <c r="F74" s="713"/>
      <c r="G74" s="91"/>
      <c r="H74" s="21"/>
      <c r="I74" s="21"/>
      <c r="J74" s="328"/>
      <c r="K74" s="21"/>
      <c r="L74" s="21"/>
      <c r="M74" s="21"/>
      <c r="N74" s="21"/>
      <c r="O74" s="21"/>
      <c r="P74" s="21"/>
      <c r="Q74" s="21"/>
      <c r="R74" s="21"/>
      <c r="S74" s="21"/>
      <c r="T74" s="331"/>
      <c r="U74" s="91"/>
      <c r="V74" s="21"/>
      <c r="W74" s="21"/>
      <c r="X74" s="331"/>
      <c r="Y74" s="865"/>
      <c r="Z74" s="683"/>
      <c r="AA74" s="680"/>
      <c r="AB74" s="680"/>
      <c r="AC74" s="680"/>
      <c r="AD74" s="680"/>
      <c r="AE74" s="868"/>
      <c r="AF74" s="866"/>
      <c r="AG74" s="680"/>
      <c r="AH74" s="680"/>
      <c r="AI74" s="680"/>
      <c r="AJ74" s="680"/>
      <c r="AK74" s="680"/>
      <c r="AL74" s="680"/>
      <c r="AM74" s="680"/>
      <c r="AN74" s="680"/>
      <c r="AO74" s="680"/>
      <c r="AP74" s="684"/>
      <c r="AQ74" s="684"/>
      <c r="AR74" s="680"/>
      <c r="AS74" s="684"/>
      <c r="AT74" s="684"/>
      <c r="AU74" s="684"/>
      <c r="AV74" s="271">
        <f t="shared" si="58"/>
        <v>0</v>
      </c>
      <c r="AW74" s="680"/>
      <c r="AX74" s="845">
        <f>IF(F74="Ball_valve",IFERROR(VLOOKUP(E74&amp;"."&amp;D74,'Ball Valves Chart'!$1:$1048576,MATCH(G74,'Ball Valves Chart'!$3:$3,0),0),0),0)+IF(F74="DBB",IFERROR(VLOOKUP(E74&amp;"."&amp;D74,'Ball Valves Chart'!$1:$1048576,MATCH(G74,'Ball Valves Chart'!$3:$3,0),0)*2,0),0)+IFERROR(VLOOKUP(D74&amp;"."&amp;F74,'Manual Valves Chart'!$1:$1048576,MATCH('Valve List'!G74,'Manual Valves Chart'!$1:$1,0),0),0)</f>
        <v>0</v>
      </c>
      <c r="AY74" s="846">
        <f t="shared" si="59"/>
        <v>0</v>
      </c>
      <c r="AZ74" s="854"/>
      <c r="BA74" s="856">
        <f t="shared" si="60"/>
        <v>0</v>
      </c>
      <c r="BC74" s="852">
        <f t="shared" si="61"/>
        <v>0</v>
      </c>
      <c r="BD74" s="398"/>
      <c r="BE74" s="1546">
        <f t="shared" si="62"/>
        <v>0</v>
      </c>
      <c r="BF74" s="1546">
        <f t="shared" si="62"/>
        <v>0</v>
      </c>
      <c r="BG74" s="1546">
        <f t="shared" si="62"/>
        <v>0</v>
      </c>
      <c r="BH74" s="1546">
        <f t="shared" si="62"/>
        <v>0</v>
      </c>
      <c r="BI74" s="1546">
        <f t="shared" si="62"/>
        <v>0</v>
      </c>
      <c r="BJ74" s="1546">
        <f t="shared" si="62"/>
        <v>0</v>
      </c>
      <c r="BK74" s="1546">
        <f t="shared" si="62"/>
        <v>0</v>
      </c>
      <c r="BL74" s="1546">
        <f t="shared" si="62"/>
        <v>0</v>
      </c>
      <c r="BM74" s="1546">
        <f t="shared" si="62"/>
        <v>0</v>
      </c>
      <c r="BN74" s="1546">
        <f t="shared" si="62"/>
        <v>0</v>
      </c>
      <c r="BO74" s="1546">
        <f t="shared" si="62"/>
        <v>0</v>
      </c>
      <c r="BP74" s="1546">
        <f t="shared" si="62"/>
        <v>0</v>
      </c>
      <c r="BQ74" s="1546">
        <f t="shared" si="62"/>
        <v>0</v>
      </c>
      <c r="BR74" s="1546">
        <f t="shared" si="62"/>
        <v>0</v>
      </c>
      <c r="BS74" s="1546">
        <f t="shared" si="62"/>
        <v>0</v>
      </c>
      <c r="BT74" s="1546">
        <f t="shared" si="63"/>
        <v>0</v>
      </c>
      <c r="BU74" s="1546">
        <f t="shared" si="63"/>
        <v>0</v>
      </c>
      <c r="BV74" s="1546">
        <f t="shared" si="63"/>
        <v>0</v>
      </c>
      <c r="BX74" s="1546">
        <f t="shared" si="44"/>
        <v>0</v>
      </c>
      <c r="BY74" s="1546">
        <f t="shared" si="43"/>
        <v>0</v>
      </c>
      <c r="BZ74" s="1546">
        <f t="shared" si="43"/>
        <v>0</v>
      </c>
      <c r="CA74" s="1546">
        <f t="shared" si="43"/>
        <v>0</v>
      </c>
      <c r="CB74" s="1546">
        <f t="shared" si="43"/>
        <v>0</v>
      </c>
      <c r="CC74" s="1546">
        <f t="shared" si="43"/>
        <v>0</v>
      </c>
      <c r="CD74" s="1546">
        <f t="shared" si="43"/>
        <v>0</v>
      </c>
      <c r="CE74" s="1546">
        <f t="shared" si="43"/>
        <v>0</v>
      </c>
      <c r="CF74" s="1546">
        <f t="shared" si="43"/>
        <v>0</v>
      </c>
      <c r="CG74" s="1546">
        <f t="shared" si="43"/>
        <v>0</v>
      </c>
      <c r="CH74" s="1546">
        <f t="shared" si="43"/>
        <v>0</v>
      </c>
      <c r="CI74" s="1546">
        <f t="shared" si="43"/>
        <v>0</v>
      </c>
      <c r="CJ74" s="1546">
        <f t="shared" si="43"/>
        <v>0</v>
      </c>
      <c r="CL74" s="1546">
        <f t="shared" si="64"/>
        <v>0</v>
      </c>
      <c r="CM74" s="1546">
        <f t="shared" si="64"/>
        <v>0</v>
      </c>
      <c r="CN74" s="1546">
        <f t="shared" si="64"/>
        <v>0</v>
      </c>
      <c r="CO74" s="1546">
        <f t="shared" si="64"/>
        <v>0</v>
      </c>
      <c r="CQ74" s="1546">
        <f t="shared" si="55"/>
        <v>0</v>
      </c>
      <c r="CR74" s="1546">
        <f t="shared" si="65"/>
        <v>0</v>
      </c>
      <c r="CS74" s="1546">
        <f t="shared" si="65"/>
        <v>0</v>
      </c>
      <c r="CT74" s="1546">
        <f t="shared" si="65"/>
        <v>0</v>
      </c>
      <c r="CU74" s="1546">
        <f t="shared" si="65"/>
        <v>0</v>
      </c>
      <c r="CV74" s="1546">
        <f t="shared" si="65"/>
        <v>0</v>
      </c>
      <c r="CW74" s="1546">
        <f t="shared" si="65"/>
        <v>0</v>
      </c>
      <c r="CX74" s="1546">
        <f t="shared" si="65"/>
        <v>0</v>
      </c>
      <c r="CY74" s="1546">
        <f t="shared" si="65"/>
        <v>0</v>
      </c>
      <c r="CZ74" s="1546">
        <f t="shared" si="65"/>
        <v>0</v>
      </c>
      <c r="DA74" s="1546">
        <f t="shared" si="65"/>
        <v>0</v>
      </c>
      <c r="DB74" s="1546">
        <f t="shared" si="65"/>
        <v>0</v>
      </c>
      <c r="DC74" s="1546">
        <f t="shared" si="65"/>
        <v>0</v>
      </c>
      <c r="DD74" s="1546">
        <f t="shared" si="65"/>
        <v>0</v>
      </c>
      <c r="DE74" s="1546">
        <f t="shared" si="65"/>
        <v>0</v>
      </c>
      <c r="DF74" s="1546">
        <f t="shared" si="65"/>
        <v>0</v>
      </c>
      <c r="DG74" s="1546">
        <f t="shared" si="56"/>
        <v>1</v>
      </c>
      <c r="DI74" s="1546">
        <f t="shared" si="66"/>
        <v>0</v>
      </c>
      <c r="DJ74" s="1546">
        <f t="shared" si="66"/>
        <v>0</v>
      </c>
      <c r="DK74" s="1546">
        <f t="shared" si="66"/>
        <v>0</v>
      </c>
      <c r="DL74" s="1546">
        <f t="shared" si="66"/>
        <v>0</v>
      </c>
      <c r="DM74" s="1546">
        <f t="shared" si="66"/>
        <v>0</v>
      </c>
      <c r="DN74" s="1546">
        <f t="shared" si="66"/>
        <v>0</v>
      </c>
    </row>
    <row r="75" spans="1:118" x14ac:dyDescent="0.3">
      <c r="A75" s="285">
        <v>73</v>
      </c>
      <c r="B75" s="325">
        <f t="shared" si="57"/>
        <v>0</v>
      </c>
      <c r="C75" s="682"/>
      <c r="D75" s="683"/>
      <c r="E75" s="680"/>
      <c r="F75" s="713"/>
      <c r="G75" s="91"/>
      <c r="H75" s="21"/>
      <c r="I75" s="21"/>
      <c r="J75" s="328"/>
      <c r="K75" s="21"/>
      <c r="L75" s="21"/>
      <c r="M75" s="21"/>
      <c r="N75" s="21"/>
      <c r="O75" s="21"/>
      <c r="P75" s="21"/>
      <c r="Q75" s="21"/>
      <c r="R75" s="21"/>
      <c r="S75" s="21"/>
      <c r="T75" s="331"/>
      <c r="U75" s="91"/>
      <c r="V75" s="21"/>
      <c r="W75" s="21"/>
      <c r="X75" s="331"/>
      <c r="Y75" s="865"/>
      <c r="Z75" s="683"/>
      <c r="AA75" s="680"/>
      <c r="AB75" s="680"/>
      <c r="AC75" s="680"/>
      <c r="AD75" s="680"/>
      <c r="AE75" s="868"/>
      <c r="AF75" s="866"/>
      <c r="AG75" s="680"/>
      <c r="AH75" s="680"/>
      <c r="AI75" s="680"/>
      <c r="AJ75" s="680"/>
      <c r="AK75" s="680"/>
      <c r="AL75" s="680"/>
      <c r="AM75" s="680"/>
      <c r="AN75" s="680"/>
      <c r="AO75" s="680"/>
      <c r="AP75" s="684"/>
      <c r="AQ75" s="684"/>
      <c r="AR75" s="680"/>
      <c r="AS75" s="684"/>
      <c r="AT75" s="684"/>
      <c r="AU75" s="684"/>
      <c r="AV75" s="271">
        <f t="shared" si="58"/>
        <v>0</v>
      </c>
      <c r="AW75" s="680"/>
      <c r="AX75" s="845">
        <f>IF(F75="Ball_valve",IFERROR(VLOOKUP(E75&amp;"."&amp;D75,'Ball Valves Chart'!$1:$1048576,MATCH(G75,'Ball Valves Chart'!$3:$3,0),0),0),0)+IF(F75="DBB",IFERROR(VLOOKUP(E75&amp;"."&amp;D75,'Ball Valves Chart'!$1:$1048576,MATCH(G75,'Ball Valves Chart'!$3:$3,0),0)*2,0),0)+IFERROR(VLOOKUP(D75&amp;"."&amp;F75,'Manual Valves Chart'!$1:$1048576,MATCH('Valve List'!G75,'Manual Valves Chart'!$1:$1,0),0),0)</f>
        <v>0</v>
      </c>
      <c r="AY75" s="846">
        <f t="shared" si="59"/>
        <v>0</v>
      </c>
      <c r="AZ75" s="854"/>
      <c r="BA75" s="856">
        <f t="shared" si="60"/>
        <v>0</v>
      </c>
      <c r="BC75" s="852">
        <f t="shared" si="61"/>
        <v>0</v>
      </c>
      <c r="BD75" s="398"/>
      <c r="BE75" s="1546">
        <f t="shared" si="62"/>
        <v>0</v>
      </c>
      <c r="BF75" s="1546">
        <f t="shared" si="62"/>
        <v>0</v>
      </c>
      <c r="BG75" s="1546">
        <f t="shared" si="62"/>
        <v>0</v>
      </c>
      <c r="BH75" s="1546">
        <f t="shared" si="62"/>
        <v>0</v>
      </c>
      <c r="BI75" s="1546">
        <f t="shared" si="62"/>
        <v>0</v>
      </c>
      <c r="BJ75" s="1546">
        <f t="shared" si="62"/>
        <v>0</v>
      </c>
      <c r="BK75" s="1546">
        <f t="shared" si="62"/>
        <v>0</v>
      </c>
      <c r="BL75" s="1546">
        <f t="shared" si="62"/>
        <v>0</v>
      </c>
      <c r="BM75" s="1546">
        <f t="shared" si="62"/>
        <v>0</v>
      </c>
      <c r="BN75" s="1546">
        <f t="shared" si="62"/>
        <v>0</v>
      </c>
      <c r="BO75" s="1546">
        <f t="shared" si="62"/>
        <v>0</v>
      </c>
      <c r="BP75" s="1546">
        <f t="shared" si="62"/>
        <v>0</v>
      </c>
      <c r="BQ75" s="1546">
        <f t="shared" si="62"/>
        <v>0</v>
      </c>
      <c r="BR75" s="1546">
        <f t="shared" si="62"/>
        <v>0</v>
      </c>
      <c r="BS75" s="1546">
        <f t="shared" si="62"/>
        <v>0</v>
      </c>
      <c r="BT75" s="1546">
        <f>IF(BT$2=$D75,1,0)</f>
        <v>0</v>
      </c>
      <c r="BU75" s="1546">
        <f t="shared" ref="BT75:BV98" si="67">IF(BU$2=$D75,1,0)</f>
        <v>0</v>
      </c>
      <c r="BV75" s="1546">
        <f t="shared" si="67"/>
        <v>0</v>
      </c>
      <c r="BX75" s="1546">
        <f t="shared" si="44"/>
        <v>0</v>
      </c>
      <c r="BY75" s="1546">
        <f t="shared" si="43"/>
        <v>0</v>
      </c>
      <c r="BZ75" s="1546">
        <f t="shared" si="43"/>
        <v>0</v>
      </c>
      <c r="CA75" s="1546">
        <f t="shared" si="43"/>
        <v>0</v>
      </c>
      <c r="CB75" s="1546">
        <f t="shared" si="43"/>
        <v>0</v>
      </c>
      <c r="CC75" s="1546">
        <f t="shared" si="43"/>
        <v>0</v>
      </c>
      <c r="CD75" s="1546">
        <f t="shared" si="43"/>
        <v>0</v>
      </c>
      <c r="CE75" s="1546">
        <f t="shared" si="43"/>
        <v>0</v>
      </c>
      <c r="CF75" s="1546">
        <f t="shared" si="43"/>
        <v>0</v>
      </c>
      <c r="CG75" s="1546">
        <f t="shared" si="43"/>
        <v>0</v>
      </c>
      <c r="CH75" s="1546">
        <f t="shared" si="43"/>
        <v>0</v>
      </c>
      <c r="CI75" s="1546">
        <f t="shared" si="43"/>
        <v>0</v>
      </c>
      <c r="CJ75" s="1546">
        <f t="shared" si="43"/>
        <v>0</v>
      </c>
      <c r="CL75" s="1546">
        <f t="shared" si="64"/>
        <v>0</v>
      </c>
      <c r="CM75" s="1546">
        <f t="shared" si="64"/>
        <v>0</v>
      </c>
      <c r="CN75" s="1546">
        <f t="shared" si="64"/>
        <v>0</v>
      </c>
      <c r="CO75" s="1546">
        <f t="shared" si="64"/>
        <v>0</v>
      </c>
      <c r="CQ75" s="1546">
        <f t="shared" si="55"/>
        <v>0</v>
      </c>
      <c r="CR75" s="1546">
        <f t="shared" si="65"/>
        <v>0</v>
      </c>
      <c r="CS75" s="1546">
        <f t="shared" si="65"/>
        <v>0</v>
      </c>
      <c r="CT75" s="1546">
        <f t="shared" si="65"/>
        <v>0</v>
      </c>
      <c r="CU75" s="1546">
        <f t="shared" si="65"/>
        <v>0</v>
      </c>
      <c r="CV75" s="1546">
        <f t="shared" si="65"/>
        <v>0</v>
      </c>
      <c r="CW75" s="1546">
        <f t="shared" si="65"/>
        <v>0</v>
      </c>
      <c r="CX75" s="1546">
        <f t="shared" si="65"/>
        <v>0</v>
      </c>
      <c r="CY75" s="1546">
        <f t="shared" si="65"/>
        <v>0</v>
      </c>
      <c r="CZ75" s="1546">
        <f t="shared" si="65"/>
        <v>0</v>
      </c>
      <c r="DA75" s="1546">
        <f t="shared" si="65"/>
        <v>0</v>
      </c>
      <c r="DB75" s="1546">
        <f t="shared" si="65"/>
        <v>0</v>
      </c>
      <c r="DC75" s="1546">
        <f t="shared" si="65"/>
        <v>0</v>
      </c>
      <c r="DD75" s="1546">
        <f t="shared" si="65"/>
        <v>0</v>
      </c>
      <c r="DE75" s="1546">
        <f t="shared" si="65"/>
        <v>0</v>
      </c>
      <c r="DF75" s="1546">
        <f t="shared" si="65"/>
        <v>0</v>
      </c>
      <c r="DG75" s="1546">
        <f t="shared" si="56"/>
        <v>1</v>
      </c>
      <c r="DI75" s="1546">
        <f t="shared" si="66"/>
        <v>0</v>
      </c>
      <c r="DJ75" s="1546">
        <f t="shared" si="66"/>
        <v>0</v>
      </c>
      <c r="DK75" s="1546">
        <f t="shared" si="66"/>
        <v>0</v>
      </c>
      <c r="DL75" s="1546">
        <f t="shared" si="66"/>
        <v>0</v>
      </c>
      <c r="DM75" s="1546">
        <f t="shared" si="66"/>
        <v>0</v>
      </c>
      <c r="DN75" s="1546">
        <f t="shared" si="66"/>
        <v>0</v>
      </c>
    </row>
    <row r="76" spans="1:118" x14ac:dyDescent="0.3">
      <c r="A76" s="285">
        <v>74</v>
      </c>
      <c r="B76" s="325">
        <f t="shared" si="57"/>
        <v>0</v>
      </c>
      <c r="C76" s="682"/>
      <c r="D76" s="683"/>
      <c r="E76" s="680"/>
      <c r="F76" s="713"/>
      <c r="G76" s="91"/>
      <c r="H76" s="21"/>
      <c r="I76" s="21"/>
      <c r="J76" s="328"/>
      <c r="K76" s="21"/>
      <c r="L76" s="21"/>
      <c r="M76" s="21"/>
      <c r="N76" s="21"/>
      <c r="O76" s="21"/>
      <c r="P76" s="21"/>
      <c r="Q76" s="21"/>
      <c r="R76" s="21"/>
      <c r="S76" s="21"/>
      <c r="T76" s="331"/>
      <c r="U76" s="91"/>
      <c r="V76" s="21"/>
      <c r="W76" s="21"/>
      <c r="X76" s="331"/>
      <c r="Y76" s="865"/>
      <c r="Z76" s="683"/>
      <c r="AA76" s="680"/>
      <c r="AB76" s="680"/>
      <c r="AC76" s="680"/>
      <c r="AD76" s="680"/>
      <c r="AE76" s="868"/>
      <c r="AF76" s="866"/>
      <c r="AG76" s="680"/>
      <c r="AH76" s="680"/>
      <c r="AI76" s="680"/>
      <c r="AJ76" s="680"/>
      <c r="AK76" s="680"/>
      <c r="AL76" s="680"/>
      <c r="AM76" s="680"/>
      <c r="AN76" s="680"/>
      <c r="AO76" s="680"/>
      <c r="AP76" s="684"/>
      <c r="AQ76" s="684"/>
      <c r="AR76" s="680"/>
      <c r="AS76" s="684"/>
      <c r="AT76" s="684"/>
      <c r="AU76" s="684"/>
      <c r="AV76" s="271">
        <f t="shared" si="58"/>
        <v>0</v>
      </c>
      <c r="AW76" s="680"/>
      <c r="AX76" s="845">
        <f>IF(F76="Ball_valve",IFERROR(VLOOKUP(E76&amp;"."&amp;D76,'Ball Valves Chart'!$1:$1048576,MATCH(G76,'Ball Valves Chart'!$3:$3,0),0),0),0)+IF(F76="DBB",IFERROR(VLOOKUP(E76&amp;"."&amp;D76,'Ball Valves Chart'!$1:$1048576,MATCH(G76,'Ball Valves Chart'!$3:$3,0),0)*2,0),0)+IFERROR(VLOOKUP(D76&amp;"."&amp;F76,'Manual Valves Chart'!$1:$1048576,MATCH('Valve List'!G76,'Manual Valves Chart'!$1:$1,0),0),0)</f>
        <v>0</v>
      </c>
      <c r="AY76" s="846">
        <f t="shared" si="59"/>
        <v>0</v>
      </c>
      <c r="AZ76" s="854"/>
      <c r="BA76" s="856">
        <f t="shared" si="60"/>
        <v>0</v>
      </c>
      <c r="BC76" s="852">
        <f t="shared" si="61"/>
        <v>0</v>
      </c>
      <c r="BD76" s="398"/>
      <c r="BE76" s="1546">
        <f t="shared" si="62"/>
        <v>0</v>
      </c>
      <c r="BF76" s="1546">
        <f t="shared" si="62"/>
        <v>0</v>
      </c>
      <c r="BG76" s="1546">
        <f t="shared" si="62"/>
        <v>0</v>
      </c>
      <c r="BH76" s="1546">
        <f t="shared" si="62"/>
        <v>0</v>
      </c>
      <c r="BI76" s="1546">
        <f t="shared" si="62"/>
        <v>0</v>
      </c>
      <c r="BJ76" s="1546">
        <f t="shared" si="62"/>
        <v>0</v>
      </c>
      <c r="BK76" s="1546">
        <f t="shared" si="62"/>
        <v>0</v>
      </c>
      <c r="BL76" s="1546">
        <f t="shared" si="62"/>
        <v>0</v>
      </c>
      <c r="BM76" s="1546">
        <f t="shared" si="62"/>
        <v>0</v>
      </c>
      <c r="BN76" s="1546">
        <f t="shared" si="62"/>
        <v>0</v>
      </c>
      <c r="BO76" s="1546">
        <f t="shared" si="62"/>
        <v>0</v>
      </c>
      <c r="BP76" s="1546">
        <f t="shared" si="62"/>
        <v>0</v>
      </c>
      <c r="BQ76" s="1546">
        <f t="shared" si="62"/>
        <v>0</v>
      </c>
      <c r="BR76" s="1546">
        <f t="shared" si="62"/>
        <v>0</v>
      </c>
      <c r="BS76" s="1546">
        <f t="shared" si="62"/>
        <v>0</v>
      </c>
      <c r="BT76" s="1546">
        <f t="shared" si="67"/>
        <v>0</v>
      </c>
      <c r="BU76" s="1546">
        <f t="shared" si="67"/>
        <v>0</v>
      </c>
      <c r="BV76" s="1546">
        <f t="shared" si="67"/>
        <v>0</v>
      </c>
      <c r="BX76" s="1546">
        <f t="shared" si="44"/>
        <v>0</v>
      </c>
      <c r="BY76" s="1546">
        <f t="shared" si="43"/>
        <v>0</v>
      </c>
      <c r="BZ76" s="1546">
        <f t="shared" si="43"/>
        <v>0</v>
      </c>
      <c r="CA76" s="1546">
        <f t="shared" si="43"/>
        <v>0</v>
      </c>
      <c r="CB76" s="1546">
        <f t="shared" si="43"/>
        <v>0</v>
      </c>
      <c r="CC76" s="1546">
        <f t="shared" si="43"/>
        <v>0</v>
      </c>
      <c r="CD76" s="1546">
        <f t="shared" si="43"/>
        <v>0</v>
      </c>
      <c r="CE76" s="1546">
        <f t="shared" si="43"/>
        <v>0</v>
      </c>
      <c r="CF76" s="1546">
        <f t="shared" si="43"/>
        <v>0</v>
      </c>
      <c r="CG76" s="1546">
        <f t="shared" si="43"/>
        <v>0</v>
      </c>
      <c r="CH76" s="1546">
        <f t="shared" si="43"/>
        <v>0</v>
      </c>
      <c r="CI76" s="1546">
        <f t="shared" ref="BY76:CJ98" si="68">IF(CI$2="X",0,IF(CI$2=$C76,1,0))</f>
        <v>0</v>
      </c>
      <c r="CJ76" s="1546">
        <f t="shared" si="68"/>
        <v>0</v>
      </c>
      <c r="CL76" s="1546">
        <f t="shared" si="64"/>
        <v>0</v>
      </c>
      <c r="CM76" s="1546">
        <f t="shared" si="64"/>
        <v>0</v>
      </c>
      <c r="CN76" s="1546">
        <f t="shared" si="64"/>
        <v>0</v>
      </c>
      <c r="CO76" s="1546">
        <f t="shared" si="64"/>
        <v>0</v>
      </c>
      <c r="CQ76" s="1546">
        <f t="shared" si="55"/>
        <v>0</v>
      </c>
      <c r="CR76" s="1546">
        <f t="shared" si="65"/>
        <v>0</v>
      </c>
      <c r="CS76" s="1546">
        <f t="shared" si="65"/>
        <v>0</v>
      </c>
      <c r="CT76" s="1546">
        <f t="shared" si="65"/>
        <v>0</v>
      </c>
      <c r="CU76" s="1546">
        <f t="shared" si="65"/>
        <v>0</v>
      </c>
      <c r="CV76" s="1546">
        <f t="shared" si="65"/>
        <v>0</v>
      </c>
      <c r="CW76" s="1546">
        <f t="shared" si="65"/>
        <v>0</v>
      </c>
      <c r="CX76" s="1546">
        <f t="shared" si="65"/>
        <v>0</v>
      </c>
      <c r="CY76" s="1546">
        <f t="shared" si="65"/>
        <v>0</v>
      </c>
      <c r="CZ76" s="1546">
        <f t="shared" si="65"/>
        <v>0</v>
      </c>
      <c r="DA76" s="1546">
        <f t="shared" si="65"/>
        <v>0</v>
      </c>
      <c r="DB76" s="1546">
        <f t="shared" si="65"/>
        <v>0</v>
      </c>
      <c r="DC76" s="1546">
        <f t="shared" si="65"/>
        <v>0</v>
      </c>
      <c r="DD76" s="1546">
        <f t="shared" si="65"/>
        <v>0</v>
      </c>
      <c r="DE76" s="1546">
        <f t="shared" si="65"/>
        <v>0</v>
      </c>
      <c r="DF76" s="1546">
        <f t="shared" si="65"/>
        <v>0</v>
      </c>
      <c r="DG76" s="1546">
        <f t="shared" si="56"/>
        <v>1</v>
      </c>
      <c r="DI76" s="1546">
        <f t="shared" si="66"/>
        <v>0</v>
      </c>
      <c r="DJ76" s="1546">
        <f t="shared" si="66"/>
        <v>0</v>
      </c>
      <c r="DK76" s="1546">
        <f t="shared" si="66"/>
        <v>0</v>
      </c>
      <c r="DL76" s="1546">
        <f t="shared" si="66"/>
        <v>0</v>
      </c>
      <c r="DM76" s="1546">
        <f t="shared" si="66"/>
        <v>0</v>
      </c>
      <c r="DN76" s="1546">
        <f t="shared" si="66"/>
        <v>0</v>
      </c>
    </row>
    <row r="77" spans="1:118" x14ac:dyDescent="0.3">
      <c r="A77" s="285">
        <v>75</v>
      </c>
      <c r="B77" s="325">
        <f t="shared" si="57"/>
        <v>0</v>
      </c>
      <c r="C77" s="682"/>
      <c r="D77" s="683"/>
      <c r="E77" s="680"/>
      <c r="F77" s="713"/>
      <c r="G77" s="91"/>
      <c r="H77" s="21"/>
      <c r="I77" s="21"/>
      <c r="J77" s="328"/>
      <c r="K77" s="21"/>
      <c r="L77" s="21"/>
      <c r="M77" s="21"/>
      <c r="N77" s="21"/>
      <c r="O77" s="21"/>
      <c r="P77" s="21"/>
      <c r="Q77" s="21"/>
      <c r="R77" s="21"/>
      <c r="S77" s="21"/>
      <c r="T77" s="331"/>
      <c r="U77" s="91"/>
      <c r="V77" s="21"/>
      <c r="W77" s="21"/>
      <c r="X77" s="331"/>
      <c r="Y77" s="865"/>
      <c r="Z77" s="683"/>
      <c r="AA77" s="680"/>
      <c r="AB77" s="680"/>
      <c r="AC77" s="680"/>
      <c r="AD77" s="680"/>
      <c r="AE77" s="868"/>
      <c r="AF77" s="866"/>
      <c r="AG77" s="680"/>
      <c r="AH77" s="680"/>
      <c r="AI77" s="680"/>
      <c r="AJ77" s="680"/>
      <c r="AK77" s="680"/>
      <c r="AL77" s="680"/>
      <c r="AM77" s="680"/>
      <c r="AN77" s="680"/>
      <c r="AO77" s="680"/>
      <c r="AP77" s="684"/>
      <c r="AQ77" s="684"/>
      <c r="AR77" s="680"/>
      <c r="AS77" s="684"/>
      <c r="AT77" s="684"/>
      <c r="AU77" s="684"/>
      <c r="AV77" s="271">
        <f t="shared" si="58"/>
        <v>0</v>
      </c>
      <c r="AW77" s="680"/>
      <c r="AX77" s="845">
        <f>IF(F77="Ball_valve",IFERROR(VLOOKUP(E77&amp;"."&amp;D77,'Ball Valves Chart'!$1:$1048576,MATCH(G77,'Ball Valves Chart'!$3:$3,0),0),0),0)+IF(F77="DBB",IFERROR(VLOOKUP(E77&amp;"."&amp;D77,'Ball Valves Chart'!$1:$1048576,MATCH(G77,'Ball Valves Chart'!$3:$3,0),0)*2,0),0)+IFERROR(VLOOKUP(D77&amp;"."&amp;F77,'Manual Valves Chart'!$1:$1048576,MATCH('Valve List'!G77,'Manual Valves Chart'!$1:$1,0),0),0)</f>
        <v>0</v>
      </c>
      <c r="AY77" s="846">
        <f t="shared" si="59"/>
        <v>0</v>
      </c>
      <c r="AZ77" s="854"/>
      <c r="BA77" s="856">
        <f t="shared" si="60"/>
        <v>0</v>
      </c>
      <c r="BC77" s="852">
        <f t="shared" si="61"/>
        <v>0</v>
      </c>
      <c r="BD77" s="398"/>
      <c r="BE77" s="1546">
        <f t="shared" si="62"/>
        <v>0</v>
      </c>
      <c r="BF77" s="1546">
        <f t="shared" si="62"/>
        <v>0</v>
      </c>
      <c r="BG77" s="1546">
        <f t="shared" si="62"/>
        <v>0</v>
      </c>
      <c r="BH77" s="1546">
        <f t="shared" si="62"/>
        <v>0</v>
      </c>
      <c r="BI77" s="1546">
        <f t="shared" si="62"/>
        <v>0</v>
      </c>
      <c r="BJ77" s="1546">
        <f t="shared" si="62"/>
        <v>0</v>
      </c>
      <c r="BK77" s="1546">
        <f t="shared" si="62"/>
        <v>0</v>
      </c>
      <c r="BL77" s="1546">
        <f t="shared" si="62"/>
        <v>0</v>
      </c>
      <c r="BM77" s="1546">
        <f t="shared" si="62"/>
        <v>0</v>
      </c>
      <c r="BN77" s="1546">
        <f t="shared" si="62"/>
        <v>0</v>
      </c>
      <c r="BO77" s="1546">
        <f t="shared" si="62"/>
        <v>0</v>
      </c>
      <c r="BP77" s="1546">
        <f t="shared" si="62"/>
        <v>0</v>
      </c>
      <c r="BQ77" s="1546">
        <f t="shared" si="62"/>
        <v>0</v>
      </c>
      <c r="BR77" s="1546">
        <f t="shared" si="62"/>
        <v>0</v>
      </c>
      <c r="BS77" s="1546">
        <f t="shared" si="62"/>
        <v>0</v>
      </c>
      <c r="BT77" s="1546">
        <f t="shared" si="67"/>
        <v>0</v>
      </c>
      <c r="BU77" s="1546">
        <f t="shared" si="67"/>
        <v>0</v>
      </c>
      <c r="BV77" s="1546">
        <f t="shared" si="67"/>
        <v>0</v>
      </c>
      <c r="BX77" s="1546">
        <f t="shared" si="44"/>
        <v>0</v>
      </c>
      <c r="BY77" s="1546">
        <f t="shared" si="68"/>
        <v>0</v>
      </c>
      <c r="BZ77" s="1546">
        <f t="shared" si="68"/>
        <v>0</v>
      </c>
      <c r="CA77" s="1546">
        <f t="shared" si="68"/>
        <v>0</v>
      </c>
      <c r="CB77" s="1546">
        <f t="shared" si="68"/>
        <v>0</v>
      </c>
      <c r="CC77" s="1546">
        <f t="shared" si="68"/>
        <v>0</v>
      </c>
      <c r="CD77" s="1546">
        <f t="shared" si="68"/>
        <v>0</v>
      </c>
      <c r="CE77" s="1546">
        <f t="shared" si="68"/>
        <v>0</v>
      </c>
      <c r="CF77" s="1546">
        <f t="shared" si="68"/>
        <v>0</v>
      </c>
      <c r="CG77" s="1546">
        <f t="shared" si="68"/>
        <v>0</v>
      </c>
      <c r="CH77" s="1546">
        <f t="shared" si="68"/>
        <v>0</v>
      </c>
      <c r="CI77" s="1546">
        <f t="shared" si="68"/>
        <v>0</v>
      </c>
      <c r="CJ77" s="1546">
        <f t="shared" si="68"/>
        <v>0</v>
      </c>
      <c r="CL77" s="1546">
        <f t="shared" si="64"/>
        <v>0</v>
      </c>
      <c r="CM77" s="1546">
        <f t="shared" si="64"/>
        <v>0</v>
      </c>
      <c r="CN77" s="1546">
        <f t="shared" si="64"/>
        <v>0</v>
      </c>
      <c r="CO77" s="1546">
        <f t="shared" si="64"/>
        <v>0</v>
      </c>
      <c r="CQ77" s="1546">
        <f t="shared" si="55"/>
        <v>0</v>
      </c>
      <c r="CR77" s="1546">
        <f t="shared" si="65"/>
        <v>0</v>
      </c>
      <c r="CS77" s="1546">
        <f t="shared" si="65"/>
        <v>0</v>
      </c>
      <c r="CT77" s="1546">
        <f t="shared" si="65"/>
        <v>0</v>
      </c>
      <c r="CU77" s="1546">
        <f t="shared" si="65"/>
        <v>0</v>
      </c>
      <c r="CV77" s="1546">
        <f t="shared" si="65"/>
        <v>0</v>
      </c>
      <c r="CW77" s="1546">
        <f t="shared" si="65"/>
        <v>0</v>
      </c>
      <c r="CX77" s="1546">
        <f t="shared" si="65"/>
        <v>0</v>
      </c>
      <c r="CY77" s="1546">
        <f t="shared" si="65"/>
        <v>0</v>
      </c>
      <c r="CZ77" s="1546">
        <f t="shared" si="65"/>
        <v>0</v>
      </c>
      <c r="DA77" s="1546">
        <f t="shared" si="65"/>
        <v>0</v>
      </c>
      <c r="DB77" s="1546">
        <f t="shared" si="65"/>
        <v>0</v>
      </c>
      <c r="DC77" s="1546">
        <f t="shared" si="65"/>
        <v>0</v>
      </c>
      <c r="DD77" s="1546">
        <f t="shared" si="65"/>
        <v>0</v>
      </c>
      <c r="DE77" s="1546">
        <f t="shared" si="65"/>
        <v>0</v>
      </c>
      <c r="DF77" s="1546">
        <f t="shared" si="65"/>
        <v>0</v>
      </c>
      <c r="DG77" s="1546">
        <f t="shared" si="56"/>
        <v>1</v>
      </c>
      <c r="DI77" s="1546">
        <f t="shared" si="66"/>
        <v>0</v>
      </c>
      <c r="DJ77" s="1546">
        <f t="shared" si="66"/>
        <v>0</v>
      </c>
      <c r="DK77" s="1546">
        <f t="shared" si="66"/>
        <v>0</v>
      </c>
      <c r="DL77" s="1546">
        <f t="shared" si="66"/>
        <v>0</v>
      </c>
      <c r="DM77" s="1546">
        <f t="shared" si="66"/>
        <v>0</v>
      </c>
      <c r="DN77" s="1546">
        <f t="shared" si="66"/>
        <v>0</v>
      </c>
    </row>
    <row r="78" spans="1:118" x14ac:dyDescent="0.3">
      <c r="A78" s="285">
        <v>76</v>
      </c>
      <c r="B78" s="325">
        <f t="shared" si="57"/>
        <v>0</v>
      </c>
      <c r="C78" s="682"/>
      <c r="D78" s="683"/>
      <c r="E78" s="680"/>
      <c r="F78" s="713"/>
      <c r="G78" s="91"/>
      <c r="H78" s="21"/>
      <c r="I78" s="21"/>
      <c r="J78" s="328"/>
      <c r="K78" s="21"/>
      <c r="L78" s="21"/>
      <c r="M78" s="21"/>
      <c r="N78" s="21"/>
      <c r="O78" s="21"/>
      <c r="P78" s="21"/>
      <c r="Q78" s="21"/>
      <c r="R78" s="21"/>
      <c r="S78" s="21"/>
      <c r="T78" s="331"/>
      <c r="U78" s="91"/>
      <c r="V78" s="21"/>
      <c r="W78" s="21"/>
      <c r="X78" s="331"/>
      <c r="Y78" s="865"/>
      <c r="Z78" s="683"/>
      <c r="AA78" s="680"/>
      <c r="AB78" s="680"/>
      <c r="AC78" s="680"/>
      <c r="AD78" s="680"/>
      <c r="AE78" s="868"/>
      <c r="AF78" s="866"/>
      <c r="AG78" s="680"/>
      <c r="AH78" s="680"/>
      <c r="AI78" s="680"/>
      <c r="AJ78" s="680"/>
      <c r="AK78" s="680"/>
      <c r="AL78" s="680"/>
      <c r="AM78" s="680"/>
      <c r="AN78" s="680"/>
      <c r="AO78" s="680"/>
      <c r="AP78" s="684"/>
      <c r="AQ78" s="684"/>
      <c r="AR78" s="680"/>
      <c r="AS78" s="684"/>
      <c r="AT78" s="684"/>
      <c r="AU78" s="684"/>
      <c r="AV78" s="271">
        <f t="shared" si="58"/>
        <v>0</v>
      </c>
      <c r="AW78" s="680"/>
      <c r="AX78" s="845">
        <f>IF(F78="Ball_valve",IFERROR(VLOOKUP(E78&amp;"."&amp;D78,'Ball Valves Chart'!$1:$1048576,MATCH(G78,'Ball Valves Chart'!$3:$3,0),0),0),0)+IF(F78="DBB",IFERROR(VLOOKUP(E78&amp;"."&amp;D78,'Ball Valves Chart'!$1:$1048576,MATCH(G78,'Ball Valves Chart'!$3:$3,0),0)*2,0),0)+IFERROR(VLOOKUP(D78&amp;"."&amp;F78,'Manual Valves Chart'!$1:$1048576,MATCH('Valve List'!G78,'Manual Valves Chart'!$1:$1,0),0),0)</f>
        <v>0</v>
      </c>
      <c r="AY78" s="846">
        <f t="shared" si="59"/>
        <v>0</v>
      </c>
      <c r="AZ78" s="854"/>
      <c r="BA78" s="856">
        <f t="shared" si="60"/>
        <v>0</v>
      </c>
      <c r="BC78" s="852">
        <f t="shared" si="61"/>
        <v>0</v>
      </c>
      <c r="BD78" s="398"/>
      <c r="BE78" s="1546">
        <f t="shared" si="62"/>
        <v>0</v>
      </c>
      <c r="BF78" s="1546">
        <f t="shared" si="62"/>
        <v>0</v>
      </c>
      <c r="BG78" s="1546">
        <f t="shared" si="62"/>
        <v>0</v>
      </c>
      <c r="BH78" s="1546">
        <f t="shared" si="62"/>
        <v>0</v>
      </c>
      <c r="BI78" s="1546">
        <f t="shared" si="62"/>
        <v>0</v>
      </c>
      <c r="BJ78" s="1546">
        <f t="shared" si="62"/>
        <v>0</v>
      </c>
      <c r="BK78" s="1546">
        <f t="shared" si="62"/>
        <v>0</v>
      </c>
      <c r="BL78" s="1546">
        <f t="shared" si="62"/>
        <v>0</v>
      </c>
      <c r="BM78" s="1546">
        <f t="shared" si="62"/>
        <v>0</v>
      </c>
      <c r="BN78" s="1546">
        <f t="shared" si="62"/>
        <v>0</v>
      </c>
      <c r="BO78" s="1546">
        <f t="shared" si="62"/>
        <v>0</v>
      </c>
      <c r="BP78" s="1546">
        <f t="shared" si="62"/>
        <v>0</v>
      </c>
      <c r="BQ78" s="1546">
        <f t="shared" si="62"/>
        <v>0</v>
      </c>
      <c r="BR78" s="1546">
        <f t="shared" si="62"/>
        <v>0</v>
      </c>
      <c r="BS78" s="1546">
        <f t="shared" si="62"/>
        <v>0</v>
      </c>
      <c r="BT78" s="1546">
        <f t="shared" si="67"/>
        <v>0</v>
      </c>
      <c r="BU78" s="1546">
        <f t="shared" si="67"/>
        <v>0</v>
      </c>
      <c r="BV78" s="1546">
        <f t="shared" si="67"/>
        <v>0</v>
      </c>
      <c r="BX78" s="1546">
        <f t="shared" si="44"/>
        <v>0</v>
      </c>
      <c r="BY78" s="1546">
        <f t="shared" si="68"/>
        <v>0</v>
      </c>
      <c r="BZ78" s="1546">
        <f t="shared" si="68"/>
        <v>0</v>
      </c>
      <c r="CA78" s="1546">
        <f t="shared" si="68"/>
        <v>0</v>
      </c>
      <c r="CB78" s="1546">
        <f t="shared" si="68"/>
        <v>0</v>
      </c>
      <c r="CC78" s="1546">
        <f t="shared" si="68"/>
        <v>0</v>
      </c>
      <c r="CD78" s="1546">
        <f t="shared" si="68"/>
        <v>0</v>
      </c>
      <c r="CE78" s="1546">
        <f t="shared" si="68"/>
        <v>0</v>
      </c>
      <c r="CF78" s="1546">
        <f t="shared" si="68"/>
        <v>0</v>
      </c>
      <c r="CG78" s="1546">
        <f t="shared" si="68"/>
        <v>0</v>
      </c>
      <c r="CH78" s="1546">
        <f t="shared" si="68"/>
        <v>0</v>
      </c>
      <c r="CI78" s="1546">
        <f t="shared" si="68"/>
        <v>0</v>
      </c>
      <c r="CJ78" s="1546">
        <f t="shared" si="68"/>
        <v>0</v>
      </c>
      <c r="CL78" s="1546">
        <f t="shared" si="64"/>
        <v>0</v>
      </c>
      <c r="CM78" s="1546">
        <f t="shared" si="64"/>
        <v>0</v>
      </c>
      <c r="CN78" s="1546">
        <f t="shared" si="64"/>
        <v>0</v>
      </c>
      <c r="CO78" s="1546">
        <f t="shared" si="64"/>
        <v>0</v>
      </c>
      <c r="CQ78" s="1546">
        <f t="shared" si="55"/>
        <v>0</v>
      </c>
      <c r="CR78" s="1546">
        <f t="shared" si="65"/>
        <v>0</v>
      </c>
      <c r="CS78" s="1546">
        <f t="shared" si="65"/>
        <v>0</v>
      </c>
      <c r="CT78" s="1546">
        <f t="shared" si="65"/>
        <v>0</v>
      </c>
      <c r="CU78" s="1546">
        <f t="shared" si="65"/>
        <v>0</v>
      </c>
      <c r="CV78" s="1546">
        <f t="shared" si="65"/>
        <v>0</v>
      </c>
      <c r="CW78" s="1546">
        <f t="shared" si="65"/>
        <v>0</v>
      </c>
      <c r="CX78" s="1546">
        <f t="shared" si="65"/>
        <v>0</v>
      </c>
      <c r="CY78" s="1546">
        <f t="shared" si="65"/>
        <v>0</v>
      </c>
      <c r="CZ78" s="1546">
        <f t="shared" si="65"/>
        <v>0</v>
      </c>
      <c r="DA78" s="1546">
        <f t="shared" si="65"/>
        <v>0</v>
      </c>
      <c r="DB78" s="1546">
        <f t="shared" si="65"/>
        <v>0</v>
      </c>
      <c r="DC78" s="1546">
        <f t="shared" si="65"/>
        <v>0</v>
      </c>
      <c r="DD78" s="1546">
        <f t="shared" si="65"/>
        <v>0</v>
      </c>
      <c r="DE78" s="1546">
        <f t="shared" si="65"/>
        <v>0</v>
      </c>
      <c r="DF78" s="1546">
        <f t="shared" ref="DB78:DF93" si="69">IF(DF$2=0,0,IF($AW78=DF$2,1,0))</f>
        <v>0</v>
      </c>
      <c r="DG78" s="1546">
        <f t="shared" si="56"/>
        <v>1</v>
      </c>
      <c r="DI78" s="1546">
        <f t="shared" si="66"/>
        <v>0</v>
      </c>
      <c r="DJ78" s="1546">
        <f t="shared" si="66"/>
        <v>0</v>
      </c>
      <c r="DK78" s="1546">
        <f t="shared" si="66"/>
        <v>0</v>
      </c>
      <c r="DL78" s="1546">
        <f t="shared" si="66"/>
        <v>0</v>
      </c>
      <c r="DM78" s="1546">
        <f t="shared" si="66"/>
        <v>0</v>
      </c>
      <c r="DN78" s="1546">
        <f t="shared" si="66"/>
        <v>0</v>
      </c>
    </row>
    <row r="79" spans="1:118" x14ac:dyDescent="0.3">
      <c r="A79" s="285">
        <v>77</v>
      </c>
      <c r="B79" s="325">
        <f t="shared" si="57"/>
        <v>0</v>
      </c>
      <c r="C79" s="682"/>
      <c r="D79" s="683"/>
      <c r="E79" s="680"/>
      <c r="F79" s="713"/>
      <c r="G79" s="91"/>
      <c r="H79" s="21"/>
      <c r="I79" s="21"/>
      <c r="J79" s="328"/>
      <c r="K79" s="21"/>
      <c r="L79" s="21"/>
      <c r="M79" s="21"/>
      <c r="N79" s="21"/>
      <c r="O79" s="21"/>
      <c r="P79" s="21"/>
      <c r="Q79" s="21"/>
      <c r="R79" s="21"/>
      <c r="S79" s="21"/>
      <c r="T79" s="331"/>
      <c r="U79" s="91"/>
      <c r="V79" s="21"/>
      <c r="W79" s="21"/>
      <c r="X79" s="331"/>
      <c r="Y79" s="865"/>
      <c r="Z79" s="683"/>
      <c r="AA79" s="680"/>
      <c r="AB79" s="680"/>
      <c r="AC79" s="680"/>
      <c r="AD79" s="680"/>
      <c r="AE79" s="868"/>
      <c r="AF79" s="866"/>
      <c r="AG79" s="680"/>
      <c r="AH79" s="680"/>
      <c r="AI79" s="680"/>
      <c r="AJ79" s="680"/>
      <c r="AK79" s="680"/>
      <c r="AL79" s="680"/>
      <c r="AM79" s="680"/>
      <c r="AN79" s="680"/>
      <c r="AO79" s="680"/>
      <c r="AP79" s="684"/>
      <c r="AQ79" s="684"/>
      <c r="AR79" s="680"/>
      <c r="AS79" s="684"/>
      <c r="AT79" s="684"/>
      <c r="AU79" s="684"/>
      <c r="AV79" s="271">
        <f t="shared" si="58"/>
        <v>0</v>
      </c>
      <c r="AW79" s="680"/>
      <c r="AX79" s="845">
        <f>IF(F79="Ball_valve",IFERROR(VLOOKUP(E79&amp;"."&amp;D79,'Ball Valves Chart'!$1:$1048576,MATCH(G79,'Ball Valves Chart'!$3:$3,0),0),0),0)+IF(F79="DBB",IFERROR(VLOOKUP(E79&amp;"."&amp;D79,'Ball Valves Chart'!$1:$1048576,MATCH(G79,'Ball Valves Chart'!$3:$3,0),0)*2,0),0)+IFERROR(VLOOKUP(D79&amp;"."&amp;F79,'Manual Valves Chart'!$1:$1048576,MATCH('Valve List'!G79,'Manual Valves Chart'!$1:$1,0),0),0)</f>
        <v>0</v>
      </c>
      <c r="AY79" s="846">
        <f t="shared" si="59"/>
        <v>0</v>
      </c>
      <c r="AZ79" s="854"/>
      <c r="BA79" s="856">
        <f t="shared" si="60"/>
        <v>0</v>
      </c>
      <c r="BC79" s="852">
        <f t="shared" si="61"/>
        <v>0</v>
      </c>
      <c r="BD79" s="398"/>
      <c r="BE79" s="1546">
        <f t="shared" si="62"/>
        <v>0</v>
      </c>
      <c r="BF79" s="1546">
        <f t="shared" si="62"/>
        <v>0</v>
      </c>
      <c r="BG79" s="1546">
        <f t="shared" si="62"/>
        <v>0</v>
      </c>
      <c r="BH79" s="1546">
        <f t="shared" si="62"/>
        <v>0</v>
      </c>
      <c r="BI79" s="1546">
        <f t="shared" si="62"/>
        <v>0</v>
      </c>
      <c r="BJ79" s="1546">
        <f t="shared" si="62"/>
        <v>0</v>
      </c>
      <c r="BK79" s="1546">
        <f t="shared" si="62"/>
        <v>0</v>
      </c>
      <c r="BL79" s="1546">
        <f t="shared" si="62"/>
        <v>0</v>
      </c>
      <c r="BM79" s="1546">
        <f t="shared" si="62"/>
        <v>0</v>
      </c>
      <c r="BN79" s="1546">
        <f t="shared" si="62"/>
        <v>0</v>
      </c>
      <c r="BO79" s="1546">
        <f t="shared" si="62"/>
        <v>0</v>
      </c>
      <c r="BP79" s="1546">
        <f t="shared" si="62"/>
        <v>0</v>
      </c>
      <c r="BQ79" s="1546">
        <f t="shared" si="62"/>
        <v>0</v>
      </c>
      <c r="BR79" s="1546">
        <f t="shared" si="62"/>
        <v>0</v>
      </c>
      <c r="BS79" s="1546">
        <f t="shared" si="62"/>
        <v>0</v>
      </c>
      <c r="BT79" s="1546">
        <f t="shared" si="67"/>
        <v>0</v>
      </c>
      <c r="BU79" s="1546">
        <f t="shared" si="67"/>
        <v>0</v>
      </c>
      <c r="BV79" s="1546">
        <f t="shared" si="67"/>
        <v>0</v>
      </c>
      <c r="BX79" s="1546">
        <f t="shared" si="44"/>
        <v>0</v>
      </c>
      <c r="BY79" s="1546">
        <f t="shared" si="68"/>
        <v>0</v>
      </c>
      <c r="BZ79" s="1546">
        <f t="shared" si="68"/>
        <v>0</v>
      </c>
      <c r="CA79" s="1546">
        <f t="shared" si="68"/>
        <v>0</v>
      </c>
      <c r="CB79" s="1546">
        <f t="shared" si="68"/>
        <v>0</v>
      </c>
      <c r="CC79" s="1546">
        <f t="shared" si="68"/>
        <v>0</v>
      </c>
      <c r="CD79" s="1546">
        <f t="shared" si="68"/>
        <v>0</v>
      </c>
      <c r="CE79" s="1546">
        <f t="shared" si="68"/>
        <v>0</v>
      </c>
      <c r="CF79" s="1546">
        <f t="shared" si="68"/>
        <v>0</v>
      </c>
      <c r="CG79" s="1546">
        <f t="shared" si="68"/>
        <v>0</v>
      </c>
      <c r="CH79" s="1546">
        <f t="shared" si="68"/>
        <v>0</v>
      </c>
      <c r="CI79" s="1546">
        <f t="shared" si="68"/>
        <v>0</v>
      </c>
      <c r="CJ79" s="1546">
        <f t="shared" si="68"/>
        <v>0</v>
      </c>
      <c r="CL79" s="1546">
        <f t="shared" si="64"/>
        <v>0</v>
      </c>
      <c r="CM79" s="1546">
        <f t="shared" si="64"/>
        <v>0</v>
      </c>
      <c r="CN79" s="1546">
        <f t="shared" si="64"/>
        <v>0</v>
      </c>
      <c r="CO79" s="1546">
        <f t="shared" si="64"/>
        <v>0</v>
      </c>
      <c r="CQ79" s="1546">
        <f t="shared" si="55"/>
        <v>0</v>
      </c>
      <c r="CR79" s="1546">
        <f t="shared" si="65"/>
        <v>0</v>
      </c>
      <c r="CS79" s="1546">
        <f t="shared" si="65"/>
        <v>0</v>
      </c>
      <c r="CT79" s="1546">
        <f t="shared" si="65"/>
        <v>0</v>
      </c>
      <c r="CU79" s="1546">
        <f t="shared" si="65"/>
        <v>0</v>
      </c>
      <c r="CV79" s="1546">
        <f t="shared" si="65"/>
        <v>0</v>
      </c>
      <c r="CW79" s="1546">
        <f t="shared" si="65"/>
        <v>0</v>
      </c>
      <c r="CX79" s="1546">
        <f t="shared" si="65"/>
        <v>0</v>
      </c>
      <c r="CY79" s="1546">
        <f t="shared" si="65"/>
        <v>0</v>
      </c>
      <c r="CZ79" s="1546">
        <f t="shared" si="65"/>
        <v>0</v>
      </c>
      <c r="DA79" s="1546">
        <f t="shared" si="65"/>
        <v>0</v>
      </c>
      <c r="DB79" s="1546">
        <f t="shared" si="69"/>
        <v>0</v>
      </c>
      <c r="DC79" s="1546">
        <f t="shared" si="69"/>
        <v>0</v>
      </c>
      <c r="DD79" s="1546">
        <f t="shared" si="69"/>
        <v>0</v>
      </c>
      <c r="DE79" s="1546">
        <f t="shared" si="69"/>
        <v>0</v>
      </c>
      <c r="DF79" s="1546">
        <f t="shared" si="69"/>
        <v>0</v>
      </c>
      <c r="DG79" s="1546">
        <f t="shared" si="56"/>
        <v>1</v>
      </c>
      <c r="DI79" s="1546">
        <f t="shared" si="66"/>
        <v>0</v>
      </c>
      <c r="DJ79" s="1546">
        <f t="shared" si="66"/>
        <v>0</v>
      </c>
      <c r="DK79" s="1546">
        <f t="shared" si="66"/>
        <v>0</v>
      </c>
      <c r="DL79" s="1546">
        <f t="shared" si="66"/>
        <v>0</v>
      </c>
      <c r="DM79" s="1546">
        <f t="shared" si="66"/>
        <v>0</v>
      </c>
      <c r="DN79" s="1546">
        <f t="shared" si="66"/>
        <v>0</v>
      </c>
    </row>
    <row r="80" spans="1:118" x14ac:dyDescent="0.3">
      <c r="A80" s="285">
        <v>78</v>
      </c>
      <c r="B80" s="325">
        <f t="shared" si="57"/>
        <v>0</v>
      </c>
      <c r="C80" s="682"/>
      <c r="D80" s="683"/>
      <c r="E80" s="680"/>
      <c r="F80" s="713"/>
      <c r="G80" s="91"/>
      <c r="H80" s="21"/>
      <c r="I80" s="21"/>
      <c r="J80" s="328"/>
      <c r="K80" s="21"/>
      <c r="L80" s="21"/>
      <c r="M80" s="21"/>
      <c r="N80" s="21"/>
      <c r="O80" s="21"/>
      <c r="P80" s="21"/>
      <c r="Q80" s="21"/>
      <c r="R80" s="21"/>
      <c r="S80" s="21"/>
      <c r="T80" s="331"/>
      <c r="U80" s="91"/>
      <c r="V80" s="21"/>
      <c r="W80" s="21"/>
      <c r="X80" s="331"/>
      <c r="Y80" s="865"/>
      <c r="Z80" s="683"/>
      <c r="AA80" s="680"/>
      <c r="AB80" s="680"/>
      <c r="AC80" s="680"/>
      <c r="AD80" s="680"/>
      <c r="AE80" s="868"/>
      <c r="AF80" s="866"/>
      <c r="AG80" s="680"/>
      <c r="AH80" s="680"/>
      <c r="AI80" s="680"/>
      <c r="AJ80" s="680"/>
      <c r="AK80" s="680"/>
      <c r="AL80" s="680"/>
      <c r="AM80" s="680"/>
      <c r="AN80" s="680"/>
      <c r="AO80" s="680"/>
      <c r="AP80" s="684"/>
      <c r="AQ80" s="684"/>
      <c r="AR80" s="680"/>
      <c r="AS80" s="684"/>
      <c r="AT80" s="684"/>
      <c r="AU80" s="684"/>
      <c r="AV80" s="271">
        <f t="shared" si="58"/>
        <v>0</v>
      </c>
      <c r="AW80" s="680"/>
      <c r="AX80" s="845">
        <f>IF(F80="Ball_valve",IFERROR(VLOOKUP(E80&amp;"."&amp;D80,'Ball Valves Chart'!$1:$1048576,MATCH(G80,'Ball Valves Chart'!$3:$3,0),0),0),0)+IF(F80="DBB",IFERROR(VLOOKUP(E80&amp;"."&amp;D80,'Ball Valves Chart'!$1:$1048576,MATCH(G80,'Ball Valves Chart'!$3:$3,0),0)*2,0),0)+IFERROR(VLOOKUP(D80&amp;"."&amp;F80,'Manual Valves Chart'!$1:$1048576,MATCH('Valve List'!G80,'Manual Valves Chart'!$1:$1,0),0),0)</f>
        <v>0</v>
      </c>
      <c r="AY80" s="846">
        <f t="shared" si="59"/>
        <v>0</v>
      </c>
      <c r="AZ80" s="854"/>
      <c r="BA80" s="856">
        <f t="shared" si="60"/>
        <v>0</v>
      </c>
      <c r="BC80" s="852">
        <f t="shared" si="61"/>
        <v>0</v>
      </c>
      <c r="BD80" s="398"/>
      <c r="BE80" s="1546">
        <f t="shared" si="62"/>
        <v>0</v>
      </c>
      <c r="BF80" s="1546">
        <f t="shared" si="62"/>
        <v>0</v>
      </c>
      <c r="BG80" s="1546">
        <f t="shared" si="62"/>
        <v>0</v>
      </c>
      <c r="BH80" s="1546">
        <f t="shared" si="62"/>
        <v>0</v>
      </c>
      <c r="BI80" s="1546">
        <f t="shared" si="62"/>
        <v>0</v>
      </c>
      <c r="BJ80" s="1546">
        <f t="shared" si="62"/>
        <v>0</v>
      </c>
      <c r="BK80" s="1546">
        <f t="shared" si="62"/>
        <v>0</v>
      </c>
      <c r="BL80" s="1546">
        <f t="shared" si="62"/>
        <v>0</v>
      </c>
      <c r="BM80" s="1546">
        <f t="shared" si="62"/>
        <v>0</v>
      </c>
      <c r="BN80" s="1546">
        <f t="shared" si="62"/>
        <v>0</v>
      </c>
      <c r="BO80" s="1546">
        <f t="shared" si="62"/>
        <v>0</v>
      </c>
      <c r="BP80" s="1546">
        <f t="shared" si="62"/>
        <v>0</v>
      </c>
      <c r="BQ80" s="1546">
        <f t="shared" si="62"/>
        <v>0</v>
      </c>
      <c r="BR80" s="1546">
        <f t="shared" si="62"/>
        <v>0</v>
      </c>
      <c r="BS80" s="1546">
        <f t="shared" si="62"/>
        <v>0</v>
      </c>
      <c r="BT80" s="1546">
        <f t="shared" si="67"/>
        <v>0</v>
      </c>
      <c r="BU80" s="1546">
        <f t="shared" si="67"/>
        <v>0</v>
      </c>
      <c r="BV80" s="1546">
        <f t="shared" si="67"/>
        <v>0</v>
      </c>
      <c r="BX80" s="1546">
        <f t="shared" si="44"/>
        <v>0</v>
      </c>
      <c r="BY80" s="1546">
        <f t="shared" si="68"/>
        <v>0</v>
      </c>
      <c r="BZ80" s="1546">
        <f t="shared" si="68"/>
        <v>0</v>
      </c>
      <c r="CA80" s="1546">
        <f t="shared" si="68"/>
        <v>0</v>
      </c>
      <c r="CB80" s="1546">
        <f t="shared" si="68"/>
        <v>0</v>
      </c>
      <c r="CC80" s="1546">
        <f t="shared" si="68"/>
        <v>0</v>
      </c>
      <c r="CD80" s="1546">
        <f t="shared" si="68"/>
        <v>0</v>
      </c>
      <c r="CE80" s="1546">
        <f t="shared" si="68"/>
        <v>0</v>
      </c>
      <c r="CF80" s="1546">
        <f t="shared" si="68"/>
        <v>0</v>
      </c>
      <c r="CG80" s="1546">
        <f t="shared" si="68"/>
        <v>0</v>
      </c>
      <c r="CH80" s="1546">
        <f t="shared" si="68"/>
        <v>0</v>
      </c>
      <c r="CI80" s="1546">
        <f t="shared" si="68"/>
        <v>0</v>
      </c>
      <c r="CJ80" s="1546">
        <f t="shared" si="68"/>
        <v>0</v>
      </c>
      <c r="CL80" s="1546">
        <f t="shared" si="64"/>
        <v>0</v>
      </c>
      <c r="CM80" s="1546">
        <f t="shared" si="64"/>
        <v>0</v>
      </c>
      <c r="CN80" s="1546">
        <f t="shared" si="64"/>
        <v>0</v>
      </c>
      <c r="CO80" s="1546">
        <f t="shared" si="64"/>
        <v>0</v>
      </c>
      <c r="CQ80" s="1546">
        <f t="shared" si="55"/>
        <v>0</v>
      </c>
      <c r="CR80" s="1546">
        <f t="shared" si="65"/>
        <v>0</v>
      </c>
      <c r="CS80" s="1546">
        <f t="shared" si="65"/>
        <v>0</v>
      </c>
      <c r="CT80" s="1546">
        <f t="shared" si="65"/>
        <v>0</v>
      </c>
      <c r="CU80" s="1546">
        <f t="shared" si="65"/>
        <v>0</v>
      </c>
      <c r="CV80" s="1546">
        <f t="shared" si="65"/>
        <v>0</v>
      </c>
      <c r="CW80" s="1546">
        <f t="shared" si="65"/>
        <v>0</v>
      </c>
      <c r="CX80" s="1546">
        <f t="shared" si="65"/>
        <v>0</v>
      </c>
      <c r="CY80" s="1546">
        <f t="shared" si="65"/>
        <v>0</v>
      </c>
      <c r="CZ80" s="1546">
        <f t="shared" si="65"/>
        <v>0</v>
      </c>
      <c r="DA80" s="1546">
        <f t="shared" si="65"/>
        <v>0</v>
      </c>
      <c r="DB80" s="1546">
        <f t="shared" si="69"/>
        <v>0</v>
      </c>
      <c r="DC80" s="1546">
        <f t="shared" si="69"/>
        <v>0</v>
      </c>
      <c r="DD80" s="1546">
        <f t="shared" si="69"/>
        <v>0</v>
      </c>
      <c r="DE80" s="1546">
        <f t="shared" si="69"/>
        <v>0</v>
      </c>
      <c r="DF80" s="1546">
        <f t="shared" si="69"/>
        <v>0</v>
      </c>
      <c r="DG80" s="1546">
        <f t="shared" si="56"/>
        <v>1</v>
      </c>
      <c r="DI80" s="1546">
        <f t="shared" si="66"/>
        <v>0</v>
      </c>
      <c r="DJ80" s="1546">
        <f t="shared" si="66"/>
        <v>0</v>
      </c>
      <c r="DK80" s="1546">
        <f t="shared" si="66"/>
        <v>0</v>
      </c>
      <c r="DL80" s="1546">
        <f t="shared" si="66"/>
        <v>0</v>
      </c>
      <c r="DM80" s="1546">
        <f t="shared" si="66"/>
        <v>0</v>
      </c>
      <c r="DN80" s="1546">
        <f t="shared" si="66"/>
        <v>0</v>
      </c>
    </row>
    <row r="81" spans="1:118" x14ac:dyDescent="0.3">
      <c r="A81" s="285">
        <v>79</v>
      </c>
      <c r="B81" s="325">
        <f t="shared" si="57"/>
        <v>0</v>
      </c>
      <c r="C81" s="682"/>
      <c r="D81" s="683"/>
      <c r="E81" s="680"/>
      <c r="F81" s="713"/>
      <c r="G81" s="91"/>
      <c r="H81" s="21"/>
      <c r="I81" s="21"/>
      <c r="J81" s="328"/>
      <c r="K81" s="21"/>
      <c r="L81" s="21"/>
      <c r="M81" s="21"/>
      <c r="N81" s="21"/>
      <c r="O81" s="21"/>
      <c r="P81" s="21"/>
      <c r="Q81" s="21"/>
      <c r="R81" s="21"/>
      <c r="S81" s="21"/>
      <c r="T81" s="331"/>
      <c r="U81" s="91"/>
      <c r="V81" s="21"/>
      <c r="W81" s="21"/>
      <c r="X81" s="331"/>
      <c r="Y81" s="865"/>
      <c r="Z81" s="683"/>
      <c r="AA81" s="680"/>
      <c r="AB81" s="680"/>
      <c r="AC81" s="680"/>
      <c r="AD81" s="680"/>
      <c r="AE81" s="868"/>
      <c r="AF81" s="866"/>
      <c r="AG81" s="680"/>
      <c r="AH81" s="680"/>
      <c r="AI81" s="680"/>
      <c r="AJ81" s="680"/>
      <c r="AK81" s="680"/>
      <c r="AL81" s="680"/>
      <c r="AM81" s="680"/>
      <c r="AN81" s="680"/>
      <c r="AO81" s="680"/>
      <c r="AP81" s="684"/>
      <c r="AQ81" s="684"/>
      <c r="AR81" s="680"/>
      <c r="AS81" s="684"/>
      <c r="AT81" s="684"/>
      <c r="AU81" s="684"/>
      <c r="AV81" s="271">
        <f t="shared" si="58"/>
        <v>0</v>
      </c>
      <c r="AW81" s="680"/>
      <c r="AX81" s="845">
        <f>IF(F81="Ball_valve",IFERROR(VLOOKUP(E81&amp;"."&amp;D81,'Ball Valves Chart'!$1:$1048576,MATCH(G81,'Ball Valves Chart'!$3:$3,0),0),0),0)+IF(F81="DBB",IFERROR(VLOOKUP(E81&amp;"."&amp;D81,'Ball Valves Chart'!$1:$1048576,MATCH(G81,'Ball Valves Chart'!$3:$3,0),0)*2,0),0)+IFERROR(VLOOKUP(D81&amp;"."&amp;F81,'Manual Valves Chart'!$1:$1048576,MATCH('Valve List'!G81,'Manual Valves Chart'!$1:$1,0),0),0)</f>
        <v>0</v>
      </c>
      <c r="AY81" s="846">
        <f t="shared" si="59"/>
        <v>0</v>
      </c>
      <c r="AZ81" s="854"/>
      <c r="BA81" s="856">
        <f t="shared" si="60"/>
        <v>0</v>
      </c>
      <c r="BC81" s="852">
        <f t="shared" si="61"/>
        <v>0</v>
      </c>
      <c r="BD81" s="398"/>
      <c r="BE81" s="1546">
        <f t="shared" si="62"/>
        <v>0</v>
      </c>
      <c r="BF81" s="1546">
        <f t="shared" si="62"/>
        <v>0</v>
      </c>
      <c r="BG81" s="1546">
        <f t="shared" si="62"/>
        <v>0</v>
      </c>
      <c r="BH81" s="1546">
        <f t="shared" si="62"/>
        <v>0</v>
      </c>
      <c r="BI81" s="1546">
        <f t="shared" si="62"/>
        <v>0</v>
      </c>
      <c r="BJ81" s="1546">
        <f t="shared" si="62"/>
        <v>0</v>
      </c>
      <c r="BK81" s="1546">
        <f t="shared" si="62"/>
        <v>0</v>
      </c>
      <c r="BL81" s="1546">
        <f t="shared" si="62"/>
        <v>0</v>
      </c>
      <c r="BM81" s="1546">
        <f t="shared" si="62"/>
        <v>0</v>
      </c>
      <c r="BN81" s="1546">
        <f t="shared" si="62"/>
        <v>0</v>
      </c>
      <c r="BO81" s="1546">
        <f t="shared" si="62"/>
        <v>0</v>
      </c>
      <c r="BP81" s="1546">
        <f t="shared" si="62"/>
        <v>0</v>
      </c>
      <c r="BQ81" s="1546">
        <f t="shared" si="62"/>
        <v>0</v>
      </c>
      <c r="BR81" s="1546">
        <f t="shared" si="62"/>
        <v>0</v>
      </c>
      <c r="BS81" s="1546">
        <f t="shared" si="62"/>
        <v>0</v>
      </c>
      <c r="BT81" s="1546">
        <f t="shared" si="67"/>
        <v>0</v>
      </c>
      <c r="BU81" s="1546">
        <f t="shared" si="67"/>
        <v>0</v>
      </c>
      <c r="BV81" s="1546">
        <f t="shared" si="67"/>
        <v>0</v>
      </c>
      <c r="BX81" s="1546">
        <f t="shared" si="44"/>
        <v>0</v>
      </c>
      <c r="BY81" s="1546">
        <f t="shared" si="68"/>
        <v>0</v>
      </c>
      <c r="BZ81" s="1546">
        <f t="shared" si="68"/>
        <v>0</v>
      </c>
      <c r="CA81" s="1546">
        <f t="shared" si="68"/>
        <v>0</v>
      </c>
      <c r="CB81" s="1546">
        <f t="shared" si="68"/>
        <v>0</v>
      </c>
      <c r="CC81" s="1546">
        <f t="shared" si="68"/>
        <v>0</v>
      </c>
      <c r="CD81" s="1546">
        <f t="shared" si="68"/>
        <v>0</v>
      </c>
      <c r="CE81" s="1546">
        <f t="shared" si="68"/>
        <v>0</v>
      </c>
      <c r="CF81" s="1546">
        <f t="shared" si="68"/>
        <v>0</v>
      </c>
      <c r="CG81" s="1546">
        <f t="shared" si="68"/>
        <v>0</v>
      </c>
      <c r="CH81" s="1546">
        <f t="shared" si="68"/>
        <v>0</v>
      </c>
      <c r="CI81" s="1546">
        <f t="shared" si="68"/>
        <v>0</v>
      </c>
      <c r="CJ81" s="1546">
        <f t="shared" si="68"/>
        <v>0</v>
      </c>
      <c r="CL81" s="1546">
        <f t="shared" si="64"/>
        <v>0</v>
      </c>
      <c r="CM81" s="1546">
        <f t="shared" si="64"/>
        <v>0</v>
      </c>
      <c r="CN81" s="1546">
        <f t="shared" si="64"/>
        <v>0</v>
      </c>
      <c r="CO81" s="1546">
        <f t="shared" si="64"/>
        <v>0</v>
      </c>
      <c r="CQ81" s="1546">
        <f t="shared" si="55"/>
        <v>0</v>
      </c>
      <c r="CR81" s="1546">
        <f t="shared" si="65"/>
        <v>0</v>
      </c>
      <c r="CS81" s="1546">
        <f t="shared" si="65"/>
        <v>0</v>
      </c>
      <c r="CT81" s="1546">
        <f t="shared" si="65"/>
        <v>0</v>
      </c>
      <c r="CU81" s="1546">
        <f t="shared" si="65"/>
        <v>0</v>
      </c>
      <c r="CV81" s="1546">
        <f t="shared" si="65"/>
        <v>0</v>
      </c>
      <c r="CW81" s="1546">
        <f t="shared" si="65"/>
        <v>0</v>
      </c>
      <c r="CX81" s="1546">
        <f t="shared" si="65"/>
        <v>0</v>
      </c>
      <c r="CY81" s="1546">
        <f t="shared" si="65"/>
        <v>0</v>
      </c>
      <c r="CZ81" s="1546">
        <f t="shared" si="65"/>
        <v>0</v>
      </c>
      <c r="DA81" s="1546">
        <f t="shared" si="65"/>
        <v>0</v>
      </c>
      <c r="DB81" s="1546">
        <f t="shared" si="69"/>
        <v>0</v>
      </c>
      <c r="DC81" s="1546">
        <f t="shared" si="69"/>
        <v>0</v>
      </c>
      <c r="DD81" s="1546">
        <f t="shared" si="69"/>
        <v>0</v>
      </c>
      <c r="DE81" s="1546">
        <f t="shared" si="69"/>
        <v>0</v>
      </c>
      <c r="DF81" s="1546">
        <f t="shared" si="69"/>
        <v>0</v>
      </c>
      <c r="DG81" s="1546">
        <f t="shared" si="56"/>
        <v>1</v>
      </c>
      <c r="DI81" s="1546">
        <f t="shared" si="66"/>
        <v>0</v>
      </c>
      <c r="DJ81" s="1546">
        <f t="shared" si="66"/>
        <v>0</v>
      </c>
      <c r="DK81" s="1546">
        <f t="shared" si="66"/>
        <v>0</v>
      </c>
      <c r="DL81" s="1546">
        <f t="shared" si="66"/>
        <v>0</v>
      </c>
      <c r="DM81" s="1546">
        <f t="shared" si="66"/>
        <v>0</v>
      </c>
      <c r="DN81" s="1546">
        <f t="shared" si="66"/>
        <v>0</v>
      </c>
    </row>
    <row r="82" spans="1:118" x14ac:dyDescent="0.3">
      <c r="A82" s="285">
        <v>80</v>
      </c>
      <c r="B82" s="325">
        <f t="shared" si="57"/>
        <v>0</v>
      </c>
      <c r="C82" s="682"/>
      <c r="D82" s="683"/>
      <c r="E82" s="680"/>
      <c r="F82" s="713"/>
      <c r="G82" s="91"/>
      <c r="H82" s="21"/>
      <c r="I82" s="21"/>
      <c r="J82" s="328"/>
      <c r="K82" s="21"/>
      <c r="L82" s="21"/>
      <c r="M82" s="21"/>
      <c r="N82" s="21"/>
      <c r="O82" s="21"/>
      <c r="P82" s="21"/>
      <c r="Q82" s="21"/>
      <c r="R82" s="21"/>
      <c r="S82" s="21"/>
      <c r="T82" s="331"/>
      <c r="U82" s="91"/>
      <c r="V82" s="21"/>
      <c r="W82" s="21"/>
      <c r="X82" s="331"/>
      <c r="Y82" s="865"/>
      <c r="Z82" s="683"/>
      <c r="AA82" s="680"/>
      <c r="AB82" s="680"/>
      <c r="AC82" s="680"/>
      <c r="AD82" s="680"/>
      <c r="AE82" s="868"/>
      <c r="AF82" s="866"/>
      <c r="AG82" s="680"/>
      <c r="AH82" s="680"/>
      <c r="AI82" s="680"/>
      <c r="AJ82" s="680"/>
      <c r="AK82" s="680"/>
      <c r="AL82" s="680"/>
      <c r="AM82" s="680"/>
      <c r="AN82" s="680"/>
      <c r="AO82" s="680"/>
      <c r="AP82" s="684"/>
      <c r="AQ82" s="684"/>
      <c r="AR82" s="680"/>
      <c r="AS82" s="684"/>
      <c r="AT82" s="684"/>
      <c r="AU82" s="684"/>
      <c r="AV82" s="271">
        <f t="shared" si="58"/>
        <v>0</v>
      </c>
      <c r="AW82" s="680"/>
      <c r="AX82" s="845">
        <f>IF(F82="Ball_valve",IFERROR(VLOOKUP(E82&amp;"."&amp;D82,'Ball Valves Chart'!$1:$1048576,MATCH(G82,'Ball Valves Chart'!$3:$3,0),0),0),0)+IF(F82="DBB",IFERROR(VLOOKUP(E82&amp;"."&amp;D82,'Ball Valves Chart'!$1:$1048576,MATCH(G82,'Ball Valves Chart'!$3:$3,0),0)*2,0),0)+IFERROR(VLOOKUP(D82&amp;"."&amp;F82,'Manual Valves Chart'!$1:$1048576,MATCH('Valve List'!G82,'Manual Valves Chart'!$1:$1,0),0),0)</f>
        <v>0</v>
      </c>
      <c r="AY82" s="846">
        <f t="shared" si="59"/>
        <v>0</v>
      </c>
      <c r="AZ82" s="854"/>
      <c r="BA82" s="856">
        <f t="shared" si="60"/>
        <v>0</v>
      </c>
      <c r="BC82" s="852">
        <f t="shared" si="61"/>
        <v>0</v>
      </c>
      <c r="BD82" s="398"/>
      <c r="BE82" s="1546">
        <f t="shared" si="62"/>
        <v>0</v>
      </c>
      <c r="BF82" s="1546">
        <f t="shared" si="62"/>
        <v>0</v>
      </c>
      <c r="BG82" s="1546">
        <f t="shared" si="62"/>
        <v>0</v>
      </c>
      <c r="BH82" s="1546">
        <f t="shared" si="62"/>
        <v>0</v>
      </c>
      <c r="BI82" s="1546">
        <f t="shared" si="62"/>
        <v>0</v>
      </c>
      <c r="BJ82" s="1546">
        <f t="shared" si="62"/>
        <v>0</v>
      </c>
      <c r="BK82" s="1546">
        <f t="shared" si="62"/>
        <v>0</v>
      </c>
      <c r="BL82" s="1546">
        <f t="shared" si="62"/>
        <v>0</v>
      </c>
      <c r="BM82" s="1546">
        <f t="shared" si="62"/>
        <v>0</v>
      </c>
      <c r="BN82" s="1546">
        <f t="shared" si="62"/>
        <v>0</v>
      </c>
      <c r="BO82" s="1546">
        <f t="shared" si="62"/>
        <v>0</v>
      </c>
      <c r="BP82" s="1546">
        <f t="shared" si="62"/>
        <v>0</v>
      </c>
      <c r="BQ82" s="1546">
        <f t="shared" si="62"/>
        <v>0</v>
      </c>
      <c r="BR82" s="1546">
        <f t="shared" si="62"/>
        <v>0</v>
      </c>
      <c r="BS82" s="1546">
        <f t="shared" si="62"/>
        <v>0</v>
      </c>
      <c r="BT82" s="1546">
        <f t="shared" si="67"/>
        <v>0</v>
      </c>
      <c r="BU82" s="1546">
        <f t="shared" si="67"/>
        <v>0</v>
      </c>
      <c r="BV82" s="1546">
        <f t="shared" si="67"/>
        <v>0</v>
      </c>
      <c r="BX82" s="1546">
        <f t="shared" si="44"/>
        <v>0</v>
      </c>
      <c r="BY82" s="1546">
        <f t="shared" si="68"/>
        <v>0</v>
      </c>
      <c r="BZ82" s="1546">
        <f t="shared" si="68"/>
        <v>0</v>
      </c>
      <c r="CA82" s="1546">
        <f t="shared" si="68"/>
        <v>0</v>
      </c>
      <c r="CB82" s="1546">
        <f t="shared" si="68"/>
        <v>0</v>
      </c>
      <c r="CC82" s="1546">
        <f t="shared" si="68"/>
        <v>0</v>
      </c>
      <c r="CD82" s="1546">
        <f t="shared" si="68"/>
        <v>0</v>
      </c>
      <c r="CE82" s="1546">
        <f t="shared" si="68"/>
        <v>0</v>
      </c>
      <c r="CF82" s="1546">
        <f t="shared" si="68"/>
        <v>0</v>
      </c>
      <c r="CG82" s="1546">
        <f t="shared" si="68"/>
        <v>0</v>
      </c>
      <c r="CH82" s="1546">
        <f t="shared" si="68"/>
        <v>0</v>
      </c>
      <c r="CI82" s="1546">
        <f t="shared" si="68"/>
        <v>0</v>
      </c>
      <c r="CJ82" s="1546">
        <f t="shared" si="68"/>
        <v>0</v>
      </c>
      <c r="CL82" s="1546">
        <f t="shared" si="64"/>
        <v>0</v>
      </c>
      <c r="CM82" s="1546">
        <f t="shared" si="64"/>
        <v>0</v>
      </c>
      <c r="CN82" s="1546">
        <f t="shared" si="64"/>
        <v>0</v>
      </c>
      <c r="CO82" s="1546">
        <f t="shared" si="64"/>
        <v>0</v>
      </c>
      <c r="CQ82" s="1546">
        <f t="shared" si="55"/>
        <v>0</v>
      </c>
      <c r="CR82" s="1546">
        <f t="shared" si="65"/>
        <v>0</v>
      </c>
      <c r="CS82" s="1546">
        <f t="shared" si="65"/>
        <v>0</v>
      </c>
      <c r="CT82" s="1546">
        <f t="shared" si="65"/>
        <v>0</v>
      </c>
      <c r="CU82" s="1546">
        <f t="shared" si="65"/>
        <v>0</v>
      </c>
      <c r="CV82" s="1546">
        <f t="shared" si="65"/>
        <v>0</v>
      </c>
      <c r="CW82" s="1546">
        <f t="shared" si="65"/>
        <v>0</v>
      </c>
      <c r="CX82" s="1546">
        <f t="shared" si="65"/>
        <v>0</v>
      </c>
      <c r="CY82" s="1546">
        <f t="shared" si="65"/>
        <v>0</v>
      </c>
      <c r="CZ82" s="1546">
        <f t="shared" si="65"/>
        <v>0</v>
      </c>
      <c r="DA82" s="1546">
        <f t="shared" si="65"/>
        <v>0</v>
      </c>
      <c r="DB82" s="1546">
        <f t="shared" si="69"/>
        <v>0</v>
      </c>
      <c r="DC82" s="1546">
        <f t="shared" si="69"/>
        <v>0</v>
      </c>
      <c r="DD82" s="1546">
        <f t="shared" si="69"/>
        <v>0</v>
      </c>
      <c r="DE82" s="1546">
        <f t="shared" si="69"/>
        <v>0</v>
      </c>
      <c r="DF82" s="1546">
        <f t="shared" si="69"/>
        <v>0</v>
      </c>
      <c r="DG82" s="1546">
        <f t="shared" si="56"/>
        <v>1</v>
      </c>
      <c r="DI82" s="1546">
        <f t="shared" si="66"/>
        <v>0</v>
      </c>
      <c r="DJ82" s="1546">
        <f t="shared" si="66"/>
        <v>0</v>
      </c>
      <c r="DK82" s="1546">
        <f t="shared" si="66"/>
        <v>0</v>
      </c>
      <c r="DL82" s="1546">
        <f t="shared" si="66"/>
        <v>0</v>
      </c>
      <c r="DM82" s="1546">
        <f t="shared" si="66"/>
        <v>0</v>
      </c>
      <c r="DN82" s="1546">
        <f t="shared" si="66"/>
        <v>0</v>
      </c>
    </row>
    <row r="83" spans="1:118" x14ac:dyDescent="0.3">
      <c r="A83" s="285">
        <v>81</v>
      </c>
      <c r="B83" s="325">
        <f t="shared" si="57"/>
        <v>0</v>
      </c>
      <c r="C83" s="682"/>
      <c r="D83" s="683"/>
      <c r="E83" s="680"/>
      <c r="F83" s="713"/>
      <c r="G83" s="91"/>
      <c r="H83" s="21"/>
      <c r="I83" s="21"/>
      <c r="J83" s="328"/>
      <c r="K83" s="21"/>
      <c r="L83" s="21"/>
      <c r="M83" s="21"/>
      <c r="N83" s="21"/>
      <c r="O83" s="21"/>
      <c r="P83" s="21"/>
      <c r="Q83" s="21"/>
      <c r="R83" s="21"/>
      <c r="S83" s="21"/>
      <c r="T83" s="331"/>
      <c r="U83" s="91"/>
      <c r="V83" s="21"/>
      <c r="W83" s="21"/>
      <c r="X83" s="331"/>
      <c r="Y83" s="865"/>
      <c r="Z83" s="683"/>
      <c r="AA83" s="680"/>
      <c r="AB83" s="680"/>
      <c r="AC83" s="680"/>
      <c r="AD83" s="680"/>
      <c r="AE83" s="868"/>
      <c r="AF83" s="866"/>
      <c r="AG83" s="680"/>
      <c r="AH83" s="680"/>
      <c r="AI83" s="680"/>
      <c r="AJ83" s="680"/>
      <c r="AK83" s="680"/>
      <c r="AL83" s="680"/>
      <c r="AM83" s="680"/>
      <c r="AN83" s="680"/>
      <c r="AO83" s="680"/>
      <c r="AP83" s="684"/>
      <c r="AQ83" s="684"/>
      <c r="AR83" s="680"/>
      <c r="AS83" s="684"/>
      <c r="AT83" s="684"/>
      <c r="AU83" s="684"/>
      <c r="AV83" s="271">
        <f t="shared" si="58"/>
        <v>0</v>
      </c>
      <c r="AW83" s="680"/>
      <c r="AX83" s="845">
        <f>IF(F83="Ball_valve",IFERROR(VLOOKUP(E83&amp;"."&amp;D83,'Ball Valves Chart'!$1:$1048576,MATCH(G83,'Ball Valves Chart'!$3:$3,0),0),0),0)+IF(F83="DBB",IFERROR(VLOOKUP(E83&amp;"."&amp;D83,'Ball Valves Chart'!$1:$1048576,MATCH(G83,'Ball Valves Chart'!$3:$3,0),0)*2,0),0)+IFERROR(VLOOKUP(D83&amp;"."&amp;F83,'Manual Valves Chart'!$1:$1048576,MATCH('Valve List'!G83,'Manual Valves Chart'!$1:$1,0),0),0)</f>
        <v>0</v>
      </c>
      <c r="AY83" s="846">
        <f t="shared" si="59"/>
        <v>0</v>
      </c>
      <c r="AZ83" s="854"/>
      <c r="BA83" s="856">
        <f t="shared" si="60"/>
        <v>0</v>
      </c>
      <c r="BC83" s="852">
        <f t="shared" si="61"/>
        <v>0</v>
      </c>
      <c r="BD83" s="398"/>
      <c r="BE83" s="1546">
        <f t="shared" si="62"/>
        <v>0</v>
      </c>
      <c r="BF83" s="1546">
        <f t="shared" si="62"/>
        <v>0</v>
      </c>
      <c r="BG83" s="1546">
        <f t="shared" si="62"/>
        <v>0</v>
      </c>
      <c r="BH83" s="1546">
        <f t="shared" si="62"/>
        <v>0</v>
      </c>
      <c r="BI83" s="1546">
        <f t="shared" si="62"/>
        <v>0</v>
      </c>
      <c r="BJ83" s="1546">
        <f t="shared" si="62"/>
        <v>0</v>
      </c>
      <c r="BK83" s="1546">
        <f t="shared" si="62"/>
        <v>0</v>
      </c>
      <c r="BL83" s="1546">
        <f t="shared" si="62"/>
        <v>0</v>
      </c>
      <c r="BM83" s="1546">
        <f t="shared" si="62"/>
        <v>0</v>
      </c>
      <c r="BN83" s="1546">
        <f t="shared" si="62"/>
        <v>0</v>
      </c>
      <c r="BO83" s="1546">
        <f t="shared" si="62"/>
        <v>0</v>
      </c>
      <c r="BP83" s="1546">
        <f t="shared" si="62"/>
        <v>0</v>
      </c>
      <c r="BQ83" s="1546">
        <f t="shared" si="62"/>
        <v>0</v>
      </c>
      <c r="BR83" s="1546">
        <f t="shared" si="62"/>
        <v>0</v>
      </c>
      <c r="BS83" s="1546">
        <f t="shared" si="62"/>
        <v>0</v>
      </c>
      <c r="BT83" s="1546">
        <f t="shared" si="67"/>
        <v>0</v>
      </c>
      <c r="BU83" s="1546">
        <f t="shared" si="67"/>
        <v>0</v>
      </c>
      <c r="BV83" s="1546">
        <f t="shared" si="67"/>
        <v>0</v>
      </c>
      <c r="BX83" s="1546">
        <f t="shared" si="44"/>
        <v>0</v>
      </c>
      <c r="BY83" s="1546">
        <f t="shared" si="68"/>
        <v>0</v>
      </c>
      <c r="BZ83" s="1546">
        <f t="shared" si="68"/>
        <v>0</v>
      </c>
      <c r="CA83" s="1546">
        <f t="shared" si="68"/>
        <v>0</v>
      </c>
      <c r="CB83" s="1546">
        <f t="shared" si="68"/>
        <v>0</v>
      </c>
      <c r="CC83" s="1546">
        <f t="shared" si="68"/>
        <v>0</v>
      </c>
      <c r="CD83" s="1546">
        <f t="shared" si="68"/>
        <v>0</v>
      </c>
      <c r="CE83" s="1546">
        <f t="shared" si="68"/>
        <v>0</v>
      </c>
      <c r="CF83" s="1546">
        <f t="shared" si="68"/>
        <v>0</v>
      </c>
      <c r="CG83" s="1546">
        <f t="shared" si="68"/>
        <v>0</v>
      </c>
      <c r="CH83" s="1546">
        <f t="shared" si="68"/>
        <v>0</v>
      </c>
      <c r="CI83" s="1546">
        <f t="shared" si="68"/>
        <v>0</v>
      </c>
      <c r="CJ83" s="1546">
        <f t="shared" si="68"/>
        <v>0</v>
      </c>
      <c r="CL83" s="1546">
        <f t="shared" si="64"/>
        <v>0</v>
      </c>
      <c r="CM83" s="1546">
        <f t="shared" si="64"/>
        <v>0</v>
      </c>
      <c r="CN83" s="1546">
        <f t="shared" si="64"/>
        <v>0</v>
      </c>
      <c r="CO83" s="1546">
        <f t="shared" si="64"/>
        <v>0</v>
      </c>
      <c r="CQ83" s="1546">
        <f t="shared" si="55"/>
        <v>0</v>
      </c>
      <c r="CR83" s="1546">
        <f t="shared" si="65"/>
        <v>0</v>
      </c>
      <c r="CS83" s="1546">
        <f t="shared" si="65"/>
        <v>0</v>
      </c>
      <c r="CT83" s="1546">
        <f t="shared" si="65"/>
        <v>0</v>
      </c>
      <c r="CU83" s="1546">
        <f t="shared" si="65"/>
        <v>0</v>
      </c>
      <c r="CV83" s="1546">
        <f t="shared" si="65"/>
        <v>0</v>
      </c>
      <c r="CW83" s="1546">
        <f t="shared" si="65"/>
        <v>0</v>
      </c>
      <c r="CX83" s="1546">
        <f t="shared" si="65"/>
        <v>0</v>
      </c>
      <c r="CY83" s="1546">
        <f t="shared" si="65"/>
        <v>0</v>
      </c>
      <c r="CZ83" s="1546">
        <f t="shared" si="65"/>
        <v>0</v>
      </c>
      <c r="DA83" s="1546">
        <f t="shared" si="65"/>
        <v>0</v>
      </c>
      <c r="DB83" s="1546">
        <f t="shared" si="69"/>
        <v>0</v>
      </c>
      <c r="DC83" s="1546">
        <f t="shared" si="69"/>
        <v>0</v>
      </c>
      <c r="DD83" s="1546">
        <f t="shared" si="69"/>
        <v>0</v>
      </c>
      <c r="DE83" s="1546">
        <f t="shared" si="69"/>
        <v>0</v>
      </c>
      <c r="DF83" s="1546">
        <f t="shared" si="69"/>
        <v>0</v>
      </c>
      <c r="DG83" s="1546">
        <f t="shared" si="56"/>
        <v>1</v>
      </c>
      <c r="DI83" s="1546">
        <f t="shared" si="66"/>
        <v>0</v>
      </c>
      <c r="DJ83" s="1546">
        <f t="shared" si="66"/>
        <v>0</v>
      </c>
      <c r="DK83" s="1546">
        <f t="shared" si="66"/>
        <v>0</v>
      </c>
      <c r="DL83" s="1546">
        <f t="shared" si="66"/>
        <v>0</v>
      </c>
      <c r="DM83" s="1546">
        <f t="shared" si="66"/>
        <v>0</v>
      </c>
      <c r="DN83" s="1546">
        <f t="shared" si="66"/>
        <v>0</v>
      </c>
    </row>
    <row r="84" spans="1:118" x14ac:dyDescent="0.3">
      <c r="A84" s="285">
        <v>82</v>
      </c>
      <c r="B84" s="325">
        <f t="shared" si="57"/>
        <v>0</v>
      </c>
      <c r="C84" s="682"/>
      <c r="D84" s="683"/>
      <c r="E84" s="680"/>
      <c r="F84" s="713"/>
      <c r="G84" s="91"/>
      <c r="H84" s="21"/>
      <c r="I84" s="21"/>
      <c r="J84" s="328"/>
      <c r="K84" s="21"/>
      <c r="L84" s="21"/>
      <c r="M84" s="21"/>
      <c r="N84" s="21"/>
      <c r="O84" s="21"/>
      <c r="P84" s="21"/>
      <c r="Q84" s="21"/>
      <c r="R84" s="21"/>
      <c r="S84" s="21"/>
      <c r="T84" s="331"/>
      <c r="U84" s="91"/>
      <c r="V84" s="21"/>
      <c r="W84" s="21"/>
      <c r="X84" s="331"/>
      <c r="Y84" s="865"/>
      <c r="Z84" s="683"/>
      <c r="AA84" s="680"/>
      <c r="AB84" s="680"/>
      <c r="AC84" s="680"/>
      <c r="AD84" s="680"/>
      <c r="AE84" s="868"/>
      <c r="AF84" s="866"/>
      <c r="AG84" s="680"/>
      <c r="AH84" s="680"/>
      <c r="AI84" s="680"/>
      <c r="AJ84" s="680"/>
      <c r="AK84" s="680"/>
      <c r="AL84" s="680"/>
      <c r="AM84" s="680"/>
      <c r="AN84" s="680"/>
      <c r="AO84" s="680"/>
      <c r="AP84" s="684"/>
      <c r="AQ84" s="684"/>
      <c r="AR84" s="680"/>
      <c r="AS84" s="684"/>
      <c r="AT84" s="684"/>
      <c r="AU84" s="684"/>
      <c r="AV84" s="271">
        <f t="shared" si="58"/>
        <v>0</v>
      </c>
      <c r="AW84" s="680"/>
      <c r="AX84" s="845">
        <f>IF(F84="Ball_valve",IFERROR(VLOOKUP(E84&amp;"."&amp;D84,'Ball Valves Chart'!$1:$1048576,MATCH(G84,'Ball Valves Chart'!$3:$3,0),0),0),0)+IF(F84="DBB",IFERROR(VLOOKUP(E84&amp;"."&amp;D84,'Ball Valves Chart'!$1:$1048576,MATCH(G84,'Ball Valves Chart'!$3:$3,0),0)*2,0),0)+IFERROR(VLOOKUP(D84&amp;"."&amp;F84,'Manual Valves Chart'!$1:$1048576,MATCH('Valve List'!G84,'Manual Valves Chart'!$1:$1,0),0),0)</f>
        <v>0</v>
      </c>
      <c r="AY84" s="846">
        <f t="shared" si="59"/>
        <v>0</v>
      </c>
      <c r="AZ84" s="854"/>
      <c r="BA84" s="856">
        <f t="shared" si="60"/>
        <v>0</v>
      </c>
      <c r="BC84" s="852">
        <f t="shared" si="61"/>
        <v>0</v>
      </c>
      <c r="BD84" s="398"/>
      <c r="BE84" s="1546">
        <f t="shared" si="62"/>
        <v>0</v>
      </c>
      <c r="BF84" s="1546">
        <f t="shared" si="62"/>
        <v>0</v>
      </c>
      <c r="BG84" s="1546">
        <f t="shared" si="62"/>
        <v>0</v>
      </c>
      <c r="BH84" s="1546">
        <f t="shared" si="62"/>
        <v>0</v>
      </c>
      <c r="BI84" s="1546">
        <f t="shared" si="62"/>
        <v>0</v>
      </c>
      <c r="BJ84" s="1546">
        <f t="shared" si="62"/>
        <v>0</v>
      </c>
      <c r="BK84" s="1546">
        <f t="shared" si="62"/>
        <v>0</v>
      </c>
      <c r="BL84" s="1546">
        <f t="shared" si="62"/>
        <v>0</v>
      </c>
      <c r="BM84" s="1546">
        <f t="shared" si="62"/>
        <v>0</v>
      </c>
      <c r="BN84" s="1546">
        <f t="shared" si="62"/>
        <v>0</v>
      </c>
      <c r="BO84" s="1546">
        <f t="shared" si="62"/>
        <v>0</v>
      </c>
      <c r="BP84" s="1546">
        <f t="shared" si="62"/>
        <v>0</v>
      </c>
      <c r="BQ84" s="1546">
        <f t="shared" si="62"/>
        <v>0</v>
      </c>
      <c r="BR84" s="1546">
        <f t="shared" si="62"/>
        <v>0</v>
      </c>
      <c r="BS84" s="1546">
        <f t="shared" si="62"/>
        <v>0</v>
      </c>
      <c r="BT84" s="1546">
        <f t="shared" si="67"/>
        <v>0</v>
      </c>
      <c r="BU84" s="1546">
        <f t="shared" si="67"/>
        <v>0</v>
      </c>
      <c r="BV84" s="1546">
        <f t="shared" si="67"/>
        <v>0</v>
      </c>
      <c r="BX84" s="1546">
        <f t="shared" si="44"/>
        <v>0</v>
      </c>
      <c r="BY84" s="1546">
        <f t="shared" si="68"/>
        <v>0</v>
      </c>
      <c r="BZ84" s="1546">
        <f t="shared" si="68"/>
        <v>0</v>
      </c>
      <c r="CA84" s="1546">
        <f t="shared" si="68"/>
        <v>0</v>
      </c>
      <c r="CB84" s="1546">
        <f t="shared" si="68"/>
        <v>0</v>
      </c>
      <c r="CC84" s="1546">
        <f t="shared" si="68"/>
        <v>0</v>
      </c>
      <c r="CD84" s="1546">
        <f t="shared" si="68"/>
        <v>0</v>
      </c>
      <c r="CE84" s="1546">
        <f t="shared" si="68"/>
        <v>0</v>
      </c>
      <c r="CF84" s="1546">
        <f t="shared" si="68"/>
        <v>0</v>
      </c>
      <c r="CG84" s="1546">
        <f t="shared" si="68"/>
        <v>0</v>
      </c>
      <c r="CH84" s="1546">
        <f t="shared" si="68"/>
        <v>0</v>
      </c>
      <c r="CI84" s="1546">
        <f t="shared" si="68"/>
        <v>0</v>
      </c>
      <c r="CJ84" s="1546">
        <f t="shared" si="68"/>
        <v>0</v>
      </c>
      <c r="CL84" s="1546">
        <f t="shared" si="64"/>
        <v>0</v>
      </c>
      <c r="CM84" s="1546">
        <f t="shared" si="64"/>
        <v>0</v>
      </c>
      <c r="CN84" s="1546">
        <f t="shared" si="64"/>
        <v>0</v>
      </c>
      <c r="CO84" s="1546">
        <f t="shared" si="64"/>
        <v>0</v>
      </c>
      <c r="CQ84" s="1546">
        <f t="shared" si="55"/>
        <v>0</v>
      </c>
      <c r="CR84" s="1546">
        <f t="shared" si="65"/>
        <v>0</v>
      </c>
      <c r="CS84" s="1546">
        <f t="shared" si="65"/>
        <v>0</v>
      </c>
      <c r="CT84" s="1546">
        <f t="shared" si="65"/>
        <v>0</v>
      </c>
      <c r="CU84" s="1546">
        <f t="shared" si="65"/>
        <v>0</v>
      </c>
      <c r="CV84" s="1546">
        <f t="shared" si="65"/>
        <v>0</v>
      </c>
      <c r="CW84" s="1546">
        <f t="shared" si="65"/>
        <v>0</v>
      </c>
      <c r="CX84" s="1546">
        <f t="shared" si="65"/>
        <v>0</v>
      </c>
      <c r="CY84" s="1546">
        <f t="shared" si="65"/>
        <v>0</v>
      </c>
      <c r="CZ84" s="1546">
        <f t="shared" si="65"/>
        <v>0</v>
      </c>
      <c r="DA84" s="1546">
        <f t="shared" si="65"/>
        <v>0</v>
      </c>
      <c r="DB84" s="1546">
        <f t="shared" si="69"/>
        <v>0</v>
      </c>
      <c r="DC84" s="1546">
        <f t="shared" si="69"/>
        <v>0</v>
      </c>
      <c r="DD84" s="1546">
        <f t="shared" si="69"/>
        <v>0</v>
      </c>
      <c r="DE84" s="1546">
        <f t="shared" si="69"/>
        <v>0</v>
      </c>
      <c r="DF84" s="1546">
        <f t="shared" si="69"/>
        <v>0</v>
      </c>
      <c r="DG84" s="1546">
        <f t="shared" si="56"/>
        <v>1</v>
      </c>
      <c r="DI84" s="1546">
        <f t="shared" si="66"/>
        <v>0</v>
      </c>
      <c r="DJ84" s="1546">
        <f t="shared" si="66"/>
        <v>0</v>
      </c>
      <c r="DK84" s="1546">
        <f t="shared" si="66"/>
        <v>0</v>
      </c>
      <c r="DL84" s="1546">
        <f t="shared" si="66"/>
        <v>0</v>
      </c>
      <c r="DM84" s="1546">
        <f t="shared" si="66"/>
        <v>0</v>
      </c>
      <c r="DN84" s="1546">
        <f t="shared" si="66"/>
        <v>0</v>
      </c>
    </row>
    <row r="85" spans="1:118" x14ac:dyDescent="0.3">
      <c r="A85" s="285">
        <v>83</v>
      </c>
      <c r="B85" s="325">
        <f t="shared" si="57"/>
        <v>0</v>
      </c>
      <c r="C85" s="682"/>
      <c r="D85" s="683"/>
      <c r="E85" s="680"/>
      <c r="F85" s="713"/>
      <c r="G85" s="91"/>
      <c r="H85" s="21"/>
      <c r="I85" s="21"/>
      <c r="J85" s="328"/>
      <c r="K85" s="21"/>
      <c r="L85" s="21"/>
      <c r="M85" s="21"/>
      <c r="N85" s="21"/>
      <c r="O85" s="21"/>
      <c r="P85" s="21"/>
      <c r="Q85" s="21"/>
      <c r="R85" s="21"/>
      <c r="S85" s="21"/>
      <c r="T85" s="331"/>
      <c r="U85" s="91"/>
      <c r="V85" s="21"/>
      <c r="W85" s="21"/>
      <c r="X85" s="331"/>
      <c r="Y85" s="865"/>
      <c r="Z85" s="683"/>
      <c r="AA85" s="680"/>
      <c r="AB85" s="680"/>
      <c r="AC85" s="680"/>
      <c r="AD85" s="680"/>
      <c r="AE85" s="868"/>
      <c r="AF85" s="866"/>
      <c r="AG85" s="680"/>
      <c r="AH85" s="680"/>
      <c r="AI85" s="680"/>
      <c r="AJ85" s="680"/>
      <c r="AK85" s="680"/>
      <c r="AL85" s="680"/>
      <c r="AM85" s="680"/>
      <c r="AN85" s="680"/>
      <c r="AO85" s="680"/>
      <c r="AP85" s="684"/>
      <c r="AQ85" s="684"/>
      <c r="AR85" s="680"/>
      <c r="AS85" s="684"/>
      <c r="AT85" s="684"/>
      <c r="AU85" s="684"/>
      <c r="AV85" s="271">
        <f t="shared" si="58"/>
        <v>0</v>
      </c>
      <c r="AW85" s="680"/>
      <c r="AX85" s="845">
        <f>IF(F85="Ball_valve",IFERROR(VLOOKUP(E85&amp;"."&amp;D85,'Ball Valves Chart'!$1:$1048576,MATCH(G85,'Ball Valves Chart'!$3:$3,0),0),0),0)+IF(F85="DBB",IFERROR(VLOOKUP(E85&amp;"."&amp;D85,'Ball Valves Chart'!$1:$1048576,MATCH(G85,'Ball Valves Chart'!$3:$3,0),0)*2,0),0)+IFERROR(VLOOKUP(D85&amp;"."&amp;F85,'Manual Valves Chart'!$1:$1048576,MATCH('Valve List'!G85,'Manual Valves Chart'!$1:$1,0),0),0)</f>
        <v>0</v>
      </c>
      <c r="AY85" s="846">
        <f t="shared" si="59"/>
        <v>0</v>
      </c>
      <c r="AZ85" s="854"/>
      <c r="BA85" s="856">
        <f t="shared" si="60"/>
        <v>0</v>
      </c>
      <c r="BC85" s="852">
        <f t="shared" si="61"/>
        <v>0</v>
      </c>
      <c r="BD85" s="398"/>
      <c r="BE85" s="1546">
        <f t="shared" si="62"/>
        <v>0</v>
      </c>
      <c r="BF85" s="1546">
        <f t="shared" si="62"/>
        <v>0</v>
      </c>
      <c r="BG85" s="1546">
        <f t="shared" si="62"/>
        <v>0</v>
      </c>
      <c r="BH85" s="1546">
        <f t="shared" si="62"/>
        <v>0</v>
      </c>
      <c r="BI85" s="1546">
        <f t="shared" si="62"/>
        <v>0</v>
      </c>
      <c r="BJ85" s="1546">
        <f t="shared" si="62"/>
        <v>0</v>
      </c>
      <c r="BK85" s="1546">
        <f t="shared" si="62"/>
        <v>0</v>
      </c>
      <c r="BL85" s="1546">
        <f t="shared" si="62"/>
        <v>0</v>
      </c>
      <c r="BM85" s="1546">
        <f t="shared" si="62"/>
        <v>0</v>
      </c>
      <c r="BN85" s="1546">
        <f t="shared" si="62"/>
        <v>0</v>
      </c>
      <c r="BO85" s="1546">
        <f t="shared" si="62"/>
        <v>0</v>
      </c>
      <c r="BP85" s="1546">
        <f t="shared" si="62"/>
        <v>0</v>
      </c>
      <c r="BQ85" s="1546">
        <f t="shared" si="62"/>
        <v>0</v>
      </c>
      <c r="BR85" s="1546">
        <f t="shared" si="62"/>
        <v>0</v>
      </c>
      <c r="BS85" s="1546">
        <f t="shared" si="62"/>
        <v>0</v>
      </c>
      <c r="BT85" s="1546">
        <f t="shared" si="67"/>
        <v>0</v>
      </c>
      <c r="BU85" s="1546">
        <f t="shared" si="67"/>
        <v>0</v>
      </c>
      <c r="BV85" s="1546">
        <f t="shared" si="67"/>
        <v>0</v>
      </c>
      <c r="BX85" s="1546">
        <f t="shared" si="44"/>
        <v>0</v>
      </c>
      <c r="BY85" s="1546">
        <f t="shared" si="68"/>
        <v>0</v>
      </c>
      <c r="BZ85" s="1546">
        <f t="shared" si="68"/>
        <v>0</v>
      </c>
      <c r="CA85" s="1546">
        <f t="shared" si="68"/>
        <v>0</v>
      </c>
      <c r="CB85" s="1546">
        <f t="shared" si="68"/>
        <v>0</v>
      </c>
      <c r="CC85" s="1546">
        <f t="shared" si="68"/>
        <v>0</v>
      </c>
      <c r="CD85" s="1546">
        <f t="shared" si="68"/>
        <v>0</v>
      </c>
      <c r="CE85" s="1546">
        <f t="shared" si="68"/>
        <v>0</v>
      </c>
      <c r="CF85" s="1546">
        <f t="shared" si="68"/>
        <v>0</v>
      </c>
      <c r="CG85" s="1546">
        <f t="shared" si="68"/>
        <v>0</v>
      </c>
      <c r="CH85" s="1546">
        <f t="shared" si="68"/>
        <v>0</v>
      </c>
      <c r="CI85" s="1546">
        <f t="shared" si="68"/>
        <v>0</v>
      </c>
      <c r="CJ85" s="1546">
        <f t="shared" si="68"/>
        <v>0</v>
      </c>
      <c r="CL85" s="1546">
        <f t="shared" si="64"/>
        <v>0</v>
      </c>
      <c r="CM85" s="1546">
        <f t="shared" si="64"/>
        <v>0</v>
      </c>
      <c r="CN85" s="1546">
        <f t="shared" si="64"/>
        <v>0</v>
      </c>
      <c r="CO85" s="1546">
        <f t="shared" si="64"/>
        <v>0</v>
      </c>
      <c r="CQ85" s="1546">
        <f t="shared" si="55"/>
        <v>0</v>
      </c>
      <c r="CR85" s="1546">
        <f t="shared" si="65"/>
        <v>0</v>
      </c>
      <c r="CS85" s="1546">
        <f t="shared" si="65"/>
        <v>0</v>
      </c>
      <c r="CT85" s="1546">
        <f t="shared" si="65"/>
        <v>0</v>
      </c>
      <c r="CU85" s="1546">
        <f t="shared" si="65"/>
        <v>0</v>
      </c>
      <c r="CV85" s="1546">
        <f t="shared" si="65"/>
        <v>0</v>
      </c>
      <c r="CW85" s="1546">
        <f t="shared" si="65"/>
        <v>0</v>
      </c>
      <c r="CX85" s="1546">
        <f t="shared" si="65"/>
        <v>0</v>
      </c>
      <c r="CY85" s="1546">
        <f t="shared" si="65"/>
        <v>0</v>
      </c>
      <c r="CZ85" s="1546">
        <f t="shared" si="65"/>
        <v>0</v>
      </c>
      <c r="DA85" s="1546">
        <f t="shared" si="65"/>
        <v>0</v>
      </c>
      <c r="DB85" s="1546">
        <f t="shared" si="69"/>
        <v>0</v>
      </c>
      <c r="DC85" s="1546">
        <f t="shared" si="69"/>
        <v>0</v>
      </c>
      <c r="DD85" s="1546">
        <f t="shared" si="69"/>
        <v>0</v>
      </c>
      <c r="DE85" s="1546">
        <f t="shared" si="69"/>
        <v>0</v>
      </c>
      <c r="DF85" s="1546">
        <f t="shared" si="69"/>
        <v>0</v>
      </c>
      <c r="DG85" s="1546">
        <f t="shared" si="56"/>
        <v>1</v>
      </c>
      <c r="DI85" s="1546">
        <f t="shared" si="66"/>
        <v>0</v>
      </c>
      <c r="DJ85" s="1546">
        <f t="shared" si="66"/>
        <v>0</v>
      </c>
      <c r="DK85" s="1546">
        <f t="shared" si="66"/>
        <v>0</v>
      </c>
      <c r="DL85" s="1546">
        <f t="shared" si="66"/>
        <v>0</v>
      </c>
      <c r="DM85" s="1546">
        <f t="shared" si="66"/>
        <v>0</v>
      </c>
      <c r="DN85" s="1546">
        <f t="shared" si="66"/>
        <v>0</v>
      </c>
    </row>
    <row r="86" spans="1:118" x14ac:dyDescent="0.3">
      <c r="A86" s="285">
        <v>84</v>
      </c>
      <c r="B86" s="325">
        <f t="shared" si="57"/>
        <v>0</v>
      </c>
      <c r="C86" s="682"/>
      <c r="D86" s="683"/>
      <c r="E86" s="680"/>
      <c r="F86" s="713"/>
      <c r="G86" s="91"/>
      <c r="H86" s="21"/>
      <c r="I86" s="21"/>
      <c r="J86" s="328"/>
      <c r="K86" s="21"/>
      <c r="L86" s="21"/>
      <c r="M86" s="21"/>
      <c r="N86" s="21"/>
      <c r="O86" s="21"/>
      <c r="P86" s="21"/>
      <c r="Q86" s="21"/>
      <c r="R86" s="21"/>
      <c r="S86" s="21"/>
      <c r="T86" s="331"/>
      <c r="U86" s="91"/>
      <c r="V86" s="21"/>
      <c r="W86" s="21"/>
      <c r="X86" s="331"/>
      <c r="Y86" s="865"/>
      <c r="Z86" s="683"/>
      <c r="AA86" s="680"/>
      <c r="AB86" s="680"/>
      <c r="AC86" s="680"/>
      <c r="AD86" s="680"/>
      <c r="AE86" s="868"/>
      <c r="AF86" s="866"/>
      <c r="AG86" s="680"/>
      <c r="AH86" s="680"/>
      <c r="AI86" s="680"/>
      <c r="AJ86" s="680"/>
      <c r="AK86" s="680"/>
      <c r="AL86" s="680"/>
      <c r="AM86" s="680"/>
      <c r="AN86" s="680"/>
      <c r="AO86" s="680"/>
      <c r="AP86" s="684"/>
      <c r="AQ86" s="684"/>
      <c r="AR86" s="680"/>
      <c r="AS86" s="684"/>
      <c r="AT86" s="684"/>
      <c r="AU86" s="684"/>
      <c r="AV86" s="271">
        <f t="shared" si="58"/>
        <v>0</v>
      </c>
      <c r="AW86" s="680"/>
      <c r="AX86" s="845">
        <f>IF(F86="Ball_valve",IFERROR(VLOOKUP(E86&amp;"."&amp;D86,'Ball Valves Chart'!$1:$1048576,MATCH(G86,'Ball Valves Chart'!$3:$3,0),0),0),0)+IF(F86="DBB",IFERROR(VLOOKUP(E86&amp;"."&amp;D86,'Ball Valves Chart'!$1:$1048576,MATCH(G86,'Ball Valves Chart'!$3:$3,0),0)*2,0),0)+IFERROR(VLOOKUP(D86&amp;"."&amp;F86,'Manual Valves Chart'!$1:$1048576,MATCH('Valve List'!G86,'Manual Valves Chart'!$1:$1,0),0),0)</f>
        <v>0</v>
      </c>
      <c r="AY86" s="846">
        <f t="shared" si="59"/>
        <v>0</v>
      </c>
      <c r="AZ86" s="854"/>
      <c r="BA86" s="856">
        <f t="shared" si="60"/>
        <v>0</v>
      </c>
      <c r="BC86" s="852">
        <f t="shared" si="61"/>
        <v>0</v>
      </c>
      <c r="BD86" s="398"/>
      <c r="BE86" s="1546">
        <f t="shared" si="62"/>
        <v>0</v>
      </c>
      <c r="BF86" s="1546">
        <f t="shared" si="62"/>
        <v>0</v>
      </c>
      <c r="BG86" s="1546">
        <f t="shared" si="62"/>
        <v>0</v>
      </c>
      <c r="BH86" s="1546">
        <f t="shared" si="62"/>
        <v>0</v>
      </c>
      <c r="BI86" s="1546">
        <f t="shared" si="62"/>
        <v>0</v>
      </c>
      <c r="BJ86" s="1546">
        <f t="shared" si="62"/>
        <v>0</v>
      </c>
      <c r="BK86" s="1546">
        <f t="shared" si="62"/>
        <v>0</v>
      </c>
      <c r="BL86" s="1546">
        <f t="shared" si="62"/>
        <v>0</v>
      </c>
      <c r="BM86" s="1546">
        <f t="shared" si="62"/>
        <v>0</v>
      </c>
      <c r="BN86" s="1546">
        <f t="shared" si="62"/>
        <v>0</v>
      </c>
      <c r="BO86" s="1546">
        <f t="shared" si="62"/>
        <v>0</v>
      </c>
      <c r="BP86" s="1546">
        <f t="shared" si="62"/>
        <v>0</v>
      </c>
      <c r="BQ86" s="1546">
        <f t="shared" si="62"/>
        <v>0</v>
      </c>
      <c r="BR86" s="1546">
        <f t="shared" si="62"/>
        <v>0</v>
      </c>
      <c r="BS86" s="1546">
        <f t="shared" si="62"/>
        <v>0</v>
      </c>
      <c r="BT86" s="1546">
        <f t="shared" si="67"/>
        <v>0</v>
      </c>
      <c r="BU86" s="1546">
        <f t="shared" si="67"/>
        <v>0</v>
      </c>
      <c r="BV86" s="1546">
        <f t="shared" si="67"/>
        <v>0</v>
      </c>
      <c r="BX86" s="1546">
        <f t="shared" si="44"/>
        <v>0</v>
      </c>
      <c r="BY86" s="1546">
        <f t="shared" si="68"/>
        <v>0</v>
      </c>
      <c r="BZ86" s="1546">
        <f t="shared" si="68"/>
        <v>0</v>
      </c>
      <c r="CA86" s="1546">
        <f t="shared" si="68"/>
        <v>0</v>
      </c>
      <c r="CB86" s="1546">
        <f t="shared" si="68"/>
        <v>0</v>
      </c>
      <c r="CC86" s="1546">
        <f t="shared" si="68"/>
        <v>0</v>
      </c>
      <c r="CD86" s="1546">
        <f t="shared" si="68"/>
        <v>0</v>
      </c>
      <c r="CE86" s="1546">
        <f t="shared" si="68"/>
        <v>0</v>
      </c>
      <c r="CF86" s="1546">
        <f t="shared" si="68"/>
        <v>0</v>
      </c>
      <c r="CG86" s="1546">
        <f t="shared" si="68"/>
        <v>0</v>
      </c>
      <c r="CH86" s="1546">
        <f t="shared" si="68"/>
        <v>0</v>
      </c>
      <c r="CI86" s="1546">
        <f t="shared" si="68"/>
        <v>0</v>
      </c>
      <c r="CJ86" s="1546">
        <f t="shared" si="68"/>
        <v>0</v>
      </c>
      <c r="CL86" s="1546">
        <f t="shared" si="64"/>
        <v>0</v>
      </c>
      <c r="CM86" s="1546">
        <f t="shared" si="64"/>
        <v>0</v>
      </c>
      <c r="CN86" s="1546">
        <f t="shared" si="64"/>
        <v>0</v>
      </c>
      <c r="CO86" s="1546">
        <f t="shared" si="64"/>
        <v>0</v>
      </c>
      <c r="CQ86" s="1546">
        <f t="shared" si="55"/>
        <v>0</v>
      </c>
      <c r="CR86" s="1546">
        <f t="shared" si="65"/>
        <v>0</v>
      </c>
      <c r="CS86" s="1546">
        <f t="shared" si="65"/>
        <v>0</v>
      </c>
      <c r="CT86" s="1546">
        <f t="shared" si="65"/>
        <v>0</v>
      </c>
      <c r="CU86" s="1546">
        <f t="shared" si="65"/>
        <v>0</v>
      </c>
      <c r="CV86" s="1546">
        <f t="shared" si="65"/>
        <v>0</v>
      </c>
      <c r="CW86" s="1546">
        <f t="shared" si="65"/>
        <v>0</v>
      </c>
      <c r="CX86" s="1546">
        <f t="shared" si="65"/>
        <v>0</v>
      </c>
      <c r="CY86" s="1546">
        <f t="shared" si="65"/>
        <v>0</v>
      </c>
      <c r="CZ86" s="1546">
        <f t="shared" si="65"/>
        <v>0</v>
      </c>
      <c r="DA86" s="1546">
        <f t="shared" si="65"/>
        <v>0</v>
      </c>
      <c r="DB86" s="1546">
        <f t="shared" si="69"/>
        <v>0</v>
      </c>
      <c r="DC86" s="1546">
        <f t="shared" si="69"/>
        <v>0</v>
      </c>
      <c r="DD86" s="1546">
        <f t="shared" si="69"/>
        <v>0</v>
      </c>
      <c r="DE86" s="1546">
        <f t="shared" si="69"/>
        <v>0</v>
      </c>
      <c r="DF86" s="1546">
        <f t="shared" si="69"/>
        <v>0</v>
      </c>
      <c r="DG86" s="1546">
        <f t="shared" si="56"/>
        <v>1</v>
      </c>
      <c r="DI86" s="1546">
        <f t="shared" si="66"/>
        <v>0</v>
      </c>
      <c r="DJ86" s="1546">
        <f t="shared" si="66"/>
        <v>0</v>
      </c>
      <c r="DK86" s="1546">
        <f t="shared" si="66"/>
        <v>0</v>
      </c>
      <c r="DL86" s="1546">
        <f t="shared" si="66"/>
        <v>0</v>
      </c>
      <c r="DM86" s="1546">
        <f t="shared" si="66"/>
        <v>0</v>
      </c>
      <c r="DN86" s="1546">
        <f t="shared" si="66"/>
        <v>0</v>
      </c>
    </row>
    <row r="87" spans="1:118" x14ac:dyDescent="0.3">
      <c r="A87" s="285">
        <v>85</v>
      </c>
      <c r="B87" s="325">
        <f t="shared" si="57"/>
        <v>0</v>
      </c>
      <c r="C87" s="682"/>
      <c r="D87" s="683"/>
      <c r="E87" s="680"/>
      <c r="F87" s="713"/>
      <c r="G87" s="91"/>
      <c r="H87" s="21"/>
      <c r="I87" s="21"/>
      <c r="J87" s="328"/>
      <c r="K87" s="21"/>
      <c r="L87" s="21"/>
      <c r="M87" s="21"/>
      <c r="N87" s="21"/>
      <c r="O87" s="21"/>
      <c r="P87" s="21"/>
      <c r="Q87" s="21"/>
      <c r="R87" s="21"/>
      <c r="S87" s="21"/>
      <c r="T87" s="331"/>
      <c r="U87" s="91"/>
      <c r="V87" s="21"/>
      <c r="W87" s="21"/>
      <c r="X87" s="331"/>
      <c r="Y87" s="865"/>
      <c r="Z87" s="683"/>
      <c r="AA87" s="680"/>
      <c r="AB87" s="680"/>
      <c r="AC87" s="680"/>
      <c r="AD87" s="680"/>
      <c r="AE87" s="868"/>
      <c r="AF87" s="866"/>
      <c r="AG87" s="680"/>
      <c r="AH87" s="680"/>
      <c r="AI87" s="680"/>
      <c r="AJ87" s="680"/>
      <c r="AK87" s="680"/>
      <c r="AL87" s="680"/>
      <c r="AM87" s="680"/>
      <c r="AN87" s="680"/>
      <c r="AO87" s="680"/>
      <c r="AP87" s="684"/>
      <c r="AQ87" s="684"/>
      <c r="AR87" s="680"/>
      <c r="AS87" s="684"/>
      <c r="AT87" s="684"/>
      <c r="AU87" s="684"/>
      <c r="AV87" s="271">
        <f t="shared" si="58"/>
        <v>0</v>
      </c>
      <c r="AW87" s="680"/>
      <c r="AX87" s="845">
        <f>IF(F87="Ball_valve",IFERROR(VLOOKUP(E87&amp;"."&amp;D87,'Ball Valves Chart'!$1:$1048576,MATCH(G87,'Ball Valves Chart'!$3:$3,0),0),0),0)+IF(F87="DBB",IFERROR(VLOOKUP(E87&amp;"."&amp;D87,'Ball Valves Chart'!$1:$1048576,MATCH(G87,'Ball Valves Chart'!$3:$3,0),0)*2,0),0)+IFERROR(VLOOKUP(D87&amp;"."&amp;F87,'Manual Valves Chart'!$1:$1048576,MATCH('Valve List'!G87,'Manual Valves Chart'!$1:$1,0),0),0)</f>
        <v>0</v>
      </c>
      <c r="AY87" s="846">
        <f t="shared" si="59"/>
        <v>0</v>
      </c>
      <c r="AZ87" s="854"/>
      <c r="BA87" s="856">
        <f t="shared" si="60"/>
        <v>0</v>
      </c>
      <c r="BC87" s="852">
        <f t="shared" si="61"/>
        <v>0</v>
      </c>
      <c r="BD87" s="398"/>
      <c r="BE87" s="1546">
        <f t="shared" si="62"/>
        <v>0</v>
      </c>
      <c r="BF87" s="1546">
        <f t="shared" si="62"/>
        <v>0</v>
      </c>
      <c r="BG87" s="1546">
        <f t="shared" si="62"/>
        <v>0</v>
      </c>
      <c r="BH87" s="1546">
        <f t="shared" si="62"/>
        <v>0</v>
      </c>
      <c r="BI87" s="1546">
        <f t="shared" si="62"/>
        <v>0</v>
      </c>
      <c r="BJ87" s="1546">
        <f t="shared" si="62"/>
        <v>0</v>
      </c>
      <c r="BK87" s="1546">
        <f t="shared" si="62"/>
        <v>0</v>
      </c>
      <c r="BL87" s="1546">
        <f t="shared" si="62"/>
        <v>0</v>
      </c>
      <c r="BM87" s="1546">
        <f t="shared" si="62"/>
        <v>0</v>
      </c>
      <c r="BN87" s="1546">
        <f t="shared" si="62"/>
        <v>0</v>
      </c>
      <c r="BO87" s="1546">
        <f t="shared" si="62"/>
        <v>0</v>
      </c>
      <c r="BP87" s="1546">
        <f t="shared" si="62"/>
        <v>0</v>
      </c>
      <c r="BQ87" s="1546">
        <f t="shared" si="62"/>
        <v>0</v>
      </c>
      <c r="BR87" s="1546">
        <f t="shared" si="62"/>
        <v>0</v>
      </c>
      <c r="BS87" s="1546">
        <f t="shared" si="62"/>
        <v>0</v>
      </c>
      <c r="BT87" s="1546">
        <f t="shared" si="67"/>
        <v>0</v>
      </c>
      <c r="BU87" s="1546">
        <f t="shared" si="67"/>
        <v>0</v>
      </c>
      <c r="BV87" s="1546">
        <f t="shared" si="67"/>
        <v>0</v>
      </c>
      <c r="BX87" s="1546">
        <f t="shared" si="44"/>
        <v>0</v>
      </c>
      <c r="BY87" s="1546">
        <f t="shared" si="68"/>
        <v>0</v>
      </c>
      <c r="BZ87" s="1546">
        <f t="shared" si="68"/>
        <v>0</v>
      </c>
      <c r="CA87" s="1546">
        <f t="shared" si="68"/>
        <v>0</v>
      </c>
      <c r="CB87" s="1546">
        <f t="shared" si="68"/>
        <v>0</v>
      </c>
      <c r="CC87" s="1546">
        <f t="shared" si="68"/>
        <v>0</v>
      </c>
      <c r="CD87" s="1546">
        <f t="shared" si="68"/>
        <v>0</v>
      </c>
      <c r="CE87" s="1546">
        <f t="shared" si="68"/>
        <v>0</v>
      </c>
      <c r="CF87" s="1546">
        <f t="shared" si="68"/>
        <v>0</v>
      </c>
      <c r="CG87" s="1546">
        <f t="shared" si="68"/>
        <v>0</v>
      </c>
      <c r="CH87" s="1546">
        <f t="shared" si="68"/>
        <v>0</v>
      </c>
      <c r="CI87" s="1546">
        <f t="shared" si="68"/>
        <v>0</v>
      </c>
      <c r="CJ87" s="1546">
        <f t="shared" si="68"/>
        <v>0</v>
      </c>
      <c r="CL87" s="1546">
        <f t="shared" si="64"/>
        <v>0</v>
      </c>
      <c r="CM87" s="1546">
        <f t="shared" si="64"/>
        <v>0</v>
      </c>
      <c r="CN87" s="1546">
        <f t="shared" si="64"/>
        <v>0</v>
      </c>
      <c r="CO87" s="1546">
        <f t="shared" si="64"/>
        <v>0</v>
      </c>
      <c r="CQ87" s="1546">
        <f t="shared" si="55"/>
        <v>0</v>
      </c>
      <c r="CR87" s="1546">
        <f t="shared" si="65"/>
        <v>0</v>
      </c>
      <c r="CS87" s="1546">
        <f t="shared" si="65"/>
        <v>0</v>
      </c>
      <c r="CT87" s="1546">
        <f t="shared" si="65"/>
        <v>0</v>
      </c>
      <c r="CU87" s="1546">
        <f t="shared" si="65"/>
        <v>0</v>
      </c>
      <c r="CV87" s="1546">
        <f t="shared" si="65"/>
        <v>0</v>
      </c>
      <c r="CW87" s="1546">
        <f t="shared" si="65"/>
        <v>0</v>
      </c>
      <c r="CX87" s="1546">
        <f t="shared" si="65"/>
        <v>0</v>
      </c>
      <c r="CY87" s="1546">
        <f t="shared" si="65"/>
        <v>0</v>
      </c>
      <c r="CZ87" s="1546">
        <f t="shared" si="65"/>
        <v>0</v>
      </c>
      <c r="DA87" s="1546">
        <f t="shared" si="65"/>
        <v>0</v>
      </c>
      <c r="DB87" s="1546">
        <f t="shared" si="69"/>
        <v>0</v>
      </c>
      <c r="DC87" s="1546">
        <f t="shared" si="69"/>
        <v>0</v>
      </c>
      <c r="DD87" s="1546">
        <f t="shared" si="69"/>
        <v>0</v>
      </c>
      <c r="DE87" s="1546">
        <f t="shared" si="69"/>
        <v>0</v>
      </c>
      <c r="DF87" s="1546">
        <f t="shared" si="69"/>
        <v>0</v>
      </c>
      <c r="DG87" s="1546">
        <f t="shared" si="56"/>
        <v>1</v>
      </c>
      <c r="DI87" s="1546">
        <f t="shared" si="66"/>
        <v>0</v>
      </c>
      <c r="DJ87" s="1546">
        <f t="shared" si="66"/>
        <v>0</v>
      </c>
      <c r="DK87" s="1546">
        <f t="shared" si="66"/>
        <v>0</v>
      </c>
      <c r="DL87" s="1546">
        <f t="shared" si="66"/>
        <v>0</v>
      </c>
      <c r="DM87" s="1546">
        <f t="shared" si="66"/>
        <v>0</v>
      </c>
      <c r="DN87" s="1546">
        <f t="shared" si="66"/>
        <v>0</v>
      </c>
    </row>
    <row r="88" spans="1:118" x14ac:dyDescent="0.3">
      <c r="A88" s="285">
        <v>86</v>
      </c>
      <c r="B88" s="325">
        <f t="shared" si="57"/>
        <v>0</v>
      </c>
      <c r="C88" s="682"/>
      <c r="D88" s="683"/>
      <c r="E88" s="680"/>
      <c r="F88" s="713"/>
      <c r="G88" s="91"/>
      <c r="H88" s="21"/>
      <c r="I88" s="21"/>
      <c r="J88" s="328"/>
      <c r="K88" s="21"/>
      <c r="L88" s="21"/>
      <c r="M88" s="21"/>
      <c r="N88" s="21"/>
      <c r="O88" s="21"/>
      <c r="P88" s="21"/>
      <c r="Q88" s="21"/>
      <c r="R88" s="21"/>
      <c r="S88" s="21"/>
      <c r="T88" s="331"/>
      <c r="U88" s="91"/>
      <c r="V88" s="21"/>
      <c r="W88" s="21"/>
      <c r="X88" s="331"/>
      <c r="Y88" s="865"/>
      <c r="Z88" s="683"/>
      <c r="AA88" s="680"/>
      <c r="AB88" s="680"/>
      <c r="AC88" s="680"/>
      <c r="AD88" s="680"/>
      <c r="AE88" s="868"/>
      <c r="AF88" s="866"/>
      <c r="AG88" s="680"/>
      <c r="AH88" s="680"/>
      <c r="AI88" s="680"/>
      <c r="AJ88" s="680"/>
      <c r="AK88" s="680"/>
      <c r="AL88" s="680"/>
      <c r="AM88" s="680"/>
      <c r="AN88" s="680"/>
      <c r="AO88" s="680"/>
      <c r="AP88" s="684"/>
      <c r="AQ88" s="684"/>
      <c r="AR88" s="680"/>
      <c r="AS88" s="684"/>
      <c r="AT88" s="684"/>
      <c r="AU88" s="684"/>
      <c r="AV88" s="271">
        <f t="shared" si="58"/>
        <v>0</v>
      </c>
      <c r="AW88" s="680"/>
      <c r="AX88" s="845">
        <f>IF(F88="Ball_valve",IFERROR(VLOOKUP(E88&amp;"."&amp;D88,'Ball Valves Chart'!$1:$1048576,MATCH(G88,'Ball Valves Chart'!$3:$3,0),0),0),0)+IF(F88="DBB",IFERROR(VLOOKUP(E88&amp;"."&amp;D88,'Ball Valves Chart'!$1:$1048576,MATCH(G88,'Ball Valves Chart'!$3:$3,0),0)*2,0),0)+IFERROR(VLOOKUP(D88&amp;"."&amp;F88,'Manual Valves Chart'!$1:$1048576,MATCH('Valve List'!G88,'Manual Valves Chart'!$1:$1,0),0),0)</f>
        <v>0</v>
      </c>
      <c r="AY88" s="846">
        <f t="shared" si="59"/>
        <v>0</v>
      </c>
      <c r="AZ88" s="854"/>
      <c r="BA88" s="856">
        <f t="shared" si="60"/>
        <v>0</v>
      </c>
      <c r="BC88" s="852">
        <f t="shared" si="61"/>
        <v>0</v>
      </c>
      <c r="BD88" s="398"/>
      <c r="BE88" s="1546">
        <f t="shared" si="62"/>
        <v>0</v>
      </c>
      <c r="BF88" s="1546">
        <f t="shared" si="62"/>
        <v>0</v>
      </c>
      <c r="BG88" s="1546">
        <f t="shared" si="62"/>
        <v>0</v>
      </c>
      <c r="BH88" s="1546">
        <f t="shared" si="62"/>
        <v>0</v>
      </c>
      <c r="BI88" s="1546">
        <f t="shared" si="62"/>
        <v>0</v>
      </c>
      <c r="BJ88" s="1546">
        <f t="shared" si="62"/>
        <v>0</v>
      </c>
      <c r="BK88" s="1546">
        <f t="shared" si="62"/>
        <v>0</v>
      </c>
      <c r="BL88" s="1546">
        <f t="shared" si="62"/>
        <v>0</v>
      </c>
      <c r="BM88" s="1546">
        <f t="shared" si="62"/>
        <v>0</v>
      </c>
      <c r="BN88" s="1546">
        <f t="shared" si="62"/>
        <v>0</v>
      </c>
      <c r="BO88" s="1546">
        <f t="shared" si="62"/>
        <v>0</v>
      </c>
      <c r="BP88" s="1546">
        <f t="shared" si="62"/>
        <v>0</v>
      </c>
      <c r="BQ88" s="1546">
        <f t="shared" si="62"/>
        <v>0</v>
      </c>
      <c r="BR88" s="1546">
        <f t="shared" si="62"/>
        <v>0</v>
      </c>
      <c r="BS88" s="1546">
        <f t="shared" si="62"/>
        <v>0</v>
      </c>
      <c r="BT88" s="1546">
        <f t="shared" si="67"/>
        <v>0</v>
      </c>
      <c r="BU88" s="1546">
        <f t="shared" si="67"/>
        <v>0</v>
      </c>
      <c r="BV88" s="1546">
        <f t="shared" si="67"/>
        <v>0</v>
      </c>
      <c r="BX88" s="1546">
        <f t="shared" si="44"/>
        <v>0</v>
      </c>
      <c r="BY88" s="1546">
        <f t="shared" si="68"/>
        <v>0</v>
      </c>
      <c r="BZ88" s="1546">
        <f t="shared" si="68"/>
        <v>0</v>
      </c>
      <c r="CA88" s="1546">
        <f t="shared" si="68"/>
        <v>0</v>
      </c>
      <c r="CB88" s="1546">
        <f t="shared" si="68"/>
        <v>0</v>
      </c>
      <c r="CC88" s="1546">
        <f t="shared" si="68"/>
        <v>0</v>
      </c>
      <c r="CD88" s="1546">
        <f t="shared" si="68"/>
        <v>0</v>
      </c>
      <c r="CE88" s="1546">
        <f t="shared" si="68"/>
        <v>0</v>
      </c>
      <c r="CF88" s="1546">
        <f t="shared" si="68"/>
        <v>0</v>
      </c>
      <c r="CG88" s="1546">
        <f t="shared" si="68"/>
        <v>0</v>
      </c>
      <c r="CH88" s="1546">
        <f t="shared" si="68"/>
        <v>0</v>
      </c>
      <c r="CI88" s="1546">
        <f t="shared" si="68"/>
        <v>0</v>
      </c>
      <c r="CJ88" s="1546">
        <f t="shared" si="68"/>
        <v>0</v>
      </c>
      <c r="CL88" s="1546">
        <f t="shared" si="64"/>
        <v>0</v>
      </c>
      <c r="CM88" s="1546">
        <f t="shared" si="64"/>
        <v>0</v>
      </c>
      <c r="CN88" s="1546">
        <f t="shared" si="64"/>
        <v>0</v>
      </c>
      <c r="CO88" s="1546">
        <f t="shared" si="64"/>
        <v>0</v>
      </c>
      <c r="CQ88" s="1546">
        <f t="shared" si="55"/>
        <v>0</v>
      </c>
      <c r="CR88" s="1546">
        <f t="shared" si="65"/>
        <v>0</v>
      </c>
      <c r="CS88" s="1546">
        <f t="shared" si="65"/>
        <v>0</v>
      </c>
      <c r="CT88" s="1546">
        <f t="shared" si="65"/>
        <v>0</v>
      </c>
      <c r="CU88" s="1546">
        <f t="shared" si="65"/>
        <v>0</v>
      </c>
      <c r="CV88" s="1546">
        <f t="shared" si="65"/>
        <v>0</v>
      </c>
      <c r="CW88" s="1546">
        <f t="shared" si="65"/>
        <v>0</v>
      </c>
      <c r="CX88" s="1546">
        <f t="shared" si="65"/>
        <v>0</v>
      </c>
      <c r="CY88" s="1546">
        <f t="shared" si="65"/>
        <v>0</v>
      </c>
      <c r="CZ88" s="1546">
        <f t="shared" si="65"/>
        <v>0</v>
      </c>
      <c r="DA88" s="1546">
        <f t="shared" si="65"/>
        <v>0</v>
      </c>
      <c r="DB88" s="1546">
        <f t="shared" si="69"/>
        <v>0</v>
      </c>
      <c r="DC88" s="1546">
        <f t="shared" si="69"/>
        <v>0</v>
      </c>
      <c r="DD88" s="1546">
        <f t="shared" si="69"/>
        <v>0</v>
      </c>
      <c r="DE88" s="1546">
        <f t="shared" si="69"/>
        <v>0</v>
      </c>
      <c r="DF88" s="1546">
        <f t="shared" si="69"/>
        <v>0</v>
      </c>
      <c r="DG88" s="1546">
        <f t="shared" si="56"/>
        <v>1</v>
      </c>
      <c r="DI88" s="1546">
        <f t="shared" si="66"/>
        <v>0</v>
      </c>
      <c r="DJ88" s="1546">
        <f t="shared" si="66"/>
        <v>0</v>
      </c>
      <c r="DK88" s="1546">
        <f t="shared" si="66"/>
        <v>0</v>
      </c>
      <c r="DL88" s="1546">
        <f t="shared" si="66"/>
        <v>0</v>
      </c>
      <c r="DM88" s="1546">
        <f t="shared" si="66"/>
        <v>0</v>
      </c>
      <c r="DN88" s="1546">
        <f t="shared" si="66"/>
        <v>0</v>
      </c>
    </row>
    <row r="89" spans="1:118" x14ac:dyDescent="0.3">
      <c r="A89" s="285">
        <v>87</v>
      </c>
      <c r="B89" s="325">
        <f t="shared" si="57"/>
        <v>0</v>
      </c>
      <c r="C89" s="682"/>
      <c r="D89" s="683"/>
      <c r="E89" s="680"/>
      <c r="F89" s="713"/>
      <c r="G89" s="91" t="str">
        <f>IF($B89=0,"",VLOOKUP($B89,'Valve Data'!$1:$1048576,MATCH(G$1,'Valve Data'!$1:$1,0),0))</f>
        <v/>
      </c>
      <c r="H89" s="21" t="str">
        <f>IF($B89=0,"",VLOOKUP($B89,'Valve Data'!$1:$1048576,MATCH(H$1,'Valve Data'!$1:$1,0),0))</f>
        <v/>
      </c>
      <c r="I89" s="21" t="str">
        <f>IF($B89=0,"",VLOOKUP($B89,'Valve Data'!$1:$1048576,MATCH(I$1,'Valve Data'!$1:$1,0),0))</f>
        <v/>
      </c>
      <c r="J89" s="328" t="str">
        <f>IF($B89=0,"",VLOOKUP($B89,'Valve Data'!$1:$1048576,MATCH(J$1,'Valve Data'!$1:$1,0),0))</f>
        <v/>
      </c>
      <c r="K89" s="21" t="str">
        <f>IF($B89=0,"",VLOOKUP($B89,'Valve Data'!$1:$1048576,MATCH(K$1,'Valve Data'!$1:$1,0),0))</f>
        <v/>
      </c>
      <c r="L89" s="21" t="str">
        <f>IF($B89=0,"",VLOOKUP($B89,'Valve Data'!$1:$1048576,MATCH(L$1,'Valve Data'!$1:$1,0),0))</f>
        <v/>
      </c>
      <c r="M89" s="21" t="str">
        <f>IF($B89=0,"",VLOOKUP($B89,'Valve Data'!$1:$1048576,MATCH(M$1,'Valve Data'!$1:$1,0),0))</f>
        <v/>
      </c>
      <c r="N89" s="21" t="str">
        <f>IF($B89=0,"",VLOOKUP($B89,'Valve Data'!$1:$1048576,MATCH(N$1,'Valve Data'!$1:$1,0),0))</f>
        <v/>
      </c>
      <c r="O89" s="21" t="str">
        <f>IF($B89=0,"",VLOOKUP($B89,'Valve Data'!$1:$1048576,MATCH(O$1,'Valve Data'!$1:$1,0),0))</f>
        <v/>
      </c>
      <c r="P89" s="21" t="str">
        <f>IF($B89=0,"",VLOOKUP($B89,'Valve Data'!$1:$1048576,MATCH(P$1,'Valve Data'!$1:$1,0),0))</f>
        <v/>
      </c>
      <c r="Q89" s="21" t="str">
        <f>IF($B89=0,"",VLOOKUP($B89,'Valve Data'!$1:$1048576,MATCH(Q$1,'Valve Data'!$1:$1,0),0))</f>
        <v/>
      </c>
      <c r="R89" s="21" t="str">
        <f>IF($B89=0,"",VLOOKUP($B89,'Valve Data'!$1:$1048576,MATCH(R$1,'Valve Data'!$1:$1,0),0))</f>
        <v/>
      </c>
      <c r="S89" s="21" t="str">
        <f>IF($B89=0,"",VLOOKUP($B89,'Valve Data'!$1:$1048576,MATCH(S$1,'Valve Data'!$1:$1,0),0))</f>
        <v/>
      </c>
      <c r="T89" s="331" t="str">
        <f>IF($B89=0,"",VLOOKUP($B89,'Valve Data'!$1:$1048576,MATCH(T$1,'Valve Data'!$1:$1,0),0))</f>
        <v/>
      </c>
      <c r="U89" s="91" t="str">
        <f>IF($B89=0,"",VLOOKUP($B89,'Valve Data'!$1:$1048576,MATCH(U$1,'Valve Data'!$1:$1,0),0))</f>
        <v/>
      </c>
      <c r="V89" s="21" t="str">
        <f>IF($B89=0,"",VLOOKUP($B89,'Valve Data'!$1:$1048576,MATCH(V$1,'Valve Data'!$1:$1,0),0))</f>
        <v/>
      </c>
      <c r="W89" s="21" t="str">
        <f>IF($B89=0,"",VLOOKUP($B89,'Valve Data'!$1:$1048576,MATCH(W$1,'Valve Data'!$1:$1,0),0))</f>
        <v/>
      </c>
      <c r="X89" s="331" t="str">
        <f>IF($B89=0,"",VLOOKUP($B89,'Valve Data'!$1:$1048576,MATCH(X$1,'Valve Data'!$1:$1,0),0))</f>
        <v/>
      </c>
      <c r="Y89" s="865"/>
      <c r="Z89" s="683"/>
      <c r="AA89" s="680"/>
      <c r="AB89" s="680"/>
      <c r="AC89" s="680"/>
      <c r="AD89" s="680"/>
      <c r="AE89" s="868"/>
      <c r="AF89" s="866"/>
      <c r="AG89" s="680"/>
      <c r="AH89" s="680"/>
      <c r="AI89" s="680"/>
      <c r="AJ89" s="680"/>
      <c r="AK89" s="680"/>
      <c r="AL89" s="680"/>
      <c r="AM89" s="680"/>
      <c r="AN89" s="680"/>
      <c r="AO89" s="680"/>
      <c r="AP89" s="684"/>
      <c r="AQ89" s="684"/>
      <c r="AR89" s="680"/>
      <c r="AS89" s="684"/>
      <c r="AT89" s="684"/>
      <c r="AU89" s="684"/>
      <c r="AV89" s="271">
        <f t="shared" si="58"/>
        <v>0</v>
      </c>
      <c r="AW89" s="680"/>
      <c r="AX89" s="845">
        <f>IF(F89="Ball_valve",IFERROR(VLOOKUP(E89&amp;"."&amp;D89,'Ball Valves Chart'!$1:$1048576,MATCH(G89,'Ball Valves Chart'!$3:$3,0),0),0),0)+IF(F89="DBB",IFERROR(VLOOKUP(E89&amp;"."&amp;D89,'Ball Valves Chart'!$1:$1048576,MATCH(G89,'Ball Valves Chart'!$3:$3,0),0)*2,0),0)+IFERROR(VLOOKUP(D89&amp;"."&amp;F89,'Manual Valves Chart'!$1:$1048576,MATCH('Valve List'!G89,'Manual Valves Chart'!$1:$1,0),0),0)</f>
        <v>0</v>
      </c>
      <c r="AY89" s="846">
        <f t="shared" si="59"/>
        <v>0</v>
      </c>
      <c r="AZ89" s="854"/>
      <c r="BA89" s="856">
        <f t="shared" si="60"/>
        <v>0</v>
      </c>
      <c r="BC89" s="852">
        <f t="shared" si="61"/>
        <v>0</v>
      </c>
      <c r="BD89" s="398"/>
      <c r="BE89" s="1546">
        <f t="shared" ref="BE89:BS98" si="70">IF(BE$2=$D89,1,0)</f>
        <v>0</v>
      </c>
      <c r="BF89" s="1546">
        <f t="shared" si="70"/>
        <v>0</v>
      </c>
      <c r="BG89" s="1546">
        <f t="shared" si="70"/>
        <v>0</v>
      </c>
      <c r="BH89" s="1546">
        <f t="shared" si="70"/>
        <v>0</v>
      </c>
      <c r="BI89" s="1546">
        <f t="shared" si="70"/>
        <v>0</v>
      </c>
      <c r="BJ89" s="1546">
        <f t="shared" si="70"/>
        <v>0</v>
      </c>
      <c r="BK89" s="1546">
        <f t="shared" si="70"/>
        <v>0</v>
      </c>
      <c r="BL89" s="1546">
        <f t="shared" si="70"/>
        <v>0</v>
      </c>
      <c r="BM89" s="1546">
        <f t="shared" si="70"/>
        <v>0</v>
      </c>
      <c r="BN89" s="1546">
        <f t="shared" si="70"/>
        <v>0</v>
      </c>
      <c r="BO89" s="1546">
        <f t="shared" si="70"/>
        <v>0</v>
      </c>
      <c r="BP89" s="1546">
        <f t="shared" si="70"/>
        <v>0</v>
      </c>
      <c r="BQ89" s="1546">
        <f t="shared" si="70"/>
        <v>0</v>
      </c>
      <c r="BR89" s="1546">
        <f t="shared" si="70"/>
        <v>0</v>
      </c>
      <c r="BS89" s="1546">
        <f t="shared" si="70"/>
        <v>0</v>
      </c>
      <c r="BT89" s="1546">
        <f t="shared" si="67"/>
        <v>0</v>
      </c>
      <c r="BU89" s="1546">
        <f t="shared" si="67"/>
        <v>0</v>
      </c>
      <c r="BV89" s="1546">
        <f t="shared" si="67"/>
        <v>0</v>
      </c>
      <c r="BX89" s="1546">
        <f t="shared" si="44"/>
        <v>0</v>
      </c>
      <c r="BY89" s="1546">
        <f t="shared" si="68"/>
        <v>0</v>
      </c>
      <c r="BZ89" s="1546">
        <f t="shared" si="68"/>
        <v>0</v>
      </c>
      <c r="CA89" s="1546">
        <f t="shared" si="68"/>
        <v>0</v>
      </c>
      <c r="CB89" s="1546">
        <f t="shared" si="68"/>
        <v>0</v>
      </c>
      <c r="CC89" s="1546">
        <f t="shared" si="68"/>
        <v>0</v>
      </c>
      <c r="CD89" s="1546">
        <f t="shared" si="68"/>
        <v>0</v>
      </c>
      <c r="CE89" s="1546">
        <f t="shared" si="68"/>
        <v>0</v>
      </c>
      <c r="CF89" s="1546">
        <f t="shared" si="68"/>
        <v>0</v>
      </c>
      <c r="CG89" s="1546">
        <f t="shared" si="68"/>
        <v>0</v>
      </c>
      <c r="CH89" s="1546">
        <f t="shared" si="68"/>
        <v>0</v>
      </c>
      <c r="CI89" s="1546">
        <f t="shared" si="68"/>
        <v>0</v>
      </c>
      <c r="CJ89" s="1546">
        <f t="shared" si="68"/>
        <v>0</v>
      </c>
      <c r="CL89" s="1546">
        <f t="shared" si="64"/>
        <v>0</v>
      </c>
      <c r="CM89" s="1546">
        <f t="shared" si="64"/>
        <v>0</v>
      </c>
      <c r="CN89" s="1546">
        <f t="shared" si="64"/>
        <v>0</v>
      </c>
      <c r="CO89" s="1546">
        <f t="shared" si="64"/>
        <v>0</v>
      </c>
      <c r="CQ89" s="1546">
        <f t="shared" si="55"/>
        <v>0</v>
      </c>
      <c r="CR89" s="1546">
        <f t="shared" si="65"/>
        <v>0</v>
      </c>
      <c r="CS89" s="1546">
        <f t="shared" si="65"/>
        <v>0</v>
      </c>
      <c r="CT89" s="1546">
        <f t="shared" si="65"/>
        <v>0</v>
      </c>
      <c r="CU89" s="1546">
        <f t="shared" si="65"/>
        <v>0</v>
      </c>
      <c r="CV89" s="1546">
        <f t="shared" si="65"/>
        <v>0</v>
      </c>
      <c r="CW89" s="1546">
        <f t="shared" si="65"/>
        <v>0</v>
      </c>
      <c r="CX89" s="1546">
        <f t="shared" si="65"/>
        <v>0</v>
      </c>
      <c r="CY89" s="1546">
        <f t="shared" si="65"/>
        <v>0</v>
      </c>
      <c r="CZ89" s="1546">
        <f t="shared" si="65"/>
        <v>0</v>
      </c>
      <c r="DA89" s="1546">
        <f t="shared" si="65"/>
        <v>0</v>
      </c>
      <c r="DB89" s="1546">
        <f t="shared" si="69"/>
        <v>0</v>
      </c>
      <c r="DC89" s="1546">
        <f t="shared" si="69"/>
        <v>0</v>
      </c>
      <c r="DD89" s="1546">
        <f t="shared" si="69"/>
        <v>0</v>
      </c>
      <c r="DE89" s="1546">
        <f t="shared" si="69"/>
        <v>0</v>
      </c>
      <c r="DF89" s="1546">
        <f t="shared" si="69"/>
        <v>0</v>
      </c>
      <c r="DG89" s="1546">
        <f t="shared" si="56"/>
        <v>1</v>
      </c>
      <c r="DI89" s="1546">
        <f t="shared" si="66"/>
        <v>0</v>
      </c>
      <c r="DJ89" s="1546">
        <f t="shared" si="66"/>
        <v>0</v>
      </c>
      <c r="DK89" s="1546">
        <f t="shared" si="66"/>
        <v>0</v>
      </c>
      <c r="DL89" s="1546">
        <f t="shared" si="66"/>
        <v>0</v>
      </c>
      <c r="DM89" s="1546">
        <f t="shared" si="66"/>
        <v>0</v>
      </c>
      <c r="DN89" s="1546">
        <f t="shared" si="66"/>
        <v>0</v>
      </c>
    </row>
    <row r="90" spans="1:118" x14ac:dyDescent="0.3">
      <c r="A90" s="285">
        <v>88</v>
      </c>
      <c r="B90" s="325">
        <f t="shared" si="57"/>
        <v>0</v>
      </c>
      <c r="C90" s="682"/>
      <c r="D90" s="683"/>
      <c r="E90" s="680"/>
      <c r="F90" s="713"/>
      <c r="G90" s="91" t="str">
        <f>IF($B90=0,"",VLOOKUP($B90,'Valve Data'!$1:$1048576,MATCH(G$1,'Valve Data'!$1:$1,0),0))</f>
        <v/>
      </c>
      <c r="H90" s="21" t="str">
        <f>IF($B90=0,"",VLOOKUP($B90,'Valve Data'!$1:$1048576,MATCH(H$1,'Valve Data'!$1:$1,0),0))</f>
        <v/>
      </c>
      <c r="I90" s="21" t="str">
        <f>IF($B90=0,"",VLOOKUP($B90,'Valve Data'!$1:$1048576,MATCH(I$1,'Valve Data'!$1:$1,0),0))</f>
        <v/>
      </c>
      <c r="J90" s="328" t="str">
        <f>IF($B90=0,"",VLOOKUP($B90,'Valve Data'!$1:$1048576,MATCH(J$1,'Valve Data'!$1:$1,0),0))</f>
        <v/>
      </c>
      <c r="K90" s="21" t="str">
        <f>IF($B90=0,"",VLOOKUP($B90,'Valve Data'!$1:$1048576,MATCH(K$1,'Valve Data'!$1:$1,0),0))</f>
        <v/>
      </c>
      <c r="L90" s="21" t="str">
        <f>IF($B90=0,"",VLOOKUP($B90,'Valve Data'!$1:$1048576,MATCH(L$1,'Valve Data'!$1:$1,0),0))</f>
        <v/>
      </c>
      <c r="M90" s="21" t="str">
        <f>IF($B90=0,"",VLOOKUP($B90,'Valve Data'!$1:$1048576,MATCH(M$1,'Valve Data'!$1:$1,0),0))</f>
        <v/>
      </c>
      <c r="N90" s="21" t="str">
        <f>IF($B90=0,"",VLOOKUP($B90,'Valve Data'!$1:$1048576,MATCH(N$1,'Valve Data'!$1:$1,0),0))</f>
        <v/>
      </c>
      <c r="O90" s="21" t="str">
        <f>IF($B90=0,"",VLOOKUP($B90,'Valve Data'!$1:$1048576,MATCH(O$1,'Valve Data'!$1:$1,0),0))</f>
        <v/>
      </c>
      <c r="P90" s="21" t="str">
        <f>IF($B90=0,"",VLOOKUP($B90,'Valve Data'!$1:$1048576,MATCH(P$1,'Valve Data'!$1:$1,0),0))</f>
        <v/>
      </c>
      <c r="Q90" s="21" t="str">
        <f>IF($B90=0,"",VLOOKUP($B90,'Valve Data'!$1:$1048576,MATCH(Q$1,'Valve Data'!$1:$1,0),0))</f>
        <v/>
      </c>
      <c r="R90" s="21" t="str">
        <f>IF($B90=0,"",VLOOKUP($B90,'Valve Data'!$1:$1048576,MATCH(R$1,'Valve Data'!$1:$1,0),0))</f>
        <v/>
      </c>
      <c r="S90" s="21" t="str">
        <f>IF($B90=0,"",VLOOKUP($B90,'Valve Data'!$1:$1048576,MATCH(S$1,'Valve Data'!$1:$1,0),0))</f>
        <v/>
      </c>
      <c r="T90" s="331" t="str">
        <f>IF($B90=0,"",VLOOKUP($B90,'Valve Data'!$1:$1048576,MATCH(T$1,'Valve Data'!$1:$1,0),0))</f>
        <v/>
      </c>
      <c r="U90" s="91" t="str">
        <f>IF($B90=0,"",VLOOKUP($B90,'Valve Data'!$1:$1048576,MATCH(U$1,'Valve Data'!$1:$1,0),0))</f>
        <v/>
      </c>
      <c r="V90" s="21" t="str">
        <f>IF($B90=0,"",VLOOKUP($B90,'Valve Data'!$1:$1048576,MATCH(V$1,'Valve Data'!$1:$1,0),0))</f>
        <v/>
      </c>
      <c r="W90" s="21" t="str">
        <f>IF($B90=0,"",VLOOKUP($B90,'Valve Data'!$1:$1048576,MATCH(W$1,'Valve Data'!$1:$1,0),0))</f>
        <v/>
      </c>
      <c r="X90" s="331" t="str">
        <f>IF($B90=0,"",VLOOKUP($B90,'Valve Data'!$1:$1048576,MATCH(X$1,'Valve Data'!$1:$1,0),0))</f>
        <v/>
      </c>
      <c r="Y90" s="865"/>
      <c r="Z90" s="683"/>
      <c r="AA90" s="680"/>
      <c r="AB90" s="680"/>
      <c r="AC90" s="680"/>
      <c r="AD90" s="680"/>
      <c r="AE90" s="868"/>
      <c r="AF90" s="866"/>
      <c r="AG90" s="680"/>
      <c r="AH90" s="680"/>
      <c r="AI90" s="680"/>
      <c r="AJ90" s="680"/>
      <c r="AK90" s="680"/>
      <c r="AL90" s="680"/>
      <c r="AM90" s="680"/>
      <c r="AN90" s="680"/>
      <c r="AO90" s="680"/>
      <c r="AP90" s="684"/>
      <c r="AQ90" s="684"/>
      <c r="AR90" s="680"/>
      <c r="AS90" s="684"/>
      <c r="AT90" s="684"/>
      <c r="AU90" s="684"/>
      <c r="AV90" s="271">
        <f t="shared" si="58"/>
        <v>0</v>
      </c>
      <c r="AW90" s="680"/>
      <c r="AX90" s="845">
        <f>IF(F90="Ball_valve",IFERROR(VLOOKUP(E90&amp;"."&amp;D90,'Ball Valves Chart'!$1:$1048576,MATCH(G90,'Ball Valves Chart'!$3:$3,0),0),0),0)+IF(F90="DBB",IFERROR(VLOOKUP(E90&amp;"."&amp;D90,'Ball Valves Chart'!$1:$1048576,MATCH(G90,'Ball Valves Chart'!$3:$3,0),0)*2,0),0)+IFERROR(VLOOKUP(D90&amp;"."&amp;F90,'Manual Valves Chart'!$1:$1048576,MATCH('Valve List'!G90,'Manual Valves Chart'!$1:$1,0),0),0)</f>
        <v>0</v>
      </c>
      <c r="AY90" s="846">
        <f t="shared" si="59"/>
        <v>0</v>
      </c>
      <c r="AZ90" s="854"/>
      <c r="BA90" s="856">
        <f t="shared" si="60"/>
        <v>0</v>
      </c>
      <c r="BC90" s="852">
        <f t="shared" si="61"/>
        <v>0</v>
      </c>
      <c r="BD90" s="398"/>
      <c r="BE90" s="1546">
        <f t="shared" si="70"/>
        <v>0</v>
      </c>
      <c r="BF90" s="1546">
        <f t="shared" si="70"/>
        <v>0</v>
      </c>
      <c r="BG90" s="1546">
        <f t="shared" si="70"/>
        <v>0</v>
      </c>
      <c r="BH90" s="1546">
        <f t="shared" si="70"/>
        <v>0</v>
      </c>
      <c r="BI90" s="1546">
        <f t="shared" si="70"/>
        <v>0</v>
      </c>
      <c r="BJ90" s="1546">
        <f t="shared" si="70"/>
        <v>0</v>
      </c>
      <c r="BK90" s="1546">
        <f t="shared" si="70"/>
        <v>0</v>
      </c>
      <c r="BL90" s="1546">
        <f t="shared" si="70"/>
        <v>0</v>
      </c>
      <c r="BM90" s="1546">
        <f t="shared" si="70"/>
        <v>0</v>
      </c>
      <c r="BN90" s="1546">
        <f t="shared" si="70"/>
        <v>0</v>
      </c>
      <c r="BO90" s="1546">
        <f t="shared" si="70"/>
        <v>0</v>
      </c>
      <c r="BP90" s="1546">
        <f t="shared" si="70"/>
        <v>0</v>
      </c>
      <c r="BQ90" s="1546">
        <f t="shared" si="70"/>
        <v>0</v>
      </c>
      <c r="BR90" s="1546">
        <f t="shared" si="70"/>
        <v>0</v>
      </c>
      <c r="BS90" s="1546">
        <f t="shared" si="70"/>
        <v>0</v>
      </c>
      <c r="BT90" s="1546">
        <f t="shared" si="67"/>
        <v>0</v>
      </c>
      <c r="BU90" s="1546">
        <f t="shared" si="67"/>
        <v>0</v>
      </c>
      <c r="BV90" s="1546">
        <f t="shared" si="67"/>
        <v>0</v>
      </c>
      <c r="BX90" s="1546">
        <f t="shared" si="44"/>
        <v>0</v>
      </c>
      <c r="BY90" s="1546">
        <f t="shared" si="68"/>
        <v>0</v>
      </c>
      <c r="BZ90" s="1546">
        <f t="shared" si="68"/>
        <v>0</v>
      </c>
      <c r="CA90" s="1546">
        <f t="shared" si="68"/>
        <v>0</v>
      </c>
      <c r="CB90" s="1546">
        <f t="shared" si="68"/>
        <v>0</v>
      </c>
      <c r="CC90" s="1546">
        <f t="shared" si="68"/>
        <v>0</v>
      </c>
      <c r="CD90" s="1546">
        <f t="shared" si="68"/>
        <v>0</v>
      </c>
      <c r="CE90" s="1546">
        <f t="shared" si="68"/>
        <v>0</v>
      </c>
      <c r="CF90" s="1546">
        <f t="shared" si="68"/>
        <v>0</v>
      </c>
      <c r="CG90" s="1546">
        <f t="shared" si="68"/>
        <v>0</v>
      </c>
      <c r="CH90" s="1546">
        <f t="shared" si="68"/>
        <v>0</v>
      </c>
      <c r="CI90" s="1546">
        <f t="shared" si="68"/>
        <v>0</v>
      </c>
      <c r="CJ90" s="1546">
        <f t="shared" si="68"/>
        <v>0</v>
      </c>
      <c r="CL90" s="1546">
        <f t="shared" si="64"/>
        <v>0</v>
      </c>
      <c r="CM90" s="1546">
        <f t="shared" si="64"/>
        <v>0</v>
      </c>
      <c r="CN90" s="1546">
        <f t="shared" si="64"/>
        <v>0</v>
      </c>
      <c r="CO90" s="1546">
        <f t="shared" si="64"/>
        <v>0</v>
      </c>
      <c r="CQ90" s="1546">
        <f t="shared" si="55"/>
        <v>0</v>
      </c>
      <c r="CR90" s="1546">
        <f t="shared" si="65"/>
        <v>0</v>
      </c>
      <c r="CS90" s="1546">
        <f t="shared" si="65"/>
        <v>0</v>
      </c>
      <c r="CT90" s="1546">
        <f t="shared" si="65"/>
        <v>0</v>
      </c>
      <c r="CU90" s="1546">
        <f t="shared" si="65"/>
        <v>0</v>
      </c>
      <c r="CV90" s="1546">
        <f t="shared" si="65"/>
        <v>0</v>
      </c>
      <c r="CW90" s="1546">
        <f t="shared" si="65"/>
        <v>0</v>
      </c>
      <c r="CX90" s="1546">
        <f t="shared" si="65"/>
        <v>0</v>
      </c>
      <c r="CY90" s="1546">
        <f t="shared" si="65"/>
        <v>0</v>
      </c>
      <c r="CZ90" s="1546">
        <f t="shared" si="65"/>
        <v>0</v>
      </c>
      <c r="DA90" s="1546">
        <f t="shared" si="65"/>
        <v>0</v>
      </c>
      <c r="DB90" s="1546">
        <f t="shared" si="69"/>
        <v>0</v>
      </c>
      <c r="DC90" s="1546">
        <f t="shared" si="69"/>
        <v>0</v>
      </c>
      <c r="DD90" s="1546">
        <f t="shared" si="69"/>
        <v>0</v>
      </c>
      <c r="DE90" s="1546">
        <f t="shared" si="69"/>
        <v>0</v>
      </c>
      <c r="DF90" s="1546">
        <f t="shared" si="69"/>
        <v>0</v>
      </c>
      <c r="DG90" s="1546">
        <f t="shared" si="56"/>
        <v>1</v>
      </c>
      <c r="DI90" s="1546">
        <f t="shared" si="66"/>
        <v>0</v>
      </c>
      <c r="DJ90" s="1546">
        <f t="shared" si="66"/>
        <v>0</v>
      </c>
      <c r="DK90" s="1546">
        <f t="shared" si="66"/>
        <v>0</v>
      </c>
      <c r="DL90" s="1546">
        <f t="shared" si="66"/>
        <v>0</v>
      </c>
      <c r="DM90" s="1546">
        <f t="shared" si="66"/>
        <v>0</v>
      </c>
      <c r="DN90" s="1546">
        <f t="shared" si="66"/>
        <v>0</v>
      </c>
    </row>
    <row r="91" spans="1:118" x14ac:dyDescent="0.3">
      <c r="A91" s="285">
        <v>89</v>
      </c>
      <c r="B91" s="325">
        <f t="shared" si="57"/>
        <v>0</v>
      </c>
      <c r="C91" s="682"/>
      <c r="D91" s="683"/>
      <c r="E91" s="680"/>
      <c r="F91" s="713"/>
      <c r="G91" s="91" t="str">
        <f>IF($B91=0,"",VLOOKUP($B91,'Valve Data'!$1:$1048576,MATCH(G$1,'Valve Data'!$1:$1,0),0))</f>
        <v/>
      </c>
      <c r="H91" s="21" t="str">
        <f>IF($B91=0,"",VLOOKUP($B91,'Valve Data'!$1:$1048576,MATCH(H$1,'Valve Data'!$1:$1,0),0))</f>
        <v/>
      </c>
      <c r="I91" s="21" t="str">
        <f>IF($B91=0,"",VLOOKUP($B91,'Valve Data'!$1:$1048576,MATCH(I$1,'Valve Data'!$1:$1,0),0))</f>
        <v/>
      </c>
      <c r="J91" s="328" t="str">
        <f>IF($B91=0,"",VLOOKUP($B91,'Valve Data'!$1:$1048576,MATCH(J$1,'Valve Data'!$1:$1,0),0))</f>
        <v/>
      </c>
      <c r="K91" s="21" t="str">
        <f>IF($B91=0,"",VLOOKUP($B91,'Valve Data'!$1:$1048576,MATCH(K$1,'Valve Data'!$1:$1,0),0))</f>
        <v/>
      </c>
      <c r="L91" s="21" t="str">
        <f>IF($B91=0,"",VLOOKUP($B91,'Valve Data'!$1:$1048576,MATCH(L$1,'Valve Data'!$1:$1,0),0))</f>
        <v/>
      </c>
      <c r="M91" s="21" t="str">
        <f>IF($B91=0,"",VLOOKUP($B91,'Valve Data'!$1:$1048576,MATCH(M$1,'Valve Data'!$1:$1,0),0))</f>
        <v/>
      </c>
      <c r="N91" s="21" t="str">
        <f>IF($B91=0,"",VLOOKUP($B91,'Valve Data'!$1:$1048576,MATCH(N$1,'Valve Data'!$1:$1,0),0))</f>
        <v/>
      </c>
      <c r="O91" s="21" t="str">
        <f>IF($B91=0,"",VLOOKUP($B91,'Valve Data'!$1:$1048576,MATCH(O$1,'Valve Data'!$1:$1,0),0))</f>
        <v/>
      </c>
      <c r="P91" s="21" t="str">
        <f>IF($B91=0,"",VLOOKUP($B91,'Valve Data'!$1:$1048576,MATCH(P$1,'Valve Data'!$1:$1,0),0))</f>
        <v/>
      </c>
      <c r="Q91" s="21" t="str">
        <f>IF($B91=0,"",VLOOKUP($B91,'Valve Data'!$1:$1048576,MATCH(Q$1,'Valve Data'!$1:$1,0),0))</f>
        <v/>
      </c>
      <c r="R91" s="21" t="str">
        <f>IF($B91=0,"",VLOOKUP($B91,'Valve Data'!$1:$1048576,MATCH(R$1,'Valve Data'!$1:$1,0),0))</f>
        <v/>
      </c>
      <c r="S91" s="21" t="str">
        <f>IF($B91=0,"",VLOOKUP($B91,'Valve Data'!$1:$1048576,MATCH(S$1,'Valve Data'!$1:$1,0),0))</f>
        <v/>
      </c>
      <c r="T91" s="331" t="str">
        <f>IF($B91=0,"",VLOOKUP($B91,'Valve Data'!$1:$1048576,MATCH(T$1,'Valve Data'!$1:$1,0),0))</f>
        <v/>
      </c>
      <c r="U91" s="91" t="str">
        <f>IF($B91=0,"",VLOOKUP($B91,'Valve Data'!$1:$1048576,MATCH(U$1,'Valve Data'!$1:$1,0),0))</f>
        <v/>
      </c>
      <c r="V91" s="21" t="str">
        <f>IF($B91=0,"",VLOOKUP($B91,'Valve Data'!$1:$1048576,MATCH(V$1,'Valve Data'!$1:$1,0),0))</f>
        <v/>
      </c>
      <c r="W91" s="21" t="str">
        <f>IF($B91=0,"",VLOOKUP($B91,'Valve Data'!$1:$1048576,MATCH(W$1,'Valve Data'!$1:$1,0),0))</f>
        <v/>
      </c>
      <c r="X91" s="331" t="str">
        <f>IF($B91=0,"",VLOOKUP($B91,'Valve Data'!$1:$1048576,MATCH(X$1,'Valve Data'!$1:$1,0),0))</f>
        <v/>
      </c>
      <c r="Y91" s="865"/>
      <c r="Z91" s="683"/>
      <c r="AA91" s="680"/>
      <c r="AB91" s="680"/>
      <c r="AC91" s="680"/>
      <c r="AD91" s="680"/>
      <c r="AE91" s="868"/>
      <c r="AF91" s="866"/>
      <c r="AG91" s="680"/>
      <c r="AH91" s="680"/>
      <c r="AI91" s="680"/>
      <c r="AJ91" s="680"/>
      <c r="AK91" s="680"/>
      <c r="AL91" s="680"/>
      <c r="AM91" s="680"/>
      <c r="AN91" s="680"/>
      <c r="AO91" s="680"/>
      <c r="AP91" s="684"/>
      <c r="AQ91" s="684"/>
      <c r="AR91" s="680"/>
      <c r="AS91" s="684"/>
      <c r="AT91" s="684"/>
      <c r="AU91" s="684"/>
      <c r="AV91" s="271">
        <f t="shared" si="58"/>
        <v>0</v>
      </c>
      <c r="AW91" s="680"/>
      <c r="AX91" s="845">
        <f>IF(F91="Ball_valve",IFERROR(VLOOKUP(E91&amp;"."&amp;D91,'Ball Valves Chart'!$1:$1048576,MATCH(G91,'Ball Valves Chart'!$3:$3,0),0),0),0)+IF(F91="DBB",IFERROR(VLOOKUP(E91&amp;"."&amp;D91,'Ball Valves Chart'!$1:$1048576,MATCH(G91,'Ball Valves Chart'!$3:$3,0),0)*2,0),0)+IFERROR(VLOOKUP(D91&amp;"."&amp;F91,'Manual Valves Chart'!$1:$1048576,MATCH('Valve List'!G91,'Manual Valves Chart'!$1:$1,0),0),0)</f>
        <v>0</v>
      </c>
      <c r="AY91" s="846">
        <f t="shared" si="59"/>
        <v>0</v>
      </c>
      <c r="AZ91" s="854"/>
      <c r="BA91" s="856">
        <f t="shared" si="60"/>
        <v>0</v>
      </c>
      <c r="BC91" s="852">
        <f t="shared" si="61"/>
        <v>0</v>
      </c>
      <c r="BD91" s="398"/>
      <c r="BE91" s="1546">
        <f t="shared" si="70"/>
        <v>0</v>
      </c>
      <c r="BF91" s="1546">
        <f t="shared" si="70"/>
        <v>0</v>
      </c>
      <c r="BG91" s="1546">
        <f t="shared" si="70"/>
        <v>0</v>
      </c>
      <c r="BH91" s="1546">
        <f t="shared" si="70"/>
        <v>0</v>
      </c>
      <c r="BI91" s="1546">
        <f t="shared" si="70"/>
        <v>0</v>
      </c>
      <c r="BJ91" s="1546">
        <f t="shared" si="70"/>
        <v>0</v>
      </c>
      <c r="BK91" s="1546">
        <f t="shared" si="70"/>
        <v>0</v>
      </c>
      <c r="BL91" s="1546">
        <f t="shared" si="70"/>
        <v>0</v>
      </c>
      <c r="BM91" s="1546">
        <f t="shared" si="70"/>
        <v>0</v>
      </c>
      <c r="BN91" s="1546">
        <f t="shared" si="70"/>
        <v>0</v>
      </c>
      <c r="BO91" s="1546">
        <f t="shared" si="70"/>
        <v>0</v>
      </c>
      <c r="BP91" s="1546">
        <f t="shared" si="70"/>
        <v>0</v>
      </c>
      <c r="BQ91" s="1546">
        <f t="shared" si="70"/>
        <v>0</v>
      </c>
      <c r="BR91" s="1546">
        <f t="shared" si="70"/>
        <v>0</v>
      </c>
      <c r="BS91" s="1546">
        <f t="shared" si="70"/>
        <v>0</v>
      </c>
      <c r="BT91" s="1546">
        <f t="shared" si="67"/>
        <v>0</v>
      </c>
      <c r="BU91" s="1546">
        <f t="shared" si="67"/>
        <v>0</v>
      </c>
      <c r="BV91" s="1546">
        <f t="shared" si="67"/>
        <v>0</v>
      </c>
      <c r="BX91" s="1546">
        <f t="shared" si="44"/>
        <v>0</v>
      </c>
      <c r="BY91" s="1546">
        <f t="shared" si="68"/>
        <v>0</v>
      </c>
      <c r="BZ91" s="1546">
        <f t="shared" si="68"/>
        <v>0</v>
      </c>
      <c r="CA91" s="1546">
        <f t="shared" si="68"/>
        <v>0</v>
      </c>
      <c r="CB91" s="1546">
        <f t="shared" si="68"/>
        <v>0</v>
      </c>
      <c r="CC91" s="1546">
        <f t="shared" si="68"/>
        <v>0</v>
      </c>
      <c r="CD91" s="1546">
        <f t="shared" si="68"/>
        <v>0</v>
      </c>
      <c r="CE91" s="1546">
        <f t="shared" si="68"/>
        <v>0</v>
      </c>
      <c r="CF91" s="1546">
        <f t="shared" si="68"/>
        <v>0</v>
      </c>
      <c r="CG91" s="1546">
        <f t="shared" si="68"/>
        <v>0</v>
      </c>
      <c r="CH91" s="1546">
        <f t="shared" si="68"/>
        <v>0</v>
      </c>
      <c r="CI91" s="1546">
        <f t="shared" si="68"/>
        <v>0</v>
      </c>
      <c r="CJ91" s="1546">
        <f t="shared" si="68"/>
        <v>0</v>
      </c>
      <c r="CL91" s="1546">
        <f t="shared" si="64"/>
        <v>0</v>
      </c>
      <c r="CM91" s="1546">
        <f t="shared" si="64"/>
        <v>0</v>
      </c>
      <c r="CN91" s="1546">
        <f t="shared" si="64"/>
        <v>0</v>
      </c>
      <c r="CO91" s="1546">
        <f t="shared" si="64"/>
        <v>0</v>
      </c>
      <c r="CQ91" s="1546">
        <f t="shared" si="55"/>
        <v>0</v>
      </c>
      <c r="CR91" s="1546">
        <f t="shared" si="65"/>
        <v>0</v>
      </c>
      <c r="CS91" s="1546">
        <f t="shared" si="65"/>
        <v>0</v>
      </c>
      <c r="CT91" s="1546">
        <f t="shared" si="65"/>
        <v>0</v>
      </c>
      <c r="CU91" s="1546">
        <f t="shared" si="65"/>
        <v>0</v>
      </c>
      <c r="CV91" s="1546">
        <f t="shared" si="65"/>
        <v>0</v>
      </c>
      <c r="CW91" s="1546">
        <f t="shared" si="65"/>
        <v>0</v>
      </c>
      <c r="CX91" s="1546">
        <f t="shared" si="65"/>
        <v>0</v>
      </c>
      <c r="CY91" s="1546">
        <f t="shared" si="65"/>
        <v>0</v>
      </c>
      <c r="CZ91" s="1546">
        <f t="shared" si="65"/>
        <v>0</v>
      </c>
      <c r="DA91" s="1546">
        <f t="shared" si="65"/>
        <v>0</v>
      </c>
      <c r="DB91" s="1546">
        <f t="shared" si="69"/>
        <v>0</v>
      </c>
      <c r="DC91" s="1546">
        <f t="shared" si="69"/>
        <v>0</v>
      </c>
      <c r="DD91" s="1546">
        <f t="shared" si="69"/>
        <v>0</v>
      </c>
      <c r="DE91" s="1546">
        <f t="shared" si="69"/>
        <v>0</v>
      </c>
      <c r="DF91" s="1546">
        <f t="shared" si="69"/>
        <v>0</v>
      </c>
      <c r="DG91" s="1546">
        <f t="shared" si="56"/>
        <v>1</v>
      </c>
      <c r="DI91" s="1546">
        <f t="shared" si="66"/>
        <v>0</v>
      </c>
      <c r="DJ91" s="1546">
        <f t="shared" si="66"/>
        <v>0</v>
      </c>
      <c r="DK91" s="1546">
        <f t="shared" si="66"/>
        <v>0</v>
      </c>
      <c r="DL91" s="1546">
        <f t="shared" si="66"/>
        <v>0</v>
      </c>
      <c r="DM91" s="1546">
        <f t="shared" si="66"/>
        <v>0</v>
      </c>
      <c r="DN91" s="1546">
        <f t="shared" si="66"/>
        <v>0</v>
      </c>
    </row>
    <row r="92" spans="1:118" x14ac:dyDescent="0.3">
      <c r="A92" s="285">
        <v>90</v>
      </c>
      <c r="B92" s="325">
        <f t="shared" si="57"/>
        <v>0</v>
      </c>
      <c r="C92" s="682"/>
      <c r="D92" s="683"/>
      <c r="E92" s="680"/>
      <c r="F92" s="713"/>
      <c r="G92" s="91" t="str">
        <f>IF($B92=0,"",VLOOKUP($B92,'Valve Data'!$1:$1048576,MATCH(G$1,'Valve Data'!$1:$1,0),0))</f>
        <v/>
      </c>
      <c r="H92" s="21" t="str">
        <f>IF($B92=0,"",VLOOKUP($B92,'Valve Data'!$1:$1048576,MATCH(H$1,'Valve Data'!$1:$1,0),0))</f>
        <v/>
      </c>
      <c r="I92" s="21" t="str">
        <f>IF($B92=0,"",VLOOKUP($B92,'Valve Data'!$1:$1048576,MATCH(I$1,'Valve Data'!$1:$1,0),0))</f>
        <v/>
      </c>
      <c r="J92" s="328" t="str">
        <f>IF($B92=0,"",VLOOKUP($B92,'Valve Data'!$1:$1048576,MATCH(J$1,'Valve Data'!$1:$1,0),0))</f>
        <v/>
      </c>
      <c r="K92" s="21" t="str">
        <f>IF($B92=0,"",VLOOKUP($B92,'Valve Data'!$1:$1048576,MATCH(K$1,'Valve Data'!$1:$1,0),0))</f>
        <v/>
      </c>
      <c r="L92" s="21" t="str">
        <f>IF($B92=0,"",VLOOKUP($B92,'Valve Data'!$1:$1048576,MATCH(L$1,'Valve Data'!$1:$1,0),0))</f>
        <v/>
      </c>
      <c r="M92" s="21" t="str">
        <f>IF($B92=0,"",VLOOKUP($B92,'Valve Data'!$1:$1048576,MATCH(M$1,'Valve Data'!$1:$1,0),0))</f>
        <v/>
      </c>
      <c r="N92" s="21" t="str">
        <f>IF($B92=0,"",VLOOKUP($B92,'Valve Data'!$1:$1048576,MATCH(N$1,'Valve Data'!$1:$1,0),0))</f>
        <v/>
      </c>
      <c r="O92" s="21" t="str">
        <f>IF($B92=0,"",VLOOKUP($B92,'Valve Data'!$1:$1048576,MATCH(O$1,'Valve Data'!$1:$1,0),0))</f>
        <v/>
      </c>
      <c r="P92" s="21" t="str">
        <f>IF($B92=0,"",VLOOKUP($B92,'Valve Data'!$1:$1048576,MATCH(P$1,'Valve Data'!$1:$1,0),0))</f>
        <v/>
      </c>
      <c r="Q92" s="21" t="str">
        <f>IF($B92=0,"",VLOOKUP($B92,'Valve Data'!$1:$1048576,MATCH(Q$1,'Valve Data'!$1:$1,0),0))</f>
        <v/>
      </c>
      <c r="R92" s="21" t="str">
        <f>IF($B92=0,"",VLOOKUP($B92,'Valve Data'!$1:$1048576,MATCH(R$1,'Valve Data'!$1:$1,0),0))</f>
        <v/>
      </c>
      <c r="S92" s="21" t="str">
        <f>IF($B92=0,"",VLOOKUP($B92,'Valve Data'!$1:$1048576,MATCH(S$1,'Valve Data'!$1:$1,0),0))</f>
        <v/>
      </c>
      <c r="T92" s="331" t="str">
        <f>IF($B92=0,"",VLOOKUP($B92,'Valve Data'!$1:$1048576,MATCH(T$1,'Valve Data'!$1:$1,0),0))</f>
        <v/>
      </c>
      <c r="U92" s="91" t="str">
        <f>IF($B92=0,"",VLOOKUP($B92,'Valve Data'!$1:$1048576,MATCH(U$1,'Valve Data'!$1:$1,0),0))</f>
        <v/>
      </c>
      <c r="V92" s="21" t="str">
        <f>IF($B92=0,"",VLOOKUP($B92,'Valve Data'!$1:$1048576,MATCH(V$1,'Valve Data'!$1:$1,0),0))</f>
        <v/>
      </c>
      <c r="W92" s="21" t="str">
        <f>IF($B92=0,"",VLOOKUP($B92,'Valve Data'!$1:$1048576,MATCH(W$1,'Valve Data'!$1:$1,0),0))</f>
        <v/>
      </c>
      <c r="X92" s="331" t="str">
        <f>IF($B92=0,"",VLOOKUP($B92,'Valve Data'!$1:$1048576,MATCH(X$1,'Valve Data'!$1:$1,0),0))</f>
        <v/>
      </c>
      <c r="Y92" s="865"/>
      <c r="Z92" s="683"/>
      <c r="AA92" s="680"/>
      <c r="AB92" s="680"/>
      <c r="AC92" s="680"/>
      <c r="AD92" s="680"/>
      <c r="AE92" s="868"/>
      <c r="AF92" s="866"/>
      <c r="AG92" s="680"/>
      <c r="AH92" s="680"/>
      <c r="AI92" s="680"/>
      <c r="AJ92" s="680"/>
      <c r="AK92" s="680"/>
      <c r="AL92" s="680"/>
      <c r="AM92" s="680"/>
      <c r="AN92" s="680"/>
      <c r="AO92" s="680"/>
      <c r="AP92" s="684"/>
      <c r="AQ92" s="684"/>
      <c r="AR92" s="680"/>
      <c r="AS92" s="684"/>
      <c r="AT92" s="684"/>
      <c r="AU92" s="684"/>
      <c r="AV92" s="271">
        <f t="shared" si="58"/>
        <v>0</v>
      </c>
      <c r="AW92" s="680"/>
      <c r="AX92" s="845">
        <f>IF(F92="Ball_valve",IFERROR(VLOOKUP(E92&amp;"."&amp;D92,'Ball Valves Chart'!$1:$1048576,MATCH(G92,'Ball Valves Chart'!$3:$3,0),0),0),0)+IF(F92="DBB",IFERROR(VLOOKUP(E92&amp;"."&amp;D92,'Ball Valves Chart'!$1:$1048576,MATCH(G92,'Ball Valves Chart'!$3:$3,0),0)*2,0),0)+IFERROR(VLOOKUP(D92&amp;"."&amp;F92,'Manual Valves Chart'!$1:$1048576,MATCH('Valve List'!G92,'Manual Valves Chart'!$1:$1,0),0),0)</f>
        <v>0</v>
      </c>
      <c r="AY92" s="846">
        <f t="shared" si="59"/>
        <v>0</v>
      </c>
      <c r="AZ92" s="854"/>
      <c r="BA92" s="856">
        <f t="shared" si="60"/>
        <v>0</v>
      </c>
      <c r="BC92" s="852">
        <f t="shared" si="61"/>
        <v>0</v>
      </c>
      <c r="BD92" s="398"/>
      <c r="BE92" s="1546">
        <f t="shared" si="70"/>
        <v>0</v>
      </c>
      <c r="BF92" s="1546">
        <f t="shared" si="70"/>
        <v>0</v>
      </c>
      <c r="BG92" s="1546">
        <f t="shared" si="70"/>
        <v>0</v>
      </c>
      <c r="BH92" s="1546">
        <f t="shared" si="70"/>
        <v>0</v>
      </c>
      <c r="BI92" s="1546">
        <f t="shared" si="70"/>
        <v>0</v>
      </c>
      <c r="BJ92" s="1546">
        <f t="shared" si="70"/>
        <v>0</v>
      </c>
      <c r="BK92" s="1546">
        <f t="shared" si="70"/>
        <v>0</v>
      </c>
      <c r="BL92" s="1546">
        <f t="shared" si="70"/>
        <v>0</v>
      </c>
      <c r="BM92" s="1546">
        <f t="shared" si="70"/>
        <v>0</v>
      </c>
      <c r="BN92" s="1546">
        <f t="shared" si="70"/>
        <v>0</v>
      </c>
      <c r="BO92" s="1546">
        <f t="shared" si="70"/>
        <v>0</v>
      </c>
      <c r="BP92" s="1546">
        <f t="shared" si="70"/>
        <v>0</v>
      </c>
      <c r="BQ92" s="1546">
        <f t="shared" si="70"/>
        <v>0</v>
      </c>
      <c r="BR92" s="1546">
        <f t="shared" si="70"/>
        <v>0</v>
      </c>
      <c r="BS92" s="1546">
        <f t="shared" si="70"/>
        <v>0</v>
      </c>
      <c r="BT92" s="1546">
        <f t="shared" si="67"/>
        <v>0</v>
      </c>
      <c r="BU92" s="1546">
        <f t="shared" si="67"/>
        <v>0</v>
      </c>
      <c r="BV92" s="1546">
        <f t="shared" si="67"/>
        <v>0</v>
      </c>
      <c r="BX92" s="1546">
        <f t="shared" si="44"/>
        <v>0</v>
      </c>
      <c r="BY92" s="1546">
        <f t="shared" si="68"/>
        <v>0</v>
      </c>
      <c r="BZ92" s="1546">
        <f t="shared" si="68"/>
        <v>0</v>
      </c>
      <c r="CA92" s="1546">
        <f t="shared" si="68"/>
        <v>0</v>
      </c>
      <c r="CB92" s="1546">
        <f t="shared" si="68"/>
        <v>0</v>
      </c>
      <c r="CC92" s="1546">
        <f t="shared" si="68"/>
        <v>0</v>
      </c>
      <c r="CD92" s="1546">
        <f t="shared" si="68"/>
        <v>0</v>
      </c>
      <c r="CE92" s="1546">
        <f t="shared" si="68"/>
        <v>0</v>
      </c>
      <c r="CF92" s="1546">
        <f t="shared" si="68"/>
        <v>0</v>
      </c>
      <c r="CG92" s="1546">
        <f t="shared" si="68"/>
        <v>0</v>
      </c>
      <c r="CH92" s="1546">
        <f t="shared" si="68"/>
        <v>0</v>
      </c>
      <c r="CI92" s="1546">
        <f t="shared" si="68"/>
        <v>0</v>
      </c>
      <c r="CJ92" s="1546">
        <f t="shared" si="68"/>
        <v>0</v>
      </c>
      <c r="CL92" s="1546">
        <f t="shared" si="64"/>
        <v>0</v>
      </c>
      <c r="CM92" s="1546">
        <f t="shared" si="64"/>
        <v>0</v>
      </c>
      <c r="CN92" s="1546">
        <f t="shared" si="64"/>
        <v>0</v>
      </c>
      <c r="CO92" s="1546">
        <f t="shared" si="64"/>
        <v>0</v>
      </c>
      <c r="CQ92" s="1546">
        <f t="shared" si="55"/>
        <v>0</v>
      </c>
      <c r="CR92" s="1546">
        <f t="shared" si="65"/>
        <v>0</v>
      </c>
      <c r="CS92" s="1546">
        <f t="shared" si="65"/>
        <v>0</v>
      </c>
      <c r="CT92" s="1546">
        <f t="shared" si="65"/>
        <v>0</v>
      </c>
      <c r="CU92" s="1546">
        <f t="shared" si="65"/>
        <v>0</v>
      </c>
      <c r="CV92" s="1546">
        <f t="shared" si="65"/>
        <v>0</v>
      </c>
      <c r="CW92" s="1546">
        <f t="shared" si="65"/>
        <v>0</v>
      </c>
      <c r="CX92" s="1546">
        <f t="shared" si="65"/>
        <v>0</v>
      </c>
      <c r="CY92" s="1546">
        <f t="shared" si="65"/>
        <v>0</v>
      </c>
      <c r="CZ92" s="1546">
        <f t="shared" si="65"/>
        <v>0</v>
      </c>
      <c r="DA92" s="1546">
        <f t="shared" si="65"/>
        <v>0</v>
      </c>
      <c r="DB92" s="1546">
        <f t="shared" si="69"/>
        <v>0</v>
      </c>
      <c r="DC92" s="1546">
        <f t="shared" si="69"/>
        <v>0</v>
      </c>
      <c r="DD92" s="1546">
        <f t="shared" si="69"/>
        <v>0</v>
      </c>
      <c r="DE92" s="1546">
        <f t="shared" si="69"/>
        <v>0</v>
      </c>
      <c r="DF92" s="1546">
        <f t="shared" si="69"/>
        <v>0</v>
      </c>
      <c r="DG92" s="1546">
        <f t="shared" si="56"/>
        <v>1</v>
      </c>
      <c r="DI92" s="1546">
        <f t="shared" si="66"/>
        <v>0</v>
      </c>
      <c r="DJ92" s="1546">
        <f t="shared" si="66"/>
        <v>0</v>
      </c>
      <c r="DK92" s="1546">
        <f t="shared" si="66"/>
        <v>0</v>
      </c>
      <c r="DL92" s="1546">
        <f t="shared" si="66"/>
        <v>0</v>
      </c>
      <c r="DM92" s="1546">
        <f t="shared" si="66"/>
        <v>0</v>
      </c>
      <c r="DN92" s="1546">
        <f t="shared" si="66"/>
        <v>0</v>
      </c>
    </row>
    <row r="93" spans="1:118" x14ac:dyDescent="0.3">
      <c r="A93" s="285">
        <v>91</v>
      </c>
      <c r="B93" s="325">
        <f t="shared" si="57"/>
        <v>0</v>
      </c>
      <c r="C93" s="682"/>
      <c r="D93" s="683"/>
      <c r="E93" s="680"/>
      <c r="F93" s="713"/>
      <c r="G93" s="91" t="str">
        <f>IF($B93=0,"",VLOOKUP($B93,'Valve Data'!$1:$1048576,MATCH(G$1,'Valve Data'!$1:$1,0),0))</f>
        <v/>
      </c>
      <c r="H93" s="21" t="str">
        <f>IF($B93=0,"",VLOOKUP($B93,'Valve Data'!$1:$1048576,MATCH(H$1,'Valve Data'!$1:$1,0),0))</f>
        <v/>
      </c>
      <c r="I93" s="21" t="str">
        <f>IF($B93=0,"",VLOOKUP($B93,'Valve Data'!$1:$1048576,MATCH(I$1,'Valve Data'!$1:$1,0),0))</f>
        <v/>
      </c>
      <c r="J93" s="328" t="str">
        <f>IF($B93=0,"",VLOOKUP($B93,'Valve Data'!$1:$1048576,MATCH(J$1,'Valve Data'!$1:$1,0),0))</f>
        <v/>
      </c>
      <c r="K93" s="21" t="str">
        <f>IF($B93=0,"",VLOOKUP($B93,'Valve Data'!$1:$1048576,MATCH(K$1,'Valve Data'!$1:$1,0),0))</f>
        <v/>
      </c>
      <c r="L93" s="21" t="str">
        <f>IF($B93=0,"",VLOOKUP($B93,'Valve Data'!$1:$1048576,MATCH(L$1,'Valve Data'!$1:$1,0),0))</f>
        <v/>
      </c>
      <c r="M93" s="21" t="str">
        <f>IF($B93=0,"",VLOOKUP($B93,'Valve Data'!$1:$1048576,MATCH(M$1,'Valve Data'!$1:$1,0),0))</f>
        <v/>
      </c>
      <c r="N93" s="21" t="str">
        <f>IF($B93=0,"",VLOOKUP($B93,'Valve Data'!$1:$1048576,MATCH(N$1,'Valve Data'!$1:$1,0),0))</f>
        <v/>
      </c>
      <c r="O93" s="21" t="str">
        <f>IF($B93=0,"",VLOOKUP($B93,'Valve Data'!$1:$1048576,MATCH(O$1,'Valve Data'!$1:$1,0),0))</f>
        <v/>
      </c>
      <c r="P93" s="21" t="str">
        <f>IF($B93=0,"",VLOOKUP($B93,'Valve Data'!$1:$1048576,MATCH(P$1,'Valve Data'!$1:$1,0),0))</f>
        <v/>
      </c>
      <c r="Q93" s="21" t="str">
        <f>IF($B93=0,"",VLOOKUP($B93,'Valve Data'!$1:$1048576,MATCH(Q$1,'Valve Data'!$1:$1,0),0))</f>
        <v/>
      </c>
      <c r="R93" s="21" t="str">
        <f>IF($B93=0,"",VLOOKUP($B93,'Valve Data'!$1:$1048576,MATCH(R$1,'Valve Data'!$1:$1,0),0))</f>
        <v/>
      </c>
      <c r="S93" s="21" t="str">
        <f>IF($B93=0,"",VLOOKUP($B93,'Valve Data'!$1:$1048576,MATCH(S$1,'Valve Data'!$1:$1,0),0))</f>
        <v/>
      </c>
      <c r="T93" s="331" t="str">
        <f>IF($B93=0,"",VLOOKUP($B93,'Valve Data'!$1:$1048576,MATCH(T$1,'Valve Data'!$1:$1,0),0))</f>
        <v/>
      </c>
      <c r="U93" s="91" t="str">
        <f>IF($B93=0,"",VLOOKUP($B93,'Valve Data'!$1:$1048576,MATCH(U$1,'Valve Data'!$1:$1,0),0))</f>
        <v/>
      </c>
      <c r="V93" s="21" t="str">
        <f>IF($B93=0,"",VLOOKUP($B93,'Valve Data'!$1:$1048576,MATCH(V$1,'Valve Data'!$1:$1,0),0))</f>
        <v/>
      </c>
      <c r="W93" s="21" t="str">
        <f>IF($B93=0,"",VLOOKUP($B93,'Valve Data'!$1:$1048576,MATCH(W$1,'Valve Data'!$1:$1,0),0))</f>
        <v/>
      </c>
      <c r="X93" s="331" t="str">
        <f>IF($B93=0,"",VLOOKUP($B93,'Valve Data'!$1:$1048576,MATCH(X$1,'Valve Data'!$1:$1,0),0))</f>
        <v/>
      </c>
      <c r="Y93" s="865"/>
      <c r="Z93" s="683"/>
      <c r="AA93" s="680"/>
      <c r="AB93" s="680"/>
      <c r="AC93" s="680"/>
      <c r="AD93" s="680"/>
      <c r="AE93" s="868"/>
      <c r="AF93" s="866"/>
      <c r="AG93" s="680"/>
      <c r="AH93" s="680"/>
      <c r="AI93" s="680"/>
      <c r="AJ93" s="680"/>
      <c r="AK93" s="680"/>
      <c r="AL93" s="680"/>
      <c r="AM93" s="680"/>
      <c r="AN93" s="680"/>
      <c r="AO93" s="680"/>
      <c r="AP93" s="684"/>
      <c r="AQ93" s="684"/>
      <c r="AR93" s="680"/>
      <c r="AS93" s="684"/>
      <c r="AT93" s="684"/>
      <c r="AU93" s="684"/>
      <c r="AV93" s="271">
        <f t="shared" si="58"/>
        <v>0</v>
      </c>
      <c r="AW93" s="680"/>
      <c r="AX93" s="845">
        <f>IF(F93="Ball_valve",IFERROR(VLOOKUP(E93&amp;"."&amp;D93,'Ball Valves Chart'!$1:$1048576,MATCH(G93,'Ball Valves Chart'!$3:$3,0),0),0),0)+IF(F93="DBB",IFERROR(VLOOKUP(E93&amp;"."&amp;D93,'Ball Valves Chart'!$1:$1048576,MATCH(G93,'Ball Valves Chart'!$3:$3,0),0)*2,0),0)+IFERROR(VLOOKUP(D93&amp;"."&amp;F93,'Manual Valves Chart'!$1:$1048576,MATCH('Valve List'!G93,'Manual Valves Chart'!$1:$1,0),0),0)</f>
        <v>0</v>
      </c>
      <c r="AY93" s="846">
        <f t="shared" si="59"/>
        <v>0</v>
      </c>
      <c r="AZ93" s="854"/>
      <c r="BA93" s="856">
        <f t="shared" si="60"/>
        <v>0</v>
      </c>
      <c r="BC93" s="852">
        <f t="shared" si="61"/>
        <v>0</v>
      </c>
      <c r="BD93" s="398"/>
      <c r="BE93" s="1546">
        <f t="shared" si="70"/>
        <v>0</v>
      </c>
      <c r="BF93" s="1546">
        <f t="shared" si="70"/>
        <v>0</v>
      </c>
      <c r="BG93" s="1546">
        <f t="shared" si="70"/>
        <v>0</v>
      </c>
      <c r="BH93" s="1546">
        <f t="shared" si="70"/>
        <v>0</v>
      </c>
      <c r="BI93" s="1546">
        <f t="shared" si="70"/>
        <v>0</v>
      </c>
      <c r="BJ93" s="1546">
        <f t="shared" si="70"/>
        <v>0</v>
      </c>
      <c r="BK93" s="1546">
        <f t="shared" si="70"/>
        <v>0</v>
      </c>
      <c r="BL93" s="1546">
        <f t="shared" si="70"/>
        <v>0</v>
      </c>
      <c r="BM93" s="1546">
        <f t="shared" si="70"/>
        <v>0</v>
      </c>
      <c r="BN93" s="1546">
        <f t="shared" si="70"/>
        <v>0</v>
      </c>
      <c r="BO93" s="1546">
        <f t="shared" si="70"/>
        <v>0</v>
      </c>
      <c r="BP93" s="1546">
        <f t="shared" si="70"/>
        <v>0</v>
      </c>
      <c r="BQ93" s="1546">
        <f t="shared" si="70"/>
        <v>0</v>
      </c>
      <c r="BR93" s="1546">
        <f t="shared" si="70"/>
        <v>0</v>
      </c>
      <c r="BS93" s="1546">
        <f t="shared" si="70"/>
        <v>0</v>
      </c>
      <c r="BT93" s="1546">
        <f t="shared" si="67"/>
        <v>0</v>
      </c>
      <c r="BU93" s="1546">
        <f t="shared" si="67"/>
        <v>0</v>
      </c>
      <c r="BV93" s="1546">
        <f t="shared" si="67"/>
        <v>0</v>
      </c>
      <c r="BX93" s="1546">
        <f t="shared" si="44"/>
        <v>0</v>
      </c>
      <c r="BY93" s="1546">
        <f t="shared" si="68"/>
        <v>0</v>
      </c>
      <c r="BZ93" s="1546">
        <f t="shared" si="68"/>
        <v>0</v>
      </c>
      <c r="CA93" s="1546">
        <f t="shared" si="68"/>
        <v>0</v>
      </c>
      <c r="CB93" s="1546">
        <f t="shared" si="68"/>
        <v>0</v>
      </c>
      <c r="CC93" s="1546">
        <f t="shared" si="68"/>
        <v>0</v>
      </c>
      <c r="CD93" s="1546">
        <f t="shared" si="68"/>
        <v>0</v>
      </c>
      <c r="CE93" s="1546">
        <f t="shared" si="68"/>
        <v>0</v>
      </c>
      <c r="CF93" s="1546">
        <f t="shared" si="68"/>
        <v>0</v>
      </c>
      <c r="CG93" s="1546">
        <f t="shared" si="68"/>
        <v>0</v>
      </c>
      <c r="CH93" s="1546">
        <f t="shared" si="68"/>
        <v>0</v>
      </c>
      <c r="CI93" s="1546">
        <f t="shared" si="68"/>
        <v>0</v>
      </c>
      <c r="CJ93" s="1546">
        <f t="shared" si="68"/>
        <v>0</v>
      </c>
      <c r="CL93" s="1546">
        <f t="shared" si="64"/>
        <v>0</v>
      </c>
      <c r="CM93" s="1546">
        <f t="shared" si="64"/>
        <v>0</v>
      </c>
      <c r="CN93" s="1546">
        <f t="shared" si="64"/>
        <v>0</v>
      </c>
      <c r="CO93" s="1546">
        <f t="shared" si="64"/>
        <v>0</v>
      </c>
      <c r="CQ93" s="1546">
        <f t="shared" si="55"/>
        <v>0</v>
      </c>
      <c r="CR93" s="1546">
        <f t="shared" si="65"/>
        <v>0</v>
      </c>
      <c r="CS93" s="1546">
        <f t="shared" si="65"/>
        <v>0</v>
      </c>
      <c r="CT93" s="1546">
        <f t="shared" si="65"/>
        <v>0</v>
      </c>
      <c r="CU93" s="1546">
        <f t="shared" si="65"/>
        <v>0</v>
      </c>
      <c r="CV93" s="1546">
        <f t="shared" si="65"/>
        <v>0</v>
      </c>
      <c r="CW93" s="1546">
        <f t="shared" si="65"/>
        <v>0</v>
      </c>
      <c r="CX93" s="1546">
        <f t="shared" si="65"/>
        <v>0</v>
      </c>
      <c r="CY93" s="1546">
        <f t="shared" si="65"/>
        <v>0</v>
      </c>
      <c r="CZ93" s="1546">
        <f t="shared" si="65"/>
        <v>0</v>
      </c>
      <c r="DA93" s="1546">
        <f t="shared" si="65"/>
        <v>0</v>
      </c>
      <c r="DB93" s="1546">
        <f t="shared" si="69"/>
        <v>0</v>
      </c>
      <c r="DC93" s="1546">
        <f t="shared" si="69"/>
        <v>0</v>
      </c>
      <c r="DD93" s="1546">
        <f t="shared" si="69"/>
        <v>0</v>
      </c>
      <c r="DE93" s="1546">
        <f t="shared" si="69"/>
        <v>0</v>
      </c>
      <c r="DF93" s="1546">
        <f t="shared" si="69"/>
        <v>0</v>
      </c>
      <c r="DG93" s="1546">
        <f t="shared" si="56"/>
        <v>1</v>
      </c>
      <c r="DI93" s="1546">
        <f t="shared" si="66"/>
        <v>0</v>
      </c>
      <c r="DJ93" s="1546">
        <f t="shared" si="66"/>
        <v>0</v>
      </c>
      <c r="DK93" s="1546">
        <f t="shared" si="66"/>
        <v>0</v>
      </c>
      <c r="DL93" s="1546">
        <f t="shared" si="66"/>
        <v>0</v>
      </c>
      <c r="DM93" s="1546">
        <f t="shared" si="66"/>
        <v>0</v>
      </c>
      <c r="DN93" s="1546">
        <f t="shared" si="66"/>
        <v>0</v>
      </c>
    </row>
    <row r="94" spans="1:118" x14ac:dyDescent="0.3">
      <c r="A94" s="285">
        <v>92</v>
      </c>
      <c r="B94" s="325">
        <f t="shared" si="57"/>
        <v>0</v>
      </c>
      <c r="C94" s="682"/>
      <c r="D94" s="683"/>
      <c r="E94" s="680"/>
      <c r="F94" s="713"/>
      <c r="G94" s="91" t="str">
        <f>IF($B94=0,"",VLOOKUP($B94,'Valve Data'!$1:$1048576,MATCH(G$1,'Valve Data'!$1:$1,0),0))</f>
        <v/>
      </c>
      <c r="H94" s="21" t="str">
        <f>IF($B94=0,"",VLOOKUP($B94,'Valve Data'!$1:$1048576,MATCH(H$1,'Valve Data'!$1:$1,0),0))</f>
        <v/>
      </c>
      <c r="I94" s="21" t="str">
        <f>IF($B94=0,"",VLOOKUP($B94,'Valve Data'!$1:$1048576,MATCH(I$1,'Valve Data'!$1:$1,0),0))</f>
        <v/>
      </c>
      <c r="J94" s="328" t="str">
        <f>IF($B94=0,"",VLOOKUP($B94,'Valve Data'!$1:$1048576,MATCH(J$1,'Valve Data'!$1:$1,0),0))</f>
        <v/>
      </c>
      <c r="K94" s="21" t="str">
        <f>IF($B94=0,"",VLOOKUP($B94,'Valve Data'!$1:$1048576,MATCH(K$1,'Valve Data'!$1:$1,0),0))</f>
        <v/>
      </c>
      <c r="L94" s="21" t="str">
        <f>IF($B94=0,"",VLOOKUP($B94,'Valve Data'!$1:$1048576,MATCH(L$1,'Valve Data'!$1:$1,0),0))</f>
        <v/>
      </c>
      <c r="M94" s="21" t="str">
        <f>IF($B94=0,"",VLOOKUP($B94,'Valve Data'!$1:$1048576,MATCH(M$1,'Valve Data'!$1:$1,0),0))</f>
        <v/>
      </c>
      <c r="N94" s="21" t="str">
        <f>IF($B94=0,"",VLOOKUP($B94,'Valve Data'!$1:$1048576,MATCH(N$1,'Valve Data'!$1:$1,0),0))</f>
        <v/>
      </c>
      <c r="O94" s="21" t="str">
        <f>IF($B94=0,"",VLOOKUP($B94,'Valve Data'!$1:$1048576,MATCH(O$1,'Valve Data'!$1:$1,0),0))</f>
        <v/>
      </c>
      <c r="P94" s="21" t="str">
        <f>IF($B94=0,"",VLOOKUP($B94,'Valve Data'!$1:$1048576,MATCH(P$1,'Valve Data'!$1:$1,0),0))</f>
        <v/>
      </c>
      <c r="Q94" s="21" t="str">
        <f>IF($B94=0,"",VLOOKUP($B94,'Valve Data'!$1:$1048576,MATCH(Q$1,'Valve Data'!$1:$1,0),0))</f>
        <v/>
      </c>
      <c r="R94" s="21" t="str">
        <f>IF($B94=0,"",VLOOKUP($B94,'Valve Data'!$1:$1048576,MATCH(R$1,'Valve Data'!$1:$1,0),0))</f>
        <v/>
      </c>
      <c r="S94" s="21" t="str">
        <f>IF($B94=0,"",VLOOKUP($B94,'Valve Data'!$1:$1048576,MATCH(S$1,'Valve Data'!$1:$1,0),0))</f>
        <v/>
      </c>
      <c r="T94" s="331" t="str">
        <f>IF($B94=0,"",VLOOKUP($B94,'Valve Data'!$1:$1048576,MATCH(T$1,'Valve Data'!$1:$1,0),0))</f>
        <v/>
      </c>
      <c r="U94" s="91" t="str">
        <f>IF($B94=0,"",VLOOKUP($B94,'Valve Data'!$1:$1048576,MATCH(U$1,'Valve Data'!$1:$1,0),0))</f>
        <v/>
      </c>
      <c r="V94" s="21" t="str">
        <f>IF($B94=0,"",VLOOKUP($B94,'Valve Data'!$1:$1048576,MATCH(V$1,'Valve Data'!$1:$1,0),0))</f>
        <v/>
      </c>
      <c r="W94" s="21" t="str">
        <f>IF($B94=0,"",VLOOKUP($B94,'Valve Data'!$1:$1048576,MATCH(W$1,'Valve Data'!$1:$1,0),0))</f>
        <v/>
      </c>
      <c r="X94" s="331" t="str">
        <f>IF($B94=0,"",VLOOKUP($B94,'Valve Data'!$1:$1048576,MATCH(X$1,'Valve Data'!$1:$1,0),0))</f>
        <v/>
      </c>
      <c r="Y94" s="865"/>
      <c r="Z94" s="683"/>
      <c r="AA94" s="680"/>
      <c r="AB94" s="680"/>
      <c r="AC94" s="680"/>
      <c r="AD94" s="680"/>
      <c r="AE94" s="868"/>
      <c r="AF94" s="866"/>
      <c r="AG94" s="680"/>
      <c r="AH94" s="680"/>
      <c r="AI94" s="680"/>
      <c r="AJ94" s="680"/>
      <c r="AK94" s="680"/>
      <c r="AL94" s="680"/>
      <c r="AM94" s="680"/>
      <c r="AN94" s="680"/>
      <c r="AO94" s="680"/>
      <c r="AP94" s="684"/>
      <c r="AQ94" s="684"/>
      <c r="AR94" s="680"/>
      <c r="AS94" s="684"/>
      <c r="AT94" s="684"/>
      <c r="AU94" s="684"/>
      <c r="AV94" s="271">
        <f t="shared" si="58"/>
        <v>0</v>
      </c>
      <c r="AW94" s="680"/>
      <c r="AX94" s="845">
        <f>IF(F94="Ball_valve",IFERROR(VLOOKUP(E94&amp;"."&amp;D94,'Ball Valves Chart'!$1:$1048576,MATCH(G94,'Ball Valves Chart'!$3:$3,0),0),0),0)+IF(F94="DBB",IFERROR(VLOOKUP(E94&amp;"."&amp;D94,'Ball Valves Chart'!$1:$1048576,MATCH(G94,'Ball Valves Chart'!$3:$3,0),0)*2,0),0)+IFERROR(VLOOKUP(D94&amp;"."&amp;F94,'Manual Valves Chart'!$1:$1048576,MATCH('Valve List'!G94,'Manual Valves Chart'!$1:$1,0),0),0)</f>
        <v>0</v>
      </c>
      <c r="AY94" s="846">
        <f t="shared" si="59"/>
        <v>0</v>
      </c>
      <c r="AZ94" s="854"/>
      <c r="BA94" s="856">
        <f t="shared" si="60"/>
        <v>0</v>
      </c>
      <c r="BC94" s="852">
        <f t="shared" si="61"/>
        <v>0</v>
      </c>
      <c r="BD94" s="398"/>
      <c r="BE94" s="1546">
        <f t="shared" si="70"/>
        <v>0</v>
      </c>
      <c r="BF94" s="1546">
        <f t="shared" si="70"/>
        <v>0</v>
      </c>
      <c r="BG94" s="1546">
        <f t="shared" si="70"/>
        <v>0</v>
      </c>
      <c r="BH94" s="1546">
        <f t="shared" si="70"/>
        <v>0</v>
      </c>
      <c r="BI94" s="1546">
        <f t="shared" si="70"/>
        <v>0</v>
      </c>
      <c r="BJ94" s="1546">
        <f t="shared" si="70"/>
        <v>0</v>
      </c>
      <c r="BK94" s="1546">
        <f t="shared" si="70"/>
        <v>0</v>
      </c>
      <c r="BL94" s="1546">
        <f t="shared" si="70"/>
        <v>0</v>
      </c>
      <c r="BM94" s="1546">
        <f t="shared" si="70"/>
        <v>0</v>
      </c>
      <c r="BN94" s="1546">
        <f t="shared" si="70"/>
        <v>0</v>
      </c>
      <c r="BO94" s="1546">
        <f t="shared" si="70"/>
        <v>0</v>
      </c>
      <c r="BP94" s="1546">
        <f t="shared" si="70"/>
        <v>0</v>
      </c>
      <c r="BQ94" s="1546">
        <f t="shared" si="70"/>
        <v>0</v>
      </c>
      <c r="BR94" s="1546">
        <f t="shared" si="70"/>
        <v>0</v>
      </c>
      <c r="BS94" s="1546">
        <f t="shared" si="70"/>
        <v>0</v>
      </c>
      <c r="BT94" s="1546">
        <f t="shared" si="67"/>
        <v>0</v>
      </c>
      <c r="BU94" s="1546">
        <f t="shared" si="67"/>
        <v>0</v>
      </c>
      <c r="BV94" s="1546">
        <f t="shared" si="67"/>
        <v>0</v>
      </c>
      <c r="BX94" s="1546">
        <f t="shared" si="44"/>
        <v>0</v>
      </c>
      <c r="BY94" s="1546">
        <f t="shared" si="68"/>
        <v>0</v>
      </c>
      <c r="BZ94" s="1546">
        <f t="shared" si="68"/>
        <v>0</v>
      </c>
      <c r="CA94" s="1546">
        <f t="shared" si="68"/>
        <v>0</v>
      </c>
      <c r="CB94" s="1546">
        <f t="shared" si="68"/>
        <v>0</v>
      </c>
      <c r="CC94" s="1546">
        <f t="shared" si="68"/>
        <v>0</v>
      </c>
      <c r="CD94" s="1546">
        <f t="shared" si="68"/>
        <v>0</v>
      </c>
      <c r="CE94" s="1546">
        <f t="shared" si="68"/>
        <v>0</v>
      </c>
      <c r="CF94" s="1546">
        <f t="shared" si="68"/>
        <v>0</v>
      </c>
      <c r="CG94" s="1546">
        <f t="shared" si="68"/>
        <v>0</v>
      </c>
      <c r="CH94" s="1546">
        <f t="shared" si="68"/>
        <v>0</v>
      </c>
      <c r="CI94" s="1546">
        <f t="shared" si="68"/>
        <v>0</v>
      </c>
      <c r="CJ94" s="1546">
        <f t="shared" si="68"/>
        <v>0</v>
      </c>
      <c r="CL94" s="1546">
        <f t="shared" si="64"/>
        <v>0</v>
      </c>
      <c r="CM94" s="1546">
        <f t="shared" si="64"/>
        <v>0</v>
      </c>
      <c r="CN94" s="1546">
        <f t="shared" si="64"/>
        <v>0</v>
      </c>
      <c r="CO94" s="1546">
        <f t="shared" si="64"/>
        <v>0</v>
      </c>
      <c r="CQ94" s="1546">
        <f t="shared" si="55"/>
        <v>0</v>
      </c>
      <c r="CR94" s="1546">
        <f t="shared" si="65"/>
        <v>0</v>
      </c>
      <c r="CS94" s="1546">
        <f t="shared" si="65"/>
        <v>0</v>
      </c>
      <c r="CT94" s="1546">
        <f t="shared" si="65"/>
        <v>0</v>
      </c>
      <c r="CU94" s="1546">
        <f t="shared" si="65"/>
        <v>0</v>
      </c>
      <c r="CV94" s="1546">
        <f t="shared" si="65"/>
        <v>0</v>
      </c>
      <c r="CW94" s="1546">
        <f t="shared" si="65"/>
        <v>0</v>
      </c>
      <c r="CX94" s="1546">
        <f t="shared" si="65"/>
        <v>0</v>
      </c>
      <c r="CY94" s="1546">
        <f t="shared" si="65"/>
        <v>0</v>
      </c>
      <c r="CZ94" s="1546">
        <f t="shared" si="65"/>
        <v>0</v>
      </c>
      <c r="DA94" s="1546">
        <f t="shared" si="65"/>
        <v>0</v>
      </c>
      <c r="DB94" s="1546">
        <f>IF(DB$2=0,0,IF($AW94=DB$2,1,0))</f>
        <v>0</v>
      </c>
      <c r="DC94" s="1546">
        <f>IF(DC$2=0,0,IF($AW94=DC$2,1,0))</f>
        <v>0</v>
      </c>
      <c r="DD94" s="1546">
        <f>IF(DD$2=0,0,IF($AW94=DD$2,1,0))</f>
        <v>0</v>
      </c>
      <c r="DE94" s="1546">
        <f>IF(DE$2=0,0,IF($AW94=DE$2,1,0))</f>
        <v>0</v>
      </c>
      <c r="DF94" s="1546">
        <f>IF(DF$2=0,0,IF($AW94=DF$2,1,0))</f>
        <v>0</v>
      </c>
      <c r="DG94" s="1546">
        <f t="shared" si="56"/>
        <v>1</v>
      </c>
      <c r="DI94" s="1546">
        <f t="shared" si="66"/>
        <v>0</v>
      </c>
      <c r="DJ94" s="1546">
        <f t="shared" si="66"/>
        <v>0</v>
      </c>
      <c r="DK94" s="1546">
        <f t="shared" si="66"/>
        <v>0</v>
      </c>
      <c r="DL94" s="1546">
        <f t="shared" si="66"/>
        <v>0</v>
      </c>
      <c r="DM94" s="1546">
        <f t="shared" si="66"/>
        <v>0</v>
      </c>
      <c r="DN94" s="1546">
        <f t="shared" si="66"/>
        <v>0</v>
      </c>
    </row>
    <row r="95" spans="1:118" x14ac:dyDescent="0.3">
      <c r="A95" s="285">
        <v>93</v>
      </c>
      <c r="B95" s="325">
        <f t="shared" si="57"/>
        <v>0</v>
      </c>
      <c r="C95" s="682"/>
      <c r="D95" s="683"/>
      <c r="E95" s="680"/>
      <c r="F95" s="713"/>
      <c r="G95" s="91" t="str">
        <f>IF($B95=0,"",VLOOKUP($B95,'Valve Data'!$1:$1048576,MATCH(G$1,'Valve Data'!$1:$1,0),0))</f>
        <v/>
      </c>
      <c r="H95" s="21" t="str">
        <f>IF($B95=0,"",VLOOKUP($B95,'Valve Data'!$1:$1048576,MATCH(H$1,'Valve Data'!$1:$1,0),0))</f>
        <v/>
      </c>
      <c r="I95" s="21" t="str">
        <f>IF($B95=0,"",VLOOKUP($B95,'Valve Data'!$1:$1048576,MATCH(I$1,'Valve Data'!$1:$1,0),0))</f>
        <v/>
      </c>
      <c r="J95" s="328" t="str">
        <f>IF($B95=0,"",VLOOKUP($B95,'Valve Data'!$1:$1048576,MATCH(J$1,'Valve Data'!$1:$1,0),0))</f>
        <v/>
      </c>
      <c r="K95" s="21" t="str">
        <f>IF($B95=0,"",VLOOKUP($B95,'Valve Data'!$1:$1048576,MATCH(K$1,'Valve Data'!$1:$1,0),0))</f>
        <v/>
      </c>
      <c r="L95" s="21" t="str">
        <f>IF($B95=0,"",VLOOKUP($B95,'Valve Data'!$1:$1048576,MATCH(L$1,'Valve Data'!$1:$1,0),0))</f>
        <v/>
      </c>
      <c r="M95" s="21" t="str">
        <f>IF($B95=0,"",VLOOKUP($B95,'Valve Data'!$1:$1048576,MATCH(M$1,'Valve Data'!$1:$1,0),0))</f>
        <v/>
      </c>
      <c r="N95" s="21" t="str">
        <f>IF($B95=0,"",VLOOKUP($B95,'Valve Data'!$1:$1048576,MATCH(N$1,'Valve Data'!$1:$1,0),0))</f>
        <v/>
      </c>
      <c r="O95" s="21" t="str">
        <f>IF($B95=0,"",VLOOKUP($B95,'Valve Data'!$1:$1048576,MATCH(O$1,'Valve Data'!$1:$1,0),0))</f>
        <v/>
      </c>
      <c r="P95" s="21" t="str">
        <f>IF($B95=0,"",VLOOKUP($B95,'Valve Data'!$1:$1048576,MATCH(P$1,'Valve Data'!$1:$1,0),0))</f>
        <v/>
      </c>
      <c r="Q95" s="21" t="str">
        <f>IF($B95=0,"",VLOOKUP($B95,'Valve Data'!$1:$1048576,MATCH(Q$1,'Valve Data'!$1:$1,0),0))</f>
        <v/>
      </c>
      <c r="R95" s="21" t="str">
        <f>IF($B95=0,"",VLOOKUP($B95,'Valve Data'!$1:$1048576,MATCH(R$1,'Valve Data'!$1:$1,0),0))</f>
        <v/>
      </c>
      <c r="S95" s="21" t="str">
        <f>IF($B95=0,"",VLOOKUP($B95,'Valve Data'!$1:$1048576,MATCH(S$1,'Valve Data'!$1:$1,0),0))</f>
        <v/>
      </c>
      <c r="T95" s="331" t="str">
        <f>IF($B95=0,"",VLOOKUP($B95,'Valve Data'!$1:$1048576,MATCH(T$1,'Valve Data'!$1:$1,0),0))</f>
        <v/>
      </c>
      <c r="U95" s="91" t="str">
        <f>IF($B95=0,"",VLOOKUP($B95,'Valve Data'!$1:$1048576,MATCH(U$1,'Valve Data'!$1:$1,0),0))</f>
        <v/>
      </c>
      <c r="V95" s="21" t="str">
        <f>IF($B95=0,"",VLOOKUP($B95,'Valve Data'!$1:$1048576,MATCH(V$1,'Valve Data'!$1:$1,0),0))</f>
        <v/>
      </c>
      <c r="W95" s="21" t="str">
        <f>IF($B95=0,"",VLOOKUP($B95,'Valve Data'!$1:$1048576,MATCH(W$1,'Valve Data'!$1:$1,0),0))</f>
        <v/>
      </c>
      <c r="X95" s="331" t="str">
        <f>IF($B95=0,"",VLOOKUP($B95,'Valve Data'!$1:$1048576,MATCH(X$1,'Valve Data'!$1:$1,0),0))</f>
        <v/>
      </c>
      <c r="Y95" s="865"/>
      <c r="Z95" s="683"/>
      <c r="AA95" s="680"/>
      <c r="AB95" s="680"/>
      <c r="AC95" s="680"/>
      <c r="AD95" s="680"/>
      <c r="AE95" s="868"/>
      <c r="AF95" s="866"/>
      <c r="AG95" s="680"/>
      <c r="AH95" s="680"/>
      <c r="AI95" s="680"/>
      <c r="AJ95" s="680"/>
      <c r="AK95" s="680"/>
      <c r="AL95" s="680"/>
      <c r="AM95" s="680"/>
      <c r="AN95" s="680"/>
      <c r="AO95" s="680"/>
      <c r="AP95" s="684"/>
      <c r="AQ95" s="684"/>
      <c r="AR95" s="680"/>
      <c r="AS95" s="684"/>
      <c r="AT95" s="684"/>
      <c r="AU95" s="684"/>
      <c r="AV95" s="271">
        <f t="shared" si="58"/>
        <v>0</v>
      </c>
      <c r="AW95" s="680"/>
      <c r="AX95" s="845">
        <f>IF(F95="Ball_valve",IFERROR(VLOOKUP(E95&amp;"."&amp;D95,'Ball Valves Chart'!$1:$1048576,MATCH(G95,'Ball Valves Chart'!$3:$3,0),0),0),0)+IF(F95="DBB",IFERROR(VLOOKUP(E95&amp;"."&amp;D95,'Ball Valves Chart'!$1:$1048576,MATCH(G95,'Ball Valves Chart'!$3:$3,0),0)*2,0),0)+IFERROR(VLOOKUP(D95&amp;"."&amp;F95,'Manual Valves Chart'!$1:$1048576,MATCH('Valve List'!G95,'Manual Valves Chart'!$1:$1,0),0),0)</f>
        <v>0</v>
      </c>
      <c r="AY95" s="846">
        <f t="shared" si="59"/>
        <v>0</v>
      </c>
      <c r="AZ95" s="854"/>
      <c r="BA95" s="856">
        <f t="shared" si="60"/>
        <v>0</v>
      </c>
      <c r="BC95" s="852">
        <f t="shared" si="61"/>
        <v>0</v>
      </c>
      <c r="BD95" s="398"/>
      <c r="BE95" s="1546">
        <f t="shared" si="70"/>
        <v>0</v>
      </c>
      <c r="BF95" s="1546">
        <f t="shared" si="70"/>
        <v>0</v>
      </c>
      <c r="BG95" s="1546">
        <f t="shared" si="70"/>
        <v>0</v>
      </c>
      <c r="BH95" s="1546">
        <f t="shared" si="70"/>
        <v>0</v>
      </c>
      <c r="BI95" s="1546">
        <f t="shared" si="70"/>
        <v>0</v>
      </c>
      <c r="BJ95" s="1546">
        <f t="shared" si="70"/>
        <v>0</v>
      </c>
      <c r="BK95" s="1546">
        <f t="shared" si="70"/>
        <v>0</v>
      </c>
      <c r="BL95" s="1546">
        <f t="shared" si="70"/>
        <v>0</v>
      </c>
      <c r="BM95" s="1546">
        <f t="shared" si="70"/>
        <v>0</v>
      </c>
      <c r="BN95" s="1546">
        <f t="shared" si="70"/>
        <v>0</v>
      </c>
      <c r="BO95" s="1546">
        <f t="shared" si="70"/>
        <v>0</v>
      </c>
      <c r="BP95" s="1546">
        <f t="shared" si="70"/>
        <v>0</v>
      </c>
      <c r="BQ95" s="1546">
        <f t="shared" si="70"/>
        <v>0</v>
      </c>
      <c r="BR95" s="1546">
        <f t="shared" si="70"/>
        <v>0</v>
      </c>
      <c r="BS95" s="1546">
        <f t="shared" si="70"/>
        <v>0</v>
      </c>
      <c r="BT95" s="1546">
        <f t="shared" si="67"/>
        <v>0</v>
      </c>
      <c r="BU95" s="1546">
        <f t="shared" si="67"/>
        <v>0</v>
      </c>
      <c r="BV95" s="1546">
        <f t="shared" si="67"/>
        <v>0</v>
      </c>
      <c r="BX95" s="1546">
        <f t="shared" si="44"/>
        <v>0</v>
      </c>
      <c r="BY95" s="1546">
        <f t="shared" si="68"/>
        <v>0</v>
      </c>
      <c r="BZ95" s="1546">
        <f t="shared" si="68"/>
        <v>0</v>
      </c>
      <c r="CA95" s="1546">
        <f t="shared" si="68"/>
        <v>0</v>
      </c>
      <c r="CB95" s="1546">
        <f t="shared" si="68"/>
        <v>0</v>
      </c>
      <c r="CC95" s="1546">
        <f t="shared" si="68"/>
        <v>0</v>
      </c>
      <c r="CD95" s="1546">
        <f t="shared" si="68"/>
        <v>0</v>
      </c>
      <c r="CE95" s="1546">
        <f t="shared" si="68"/>
        <v>0</v>
      </c>
      <c r="CF95" s="1546">
        <f t="shared" si="68"/>
        <v>0</v>
      </c>
      <c r="CG95" s="1546">
        <f t="shared" si="68"/>
        <v>0</v>
      </c>
      <c r="CH95" s="1546">
        <f t="shared" si="68"/>
        <v>0</v>
      </c>
      <c r="CI95" s="1546">
        <f t="shared" si="68"/>
        <v>0</v>
      </c>
      <c r="CJ95" s="1546">
        <f t="shared" si="68"/>
        <v>0</v>
      </c>
      <c r="CL95" s="1546">
        <f t="shared" si="64"/>
        <v>0</v>
      </c>
      <c r="CM95" s="1546">
        <f t="shared" si="64"/>
        <v>0</v>
      </c>
      <c r="CN95" s="1546">
        <f t="shared" si="64"/>
        <v>0</v>
      </c>
      <c r="CO95" s="1546">
        <f t="shared" si="64"/>
        <v>0</v>
      </c>
      <c r="CQ95" s="1546">
        <f t="shared" si="55"/>
        <v>0</v>
      </c>
      <c r="CR95" s="1546">
        <f t="shared" si="65"/>
        <v>0</v>
      </c>
      <c r="CS95" s="1546">
        <f t="shared" ref="CR95:DF98" si="71">IF(CS$2=0,0,IF($AW95=CS$2,1,0))</f>
        <v>0</v>
      </c>
      <c r="CT95" s="1546">
        <f t="shared" si="71"/>
        <v>0</v>
      </c>
      <c r="CU95" s="1546">
        <f t="shared" si="71"/>
        <v>0</v>
      </c>
      <c r="CV95" s="1546">
        <f t="shared" si="71"/>
        <v>0</v>
      </c>
      <c r="CW95" s="1546">
        <f t="shared" si="71"/>
        <v>0</v>
      </c>
      <c r="CX95" s="1546">
        <f t="shared" si="71"/>
        <v>0</v>
      </c>
      <c r="CY95" s="1546">
        <f t="shared" si="71"/>
        <v>0</v>
      </c>
      <c r="CZ95" s="1546">
        <f t="shared" si="71"/>
        <v>0</v>
      </c>
      <c r="DA95" s="1546">
        <f t="shared" si="71"/>
        <v>0</v>
      </c>
      <c r="DB95" s="1546">
        <f t="shared" si="71"/>
        <v>0</v>
      </c>
      <c r="DC95" s="1546">
        <f t="shared" si="71"/>
        <v>0</v>
      </c>
      <c r="DD95" s="1546">
        <f t="shared" si="71"/>
        <v>0</v>
      </c>
      <c r="DE95" s="1546">
        <f t="shared" si="71"/>
        <v>0</v>
      </c>
      <c r="DF95" s="1546">
        <f t="shared" si="71"/>
        <v>0</v>
      </c>
      <c r="DG95" s="1546">
        <f t="shared" si="56"/>
        <v>1</v>
      </c>
      <c r="DI95" s="1546">
        <f t="shared" si="66"/>
        <v>0</v>
      </c>
      <c r="DJ95" s="1546">
        <f t="shared" si="66"/>
        <v>0</v>
      </c>
      <c r="DK95" s="1546">
        <f t="shared" si="66"/>
        <v>0</v>
      </c>
      <c r="DL95" s="1546">
        <f t="shared" si="66"/>
        <v>0</v>
      </c>
      <c r="DM95" s="1546">
        <f t="shared" si="66"/>
        <v>0</v>
      </c>
      <c r="DN95" s="1546">
        <f t="shared" si="66"/>
        <v>0</v>
      </c>
    </row>
    <row r="96" spans="1:118" x14ac:dyDescent="0.3">
      <c r="A96" s="285">
        <v>94</v>
      </c>
      <c r="B96" s="325">
        <f t="shared" si="57"/>
        <v>0</v>
      </c>
      <c r="C96" s="682"/>
      <c r="D96" s="683"/>
      <c r="E96" s="680"/>
      <c r="F96" s="713"/>
      <c r="G96" s="91" t="str">
        <f>IF($B96=0,"",VLOOKUP($B96,'Valve Data'!$1:$1048576,MATCH(G$1,'Valve Data'!$1:$1,0),0))</f>
        <v/>
      </c>
      <c r="H96" s="21" t="str">
        <f>IF($B96=0,"",VLOOKUP($B96,'Valve Data'!$1:$1048576,MATCH(H$1,'Valve Data'!$1:$1,0),0))</f>
        <v/>
      </c>
      <c r="I96" s="21" t="str">
        <f>IF($B96=0,"",VLOOKUP($B96,'Valve Data'!$1:$1048576,MATCH(I$1,'Valve Data'!$1:$1,0),0))</f>
        <v/>
      </c>
      <c r="J96" s="328" t="str">
        <f>IF($B96=0,"",VLOOKUP($B96,'Valve Data'!$1:$1048576,MATCH(J$1,'Valve Data'!$1:$1,0),0))</f>
        <v/>
      </c>
      <c r="K96" s="21" t="str">
        <f>IF($B96=0,"",VLOOKUP($B96,'Valve Data'!$1:$1048576,MATCH(K$1,'Valve Data'!$1:$1,0),0))</f>
        <v/>
      </c>
      <c r="L96" s="21" t="str">
        <f>IF($B96=0,"",VLOOKUP($B96,'Valve Data'!$1:$1048576,MATCH(L$1,'Valve Data'!$1:$1,0),0))</f>
        <v/>
      </c>
      <c r="M96" s="21" t="str">
        <f>IF($B96=0,"",VLOOKUP($B96,'Valve Data'!$1:$1048576,MATCH(M$1,'Valve Data'!$1:$1,0),0))</f>
        <v/>
      </c>
      <c r="N96" s="21" t="str">
        <f>IF($B96=0,"",VLOOKUP($B96,'Valve Data'!$1:$1048576,MATCH(N$1,'Valve Data'!$1:$1,0),0))</f>
        <v/>
      </c>
      <c r="O96" s="21" t="str">
        <f>IF($B96=0,"",VLOOKUP($B96,'Valve Data'!$1:$1048576,MATCH(O$1,'Valve Data'!$1:$1,0),0))</f>
        <v/>
      </c>
      <c r="P96" s="21" t="str">
        <f>IF($B96=0,"",VLOOKUP($B96,'Valve Data'!$1:$1048576,MATCH(P$1,'Valve Data'!$1:$1,0),0))</f>
        <v/>
      </c>
      <c r="Q96" s="21" t="str">
        <f>IF($B96=0,"",VLOOKUP($B96,'Valve Data'!$1:$1048576,MATCH(Q$1,'Valve Data'!$1:$1,0),0))</f>
        <v/>
      </c>
      <c r="R96" s="21" t="str">
        <f>IF($B96=0,"",VLOOKUP($B96,'Valve Data'!$1:$1048576,MATCH(R$1,'Valve Data'!$1:$1,0),0))</f>
        <v/>
      </c>
      <c r="S96" s="21" t="str">
        <f>IF($B96=0,"",VLOOKUP($B96,'Valve Data'!$1:$1048576,MATCH(S$1,'Valve Data'!$1:$1,0),0))</f>
        <v/>
      </c>
      <c r="T96" s="331" t="str">
        <f>IF($B96=0,"",VLOOKUP($B96,'Valve Data'!$1:$1048576,MATCH(T$1,'Valve Data'!$1:$1,0),0))</f>
        <v/>
      </c>
      <c r="U96" s="91" t="str">
        <f>IF($B96=0,"",VLOOKUP($B96,'Valve Data'!$1:$1048576,MATCH(U$1,'Valve Data'!$1:$1,0),0))</f>
        <v/>
      </c>
      <c r="V96" s="21" t="str">
        <f>IF($B96=0,"",VLOOKUP($B96,'Valve Data'!$1:$1048576,MATCH(V$1,'Valve Data'!$1:$1,0),0))</f>
        <v/>
      </c>
      <c r="W96" s="21" t="str">
        <f>IF($B96=0,"",VLOOKUP($B96,'Valve Data'!$1:$1048576,MATCH(W$1,'Valve Data'!$1:$1,0),0))</f>
        <v/>
      </c>
      <c r="X96" s="331" t="str">
        <f>IF($B96=0,"",VLOOKUP($B96,'Valve Data'!$1:$1048576,MATCH(X$1,'Valve Data'!$1:$1,0),0))</f>
        <v/>
      </c>
      <c r="Y96" s="865"/>
      <c r="Z96" s="683"/>
      <c r="AA96" s="680"/>
      <c r="AB96" s="680"/>
      <c r="AC96" s="680"/>
      <c r="AD96" s="680"/>
      <c r="AE96" s="868"/>
      <c r="AF96" s="866"/>
      <c r="AG96" s="680"/>
      <c r="AH96" s="680"/>
      <c r="AI96" s="680"/>
      <c r="AJ96" s="680"/>
      <c r="AK96" s="680"/>
      <c r="AL96" s="680"/>
      <c r="AM96" s="680"/>
      <c r="AN96" s="680"/>
      <c r="AO96" s="680"/>
      <c r="AP96" s="684"/>
      <c r="AQ96" s="684"/>
      <c r="AR96" s="680"/>
      <c r="AS96" s="684"/>
      <c r="AT96" s="684"/>
      <c r="AU96" s="684"/>
      <c r="AV96" s="271">
        <f t="shared" si="58"/>
        <v>0</v>
      </c>
      <c r="AW96" s="680"/>
      <c r="AX96" s="845">
        <f>IF(F96="Ball_valve",IFERROR(VLOOKUP(E96&amp;"."&amp;D96,'Ball Valves Chart'!$1:$1048576,MATCH(G96,'Ball Valves Chart'!$3:$3,0),0),0),0)+IF(F96="DBB",IFERROR(VLOOKUP(E96&amp;"."&amp;D96,'Ball Valves Chart'!$1:$1048576,MATCH(G96,'Ball Valves Chart'!$3:$3,0),0)*2,0),0)+IFERROR(VLOOKUP(D96&amp;"."&amp;F96,'Manual Valves Chart'!$1:$1048576,MATCH('Valve List'!G96,'Manual Valves Chart'!$1:$1,0),0),0)</f>
        <v>0</v>
      </c>
      <c r="AY96" s="846">
        <f t="shared" si="59"/>
        <v>0</v>
      </c>
      <c r="AZ96" s="854"/>
      <c r="BA96" s="856">
        <f t="shared" si="60"/>
        <v>0</v>
      </c>
      <c r="BC96" s="852">
        <f t="shared" si="61"/>
        <v>0</v>
      </c>
      <c r="BD96" s="398"/>
      <c r="BE96" s="1546">
        <f t="shared" si="70"/>
        <v>0</v>
      </c>
      <c r="BF96" s="1546">
        <f t="shared" si="70"/>
        <v>0</v>
      </c>
      <c r="BG96" s="1546">
        <f t="shared" si="70"/>
        <v>0</v>
      </c>
      <c r="BH96" s="1546">
        <f t="shared" si="70"/>
        <v>0</v>
      </c>
      <c r="BI96" s="1546">
        <f t="shared" si="70"/>
        <v>0</v>
      </c>
      <c r="BJ96" s="1546">
        <f t="shared" si="70"/>
        <v>0</v>
      </c>
      <c r="BK96" s="1546">
        <f t="shared" si="70"/>
        <v>0</v>
      </c>
      <c r="BL96" s="1546">
        <f t="shared" si="70"/>
        <v>0</v>
      </c>
      <c r="BM96" s="1546">
        <f t="shared" si="70"/>
        <v>0</v>
      </c>
      <c r="BN96" s="1546">
        <f t="shared" si="70"/>
        <v>0</v>
      </c>
      <c r="BO96" s="1546">
        <f t="shared" si="70"/>
        <v>0</v>
      </c>
      <c r="BP96" s="1546">
        <f t="shared" si="70"/>
        <v>0</v>
      </c>
      <c r="BQ96" s="1546">
        <f t="shared" si="70"/>
        <v>0</v>
      </c>
      <c r="BR96" s="1546">
        <f t="shared" si="70"/>
        <v>0</v>
      </c>
      <c r="BS96" s="1546">
        <f t="shared" si="70"/>
        <v>0</v>
      </c>
      <c r="BT96" s="1546">
        <f t="shared" si="67"/>
        <v>0</v>
      </c>
      <c r="BU96" s="1546">
        <f t="shared" si="67"/>
        <v>0</v>
      </c>
      <c r="BV96" s="1546">
        <f t="shared" si="67"/>
        <v>0</v>
      </c>
      <c r="BX96" s="1546">
        <f t="shared" si="44"/>
        <v>0</v>
      </c>
      <c r="BY96" s="1546">
        <f t="shared" si="68"/>
        <v>0</v>
      </c>
      <c r="BZ96" s="1546">
        <f t="shared" si="68"/>
        <v>0</v>
      </c>
      <c r="CA96" s="1546">
        <f t="shared" si="68"/>
        <v>0</v>
      </c>
      <c r="CB96" s="1546">
        <f t="shared" si="68"/>
        <v>0</v>
      </c>
      <c r="CC96" s="1546">
        <f t="shared" si="68"/>
        <v>0</v>
      </c>
      <c r="CD96" s="1546">
        <f t="shared" si="68"/>
        <v>0</v>
      </c>
      <c r="CE96" s="1546">
        <f t="shared" si="68"/>
        <v>0</v>
      </c>
      <c r="CF96" s="1546">
        <f t="shared" si="68"/>
        <v>0</v>
      </c>
      <c r="CG96" s="1546">
        <f t="shared" si="68"/>
        <v>0</v>
      </c>
      <c r="CH96" s="1546">
        <f t="shared" si="68"/>
        <v>0</v>
      </c>
      <c r="CI96" s="1546">
        <f t="shared" si="68"/>
        <v>0</v>
      </c>
      <c r="CJ96" s="1546">
        <f t="shared" si="68"/>
        <v>0</v>
      </c>
      <c r="CL96" s="1546">
        <f t="shared" si="64"/>
        <v>0</v>
      </c>
      <c r="CM96" s="1546">
        <f t="shared" si="64"/>
        <v>0</v>
      </c>
      <c r="CN96" s="1546">
        <f t="shared" si="64"/>
        <v>0</v>
      </c>
      <c r="CO96" s="1546">
        <f t="shared" si="64"/>
        <v>0</v>
      </c>
      <c r="CQ96" s="1546">
        <f t="shared" si="55"/>
        <v>0</v>
      </c>
      <c r="CR96" s="1546">
        <f t="shared" si="71"/>
        <v>0</v>
      </c>
      <c r="CS96" s="1546">
        <f t="shared" si="71"/>
        <v>0</v>
      </c>
      <c r="CT96" s="1546">
        <f t="shared" si="71"/>
        <v>0</v>
      </c>
      <c r="CU96" s="1546">
        <f t="shared" si="71"/>
        <v>0</v>
      </c>
      <c r="CV96" s="1546">
        <f t="shared" si="71"/>
        <v>0</v>
      </c>
      <c r="CW96" s="1546">
        <f t="shared" si="71"/>
        <v>0</v>
      </c>
      <c r="CX96" s="1546">
        <f t="shared" si="71"/>
        <v>0</v>
      </c>
      <c r="CY96" s="1546">
        <f t="shared" si="71"/>
        <v>0</v>
      </c>
      <c r="CZ96" s="1546">
        <f t="shared" si="71"/>
        <v>0</v>
      </c>
      <c r="DA96" s="1546">
        <f t="shared" si="71"/>
        <v>0</v>
      </c>
      <c r="DB96" s="1546">
        <f t="shared" si="71"/>
        <v>0</v>
      </c>
      <c r="DC96" s="1546">
        <f t="shared" si="71"/>
        <v>0</v>
      </c>
      <c r="DD96" s="1546">
        <f t="shared" si="71"/>
        <v>0</v>
      </c>
      <c r="DE96" s="1546">
        <f t="shared" si="71"/>
        <v>0</v>
      </c>
      <c r="DF96" s="1546">
        <f t="shared" si="71"/>
        <v>0</v>
      </c>
      <c r="DG96" s="1546">
        <f t="shared" si="56"/>
        <v>1</v>
      </c>
      <c r="DI96" s="1546">
        <f t="shared" si="66"/>
        <v>0</v>
      </c>
      <c r="DJ96" s="1546">
        <f t="shared" si="66"/>
        <v>0</v>
      </c>
      <c r="DK96" s="1546">
        <f t="shared" si="66"/>
        <v>0</v>
      </c>
      <c r="DL96" s="1546">
        <f t="shared" si="66"/>
        <v>0</v>
      </c>
      <c r="DM96" s="1546">
        <f t="shared" si="66"/>
        <v>0</v>
      </c>
      <c r="DN96" s="1546">
        <f t="shared" si="66"/>
        <v>0</v>
      </c>
    </row>
    <row r="97" spans="1:118" x14ac:dyDescent="0.3">
      <c r="A97" s="285">
        <v>95</v>
      </c>
      <c r="B97" s="325">
        <f t="shared" si="57"/>
        <v>0</v>
      </c>
      <c r="C97" s="682"/>
      <c r="D97" s="683"/>
      <c r="E97" s="680"/>
      <c r="F97" s="713"/>
      <c r="G97" s="91" t="str">
        <f>IF($B97=0,"",VLOOKUP($B97,'Valve Data'!$1:$1048576,MATCH(G$1,'Valve Data'!$1:$1,0),0))</f>
        <v/>
      </c>
      <c r="H97" s="21" t="str">
        <f>IF($B97=0,"",VLOOKUP($B97,'Valve Data'!$1:$1048576,MATCH(H$1,'Valve Data'!$1:$1,0),0))</f>
        <v/>
      </c>
      <c r="I97" s="21" t="str">
        <f>IF($B97=0,"",VLOOKUP($B97,'Valve Data'!$1:$1048576,MATCH(I$1,'Valve Data'!$1:$1,0),0))</f>
        <v/>
      </c>
      <c r="J97" s="328" t="str">
        <f>IF($B97=0,"",VLOOKUP($B97,'Valve Data'!$1:$1048576,MATCH(J$1,'Valve Data'!$1:$1,0),0))</f>
        <v/>
      </c>
      <c r="K97" s="21" t="str">
        <f>IF($B97=0,"",VLOOKUP($B97,'Valve Data'!$1:$1048576,MATCH(K$1,'Valve Data'!$1:$1,0),0))</f>
        <v/>
      </c>
      <c r="L97" s="21" t="str">
        <f>IF($B97=0,"",VLOOKUP($B97,'Valve Data'!$1:$1048576,MATCH(L$1,'Valve Data'!$1:$1,0),0))</f>
        <v/>
      </c>
      <c r="M97" s="21" t="str">
        <f>IF($B97=0,"",VLOOKUP($B97,'Valve Data'!$1:$1048576,MATCH(M$1,'Valve Data'!$1:$1,0),0))</f>
        <v/>
      </c>
      <c r="N97" s="21" t="str">
        <f>IF($B97=0,"",VLOOKUP($B97,'Valve Data'!$1:$1048576,MATCH(N$1,'Valve Data'!$1:$1,0),0))</f>
        <v/>
      </c>
      <c r="O97" s="21" t="str">
        <f>IF($B97=0,"",VLOOKUP($B97,'Valve Data'!$1:$1048576,MATCH(O$1,'Valve Data'!$1:$1,0),0))</f>
        <v/>
      </c>
      <c r="P97" s="21" t="str">
        <f>IF($B97=0,"",VLOOKUP($B97,'Valve Data'!$1:$1048576,MATCH(P$1,'Valve Data'!$1:$1,0),0))</f>
        <v/>
      </c>
      <c r="Q97" s="21" t="str">
        <f>IF($B97=0,"",VLOOKUP($B97,'Valve Data'!$1:$1048576,MATCH(Q$1,'Valve Data'!$1:$1,0),0))</f>
        <v/>
      </c>
      <c r="R97" s="21" t="str">
        <f>IF($B97=0,"",VLOOKUP($B97,'Valve Data'!$1:$1048576,MATCH(R$1,'Valve Data'!$1:$1,0),0))</f>
        <v/>
      </c>
      <c r="S97" s="21" t="str">
        <f>IF($B97=0,"",VLOOKUP($B97,'Valve Data'!$1:$1048576,MATCH(S$1,'Valve Data'!$1:$1,0),0))</f>
        <v/>
      </c>
      <c r="T97" s="331" t="str">
        <f>IF($B97=0,"",VLOOKUP($B97,'Valve Data'!$1:$1048576,MATCH(T$1,'Valve Data'!$1:$1,0),0))</f>
        <v/>
      </c>
      <c r="U97" s="91" t="str">
        <f>IF($B97=0,"",VLOOKUP($B97,'Valve Data'!$1:$1048576,MATCH(U$1,'Valve Data'!$1:$1,0),0))</f>
        <v/>
      </c>
      <c r="V97" s="21" t="str">
        <f>IF($B97=0,"",VLOOKUP($B97,'Valve Data'!$1:$1048576,MATCH(V$1,'Valve Data'!$1:$1,0),0))</f>
        <v/>
      </c>
      <c r="W97" s="21" t="str">
        <f>IF($B97=0,"",VLOOKUP($B97,'Valve Data'!$1:$1048576,MATCH(W$1,'Valve Data'!$1:$1,0),0))</f>
        <v/>
      </c>
      <c r="X97" s="331" t="str">
        <f>IF($B97=0,"",VLOOKUP($B97,'Valve Data'!$1:$1048576,MATCH(X$1,'Valve Data'!$1:$1,0),0))</f>
        <v/>
      </c>
      <c r="Y97" s="865"/>
      <c r="Z97" s="683"/>
      <c r="AA97" s="680"/>
      <c r="AB97" s="680"/>
      <c r="AC97" s="680"/>
      <c r="AD97" s="680"/>
      <c r="AE97" s="868"/>
      <c r="AF97" s="866"/>
      <c r="AG97" s="680"/>
      <c r="AH97" s="680"/>
      <c r="AI97" s="680"/>
      <c r="AJ97" s="680"/>
      <c r="AK97" s="680"/>
      <c r="AL97" s="680"/>
      <c r="AM97" s="680"/>
      <c r="AN97" s="680"/>
      <c r="AO97" s="680"/>
      <c r="AP97" s="684"/>
      <c r="AQ97" s="684"/>
      <c r="AR97" s="680"/>
      <c r="AS97" s="684"/>
      <c r="AT97" s="684"/>
      <c r="AU97" s="684"/>
      <c r="AV97" s="271">
        <f t="shared" si="58"/>
        <v>0</v>
      </c>
      <c r="AW97" s="680"/>
      <c r="AX97" s="845">
        <f>IF(F97="Ball_valve",IFERROR(VLOOKUP(E97&amp;"."&amp;D97,'Ball Valves Chart'!$1:$1048576,MATCH(G97,'Ball Valves Chart'!$3:$3,0),0),0),0)+IF(F97="DBB",IFERROR(VLOOKUP(E97&amp;"."&amp;D97,'Ball Valves Chart'!$1:$1048576,MATCH(G97,'Ball Valves Chart'!$3:$3,0),0)*2,0),0)+IFERROR(VLOOKUP(D97&amp;"."&amp;F97,'Manual Valves Chart'!$1:$1048576,MATCH('Valve List'!G97,'Manual Valves Chart'!$1:$1,0),0),0)</f>
        <v>0</v>
      </c>
      <c r="AY97" s="846">
        <f t="shared" si="59"/>
        <v>0</v>
      </c>
      <c r="AZ97" s="854"/>
      <c r="BA97" s="856">
        <f t="shared" si="60"/>
        <v>0</v>
      </c>
      <c r="BC97" s="852">
        <f t="shared" si="61"/>
        <v>0</v>
      </c>
      <c r="BD97" s="398"/>
      <c r="BE97" s="1546">
        <f t="shared" si="70"/>
        <v>0</v>
      </c>
      <c r="BF97" s="1546">
        <f t="shared" si="70"/>
        <v>0</v>
      </c>
      <c r="BG97" s="1546">
        <f t="shared" si="70"/>
        <v>0</v>
      </c>
      <c r="BH97" s="1546">
        <f t="shared" si="70"/>
        <v>0</v>
      </c>
      <c r="BI97" s="1546">
        <f t="shared" si="70"/>
        <v>0</v>
      </c>
      <c r="BJ97" s="1546">
        <f t="shared" si="70"/>
        <v>0</v>
      </c>
      <c r="BK97" s="1546">
        <f t="shared" si="70"/>
        <v>0</v>
      </c>
      <c r="BL97" s="1546">
        <f t="shared" si="70"/>
        <v>0</v>
      </c>
      <c r="BM97" s="1546">
        <f t="shared" si="70"/>
        <v>0</v>
      </c>
      <c r="BN97" s="1546">
        <f t="shared" si="70"/>
        <v>0</v>
      </c>
      <c r="BO97" s="1546">
        <f t="shared" si="70"/>
        <v>0</v>
      </c>
      <c r="BP97" s="1546">
        <f t="shared" si="70"/>
        <v>0</v>
      </c>
      <c r="BQ97" s="1546">
        <f t="shared" si="70"/>
        <v>0</v>
      </c>
      <c r="BR97" s="1546">
        <f t="shared" si="70"/>
        <v>0</v>
      </c>
      <c r="BS97" s="1546">
        <f t="shared" si="70"/>
        <v>0</v>
      </c>
      <c r="BT97" s="1546">
        <f t="shared" si="67"/>
        <v>0</v>
      </c>
      <c r="BU97" s="1546">
        <f t="shared" si="67"/>
        <v>0</v>
      </c>
      <c r="BV97" s="1546">
        <f t="shared" si="67"/>
        <v>0</v>
      </c>
      <c r="BX97" s="1546">
        <f t="shared" si="44"/>
        <v>0</v>
      </c>
      <c r="BY97" s="1546">
        <f t="shared" si="68"/>
        <v>0</v>
      </c>
      <c r="BZ97" s="1546">
        <f t="shared" si="68"/>
        <v>0</v>
      </c>
      <c r="CA97" s="1546">
        <f t="shared" si="68"/>
        <v>0</v>
      </c>
      <c r="CB97" s="1546">
        <f t="shared" si="68"/>
        <v>0</v>
      </c>
      <c r="CC97" s="1546">
        <f t="shared" si="68"/>
        <v>0</v>
      </c>
      <c r="CD97" s="1546">
        <f t="shared" si="68"/>
        <v>0</v>
      </c>
      <c r="CE97" s="1546">
        <f t="shared" si="68"/>
        <v>0</v>
      </c>
      <c r="CF97" s="1546">
        <f t="shared" si="68"/>
        <v>0</v>
      </c>
      <c r="CG97" s="1546">
        <f t="shared" si="68"/>
        <v>0</v>
      </c>
      <c r="CH97" s="1546">
        <f t="shared" si="68"/>
        <v>0</v>
      </c>
      <c r="CI97" s="1546">
        <f t="shared" si="68"/>
        <v>0</v>
      </c>
      <c r="CJ97" s="1546">
        <f t="shared" si="68"/>
        <v>0</v>
      </c>
      <c r="CL97" s="1546">
        <f t="shared" si="64"/>
        <v>0</v>
      </c>
      <c r="CM97" s="1546">
        <f t="shared" si="64"/>
        <v>0</v>
      </c>
      <c r="CN97" s="1546">
        <f t="shared" si="64"/>
        <v>0</v>
      </c>
      <c r="CO97" s="1546">
        <f t="shared" si="64"/>
        <v>0</v>
      </c>
      <c r="CQ97" s="1546">
        <f t="shared" si="55"/>
        <v>0</v>
      </c>
      <c r="CR97" s="1546">
        <f t="shared" si="71"/>
        <v>0</v>
      </c>
      <c r="CS97" s="1546">
        <f t="shared" si="71"/>
        <v>0</v>
      </c>
      <c r="CT97" s="1546">
        <f t="shared" si="71"/>
        <v>0</v>
      </c>
      <c r="CU97" s="1546">
        <f t="shared" si="71"/>
        <v>0</v>
      </c>
      <c r="CV97" s="1546">
        <f t="shared" si="71"/>
        <v>0</v>
      </c>
      <c r="CW97" s="1546">
        <f t="shared" si="71"/>
        <v>0</v>
      </c>
      <c r="CX97" s="1546">
        <f t="shared" si="71"/>
        <v>0</v>
      </c>
      <c r="CY97" s="1546">
        <f t="shared" si="71"/>
        <v>0</v>
      </c>
      <c r="CZ97" s="1546">
        <f t="shared" si="71"/>
        <v>0</v>
      </c>
      <c r="DA97" s="1546">
        <f t="shared" si="71"/>
        <v>0</v>
      </c>
      <c r="DB97" s="1546">
        <f t="shared" si="71"/>
        <v>0</v>
      </c>
      <c r="DC97" s="1546">
        <f t="shared" si="71"/>
        <v>0</v>
      </c>
      <c r="DD97" s="1546">
        <f t="shared" si="71"/>
        <v>0</v>
      </c>
      <c r="DE97" s="1546">
        <f t="shared" si="71"/>
        <v>0</v>
      </c>
      <c r="DF97" s="1546">
        <f t="shared" si="71"/>
        <v>0</v>
      </c>
      <c r="DG97" s="1546">
        <f t="shared" si="56"/>
        <v>1</v>
      </c>
      <c r="DI97" s="1546">
        <f t="shared" si="66"/>
        <v>0</v>
      </c>
      <c r="DJ97" s="1546">
        <f t="shared" si="66"/>
        <v>0</v>
      </c>
      <c r="DK97" s="1546">
        <f t="shared" si="66"/>
        <v>0</v>
      </c>
      <c r="DL97" s="1546">
        <f t="shared" si="66"/>
        <v>0</v>
      </c>
      <c r="DM97" s="1546">
        <f t="shared" si="66"/>
        <v>0</v>
      </c>
      <c r="DN97" s="1546">
        <f t="shared" si="66"/>
        <v>0</v>
      </c>
    </row>
    <row r="98" spans="1:118" x14ac:dyDescent="0.3">
      <c r="A98" s="285">
        <v>96</v>
      </c>
      <c r="B98" s="325">
        <f t="shared" si="57"/>
        <v>0</v>
      </c>
      <c r="C98" s="682"/>
      <c r="D98" s="683"/>
      <c r="E98" s="680"/>
      <c r="F98" s="713"/>
      <c r="G98" s="91" t="str">
        <f>IF($B98=0,"",VLOOKUP($B98,'Valve Data'!$1:$1048576,MATCH(G$1,'Valve Data'!$1:$1,0),0))</f>
        <v/>
      </c>
      <c r="H98" s="21" t="str">
        <f>IF($B98=0,"",VLOOKUP($B98,'Valve Data'!$1:$1048576,MATCH(H$1,'Valve Data'!$1:$1,0),0))</f>
        <v/>
      </c>
      <c r="I98" s="21" t="str">
        <f>IF($B98=0,"",VLOOKUP($B98,'Valve Data'!$1:$1048576,MATCH(I$1,'Valve Data'!$1:$1,0),0))</f>
        <v/>
      </c>
      <c r="J98" s="328" t="str">
        <f>IF($B98=0,"",VLOOKUP($B98,'Valve Data'!$1:$1048576,MATCH(J$1,'Valve Data'!$1:$1,0),0))</f>
        <v/>
      </c>
      <c r="K98" s="21" t="str">
        <f>IF($B98=0,"",VLOOKUP($B98,'Valve Data'!$1:$1048576,MATCH(K$1,'Valve Data'!$1:$1,0),0))</f>
        <v/>
      </c>
      <c r="L98" s="21" t="str">
        <f>IF($B98=0,"",VLOOKUP($B98,'Valve Data'!$1:$1048576,MATCH(L$1,'Valve Data'!$1:$1,0),0))</f>
        <v/>
      </c>
      <c r="M98" s="21" t="str">
        <f>IF($B98=0,"",VLOOKUP($B98,'Valve Data'!$1:$1048576,MATCH(M$1,'Valve Data'!$1:$1,0),0))</f>
        <v/>
      </c>
      <c r="N98" s="21" t="str">
        <f>IF($B98=0,"",VLOOKUP($B98,'Valve Data'!$1:$1048576,MATCH(N$1,'Valve Data'!$1:$1,0),0))</f>
        <v/>
      </c>
      <c r="O98" s="21" t="str">
        <f>IF($B98=0,"",VLOOKUP($B98,'Valve Data'!$1:$1048576,MATCH(O$1,'Valve Data'!$1:$1,0),0))</f>
        <v/>
      </c>
      <c r="P98" s="21" t="str">
        <f>IF($B98=0,"",VLOOKUP($B98,'Valve Data'!$1:$1048576,MATCH(P$1,'Valve Data'!$1:$1,0),0))</f>
        <v/>
      </c>
      <c r="Q98" s="21" t="str">
        <f>IF($B98=0,"",VLOOKUP($B98,'Valve Data'!$1:$1048576,MATCH(Q$1,'Valve Data'!$1:$1,0),0))</f>
        <v/>
      </c>
      <c r="R98" s="21" t="str">
        <f>IF($B98=0,"",VLOOKUP($B98,'Valve Data'!$1:$1048576,MATCH(R$1,'Valve Data'!$1:$1,0),0))</f>
        <v/>
      </c>
      <c r="S98" s="21" t="str">
        <f>IF($B98=0,"",VLOOKUP($B98,'Valve Data'!$1:$1048576,MATCH(S$1,'Valve Data'!$1:$1,0),0))</f>
        <v/>
      </c>
      <c r="T98" s="331" t="str">
        <f>IF($B98=0,"",VLOOKUP($B98,'Valve Data'!$1:$1048576,MATCH(T$1,'Valve Data'!$1:$1,0),0))</f>
        <v/>
      </c>
      <c r="U98" s="91" t="str">
        <f>IF($B98=0,"",VLOOKUP($B98,'Valve Data'!$1:$1048576,MATCH(U$1,'Valve Data'!$1:$1,0),0))</f>
        <v/>
      </c>
      <c r="V98" s="21" t="str">
        <f>IF($B98=0,"",VLOOKUP($B98,'Valve Data'!$1:$1048576,MATCH(V$1,'Valve Data'!$1:$1,0),0))</f>
        <v/>
      </c>
      <c r="W98" s="21" t="str">
        <f>IF($B98=0,"",VLOOKUP($B98,'Valve Data'!$1:$1048576,MATCH(W$1,'Valve Data'!$1:$1,0),0))</f>
        <v/>
      </c>
      <c r="X98" s="331" t="str">
        <f>IF($B98=0,"",VLOOKUP($B98,'Valve Data'!$1:$1048576,MATCH(X$1,'Valve Data'!$1:$1,0),0))</f>
        <v/>
      </c>
      <c r="Y98" s="865"/>
      <c r="Z98" s="683"/>
      <c r="AA98" s="680"/>
      <c r="AB98" s="680"/>
      <c r="AC98" s="680"/>
      <c r="AD98" s="680"/>
      <c r="AE98" s="868"/>
      <c r="AF98" s="866"/>
      <c r="AG98" s="680"/>
      <c r="AH98" s="680"/>
      <c r="AI98" s="680"/>
      <c r="AJ98" s="680"/>
      <c r="AK98" s="680"/>
      <c r="AL98" s="680"/>
      <c r="AM98" s="680"/>
      <c r="AN98" s="680"/>
      <c r="AO98" s="680"/>
      <c r="AP98" s="684"/>
      <c r="AQ98" s="684"/>
      <c r="AR98" s="680"/>
      <c r="AS98" s="684"/>
      <c r="AT98" s="684"/>
      <c r="AU98" s="684"/>
      <c r="AV98" s="271">
        <f t="shared" si="58"/>
        <v>0</v>
      </c>
      <c r="AW98" s="680"/>
      <c r="AX98" s="845">
        <f>IF(F98="Ball_valve",IFERROR(VLOOKUP(E98&amp;"."&amp;D98,'Ball Valves Chart'!$1:$1048576,MATCH(G98,'Ball Valves Chart'!$3:$3,0),0),0),0)+IF(F98="DBB",IFERROR(VLOOKUP(E98&amp;"."&amp;D98,'Ball Valves Chart'!$1:$1048576,MATCH(G98,'Ball Valves Chart'!$3:$3,0),0)*2,0),0)+IFERROR(VLOOKUP(D98&amp;"."&amp;F98,'Manual Valves Chart'!$1:$1048576,MATCH('Valve List'!G98,'Manual Valves Chart'!$1:$1,0),0),0)</f>
        <v>0</v>
      </c>
      <c r="AY98" s="846">
        <f t="shared" si="59"/>
        <v>0</v>
      </c>
      <c r="AZ98" s="854"/>
      <c r="BA98" s="856">
        <f t="shared" si="60"/>
        <v>0</v>
      </c>
      <c r="BC98" s="852">
        <f t="shared" si="61"/>
        <v>0</v>
      </c>
      <c r="BD98" s="398"/>
      <c r="BE98" s="1546">
        <f t="shared" si="70"/>
        <v>0</v>
      </c>
      <c r="BF98" s="1546">
        <f t="shared" si="70"/>
        <v>0</v>
      </c>
      <c r="BG98" s="1546">
        <f t="shared" si="70"/>
        <v>0</v>
      </c>
      <c r="BH98" s="1546">
        <f t="shared" si="70"/>
        <v>0</v>
      </c>
      <c r="BI98" s="1546">
        <f t="shared" si="70"/>
        <v>0</v>
      </c>
      <c r="BJ98" s="1546">
        <f t="shared" si="70"/>
        <v>0</v>
      </c>
      <c r="BK98" s="1546">
        <f t="shared" si="70"/>
        <v>0</v>
      </c>
      <c r="BL98" s="1546">
        <f t="shared" si="70"/>
        <v>0</v>
      </c>
      <c r="BM98" s="1546">
        <f t="shared" si="70"/>
        <v>0</v>
      </c>
      <c r="BN98" s="1546">
        <f t="shared" si="70"/>
        <v>0</v>
      </c>
      <c r="BO98" s="1546">
        <f t="shared" si="70"/>
        <v>0</v>
      </c>
      <c r="BP98" s="1546">
        <f t="shared" si="70"/>
        <v>0</v>
      </c>
      <c r="BQ98" s="1546">
        <f t="shared" si="70"/>
        <v>0</v>
      </c>
      <c r="BR98" s="1546">
        <f t="shared" si="70"/>
        <v>0</v>
      </c>
      <c r="BS98" s="1546">
        <f t="shared" si="70"/>
        <v>0</v>
      </c>
      <c r="BT98" s="1546">
        <f t="shared" si="67"/>
        <v>0</v>
      </c>
      <c r="BU98" s="1546">
        <f t="shared" si="67"/>
        <v>0</v>
      </c>
      <c r="BV98" s="1546">
        <f t="shared" si="67"/>
        <v>0</v>
      </c>
      <c r="BX98" s="1546">
        <f t="shared" si="44"/>
        <v>0</v>
      </c>
      <c r="BY98" s="1546">
        <f t="shared" si="68"/>
        <v>0</v>
      </c>
      <c r="BZ98" s="1546">
        <f t="shared" ref="BY98:CJ99" si="72">IF(BZ$2="X",0,IF(BZ$2=$C98,1,0))</f>
        <v>0</v>
      </c>
      <c r="CA98" s="1546">
        <f t="shared" si="72"/>
        <v>0</v>
      </c>
      <c r="CB98" s="1546">
        <f t="shared" si="72"/>
        <v>0</v>
      </c>
      <c r="CC98" s="1546">
        <f t="shared" si="72"/>
        <v>0</v>
      </c>
      <c r="CD98" s="1546">
        <f t="shared" si="72"/>
        <v>0</v>
      </c>
      <c r="CE98" s="1546">
        <f t="shared" si="72"/>
        <v>0</v>
      </c>
      <c r="CF98" s="1546">
        <f t="shared" si="72"/>
        <v>0</v>
      </c>
      <c r="CG98" s="1546">
        <f t="shared" si="72"/>
        <v>0</v>
      </c>
      <c r="CH98" s="1546">
        <f t="shared" si="72"/>
        <v>0</v>
      </c>
      <c r="CI98" s="1546">
        <f t="shared" si="72"/>
        <v>0</v>
      </c>
      <c r="CJ98" s="1546">
        <f t="shared" si="72"/>
        <v>0</v>
      </c>
      <c r="CL98" s="1546">
        <f t="shared" si="64"/>
        <v>0</v>
      </c>
      <c r="CM98" s="1546">
        <f t="shared" si="64"/>
        <v>0</v>
      </c>
      <c r="CN98" s="1546">
        <f t="shared" si="64"/>
        <v>0</v>
      </c>
      <c r="CO98" s="1546">
        <f t="shared" si="64"/>
        <v>0</v>
      </c>
      <c r="CQ98" s="1546">
        <f t="shared" si="55"/>
        <v>0</v>
      </c>
      <c r="CR98" s="1546">
        <f t="shared" si="71"/>
        <v>0</v>
      </c>
      <c r="CS98" s="1546">
        <f t="shared" si="71"/>
        <v>0</v>
      </c>
      <c r="CT98" s="1546">
        <f t="shared" si="71"/>
        <v>0</v>
      </c>
      <c r="CU98" s="1546">
        <f t="shared" si="71"/>
        <v>0</v>
      </c>
      <c r="CV98" s="1546">
        <f t="shared" si="71"/>
        <v>0</v>
      </c>
      <c r="CW98" s="1546">
        <f t="shared" si="71"/>
        <v>0</v>
      </c>
      <c r="CX98" s="1546">
        <f t="shared" si="71"/>
        <v>0</v>
      </c>
      <c r="CY98" s="1546">
        <f t="shared" si="71"/>
        <v>0</v>
      </c>
      <c r="CZ98" s="1546">
        <f t="shared" si="71"/>
        <v>0</v>
      </c>
      <c r="DA98" s="1546">
        <f t="shared" si="71"/>
        <v>0</v>
      </c>
      <c r="DB98" s="1546">
        <f t="shared" si="71"/>
        <v>0</v>
      </c>
      <c r="DC98" s="1546">
        <f t="shared" si="71"/>
        <v>0</v>
      </c>
      <c r="DD98" s="1546">
        <f t="shared" si="71"/>
        <v>0</v>
      </c>
      <c r="DE98" s="1546">
        <f t="shared" si="71"/>
        <v>0</v>
      </c>
      <c r="DF98" s="1546">
        <f t="shared" si="71"/>
        <v>0</v>
      </c>
      <c r="DG98" s="1546">
        <f t="shared" si="56"/>
        <v>1</v>
      </c>
      <c r="DI98" s="1546">
        <f t="shared" si="66"/>
        <v>0</v>
      </c>
      <c r="DJ98" s="1546">
        <f t="shared" si="66"/>
        <v>0</v>
      </c>
      <c r="DK98" s="1546">
        <f t="shared" si="66"/>
        <v>0</v>
      </c>
      <c r="DL98" s="1546">
        <f t="shared" si="66"/>
        <v>0</v>
      </c>
      <c r="DM98" s="1546">
        <f t="shared" si="66"/>
        <v>0</v>
      </c>
      <c r="DN98" s="1546">
        <f t="shared" si="66"/>
        <v>0</v>
      </c>
    </row>
    <row r="99" spans="1:118" ht="15" thickBot="1" x14ac:dyDescent="0.35">
      <c r="A99" s="285">
        <v>97</v>
      </c>
      <c r="B99" s="325">
        <f>IFERROR(MATCH(CONCATENATE(F99,".",C99,".",E99,".",D99),DN_0.5,0),0)+IFERROR(MATCH(CONCATENATE(F99,".",C99,".",E99,".",D99),DN_0.75,0),0)+IFERROR(MATCH(CONCATENATE(F99,".",C99,".",E99,".",D99),DN_1,0),0)+IFERROR(MATCH(CONCATENATE(F99,".",C99,".",E99,".",D99),DN_1.5,0),0)+IFERROR(MATCH(CONCATENATE(F99,".",C99,".",E99,".",D99),DN_10,0),0)+IFERROR(MATCH(CONCATENATE(F99,".",C99,".",E99,".",D99),DN_12,0),0)+IFERROR(MATCH(CONCATENATE(F99,".",C99,".",E99,".",D99),DN_14,0),0)+IFERROR(MATCH(CONCATENATE(F99,".",C99,".",E99,".",D99),DN_16,0),0)+IFERROR(MATCH(CONCATENATE(F99,".",C99,".",E99,".",D99),DN_18,0),0)+IFERROR(MATCH(CONCATENATE(F99,".",C99,".",E99,".",D99),DN_2,0),0)+IFERROR(MATCH(CONCATENATE(F99,".",C99,".",E99,".",D99),DN_2.5,0),0)+IFERROR(MATCH(CONCATENATE(F99,".",C99,".",E99,".",D99),DN_20,0),0)+IFERROR(MATCH(CONCATENATE(F99,".",C99,".",E99,".",D99),DN_22,0),0)+IFERROR(MATCH(CONCATENATE(F99,".",C99,".",E99,".",D99),DN_24,0),0)+IFERROR(MATCH(CONCATENATE(F99,".",C99,".",E99,".",D99),DN_3,0),0)+IFERROR(MATCH(CONCATENATE(F99,".",C99,".",E99,".",D99),DN_4,0),0)+IFERROR(MATCH(CONCATENATE(F99,".",C99,".",E99,".",D99),DN_6,0),0)+IFERROR(MATCH(CONCATENATE(F99,".",C99,".",E99,".",D99),DN_8,0),0)+IFERROR(MATCH(CONCATENATE(F99,".",C99,".",E99,".",D99),DN_26,0),0)+IFERROR(MATCH(CONCATENATE(F99,".",C99,".",E99,".",D99),DN_28,0),0)+IFERROR(MATCH(CONCATENATE(F99,".",C99,".",E99,".",D99),DN_30,0),0)+IFERROR(MATCH(CONCATENATE(F99,".",C99,".",E99,".",D99),DN_32,0),0)+IFERROR(MATCH(CONCATENATE(F99,".",C99,".",E99,".",D99),DN_34,0),0)+IFERROR(MATCH(CONCATENATE(F99,".",C99,".",E99,".",D99),DN_36,0),0)+IFERROR(MATCH(CONCATENATE(F99,".",C99,".",E99,".",D99),DN_38,0),0)+IFERROR(MATCH(CONCATENATE(F99,".",C99,".",E99,".",D99),DN_40,0),0+IFERROR(MATCH(CONCATENATE(F99,".",C99,".",E99,".",D99),DN_42,0),0))</f>
        <v>0</v>
      </c>
      <c r="C99" s="685"/>
      <c r="D99" s="686"/>
      <c r="E99" s="681"/>
      <c r="F99" s="714"/>
      <c r="G99" s="94" t="str">
        <f>IF($B99=0,"",VLOOKUP($B99,'Valve Data'!$1:$1048576,MATCH(G$1,'Valve Data'!$1:$1,0),0))</f>
        <v/>
      </c>
      <c r="H99" s="23" t="str">
        <f>IF($B99=0,"",VLOOKUP($B99,'Valve Data'!$1:$1048576,MATCH(H$1,'Valve Data'!$1:$1,0),0))</f>
        <v/>
      </c>
      <c r="I99" s="23" t="str">
        <f>IF($B99=0,"",VLOOKUP($B99,'Valve Data'!$1:$1048576,MATCH(I$1,'Valve Data'!$1:$1,0),0))</f>
        <v/>
      </c>
      <c r="J99" s="329" t="str">
        <f>IF($B99=0,"",VLOOKUP($B99,'Valve Data'!$1:$1048576,MATCH(J$1,'Valve Data'!$1:$1,0),0))</f>
        <v/>
      </c>
      <c r="K99" s="23" t="str">
        <f>IF($B99=0,"",VLOOKUP($B99,'Valve Data'!$1:$1048576,MATCH(K$1,'Valve Data'!$1:$1,0),0))</f>
        <v/>
      </c>
      <c r="L99" s="23" t="str">
        <f>IF($B99=0,"",VLOOKUP($B99,'Valve Data'!$1:$1048576,MATCH(L$1,'Valve Data'!$1:$1,0),0))</f>
        <v/>
      </c>
      <c r="M99" s="23" t="str">
        <f>IF($B99=0,"",VLOOKUP($B99,'Valve Data'!$1:$1048576,MATCH(M$1,'Valve Data'!$1:$1,0),0))</f>
        <v/>
      </c>
      <c r="N99" s="23" t="str">
        <f>IF($B99=0,"",VLOOKUP($B99,'Valve Data'!$1:$1048576,MATCH(N$1,'Valve Data'!$1:$1,0),0))</f>
        <v/>
      </c>
      <c r="O99" s="23" t="str">
        <f>IF($B99=0,"",VLOOKUP($B99,'Valve Data'!$1:$1048576,MATCH(O$1,'Valve Data'!$1:$1,0),0))</f>
        <v/>
      </c>
      <c r="P99" s="23" t="str">
        <f>IF($B99=0,"",VLOOKUP($B99,'Valve Data'!$1:$1048576,MATCH(P$1,'Valve Data'!$1:$1,0),0))</f>
        <v/>
      </c>
      <c r="Q99" s="23" t="str">
        <f>IF($B99=0,"",VLOOKUP($B99,'Valve Data'!$1:$1048576,MATCH(Q$1,'Valve Data'!$1:$1,0),0))</f>
        <v/>
      </c>
      <c r="R99" s="23" t="str">
        <f>IF($B99=0,"",VLOOKUP($B99,'Valve Data'!$1:$1048576,MATCH(R$1,'Valve Data'!$1:$1,0),0))</f>
        <v/>
      </c>
      <c r="S99" s="23" t="str">
        <f>IF($B99=0,"",VLOOKUP($B99,'Valve Data'!$1:$1048576,MATCH(S$1,'Valve Data'!$1:$1,0),0))</f>
        <v/>
      </c>
      <c r="T99" s="332" t="str">
        <f>IF($B99=0,"",VLOOKUP($B99,'Valve Data'!$1:$1048576,MATCH(T$1,'Valve Data'!$1:$1,0),0))</f>
        <v/>
      </c>
      <c r="U99" s="94" t="str">
        <f>IF($B99=0,"",VLOOKUP($B99,'Valve Data'!$1:$1048576,MATCH(U$1,'Valve Data'!$1:$1,0),0))</f>
        <v/>
      </c>
      <c r="V99" s="23" t="str">
        <f>IF($B99=0,"",VLOOKUP($B99,'Valve Data'!$1:$1048576,MATCH(V$1,'Valve Data'!$1:$1,0),0))</f>
        <v/>
      </c>
      <c r="W99" s="23" t="str">
        <f>IF($B99=0,"",VLOOKUP($B99,'Valve Data'!$1:$1048576,MATCH(W$1,'Valve Data'!$1:$1,0),0))</f>
        <v/>
      </c>
      <c r="X99" s="332" t="str">
        <f>IF($B99=0,"",VLOOKUP($B99,'Valve Data'!$1:$1048576,MATCH(X$1,'Valve Data'!$1:$1,0),0))</f>
        <v/>
      </c>
      <c r="Y99" s="869"/>
      <c r="Z99" s="686"/>
      <c r="AA99" s="681"/>
      <c r="AB99" s="681"/>
      <c r="AC99" s="681"/>
      <c r="AD99" s="681"/>
      <c r="AE99" s="870"/>
      <c r="AF99" s="871"/>
      <c r="AG99" s="681"/>
      <c r="AH99" s="681"/>
      <c r="AI99" s="681"/>
      <c r="AJ99" s="681"/>
      <c r="AK99" s="681"/>
      <c r="AL99" s="681"/>
      <c r="AM99" s="681"/>
      <c r="AN99" s="681"/>
      <c r="AO99" s="681"/>
      <c r="AP99" s="687"/>
      <c r="AQ99" s="687"/>
      <c r="AR99" s="681"/>
      <c r="AS99" s="687"/>
      <c r="AT99" s="687"/>
      <c r="AU99" s="687"/>
      <c r="AV99" s="271">
        <f>SUM(AG99:AU99)</f>
        <v>0</v>
      </c>
      <c r="AW99" s="680"/>
      <c r="AX99" s="849">
        <f>IF(F99="Ball_valve",IFERROR(VLOOKUP(E99&amp;"."&amp;D99,'Ball Valves Chart'!$1:$1048576,MATCH(G99,'Ball Valves Chart'!$3:$3,0),0),0),0)+IF(F99="DBB",IFERROR(VLOOKUP(E99&amp;"."&amp;D99,'Ball Valves Chart'!$1:$1048576,MATCH(G99,'Ball Valves Chart'!$3:$3,0),0)*2,0),0)+IFERROR(VLOOKUP(D99&amp;"."&amp;F99,'Manual Valves Chart'!$1:$1048576,MATCH('Valve List'!G99,'Manual Valves Chart'!$1:$1,0),0),0)</f>
        <v>0</v>
      </c>
      <c r="AY99" s="850">
        <f>$AV99*AX99</f>
        <v>0</v>
      </c>
      <c r="AZ99" s="854"/>
      <c r="BA99" s="857">
        <f>AZ99*AV99</f>
        <v>0</v>
      </c>
      <c r="BC99" s="853">
        <f>AX99*0.18</f>
        <v>0</v>
      </c>
      <c r="BD99" s="398"/>
      <c r="BE99" s="1546">
        <f t="shared" ref="BE99:BS99" si="73">IF(BE$2=$D99,1,0)</f>
        <v>0</v>
      </c>
      <c r="BF99" s="1546">
        <f t="shared" si="73"/>
        <v>0</v>
      </c>
      <c r="BG99" s="1546">
        <f t="shared" si="73"/>
        <v>0</v>
      </c>
      <c r="BH99" s="1546">
        <f t="shared" si="73"/>
        <v>0</v>
      </c>
      <c r="BI99" s="1546">
        <f t="shared" si="73"/>
        <v>0</v>
      </c>
      <c r="BJ99" s="1546">
        <f t="shared" si="73"/>
        <v>0</v>
      </c>
      <c r="BK99" s="1546">
        <f t="shared" si="73"/>
        <v>0</v>
      </c>
      <c r="BL99" s="1546">
        <f t="shared" si="73"/>
        <v>0</v>
      </c>
      <c r="BM99" s="1546">
        <f t="shared" si="73"/>
        <v>0</v>
      </c>
      <c r="BN99" s="1546">
        <f t="shared" si="73"/>
        <v>0</v>
      </c>
      <c r="BO99" s="1546">
        <f t="shared" si="73"/>
        <v>0</v>
      </c>
      <c r="BP99" s="1546">
        <f t="shared" si="73"/>
        <v>0</v>
      </c>
      <c r="BQ99" s="1546">
        <f t="shared" si="73"/>
        <v>0</v>
      </c>
      <c r="BR99" s="1546">
        <f t="shared" si="73"/>
        <v>0</v>
      </c>
      <c r="BS99" s="1546">
        <f t="shared" si="73"/>
        <v>0</v>
      </c>
      <c r="BT99" s="1546">
        <f>IF(BT$2=$D99,1,0)</f>
        <v>0</v>
      </c>
      <c r="BU99" s="1546">
        <f>IF(BU$2=$D99,1,0)</f>
        <v>0</v>
      </c>
      <c r="BV99" s="1546">
        <f>IF(BV$2=$D99,1,0)</f>
        <v>0</v>
      </c>
      <c r="BX99" s="1546">
        <f t="shared" si="44"/>
        <v>0</v>
      </c>
      <c r="BY99" s="1546">
        <f t="shared" si="72"/>
        <v>0</v>
      </c>
      <c r="BZ99" s="1546">
        <f t="shared" si="72"/>
        <v>0</v>
      </c>
      <c r="CA99" s="1546">
        <f t="shared" si="72"/>
        <v>0</v>
      </c>
      <c r="CB99" s="1546">
        <f t="shared" si="72"/>
        <v>0</v>
      </c>
      <c r="CC99" s="1546">
        <f t="shared" si="72"/>
        <v>0</v>
      </c>
      <c r="CD99" s="1546">
        <f t="shared" si="72"/>
        <v>0</v>
      </c>
      <c r="CE99" s="1546">
        <f t="shared" si="72"/>
        <v>0</v>
      </c>
      <c r="CF99" s="1546">
        <f t="shared" si="72"/>
        <v>0</v>
      </c>
      <c r="CG99" s="1546">
        <f t="shared" si="72"/>
        <v>0</v>
      </c>
      <c r="CH99" s="1546">
        <f t="shared" si="72"/>
        <v>0</v>
      </c>
      <c r="CI99" s="1546">
        <f t="shared" si="72"/>
        <v>0</v>
      </c>
      <c r="CJ99" s="1546">
        <f t="shared" si="72"/>
        <v>0</v>
      </c>
      <c r="CL99" s="1546">
        <f>IF($L99=CL$2,1,0)</f>
        <v>0</v>
      </c>
      <c r="CM99" s="1546">
        <f>IF($L99=CM$2,1,0)</f>
        <v>0</v>
      </c>
      <c r="CN99" s="1546">
        <f>IF($L99=CN$2,1,0)</f>
        <v>0</v>
      </c>
      <c r="CO99" s="1546">
        <f>IF($L99=CO$2,1,0)</f>
        <v>0</v>
      </c>
      <c r="CQ99" s="1546">
        <f t="shared" si="55"/>
        <v>0</v>
      </c>
      <c r="CR99" s="1546">
        <f t="shared" ref="CR99:DF99" si="74">IF(CR$2=0,0,IF($AW99=CR$2,1,0))</f>
        <v>0</v>
      </c>
      <c r="CS99" s="1546">
        <f t="shared" si="74"/>
        <v>0</v>
      </c>
      <c r="CT99" s="1546">
        <f t="shared" si="74"/>
        <v>0</v>
      </c>
      <c r="CU99" s="1546">
        <f t="shared" si="74"/>
        <v>0</v>
      </c>
      <c r="CV99" s="1546">
        <f t="shared" si="74"/>
        <v>0</v>
      </c>
      <c r="CW99" s="1546">
        <f t="shared" si="74"/>
        <v>0</v>
      </c>
      <c r="CX99" s="1546">
        <f t="shared" si="74"/>
        <v>0</v>
      </c>
      <c r="CY99" s="1546">
        <f t="shared" si="74"/>
        <v>0</v>
      </c>
      <c r="CZ99" s="1546">
        <f t="shared" si="74"/>
        <v>0</v>
      </c>
      <c r="DA99" s="1546">
        <f t="shared" si="74"/>
        <v>0</v>
      </c>
      <c r="DB99" s="1546">
        <f t="shared" si="74"/>
        <v>0</v>
      </c>
      <c r="DC99" s="1546">
        <f t="shared" si="74"/>
        <v>0</v>
      </c>
      <c r="DD99" s="1546">
        <f t="shared" si="74"/>
        <v>0</v>
      </c>
      <c r="DE99" s="1546">
        <f t="shared" si="74"/>
        <v>0</v>
      </c>
      <c r="DF99" s="1546">
        <f t="shared" si="74"/>
        <v>0</v>
      </c>
      <c r="DG99" s="1546">
        <f t="shared" si="56"/>
        <v>1</v>
      </c>
      <c r="DI99" s="1546">
        <f t="shared" ref="DI99:DN99" si="75">IF($G99=DI$2,1,0)</f>
        <v>0</v>
      </c>
      <c r="DJ99" s="1546">
        <f t="shared" si="75"/>
        <v>0</v>
      </c>
      <c r="DK99" s="1546">
        <f t="shared" si="75"/>
        <v>0</v>
      </c>
      <c r="DL99" s="1546">
        <f t="shared" si="75"/>
        <v>0</v>
      </c>
      <c r="DM99" s="1546">
        <f t="shared" si="75"/>
        <v>0</v>
      </c>
      <c r="DN99" s="1546">
        <f t="shared" si="75"/>
        <v>0</v>
      </c>
    </row>
  </sheetData>
  <sheetProtection algorithmName="SHA-512" hashValue="r7nIEnGmeQwfaAeGUQ1dLUVYV8PQhEMd8OpbqarBpEnv5YPJKm/N6NnVg1LJMjfBHT4WtxAMecw/tRbpoLzYaw==" saltValue="8WFxnN/qNthmy7uJmb8NBA==" spinCount="100000" sheet="1" autoFilter="0"/>
  <autoFilter ref="A2:DN99" xr:uid="{00000000-0009-0000-0000-00000D000000}"/>
  <mergeCells count="28">
    <mergeCell ref="AW1:AW2"/>
    <mergeCell ref="AG1:AU1"/>
    <mergeCell ref="AV1:AV2"/>
    <mergeCell ref="V1:V2"/>
    <mergeCell ref="W1:W2"/>
    <mergeCell ref="X1:X2"/>
    <mergeCell ref="AB1:AB2"/>
    <mergeCell ref="AE1:AE2"/>
    <mergeCell ref="AF1:AF2"/>
    <mergeCell ref="U1:U2"/>
    <mergeCell ref="I1:I2"/>
    <mergeCell ref="J1:J2"/>
    <mergeCell ref="K1:K2"/>
    <mergeCell ref="M1:M2"/>
    <mergeCell ref="N1:N2"/>
    <mergeCell ref="O1:O2"/>
    <mergeCell ref="P1:P2"/>
    <mergeCell ref="Q1:Q2"/>
    <mergeCell ref="R1:R2"/>
    <mergeCell ref="S1:S2"/>
    <mergeCell ref="T1:T2"/>
    <mergeCell ref="L1:L2"/>
    <mergeCell ref="H1:H2"/>
    <mergeCell ref="A1:A2"/>
    <mergeCell ref="B1:B2"/>
    <mergeCell ref="C1:C2"/>
    <mergeCell ref="F1:F2"/>
    <mergeCell ref="G1:G2"/>
  </mergeCells>
  <conditionalFormatting sqref="A100:DN1048576">
    <cfRule type="cellIs" dxfId="235" priority="790" operator="equal">
      <formula>0</formula>
    </cfRule>
  </conditionalFormatting>
  <conditionalFormatting sqref="B41:AN48">
    <cfRule type="cellIs" dxfId="234" priority="576" operator="equal">
      <formula>0</formula>
    </cfRule>
  </conditionalFormatting>
  <conditionalFormatting sqref="B59:AQ65">
    <cfRule type="cellIs" dxfId="233" priority="570" operator="equal">
      <formula>0</formula>
    </cfRule>
  </conditionalFormatting>
  <conditionalFormatting sqref="B67:AU98">
    <cfRule type="cellIs" dxfId="232" priority="545" operator="equal">
      <formula>0</formula>
    </cfRule>
  </conditionalFormatting>
  <conditionalFormatting sqref="B50:AY52">
    <cfRule type="cellIs" dxfId="231" priority="575" operator="equal">
      <formula>0</formula>
    </cfRule>
  </conditionalFormatting>
  <conditionalFormatting sqref="B54:AY57">
    <cfRule type="cellIs" dxfId="230" priority="574" operator="equal">
      <formula>0</formula>
    </cfRule>
  </conditionalFormatting>
  <conditionalFormatting sqref="B53:BW53 B58:BW58">
    <cfRule type="cellIs" dxfId="229" priority="688" operator="equal">
      <formula>0</formula>
    </cfRule>
  </conditionalFormatting>
  <conditionalFormatting sqref="B99:BW99">
    <cfRule type="cellIs" dxfId="228" priority="568" operator="equal">
      <formula>0</formula>
    </cfRule>
  </conditionalFormatting>
  <conditionalFormatting sqref="C3:C28">
    <cfRule type="cellIs" dxfId="227" priority="28" operator="equal">
      <formula>0</formula>
    </cfRule>
  </conditionalFormatting>
  <conditionalFormatting sqref="C30:C35">
    <cfRule type="cellIs" dxfId="226" priority="3" operator="equal">
      <formula>0</formula>
    </cfRule>
  </conditionalFormatting>
  <conditionalFormatting sqref="C3:F4">
    <cfRule type="cellIs" dxfId="225" priority="363" operator="equal">
      <formula>0</formula>
    </cfRule>
  </conditionalFormatting>
  <conditionalFormatting sqref="C29:AJ29">
    <cfRule type="cellIs" dxfId="224" priority="716" operator="equal">
      <formula>0</formula>
    </cfRule>
  </conditionalFormatting>
  <conditionalFormatting sqref="D18:D21 F18:F21">
    <cfRule type="cellIs" dxfId="223" priority="41" operator="equal">
      <formula>0</formula>
    </cfRule>
  </conditionalFormatting>
  <conditionalFormatting sqref="D5:F17">
    <cfRule type="cellIs" dxfId="222" priority="59" operator="equal">
      <formula>0</formula>
    </cfRule>
  </conditionalFormatting>
  <conditionalFormatting sqref="D22:F28">
    <cfRule type="cellIs" dxfId="221" priority="33" operator="equal">
      <formula>0</formula>
    </cfRule>
  </conditionalFormatting>
  <conditionalFormatting sqref="D31:F35">
    <cfRule type="cellIs" dxfId="220" priority="8" operator="equal">
      <formula>0</formula>
    </cfRule>
  </conditionalFormatting>
  <conditionalFormatting sqref="D30:AJ30">
    <cfRule type="cellIs" dxfId="219" priority="24" operator="equal">
      <formula>0</formula>
    </cfRule>
  </conditionalFormatting>
  <conditionalFormatting sqref="E7:E23">
    <cfRule type="cellIs" dxfId="218" priority="1" operator="equal">
      <formula>0</formula>
    </cfRule>
  </conditionalFormatting>
  <conditionalFormatting sqref="E27:E28">
    <cfRule type="cellIs" dxfId="217" priority="32" operator="equal">
      <formula>0</formula>
    </cfRule>
  </conditionalFormatting>
  <conditionalFormatting sqref="E30:E99">
    <cfRule type="cellIs" dxfId="216" priority="7" operator="equal">
      <formula>0</formula>
    </cfRule>
  </conditionalFormatting>
  <conditionalFormatting sqref="AF3:AF13">
    <cfRule type="cellIs" dxfId="215" priority="161" operator="equal">
      <formula>0</formula>
    </cfRule>
  </conditionalFormatting>
  <conditionalFormatting sqref="AF21:AF26">
    <cfRule type="cellIs" dxfId="214" priority="126" operator="equal">
      <formula>0</formula>
    </cfRule>
  </conditionalFormatting>
  <conditionalFormatting sqref="AF14:AG14">
    <cfRule type="cellIs" dxfId="213" priority="324" operator="equal">
      <formula>0</formula>
    </cfRule>
  </conditionalFormatting>
  <conditionalFormatting sqref="AF15:AH19 AF20:AO20">
    <cfRule type="cellIs" dxfId="212" priority="322" operator="equal">
      <formula>0</formula>
    </cfRule>
  </conditionalFormatting>
  <conditionalFormatting sqref="AG3:AG98">
    <cfRule type="cellIs" dxfId="211" priority="304" operator="equal">
      <formula>0</formula>
    </cfRule>
  </conditionalFormatting>
  <conditionalFormatting sqref="AG21:AO24">
    <cfRule type="cellIs" dxfId="210" priority="131" operator="equal">
      <formula>0</formula>
    </cfRule>
  </conditionalFormatting>
  <conditionalFormatting sqref="AH3:AH14">
    <cfRule type="cellIs" dxfId="209" priority="165" operator="equal">
      <formula>0</formula>
    </cfRule>
  </conditionalFormatting>
  <conditionalFormatting sqref="AH42:AM48 AH49:AU58 AH59:AP61 AR59:AU61">
    <cfRule type="cellIs" dxfId="208" priority="698" operator="equal">
      <formula>0</formula>
    </cfRule>
  </conditionalFormatting>
  <conditionalFormatting sqref="AH32:AU40">
    <cfRule type="cellIs" dxfId="207" priority="582" operator="equal">
      <formula>0</formula>
    </cfRule>
  </conditionalFormatting>
  <conditionalFormatting sqref="AI3:AO19">
    <cfRule type="cellIs" dxfId="206" priority="102" operator="equal">
      <formula>0</formula>
    </cfRule>
  </conditionalFormatting>
  <conditionalFormatting sqref="AK26:AK30">
    <cfRule type="cellIs" dxfId="205" priority="584" operator="equal">
      <formula>0</formula>
    </cfRule>
  </conditionalFormatting>
  <conditionalFormatting sqref="AL27:AW30 AH28:AJ30">
    <cfRule type="cellIs" dxfId="204" priority="773" operator="equal">
      <formula>0</formula>
    </cfRule>
  </conditionalFormatting>
  <conditionalFormatting sqref="AM38:AM39">
    <cfRule type="cellIs" dxfId="203" priority="580" operator="equal">
      <formula>0</formula>
    </cfRule>
  </conditionalFormatting>
  <conditionalFormatting sqref="AO42:AY48 B49:BW49 AR59:AY59 AR60:AW65 BA42:BW48 BA50:BW52 BA54:BW57 AX60:AY61">
    <cfRule type="cellIs" dxfId="202" priority="696" operator="equal">
      <formula>0</formula>
    </cfRule>
  </conditionalFormatting>
  <conditionalFormatting sqref="AP3:AY24">
    <cfRule type="cellIs" dxfId="201" priority="735" operator="equal">
      <formula>0</formula>
    </cfRule>
  </conditionalFormatting>
  <conditionalFormatting sqref="AU72:AZ72">
    <cfRule type="cellIs" dxfId="200" priority="543" operator="equal">
      <formula>0</formula>
    </cfRule>
  </conditionalFormatting>
  <conditionalFormatting sqref="AV14:AW26 AV31:AW41 AV66:AW71">
    <cfRule type="cellIs" dxfId="199" priority="918" operator="equal">
      <formula>0</formula>
    </cfRule>
  </conditionalFormatting>
  <conditionalFormatting sqref="AV49:AW59 AV60:AV61">
    <cfRule type="cellIs" dxfId="198" priority="700" operator="equal">
      <formula>0</formula>
    </cfRule>
  </conditionalFormatting>
  <conditionalFormatting sqref="AW1:AW99">
    <cfRule type="cellIs" dxfId="197" priority="542" operator="equal">
      <formula>0</formula>
    </cfRule>
  </conditionalFormatting>
  <conditionalFormatting sqref="AX27:AY28 BA27:BA28">
    <cfRule type="cellIs" dxfId="196" priority="774" operator="equal">
      <formula>0</formula>
    </cfRule>
  </conditionalFormatting>
  <conditionalFormatting sqref="AX29:BW29 AZ31:AZ32 AZ40:AZ41 AZ64:AZ67 AU70:BW70 AX62:BW62">
    <cfRule type="cellIs" dxfId="195" priority="807" operator="equal">
      <formula>0</formula>
    </cfRule>
  </conditionalFormatting>
  <conditionalFormatting sqref="AY24:AY26">
    <cfRule type="cellIs" dxfId="194" priority="908" operator="equal">
      <formula>0</formula>
    </cfRule>
  </conditionalFormatting>
  <conditionalFormatting sqref="AY29:AY98">
    <cfRule type="cellIs" dxfId="193" priority="562" operator="equal">
      <formula>0</formula>
    </cfRule>
  </conditionalFormatting>
  <conditionalFormatting sqref="AZ3">
    <cfRule type="expression" dxfId="192" priority="275">
      <formula>AV3=0</formula>
    </cfRule>
    <cfRule type="cellIs" dxfId="191" priority="276" operator="equal">
      <formula>0</formula>
    </cfRule>
  </conditionalFormatting>
  <conditionalFormatting sqref="AZ3:AZ12">
    <cfRule type="expression" dxfId="190" priority="284">
      <formula>AV3=0</formula>
    </cfRule>
    <cfRule type="cellIs" dxfId="189" priority="285" operator="equal">
      <formula>0</formula>
    </cfRule>
  </conditionalFormatting>
  <conditionalFormatting sqref="AZ13:AZ14">
    <cfRule type="expression" dxfId="188" priority="269">
      <formula>AV13=0</formula>
    </cfRule>
    <cfRule type="cellIs" dxfId="187" priority="270" operator="equal">
      <formula>0</formula>
    </cfRule>
  </conditionalFormatting>
  <conditionalFormatting sqref="AZ14:AZ21">
    <cfRule type="expression" dxfId="186" priority="272">
      <formula>AV14=0</formula>
    </cfRule>
    <cfRule type="cellIs" dxfId="185" priority="273" operator="equal">
      <formula>0</formula>
    </cfRule>
  </conditionalFormatting>
  <conditionalFormatting sqref="AZ22:AZ26">
    <cfRule type="expression" dxfId="184" priority="291">
      <formula>AV22=0</formula>
    </cfRule>
    <cfRule type="cellIs" dxfId="183" priority="292" operator="equal">
      <formula>0</formula>
    </cfRule>
  </conditionalFormatting>
  <conditionalFormatting sqref="AZ23">
    <cfRule type="expression" dxfId="182" priority="277">
      <formula>AV23=0</formula>
    </cfRule>
    <cfRule type="cellIs" dxfId="181" priority="278" operator="equal">
      <formula>0</formula>
    </cfRule>
  </conditionalFormatting>
  <conditionalFormatting sqref="AZ27:AZ30">
    <cfRule type="cellIs" dxfId="180" priority="26" operator="equal">
      <formula>0</formula>
    </cfRule>
    <cfRule type="expression" dxfId="179" priority="25">
      <formula>AV27=0</formula>
    </cfRule>
  </conditionalFormatting>
  <conditionalFormatting sqref="AZ32:AZ38">
    <cfRule type="cellIs" dxfId="178" priority="463" operator="equal">
      <formula>0</formula>
    </cfRule>
  </conditionalFormatting>
  <conditionalFormatting sqref="AZ32:AZ39">
    <cfRule type="expression" dxfId="177" priority="459">
      <formula>AV32=0</formula>
    </cfRule>
  </conditionalFormatting>
  <conditionalFormatting sqref="AZ36">
    <cfRule type="expression" dxfId="176" priority="412">
      <formula>AV36=0</formula>
    </cfRule>
    <cfRule type="cellIs" dxfId="175" priority="413" operator="equal">
      <formula>0</formula>
    </cfRule>
  </conditionalFormatting>
  <conditionalFormatting sqref="AZ40:AZ41 AZ31:AZ32 AZ64:AZ67 AZ70 AZ29">
    <cfRule type="expression" dxfId="174" priority="806">
      <formula>AV29=0</formula>
    </cfRule>
  </conditionalFormatting>
  <conditionalFormatting sqref="AZ41">
    <cfRule type="cellIs" dxfId="173" priority="666" operator="equal">
      <formula>0</formula>
    </cfRule>
    <cfRule type="expression" dxfId="172" priority="410">
      <formula>AV41=0</formula>
    </cfRule>
    <cfRule type="cellIs" dxfId="171" priority="411" operator="equal">
      <formula>0</formula>
    </cfRule>
    <cfRule type="expression" dxfId="170" priority="665">
      <formula>AV41=0</formula>
    </cfRule>
  </conditionalFormatting>
  <conditionalFormatting sqref="AZ41:AZ43">
    <cfRule type="expression" dxfId="169" priority="441">
      <formula>AV41=0</formula>
    </cfRule>
    <cfRule type="cellIs" dxfId="168" priority="442" operator="equal">
      <formula>0</formula>
    </cfRule>
  </conditionalFormatting>
  <conditionalFormatting sqref="AZ44:AZ45">
    <cfRule type="expression" dxfId="167" priority="388">
      <formula>AV44=0</formula>
    </cfRule>
    <cfRule type="cellIs" dxfId="166" priority="389" operator="equal">
      <formula>0</formula>
    </cfRule>
  </conditionalFormatting>
  <conditionalFormatting sqref="AZ45:AZ47">
    <cfRule type="expression" dxfId="165" priority="438">
      <formula>AV45=0</formula>
    </cfRule>
    <cfRule type="cellIs" dxfId="164" priority="439" operator="equal">
      <formula>0</formula>
    </cfRule>
  </conditionalFormatting>
  <conditionalFormatting sqref="AZ48">
    <cfRule type="expression" dxfId="163" priority="385">
      <formula>AV48=0</formula>
    </cfRule>
    <cfRule type="cellIs" dxfId="162" priority="386" operator="equal">
      <formula>0</formula>
    </cfRule>
  </conditionalFormatting>
  <conditionalFormatting sqref="AZ49:AZ52">
    <cfRule type="cellIs" dxfId="161" priority="436" operator="equal">
      <formula>0</formula>
    </cfRule>
  </conditionalFormatting>
  <conditionalFormatting sqref="AZ49:AZ54">
    <cfRule type="expression" dxfId="160" priority="435">
      <formula>AV49=0</formula>
    </cfRule>
  </conditionalFormatting>
  <conditionalFormatting sqref="AZ50">
    <cfRule type="cellIs" dxfId="159" priority="407" operator="equal">
      <formula>0</formula>
    </cfRule>
    <cfRule type="expression" dxfId="158" priority="406">
      <formula>AV50=0</formula>
    </cfRule>
  </conditionalFormatting>
  <conditionalFormatting sqref="AZ54">
    <cfRule type="cellIs" dxfId="157" priority="651" operator="equal">
      <formula>0</formula>
    </cfRule>
  </conditionalFormatting>
  <conditionalFormatting sqref="AZ55:AZ56">
    <cfRule type="cellIs" dxfId="156" priority="383" operator="equal">
      <formula>0</formula>
    </cfRule>
    <cfRule type="expression" dxfId="155" priority="382">
      <formula>AV55=0</formula>
    </cfRule>
  </conditionalFormatting>
  <conditionalFormatting sqref="AZ56:AZ57">
    <cfRule type="cellIs" dxfId="154" priority="433" operator="equal">
      <formula>0</formula>
    </cfRule>
  </conditionalFormatting>
  <conditionalFormatting sqref="AZ56:AZ63">
    <cfRule type="expression" dxfId="153" priority="426">
      <formula>AV56=0</formula>
    </cfRule>
  </conditionalFormatting>
  <conditionalFormatting sqref="AZ60">
    <cfRule type="cellIs" dxfId="152" priority="403" operator="equal">
      <formula>0</formula>
    </cfRule>
    <cfRule type="expression" dxfId="151" priority="402">
      <formula>AV60=0</formula>
    </cfRule>
  </conditionalFormatting>
  <conditionalFormatting sqref="AZ63:AZ64">
    <cfRule type="cellIs" dxfId="150" priority="445" operator="equal">
      <formula>0</formula>
    </cfRule>
  </conditionalFormatting>
  <conditionalFormatting sqref="AZ64">
    <cfRule type="expression" dxfId="149" priority="400">
      <formula>AV64=0</formula>
    </cfRule>
    <cfRule type="cellIs" dxfId="148" priority="401" operator="equal">
      <formula>0</formula>
    </cfRule>
  </conditionalFormatting>
  <conditionalFormatting sqref="AZ67">
    <cfRule type="expression" dxfId="147" priority="398">
      <formula>AV67=0</formula>
    </cfRule>
    <cfRule type="cellIs" dxfId="146" priority="399" operator="equal">
      <formula>0</formula>
    </cfRule>
    <cfRule type="expression" dxfId="145" priority="377">
      <formula>AV67=0</formula>
    </cfRule>
    <cfRule type="cellIs" dxfId="144" priority="378" operator="equal">
      <formula>0</formula>
    </cfRule>
  </conditionalFormatting>
  <conditionalFormatting sqref="AZ67:AZ68">
    <cfRule type="expression" dxfId="143" priority="423">
      <formula>AV67=0</formula>
    </cfRule>
    <cfRule type="cellIs" dxfId="142" priority="424" operator="equal">
      <formula>0</formula>
    </cfRule>
  </conditionalFormatting>
  <conditionalFormatting sqref="AZ69:AZ72">
    <cfRule type="expression" dxfId="141" priority="379">
      <formula>AV69=0</formula>
    </cfRule>
    <cfRule type="cellIs" dxfId="140" priority="380" operator="equal">
      <formula>0</formula>
    </cfRule>
  </conditionalFormatting>
  <conditionalFormatting sqref="AZ70">
    <cfRule type="expression" dxfId="139" priority="375">
      <formula>AV70=0</formula>
    </cfRule>
    <cfRule type="cellIs" dxfId="138" priority="376" operator="equal">
      <formula>0</formula>
    </cfRule>
  </conditionalFormatting>
  <conditionalFormatting sqref="AZ72">
    <cfRule type="expression" dxfId="137" priority="370">
      <formula>AV72=0</formula>
    </cfRule>
    <cfRule type="cellIs" dxfId="136" priority="371" operator="equal">
      <formula>0</formula>
    </cfRule>
    <cfRule type="expression" dxfId="135" priority="372">
      <formula>AV72=0</formula>
    </cfRule>
    <cfRule type="cellIs" dxfId="134" priority="373" operator="equal">
      <formula>0</formula>
    </cfRule>
  </conditionalFormatting>
  <conditionalFormatting sqref="AZ72:AZ74">
    <cfRule type="cellIs" dxfId="133" priority="540" operator="equal">
      <formula>0</formula>
    </cfRule>
    <cfRule type="expression" dxfId="132" priority="539">
      <formula>AV72=0</formula>
    </cfRule>
  </conditionalFormatting>
  <conditionalFormatting sqref="AZ74:AZ98">
    <cfRule type="cellIs" dxfId="131" priority="508" operator="equal">
      <formula>0</formula>
    </cfRule>
  </conditionalFormatting>
  <conditionalFormatting sqref="AZ74:AZ99">
    <cfRule type="expression" dxfId="130" priority="507">
      <formula>AV74=0</formula>
    </cfRule>
  </conditionalFormatting>
  <conditionalFormatting sqref="AZ39:BW39">
    <cfRule type="cellIs" dxfId="129" priority="460" operator="equal">
      <formula>0</formula>
    </cfRule>
  </conditionalFormatting>
  <conditionalFormatting sqref="AZ59:BW61">
    <cfRule type="cellIs" dxfId="128" priority="427" operator="equal">
      <formula>0</formula>
    </cfRule>
  </conditionalFormatting>
  <conditionalFormatting sqref="BA3:CP3 BX4:CJ99 G31:BW31 A40:BW40 AO41:BW41 AX64:BW65 B66:BW66 AU67:BW67 CK2:CP2 AG25:AY25 AL26:AY26 AM32:AY34 AM35:BW36 A37:BW38 A39:AY39 AU68:AY69 AW68:AW71 AU71:AY71 AX1:DH1 A1:AV2 AX2:BW2 G3:AE26 AG26:AJ26 AX30:AY30 BA30:BW30 BA32:BW34 G32:AK35 A36:AK36 A41:A99 AX63:AY63 BA63:BW63 BA68:BW69">
    <cfRule type="cellIs" dxfId="127" priority="909" operator="equal">
      <formula>0</formula>
    </cfRule>
  </conditionalFormatting>
  <conditionalFormatting sqref="BC3:BD98">
    <cfRule type="cellIs" dxfId="126" priority="557" operator="equal">
      <formula>0</formula>
    </cfRule>
  </conditionalFormatting>
  <conditionalFormatting sqref="BE3:BV27 BE29:BV41 BE62:BV71 BE99:BV99">
    <cfRule type="cellIs" dxfId="125" priority="917" operator="equal">
      <formula>0</formula>
    </cfRule>
  </conditionalFormatting>
  <conditionalFormatting sqref="BE28:BV28">
    <cfRule type="cellIs" dxfId="124" priority="782" operator="equal">
      <formula>0</formula>
    </cfRule>
  </conditionalFormatting>
  <conditionalFormatting sqref="BE42:BV61">
    <cfRule type="cellIs" dxfId="123" priority="699" operator="equal">
      <formula>0</formula>
    </cfRule>
  </conditionalFormatting>
  <conditionalFormatting sqref="BE72:BV98">
    <cfRule type="cellIs" dxfId="122" priority="566" operator="equal">
      <formula>0</formula>
    </cfRule>
  </conditionalFormatting>
  <conditionalFormatting sqref="BX2:CJ2">
    <cfRule type="cellIs" dxfId="121" priority="366" operator="equal">
      <formula>0</formula>
    </cfRule>
  </conditionalFormatting>
  <conditionalFormatting sqref="BX3:CJ99">
    <cfRule type="cellIs" dxfId="120" priority="910" operator="equal">
      <formula>0</formula>
    </cfRule>
  </conditionalFormatting>
  <conditionalFormatting sqref="CI3:CJ99">
    <cfRule type="cellIs" dxfId="119" priority="855" operator="equal">
      <formula>0</formula>
    </cfRule>
  </conditionalFormatting>
  <conditionalFormatting sqref="CK4:CP99 AU73:AY98 BA71:BW98 DO72:XFD1048576">
    <cfRule type="cellIs" dxfId="118" priority="563" operator="equal">
      <formula>0</formula>
    </cfRule>
  </conditionalFormatting>
  <conditionalFormatting sqref="CL2:CO99">
    <cfRule type="cellIs" dxfId="117" priority="558" operator="equal">
      <formula>0</formula>
    </cfRule>
  </conditionalFormatting>
  <conditionalFormatting sqref="CQ2:DG99">
    <cfRule type="cellIs" dxfId="116" priority="369" operator="equal">
      <formula>0</formula>
    </cfRule>
  </conditionalFormatting>
  <conditionalFormatting sqref="DH72:DN99">
    <cfRule type="cellIs" dxfId="115" priority="552" operator="equal">
      <formula>0</formula>
    </cfRule>
  </conditionalFormatting>
  <conditionalFormatting sqref="DH29:XFD71">
    <cfRule type="cellIs" dxfId="114" priority="683" operator="equal">
      <formula>0</formula>
    </cfRule>
  </conditionalFormatting>
  <conditionalFormatting sqref="DI1:DI27">
    <cfRule type="cellIs" dxfId="113" priority="793" operator="equal">
      <formula>0</formula>
    </cfRule>
  </conditionalFormatting>
  <conditionalFormatting sqref="DI2:DI27">
    <cfRule type="cellIs" dxfId="112" priority="792" operator="equal">
      <formula>0</formula>
    </cfRule>
  </conditionalFormatting>
  <conditionalFormatting sqref="DI3:DN99">
    <cfRule type="cellIs" dxfId="111" priority="550" operator="equal">
      <formula>0</formula>
    </cfRule>
  </conditionalFormatting>
  <conditionalFormatting sqref="DI28:DN28">
    <cfRule type="cellIs" dxfId="110" priority="765" operator="equal">
      <formula>0</formula>
    </cfRule>
  </conditionalFormatting>
  <conditionalFormatting sqref="DJ1:DN27">
    <cfRule type="cellIs" dxfId="109" priority="787" operator="equal">
      <formula>0</formula>
    </cfRule>
  </conditionalFormatting>
  <conditionalFormatting sqref="DJ2:DN2">
    <cfRule type="cellIs" dxfId="108" priority="786" operator="equal">
      <formula>0</formula>
    </cfRule>
  </conditionalFormatting>
  <conditionalFormatting sqref="DO1:XFD28 DH2:DH28 A3:B35 BA4:BW28 G27:AJ28">
    <cfRule type="cellIs" dxfId="107" priority="780" operator="equal">
      <formula>0</formula>
    </cfRule>
  </conditionalFormatting>
  <dataValidations count="6">
    <dataValidation type="list" allowBlank="1" showInputMessage="1" showErrorMessage="1" sqref="D3:D99" xr:uid="{00000000-0002-0000-0D00-000000000000}">
      <formula1>DN</formula1>
    </dataValidation>
    <dataValidation type="list" allowBlank="1" showInputMessage="1" showErrorMessage="1" sqref="C3:C99" xr:uid="{00000000-0002-0000-0D00-000001000000}">
      <formula1>Piping_Class</formula1>
    </dataValidation>
    <dataValidation type="list" allowBlank="1" showInputMessage="1" showErrorMessage="1" sqref="F1:T2" xr:uid="{00000000-0002-0000-0D00-000002000000}">
      <formula1>Columns</formula1>
    </dataValidation>
    <dataValidation type="list" allowBlank="1" showInputMessage="1" showErrorMessage="1" sqref="F3:F99" xr:uid="{00000000-0002-0000-0D00-000003000000}">
      <formula1>Valve_Type</formula1>
    </dataValidation>
    <dataValidation type="list" allowBlank="1" showInputMessage="1" showErrorMessage="1" sqref="AW3:AW99" xr:uid="{00000000-0002-0000-0D00-000004000000}">
      <formula1>Skid_section</formula1>
    </dataValidation>
    <dataValidation type="list" allowBlank="1" showInputMessage="1" showErrorMessage="1" sqref="E3:E99" xr:uid="{00000000-0002-0000-0D00-000005000000}">
      <formula1>INDIRECT($F3)</formula1>
    </dataValidation>
  </dataValidations>
  <pageMargins left="0.70866141732283472" right="0.70866141732283472" top="0.74803149606299213" bottom="0.74803149606299213" header="0.31496062992125984" footer="0.31496062992125984"/>
  <pageSetup scale="14" fitToHeight="0" orientation="portrait" r:id="rId1"/>
  <headerFooter>
    <oddHeader>&amp;LMCE Vers. 1.0&amp;C&amp;F&amp;R&amp;"Calibri,Normale"&amp;8 Document classified as: 2 - Company Confidential&amp;1#</oddHeader>
    <oddFooter>&amp;C&amp;A - &amp;P&amp;R&amp;D</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oglio11">
    <tabColor theme="4" tint="-0.249977111117893"/>
    <pageSetUpPr fitToPage="1"/>
  </sheetPr>
  <dimension ref="A1:EW75"/>
  <sheetViews>
    <sheetView topLeftCell="B19" zoomScale="70" zoomScaleNormal="70" workbookViewId="0">
      <selection activeCell="C40" sqref="C40"/>
    </sheetView>
  </sheetViews>
  <sheetFormatPr defaultRowHeight="14.4" x14ac:dyDescent="0.3"/>
  <cols>
    <col min="1" max="1" width="7.21875" customWidth="1"/>
    <col min="2" max="2" width="16.77734375" customWidth="1"/>
    <col min="3" max="3" width="38.21875" customWidth="1"/>
    <col min="4" max="4" width="20" customWidth="1"/>
    <col min="5" max="5" width="22" customWidth="1"/>
    <col min="6" max="6" width="16.21875" customWidth="1"/>
    <col min="7" max="7" width="12.5546875" customWidth="1"/>
    <col min="8" max="8" width="12.21875" customWidth="1"/>
    <col min="9" max="10" width="16.21875" customWidth="1"/>
    <col min="11" max="11" width="13.21875" customWidth="1"/>
    <col min="12" max="12" width="12.5546875" customWidth="1"/>
    <col min="13" max="14" width="12.21875" customWidth="1"/>
    <col min="15" max="15" width="10" customWidth="1"/>
    <col min="16" max="16" width="15.21875" bestFit="1" customWidth="1"/>
    <col min="17" max="17" width="18.77734375" customWidth="1"/>
    <col min="18" max="18" width="17.44140625" customWidth="1"/>
    <col min="19" max="20" width="12.21875" customWidth="1"/>
    <col min="21" max="21" width="23" customWidth="1"/>
    <col min="22" max="22" width="25.21875" customWidth="1"/>
    <col min="23" max="23" width="3.77734375" customWidth="1"/>
    <col min="24" max="25" width="12.21875" customWidth="1"/>
    <col min="26" max="26" width="12.21875" style="749" customWidth="1"/>
    <col min="27" max="27" width="17.77734375" customWidth="1"/>
    <col min="28" max="28" width="4" customWidth="1"/>
    <col min="29" max="30" width="12.21875" customWidth="1"/>
    <col min="31" max="31" width="12.21875" style="749" customWidth="1"/>
    <col min="32" max="35" width="12.21875" customWidth="1"/>
    <col min="37" max="53" width="9.21875" customWidth="1"/>
    <col min="55" max="72" width="16.44140625" style="6" customWidth="1"/>
  </cols>
  <sheetData>
    <row r="1" spans="1:153" ht="31.5" customHeight="1" thickBot="1" x14ac:dyDescent="0.35">
      <c r="A1" s="380" t="s">
        <v>2043</v>
      </c>
      <c r="B1" s="401"/>
      <c r="C1" s="401"/>
      <c r="D1" s="401"/>
      <c r="E1" s="401"/>
      <c r="F1" s="401"/>
      <c r="G1" s="401"/>
      <c r="H1" s="401"/>
      <c r="I1" s="401"/>
      <c r="J1" s="401"/>
      <c r="K1" s="401"/>
      <c r="L1" s="401"/>
      <c r="M1" s="401"/>
      <c r="N1" s="401"/>
      <c r="O1" s="401"/>
      <c r="P1" s="401"/>
      <c r="Q1" s="401"/>
      <c r="R1" s="401"/>
      <c r="S1" s="401"/>
      <c r="T1" s="401"/>
      <c r="U1" s="401"/>
      <c r="V1" s="802">
        <f>SUM(V4:V29)</f>
        <v>325800</v>
      </c>
      <c r="X1" s="401" t="s">
        <v>2044</v>
      </c>
      <c r="Y1" s="401"/>
      <c r="Z1" s="743"/>
      <c r="AA1" s="401"/>
      <c r="AC1" s="380" t="s">
        <v>2045</v>
      </c>
      <c r="AD1" s="401"/>
      <c r="AE1" s="743"/>
      <c r="AF1" s="401"/>
      <c r="AG1" s="401"/>
      <c r="AH1" s="401"/>
      <c r="AI1" s="812"/>
    </row>
    <row r="2" spans="1:153" ht="30" customHeight="1" x14ac:dyDescent="0.4">
      <c r="A2" s="1800" t="s">
        <v>366</v>
      </c>
      <c r="B2" s="1800" t="s">
        <v>333</v>
      </c>
      <c r="C2" s="1800" t="s">
        <v>335</v>
      </c>
      <c r="D2" s="1800" t="s">
        <v>2046</v>
      </c>
      <c r="E2" s="1800" t="s">
        <v>166</v>
      </c>
      <c r="F2" s="1800" t="s">
        <v>169</v>
      </c>
      <c r="G2" s="1428" t="s">
        <v>172</v>
      </c>
      <c r="H2" s="1428" t="s">
        <v>173</v>
      </c>
      <c r="I2" s="1800" t="s">
        <v>175</v>
      </c>
      <c r="J2" s="1800" t="s">
        <v>2047</v>
      </c>
      <c r="K2" s="1428" t="s">
        <v>178</v>
      </c>
      <c r="L2" s="1428" t="s">
        <v>181</v>
      </c>
      <c r="M2" s="1428" t="s">
        <v>183</v>
      </c>
      <c r="N2" s="1428" t="s">
        <v>184</v>
      </c>
      <c r="O2" s="1428" t="s">
        <v>292</v>
      </c>
      <c r="P2" s="1782" t="s">
        <v>1871</v>
      </c>
      <c r="Q2" s="1423" t="s">
        <v>188</v>
      </c>
      <c r="R2" s="1423" t="s">
        <v>327</v>
      </c>
      <c r="S2" s="1428" t="s">
        <v>313</v>
      </c>
      <c r="T2" s="1798" t="s">
        <v>370</v>
      </c>
      <c r="U2" s="1806"/>
      <c r="V2" s="1428" t="s">
        <v>372</v>
      </c>
      <c r="X2" s="1428" t="s">
        <v>184</v>
      </c>
      <c r="Y2" s="1428" t="s">
        <v>313</v>
      </c>
      <c r="Z2" s="1431" t="s">
        <v>370</v>
      </c>
      <c r="AA2" s="1428" t="s">
        <v>372</v>
      </c>
      <c r="AC2" s="1427" t="s">
        <v>1650</v>
      </c>
      <c r="AD2" s="1428" t="s">
        <v>1651</v>
      </c>
      <c r="AE2" s="1431" t="s">
        <v>1652</v>
      </c>
      <c r="AF2" s="1428" t="s">
        <v>1653</v>
      </c>
      <c r="AG2" s="1428" t="s">
        <v>1658</v>
      </c>
      <c r="AH2" s="1429" t="s">
        <v>1659</v>
      </c>
      <c r="AI2" s="1547" t="s">
        <v>1660</v>
      </c>
      <c r="AU2" t="s">
        <v>2048</v>
      </c>
      <c r="AV2" t="s">
        <v>2049</v>
      </c>
      <c r="AW2" t="s">
        <v>2050</v>
      </c>
      <c r="AX2" t="s">
        <v>2051</v>
      </c>
      <c r="AY2" t="s">
        <v>2052</v>
      </c>
      <c r="AZ2" t="s">
        <v>2053</v>
      </c>
      <c r="BA2" t="s">
        <v>2054</v>
      </c>
      <c r="BV2" s="1272" t="s">
        <v>2055</v>
      </c>
      <c r="CE2" s="1272" t="s">
        <v>2056</v>
      </c>
      <c r="CN2" s="1272" t="s">
        <v>2057</v>
      </c>
      <c r="CW2" s="1272" t="s">
        <v>2058</v>
      </c>
      <c r="DF2" s="1272" t="s">
        <v>2059</v>
      </c>
      <c r="DO2" s="1272" t="s">
        <v>2060</v>
      </c>
      <c r="DX2" s="1272" t="s">
        <v>2061</v>
      </c>
      <c r="EG2" s="1272" t="s">
        <v>2062</v>
      </c>
      <c r="EP2" s="1272" t="s">
        <v>2063</v>
      </c>
    </row>
    <row r="3" spans="1:153" ht="43.8" thickBot="1" x14ac:dyDescent="0.35">
      <c r="A3" s="1801"/>
      <c r="B3" s="1801"/>
      <c r="C3" s="1801"/>
      <c r="D3" s="1801"/>
      <c r="E3" s="1801"/>
      <c r="F3" s="1801"/>
      <c r="G3" s="338" t="s">
        <v>177</v>
      </c>
      <c r="H3" s="338" t="s">
        <v>180</v>
      </c>
      <c r="I3" s="1801"/>
      <c r="J3" s="1801"/>
      <c r="K3" s="338" t="s">
        <v>93</v>
      </c>
      <c r="L3" s="338" t="s">
        <v>93</v>
      </c>
      <c r="M3" s="338" t="s">
        <v>93</v>
      </c>
      <c r="N3" s="338" t="s">
        <v>1924</v>
      </c>
      <c r="O3" s="338" t="s">
        <v>301</v>
      </c>
      <c r="P3" s="1783"/>
      <c r="Q3" s="508" t="s">
        <v>228</v>
      </c>
      <c r="R3" s="508" t="s">
        <v>228</v>
      </c>
      <c r="S3" s="338" t="s">
        <v>222</v>
      </c>
      <c r="T3" s="338" t="s">
        <v>1068</v>
      </c>
      <c r="U3" s="338" t="s">
        <v>1925</v>
      </c>
      <c r="V3" s="338" t="s">
        <v>375</v>
      </c>
      <c r="X3" s="338" t="s">
        <v>222</v>
      </c>
      <c r="Y3" s="338" t="s">
        <v>222</v>
      </c>
      <c r="Z3" s="744" t="s">
        <v>1068</v>
      </c>
      <c r="AA3" s="338" t="s">
        <v>375</v>
      </c>
      <c r="AC3" s="806" t="s">
        <v>1661</v>
      </c>
      <c r="AD3" s="338" t="s">
        <v>1661</v>
      </c>
      <c r="AE3" s="744" t="s">
        <v>1661</v>
      </c>
      <c r="AF3" s="338" t="s">
        <v>225</v>
      </c>
      <c r="AG3" s="338" t="s">
        <v>228</v>
      </c>
      <c r="AH3" s="805" t="s">
        <v>1662</v>
      </c>
      <c r="AI3" s="341" t="s">
        <v>222</v>
      </c>
      <c r="AK3" s="1542" t="str">
        <f>List!$BF$2</f>
        <v>Loose</v>
      </c>
      <c r="AL3" s="1542" t="str">
        <f>List!$BF$3</f>
        <v>SKID 1 MODULO PIANO 1</v>
      </c>
      <c r="AM3" s="1542" t="str">
        <f>List!$BF$4</f>
        <v>SKID 1 MODULO PIANO 2</v>
      </c>
      <c r="AN3" s="1542" t="str">
        <f>List!$BF$5</f>
        <v>SKID 2 MODULO PIANO 1</v>
      </c>
      <c r="AO3" s="1542" t="str">
        <f>List!$BF$6</f>
        <v>X</v>
      </c>
      <c r="AP3" s="1542" t="str">
        <f>List!$BF$7</f>
        <v>X</v>
      </c>
      <c r="AQ3" s="1542" t="str">
        <f>List!$BF$8</f>
        <v>X</v>
      </c>
      <c r="AR3" s="1542" t="str">
        <f>List!$BF$9</f>
        <v>X</v>
      </c>
      <c r="AS3" s="1542" t="str">
        <f>List!$BF$10</f>
        <v>X</v>
      </c>
      <c r="AT3" s="1542" t="str">
        <f>List!$BF$11</f>
        <v>X</v>
      </c>
      <c r="AU3" s="1542" t="str">
        <f>List!$BF$12</f>
        <v>X</v>
      </c>
      <c r="AV3" s="1542" t="str">
        <f>List!$BF$13</f>
        <v>X</v>
      </c>
      <c r="AW3" s="1542" t="str">
        <f>List!$BF$14</f>
        <v>X</v>
      </c>
      <c r="AX3" s="1542" t="str">
        <f>List!$BF$15</f>
        <v>X</v>
      </c>
      <c r="AY3" s="1542" t="str">
        <f>List!$BF$16</f>
        <v>X</v>
      </c>
      <c r="AZ3" s="1542" t="str">
        <f>List!$BF$17</f>
        <v>X</v>
      </c>
      <c r="BA3" s="1542" t="s">
        <v>1905</v>
      </c>
      <c r="BC3" s="1548" t="s">
        <v>215</v>
      </c>
      <c r="BD3" s="1548" t="s">
        <v>217</v>
      </c>
      <c r="BE3" s="1548" t="s">
        <v>219</v>
      </c>
      <c r="BF3" s="1548" t="s">
        <v>220</v>
      </c>
      <c r="BG3" s="1548" t="s">
        <v>223</v>
      </c>
      <c r="BH3" s="1548" t="s">
        <v>226</v>
      </c>
      <c r="BI3" s="1548" t="s">
        <v>229</v>
      </c>
      <c r="BJ3" s="1548" t="s">
        <v>231</v>
      </c>
      <c r="BK3" s="1548" t="s">
        <v>233</v>
      </c>
      <c r="BL3" s="1548" t="s">
        <v>234</v>
      </c>
      <c r="BM3" s="1548" t="s">
        <v>238</v>
      </c>
      <c r="BN3" s="1548" t="s">
        <v>240</v>
      </c>
      <c r="BO3" s="1548" t="s">
        <v>242</v>
      </c>
      <c r="BP3" s="1548" t="s">
        <v>244</v>
      </c>
      <c r="BQ3" s="1548" t="s">
        <v>246</v>
      </c>
      <c r="BR3" s="1548" t="s">
        <v>248</v>
      </c>
      <c r="BS3" s="1548" t="s">
        <v>250</v>
      </c>
      <c r="BT3" s="1548" t="s">
        <v>252</v>
      </c>
      <c r="BV3" s="1542">
        <v>0</v>
      </c>
      <c r="BW3" s="1542">
        <v>50</v>
      </c>
      <c r="BX3" s="1542">
        <v>80</v>
      </c>
      <c r="BY3" s="1542">
        <v>100</v>
      </c>
      <c r="BZ3" s="1542">
        <v>110</v>
      </c>
      <c r="CA3" s="1542">
        <v>130</v>
      </c>
      <c r="CB3" s="1542">
        <v>140</v>
      </c>
      <c r="CC3" s="1542">
        <v>160</v>
      </c>
      <c r="CE3" s="1542">
        <v>0</v>
      </c>
      <c r="CF3" s="1542">
        <v>50</v>
      </c>
      <c r="CG3" s="1542">
        <v>80</v>
      </c>
      <c r="CH3" s="1542">
        <v>100</v>
      </c>
      <c r="CI3" s="1542">
        <v>110</v>
      </c>
      <c r="CJ3" s="1542">
        <v>130</v>
      </c>
      <c r="CK3" s="1542">
        <v>140</v>
      </c>
      <c r="CL3" s="1542">
        <v>160</v>
      </c>
      <c r="CN3" s="1542">
        <v>0</v>
      </c>
      <c r="CO3" s="1542">
        <v>50</v>
      </c>
      <c r="CP3" s="1542">
        <v>80</v>
      </c>
      <c r="CQ3" s="1542">
        <v>100</v>
      </c>
      <c r="CR3" s="1542">
        <v>110</v>
      </c>
      <c r="CS3" s="1542">
        <v>130</v>
      </c>
      <c r="CT3" s="1542">
        <v>140</v>
      </c>
      <c r="CU3" s="1542">
        <v>160</v>
      </c>
      <c r="CW3" s="1542">
        <v>0</v>
      </c>
      <c r="CX3" s="1542">
        <v>50</v>
      </c>
      <c r="CY3" s="1542">
        <v>80</v>
      </c>
      <c r="CZ3" s="1542">
        <v>100</v>
      </c>
      <c r="DA3" s="1542">
        <v>110</v>
      </c>
      <c r="DB3" s="1542">
        <v>130</v>
      </c>
      <c r="DC3" s="1542">
        <v>140</v>
      </c>
      <c r="DD3" s="1542">
        <v>160</v>
      </c>
      <c r="DF3" s="1542">
        <v>0</v>
      </c>
      <c r="DG3" s="1542">
        <v>50</v>
      </c>
      <c r="DH3" s="1542">
        <v>80</v>
      </c>
      <c r="DI3" s="1542">
        <v>100</v>
      </c>
      <c r="DJ3" s="1542">
        <v>110</v>
      </c>
      <c r="DK3" s="1542">
        <v>130</v>
      </c>
      <c r="DL3" s="1542">
        <v>140</v>
      </c>
      <c r="DM3" s="1542">
        <v>160</v>
      </c>
      <c r="DO3" s="1542">
        <v>0</v>
      </c>
      <c r="DP3" s="1542">
        <v>50</v>
      </c>
      <c r="DQ3" s="1542">
        <v>80</v>
      </c>
      <c r="DR3" s="1542">
        <v>100</v>
      </c>
      <c r="DS3" s="1542">
        <v>110</v>
      </c>
      <c r="DT3" s="1542">
        <v>130</v>
      </c>
      <c r="DU3" s="1542">
        <v>140</v>
      </c>
      <c r="DV3" s="1542">
        <v>160</v>
      </c>
      <c r="DX3" s="1542">
        <v>0</v>
      </c>
      <c r="DY3" s="1542">
        <v>50</v>
      </c>
      <c r="DZ3" s="1542">
        <v>80</v>
      </c>
      <c r="EA3" s="1542">
        <v>100</v>
      </c>
      <c r="EB3" s="1542">
        <v>110</v>
      </c>
      <c r="EC3" s="1542">
        <v>130</v>
      </c>
      <c r="ED3" s="1542">
        <v>140</v>
      </c>
      <c r="EE3" s="1542">
        <v>160</v>
      </c>
      <c r="EG3" s="1542">
        <v>0</v>
      </c>
      <c r="EH3" s="1542">
        <v>50</v>
      </c>
      <c r="EI3" s="1542">
        <v>80</v>
      </c>
      <c r="EJ3" s="1542">
        <v>100</v>
      </c>
      <c r="EK3" s="1542">
        <v>110</v>
      </c>
      <c r="EL3" s="1542">
        <v>130</v>
      </c>
      <c r="EM3" s="1542">
        <v>140</v>
      </c>
      <c r="EN3" s="1542">
        <v>160</v>
      </c>
      <c r="EP3" s="1542">
        <v>0</v>
      </c>
      <c r="EQ3" s="1542">
        <v>50</v>
      </c>
      <c r="ER3" s="1542">
        <v>80</v>
      </c>
      <c r="ES3" s="1542">
        <v>100</v>
      </c>
      <c r="ET3" s="1542">
        <v>110</v>
      </c>
      <c r="EU3" s="1542">
        <v>130</v>
      </c>
      <c r="EV3" s="1542">
        <v>140</v>
      </c>
      <c r="EW3" s="1542">
        <v>160</v>
      </c>
    </row>
    <row r="4" spans="1:153" ht="28.5" customHeight="1" x14ac:dyDescent="0.3">
      <c r="A4" s="333">
        <v>1</v>
      </c>
      <c r="B4" s="1289" t="s">
        <v>4558</v>
      </c>
      <c r="C4" s="902" t="s">
        <v>2064</v>
      </c>
      <c r="D4" s="902" t="s">
        <v>2065</v>
      </c>
      <c r="E4" s="333" t="str">
        <f>IF($C4="","",VLOOKUP($A4&amp;"."&amp;E$2,'Equipment Weight Calc'!$L:$M,2,0))</f>
        <v>ASME VIII div.1</v>
      </c>
      <c r="F4" s="334" t="str">
        <f>IF($C4="","",VLOOKUP($A4&amp;"."&amp;F$2,'Equipment Weight Calc'!$L:$M,2,0))</f>
        <v>Vertical</v>
      </c>
      <c r="G4" s="333">
        <f>IF($C4="","",VLOOKUP($A4&amp;"."&amp;G$2,'Equipment Weight Calc'!$L:$M,2,0))</f>
        <v>350</v>
      </c>
      <c r="H4" s="333">
        <f>IF($C4="","",VLOOKUP($A4&amp;"."&amp;H$2,'Equipment Weight Calc'!$L:$M,2,0))</f>
        <v>18</v>
      </c>
      <c r="I4" s="333" t="str">
        <f>IF($C4="","",VLOOKUP($A4&amp;"."&amp;I$2,'Equipment Weight Calc'!$L:$M,2,0))</f>
        <v>SA-240 Gr.316L</v>
      </c>
      <c r="J4" s="690" t="s">
        <v>1721</v>
      </c>
      <c r="K4" s="662">
        <f>IF($C4="","",VLOOKUP($A4&amp;"."&amp;K$2,'Equipment Weight Calc'!$L:$M,2,0))</f>
        <v>800</v>
      </c>
      <c r="L4" s="333">
        <f>IF($C4="","",VLOOKUP($A4&amp;"."&amp;L$2,'Equipment Weight Calc'!$L:$M,2,0))</f>
        <v>2100</v>
      </c>
      <c r="M4" s="662">
        <f>IF($C4="","",VLOOKUP($A4&amp;"."&amp;M$2,'Equipment Weight Calc'!$L:$M,2,0))</f>
        <v>12</v>
      </c>
      <c r="N4" s="333">
        <f>IF($C4="","",VLOOKUP($A4&amp;"."&amp;N$2,'Equipment Weight Calc'!$L:$M,2,0))</f>
        <v>2300</v>
      </c>
      <c r="O4" s="690">
        <v>1</v>
      </c>
      <c r="P4" s="680" t="s">
        <v>1664</v>
      </c>
      <c r="Q4" s="512">
        <f>IF($C4="","",VLOOKUP($A4&amp;"."&amp;Q$2,'Equipment Weight Calc'!$L:$M,2,0))</f>
        <v>17.282931949905294</v>
      </c>
      <c r="R4" s="512">
        <f>IFERROR(Q4*O4,"")</f>
        <v>17.282931949905294</v>
      </c>
      <c r="S4" s="334">
        <f t="shared" ref="S4:S18" si="0">IFERROR(O4*N4,"")</f>
        <v>2300</v>
      </c>
      <c r="T4" s="691">
        <v>24</v>
      </c>
      <c r="U4" s="488">
        <f t="shared" ref="U4:U17" si="1">IFERROR(T4*N4,"")</f>
        <v>55200</v>
      </c>
      <c r="V4" s="487">
        <f>IFERROR(T4*S4,"")</f>
        <v>55200</v>
      </c>
      <c r="X4" s="690"/>
      <c r="Y4" s="333">
        <f>X4*O4</f>
        <v>0</v>
      </c>
      <c r="Z4" s="745"/>
      <c r="AA4" s="487">
        <f>Z4*Y4</f>
        <v>0</v>
      </c>
      <c r="AC4" s="819"/>
      <c r="AD4" s="820"/>
      <c r="AE4" s="820"/>
      <c r="AF4" s="813">
        <f>AC4*AD4*AE4</f>
        <v>0</v>
      </c>
      <c r="AG4" s="813">
        <f>2*(AC4*AD4+AD4*AE4+AC4*AE4)</f>
        <v>0</v>
      </c>
      <c r="AH4" s="815">
        <v>18</v>
      </c>
      <c r="AI4" s="817">
        <f>AH4*AG4</f>
        <v>0</v>
      </c>
      <c r="AK4" s="1546">
        <f>IF(AK$3="X",0,IF($P4=AK$3,1,0))</f>
        <v>0</v>
      </c>
      <c r="AL4" s="1546">
        <f t="shared" ref="AL4:AZ19" si="2">IF(AL$3="X",0,IF($P4=AL$3,1,0))</f>
        <v>0</v>
      </c>
      <c r="AM4" s="1546">
        <f t="shared" si="2"/>
        <v>0</v>
      </c>
      <c r="AN4" s="1546">
        <f t="shared" si="2"/>
        <v>0</v>
      </c>
      <c r="AO4" s="1546">
        <f t="shared" si="2"/>
        <v>0</v>
      </c>
      <c r="AP4" s="1546">
        <f t="shared" si="2"/>
        <v>0</v>
      </c>
      <c r="AQ4" s="1546">
        <f t="shared" si="2"/>
        <v>0</v>
      </c>
      <c r="AR4" s="1546">
        <f t="shared" si="2"/>
        <v>0</v>
      </c>
      <c r="AS4" s="1546">
        <f t="shared" si="2"/>
        <v>0</v>
      </c>
      <c r="AT4" s="1546">
        <f t="shared" si="2"/>
        <v>0</v>
      </c>
      <c r="AU4" s="1546">
        <f t="shared" si="2"/>
        <v>0</v>
      </c>
      <c r="AV4" s="1546">
        <f t="shared" si="2"/>
        <v>0</v>
      </c>
      <c r="AW4" s="1546">
        <f t="shared" si="2"/>
        <v>0</v>
      </c>
      <c r="AX4" s="1546">
        <f t="shared" si="2"/>
        <v>0</v>
      </c>
      <c r="AY4" s="1546">
        <f t="shared" si="2"/>
        <v>0</v>
      </c>
      <c r="AZ4" s="1546">
        <f t="shared" si="2"/>
        <v>0</v>
      </c>
      <c r="BA4" s="1546">
        <f>IF(BA$3="X",0,IF($P4="",1,0))</f>
        <v>0</v>
      </c>
      <c r="BC4" s="663">
        <f>IF($C4="","",VLOOKUP($A4&amp;"."&amp;BC$3,'Equipment Weight Calc'!$L:$M,2,0))</f>
        <v>100</v>
      </c>
      <c r="BD4" s="663">
        <f>IF($C4="","",VLOOKUP($A4&amp;"."&amp;BD$3,'Equipment Weight Calc'!$L:$M,2,0))</f>
        <v>100</v>
      </c>
      <c r="BE4" s="663">
        <f>IF($C4="","",VLOOKUP($A4&amp;"."&amp;BE$3,'Equipment Weight Calc'!$L:$M,2,0))</f>
        <v>100</v>
      </c>
      <c r="BF4" s="663">
        <f>IF($C4="","",VLOOKUP($A4&amp;"."&amp;BF$3,'Equipment Weight Calc'!$L:$M,2,0))</f>
        <v>6.752256</v>
      </c>
      <c r="BG4" s="663">
        <f>IF($C4="","",VLOOKUP($A4&amp;"."&amp;BG$3,'Equipment Weight Calc'!$L:$M,2,0))</f>
        <v>1.7877401600000002</v>
      </c>
      <c r="BH4" s="663">
        <f>IF($C4="","",VLOOKUP($A4&amp;"."&amp;BH$3,'Equipment Weight Calc'!$L:$M,2,0))</f>
        <v>0</v>
      </c>
      <c r="BI4" s="663">
        <f>IF($C4="","",VLOOKUP($A4&amp;"."&amp;BI$3,'Equipment Weight Calc'!$L:$M,2,0))</f>
        <v>0</v>
      </c>
      <c r="BJ4" s="663">
        <f>IF($C4="","",VLOOKUP($A4&amp;"."&amp;BJ$3,'Equipment Weight Calc'!$L:$M,2,0))</f>
        <v>0</v>
      </c>
      <c r="BK4" s="663">
        <f>IF($C4="","",VLOOKUP($A4&amp;"."&amp;BK$3,'Equipment Weight Calc'!$L:$M,2,0))</f>
        <v>0</v>
      </c>
      <c r="BL4" s="663">
        <f>IF($C4="","",VLOOKUP($A4&amp;"."&amp;BL$3,'Equipment Weight Calc'!$L:$M,2,0))</f>
        <v>0</v>
      </c>
      <c r="BM4" s="663">
        <f>IF($C4="","",VLOOKUP($A4&amp;"."&amp;BM$3,'Equipment Weight Calc'!$L:$M,2,0))</f>
        <v>0</v>
      </c>
      <c r="BN4" s="663">
        <f>IF($C4="","",VLOOKUP($A4&amp;"."&amp;BN$3,'Equipment Weight Calc'!$L:$M,2,0))</f>
        <v>0</v>
      </c>
      <c r="BO4" s="663">
        <f>IF($C4="","",VLOOKUP($A4&amp;"."&amp;BO$3,'Equipment Weight Calc'!$L:$M,2,0))</f>
        <v>0</v>
      </c>
      <c r="BP4" s="663">
        <f>IF($C4="","",VLOOKUP($A4&amp;"."&amp;BP$3,'Equipment Weight Calc'!$L:$M,2,0))</f>
        <v>0</v>
      </c>
      <c r="BQ4" s="663">
        <f>IF($C4="","",VLOOKUP($A4&amp;"."&amp;BQ$3,'Equipment Weight Calc'!$L:$M,2,0))</f>
        <v>0</v>
      </c>
      <c r="BR4" s="663">
        <f>IF($C4="","",VLOOKUP($A4&amp;"."&amp;BR$3,'Equipment Weight Calc'!$L:$M,2,0))</f>
        <v>0</v>
      </c>
      <c r="BS4" s="663">
        <f>IF($C4="","",VLOOKUP($A4&amp;"."&amp;BS$3,'Equipment Weight Calc'!$L:$M,2,0))</f>
        <v>219.10000000000002</v>
      </c>
      <c r="BT4" s="663">
        <f>IF($C4="","",VLOOKUP($A4&amp;"."&amp;BT$3,'Equipment Weight Calc'!$L:$M,2,0))</f>
        <v>0</v>
      </c>
      <c r="BV4" s="1546">
        <f t="shared" ref="BV4:BV20" si="3">IF(BV$3=$BC4,1,0)</f>
        <v>0</v>
      </c>
      <c r="BW4" s="1546">
        <f t="shared" ref="BW4:CC19" si="4">IF(BW$3=$BC4,1,0)</f>
        <v>0</v>
      </c>
      <c r="BX4" s="1546">
        <f t="shared" si="4"/>
        <v>0</v>
      </c>
      <c r="BY4" s="1546">
        <f t="shared" si="4"/>
        <v>1</v>
      </c>
      <c r="BZ4" s="1546">
        <f t="shared" si="4"/>
        <v>0</v>
      </c>
      <c r="CA4" s="1546">
        <f t="shared" si="4"/>
        <v>0</v>
      </c>
      <c r="CB4" s="1546">
        <f t="shared" si="4"/>
        <v>0</v>
      </c>
      <c r="CC4" s="1546">
        <f t="shared" si="4"/>
        <v>0</v>
      </c>
      <c r="CE4" s="1546">
        <f t="shared" ref="CE4:CE20" si="5">IF(CE$3=$BI4,1,0)</f>
        <v>1</v>
      </c>
      <c r="CF4" s="1546">
        <f t="shared" ref="CF4:CL19" si="6">IF(CF$3=$BI4,1,0)</f>
        <v>0</v>
      </c>
      <c r="CG4" s="1546">
        <f t="shared" si="6"/>
        <v>0</v>
      </c>
      <c r="CH4" s="1546">
        <f t="shared" si="6"/>
        <v>0</v>
      </c>
      <c r="CI4" s="1546">
        <f t="shared" si="6"/>
        <v>0</v>
      </c>
      <c r="CJ4" s="1546">
        <f t="shared" si="6"/>
        <v>0</v>
      </c>
      <c r="CK4" s="1546">
        <f t="shared" si="6"/>
        <v>0</v>
      </c>
      <c r="CL4" s="1546">
        <f t="shared" si="6"/>
        <v>0</v>
      </c>
      <c r="CN4" s="1546">
        <f t="shared" ref="CN4:CN20" si="7">IF(CN$3=$BO4,1,0)</f>
        <v>1</v>
      </c>
      <c r="CO4" s="1546">
        <f t="shared" ref="CO4:CU19" si="8">IF(CO$3=$BO4,1,0)</f>
        <v>0</v>
      </c>
      <c r="CP4" s="1546">
        <f t="shared" si="8"/>
        <v>0</v>
      </c>
      <c r="CQ4" s="1546">
        <f t="shared" si="8"/>
        <v>0</v>
      </c>
      <c r="CR4" s="1546">
        <f t="shared" si="8"/>
        <v>0</v>
      </c>
      <c r="CS4" s="1546">
        <f t="shared" si="8"/>
        <v>0</v>
      </c>
      <c r="CT4" s="1546">
        <f t="shared" si="8"/>
        <v>0</v>
      </c>
      <c r="CU4" s="1546">
        <f t="shared" si="8"/>
        <v>0</v>
      </c>
      <c r="CW4" s="1546">
        <f t="shared" ref="CW4:CW20" si="9">IF(CW$3=$BD4,1,0)</f>
        <v>0</v>
      </c>
      <c r="CX4" s="1546">
        <f t="shared" ref="CX4:DD19" si="10">IF(CX$3=$BD4,1,0)</f>
        <v>0</v>
      </c>
      <c r="CY4" s="1546">
        <f t="shared" si="10"/>
        <v>0</v>
      </c>
      <c r="CZ4" s="1546">
        <f t="shared" si="10"/>
        <v>1</v>
      </c>
      <c r="DA4" s="1546">
        <f t="shared" si="10"/>
        <v>0</v>
      </c>
      <c r="DB4" s="1546">
        <f t="shared" si="10"/>
        <v>0</v>
      </c>
      <c r="DC4" s="1546">
        <f t="shared" si="10"/>
        <v>0</v>
      </c>
      <c r="DD4" s="1546">
        <f t="shared" si="10"/>
        <v>0</v>
      </c>
      <c r="DF4" s="1546">
        <f t="shared" ref="DF4:DF20" si="11">IF(DF$3=$BJ4,1,0)</f>
        <v>1</v>
      </c>
      <c r="DG4" s="1546">
        <f t="shared" ref="DG4:DM19" si="12">IF(DG$3=$BJ4,1,0)</f>
        <v>0</v>
      </c>
      <c r="DH4" s="1546">
        <f t="shared" si="12"/>
        <v>0</v>
      </c>
      <c r="DI4" s="1546">
        <f t="shared" si="12"/>
        <v>0</v>
      </c>
      <c r="DJ4" s="1546">
        <f t="shared" si="12"/>
        <v>0</v>
      </c>
      <c r="DK4" s="1546">
        <f t="shared" si="12"/>
        <v>0</v>
      </c>
      <c r="DL4" s="1546">
        <f t="shared" si="12"/>
        <v>0</v>
      </c>
      <c r="DM4" s="1546">
        <f t="shared" si="12"/>
        <v>0</v>
      </c>
      <c r="DO4" s="1546">
        <f t="shared" ref="DO4:DO20" si="13">IF(DO$3=$BP4,1,0)</f>
        <v>1</v>
      </c>
      <c r="DP4" s="1546">
        <f t="shared" ref="DP4:DV19" si="14">IF(DP$3=$BP4,1,0)</f>
        <v>0</v>
      </c>
      <c r="DQ4" s="1546">
        <f t="shared" si="14"/>
        <v>0</v>
      </c>
      <c r="DR4" s="1546">
        <f t="shared" si="14"/>
        <v>0</v>
      </c>
      <c r="DS4" s="1546">
        <f t="shared" si="14"/>
        <v>0</v>
      </c>
      <c r="DT4" s="1546">
        <f t="shared" si="14"/>
        <v>0</v>
      </c>
      <c r="DU4" s="1546">
        <f t="shared" si="14"/>
        <v>0</v>
      </c>
      <c r="DV4" s="1546">
        <f t="shared" si="14"/>
        <v>0</v>
      </c>
      <c r="DX4" s="1546">
        <f t="shared" ref="DX4:DX20" si="15">IF(DX$3=$BE4,1,0)</f>
        <v>0</v>
      </c>
      <c r="DY4" s="1546">
        <f t="shared" ref="DY4:EE19" si="16">IF(DY$3=$BE4,1,0)</f>
        <v>0</v>
      </c>
      <c r="DZ4" s="1546">
        <f t="shared" si="16"/>
        <v>0</v>
      </c>
      <c r="EA4" s="1546">
        <f t="shared" si="16"/>
        <v>1</v>
      </c>
      <c r="EB4" s="1546">
        <f t="shared" si="16"/>
        <v>0</v>
      </c>
      <c r="EC4" s="1546">
        <f t="shared" si="16"/>
        <v>0</v>
      </c>
      <c r="ED4" s="1546">
        <f t="shared" si="16"/>
        <v>0</v>
      </c>
      <c r="EE4" s="1546">
        <f t="shared" si="16"/>
        <v>0</v>
      </c>
      <c r="EG4" s="1546">
        <f t="shared" ref="EG4:EG20" si="17">IF(EG$3=$BK4,1,0)</f>
        <v>1</v>
      </c>
      <c r="EH4" s="1546">
        <f t="shared" ref="EH4:EN19" si="18">IF(EH$3=$BK4,1,0)</f>
        <v>0</v>
      </c>
      <c r="EI4" s="1546">
        <f t="shared" si="18"/>
        <v>0</v>
      </c>
      <c r="EJ4" s="1546">
        <f t="shared" si="18"/>
        <v>0</v>
      </c>
      <c r="EK4" s="1546">
        <f t="shared" si="18"/>
        <v>0</v>
      </c>
      <c r="EL4" s="1546">
        <f t="shared" si="18"/>
        <v>0</v>
      </c>
      <c r="EM4" s="1546">
        <f t="shared" si="18"/>
        <v>0</v>
      </c>
      <c r="EN4" s="1546">
        <f t="shared" si="18"/>
        <v>0</v>
      </c>
      <c r="EP4" s="1546">
        <f t="shared" ref="EP4:EP20" si="19">IF(EP$3=$BQ4,1,0)</f>
        <v>1</v>
      </c>
      <c r="EQ4" s="1546">
        <f t="shared" ref="EQ4:EW19" si="20">IF(EQ$3=$BQ4,1,0)</f>
        <v>0</v>
      </c>
      <c r="ER4" s="1546">
        <f t="shared" si="20"/>
        <v>0</v>
      </c>
      <c r="ES4" s="1546">
        <f t="shared" si="20"/>
        <v>0</v>
      </c>
      <c r="ET4" s="1546">
        <f t="shared" si="20"/>
        <v>0</v>
      </c>
      <c r="EU4" s="1546">
        <f t="shared" si="20"/>
        <v>0</v>
      </c>
      <c r="EV4" s="1546">
        <f t="shared" si="20"/>
        <v>0</v>
      </c>
      <c r="EW4" s="1546">
        <f t="shared" si="20"/>
        <v>0</v>
      </c>
    </row>
    <row r="5" spans="1:153" ht="28.5" customHeight="1" x14ac:dyDescent="0.3">
      <c r="A5" s="334">
        <v>2</v>
      </c>
      <c r="B5" s="902" t="s">
        <v>2066</v>
      </c>
      <c r="C5" s="902" t="s">
        <v>2067</v>
      </c>
      <c r="D5" s="902" t="s">
        <v>2065</v>
      </c>
      <c r="E5" s="334" t="str">
        <f>IF($C5="","",VLOOKUP($A5&amp;"."&amp;E$2,'Equipment Weight Calc'!$L:$M,2,0))</f>
        <v>ASME VIII div.1</v>
      </c>
      <c r="F5" s="334" t="str">
        <f>IF($C5="","",VLOOKUP($A5&amp;"."&amp;F$2,'Equipment Weight Calc'!$L:$M,2,0))</f>
        <v>Vertical</v>
      </c>
      <c r="G5" s="334">
        <f>IF($C5="","",VLOOKUP($A5&amp;"."&amp;G$2,'Equipment Weight Calc'!$L:$M,2,0))</f>
        <v>100</v>
      </c>
      <c r="H5" s="334">
        <f>IF($C5="","",VLOOKUP($A5&amp;"."&amp;H$2,'Equipment Weight Calc'!$L:$M,2,0))</f>
        <v>18</v>
      </c>
      <c r="I5" s="334" t="str">
        <f>IF($C5="","",VLOOKUP($A5&amp;"."&amp;I$2,'Equipment Weight Calc'!$L:$M,2,0))</f>
        <v>SA-240 Gr.316L</v>
      </c>
      <c r="J5" s="683">
        <v>0</v>
      </c>
      <c r="K5" s="663">
        <f>IF($C5="","",VLOOKUP($A5&amp;"."&amp;K$2,'Equipment Weight Calc'!$L:$M,2,0))</f>
        <v>550</v>
      </c>
      <c r="L5" s="334">
        <f>IF($C5="","",VLOOKUP($A5&amp;"."&amp;L$2,'Equipment Weight Calc'!$L:$M,2,0))</f>
        <v>1900</v>
      </c>
      <c r="M5" s="663">
        <f>IF($C5="","",VLOOKUP($A5&amp;"."&amp;M$2,'Equipment Weight Calc'!$L:$M,2,0))</f>
        <v>9.52</v>
      </c>
      <c r="N5" s="334">
        <f>IF($C5="","",VLOOKUP($A5&amp;"."&amp;N$2,'Equipment Weight Calc'!$L:$M,2,0))</f>
        <v>975</v>
      </c>
      <c r="O5" s="683">
        <v>1</v>
      </c>
      <c r="P5" s="680" t="s">
        <v>1664</v>
      </c>
      <c r="Q5" s="513">
        <f>IF($C5="","",VLOOKUP($A5&amp;"."&amp;Q$2,'Equipment Weight Calc'!$L:$M,2,0))</f>
        <v>11.399495649942526</v>
      </c>
      <c r="R5" s="513">
        <f t="shared" ref="R5:R22" si="21">IFERROR(Q5*O5,"")</f>
        <v>11.399495649942526</v>
      </c>
      <c r="S5" s="334">
        <f t="shared" si="0"/>
        <v>975</v>
      </c>
      <c r="T5" s="692">
        <v>24</v>
      </c>
      <c r="U5" s="488">
        <f t="shared" si="1"/>
        <v>23400</v>
      </c>
      <c r="V5" s="488">
        <f t="shared" ref="V5:V17" si="22">IFERROR(T5*S5,"")</f>
        <v>23400</v>
      </c>
      <c r="X5" s="683">
        <v>120</v>
      </c>
      <c r="Y5" s="334">
        <f t="shared" ref="Y5:Y22" si="23">X5*O5</f>
        <v>120</v>
      </c>
      <c r="Z5" s="746">
        <v>25</v>
      </c>
      <c r="AA5" s="488">
        <f t="shared" ref="AA5:AA22" si="24">Z5*Y5</f>
        <v>3000</v>
      </c>
      <c r="AC5" s="821"/>
      <c r="AD5" s="822"/>
      <c r="AE5" s="822"/>
      <c r="AF5" s="814">
        <f t="shared" ref="AF5:AF22" si="25">AC5*AD5*AE5</f>
        <v>0</v>
      </c>
      <c r="AG5" s="814">
        <f t="shared" ref="AG5:AG22" si="26">2*(AC5*AD5+AD5*AE5+AC5*AE5)</f>
        <v>0</v>
      </c>
      <c r="AH5" s="816">
        <v>18</v>
      </c>
      <c r="AI5" s="818">
        <f t="shared" ref="AI5:AI22" si="27">AH5*AG5</f>
        <v>0</v>
      </c>
      <c r="AK5" s="1546">
        <f t="shared" ref="AK5:AZ34" si="28">IF(AK$3="X",0,IF($P5=AK$3,1,0))</f>
        <v>0</v>
      </c>
      <c r="AL5" s="1546">
        <f t="shared" si="2"/>
        <v>0</v>
      </c>
      <c r="AM5" s="1546">
        <f t="shared" si="2"/>
        <v>0</v>
      </c>
      <c r="AN5" s="1546">
        <f t="shared" si="2"/>
        <v>0</v>
      </c>
      <c r="AO5" s="1546">
        <f t="shared" si="2"/>
        <v>0</v>
      </c>
      <c r="AP5" s="1546">
        <f t="shared" si="2"/>
        <v>0</v>
      </c>
      <c r="AQ5" s="1546">
        <f t="shared" si="2"/>
        <v>0</v>
      </c>
      <c r="AR5" s="1546">
        <f t="shared" si="2"/>
        <v>0</v>
      </c>
      <c r="AS5" s="1546">
        <f t="shared" si="2"/>
        <v>0</v>
      </c>
      <c r="AT5" s="1546">
        <f t="shared" si="2"/>
        <v>0</v>
      </c>
      <c r="AU5" s="1546">
        <f t="shared" si="2"/>
        <v>0</v>
      </c>
      <c r="AV5" s="1546">
        <f t="shared" si="2"/>
        <v>0</v>
      </c>
      <c r="AW5" s="1546">
        <f t="shared" si="2"/>
        <v>0</v>
      </c>
      <c r="AX5" s="1546">
        <f t="shared" si="2"/>
        <v>0</v>
      </c>
      <c r="AY5" s="1546">
        <f t="shared" si="2"/>
        <v>0</v>
      </c>
      <c r="AZ5" s="1546">
        <f t="shared" si="2"/>
        <v>0</v>
      </c>
      <c r="BA5" s="1546">
        <f t="shared" ref="BA5:BA68" si="29">IF(BA$3="X",0,IF($P5="",1,0))</f>
        <v>0</v>
      </c>
      <c r="BC5" s="663">
        <f>IF($C5="","",VLOOKUP($A5&amp;"."&amp;BC$3,'Equipment Weight Calc'!$L:$M,2,0))</f>
        <v>100</v>
      </c>
      <c r="BD5" s="663">
        <f>IF($C5="","",VLOOKUP($A5&amp;"."&amp;BD$3,'Equipment Weight Calc'!$L:$M,2,0))</f>
        <v>100</v>
      </c>
      <c r="BE5" s="663">
        <f>IF($C5="","",VLOOKUP($A5&amp;"."&amp;BE$3,'Equipment Weight Calc'!$L:$M,2,0))</f>
        <v>100</v>
      </c>
      <c r="BF5" s="663">
        <f>IF($C5="","",VLOOKUP($A5&amp;"."&amp;BF$3,'Equipment Weight Calc'!$L:$M,2,0))</f>
        <v>4.5880926400000002</v>
      </c>
      <c r="BG5" s="663">
        <f>IF($C5="","",VLOOKUP($A5&amp;"."&amp;BG$3,'Equipment Weight Calc'!$L:$M,2,0))</f>
        <v>1.0679630794560002</v>
      </c>
      <c r="BH5" s="663">
        <f>IF($C5="","",VLOOKUP($A5&amp;"."&amp;BH$3,'Equipment Weight Calc'!$L:$M,2,0))</f>
        <v>0</v>
      </c>
      <c r="BI5" s="663">
        <f>IF($C5="","",VLOOKUP($A5&amp;"."&amp;BI$3,'Equipment Weight Calc'!$L:$M,2,0))</f>
        <v>0</v>
      </c>
      <c r="BJ5" s="663">
        <f>IF($C5="","",VLOOKUP($A5&amp;"."&amp;BJ$3,'Equipment Weight Calc'!$L:$M,2,0))</f>
        <v>0</v>
      </c>
      <c r="BK5" s="663">
        <f>IF($C5="","",VLOOKUP($A5&amp;"."&amp;BK$3,'Equipment Weight Calc'!$L:$M,2,0))</f>
        <v>0</v>
      </c>
      <c r="BL5" s="663">
        <f>IF($C5="","",VLOOKUP($A5&amp;"."&amp;BL$3,'Equipment Weight Calc'!$L:$M,2,0))</f>
        <v>0</v>
      </c>
      <c r="BM5" s="663">
        <f>IF($C5="","",VLOOKUP($A5&amp;"."&amp;BM$3,'Equipment Weight Calc'!$L:$M,2,0))</f>
        <v>0</v>
      </c>
      <c r="BN5" s="663">
        <f>IF($C5="","",VLOOKUP($A5&amp;"."&amp;BN$3,'Equipment Weight Calc'!$L:$M,2,0))</f>
        <v>0</v>
      </c>
      <c r="BO5" s="663">
        <f>IF($C5="","",VLOOKUP($A5&amp;"."&amp;BO$3,'Equipment Weight Calc'!$L:$M,2,0))</f>
        <v>0</v>
      </c>
      <c r="BP5" s="663">
        <f>IF($C5="","",VLOOKUP($A5&amp;"."&amp;BP$3,'Equipment Weight Calc'!$L:$M,2,0))</f>
        <v>0</v>
      </c>
      <c r="BQ5" s="663">
        <f>IF($C5="","",VLOOKUP($A5&amp;"."&amp;BQ$3,'Equipment Weight Calc'!$L:$M,2,0))</f>
        <v>0</v>
      </c>
      <c r="BR5" s="663">
        <f>IF($C5="","",VLOOKUP($A5&amp;"."&amp;BR$3,'Equipment Weight Calc'!$L:$M,2,0))</f>
        <v>0</v>
      </c>
      <c r="BS5" s="663">
        <f>IF($C5="","",VLOOKUP($A5&amp;"."&amp;BS$3,'Equipment Weight Calc'!$L:$M,2,0))</f>
        <v>0</v>
      </c>
      <c r="BT5" s="663">
        <f>IF($C5="","",VLOOKUP($A5&amp;"."&amp;BT$3,'Equipment Weight Calc'!$L:$M,2,0))</f>
        <v>0</v>
      </c>
      <c r="BV5" s="1546">
        <f t="shared" si="3"/>
        <v>0</v>
      </c>
      <c r="BW5" s="1546">
        <f t="shared" si="4"/>
        <v>0</v>
      </c>
      <c r="BX5" s="1546">
        <f t="shared" si="4"/>
        <v>0</v>
      </c>
      <c r="BY5" s="1546">
        <f t="shared" si="4"/>
        <v>1</v>
      </c>
      <c r="BZ5" s="1546">
        <f t="shared" si="4"/>
        <v>0</v>
      </c>
      <c r="CA5" s="1546">
        <f t="shared" si="4"/>
        <v>0</v>
      </c>
      <c r="CB5" s="1546">
        <f t="shared" si="4"/>
        <v>0</v>
      </c>
      <c r="CC5" s="1546">
        <f t="shared" si="4"/>
        <v>0</v>
      </c>
      <c r="CE5" s="1546">
        <f t="shared" si="5"/>
        <v>1</v>
      </c>
      <c r="CF5" s="1546">
        <f t="shared" si="6"/>
        <v>0</v>
      </c>
      <c r="CG5" s="1546">
        <f t="shared" si="6"/>
        <v>0</v>
      </c>
      <c r="CH5" s="1546">
        <f t="shared" si="6"/>
        <v>0</v>
      </c>
      <c r="CI5" s="1546">
        <f t="shared" si="6"/>
        <v>0</v>
      </c>
      <c r="CJ5" s="1546">
        <f t="shared" si="6"/>
        <v>0</v>
      </c>
      <c r="CK5" s="1546">
        <f t="shared" si="6"/>
        <v>0</v>
      </c>
      <c r="CL5" s="1546">
        <f t="shared" si="6"/>
        <v>0</v>
      </c>
      <c r="CN5" s="1546">
        <f t="shared" si="7"/>
        <v>1</v>
      </c>
      <c r="CO5" s="1546">
        <f t="shared" si="8"/>
        <v>0</v>
      </c>
      <c r="CP5" s="1546">
        <f t="shared" si="8"/>
        <v>0</v>
      </c>
      <c r="CQ5" s="1546">
        <f t="shared" si="8"/>
        <v>0</v>
      </c>
      <c r="CR5" s="1546">
        <f t="shared" si="8"/>
        <v>0</v>
      </c>
      <c r="CS5" s="1546">
        <f t="shared" si="8"/>
        <v>0</v>
      </c>
      <c r="CT5" s="1546">
        <f t="shared" si="8"/>
        <v>0</v>
      </c>
      <c r="CU5" s="1546">
        <f t="shared" si="8"/>
        <v>0</v>
      </c>
      <c r="CW5" s="1546">
        <f t="shared" si="9"/>
        <v>0</v>
      </c>
      <c r="CX5" s="1546">
        <f t="shared" si="10"/>
        <v>0</v>
      </c>
      <c r="CY5" s="1546">
        <f t="shared" si="10"/>
        <v>0</v>
      </c>
      <c r="CZ5" s="1546">
        <f t="shared" si="10"/>
        <v>1</v>
      </c>
      <c r="DA5" s="1546">
        <f t="shared" si="10"/>
        <v>0</v>
      </c>
      <c r="DB5" s="1546">
        <f t="shared" si="10"/>
        <v>0</v>
      </c>
      <c r="DC5" s="1546">
        <f t="shared" si="10"/>
        <v>0</v>
      </c>
      <c r="DD5" s="1546">
        <f t="shared" si="10"/>
        <v>0</v>
      </c>
      <c r="DF5" s="1546">
        <f t="shared" si="11"/>
        <v>1</v>
      </c>
      <c r="DG5" s="1546">
        <f t="shared" si="12"/>
        <v>0</v>
      </c>
      <c r="DH5" s="1546">
        <f t="shared" si="12"/>
        <v>0</v>
      </c>
      <c r="DI5" s="1546">
        <f t="shared" si="12"/>
        <v>0</v>
      </c>
      <c r="DJ5" s="1546">
        <f t="shared" si="12"/>
        <v>0</v>
      </c>
      <c r="DK5" s="1546">
        <f t="shared" si="12"/>
        <v>0</v>
      </c>
      <c r="DL5" s="1546">
        <f t="shared" si="12"/>
        <v>0</v>
      </c>
      <c r="DM5" s="1546">
        <f t="shared" si="12"/>
        <v>0</v>
      </c>
      <c r="DO5" s="1546">
        <f t="shared" si="13"/>
        <v>1</v>
      </c>
      <c r="DP5" s="1546">
        <f t="shared" si="14"/>
        <v>0</v>
      </c>
      <c r="DQ5" s="1546">
        <f t="shared" si="14"/>
        <v>0</v>
      </c>
      <c r="DR5" s="1546">
        <f t="shared" si="14"/>
        <v>0</v>
      </c>
      <c r="DS5" s="1546">
        <f t="shared" si="14"/>
        <v>0</v>
      </c>
      <c r="DT5" s="1546">
        <f t="shared" si="14"/>
        <v>0</v>
      </c>
      <c r="DU5" s="1546">
        <f t="shared" si="14"/>
        <v>0</v>
      </c>
      <c r="DV5" s="1546">
        <f t="shared" si="14"/>
        <v>0</v>
      </c>
      <c r="DX5" s="1546">
        <f t="shared" si="15"/>
        <v>0</v>
      </c>
      <c r="DY5" s="1546">
        <f t="shared" si="16"/>
        <v>0</v>
      </c>
      <c r="DZ5" s="1546">
        <f t="shared" si="16"/>
        <v>0</v>
      </c>
      <c r="EA5" s="1546">
        <f t="shared" si="16"/>
        <v>1</v>
      </c>
      <c r="EB5" s="1546">
        <f t="shared" si="16"/>
        <v>0</v>
      </c>
      <c r="EC5" s="1546">
        <f t="shared" si="16"/>
        <v>0</v>
      </c>
      <c r="ED5" s="1546">
        <f t="shared" si="16"/>
        <v>0</v>
      </c>
      <c r="EE5" s="1546">
        <f t="shared" si="16"/>
        <v>0</v>
      </c>
      <c r="EG5" s="1546">
        <f t="shared" si="17"/>
        <v>1</v>
      </c>
      <c r="EH5" s="1546">
        <f t="shared" si="18"/>
        <v>0</v>
      </c>
      <c r="EI5" s="1546">
        <f t="shared" si="18"/>
        <v>0</v>
      </c>
      <c r="EJ5" s="1546">
        <f t="shared" si="18"/>
        <v>0</v>
      </c>
      <c r="EK5" s="1546">
        <f t="shared" si="18"/>
        <v>0</v>
      </c>
      <c r="EL5" s="1546">
        <f t="shared" si="18"/>
        <v>0</v>
      </c>
      <c r="EM5" s="1546">
        <f t="shared" si="18"/>
        <v>0</v>
      </c>
      <c r="EN5" s="1546">
        <f t="shared" si="18"/>
        <v>0</v>
      </c>
      <c r="EP5" s="1546">
        <f t="shared" si="19"/>
        <v>1</v>
      </c>
      <c r="EQ5" s="1546">
        <f t="shared" si="20"/>
        <v>0</v>
      </c>
      <c r="ER5" s="1546">
        <f t="shared" si="20"/>
        <v>0</v>
      </c>
      <c r="ES5" s="1546">
        <f t="shared" si="20"/>
        <v>0</v>
      </c>
      <c r="ET5" s="1546">
        <f t="shared" si="20"/>
        <v>0</v>
      </c>
      <c r="EU5" s="1546">
        <f t="shared" si="20"/>
        <v>0</v>
      </c>
      <c r="EV5" s="1546">
        <f t="shared" si="20"/>
        <v>0</v>
      </c>
      <c r="EW5" s="1546">
        <f t="shared" si="20"/>
        <v>0</v>
      </c>
    </row>
    <row r="6" spans="1:153" ht="28.5" customHeight="1" x14ac:dyDescent="0.3">
      <c r="A6" s="334">
        <v>3</v>
      </c>
      <c r="B6" s="902" t="s">
        <v>4537</v>
      </c>
      <c r="C6" s="902" t="s">
        <v>2068</v>
      </c>
      <c r="D6" s="902" t="s">
        <v>2065</v>
      </c>
      <c r="E6" s="334" t="str">
        <f>IF($C6="","",VLOOKUP($A6&amp;"."&amp;E$2,'Equipment Weight Calc'!$L:$M,2,0))</f>
        <v>ASME VIII div.1</v>
      </c>
      <c r="F6" s="334" t="str">
        <f>IF($C6="","",VLOOKUP($A6&amp;"."&amp;F$2,'Equipment Weight Calc'!$L:$M,2,0))</f>
        <v>Vertical</v>
      </c>
      <c r="G6" s="334">
        <f>IF($C6="","",VLOOKUP($A6&amp;"."&amp;G$2,'Equipment Weight Calc'!$L:$M,2,0))</f>
        <v>300</v>
      </c>
      <c r="H6" s="334">
        <f>IF($C6="","",VLOOKUP($A6&amp;"."&amp;H$2,'Equipment Weight Calc'!$L:$M,2,0))</f>
        <v>18</v>
      </c>
      <c r="I6" s="334" t="str">
        <f>IF($C6="","",VLOOKUP($A6&amp;"."&amp;I$2,'Equipment Weight Calc'!$L:$M,2,0))</f>
        <v>SA-240 Gr.316L</v>
      </c>
      <c r="J6" s="683">
        <v>0</v>
      </c>
      <c r="K6" s="663">
        <f>IF($C6="","",VLOOKUP($A6&amp;"."&amp;K$2,'Equipment Weight Calc'!$L:$M,2,0))</f>
        <v>1150</v>
      </c>
      <c r="L6" s="334">
        <f>IF($C6="","",VLOOKUP($A6&amp;"."&amp;L$2,'Equipment Weight Calc'!$L:$M,2,0))</f>
        <v>4650</v>
      </c>
      <c r="M6" s="663">
        <f>IF($C6="","",VLOOKUP($A6&amp;"."&amp;M$2,'Equipment Weight Calc'!$L:$M,2,0))</f>
        <v>12</v>
      </c>
      <c r="N6" s="334">
        <f>IF($C6="","",VLOOKUP($A6&amp;"."&amp;N$2,'Equipment Weight Calc'!$L:$M,2,0))</f>
        <v>3500</v>
      </c>
      <c r="O6" s="683">
        <v>3</v>
      </c>
      <c r="P6" s="680" t="s">
        <v>1664</v>
      </c>
      <c r="Q6" s="513">
        <f>IF($C6="","",VLOOKUP($A6&amp;"."&amp;Q$2,'Equipment Weight Calc'!$L:$M,2,0))</f>
        <v>40.642243492246003</v>
      </c>
      <c r="R6" s="513">
        <f t="shared" si="21"/>
        <v>121.92673047673802</v>
      </c>
      <c r="S6" s="334">
        <f t="shared" si="0"/>
        <v>10500</v>
      </c>
      <c r="T6" s="692">
        <v>22</v>
      </c>
      <c r="U6" s="488">
        <f>IFERROR(T6*N6,"")</f>
        <v>77000</v>
      </c>
      <c r="V6" s="488">
        <f>IFERROR(T6*S6,"")</f>
        <v>231000</v>
      </c>
      <c r="X6" s="683"/>
      <c r="Y6" s="334">
        <f t="shared" si="23"/>
        <v>0</v>
      </c>
      <c r="Z6" s="746"/>
      <c r="AA6" s="488">
        <f t="shared" si="24"/>
        <v>0</v>
      </c>
      <c r="AC6" s="821"/>
      <c r="AD6" s="822"/>
      <c r="AE6" s="822"/>
      <c r="AF6" s="814">
        <f t="shared" si="25"/>
        <v>0</v>
      </c>
      <c r="AG6" s="814">
        <f t="shared" si="26"/>
        <v>0</v>
      </c>
      <c r="AH6" s="816">
        <v>18</v>
      </c>
      <c r="AI6" s="818">
        <f t="shared" si="27"/>
        <v>0</v>
      </c>
      <c r="AK6" s="1546">
        <f t="shared" si="28"/>
        <v>0</v>
      </c>
      <c r="AL6" s="1546">
        <f t="shared" si="2"/>
        <v>0</v>
      </c>
      <c r="AM6" s="1546">
        <f t="shared" si="2"/>
        <v>0</v>
      </c>
      <c r="AN6" s="1546">
        <f t="shared" si="2"/>
        <v>0</v>
      </c>
      <c r="AO6" s="1546">
        <f t="shared" si="2"/>
        <v>0</v>
      </c>
      <c r="AP6" s="1546">
        <f t="shared" si="2"/>
        <v>0</v>
      </c>
      <c r="AQ6" s="1546">
        <f t="shared" si="2"/>
        <v>0</v>
      </c>
      <c r="AR6" s="1546">
        <f t="shared" si="2"/>
        <v>0</v>
      </c>
      <c r="AS6" s="1546">
        <f t="shared" si="2"/>
        <v>0</v>
      </c>
      <c r="AT6" s="1546">
        <f t="shared" si="2"/>
        <v>0</v>
      </c>
      <c r="AU6" s="1546">
        <f t="shared" si="2"/>
        <v>0</v>
      </c>
      <c r="AV6" s="1546">
        <f t="shared" si="2"/>
        <v>0</v>
      </c>
      <c r="AW6" s="1546">
        <f t="shared" si="2"/>
        <v>0</v>
      </c>
      <c r="AX6" s="1546">
        <f t="shared" si="2"/>
        <v>0</v>
      </c>
      <c r="AY6" s="1546">
        <f t="shared" si="2"/>
        <v>0</v>
      </c>
      <c r="AZ6" s="1546">
        <f t="shared" si="2"/>
        <v>0</v>
      </c>
      <c r="BA6" s="1546">
        <f t="shared" si="29"/>
        <v>0</v>
      </c>
      <c r="BC6" s="663">
        <f>IF($C6="","",VLOOKUP($A6&amp;"."&amp;BC$3,'Equipment Weight Calc'!$L:$M,2,0))</f>
        <v>100</v>
      </c>
      <c r="BD6" s="663">
        <f>IF($C6="","",VLOOKUP($A6&amp;"."&amp;BD$3,'Equipment Weight Calc'!$L:$M,2,0))</f>
        <v>100</v>
      </c>
      <c r="BE6" s="663">
        <f>IF($C6="","",VLOOKUP($A6&amp;"."&amp;BE$3,'Equipment Weight Calc'!$L:$M,2,0))</f>
        <v>100</v>
      </c>
      <c r="BF6" s="663">
        <f>IF($C6="","",VLOOKUP($A6&amp;"."&amp;BF$3,'Equipment Weight Calc'!$L:$M,2,0))</f>
        <v>20.061774000000003</v>
      </c>
      <c r="BG6" s="663">
        <f>IF($C6="","",VLOOKUP($A6&amp;"."&amp;BG$3,'Equipment Weight Calc'!$L:$M,2,0))</f>
        <v>3.4234446600000004</v>
      </c>
      <c r="BH6" s="663">
        <f>IF($C6="","",VLOOKUP($A6&amp;"."&amp;BH$3,'Equipment Weight Calc'!$L:$M,2,0))</f>
        <v>0</v>
      </c>
      <c r="BI6" s="663">
        <f>IF($C6="","",VLOOKUP($A6&amp;"."&amp;BI$3,'Equipment Weight Calc'!$L:$M,2,0))</f>
        <v>0</v>
      </c>
      <c r="BJ6" s="663">
        <f>IF($C6="","",VLOOKUP($A6&amp;"."&amp;BJ$3,'Equipment Weight Calc'!$L:$M,2,0))</f>
        <v>0</v>
      </c>
      <c r="BK6" s="663">
        <f>IF($C6="","",VLOOKUP($A6&amp;"."&amp;BK$3,'Equipment Weight Calc'!$L:$M,2,0))</f>
        <v>0</v>
      </c>
      <c r="BL6" s="663">
        <f>IF($C6="","",VLOOKUP($A6&amp;"."&amp;BL$3,'Equipment Weight Calc'!$L:$M,2,0))</f>
        <v>0</v>
      </c>
      <c r="BM6" s="663">
        <f>IF($C6="","",VLOOKUP($A6&amp;"."&amp;BM$3,'Equipment Weight Calc'!$L:$M,2,0))</f>
        <v>0</v>
      </c>
      <c r="BN6" s="663">
        <f>IF($C6="","",VLOOKUP($A6&amp;"."&amp;BN$3,'Equipment Weight Calc'!$L:$M,2,0))</f>
        <v>0</v>
      </c>
      <c r="BO6" s="663">
        <f>IF($C6="","",VLOOKUP($A6&amp;"."&amp;BO$3,'Equipment Weight Calc'!$L:$M,2,0))</f>
        <v>0</v>
      </c>
      <c r="BP6" s="663">
        <f>IF($C6="","",VLOOKUP($A6&amp;"."&amp;BP$3,'Equipment Weight Calc'!$L:$M,2,0))</f>
        <v>0</v>
      </c>
      <c r="BQ6" s="663">
        <f>IF($C6="","",VLOOKUP($A6&amp;"."&amp;BQ$3,'Equipment Weight Calc'!$L:$M,2,0))</f>
        <v>0</v>
      </c>
      <c r="BR6" s="663">
        <f>IF($C6="","",VLOOKUP($A6&amp;"."&amp;BR$3,'Equipment Weight Calc'!$L:$M,2,0))</f>
        <v>0</v>
      </c>
      <c r="BS6" s="663">
        <f>IF($C6="","",VLOOKUP($A6&amp;"."&amp;BS$3,'Equipment Weight Calc'!$L:$M,2,0))</f>
        <v>0</v>
      </c>
      <c r="BT6" s="663">
        <f>IF($C6="","",VLOOKUP($A6&amp;"."&amp;BT$3,'Equipment Weight Calc'!$L:$M,2,0))</f>
        <v>0</v>
      </c>
      <c r="BV6" s="1546">
        <f t="shared" si="3"/>
        <v>0</v>
      </c>
      <c r="BW6" s="1546">
        <f t="shared" si="4"/>
        <v>0</v>
      </c>
      <c r="BX6" s="1546">
        <f t="shared" si="4"/>
        <v>0</v>
      </c>
      <c r="BY6" s="1546">
        <f t="shared" si="4"/>
        <v>1</v>
      </c>
      <c r="BZ6" s="1546">
        <f t="shared" si="4"/>
        <v>0</v>
      </c>
      <c r="CA6" s="1546">
        <f t="shared" si="4"/>
        <v>0</v>
      </c>
      <c r="CB6" s="1546">
        <f t="shared" si="4"/>
        <v>0</v>
      </c>
      <c r="CC6" s="1546">
        <f t="shared" si="4"/>
        <v>0</v>
      </c>
      <c r="CE6" s="1546">
        <f t="shared" si="5"/>
        <v>1</v>
      </c>
      <c r="CF6" s="1546">
        <f t="shared" si="6"/>
        <v>0</v>
      </c>
      <c r="CG6" s="1546">
        <f t="shared" si="6"/>
        <v>0</v>
      </c>
      <c r="CH6" s="1546">
        <f t="shared" si="6"/>
        <v>0</v>
      </c>
      <c r="CI6" s="1546">
        <f t="shared" si="6"/>
        <v>0</v>
      </c>
      <c r="CJ6" s="1546">
        <f t="shared" si="6"/>
        <v>0</v>
      </c>
      <c r="CK6" s="1546">
        <f t="shared" si="6"/>
        <v>0</v>
      </c>
      <c r="CL6" s="1546">
        <f t="shared" si="6"/>
        <v>0</v>
      </c>
      <c r="CN6" s="1546">
        <f t="shared" si="7"/>
        <v>1</v>
      </c>
      <c r="CO6" s="1546">
        <f t="shared" si="8"/>
        <v>0</v>
      </c>
      <c r="CP6" s="1546">
        <f t="shared" si="8"/>
        <v>0</v>
      </c>
      <c r="CQ6" s="1546">
        <f t="shared" si="8"/>
        <v>0</v>
      </c>
      <c r="CR6" s="1546">
        <f t="shared" si="8"/>
        <v>0</v>
      </c>
      <c r="CS6" s="1546">
        <f t="shared" si="8"/>
        <v>0</v>
      </c>
      <c r="CT6" s="1546">
        <f t="shared" si="8"/>
        <v>0</v>
      </c>
      <c r="CU6" s="1546">
        <f t="shared" si="8"/>
        <v>0</v>
      </c>
      <c r="CW6" s="1546">
        <f t="shared" si="9"/>
        <v>0</v>
      </c>
      <c r="CX6" s="1546">
        <f t="shared" si="10"/>
        <v>0</v>
      </c>
      <c r="CY6" s="1546">
        <f t="shared" si="10"/>
        <v>0</v>
      </c>
      <c r="CZ6" s="1546">
        <f t="shared" si="10"/>
        <v>1</v>
      </c>
      <c r="DA6" s="1546">
        <f t="shared" si="10"/>
        <v>0</v>
      </c>
      <c r="DB6" s="1546">
        <f t="shared" si="10"/>
        <v>0</v>
      </c>
      <c r="DC6" s="1546">
        <f t="shared" si="10"/>
        <v>0</v>
      </c>
      <c r="DD6" s="1546">
        <f t="shared" si="10"/>
        <v>0</v>
      </c>
      <c r="DF6" s="1546">
        <f t="shared" si="11"/>
        <v>1</v>
      </c>
      <c r="DG6" s="1546">
        <f t="shared" si="12"/>
        <v>0</v>
      </c>
      <c r="DH6" s="1546">
        <f t="shared" si="12"/>
        <v>0</v>
      </c>
      <c r="DI6" s="1546">
        <f t="shared" si="12"/>
        <v>0</v>
      </c>
      <c r="DJ6" s="1546">
        <f t="shared" si="12"/>
        <v>0</v>
      </c>
      <c r="DK6" s="1546">
        <f t="shared" si="12"/>
        <v>0</v>
      </c>
      <c r="DL6" s="1546">
        <f t="shared" si="12"/>
        <v>0</v>
      </c>
      <c r="DM6" s="1546">
        <f t="shared" si="12"/>
        <v>0</v>
      </c>
      <c r="DO6" s="1546">
        <f t="shared" si="13"/>
        <v>1</v>
      </c>
      <c r="DP6" s="1546">
        <f t="shared" si="14"/>
        <v>0</v>
      </c>
      <c r="DQ6" s="1546">
        <f t="shared" si="14"/>
        <v>0</v>
      </c>
      <c r="DR6" s="1546">
        <f t="shared" si="14"/>
        <v>0</v>
      </c>
      <c r="DS6" s="1546">
        <f t="shared" si="14"/>
        <v>0</v>
      </c>
      <c r="DT6" s="1546">
        <f t="shared" si="14"/>
        <v>0</v>
      </c>
      <c r="DU6" s="1546">
        <f t="shared" si="14"/>
        <v>0</v>
      </c>
      <c r="DV6" s="1546">
        <f t="shared" si="14"/>
        <v>0</v>
      </c>
      <c r="DX6" s="1546">
        <f t="shared" si="15"/>
        <v>0</v>
      </c>
      <c r="DY6" s="1546">
        <f t="shared" si="16"/>
        <v>0</v>
      </c>
      <c r="DZ6" s="1546">
        <f t="shared" si="16"/>
        <v>0</v>
      </c>
      <c r="EA6" s="1546">
        <f t="shared" si="16"/>
        <v>1</v>
      </c>
      <c r="EB6" s="1546">
        <f t="shared" si="16"/>
        <v>0</v>
      </c>
      <c r="EC6" s="1546">
        <f t="shared" si="16"/>
        <v>0</v>
      </c>
      <c r="ED6" s="1546">
        <f t="shared" si="16"/>
        <v>0</v>
      </c>
      <c r="EE6" s="1546">
        <f t="shared" si="16"/>
        <v>0</v>
      </c>
      <c r="EG6" s="1546">
        <f t="shared" si="17"/>
        <v>1</v>
      </c>
      <c r="EH6" s="1546">
        <f t="shared" si="18"/>
        <v>0</v>
      </c>
      <c r="EI6" s="1546">
        <f t="shared" si="18"/>
        <v>0</v>
      </c>
      <c r="EJ6" s="1546">
        <f t="shared" si="18"/>
        <v>0</v>
      </c>
      <c r="EK6" s="1546">
        <f t="shared" si="18"/>
        <v>0</v>
      </c>
      <c r="EL6" s="1546">
        <f t="shared" si="18"/>
        <v>0</v>
      </c>
      <c r="EM6" s="1546">
        <f t="shared" si="18"/>
        <v>0</v>
      </c>
      <c r="EN6" s="1546">
        <f t="shared" si="18"/>
        <v>0</v>
      </c>
      <c r="EP6" s="1546">
        <f t="shared" si="19"/>
        <v>1</v>
      </c>
      <c r="EQ6" s="1546">
        <f t="shared" si="20"/>
        <v>0</v>
      </c>
      <c r="ER6" s="1546">
        <f t="shared" si="20"/>
        <v>0</v>
      </c>
      <c r="ES6" s="1546">
        <f t="shared" si="20"/>
        <v>0</v>
      </c>
      <c r="ET6" s="1546">
        <f t="shared" si="20"/>
        <v>0</v>
      </c>
      <c r="EU6" s="1546">
        <f t="shared" si="20"/>
        <v>0</v>
      </c>
      <c r="EV6" s="1546">
        <f t="shared" si="20"/>
        <v>0</v>
      </c>
      <c r="EW6" s="1546">
        <f t="shared" si="20"/>
        <v>0</v>
      </c>
    </row>
    <row r="7" spans="1:153" ht="32.25" customHeight="1" x14ac:dyDescent="0.3">
      <c r="A7" s="334">
        <v>4</v>
      </c>
      <c r="B7" s="1330" t="s">
        <v>4563</v>
      </c>
      <c r="C7" s="902" t="s">
        <v>2067</v>
      </c>
      <c r="D7" s="902" t="s">
        <v>2065</v>
      </c>
      <c r="E7" s="334" t="str">
        <f>IF($C7="","",VLOOKUP($A7&amp;"."&amp;E$2,'Equipment Weight Calc'!$L:$M,2,0))</f>
        <v>ASME VIII div.1</v>
      </c>
      <c r="F7" s="334" t="str">
        <f>IF($C7="","",VLOOKUP($A7&amp;"."&amp;F$2,'Equipment Weight Calc'!$L:$M,2,0))</f>
        <v>Vertical</v>
      </c>
      <c r="G7" s="334">
        <f>IF($C7="","",VLOOKUP($A7&amp;"."&amp;G$2,'Equipment Weight Calc'!$L:$M,2,0))</f>
        <v>100</v>
      </c>
      <c r="H7" s="334">
        <f>IF($C7="","",VLOOKUP($A7&amp;"."&amp;H$2,'Equipment Weight Calc'!$L:$M,2,0))</f>
        <v>18</v>
      </c>
      <c r="I7" s="334" t="str">
        <f>IF($C7="","",VLOOKUP($A7&amp;"."&amp;I$2,'Equipment Weight Calc'!$L:$M,2,0))</f>
        <v>SA-240 Gr.316L</v>
      </c>
      <c r="J7" s="683">
        <v>0</v>
      </c>
      <c r="K7" s="663">
        <f>IF($C7="","",VLOOKUP($A7&amp;"."&amp;K$2,'Equipment Weight Calc'!$L:$M,2,0))</f>
        <v>400</v>
      </c>
      <c r="L7" s="334">
        <f>IF($C7="","",VLOOKUP($A7&amp;"."&amp;L$2,'Equipment Weight Calc'!$L:$M,2,0))</f>
        <v>1900</v>
      </c>
      <c r="M7" s="663">
        <f>IF($C7="","",VLOOKUP($A7&amp;"."&amp;M$2,'Equipment Weight Calc'!$L:$M,2,0))</f>
        <v>9.52</v>
      </c>
      <c r="N7" s="334">
        <f>IF($C7="","",VLOOKUP($A7&amp;"."&amp;N$2,'Equipment Weight Calc'!$L:$M,2,0))</f>
        <v>675</v>
      </c>
      <c r="O7" s="683">
        <v>1</v>
      </c>
      <c r="P7" s="680" t="s">
        <v>1664</v>
      </c>
      <c r="Q7" s="513">
        <f>IF($C7="","",VLOOKUP($A7&amp;"."&amp;Q$2,'Equipment Weight Calc'!$L:$M,2,0))</f>
        <v>7.8603711576786361</v>
      </c>
      <c r="R7" s="513">
        <f t="shared" si="21"/>
        <v>7.8603711576786361</v>
      </c>
      <c r="S7" s="334">
        <f t="shared" si="0"/>
        <v>675</v>
      </c>
      <c r="T7" s="692">
        <v>24</v>
      </c>
      <c r="U7" s="488">
        <f>IFERROR(T7*N7,"")</f>
        <v>16200</v>
      </c>
      <c r="V7" s="488">
        <f>IFERROR(T7*S7,"")</f>
        <v>16200</v>
      </c>
      <c r="X7" s="683"/>
      <c r="Y7" s="334">
        <f t="shared" si="23"/>
        <v>0</v>
      </c>
      <c r="Z7" s="746"/>
      <c r="AA7" s="488">
        <f t="shared" si="24"/>
        <v>0</v>
      </c>
      <c r="AC7" s="821"/>
      <c r="AD7" s="822"/>
      <c r="AE7" s="822"/>
      <c r="AF7" s="814">
        <f t="shared" si="25"/>
        <v>0</v>
      </c>
      <c r="AG7" s="814">
        <f t="shared" si="26"/>
        <v>0</v>
      </c>
      <c r="AH7" s="816">
        <v>18</v>
      </c>
      <c r="AI7" s="818">
        <f t="shared" si="27"/>
        <v>0</v>
      </c>
      <c r="AK7" s="1546">
        <f t="shared" si="28"/>
        <v>0</v>
      </c>
      <c r="AL7" s="1546">
        <f t="shared" si="2"/>
        <v>0</v>
      </c>
      <c r="AM7" s="1546">
        <f t="shared" si="2"/>
        <v>0</v>
      </c>
      <c r="AN7" s="1546">
        <f t="shared" si="2"/>
        <v>0</v>
      </c>
      <c r="AO7" s="1546">
        <f t="shared" si="2"/>
        <v>0</v>
      </c>
      <c r="AP7" s="1546">
        <f t="shared" si="2"/>
        <v>0</v>
      </c>
      <c r="AQ7" s="1546">
        <f t="shared" si="2"/>
        <v>0</v>
      </c>
      <c r="AR7" s="1546">
        <f t="shared" si="2"/>
        <v>0</v>
      </c>
      <c r="AS7" s="1546">
        <f t="shared" si="2"/>
        <v>0</v>
      </c>
      <c r="AT7" s="1546">
        <f t="shared" si="2"/>
        <v>0</v>
      </c>
      <c r="AU7" s="1546">
        <f t="shared" si="2"/>
        <v>0</v>
      </c>
      <c r="AV7" s="1546">
        <f t="shared" si="2"/>
        <v>0</v>
      </c>
      <c r="AW7" s="1546">
        <f t="shared" si="2"/>
        <v>0</v>
      </c>
      <c r="AX7" s="1546">
        <f t="shared" si="2"/>
        <v>0</v>
      </c>
      <c r="AY7" s="1546">
        <f t="shared" si="2"/>
        <v>0</v>
      </c>
      <c r="AZ7" s="1546">
        <f t="shared" si="2"/>
        <v>0</v>
      </c>
      <c r="BA7" s="1546">
        <f t="shared" si="29"/>
        <v>0</v>
      </c>
      <c r="BC7" s="663">
        <f>IF($C7="","",VLOOKUP($A7&amp;"."&amp;BC$3,'Equipment Weight Calc'!$L:$M,2,0))</f>
        <v>0</v>
      </c>
      <c r="BD7" s="663">
        <f>IF($C7="","",VLOOKUP($A7&amp;"."&amp;BD$3,'Equipment Weight Calc'!$L:$M,2,0))</f>
        <v>0</v>
      </c>
      <c r="BE7" s="663">
        <f>IF($C7="","",VLOOKUP($A7&amp;"."&amp;BE$3,'Equipment Weight Calc'!$L:$M,2,0))</f>
        <v>0</v>
      </c>
      <c r="BF7" s="663">
        <f>IF($C7="","",VLOOKUP($A7&amp;"."&amp;BF$3,'Equipment Weight Calc'!$L:$M,2,0))</f>
        <v>2.4999926400000003</v>
      </c>
      <c r="BG7" s="663">
        <f>IF($C7="","",VLOOKUP($A7&amp;"."&amp;BG$3,'Equipment Weight Calc'!$L:$M,2,0))</f>
        <v>0.33520953945599996</v>
      </c>
      <c r="BH7" s="663">
        <f>IF($C7="","",VLOOKUP($A7&amp;"."&amp;BH$3,'Equipment Weight Calc'!$L:$M,2,0))</f>
        <v>0</v>
      </c>
      <c r="BI7" s="663">
        <f>IF($C7="","",VLOOKUP($A7&amp;"."&amp;BI$3,'Equipment Weight Calc'!$L:$M,2,0))</f>
        <v>0</v>
      </c>
      <c r="BJ7" s="663">
        <f>IF($C7="","",VLOOKUP($A7&amp;"."&amp;BJ$3,'Equipment Weight Calc'!$L:$M,2,0))</f>
        <v>0</v>
      </c>
      <c r="BK7" s="663">
        <f>IF($C7="","",VLOOKUP($A7&amp;"."&amp;BK$3,'Equipment Weight Calc'!$L:$M,2,0))</f>
        <v>0</v>
      </c>
      <c r="BL7" s="663">
        <f>IF($C7="","",VLOOKUP($A7&amp;"."&amp;BL$3,'Equipment Weight Calc'!$L:$M,2,0))</f>
        <v>0</v>
      </c>
      <c r="BM7" s="663">
        <f>IF($C7="","",VLOOKUP($A7&amp;"."&amp;BM$3,'Equipment Weight Calc'!$L:$M,2,0))</f>
        <v>0</v>
      </c>
      <c r="BN7" s="663">
        <f>IF($C7="","",VLOOKUP($A7&amp;"."&amp;BN$3,'Equipment Weight Calc'!$L:$M,2,0))</f>
        <v>0</v>
      </c>
      <c r="BO7" s="663">
        <f>IF($C7="","",VLOOKUP($A7&amp;"."&amp;BO$3,'Equipment Weight Calc'!$L:$M,2,0))</f>
        <v>0</v>
      </c>
      <c r="BP7" s="663">
        <f>IF($C7="","",VLOOKUP($A7&amp;"."&amp;BP$3,'Equipment Weight Calc'!$L:$M,2,0))</f>
        <v>0</v>
      </c>
      <c r="BQ7" s="663">
        <f>IF($C7="","",VLOOKUP($A7&amp;"."&amp;BQ$3,'Equipment Weight Calc'!$L:$M,2,0))</f>
        <v>0</v>
      </c>
      <c r="BR7" s="663">
        <f>IF($C7="","",VLOOKUP($A7&amp;"."&amp;BR$3,'Equipment Weight Calc'!$L:$M,2,0))</f>
        <v>0</v>
      </c>
      <c r="BS7" s="663">
        <f>IF($C7="","",VLOOKUP($A7&amp;"."&amp;BS$3,'Equipment Weight Calc'!$L:$M,2,0))</f>
        <v>0</v>
      </c>
      <c r="BT7" s="663">
        <f>IF($C7="","",VLOOKUP($A7&amp;"."&amp;BT$3,'Equipment Weight Calc'!$L:$M,2,0))</f>
        <v>0</v>
      </c>
      <c r="BV7" s="1546">
        <f t="shared" si="3"/>
        <v>1</v>
      </c>
      <c r="BW7" s="1546">
        <f t="shared" si="4"/>
        <v>0</v>
      </c>
      <c r="BX7" s="1546">
        <f t="shared" si="4"/>
        <v>0</v>
      </c>
      <c r="BY7" s="1546">
        <f t="shared" si="4"/>
        <v>0</v>
      </c>
      <c r="BZ7" s="1546">
        <f t="shared" si="4"/>
        <v>0</v>
      </c>
      <c r="CA7" s="1546">
        <f t="shared" si="4"/>
        <v>0</v>
      </c>
      <c r="CB7" s="1546">
        <f t="shared" si="4"/>
        <v>0</v>
      </c>
      <c r="CC7" s="1546">
        <f t="shared" si="4"/>
        <v>0</v>
      </c>
      <c r="CE7" s="1546">
        <f t="shared" si="5"/>
        <v>1</v>
      </c>
      <c r="CF7" s="1546">
        <f t="shared" si="6"/>
        <v>0</v>
      </c>
      <c r="CG7" s="1546">
        <f t="shared" si="6"/>
        <v>0</v>
      </c>
      <c r="CH7" s="1546">
        <f t="shared" si="6"/>
        <v>0</v>
      </c>
      <c r="CI7" s="1546">
        <f t="shared" si="6"/>
        <v>0</v>
      </c>
      <c r="CJ7" s="1546">
        <f t="shared" si="6"/>
        <v>0</v>
      </c>
      <c r="CK7" s="1546">
        <f t="shared" si="6"/>
        <v>0</v>
      </c>
      <c r="CL7" s="1546">
        <f t="shared" si="6"/>
        <v>0</v>
      </c>
      <c r="CN7" s="1546">
        <f t="shared" si="7"/>
        <v>1</v>
      </c>
      <c r="CO7" s="1546">
        <f t="shared" si="8"/>
        <v>0</v>
      </c>
      <c r="CP7" s="1546">
        <f t="shared" si="8"/>
        <v>0</v>
      </c>
      <c r="CQ7" s="1546">
        <f t="shared" si="8"/>
        <v>0</v>
      </c>
      <c r="CR7" s="1546">
        <f t="shared" si="8"/>
        <v>0</v>
      </c>
      <c r="CS7" s="1546">
        <f t="shared" si="8"/>
        <v>0</v>
      </c>
      <c r="CT7" s="1546">
        <f t="shared" si="8"/>
        <v>0</v>
      </c>
      <c r="CU7" s="1546">
        <f t="shared" si="8"/>
        <v>0</v>
      </c>
      <c r="CW7" s="1546">
        <f t="shared" si="9"/>
        <v>1</v>
      </c>
      <c r="CX7" s="1546">
        <f t="shared" si="10"/>
        <v>0</v>
      </c>
      <c r="CY7" s="1546">
        <f t="shared" si="10"/>
        <v>0</v>
      </c>
      <c r="CZ7" s="1546">
        <f t="shared" si="10"/>
        <v>0</v>
      </c>
      <c r="DA7" s="1546">
        <f t="shared" si="10"/>
        <v>0</v>
      </c>
      <c r="DB7" s="1546">
        <f t="shared" si="10"/>
        <v>0</v>
      </c>
      <c r="DC7" s="1546">
        <f t="shared" si="10"/>
        <v>0</v>
      </c>
      <c r="DD7" s="1546">
        <f t="shared" si="10"/>
        <v>0</v>
      </c>
      <c r="DF7" s="1546">
        <f t="shared" si="11"/>
        <v>1</v>
      </c>
      <c r="DG7" s="1546">
        <f t="shared" si="12"/>
        <v>0</v>
      </c>
      <c r="DH7" s="1546">
        <f t="shared" si="12"/>
        <v>0</v>
      </c>
      <c r="DI7" s="1546">
        <f t="shared" si="12"/>
        <v>0</v>
      </c>
      <c r="DJ7" s="1546">
        <f t="shared" si="12"/>
        <v>0</v>
      </c>
      <c r="DK7" s="1546">
        <f t="shared" si="12"/>
        <v>0</v>
      </c>
      <c r="DL7" s="1546">
        <f t="shared" si="12"/>
        <v>0</v>
      </c>
      <c r="DM7" s="1546">
        <f t="shared" si="12"/>
        <v>0</v>
      </c>
      <c r="DO7" s="1546">
        <f t="shared" si="13"/>
        <v>1</v>
      </c>
      <c r="DP7" s="1546">
        <f t="shared" si="14"/>
        <v>0</v>
      </c>
      <c r="DQ7" s="1546">
        <f t="shared" si="14"/>
        <v>0</v>
      </c>
      <c r="DR7" s="1546">
        <f t="shared" si="14"/>
        <v>0</v>
      </c>
      <c r="DS7" s="1546">
        <f t="shared" si="14"/>
        <v>0</v>
      </c>
      <c r="DT7" s="1546">
        <f t="shared" si="14"/>
        <v>0</v>
      </c>
      <c r="DU7" s="1546">
        <f t="shared" si="14"/>
        <v>0</v>
      </c>
      <c r="DV7" s="1546">
        <f t="shared" si="14"/>
        <v>0</v>
      </c>
      <c r="DX7" s="1546">
        <f t="shared" si="15"/>
        <v>1</v>
      </c>
      <c r="DY7" s="1546">
        <f t="shared" si="16"/>
        <v>0</v>
      </c>
      <c r="DZ7" s="1546">
        <f t="shared" si="16"/>
        <v>0</v>
      </c>
      <c r="EA7" s="1546">
        <f t="shared" si="16"/>
        <v>0</v>
      </c>
      <c r="EB7" s="1546">
        <f t="shared" si="16"/>
        <v>0</v>
      </c>
      <c r="EC7" s="1546">
        <f t="shared" si="16"/>
        <v>0</v>
      </c>
      <c r="ED7" s="1546">
        <f t="shared" si="16"/>
        <v>0</v>
      </c>
      <c r="EE7" s="1546">
        <f t="shared" si="16"/>
        <v>0</v>
      </c>
      <c r="EG7" s="1546">
        <f t="shared" si="17"/>
        <v>1</v>
      </c>
      <c r="EH7" s="1546">
        <f t="shared" si="18"/>
        <v>0</v>
      </c>
      <c r="EI7" s="1546">
        <f t="shared" si="18"/>
        <v>0</v>
      </c>
      <c r="EJ7" s="1546">
        <f t="shared" si="18"/>
        <v>0</v>
      </c>
      <c r="EK7" s="1546">
        <f t="shared" si="18"/>
        <v>0</v>
      </c>
      <c r="EL7" s="1546">
        <f t="shared" si="18"/>
        <v>0</v>
      </c>
      <c r="EM7" s="1546">
        <f t="shared" si="18"/>
        <v>0</v>
      </c>
      <c r="EN7" s="1546">
        <f t="shared" si="18"/>
        <v>0</v>
      </c>
      <c r="EP7" s="1546">
        <f t="shared" si="19"/>
        <v>1</v>
      </c>
      <c r="EQ7" s="1546">
        <f t="shared" si="20"/>
        <v>0</v>
      </c>
      <c r="ER7" s="1546">
        <f t="shared" si="20"/>
        <v>0</v>
      </c>
      <c r="ES7" s="1546">
        <f t="shared" si="20"/>
        <v>0</v>
      </c>
      <c r="ET7" s="1546">
        <f t="shared" si="20"/>
        <v>0</v>
      </c>
      <c r="EU7" s="1546">
        <f t="shared" si="20"/>
        <v>0</v>
      </c>
      <c r="EV7" s="1546">
        <f t="shared" si="20"/>
        <v>0</v>
      </c>
      <c r="EW7" s="1546">
        <f t="shared" si="20"/>
        <v>0</v>
      </c>
    </row>
    <row r="8" spans="1:153" ht="32.25" customHeight="1" x14ac:dyDescent="0.3">
      <c r="A8" s="334">
        <v>5</v>
      </c>
      <c r="B8" s="1331"/>
      <c r="C8" s="902"/>
      <c r="D8" s="902"/>
      <c r="E8" s="334" t="str">
        <f>IF($C8="","",VLOOKUP($A8&amp;"."&amp;E$2,'Equipment Weight Calc'!$L:$M,2,0))</f>
        <v/>
      </c>
      <c r="F8" s="334" t="str">
        <f>IF($C8="","",VLOOKUP($A8&amp;"."&amp;F$2,'Equipment Weight Calc'!$L:$M,2,0))</f>
        <v/>
      </c>
      <c r="G8" s="334" t="str">
        <f>IF($C8="","",VLOOKUP($A8&amp;"."&amp;G$2,'Equipment Weight Calc'!$L:$M,2,0))</f>
        <v/>
      </c>
      <c r="H8" s="334" t="str">
        <f>IF($C8="","",VLOOKUP($A8&amp;"."&amp;H$2,'Equipment Weight Calc'!$L:$M,2,0))</f>
        <v/>
      </c>
      <c r="I8" s="334" t="str">
        <f>IF($C8="","",VLOOKUP($A8&amp;"."&amp;I$2,'Equipment Weight Calc'!$L:$M,2,0))</f>
        <v/>
      </c>
      <c r="J8" s="683">
        <v>0</v>
      </c>
      <c r="K8" s="663" t="str">
        <f>IF($C8="","",VLOOKUP($A8&amp;"."&amp;K$2,'Equipment Weight Calc'!$L:$M,2,0))</f>
        <v/>
      </c>
      <c r="L8" s="334" t="str">
        <f>IF($C8="","",VLOOKUP($A8&amp;"."&amp;L$2,'Equipment Weight Calc'!$L:$M,2,0))</f>
        <v/>
      </c>
      <c r="M8" s="663" t="str">
        <f>IF($C8="","",VLOOKUP($A8&amp;"."&amp;M$2,'Equipment Weight Calc'!$L:$M,2,0))</f>
        <v/>
      </c>
      <c r="N8" s="334" t="str">
        <f>IF($C8="","",VLOOKUP($A8&amp;"."&amp;N$2,'Equipment Weight Calc'!$L:$M,2,0))</f>
        <v/>
      </c>
      <c r="O8" s="683"/>
      <c r="P8" s="680"/>
      <c r="Q8" s="513" t="str">
        <f>IF($C8="","",VLOOKUP($A8&amp;"."&amp;Q$2,'Equipment Weight Calc'!$L:$M,2,0))</f>
        <v/>
      </c>
      <c r="R8" s="513" t="str">
        <f t="shared" si="21"/>
        <v/>
      </c>
      <c r="S8" s="334" t="str">
        <f t="shared" si="0"/>
        <v/>
      </c>
      <c r="T8" s="692"/>
      <c r="U8" s="488" t="str">
        <f t="shared" si="1"/>
        <v/>
      </c>
      <c r="V8" s="488" t="str">
        <f t="shared" si="22"/>
        <v/>
      </c>
      <c r="X8" s="683"/>
      <c r="Y8" s="334">
        <f t="shared" si="23"/>
        <v>0</v>
      </c>
      <c r="Z8" s="746"/>
      <c r="AA8" s="488">
        <f t="shared" si="24"/>
        <v>0</v>
      </c>
      <c r="AC8" s="821"/>
      <c r="AD8" s="822"/>
      <c r="AE8" s="822"/>
      <c r="AF8" s="814">
        <f t="shared" si="25"/>
        <v>0</v>
      </c>
      <c r="AG8" s="814">
        <f t="shared" si="26"/>
        <v>0</v>
      </c>
      <c r="AH8" s="816">
        <v>18</v>
      </c>
      <c r="AI8" s="818">
        <f t="shared" si="27"/>
        <v>0</v>
      </c>
      <c r="AK8" s="1546">
        <f t="shared" si="28"/>
        <v>0</v>
      </c>
      <c r="AL8" s="1546">
        <f t="shared" si="2"/>
        <v>0</v>
      </c>
      <c r="AM8" s="1546">
        <f t="shared" si="2"/>
        <v>0</v>
      </c>
      <c r="AN8" s="1546">
        <f t="shared" si="2"/>
        <v>0</v>
      </c>
      <c r="AO8" s="1546">
        <f t="shared" si="2"/>
        <v>0</v>
      </c>
      <c r="AP8" s="1546">
        <f t="shared" si="2"/>
        <v>0</v>
      </c>
      <c r="AQ8" s="1546">
        <f t="shared" si="2"/>
        <v>0</v>
      </c>
      <c r="AR8" s="1546">
        <f t="shared" si="2"/>
        <v>0</v>
      </c>
      <c r="AS8" s="1546">
        <f t="shared" si="2"/>
        <v>0</v>
      </c>
      <c r="AT8" s="1546">
        <f t="shared" si="2"/>
        <v>0</v>
      </c>
      <c r="AU8" s="1546">
        <f t="shared" si="2"/>
        <v>0</v>
      </c>
      <c r="AV8" s="1546">
        <f t="shared" si="2"/>
        <v>0</v>
      </c>
      <c r="AW8" s="1546">
        <f t="shared" si="2"/>
        <v>0</v>
      </c>
      <c r="AX8" s="1546">
        <f t="shared" si="2"/>
        <v>0</v>
      </c>
      <c r="AY8" s="1546">
        <f t="shared" si="2"/>
        <v>0</v>
      </c>
      <c r="AZ8" s="1546">
        <f t="shared" si="2"/>
        <v>0</v>
      </c>
      <c r="BA8" s="1546">
        <f t="shared" si="29"/>
        <v>1</v>
      </c>
      <c r="BC8" s="663" t="str">
        <f>IF($C8="","",VLOOKUP($A8&amp;"."&amp;BC$3,'Equipment Weight Calc'!$L:$M,2,0))</f>
        <v/>
      </c>
      <c r="BD8" s="663" t="str">
        <f>IF($C8="","",VLOOKUP($A8&amp;"."&amp;BD$3,'Equipment Weight Calc'!$L:$M,2,0))</f>
        <v/>
      </c>
      <c r="BE8" s="663" t="str">
        <f>IF($C8="","",VLOOKUP($A8&amp;"."&amp;BE$3,'Equipment Weight Calc'!$L:$M,2,0))</f>
        <v/>
      </c>
      <c r="BF8" s="663" t="str">
        <f>IF($C8="","",VLOOKUP($A8&amp;"."&amp;BF$3,'Equipment Weight Calc'!$L:$M,2,0))</f>
        <v/>
      </c>
      <c r="BG8" s="663" t="str">
        <f>IF($C8="","",VLOOKUP($A8&amp;"."&amp;BG$3,'Equipment Weight Calc'!$L:$M,2,0))</f>
        <v/>
      </c>
      <c r="BH8" s="663" t="str">
        <f>IF($C8="","",VLOOKUP($A8&amp;"."&amp;BH$3,'Equipment Weight Calc'!$L:$M,2,0))</f>
        <v/>
      </c>
      <c r="BI8" s="663" t="str">
        <f>IF($C8="","",VLOOKUP($A8&amp;"."&amp;BI$3,'Equipment Weight Calc'!$L:$M,2,0))</f>
        <v/>
      </c>
      <c r="BJ8" s="663" t="str">
        <f>IF($C8="","",VLOOKUP($A8&amp;"."&amp;BJ$3,'Equipment Weight Calc'!$L:$M,2,0))</f>
        <v/>
      </c>
      <c r="BK8" s="663" t="str">
        <f>IF($C8="","",VLOOKUP($A8&amp;"."&amp;BK$3,'Equipment Weight Calc'!$L:$M,2,0))</f>
        <v/>
      </c>
      <c r="BL8" s="663" t="str">
        <f>IF($C8="","",VLOOKUP($A8&amp;"."&amp;BL$3,'Equipment Weight Calc'!$L:$M,2,0))</f>
        <v/>
      </c>
      <c r="BM8" s="663" t="str">
        <f>IF($C8="","",VLOOKUP($A8&amp;"."&amp;BM$3,'Equipment Weight Calc'!$L:$M,2,0))</f>
        <v/>
      </c>
      <c r="BN8" s="663" t="str">
        <f>IF($C8="","",VLOOKUP($A8&amp;"."&amp;BN$3,'Equipment Weight Calc'!$L:$M,2,0))</f>
        <v/>
      </c>
      <c r="BO8" s="663" t="str">
        <f>IF($C8="","",VLOOKUP($A8&amp;"."&amp;BO$3,'Equipment Weight Calc'!$L:$M,2,0))</f>
        <v/>
      </c>
      <c r="BP8" s="663" t="str">
        <f>IF($C8="","",VLOOKUP($A8&amp;"."&amp;BP$3,'Equipment Weight Calc'!$L:$M,2,0))</f>
        <v/>
      </c>
      <c r="BQ8" s="663" t="str">
        <f>IF($C8="","",VLOOKUP($A8&amp;"."&amp;BQ$3,'Equipment Weight Calc'!$L:$M,2,0))</f>
        <v/>
      </c>
      <c r="BR8" s="663" t="str">
        <f>IF($C8="","",VLOOKUP($A8&amp;"."&amp;BR$3,'Equipment Weight Calc'!$L:$M,2,0))</f>
        <v/>
      </c>
      <c r="BS8" s="663" t="str">
        <f>IF($C8="","",VLOOKUP($A8&amp;"."&amp;BS$3,'Equipment Weight Calc'!$L:$M,2,0))</f>
        <v/>
      </c>
      <c r="BT8" s="663" t="str">
        <f>IF($C8="","",VLOOKUP($A8&amp;"."&amp;BT$3,'Equipment Weight Calc'!$L:$M,2,0))</f>
        <v/>
      </c>
      <c r="BV8" s="1546">
        <f t="shared" si="3"/>
        <v>0</v>
      </c>
      <c r="BW8" s="1546">
        <f t="shared" si="4"/>
        <v>0</v>
      </c>
      <c r="BX8" s="1546">
        <f t="shared" si="4"/>
        <v>0</v>
      </c>
      <c r="BY8" s="1546">
        <f t="shared" si="4"/>
        <v>0</v>
      </c>
      <c r="BZ8" s="1546">
        <f t="shared" si="4"/>
        <v>0</v>
      </c>
      <c r="CA8" s="1546">
        <f t="shared" si="4"/>
        <v>0</v>
      </c>
      <c r="CB8" s="1546">
        <f t="shared" si="4"/>
        <v>0</v>
      </c>
      <c r="CC8" s="1546">
        <f t="shared" si="4"/>
        <v>0</v>
      </c>
      <c r="CE8" s="1546">
        <f t="shared" si="5"/>
        <v>0</v>
      </c>
      <c r="CF8" s="1546">
        <f t="shared" si="6"/>
        <v>0</v>
      </c>
      <c r="CG8" s="1546">
        <f t="shared" si="6"/>
        <v>0</v>
      </c>
      <c r="CH8" s="1546">
        <f t="shared" si="6"/>
        <v>0</v>
      </c>
      <c r="CI8" s="1546">
        <f t="shared" si="6"/>
        <v>0</v>
      </c>
      <c r="CJ8" s="1546">
        <f t="shared" si="6"/>
        <v>0</v>
      </c>
      <c r="CK8" s="1546">
        <f t="shared" si="6"/>
        <v>0</v>
      </c>
      <c r="CL8" s="1546">
        <f t="shared" si="6"/>
        <v>0</v>
      </c>
      <c r="CN8" s="1546">
        <f t="shared" si="7"/>
        <v>0</v>
      </c>
      <c r="CO8" s="1546">
        <f t="shared" si="8"/>
        <v>0</v>
      </c>
      <c r="CP8" s="1546">
        <f t="shared" si="8"/>
        <v>0</v>
      </c>
      <c r="CQ8" s="1546">
        <f t="shared" si="8"/>
        <v>0</v>
      </c>
      <c r="CR8" s="1546">
        <f t="shared" si="8"/>
        <v>0</v>
      </c>
      <c r="CS8" s="1546">
        <f t="shared" si="8"/>
        <v>0</v>
      </c>
      <c r="CT8" s="1546">
        <f t="shared" si="8"/>
        <v>0</v>
      </c>
      <c r="CU8" s="1546">
        <f t="shared" si="8"/>
        <v>0</v>
      </c>
      <c r="CW8" s="1546">
        <f t="shared" si="9"/>
        <v>0</v>
      </c>
      <c r="CX8" s="1546">
        <f t="shared" si="10"/>
        <v>0</v>
      </c>
      <c r="CY8" s="1546">
        <f t="shared" si="10"/>
        <v>0</v>
      </c>
      <c r="CZ8" s="1546">
        <f t="shared" si="10"/>
        <v>0</v>
      </c>
      <c r="DA8" s="1546">
        <f t="shared" si="10"/>
        <v>0</v>
      </c>
      <c r="DB8" s="1546">
        <f t="shared" si="10"/>
        <v>0</v>
      </c>
      <c r="DC8" s="1546">
        <f t="shared" si="10"/>
        <v>0</v>
      </c>
      <c r="DD8" s="1546">
        <f t="shared" si="10"/>
        <v>0</v>
      </c>
      <c r="DF8" s="1546">
        <f t="shared" si="11"/>
        <v>0</v>
      </c>
      <c r="DG8" s="1546">
        <f t="shared" si="12"/>
        <v>0</v>
      </c>
      <c r="DH8" s="1546">
        <f t="shared" si="12"/>
        <v>0</v>
      </c>
      <c r="DI8" s="1546">
        <f t="shared" si="12"/>
        <v>0</v>
      </c>
      <c r="DJ8" s="1546">
        <f t="shared" si="12"/>
        <v>0</v>
      </c>
      <c r="DK8" s="1546">
        <f t="shared" si="12"/>
        <v>0</v>
      </c>
      <c r="DL8" s="1546">
        <f t="shared" si="12"/>
        <v>0</v>
      </c>
      <c r="DM8" s="1546">
        <f t="shared" si="12"/>
        <v>0</v>
      </c>
      <c r="DO8" s="1546">
        <f t="shared" si="13"/>
        <v>0</v>
      </c>
      <c r="DP8" s="1546">
        <f t="shared" si="14"/>
        <v>0</v>
      </c>
      <c r="DQ8" s="1546">
        <f t="shared" si="14"/>
        <v>0</v>
      </c>
      <c r="DR8" s="1546">
        <f t="shared" si="14"/>
        <v>0</v>
      </c>
      <c r="DS8" s="1546">
        <f t="shared" si="14"/>
        <v>0</v>
      </c>
      <c r="DT8" s="1546">
        <f t="shared" si="14"/>
        <v>0</v>
      </c>
      <c r="DU8" s="1546">
        <f t="shared" si="14"/>
        <v>0</v>
      </c>
      <c r="DV8" s="1546">
        <f t="shared" si="14"/>
        <v>0</v>
      </c>
      <c r="DX8" s="1546">
        <f t="shared" si="15"/>
        <v>0</v>
      </c>
      <c r="DY8" s="1546">
        <f t="shared" si="16"/>
        <v>0</v>
      </c>
      <c r="DZ8" s="1546">
        <f t="shared" si="16"/>
        <v>0</v>
      </c>
      <c r="EA8" s="1546">
        <f t="shared" si="16"/>
        <v>0</v>
      </c>
      <c r="EB8" s="1546">
        <f t="shared" si="16"/>
        <v>0</v>
      </c>
      <c r="EC8" s="1546">
        <f t="shared" si="16"/>
        <v>0</v>
      </c>
      <c r="ED8" s="1546">
        <f t="shared" si="16"/>
        <v>0</v>
      </c>
      <c r="EE8" s="1546">
        <f t="shared" si="16"/>
        <v>0</v>
      </c>
      <c r="EG8" s="1546">
        <f t="shared" si="17"/>
        <v>0</v>
      </c>
      <c r="EH8" s="1546">
        <f t="shared" si="18"/>
        <v>0</v>
      </c>
      <c r="EI8" s="1546">
        <f t="shared" si="18"/>
        <v>0</v>
      </c>
      <c r="EJ8" s="1546">
        <f t="shared" si="18"/>
        <v>0</v>
      </c>
      <c r="EK8" s="1546">
        <f t="shared" si="18"/>
        <v>0</v>
      </c>
      <c r="EL8" s="1546">
        <f t="shared" si="18"/>
        <v>0</v>
      </c>
      <c r="EM8" s="1546">
        <f t="shared" si="18"/>
        <v>0</v>
      </c>
      <c r="EN8" s="1546">
        <f t="shared" si="18"/>
        <v>0</v>
      </c>
      <c r="EP8" s="1546">
        <f t="shared" si="19"/>
        <v>0</v>
      </c>
      <c r="EQ8" s="1546">
        <f t="shared" si="20"/>
        <v>0</v>
      </c>
      <c r="ER8" s="1546">
        <f t="shared" si="20"/>
        <v>0</v>
      </c>
      <c r="ES8" s="1546">
        <f t="shared" si="20"/>
        <v>0</v>
      </c>
      <c r="ET8" s="1546">
        <f t="shared" si="20"/>
        <v>0</v>
      </c>
      <c r="EU8" s="1546">
        <f t="shared" si="20"/>
        <v>0</v>
      </c>
      <c r="EV8" s="1546">
        <f t="shared" si="20"/>
        <v>0</v>
      </c>
      <c r="EW8" s="1546">
        <f t="shared" si="20"/>
        <v>0</v>
      </c>
    </row>
    <row r="9" spans="1:153" ht="32.25" customHeight="1" x14ac:dyDescent="0.3">
      <c r="A9" s="334">
        <v>6</v>
      </c>
      <c r="B9" s="1331"/>
      <c r="C9" s="902"/>
      <c r="D9" s="902"/>
      <c r="E9" s="334" t="str">
        <f>IF($C9="","",VLOOKUP($A9&amp;"."&amp;E$2,'Equipment Weight Calc'!$L:$M,2,0))</f>
        <v/>
      </c>
      <c r="F9" s="334" t="str">
        <f>IF($C9="","",VLOOKUP($A9&amp;"."&amp;F$2,'Equipment Weight Calc'!$L:$M,2,0))</f>
        <v/>
      </c>
      <c r="G9" s="334" t="str">
        <f>IF($C9="","",VLOOKUP($A9&amp;"."&amp;G$2,'Equipment Weight Calc'!$L:$M,2,0))</f>
        <v/>
      </c>
      <c r="H9" s="334" t="str">
        <f>IF($C9="","",VLOOKUP($A9&amp;"."&amp;H$2,'Equipment Weight Calc'!$L:$M,2,0))</f>
        <v/>
      </c>
      <c r="I9" s="334" t="str">
        <f>IF($C9="","",VLOOKUP($A9&amp;"."&amp;I$2,'Equipment Weight Calc'!$L:$M,2,0))</f>
        <v/>
      </c>
      <c r="J9" s="683">
        <v>0</v>
      </c>
      <c r="K9" s="663" t="str">
        <f>IF($C9="","",VLOOKUP($A9&amp;"."&amp;K$2,'Equipment Weight Calc'!$L:$M,2,0))</f>
        <v/>
      </c>
      <c r="L9" s="334" t="str">
        <f>IF($C9="","",VLOOKUP($A9&amp;"."&amp;L$2,'Equipment Weight Calc'!$L:$M,2,0))</f>
        <v/>
      </c>
      <c r="M9" s="663" t="str">
        <f>IF($C9="","",VLOOKUP($A9&amp;"."&amp;M$2,'Equipment Weight Calc'!$L:$M,2,0))</f>
        <v/>
      </c>
      <c r="N9" s="334" t="str">
        <f>IF($C9="","",VLOOKUP($A9&amp;"."&amp;N$2,'Equipment Weight Calc'!$L:$M,2,0))</f>
        <v/>
      </c>
      <c r="O9" s="683"/>
      <c r="P9" s="680"/>
      <c r="Q9" s="513" t="str">
        <f>IF($C9="","",VLOOKUP($A9&amp;"."&amp;Q$2,'Equipment Weight Calc'!$L:$M,2,0))</f>
        <v/>
      </c>
      <c r="R9" s="513" t="str">
        <f t="shared" si="21"/>
        <v/>
      </c>
      <c r="S9" s="334" t="str">
        <f t="shared" si="0"/>
        <v/>
      </c>
      <c r="T9" s="692"/>
      <c r="U9" s="488" t="str">
        <f t="shared" si="1"/>
        <v/>
      </c>
      <c r="V9" s="488" t="str">
        <f t="shared" si="22"/>
        <v/>
      </c>
      <c r="X9" s="683"/>
      <c r="Y9" s="334">
        <f t="shared" si="23"/>
        <v>0</v>
      </c>
      <c r="Z9" s="746"/>
      <c r="AA9" s="488">
        <f t="shared" si="24"/>
        <v>0</v>
      </c>
      <c r="AC9" s="821"/>
      <c r="AD9" s="822"/>
      <c r="AE9" s="822"/>
      <c r="AF9" s="814">
        <f t="shared" si="25"/>
        <v>0</v>
      </c>
      <c r="AG9" s="814">
        <f t="shared" si="26"/>
        <v>0</v>
      </c>
      <c r="AH9" s="816">
        <v>18</v>
      </c>
      <c r="AI9" s="818">
        <f t="shared" si="27"/>
        <v>0</v>
      </c>
      <c r="AK9" s="1546">
        <f t="shared" si="28"/>
        <v>0</v>
      </c>
      <c r="AL9" s="1546">
        <f t="shared" si="2"/>
        <v>0</v>
      </c>
      <c r="AM9" s="1546">
        <f t="shared" si="2"/>
        <v>0</v>
      </c>
      <c r="AN9" s="1546">
        <f t="shared" si="2"/>
        <v>0</v>
      </c>
      <c r="AO9" s="1546">
        <f t="shared" si="2"/>
        <v>0</v>
      </c>
      <c r="AP9" s="1546">
        <f t="shared" si="2"/>
        <v>0</v>
      </c>
      <c r="AQ9" s="1546">
        <f t="shared" si="2"/>
        <v>0</v>
      </c>
      <c r="AR9" s="1546">
        <f t="shared" si="2"/>
        <v>0</v>
      </c>
      <c r="AS9" s="1546">
        <f t="shared" si="2"/>
        <v>0</v>
      </c>
      <c r="AT9" s="1546">
        <f t="shared" si="2"/>
        <v>0</v>
      </c>
      <c r="AU9" s="1546">
        <f t="shared" si="2"/>
        <v>0</v>
      </c>
      <c r="AV9" s="1546">
        <f t="shared" si="2"/>
        <v>0</v>
      </c>
      <c r="AW9" s="1546">
        <f t="shared" si="2"/>
        <v>0</v>
      </c>
      <c r="AX9" s="1546">
        <f t="shared" si="2"/>
        <v>0</v>
      </c>
      <c r="AY9" s="1546">
        <f t="shared" si="2"/>
        <v>0</v>
      </c>
      <c r="AZ9" s="1546">
        <f t="shared" si="2"/>
        <v>0</v>
      </c>
      <c r="BA9" s="1546">
        <f t="shared" si="29"/>
        <v>1</v>
      </c>
      <c r="BC9" s="663" t="str">
        <f>IF($C9="","",VLOOKUP($A9&amp;"."&amp;BC$3,'Equipment Weight Calc'!$L:$M,2,0))</f>
        <v/>
      </c>
      <c r="BD9" s="663" t="str">
        <f>IF($C9="","",VLOOKUP($A9&amp;"."&amp;BD$3,'Equipment Weight Calc'!$L:$M,2,0))</f>
        <v/>
      </c>
      <c r="BE9" s="663" t="str">
        <f>IF($C9="","",VLOOKUP($A9&amp;"."&amp;BE$3,'Equipment Weight Calc'!$L:$M,2,0))</f>
        <v/>
      </c>
      <c r="BF9" s="663" t="str">
        <f>IF($C9="","",VLOOKUP($A9&amp;"."&amp;BF$3,'Equipment Weight Calc'!$L:$M,2,0))</f>
        <v/>
      </c>
      <c r="BG9" s="663" t="str">
        <f>IF($C9="","",VLOOKUP($A9&amp;"."&amp;BG$3,'Equipment Weight Calc'!$L:$M,2,0))</f>
        <v/>
      </c>
      <c r="BH9" s="663" t="str">
        <f>IF($C9="","",VLOOKUP($A9&amp;"."&amp;BH$3,'Equipment Weight Calc'!$L:$M,2,0))</f>
        <v/>
      </c>
      <c r="BI9" s="663" t="str">
        <f>IF($C9="","",VLOOKUP($A9&amp;"."&amp;BI$3,'Equipment Weight Calc'!$L:$M,2,0))</f>
        <v/>
      </c>
      <c r="BJ9" s="663" t="str">
        <f>IF($C9="","",VLOOKUP($A9&amp;"."&amp;BJ$3,'Equipment Weight Calc'!$L:$M,2,0))</f>
        <v/>
      </c>
      <c r="BK9" s="663" t="str">
        <f>IF($C9="","",VLOOKUP($A9&amp;"."&amp;BK$3,'Equipment Weight Calc'!$L:$M,2,0))</f>
        <v/>
      </c>
      <c r="BL9" s="663" t="str">
        <f>IF($C9="","",VLOOKUP($A9&amp;"."&amp;BL$3,'Equipment Weight Calc'!$L:$M,2,0))</f>
        <v/>
      </c>
      <c r="BM9" s="663" t="str">
        <f>IF($C9="","",VLOOKUP($A9&amp;"."&amp;BM$3,'Equipment Weight Calc'!$L:$M,2,0))</f>
        <v/>
      </c>
      <c r="BN9" s="663" t="str">
        <f>IF($C9="","",VLOOKUP($A9&amp;"."&amp;BN$3,'Equipment Weight Calc'!$L:$M,2,0))</f>
        <v/>
      </c>
      <c r="BO9" s="663" t="str">
        <f>IF($C9="","",VLOOKUP($A9&amp;"."&amp;BO$3,'Equipment Weight Calc'!$L:$M,2,0))</f>
        <v/>
      </c>
      <c r="BP9" s="663" t="str">
        <f>IF($C9="","",VLOOKUP($A9&amp;"."&amp;BP$3,'Equipment Weight Calc'!$L:$M,2,0))</f>
        <v/>
      </c>
      <c r="BQ9" s="663" t="str">
        <f>IF($C9="","",VLOOKUP($A9&amp;"."&amp;BQ$3,'Equipment Weight Calc'!$L:$M,2,0))</f>
        <v/>
      </c>
      <c r="BR9" s="663" t="str">
        <f>IF($C9="","",VLOOKUP($A9&amp;"."&amp;BR$3,'Equipment Weight Calc'!$L:$M,2,0))</f>
        <v/>
      </c>
      <c r="BS9" s="663" t="str">
        <f>IF($C9="","",VLOOKUP($A9&amp;"."&amp;BS$3,'Equipment Weight Calc'!$L:$M,2,0))</f>
        <v/>
      </c>
      <c r="BT9" s="663" t="str">
        <f>IF($C9="","",VLOOKUP($A9&amp;"."&amp;BT$3,'Equipment Weight Calc'!$L:$M,2,0))</f>
        <v/>
      </c>
      <c r="BV9" s="1546">
        <f t="shared" si="3"/>
        <v>0</v>
      </c>
      <c r="BW9" s="1546">
        <f t="shared" si="4"/>
        <v>0</v>
      </c>
      <c r="BX9" s="1546">
        <f t="shared" si="4"/>
        <v>0</v>
      </c>
      <c r="BY9" s="1546">
        <f t="shared" si="4"/>
        <v>0</v>
      </c>
      <c r="BZ9" s="1546">
        <f t="shared" si="4"/>
        <v>0</v>
      </c>
      <c r="CA9" s="1546">
        <f t="shared" si="4"/>
        <v>0</v>
      </c>
      <c r="CB9" s="1546">
        <f t="shared" si="4"/>
        <v>0</v>
      </c>
      <c r="CC9" s="1546">
        <f t="shared" si="4"/>
        <v>0</v>
      </c>
      <c r="CE9" s="1546">
        <f t="shared" si="5"/>
        <v>0</v>
      </c>
      <c r="CF9" s="1546">
        <f t="shared" si="6"/>
        <v>0</v>
      </c>
      <c r="CG9" s="1546">
        <f t="shared" si="6"/>
        <v>0</v>
      </c>
      <c r="CH9" s="1546">
        <f t="shared" si="6"/>
        <v>0</v>
      </c>
      <c r="CI9" s="1546">
        <f t="shared" si="6"/>
        <v>0</v>
      </c>
      <c r="CJ9" s="1546">
        <f t="shared" si="6"/>
        <v>0</v>
      </c>
      <c r="CK9" s="1546">
        <f t="shared" si="6"/>
        <v>0</v>
      </c>
      <c r="CL9" s="1546">
        <f t="shared" si="6"/>
        <v>0</v>
      </c>
      <c r="CN9" s="1546">
        <f t="shared" si="7"/>
        <v>0</v>
      </c>
      <c r="CO9" s="1546">
        <f t="shared" si="8"/>
        <v>0</v>
      </c>
      <c r="CP9" s="1546">
        <f t="shared" si="8"/>
        <v>0</v>
      </c>
      <c r="CQ9" s="1546">
        <f t="shared" si="8"/>
        <v>0</v>
      </c>
      <c r="CR9" s="1546">
        <f t="shared" si="8"/>
        <v>0</v>
      </c>
      <c r="CS9" s="1546">
        <f t="shared" si="8"/>
        <v>0</v>
      </c>
      <c r="CT9" s="1546">
        <f t="shared" si="8"/>
        <v>0</v>
      </c>
      <c r="CU9" s="1546">
        <f t="shared" si="8"/>
        <v>0</v>
      </c>
      <c r="CW9" s="1546">
        <f t="shared" si="9"/>
        <v>0</v>
      </c>
      <c r="CX9" s="1546">
        <f t="shared" si="10"/>
        <v>0</v>
      </c>
      <c r="CY9" s="1546">
        <f t="shared" si="10"/>
        <v>0</v>
      </c>
      <c r="CZ9" s="1546">
        <f t="shared" si="10"/>
        <v>0</v>
      </c>
      <c r="DA9" s="1546">
        <f t="shared" si="10"/>
        <v>0</v>
      </c>
      <c r="DB9" s="1546">
        <f t="shared" si="10"/>
        <v>0</v>
      </c>
      <c r="DC9" s="1546">
        <f t="shared" si="10"/>
        <v>0</v>
      </c>
      <c r="DD9" s="1546">
        <f t="shared" si="10"/>
        <v>0</v>
      </c>
      <c r="DF9" s="1546">
        <f t="shared" si="11"/>
        <v>0</v>
      </c>
      <c r="DG9" s="1546">
        <f t="shared" si="12"/>
        <v>0</v>
      </c>
      <c r="DH9" s="1546">
        <f t="shared" si="12"/>
        <v>0</v>
      </c>
      <c r="DI9" s="1546">
        <f t="shared" si="12"/>
        <v>0</v>
      </c>
      <c r="DJ9" s="1546">
        <f t="shared" si="12"/>
        <v>0</v>
      </c>
      <c r="DK9" s="1546">
        <f t="shared" si="12"/>
        <v>0</v>
      </c>
      <c r="DL9" s="1546">
        <f t="shared" si="12"/>
        <v>0</v>
      </c>
      <c r="DM9" s="1546">
        <f t="shared" si="12"/>
        <v>0</v>
      </c>
      <c r="DO9" s="1546">
        <f t="shared" si="13"/>
        <v>0</v>
      </c>
      <c r="DP9" s="1546">
        <f t="shared" si="14"/>
        <v>0</v>
      </c>
      <c r="DQ9" s="1546">
        <f t="shared" si="14"/>
        <v>0</v>
      </c>
      <c r="DR9" s="1546">
        <f t="shared" si="14"/>
        <v>0</v>
      </c>
      <c r="DS9" s="1546">
        <f t="shared" si="14"/>
        <v>0</v>
      </c>
      <c r="DT9" s="1546">
        <f t="shared" si="14"/>
        <v>0</v>
      </c>
      <c r="DU9" s="1546">
        <f t="shared" si="14"/>
        <v>0</v>
      </c>
      <c r="DV9" s="1546">
        <f t="shared" si="14"/>
        <v>0</v>
      </c>
      <c r="DX9" s="1546">
        <f t="shared" si="15"/>
        <v>0</v>
      </c>
      <c r="DY9" s="1546">
        <f t="shared" si="16"/>
        <v>0</v>
      </c>
      <c r="DZ9" s="1546">
        <f t="shared" si="16"/>
        <v>0</v>
      </c>
      <c r="EA9" s="1546">
        <f t="shared" si="16"/>
        <v>0</v>
      </c>
      <c r="EB9" s="1546">
        <f t="shared" si="16"/>
        <v>0</v>
      </c>
      <c r="EC9" s="1546">
        <f t="shared" si="16"/>
        <v>0</v>
      </c>
      <c r="ED9" s="1546">
        <f t="shared" si="16"/>
        <v>0</v>
      </c>
      <c r="EE9" s="1546">
        <f t="shared" si="16"/>
        <v>0</v>
      </c>
      <c r="EG9" s="1546">
        <f t="shared" si="17"/>
        <v>0</v>
      </c>
      <c r="EH9" s="1546">
        <f t="shared" si="18"/>
        <v>0</v>
      </c>
      <c r="EI9" s="1546">
        <f t="shared" si="18"/>
        <v>0</v>
      </c>
      <c r="EJ9" s="1546">
        <f t="shared" si="18"/>
        <v>0</v>
      </c>
      <c r="EK9" s="1546">
        <f t="shared" si="18"/>
        <v>0</v>
      </c>
      <c r="EL9" s="1546">
        <f t="shared" si="18"/>
        <v>0</v>
      </c>
      <c r="EM9" s="1546">
        <f t="shared" si="18"/>
        <v>0</v>
      </c>
      <c r="EN9" s="1546">
        <f t="shared" si="18"/>
        <v>0</v>
      </c>
      <c r="EP9" s="1546">
        <f t="shared" si="19"/>
        <v>0</v>
      </c>
      <c r="EQ9" s="1546">
        <f t="shared" si="20"/>
        <v>0</v>
      </c>
      <c r="ER9" s="1546">
        <f t="shared" si="20"/>
        <v>0</v>
      </c>
      <c r="ES9" s="1546">
        <f t="shared" si="20"/>
        <v>0</v>
      </c>
      <c r="ET9" s="1546">
        <f t="shared" si="20"/>
        <v>0</v>
      </c>
      <c r="EU9" s="1546">
        <f t="shared" si="20"/>
        <v>0</v>
      </c>
      <c r="EV9" s="1546">
        <f t="shared" si="20"/>
        <v>0</v>
      </c>
      <c r="EW9" s="1546">
        <f t="shared" si="20"/>
        <v>0</v>
      </c>
    </row>
    <row r="10" spans="1:153" ht="32.25" customHeight="1" x14ac:dyDescent="0.3">
      <c r="A10" s="334">
        <v>7</v>
      </c>
      <c r="B10" s="902"/>
      <c r="C10" s="902"/>
      <c r="D10" s="902"/>
      <c r="E10" s="334" t="str">
        <f>IF($C10="","",VLOOKUP($A10&amp;"."&amp;E$2,'Equipment Weight Calc'!$L:$M,2,0))</f>
        <v/>
      </c>
      <c r="F10" s="334" t="str">
        <f>IF($C10="","",VLOOKUP($A10&amp;"."&amp;F$2,'Equipment Weight Calc'!$L:$M,2,0))</f>
        <v/>
      </c>
      <c r="G10" s="334" t="str">
        <f>IF($C10="","",VLOOKUP($A10&amp;"."&amp;G$2,'Equipment Weight Calc'!$L:$M,2,0))</f>
        <v/>
      </c>
      <c r="H10" s="334" t="str">
        <f>IF($C10="","",VLOOKUP($A10&amp;"."&amp;H$2,'Equipment Weight Calc'!$L:$M,2,0))</f>
        <v/>
      </c>
      <c r="I10" s="334" t="str">
        <f>IF($C10="","",VLOOKUP($A10&amp;"."&amp;I$2,'Equipment Weight Calc'!$L:$M,2,0))</f>
        <v/>
      </c>
      <c r="J10" s="683">
        <v>0</v>
      </c>
      <c r="K10" s="663" t="str">
        <f>IF($C10="","",VLOOKUP($A10&amp;"."&amp;K$2,'Equipment Weight Calc'!$L:$M,2,0))</f>
        <v/>
      </c>
      <c r="L10" s="334" t="str">
        <f>IF($C10="","",VLOOKUP($A10&amp;"."&amp;L$2,'Equipment Weight Calc'!$L:$M,2,0))</f>
        <v/>
      </c>
      <c r="M10" s="663" t="str">
        <f>IF($C10="","",VLOOKUP($A10&amp;"."&amp;M$2,'Equipment Weight Calc'!$L:$M,2,0))</f>
        <v/>
      </c>
      <c r="N10" s="334" t="str">
        <f>IF($C10="","",VLOOKUP($A10&amp;"."&amp;N$2,'Equipment Weight Calc'!$L:$M,2,0))</f>
        <v/>
      </c>
      <c r="O10" s="683"/>
      <c r="P10" s="680"/>
      <c r="Q10" s="513" t="str">
        <f>IF($C10="","",VLOOKUP($A10&amp;"."&amp;Q$2,'Equipment Weight Calc'!$L:$M,2,0))</f>
        <v/>
      </c>
      <c r="R10" s="513" t="str">
        <f t="shared" si="21"/>
        <v/>
      </c>
      <c r="S10" s="334" t="str">
        <f t="shared" si="0"/>
        <v/>
      </c>
      <c r="T10" s="692"/>
      <c r="U10" s="488" t="str">
        <f t="shared" si="1"/>
        <v/>
      </c>
      <c r="V10" s="488" t="str">
        <f t="shared" si="22"/>
        <v/>
      </c>
      <c r="X10" s="683"/>
      <c r="Y10" s="334">
        <f t="shared" si="23"/>
        <v>0</v>
      </c>
      <c r="Z10" s="746"/>
      <c r="AA10" s="488">
        <f t="shared" si="24"/>
        <v>0</v>
      </c>
      <c r="AC10" s="821"/>
      <c r="AD10" s="822"/>
      <c r="AE10" s="822"/>
      <c r="AF10" s="814">
        <f t="shared" si="25"/>
        <v>0</v>
      </c>
      <c r="AG10" s="814">
        <f t="shared" si="26"/>
        <v>0</v>
      </c>
      <c r="AH10" s="816">
        <v>18</v>
      </c>
      <c r="AI10" s="818">
        <f t="shared" si="27"/>
        <v>0</v>
      </c>
      <c r="AK10" s="1546">
        <f t="shared" si="28"/>
        <v>0</v>
      </c>
      <c r="AL10" s="1546">
        <f t="shared" si="2"/>
        <v>0</v>
      </c>
      <c r="AM10" s="1546">
        <f t="shared" si="2"/>
        <v>0</v>
      </c>
      <c r="AN10" s="1546">
        <f t="shared" si="2"/>
        <v>0</v>
      </c>
      <c r="AO10" s="1546">
        <f t="shared" si="2"/>
        <v>0</v>
      </c>
      <c r="AP10" s="1546">
        <f t="shared" si="2"/>
        <v>0</v>
      </c>
      <c r="AQ10" s="1546">
        <f t="shared" si="2"/>
        <v>0</v>
      </c>
      <c r="AR10" s="1546">
        <f t="shared" si="2"/>
        <v>0</v>
      </c>
      <c r="AS10" s="1546">
        <f t="shared" si="2"/>
        <v>0</v>
      </c>
      <c r="AT10" s="1546">
        <f t="shared" si="2"/>
        <v>0</v>
      </c>
      <c r="AU10" s="1546">
        <f t="shared" si="2"/>
        <v>0</v>
      </c>
      <c r="AV10" s="1546">
        <f t="shared" si="2"/>
        <v>0</v>
      </c>
      <c r="AW10" s="1546">
        <f t="shared" si="2"/>
        <v>0</v>
      </c>
      <c r="AX10" s="1546">
        <f t="shared" si="2"/>
        <v>0</v>
      </c>
      <c r="AY10" s="1546">
        <f t="shared" si="2"/>
        <v>0</v>
      </c>
      <c r="AZ10" s="1546">
        <f t="shared" si="2"/>
        <v>0</v>
      </c>
      <c r="BA10" s="1546">
        <f t="shared" si="29"/>
        <v>1</v>
      </c>
      <c r="BC10" s="663" t="str">
        <f>IF($C10="","",VLOOKUP($A10&amp;"."&amp;BC$3,'Equipment Weight Calc'!$L:$M,2,0))</f>
        <v/>
      </c>
      <c r="BD10" s="663" t="str">
        <f>IF($C10="","",VLOOKUP($A10&amp;"."&amp;BD$3,'Equipment Weight Calc'!$L:$M,2,0))</f>
        <v/>
      </c>
      <c r="BE10" s="663" t="str">
        <f>IF($C10="","",VLOOKUP($A10&amp;"."&amp;BE$3,'Equipment Weight Calc'!$L:$M,2,0))</f>
        <v/>
      </c>
      <c r="BF10" s="663" t="str">
        <f>IF($C10="","",VLOOKUP($A10&amp;"."&amp;BF$3,'Equipment Weight Calc'!$L:$M,2,0))</f>
        <v/>
      </c>
      <c r="BG10" s="663" t="str">
        <f>IF($C10="","",VLOOKUP($A10&amp;"."&amp;BG$3,'Equipment Weight Calc'!$L:$M,2,0))</f>
        <v/>
      </c>
      <c r="BH10" s="663" t="str">
        <f>IF($C10="","",VLOOKUP($A10&amp;"."&amp;BH$3,'Equipment Weight Calc'!$L:$M,2,0))</f>
        <v/>
      </c>
      <c r="BI10" s="663" t="str">
        <f>IF($C10="","",VLOOKUP($A10&amp;"."&amp;BI$3,'Equipment Weight Calc'!$L:$M,2,0))</f>
        <v/>
      </c>
      <c r="BJ10" s="663" t="str">
        <f>IF($C10="","",VLOOKUP($A10&amp;"."&amp;BJ$3,'Equipment Weight Calc'!$L:$M,2,0))</f>
        <v/>
      </c>
      <c r="BK10" s="663" t="str">
        <f>IF($C10="","",VLOOKUP($A10&amp;"."&amp;BK$3,'Equipment Weight Calc'!$L:$M,2,0))</f>
        <v/>
      </c>
      <c r="BL10" s="663" t="str">
        <f>IF($C10="","",VLOOKUP($A10&amp;"."&amp;BL$3,'Equipment Weight Calc'!$L:$M,2,0))</f>
        <v/>
      </c>
      <c r="BM10" s="663" t="str">
        <f>IF($C10="","",VLOOKUP($A10&amp;"."&amp;BM$3,'Equipment Weight Calc'!$L:$M,2,0))</f>
        <v/>
      </c>
      <c r="BN10" s="663" t="str">
        <f>IF($C10="","",VLOOKUP($A10&amp;"."&amp;BN$3,'Equipment Weight Calc'!$L:$M,2,0))</f>
        <v/>
      </c>
      <c r="BO10" s="663" t="str">
        <f>IF($C10="","",VLOOKUP($A10&amp;"."&amp;BO$3,'Equipment Weight Calc'!$L:$M,2,0))</f>
        <v/>
      </c>
      <c r="BP10" s="663" t="str">
        <f>IF($C10="","",VLOOKUP($A10&amp;"."&amp;BP$3,'Equipment Weight Calc'!$L:$M,2,0))</f>
        <v/>
      </c>
      <c r="BQ10" s="663" t="str">
        <f>IF($C10="","",VLOOKUP($A10&amp;"."&amp;BQ$3,'Equipment Weight Calc'!$L:$M,2,0))</f>
        <v/>
      </c>
      <c r="BR10" s="663" t="str">
        <f>IF($C10="","",VLOOKUP($A10&amp;"."&amp;BR$3,'Equipment Weight Calc'!$L:$M,2,0))</f>
        <v/>
      </c>
      <c r="BS10" s="663" t="str">
        <f>IF($C10="","",VLOOKUP($A10&amp;"."&amp;BS$3,'Equipment Weight Calc'!$L:$M,2,0))</f>
        <v/>
      </c>
      <c r="BT10" s="663" t="str">
        <f>IF($C10="","",VLOOKUP($A10&amp;"."&amp;BT$3,'Equipment Weight Calc'!$L:$M,2,0))</f>
        <v/>
      </c>
      <c r="BV10" s="1546">
        <f t="shared" si="3"/>
        <v>0</v>
      </c>
      <c r="BW10" s="1546">
        <f t="shared" si="4"/>
        <v>0</v>
      </c>
      <c r="BX10" s="1546">
        <f t="shared" si="4"/>
        <v>0</v>
      </c>
      <c r="BY10" s="1546">
        <f t="shared" si="4"/>
        <v>0</v>
      </c>
      <c r="BZ10" s="1546">
        <f t="shared" si="4"/>
        <v>0</v>
      </c>
      <c r="CA10" s="1546">
        <f t="shared" si="4"/>
        <v>0</v>
      </c>
      <c r="CB10" s="1546">
        <f t="shared" si="4"/>
        <v>0</v>
      </c>
      <c r="CC10" s="1546">
        <f t="shared" si="4"/>
        <v>0</v>
      </c>
      <c r="CE10" s="1546">
        <f t="shared" si="5"/>
        <v>0</v>
      </c>
      <c r="CF10" s="1546">
        <f t="shared" si="6"/>
        <v>0</v>
      </c>
      <c r="CG10" s="1546">
        <f t="shared" si="6"/>
        <v>0</v>
      </c>
      <c r="CH10" s="1546">
        <f t="shared" si="6"/>
        <v>0</v>
      </c>
      <c r="CI10" s="1546">
        <f t="shared" si="6"/>
        <v>0</v>
      </c>
      <c r="CJ10" s="1546">
        <f t="shared" si="6"/>
        <v>0</v>
      </c>
      <c r="CK10" s="1546">
        <f t="shared" si="6"/>
        <v>0</v>
      </c>
      <c r="CL10" s="1546">
        <f t="shared" si="6"/>
        <v>0</v>
      </c>
      <c r="CN10" s="1546">
        <f t="shared" si="7"/>
        <v>0</v>
      </c>
      <c r="CO10" s="1546">
        <f t="shared" si="8"/>
        <v>0</v>
      </c>
      <c r="CP10" s="1546">
        <f t="shared" si="8"/>
        <v>0</v>
      </c>
      <c r="CQ10" s="1546">
        <f t="shared" si="8"/>
        <v>0</v>
      </c>
      <c r="CR10" s="1546">
        <f t="shared" si="8"/>
        <v>0</v>
      </c>
      <c r="CS10" s="1546">
        <f t="shared" si="8"/>
        <v>0</v>
      </c>
      <c r="CT10" s="1546">
        <f t="shared" si="8"/>
        <v>0</v>
      </c>
      <c r="CU10" s="1546">
        <f t="shared" si="8"/>
        <v>0</v>
      </c>
      <c r="CW10" s="1546">
        <f t="shared" si="9"/>
        <v>0</v>
      </c>
      <c r="CX10" s="1546">
        <f t="shared" si="10"/>
        <v>0</v>
      </c>
      <c r="CY10" s="1546">
        <f t="shared" si="10"/>
        <v>0</v>
      </c>
      <c r="CZ10" s="1546">
        <f t="shared" si="10"/>
        <v>0</v>
      </c>
      <c r="DA10" s="1546">
        <f t="shared" si="10"/>
        <v>0</v>
      </c>
      <c r="DB10" s="1546">
        <f t="shared" si="10"/>
        <v>0</v>
      </c>
      <c r="DC10" s="1546">
        <f t="shared" si="10"/>
        <v>0</v>
      </c>
      <c r="DD10" s="1546">
        <f t="shared" si="10"/>
        <v>0</v>
      </c>
      <c r="DF10" s="1546">
        <f t="shared" si="11"/>
        <v>0</v>
      </c>
      <c r="DG10" s="1546">
        <f t="shared" si="12"/>
        <v>0</v>
      </c>
      <c r="DH10" s="1546">
        <f t="shared" si="12"/>
        <v>0</v>
      </c>
      <c r="DI10" s="1546">
        <f t="shared" si="12"/>
        <v>0</v>
      </c>
      <c r="DJ10" s="1546">
        <f t="shared" si="12"/>
        <v>0</v>
      </c>
      <c r="DK10" s="1546">
        <f t="shared" si="12"/>
        <v>0</v>
      </c>
      <c r="DL10" s="1546">
        <f t="shared" si="12"/>
        <v>0</v>
      </c>
      <c r="DM10" s="1546">
        <f t="shared" si="12"/>
        <v>0</v>
      </c>
      <c r="DO10" s="1546">
        <f t="shared" si="13"/>
        <v>0</v>
      </c>
      <c r="DP10" s="1546">
        <f t="shared" si="14"/>
        <v>0</v>
      </c>
      <c r="DQ10" s="1546">
        <f t="shared" si="14"/>
        <v>0</v>
      </c>
      <c r="DR10" s="1546">
        <f t="shared" si="14"/>
        <v>0</v>
      </c>
      <c r="DS10" s="1546">
        <f t="shared" si="14"/>
        <v>0</v>
      </c>
      <c r="DT10" s="1546">
        <f t="shared" si="14"/>
        <v>0</v>
      </c>
      <c r="DU10" s="1546">
        <f t="shared" si="14"/>
        <v>0</v>
      </c>
      <c r="DV10" s="1546">
        <f t="shared" si="14"/>
        <v>0</v>
      </c>
      <c r="DX10" s="1546">
        <f t="shared" si="15"/>
        <v>0</v>
      </c>
      <c r="DY10" s="1546">
        <f t="shared" si="16"/>
        <v>0</v>
      </c>
      <c r="DZ10" s="1546">
        <f t="shared" si="16"/>
        <v>0</v>
      </c>
      <c r="EA10" s="1546">
        <f t="shared" si="16"/>
        <v>0</v>
      </c>
      <c r="EB10" s="1546">
        <f t="shared" si="16"/>
        <v>0</v>
      </c>
      <c r="EC10" s="1546">
        <f t="shared" si="16"/>
        <v>0</v>
      </c>
      <c r="ED10" s="1546">
        <f t="shared" si="16"/>
        <v>0</v>
      </c>
      <c r="EE10" s="1546">
        <f t="shared" si="16"/>
        <v>0</v>
      </c>
      <c r="EG10" s="1546">
        <f t="shared" si="17"/>
        <v>0</v>
      </c>
      <c r="EH10" s="1546">
        <f t="shared" si="18"/>
        <v>0</v>
      </c>
      <c r="EI10" s="1546">
        <f t="shared" si="18"/>
        <v>0</v>
      </c>
      <c r="EJ10" s="1546">
        <f t="shared" si="18"/>
        <v>0</v>
      </c>
      <c r="EK10" s="1546">
        <f t="shared" si="18"/>
        <v>0</v>
      </c>
      <c r="EL10" s="1546">
        <f t="shared" si="18"/>
        <v>0</v>
      </c>
      <c r="EM10" s="1546">
        <f t="shared" si="18"/>
        <v>0</v>
      </c>
      <c r="EN10" s="1546">
        <f t="shared" si="18"/>
        <v>0</v>
      </c>
      <c r="EP10" s="1546">
        <f t="shared" si="19"/>
        <v>0</v>
      </c>
      <c r="EQ10" s="1546">
        <f t="shared" si="20"/>
        <v>0</v>
      </c>
      <c r="ER10" s="1546">
        <f t="shared" si="20"/>
        <v>0</v>
      </c>
      <c r="ES10" s="1546">
        <f t="shared" si="20"/>
        <v>0</v>
      </c>
      <c r="ET10" s="1546">
        <f t="shared" si="20"/>
        <v>0</v>
      </c>
      <c r="EU10" s="1546">
        <f t="shared" si="20"/>
        <v>0</v>
      </c>
      <c r="EV10" s="1546">
        <f t="shared" si="20"/>
        <v>0</v>
      </c>
      <c r="EW10" s="1546">
        <f t="shared" si="20"/>
        <v>0</v>
      </c>
    </row>
    <row r="11" spans="1:153" ht="32.25" customHeight="1" x14ac:dyDescent="0.3">
      <c r="A11" s="334">
        <v>8</v>
      </c>
      <c r="B11" s="1331"/>
      <c r="C11" s="902"/>
      <c r="D11" s="902"/>
      <c r="E11" s="334" t="str">
        <f>IF($C11="","",VLOOKUP($A11&amp;"."&amp;E$2,'Equipment Weight Calc'!$L:$M,2,0))</f>
        <v/>
      </c>
      <c r="F11" s="334" t="str">
        <f>IF($C11="","",VLOOKUP($A11&amp;"."&amp;F$2,'Equipment Weight Calc'!$L:$M,2,0))</f>
        <v/>
      </c>
      <c r="G11" s="334" t="str">
        <f>IF($C11="","",VLOOKUP($A11&amp;"."&amp;G$2,'Equipment Weight Calc'!$L:$M,2,0))</f>
        <v/>
      </c>
      <c r="H11" s="334" t="str">
        <f>IF($C11="","",VLOOKUP($A11&amp;"."&amp;H$2,'Equipment Weight Calc'!$L:$M,2,0))</f>
        <v/>
      </c>
      <c r="I11" s="334" t="str">
        <f>IF($C11="","",VLOOKUP($A11&amp;"."&amp;I$2,'Equipment Weight Calc'!$L:$M,2,0))</f>
        <v/>
      </c>
      <c r="J11" s="683">
        <v>0</v>
      </c>
      <c r="K11" s="663" t="str">
        <f>IF($C11="","",VLOOKUP($A11&amp;"."&amp;K$2,'Equipment Weight Calc'!$L:$M,2,0))</f>
        <v/>
      </c>
      <c r="L11" s="334" t="str">
        <f>IF($C11="","",VLOOKUP($A11&amp;"."&amp;L$2,'Equipment Weight Calc'!$L:$M,2,0))</f>
        <v/>
      </c>
      <c r="M11" s="663" t="str">
        <f>IF($C11="","",VLOOKUP($A11&amp;"."&amp;M$2,'Equipment Weight Calc'!$L:$M,2,0))</f>
        <v/>
      </c>
      <c r="N11" s="334" t="str">
        <f>IF($C11="","",VLOOKUP($A11&amp;"."&amp;N$2,'Equipment Weight Calc'!$L:$M,2,0))</f>
        <v/>
      </c>
      <c r="O11" s="683"/>
      <c r="P11" s="680"/>
      <c r="Q11" s="513" t="str">
        <f>IF($C11="","",VLOOKUP($A11&amp;"."&amp;Q$2,'Equipment Weight Calc'!$L:$M,2,0))</f>
        <v/>
      </c>
      <c r="R11" s="513" t="str">
        <f t="shared" si="21"/>
        <v/>
      </c>
      <c r="S11" s="334" t="str">
        <f t="shared" si="0"/>
        <v/>
      </c>
      <c r="T11" s="692"/>
      <c r="U11" s="488" t="str">
        <f t="shared" si="1"/>
        <v/>
      </c>
      <c r="V11" s="488" t="str">
        <f t="shared" si="22"/>
        <v/>
      </c>
      <c r="X11" s="683"/>
      <c r="Y11" s="334">
        <f t="shared" si="23"/>
        <v>0</v>
      </c>
      <c r="Z11" s="746"/>
      <c r="AA11" s="488">
        <f t="shared" si="24"/>
        <v>0</v>
      </c>
      <c r="AC11" s="821"/>
      <c r="AD11" s="822"/>
      <c r="AE11" s="822"/>
      <c r="AF11" s="814">
        <f t="shared" si="25"/>
        <v>0</v>
      </c>
      <c r="AG11" s="814">
        <f t="shared" si="26"/>
        <v>0</v>
      </c>
      <c r="AH11" s="816">
        <v>18</v>
      </c>
      <c r="AI11" s="818">
        <f t="shared" si="27"/>
        <v>0</v>
      </c>
      <c r="AK11" s="1546">
        <f t="shared" si="28"/>
        <v>0</v>
      </c>
      <c r="AL11" s="1546">
        <f t="shared" si="2"/>
        <v>0</v>
      </c>
      <c r="AM11" s="1546">
        <f t="shared" si="2"/>
        <v>0</v>
      </c>
      <c r="AN11" s="1546">
        <f t="shared" si="2"/>
        <v>0</v>
      </c>
      <c r="AO11" s="1546">
        <f t="shared" si="2"/>
        <v>0</v>
      </c>
      <c r="AP11" s="1546">
        <f t="shared" si="2"/>
        <v>0</v>
      </c>
      <c r="AQ11" s="1546">
        <f t="shared" si="2"/>
        <v>0</v>
      </c>
      <c r="AR11" s="1546">
        <f t="shared" si="2"/>
        <v>0</v>
      </c>
      <c r="AS11" s="1546">
        <f t="shared" si="2"/>
        <v>0</v>
      </c>
      <c r="AT11" s="1546">
        <f t="shared" si="2"/>
        <v>0</v>
      </c>
      <c r="AU11" s="1546">
        <f t="shared" si="2"/>
        <v>0</v>
      </c>
      <c r="AV11" s="1546">
        <f t="shared" si="2"/>
        <v>0</v>
      </c>
      <c r="AW11" s="1546">
        <f t="shared" si="2"/>
        <v>0</v>
      </c>
      <c r="AX11" s="1546">
        <f t="shared" si="2"/>
        <v>0</v>
      </c>
      <c r="AY11" s="1546">
        <f t="shared" si="2"/>
        <v>0</v>
      </c>
      <c r="AZ11" s="1546">
        <f t="shared" si="2"/>
        <v>0</v>
      </c>
      <c r="BA11" s="1546">
        <f t="shared" si="29"/>
        <v>1</v>
      </c>
      <c r="BC11" s="663" t="str">
        <f>IF($C11="","",VLOOKUP($A11&amp;"."&amp;BC$3,'Equipment Weight Calc'!$L:$M,2,0))</f>
        <v/>
      </c>
      <c r="BD11" s="663" t="str">
        <f>IF($C11="","",VLOOKUP($A11&amp;"."&amp;BD$3,'Equipment Weight Calc'!$L:$M,2,0))</f>
        <v/>
      </c>
      <c r="BE11" s="663" t="str">
        <f>IF($C11="","",VLOOKUP($A11&amp;"."&amp;BE$3,'Equipment Weight Calc'!$L:$M,2,0))</f>
        <v/>
      </c>
      <c r="BF11" s="663" t="str">
        <f>IF($C11="","",VLOOKUP($A11&amp;"."&amp;BF$3,'Equipment Weight Calc'!$L:$M,2,0))</f>
        <v/>
      </c>
      <c r="BG11" s="663" t="str">
        <f>IF($C11="","",VLOOKUP($A11&amp;"."&amp;BG$3,'Equipment Weight Calc'!$L:$M,2,0))</f>
        <v/>
      </c>
      <c r="BH11" s="663" t="str">
        <f>IF($C11="","",VLOOKUP($A11&amp;"."&amp;BH$3,'Equipment Weight Calc'!$L:$M,2,0))</f>
        <v/>
      </c>
      <c r="BI11" s="663" t="str">
        <f>IF($C11="","",VLOOKUP($A11&amp;"."&amp;BI$3,'Equipment Weight Calc'!$L:$M,2,0))</f>
        <v/>
      </c>
      <c r="BJ11" s="663" t="str">
        <f>IF($C11="","",VLOOKUP($A11&amp;"."&amp;BJ$3,'Equipment Weight Calc'!$L:$M,2,0))</f>
        <v/>
      </c>
      <c r="BK11" s="663" t="str">
        <f>IF($C11="","",VLOOKUP($A11&amp;"."&amp;BK$3,'Equipment Weight Calc'!$L:$M,2,0))</f>
        <v/>
      </c>
      <c r="BL11" s="663" t="str">
        <f>IF($C11="","",VLOOKUP($A11&amp;"."&amp;BL$3,'Equipment Weight Calc'!$L:$M,2,0))</f>
        <v/>
      </c>
      <c r="BM11" s="663" t="str">
        <f>IF($C11="","",VLOOKUP($A11&amp;"."&amp;BM$3,'Equipment Weight Calc'!$L:$M,2,0))</f>
        <v/>
      </c>
      <c r="BN11" s="663" t="str">
        <f>IF($C11="","",VLOOKUP($A11&amp;"."&amp;BN$3,'Equipment Weight Calc'!$L:$M,2,0))</f>
        <v/>
      </c>
      <c r="BO11" s="663" t="str">
        <f>IF($C11="","",VLOOKUP($A11&amp;"."&amp;BO$3,'Equipment Weight Calc'!$L:$M,2,0))</f>
        <v/>
      </c>
      <c r="BP11" s="663" t="str">
        <f>IF($C11="","",VLOOKUP($A11&amp;"."&amp;BP$3,'Equipment Weight Calc'!$L:$M,2,0))</f>
        <v/>
      </c>
      <c r="BQ11" s="663" t="str">
        <f>IF($C11="","",VLOOKUP($A11&amp;"."&amp;BQ$3,'Equipment Weight Calc'!$L:$M,2,0))</f>
        <v/>
      </c>
      <c r="BR11" s="663" t="str">
        <f>IF($C11="","",VLOOKUP($A11&amp;"."&amp;BR$3,'Equipment Weight Calc'!$L:$M,2,0))</f>
        <v/>
      </c>
      <c r="BS11" s="663" t="str">
        <f>IF($C11="","",VLOOKUP($A11&amp;"."&amp;BS$3,'Equipment Weight Calc'!$L:$M,2,0))</f>
        <v/>
      </c>
      <c r="BT11" s="663" t="str">
        <f>IF($C11="","",VLOOKUP($A11&amp;"."&amp;BT$3,'Equipment Weight Calc'!$L:$M,2,0))</f>
        <v/>
      </c>
      <c r="BV11" s="1546">
        <f t="shared" si="3"/>
        <v>0</v>
      </c>
      <c r="BW11" s="1546">
        <f t="shared" si="4"/>
        <v>0</v>
      </c>
      <c r="BX11" s="1546">
        <f t="shared" si="4"/>
        <v>0</v>
      </c>
      <c r="BY11" s="1546">
        <f t="shared" si="4"/>
        <v>0</v>
      </c>
      <c r="BZ11" s="1546">
        <f t="shared" si="4"/>
        <v>0</v>
      </c>
      <c r="CA11" s="1546">
        <f t="shared" si="4"/>
        <v>0</v>
      </c>
      <c r="CB11" s="1546">
        <f t="shared" si="4"/>
        <v>0</v>
      </c>
      <c r="CC11" s="1546">
        <f t="shared" si="4"/>
        <v>0</v>
      </c>
      <c r="CE11" s="1546">
        <f t="shared" si="5"/>
        <v>0</v>
      </c>
      <c r="CF11" s="1546">
        <f t="shared" si="6"/>
        <v>0</v>
      </c>
      <c r="CG11" s="1546">
        <f t="shared" si="6"/>
        <v>0</v>
      </c>
      <c r="CH11" s="1546">
        <f t="shared" si="6"/>
        <v>0</v>
      </c>
      <c r="CI11" s="1546">
        <f t="shared" si="6"/>
        <v>0</v>
      </c>
      <c r="CJ11" s="1546">
        <f t="shared" si="6"/>
        <v>0</v>
      </c>
      <c r="CK11" s="1546">
        <f t="shared" si="6"/>
        <v>0</v>
      </c>
      <c r="CL11" s="1546">
        <f t="shared" si="6"/>
        <v>0</v>
      </c>
      <c r="CN11" s="1546">
        <f t="shared" si="7"/>
        <v>0</v>
      </c>
      <c r="CO11" s="1546">
        <f t="shared" si="8"/>
        <v>0</v>
      </c>
      <c r="CP11" s="1546">
        <f t="shared" si="8"/>
        <v>0</v>
      </c>
      <c r="CQ11" s="1546">
        <f t="shared" si="8"/>
        <v>0</v>
      </c>
      <c r="CR11" s="1546">
        <f t="shared" si="8"/>
        <v>0</v>
      </c>
      <c r="CS11" s="1546">
        <f t="shared" si="8"/>
        <v>0</v>
      </c>
      <c r="CT11" s="1546">
        <f t="shared" si="8"/>
        <v>0</v>
      </c>
      <c r="CU11" s="1546">
        <f t="shared" si="8"/>
        <v>0</v>
      </c>
      <c r="CW11" s="1546">
        <f t="shared" si="9"/>
        <v>0</v>
      </c>
      <c r="CX11" s="1546">
        <f t="shared" si="10"/>
        <v>0</v>
      </c>
      <c r="CY11" s="1546">
        <f t="shared" si="10"/>
        <v>0</v>
      </c>
      <c r="CZ11" s="1546">
        <f t="shared" si="10"/>
        <v>0</v>
      </c>
      <c r="DA11" s="1546">
        <f t="shared" si="10"/>
        <v>0</v>
      </c>
      <c r="DB11" s="1546">
        <f t="shared" si="10"/>
        <v>0</v>
      </c>
      <c r="DC11" s="1546">
        <f t="shared" si="10"/>
        <v>0</v>
      </c>
      <c r="DD11" s="1546">
        <f t="shared" si="10"/>
        <v>0</v>
      </c>
      <c r="DF11" s="1546">
        <f t="shared" si="11"/>
        <v>0</v>
      </c>
      <c r="DG11" s="1546">
        <f t="shared" si="12"/>
        <v>0</v>
      </c>
      <c r="DH11" s="1546">
        <f t="shared" si="12"/>
        <v>0</v>
      </c>
      <c r="DI11" s="1546">
        <f t="shared" si="12"/>
        <v>0</v>
      </c>
      <c r="DJ11" s="1546">
        <f t="shared" si="12"/>
        <v>0</v>
      </c>
      <c r="DK11" s="1546">
        <f t="shared" si="12"/>
        <v>0</v>
      </c>
      <c r="DL11" s="1546">
        <f t="shared" si="12"/>
        <v>0</v>
      </c>
      <c r="DM11" s="1546">
        <f t="shared" si="12"/>
        <v>0</v>
      </c>
      <c r="DO11" s="1546">
        <f t="shared" si="13"/>
        <v>0</v>
      </c>
      <c r="DP11" s="1546">
        <f t="shared" si="14"/>
        <v>0</v>
      </c>
      <c r="DQ11" s="1546">
        <f t="shared" si="14"/>
        <v>0</v>
      </c>
      <c r="DR11" s="1546">
        <f t="shared" si="14"/>
        <v>0</v>
      </c>
      <c r="DS11" s="1546">
        <f t="shared" si="14"/>
        <v>0</v>
      </c>
      <c r="DT11" s="1546">
        <f t="shared" si="14"/>
        <v>0</v>
      </c>
      <c r="DU11" s="1546">
        <f t="shared" si="14"/>
        <v>0</v>
      </c>
      <c r="DV11" s="1546">
        <f t="shared" si="14"/>
        <v>0</v>
      </c>
      <c r="DX11" s="1546">
        <f t="shared" si="15"/>
        <v>0</v>
      </c>
      <c r="DY11" s="1546">
        <f t="shared" si="16"/>
        <v>0</v>
      </c>
      <c r="DZ11" s="1546">
        <f t="shared" si="16"/>
        <v>0</v>
      </c>
      <c r="EA11" s="1546">
        <f t="shared" si="16"/>
        <v>0</v>
      </c>
      <c r="EB11" s="1546">
        <f t="shared" si="16"/>
        <v>0</v>
      </c>
      <c r="EC11" s="1546">
        <f t="shared" si="16"/>
        <v>0</v>
      </c>
      <c r="ED11" s="1546">
        <f t="shared" si="16"/>
        <v>0</v>
      </c>
      <c r="EE11" s="1546">
        <f t="shared" si="16"/>
        <v>0</v>
      </c>
      <c r="EG11" s="1546">
        <f t="shared" si="17"/>
        <v>0</v>
      </c>
      <c r="EH11" s="1546">
        <f t="shared" si="18"/>
        <v>0</v>
      </c>
      <c r="EI11" s="1546">
        <f t="shared" si="18"/>
        <v>0</v>
      </c>
      <c r="EJ11" s="1546">
        <f t="shared" si="18"/>
        <v>0</v>
      </c>
      <c r="EK11" s="1546">
        <f t="shared" si="18"/>
        <v>0</v>
      </c>
      <c r="EL11" s="1546">
        <f t="shared" si="18"/>
        <v>0</v>
      </c>
      <c r="EM11" s="1546">
        <f t="shared" si="18"/>
        <v>0</v>
      </c>
      <c r="EN11" s="1546">
        <f t="shared" si="18"/>
        <v>0</v>
      </c>
      <c r="EP11" s="1546">
        <f t="shared" si="19"/>
        <v>0</v>
      </c>
      <c r="EQ11" s="1546">
        <f t="shared" si="20"/>
        <v>0</v>
      </c>
      <c r="ER11" s="1546">
        <f t="shared" si="20"/>
        <v>0</v>
      </c>
      <c r="ES11" s="1546">
        <f t="shared" si="20"/>
        <v>0</v>
      </c>
      <c r="ET11" s="1546">
        <f t="shared" si="20"/>
        <v>0</v>
      </c>
      <c r="EU11" s="1546">
        <f t="shared" si="20"/>
        <v>0</v>
      </c>
      <c r="EV11" s="1546">
        <f t="shared" si="20"/>
        <v>0</v>
      </c>
      <c r="EW11" s="1546">
        <f t="shared" si="20"/>
        <v>0</v>
      </c>
    </row>
    <row r="12" spans="1:153" ht="32.25" customHeight="1" x14ac:dyDescent="0.3">
      <c r="A12" s="334">
        <v>9</v>
      </c>
      <c r="B12" s="902"/>
      <c r="C12" s="902"/>
      <c r="D12" s="902"/>
      <c r="E12" s="334" t="str">
        <f>IF($C12="","",VLOOKUP($A12&amp;"."&amp;E$2,'Equipment Weight Calc'!$L:$M,2,0))</f>
        <v/>
      </c>
      <c r="F12" s="334" t="str">
        <f>IF($C12="","",VLOOKUP($A12&amp;"."&amp;F$2,'Equipment Weight Calc'!$L:$M,2,0))</f>
        <v/>
      </c>
      <c r="G12" s="334" t="str">
        <f>IF($C12="","",VLOOKUP($A12&amp;"."&amp;G$2,'Equipment Weight Calc'!$L:$M,2,0))</f>
        <v/>
      </c>
      <c r="H12" s="334" t="str">
        <f>IF($C12="","",VLOOKUP($A12&amp;"."&amp;H$2,'Equipment Weight Calc'!$L:$M,2,0))</f>
        <v/>
      </c>
      <c r="I12" s="334" t="str">
        <f>IF($C12="","",VLOOKUP($A12&amp;"."&amp;I$2,'Equipment Weight Calc'!$L:$M,2,0))</f>
        <v/>
      </c>
      <c r="J12" s="683">
        <v>0</v>
      </c>
      <c r="K12" s="663" t="str">
        <f>IF($C12="","",VLOOKUP($A12&amp;"."&amp;K$2,'Equipment Weight Calc'!$L:$M,2,0))</f>
        <v/>
      </c>
      <c r="L12" s="334" t="str">
        <f>IF($C12="","",VLOOKUP($A12&amp;"."&amp;L$2,'Equipment Weight Calc'!$L:$M,2,0))</f>
        <v/>
      </c>
      <c r="M12" s="663" t="str">
        <f>IF($C12="","",VLOOKUP($A12&amp;"."&amp;M$2,'Equipment Weight Calc'!$L:$M,2,0))</f>
        <v/>
      </c>
      <c r="N12" s="334" t="str">
        <f>IF($C12="","",VLOOKUP($A12&amp;"."&amp;N$2,'Equipment Weight Calc'!$L:$M,2,0))</f>
        <v/>
      </c>
      <c r="O12" s="683"/>
      <c r="P12" s="680"/>
      <c r="Q12" s="513" t="str">
        <f>IF($C12="","",VLOOKUP($A12&amp;"."&amp;Q$2,'Equipment Weight Calc'!$L:$M,2,0))</f>
        <v/>
      </c>
      <c r="R12" s="513" t="str">
        <f t="shared" si="21"/>
        <v/>
      </c>
      <c r="S12" s="334" t="str">
        <f t="shared" si="0"/>
        <v/>
      </c>
      <c r="T12" s="692"/>
      <c r="U12" s="488" t="str">
        <f t="shared" si="1"/>
        <v/>
      </c>
      <c r="V12" s="488" t="str">
        <f t="shared" si="22"/>
        <v/>
      </c>
      <c r="X12" s="683"/>
      <c r="Y12" s="334">
        <f t="shared" si="23"/>
        <v>0</v>
      </c>
      <c r="Z12" s="746"/>
      <c r="AA12" s="488">
        <f t="shared" si="24"/>
        <v>0</v>
      </c>
      <c r="AC12" s="821"/>
      <c r="AD12" s="822"/>
      <c r="AE12" s="822"/>
      <c r="AF12" s="814">
        <f t="shared" si="25"/>
        <v>0</v>
      </c>
      <c r="AG12" s="814">
        <f t="shared" si="26"/>
        <v>0</v>
      </c>
      <c r="AH12" s="816">
        <v>18</v>
      </c>
      <c r="AI12" s="818">
        <f t="shared" si="27"/>
        <v>0</v>
      </c>
      <c r="AK12" s="1546">
        <f t="shared" si="28"/>
        <v>0</v>
      </c>
      <c r="AL12" s="1546">
        <f t="shared" si="2"/>
        <v>0</v>
      </c>
      <c r="AM12" s="1546">
        <f t="shared" si="2"/>
        <v>0</v>
      </c>
      <c r="AN12" s="1546">
        <f t="shared" si="2"/>
        <v>0</v>
      </c>
      <c r="AO12" s="1546">
        <f t="shared" si="2"/>
        <v>0</v>
      </c>
      <c r="AP12" s="1546">
        <f t="shared" si="2"/>
        <v>0</v>
      </c>
      <c r="AQ12" s="1546">
        <f t="shared" si="2"/>
        <v>0</v>
      </c>
      <c r="AR12" s="1546">
        <f t="shared" si="2"/>
        <v>0</v>
      </c>
      <c r="AS12" s="1546">
        <f t="shared" si="2"/>
        <v>0</v>
      </c>
      <c r="AT12" s="1546">
        <f t="shared" si="2"/>
        <v>0</v>
      </c>
      <c r="AU12" s="1546">
        <f t="shared" si="2"/>
        <v>0</v>
      </c>
      <c r="AV12" s="1546">
        <f t="shared" si="2"/>
        <v>0</v>
      </c>
      <c r="AW12" s="1546">
        <f t="shared" si="2"/>
        <v>0</v>
      </c>
      <c r="AX12" s="1546">
        <f t="shared" si="2"/>
        <v>0</v>
      </c>
      <c r="AY12" s="1546">
        <f t="shared" si="2"/>
        <v>0</v>
      </c>
      <c r="AZ12" s="1546">
        <f t="shared" si="2"/>
        <v>0</v>
      </c>
      <c r="BA12" s="1546">
        <f t="shared" si="29"/>
        <v>1</v>
      </c>
      <c r="BC12" s="663" t="str">
        <f>IF($C12="","",VLOOKUP($A12&amp;"."&amp;BC$3,'Equipment Weight Calc'!$L:$M,2,0))</f>
        <v/>
      </c>
      <c r="BD12" s="663" t="str">
        <f>IF($C12="","",VLOOKUP($A12&amp;"."&amp;BD$3,'Equipment Weight Calc'!$L:$M,2,0))</f>
        <v/>
      </c>
      <c r="BE12" s="663" t="str">
        <f>IF($C12="","",VLOOKUP($A12&amp;"."&amp;BE$3,'Equipment Weight Calc'!$L:$M,2,0))</f>
        <v/>
      </c>
      <c r="BF12" s="663" t="str">
        <f>IF($C12="","",VLOOKUP($A12&amp;"."&amp;BF$3,'Equipment Weight Calc'!$L:$M,2,0))</f>
        <v/>
      </c>
      <c r="BG12" s="663" t="str">
        <f>IF($C12="","",VLOOKUP($A12&amp;"."&amp;BG$3,'Equipment Weight Calc'!$L:$M,2,0))</f>
        <v/>
      </c>
      <c r="BH12" s="663" t="str">
        <f>IF($C12="","",VLOOKUP($A12&amp;"."&amp;BH$3,'Equipment Weight Calc'!$L:$M,2,0))</f>
        <v/>
      </c>
      <c r="BI12" s="663" t="str">
        <f>IF($C12="","",VLOOKUP($A12&amp;"."&amp;BI$3,'Equipment Weight Calc'!$L:$M,2,0))</f>
        <v/>
      </c>
      <c r="BJ12" s="663" t="str">
        <f>IF($C12="","",VLOOKUP($A12&amp;"."&amp;BJ$3,'Equipment Weight Calc'!$L:$M,2,0))</f>
        <v/>
      </c>
      <c r="BK12" s="663" t="str">
        <f>IF($C12="","",VLOOKUP($A12&amp;"."&amp;BK$3,'Equipment Weight Calc'!$L:$M,2,0))</f>
        <v/>
      </c>
      <c r="BL12" s="663" t="str">
        <f>IF($C12="","",VLOOKUP($A12&amp;"."&amp;BL$3,'Equipment Weight Calc'!$L:$M,2,0))</f>
        <v/>
      </c>
      <c r="BM12" s="663" t="str">
        <f>IF($C12="","",VLOOKUP($A12&amp;"."&amp;BM$3,'Equipment Weight Calc'!$L:$M,2,0))</f>
        <v/>
      </c>
      <c r="BN12" s="663" t="str">
        <f>IF($C12="","",VLOOKUP($A12&amp;"."&amp;BN$3,'Equipment Weight Calc'!$L:$M,2,0))</f>
        <v/>
      </c>
      <c r="BO12" s="663" t="str">
        <f>IF($C12="","",VLOOKUP($A12&amp;"."&amp;BO$3,'Equipment Weight Calc'!$L:$M,2,0))</f>
        <v/>
      </c>
      <c r="BP12" s="663" t="str">
        <f>IF($C12="","",VLOOKUP($A12&amp;"."&amp;BP$3,'Equipment Weight Calc'!$L:$M,2,0))</f>
        <v/>
      </c>
      <c r="BQ12" s="663" t="str">
        <f>IF($C12="","",VLOOKUP($A12&amp;"."&amp;BQ$3,'Equipment Weight Calc'!$L:$M,2,0))</f>
        <v/>
      </c>
      <c r="BR12" s="663" t="str">
        <f>IF($C12="","",VLOOKUP($A12&amp;"."&amp;BR$3,'Equipment Weight Calc'!$L:$M,2,0))</f>
        <v/>
      </c>
      <c r="BS12" s="663" t="str">
        <f>IF($C12="","",VLOOKUP($A12&amp;"."&amp;BS$3,'Equipment Weight Calc'!$L:$M,2,0))</f>
        <v/>
      </c>
      <c r="BT12" s="663" t="str">
        <f>IF($C12="","",VLOOKUP($A12&amp;"."&amp;BT$3,'Equipment Weight Calc'!$L:$M,2,0))</f>
        <v/>
      </c>
      <c r="BV12" s="1546">
        <f t="shared" si="3"/>
        <v>0</v>
      </c>
      <c r="BW12" s="1546">
        <f t="shared" si="4"/>
        <v>0</v>
      </c>
      <c r="BX12" s="1546">
        <f t="shared" si="4"/>
        <v>0</v>
      </c>
      <c r="BY12" s="1546">
        <f t="shared" si="4"/>
        <v>0</v>
      </c>
      <c r="BZ12" s="1546">
        <f t="shared" si="4"/>
        <v>0</v>
      </c>
      <c r="CA12" s="1546">
        <f t="shared" si="4"/>
        <v>0</v>
      </c>
      <c r="CB12" s="1546">
        <f t="shared" si="4"/>
        <v>0</v>
      </c>
      <c r="CC12" s="1546">
        <f t="shared" si="4"/>
        <v>0</v>
      </c>
      <c r="CE12" s="1546">
        <f t="shared" si="5"/>
        <v>0</v>
      </c>
      <c r="CF12" s="1546">
        <f t="shared" si="6"/>
        <v>0</v>
      </c>
      <c r="CG12" s="1546">
        <f t="shared" si="6"/>
        <v>0</v>
      </c>
      <c r="CH12" s="1546">
        <f t="shared" si="6"/>
        <v>0</v>
      </c>
      <c r="CI12" s="1546">
        <f t="shared" si="6"/>
        <v>0</v>
      </c>
      <c r="CJ12" s="1546">
        <f t="shared" si="6"/>
        <v>0</v>
      </c>
      <c r="CK12" s="1546">
        <f t="shared" si="6"/>
        <v>0</v>
      </c>
      <c r="CL12" s="1546">
        <f t="shared" si="6"/>
        <v>0</v>
      </c>
      <c r="CN12" s="1546">
        <f t="shared" si="7"/>
        <v>0</v>
      </c>
      <c r="CO12" s="1546">
        <f t="shared" si="8"/>
        <v>0</v>
      </c>
      <c r="CP12" s="1546">
        <f t="shared" si="8"/>
        <v>0</v>
      </c>
      <c r="CQ12" s="1546">
        <f t="shared" si="8"/>
        <v>0</v>
      </c>
      <c r="CR12" s="1546">
        <f t="shared" si="8"/>
        <v>0</v>
      </c>
      <c r="CS12" s="1546">
        <f t="shared" si="8"/>
        <v>0</v>
      </c>
      <c r="CT12" s="1546">
        <f t="shared" si="8"/>
        <v>0</v>
      </c>
      <c r="CU12" s="1546">
        <f t="shared" si="8"/>
        <v>0</v>
      </c>
      <c r="CW12" s="1546">
        <f t="shared" si="9"/>
        <v>0</v>
      </c>
      <c r="CX12" s="1546">
        <f t="shared" si="10"/>
        <v>0</v>
      </c>
      <c r="CY12" s="1546">
        <f t="shared" si="10"/>
        <v>0</v>
      </c>
      <c r="CZ12" s="1546">
        <f t="shared" si="10"/>
        <v>0</v>
      </c>
      <c r="DA12" s="1546">
        <f t="shared" si="10"/>
        <v>0</v>
      </c>
      <c r="DB12" s="1546">
        <f t="shared" si="10"/>
        <v>0</v>
      </c>
      <c r="DC12" s="1546">
        <f t="shared" si="10"/>
        <v>0</v>
      </c>
      <c r="DD12" s="1546">
        <f t="shared" si="10"/>
        <v>0</v>
      </c>
      <c r="DF12" s="1546">
        <f t="shared" si="11"/>
        <v>0</v>
      </c>
      <c r="DG12" s="1546">
        <f t="shared" si="12"/>
        <v>0</v>
      </c>
      <c r="DH12" s="1546">
        <f t="shared" si="12"/>
        <v>0</v>
      </c>
      <c r="DI12" s="1546">
        <f t="shared" si="12"/>
        <v>0</v>
      </c>
      <c r="DJ12" s="1546">
        <f t="shared" si="12"/>
        <v>0</v>
      </c>
      <c r="DK12" s="1546">
        <f t="shared" si="12"/>
        <v>0</v>
      </c>
      <c r="DL12" s="1546">
        <f t="shared" si="12"/>
        <v>0</v>
      </c>
      <c r="DM12" s="1546">
        <f t="shared" si="12"/>
        <v>0</v>
      </c>
      <c r="DO12" s="1546">
        <f t="shared" si="13"/>
        <v>0</v>
      </c>
      <c r="DP12" s="1546">
        <f t="shared" si="14"/>
        <v>0</v>
      </c>
      <c r="DQ12" s="1546">
        <f t="shared" si="14"/>
        <v>0</v>
      </c>
      <c r="DR12" s="1546">
        <f t="shared" si="14"/>
        <v>0</v>
      </c>
      <c r="DS12" s="1546">
        <f t="shared" si="14"/>
        <v>0</v>
      </c>
      <c r="DT12" s="1546">
        <f t="shared" si="14"/>
        <v>0</v>
      </c>
      <c r="DU12" s="1546">
        <f t="shared" si="14"/>
        <v>0</v>
      </c>
      <c r="DV12" s="1546">
        <f t="shared" si="14"/>
        <v>0</v>
      </c>
      <c r="DX12" s="1546">
        <f t="shared" si="15"/>
        <v>0</v>
      </c>
      <c r="DY12" s="1546">
        <f t="shared" si="16"/>
        <v>0</v>
      </c>
      <c r="DZ12" s="1546">
        <f t="shared" si="16"/>
        <v>0</v>
      </c>
      <c r="EA12" s="1546">
        <f t="shared" si="16"/>
        <v>0</v>
      </c>
      <c r="EB12" s="1546">
        <f t="shared" si="16"/>
        <v>0</v>
      </c>
      <c r="EC12" s="1546">
        <f t="shared" si="16"/>
        <v>0</v>
      </c>
      <c r="ED12" s="1546">
        <f t="shared" si="16"/>
        <v>0</v>
      </c>
      <c r="EE12" s="1546">
        <f t="shared" si="16"/>
        <v>0</v>
      </c>
      <c r="EG12" s="1546">
        <f t="shared" si="17"/>
        <v>0</v>
      </c>
      <c r="EH12" s="1546">
        <f t="shared" si="18"/>
        <v>0</v>
      </c>
      <c r="EI12" s="1546">
        <f t="shared" si="18"/>
        <v>0</v>
      </c>
      <c r="EJ12" s="1546">
        <f t="shared" si="18"/>
        <v>0</v>
      </c>
      <c r="EK12" s="1546">
        <f t="shared" si="18"/>
        <v>0</v>
      </c>
      <c r="EL12" s="1546">
        <f t="shared" si="18"/>
        <v>0</v>
      </c>
      <c r="EM12" s="1546">
        <f t="shared" si="18"/>
        <v>0</v>
      </c>
      <c r="EN12" s="1546">
        <f t="shared" si="18"/>
        <v>0</v>
      </c>
      <c r="EP12" s="1546">
        <f t="shared" si="19"/>
        <v>0</v>
      </c>
      <c r="EQ12" s="1546">
        <f t="shared" si="20"/>
        <v>0</v>
      </c>
      <c r="ER12" s="1546">
        <f t="shared" si="20"/>
        <v>0</v>
      </c>
      <c r="ES12" s="1546">
        <f t="shared" si="20"/>
        <v>0</v>
      </c>
      <c r="ET12" s="1546">
        <f t="shared" si="20"/>
        <v>0</v>
      </c>
      <c r="EU12" s="1546">
        <f t="shared" si="20"/>
        <v>0</v>
      </c>
      <c r="EV12" s="1546">
        <f t="shared" si="20"/>
        <v>0</v>
      </c>
      <c r="EW12" s="1546">
        <f t="shared" si="20"/>
        <v>0</v>
      </c>
    </row>
    <row r="13" spans="1:153" ht="32.25" customHeight="1" x14ac:dyDescent="0.3">
      <c r="A13" s="334">
        <v>10</v>
      </c>
      <c r="B13" s="902"/>
      <c r="C13" s="902"/>
      <c r="D13" s="902"/>
      <c r="E13" s="334" t="str">
        <f>IF($C13="","",VLOOKUP($A13&amp;"."&amp;E$2,'Equipment Weight Calc'!$L:$M,2,0))</f>
        <v/>
      </c>
      <c r="F13" s="334" t="str">
        <f>IF($C13="","",VLOOKUP($A13&amp;"."&amp;F$2,'Equipment Weight Calc'!$L:$M,2,0))</f>
        <v/>
      </c>
      <c r="G13" s="334" t="str">
        <f>IF($C13="","",VLOOKUP($A13&amp;"."&amp;G$2,'Equipment Weight Calc'!$L:$M,2,0))</f>
        <v/>
      </c>
      <c r="H13" s="334" t="str">
        <f>IF($C13="","",VLOOKUP($A13&amp;"."&amp;H$2,'Equipment Weight Calc'!$L:$M,2,0))</f>
        <v/>
      </c>
      <c r="I13" s="334" t="str">
        <f>IF($C13="","",VLOOKUP($A13&amp;"."&amp;I$2,'Equipment Weight Calc'!$L:$M,2,0))</f>
        <v/>
      </c>
      <c r="J13" s="683"/>
      <c r="K13" s="663" t="str">
        <f>IF($C13="","",VLOOKUP($A13&amp;"."&amp;K$2,'Equipment Weight Calc'!$L:$M,2,0))</f>
        <v/>
      </c>
      <c r="L13" s="334" t="str">
        <f>IF($C13="","",VLOOKUP($A13&amp;"."&amp;L$2,'Equipment Weight Calc'!$L:$M,2,0))</f>
        <v/>
      </c>
      <c r="M13" s="663"/>
      <c r="N13" s="334"/>
      <c r="O13" s="683"/>
      <c r="P13" s="680"/>
      <c r="Q13" s="513" t="str">
        <f>IF($C13="","",VLOOKUP($A13&amp;"."&amp;Q$2,'Equipment Weight Calc'!$L:$M,2,0))</f>
        <v/>
      </c>
      <c r="R13" s="513" t="str">
        <f t="shared" ref="R13:R18" si="30">IFERROR(Q13*O13,"")</f>
        <v/>
      </c>
      <c r="S13" s="334">
        <f t="shared" si="0"/>
        <v>0</v>
      </c>
      <c r="T13" s="692"/>
      <c r="U13" s="488"/>
      <c r="V13" s="488">
        <f t="shared" si="22"/>
        <v>0</v>
      </c>
      <c r="X13" s="683"/>
      <c r="Y13" s="334">
        <f t="shared" si="23"/>
        <v>0</v>
      </c>
      <c r="Z13" s="746"/>
      <c r="AA13" s="488">
        <f t="shared" si="24"/>
        <v>0</v>
      </c>
      <c r="AC13" s="821"/>
      <c r="AD13" s="822"/>
      <c r="AE13" s="822"/>
      <c r="AF13" s="814">
        <f t="shared" si="25"/>
        <v>0</v>
      </c>
      <c r="AG13" s="814">
        <f t="shared" si="26"/>
        <v>0</v>
      </c>
      <c r="AH13" s="816">
        <v>18</v>
      </c>
      <c r="AI13" s="818">
        <f t="shared" si="27"/>
        <v>0</v>
      </c>
      <c r="AK13" s="1546">
        <f t="shared" si="28"/>
        <v>0</v>
      </c>
      <c r="AL13" s="1546">
        <f t="shared" si="2"/>
        <v>0</v>
      </c>
      <c r="AM13" s="1546">
        <f t="shared" si="2"/>
        <v>0</v>
      </c>
      <c r="AN13" s="1546">
        <f t="shared" si="2"/>
        <v>0</v>
      </c>
      <c r="AO13" s="1546">
        <f t="shared" si="2"/>
        <v>0</v>
      </c>
      <c r="AP13" s="1546">
        <f t="shared" si="2"/>
        <v>0</v>
      </c>
      <c r="AQ13" s="1546">
        <f t="shared" si="2"/>
        <v>0</v>
      </c>
      <c r="AR13" s="1546">
        <f t="shared" si="2"/>
        <v>0</v>
      </c>
      <c r="AS13" s="1546">
        <f t="shared" si="2"/>
        <v>0</v>
      </c>
      <c r="AT13" s="1546">
        <f t="shared" si="2"/>
        <v>0</v>
      </c>
      <c r="AU13" s="1546">
        <f t="shared" si="2"/>
        <v>0</v>
      </c>
      <c r="AV13" s="1546">
        <f t="shared" si="2"/>
        <v>0</v>
      </c>
      <c r="AW13" s="1546">
        <f t="shared" si="2"/>
        <v>0</v>
      </c>
      <c r="AX13" s="1546">
        <f t="shared" si="2"/>
        <v>0</v>
      </c>
      <c r="AY13" s="1546">
        <f t="shared" si="2"/>
        <v>0</v>
      </c>
      <c r="AZ13" s="1546">
        <f t="shared" si="2"/>
        <v>0</v>
      </c>
      <c r="BA13" s="1546">
        <f t="shared" si="29"/>
        <v>1</v>
      </c>
      <c r="BC13" s="663" t="str">
        <f>IF($C13="","",VLOOKUP($A13&amp;"."&amp;BC$3,'Equipment Weight Calc'!$L:$M,2,0))</f>
        <v/>
      </c>
      <c r="BD13" s="663" t="str">
        <f>IF($C13="","",VLOOKUP($A13&amp;"."&amp;BD$3,'Equipment Weight Calc'!$L:$M,2,0))</f>
        <v/>
      </c>
      <c r="BE13" s="663" t="str">
        <f>IF($C13="","",VLOOKUP($A13&amp;"."&amp;BE$3,'Equipment Weight Calc'!$L:$M,2,0))</f>
        <v/>
      </c>
      <c r="BF13" s="663" t="str">
        <f>IF($C13="","",VLOOKUP($A13&amp;"."&amp;BF$3,'Equipment Weight Calc'!$L:$M,2,0))</f>
        <v/>
      </c>
      <c r="BG13" s="663" t="str">
        <f>IF($C13="","",VLOOKUP($A13&amp;"."&amp;BG$3,'Equipment Weight Calc'!$L:$M,2,0))</f>
        <v/>
      </c>
      <c r="BH13" s="663" t="str">
        <f>IF($C13="","",VLOOKUP($A13&amp;"."&amp;BH$3,'Equipment Weight Calc'!$L:$M,2,0))</f>
        <v/>
      </c>
      <c r="BI13" s="663" t="str">
        <f>IF($C13="","",VLOOKUP($A13&amp;"."&amp;BI$3,'Equipment Weight Calc'!$L:$M,2,0))</f>
        <v/>
      </c>
      <c r="BJ13" s="663" t="str">
        <f>IF($C13="","",VLOOKUP($A13&amp;"."&amp;BJ$3,'Equipment Weight Calc'!$L:$M,2,0))</f>
        <v/>
      </c>
      <c r="BK13" s="663" t="str">
        <f>IF($C13="","",VLOOKUP($A13&amp;"."&amp;BK$3,'Equipment Weight Calc'!$L:$M,2,0))</f>
        <v/>
      </c>
      <c r="BL13" s="663" t="str">
        <f>IF($C13="","",VLOOKUP($A13&amp;"."&amp;BL$3,'Equipment Weight Calc'!$L:$M,2,0))</f>
        <v/>
      </c>
      <c r="BM13" s="663" t="str">
        <f>IF($C13="","",VLOOKUP($A13&amp;"."&amp;BM$3,'Equipment Weight Calc'!$L:$M,2,0))</f>
        <v/>
      </c>
      <c r="BN13" s="663" t="str">
        <f>IF($C13="","",VLOOKUP($A13&amp;"."&amp;BN$3,'Equipment Weight Calc'!$L:$M,2,0))</f>
        <v/>
      </c>
      <c r="BO13" s="663" t="str">
        <f>IF($C13="","",VLOOKUP($A13&amp;"."&amp;BO$3,'Equipment Weight Calc'!$L:$M,2,0))</f>
        <v/>
      </c>
      <c r="BP13" s="663" t="str">
        <f>IF($C13="","",VLOOKUP($A13&amp;"."&amp;BP$3,'Equipment Weight Calc'!$L:$M,2,0))</f>
        <v/>
      </c>
      <c r="BQ13" s="663" t="str">
        <f>IF($C13="","",VLOOKUP($A13&amp;"."&amp;BQ$3,'Equipment Weight Calc'!$L:$M,2,0))</f>
        <v/>
      </c>
      <c r="BR13" s="663" t="str">
        <f>IF($C13="","",VLOOKUP($A13&amp;"."&amp;BR$3,'Equipment Weight Calc'!$L:$M,2,0))</f>
        <v/>
      </c>
      <c r="BS13" s="663" t="str">
        <f>IF($C13="","",VLOOKUP($A13&amp;"."&amp;BS$3,'Equipment Weight Calc'!$L:$M,2,0))</f>
        <v/>
      </c>
      <c r="BT13" s="663" t="str">
        <f>IF($C13="","",VLOOKUP($A13&amp;"."&amp;BT$3,'Equipment Weight Calc'!$L:$M,2,0))</f>
        <v/>
      </c>
      <c r="BV13" s="1546">
        <f t="shared" si="3"/>
        <v>0</v>
      </c>
      <c r="BW13" s="1546">
        <f t="shared" si="4"/>
        <v>0</v>
      </c>
      <c r="BX13" s="1546">
        <f t="shared" si="4"/>
        <v>0</v>
      </c>
      <c r="BY13" s="1546">
        <f t="shared" si="4"/>
        <v>0</v>
      </c>
      <c r="BZ13" s="1546">
        <f t="shared" si="4"/>
        <v>0</v>
      </c>
      <c r="CA13" s="1546">
        <f t="shared" si="4"/>
        <v>0</v>
      </c>
      <c r="CB13" s="1546">
        <f t="shared" si="4"/>
        <v>0</v>
      </c>
      <c r="CC13" s="1546">
        <f t="shared" si="4"/>
        <v>0</v>
      </c>
      <c r="CE13" s="1546">
        <f t="shared" si="5"/>
        <v>0</v>
      </c>
      <c r="CF13" s="1546">
        <f t="shared" si="6"/>
        <v>0</v>
      </c>
      <c r="CG13" s="1546">
        <f t="shared" si="6"/>
        <v>0</v>
      </c>
      <c r="CH13" s="1546">
        <f t="shared" si="6"/>
        <v>0</v>
      </c>
      <c r="CI13" s="1546">
        <f t="shared" si="6"/>
        <v>0</v>
      </c>
      <c r="CJ13" s="1546">
        <f t="shared" si="6"/>
        <v>0</v>
      </c>
      <c r="CK13" s="1546">
        <f t="shared" si="6"/>
        <v>0</v>
      </c>
      <c r="CL13" s="1546">
        <f t="shared" si="6"/>
        <v>0</v>
      </c>
      <c r="CN13" s="1546">
        <f t="shared" si="7"/>
        <v>0</v>
      </c>
      <c r="CO13" s="1546">
        <f t="shared" si="8"/>
        <v>0</v>
      </c>
      <c r="CP13" s="1546">
        <f t="shared" si="8"/>
        <v>0</v>
      </c>
      <c r="CQ13" s="1546">
        <f t="shared" si="8"/>
        <v>0</v>
      </c>
      <c r="CR13" s="1546">
        <f t="shared" si="8"/>
        <v>0</v>
      </c>
      <c r="CS13" s="1546">
        <f t="shared" si="8"/>
        <v>0</v>
      </c>
      <c r="CT13" s="1546">
        <f t="shared" si="8"/>
        <v>0</v>
      </c>
      <c r="CU13" s="1546">
        <f t="shared" si="8"/>
        <v>0</v>
      </c>
      <c r="CW13" s="1546">
        <f t="shared" si="9"/>
        <v>0</v>
      </c>
      <c r="CX13" s="1546">
        <f t="shared" si="10"/>
        <v>0</v>
      </c>
      <c r="CY13" s="1546">
        <f t="shared" si="10"/>
        <v>0</v>
      </c>
      <c r="CZ13" s="1546">
        <f t="shared" si="10"/>
        <v>0</v>
      </c>
      <c r="DA13" s="1546">
        <f t="shared" si="10"/>
        <v>0</v>
      </c>
      <c r="DB13" s="1546">
        <f t="shared" si="10"/>
        <v>0</v>
      </c>
      <c r="DC13" s="1546">
        <f t="shared" si="10"/>
        <v>0</v>
      </c>
      <c r="DD13" s="1546">
        <f t="shared" si="10"/>
        <v>0</v>
      </c>
      <c r="DF13" s="1546">
        <f t="shared" si="11"/>
        <v>0</v>
      </c>
      <c r="DG13" s="1546">
        <f t="shared" si="12"/>
        <v>0</v>
      </c>
      <c r="DH13" s="1546">
        <f t="shared" si="12"/>
        <v>0</v>
      </c>
      <c r="DI13" s="1546">
        <f t="shared" si="12"/>
        <v>0</v>
      </c>
      <c r="DJ13" s="1546">
        <f t="shared" si="12"/>
        <v>0</v>
      </c>
      <c r="DK13" s="1546">
        <f t="shared" si="12"/>
        <v>0</v>
      </c>
      <c r="DL13" s="1546">
        <f t="shared" si="12"/>
        <v>0</v>
      </c>
      <c r="DM13" s="1546">
        <f t="shared" si="12"/>
        <v>0</v>
      </c>
      <c r="DO13" s="1546">
        <f t="shared" si="13"/>
        <v>0</v>
      </c>
      <c r="DP13" s="1546">
        <f t="shared" si="14"/>
        <v>0</v>
      </c>
      <c r="DQ13" s="1546">
        <f t="shared" si="14"/>
        <v>0</v>
      </c>
      <c r="DR13" s="1546">
        <f t="shared" si="14"/>
        <v>0</v>
      </c>
      <c r="DS13" s="1546">
        <f t="shared" si="14"/>
        <v>0</v>
      </c>
      <c r="DT13" s="1546">
        <f t="shared" si="14"/>
        <v>0</v>
      </c>
      <c r="DU13" s="1546">
        <f t="shared" si="14"/>
        <v>0</v>
      </c>
      <c r="DV13" s="1546">
        <f t="shared" si="14"/>
        <v>0</v>
      </c>
      <c r="DX13" s="1546">
        <f t="shared" si="15"/>
        <v>0</v>
      </c>
      <c r="DY13" s="1546">
        <f t="shared" si="16"/>
        <v>0</v>
      </c>
      <c r="DZ13" s="1546">
        <f t="shared" si="16"/>
        <v>0</v>
      </c>
      <c r="EA13" s="1546">
        <f t="shared" si="16"/>
        <v>0</v>
      </c>
      <c r="EB13" s="1546">
        <f t="shared" si="16"/>
        <v>0</v>
      </c>
      <c r="EC13" s="1546">
        <f t="shared" si="16"/>
        <v>0</v>
      </c>
      <c r="ED13" s="1546">
        <f t="shared" si="16"/>
        <v>0</v>
      </c>
      <c r="EE13" s="1546">
        <f t="shared" si="16"/>
        <v>0</v>
      </c>
      <c r="EG13" s="1546">
        <f t="shared" si="17"/>
        <v>0</v>
      </c>
      <c r="EH13" s="1546">
        <f t="shared" si="18"/>
        <v>0</v>
      </c>
      <c r="EI13" s="1546">
        <f t="shared" si="18"/>
        <v>0</v>
      </c>
      <c r="EJ13" s="1546">
        <f t="shared" si="18"/>
        <v>0</v>
      </c>
      <c r="EK13" s="1546">
        <f t="shared" si="18"/>
        <v>0</v>
      </c>
      <c r="EL13" s="1546">
        <f t="shared" si="18"/>
        <v>0</v>
      </c>
      <c r="EM13" s="1546">
        <f t="shared" si="18"/>
        <v>0</v>
      </c>
      <c r="EN13" s="1546">
        <f t="shared" si="18"/>
        <v>0</v>
      </c>
      <c r="EP13" s="1546">
        <f t="shared" si="19"/>
        <v>0</v>
      </c>
      <c r="EQ13" s="1546">
        <f t="shared" si="20"/>
        <v>0</v>
      </c>
      <c r="ER13" s="1546">
        <f t="shared" si="20"/>
        <v>0</v>
      </c>
      <c r="ES13" s="1546">
        <f t="shared" si="20"/>
        <v>0</v>
      </c>
      <c r="ET13" s="1546">
        <f t="shared" si="20"/>
        <v>0</v>
      </c>
      <c r="EU13" s="1546">
        <f t="shared" si="20"/>
        <v>0</v>
      </c>
      <c r="EV13" s="1546">
        <f t="shared" si="20"/>
        <v>0</v>
      </c>
      <c r="EW13" s="1546">
        <f t="shared" si="20"/>
        <v>0</v>
      </c>
    </row>
    <row r="14" spans="1:153" ht="32.25" customHeight="1" x14ac:dyDescent="0.3">
      <c r="A14" s="334">
        <v>11</v>
      </c>
      <c r="B14" s="902"/>
      <c r="C14" s="902"/>
      <c r="D14" s="902"/>
      <c r="E14" s="334" t="str">
        <f>IF($C14="","",VLOOKUP($A14&amp;"."&amp;E$2,'Equipment Weight Calc'!$L:$M,2,0))</f>
        <v/>
      </c>
      <c r="F14" s="334" t="str">
        <f>IF($C14="","",VLOOKUP($A14&amp;"."&amp;F$2,'Equipment Weight Calc'!$L:$M,2,0))</f>
        <v/>
      </c>
      <c r="G14" s="334" t="str">
        <f>IF($C14="","",VLOOKUP($A14&amp;"."&amp;G$2,'Equipment Weight Calc'!$L:$M,2,0))</f>
        <v/>
      </c>
      <c r="H14" s="334" t="str">
        <f>IF($C14="","",VLOOKUP($A14&amp;"."&amp;H$2,'Equipment Weight Calc'!$L:$M,2,0))</f>
        <v/>
      </c>
      <c r="I14" s="334" t="str">
        <f>IF($C14="","",VLOOKUP($A14&amp;"."&amp;I$2,'Equipment Weight Calc'!$L:$M,2,0))</f>
        <v/>
      </c>
      <c r="J14" s="683"/>
      <c r="K14" s="663" t="str">
        <f>IF($C14="","",VLOOKUP($A14&amp;"."&amp;K$2,'Equipment Weight Calc'!$L:$M,2,0))</f>
        <v/>
      </c>
      <c r="L14" s="334" t="str">
        <f>IF($C14="","",VLOOKUP($A14&amp;"."&amp;L$2,'Equipment Weight Calc'!$L:$M,2,0))</f>
        <v/>
      </c>
      <c r="M14" s="663" t="str">
        <f>IF($C14="","",VLOOKUP($A14&amp;"."&amp;M$2,'Equipment Weight Calc'!$L:$M,2,0))</f>
        <v/>
      </c>
      <c r="N14" s="334" t="str">
        <f>IF($C14="","",VLOOKUP($A14&amp;"."&amp;N$2,'Equipment Weight Calc'!$L:$M,2,0))</f>
        <v/>
      </c>
      <c r="O14" s="683"/>
      <c r="P14" s="680"/>
      <c r="Q14" s="513" t="str">
        <f>IF($C14="","",VLOOKUP($A14&amp;"."&amp;Q$2,'Equipment Weight Calc'!$L:$M,2,0))</f>
        <v/>
      </c>
      <c r="R14" s="513" t="str">
        <f t="shared" si="30"/>
        <v/>
      </c>
      <c r="S14" s="334" t="str">
        <f t="shared" si="0"/>
        <v/>
      </c>
      <c r="T14" s="692"/>
      <c r="U14" s="488" t="str">
        <f t="shared" si="1"/>
        <v/>
      </c>
      <c r="V14" s="488" t="str">
        <f t="shared" si="22"/>
        <v/>
      </c>
      <c r="X14" s="683"/>
      <c r="Y14" s="334">
        <f t="shared" si="23"/>
        <v>0</v>
      </c>
      <c r="Z14" s="746"/>
      <c r="AA14" s="488">
        <f t="shared" si="24"/>
        <v>0</v>
      </c>
      <c r="AC14" s="821"/>
      <c r="AD14" s="822"/>
      <c r="AE14" s="822"/>
      <c r="AF14" s="814">
        <f t="shared" si="25"/>
        <v>0</v>
      </c>
      <c r="AG14" s="814">
        <f t="shared" si="26"/>
        <v>0</v>
      </c>
      <c r="AH14" s="816">
        <v>18</v>
      </c>
      <c r="AI14" s="818">
        <f t="shared" si="27"/>
        <v>0</v>
      </c>
      <c r="AK14" s="1546">
        <f t="shared" si="28"/>
        <v>0</v>
      </c>
      <c r="AL14" s="1546">
        <f t="shared" si="2"/>
        <v>0</v>
      </c>
      <c r="AM14" s="1546">
        <f t="shared" si="2"/>
        <v>0</v>
      </c>
      <c r="AN14" s="1546">
        <f t="shared" si="2"/>
        <v>0</v>
      </c>
      <c r="AO14" s="1546">
        <f t="shared" si="2"/>
        <v>0</v>
      </c>
      <c r="AP14" s="1546">
        <f t="shared" si="2"/>
        <v>0</v>
      </c>
      <c r="AQ14" s="1546">
        <f t="shared" si="2"/>
        <v>0</v>
      </c>
      <c r="AR14" s="1546">
        <f t="shared" si="2"/>
        <v>0</v>
      </c>
      <c r="AS14" s="1546">
        <f t="shared" si="2"/>
        <v>0</v>
      </c>
      <c r="AT14" s="1546">
        <f t="shared" si="2"/>
        <v>0</v>
      </c>
      <c r="AU14" s="1546">
        <f t="shared" si="2"/>
        <v>0</v>
      </c>
      <c r="AV14" s="1546">
        <f t="shared" si="2"/>
        <v>0</v>
      </c>
      <c r="AW14" s="1546">
        <f t="shared" si="2"/>
        <v>0</v>
      </c>
      <c r="AX14" s="1546">
        <f t="shared" si="2"/>
        <v>0</v>
      </c>
      <c r="AY14" s="1546">
        <f t="shared" si="2"/>
        <v>0</v>
      </c>
      <c r="AZ14" s="1546">
        <f t="shared" si="2"/>
        <v>0</v>
      </c>
      <c r="BA14" s="1546">
        <f t="shared" si="29"/>
        <v>1</v>
      </c>
      <c r="BC14" s="663" t="str">
        <f>IF($C14="","",VLOOKUP($A14&amp;"."&amp;BC$3,'Equipment Weight Calc'!$L:$M,2,0))</f>
        <v/>
      </c>
      <c r="BD14" s="663" t="str">
        <f>IF($C14="","",VLOOKUP($A14&amp;"."&amp;BD$3,'Equipment Weight Calc'!$L:$M,2,0))</f>
        <v/>
      </c>
      <c r="BE14" s="663" t="str">
        <f>IF($C14="","",VLOOKUP($A14&amp;"."&amp;BE$3,'Equipment Weight Calc'!$L:$M,2,0))</f>
        <v/>
      </c>
      <c r="BF14" s="663" t="str">
        <f>IF($C14="","",VLOOKUP($A14&amp;"."&amp;BF$3,'Equipment Weight Calc'!$L:$M,2,0))</f>
        <v/>
      </c>
      <c r="BG14" s="663" t="str">
        <f>IF($C14="","",VLOOKUP($A14&amp;"."&amp;BG$3,'Equipment Weight Calc'!$L:$M,2,0))</f>
        <v/>
      </c>
      <c r="BH14" s="663" t="str">
        <f>IF($C14="","",VLOOKUP($A14&amp;"."&amp;BH$3,'Equipment Weight Calc'!$L:$M,2,0))</f>
        <v/>
      </c>
      <c r="BI14" s="663" t="str">
        <f>IF($C14="","",VLOOKUP($A14&amp;"."&amp;BI$3,'Equipment Weight Calc'!$L:$M,2,0))</f>
        <v/>
      </c>
      <c r="BJ14" s="663" t="str">
        <f>IF($C14="","",VLOOKUP($A14&amp;"."&amp;BJ$3,'Equipment Weight Calc'!$L:$M,2,0))</f>
        <v/>
      </c>
      <c r="BK14" s="663" t="str">
        <f>IF($C14="","",VLOOKUP($A14&amp;"."&amp;BK$3,'Equipment Weight Calc'!$L:$M,2,0))</f>
        <v/>
      </c>
      <c r="BL14" s="663" t="str">
        <f>IF($C14="","",VLOOKUP($A14&amp;"."&amp;BL$3,'Equipment Weight Calc'!$L:$M,2,0))</f>
        <v/>
      </c>
      <c r="BM14" s="663" t="str">
        <f>IF($C14="","",VLOOKUP($A14&amp;"."&amp;BM$3,'Equipment Weight Calc'!$L:$M,2,0))</f>
        <v/>
      </c>
      <c r="BN14" s="663" t="str">
        <f>IF($C14="","",VLOOKUP($A14&amp;"."&amp;BN$3,'Equipment Weight Calc'!$L:$M,2,0))</f>
        <v/>
      </c>
      <c r="BO14" s="663" t="str">
        <f>IF($C14="","",VLOOKUP($A14&amp;"."&amp;BO$3,'Equipment Weight Calc'!$L:$M,2,0))</f>
        <v/>
      </c>
      <c r="BP14" s="663" t="str">
        <f>IF($C14="","",VLOOKUP($A14&amp;"."&amp;BP$3,'Equipment Weight Calc'!$L:$M,2,0))</f>
        <v/>
      </c>
      <c r="BQ14" s="663" t="str">
        <f>IF($C14="","",VLOOKUP($A14&amp;"."&amp;BQ$3,'Equipment Weight Calc'!$L:$M,2,0))</f>
        <v/>
      </c>
      <c r="BR14" s="663" t="str">
        <f>IF($C14="","",VLOOKUP($A14&amp;"."&amp;BR$3,'Equipment Weight Calc'!$L:$M,2,0))</f>
        <v/>
      </c>
      <c r="BS14" s="663" t="str">
        <f>IF($C14="","",VLOOKUP($A14&amp;"."&amp;BS$3,'Equipment Weight Calc'!$L:$M,2,0))</f>
        <v/>
      </c>
      <c r="BT14" s="663" t="str">
        <f>IF($C14="","",VLOOKUP($A14&amp;"."&amp;BT$3,'Equipment Weight Calc'!$L:$M,2,0))</f>
        <v/>
      </c>
      <c r="BV14" s="1546">
        <f t="shared" si="3"/>
        <v>0</v>
      </c>
      <c r="BW14" s="1546">
        <f t="shared" si="4"/>
        <v>0</v>
      </c>
      <c r="BX14" s="1546">
        <f t="shared" si="4"/>
        <v>0</v>
      </c>
      <c r="BY14" s="1546">
        <f t="shared" si="4"/>
        <v>0</v>
      </c>
      <c r="BZ14" s="1546">
        <f t="shared" si="4"/>
        <v>0</v>
      </c>
      <c r="CA14" s="1546">
        <f t="shared" si="4"/>
        <v>0</v>
      </c>
      <c r="CB14" s="1546">
        <f t="shared" si="4"/>
        <v>0</v>
      </c>
      <c r="CC14" s="1546">
        <f t="shared" si="4"/>
        <v>0</v>
      </c>
      <c r="CE14" s="1546">
        <f t="shared" si="5"/>
        <v>0</v>
      </c>
      <c r="CF14" s="1546">
        <f t="shared" si="6"/>
        <v>0</v>
      </c>
      <c r="CG14" s="1546">
        <f t="shared" si="6"/>
        <v>0</v>
      </c>
      <c r="CH14" s="1546">
        <f t="shared" si="6"/>
        <v>0</v>
      </c>
      <c r="CI14" s="1546">
        <f t="shared" si="6"/>
        <v>0</v>
      </c>
      <c r="CJ14" s="1546">
        <f t="shared" si="6"/>
        <v>0</v>
      </c>
      <c r="CK14" s="1546">
        <f t="shared" si="6"/>
        <v>0</v>
      </c>
      <c r="CL14" s="1546">
        <f t="shared" si="6"/>
        <v>0</v>
      </c>
      <c r="CN14" s="1546">
        <f t="shared" si="7"/>
        <v>0</v>
      </c>
      <c r="CO14" s="1546">
        <f t="shared" si="8"/>
        <v>0</v>
      </c>
      <c r="CP14" s="1546">
        <f t="shared" si="8"/>
        <v>0</v>
      </c>
      <c r="CQ14" s="1546">
        <f t="shared" si="8"/>
        <v>0</v>
      </c>
      <c r="CR14" s="1546">
        <f t="shared" si="8"/>
        <v>0</v>
      </c>
      <c r="CS14" s="1546">
        <f t="shared" si="8"/>
        <v>0</v>
      </c>
      <c r="CT14" s="1546">
        <f t="shared" si="8"/>
        <v>0</v>
      </c>
      <c r="CU14" s="1546">
        <f t="shared" si="8"/>
        <v>0</v>
      </c>
      <c r="CW14" s="1546">
        <f t="shared" si="9"/>
        <v>0</v>
      </c>
      <c r="CX14" s="1546">
        <f t="shared" si="10"/>
        <v>0</v>
      </c>
      <c r="CY14" s="1546">
        <f t="shared" si="10"/>
        <v>0</v>
      </c>
      <c r="CZ14" s="1546">
        <f t="shared" si="10"/>
        <v>0</v>
      </c>
      <c r="DA14" s="1546">
        <f t="shared" si="10"/>
        <v>0</v>
      </c>
      <c r="DB14" s="1546">
        <f t="shared" si="10"/>
        <v>0</v>
      </c>
      <c r="DC14" s="1546">
        <f t="shared" si="10"/>
        <v>0</v>
      </c>
      <c r="DD14" s="1546">
        <f t="shared" si="10"/>
        <v>0</v>
      </c>
      <c r="DF14" s="1546">
        <f t="shared" si="11"/>
        <v>0</v>
      </c>
      <c r="DG14" s="1546">
        <f t="shared" si="12"/>
        <v>0</v>
      </c>
      <c r="DH14" s="1546">
        <f t="shared" si="12"/>
        <v>0</v>
      </c>
      <c r="DI14" s="1546">
        <f t="shared" si="12"/>
        <v>0</v>
      </c>
      <c r="DJ14" s="1546">
        <f t="shared" si="12"/>
        <v>0</v>
      </c>
      <c r="DK14" s="1546">
        <f t="shared" si="12"/>
        <v>0</v>
      </c>
      <c r="DL14" s="1546">
        <f t="shared" si="12"/>
        <v>0</v>
      </c>
      <c r="DM14" s="1546">
        <f t="shared" si="12"/>
        <v>0</v>
      </c>
      <c r="DO14" s="1546">
        <f t="shared" si="13"/>
        <v>0</v>
      </c>
      <c r="DP14" s="1546">
        <f t="shared" si="14"/>
        <v>0</v>
      </c>
      <c r="DQ14" s="1546">
        <f t="shared" si="14"/>
        <v>0</v>
      </c>
      <c r="DR14" s="1546">
        <f t="shared" si="14"/>
        <v>0</v>
      </c>
      <c r="DS14" s="1546">
        <f t="shared" si="14"/>
        <v>0</v>
      </c>
      <c r="DT14" s="1546">
        <f t="shared" si="14"/>
        <v>0</v>
      </c>
      <c r="DU14" s="1546">
        <f t="shared" si="14"/>
        <v>0</v>
      </c>
      <c r="DV14" s="1546">
        <f t="shared" si="14"/>
        <v>0</v>
      </c>
      <c r="DX14" s="1546">
        <f t="shared" si="15"/>
        <v>0</v>
      </c>
      <c r="DY14" s="1546">
        <f t="shared" si="16"/>
        <v>0</v>
      </c>
      <c r="DZ14" s="1546">
        <f t="shared" si="16"/>
        <v>0</v>
      </c>
      <c r="EA14" s="1546">
        <f t="shared" si="16"/>
        <v>0</v>
      </c>
      <c r="EB14" s="1546">
        <f t="shared" si="16"/>
        <v>0</v>
      </c>
      <c r="EC14" s="1546">
        <f t="shared" si="16"/>
        <v>0</v>
      </c>
      <c r="ED14" s="1546">
        <f t="shared" si="16"/>
        <v>0</v>
      </c>
      <c r="EE14" s="1546">
        <f t="shared" si="16"/>
        <v>0</v>
      </c>
      <c r="EG14" s="1546">
        <f t="shared" si="17"/>
        <v>0</v>
      </c>
      <c r="EH14" s="1546">
        <f t="shared" si="18"/>
        <v>0</v>
      </c>
      <c r="EI14" s="1546">
        <f t="shared" si="18"/>
        <v>0</v>
      </c>
      <c r="EJ14" s="1546">
        <f t="shared" si="18"/>
        <v>0</v>
      </c>
      <c r="EK14" s="1546">
        <f t="shared" si="18"/>
        <v>0</v>
      </c>
      <c r="EL14" s="1546">
        <f t="shared" si="18"/>
        <v>0</v>
      </c>
      <c r="EM14" s="1546">
        <f t="shared" si="18"/>
        <v>0</v>
      </c>
      <c r="EN14" s="1546">
        <f t="shared" si="18"/>
        <v>0</v>
      </c>
      <c r="EP14" s="1546">
        <f t="shared" si="19"/>
        <v>0</v>
      </c>
      <c r="EQ14" s="1546">
        <f t="shared" si="20"/>
        <v>0</v>
      </c>
      <c r="ER14" s="1546">
        <f t="shared" si="20"/>
        <v>0</v>
      </c>
      <c r="ES14" s="1546">
        <f t="shared" si="20"/>
        <v>0</v>
      </c>
      <c r="ET14" s="1546">
        <f t="shared" si="20"/>
        <v>0</v>
      </c>
      <c r="EU14" s="1546">
        <f t="shared" si="20"/>
        <v>0</v>
      </c>
      <c r="EV14" s="1546">
        <f t="shared" si="20"/>
        <v>0</v>
      </c>
      <c r="EW14" s="1546">
        <f t="shared" si="20"/>
        <v>0</v>
      </c>
    </row>
    <row r="15" spans="1:153" ht="32.25" customHeight="1" x14ac:dyDescent="0.3">
      <c r="A15" s="334">
        <v>12</v>
      </c>
      <c r="B15" s="902"/>
      <c r="C15" s="902"/>
      <c r="D15" s="902"/>
      <c r="E15" s="334" t="str">
        <f>IF($C15="","",VLOOKUP($A15&amp;"."&amp;E$2,'Equipment Weight Calc'!$L:$M,2,0))</f>
        <v/>
      </c>
      <c r="F15" s="334" t="str">
        <f>IF($C15="","",VLOOKUP($A15&amp;"."&amp;F$2,'Equipment Weight Calc'!$L:$M,2,0))</f>
        <v/>
      </c>
      <c r="G15" s="334" t="str">
        <f>IF($C15="","",VLOOKUP($A15&amp;"."&amp;G$2,'Equipment Weight Calc'!$L:$M,2,0))</f>
        <v/>
      </c>
      <c r="H15" s="334" t="str">
        <f>IF($C15="","",VLOOKUP($A15&amp;"."&amp;H$2,'Equipment Weight Calc'!$L:$M,2,0))</f>
        <v/>
      </c>
      <c r="I15" s="334" t="str">
        <f>IF($C15="","",VLOOKUP($A15&amp;"."&amp;I$2,'Equipment Weight Calc'!$L:$M,2,0))</f>
        <v/>
      </c>
      <c r="J15" s="683"/>
      <c r="K15" s="663" t="str">
        <f>IF($C15="","",VLOOKUP($A15&amp;"."&amp;K$2,'Equipment Weight Calc'!$L:$M,2,0))</f>
        <v/>
      </c>
      <c r="L15" s="334" t="str">
        <f>IF($C15="","",VLOOKUP($A15&amp;"."&amp;L$2,'Equipment Weight Calc'!$L:$M,2,0))</f>
        <v/>
      </c>
      <c r="M15" s="663" t="str">
        <f>IF($C15="","",VLOOKUP($A15&amp;"."&amp;M$2,'Equipment Weight Calc'!$L:$M,2,0))</f>
        <v/>
      </c>
      <c r="N15" s="334" t="str">
        <f>IF($C15="","",VLOOKUP($A15&amp;"."&amp;N$2,'Equipment Weight Calc'!$L:$M,2,0))</f>
        <v/>
      </c>
      <c r="O15" s="683"/>
      <c r="P15" s="680"/>
      <c r="Q15" s="513" t="str">
        <f>IF($C15="","",VLOOKUP($A15&amp;"."&amp;Q$2,'Equipment Weight Calc'!$L:$M,2,0))</f>
        <v/>
      </c>
      <c r="R15" s="513" t="str">
        <f t="shared" si="30"/>
        <v/>
      </c>
      <c r="S15" s="334" t="str">
        <f t="shared" si="0"/>
        <v/>
      </c>
      <c r="T15" s="692"/>
      <c r="U15" s="488" t="str">
        <f t="shared" si="1"/>
        <v/>
      </c>
      <c r="V15" s="488" t="str">
        <f t="shared" si="22"/>
        <v/>
      </c>
      <c r="X15" s="683"/>
      <c r="Y15" s="334">
        <f t="shared" si="23"/>
        <v>0</v>
      </c>
      <c r="Z15" s="746"/>
      <c r="AA15" s="488">
        <f t="shared" si="24"/>
        <v>0</v>
      </c>
      <c r="AC15" s="821"/>
      <c r="AD15" s="822"/>
      <c r="AE15" s="822"/>
      <c r="AF15" s="814">
        <f t="shared" si="25"/>
        <v>0</v>
      </c>
      <c r="AG15" s="814">
        <f t="shared" si="26"/>
        <v>0</v>
      </c>
      <c r="AH15" s="816">
        <v>18</v>
      </c>
      <c r="AI15" s="818">
        <f t="shared" si="27"/>
        <v>0</v>
      </c>
      <c r="AK15" s="1546">
        <f t="shared" si="28"/>
        <v>0</v>
      </c>
      <c r="AL15" s="1546">
        <f t="shared" si="2"/>
        <v>0</v>
      </c>
      <c r="AM15" s="1546">
        <f t="shared" si="2"/>
        <v>0</v>
      </c>
      <c r="AN15" s="1546">
        <f t="shared" si="2"/>
        <v>0</v>
      </c>
      <c r="AO15" s="1546">
        <f t="shared" si="2"/>
        <v>0</v>
      </c>
      <c r="AP15" s="1546">
        <f t="shared" si="2"/>
        <v>0</v>
      </c>
      <c r="AQ15" s="1546">
        <f t="shared" si="2"/>
        <v>0</v>
      </c>
      <c r="AR15" s="1546">
        <f t="shared" si="2"/>
        <v>0</v>
      </c>
      <c r="AS15" s="1546">
        <f t="shared" si="2"/>
        <v>0</v>
      </c>
      <c r="AT15" s="1546">
        <f t="shared" si="2"/>
        <v>0</v>
      </c>
      <c r="AU15" s="1546">
        <f t="shared" si="2"/>
        <v>0</v>
      </c>
      <c r="AV15" s="1546">
        <f t="shared" si="2"/>
        <v>0</v>
      </c>
      <c r="AW15" s="1546">
        <f t="shared" si="2"/>
        <v>0</v>
      </c>
      <c r="AX15" s="1546">
        <f t="shared" si="2"/>
        <v>0</v>
      </c>
      <c r="AY15" s="1546">
        <f t="shared" si="2"/>
        <v>0</v>
      </c>
      <c r="AZ15" s="1546">
        <f t="shared" si="2"/>
        <v>0</v>
      </c>
      <c r="BA15" s="1546">
        <f t="shared" si="29"/>
        <v>1</v>
      </c>
      <c r="BC15" s="663" t="str">
        <f>IF($C15="","",VLOOKUP($A15&amp;"."&amp;BC$3,'Equipment Weight Calc'!$L:$M,2,0))</f>
        <v/>
      </c>
      <c r="BD15" s="663" t="str">
        <f>IF($C15="","",VLOOKUP($A15&amp;"."&amp;BD$3,'Equipment Weight Calc'!$L:$M,2,0))</f>
        <v/>
      </c>
      <c r="BE15" s="663" t="str">
        <f>IF($C15="","",VLOOKUP($A15&amp;"."&amp;BE$3,'Equipment Weight Calc'!$L:$M,2,0))</f>
        <v/>
      </c>
      <c r="BF15" s="663" t="str">
        <f>IF($C15="","",VLOOKUP($A15&amp;"."&amp;BF$3,'Equipment Weight Calc'!$L:$M,2,0))</f>
        <v/>
      </c>
      <c r="BG15" s="663" t="str">
        <f>IF($C15="","",VLOOKUP($A15&amp;"."&amp;BG$3,'Equipment Weight Calc'!$L:$M,2,0))</f>
        <v/>
      </c>
      <c r="BH15" s="663" t="str">
        <f>IF($C15="","",VLOOKUP($A15&amp;"."&amp;BH$3,'Equipment Weight Calc'!$L:$M,2,0))</f>
        <v/>
      </c>
      <c r="BI15" s="663" t="str">
        <f>IF($C15="","",VLOOKUP($A15&amp;"."&amp;BI$3,'Equipment Weight Calc'!$L:$M,2,0))</f>
        <v/>
      </c>
      <c r="BJ15" s="663" t="str">
        <f>IF($C15="","",VLOOKUP($A15&amp;"."&amp;BJ$3,'Equipment Weight Calc'!$L:$M,2,0))</f>
        <v/>
      </c>
      <c r="BK15" s="663" t="str">
        <f>IF($C15="","",VLOOKUP($A15&amp;"."&amp;BK$3,'Equipment Weight Calc'!$L:$M,2,0))</f>
        <v/>
      </c>
      <c r="BL15" s="663" t="str">
        <f>IF($C15="","",VLOOKUP($A15&amp;"."&amp;BL$3,'Equipment Weight Calc'!$L:$M,2,0))</f>
        <v/>
      </c>
      <c r="BM15" s="663" t="str">
        <f>IF($C15="","",VLOOKUP($A15&amp;"."&amp;BM$3,'Equipment Weight Calc'!$L:$M,2,0))</f>
        <v/>
      </c>
      <c r="BN15" s="663" t="str">
        <f>IF($C15="","",VLOOKUP($A15&amp;"."&amp;BN$3,'Equipment Weight Calc'!$L:$M,2,0))</f>
        <v/>
      </c>
      <c r="BO15" s="663" t="str">
        <f>IF($C15="","",VLOOKUP($A15&amp;"."&amp;BO$3,'Equipment Weight Calc'!$L:$M,2,0))</f>
        <v/>
      </c>
      <c r="BP15" s="663" t="str">
        <f>IF($C15="","",VLOOKUP($A15&amp;"."&amp;BP$3,'Equipment Weight Calc'!$L:$M,2,0))</f>
        <v/>
      </c>
      <c r="BQ15" s="663" t="str">
        <f>IF($C15="","",VLOOKUP($A15&amp;"."&amp;BQ$3,'Equipment Weight Calc'!$L:$M,2,0))</f>
        <v/>
      </c>
      <c r="BR15" s="663" t="str">
        <f>IF($C15="","",VLOOKUP($A15&amp;"."&amp;BR$3,'Equipment Weight Calc'!$L:$M,2,0))</f>
        <v/>
      </c>
      <c r="BS15" s="663" t="str">
        <f>IF($C15="","",VLOOKUP($A15&amp;"."&amp;BS$3,'Equipment Weight Calc'!$L:$M,2,0))</f>
        <v/>
      </c>
      <c r="BT15" s="663" t="str">
        <f>IF($C15="","",VLOOKUP($A15&amp;"."&amp;BT$3,'Equipment Weight Calc'!$L:$M,2,0))</f>
        <v/>
      </c>
      <c r="BV15" s="1546">
        <f t="shared" si="3"/>
        <v>0</v>
      </c>
      <c r="BW15" s="1546">
        <f t="shared" si="4"/>
        <v>0</v>
      </c>
      <c r="BX15" s="1546">
        <f t="shared" si="4"/>
        <v>0</v>
      </c>
      <c r="BY15" s="1546">
        <f t="shared" si="4"/>
        <v>0</v>
      </c>
      <c r="BZ15" s="1546">
        <f t="shared" si="4"/>
        <v>0</v>
      </c>
      <c r="CA15" s="1546">
        <f t="shared" si="4"/>
        <v>0</v>
      </c>
      <c r="CB15" s="1546">
        <f t="shared" si="4"/>
        <v>0</v>
      </c>
      <c r="CC15" s="1546">
        <f t="shared" si="4"/>
        <v>0</v>
      </c>
      <c r="CE15" s="1546">
        <f t="shared" si="5"/>
        <v>0</v>
      </c>
      <c r="CF15" s="1546">
        <f t="shared" si="6"/>
        <v>0</v>
      </c>
      <c r="CG15" s="1546">
        <f t="shared" si="6"/>
        <v>0</v>
      </c>
      <c r="CH15" s="1546">
        <f t="shared" si="6"/>
        <v>0</v>
      </c>
      <c r="CI15" s="1546">
        <f t="shared" si="6"/>
        <v>0</v>
      </c>
      <c r="CJ15" s="1546">
        <f t="shared" si="6"/>
        <v>0</v>
      </c>
      <c r="CK15" s="1546">
        <f t="shared" si="6"/>
        <v>0</v>
      </c>
      <c r="CL15" s="1546">
        <f t="shared" si="6"/>
        <v>0</v>
      </c>
      <c r="CN15" s="1546">
        <f t="shared" si="7"/>
        <v>0</v>
      </c>
      <c r="CO15" s="1546">
        <f t="shared" si="8"/>
        <v>0</v>
      </c>
      <c r="CP15" s="1546">
        <f t="shared" si="8"/>
        <v>0</v>
      </c>
      <c r="CQ15" s="1546">
        <f t="shared" si="8"/>
        <v>0</v>
      </c>
      <c r="CR15" s="1546">
        <f t="shared" si="8"/>
        <v>0</v>
      </c>
      <c r="CS15" s="1546">
        <f t="shared" si="8"/>
        <v>0</v>
      </c>
      <c r="CT15" s="1546">
        <f t="shared" si="8"/>
        <v>0</v>
      </c>
      <c r="CU15" s="1546">
        <f t="shared" si="8"/>
        <v>0</v>
      </c>
      <c r="CW15" s="1546">
        <f t="shared" si="9"/>
        <v>0</v>
      </c>
      <c r="CX15" s="1546">
        <f t="shared" si="10"/>
        <v>0</v>
      </c>
      <c r="CY15" s="1546">
        <f t="shared" si="10"/>
        <v>0</v>
      </c>
      <c r="CZ15" s="1546">
        <f t="shared" si="10"/>
        <v>0</v>
      </c>
      <c r="DA15" s="1546">
        <f t="shared" si="10"/>
        <v>0</v>
      </c>
      <c r="DB15" s="1546">
        <f t="shared" si="10"/>
        <v>0</v>
      </c>
      <c r="DC15" s="1546">
        <f t="shared" si="10"/>
        <v>0</v>
      </c>
      <c r="DD15" s="1546">
        <f t="shared" si="10"/>
        <v>0</v>
      </c>
      <c r="DF15" s="1546">
        <f t="shared" si="11"/>
        <v>0</v>
      </c>
      <c r="DG15" s="1546">
        <f t="shared" si="12"/>
        <v>0</v>
      </c>
      <c r="DH15" s="1546">
        <f t="shared" si="12"/>
        <v>0</v>
      </c>
      <c r="DI15" s="1546">
        <f t="shared" si="12"/>
        <v>0</v>
      </c>
      <c r="DJ15" s="1546">
        <f t="shared" si="12"/>
        <v>0</v>
      </c>
      <c r="DK15" s="1546">
        <f t="shared" si="12"/>
        <v>0</v>
      </c>
      <c r="DL15" s="1546">
        <f t="shared" si="12"/>
        <v>0</v>
      </c>
      <c r="DM15" s="1546">
        <f t="shared" si="12"/>
        <v>0</v>
      </c>
      <c r="DO15" s="1546">
        <f t="shared" si="13"/>
        <v>0</v>
      </c>
      <c r="DP15" s="1546">
        <f t="shared" si="14"/>
        <v>0</v>
      </c>
      <c r="DQ15" s="1546">
        <f t="shared" si="14"/>
        <v>0</v>
      </c>
      <c r="DR15" s="1546">
        <f t="shared" si="14"/>
        <v>0</v>
      </c>
      <c r="DS15" s="1546">
        <f t="shared" si="14"/>
        <v>0</v>
      </c>
      <c r="DT15" s="1546">
        <f t="shared" si="14"/>
        <v>0</v>
      </c>
      <c r="DU15" s="1546">
        <f t="shared" si="14"/>
        <v>0</v>
      </c>
      <c r="DV15" s="1546">
        <f t="shared" si="14"/>
        <v>0</v>
      </c>
      <c r="DX15" s="1546">
        <f t="shared" si="15"/>
        <v>0</v>
      </c>
      <c r="DY15" s="1546">
        <f t="shared" si="16"/>
        <v>0</v>
      </c>
      <c r="DZ15" s="1546">
        <f t="shared" si="16"/>
        <v>0</v>
      </c>
      <c r="EA15" s="1546">
        <f t="shared" si="16"/>
        <v>0</v>
      </c>
      <c r="EB15" s="1546">
        <f t="shared" si="16"/>
        <v>0</v>
      </c>
      <c r="EC15" s="1546">
        <f t="shared" si="16"/>
        <v>0</v>
      </c>
      <c r="ED15" s="1546">
        <f t="shared" si="16"/>
        <v>0</v>
      </c>
      <c r="EE15" s="1546">
        <f t="shared" si="16"/>
        <v>0</v>
      </c>
      <c r="EG15" s="1546">
        <f t="shared" si="17"/>
        <v>0</v>
      </c>
      <c r="EH15" s="1546">
        <f t="shared" si="18"/>
        <v>0</v>
      </c>
      <c r="EI15" s="1546">
        <f t="shared" si="18"/>
        <v>0</v>
      </c>
      <c r="EJ15" s="1546">
        <f t="shared" si="18"/>
        <v>0</v>
      </c>
      <c r="EK15" s="1546">
        <f t="shared" si="18"/>
        <v>0</v>
      </c>
      <c r="EL15" s="1546">
        <f t="shared" si="18"/>
        <v>0</v>
      </c>
      <c r="EM15" s="1546">
        <f t="shared" si="18"/>
        <v>0</v>
      </c>
      <c r="EN15" s="1546">
        <f t="shared" si="18"/>
        <v>0</v>
      </c>
      <c r="EP15" s="1546">
        <f t="shared" si="19"/>
        <v>0</v>
      </c>
      <c r="EQ15" s="1546">
        <f t="shared" si="20"/>
        <v>0</v>
      </c>
      <c r="ER15" s="1546">
        <f t="shared" si="20"/>
        <v>0</v>
      </c>
      <c r="ES15" s="1546">
        <f t="shared" si="20"/>
        <v>0</v>
      </c>
      <c r="ET15" s="1546">
        <f t="shared" si="20"/>
        <v>0</v>
      </c>
      <c r="EU15" s="1546">
        <f t="shared" si="20"/>
        <v>0</v>
      </c>
      <c r="EV15" s="1546">
        <f t="shared" si="20"/>
        <v>0</v>
      </c>
      <c r="EW15" s="1546">
        <f t="shared" si="20"/>
        <v>0</v>
      </c>
    </row>
    <row r="16" spans="1:153" ht="32.25" customHeight="1" x14ac:dyDescent="0.3">
      <c r="A16" s="334">
        <v>13</v>
      </c>
      <c r="B16" s="902"/>
      <c r="C16" s="902"/>
      <c r="D16" s="902"/>
      <c r="E16" s="334" t="str">
        <f>IF($C16="","",VLOOKUP($A16&amp;"."&amp;E$2,'Equipment Weight Calc'!$L:$M,2,0))</f>
        <v/>
      </c>
      <c r="F16" s="334" t="str">
        <f>IF($C16="","",VLOOKUP($A16&amp;"."&amp;F$2,'Equipment Weight Calc'!$L:$M,2,0))</f>
        <v/>
      </c>
      <c r="G16" s="334" t="str">
        <f>IF($C16="","",VLOOKUP($A16&amp;"."&amp;G$2,'Equipment Weight Calc'!$L:$M,2,0))</f>
        <v/>
      </c>
      <c r="H16" s="334" t="str">
        <f>IF($C16="","",VLOOKUP($A16&amp;"."&amp;H$2,'Equipment Weight Calc'!$L:$M,2,0))</f>
        <v/>
      </c>
      <c r="I16" s="334" t="str">
        <f>IF($C16="","",VLOOKUP($A16&amp;"."&amp;I$2,'Equipment Weight Calc'!$L:$M,2,0))</f>
        <v/>
      </c>
      <c r="J16" s="683"/>
      <c r="K16" s="663" t="str">
        <f>IF($C16="","",VLOOKUP($A16&amp;"."&amp;K$2,'Equipment Weight Calc'!$L:$M,2,0))</f>
        <v/>
      </c>
      <c r="L16" s="334" t="str">
        <f>IF($C16="","",VLOOKUP($A16&amp;"."&amp;L$2,'Equipment Weight Calc'!$L:$M,2,0))</f>
        <v/>
      </c>
      <c r="M16" s="663" t="str">
        <f>IF($C16="","",VLOOKUP($A16&amp;"."&amp;M$2,'Equipment Weight Calc'!$L:$M,2,0))</f>
        <v/>
      </c>
      <c r="N16" s="334" t="str">
        <f>IF($C16="","",VLOOKUP($A16&amp;"."&amp;N$2,'Equipment Weight Calc'!$L:$M,2,0))</f>
        <v/>
      </c>
      <c r="O16" s="683"/>
      <c r="P16" s="680"/>
      <c r="Q16" s="513" t="str">
        <f>IF($C16="","",VLOOKUP($A16&amp;"."&amp;Q$2,'Equipment Weight Calc'!$L:$M,2,0))</f>
        <v/>
      </c>
      <c r="R16" s="513" t="str">
        <f t="shared" si="30"/>
        <v/>
      </c>
      <c r="S16" s="334" t="str">
        <f t="shared" si="0"/>
        <v/>
      </c>
      <c r="T16" s="692"/>
      <c r="U16" s="488" t="str">
        <f t="shared" si="1"/>
        <v/>
      </c>
      <c r="V16" s="488" t="str">
        <f t="shared" si="22"/>
        <v/>
      </c>
      <c r="X16" s="683"/>
      <c r="Y16" s="334">
        <f t="shared" si="23"/>
        <v>0</v>
      </c>
      <c r="Z16" s="746"/>
      <c r="AA16" s="488">
        <f t="shared" si="24"/>
        <v>0</v>
      </c>
      <c r="AC16" s="821"/>
      <c r="AD16" s="822"/>
      <c r="AE16" s="822"/>
      <c r="AF16" s="814">
        <f t="shared" si="25"/>
        <v>0</v>
      </c>
      <c r="AG16" s="814">
        <f t="shared" si="26"/>
        <v>0</v>
      </c>
      <c r="AH16" s="816">
        <v>18</v>
      </c>
      <c r="AI16" s="818">
        <f t="shared" si="27"/>
        <v>0</v>
      </c>
      <c r="AK16" s="1546">
        <f t="shared" si="28"/>
        <v>0</v>
      </c>
      <c r="AL16" s="1546">
        <f t="shared" si="2"/>
        <v>0</v>
      </c>
      <c r="AM16" s="1546">
        <f t="shared" si="2"/>
        <v>0</v>
      </c>
      <c r="AN16" s="1546">
        <f t="shared" si="2"/>
        <v>0</v>
      </c>
      <c r="AO16" s="1546">
        <f t="shared" si="2"/>
        <v>0</v>
      </c>
      <c r="AP16" s="1546">
        <f t="shared" si="2"/>
        <v>0</v>
      </c>
      <c r="AQ16" s="1546">
        <f t="shared" si="2"/>
        <v>0</v>
      </c>
      <c r="AR16" s="1546">
        <f t="shared" si="2"/>
        <v>0</v>
      </c>
      <c r="AS16" s="1546">
        <f t="shared" si="2"/>
        <v>0</v>
      </c>
      <c r="AT16" s="1546">
        <f t="shared" si="2"/>
        <v>0</v>
      </c>
      <c r="AU16" s="1546">
        <f t="shared" si="2"/>
        <v>0</v>
      </c>
      <c r="AV16" s="1546">
        <f t="shared" si="2"/>
        <v>0</v>
      </c>
      <c r="AW16" s="1546">
        <f t="shared" si="2"/>
        <v>0</v>
      </c>
      <c r="AX16" s="1546">
        <f t="shared" si="2"/>
        <v>0</v>
      </c>
      <c r="AY16" s="1546">
        <f t="shared" si="2"/>
        <v>0</v>
      </c>
      <c r="AZ16" s="1546">
        <f t="shared" si="2"/>
        <v>0</v>
      </c>
      <c r="BA16" s="1546">
        <f t="shared" si="29"/>
        <v>1</v>
      </c>
      <c r="BC16" s="663" t="str">
        <f>IF($C16="","",VLOOKUP($A16&amp;"."&amp;BC$3,'Equipment Weight Calc'!$L:$M,2,0))</f>
        <v/>
      </c>
      <c r="BD16" s="663" t="str">
        <f>IF($C16="","",VLOOKUP($A16&amp;"."&amp;BD$3,'Equipment Weight Calc'!$L:$M,2,0))</f>
        <v/>
      </c>
      <c r="BE16" s="663" t="str">
        <f>IF($C16="","",VLOOKUP($A16&amp;"."&amp;BE$3,'Equipment Weight Calc'!$L:$M,2,0))</f>
        <v/>
      </c>
      <c r="BF16" s="663" t="str">
        <f>IF($C16="","",VLOOKUP($A16&amp;"."&amp;BF$3,'Equipment Weight Calc'!$L:$M,2,0))</f>
        <v/>
      </c>
      <c r="BG16" s="663" t="str">
        <f>IF($C16="","",VLOOKUP($A16&amp;"."&amp;BG$3,'Equipment Weight Calc'!$L:$M,2,0))</f>
        <v/>
      </c>
      <c r="BH16" s="663" t="str">
        <f>IF($C16="","",VLOOKUP($A16&amp;"."&amp;BH$3,'Equipment Weight Calc'!$L:$M,2,0))</f>
        <v/>
      </c>
      <c r="BI16" s="663" t="str">
        <f>IF($C16="","",VLOOKUP($A16&amp;"."&amp;BI$3,'Equipment Weight Calc'!$L:$M,2,0))</f>
        <v/>
      </c>
      <c r="BJ16" s="663" t="str">
        <f>IF($C16="","",VLOOKUP($A16&amp;"."&amp;BJ$3,'Equipment Weight Calc'!$L:$M,2,0))</f>
        <v/>
      </c>
      <c r="BK16" s="663" t="str">
        <f>IF($C16="","",VLOOKUP($A16&amp;"."&amp;BK$3,'Equipment Weight Calc'!$L:$M,2,0))</f>
        <v/>
      </c>
      <c r="BL16" s="663" t="str">
        <f>IF($C16="","",VLOOKUP($A16&amp;"."&amp;BL$3,'Equipment Weight Calc'!$L:$M,2,0))</f>
        <v/>
      </c>
      <c r="BM16" s="663" t="str">
        <f>IF($C16="","",VLOOKUP($A16&amp;"."&amp;BM$3,'Equipment Weight Calc'!$L:$M,2,0))</f>
        <v/>
      </c>
      <c r="BN16" s="663" t="str">
        <f>IF($C16="","",VLOOKUP($A16&amp;"."&amp;BN$3,'Equipment Weight Calc'!$L:$M,2,0))</f>
        <v/>
      </c>
      <c r="BO16" s="663" t="str">
        <f>IF($C16="","",VLOOKUP($A16&amp;"."&amp;BO$3,'Equipment Weight Calc'!$L:$M,2,0))</f>
        <v/>
      </c>
      <c r="BP16" s="663" t="str">
        <f>IF($C16="","",VLOOKUP($A16&amp;"."&amp;BP$3,'Equipment Weight Calc'!$L:$M,2,0))</f>
        <v/>
      </c>
      <c r="BQ16" s="663" t="str">
        <f>IF($C16="","",VLOOKUP($A16&amp;"."&amp;BQ$3,'Equipment Weight Calc'!$L:$M,2,0))</f>
        <v/>
      </c>
      <c r="BR16" s="663" t="str">
        <f>IF($C16="","",VLOOKUP($A16&amp;"."&amp;BR$3,'Equipment Weight Calc'!$L:$M,2,0))</f>
        <v/>
      </c>
      <c r="BS16" s="663" t="str">
        <f>IF($C16="","",VLOOKUP($A16&amp;"."&amp;BS$3,'Equipment Weight Calc'!$L:$M,2,0))</f>
        <v/>
      </c>
      <c r="BT16" s="663" t="str">
        <f>IF($C16="","",VLOOKUP($A16&amp;"."&amp;BT$3,'Equipment Weight Calc'!$L:$M,2,0))</f>
        <v/>
      </c>
      <c r="BV16" s="1546">
        <f t="shared" si="3"/>
        <v>0</v>
      </c>
      <c r="BW16" s="1546">
        <f t="shared" si="4"/>
        <v>0</v>
      </c>
      <c r="BX16" s="1546">
        <f t="shared" si="4"/>
        <v>0</v>
      </c>
      <c r="BY16" s="1546">
        <f t="shared" si="4"/>
        <v>0</v>
      </c>
      <c r="BZ16" s="1546">
        <f t="shared" si="4"/>
        <v>0</v>
      </c>
      <c r="CA16" s="1546">
        <f t="shared" si="4"/>
        <v>0</v>
      </c>
      <c r="CB16" s="1546">
        <f t="shared" si="4"/>
        <v>0</v>
      </c>
      <c r="CC16" s="1546">
        <f t="shared" si="4"/>
        <v>0</v>
      </c>
      <c r="CE16" s="1546">
        <f t="shared" si="5"/>
        <v>0</v>
      </c>
      <c r="CF16" s="1546">
        <f t="shared" si="6"/>
        <v>0</v>
      </c>
      <c r="CG16" s="1546">
        <f t="shared" si="6"/>
        <v>0</v>
      </c>
      <c r="CH16" s="1546">
        <f t="shared" si="6"/>
        <v>0</v>
      </c>
      <c r="CI16" s="1546">
        <f t="shared" si="6"/>
        <v>0</v>
      </c>
      <c r="CJ16" s="1546">
        <f t="shared" si="6"/>
        <v>0</v>
      </c>
      <c r="CK16" s="1546">
        <f t="shared" si="6"/>
        <v>0</v>
      </c>
      <c r="CL16" s="1546">
        <f t="shared" si="6"/>
        <v>0</v>
      </c>
      <c r="CN16" s="1546">
        <f t="shared" si="7"/>
        <v>0</v>
      </c>
      <c r="CO16" s="1546">
        <f t="shared" si="8"/>
        <v>0</v>
      </c>
      <c r="CP16" s="1546">
        <f t="shared" si="8"/>
        <v>0</v>
      </c>
      <c r="CQ16" s="1546">
        <f t="shared" si="8"/>
        <v>0</v>
      </c>
      <c r="CR16" s="1546">
        <f t="shared" si="8"/>
        <v>0</v>
      </c>
      <c r="CS16" s="1546">
        <f t="shared" si="8"/>
        <v>0</v>
      </c>
      <c r="CT16" s="1546">
        <f t="shared" si="8"/>
        <v>0</v>
      </c>
      <c r="CU16" s="1546">
        <f t="shared" si="8"/>
        <v>0</v>
      </c>
      <c r="CW16" s="1546">
        <f t="shared" si="9"/>
        <v>0</v>
      </c>
      <c r="CX16" s="1546">
        <f t="shared" si="10"/>
        <v>0</v>
      </c>
      <c r="CY16" s="1546">
        <f t="shared" si="10"/>
        <v>0</v>
      </c>
      <c r="CZ16" s="1546">
        <f t="shared" si="10"/>
        <v>0</v>
      </c>
      <c r="DA16" s="1546">
        <f t="shared" si="10"/>
        <v>0</v>
      </c>
      <c r="DB16" s="1546">
        <f t="shared" si="10"/>
        <v>0</v>
      </c>
      <c r="DC16" s="1546">
        <f t="shared" si="10"/>
        <v>0</v>
      </c>
      <c r="DD16" s="1546">
        <f t="shared" si="10"/>
        <v>0</v>
      </c>
      <c r="DF16" s="1546">
        <f t="shared" si="11"/>
        <v>0</v>
      </c>
      <c r="DG16" s="1546">
        <f t="shared" si="12"/>
        <v>0</v>
      </c>
      <c r="DH16" s="1546">
        <f t="shared" si="12"/>
        <v>0</v>
      </c>
      <c r="DI16" s="1546">
        <f t="shared" si="12"/>
        <v>0</v>
      </c>
      <c r="DJ16" s="1546">
        <f t="shared" si="12"/>
        <v>0</v>
      </c>
      <c r="DK16" s="1546">
        <f t="shared" si="12"/>
        <v>0</v>
      </c>
      <c r="DL16" s="1546">
        <f t="shared" si="12"/>
        <v>0</v>
      </c>
      <c r="DM16" s="1546">
        <f t="shared" si="12"/>
        <v>0</v>
      </c>
      <c r="DO16" s="1546">
        <f t="shared" si="13"/>
        <v>0</v>
      </c>
      <c r="DP16" s="1546">
        <f t="shared" si="14"/>
        <v>0</v>
      </c>
      <c r="DQ16" s="1546">
        <f t="shared" si="14"/>
        <v>0</v>
      </c>
      <c r="DR16" s="1546">
        <f t="shared" si="14"/>
        <v>0</v>
      </c>
      <c r="DS16" s="1546">
        <f t="shared" si="14"/>
        <v>0</v>
      </c>
      <c r="DT16" s="1546">
        <f t="shared" si="14"/>
        <v>0</v>
      </c>
      <c r="DU16" s="1546">
        <f t="shared" si="14"/>
        <v>0</v>
      </c>
      <c r="DV16" s="1546">
        <f t="shared" si="14"/>
        <v>0</v>
      </c>
      <c r="DX16" s="1546">
        <f t="shared" si="15"/>
        <v>0</v>
      </c>
      <c r="DY16" s="1546">
        <f t="shared" si="16"/>
        <v>0</v>
      </c>
      <c r="DZ16" s="1546">
        <f t="shared" si="16"/>
        <v>0</v>
      </c>
      <c r="EA16" s="1546">
        <f t="shared" si="16"/>
        <v>0</v>
      </c>
      <c r="EB16" s="1546">
        <f t="shared" si="16"/>
        <v>0</v>
      </c>
      <c r="EC16" s="1546">
        <f t="shared" si="16"/>
        <v>0</v>
      </c>
      <c r="ED16" s="1546">
        <f t="shared" si="16"/>
        <v>0</v>
      </c>
      <c r="EE16" s="1546">
        <f t="shared" si="16"/>
        <v>0</v>
      </c>
      <c r="EG16" s="1546">
        <f t="shared" si="17"/>
        <v>0</v>
      </c>
      <c r="EH16" s="1546">
        <f t="shared" si="18"/>
        <v>0</v>
      </c>
      <c r="EI16" s="1546">
        <f t="shared" si="18"/>
        <v>0</v>
      </c>
      <c r="EJ16" s="1546">
        <f t="shared" si="18"/>
        <v>0</v>
      </c>
      <c r="EK16" s="1546">
        <f t="shared" si="18"/>
        <v>0</v>
      </c>
      <c r="EL16" s="1546">
        <f t="shared" si="18"/>
        <v>0</v>
      </c>
      <c r="EM16" s="1546">
        <f t="shared" si="18"/>
        <v>0</v>
      </c>
      <c r="EN16" s="1546">
        <f t="shared" si="18"/>
        <v>0</v>
      </c>
      <c r="EP16" s="1546">
        <f t="shared" si="19"/>
        <v>0</v>
      </c>
      <c r="EQ16" s="1546">
        <f t="shared" si="20"/>
        <v>0</v>
      </c>
      <c r="ER16" s="1546">
        <f t="shared" si="20"/>
        <v>0</v>
      </c>
      <c r="ES16" s="1546">
        <f t="shared" si="20"/>
        <v>0</v>
      </c>
      <c r="ET16" s="1546">
        <f t="shared" si="20"/>
        <v>0</v>
      </c>
      <c r="EU16" s="1546">
        <f t="shared" si="20"/>
        <v>0</v>
      </c>
      <c r="EV16" s="1546">
        <f t="shared" si="20"/>
        <v>0</v>
      </c>
      <c r="EW16" s="1546">
        <f t="shared" si="20"/>
        <v>0</v>
      </c>
    </row>
    <row r="17" spans="1:153" ht="32.25" customHeight="1" x14ac:dyDescent="0.3">
      <c r="A17" s="334">
        <v>14</v>
      </c>
      <c r="B17" s="902"/>
      <c r="C17" s="902"/>
      <c r="D17" s="902"/>
      <c r="E17" s="334" t="str">
        <f>IF($C17="","",VLOOKUP($A17&amp;"."&amp;E$2,'Equipment Weight Calc'!$L:$M,2,0))</f>
        <v/>
      </c>
      <c r="F17" s="334" t="str">
        <f>IF($C17="","",VLOOKUP($A17&amp;"."&amp;F$2,'Equipment Weight Calc'!$L:$M,2,0))</f>
        <v/>
      </c>
      <c r="G17" s="334" t="str">
        <f>IF($C17="","",VLOOKUP($A17&amp;"."&amp;G$2,'Equipment Weight Calc'!$L:$M,2,0))</f>
        <v/>
      </c>
      <c r="H17" s="334" t="str">
        <f>IF($C17="","",VLOOKUP($A17&amp;"."&amp;H$2,'Equipment Weight Calc'!$L:$M,2,0))</f>
        <v/>
      </c>
      <c r="I17" s="334" t="str">
        <f>IF($C17="","",VLOOKUP($A17&amp;"."&amp;I$2,'Equipment Weight Calc'!$L:$M,2,0))</f>
        <v/>
      </c>
      <c r="J17" s="683"/>
      <c r="K17" s="663" t="str">
        <f>IF($C17="","",VLOOKUP($A17&amp;"."&amp;K$2,'Equipment Weight Calc'!$L:$M,2,0))</f>
        <v/>
      </c>
      <c r="L17" s="334" t="str">
        <f>IF($C17="","",VLOOKUP($A17&amp;"."&amp;L$2,'Equipment Weight Calc'!$L:$M,2,0))</f>
        <v/>
      </c>
      <c r="M17" s="663" t="str">
        <f>IF($C17="","",VLOOKUP($A17&amp;"."&amp;M$2,'Equipment Weight Calc'!$L:$M,2,0))</f>
        <v/>
      </c>
      <c r="N17" s="334" t="str">
        <f>IF($C17="","",VLOOKUP($A17&amp;"."&amp;N$2,'Equipment Weight Calc'!$L:$M,2,0))</f>
        <v/>
      </c>
      <c r="O17" s="683"/>
      <c r="P17" s="680"/>
      <c r="Q17" s="513" t="str">
        <f>IF($C17="","",VLOOKUP($A17&amp;"."&amp;Q$2,'Equipment Weight Calc'!$L:$M,2,0))</f>
        <v/>
      </c>
      <c r="R17" s="513" t="str">
        <f t="shared" si="30"/>
        <v/>
      </c>
      <c r="S17" s="334" t="str">
        <f t="shared" si="0"/>
        <v/>
      </c>
      <c r="T17" s="692"/>
      <c r="U17" s="488" t="str">
        <f t="shared" si="1"/>
        <v/>
      </c>
      <c r="V17" s="488" t="str">
        <f t="shared" si="22"/>
        <v/>
      </c>
      <c r="X17" s="683"/>
      <c r="Y17" s="334">
        <f t="shared" si="23"/>
        <v>0</v>
      </c>
      <c r="Z17" s="746"/>
      <c r="AA17" s="488">
        <f t="shared" si="24"/>
        <v>0</v>
      </c>
      <c r="AC17" s="821"/>
      <c r="AD17" s="822"/>
      <c r="AE17" s="822"/>
      <c r="AF17" s="814">
        <f t="shared" si="25"/>
        <v>0</v>
      </c>
      <c r="AG17" s="814">
        <f t="shared" si="26"/>
        <v>0</v>
      </c>
      <c r="AH17" s="816">
        <v>18</v>
      </c>
      <c r="AI17" s="818">
        <f t="shared" si="27"/>
        <v>0</v>
      </c>
      <c r="AK17" s="1546">
        <f t="shared" si="28"/>
        <v>0</v>
      </c>
      <c r="AL17" s="1546">
        <f t="shared" si="2"/>
        <v>0</v>
      </c>
      <c r="AM17" s="1546">
        <f t="shared" si="2"/>
        <v>0</v>
      </c>
      <c r="AN17" s="1546">
        <f t="shared" si="2"/>
        <v>0</v>
      </c>
      <c r="AO17" s="1546">
        <f t="shared" si="2"/>
        <v>0</v>
      </c>
      <c r="AP17" s="1546">
        <f t="shared" si="2"/>
        <v>0</v>
      </c>
      <c r="AQ17" s="1546">
        <f t="shared" si="2"/>
        <v>0</v>
      </c>
      <c r="AR17" s="1546">
        <f t="shared" si="2"/>
        <v>0</v>
      </c>
      <c r="AS17" s="1546">
        <f t="shared" si="2"/>
        <v>0</v>
      </c>
      <c r="AT17" s="1546">
        <f t="shared" si="2"/>
        <v>0</v>
      </c>
      <c r="AU17" s="1546">
        <f t="shared" si="2"/>
        <v>0</v>
      </c>
      <c r="AV17" s="1546">
        <f t="shared" si="2"/>
        <v>0</v>
      </c>
      <c r="AW17" s="1546">
        <f t="shared" si="2"/>
        <v>0</v>
      </c>
      <c r="AX17" s="1546">
        <f t="shared" si="2"/>
        <v>0</v>
      </c>
      <c r="AY17" s="1546">
        <f t="shared" si="2"/>
        <v>0</v>
      </c>
      <c r="AZ17" s="1546">
        <f t="shared" si="2"/>
        <v>0</v>
      </c>
      <c r="BA17" s="1546">
        <f t="shared" si="29"/>
        <v>1</v>
      </c>
      <c r="BC17" s="663" t="str">
        <f>IF($C17="","",VLOOKUP($A17&amp;"."&amp;BC$3,'Equipment Weight Calc'!$L:$M,2,0))</f>
        <v/>
      </c>
      <c r="BD17" s="663" t="str">
        <f>IF($C17="","",VLOOKUP($A17&amp;"."&amp;BD$3,'Equipment Weight Calc'!$L:$M,2,0))</f>
        <v/>
      </c>
      <c r="BE17" s="663" t="str">
        <f>IF($C17="","",VLOOKUP($A17&amp;"."&amp;BE$3,'Equipment Weight Calc'!$L:$M,2,0))</f>
        <v/>
      </c>
      <c r="BF17" s="663" t="str">
        <f>IF($C17="","",VLOOKUP($A17&amp;"."&amp;BF$3,'Equipment Weight Calc'!$L:$M,2,0))</f>
        <v/>
      </c>
      <c r="BG17" s="663" t="str">
        <f>IF($C17="","",VLOOKUP($A17&amp;"."&amp;BG$3,'Equipment Weight Calc'!$L:$M,2,0))</f>
        <v/>
      </c>
      <c r="BH17" s="663" t="str">
        <f>IF($C17="","",VLOOKUP($A17&amp;"."&amp;BH$3,'Equipment Weight Calc'!$L:$M,2,0))</f>
        <v/>
      </c>
      <c r="BI17" s="663" t="str">
        <f>IF($C17="","",VLOOKUP($A17&amp;"."&amp;BI$3,'Equipment Weight Calc'!$L:$M,2,0))</f>
        <v/>
      </c>
      <c r="BJ17" s="663" t="str">
        <f>IF($C17="","",VLOOKUP($A17&amp;"."&amp;BJ$3,'Equipment Weight Calc'!$L:$M,2,0))</f>
        <v/>
      </c>
      <c r="BK17" s="663" t="str">
        <f>IF($C17="","",VLOOKUP($A17&amp;"."&amp;BK$3,'Equipment Weight Calc'!$L:$M,2,0))</f>
        <v/>
      </c>
      <c r="BL17" s="663" t="str">
        <f>IF($C17="","",VLOOKUP($A17&amp;"."&amp;BL$3,'Equipment Weight Calc'!$L:$M,2,0))</f>
        <v/>
      </c>
      <c r="BM17" s="663" t="str">
        <f>IF($C17="","",VLOOKUP($A17&amp;"."&amp;BM$3,'Equipment Weight Calc'!$L:$M,2,0))</f>
        <v/>
      </c>
      <c r="BN17" s="663" t="str">
        <f>IF($C17="","",VLOOKUP($A17&amp;"."&amp;BN$3,'Equipment Weight Calc'!$L:$M,2,0))</f>
        <v/>
      </c>
      <c r="BO17" s="663" t="str">
        <f>IF($C17="","",VLOOKUP($A17&amp;"."&amp;BO$3,'Equipment Weight Calc'!$L:$M,2,0))</f>
        <v/>
      </c>
      <c r="BP17" s="663" t="str">
        <f>IF($C17="","",VLOOKUP($A17&amp;"."&amp;BP$3,'Equipment Weight Calc'!$L:$M,2,0))</f>
        <v/>
      </c>
      <c r="BQ17" s="663" t="str">
        <f>IF($C17="","",VLOOKUP($A17&amp;"."&amp;BQ$3,'Equipment Weight Calc'!$L:$M,2,0))</f>
        <v/>
      </c>
      <c r="BR17" s="663" t="str">
        <f>IF($C17="","",VLOOKUP($A17&amp;"."&amp;BR$3,'Equipment Weight Calc'!$L:$M,2,0))</f>
        <v/>
      </c>
      <c r="BS17" s="663" t="str">
        <f>IF($C17="","",VLOOKUP($A17&amp;"."&amp;BS$3,'Equipment Weight Calc'!$L:$M,2,0))</f>
        <v/>
      </c>
      <c r="BT17" s="663" t="str">
        <f>IF($C17="","",VLOOKUP($A17&amp;"."&amp;BT$3,'Equipment Weight Calc'!$L:$M,2,0))</f>
        <v/>
      </c>
      <c r="BV17" s="1546">
        <f t="shared" si="3"/>
        <v>0</v>
      </c>
      <c r="BW17" s="1546">
        <f t="shared" si="4"/>
        <v>0</v>
      </c>
      <c r="BX17" s="1546">
        <f t="shared" si="4"/>
        <v>0</v>
      </c>
      <c r="BY17" s="1546">
        <f t="shared" si="4"/>
        <v>0</v>
      </c>
      <c r="BZ17" s="1546">
        <f t="shared" si="4"/>
        <v>0</v>
      </c>
      <c r="CA17" s="1546">
        <f t="shared" si="4"/>
        <v>0</v>
      </c>
      <c r="CB17" s="1546">
        <f t="shared" si="4"/>
        <v>0</v>
      </c>
      <c r="CC17" s="1546">
        <f t="shared" si="4"/>
        <v>0</v>
      </c>
      <c r="CE17" s="1546">
        <f t="shared" si="5"/>
        <v>0</v>
      </c>
      <c r="CF17" s="1546">
        <f t="shared" si="6"/>
        <v>0</v>
      </c>
      <c r="CG17" s="1546">
        <f t="shared" si="6"/>
        <v>0</v>
      </c>
      <c r="CH17" s="1546">
        <f t="shared" si="6"/>
        <v>0</v>
      </c>
      <c r="CI17" s="1546">
        <f t="shared" si="6"/>
        <v>0</v>
      </c>
      <c r="CJ17" s="1546">
        <f t="shared" si="6"/>
        <v>0</v>
      </c>
      <c r="CK17" s="1546">
        <f t="shared" si="6"/>
        <v>0</v>
      </c>
      <c r="CL17" s="1546">
        <f t="shared" si="6"/>
        <v>0</v>
      </c>
      <c r="CN17" s="1546">
        <f t="shared" si="7"/>
        <v>0</v>
      </c>
      <c r="CO17" s="1546">
        <f t="shared" si="8"/>
        <v>0</v>
      </c>
      <c r="CP17" s="1546">
        <f t="shared" si="8"/>
        <v>0</v>
      </c>
      <c r="CQ17" s="1546">
        <f t="shared" si="8"/>
        <v>0</v>
      </c>
      <c r="CR17" s="1546">
        <f t="shared" si="8"/>
        <v>0</v>
      </c>
      <c r="CS17" s="1546">
        <f t="shared" si="8"/>
        <v>0</v>
      </c>
      <c r="CT17" s="1546">
        <f t="shared" si="8"/>
        <v>0</v>
      </c>
      <c r="CU17" s="1546">
        <f t="shared" si="8"/>
        <v>0</v>
      </c>
      <c r="CW17" s="1546">
        <f t="shared" si="9"/>
        <v>0</v>
      </c>
      <c r="CX17" s="1546">
        <f t="shared" si="10"/>
        <v>0</v>
      </c>
      <c r="CY17" s="1546">
        <f t="shared" si="10"/>
        <v>0</v>
      </c>
      <c r="CZ17" s="1546">
        <f t="shared" si="10"/>
        <v>0</v>
      </c>
      <c r="DA17" s="1546">
        <f t="shared" si="10"/>
        <v>0</v>
      </c>
      <c r="DB17" s="1546">
        <f t="shared" si="10"/>
        <v>0</v>
      </c>
      <c r="DC17" s="1546">
        <f t="shared" si="10"/>
        <v>0</v>
      </c>
      <c r="DD17" s="1546">
        <f t="shared" si="10"/>
        <v>0</v>
      </c>
      <c r="DF17" s="1546">
        <f t="shared" si="11"/>
        <v>0</v>
      </c>
      <c r="DG17" s="1546">
        <f t="shared" si="12"/>
        <v>0</v>
      </c>
      <c r="DH17" s="1546">
        <f t="shared" si="12"/>
        <v>0</v>
      </c>
      <c r="DI17" s="1546">
        <f t="shared" si="12"/>
        <v>0</v>
      </c>
      <c r="DJ17" s="1546">
        <f t="shared" si="12"/>
        <v>0</v>
      </c>
      <c r="DK17" s="1546">
        <f t="shared" si="12"/>
        <v>0</v>
      </c>
      <c r="DL17" s="1546">
        <f t="shared" si="12"/>
        <v>0</v>
      </c>
      <c r="DM17" s="1546">
        <f t="shared" si="12"/>
        <v>0</v>
      </c>
      <c r="DO17" s="1546">
        <f t="shared" si="13"/>
        <v>0</v>
      </c>
      <c r="DP17" s="1546">
        <f t="shared" si="14"/>
        <v>0</v>
      </c>
      <c r="DQ17" s="1546">
        <f t="shared" si="14"/>
        <v>0</v>
      </c>
      <c r="DR17" s="1546">
        <f t="shared" si="14"/>
        <v>0</v>
      </c>
      <c r="DS17" s="1546">
        <f t="shared" si="14"/>
        <v>0</v>
      </c>
      <c r="DT17" s="1546">
        <f t="shared" si="14"/>
        <v>0</v>
      </c>
      <c r="DU17" s="1546">
        <f t="shared" si="14"/>
        <v>0</v>
      </c>
      <c r="DV17" s="1546">
        <f t="shared" si="14"/>
        <v>0</v>
      </c>
      <c r="DX17" s="1546">
        <f t="shared" si="15"/>
        <v>0</v>
      </c>
      <c r="DY17" s="1546">
        <f t="shared" si="16"/>
        <v>0</v>
      </c>
      <c r="DZ17" s="1546">
        <f t="shared" si="16"/>
        <v>0</v>
      </c>
      <c r="EA17" s="1546">
        <f t="shared" si="16"/>
        <v>0</v>
      </c>
      <c r="EB17" s="1546">
        <f t="shared" si="16"/>
        <v>0</v>
      </c>
      <c r="EC17" s="1546">
        <f t="shared" si="16"/>
        <v>0</v>
      </c>
      <c r="ED17" s="1546">
        <f t="shared" si="16"/>
        <v>0</v>
      </c>
      <c r="EE17" s="1546">
        <f t="shared" si="16"/>
        <v>0</v>
      </c>
      <c r="EG17" s="1546">
        <f t="shared" si="17"/>
        <v>0</v>
      </c>
      <c r="EH17" s="1546">
        <f t="shared" si="18"/>
        <v>0</v>
      </c>
      <c r="EI17" s="1546">
        <f t="shared" si="18"/>
        <v>0</v>
      </c>
      <c r="EJ17" s="1546">
        <f t="shared" si="18"/>
        <v>0</v>
      </c>
      <c r="EK17" s="1546">
        <f t="shared" si="18"/>
        <v>0</v>
      </c>
      <c r="EL17" s="1546">
        <f t="shared" si="18"/>
        <v>0</v>
      </c>
      <c r="EM17" s="1546">
        <f t="shared" si="18"/>
        <v>0</v>
      </c>
      <c r="EN17" s="1546">
        <f t="shared" si="18"/>
        <v>0</v>
      </c>
      <c r="EP17" s="1546">
        <f t="shared" si="19"/>
        <v>0</v>
      </c>
      <c r="EQ17" s="1546">
        <f t="shared" si="20"/>
        <v>0</v>
      </c>
      <c r="ER17" s="1546">
        <f t="shared" si="20"/>
        <v>0</v>
      </c>
      <c r="ES17" s="1546">
        <f t="shared" si="20"/>
        <v>0</v>
      </c>
      <c r="ET17" s="1546">
        <f t="shared" si="20"/>
        <v>0</v>
      </c>
      <c r="EU17" s="1546">
        <f t="shared" si="20"/>
        <v>0</v>
      </c>
      <c r="EV17" s="1546">
        <f t="shared" si="20"/>
        <v>0</v>
      </c>
      <c r="EW17" s="1546">
        <f t="shared" si="20"/>
        <v>0</v>
      </c>
    </row>
    <row r="18" spans="1:153" ht="28.5" customHeight="1" x14ac:dyDescent="0.3">
      <c r="A18" s="334">
        <v>15</v>
      </c>
      <c r="B18" s="902"/>
      <c r="C18" s="902"/>
      <c r="D18" s="902"/>
      <c r="E18" s="334" t="str">
        <f>IF($C18="","",VLOOKUP($A18&amp;"."&amp;E$2,'Equipment Weight Calc'!$L:$M,2,0))</f>
        <v/>
      </c>
      <c r="F18" s="334" t="str">
        <f>IF($C18="","",VLOOKUP($A18&amp;"."&amp;F$2,'Equipment Weight Calc'!$L:$M,2,0))</f>
        <v/>
      </c>
      <c r="G18" s="334" t="str">
        <f>IF($C18="","",VLOOKUP($A18&amp;"."&amp;G$2,'Equipment Weight Calc'!$L:$M,2,0))</f>
        <v/>
      </c>
      <c r="H18" s="334" t="str">
        <f>IF($C18="","",VLOOKUP($A18&amp;"."&amp;H$2,'Equipment Weight Calc'!$L:$M,2,0))</f>
        <v/>
      </c>
      <c r="I18" s="334" t="str">
        <f>IF($C18="","",VLOOKUP($A18&amp;"."&amp;I$2,'Equipment Weight Calc'!$L:$M,2,0))</f>
        <v/>
      </c>
      <c r="J18" s="683"/>
      <c r="K18" s="663" t="str">
        <f>IF($C18="","",VLOOKUP($A18&amp;"."&amp;K$2,'Equipment Weight Calc'!$L:$M,2,0))</f>
        <v/>
      </c>
      <c r="L18" s="334" t="str">
        <f>IF($C18="","",VLOOKUP($A18&amp;"."&amp;L$2,'Equipment Weight Calc'!$L:$M,2,0))</f>
        <v/>
      </c>
      <c r="M18" s="663" t="str">
        <f>IF($C18="","",VLOOKUP($A18&amp;"."&amp;M$2,'Equipment Weight Calc'!$L:$M,2,0))</f>
        <v/>
      </c>
      <c r="N18" s="334" t="str">
        <f>IF($C18="","",VLOOKUP($A18&amp;"."&amp;N$2,'Equipment Weight Calc'!$L:$M,2,0))</f>
        <v/>
      </c>
      <c r="O18" s="683"/>
      <c r="P18" s="680"/>
      <c r="Q18" s="513" t="str">
        <f>IF($C18="","",VLOOKUP($A18&amp;"."&amp;Q$2,'Equipment Weight Calc'!$L:$M,2,0))</f>
        <v/>
      </c>
      <c r="R18" s="513" t="str">
        <f t="shared" si="30"/>
        <v/>
      </c>
      <c r="S18" s="334" t="str">
        <f t="shared" si="0"/>
        <v/>
      </c>
      <c r="T18" s="692"/>
      <c r="U18" s="488" t="str">
        <f>IFERROR(T18*N18,"")</f>
        <v/>
      </c>
      <c r="V18" s="488" t="str">
        <f>IFERROR(T18*S18,"")</f>
        <v/>
      </c>
      <c r="X18" s="683"/>
      <c r="Y18" s="334">
        <f t="shared" si="23"/>
        <v>0</v>
      </c>
      <c r="Z18" s="746"/>
      <c r="AA18" s="488">
        <f t="shared" si="24"/>
        <v>0</v>
      </c>
      <c r="AC18" s="821"/>
      <c r="AD18" s="822"/>
      <c r="AE18" s="822"/>
      <c r="AF18" s="814">
        <f t="shared" si="25"/>
        <v>0</v>
      </c>
      <c r="AG18" s="814">
        <f t="shared" si="26"/>
        <v>0</v>
      </c>
      <c r="AH18" s="816">
        <v>18</v>
      </c>
      <c r="AI18" s="818">
        <f t="shared" si="27"/>
        <v>0</v>
      </c>
      <c r="AK18" s="1546">
        <f t="shared" si="28"/>
        <v>0</v>
      </c>
      <c r="AL18" s="1546">
        <f t="shared" si="2"/>
        <v>0</v>
      </c>
      <c r="AM18" s="1546">
        <f t="shared" si="2"/>
        <v>0</v>
      </c>
      <c r="AN18" s="1546">
        <f t="shared" si="2"/>
        <v>0</v>
      </c>
      <c r="AO18" s="1546">
        <f t="shared" si="2"/>
        <v>0</v>
      </c>
      <c r="AP18" s="1546">
        <f t="shared" si="2"/>
        <v>0</v>
      </c>
      <c r="AQ18" s="1546">
        <f t="shared" si="2"/>
        <v>0</v>
      </c>
      <c r="AR18" s="1546">
        <f t="shared" si="2"/>
        <v>0</v>
      </c>
      <c r="AS18" s="1546">
        <f t="shared" si="2"/>
        <v>0</v>
      </c>
      <c r="AT18" s="1546">
        <f t="shared" si="2"/>
        <v>0</v>
      </c>
      <c r="AU18" s="1546">
        <f t="shared" si="2"/>
        <v>0</v>
      </c>
      <c r="AV18" s="1546">
        <f t="shared" si="2"/>
        <v>0</v>
      </c>
      <c r="AW18" s="1546">
        <f t="shared" si="2"/>
        <v>0</v>
      </c>
      <c r="AX18" s="1546">
        <f t="shared" si="2"/>
        <v>0</v>
      </c>
      <c r="AY18" s="1546">
        <f t="shared" si="2"/>
        <v>0</v>
      </c>
      <c r="AZ18" s="1546">
        <f t="shared" si="2"/>
        <v>0</v>
      </c>
      <c r="BA18" s="1546">
        <f t="shared" si="29"/>
        <v>1</v>
      </c>
      <c r="BC18" s="663" t="str">
        <f>IF($C18="","",VLOOKUP($A18&amp;"."&amp;BC$3,'Equipment Weight Calc'!$L:$M,2,0))</f>
        <v/>
      </c>
      <c r="BD18" s="663" t="str">
        <f>IF($C18="","",VLOOKUP($A18&amp;"."&amp;BD$3,'Equipment Weight Calc'!$L:$M,2,0))</f>
        <v/>
      </c>
      <c r="BE18" s="663" t="str">
        <f>IF($C18="","",VLOOKUP($A18&amp;"."&amp;BE$3,'Equipment Weight Calc'!$L:$M,2,0))</f>
        <v/>
      </c>
      <c r="BF18" s="663" t="str">
        <f>IF($C18="","",VLOOKUP($A18&amp;"."&amp;BF$3,'Equipment Weight Calc'!$L:$M,2,0))</f>
        <v/>
      </c>
      <c r="BG18" s="663" t="str">
        <f>IF($C18="","",VLOOKUP($A18&amp;"."&amp;BG$3,'Equipment Weight Calc'!$L:$M,2,0))</f>
        <v/>
      </c>
      <c r="BH18" s="663" t="str">
        <f>IF($C18="","",VLOOKUP($A18&amp;"."&amp;BH$3,'Equipment Weight Calc'!$L:$M,2,0))</f>
        <v/>
      </c>
      <c r="BI18" s="663" t="str">
        <f>IF($C18="","",VLOOKUP($A18&amp;"."&amp;BI$3,'Equipment Weight Calc'!$L:$M,2,0))</f>
        <v/>
      </c>
      <c r="BJ18" s="663" t="str">
        <f>IF($C18="","",VLOOKUP($A18&amp;"."&amp;BJ$3,'Equipment Weight Calc'!$L:$M,2,0))</f>
        <v/>
      </c>
      <c r="BK18" s="663" t="str">
        <f>IF($C18="","",VLOOKUP($A18&amp;"."&amp;BK$3,'Equipment Weight Calc'!$L:$M,2,0))</f>
        <v/>
      </c>
      <c r="BL18" s="663" t="str">
        <f>IF($C18="","",VLOOKUP($A18&amp;"."&amp;BL$3,'Equipment Weight Calc'!$L:$M,2,0))</f>
        <v/>
      </c>
      <c r="BM18" s="663" t="str">
        <f>IF($C18="","",VLOOKUP($A18&amp;"."&amp;BM$3,'Equipment Weight Calc'!$L:$M,2,0))</f>
        <v/>
      </c>
      <c r="BN18" s="663" t="str">
        <f>IF($C18="","",VLOOKUP($A18&amp;"."&amp;BN$3,'Equipment Weight Calc'!$L:$M,2,0))</f>
        <v/>
      </c>
      <c r="BO18" s="663" t="str">
        <f>IF($C18="","",VLOOKUP($A18&amp;"."&amp;BO$3,'Equipment Weight Calc'!$L:$M,2,0))</f>
        <v/>
      </c>
      <c r="BP18" s="663" t="str">
        <f>IF($C18="","",VLOOKUP($A18&amp;"."&amp;BP$3,'Equipment Weight Calc'!$L:$M,2,0))</f>
        <v/>
      </c>
      <c r="BQ18" s="663" t="str">
        <f>IF($C18="","",VLOOKUP($A18&amp;"."&amp;BQ$3,'Equipment Weight Calc'!$L:$M,2,0))</f>
        <v/>
      </c>
      <c r="BR18" s="663" t="str">
        <f>IF($C18="","",VLOOKUP($A18&amp;"."&amp;BR$3,'Equipment Weight Calc'!$L:$M,2,0))</f>
        <v/>
      </c>
      <c r="BS18" s="663" t="str">
        <f>IF($C18="","",VLOOKUP($A18&amp;"."&amp;BS$3,'Equipment Weight Calc'!$L:$M,2,0))</f>
        <v/>
      </c>
      <c r="BT18" s="663" t="str">
        <f>IF($C18="","",VLOOKUP($A18&amp;"."&amp;BT$3,'Equipment Weight Calc'!$L:$M,2,0))</f>
        <v/>
      </c>
      <c r="BV18" s="1546">
        <f t="shared" si="3"/>
        <v>0</v>
      </c>
      <c r="BW18" s="1546">
        <f t="shared" si="4"/>
        <v>0</v>
      </c>
      <c r="BX18" s="1546">
        <f t="shared" si="4"/>
        <v>0</v>
      </c>
      <c r="BY18" s="1546">
        <f t="shared" si="4"/>
        <v>0</v>
      </c>
      <c r="BZ18" s="1546">
        <f t="shared" si="4"/>
        <v>0</v>
      </c>
      <c r="CA18" s="1546">
        <f t="shared" si="4"/>
        <v>0</v>
      </c>
      <c r="CB18" s="1546">
        <f t="shared" si="4"/>
        <v>0</v>
      </c>
      <c r="CC18" s="1546">
        <f t="shared" si="4"/>
        <v>0</v>
      </c>
      <c r="CE18" s="1546">
        <f t="shared" si="5"/>
        <v>0</v>
      </c>
      <c r="CF18" s="1546">
        <f t="shared" si="6"/>
        <v>0</v>
      </c>
      <c r="CG18" s="1546">
        <f t="shared" si="6"/>
        <v>0</v>
      </c>
      <c r="CH18" s="1546">
        <f t="shared" si="6"/>
        <v>0</v>
      </c>
      <c r="CI18" s="1546">
        <f t="shared" si="6"/>
        <v>0</v>
      </c>
      <c r="CJ18" s="1546">
        <f t="shared" si="6"/>
        <v>0</v>
      </c>
      <c r="CK18" s="1546">
        <f t="shared" si="6"/>
        <v>0</v>
      </c>
      <c r="CL18" s="1546">
        <f t="shared" si="6"/>
        <v>0</v>
      </c>
      <c r="CN18" s="1546">
        <f t="shared" si="7"/>
        <v>0</v>
      </c>
      <c r="CO18" s="1546">
        <f t="shared" si="8"/>
        <v>0</v>
      </c>
      <c r="CP18" s="1546">
        <f t="shared" si="8"/>
        <v>0</v>
      </c>
      <c r="CQ18" s="1546">
        <f t="shared" si="8"/>
        <v>0</v>
      </c>
      <c r="CR18" s="1546">
        <f t="shared" si="8"/>
        <v>0</v>
      </c>
      <c r="CS18" s="1546">
        <f t="shared" si="8"/>
        <v>0</v>
      </c>
      <c r="CT18" s="1546">
        <f t="shared" si="8"/>
        <v>0</v>
      </c>
      <c r="CU18" s="1546">
        <f t="shared" si="8"/>
        <v>0</v>
      </c>
      <c r="CW18" s="1546">
        <f t="shared" si="9"/>
        <v>0</v>
      </c>
      <c r="CX18" s="1546">
        <f t="shared" si="10"/>
        <v>0</v>
      </c>
      <c r="CY18" s="1546">
        <f t="shared" si="10"/>
        <v>0</v>
      </c>
      <c r="CZ18" s="1546">
        <f t="shared" si="10"/>
        <v>0</v>
      </c>
      <c r="DA18" s="1546">
        <f t="shared" si="10"/>
        <v>0</v>
      </c>
      <c r="DB18" s="1546">
        <f t="shared" si="10"/>
        <v>0</v>
      </c>
      <c r="DC18" s="1546">
        <f t="shared" si="10"/>
        <v>0</v>
      </c>
      <c r="DD18" s="1546">
        <f t="shared" si="10"/>
        <v>0</v>
      </c>
      <c r="DF18" s="1546">
        <f t="shared" si="11"/>
        <v>0</v>
      </c>
      <c r="DG18" s="1546">
        <f t="shared" si="12"/>
        <v>0</v>
      </c>
      <c r="DH18" s="1546">
        <f t="shared" si="12"/>
        <v>0</v>
      </c>
      <c r="DI18" s="1546">
        <f t="shared" si="12"/>
        <v>0</v>
      </c>
      <c r="DJ18" s="1546">
        <f t="shared" si="12"/>
        <v>0</v>
      </c>
      <c r="DK18" s="1546">
        <f t="shared" si="12"/>
        <v>0</v>
      </c>
      <c r="DL18" s="1546">
        <f t="shared" si="12"/>
        <v>0</v>
      </c>
      <c r="DM18" s="1546">
        <f t="shared" si="12"/>
        <v>0</v>
      </c>
      <c r="DO18" s="1546">
        <f t="shared" si="13"/>
        <v>0</v>
      </c>
      <c r="DP18" s="1546">
        <f t="shared" si="14"/>
        <v>0</v>
      </c>
      <c r="DQ18" s="1546">
        <f t="shared" si="14"/>
        <v>0</v>
      </c>
      <c r="DR18" s="1546">
        <f t="shared" si="14"/>
        <v>0</v>
      </c>
      <c r="DS18" s="1546">
        <f t="shared" si="14"/>
        <v>0</v>
      </c>
      <c r="DT18" s="1546">
        <f t="shared" si="14"/>
        <v>0</v>
      </c>
      <c r="DU18" s="1546">
        <f t="shared" si="14"/>
        <v>0</v>
      </c>
      <c r="DV18" s="1546">
        <f t="shared" si="14"/>
        <v>0</v>
      </c>
      <c r="DX18" s="1546">
        <f t="shared" si="15"/>
        <v>0</v>
      </c>
      <c r="DY18" s="1546">
        <f t="shared" si="16"/>
        <v>0</v>
      </c>
      <c r="DZ18" s="1546">
        <f t="shared" si="16"/>
        <v>0</v>
      </c>
      <c r="EA18" s="1546">
        <f t="shared" si="16"/>
        <v>0</v>
      </c>
      <c r="EB18" s="1546">
        <f t="shared" si="16"/>
        <v>0</v>
      </c>
      <c r="EC18" s="1546">
        <f t="shared" si="16"/>
        <v>0</v>
      </c>
      <c r="ED18" s="1546">
        <f t="shared" si="16"/>
        <v>0</v>
      </c>
      <c r="EE18" s="1546">
        <f t="shared" si="16"/>
        <v>0</v>
      </c>
      <c r="EG18" s="1546">
        <f t="shared" si="17"/>
        <v>0</v>
      </c>
      <c r="EH18" s="1546">
        <f t="shared" si="18"/>
        <v>0</v>
      </c>
      <c r="EI18" s="1546">
        <f t="shared" si="18"/>
        <v>0</v>
      </c>
      <c r="EJ18" s="1546">
        <f t="shared" si="18"/>
        <v>0</v>
      </c>
      <c r="EK18" s="1546">
        <f t="shared" si="18"/>
        <v>0</v>
      </c>
      <c r="EL18" s="1546">
        <f t="shared" si="18"/>
        <v>0</v>
      </c>
      <c r="EM18" s="1546">
        <f t="shared" si="18"/>
        <v>0</v>
      </c>
      <c r="EN18" s="1546">
        <f t="shared" si="18"/>
        <v>0</v>
      </c>
      <c r="EP18" s="1546">
        <f t="shared" si="19"/>
        <v>0</v>
      </c>
      <c r="EQ18" s="1546">
        <f t="shared" si="20"/>
        <v>0</v>
      </c>
      <c r="ER18" s="1546">
        <f t="shared" si="20"/>
        <v>0</v>
      </c>
      <c r="ES18" s="1546">
        <f t="shared" si="20"/>
        <v>0</v>
      </c>
      <c r="ET18" s="1546">
        <f t="shared" si="20"/>
        <v>0</v>
      </c>
      <c r="EU18" s="1546">
        <f t="shared" si="20"/>
        <v>0</v>
      </c>
      <c r="EV18" s="1546">
        <f t="shared" si="20"/>
        <v>0</v>
      </c>
      <c r="EW18" s="1546">
        <f t="shared" si="20"/>
        <v>0</v>
      </c>
    </row>
    <row r="19" spans="1:153" ht="28.5" customHeight="1" x14ac:dyDescent="0.3">
      <c r="A19" s="334">
        <v>16</v>
      </c>
      <c r="B19" s="902"/>
      <c r="C19" s="902"/>
      <c r="D19" s="902"/>
      <c r="E19" s="334" t="str">
        <f>IF($C19="","",VLOOKUP($A19&amp;"."&amp;E$2,'Equipment Weight Calc'!$L:$M,2,0))</f>
        <v/>
      </c>
      <c r="F19" s="334" t="str">
        <f>IF($C19="","",VLOOKUP($A19&amp;"."&amp;F$2,'Equipment Weight Calc'!$L:$M,2,0))</f>
        <v/>
      </c>
      <c r="G19" s="334" t="str">
        <f>IF($C19="","",VLOOKUP($A19&amp;"."&amp;G$2,'Equipment Weight Calc'!$L:$M,2,0))</f>
        <v/>
      </c>
      <c r="H19" s="334" t="str">
        <f>IF($C19="","",VLOOKUP($A19&amp;"."&amp;H$2,'Equipment Weight Calc'!$L:$M,2,0))</f>
        <v/>
      </c>
      <c r="I19" s="334" t="str">
        <f>IF($C19="","",VLOOKUP($A19&amp;"."&amp;I$2,'Equipment Weight Calc'!$L:$M,2,0))</f>
        <v/>
      </c>
      <c r="J19" s="683"/>
      <c r="K19" s="663" t="str">
        <f>IF($C19="","",VLOOKUP($A19&amp;"."&amp;K$2,'Equipment Weight Calc'!$L:$M,2,0))</f>
        <v/>
      </c>
      <c r="L19" s="334" t="str">
        <f>IF($C19="","",VLOOKUP($A19&amp;"."&amp;L$2,'Equipment Weight Calc'!$L:$M,2,0))</f>
        <v/>
      </c>
      <c r="M19" s="663" t="str">
        <f>IF($C19="","",VLOOKUP($A19&amp;"."&amp;M$2,'Equipment Weight Calc'!$L:$M,2,0))</f>
        <v/>
      </c>
      <c r="N19" s="334" t="str">
        <f>IF($C19="","",VLOOKUP($A19&amp;"."&amp;N$2,'Equipment Weight Calc'!$L:$M,2,0))</f>
        <v/>
      </c>
      <c r="O19" s="683"/>
      <c r="P19" s="680"/>
      <c r="Q19" s="513" t="str">
        <f>IF($C19="","",VLOOKUP($A19&amp;"."&amp;Q$2,'Equipment Weight Calc'!$L:$M,2,0))</f>
        <v/>
      </c>
      <c r="R19" s="513" t="str">
        <f t="shared" si="21"/>
        <v/>
      </c>
      <c r="S19" s="334" t="str">
        <f t="shared" ref="S19:S26" si="31">IFERROR(O19*N19,"")</f>
        <v/>
      </c>
      <c r="T19" s="692"/>
      <c r="U19" s="488" t="str">
        <f t="shared" ref="U19:U26" si="32">IFERROR(T19*N19,"")</f>
        <v/>
      </c>
      <c r="V19" s="488" t="str">
        <f t="shared" ref="V19:V26" si="33">IFERROR(T19*S19,"")</f>
        <v/>
      </c>
      <c r="X19" s="683"/>
      <c r="Y19" s="334">
        <f t="shared" si="23"/>
        <v>0</v>
      </c>
      <c r="Z19" s="746"/>
      <c r="AA19" s="488">
        <f t="shared" si="24"/>
        <v>0</v>
      </c>
      <c r="AC19" s="821"/>
      <c r="AD19" s="822"/>
      <c r="AE19" s="822"/>
      <c r="AF19" s="814">
        <f t="shared" si="25"/>
        <v>0</v>
      </c>
      <c r="AG19" s="814">
        <f t="shared" si="26"/>
        <v>0</v>
      </c>
      <c r="AH19" s="816">
        <v>18</v>
      </c>
      <c r="AI19" s="818">
        <f t="shared" si="27"/>
        <v>0</v>
      </c>
      <c r="AK19" s="1546">
        <f t="shared" si="28"/>
        <v>0</v>
      </c>
      <c r="AL19" s="1546">
        <f t="shared" si="2"/>
        <v>0</v>
      </c>
      <c r="AM19" s="1546">
        <f t="shared" si="2"/>
        <v>0</v>
      </c>
      <c r="AN19" s="1546">
        <f t="shared" si="2"/>
        <v>0</v>
      </c>
      <c r="AO19" s="1546">
        <f t="shared" si="2"/>
        <v>0</v>
      </c>
      <c r="AP19" s="1546">
        <f t="shared" si="2"/>
        <v>0</v>
      </c>
      <c r="AQ19" s="1546">
        <f t="shared" si="2"/>
        <v>0</v>
      </c>
      <c r="AR19" s="1546">
        <f t="shared" si="2"/>
        <v>0</v>
      </c>
      <c r="AS19" s="1546">
        <f t="shared" si="2"/>
        <v>0</v>
      </c>
      <c r="AT19" s="1546">
        <f t="shared" si="2"/>
        <v>0</v>
      </c>
      <c r="AU19" s="1546">
        <f t="shared" si="2"/>
        <v>0</v>
      </c>
      <c r="AV19" s="1546">
        <f t="shared" si="2"/>
        <v>0</v>
      </c>
      <c r="AW19" s="1546">
        <f t="shared" si="2"/>
        <v>0</v>
      </c>
      <c r="AX19" s="1546">
        <f t="shared" si="2"/>
        <v>0</v>
      </c>
      <c r="AY19" s="1546">
        <f t="shared" si="2"/>
        <v>0</v>
      </c>
      <c r="AZ19" s="1546">
        <f t="shared" si="2"/>
        <v>0</v>
      </c>
      <c r="BA19" s="1546">
        <f t="shared" si="29"/>
        <v>1</v>
      </c>
      <c r="BC19" s="663" t="str">
        <f>IF($C19="","",VLOOKUP($A19&amp;"."&amp;BC$3,'Equipment Weight Calc'!$L:$M,2,0))</f>
        <v/>
      </c>
      <c r="BD19" s="663" t="str">
        <f>IF($C19="","",VLOOKUP($A19&amp;"."&amp;BD$3,'Equipment Weight Calc'!$L:$M,2,0))</f>
        <v/>
      </c>
      <c r="BE19" s="663" t="str">
        <f>IF($C19="","",VLOOKUP($A19&amp;"."&amp;BE$3,'Equipment Weight Calc'!$L:$M,2,0))</f>
        <v/>
      </c>
      <c r="BF19" s="663" t="str">
        <f>IF($C19="","",VLOOKUP($A19&amp;"."&amp;BF$3,'Equipment Weight Calc'!$L:$M,2,0))</f>
        <v/>
      </c>
      <c r="BG19" s="663" t="str">
        <f>IF($C19="","",VLOOKUP($A19&amp;"."&amp;BG$3,'Equipment Weight Calc'!$L:$M,2,0))</f>
        <v/>
      </c>
      <c r="BH19" s="663" t="str">
        <f>IF($C19="","",VLOOKUP($A19&amp;"."&amp;BH$3,'Equipment Weight Calc'!$L:$M,2,0))</f>
        <v/>
      </c>
      <c r="BI19" s="663" t="str">
        <f>IF($C19="","",VLOOKUP($A19&amp;"."&amp;BI$3,'Equipment Weight Calc'!$L:$M,2,0))</f>
        <v/>
      </c>
      <c r="BJ19" s="663" t="str">
        <f>IF($C19="","",VLOOKUP($A19&amp;"."&amp;BJ$3,'Equipment Weight Calc'!$L:$M,2,0))</f>
        <v/>
      </c>
      <c r="BK19" s="663" t="str">
        <f>IF($C19="","",VLOOKUP($A19&amp;"."&amp;BK$3,'Equipment Weight Calc'!$L:$M,2,0))</f>
        <v/>
      </c>
      <c r="BL19" s="663" t="str">
        <f>IF($C19="","",VLOOKUP($A19&amp;"."&amp;BL$3,'Equipment Weight Calc'!$L:$M,2,0))</f>
        <v/>
      </c>
      <c r="BM19" s="663" t="str">
        <f>IF($C19="","",VLOOKUP($A19&amp;"."&amp;BM$3,'Equipment Weight Calc'!$L:$M,2,0))</f>
        <v/>
      </c>
      <c r="BN19" s="663" t="str">
        <f>IF($C19="","",VLOOKUP($A19&amp;"."&amp;BN$3,'Equipment Weight Calc'!$L:$M,2,0))</f>
        <v/>
      </c>
      <c r="BO19" s="663" t="str">
        <f>IF($C19="","",VLOOKUP($A19&amp;"."&amp;BO$3,'Equipment Weight Calc'!$L:$M,2,0))</f>
        <v/>
      </c>
      <c r="BP19" s="663" t="str">
        <f>IF($C19="","",VLOOKUP($A19&amp;"."&amp;BP$3,'Equipment Weight Calc'!$L:$M,2,0))</f>
        <v/>
      </c>
      <c r="BQ19" s="663" t="str">
        <f>IF($C19="","",VLOOKUP($A19&amp;"."&amp;BQ$3,'Equipment Weight Calc'!$L:$M,2,0))</f>
        <v/>
      </c>
      <c r="BR19" s="663" t="str">
        <f>IF($C19="","",VLOOKUP($A19&amp;"."&amp;BR$3,'Equipment Weight Calc'!$L:$M,2,0))</f>
        <v/>
      </c>
      <c r="BS19" s="663" t="str">
        <f>IF($C19="","",VLOOKUP($A19&amp;"."&amp;BS$3,'Equipment Weight Calc'!$L:$M,2,0))</f>
        <v/>
      </c>
      <c r="BT19" s="663" t="str">
        <f>IF($C19="","",VLOOKUP($A19&amp;"."&amp;BT$3,'Equipment Weight Calc'!$L:$M,2,0))</f>
        <v/>
      </c>
      <c r="BV19" s="1546">
        <f t="shared" si="3"/>
        <v>0</v>
      </c>
      <c r="BW19" s="1546">
        <f t="shared" si="4"/>
        <v>0</v>
      </c>
      <c r="BX19" s="1546">
        <f t="shared" si="4"/>
        <v>0</v>
      </c>
      <c r="BY19" s="1546">
        <f t="shared" si="4"/>
        <v>0</v>
      </c>
      <c r="BZ19" s="1546">
        <f t="shared" si="4"/>
        <v>0</v>
      </c>
      <c r="CA19" s="1546">
        <f t="shared" si="4"/>
        <v>0</v>
      </c>
      <c r="CB19" s="1546">
        <f t="shared" si="4"/>
        <v>0</v>
      </c>
      <c r="CC19" s="1546">
        <f t="shared" si="4"/>
        <v>0</v>
      </c>
      <c r="CE19" s="1546">
        <f t="shared" si="5"/>
        <v>0</v>
      </c>
      <c r="CF19" s="1546">
        <f t="shared" si="6"/>
        <v>0</v>
      </c>
      <c r="CG19" s="1546">
        <f t="shared" si="6"/>
        <v>0</v>
      </c>
      <c r="CH19" s="1546">
        <f t="shared" si="6"/>
        <v>0</v>
      </c>
      <c r="CI19" s="1546">
        <f t="shared" si="6"/>
        <v>0</v>
      </c>
      <c r="CJ19" s="1546">
        <f t="shared" si="6"/>
        <v>0</v>
      </c>
      <c r="CK19" s="1546">
        <f t="shared" si="6"/>
        <v>0</v>
      </c>
      <c r="CL19" s="1546">
        <f t="shared" si="6"/>
        <v>0</v>
      </c>
      <c r="CN19" s="1546">
        <f t="shared" si="7"/>
        <v>0</v>
      </c>
      <c r="CO19" s="1546">
        <f t="shared" si="8"/>
        <v>0</v>
      </c>
      <c r="CP19" s="1546">
        <f t="shared" si="8"/>
        <v>0</v>
      </c>
      <c r="CQ19" s="1546">
        <f t="shared" si="8"/>
        <v>0</v>
      </c>
      <c r="CR19" s="1546">
        <f t="shared" si="8"/>
        <v>0</v>
      </c>
      <c r="CS19" s="1546">
        <f t="shared" si="8"/>
        <v>0</v>
      </c>
      <c r="CT19" s="1546">
        <f t="shared" si="8"/>
        <v>0</v>
      </c>
      <c r="CU19" s="1546">
        <f t="shared" si="8"/>
        <v>0</v>
      </c>
      <c r="CW19" s="1546">
        <f t="shared" si="9"/>
        <v>0</v>
      </c>
      <c r="CX19" s="1546">
        <f t="shared" si="10"/>
        <v>0</v>
      </c>
      <c r="CY19" s="1546">
        <f t="shared" si="10"/>
        <v>0</v>
      </c>
      <c r="CZ19" s="1546">
        <f t="shared" si="10"/>
        <v>0</v>
      </c>
      <c r="DA19" s="1546">
        <f t="shared" si="10"/>
        <v>0</v>
      </c>
      <c r="DB19" s="1546">
        <f t="shared" si="10"/>
        <v>0</v>
      </c>
      <c r="DC19" s="1546">
        <f t="shared" si="10"/>
        <v>0</v>
      </c>
      <c r="DD19" s="1546">
        <f t="shared" si="10"/>
        <v>0</v>
      </c>
      <c r="DF19" s="1546">
        <f t="shared" si="11"/>
        <v>0</v>
      </c>
      <c r="DG19" s="1546">
        <f t="shared" si="12"/>
        <v>0</v>
      </c>
      <c r="DH19" s="1546">
        <f t="shared" si="12"/>
        <v>0</v>
      </c>
      <c r="DI19" s="1546">
        <f t="shared" si="12"/>
        <v>0</v>
      </c>
      <c r="DJ19" s="1546">
        <f t="shared" si="12"/>
        <v>0</v>
      </c>
      <c r="DK19" s="1546">
        <f t="shared" si="12"/>
        <v>0</v>
      </c>
      <c r="DL19" s="1546">
        <f t="shared" si="12"/>
        <v>0</v>
      </c>
      <c r="DM19" s="1546">
        <f t="shared" si="12"/>
        <v>0</v>
      </c>
      <c r="DO19" s="1546">
        <f t="shared" si="13"/>
        <v>0</v>
      </c>
      <c r="DP19" s="1546">
        <f t="shared" si="14"/>
        <v>0</v>
      </c>
      <c r="DQ19" s="1546">
        <f t="shared" si="14"/>
        <v>0</v>
      </c>
      <c r="DR19" s="1546">
        <f t="shared" si="14"/>
        <v>0</v>
      </c>
      <c r="DS19" s="1546">
        <f t="shared" si="14"/>
        <v>0</v>
      </c>
      <c r="DT19" s="1546">
        <f t="shared" si="14"/>
        <v>0</v>
      </c>
      <c r="DU19" s="1546">
        <f t="shared" si="14"/>
        <v>0</v>
      </c>
      <c r="DV19" s="1546">
        <f t="shared" si="14"/>
        <v>0</v>
      </c>
      <c r="DX19" s="1546">
        <f t="shared" si="15"/>
        <v>0</v>
      </c>
      <c r="DY19" s="1546">
        <f t="shared" si="16"/>
        <v>0</v>
      </c>
      <c r="DZ19" s="1546">
        <f t="shared" si="16"/>
        <v>0</v>
      </c>
      <c r="EA19" s="1546">
        <f t="shared" si="16"/>
        <v>0</v>
      </c>
      <c r="EB19" s="1546">
        <f t="shared" si="16"/>
        <v>0</v>
      </c>
      <c r="EC19" s="1546">
        <f t="shared" si="16"/>
        <v>0</v>
      </c>
      <c r="ED19" s="1546">
        <f t="shared" si="16"/>
        <v>0</v>
      </c>
      <c r="EE19" s="1546">
        <f t="shared" si="16"/>
        <v>0</v>
      </c>
      <c r="EG19" s="1546">
        <f t="shared" si="17"/>
        <v>0</v>
      </c>
      <c r="EH19" s="1546">
        <f t="shared" si="18"/>
        <v>0</v>
      </c>
      <c r="EI19" s="1546">
        <f t="shared" si="18"/>
        <v>0</v>
      </c>
      <c r="EJ19" s="1546">
        <f t="shared" si="18"/>
        <v>0</v>
      </c>
      <c r="EK19" s="1546">
        <f t="shared" si="18"/>
        <v>0</v>
      </c>
      <c r="EL19" s="1546">
        <f t="shared" si="18"/>
        <v>0</v>
      </c>
      <c r="EM19" s="1546">
        <f t="shared" si="18"/>
        <v>0</v>
      </c>
      <c r="EN19" s="1546">
        <f t="shared" si="18"/>
        <v>0</v>
      </c>
      <c r="EP19" s="1546">
        <f t="shared" si="19"/>
        <v>0</v>
      </c>
      <c r="EQ19" s="1546">
        <f t="shared" si="20"/>
        <v>0</v>
      </c>
      <c r="ER19" s="1546">
        <f t="shared" si="20"/>
        <v>0</v>
      </c>
      <c r="ES19" s="1546">
        <f t="shared" si="20"/>
        <v>0</v>
      </c>
      <c r="ET19" s="1546">
        <f t="shared" si="20"/>
        <v>0</v>
      </c>
      <c r="EU19" s="1546">
        <f t="shared" si="20"/>
        <v>0</v>
      </c>
      <c r="EV19" s="1546">
        <f t="shared" si="20"/>
        <v>0</v>
      </c>
      <c r="EW19" s="1546">
        <f t="shared" si="20"/>
        <v>0</v>
      </c>
    </row>
    <row r="20" spans="1:153" ht="28.5" customHeight="1" x14ac:dyDescent="0.3">
      <c r="A20" s="334">
        <v>17</v>
      </c>
      <c r="B20" s="902"/>
      <c r="C20" s="902"/>
      <c r="D20" s="902"/>
      <c r="E20" s="334" t="str">
        <f>IF($C20="","",VLOOKUP($A20&amp;"."&amp;E$2,'Equipment Weight Calc'!$L:$M,2,0))</f>
        <v/>
      </c>
      <c r="F20" s="334" t="str">
        <f>IF($C20="","",VLOOKUP($A20&amp;"."&amp;F$2,'Equipment Weight Calc'!$L:$M,2,0))</f>
        <v/>
      </c>
      <c r="G20" s="334" t="str">
        <f>IF($C20="","",VLOOKUP($A20&amp;"."&amp;G$2,'Equipment Weight Calc'!$L:$M,2,0))</f>
        <v/>
      </c>
      <c r="H20" s="334" t="str">
        <f>IF($C20="","",VLOOKUP($A20&amp;"."&amp;H$2,'Equipment Weight Calc'!$L:$M,2,0))</f>
        <v/>
      </c>
      <c r="I20" s="334" t="str">
        <f>IF($C20="","",VLOOKUP($A20&amp;"."&amp;I$2,'Equipment Weight Calc'!$L:$M,2,0))</f>
        <v/>
      </c>
      <c r="J20" s="683"/>
      <c r="K20" s="663" t="str">
        <f>IF($C20="","",VLOOKUP($A20&amp;"."&amp;K$2,'Equipment Weight Calc'!$L:$M,2,0))</f>
        <v/>
      </c>
      <c r="L20" s="334" t="str">
        <f>IF($C20="","",VLOOKUP($A20&amp;"."&amp;L$2,'Equipment Weight Calc'!$L:$M,2,0))</f>
        <v/>
      </c>
      <c r="M20" s="663" t="str">
        <f>IF($C20="","",VLOOKUP($A20&amp;"."&amp;M$2,'Equipment Weight Calc'!$L:$M,2,0))</f>
        <v/>
      </c>
      <c r="N20" s="334" t="str">
        <f>IF($C20="","",VLOOKUP($A20&amp;"."&amp;N$2,'Equipment Weight Calc'!$L:$M,2,0))</f>
        <v/>
      </c>
      <c r="O20" s="683"/>
      <c r="P20" s="680"/>
      <c r="Q20" s="513" t="str">
        <f>IF($C20="","",VLOOKUP($A20&amp;"."&amp;Q$2,'Equipment Weight Calc'!$L:$M,2,0))</f>
        <v/>
      </c>
      <c r="R20" s="513" t="str">
        <f t="shared" si="21"/>
        <v/>
      </c>
      <c r="S20" s="334" t="str">
        <f t="shared" si="31"/>
        <v/>
      </c>
      <c r="T20" s="692"/>
      <c r="U20" s="488" t="str">
        <f t="shared" si="32"/>
        <v/>
      </c>
      <c r="V20" s="488" t="str">
        <f t="shared" si="33"/>
        <v/>
      </c>
      <c r="X20" s="683"/>
      <c r="Y20" s="334">
        <f t="shared" si="23"/>
        <v>0</v>
      </c>
      <c r="Z20" s="746"/>
      <c r="AA20" s="488">
        <f t="shared" si="24"/>
        <v>0</v>
      </c>
      <c r="AC20" s="821"/>
      <c r="AD20" s="822"/>
      <c r="AE20" s="822"/>
      <c r="AF20" s="814">
        <f t="shared" si="25"/>
        <v>0</v>
      </c>
      <c r="AG20" s="814">
        <f t="shared" si="26"/>
        <v>0</v>
      </c>
      <c r="AH20" s="816">
        <v>18</v>
      </c>
      <c r="AI20" s="818">
        <f t="shared" si="27"/>
        <v>0</v>
      </c>
      <c r="AK20" s="1546">
        <f t="shared" si="28"/>
        <v>0</v>
      </c>
      <c r="AL20" s="1546">
        <f t="shared" si="28"/>
        <v>0</v>
      </c>
      <c r="AM20" s="1546">
        <f t="shared" si="28"/>
        <v>0</v>
      </c>
      <c r="AN20" s="1546">
        <f t="shared" si="28"/>
        <v>0</v>
      </c>
      <c r="AO20" s="1546">
        <f t="shared" si="28"/>
        <v>0</v>
      </c>
      <c r="AP20" s="1546">
        <f t="shared" si="28"/>
        <v>0</v>
      </c>
      <c r="AQ20" s="1546">
        <f t="shared" si="28"/>
        <v>0</v>
      </c>
      <c r="AR20" s="1546">
        <f t="shared" si="28"/>
        <v>0</v>
      </c>
      <c r="AS20" s="1546">
        <f t="shared" si="28"/>
        <v>0</v>
      </c>
      <c r="AT20" s="1546">
        <f t="shared" si="28"/>
        <v>0</v>
      </c>
      <c r="AU20" s="1546">
        <f t="shared" si="28"/>
        <v>0</v>
      </c>
      <c r="AV20" s="1546">
        <f t="shared" si="28"/>
        <v>0</v>
      </c>
      <c r="AW20" s="1546">
        <f t="shared" si="28"/>
        <v>0</v>
      </c>
      <c r="AX20" s="1546">
        <f t="shared" si="28"/>
        <v>0</v>
      </c>
      <c r="AY20" s="1546">
        <f t="shared" si="28"/>
        <v>0</v>
      </c>
      <c r="AZ20" s="1546">
        <f t="shared" si="28"/>
        <v>0</v>
      </c>
      <c r="BA20" s="1546">
        <f t="shared" si="29"/>
        <v>1</v>
      </c>
      <c r="BC20" s="663" t="str">
        <f>IF($C20="","",VLOOKUP($A20&amp;"."&amp;BC$3,'Equipment Weight Calc'!$L:$M,2,0))</f>
        <v/>
      </c>
      <c r="BD20" s="663" t="str">
        <f>IF($C20="","",VLOOKUP($A20&amp;"."&amp;BD$3,'Equipment Weight Calc'!$L:$M,2,0))</f>
        <v/>
      </c>
      <c r="BE20" s="663" t="str">
        <f>IF($C20="","",VLOOKUP($A20&amp;"."&amp;BE$3,'Equipment Weight Calc'!$L:$M,2,0))</f>
        <v/>
      </c>
      <c r="BF20" s="663" t="str">
        <f>IF($C20="","",VLOOKUP($A20&amp;"."&amp;BF$3,'Equipment Weight Calc'!$L:$M,2,0))</f>
        <v/>
      </c>
      <c r="BG20" s="663" t="str">
        <f>IF($C20="","",VLOOKUP($A20&amp;"."&amp;BG$3,'Equipment Weight Calc'!$L:$M,2,0))</f>
        <v/>
      </c>
      <c r="BH20" s="663" t="str">
        <f>IF($C20="","",VLOOKUP($A20&amp;"."&amp;BH$3,'Equipment Weight Calc'!$L:$M,2,0))</f>
        <v/>
      </c>
      <c r="BI20" s="663" t="str">
        <f>IF($C20="","",VLOOKUP($A20&amp;"."&amp;BI$3,'Equipment Weight Calc'!$L:$M,2,0))</f>
        <v/>
      </c>
      <c r="BJ20" s="663" t="str">
        <f>IF($C20="","",VLOOKUP($A20&amp;"."&amp;BJ$3,'Equipment Weight Calc'!$L:$M,2,0))</f>
        <v/>
      </c>
      <c r="BK20" s="663" t="str">
        <f>IF($C20="","",VLOOKUP($A20&amp;"."&amp;BK$3,'Equipment Weight Calc'!$L:$M,2,0))</f>
        <v/>
      </c>
      <c r="BL20" s="663" t="str">
        <f>IF($C20="","",VLOOKUP($A20&amp;"."&amp;BL$3,'Equipment Weight Calc'!$L:$M,2,0))</f>
        <v/>
      </c>
      <c r="BM20" s="663" t="str">
        <f>IF($C20="","",VLOOKUP($A20&amp;"."&amp;BM$3,'Equipment Weight Calc'!$L:$M,2,0))</f>
        <v/>
      </c>
      <c r="BN20" s="663" t="str">
        <f>IF($C20="","",VLOOKUP($A20&amp;"."&amp;BN$3,'Equipment Weight Calc'!$L:$M,2,0))</f>
        <v/>
      </c>
      <c r="BO20" s="663" t="str">
        <f>IF($C20="","",VLOOKUP($A20&amp;"."&amp;BO$3,'Equipment Weight Calc'!$L:$M,2,0))</f>
        <v/>
      </c>
      <c r="BP20" s="663" t="str">
        <f>IF($C20="","",VLOOKUP($A20&amp;"."&amp;BP$3,'Equipment Weight Calc'!$L:$M,2,0))</f>
        <v/>
      </c>
      <c r="BQ20" s="663" t="str">
        <f>IF($C20="","",VLOOKUP($A20&amp;"."&amp;BQ$3,'Equipment Weight Calc'!$L:$M,2,0))</f>
        <v/>
      </c>
      <c r="BR20" s="663" t="str">
        <f>IF($C20="","",VLOOKUP($A20&amp;"."&amp;BR$3,'Equipment Weight Calc'!$L:$M,2,0))</f>
        <v/>
      </c>
      <c r="BS20" s="663" t="str">
        <f>IF($C20="","",VLOOKUP($A20&amp;"."&amp;BS$3,'Equipment Weight Calc'!$L:$M,2,0))</f>
        <v/>
      </c>
      <c r="BT20" s="663" t="str">
        <f>IF($C20="","",VLOOKUP($A20&amp;"."&amp;BT$3,'Equipment Weight Calc'!$L:$M,2,0))</f>
        <v/>
      </c>
      <c r="BV20" s="1546">
        <f t="shared" si="3"/>
        <v>0</v>
      </c>
      <c r="BW20" s="1546">
        <f t="shared" ref="BW20:CC20" si="34">IF(BW$3=$BC20,1,0)</f>
        <v>0</v>
      </c>
      <c r="BX20" s="1546">
        <f t="shared" si="34"/>
        <v>0</v>
      </c>
      <c r="BY20" s="1546">
        <f t="shared" si="34"/>
        <v>0</v>
      </c>
      <c r="BZ20" s="1546">
        <f t="shared" si="34"/>
        <v>0</v>
      </c>
      <c r="CA20" s="1546">
        <f t="shared" si="34"/>
        <v>0</v>
      </c>
      <c r="CB20" s="1546">
        <f t="shared" si="34"/>
        <v>0</v>
      </c>
      <c r="CC20" s="1546">
        <f t="shared" si="34"/>
        <v>0</v>
      </c>
      <c r="CE20" s="1546">
        <f t="shared" si="5"/>
        <v>0</v>
      </c>
      <c r="CF20" s="1546">
        <f t="shared" ref="CF20:CL20" si="35">IF(CF$3=$BI20,1,0)</f>
        <v>0</v>
      </c>
      <c r="CG20" s="1546">
        <f t="shared" si="35"/>
        <v>0</v>
      </c>
      <c r="CH20" s="1546">
        <f t="shared" si="35"/>
        <v>0</v>
      </c>
      <c r="CI20" s="1546">
        <f t="shared" si="35"/>
        <v>0</v>
      </c>
      <c r="CJ20" s="1546">
        <f t="shared" si="35"/>
        <v>0</v>
      </c>
      <c r="CK20" s="1546">
        <f t="shared" si="35"/>
        <v>0</v>
      </c>
      <c r="CL20" s="1546">
        <f t="shared" si="35"/>
        <v>0</v>
      </c>
      <c r="CN20" s="1546">
        <f t="shared" si="7"/>
        <v>0</v>
      </c>
      <c r="CO20" s="1546">
        <f t="shared" ref="CO20:CU20" si="36">IF(CO$3=$BO20,1,0)</f>
        <v>0</v>
      </c>
      <c r="CP20" s="1546">
        <f t="shared" si="36"/>
        <v>0</v>
      </c>
      <c r="CQ20" s="1546">
        <f t="shared" si="36"/>
        <v>0</v>
      </c>
      <c r="CR20" s="1546">
        <f t="shared" si="36"/>
        <v>0</v>
      </c>
      <c r="CS20" s="1546">
        <f t="shared" si="36"/>
        <v>0</v>
      </c>
      <c r="CT20" s="1546">
        <f t="shared" si="36"/>
        <v>0</v>
      </c>
      <c r="CU20" s="1546">
        <f t="shared" si="36"/>
        <v>0</v>
      </c>
      <c r="CW20" s="1546">
        <f t="shared" si="9"/>
        <v>0</v>
      </c>
      <c r="CX20" s="1546">
        <f t="shared" ref="CX20:DD20" si="37">IF(CX$3=$BD20,1,0)</f>
        <v>0</v>
      </c>
      <c r="CY20" s="1546">
        <f t="shared" si="37"/>
        <v>0</v>
      </c>
      <c r="CZ20" s="1546">
        <f t="shared" si="37"/>
        <v>0</v>
      </c>
      <c r="DA20" s="1546">
        <f t="shared" si="37"/>
        <v>0</v>
      </c>
      <c r="DB20" s="1546">
        <f t="shared" si="37"/>
        <v>0</v>
      </c>
      <c r="DC20" s="1546">
        <f t="shared" si="37"/>
        <v>0</v>
      </c>
      <c r="DD20" s="1546">
        <f t="shared" si="37"/>
        <v>0</v>
      </c>
      <c r="DF20" s="1546">
        <f t="shared" si="11"/>
        <v>0</v>
      </c>
      <c r="DG20" s="1546">
        <f t="shared" ref="DG20:DM20" si="38">IF(DG$3=$BJ20,1,0)</f>
        <v>0</v>
      </c>
      <c r="DH20" s="1546">
        <f t="shared" si="38"/>
        <v>0</v>
      </c>
      <c r="DI20" s="1546">
        <f t="shared" si="38"/>
        <v>0</v>
      </c>
      <c r="DJ20" s="1546">
        <f t="shared" si="38"/>
        <v>0</v>
      </c>
      <c r="DK20" s="1546">
        <f t="shared" si="38"/>
        <v>0</v>
      </c>
      <c r="DL20" s="1546">
        <f t="shared" si="38"/>
        <v>0</v>
      </c>
      <c r="DM20" s="1546">
        <f t="shared" si="38"/>
        <v>0</v>
      </c>
      <c r="DO20" s="1546">
        <f t="shared" si="13"/>
        <v>0</v>
      </c>
      <c r="DP20" s="1546">
        <f t="shared" ref="DP20:DV20" si="39">IF(DP$3=$BP20,1,0)</f>
        <v>0</v>
      </c>
      <c r="DQ20" s="1546">
        <f t="shared" si="39"/>
        <v>0</v>
      </c>
      <c r="DR20" s="1546">
        <f t="shared" si="39"/>
        <v>0</v>
      </c>
      <c r="DS20" s="1546">
        <f t="shared" si="39"/>
        <v>0</v>
      </c>
      <c r="DT20" s="1546">
        <f t="shared" si="39"/>
        <v>0</v>
      </c>
      <c r="DU20" s="1546">
        <f t="shared" si="39"/>
        <v>0</v>
      </c>
      <c r="DV20" s="1546">
        <f t="shared" si="39"/>
        <v>0</v>
      </c>
      <c r="DX20" s="1546">
        <f t="shared" si="15"/>
        <v>0</v>
      </c>
      <c r="DY20" s="1546">
        <f t="shared" ref="DY20:EE20" si="40">IF(DY$3=$BE20,1,0)</f>
        <v>0</v>
      </c>
      <c r="DZ20" s="1546">
        <f t="shared" si="40"/>
        <v>0</v>
      </c>
      <c r="EA20" s="1546">
        <f t="shared" si="40"/>
        <v>0</v>
      </c>
      <c r="EB20" s="1546">
        <f t="shared" si="40"/>
        <v>0</v>
      </c>
      <c r="EC20" s="1546">
        <f t="shared" si="40"/>
        <v>0</v>
      </c>
      <c r="ED20" s="1546">
        <f t="shared" si="40"/>
        <v>0</v>
      </c>
      <c r="EE20" s="1546">
        <f t="shared" si="40"/>
        <v>0</v>
      </c>
      <c r="EG20" s="1546">
        <f t="shared" si="17"/>
        <v>0</v>
      </c>
      <c r="EH20" s="1546">
        <f t="shared" ref="EH20:EN20" si="41">IF(EH$3=$BK20,1,0)</f>
        <v>0</v>
      </c>
      <c r="EI20" s="1546">
        <f t="shared" si="41"/>
        <v>0</v>
      </c>
      <c r="EJ20" s="1546">
        <f t="shared" si="41"/>
        <v>0</v>
      </c>
      <c r="EK20" s="1546">
        <f t="shared" si="41"/>
        <v>0</v>
      </c>
      <c r="EL20" s="1546">
        <f t="shared" si="41"/>
        <v>0</v>
      </c>
      <c r="EM20" s="1546">
        <f t="shared" si="41"/>
        <v>0</v>
      </c>
      <c r="EN20" s="1546">
        <f t="shared" si="41"/>
        <v>0</v>
      </c>
      <c r="EP20" s="1546">
        <f t="shared" si="19"/>
        <v>0</v>
      </c>
      <c r="EQ20" s="1546">
        <f t="shared" ref="EQ20:EW20" si="42">IF(EQ$3=$BQ20,1,0)</f>
        <v>0</v>
      </c>
      <c r="ER20" s="1546">
        <f t="shared" si="42"/>
        <v>0</v>
      </c>
      <c r="ES20" s="1546">
        <f t="shared" si="42"/>
        <v>0</v>
      </c>
      <c r="ET20" s="1546">
        <f t="shared" si="42"/>
        <v>0</v>
      </c>
      <c r="EU20" s="1546">
        <f t="shared" si="42"/>
        <v>0</v>
      </c>
      <c r="EV20" s="1546">
        <f t="shared" si="42"/>
        <v>0</v>
      </c>
      <c r="EW20" s="1546">
        <f t="shared" si="42"/>
        <v>0</v>
      </c>
    </row>
    <row r="21" spans="1:153" ht="28.5" customHeight="1" x14ac:dyDescent="0.3">
      <c r="A21" s="334">
        <v>18</v>
      </c>
      <c r="B21" s="902"/>
      <c r="C21" s="902"/>
      <c r="D21" s="902"/>
      <c r="E21" s="334" t="str">
        <f>IF($C21="","",VLOOKUP($A21&amp;"."&amp;E$2,'Equipment Weight Calc'!$L:$M,2,0))</f>
        <v/>
      </c>
      <c r="F21" s="334" t="str">
        <f>IF($C21="","",VLOOKUP($A21&amp;"."&amp;F$2,'Equipment Weight Calc'!$L:$M,2,0))</f>
        <v/>
      </c>
      <c r="G21" s="334" t="str">
        <f>IF($C21="","",VLOOKUP($A21&amp;"."&amp;G$2,'Equipment Weight Calc'!$L:$M,2,0))</f>
        <v/>
      </c>
      <c r="H21" s="334" t="str">
        <f>IF($C21="","",VLOOKUP($A21&amp;"."&amp;H$2,'Equipment Weight Calc'!$L:$M,2,0))</f>
        <v/>
      </c>
      <c r="I21" s="334" t="str">
        <f>IF($C21="","",VLOOKUP($A21&amp;"."&amp;I$2,'Equipment Weight Calc'!$L:$M,2,0))</f>
        <v/>
      </c>
      <c r="J21" s="683"/>
      <c r="K21" s="663" t="str">
        <f>IF($C21="","",VLOOKUP($A21&amp;"."&amp;K$2,'Equipment Weight Calc'!$L:$M,2,0))</f>
        <v/>
      </c>
      <c r="L21" s="334" t="str">
        <f>IF($C21="","",VLOOKUP($A21&amp;"."&amp;L$2,'Equipment Weight Calc'!$L:$M,2,0))</f>
        <v/>
      </c>
      <c r="M21" s="663" t="str">
        <f>IF($C21="","",VLOOKUP($A21&amp;"."&amp;M$2,'Equipment Weight Calc'!$L:$M,2,0))</f>
        <v/>
      </c>
      <c r="N21" s="334" t="str">
        <f>IF($C21="","",VLOOKUP($A21&amp;"."&amp;N$2,'Equipment Weight Calc'!$L:$M,2,0))</f>
        <v/>
      </c>
      <c r="O21" s="683"/>
      <c r="P21" s="680"/>
      <c r="Q21" s="513" t="str">
        <f>IF($C21="","",VLOOKUP($A21&amp;"."&amp;Q$2,'Equipment Weight Calc'!$L:$M,2,0))</f>
        <v/>
      </c>
      <c r="R21" s="513" t="str">
        <f t="shared" si="21"/>
        <v/>
      </c>
      <c r="S21" s="334" t="str">
        <f t="shared" si="31"/>
        <v/>
      </c>
      <c r="T21" s="692"/>
      <c r="U21" s="488" t="str">
        <f t="shared" si="32"/>
        <v/>
      </c>
      <c r="V21" s="488" t="str">
        <f t="shared" si="33"/>
        <v/>
      </c>
      <c r="X21" s="683"/>
      <c r="Y21" s="334">
        <f t="shared" si="23"/>
        <v>0</v>
      </c>
      <c r="Z21" s="746"/>
      <c r="AA21" s="488">
        <f t="shared" si="24"/>
        <v>0</v>
      </c>
      <c r="AC21" s="821"/>
      <c r="AD21" s="822"/>
      <c r="AE21" s="822"/>
      <c r="AF21" s="814">
        <f t="shared" si="25"/>
        <v>0</v>
      </c>
      <c r="AG21" s="814">
        <f t="shared" si="26"/>
        <v>0</v>
      </c>
      <c r="AH21" s="816">
        <v>18</v>
      </c>
      <c r="AI21" s="818">
        <f t="shared" si="27"/>
        <v>0</v>
      </c>
      <c r="AK21" s="1546">
        <f t="shared" si="28"/>
        <v>0</v>
      </c>
      <c r="AL21" s="1546">
        <f t="shared" si="28"/>
        <v>0</v>
      </c>
      <c r="AM21" s="1546">
        <f t="shared" si="28"/>
        <v>0</v>
      </c>
      <c r="AN21" s="1546">
        <f t="shared" si="28"/>
        <v>0</v>
      </c>
      <c r="AO21" s="1546">
        <f t="shared" si="28"/>
        <v>0</v>
      </c>
      <c r="AP21" s="1546">
        <f t="shared" si="28"/>
        <v>0</v>
      </c>
      <c r="AQ21" s="1546">
        <f t="shared" si="28"/>
        <v>0</v>
      </c>
      <c r="AR21" s="1546">
        <f t="shared" si="28"/>
        <v>0</v>
      </c>
      <c r="AS21" s="1546">
        <f t="shared" si="28"/>
        <v>0</v>
      </c>
      <c r="AT21" s="1546">
        <f t="shared" si="28"/>
        <v>0</v>
      </c>
      <c r="AU21" s="1546">
        <f t="shared" si="28"/>
        <v>0</v>
      </c>
      <c r="AV21" s="1546">
        <f t="shared" si="28"/>
        <v>0</v>
      </c>
      <c r="AW21" s="1546">
        <f t="shared" si="28"/>
        <v>0</v>
      </c>
      <c r="AX21" s="1546">
        <f t="shared" si="28"/>
        <v>0</v>
      </c>
      <c r="AY21" s="1546">
        <f t="shared" si="28"/>
        <v>0</v>
      </c>
      <c r="AZ21" s="1546">
        <f t="shared" si="28"/>
        <v>0</v>
      </c>
      <c r="BA21" s="1546">
        <f t="shared" si="29"/>
        <v>1</v>
      </c>
      <c r="BC21" s="663" t="str">
        <f>IF($C21="","",VLOOKUP($A21&amp;"."&amp;BC$3,'Equipment Weight Calc'!$L:$M,2,0))</f>
        <v/>
      </c>
      <c r="BD21" s="663" t="str">
        <f>IF($C21="","",VLOOKUP($A21&amp;"."&amp;BD$3,'Equipment Weight Calc'!$L:$M,2,0))</f>
        <v/>
      </c>
      <c r="BE21" s="663" t="str">
        <f>IF($C21="","",VLOOKUP($A21&amp;"."&amp;BE$3,'Equipment Weight Calc'!$L:$M,2,0))</f>
        <v/>
      </c>
      <c r="BF21" s="663" t="str">
        <f>IF($C21="","",VLOOKUP($A21&amp;"."&amp;BF$3,'Equipment Weight Calc'!$L:$M,2,0))</f>
        <v/>
      </c>
      <c r="BG21" s="663" t="str">
        <f>IF($C21="","",VLOOKUP($A21&amp;"."&amp;BG$3,'Equipment Weight Calc'!$L:$M,2,0))</f>
        <v/>
      </c>
      <c r="BH21" s="663" t="str">
        <f>IF($C21="","",VLOOKUP($A21&amp;"."&amp;BH$3,'Equipment Weight Calc'!$L:$M,2,0))</f>
        <v/>
      </c>
      <c r="BI21" s="663" t="str">
        <f>IF($C21="","",VLOOKUP($A21&amp;"."&amp;BI$3,'Equipment Weight Calc'!$L:$M,2,0))</f>
        <v/>
      </c>
      <c r="BJ21" s="663" t="str">
        <f>IF($C21="","",VLOOKUP($A21&amp;"."&amp;BJ$3,'Equipment Weight Calc'!$L:$M,2,0))</f>
        <v/>
      </c>
      <c r="BK21" s="663" t="str">
        <f>IF($C21="","",VLOOKUP($A21&amp;"."&amp;BK$3,'Equipment Weight Calc'!$L:$M,2,0))</f>
        <v/>
      </c>
      <c r="BL21" s="663" t="str">
        <f>IF($C21="","",VLOOKUP($A21&amp;"."&amp;BL$3,'Equipment Weight Calc'!$L:$M,2,0))</f>
        <v/>
      </c>
      <c r="BM21" s="663" t="str">
        <f>IF($C21="","",VLOOKUP($A21&amp;"."&amp;BM$3,'Equipment Weight Calc'!$L:$M,2,0))</f>
        <v/>
      </c>
      <c r="BN21" s="663" t="str">
        <f>IF($C21="","",VLOOKUP($A21&amp;"."&amp;BN$3,'Equipment Weight Calc'!$L:$M,2,0))</f>
        <v/>
      </c>
      <c r="BO21" s="663" t="str">
        <f>IF($C21="","",VLOOKUP($A21&amp;"."&amp;BO$3,'Equipment Weight Calc'!$L:$M,2,0))</f>
        <v/>
      </c>
      <c r="BP21" s="663" t="str">
        <f>IF($C21="","",VLOOKUP($A21&amp;"."&amp;BP$3,'Equipment Weight Calc'!$L:$M,2,0))</f>
        <v/>
      </c>
      <c r="BQ21" s="663" t="str">
        <f>IF($C21="","",VLOOKUP($A21&amp;"."&amp;BQ$3,'Equipment Weight Calc'!$L:$M,2,0))</f>
        <v/>
      </c>
      <c r="BR21" s="663" t="str">
        <f>IF($C21="","",VLOOKUP($A21&amp;"."&amp;BR$3,'Equipment Weight Calc'!$L:$M,2,0))</f>
        <v/>
      </c>
      <c r="BS21" s="663" t="str">
        <f>IF($C21="","",VLOOKUP($A21&amp;"."&amp;BS$3,'Equipment Weight Calc'!$L:$M,2,0))</f>
        <v/>
      </c>
      <c r="BT21" s="663" t="str">
        <f>IF($C21="","",VLOOKUP($A21&amp;"."&amp;BT$3,'Equipment Weight Calc'!$L:$M,2,0))</f>
        <v/>
      </c>
      <c r="BV21" s="1546">
        <f t="shared" ref="BV21:CC29" si="43">IF(BV$3=$BC21,1,0)</f>
        <v>0</v>
      </c>
      <c r="BW21" s="1546">
        <f t="shared" si="43"/>
        <v>0</v>
      </c>
      <c r="BX21" s="1546">
        <f t="shared" si="43"/>
        <v>0</v>
      </c>
      <c r="BY21" s="1546">
        <f t="shared" si="43"/>
        <v>0</v>
      </c>
      <c r="BZ21" s="1546">
        <f t="shared" si="43"/>
        <v>0</v>
      </c>
      <c r="CA21" s="1546">
        <f t="shared" si="43"/>
        <v>0</v>
      </c>
      <c r="CB21" s="1546">
        <f t="shared" si="43"/>
        <v>0</v>
      </c>
      <c r="CC21" s="1546">
        <f t="shared" si="43"/>
        <v>0</v>
      </c>
      <c r="CE21" s="1546">
        <f t="shared" ref="CE21:CL29" si="44">IF(CE$3=$BI21,1,0)</f>
        <v>0</v>
      </c>
      <c r="CF21" s="1546">
        <f t="shared" si="44"/>
        <v>0</v>
      </c>
      <c r="CG21" s="1546">
        <f t="shared" si="44"/>
        <v>0</v>
      </c>
      <c r="CH21" s="1546">
        <f t="shared" si="44"/>
        <v>0</v>
      </c>
      <c r="CI21" s="1546">
        <f t="shared" si="44"/>
        <v>0</v>
      </c>
      <c r="CJ21" s="1546">
        <f t="shared" si="44"/>
        <v>0</v>
      </c>
      <c r="CK21" s="1546">
        <f t="shared" si="44"/>
        <v>0</v>
      </c>
      <c r="CL21" s="1546">
        <f t="shared" si="44"/>
        <v>0</v>
      </c>
      <c r="CN21" s="1546">
        <f t="shared" ref="CN21:CU29" si="45">IF(CN$3=$BO21,1,0)</f>
        <v>0</v>
      </c>
      <c r="CO21" s="1546">
        <f t="shared" si="45"/>
        <v>0</v>
      </c>
      <c r="CP21" s="1546">
        <f t="shared" si="45"/>
        <v>0</v>
      </c>
      <c r="CQ21" s="1546">
        <f t="shared" si="45"/>
        <v>0</v>
      </c>
      <c r="CR21" s="1546">
        <f t="shared" si="45"/>
        <v>0</v>
      </c>
      <c r="CS21" s="1546">
        <f t="shared" si="45"/>
        <v>0</v>
      </c>
      <c r="CT21" s="1546">
        <f t="shared" si="45"/>
        <v>0</v>
      </c>
      <c r="CU21" s="1546">
        <f t="shared" si="45"/>
        <v>0</v>
      </c>
      <c r="CW21" s="1546">
        <f t="shared" ref="CW21:DD29" si="46">IF(CW$3=$BD21,1,0)</f>
        <v>0</v>
      </c>
      <c r="CX21" s="1546">
        <f t="shared" si="46"/>
        <v>0</v>
      </c>
      <c r="CY21" s="1546">
        <f t="shared" si="46"/>
        <v>0</v>
      </c>
      <c r="CZ21" s="1546">
        <f t="shared" si="46"/>
        <v>0</v>
      </c>
      <c r="DA21" s="1546">
        <f t="shared" si="46"/>
        <v>0</v>
      </c>
      <c r="DB21" s="1546">
        <f t="shared" si="46"/>
        <v>0</v>
      </c>
      <c r="DC21" s="1546">
        <f t="shared" si="46"/>
        <v>0</v>
      </c>
      <c r="DD21" s="1546">
        <f t="shared" si="46"/>
        <v>0</v>
      </c>
      <c r="DF21" s="1546">
        <f t="shared" ref="DF21:DM29" si="47">IF(DF$3=$BJ21,1,0)</f>
        <v>0</v>
      </c>
      <c r="DG21" s="1546">
        <f t="shared" si="47"/>
        <v>0</v>
      </c>
      <c r="DH21" s="1546">
        <f t="shared" si="47"/>
        <v>0</v>
      </c>
      <c r="DI21" s="1546">
        <f t="shared" si="47"/>
        <v>0</v>
      </c>
      <c r="DJ21" s="1546">
        <f t="shared" si="47"/>
        <v>0</v>
      </c>
      <c r="DK21" s="1546">
        <f t="shared" si="47"/>
        <v>0</v>
      </c>
      <c r="DL21" s="1546">
        <f t="shared" si="47"/>
        <v>0</v>
      </c>
      <c r="DM21" s="1546">
        <f t="shared" si="47"/>
        <v>0</v>
      </c>
      <c r="DO21" s="1546">
        <f t="shared" ref="DO21:DV29" si="48">IF(DO$3=$BP21,1,0)</f>
        <v>0</v>
      </c>
      <c r="DP21" s="1546">
        <f t="shared" si="48"/>
        <v>0</v>
      </c>
      <c r="DQ21" s="1546">
        <f t="shared" si="48"/>
        <v>0</v>
      </c>
      <c r="DR21" s="1546">
        <f t="shared" si="48"/>
        <v>0</v>
      </c>
      <c r="DS21" s="1546">
        <f t="shared" si="48"/>
        <v>0</v>
      </c>
      <c r="DT21" s="1546">
        <f t="shared" si="48"/>
        <v>0</v>
      </c>
      <c r="DU21" s="1546">
        <f t="shared" si="48"/>
        <v>0</v>
      </c>
      <c r="DV21" s="1546">
        <f t="shared" si="48"/>
        <v>0</v>
      </c>
      <c r="DX21" s="1546">
        <f t="shared" ref="DX21:EE29" si="49">IF(DX$3=$BE21,1,0)</f>
        <v>0</v>
      </c>
      <c r="DY21" s="1546">
        <f t="shared" si="49"/>
        <v>0</v>
      </c>
      <c r="DZ21" s="1546">
        <f t="shared" si="49"/>
        <v>0</v>
      </c>
      <c r="EA21" s="1546">
        <f t="shared" si="49"/>
        <v>0</v>
      </c>
      <c r="EB21" s="1546">
        <f t="shared" si="49"/>
        <v>0</v>
      </c>
      <c r="EC21" s="1546">
        <f t="shared" si="49"/>
        <v>0</v>
      </c>
      <c r="ED21" s="1546">
        <f t="shared" si="49"/>
        <v>0</v>
      </c>
      <c r="EE21" s="1546">
        <f t="shared" si="49"/>
        <v>0</v>
      </c>
      <c r="EG21" s="1546">
        <f t="shared" ref="EG21:EN29" si="50">IF(EG$3=$BK21,1,0)</f>
        <v>0</v>
      </c>
      <c r="EH21" s="1546">
        <f t="shared" si="50"/>
        <v>0</v>
      </c>
      <c r="EI21" s="1546">
        <f t="shared" si="50"/>
        <v>0</v>
      </c>
      <c r="EJ21" s="1546">
        <f t="shared" si="50"/>
        <v>0</v>
      </c>
      <c r="EK21" s="1546">
        <f t="shared" si="50"/>
        <v>0</v>
      </c>
      <c r="EL21" s="1546">
        <f t="shared" si="50"/>
        <v>0</v>
      </c>
      <c r="EM21" s="1546">
        <f t="shared" si="50"/>
        <v>0</v>
      </c>
      <c r="EN21" s="1546">
        <f t="shared" si="50"/>
        <v>0</v>
      </c>
      <c r="EP21" s="1546">
        <f t="shared" ref="EP21:EW29" si="51">IF(EP$3=$BQ21,1,0)</f>
        <v>0</v>
      </c>
      <c r="EQ21" s="1546">
        <f t="shared" si="51"/>
        <v>0</v>
      </c>
      <c r="ER21" s="1546">
        <f t="shared" si="51"/>
        <v>0</v>
      </c>
      <c r="ES21" s="1546">
        <f t="shared" si="51"/>
        <v>0</v>
      </c>
      <c r="ET21" s="1546">
        <f t="shared" si="51"/>
        <v>0</v>
      </c>
      <c r="EU21" s="1546">
        <f t="shared" si="51"/>
        <v>0</v>
      </c>
      <c r="EV21" s="1546">
        <f t="shared" si="51"/>
        <v>0</v>
      </c>
      <c r="EW21" s="1546">
        <f t="shared" si="51"/>
        <v>0</v>
      </c>
    </row>
    <row r="22" spans="1:153" ht="28.5" customHeight="1" x14ac:dyDescent="0.3">
      <c r="A22" s="334">
        <v>19</v>
      </c>
      <c r="B22" s="902"/>
      <c r="C22" s="902">
        <v>4</v>
      </c>
      <c r="D22" s="902"/>
      <c r="E22" s="334" t="str">
        <f>IF($C22="","",VLOOKUP($A22&amp;"."&amp;E$2,'Equipment Weight Calc'!$L:$M,2,0))</f>
        <v xml:space="preserve">ASME VIII </v>
      </c>
      <c r="F22" s="334">
        <f>IF($C22="","",VLOOKUP($A22&amp;"."&amp;F$2,'Equipment Weight Calc'!$L:$M,2,0))</f>
        <v>0</v>
      </c>
      <c r="G22" s="334">
        <f>IF($C22="","",VLOOKUP($A22&amp;"."&amp;G$2,'Equipment Weight Calc'!$L:$M,2,0))</f>
        <v>0</v>
      </c>
      <c r="H22" s="334">
        <f>IF($C22="","",VLOOKUP($A22&amp;"."&amp;H$2,'Equipment Weight Calc'!$L:$M,2,0))</f>
        <v>0</v>
      </c>
      <c r="I22" s="334">
        <f>IF($C22="","",VLOOKUP($A22&amp;"."&amp;I$2,'Equipment Weight Calc'!$L:$M,2,0))</f>
        <v>0</v>
      </c>
      <c r="J22" s="683"/>
      <c r="K22" s="663">
        <f>IF($C22="","",VLOOKUP($A22&amp;"."&amp;K$2,'Equipment Weight Calc'!$L:$M,2,0))</f>
        <v>0</v>
      </c>
      <c r="L22" s="334">
        <f>IF($C22="","",VLOOKUP($A22&amp;"."&amp;L$2,'Equipment Weight Calc'!$L:$M,2,0))</f>
        <v>0</v>
      </c>
      <c r="M22" s="663" t="e">
        <f>IF($C22="","",VLOOKUP($A22&amp;"."&amp;M$2,'Equipment Weight Calc'!$L:$M,2,0))</f>
        <v>#N/A</v>
      </c>
      <c r="N22" s="334">
        <f>IF($C22="","",VLOOKUP($A22&amp;"."&amp;N$2,'Equipment Weight Calc'!$L:$M,2,0))</f>
        <v>0</v>
      </c>
      <c r="O22" s="683"/>
      <c r="P22" s="680"/>
      <c r="Q22" s="513" t="e">
        <f>IF($C22="","",VLOOKUP($A22&amp;"."&amp;Q$2,'Equipment Weight Calc'!$L:$M,2,0))</f>
        <v>#N/A</v>
      </c>
      <c r="R22" s="513" t="str">
        <f t="shared" si="21"/>
        <v/>
      </c>
      <c r="S22" s="334">
        <f t="shared" si="31"/>
        <v>0</v>
      </c>
      <c r="T22" s="692"/>
      <c r="U22" s="488">
        <f t="shared" si="32"/>
        <v>0</v>
      </c>
      <c r="V22" s="488">
        <f t="shared" si="33"/>
        <v>0</v>
      </c>
      <c r="X22" s="683"/>
      <c r="Y22" s="334">
        <f t="shared" si="23"/>
        <v>0</v>
      </c>
      <c r="Z22" s="746"/>
      <c r="AA22" s="488">
        <f t="shared" si="24"/>
        <v>0</v>
      </c>
      <c r="AC22" s="821"/>
      <c r="AD22" s="822"/>
      <c r="AE22" s="822"/>
      <c r="AF22" s="814">
        <f t="shared" si="25"/>
        <v>0</v>
      </c>
      <c r="AG22" s="814">
        <f t="shared" si="26"/>
        <v>0</v>
      </c>
      <c r="AH22" s="816">
        <v>18</v>
      </c>
      <c r="AI22" s="818">
        <f t="shared" si="27"/>
        <v>0</v>
      </c>
      <c r="AK22" s="1546">
        <f t="shared" si="28"/>
        <v>0</v>
      </c>
      <c r="AL22" s="1546">
        <f t="shared" si="28"/>
        <v>0</v>
      </c>
      <c r="AM22" s="1546">
        <f t="shared" si="28"/>
        <v>0</v>
      </c>
      <c r="AN22" s="1546">
        <f t="shared" si="28"/>
        <v>0</v>
      </c>
      <c r="AO22" s="1546">
        <f t="shared" si="28"/>
        <v>0</v>
      </c>
      <c r="AP22" s="1546">
        <f t="shared" si="28"/>
        <v>0</v>
      </c>
      <c r="AQ22" s="1546">
        <f t="shared" si="28"/>
        <v>0</v>
      </c>
      <c r="AR22" s="1546">
        <f t="shared" si="28"/>
        <v>0</v>
      </c>
      <c r="AS22" s="1546">
        <f t="shared" si="28"/>
        <v>0</v>
      </c>
      <c r="AT22" s="1546">
        <f t="shared" si="28"/>
        <v>0</v>
      </c>
      <c r="AU22" s="1546">
        <f t="shared" si="28"/>
        <v>0</v>
      </c>
      <c r="AV22" s="1546">
        <f t="shared" si="28"/>
        <v>0</v>
      </c>
      <c r="AW22" s="1546">
        <f t="shared" si="28"/>
        <v>0</v>
      </c>
      <c r="AX22" s="1546">
        <f t="shared" si="28"/>
        <v>0</v>
      </c>
      <c r="AY22" s="1546">
        <f t="shared" si="28"/>
        <v>0</v>
      </c>
      <c r="AZ22" s="1546">
        <f t="shared" si="28"/>
        <v>0</v>
      </c>
      <c r="BA22" s="1546">
        <f t="shared" si="29"/>
        <v>1</v>
      </c>
      <c r="BC22" s="663">
        <f>IF($C22="","",VLOOKUP($A22&amp;"."&amp;BC$3,'Equipment Weight Calc'!$L:$M,2,0))</f>
        <v>0</v>
      </c>
      <c r="BD22" s="663">
        <f>IF($C22="","",VLOOKUP($A22&amp;"."&amp;BD$3,'Equipment Weight Calc'!$L:$M,2,0))</f>
        <v>0</v>
      </c>
      <c r="BE22" s="663">
        <f>IF($C22="","",VLOOKUP($A22&amp;"."&amp;BE$3,'Equipment Weight Calc'!$L:$M,2,0))</f>
        <v>0</v>
      </c>
      <c r="BF22" s="663" t="e">
        <f>IF($C22="","",VLOOKUP($A22&amp;"."&amp;BF$3,'Equipment Weight Calc'!$L:$M,2,0))</f>
        <v>#N/A</v>
      </c>
      <c r="BG22" s="663" t="e">
        <f>IF($C22="","",VLOOKUP($A22&amp;"."&amp;BG$3,'Equipment Weight Calc'!$L:$M,2,0))</f>
        <v>#N/A</v>
      </c>
      <c r="BH22" s="663" t="e">
        <f>IF($C22="","",VLOOKUP($A22&amp;"."&amp;BH$3,'Equipment Weight Calc'!$L:$M,2,0))</f>
        <v>#N/A</v>
      </c>
      <c r="BI22" s="663">
        <f>IF($C22="","",VLOOKUP($A22&amp;"."&amp;BI$3,'Equipment Weight Calc'!$L:$M,2,0))</f>
        <v>0</v>
      </c>
      <c r="BJ22" s="663">
        <f>IF($C22="","",VLOOKUP($A22&amp;"."&amp;BJ$3,'Equipment Weight Calc'!$L:$M,2,0))</f>
        <v>0</v>
      </c>
      <c r="BK22" s="663">
        <f>IF($C22="","",VLOOKUP($A22&amp;"."&amp;BK$3,'Equipment Weight Calc'!$L:$M,2,0))</f>
        <v>0</v>
      </c>
      <c r="BL22" s="663" t="e">
        <f>IF($C22="","",VLOOKUP($A22&amp;"."&amp;BL$3,'Equipment Weight Calc'!$L:$M,2,0))</f>
        <v>#N/A</v>
      </c>
      <c r="BM22" s="663" t="e">
        <f>IF($C22="","",VLOOKUP($A22&amp;"."&amp;BM$3,'Equipment Weight Calc'!$L:$M,2,0))</f>
        <v>#N/A</v>
      </c>
      <c r="BN22" s="663">
        <f>IF($C22="","",VLOOKUP($A22&amp;"."&amp;BN$3,'Equipment Weight Calc'!$L:$M,2,0))</f>
        <v>0</v>
      </c>
      <c r="BO22" s="663">
        <f>IF($C22="","",VLOOKUP($A22&amp;"."&amp;BO$3,'Equipment Weight Calc'!$L:$M,2,0))</f>
        <v>0</v>
      </c>
      <c r="BP22" s="663">
        <f>IF($C22="","",VLOOKUP($A22&amp;"."&amp;BP$3,'Equipment Weight Calc'!$L:$M,2,0))</f>
        <v>0</v>
      </c>
      <c r="BQ22" s="663">
        <f>IF($C22="","",VLOOKUP($A22&amp;"."&amp;BQ$3,'Equipment Weight Calc'!$L:$M,2,0))</f>
        <v>0</v>
      </c>
      <c r="BR22" s="663">
        <f>IF($C22="","",VLOOKUP($A22&amp;"."&amp;BR$3,'Equipment Weight Calc'!$L:$M,2,0))</f>
        <v>0</v>
      </c>
      <c r="BS22" s="663">
        <f>IF($C22="","",VLOOKUP($A22&amp;"."&amp;BS$3,'Equipment Weight Calc'!$L:$M,2,0))</f>
        <v>0</v>
      </c>
      <c r="BT22" s="663">
        <f>IF($C22="","",VLOOKUP($A22&amp;"."&amp;BT$3,'Equipment Weight Calc'!$L:$M,2,0))</f>
        <v>0</v>
      </c>
      <c r="BV22" s="1546">
        <f t="shared" si="43"/>
        <v>1</v>
      </c>
      <c r="BW22" s="1546">
        <f t="shared" si="43"/>
        <v>0</v>
      </c>
      <c r="BX22" s="1546">
        <f t="shared" si="43"/>
        <v>0</v>
      </c>
      <c r="BY22" s="1546">
        <f t="shared" si="43"/>
        <v>0</v>
      </c>
      <c r="BZ22" s="1546">
        <f t="shared" si="43"/>
        <v>0</v>
      </c>
      <c r="CA22" s="1546">
        <f t="shared" si="43"/>
        <v>0</v>
      </c>
      <c r="CB22" s="1546">
        <f t="shared" si="43"/>
        <v>0</v>
      </c>
      <c r="CC22" s="1546">
        <f t="shared" si="43"/>
        <v>0</v>
      </c>
      <c r="CE22" s="1546">
        <f t="shared" si="44"/>
        <v>1</v>
      </c>
      <c r="CF22" s="1546">
        <f t="shared" si="44"/>
        <v>0</v>
      </c>
      <c r="CG22" s="1546">
        <f t="shared" si="44"/>
        <v>0</v>
      </c>
      <c r="CH22" s="1546">
        <f t="shared" si="44"/>
        <v>0</v>
      </c>
      <c r="CI22" s="1546">
        <f t="shared" si="44"/>
        <v>0</v>
      </c>
      <c r="CJ22" s="1546">
        <f t="shared" si="44"/>
        <v>0</v>
      </c>
      <c r="CK22" s="1546">
        <f t="shared" si="44"/>
        <v>0</v>
      </c>
      <c r="CL22" s="1546">
        <f t="shared" si="44"/>
        <v>0</v>
      </c>
      <c r="CN22" s="1546">
        <f t="shared" si="45"/>
        <v>1</v>
      </c>
      <c r="CO22" s="1546">
        <f t="shared" si="45"/>
        <v>0</v>
      </c>
      <c r="CP22" s="1546">
        <f t="shared" si="45"/>
        <v>0</v>
      </c>
      <c r="CQ22" s="1546">
        <f t="shared" si="45"/>
        <v>0</v>
      </c>
      <c r="CR22" s="1546">
        <f t="shared" si="45"/>
        <v>0</v>
      </c>
      <c r="CS22" s="1546">
        <f t="shared" si="45"/>
        <v>0</v>
      </c>
      <c r="CT22" s="1546">
        <f t="shared" si="45"/>
        <v>0</v>
      </c>
      <c r="CU22" s="1546">
        <f t="shared" si="45"/>
        <v>0</v>
      </c>
      <c r="CW22" s="1546">
        <f t="shared" si="46"/>
        <v>1</v>
      </c>
      <c r="CX22" s="1546">
        <f t="shared" si="46"/>
        <v>0</v>
      </c>
      <c r="CY22" s="1546">
        <f t="shared" si="46"/>
        <v>0</v>
      </c>
      <c r="CZ22" s="1546">
        <f t="shared" si="46"/>
        <v>0</v>
      </c>
      <c r="DA22" s="1546">
        <f t="shared" si="46"/>
        <v>0</v>
      </c>
      <c r="DB22" s="1546">
        <f t="shared" si="46"/>
        <v>0</v>
      </c>
      <c r="DC22" s="1546">
        <f t="shared" si="46"/>
        <v>0</v>
      </c>
      <c r="DD22" s="1546">
        <f t="shared" si="46"/>
        <v>0</v>
      </c>
      <c r="DF22" s="1546">
        <f t="shared" si="47"/>
        <v>1</v>
      </c>
      <c r="DG22" s="1546">
        <f t="shared" si="47"/>
        <v>0</v>
      </c>
      <c r="DH22" s="1546">
        <f t="shared" si="47"/>
        <v>0</v>
      </c>
      <c r="DI22" s="1546">
        <f t="shared" si="47"/>
        <v>0</v>
      </c>
      <c r="DJ22" s="1546">
        <f t="shared" si="47"/>
        <v>0</v>
      </c>
      <c r="DK22" s="1546">
        <f t="shared" si="47"/>
        <v>0</v>
      </c>
      <c r="DL22" s="1546">
        <f t="shared" si="47"/>
        <v>0</v>
      </c>
      <c r="DM22" s="1546">
        <f t="shared" si="47"/>
        <v>0</v>
      </c>
      <c r="DO22" s="1546">
        <f t="shared" si="48"/>
        <v>1</v>
      </c>
      <c r="DP22" s="1546">
        <f t="shared" si="48"/>
        <v>0</v>
      </c>
      <c r="DQ22" s="1546">
        <f t="shared" si="48"/>
        <v>0</v>
      </c>
      <c r="DR22" s="1546">
        <f t="shared" si="48"/>
        <v>0</v>
      </c>
      <c r="DS22" s="1546">
        <f t="shared" si="48"/>
        <v>0</v>
      </c>
      <c r="DT22" s="1546">
        <f t="shared" si="48"/>
        <v>0</v>
      </c>
      <c r="DU22" s="1546">
        <f t="shared" si="48"/>
        <v>0</v>
      </c>
      <c r="DV22" s="1546">
        <f t="shared" si="48"/>
        <v>0</v>
      </c>
      <c r="DX22" s="1546">
        <f t="shared" si="49"/>
        <v>1</v>
      </c>
      <c r="DY22" s="1546">
        <f t="shared" si="49"/>
        <v>0</v>
      </c>
      <c r="DZ22" s="1546">
        <f t="shared" si="49"/>
        <v>0</v>
      </c>
      <c r="EA22" s="1546">
        <f t="shared" si="49"/>
        <v>0</v>
      </c>
      <c r="EB22" s="1546">
        <f t="shared" si="49"/>
        <v>0</v>
      </c>
      <c r="EC22" s="1546">
        <f t="shared" si="49"/>
        <v>0</v>
      </c>
      <c r="ED22" s="1546">
        <f t="shared" si="49"/>
        <v>0</v>
      </c>
      <c r="EE22" s="1546">
        <f t="shared" si="49"/>
        <v>0</v>
      </c>
      <c r="EG22" s="1546">
        <f t="shared" si="50"/>
        <v>1</v>
      </c>
      <c r="EH22" s="1546">
        <f t="shared" si="50"/>
        <v>0</v>
      </c>
      <c r="EI22" s="1546">
        <f t="shared" si="50"/>
        <v>0</v>
      </c>
      <c r="EJ22" s="1546">
        <f t="shared" si="50"/>
        <v>0</v>
      </c>
      <c r="EK22" s="1546">
        <f t="shared" si="50"/>
        <v>0</v>
      </c>
      <c r="EL22" s="1546">
        <f t="shared" si="50"/>
        <v>0</v>
      </c>
      <c r="EM22" s="1546">
        <f t="shared" si="50"/>
        <v>0</v>
      </c>
      <c r="EN22" s="1546">
        <f t="shared" si="50"/>
        <v>0</v>
      </c>
      <c r="EP22" s="1546">
        <f t="shared" si="51"/>
        <v>1</v>
      </c>
      <c r="EQ22" s="1546">
        <f t="shared" si="51"/>
        <v>0</v>
      </c>
      <c r="ER22" s="1546">
        <f t="shared" si="51"/>
        <v>0</v>
      </c>
      <c r="ES22" s="1546">
        <f t="shared" si="51"/>
        <v>0</v>
      </c>
      <c r="ET22" s="1546">
        <f t="shared" si="51"/>
        <v>0</v>
      </c>
      <c r="EU22" s="1546">
        <f t="shared" si="51"/>
        <v>0</v>
      </c>
      <c r="EV22" s="1546">
        <f t="shared" si="51"/>
        <v>0</v>
      </c>
      <c r="EW22" s="1546">
        <f t="shared" si="51"/>
        <v>0</v>
      </c>
    </row>
    <row r="23" spans="1:153" ht="28.5" customHeight="1" x14ac:dyDescent="0.3">
      <c r="A23" s="334">
        <v>20</v>
      </c>
      <c r="B23" s="902"/>
      <c r="C23" s="902"/>
      <c r="D23" s="902"/>
      <c r="E23" s="334" t="str">
        <f>IF($C23="","",VLOOKUP($A23&amp;"."&amp;E$2,'Equipment Weight Calc'!$L:$M,2,0))</f>
        <v/>
      </c>
      <c r="F23" s="334" t="str">
        <f>IF($C23="","",VLOOKUP($A23&amp;"."&amp;F$2,'Equipment Weight Calc'!$L:$M,2,0))</f>
        <v/>
      </c>
      <c r="G23" s="334" t="str">
        <f>IF($C23="","",VLOOKUP($A23&amp;"."&amp;G$2,'Equipment Weight Calc'!$L:$M,2,0))</f>
        <v/>
      </c>
      <c r="H23" s="334" t="str">
        <f>IF($C23="","",VLOOKUP($A23&amp;"."&amp;H$2,'Equipment Weight Calc'!$L:$M,2,0))</f>
        <v/>
      </c>
      <c r="I23" s="334" t="str">
        <f>IF($C23="","",VLOOKUP($A23&amp;"."&amp;I$2,'Equipment Weight Calc'!$L:$M,2,0))</f>
        <v/>
      </c>
      <c r="J23" s="683"/>
      <c r="K23" s="663" t="str">
        <f>IF($C23="","",VLOOKUP($A23&amp;"."&amp;K$2,'Equipment Weight Calc'!$L:$M,2,0))</f>
        <v/>
      </c>
      <c r="L23" s="334" t="str">
        <f>IF($C23="","",VLOOKUP($A23&amp;"."&amp;L$2,'Equipment Weight Calc'!$L:$M,2,0))</f>
        <v/>
      </c>
      <c r="M23" s="663" t="str">
        <f>IF($C23="","",VLOOKUP($A23&amp;"."&amp;M$2,'Equipment Weight Calc'!$L:$M,2,0))</f>
        <v/>
      </c>
      <c r="N23" s="334" t="str">
        <f>IF($C23="","",VLOOKUP($A23&amp;"."&amp;N$2,'Equipment Weight Calc'!$L:$M,2,0))</f>
        <v/>
      </c>
      <c r="O23" s="683"/>
      <c r="P23" s="680"/>
      <c r="Q23" s="513" t="str">
        <f>IF($C23="","",VLOOKUP($A23&amp;"."&amp;Q$2,'Equipment Weight Calc'!$L:$M,2,0))</f>
        <v/>
      </c>
      <c r="R23" s="513" t="str">
        <f t="shared" ref="R23:R29" si="52">IFERROR(Q23*O23,"")</f>
        <v/>
      </c>
      <c r="S23" s="334" t="str">
        <f t="shared" si="31"/>
        <v/>
      </c>
      <c r="T23" s="692"/>
      <c r="U23" s="488" t="str">
        <f t="shared" si="32"/>
        <v/>
      </c>
      <c r="V23" s="488" t="str">
        <f t="shared" si="33"/>
        <v/>
      </c>
      <c r="X23" s="683"/>
      <c r="Y23" s="334">
        <f t="shared" ref="Y23:Y29" si="53">X23*O23</f>
        <v>0</v>
      </c>
      <c r="Z23" s="746"/>
      <c r="AA23" s="488">
        <f t="shared" ref="AA23:AA29" si="54">Z23*Y23</f>
        <v>0</v>
      </c>
      <c r="AC23" s="821"/>
      <c r="AD23" s="822"/>
      <c r="AE23" s="822"/>
      <c r="AF23" s="814">
        <f t="shared" ref="AF23:AF29" si="55">AC23*AD23*AE23</f>
        <v>0</v>
      </c>
      <c r="AG23" s="814">
        <f t="shared" ref="AG23:AG29" si="56">2*(AC23*AD23+AD23*AE23+AC23*AE23)</f>
        <v>0</v>
      </c>
      <c r="AH23" s="816">
        <v>18</v>
      </c>
      <c r="AI23" s="818">
        <f t="shared" ref="AI23:AI29" si="57">AH23*AG23</f>
        <v>0</v>
      </c>
      <c r="AK23" s="1546">
        <f t="shared" si="28"/>
        <v>0</v>
      </c>
      <c r="AL23" s="1546">
        <f t="shared" si="28"/>
        <v>0</v>
      </c>
      <c r="AM23" s="1546">
        <f t="shared" si="28"/>
        <v>0</v>
      </c>
      <c r="AN23" s="1546">
        <f t="shared" si="28"/>
        <v>0</v>
      </c>
      <c r="AO23" s="1546">
        <f t="shared" si="28"/>
        <v>0</v>
      </c>
      <c r="AP23" s="1546">
        <f t="shared" si="28"/>
        <v>0</v>
      </c>
      <c r="AQ23" s="1546">
        <f t="shared" si="28"/>
        <v>0</v>
      </c>
      <c r="AR23" s="1546">
        <f t="shared" si="28"/>
        <v>0</v>
      </c>
      <c r="AS23" s="1546">
        <f t="shared" si="28"/>
        <v>0</v>
      </c>
      <c r="AT23" s="1546">
        <f t="shared" si="28"/>
        <v>0</v>
      </c>
      <c r="AU23" s="1546">
        <f t="shared" si="28"/>
        <v>0</v>
      </c>
      <c r="AV23" s="1546">
        <f t="shared" si="28"/>
        <v>0</v>
      </c>
      <c r="AW23" s="1546">
        <f t="shared" si="28"/>
        <v>0</v>
      </c>
      <c r="AX23" s="1546">
        <f t="shared" si="28"/>
        <v>0</v>
      </c>
      <c r="AY23" s="1546">
        <f t="shared" si="28"/>
        <v>0</v>
      </c>
      <c r="AZ23" s="1546">
        <f t="shared" si="28"/>
        <v>0</v>
      </c>
      <c r="BA23" s="1546">
        <f t="shared" si="29"/>
        <v>1</v>
      </c>
      <c r="BC23" s="663" t="str">
        <f>IF($C23="","",VLOOKUP($A23&amp;"."&amp;BC$3,'Equipment Weight Calc'!$L:$M,2,0))</f>
        <v/>
      </c>
      <c r="BD23" s="663" t="str">
        <f>IF($C23="","",VLOOKUP($A23&amp;"."&amp;BD$3,'Equipment Weight Calc'!$L:$M,2,0))</f>
        <v/>
      </c>
      <c r="BE23" s="663" t="str">
        <f>IF($C23="","",VLOOKUP($A23&amp;"."&amp;BE$3,'Equipment Weight Calc'!$L:$M,2,0))</f>
        <v/>
      </c>
      <c r="BF23" s="663" t="str">
        <f>IF($C23="","",VLOOKUP($A23&amp;"."&amp;BF$3,'Equipment Weight Calc'!$L:$M,2,0))</f>
        <v/>
      </c>
      <c r="BG23" s="663" t="str">
        <f>IF($C23="","",VLOOKUP($A23&amp;"."&amp;BG$3,'Equipment Weight Calc'!$L:$M,2,0))</f>
        <v/>
      </c>
      <c r="BH23" s="663" t="str">
        <f>IF($C23="","",VLOOKUP($A23&amp;"."&amp;BH$3,'Equipment Weight Calc'!$L:$M,2,0))</f>
        <v/>
      </c>
      <c r="BI23" s="663" t="str">
        <f>IF($C23="","",VLOOKUP($A23&amp;"."&amp;BI$3,'Equipment Weight Calc'!$L:$M,2,0))</f>
        <v/>
      </c>
      <c r="BJ23" s="663" t="str">
        <f>IF($C23="","",VLOOKUP($A23&amp;"."&amp;BJ$3,'Equipment Weight Calc'!$L:$M,2,0))</f>
        <v/>
      </c>
      <c r="BK23" s="663" t="str">
        <f>IF($C23="","",VLOOKUP($A23&amp;"."&amp;BK$3,'Equipment Weight Calc'!$L:$M,2,0))</f>
        <v/>
      </c>
      <c r="BL23" s="663" t="str">
        <f>IF($C23="","",VLOOKUP($A23&amp;"."&amp;BL$3,'Equipment Weight Calc'!$L:$M,2,0))</f>
        <v/>
      </c>
      <c r="BM23" s="663" t="str">
        <f>IF($C23="","",VLOOKUP($A23&amp;"."&amp;BM$3,'Equipment Weight Calc'!$L:$M,2,0))</f>
        <v/>
      </c>
      <c r="BN23" s="663" t="str">
        <f>IF($C23="","",VLOOKUP($A23&amp;"."&amp;BN$3,'Equipment Weight Calc'!$L:$M,2,0))</f>
        <v/>
      </c>
      <c r="BO23" s="663" t="str">
        <f>IF($C23="","",VLOOKUP($A23&amp;"."&amp;BO$3,'Equipment Weight Calc'!$L:$M,2,0))</f>
        <v/>
      </c>
      <c r="BP23" s="663" t="str">
        <f>IF($C23="","",VLOOKUP($A23&amp;"."&amp;BP$3,'Equipment Weight Calc'!$L:$M,2,0))</f>
        <v/>
      </c>
      <c r="BQ23" s="663" t="str">
        <f>IF($C23="","",VLOOKUP($A23&amp;"."&amp;BQ$3,'Equipment Weight Calc'!$L:$M,2,0))</f>
        <v/>
      </c>
      <c r="BR23" s="663" t="str">
        <f>IF($C23="","",VLOOKUP($A23&amp;"."&amp;BR$3,'Equipment Weight Calc'!$L:$M,2,0))</f>
        <v/>
      </c>
      <c r="BS23" s="663" t="str">
        <f>IF($C23="","",VLOOKUP($A23&amp;"."&amp;BS$3,'Equipment Weight Calc'!$L:$M,2,0))</f>
        <v/>
      </c>
      <c r="BT23" s="663" t="str">
        <f>IF($C23="","",VLOOKUP($A23&amp;"."&amp;BT$3,'Equipment Weight Calc'!$L:$M,2,0))</f>
        <v/>
      </c>
      <c r="BV23" s="1546">
        <f t="shared" si="43"/>
        <v>0</v>
      </c>
      <c r="BW23" s="1546">
        <f t="shared" si="43"/>
        <v>0</v>
      </c>
      <c r="BX23" s="1546">
        <f t="shared" si="43"/>
        <v>0</v>
      </c>
      <c r="BY23" s="1546">
        <f t="shared" si="43"/>
        <v>0</v>
      </c>
      <c r="BZ23" s="1546">
        <f t="shared" si="43"/>
        <v>0</v>
      </c>
      <c r="CA23" s="1546">
        <f t="shared" si="43"/>
        <v>0</v>
      </c>
      <c r="CB23" s="1546">
        <f t="shared" si="43"/>
        <v>0</v>
      </c>
      <c r="CC23" s="1546">
        <f t="shared" si="43"/>
        <v>0</v>
      </c>
      <c r="CE23" s="1546">
        <f t="shared" si="44"/>
        <v>0</v>
      </c>
      <c r="CF23" s="1546">
        <f t="shared" si="44"/>
        <v>0</v>
      </c>
      <c r="CG23" s="1546">
        <f t="shared" si="44"/>
        <v>0</v>
      </c>
      <c r="CH23" s="1546">
        <f t="shared" si="44"/>
        <v>0</v>
      </c>
      <c r="CI23" s="1546">
        <f t="shared" si="44"/>
        <v>0</v>
      </c>
      <c r="CJ23" s="1546">
        <f t="shared" si="44"/>
        <v>0</v>
      </c>
      <c r="CK23" s="1546">
        <f t="shared" si="44"/>
        <v>0</v>
      </c>
      <c r="CL23" s="1546">
        <f t="shared" si="44"/>
        <v>0</v>
      </c>
      <c r="CN23" s="1546">
        <f t="shared" si="45"/>
        <v>0</v>
      </c>
      <c r="CO23" s="1546">
        <f t="shared" si="45"/>
        <v>0</v>
      </c>
      <c r="CP23" s="1546">
        <f t="shared" si="45"/>
        <v>0</v>
      </c>
      <c r="CQ23" s="1546">
        <f t="shared" si="45"/>
        <v>0</v>
      </c>
      <c r="CR23" s="1546">
        <f t="shared" si="45"/>
        <v>0</v>
      </c>
      <c r="CS23" s="1546">
        <f t="shared" si="45"/>
        <v>0</v>
      </c>
      <c r="CT23" s="1546">
        <f t="shared" si="45"/>
        <v>0</v>
      </c>
      <c r="CU23" s="1546">
        <f t="shared" si="45"/>
        <v>0</v>
      </c>
      <c r="CW23" s="1546">
        <f t="shared" si="46"/>
        <v>0</v>
      </c>
      <c r="CX23" s="1546">
        <f t="shared" si="46"/>
        <v>0</v>
      </c>
      <c r="CY23" s="1546">
        <f t="shared" si="46"/>
        <v>0</v>
      </c>
      <c r="CZ23" s="1546">
        <f t="shared" si="46"/>
        <v>0</v>
      </c>
      <c r="DA23" s="1546">
        <f t="shared" si="46"/>
        <v>0</v>
      </c>
      <c r="DB23" s="1546">
        <f t="shared" si="46"/>
        <v>0</v>
      </c>
      <c r="DC23" s="1546">
        <f t="shared" si="46"/>
        <v>0</v>
      </c>
      <c r="DD23" s="1546">
        <f t="shared" si="46"/>
        <v>0</v>
      </c>
      <c r="DF23" s="1546">
        <f t="shared" si="47"/>
        <v>0</v>
      </c>
      <c r="DG23" s="1546">
        <f t="shared" si="47"/>
        <v>0</v>
      </c>
      <c r="DH23" s="1546">
        <f t="shared" si="47"/>
        <v>0</v>
      </c>
      <c r="DI23" s="1546">
        <f t="shared" si="47"/>
        <v>0</v>
      </c>
      <c r="DJ23" s="1546">
        <f t="shared" si="47"/>
        <v>0</v>
      </c>
      <c r="DK23" s="1546">
        <f t="shared" si="47"/>
        <v>0</v>
      </c>
      <c r="DL23" s="1546">
        <f t="shared" si="47"/>
        <v>0</v>
      </c>
      <c r="DM23" s="1546">
        <f t="shared" si="47"/>
        <v>0</v>
      </c>
      <c r="DO23" s="1546">
        <f t="shared" si="48"/>
        <v>0</v>
      </c>
      <c r="DP23" s="1546">
        <f t="shared" si="48"/>
        <v>0</v>
      </c>
      <c r="DQ23" s="1546">
        <f t="shared" si="48"/>
        <v>0</v>
      </c>
      <c r="DR23" s="1546">
        <f t="shared" si="48"/>
        <v>0</v>
      </c>
      <c r="DS23" s="1546">
        <f t="shared" si="48"/>
        <v>0</v>
      </c>
      <c r="DT23" s="1546">
        <f t="shared" si="48"/>
        <v>0</v>
      </c>
      <c r="DU23" s="1546">
        <f t="shared" si="48"/>
        <v>0</v>
      </c>
      <c r="DV23" s="1546">
        <f t="shared" si="48"/>
        <v>0</v>
      </c>
      <c r="DX23" s="1546">
        <f t="shared" si="49"/>
        <v>0</v>
      </c>
      <c r="DY23" s="1546">
        <f t="shared" si="49"/>
        <v>0</v>
      </c>
      <c r="DZ23" s="1546">
        <f t="shared" si="49"/>
        <v>0</v>
      </c>
      <c r="EA23" s="1546">
        <f t="shared" si="49"/>
        <v>0</v>
      </c>
      <c r="EB23" s="1546">
        <f t="shared" si="49"/>
        <v>0</v>
      </c>
      <c r="EC23" s="1546">
        <f t="shared" si="49"/>
        <v>0</v>
      </c>
      <c r="ED23" s="1546">
        <f t="shared" si="49"/>
        <v>0</v>
      </c>
      <c r="EE23" s="1546">
        <f t="shared" si="49"/>
        <v>0</v>
      </c>
      <c r="EG23" s="1546">
        <f t="shared" si="50"/>
        <v>0</v>
      </c>
      <c r="EH23" s="1546">
        <f t="shared" si="50"/>
        <v>0</v>
      </c>
      <c r="EI23" s="1546">
        <f t="shared" si="50"/>
        <v>0</v>
      </c>
      <c r="EJ23" s="1546">
        <f t="shared" si="50"/>
        <v>0</v>
      </c>
      <c r="EK23" s="1546">
        <f t="shared" si="50"/>
        <v>0</v>
      </c>
      <c r="EL23" s="1546">
        <f t="shared" si="50"/>
        <v>0</v>
      </c>
      <c r="EM23" s="1546">
        <f t="shared" si="50"/>
        <v>0</v>
      </c>
      <c r="EN23" s="1546">
        <f t="shared" si="50"/>
        <v>0</v>
      </c>
      <c r="EP23" s="1546">
        <f t="shared" si="51"/>
        <v>0</v>
      </c>
      <c r="EQ23" s="1546">
        <f t="shared" si="51"/>
        <v>0</v>
      </c>
      <c r="ER23" s="1546">
        <f t="shared" si="51"/>
        <v>0</v>
      </c>
      <c r="ES23" s="1546">
        <f t="shared" si="51"/>
        <v>0</v>
      </c>
      <c r="ET23" s="1546">
        <f t="shared" si="51"/>
        <v>0</v>
      </c>
      <c r="EU23" s="1546">
        <f t="shared" si="51"/>
        <v>0</v>
      </c>
      <c r="EV23" s="1546">
        <f t="shared" si="51"/>
        <v>0</v>
      </c>
      <c r="EW23" s="1546">
        <f t="shared" si="51"/>
        <v>0</v>
      </c>
    </row>
    <row r="24" spans="1:153" ht="28.5" customHeight="1" x14ac:dyDescent="0.3">
      <c r="A24" s="334">
        <v>21</v>
      </c>
      <c r="B24" s="902"/>
      <c r="C24" s="902"/>
      <c r="D24" s="902"/>
      <c r="E24" s="334" t="str">
        <f>IF($C24="","",VLOOKUP($A24&amp;"."&amp;E$2,'Equipment Weight Calc'!$L:$M,2,0))</f>
        <v/>
      </c>
      <c r="F24" s="334" t="str">
        <f>IF($C24="","",VLOOKUP($A24&amp;"."&amp;F$2,'Equipment Weight Calc'!$L:$M,2,0))</f>
        <v/>
      </c>
      <c r="G24" s="334" t="str">
        <f>IF($C24="","",VLOOKUP($A24&amp;"."&amp;G$2,'Equipment Weight Calc'!$L:$M,2,0))</f>
        <v/>
      </c>
      <c r="H24" s="334" t="str">
        <f>IF($C24="","",VLOOKUP($A24&amp;"."&amp;H$2,'Equipment Weight Calc'!$L:$M,2,0))</f>
        <v/>
      </c>
      <c r="I24" s="334" t="str">
        <f>IF($C24="","",VLOOKUP($A24&amp;"."&amp;I$2,'Equipment Weight Calc'!$L:$M,2,0))</f>
        <v/>
      </c>
      <c r="J24" s="683"/>
      <c r="K24" s="663" t="str">
        <f>IF($C24="","",VLOOKUP($A24&amp;"."&amp;K$2,'Equipment Weight Calc'!$L:$M,2,0))</f>
        <v/>
      </c>
      <c r="L24" s="334" t="str">
        <f>IF($C24="","",VLOOKUP($A24&amp;"."&amp;L$2,'Equipment Weight Calc'!$L:$M,2,0))</f>
        <v/>
      </c>
      <c r="M24" s="663" t="str">
        <f>IF($C24="","",VLOOKUP($A24&amp;"."&amp;M$2,'Equipment Weight Calc'!$L:$M,2,0))</f>
        <v/>
      </c>
      <c r="N24" s="334" t="str">
        <f>IF($C24="","",VLOOKUP($A24&amp;"."&amp;N$2,'Equipment Weight Calc'!$L:$M,2,0))</f>
        <v/>
      </c>
      <c r="O24" s="683"/>
      <c r="P24" s="680"/>
      <c r="Q24" s="513" t="str">
        <f>IF($C24="","",VLOOKUP($A24&amp;"."&amp;Q$2,'Equipment Weight Calc'!$L:$M,2,0))</f>
        <v/>
      </c>
      <c r="R24" s="513" t="str">
        <f t="shared" si="52"/>
        <v/>
      </c>
      <c r="S24" s="334" t="str">
        <f t="shared" si="31"/>
        <v/>
      </c>
      <c r="T24" s="692"/>
      <c r="U24" s="488" t="str">
        <f t="shared" si="32"/>
        <v/>
      </c>
      <c r="V24" s="488" t="str">
        <f t="shared" si="33"/>
        <v/>
      </c>
      <c r="X24" s="683"/>
      <c r="Y24" s="334">
        <f t="shared" si="53"/>
        <v>0</v>
      </c>
      <c r="Z24" s="746"/>
      <c r="AA24" s="488">
        <f t="shared" si="54"/>
        <v>0</v>
      </c>
      <c r="AC24" s="821"/>
      <c r="AD24" s="822"/>
      <c r="AE24" s="822"/>
      <c r="AF24" s="814">
        <f t="shared" si="55"/>
        <v>0</v>
      </c>
      <c r="AG24" s="814">
        <f t="shared" si="56"/>
        <v>0</v>
      </c>
      <c r="AH24" s="816">
        <v>18</v>
      </c>
      <c r="AI24" s="818">
        <f t="shared" si="57"/>
        <v>0</v>
      </c>
      <c r="AK24" s="1546">
        <f t="shared" si="28"/>
        <v>0</v>
      </c>
      <c r="AL24" s="1546">
        <f t="shared" si="28"/>
        <v>0</v>
      </c>
      <c r="AM24" s="1546">
        <f t="shared" si="28"/>
        <v>0</v>
      </c>
      <c r="AN24" s="1546">
        <f t="shared" si="28"/>
        <v>0</v>
      </c>
      <c r="AO24" s="1546">
        <f t="shared" si="28"/>
        <v>0</v>
      </c>
      <c r="AP24" s="1546">
        <f t="shared" si="28"/>
        <v>0</v>
      </c>
      <c r="AQ24" s="1546">
        <f t="shared" si="28"/>
        <v>0</v>
      </c>
      <c r="AR24" s="1546">
        <f t="shared" si="28"/>
        <v>0</v>
      </c>
      <c r="AS24" s="1546">
        <f t="shared" si="28"/>
        <v>0</v>
      </c>
      <c r="AT24" s="1546">
        <f t="shared" si="28"/>
        <v>0</v>
      </c>
      <c r="AU24" s="1546">
        <f t="shared" si="28"/>
        <v>0</v>
      </c>
      <c r="AV24" s="1546">
        <f t="shared" si="28"/>
        <v>0</v>
      </c>
      <c r="AW24" s="1546">
        <f t="shared" si="28"/>
        <v>0</v>
      </c>
      <c r="AX24" s="1546">
        <f t="shared" si="28"/>
        <v>0</v>
      </c>
      <c r="AY24" s="1546">
        <f t="shared" si="28"/>
        <v>0</v>
      </c>
      <c r="AZ24" s="1546">
        <f t="shared" si="28"/>
        <v>0</v>
      </c>
      <c r="BA24" s="1546">
        <f t="shared" si="29"/>
        <v>1</v>
      </c>
      <c r="BC24" s="663" t="str">
        <f>IF($C24="","",VLOOKUP($A24&amp;"."&amp;BC$3,'Equipment Weight Calc'!$L:$M,2,0))</f>
        <v/>
      </c>
      <c r="BD24" s="663" t="str">
        <f>IF($C24="","",VLOOKUP($A24&amp;"."&amp;BD$3,'Equipment Weight Calc'!$L:$M,2,0))</f>
        <v/>
      </c>
      <c r="BE24" s="663" t="str">
        <f>IF($C24="","",VLOOKUP($A24&amp;"."&amp;BE$3,'Equipment Weight Calc'!$L:$M,2,0))</f>
        <v/>
      </c>
      <c r="BF24" s="663" t="str">
        <f>IF($C24="","",VLOOKUP($A24&amp;"."&amp;BF$3,'Equipment Weight Calc'!$L:$M,2,0))</f>
        <v/>
      </c>
      <c r="BG24" s="663" t="str">
        <f>IF($C24="","",VLOOKUP($A24&amp;"."&amp;BG$3,'Equipment Weight Calc'!$L:$M,2,0))</f>
        <v/>
      </c>
      <c r="BH24" s="663" t="str">
        <f>IF($C24="","",VLOOKUP($A24&amp;"."&amp;BH$3,'Equipment Weight Calc'!$L:$M,2,0))</f>
        <v/>
      </c>
      <c r="BI24" s="663" t="str">
        <f>IF($C24="","",VLOOKUP($A24&amp;"."&amp;BI$3,'Equipment Weight Calc'!$L:$M,2,0))</f>
        <v/>
      </c>
      <c r="BJ24" s="663" t="str">
        <f>IF($C24="","",VLOOKUP($A24&amp;"."&amp;BJ$3,'Equipment Weight Calc'!$L:$M,2,0))</f>
        <v/>
      </c>
      <c r="BK24" s="663" t="str">
        <f>IF($C24="","",VLOOKUP($A24&amp;"."&amp;BK$3,'Equipment Weight Calc'!$L:$M,2,0))</f>
        <v/>
      </c>
      <c r="BL24" s="663" t="str">
        <f>IF($C24="","",VLOOKUP($A24&amp;"."&amp;BL$3,'Equipment Weight Calc'!$L:$M,2,0))</f>
        <v/>
      </c>
      <c r="BM24" s="663" t="str">
        <f>IF($C24="","",VLOOKUP($A24&amp;"."&amp;BM$3,'Equipment Weight Calc'!$L:$M,2,0))</f>
        <v/>
      </c>
      <c r="BN24" s="663" t="str">
        <f>IF($C24="","",VLOOKUP($A24&amp;"."&amp;BN$3,'Equipment Weight Calc'!$L:$M,2,0))</f>
        <v/>
      </c>
      <c r="BO24" s="663" t="str">
        <f>IF($C24="","",VLOOKUP($A24&amp;"."&amp;BO$3,'Equipment Weight Calc'!$L:$M,2,0))</f>
        <v/>
      </c>
      <c r="BP24" s="663" t="str">
        <f>IF($C24="","",VLOOKUP($A24&amp;"."&amp;BP$3,'Equipment Weight Calc'!$L:$M,2,0))</f>
        <v/>
      </c>
      <c r="BQ24" s="663" t="str">
        <f>IF($C24="","",VLOOKUP($A24&amp;"."&amp;BQ$3,'Equipment Weight Calc'!$L:$M,2,0))</f>
        <v/>
      </c>
      <c r="BR24" s="663" t="str">
        <f>IF($C24="","",VLOOKUP($A24&amp;"."&amp;BR$3,'Equipment Weight Calc'!$L:$M,2,0))</f>
        <v/>
      </c>
      <c r="BS24" s="663" t="str">
        <f>IF($C24="","",VLOOKUP($A24&amp;"."&amp;BS$3,'Equipment Weight Calc'!$L:$M,2,0))</f>
        <v/>
      </c>
      <c r="BT24" s="663" t="str">
        <f>IF($C24="","",VLOOKUP($A24&amp;"."&amp;BT$3,'Equipment Weight Calc'!$L:$M,2,0))</f>
        <v/>
      </c>
      <c r="BV24" s="1546">
        <f t="shared" si="43"/>
        <v>0</v>
      </c>
      <c r="BW24" s="1546">
        <f t="shared" si="43"/>
        <v>0</v>
      </c>
      <c r="BX24" s="1546">
        <f t="shared" si="43"/>
        <v>0</v>
      </c>
      <c r="BY24" s="1546">
        <f t="shared" si="43"/>
        <v>0</v>
      </c>
      <c r="BZ24" s="1546">
        <f t="shared" si="43"/>
        <v>0</v>
      </c>
      <c r="CA24" s="1546">
        <f t="shared" si="43"/>
        <v>0</v>
      </c>
      <c r="CB24" s="1546">
        <f t="shared" si="43"/>
        <v>0</v>
      </c>
      <c r="CC24" s="1546">
        <f t="shared" si="43"/>
        <v>0</v>
      </c>
      <c r="CE24" s="1546">
        <f t="shared" si="44"/>
        <v>0</v>
      </c>
      <c r="CF24" s="1546">
        <f t="shared" si="44"/>
        <v>0</v>
      </c>
      <c r="CG24" s="1546">
        <f t="shared" si="44"/>
        <v>0</v>
      </c>
      <c r="CH24" s="1546">
        <f t="shared" si="44"/>
        <v>0</v>
      </c>
      <c r="CI24" s="1546">
        <f t="shared" si="44"/>
        <v>0</v>
      </c>
      <c r="CJ24" s="1546">
        <f t="shared" si="44"/>
        <v>0</v>
      </c>
      <c r="CK24" s="1546">
        <f t="shared" si="44"/>
        <v>0</v>
      </c>
      <c r="CL24" s="1546">
        <f t="shared" si="44"/>
        <v>0</v>
      </c>
      <c r="CN24" s="1546">
        <f t="shared" si="45"/>
        <v>0</v>
      </c>
      <c r="CO24" s="1546">
        <f t="shared" si="45"/>
        <v>0</v>
      </c>
      <c r="CP24" s="1546">
        <f t="shared" si="45"/>
        <v>0</v>
      </c>
      <c r="CQ24" s="1546">
        <f t="shared" si="45"/>
        <v>0</v>
      </c>
      <c r="CR24" s="1546">
        <f t="shared" si="45"/>
        <v>0</v>
      </c>
      <c r="CS24" s="1546">
        <f t="shared" si="45"/>
        <v>0</v>
      </c>
      <c r="CT24" s="1546">
        <f t="shared" si="45"/>
        <v>0</v>
      </c>
      <c r="CU24" s="1546">
        <f t="shared" si="45"/>
        <v>0</v>
      </c>
      <c r="CW24" s="1546">
        <f t="shared" si="46"/>
        <v>0</v>
      </c>
      <c r="CX24" s="1546">
        <f t="shared" si="46"/>
        <v>0</v>
      </c>
      <c r="CY24" s="1546">
        <f t="shared" si="46"/>
        <v>0</v>
      </c>
      <c r="CZ24" s="1546">
        <f t="shared" si="46"/>
        <v>0</v>
      </c>
      <c r="DA24" s="1546">
        <f t="shared" si="46"/>
        <v>0</v>
      </c>
      <c r="DB24" s="1546">
        <f t="shared" si="46"/>
        <v>0</v>
      </c>
      <c r="DC24" s="1546">
        <f t="shared" si="46"/>
        <v>0</v>
      </c>
      <c r="DD24" s="1546">
        <f t="shared" si="46"/>
        <v>0</v>
      </c>
      <c r="DF24" s="1546">
        <f t="shared" si="47"/>
        <v>0</v>
      </c>
      <c r="DG24" s="1546">
        <f t="shared" si="47"/>
        <v>0</v>
      </c>
      <c r="DH24" s="1546">
        <f t="shared" si="47"/>
        <v>0</v>
      </c>
      <c r="DI24" s="1546">
        <f t="shared" si="47"/>
        <v>0</v>
      </c>
      <c r="DJ24" s="1546">
        <f t="shared" si="47"/>
        <v>0</v>
      </c>
      <c r="DK24" s="1546">
        <f t="shared" si="47"/>
        <v>0</v>
      </c>
      <c r="DL24" s="1546">
        <f t="shared" si="47"/>
        <v>0</v>
      </c>
      <c r="DM24" s="1546">
        <f t="shared" si="47"/>
        <v>0</v>
      </c>
      <c r="DO24" s="1546">
        <f t="shared" si="48"/>
        <v>0</v>
      </c>
      <c r="DP24" s="1546">
        <f t="shared" si="48"/>
        <v>0</v>
      </c>
      <c r="DQ24" s="1546">
        <f t="shared" si="48"/>
        <v>0</v>
      </c>
      <c r="DR24" s="1546">
        <f t="shared" si="48"/>
        <v>0</v>
      </c>
      <c r="DS24" s="1546">
        <f t="shared" si="48"/>
        <v>0</v>
      </c>
      <c r="DT24" s="1546">
        <f t="shared" si="48"/>
        <v>0</v>
      </c>
      <c r="DU24" s="1546">
        <f t="shared" si="48"/>
        <v>0</v>
      </c>
      <c r="DV24" s="1546">
        <f t="shared" si="48"/>
        <v>0</v>
      </c>
      <c r="DX24" s="1546">
        <f t="shared" si="49"/>
        <v>0</v>
      </c>
      <c r="DY24" s="1546">
        <f t="shared" si="49"/>
        <v>0</v>
      </c>
      <c r="DZ24" s="1546">
        <f t="shared" si="49"/>
        <v>0</v>
      </c>
      <c r="EA24" s="1546">
        <f t="shared" si="49"/>
        <v>0</v>
      </c>
      <c r="EB24" s="1546">
        <f t="shared" si="49"/>
        <v>0</v>
      </c>
      <c r="EC24" s="1546">
        <f t="shared" si="49"/>
        <v>0</v>
      </c>
      <c r="ED24" s="1546">
        <f t="shared" si="49"/>
        <v>0</v>
      </c>
      <c r="EE24" s="1546">
        <f t="shared" si="49"/>
        <v>0</v>
      </c>
      <c r="EG24" s="1546">
        <f t="shared" si="50"/>
        <v>0</v>
      </c>
      <c r="EH24" s="1546">
        <f t="shared" si="50"/>
        <v>0</v>
      </c>
      <c r="EI24" s="1546">
        <f t="shared" si="50"/>
        <v>0</v>
      </c>
      <c r="EJ24" s="1546">
        <f t="shared" si="50"/>
        <v>0</v>
      </c>
      <c r="EK24" s="1546">
        <f t="shared" si="50"/>
        <v>0</v>
      </c>
      <c r="EL24" s="1546">
        <f t="shared" si="50"/>
        <v>0</v>
      </c>
      <c r="EM24" s="1546">
        <f t="shared" si="50"/>
        <v>0</v>
      </c>
      <c r="EN24" s="1546">
        <f t="shared" si="50"/>
        <v>0</v>
      </c>
      <c r="EP24" s="1546">
        <f t="shared" si="51"/>
        <v>0</v>
      </c>
      <c r="EQ24" s="1546">
        <f t="shared" si="51"/>
        <v>0</v>
      </c>
      <c r="ER24" s="1546">
        <f t="shared" si="51"/>
        <v>0</v>
      </c>
      <c r="ES24" s="1546">
        <f t="shared" si="51"/>
        <v>0</v>
      </c>
      <c r="ET24" s="1546">
        <f t="shared" si="51"/>
        <v>0</v>
      </c>
      <c r="EU24" s="1546">
        <f t="shared" si="51"/>
        <v>0</v>
      </c>
      <c r="EV24" s="1546">
        <f t="shared" si="51"/>
        <v>0</v>
      </c>
      <c r="EW24" s="1546">
        <f t="shared" si="51"/>
        <v>0</v>
      </c>
    </row>
    <row r="25" spans="1:153" ht="28.5" customHeight="1" x14ac:dyDescent="0.3">
      <c r="A25" s="334">
        <v>22</v>
      </c>
      <c r="B25" s="902"/>
      <c r="C25" s="902"/>
      <c r="D25" s="902"/>
      <c r="E25" s="334" t="str">
        <f>IF($C25="","",VLOOKUP($A25&amp;"."&amp;E$2,'Equipment Weight Calc'!$L:$M,2,0))</f>
        <v/>
      </c>
      <c r="F25" s="334" t="str">
        <f>IF($C25="","",VLOOKUP($A25&amp;"."&amp;F$2,'Equipment Weight Calc'!$L:$M,2,0))</f>
        <v/>
      </c>
      <c r="G25" s="334" t="str">
        <f>IF($C25="","",VLOOKUP($A25&amp;"."&amp;G$2,'Equipment Weight Calc'!$L:$M,2,0))</f>
        <v/>
      </c>
      <c r="H25" s="334" t="str">
        <f>IF($C25="","",VLOOKUP($A25&amp;"."&amp;H$2,'Equipment Weight Calc'!$L:$M,2,0))</f>
        <v/>
      </c>
      <c r="I25" s="334" t="str">
        <f>IF($C25="","",VLOOKUP($A25&amp;"."&amp;I$2,'Equipment Weight Calc'!$L:$M,2,0))</f>
        <v/>
      </c>
      <c r="J25" s="683"/>
      <c r="K25" s="663" t="str">
        <f>IF($C25="","",VLOOKUP($A25&amp;"."&amp;K$2,'Equipment Weight Calc'!$L:$M,2,0))</f>
        <v/>
      </c>
      <c r="L25" s="334" t="str">
        <f>IF($C25="","",VLOOKUP($A25&amp;"."&amp;L$2,'Equipment Weight Calc'!$L:$M,2,0))</f>
        <v/>
      </c>
      <c r="M25" s="663" t="str">
        <f>IF($C25="","",VLOOKUP($A25&amp;"."&amp;M$2,'Equipment Weight Calc'!$L:$M,2,0))</f>
        <v/>
      </c>
      <c r="N25" s="334" t="str">
        <f>IF($C25="","",VLOOKUP($A25&amp;"."&amp;N$2,'Equipment Weight Calc'!$L:$M,2,0))</f>
        <v/>
      </c>
      <c r="O25" s="683"/>
      <c r="P25" s="680"/>
      <c r="Q25" s="513" t="str">
        <f>IF($C25="","",VLOOKUP($A25&amp;"."&amp;Q$2,'Equipment Weight Calc'!$L:$M,2,0))</f>
        <v/>
      </c>
      <c r="R25" s="513" t="str">
        <f t="shared" si="52"/>
        <v/>
      </c>
      <c r="S25" s="334" t="str">
        <f t="shared" si="31"/>
        <v/>
      </c>
      <c r="T25" s="692"/>
      <c r="U25" s="488" t="str">
        <f t="shared" si="32"/>
        <v/>
      </c>
      <c r="V25" s="488" t="str">
        <f t="shared" si="33"/>
        <v/>
      </c>
      <c r="X25" s="683"/>
      <c r="Y25" s="334">
        <f t="shared" si="53"/>
        <v>0</v>
      </c>
      <c r="Z25" s="746"/>
      <c r="AA25" s="488">
        <f t="shared" si="54"/>
        <v>0</v>
      </c>
      <c r="AC25" s="821"/>
      <c r="AD25" s="822"/>
      <c r="AE25" s="822"/>
      <c r="AF25" s="814">
        <f t="shared" si="55"/>
        <v>0</v>
      </c>
      <c r="AG25" s="814">
        <f t="shared" si="56"/>
        <v>0</v>
      </c>
      <c r="AH25" s="816">
        <v>18</v>
      </c>
      <c r="AI25" s="818">
        <f t="shared" si="57"/>
        <v>0</v>
      </c>
      <c r="AK25" s="1546">
        <f t="shared" si="28"/>
        <v>0</v>
      </c>
      <c r="AL25" s="1546">
        <f t="shared" si="28"/>
        <v>0</v>
      </c>
      <c r="AM25" s="1546">
        <f t="shared" si="28"/>
        <v>0</v>
      </c>
      <c r="AN25" s="1546">
        <f t="shared" si="28"/>
        <v>0</v>
      </c>
      <c r="AO25" s="1546">
        <f t="shared" si="28"/>
        <v>0</v>
      </c>
      <c r="AP25" s="1546">
        <f t="shared" si="28"/>
        <v>0</v>
      </c>
      <c r="AQ25" s="1546">
        <f t="shared" si="28"/>
        <v>0</v>
      </c>
      <c r="AR25" s="1546">
        <f t="shared" si="28"/>
        <v>0</v>
      </c>
      <c r="AS25" s="1546">
        <f t="shared" si="28"/>
        <v>0</v>
      </c>
      <c r="AT25" s="1546">
        <f t="shared" si="28"/>
        <v>0</v>
      </c>
      <c r="AU25" s="1546">
        <f t="shared" si="28"/>
        <v>0</v>
      </c>
      <c r="AV25" s="1546">
        <f t="shared" si="28"/>
        <v>0</v>
      </c>
      <c r="AW25" s="1546">
        <f t="shared" si="28"/>
        <v>0</v>
      </c>
      <c r="AX25" s="1546">
        <f t="shared" si="28"/>
        <v>0</v>
      </c>
      <c r="AY25" s="1546">
        <f t="shared" si="28"/>
        <v>0</v>
      </c>
      <c r="AZ25" s="1546">
        <f t="shared" si="28"/>
        <v>0</v>
      </c>
      <c r="BA25" s="1546">
        <f t="shared" si="29"/>
        <v>1</v>
      </c>
      <c r="BC25" s="663" t="str">
        <f>IF($C25="","",VLOOKUP($A25&amp;"."&amp;BC$3,'Equipment Weight Calc'!$L:$M,2,0))</f>
        <v/>
      </c>
      <c r="BD25" s="663" t="str">
        <f>IF($C25="","",VLOOKUP($A25&amp;"."&amp;BD$3,'Equipment Weight Calc'!$L:$M,2,0))</f>
        <v/>
      </c>
      <c r="BE25" s="663" t="str">
        <f>IF($C25="","",VLOOKUP($A25&amp;"."&amp;BE$3,'Equipment Weight Calc'!$L:$M,2,0))</f>
        <v/>
      </c>
      <c r="BF25" s="663" t="str">
        <f>IF($C25="","",VLOOKUP($A25&amp;"."&amp;BF$3,'Equipment Weight Calc'!$L:$M,2,0))</f>
        <v/>
      </c>
      <c r="BG25" s="663" t="str">
        <f>IF($C25="","",VLOOKUP($A25&amp;"."&amp;BG$3,'Equipment Weight Calc'!$L:$M,2,0))</f>
        <v/>
      </c>
      <c r="BH25" s="663" t="str">
        <f>IF($C25="","",VLOOKUP($A25&amp;"."&amp;BH$3,'Equipment Weight Calc'!$L:$M,2,0))</f>
        <v/>
      </c>
      <c r="BI25" s="663" t="str">
        <f>IF($C25="","",VLOOKUP($A25&amp;"."&amp;BI$3,'Equipment Weight Calc'!$L:$M,2,0))</f>
        <v/>
      </c>
      <c r="BJ25" s="663" t="str">
        <f>IF($C25="","",VLOOKUP($A25&amp;"."&amp;BJ$3,'Equipment Weight Calc'!$L:$M,2,0))</f>
        <v/>
      </c>
      <c r="BK25" s="663" t="str">
        <f>IF($C25="","",VLOOKUP($A25&amp;"."&amp;BK$3,'Equipment Weight Calc'!$L:$M,2,0))</f>
        <v/>
      </c>
      <c r="BL25" s="663" t="str">
        <f>IF($C25="","",VLOOKUP($A25&amp;"."&amp;BL$3,'Equipment Weight Calc'!$L:$M,2,0))</f>
        <v/>
      </c>
      <c r="BM25" s="663" t="str">
        <f>IF($C25="","",VLOOKUP($A25&amp;"."&amp;BM$3,'Equipment Weight Calc'!$L:$M,2,0))</f>
        <v/>
      </c>
      <c r="BN25" s="663" t="str">
        <f>IF($C25="","",VLOOKUP($A25&amp;"."&amp;BN$3,'Equipment Weight Calc'!$L:$M,2,0))</f>
        <v/>
      </c>
      <c r="BO25" s="663" t="str">
        <f>IF($C25="","",VLOOKUP($A25&amp;"."&amp;BO$3,'Equipment Weight Calc'!$L:$M,2,0))</f>
        <v/>
      </c>
      <c r="BP25" s="663" t="str">
        <f>IF($C25="","",VLOOKUP($A25&amp;"."&amp;BP$3,'Equipment Weight Calc'!$L:$M,2,0))</f>
        <v/>
      </c>
      <c r="BQ25" s="663" t="str">
        <f>IF($C25="","",VLOOKUP($A25&amp;"."&amp;BQ$3,'Equipment Weight Calc'!$L:$M,2,0))</f>
        <v/>
      </c>
      <c r="BR25" s="663" t="str">
        <f>IF($C25="","",VLOOKUP($A25&amp;"."&amp;BR$3,'Equipment Weight Calc'!$L:$M,2,0))</f>
        <v/>
      </c>
      <c r="BS25" s="663" t="str">
        <f>IF($C25="","",VLOOKUP($A25&amp;"."&amp;BS$3,'Equipment Weight Calc'!$L:$M,2,0))</f>
        <v/>
      </c>
      <c r="BT25" s="663" t="str">
        <f>IF($C25="","",VLOOKUP($A25&amp;"."&amp;BT$3,'Equipment Weight Calc'!$L:$M,2,0))</f>
        <v/>
      </c>
      <c r="BV25" s="1546">
        <f t="shared" si="43"/>
        <v>0</v>
      </c>
      <c r="BW25" s="1546">
        <f t="shared" si="43"/>
        <v>0</v>
      </c>
      <c r="BX25" s="1546">
        <f t="shared" si="43"/>
        <v>0</v>
      </c>
      <c r="BY25" s="1546">
        <f t="shared" si="43"/>
        <v>0</v>
      </c>
      <c r="BZ25" s="1546">
        <f t="shared" si="43"/>
        <v>0</v>
      </c>
      <c r="CA25" s="1546">
        <f t="shared" si="43"/>
        <v>0</v>
      </c>
      <c r="CB25" s="1546">
        <f t="shared" si="43"/>
        <v>0</v>
      </c>
      <c r="CC25" s="1546">
        <f t="shared" si="43"/>
        <v>0</v>
      </c>
      <c r="CE25" s="1546">
        <f t="shared" si="44"/>
        <v>0</v>
      </c>
      <c r="CF25" s="1546">
        <f t="shared" si="44"/>
        <v>0</v>
      </c>
      <c r="CG25" s="1546">
        <f t="shared" si="44"/>
        <v>0</v>
      </c>
      <c r="CH25" s="1546">
        <f t="shared" si="44"/>
        <v>0</v>
      </c>
      <c r="CI25" s="1546">
        <f t="shared" si="44"/>
        <v>0</v>
      </c>
      <c r="CJ25" s="1546">
        <f t="shared" si="44"/>
        <v>0</v>
      </c>
      <c r="CK25" s="1546">
        <f t="shared" si="44"/>
        <v>0</v>
      </c>
      <c r="CL25" s="1546">
        <f t="shared" si="44"/>
        <v>0</v>
      </c>
      <c r="CN25" s="1546">
        <f t="shared" si="45"/>
        <v>0</v>
      </c>
      <c r="CO25" s="1546">
        <f t="shared" si="45"/>
        <v>0</v>
      </c>
      <c r="CP25" s="1546">
        <f t="shared" si="45"/>
        <v>0</v>
      </c>
      <c r="CQ25" s="1546">
        <f t="shared" si="45"/>
        <v>0</v>
      </c>
      <c r="CR25" s="1546">
        <f t="shared" si="45"/>
        <v>0</v>
      </c>
      <c r="CS25" s="1546">
        <f t="shared" si="45"/>
        <v>0</v>
      </c>
      <c r="CT25" s="1546">
        <f t="shared" si="45"/>
        <v>0</v>
      </c>
      <c r="CU25" s="1546">
        <f t="shared" si="45"/>
        <v>0</v>
      </c>
      <c r="CW25" s="1546">
        <f t="shared" si="46"/>
        <v>0</v>
      </c>
      <c r="CX25" s="1546">
        <f t="shared" si="46"/>
        <v>0</v>
      </c>
      <c r="CY25" s="1546">
        <f t="shared" si="46"/>
        <v>0</v>
      </c>
      <c r="CZ25" s="1546">
        <f t="shared" si="46"/>
        <v>0</v>
      </c>
      <c r="DA25" s="1546">
        <f t="shared" si="46"/>
        <v>0</v>
      </c>
      <c r="DB25" s="1546">
        <f t="shared" si="46"/>
        <v>0</v>
      </c>
      <c r="DC25" s="1546">
        <f t="shared" si="46"/>
        <v>0</v>
      </c>
      <c r="DD25" s="1546">
        <f t="shared" si="46"/>
        <v>0</v>
      </c>
      <c r="DF25" s="1546">
        <f t="shared" si="47"/>
        <v>0</v>
      </c>
      <c r="DG25" s="1546">
        <f t="shared" si="47"/>
        <v>0</v>
      </c>
      <c r="DH25" s="1546">
        <f t="shared" si="47"/>
        <v>0</v>
      </c>
      <c r="DI25" s="1546">
        <f t="shared" si="47"/>
        <v>0</v>
      </c>
      <c r="DJ25" s="1546">
        <f t="shared" si="47"/>
        <v>0</v>
      </c>
      <c r="DK25" s="1546">
        <f t="shared" si="47"/>
        <v>0</v>
      </c>
      <c r="DL25" s="1546">
        <f t="shared" si="47"/>
        <v>0</v>
      </c>
      <c r="DM25" s="1546">
        <f t="shared" si="47"/>
        <v>0</v>
      </c>
      <c r="DO25" s="1546">
        <f t="shared" si="48"/>
        <v>0</v>
      </c>
      <c r="DP25" s="1546">
        <f t="shared" si="48"/>
        <v>0</v>
      </c>
      <c r="DQ25" s="1546">
        <f t="shared" si="48"/>
        <v>0</v>
      </c>
      <c r="DR25" s="1546">
        <f t="shared" si="48"/>
        <v>0</v>
      </c>
      <c r="DS25" s="1546">
        <f t="shared" si="48"/>
        <v>0</v>
      </c>
      <c r="DT25" s="1546">
        <f t="shared" si="48"/>
        <v>0</v>
      </c>
      <c r="DU25" s="1546">
        <f t="shared" si="48"/>
        <v>0</v>
      </c>
      <c r="DV25" s="1546">
        <f t="shared" si="48"/>
        <v>0</v>
      </c>
      <c r="DX25" s="1546">
        <f t="shared" si="49"/>
        <v>0</v>
      </c>
      <c r="DY25" s="1546">
        <f t="shared" si="49"/>
        <v>0</v>
      </c>
      <c r="DZ25" s="1546">
        <f t="shared" si="49"/>
        <v>0</v>
      </c>
      <c r="EA25" s="1546">
        <f t="shared" si="49"/>
        <v>0</v>
      </c>
      <c r="EB25" s="1546">
        <f t="shared" si="49"/>
        <v>0</v>
      </c>
      <c r="EC25" s="1546">
        <f t="shared" si="49"/>
        <v>0</v>
      </c>
      <c r="ED25" s="1546">
        <f t="shared" si="49"/>
        <v>0</v>
      </c>
      <c r="EE25" s="1546">
        <f t="shared" si="49"/>
        <v>0</v>
      </c>
      <c r="EG25" s="1546">
        <f t="shared" si="50"/>
        <v>0</v>
      </c>
      <c r="EH25" s="1546">
        <f t="shared" si="50"/>
        <v>0</v>
      </c>
      <c r="EI25" s="1546">
        <f t="shared" si="50"/>
        <v>0</v>
      </c>
      <c r="EJ25" s="1546">
        <f t="shared" si="50"/>
        <v>0</v>
      </c>
      <c r="EK25" s="1546">
        <f t="shared" si="50"/>
        <v>0</v>
      </c>
      <c r="EL25" s="1546">
        <f t="shared" si="50"/>
        <v>0</v>
      </c>
      <c r="EM25" s="1546">
        <f t="shared" si="50"/>
        <v>0</v>
      </c>
      <c r="EN25" s="1546">
        <f t="shared" si="50"/>
        <v>0</v>
      </c>
      <c r="EP25" s="1546">
        <f t="shared" si="51"/>
        <v>0</v>
      </c>
      <c r="EQ25" s="1546">
        <f t="shared" si="51"/>
        <v>0</v>
      </c>
      <c r="ER25" s="1546">
        <f t="shared" si="51"/>
        <v>0</v>
      </c>
      <c r="ES25" s="1546">
        <f t="shared" si="51"/>
        <v>0</v>
      </c>
      <c r="ET25" s="1546">
        <f t="shared" si="51"/>
        <v>0</v>
      </c>
      <c r="EU25" s="1546">
        <f t="shared" si="51"/>
        <v>0</v>
      </c>
      <c r="EV25" s="1546">
        <f t="shared" si="51"/>
        <v>0</v>
      </c>
      <c r="EW25" s="1546">
        <f t="shared" si="51"/>
        <v>0</v>
      </c>
    </row>
    <row r="26" spans="1:153" ht="28.5" customHeight="1" x14ac:dyDescent="0.3">
      <c r="A26" s="334">
        <v>23</v>
      </c>
      <c r="B26" s="902"/>
      <c r="C26" s="902"/>
      <c r="D26" s="902"/>
      <c r="E26" s="334" t="str">
        <f>IF($C26="","",VLOOKUP($A26&amp;"."&amp;E$2,'Equipment Weight Calc'!$L:$M,2,0))</f>
        <v/>
      </c>
      <c r="F26" s="334" t="str">
        <f>IF($C26="","",VLOOKUP($A26&amp;"."&amp;F$2,'Equipment Weight Calc'!$L:$M,2,0))</f>
        <v/>
      </c>
      <c r="G26" s="334" t="str">
        <f>IF($C26="","",VLOOKUP($A26&amp;"."&amp;G$2,'Equipment Weight Calc'!$L:$M,2,0))</f>
        <v/>
      </c>
      <c r="H26" s="334" t="str">
        <f>IF($C26="","",VLOOKUP($A26&amp;"."&amp;H$2,'Equipment Weight Calc'!$L:$M,2,0))</f>
        <v/>
      </c>
      <c r="I26" s="334" t="str">
        <f>IF($C26="","",VLOOKUP($A26&amp;"."&amp;I$2,'Equipment Weight Calc'!$L:$M,2,0))</f>
        <v/>
      </c>
      <c r="J26" s="683"/>
      <c r="K26" s="663" t="str">
        <f>IF($C26="","",VLOOKUP($A26&amp;"."&amp;K$2,'Equipment Weight Calc'!$L:$M,2,0))</f>
        <v/>
      </c>
      <c r="L26" s="334" t="str">
        <f>IF($C26="","",VLOOKUP($A26&amp;"."&amp;L$2,'Equipment Weight Calc'!$L:$M,2,0))</f>
        <v/>
      </c>
      <c r="M26" s="663" t="str">
        <f>IF($C26="","",VLOOKUP($A26&amp;"."&amp;M$2,'Equipment Weight Calc'!$L:$M,2,0))</f>
        <v/>
      </c>
      <c r="N26" s="334" t="str">
        <f>IF($C26="","",VLOOKUP($A26&amp;"."&amp;N$2,'Equipment Weight Calc'!$L:$M,2,0))</f>
        <v/>
      </c>
      <c r="O26" s="683"/>
      <c r="P26" s="680"/>
      <c r="Q26" s="513" t="str">
        <f>IF($C26="","",VLOOKUP($A26&amp;"."&amp;Q$2,'Equipment Weight Calc'!$L:$M,2,0))</f>
        <v/>
      </c>
      <c r="R26" s="513" t="str">
        <f t="shared" si="52"/>
        <v/>
      </c>
      <c r="S26" s="334" t="str">
        <f t="shared" si="31"/>
        <v/>
      </c>
      <c r="T26" s="692"/>
      <c r="U26" s="488" t="str">
        <f t="shared" si="32"/>
        <v/>
      </c>
      <c r="V26" s="488" t="str">
        <f t="shared" si="33"/>
        <v/>
      </c>
      <c r="X26" s="683"/>
      <c r="Y26" s="334">
        <f t="shared" si="53"/>
        <v>0</v>
      </c>
      <c r="Z26" s="746"/>
      <c r="AA26" s="488">
        <f t="shared" si="54"/>
        <v>0</v>
      </c>
      <c r="AC26" s="821"/>
      <c r="AD26" s="822"/>
      <c r="AE26" s="822"/>
      <c r="AF26" s="814">
        <f t="shared" si="55"/>
        <v>0</v>
      </c>
      <c r="AG26" s="814">
        <f t="shared" si="56"/>
        <v>0</v>
      </c>
      <c r="AH26" s="816">
        <v>18</v>
      </c>
      <c r="AI26" s="818">
        <f t="shared" si="57"/>
        <v>0</v>
      </c>
      <c r="AK26" s="1546">
        <f t="shared" si="28"/>
        <v>0</v>
      </c>
      <c r="AL26" s="1546">
        <f t="shared" si="28"/>
        <v>0</v>
      </c>
      <c r="AM26" s="1546">
        <f t="shared" si="28"/>
        <v>0</v>
      </c>
      <c r="AN26" s="1546">
        <f t="shared" si="28"/>
        <v>0</v>
      </c>
      <c r="AO26" s="1546">
        <f t="shared" si="28"/>
        <v>0</v>
      </c>
      <c r="AP26" s="1546">
        <f t="shared" si="28"/>
        <v>0</v>
      </c>
      <c r="AQ26" s="1546">
        <f t="shared" si="28"/>
        <v>0</v>
      </c>
      <c r="AR26" s="1546">
        <f t="shared" si="28"/>
        <v>0</v>
      </c>
      <c r="AS26" s="1546">
        <f t="shared" si="28"/>
        <v>0</v>
      </c>
      <c r="AT26" s="1546">
        <f t="shared" si="28"/>
        <v>0</v>
      </c>
      <c r="AU26" s="1546">
        <f t="shared" si="28"/>
        <v>0</v>
      </c>
      <c r="AV26" s="1546">
        <f t="shared" si="28"/>
        <v>0</v>
      </c>
      <c r="AW26" s="1546">
        <f t="shared" si="28"/>
        <v>0</v>
      </c>
      <c r="AX26" s="1546">
        <f t="shared" si="28"/>
        <v>0</v>
      </c>
      <c r="AY26" s="1546">
        <f t="shared" si="28"/>
        <v>0</v>
      </c>
      <c r="AZ26" s="1546">
        <f t="shared" si="28"/>
        <v>0</v>
      </c>
      <c r="BA26" s="1546">
        <f t="shared" si="29"/>
        <v>1</v>
      </c>
      <c r="BC26" s="663" t="str">
        <f>IF($C26="","",VLOOKUP($A26&amp;"."&amp;BC$3,'Equipment Weight Calc'!$L:$M,2,0))</f>
        <v/>
      </c>
      <c r="BD26" s="663" t="str">
        <f>IF($C26="","",VLOOKUP($A26&amp;"."&amp;BD$3,'Equipment Weight Calc'!$L:$M,2,0))</f>
        <v/>
      </c>
      <c r="BE26" s="663" t="str">
        <f>IF($C26="","",VLOOKUP($A26&amp;"."&amp;BE$3,'Equipment Weight Calc'!$L:$M,2,0))</f>
        <v/>
      </c>
      <c r="BF26" s="663" t="str">
        <f>IF($C26="","",VLOOKUP($A26&amp;"."&amp;BF$3,'Equipment Weight Calc'!$L:$M,2,0))</f>
        <v/>
      </c>
      <c r="BG26" s="663" t="str">
        <f>IF($C26="","",VLOOKUP($A26&amp;"."&amp;BG$3,'Equipment Weight Calc'!$L:$M,2,0))</f>
        <v/>
      </c>
      <c r="BH26" s="663" t="str">
        <f>IF($C26="","",VLOOKUP($A26&amp;"."&amp;BH$3,'Equipment Weight Calc'!$L:$M,2,0))</f>
        <v/>
      </c>
      <c r="BI26" s="663" t="str">
        <f>IF($C26="","",VLOOKUP($A26&amp;"."&amp;BI$3,'Equipment Weight Calc'!$L:$M,2,0))</f>
        <v/>
      </c>
      <c r="BJ26" s="663" t="str">
        <f>IF($C26="","",VLOOKUP($A26&amp;"."&amp;BJ$3,'Equipment Weight Calc'!$L:$M,2,0))</f>
        <v/>
      </c>
      <c r="BK26" s="663" t="str">
        <f>IF($C26="","",VLOOKUP($A26&amp;"."&amp;BK$3,'Equipment Weight Calc'!$L:$M,2,0))</f>
        <v/>
      </c>
      <c r="BL26" s="663" t="str">
        <f>IF($C26="","",VLOOKUP($A26&amp;"."&amp;BL$3,'Equipment Weight Calc'!$L:$M,2,0))</f>
        <v/>
      </c>
      <c r="BM26" s="663" t="str">
        <f>IF($C26="","",VLOOKUP($A26&amp;"."&amp;BM$3,'Equipment Weight Calc'!$L:$M,2,0))</f>
        <v/>
      </c>
      <c r="BN26" s="663" t="str">
        <f>IF($C26="","",VLOOKUP($A26&amp;"."&amp;BN$3,'Equipment Weight Calc'!$L:$M,2,0))</f>
        <v/>
      </c>
      <c r="BO26" s="663" t="str">
        <f>IF($C26="","",VLOOKUP($A26&amp;"."&amp;BO$3,'Equipment Weight Calc'!$L:$M,2,0))</f>
        <v/>
      </c>
      <c r="BP26" s="663" t="str">
        <f>IF($C26="","",VLOOKUP($A26&amp;"."&amp;BP$3,'Equipment Weight Calc'!$L:$M,2,0))</f>
        <v/>
      </c>
      <c r="BQ26" s="663" t="str">
        <f>IF($C26="","",VLOOKUP($A26&amp;"."&amp;BQ$3,'Equipment Weight Calc'!$L:$M,2,0))</f>
        <v/>
      </c>
      <c r="BR26" s="663" t="str">
        <f>IF($C26="","",VLOOKUP($A26&amp;"."&amp;BR$3,'Equipment Weight Calc'!$L:$M,2,0))</f>
        <v/>
      </c>
      <c r="BS26" s="663" t="str">
        <f>IF($C26="","",VLOOKUP($A26&amp;"."&amp;BS$3,'Equipment Weight Calc'!$L:$M,2,0))</f>
        <v/>
      </c>
      <c r="BT26" s="663" t="str">
        <f>IF($C26="","",VLOOKUP($A26&amp;"."&amp;BT$3,'Equipment Weight Calc'!$L:$M,2,0))</f>
        <v/>
      </c>
      <c r="BV26" s="1546">
        <f t="shared" si="43"/>
        <v>0</v>
      </c>
      <c r="BW26" s="1546">
        <f t="shared" si="43"/>
        <v>0</v>
      </c>
      <c r="BX26" s="1546">
        <f t="shared" si="43"/>
        <v>0</v>
      </c>
      <c r="BY26" s="1546">
        <f t="shared" si="43"/>
        <v>0</v>
      </c>
      <c r="BZ26" s="1546">
        <f t="shared" si="43"/>
        <v>0</v>
      </c>
      <c r="CA26" s="1546">
        <f t="shared" si="43"/>
        <v>0</v>
      </c>
      <c r="CB26" s="1546">
        <f t="shared" si="43"/>
        <v>0</v>
      </c>
      <c r="CC26" s="1546">
        <f t="shared" si="43"/>
        <v>0</v>
      </c>
      <c r="CE26" s="1546">
        <f t="shared" si="44"/>
        <v>0</v>
      </c>
      <c r="CF26" s="1546">
        <f t="shared" si="44"/>
        <v>0</v>
      </c>
      <c r="CG26" s="1546">
        <f t="shared" si="44"/>
        <v>0</v>
      </c>
      <c r="CH26" s="1546">
        <f t="shared" si="44"/>
        <v>0</v>
      </c>
      <c r="CI26" s="1546">
        <f t="shared" si="44"/>
        <v>0</v>
      </c>
      <c r="CJ26" s="1546">
        <f t="shared" si="44"/>
        <v>0</v>
      </c>
      <c r="CK26" s="1546">
        <f t="shared" si="44"/>
        <v>0</v>
      </c>
      <c r="CL26" s="1546">
        <f t="shared" si="44"/>
        <v>0</v>
      </c>
      <c r="CN26" s="1546">
        <f t="shared" si="45"/>
        <v>0</v>
      </c>
      <c r="CO26" s="1546">
        <f t="shared" si="45"/>
        <v>0</v>
      </c>
      <c r="CP26" s="1546">
        <f t="shared" si="45"/>
        <v>0</v>
      </c>
      <c r="CQ26" s="1546">
        <f t="shared" si="45"/>
        <v>0</v>
      </c>
      <c r="CR26" s="1546">
        <f t="shared" si="45"/>
        <v>0</v>
      </c>
      <c r="CS26" s="1546">
        <f t="shared" si="45"/>
        <v>0</v>
      </c>
      <c r="CT26" s="1546">
        <f t="shared" si="45"/>
        <v>0</v>
      </c>
      <c r="CU26" s="1546">
        <f t="shared" si="45"/>
        <v>0</v>
      </c>
      <c r="CW26" s="1546">
        <f t="shared" si="46"/>
        <v>0</v>
      </c>
      <c r="CX26" s="1546">
        <f t="shared" si="46"/>
        <v>0</v>
      </c>
      <c r="CY26" s="1546">
        <f t="shared" si="46"/>
        <v>0</v>
      </c>
      <c r="CZ26" s="1546">
        <f t="shared" si="46"/>
        <v>0</v>
      </c>
      <c r="DA26" s="1546">
        <f t="shared" si="46"/>
        <v>0</v>
      </c>
      <c r="DB26" s="1546">
        <f t="shared" si="46"/>
        <v>0</v>
      </c>
      <c r="DC26" s="1546">
        <f t="shared" si="46"/>
        <v>0</v>
      </c>
      <c r="DD26" s="1546">
        <f t="shared" si="46"/>
        <v>0</v>
      </c>
      <c r="DF26" s="1546">
        <f t="shared" si="47"/>
        <v>0</v>
      </c>
      <c r="DG26" s="1546">
        <f t="shared" si="47"/>
        <v>0</v>
      </c>
      <c r="DH26" s="1546">
        <f t="shared" si="47"/>
        <v>0</v>
      </c>
      <c r="DI26" s="1546">
        <f t="shared" si="47"/>
        <v>0</v>
      </c>
      <c r="DJ26" s="1546">
        <f t="shared" si="47"/>
        <v>0</v>
      </c>
      <c r="DK26" s="1546">
        <f t="shared" si="47"/>
        <v>0</v>
      </c>
      <c r="DL26" s="1546">
        <f t="shared" si="47"/>
        <v>0</v>
      </c>
      <c r="DM26" s="1546">
        <f t="shared" si="47"/>
        <v>0</v>
      </c>
      <c r="DO26" s="1546">
        <f t="shared" si="48"/>
        <v>0</v>
      </c>
      <c r="DP26" s="1546">
        <f t="shared" si="48"/>
        <v>0</v>
      </c>
      <c r="DQ26" s="1546">
        <f t="shared" si="48"/>
        <v>0</v>
      </c>
      <c r="DR26" s="1546">
        <f t="shared" si="48"/>
        <v>0</v>
      </c>
      <c r="DS26" s="1546">
        <f t="shared" si="48"/>
        <v>0</v>
      </c>
      <c r="DT26" s="1546">
        <f t="shared" si="48"/>
        <v>0</v>
      </c>
      <c r="DU26" s="1546">
        <f t="shared" si="48"/>
        <v>0</v>
      </c>
      <c r="DV26" s="1546">
        <f t="shared" si="48"/>
        <v>0</v>
      </c>
      <c r="DX26" s="1546">
        <f t="shared" si="49"/>
        <v>0</v>
      </c>
      <c r="DY26" s="1546">
        <f t="shared" si="49"/>
        <v>0</v>
      </c>
      <c r="DZ26" s="1546">
        <f t="shared" si="49"/>
        <v>0</v>
      </c>
      <c r="EA26" s="1546">
        <f t="shared" si="49"/>
        <v>0</v>
      </c>
      <c r="EB26" s="1546">
        <f t="shared" si="49"/>
        <v>0</v>
      </c>
      <c r="EC26" s="1546">
        <f t="shared" si="49"/>
        <v>0</v>
      </c>
      <c r="ED26" s="1546">
        <f t="shared" si="49"/>
        <v>0</v>
      </c>
      <c r="EE26" s="1546">
        <f t="shared" si="49"/>
        <v>0</v>
      </c>
      <c r="EG26" s="1546">
        <f t="shared" si="50"/>
        <v>0</v>
      </c>
      <c r="EH26" s="1546">
        <f t="shared" si="50"/>
        <v>0</v>
      </c>
      <c r="EI26" s="1546">
        <f t="shared" si="50"/>
        <v>0</v>
      </c>
      <c r="EJ26" s="1546">
        <f t="shared" si="50"/>
        <v>0</v>
      </c>
      <c r="EK26" s="1546">
        <f t="shared" si="50"/>
        <v>0</v>
      </c>
      <c r="EL26" s="1546">
        <f t="shared" si="50"/>
        <v>0</v>
      </c>
      <c r="EM26" s="1546">
        <f t="shared" si="50"/>
        <v>0</v>
      </c>
      <c r="EN26" s="1546">
        <f t="shared" si="50"/>
        <v>0</v>
      </c>
      <c r="EP26" s="1546">
        <f t="shared" si="51"/>
        <v>0</v>
      </c>
      <c r="EQ26" s="1546">
        <f t="shared" si="51"/>
        <v>0</v>
      </c>
      <c r="ER26" s="1546">
        <f t="shared" si="51"/>
        <v>0</v>
      </c>
      <c r="ES26" s="1546">
        <f t="shared" si="51"/>
        <v>0</v>
      </c>
      <c r="ET26" s="1546">
        <f t="shared" si="51"/>
        <v>0</v>
      </c>
      <c r="EU26" s="1546">
        <f t="shared" si="51"/>
        <v>0</v>
      </c>
      <c r="EV26" s="1546">
        <f t="shared" si="51"/>
        <v>0</v>
      </c>
      <c r="EW26" s="1546">
        <f t="shared" si="51"/>
        <v>0</v>
      </c>
    </row>
    <row r="27" spans="1:153" ht="28.5" customHeight="1" x14ac:dyDescent="0.3">
      <c r="A27" s="334">
        <v>24</v>
      </c>
      <c r="B27" s="902"/>
      <c r="C27" s="902"/>
      <c r="D27" s="902"/>
      <c r="E27" s="334" t="str">
        <f>IF($C27="","",VLOOKUP($A27&amp;"."&amp;E$2,'Equipment Weight Calc'!$L:$M,2,0))</f>
        <v/>
      </c>
      <c r="F27" s="334" t="str">
        <f>IF($C27="","",VLOOKUP($A27&amp;"."&amp;F$2,'Equipment Weight Calc'!$L:$M,2,0))</f>
        <v/>
      </c>
      <c r="G27" s="334" t="str">
        <f>IF($C27="","",VLOOKUP($A27&amp;"."&amp;G$2,'Equipment Weight Calc'!$L:$M,2,0))</f>
        <v/>
      </c>
      <c r="H27" s="334" t="str">
        <f>IF($C27="","",VLOOKUP($A27&amp;"."&amp;H$2,'Equipment Weight Calc'!$L:$M,2,0))</f>
        <v/>
      </c>
      <c r="I27" s="334" t="str">
        <f>IF($C27="","",VLOOKUP($A27&amp;"."&amp;I$2,'Equipment Weight Calc'!$L:$M,2,0))</f>
        <v/>
      </c>
      <c r="J27" s="683"/>
      <c r="K27" s="663" t="str">
        <f>IF($C27="","",VLOOKUP($A27&amp;"."&amp;K$2,'Equipment Weight Calc'!$L:$M,2,0))</f>
        <v/>
      </c>
      <c r="L27" s="334" t="str">
        <f>IF($C27="","",VLOOKUP($A27&amp;"."&amp;L$2,'Equipment Weight Calc'!$L:$M,2,0))</f>
        <v/>
      </c>
      <c r="M27" s="663" t="str">
        <f>IF($C27="","",VLOOKUP($A27&amp;"."&amp;M$2,'Equipment Weight Calc'!$L:$M,2,0))</f>
        <v/>
      </c>
      <c r="N27" s="334" t="str">
        <f>IF($C27="","",VLOOKUP($A27&amp;"."&amp;N$2,'Equipment Weight Calc'!$L:$M,2,0))</f>
        <v/>
      </c>
      <c r="O27" s="683"/>
      <c r="P27" s="680"/>
      <c r="Q27" s="513" t="str">
        <f>IF($C27="","",VLOOKUP($A27&amp;"."&amp;Q$2,'Equipment Weight Calc'!$L:$M,2,0))</f>
        <v/>
      </c>
      <c r="R27" s="513" t="str">
        <f t="shared" si="52"/>
        <v/>
      </c>
      <c r="S27" s="334" t="str">
        <f>IFERROR(O27*N27,"")</f>
        <v/>
      </c>
      <c r="T27" s="692"/>
      <c r="U27" s="488" t="str">
        <f>IFERROR(T27*N27,"")</f>
        <v/>
      </c>
      <c r="V27" s="488" t="str">
        <f>IFERROR(T27*S27,"")</f>
        <v/>
      </c>
      <c r="X27" s="683"/>
      <c r="Y27" s="334">
        <f t="shared" si="53"/>
        <v>0</v>
      </c>
      <c r="Z27" s="746"/>
      <c r="AA27" s="488">
        <f t="shared" si="54"/>
        <v>0</v>
      </c>
      <c r="AC27" s="821"/>
      <c r="AD27" s="822"/>
      <c r="AE27" s="822"/>
      <c r="AF27" s="814">
        <f t="shared" si="55"/>
        <v>0</v>
      </c>
      <c r="AG27" s="814">
        <f t="shared" si="56"/>
        <v>0</v>
      </c>
      <c r="AH27" s="816">
        <v>18</v>
      </c>
      <c r="AI27" s="818">
        <f t="shared" si="57"/>
        <v>0</v>
      </c>
      <c r="AK27" s="1546">
        <f t="shared" si="28"/>
        <v>0</v>
      </c>
      <c r="AL27" s="1546">
        <f t="shared" si="28"/>
        <v>0</v>
      </c>
      <c r="AM27" s="1546">
        <f t="shared" si="28"/>
        <v>0</v>
      </c>
      <c r="AN27" s="1546">
        <f t="shared" si="28"/>
        <v>0</v>
      </c>
      <c r="AO27" s="1546">
        <f t="shared" si="28"/>
        <v>0</v>
      </c>
      <c r="AP27" s="1546">
        <f t="shared" si="28"/>
        <v>0</v>
      </c>
      <c r="AQ27" s="1546">
        <f t="shared" si="28"/>
        <v>0</v>
      </c>
      <c r="AR27" s="1546">
        <f t="shared" si="28"/>
        <v>0</v>
      </c>
      <c r="AS27" s="1546">
        <f t="shared" si="28"/>
        <v>0</v>
      </c>
      <c r="AT27" s="1546">
        <f t="shared" si="28"/>
        <v>0</v>
      </c>
      <c r="AU27" s="1546">
        <f t="shared" si="28"/>
        <v>0</v>
      </c>
      <c r="AV27" s="1546">
        <f t="shared" si="28"/>
        <v>0</v>
      </c>
      <c r="AW27" s="1546">
        <f t="shared" si="28"/>
        <v>0</v>
      </c>
      <c r="AX27" s="1546">
        <f t="shared" si="28"/>
        <v>0</v>
      </c>
      <c r="AY27" s="1546">
        <f t="shared" si="28"/>
        <v>0</v>
      </c>
      <c r="AZ27" s="1546">
        <f t="shared" si="28"/>
        <v>0</v>
      </c>
      <c r="BA27" s="1546">
        <f t="shared" si="29"/>
        <v>1</v>
      </c>
      <c r="BC27" s="663" t="str">
        <f>IF($C27="","",VLOOKUP($A27&amp;"."&amp;BC$3,'Equipment Weight Calc'!$L:$M,2,0))</f>
        <v/>
      </c>
      <c r="BD27" s="663" t="str">
        <f>IF($C27="","",VLOOKUP($A27&amp;"."&amp;BD$3,'Equipment Weight Calc'!$L:$M,2,0))</f>
        <v/>
      </c>
      <c r="BE27" s="663" t="str">
        <f>IF($C27="","",VLOOKUP($A27&amp;"."&amp;BE$3,'Equipment Weight Calc'!$L:$M,2,0))</f>
        <v/>
      </c>
      <c r="BF27" s="663" t="str">
        <f>IF($C27="","",VLOOKUP($A27&amp;"."&amp;BF$3,'Equipment Weight Calc'!$L:$M,2,0))</f>
        <v/>
      </c>
      <c r="BG27" s="663" t="str">
        <f>IF($C27="","",VLOOKUP($A27&amp;"."&amp;BG$3,'Equipment Weight Calc'!$L:$M,2,0))</f>
        <v/>
      </c>
      <c r="BH27" s="663" t="str">
        <f>IF($C27="","",VLOOKUP($A27&amp;"."&amp;BH$3,'Equipment Weight Calc'!$L:$M,2,0))</f>
        <v/>
      </c>
      <c r="BI27" s="663" t="str">
        <f>IF($C27="","",VLOOKUP($A27&amp;"."&amp;BI$3,'Equipment Weight Calc'!$L:$M,2,0))</f>
        <v/>
      </c>
      <c r="BJ27" s="663" t="str">
        <f>IF($C27="","",VLOOKUP($A27&amp;"."&amp;BJ$3,'Equipment Weight Calc'!$L:$M,2,0))</f>
        <v/>
      </c>
      <c r="BK27" s="663" t="str">
        <f>IF($C27="","",VLOOKUP($A27&amp;"."&amp;BK$3,'Equipment Weight Calc'!$L:$M,2,0))</f>
        <v/>
      </c>
      <c r="BL27" s="663" t="str">
        <f>IF($C27="","",VLOOKUP($A27&amp;"."&amp;BL$3,'Equipment Weight Calc'!$L:$M,2,0))</f>
        <v/>
      </c>
      <c r="BM27" s="663" t="str">
        <f>IF($C27="","",VLOOKUP($A27&amp;"."&amp;BM$3,'Equipment Weight Calc'!$L:$M,2,0))</f>
        <v/>
      </c>
      <c r="BN27" s="663" t="str">
        <f>IF($C27="","",VLOOKUP($A27&amp;"."&amp;BN$3,'Equipment Weight Calc'!$L:$M,2,0))</f>
        <v/>
      </c>
      <c r="BO27" s="663" t="str">
        <f>IF($C27="","",VLOOKUP($A27&amp;"."&amp;BO$3,'Equipment Weight Calc'!$L:$M,2,0))</f>
        <v/>
      </c>
      <c r="BP27" s="663" t="str">
        <f>IF($C27="","",VLOOKUP($A27&amp;"."&amp;BP$3,'Equipment Weight Calc'!$L:$M,2,0))</f>
        <v/>
      </c>
      <c r="BQ27" s="663" t="str">
        <f>IF($C27="","",VLOOKUP($A27&amp;"."&amp;BQ$3,'Equipment Weight Calc'!$L:$M,2,0))</f>
        <v/>
      </c>
      <c r="BR27" s="663" t="str">
        <f>IF($C27="","",VLOOKUP($A27&amp;"."&amp;BR$3,'Equipment Weight Calc'!$L:$M,2,0))</f>
        <v/>
      </c>
      <c r="BS27" s="663" t="str">
        <f>IF($C27="","",VLOOKUP($A27&amp;"."&amp;BS$3,'Equipment Weight Calc'!$L:$M,2,0))</f>
        <v/>
      </c>
      <c r="BT27" s="663" t="str">
        <f>IF($C27="","",VLOOKUP($A27&amp;"."&amp;BT$3,'Equipment Weight Calc'!$L:$M,2,0))</f>
        <v/>
      </c>
      <c r="BV27" s="1546">
        <f t="shared" si="43"/>
        <v>0</v>
      </c>
      <c r="BW27" s="1546">
        <f t="shared" si="43"/>
        <v>0</v>
      </c>
      <c r="BX27" s="1546">
        <f t="shared" si="43"/>
        <v>0</v>
      </c>
      <c r="BY27" s="1546">
        <f t="shared" si="43"/>
        <v>0</v>
      </c>
      <c r="BZ27" s="1546">
        <f t="shared" si="43"/>
        <v>0</v>
      </c>
      <c r="CA27" s="1546">
        <f t="shared" si="43"/>
        <v>0</v>
      </c>
      <c r="CB27" s="1546">
        <f t="shared" si="43"/>
        <v>0</v>
      </c>
      <c r="CC27" s="1546">
        <f t="shared" si="43"/>
        <v>0</v>
      </c>
      <c r="CE27" s="1546">
        <f t="shared" si="44"/>
        <v>0</v>
      </c>
      <c r="CF27" s="1546">
        <f t="shared" si="44"/>
        <v>0</v>
      </c>
      <c r="CG27" s="1546">
        <f t="shared" si="44"/>
        <v>0</v>
      </c>
      <c r="CH27" s="1546">
        <f t="shared" si="44"/>
        <v>0</v>
      </c>
      <c r="CI27" s="1546">
        <f t="shared" si="44"/>
        <v>0</v>
      </c>
      <c r="CJ27" s="1546">
        <f t="shared" si="44"/>
        <v>0</v>
      </c>
      <c r="CK27" s="1546">
        <f t="shared" si="44"/>
        <v>0</v>
      </c>
      <c r="CL27" s="1546">
        <f t="shared" si="44"/>
        <v>0</v>
      </c>
      <c r="CN27" s="1546">
        <f t="shared" si="45"/>
        <v>0</v>
      </c>
      <c r="CO27" s="1546">
        <f t="shared" si="45"/>
        <v>0</v>
      </c>
      <c r="CP27" s="1546">
        <f t="shared" si="45"/>
        <v>0</v>
      </c>
      <c r="CQ27" s="1546">
        <f t="shared" si="45"/>
        <v>0</v>
      </c>
      <c r="CR27" s="1546">
        <f t="shared" si="45"/>
        <v>0</v>
      </c>
      <c r="CS27" s="1546">
        <f t="shared" si="45"/>
        <v>0</v>
      </c>
      <c r="CT27" s="1546">
        <f t="shared" si="45"/>
        <v>0</v>
      </c>
      <c r="CU27" s="1546">
        <f t="shared" si="45"/>
        <v>0</v>
      </c>
      <c r="CW27" s="1546">
        <f t="shared" si="46"/>
        <v>0</v>
      </c>
      <c r="CX27" s="1546">
        <f t="shared" si="46"/>
        <v>0</v>
      </c>
      <c r="CY27" s="1546">
        <f t="shared" si="46"/>
        <v>0</v>
      </c>
      <c r="CZ27" s="1546">
        <f t="shared" si="46"/>
        <v>0</v>
      </c>
      <c r="DA27" s="1546">
        <f t="shared" si="46"/>
        <v>0</v>
      </c>
      <c r="DB27" s="1546">
        <f t="shared" si="46"/>
        <v>0</v>
      </c>
      <c r="DC27" s="1546">
        <f t="shared" si="46"/>
        <v>0</v>
      </c>
      <c r="DD27" s="1546">
        <f t="shared" si="46"/>
        <v>0</v>
      </c>
      <c r="DF27" s="1546">
        <f t="shared" si="47"/>
        <v>0</v>
      </c>
      <c r="DG27" s="1546">
        <f t="shared" si="47"/>
        <v>0</v>
      </c>
      <c r="DH27" s="1546">
        <f t="shared" si="47"/>
        <v>0</v>
      </c>
      <c r="DI27" s="1546">
        <f t="shared" si="47"/>
        <v>0</v>
      </c>
      <c r="DJ27" s="1546">
        <f t="shared" si="47"/>
        <v>0</v>
      </c>
      <c r="DK27" s="1546">
        <f t="shared" si="47"/>
        <v>0</v>
      </c>
      <c r="DL27" s="1546">
        <f t="shared" si="47"/>
        <v>0</v>
      </c>
      <c r="DM27" s="1546">
        <f t="shared" si="47"/>
        <v>0</v>
      </c>
      <c r="DO27" s="1546">
        <f t="shared" si="48"/>
        <v>0</v>
      </c>
      <c r="DP27" s="1546">
        <f t="shared" si="48"/>
        <v>0</v>
      </c>
      <c r="DQ27" s="1546">
        <f t="shared" si="48"/>
        <v>0</v>
      </c>
      <c r="DR27" s="1546">
        <f t="shared" si="48"/>
        <v>0</v>
      </c>
      <c r="DS27" s="1546">
        <f t="shared" si="48"/>
        <v>0</v>
      </c>
      <c r="DT27" s="1546">
        <f t="shared" si="48"/>
        <v>0</v>
      </c>
      <c r="DU27" s="1546">
        <f t="shared" si="48"/>
        <v>0</v>
      </c>
      <c r="DV27" s="1546">
        <f t="shared" si="48"/>
        <v>0</v>
      </c>
      <c r="DX27" s="1546">
        <f t="shared" si="49"/>
        <v>0</v>
      </c>
      <c r="DY27" s="1546">
        <f t="shared" si="49"/>
        <v>0</v>
      </c>
      <c r="DZ27" s="1546">
        <f t="shared" si="49"/>
        <v>0</v>
      </c>
      <c r="EA27" s="1546">
        <f t="shared" si="49"/>
        <v>0</v>
      </c>
      <c r="EB27" s="1546">
        <f t="shared" si="49"/>
        <v>0</v>
      </c>
      <c r="EC27" s="1546">
        <f t="shared" si="49"/>
        <v>0</v>
      </c>
      <c r="ED27" s="1546">
        <f t="shared" si="49"/>
        <v>0</v>
      </c>
      <c r="EE27" s="1546">
        <f t="shared" si="49"/>
        <v>0</v>
      </c>
      <c r="EG27" s="1546">
        <f t="shared" si="50"/>
        <v>0</v>
      </c>
      <c r="EH27" s="1546">
        <f t="shared" si="50"/>
        <v>0</v>
      </c>
      <c r="EI27" s="1546">
        <f t="shared" si="50"/>
        <v>0</v>
      </c>
      <c r="EJ27" s="1546">
        <f t="shared" si="50"/>
        <v>0</v>
      </c>
      <c r="EK27" s="1546">
        <f t="shared" si="50"/>
        <v>0</v>
      </c>
      <c r="EL27" s="1546">
        <f t="shared" si="50"/>
        <v>0</v>
      </c>
      <c r="EM27" s="1546">
        <f t="shared" si="50"/>
        <v>0</v>
      </c>
      <c r="EN27" s="1546">
        <f t="shared" si="50"/>
        <v>0</v>
      </c>
      <c r="EP27" s="1546">
        <f t="shared" si="51"/>
        <v>0</v>
      </c>
      <c r="EQ27" s="1546">
        <f t="shared" si="51"/>
        <v>0</v>
      </c>
      <c r="ER27" s="1546">
        <f t="shared" si="51"/>
        <v>0</v>
      </c>
      <c r="ES27" s="1546">
        <f t="shared" si="51"/>
        <v>0</v>
      </c>
      <c r="ET27" s="1546">
        <f t="shared" si="51"/>
        <v>0</v>
      </c>
      <c r="EU27" s="1546">
        <f t="shared" si="51"/>
        <v>0</v>
      </c>
      <c r="EV27" s="1546">
        <f t="shared" si="51"/>
        <v>0</v>
      </c>
      <c r="EW27" s="1546">
        <f t="shared" si="51"/>
        <v>0</v>
      </c>
    </row>
    <row r="28" spans="1:153" ht="28.5" customHeight="1" x14ac:dyDescent="0.3">
      <c r="A28" s="334">
        <v>25</v>
      </c>
      <c r="B28" s="902"/>
      <c r="C28" s="902"/>
      <c r="D28" s="902"/>
      <c r="E28" s="334" t="str">
        <f>IF($C28="","",VLOOKUP($A28&amp;"."&amp;E$2,'Equipment Weight Calc'!$L:$M,2,0))</f>
        <v/>
      </c>
      <c r="F28" s="334" t="str">
        <f>IF($C28="","",VLOOKUP($A28&amp;"."&amp;F$2,'Equipment Weight Calc'!$L:$M,2,0))</f>
        <v/>
      </c>
      <c r="G28" s="334" t="str">
        <f>IF($C28="","",VLOOKUP($A28&amp;"."&amp;G$2,'Equipment Weight Calc'!$L:$M,2,0))</f>
        <v/>
      </c>
      <c r="H28" s="334" t="str">
        <f>IF($C28="","",VLOOKUP($A28&amp;"."&amp;H$2,'Equipment Weight Calc'!$L:$M,2,0))</f>
        <v/>
      </c>
      <c r="I28" s="334" t="str">
        <f>IF($C28="","",VLOOKUP($A28&amp;"."&amp;I$2,'Equipment Weight Calc'!$L:$M,2,0))</f>
        <v/>
      </c>
      <c r="J28" s="683"/>
      <c r="K28" s="663" t="str">
        <f>IF($C28="","",VLOOKUP($A28&amp;"."&amp;K$2,'Equipment Weight Calc'!$L:$M,2,0))</f>
        <v/>
      </c>
      <c r="L28" s="334" t="str">
        <f>IF($C28="","",VLOOKUP($A28&amp;"."&amp;L$2,'Equipment Weight Calc'!$L:$M,2,0))</f>
        <v/>
      </c>
      <c r="M28" s="663" t="str">
        <f>IF($C28="","",VLOOKUP($A28&amp;"."&amp;M$2,'Equipment Weight Calc'!$L:$M,2,0))</f>
        <v/>
      </c>
      <c r="N28" s="334" t="str">
        <f>IF($C28="","",VLOOKUP($A28&amp;"."&amp;N$2,'Equipment Weight Calc'!$L:$M,2,0))</f>
        <v/>
      </c>
      <c r="O28" s="683"/>
      <c r="P28" s="680"/>
      <c r="Q28" s="513" t="str">
        <f>IF($C28="","",VLOOKUP($A28&amp;"."&amp;Q$2,'Equipment Weight Calc'!$L:$M,2,0))</f>
        <v/>
      </c>
      <c r="R28" s="513" t="str">
        <f t="shared" si="52"/>
        <v/>
      </c>
      <c r="S28" s="334" t="str">
        <f>IFERROR(O28*N28,"")</f>
        <v/>
      </c>
      <c r="T28" s="692"/>
      <c r="U28" s="488" t="str">
        <f>IFERROR(T28*N28,"")</f>
        <v/>
      </c>
      <c r="V28" s="488" t="str">
        <f>IFERROR(T28*S28,"")</f>
        <v/>
      </c>
      <c r="X28" s="683"/>
      <c r="Y28" s="334">
        <f t="shared" si="53"/>
        <v>0</v>
      </c>
      <c r="Z28" s="746"/>
      <c r="AA28" s="488">
        <f t="shared" si="54"/>
        <v>0</v>
      </c>
      <c r="AC28" s="821"/>
      <c r="AD28" s="822"/>
      <c r="AE28" s="822"/>
      <c r="AF28" s="814">
        <f t="shared" si="55"/>
        <v>0</v>
      </c>
      <c r="AG28" s="814">
        <f t="shared" si="56"/>
        <v>0</v>
      </c>
      <c r="AH28" s="816">
        <v>18</v>
      </c>
      <c r="AI28" s="818">
        <f t="shared" si="57"/>
        <v>0</v>
      </c>
      <c r="AK28" s="1546">
        <f t="shared" si="28"/>
        <v>0</v>
      </c>
      <c r="AL28" s="1546">
        <f t="shared" si="28"/>
        <v>0</v>
      </c>
      <c r="AM28" s="1546">
        <f t="shared" si="28"/>
        <v>0</v>
      </c>
      <c r="AN28" s="1546">
        <f t="shared" si="28"/>
        <v>0</v>
      </c>
      <c r="AO28" s="1546">
        <f t="shared" si="28"/>
        <v>0</v>
      </c>
      <c r="AP28" s="1546">
        <f t="shared" si="28"/>
        <v>0</v>
      </c>
      <c r="AQ28" s="1546">
        <f t="shared" si="28"/>
        <v>0</v>
      </c>
      <c r="AR28" s="1546">
        <f t="shared" si="28"/>
        <v>0</v>
      </c>
      <c r="AS28" s="1546">
        <f t="shared" si="28"/>
        <v>0</v>
      </c>
      <c r="AT28" s="1546">
        <f t="shared" si="28"/>
        <v>0</v>
      </c>
      <c r="AU28" s="1546">
        <f t="shared" si="28"/>
        <v>0</v>
      </c>
      <c r="AV28" s="1546">
        <f t="shared" si="28"/>
        <v>0</v>
      </c>
      <c r="AW28" s="1546">
        <f t="shared" si="28"/>
        <v>0</v>
      </c>
      <c r="AX28" s="1546">
        <f t="shared" si="28"/>
        <v>0</v>
      </c>
      <c r="AY28" s="1546">
        <f t="shared" si="28"/>
        <v>0</v>
      </c>
      <c r="AZ28" s="1546">
        <f t="shared" si="28"/>
        <v>0</v>
      </c>
      <c r="BA28" s="1546">
        <f t="shared" si="29"/>
        <v>1</v>
      </c>
      <c r="BC28" s="663" t="str">
        <f>IF($C28="","",VLOOKUP($A28&amp;"."&amp;BC$3,'Equipment Weight Calc'!$L:$M,2,0))</f>
        <v/>
      </c>
      <c r="BD28" s="663" t="str">
        <f>IF($C28="","",VLOOKUP($A28&amp;"."&amp;BD$3,'Equipment Weight Calc'!$L:$M,2,0))</f>
        <v/>
      </c>
      <c r="BE28" s="663" t="str">
        <f>IF($C28="","",VLOOKUP($A28&amp;"."&amp;BE$3,'Equipment Weight Calc'!$L:$M,2,0))</f>
        <v/>
      </c>
      <c r="BF28" s="663" t="str">
        <f>IF($C28="","",VLOOKUP($A28&amp;"."&amp;BF$3,'Equipment Weight Calc'!$L:$M,2,0))</f>
        <v/>
      </c>
      <c r="BG28" s="663" t="str">
        <f>IF($C28="","",VLOOKUP($A28&amp;"."&amp;BG$3,'Equipment Weight Calc'!$L:$M,2,0))</f>
        <v/>
      </c>
      <c r="BH28" s="663" t="str">
        <f>IF($C28="","",VLOOKUP($A28&amp;"."&amp;BH$3,'Equipment Weight Calc'!$L:$M,2,0))</f>
        <v/>
      </c>
      <c r="BI28" s="663" t="str">
        <f>IF($C28="","",VLOOKUP($A28&amp;"."&amp;BI$3,'Equipment Weight Calc'!$L:$M,2,0))</f>
        <v/>
      </c>
      <c r="BJ28" s="663" t="str">
        <f>IF($C28="","",VLOOKUP($A28&amp;"."&amp;BJ$3,'Equipment Weight Calc'!$L:$M,2,0))</f>
        <v/>
      </c>
      <c r="BK28" s="663" t="str">
        <f>IF($C28="","",VLOOKUP($A28&amp;"."&amp;BK$3,'Equipment Weight Calc'!$L:$M,2,0))</f>
        <v/>
      </c>
      <c r="BL28" s="663" t="str">
        <f>IF($C28="","",VLOOKUP($A28&amp;"."&amp;BL$3,'Equipment Weight Calc'!$L:$M,2,0))</f>
        <v/>
      </c>
      <c r="BM28" s="663" t="str">
        <f>IF($C28="","",VLOOKUP($A28&amp;"."&amp;BM$3,'Equipment Weight Calc'!$L:$M,2,0))</f>
        <v/>
      </c>
      <c r="BN28" s="663" t="str">
        <f>IF($C28="","",VLOOKUP($A28&amp;"."&amp;BN$3,'Equipment Weight Calc'!$L:$M,2,0))</f>
        <v/>
      </c>
      <c r="BO28" s="663" t="str">
        <f>IF($C28="","",VLOOKUP($A28&amp;"."&amp;BO$3,'Equipment Weight Calc'!$L:$M,2,0))</f>
        <v/>
      </c>
      <c r="BP28" s="663" t="str">
        <f>IF($C28="","",VLOOKUP($A28&amp;"."&amp;BP$3,'Equipment Weight Calc'!$L:$M,2,0))</f>
        <v/>
      </c>
      <c r="BQ28" s="663" t="str">
        <f>IF($C28="","",VLOOKUP($A28&amp;"."&amp;BQ$3,'Equipment Weight Calc'!$L:$M,2,0))</f>
        <v/>
      </c>
      <c r="BR28" s="663" t="str">
        <f>IF($C28="","",VLOOKUP($A28&amp;"."&amp;BR$3,'Equipment Weight Calc'!$L:$M,2,0))</f>
        <v/>
      </c>
      <c r="BS28" s="663" t="str">
        <f>IF($C28="","",VLOOKUP($A28&amp;"."&amp;BS$3,'Equipment Weight Calc'!$L:$M,2,0))</f>
        <v/>
      </c>
      <c r="BT28" s="663" t="str">
        <f>IF($C28="","",VLOOKUP($A28&amp;"."&amp;BT$3,'Equipment Weight Calc'!$L:$M,2,0))</f>
        <v/>
      </c>
      <c r="BV28" s="1546">
        <f t="shared" si="43"/>
        <v>0</v>
      </c>
      <c r="BW28" s="1546">
        <f t="shared" si="43"/>
        <v>0</v>
      </c>
      <c r="BX28" s="1546">
        <f t="shared" si="43"/>
        <v>0</v>
      </c>
      <c r="BY28" s="1546">
        <f t="shared" si="43"/>
        <v>0</v>
      </c>
      <c r="BZ28" s="1546">
        <f t="shared" si="43"/>
        <v>0</v>
      </c>
      <c r="CA28" s="1546">
        <f t="shared" si="43"/>
        <v>0</v>
      </c>
      <c r="CB28" s="1546">
        <f t="shared" si="43"/>
        <v>0</v>
      </c>
      <c r="CC28" s="1546">
        <f t="shared" si="43"/>
        <v>0</v>
      </c>
      <c r="CE28" s="1546">
        <f t="shared" si="44"/>
        <v>0</v>
      </c>
      <c r="CF28" s="1546">
        <f t="shared" si="44"/>
        <v>0</v>
      </c>
      <c r="CG28" s="1546">
        <f t="shared" si="44"/>
        <v>0</v>
      </c>
      <c r="CH28" s="1546">
        <f t="shared" si="44"/>
        <v>0</v>
      </c>
      <c r="CI28" s="1546">
        <f t="shared" si="44"/>
        <v>0</v>
      </c>
      <c r="CJ28" s="1546">
        <f t="shared" si="44"/>
        <v>0</v>
      </c>
      <c r="CK28" s="1546">
        <f t="shared" si="44"/>
        <v>0</v>
      </c>
      <c r="CL28" s="1546">
        <f t="shared" si="44"/>
        <v>0</v>
      </c>
      <c r="CN28" s="1546">
        <f t="shared" si="45"/>
        <v>0</v>
      </c>
      <c r="CO28" s="1546">
        <f t="shared" si="45"/>
        <v>0</v>
      </c>
      <c r="CP28" s="1546">
        <f t="shared" si="45"/>
        <v>0</v>
      </c>
      <c r="CQ28" s="1546">
        <f t="shared" si="45"/>
        <v>0</v>
      </c>
      <c r="CR28" s="1546">
        <f t="shared" si="45"/>
        <v>0</v>
      </c>
      <c r="CS28" s="1546">
        <f t="shared" si="45"/>
        <v>0</v>
      </c>
      <c r="CT28" s="1546">
        <f t="shared" si="45"/>
        <v>0</v>
      </c>
      <c r="CU28" s="1546">
        <f t="shared" si="45"/>
        <v>0</v>
      </c>
      <c r="CW28" s="1546">
        <f t="shared" si="46"/>
        <v>0</v>
      </c>
      <c r="CX28" s="1546">
        <f t="shared" si="46"/>
        <v>0</v>
      </c>
      <c r="CY28" s="1546">
        <f t="shared" si="46"/>
        <v>0</v>
      </c>
      <c r="CZ28" s="1546">
        <f t="shared" si="46"/>
        <v>0</v>
      </c>
      <c r="DA28" s="1546">
        <f t="shared" si="46"/>
        <v>0</v>
      </c>
      <c r="DB28" s="1546">
        <f t="shared" si="46"/>
        <v>0</v>
      </c>
      <c r="DC28" s="1546">
        <f t="shared" si="46"/>
        <v>0</v>
      </c>
      <c r="DD28" s="1546">
        <f t="shared" si="46"/>
        <v>0</v>
      </c>
      <c r="DF28" s="1546">
        <f t="shared" si="47"/>
        <v>0</v>
      </c>
      <c r="DG28" s="1546">
        <f t="shared" si="47"/>
        <v>0</v>
      </c>
      <c r="DH28" s="1546">
        <f t="shared" si="47"/>
        <v>0</v>
      </c>
      <c r="DI28" s="1546">
        <f t="shared" si="47"/>
        <v>0</v>
      </c>
      <c r="DJ28" s="1546">
        <f t="shared" si="47"/>
        <v>0</v>
      </c>
      <c r="DK28" s="1546">
        <f t="shared" si="47"/>
        <v>0</v>
      </c>
      <c r="DL28" s="1546">
        <f t="shared" si="47"/>
        <v>0</v>
      </c>
      <c r="DM28" s="1546">
        <f t="shared" si="47"/>
        <v>0</v>
      </c>
      <c r="DO28" s="1546">
        <f t="shared" si="48"/>
        <v>0</v>
      </c>
      <c r="DP28" s="1546">
        <f t="shared" si="48"/>
        <v>0</v>
      </c>
      <c r="DQ28" s="1546">
        <f t="shared" si="48"/>
        <v>0</v>
      </c>
      <c r="DR28" s="1546">
        <f t="shared" si="48"/>
        <v>0</v>
      </c>
      <c r="DS28" s="1546">
        <f t="shared" si="48"/>
        <v>0</v>
      </c>
      <c r="DT28" s="1546">
        <f t="shared" si="48"/>
        <v>0</v>
      </c>
      <c r="DU28" s="1546">
        <f t="shared" si="48"/>
        <v>0</v>
      </c>
      <c r="DV28" s="1546">
        <f t="shared" si="48"/>
        <v>0</v>
      </c>
      <c r="DX28" s="1546">
        <f t="shared" si="49"/>
        <v>0</v>
      </c>
      <c r="DY28" s="1546">
        <f t="shared" si="49"/>
        <v>0</v>
      </c>
      <c r="DZ28" s="1546">
        <f t="shared" si="49"/>
        <v>0</v>
      </c>
      <c r="EA28" s="1546">
        <f t="shared" si="49"/>
        <v>0</v>
      </c>
      <c r="EB28" s="1546">
        <f t="shared" si="49"/>
        <v>0</v>
      </c>
      <c r="EC28" s="1546">
        <f t="shared" si="49"/>
        <v>0</v>
      </c>
      <c r="ED28" s="1546">
        <f t="shared" si="49"/>
        <v>0</v>
      </c>
      <c r="EE28" s="1546">
        <f t="shared" si="49"/>
        <v>0</v>
      </c>
      <c r="EG28" s="1546">
        <f t="shared" si="50"/>
        <v>0</v>
      </c>
      <c r="EH28" s="1546">
        <f t="shared" si="50"/>
        <v>0</v>
      </c>
      <c r="EI28" s="1546">
        <f t="shared" si="50"/>
        <v>0</v>
      </c>
      <c r="EJ28" s="1546">
        <f t="shared" si="50"/>
        <v>0</v>
      </c>
      <c r="EK28" s="1546">
        <f t="shared" si="50"/>
        <v>0</v>
      </c>
      <c r="EL28" s="1546">
        <f t="shared" si="50"/>
        <v>0</v>
      </c>
      <c r="EM28" s="1546">
        <f t="shared" si="50"/>
        <v>0</v>
      </c>
      <c r="EN28" s="1546">
        <f t="shared" si="50"/>
        <v>0</v>
      </c>
      <c r="EP28" s="1546">
        <f t="shared" si="51"/>
        <v>0</v>
      </c>
      <c r="EQ28" s="1546">
        <f t="shared" si="51"/>
        <v>0</v>
      </c>
      <c r="ER28" s="1546">
        <f t="shared" si="51"/>
        <v>0</v>
      </c>
      <c r="ES28" s="1546">
        <f t="shared" si="51"/>
        <v>0</v>
      </c>
      <c r="ET28" s="1546">
        <f t="shared" si="51"/>
        <v>0</v>
      </c>
      <c r="EU28" s="1546">
        <f t="shared" si="51"/>
        <v>0</v>
      </c>
      <c r="EV28" s="1546">
        <f t="shared" si="51"/>
        <v>0</v>
      </c>
      <c r="EW28" s="1546">
        <f t="shared" si="51"/>
        <v>0</v>
      </c>
    </row>
    <row r="29" spans="1:153" ht="28.5" customHeight="1" thickBot="1" x14ac:dyDescent="0.35">
      <c r="A29" s="334">
        <v>26</v>
      </c>
      <c r="B29" s="902"/>
      <c r="C29" s="902"/>
      <c r="D29" s="902"/>
      <c r="E29" s="334" t="str">
        <f>IF($C29="","",VLOOKUP($A29&amp;"."&amp;E$2,'Equipment Weight Calc'!$L:$M,2,0))</f>
        <v/>
      </c>
      <c r="F29" s="334" t="str">
        <f>IF($C29="","",VLOOKUP($A29&amp;"."&amp;F$2,'Equipment Weight Calc'!$L:$M,2,0))</f>
        <v/>
      </c>
      <c r="G29" s="334" t="str">
        <f>IF($C29="","",VLOOKUP($A29&amp;"."&amp;G$2,'Equipment Weight Calc'!$L:$M,2,0))</f>
        <v/>
      </c>
      <c r="H29" s="334" t="str">
        <f>IF($C29="","",VLOOKUP($A29&amp;"."&amp;H$2,'Equipment Weight Calc'!$L:$M,2,0))</f>
        <v/>
      </c>
      <c r="I29" s="334" t="str">
        <f>IF($C29="","",VLOOKUP($A29&amp;"."&amp;I$2,'Equipment Weight Calc'!$L:$M,2,0))</f>
        <v/>
      </c>
      <c r="J29" s="683"/>
      <c r="K29" s="663" t="str">
        <f>IF($C29="","",VLOOKUP($A29&amp;"."&amp;K$2,'Equipment Weight Calc'!$L:$M,2,0))</f>
        <v/>
      </c>
      <c r="L29" s="334" t="str">
        <f>IF($C29="","",VLOOKUP($A29&amp;"."&amp;L$2,'Equipment Weight Calc'!$L:$M,2,0))</f>
        <v/>
      </c>
      <c r="M29" s="663" t="str">
        <f>IF($C29="","",VLOOKUP($A29&amp;"."&amp;M$2,'Equipment Weight Calc'!$L:$M,2,0))</f>
        <v/>
      </c>
      <c r="N29" s="334" t="str">
        <f>IF($C29="","",VLOOKUP($A29&amp;"."&amp;N$2,'Equipment Weight Calc'!$L:$M,2,0))</f>
        <v/>
      </c>
      <c r="O29" s="683"/>
      <c r="P29" s="680"/>
      <c r="Q29" s="513" t="str">
        <f>IF($C29="","",VLOOKUP($A29&amp;"."&amp;Q$2,'Equipment Weight Calc'!$L:$M,2,0))</f>
        <v/>
      </c>
      <c r="R29" s="513" t="str">
        <f t="shared" si="52"/>
        <v/>
      </c>
      <c r="S29" s="334" t="str">
        <f>IFERROR(O29*N29,"")</f>
        <v/>
      </c>
      <c r="T29" s="692"/>
      <c r="U29" s="488" t="str">
        <f>IFERROR(T29*N29,"")</f>
        <v/>
      </c>
      <c r="V29" s="488" t="str">
        <f>IFERROR(T29*S29,"")</f>
        <v/>
      </c>
      <c r="X29" s="683"/>
      <c r="Y29" s="334">
        <f t="shared" si="53"/>
        <v>0</v>
      </c>
      <c r="Z29" s="746"/>
      <c r="AA29" s="488">
        <f t="shared" si="54"/>
        <v>0</v>
      </c>
      <c r="AC29" s="821"/>
      <c r="AD29" s="822"/>
      <c r="AE29" s="822"/>
      <c r="AF29" s="814">
        <f t="shared" si="55"/>
        <v>0</v>
      </c>
      <c r="AG29" s="814">
        <f t="shared" si="56"/>
        <v>0</v>
      </c>
      <c r="AH29" s="816">
        <v>18</v>
      </c>
      <c r="AI29" s="818">
        <f t="shared" si="57"/>
        <v>0</v>
      </c>
      <c r="AK29" s="1546">
        <f t="shared" si="28"/>
        <v>0</v>
      </c>
      <c r="AL29" s="1546">
        <f t="shared" si="28"/>
        <v>0</v>
      </c>
      <c r="AM29" s="1546">
        <f t="shared" si="28"/>
        <v>0</v>
      </c>
      <c r="AN29" s="1546">
        <f t="shared" si="28"/>
        <v>0</v>
      </c>
      <c r="AO29" s="1546">
        <f t="shared" si="28"/>
        <v>0</v>
      </c>
      <c r="AP29" s="1546">
        <f t="shared" si="28"/>
        <v>0</v>
      </c>
      <c r="AQ29" s="1546">
        <f t="shared" si="28"/>
        <v>0</v>
      </c>
      <c r="AR29" s="1546">
        <f t="shared" si="28"/>
        <v>0</v>
      </c>
      <c r="AS29" s="1546">
        <f t="shared" si="28"/>
        <v>0</v>
      </c>
      <c r="AT29" s="1546">
        <f t="shared" si="28"/>
        <v>0</v>
      </c>
      <c r="AU29" s="1546">
        <f t="shared" si="28"/>
        <v>0</v>
      </c>
      <c r="AV29" s="1546">
        <f t="shared" si="28"/>
        <v>0</v>
      </c>
      <c r="AW29" s="1546">
        <f t="shared" si="28"/>
        <v>0</v>
      </c>
      <c r="AX29" s="1546">
        <f t="shared" si="28"/>
        <v>0</v>
      </c>
      <c r="AY29" s="1546">
        <f t="shared" si="28"/>
        <v>0</v>
      </c>
      <c r="AZ29" s="1546">
        <f t="shared" si="28"/>
        <v>0</v>
      </c>
      <c r="BA29" s="1546">
        <f t="shared" si="29"/>
        <v>1</v>
      </c>
      <c r="BC29" s="1270" t="str">
        <f>IF($C29="","",VLOOKUP($A29&amp;"."&amp;BC$3,'Equipment Weight Calc'!$L:$M,2,0))</f>
        <v/>
      </c>
      <c r="BD29" s="1270" t="str">
        <f>IF($C29="","",VLOOKUP($A29&amp;"."&amp;BD$3,'Equipment Weight Calc'!$L:$M,2,0))</f>
        <v/>
      </c>
      <c r="BE29" s="1270" t="str">
        <f>IF($C29="","",VLOOKUP($A29&amp;"."&amp;BE$3,'Equipment Weight Calc'!$L:$M,2,0))</f>
        <v/>
      </c>
      <c r="BF29" s="1270" t="str">
        <f>IF($C29="","",VLOOKUP($A29&amp;"."&amp;BF$3,'Equipment Weight Calc'!$L:$M,2,0))</f>
        <v/>
      </c>
      <c r="BG29" s="1270" t="str">
        <f>IF($C29="","",VLOOKUP($A29&amp;"."&amp;BG$3,'Equipment Weight Calc'!$L:$M,2,0))</f>
        <v/>
      </c>
      <c r="BH29" s="1270" t="str">
        <f>IF($C29="","",VLOOKUP($A29&amp;"."&amp;BH$3,'Equipment Weight Calc'!$L:$M,2,0))</f>
        <v/>
      </c>
      <c r="BI29" s="1270" t="str">
        <f>IF($C29="","",VLOOKUP($A29&amp;"."&amp;BI$3,'Equipment Weight Calc'!$L:$M,2,0))</f>
        <v/>
      </c>
      <c r="BJ29" s="1270" t="str">
        <f>IF($C29="","",VLOOKUP($A29&amp;"."&amp;BJ$3,'Equipment Weight Calc'!$L:$M,2,0))</f>
        <v/>
      </c>
      <c r="BK29" s="1270" t="str">
        <f>IF($C29="","",VLOOKUP($A29&amp;"."&amp;BK$3,'Equipment Weight Calc'!$L:$M,2,0))</f>
        <v/>
      </c>
      <c r="BL29" s="1270" t="str">
        <f>IF($C29="","",VLOOKUP($A29&amp;"."&amp;BL$3,'Equipment Weight Calc'!$L:$M,2,0))</f>
        <v/>
      </c>
      <c r="BM29" s="1270" t="str">
        <f>IF($C29="","",VLOOKUP($A29&amp;"."&amp;BM$3,'Equipment Weight Calc'!$L:$M,2,0))</f>
        <v/>
      </c>
      <c r="BN29" s="1270" t="str">
        <f>IF($C29="","",VLOOKUP($A29&amp;"."&amp;BN$3,'Equipment Weight Calc'!$L:$M,2,0))</f>
        <v/>
      </c>
      <c r="BO29" s="1270" t="str">
        <f>IF($C29="","",VLOOKUP($A29&amp;"."&amp;BO$3,'Equipment Weight Calc'!$L:$M,2,0))</f>
        <v/>
      </c>
      <c r="BP29" s="1270" t="str">
        <f>IF($C29="","",VLOOKUP($A29&amp;"."&amp;BP$3,'Equipment Weight Calc'!$L:$M,2,0))</f>
        <v/>
      </c>
      <c r="BQ29" s="1270" t="str">
        <f>IF($C29="","",VLOOKUP($A29&amp;"."&amp;BQ$3,'Equipment Weight Calc'!$L:$M,2,0))</f>
        <v/>
      </c>
      <c r="BR29" s="1270" t="str">
        <f>IF($C29="","",VLOOKUP($A29&amp;"."&amp;BR$3,'Equipment Weight Calc'!$L:$M,2,0))</f>
        <v/>
      </c>
      <c r="BS29" s="1270" t="str">
        <f>IF($C29="","",VLOOKUP($A29&amp;"."&amp;BS$3,'Equipment Weight Calc'!$L:$M,2,0))</f>
        <v/>
      </c>
      <c r="BT29" s="1270" t="str">
        <f>IF($C29="","",VLOOKUP($A29&amp;"."&amp;BT$3,'Equipment Weight Calc'!$L:$M,2,0))</f>
        <v/>
      </c>
      <c r="BV29" s="1549">
        <f t="shared" si="43"/>
        <v>0</v>
      </c>
      <c r="BW29" s="1549">
        <f t="shared" si="43"/>
        <v>0</v>
      </c>
      <c r="BX29" s="1549">
        <f t="shared" si="43"/>
        <v>0</v>
      </c>
      <c r="BY29" s="1549">
        <f t="shared" si="43"/>
        <v>0</v>
      </c>
      <c r="BZ29" s="1549">
        <f t="shared" si="43"/>
        <v>0</v>
      </c>
      <c r="CA29" s="1549">
        <f t="shared" si="43"/>
        <v>0</v>
      </c>
      <c r="CB29" s="1549">
        <f t="shared" si="43"/>
        <v>0</v>
      </c>
      <c r="CC29" s="1549">
        <f t="shared" si="43"/>
        <v>0</v>
      </c>
      <c r="CE29" s="1546">
        <f t="shared" si="44"/>
        <v>0</v>
      </c>
      <c r="CF29" s="1546">
        <f t="shared" si="44"/>
        <v>0</v>
      </c>
      <c r="CG29" s="1546">
        <f t="shared" si="44"/>
        <v>0</v>
      </c>
      <c r="CH29" s="1546">
        <f t="shared" si="44"/>
        <v>0</v>
      </c>
      <c r="CI29" s="1546">
        <f t="shared" si="44"/>
        <v>0</v>
      </c>
      <c r="CJ29" s="1546">
        <f t="shared" si="44"/>
        <v>0</v>
      </c>
      <c r="CK29" s="1546">
        <f t="shared" si="44"/>
        <v>0</v>
      </c>
      <c r="CL29" s="1546">
        <f t="shared" si="44"/>
        <v>0</v>
      </c>
      <c r="CN29" s="1546">
        <f t="shared" si="45"/>
        <v>0</v>
      </c>
      <c r="CO29" s="1546">
        <f t="shared" si="45"/>
        <v>0</v>
      </c>
      <c r="CP29" s="1546">
        <f t="shared" si="45"/>
        <v>0</v>
      </c>
      <c r="CQ29" s="1546">
        <f t="shared" si="45"/>
        <v>0</v>
      </c>
      <c r="CR29" s="1546">
        <f t="shared" si="45"/>
        <v>0</v>
      </c>
      <c r="CS29" s="1546">
        <f t="shared" si="45"/>
        <v>0</v>
      </c>
      <c r="CT29" s="1546">
        <f t="shared" si="45"/>
        <v>0</v>
      </c>
      <c r="CU29" s="1546">
        <f t="shared" si="45"/>
        <v>0</v>
      </c>
      <c r="CW29" s="1546">
        <f t="shared" si="46"/>
        <v>0</v>
      </c>
      <c r="CX29" s="1546">
        <f t="shared" si="46"/>
        <v>0</v>
      </c>
      <c r="CY29" s="1546">
        <f t="shared" si="46"/>
        <v>0</v>
      </c>
      <c r="CZ29" s="1546">
        <f t="shared" si="46"/>
        <v>0</v>
      </c>
      <c r="DA29" s="1546">
        <f t="shared" si="46"/>
        <v>0</v>
      </c>
      <c r="DB29" s="1546">
        <f t="shared" si="46"/>
        <v>0</v>
      </c>
      <c r="DC29" s="1546">
        <f t="shared" si="46"/>
        <v>0</v>
      </c>
      <c r="DD29" s="1546">
        <f t="shared" si="46"/>
        <v>0</v>
      </c>
      <c r="DF29" s="1546">
        <f t="shared" si="47"/>
        <v>0</v>
      </c>
      <c r="DG29" s="1546">
        <f t="shared" si="47"/>
        <v>0</v>
      </c>
      <c r="DH29" s="1546">
        <f t="shared" si="47"/>
        <v>0</v>
      </c>
      <c r="DI29" s="1546">
        <f t="shared" si="47"/>
        <v>0</v>
      </c>
      <c r="DJ29" s="1546">
        <f t="shared" si="47"/>
        <v>0</v>
      </c>
      <c r="DK29" s="1546">
        <f t="shared" si="47"/>
        <v>0</v>
      </c>
      <c r="DL29" s="1546">
        <f t="shared" si="47"/>
        <v>0</v>
      </c>
      <c r="DM29" s="1546">
        <f t="shared" si="47"/>
        <v>0</v>
      </c>
      <c r="DO29" s="1546">
        <f t="shared" si="48"/>
        <v>0</v>
      </c>
      <c r="DP29" s="1546">
        <f t="shared" si="48"/>
        <v>0</v>
      </c>
      <c r="DQ29" s="1546">
        <f t="shared" si="48"/>
        <v>0</v>
      </c>
      <c r="DR29" s="1546">
        <f t="shared" si="48"/>
        <v>0</v>
      </c>
      <c r="DS29" s="1546">
        <f t="shared" si="48"/>
        <v>0</v>
      </c>
      <c r="DT29" s="1546">
        <f t="shared" si="48"/>
        <v>0</v>
      </c>
      <c r="DU29" s="1546">
        <f t="shared" si="48"/>
        <v>0</v>
      </c>
      <c r="DV29" s="1546">
        <f t="shared" si="48"/>
        <v>0</v>
      </c>
      <c r="DX29" s="1546">
        <f t="shared" si="49"/>
        <v>0</v>
      </c>
      <c r="DY29" s="1546">
        <f t="shared" si="49"/>
        <v>0</v>
      </c>
      <c r="DZ29" s="1546">
        <f t="shared" si="49"/>
        <v>0</v>
      </c>
      <c r="EA29" s="1546">
        <f t="shared" si="49"/>
        <v>0</v>
      </c>
      <c r="EB29" s="1546">
        <f t="shared" si="49"/>
        <v>0</v>
      </c>
      <c r="EC29" s="1546">
        <f t="shared" si="49"/>
        <v>0</v>
      </c>
      <c r="ED29" s="1546">
        <f t="shared" si="49"/>
        <v>0</v>
      </c>
      <c r="EE29" s="1546">
        <f t="shared" si="49"/>
        <v>0</v>
      </c>
      <c r="EG29" s="1546">
        <f t="shared" si="50"/>
        <v>0</v>
      </c>
      <c r="EH29" s="1546">
        <f t="shared" si="50"/>
        <v>0</v>
      </c>
      <c r="EI29" s="1546">
        <f t="shared" si="50"/>
        <v>0</v>
      </c>
      <c r="EJ29" s="1546">
        <f t="shared" si="50"/>
        <v>0</v>
      </c>
      <c r="EK29" s="1546">
        <f t="shared" si="50"/>
        <v>0</v>
      </c>
      <c r="EL29" s="1546">
        <f t="shared" si="50"/>
        <v>0</v>
      </c>
      <c r="EM29" s="1546">
        <f t="shared" si="50"/>
        <v>0</v>
      </c>
      <c r="EN29" s="1546">
        <f t="shared" si="50"/>
        <v>0</v>
      </c>
      <c r="EP29" s="1546">
        <f t="shared" si="51"/>
        <v>0</v>
      </c>
      <c r="EQ29" s="1546">
        <f t="shared" si="51"/>
        <v>0</v>
      </c>
      <c r="ER29" s="1546">
        <f t="shared" si="51"/>
        <v>0</v>
      </c>
      <c r="ES29" s="1546">
        <f t="shared" si="51"/>
        <v>0</v>
      </c>
      <c r="ET29" s="1546">
        <f t="shared" si="51"/>
        <v>0</v>
      </c>
      <c r="EU29" s="1546">
        <f t="shared" si="51"/>
        <v>0</v>
      </c>
      <c r="EV29" s="1546">
        <f t="shared" si="51"/>
        <v>0</v>
      </c>
      <c r="EW29" s="1546">
        <f t="shared" si="51"/>
        <v>0</v>
      </c>
    </row>
    <row r="30" spans="1:153" ht="31.5" customHeight="1" thickBot="1" x14ac:dyDescent="0.35">
      <c r="A30" s="380" t="s">
        <v>2070</v>
      </c>
      <c r="B30" s="401"/>
      <c r="C30" s="401"/>
      <c r="D30" s="401"/>
      <c r="E30" s="401"/>
      <c r="F30" s="401"/>
      <c r="G30" s="401"/>
      <c r="H30" s="401"/>
      <c r="I30" s="401"/>
      <c r="J30" s="401"/>
      <c r="K30" s="401"/>
      <c r="L30" s="401"/>
      <c r="M30" s="401"/>
      <c r="N30" s="401"/>
      <c r="O30" s="401"/>
      <c r="P30" s="401"/>
      <c r="Q30" s="401"/>
      <c r="R30" s="401"/>
      <c r="S30" s="401"/>
      <c r="T30" s="401"/>
      <c r="U30" s="401"/>
      <c r="V30" s="802">
        <f>SUM(V33:V52)</f>
        <v>163000</v>
      </c>
      <c r="X30" s="509"/>
      <c r="Y30" s="509"/>
      <c r="Z30" s="747"/>
      <c r="AA30" s="509"/>
      <c r="AC30" s="380" t="s">
        <v>2045</v>
      </c>
      <c r="AD30" s="401"/>
      <c r="AE30" s="743"/>
      <c r="AF30" s="401"/>
      <c r="AG30" s="401"/>
      <c r="AH30" s="401"/>
      <c r="AI30" s="812"/>
      <c r="AK30" s="1546">
        <f t="shared" si="28"/>
        <v>0</v>
      </c>
      <c r="AL30" s="1546">
        <f t="shared" si="28"/>
        <v>0</v>
      </c>
      <c r="AM30" s="1546">
        <f t="shared" si="28"/>
        <v>0</v>
      </c>
      <c r="AN30" s="1546">
        <f t="shared" si="28"/>
        <v>0</v>
      </c>
      <c r="AO30" s="1546">
        <f t="shared" si="28"/>
        <v>0</v>
      </c>
      <c r="AP30" s="1546">
        <f t="shared" si="28"/>
        <v>0</v>
      </c>
      <c r="AQ30" s="1546">
        <f t="shared" si="28"/>
        <v>0</v>
      </c>
      <c r="AR30" s="1546">
        <f t="shared" si="28"/>
        <v>0</v>
      </c>
      <c r="AS30" s="1546">
        <f t="shared" si="28"/>
        <v>0</v>
      </c>
      <c r="AT30" s="1546">
        <f t="shared" si="28"/>
        <v>0</v>
      </c>
      <c r="AU30" s="1546">
        <f t="shared" si="28"/>
        <v>0</v>
      </c>
      <c r="AV30" s="1546">
        <f t="shared" si="28"/>
        <v>0</v>
      </c>
      <c r="AW30" s="1546">
        <f t="shared" si="28"/>
        <v>0</v>
      </c>
      <c r="AX30" s="1546">
        <f t="shared" si="28"/>
        <v>0</v>
      </c>
      <c r="AY30" s="1546">
        <f t="shared" si="28"/>
        <v>0</v>
      </c>
      <c r="AZ30" s="1546">
        <f t="shared" si="28"/>
        <v>0</v>
      </c>
      <c r="BA30" s="1546">
        <f t="shared" si="29"/>
        <v>1</v>
      </c>
      <c r="BC30" s="1271"/>
      <c r="BD30" s="1271"/>
      <c r="BE30" s="1271"/>
      <c r="BF30" s="1271"/>
      <c r="BG30" s="1271"/>
      <c r="BH30" s="1271"/>
      <c r="BI30" s="1271"/>
      <c r="BJ30" s="1271"/>
      <c r="BK30" s="1271"/>
      <c r="BL30" s="1271"/>
      <c r="BM30" s="1271"/>
      <c r="BN30" s="1271"/>
      <c r="BO30" s="1271"/>
      <c r="BP30" s="1271"/>
      <c r="BQ30" s="1271"/>
      <c r="BR30" s="1271"/>
      <c r="BS30" s="1271"/>
      <c r="BT30" s="1271"/>
      <c r="BV30" s="3"/>
      <c r="BW30" s="3"/>
      <c r="BX30" s="3"/>
      <c r="BY30" s="3"/>
      <c r="BZ30" s="3"/>
      <c r="CA30" s="3"/>
      <c r="CB30" s="3"/>
      <c r="CC30" s="3"/>
      <c r="CE30" s="3"/>
      <c r="CF30" s="3"/>
      <c r="CG30" s="3"/>
      <c r="CH30" s="3"/>
      <c r="CI30" s="3"/>
      <c r="CJ30" s="3"/>
      <c r="CK30" s="3"/>
      <c r="CL30" s="3"/>
      <c r="CN30" s="3"/>
      <c r="CO30" s="3"/>
      <c r="CP30" s="3"/>
      <c r="CQ30" s="3"/>
      <c r="CR30" s="3"/>
      <c r="CS30" s="3"/>
      <c r="CT30" s="3"/>
      <c r="CU30" s="3"/>
      <c r="CW30" s="3"/>
      <c r="CX30" s="3"/>
      <c r="CY30" s="3"/>
      <c r="CZ30" s="3"/>
      <c r="DA30" s="3"/>
      <c r="DB30" s="3"/>
      <c r="DC30" s="3"/>
      <c r="DD30" s="3"/>
      <c r="DF30" s="3"/>
      <c r="DG30" s="3"/>
      <c r="DH30" s="3"/>
      <c r="DI30" s="3"/>
      <c r="DJ30" s="3"/>
      <c r="DK30" s="3"/>
      <c r="DL30" s="3"/>
      <c r="DM30" s="3"/>
      <c r="DO30" s="3"/>
      <c r="DP30" s="3"/>
      <c r="DQ30" s="3"/>
      <c r="DR30" s="3"/>
      <c r="DS30" s="3"/>
      <c r="DT30" s="3"/>
      <c r="DU30" s="3"/>
      <c r="DV30" s="3"/>
      <c r="DX30" s="3"/>
      <c r="DY30" s="3"/>
      <c r="DZ30" s="3"/>
      <c r="EA30" s="3"/>
      <c r="EB30" s="3"/>
      <c r="EC30" s="3"/>
      <c r="ED30" s="3"/>
      <c r="EE30" s="3"/>
      <c r="EG30" s="3"/>
      <c r="EH30" s="3"/>
      <c r="EI30" s="3"/>
      <c r="EJ30" s="3"/>
      <c r="EK30" s="3"/>
      <c r="EL30" s="3"/>
      <c r="EM30" s="3"/>
      <c r="EN30" s="3"/>
      <c r="EP30" s="3"/>
      <c r="EQ30" s="3"/>
      <c r="ER30" s="3"/>
      <c r="ES30" s="3"/>
      <c r="ET30" s="3"/>
      <c r="EU30" s="3"/>
      <c r="EV30" s="3"/>
      <c r="EW30" s="3"/>
    </row>
    <row r="31" spans="1:153" ht="28.8" x14ac:dyDescent="0.3">
      <c r="A31" s="1800" t="s">
        <v>366</v>
      </c>
      <c r="B31" s="1800" t="s">
        <v>333</v>
      </c>
      <c r="C31" s="1800" t="s">
        <v>335</v>
      </c>
      <c r="D31" s="1800" t="s">
        <v>2071</v>
      </c>
      <c r="E31" s="1800" t="s">
        <v>166</v>
      </c>
      <c r="F31" s="1428" t="s">
        <v>2072</v>
      </c>
      <c r="G31" s="1428" t="s">
        <v>172</v>
      </c>
      <c r="H31" s="1428" t="s">
        <v>173</v>
      </c>
      <c r="I31" s="1800" t="s">
        <v>175</v>
      </c>
      <c r="J31" s="1800" t="s">
        <v>2047</v>
      </c>
      <c r="K31" s="1428" t="s">
        <v>2073</v>
      </c>
      <c r="L31" s="1428" t="s">
        <v>2074</v>
      </c>
      <c r="M31" s="1428" t="s">
        <v>192</v>
      </c>
      <c r="N31" s="1428" t="s">
        <v>184</v>
      </c>
      <c r="O31" s="1428" t="s">
        <v>292</v>
      </c>
      <c r="P31" s="1782" t="s">
        <v>1871</v>
      </c>
      <c r="Q31" s="1423" t="s">
        <v>188</v>
      </c>
      <c r="R31" s="1423" t="s">
        <v>327</v>
      </c>
      <c r="S31" s="1428" t="s">
        <v>313</v>
      </c>
      <c r="T31" s="1798" t="s">
        <v>370</v>
      </c>
      <c r="U31" s="1806"/>
      <c r="V31" s="1428" t="s">
        <v>372</v>
      </c>
      <c r="X31" s="5"/>
      <c r="Y31" s="5"/>
      <c r="Z31" s="748"/>
      <c r="AA31" s="5"/>
      <c r="AC31" s="1427" t="s">
        <v>1650</v>
      </c>
      <c r="AD31" s="1428" t="s">
        <v>1651</v>
      </c>
      <c r="AE31" s="1431" t="s">
        <v>1652</v>
      </c>
      <c r="AF31" s="1428" t="s">
        <v>1653</v>
      </c>
      <c r="AG31" s="1428" t="s">
        <v>1658</v>
      </c>
      <c r="AH31" s="1429" t="s">
        <v>1659</v>
      </c>
      <c r="AI31" s="1547" t="s">
        <v>1660</v>
      </c>
      <c r="AK31" s="1546">
        <f t="shared" si="28"/>
        <v>0</v>
      </c>
      <c r="AL31" s="1546">
        <f t="shared" si="28"/>
        <v>0</v>
      </c>
      <c r="AM31" s="1546">
        <f t="shared" si="28"/>
        <v>0</v>
      </c>
      <c r="AN31" s="1546">
        <f t="shared" si="28"/>
        <v>0</v>
      </c>
      <c r="AO31" s="1546">
        <f t="shared" si="28"/>
        <v>0</v>
      </c>
      <c r="AP31" s="1546">
        <f t="shared" si="28"/>
        <v>0</v>
      </c>
      <c r="AQ31" s="1546">
        <f t="shared" si="28"/>
        <v>0</v>
      </c>
      <c r="AR31" s="1546">
        <f t="shared" si="28"/>
        <v>0</v>
      </c>
      <c r="AS31" s="1546">
        <f t="shared" si="28"/>
        <v>0</v>
      </c>
      <c r="AT31" s="1546">
        <f t="shared" si="28"/>
        <v>0</v>
      </c>
      <c r="AU31" s="1546">
        <f t="shared" si="28"/>
        <v>0</v>
      </c>
      <c r="AV31" s="1546">
        <f t="shared" si="28"/>
        <v>0</v>
      </c>
      <c r="AW31" s="1546">
        <f t="shared" si="28"/>
        <v>0</v>
      </c>
      <c r="AX31" s="1546">
        <f t="shared" si="28"/>
        <v>0</v>
      </c>
      <c r="AY31" s="1546">
        <f t="shared" si="28"/>
        <v>0</v>
      </c>
      <c r="AZ31" s="1546">
        <f t="shared" si="28"/>
        <v>0</v>
      </c>
      <c r="BA31" s="1546">
        <f t="shared" si="29"/>
        <v>0</v>
      </c>
      <c r="BC31" s="1271"/>
      <c r="BD31" s="1271"/>
      <c r="BE31" s="1271"/>
      <c r="BF31" s="1271"/>
      <c r="BG31" s="1271"/>
      <c r="BH31" s="1271"/>
      <c r="BI31" s="1271"/>
      <c r="BJ31" s="1271"/>
      <c r="BK31" s="1271"/>
      <c r="BL31" s="1271"/>
      <c r="BM31" s="1271"/>
      <c r="BN31" s="1271"/>
      <c r="BO31" s="1271"/>
      <c r="BP31" s="1271"/>
      <c r="BQ31" s="1271"/>
      <c r="BR31" s="1271"/>
      <c r="BS31" s="1271"/>
      <c r="BT31" s="1271"/>
      <c r="BV31" s="3"/>
      <c r="BW31" s="3"/>
      <c r="BX31" s="3"/>
      <c r="BY31" s="3"/>
      <c r="BZ31" s="3"/>
      <c r="CA31" s="3"/>
      <c r="CB31" s="3"/>
      <c r="CC31" s="3"/>
      <c r="CE31" s="3"/>
      <c r="CF31" s="3"/>
      <c r="CG31" s="3"/>
      <c r="CH31" s="3"/>
      <c r="CI31" s="3"/>
      <c r="CJ31" s="3"/>
      <c r="CK31" s="3"/>
      <c r="CL31" s="3"/>
      <c r="CN31" s="3"/>
      <c r="CO31" s="3"/>
      <c r="CP31" s="3"/>
      <c r="CQ31" s="3"/>
      <c r="CR31" s="3"/>
      <c r="CS31" s="3"/>
      <c r="CT31" s="3"/>
      <c r="CU31" s="3"/>
      <c r="CW31" s="3"/>
      <c r="CX31" s="3"/>
      <c r="CY31" s="3"/>
      <c r="CZ31" s="3"/>
      <c r="DA31" s="3"/>
      <c r="DB31" s="3"/>
      <c r="DC31" s="3"/>
      <c r="DD31" s="3"/>
      <c r="DF31" s="3"/>
      <c r="DG31" s="3"/>
      <c r="DH31" s="3"/>
      <c r="DI31" s="3"/>
      <c r="DJ31" s="3"/>
      <c r="DK31" s="3"/>
      <c r="DL31" s="3"/>
      <c r="DM31" s="3"/>
      <c r="DO31" s="3"/>
      <c r="DP31" s="3"/>
      <c r="DQ31" s="3"/>
      <c r="DR31" s="3"/>
      <c r="DS31" s="3"/>
      <c r="DT31" s="3"/>
      <c r="DU31" s="3"/>
      <c r="DV31" s="3"/>
      <c r="DX31" s="3"/>
      <c r="DY31" s="3"/>
      <c r="DZ31" s="3"/>
      <c r="EA31" s="3"/>
      <c r="EB31" s="3"/>
      <c r="EC31" s="3"/>
      <c r="ED31" s="3"/>
      <c r="EE31" s="3"/>
      <c r="EG31" s="3"/>
      <c r="EH31" s="3"/>
      <c r="EI31" s="3"/>
      <c r="EJ31" s="3"/>
      <c r="EK31" s="3"/>
      <c r="EL31" s="3"/>
      <c r="EM31" s="3"/>
      <c r="EN31" s="3"/>
      <c r="EP31" s="3"/>
      <c r="EQ31" s="3"/>
      <c r="ER31" s="3"/>
      <c r="ES31" s="3"/>
      <c r="ET31" s="3"/>
      <c r="EU31" s="3"/>
      <c r="EV31" s="3"/>
      <c r="EW31" s="3"/>
    </row>
    <row r="32" spans="1:153" ht="27.75" customHeight="1" thickBot="1" x14ac:dyDescent="0.35">
      <c r="A32" s="1801"/>
      <c r="B32" s="1801"/>
      <c r="C32" s="1801"/>
      <c r="D32" s="1801"/>
      <c r="E32" s="1801"/>
      <c r="F32" s="338" t="s">
        <v>2075</v>
      </c>
      <c r="G32" s="338" t="s">
        <v>177</v>
      </c>
      <c r="H32" s="338" t="s">
        <v>180</v>
      </c>
      <c r="I32" s="1801"/>
      <c r="J32" s="1801"/>
      <c r="K32" s="338" t="s">
        <v>2076</v>
      </c>
      <c r="L32" s="338" t="s">
        <v>2076</v>
      </c>
      <c r="M32" s="338" t="s">
        <v>2077</v>
      </c>
      <c r="N32" s="338" t="s">
        <v>1924</v>
      </c>
      <c r="O32" s="338" t="s">
        <v>301</v>
      </c>
      <c r="P32" s="1783"/>
      <c r="Q32" s="508" t="s">
        <v>228</v>
      </c>
      <c r="R32" s="508" t="s">
        <v>228</v>
      </c>
      <c r="S32" s="338" t="s">
        <v>222</v>
      </c>
      <c r="T32" s="338" t="s">
        <v>1068</v>
      </c>
      <c r="U32" s="338" t="s">
        <v>1925</v>
      </c>
      <c r="V32" s="338" t="s">
        <v>375</v>
      </c>
      <c r="X32" s="5"/>
      <c r="Y32" s="5"/>
      <c r="Z32" s="748"/>
      <c r="AA32" s="5"/>
      <c r="AC32" s="806" t="s">
        <v>1661</v>
      </c>
      <c r="AD32" s="338" t="s">
        <v>1661</v>
      </c>
      <c r="AE32" s="744" t="s">
        <v>1661</v>
      </c>
      <c r="AF32" s="338" t="s">
        <v>225</v>
      </c>
      <c r="AG32" s="338" t="s">
        <v>228</v>
      </c>
      <c r="AH32" s="805" t="s">
        <v>1662</v>
      </c>
      <c r="AI32" s="341" t="s">
        <v>222</v>
      </c>
      <c r="AK32" s="1546">
        <f t="shared" si="28"/>
        <v>0</v>
      </c>
      <c r="AL32" s="1546">
        <f t="shared" si="28"/>
        <v>0</v>
      </c>
      <c r="AM32" s="1546">
        <f t="shared" si="28"/>
        <v>0</v>
      </c>
      <c r="AN32" s="1546">
        <f t="shared" si="28"/>
        <v>0</v>
      </c>
      <c r="AO32" s="1546">
        <f t="shared" si="28"/>
        <v>0</v>
      </c>
      <c r="AP32" s="1546">
        <f t="shared" si="28"/>
        <v>0</v>
      </c>
      <c r="AQ32" s="1546">
        <f t="shared" si="28"/>
        <v>0</v>
      </c>
      <c r="AR32" s="1546">
        <f t="shared" si="28"/>
        <v>0</v>
      </c>
      <c r="AS32" s="1546">
        <f t="shared" si="28"/>
        <v>0</v>
      </c>
      <c r="AT32" s="1546">
        <f t="shared" si="28"/>
        <v>0</v>
      </c>
      <c r="AU32" s="1546">
        <f t="shared" si="28"/>
        <v>0</v>
      </c>
      <c r="AV32" s="1546">
        <f t="shared" si="28"/>
        <v>0</v>
      </c>
      <c r="AW32" s="1546">
        <f t="shared" si="28"/>
        <v>0</v>
      </c>
      <c r="AX32" s="1546">
        <f t="shared" si="28"/>
        <v>0</v>
      </c>
      <c r="AY32" s="1546">
        <f t="shared" si="28"/>
        <v>0</v>
      </c>
      <c r="AZ32" s="1546">
        <f t="shared" si="28"/>
        <v>0</v>
      </c>
      <c r="BA32" s="1546">
        <f t="shared" si="29"/>
        <v>1</v>
      </c>
      <c r="BC32" s="1271"/>
      <c r="BD32" s="1271"/>
      <c r="BE32" s="1271"/>
      <c r="BF32" s="1271"/>
      <c r="BG32" s="1271"/>
      <c r="BH32" s="1271"/>
      <c r="BI32" s="1271"/>
      <c r="BJ32" s="1271"/>
      <c r="BK32" s="1271"/>
      <c r="BL32" s="1271"/>
      <c r="BM32" s="1271"/>
      <c r="BN32" s="1271"/>
      <c r="BO32" s="1271"/>
      <c r="BP32" s="1271"/>
      <c r="BQ32" s="1271"/>
      <c r="BR32" s="1271"/>
      <c r="BS32" s="1271"/>
      <c r="BT32" s="1271"/>
      <c r="BV32" s="3"/>
      <c r="BW32" s="3"/>
      <c r="BX32" s="3"/>
      <c r="BY32" s="3"/>
      <c r="BZ32" s="3"/>
      <c r="CA32" s="3"/>
      <c r="CB32" s="3"/>
      <c r="CC32" s="3"/>
      <c r="CE32" s="3"/>
      <c r="CF32" s="3"/>
      <c r="CG32" s="3"/>
      <c r="CH32" s="3"/>
      <c r="CI32" s="3"/>
      <c r="CJ32" s="3"/>
      <c r="CK32" s="3"/>
      <c r="CL32" s="3"/>
      <c r="CN32" s="3"/>
      <c r="CO32" s="3"/>
      <c r="CP32" s="3"/>
      <c r="CQ32" s="3"/>
      <c r="CR32" s="3"/>
      <c r="CS32" s="3"/>
      <c r="CT32" s="3"/>
      <c r="CU32" s="3"/>
      <c r="CW32" s="3"/>
      <c r="CX32" s="3"/>
      <c r="CY32" s="3"/>
      <c r="CZ32" s="3"/>
      <c r="DA32" s="3"/>
      <c r="DB32" s="3"/>
      <c r="DC32" s="3"/>
      <c r="DD32" s="3"/>
      <c r="DF32" s="3"/>
      <c r="DG32" s="3"/>
      <c r="DH32" s="3"/>
      <c r="DI32" s="3"/>
      <c r="DJ32" s="3"/>
      <c r="DK32" s="3"/>
      <c r="DL32" s="3"/>
      <c r="DM32" s="3"/>
      <c r="DO32" s="3"/>
      <c r="DP32" s="3"/>
      <c r="DQ32" s="3"/>
      <c r="DR32" s="3"/>
      <c r="DS32" s="3"/>
      <c r="DT32" s="3"/>
      <c r="DU32" s="3"/>
      <c r="DV32" s="3"/>
      <c r="DX32" s="3"/>
      <c r="DY32" s="3"/>
      <c r="DZ32" s="3"/>
      <c r="EA32" s="3"/>
      <c r="EB32" s="3"/>
      <c r="EC32" s="3"/>
      <c r="ED32" s="3"/>
      <c r="EE32" s="3"/>
      <c r="EG32" s="3"/>
      <c r="EH32" s="3"/>
      <c r="EI32" s="3"/>
      <c r="EJ32" s="3"/>
      <c r="EK32" s="3"/>
      <c r="EL32" s="3"/>
      <c r="EM32" s="3"/>
      <c r="EN32" s="3"/>
      <c r="EP32" s="3"/>
      <c r="EQ32" s="3"/>
      <c r="ER32" s="3"/>
      <c r="ES32" s="3"/>
      <c r="ET32" s="3"/>
      <c r="EU32" s="3"/>
      <c r="EV32" s="3"/>
      <c r="EW32" s="3"/>
    </row>
    <row r="33" spans="1:153" ht="51" customHeight="1" x14ac:dyDescent="0.3">
      <c r="A33" s="279">
        <v>1</v>
      </c>
      <c r="B33" s="902" t="s">
        <v>2078</v>
      </c>
      <c r="C33" s="902" t="s">
        <v>2079</v>
      </c>
      <c r="D33" s="902" t="s">
        <v>2080</v>
      </c>
      <c r="E33" s="901" t="s">
        <v>4538</v>
      </c>
      <c r="F33" s="903">
        <v>95</v>
      </c>
      <c r="G33" s="901">
        <v>200</v>
      </c>
      <c r="H33" s="876">
        <v>18</v>
      </c>
      <c r="I33" s="876" t="s">
        <v>150</v>
      </c>
      <c r="J33" s="876"/>
      <c r="K33" s="901"/>
      <c r="L33" s="876"/>
      <c r="M33" s="901"/>
      <c r="N33" s="901">
        <v>800</v>
      </c>
      <c r="O33" s="901">
        <v>1</v>
      </c>
      <c r="P33" s="876" t="s">
        <v>1664</v>
      </c>
      <c r="Q33" s="876"/>
      <c r="R33" s="512">
        <f>IFERROR(Q33*O33,"")</f>
        <v>0</v>
      </c>
      <c r="S33" s="333">
        <f>IFERROR(O33*N33,"")</f>
        <v>800</v>
      </c>
      <c r="T33" s="1217">
        <f t="shared" ref="T33:T52" si="58">IFERROR(U33/N33,"")</f>
        <v>22.5</v>
      </c>
      <c r="U33" s="691">
        <v>18000</v>
      </c>
      <c r="V33" s="801">
        <f>U33*O33</f>
        <v>18000</v>
      </c>
      <c r="X33" s="4"/>
      <c r="Y33" s="4"/>
      <c r="Z33" s="748"/>
      <c r="AA33" s="510"/>
      <c r="AC33" s="819"/>
      <c r="AD33" s="820"/>
      <c r="AE33" s="820"/>
      <c r="AF33" s="813">
        <f>AC33*AD33*AE33</f>
        <v>0</v>
      </c>
      <c r="AG33" s="813">
        <f>2*(AC33*AD33+AD33*AE33+AC33*AE33)</f>
        <v>0</v>
      </c>
      <c r="AH33" s="815">
        <v>18</v>
      </c>
      <c r="AI33" s="817">
        <f>AH33*AG33</f>
        <v>0</v>
      </c>
      <c r="AK33" s="1546">
        <f t="shared" si="28"/>
        <v>0</v>
      </c>
      <c r="AL33" s="1546">
        <f t="shared" si="28"/>
        <v>0</v>
      </c>
      <c r="AM33" s="1546">
        <f t="shared" si="28"/>
        <v>0</v>
      </c>
      <c r="AN33" s="1546">
        <f t="shared" si="28"/>
        <v>0</v>
      </c>
      <c r="AO33" s="1546">
        <f t="shared" si="28"/>
        <v>0</v>
      </c>
      <c r="AP33" s="1546">
        <f t="shared" si="28"/>
        <v>0</v>
      </c>
      <c r="AQ33" s="1546">
        <f t="shared" si="28"/>
        <v>0</v>
      </c>
      <c r="AR33" s="1546">
        <f t="shared" si="28"/>
        <v>0</v>
      </c>
      <c r="AS33" s="1546">
        <f t="shared" si="28"/>
        <v>0</v>
      </c>
      <c r="AT33" s="1546">
        <f t="shared" si="28"/>
        <v>0</v>
      </c>
      <c r="AU33" s="1546">
        <f t="shared" si="28"/>
        <v>0</v>
      </c>
      <c r="AV33" s="1546">
        <f t="shared" si="28"/>
        <v>0</v>
      </c>
      <c r="AW33" s="1546">
        <f t="shared" si="28"/>
        <v>0</v>
      </c>
      <c r="AX33" s="1546">
        <f t="shared" si="28"/>
        <v>0</v>
      </c>
      <c r="AY33" s="1546">
        <f t="shared" si="28"/>
        <v>0</v>
      </c>
      <c r="AZ33" s="1546">
        <f t="shared" si="28"/>
        <v>0</v>
      </c>
      <c r="BA33" s="1546">
        <f t="shared" si="29"/>
        <v>0</v>
      </c>
      <c r="BC33" s="1271"/>
      <c r="BD33" s="1271"/>
      <c r="BE33" s="1271"/>
      <c r="BF33" s="1271"/>
      <c r="BG33" s="1271"/>
      <c r="BH33" s="1271"/>
      <c r="BI33" s="1271"/>
      <c r="BJ33" s="1271"/>
      <c r="BK33" s="1271"/>
      <c r="BL33" s="1271"/>
      <c r="BM33" s="1271"/>
      <c r="BN33" s="1271"/>
      <c r="BO33" s="1271"/>
      <c r="BP33" s="1271"/>
      <c r="BQ33" s="1271"/>
      <c r="BR33" s="1271"/>
      <c r="BS33" s="1271"/>
      <c r="BT33" s="1271"/>
      <c r="BV33" s="3"/>
      <c r="BW33" s="3"/>
      <c r="BX33" s="3"/>
      <c r="BY33" s="3"/>
      <c r="BZ33" s="3"/>
      <c r="CA33" s="3"/>
      <c r="CB33" s="3"/>
      <c r="CC33" s="3"/>
      <c r="CE33" s="3"/>
      <c r="CF33" s="3"/>
      <c r="CG33" s="3"/>
      <c r="CH33" s="3"/>
      <c r="CI33" s="3"/>
      <c r="CJ33" s="3"/>
      <c r="CK33" s="3"/>
      <c r="CL33" s="3"/>
      <c r="CN33" s="3"/>
      <c r="CO33" s="3"/>
      <c r="CP33" s="3"/>
      <c r="CQ33" s="3"/>
      <c r="CR33" s="3"/>
      <c r="CS33" s="3"/>
      <c r="CT33" s="3"/>
      <c r="CU33" s="3"/>
      <c r="CW33" s="3"/>
      <c r="CX33" s="3"/>
      <c r="CY33" s="3"/>
      <c r="CZ33" s="3"/>
      <c r="DA33" s="3"/>
      <c r="DB33" s="3"/>
      <c r="DC33" s="3"/>
      <c r="DD33" s="3"/>
      <c r="DF33" s="3"/>
      <c r="DG33" s="3"/>
      <c r="DH33" s="3"/>
      <c r="DI33" s="3"/>
      <c r="DJ33" s="3"/>
      <c r="DK33" s="3"/>
      <c r="DL33" s="3"/>
      <c r="DM33" s="3"/>
      <c r="DO33" s="3"/>
      <c r="DP33" s="3"/>
      <c r="DQ33" s="3"/>
      <c r="DR33" s="3"/>
      <c r="DS33" s="3"/>
      <c r="DT33" s="3"/>
      <c r="DU33" s="3"/>
      <c r="DV33" s="3"/>
      <c r="DX33" s="3"/>
      <c r="DY33" s="3"/>
      <c r="DZ33" s="3"/>
      <c r="EA33" s="3"/>
      <c r="EB33" s="3"/>
      <c r="EC33" s="3"/>
      <c r="ED33" s="3"/>
      <c r="EE33" s="3"/>
      <c r="EG33" s="3"/>
      <c r="EH33" s="3"/>
      <c r="EI33" s="3"/>
      <c r="EJ33" s="3"/>
      <c r="EK33" s="3"/>
      <c r="EL33" s="3"/>
      <c r="EM33" s="3"/>
      <c r="EN33" s="3"/>
      <c r="EP33" s="3"/>
      <c r="EQ33" s="3"/>
      <c r="ER33" s="3"/>
      <c r="ES33" s="3"/>
      <c r="ET33" s="3"/>
      <c r="EU33" s="3"/>
      <c r="EV33" s="3"/>
      <c r="EW33" s="3"/>
    </row>
    <row r="34" spans="1:153" ht="28.5" customHeight="1" x14ac:dyDescent="0.3">
      <c r="A34" s="20">
        <v>2</v>
      </c>
      <c r="B34" s="902" t="s">
        <v>2081</v>
      </c>
      <c r="C34" s="902" t="s">
        <v>2082</v>
      </c>
      <c r="D34" s="902" t="s">
        <v>2080</v>
      </c>
      <c r="E34" s="902" t="s">
        <v>4538</v>
      </c>
      <c r="F34" s="904" t="s">
        <v>4566</v>
      </c>
      <c r="G34" s="902">
        <v>260</v>
      </c>
      <c r="H34" s="874">
        <v>18</v>
      </c>
      <c r="I34" s="874" t="s">
        <v>150</v>
      </c>
      <c r="J34" s="874"/>
      <c r="K34" s="902"/>
      <c r="L34" s="902"/>
      <c r="M34" s="902"/>
      <c r="N34" s="902">
        <v>750</v>
      </c>
      <c r="O34" s="902">
        <v>1</v>
      </c>
      <c r="P34" s="874" t="s">
        <v>1664</v>
      </c>
      <c r="Q34" s="874"/>
      <c r="R34" s="512">
        <f t="shared" ref="R34:R52" si="59">IFERROR(Q34*O34,"")</f>
        <v>0</v>
      </c>
      <c r="S34" s="334">
        <f t="shared" ref="S34:S46" si="60">IFERROR(O34*N34,"")</f>
        <v>750</v>
      </c>
      <c r="T34" s="1217">
        <f t="shared" si="58"/>
        <v>60</v>
      </c>
      <c r="U34" s="692">
        <v>45000</v>
      </c>
      <c r="V34" s="796">
        <f t="shared" ref="V34:V52" si="61">U34*O34</f>
        <v>45000</v>
      </c>
      <c r="X34" s="4"/>
      <c r="Y34" s="4"/>
      <c r="Z34" s="748"/>
      <c r="AA34" s="510"/>
      <c r="AC34" s="821">
        <v>6</v>
      </c>
      <c r="AD34" s="822">
        <v>3</v>
      </c>
      <c r="AE34" s="822">
        <v>2.5</v>
      </c>
      <c r="AF34" s="814">
        <f t="shared" ref="AF34:AF52" si="62">AC34*AD34*AE34</f>
        <v>45</v>
      </c>
      <c r="AG34" s="814">
        <f t="shared" ref="AG34:AG52" si="63">2*(AC34*AD34+AD34*AE34+AC34*AE34)</f>
        <v>81</v>
      </c>
      <c r="AH34" s="816">
        <v>18</v>
      </c>
      <c r="AI34" s="818">
        <f t="shared" ref="AI34:AI52" si="64">AH34*AG34</f>
        <v>1458</v>
      </c>
      <c r="AK34" s="1546">
        <f t="shared" si="28"/>
        <v>0</v>
      </c>
      <c r="AL34" s="1546">
        <f t="shared" si="28"/>
        <v>0</v>
      </c>
      <c r="AM34" s="1546">
        <f t="shared" si="28"/>
        <v>0</v>
      </c>
      <c r="AN34" s="1546">
        <f t="shared" si="28"/>
        <v>0</v>
      </c>
      <c r="AO34" s="1546">
        <f t="shared" si="28"/>
        <v>0</v>
      </c>
      <c r="AP34" s="1546">
        <f t="shared" si="28"/>
        <v>0</v>
      </c>
      <c r="AQ34" s="1546">
        <f t="shared" si="28"/>
        <v>0</v>
      </c>
      <c r="AR34" s="1546">
        <f t="shared" si="28"/>
        <v>0</v>
      </c>
      <c r="AS34" s="1546">
        <f t="shared" si="28"/>
        <v>0</v>
      </c>
      <c r="AT34" s="1546">
        <f t="shared" si="28"/>
        <v>0</v>
      </c>
      <c r="AU34" s="1546">
        <f t="shared" si="28"/>
        <v>0</v>
      </c>
      <c r="AV34" s="1546">
        <f t="shared" si="28"/>
        <v>0</v>
      </c>
      <c r="AW34" s="1546">
        <f t="shared" si="28"/>
        <v>0</v>
      </c>
      <c r="AX34" s="1546">
        <f t="shared" si="28"/>
        <v>0</v>
      </c>
      <c r="AY34" s="1546">
        <f t="shared" si="28"/>
        <v>0</v>
      </c>
      <c r="AZ34" s="1546">
        <f t="shared" si="28"/>
        <v>0</v>
      </c>
      <c r="BA34" s="1546">
        <f t="shared" si="29"/>
        <v>0</v>
      </c>
      <c r="BC34" s="1271"/>
      <c r="BD34" s="1271"/>
      <c r="BE34" s="1271"/>
      <c r="BF34" s="1271"/>
      <c r="BG34" s="1271"/>
      <c r="BH34" s="1271"/>
      <c r="BI34" s="1271"/>
      <c r="BJ34" s="1271"/>
      <c r="BK34" s="1271"/>
      <c r="BL34" s="1271"/>
      <c r="BM34" s="1271"/>
      <c r="BN34" s="1271"/>
      <c r="BO34" s="1271"/>
      <c r="BP34" s="1271"/>
      <c r="BQ34" s="1271"/>
      <c r="BR34" s="1271"/>
      <c r="BS34" s="1271"/>
      <c r="BT34" s="1271"/>
      <c r="BV34" s="3"/>
      <c r="BW34" s="3"/>
      <c r="BX34" s="3"/>
      <c r="BY34" s="3"/>
      <c r="BZ34" s="3"/>
      <c r="CA34" s="3"/>
      <c r="CB34" s="3"/>
      <c r="CC34" s="3"/>
      <c r="CE34" s="3"/>
      <c r="CF34" s="3"/>
      <c r="CG34" s="3"/>
      <c r="CH34" s="3"/>
      <c r="CI34" s="3"/>
      <c r="CJ34" s="3"/>
      <c r="CK34" s="3"/>
      <c r="CL34" s="3"/>
      <c r="CN34" s="3"/>
      <c r="CO34" s="3"/>
      <c r="CP34" s="3"/>
      <c r="CQ34" s="3"/>
      <c r="CR34" s="3"/>
      <c r="CS34" s="3"/>
      <c r="CT34" s="3"/>
      <c r="CU34" s="3"/>
      <c r="CW34" s="3"/>
      <c r="CX34" s="3"/>
      <c r="CY34" s="3"/>
      <c r="CZ34" s="3"/>
      <c r="DA34" s="3"/>
      <c r="DB34" s="3"/>
      <c r="DC34" s="3"/>
      <c r="DD34" s="3"/>
      <c r="DF34" s="3"/>
      <c r="DG34" s="3"/>
      <c r="DH34" s="3"/>
      <c r="DI34" s="3"/>
      <c r="DJ34" s="3"/>
      <c r="DK34" s="3"/>
      <c r="DL34" s="3"/>
      <c r="DM34" s="3"/>
      <c r="DO34" s="3"/>
      <c r="DP34" s="3"/>
      <c r="DQ34" s="3"/>
      <c r="DR34" s="3"/>
      <c r="DS34" s="3"/>
      <c r="DT34" s="3"/>
      <c r="DU34" s="3"/>
      <c r="DV34" s="3"/>
      <c r="DX34" s="3"/>
      <c r="DY34" s="3"/>
      <c r="DZ34" s="3"/>
      <c r="EA34" s="3"/>
      <c r="EB34" s="3"/>
      <c r="EC34" s="3"/>
      <c r="ED34" s="3"/>
      <c r="EE34" s="3"/>
      <c r="EG34" s="3"/>
      <c r="EH34" s="3"/>
      <c r="EI34" s="3"/>
      <c r="EJ34" s="3"/>
      <c r="EK34" s="3"/>
      <c r="EL34" s="3"/>
      <c r="EM34" s="3"/>
      <c r="EN34" s="3"/>
      <c r="EP34" s="3"/>
      <c r="EQ34" s="3"/>
      <c r="ER34" s="3"/>
      <c r="ES34" s="3"/>
      <c r="ET34" s="3"/>
      <c r="EU34" s="3"/>
      <c r="EV34" s="3"/>
      <c r="EW34" s="3"/>
    </row>
    <row r="35" spans="1:153" ht="28.5" customHeight="1" x14ac:dyDescent="0.3">
      <c r="A35" s="20">
        <v>3</v>
      </c>
      <c r="B35" s="902" t="s">
        <v>4549</v>
      </c>
      <c r="C35" s="902" t="s">
        <v>4548</v>
      </c>
      <c r="D35" s="902" t="s">
        <v>2080</v>
      </c>
      <c r="E35" s="902" t="s">
        <v>4538</v>
      </c>
      <c r="F35" s="904">
        <v>259</v>
      </c>
      <c r="G35" s="902">
        <v>260</v>
      </c>
      <c r="H35" s="874">
        <v>18</v>
      </c>
      <c r="I35" s="874" t="s">
        <v>150</v>
      </c>
      <c r="J35" s="874"/>
      <c r="K35" s="902"/>
      <c r="L35" s="902"/>
      <c r="M35" s="902"/>
      <c r="N35" s="902">
        <v>900</v>
      </c>
      <c r="O35" s="902">
        <v>1</v>
      </c>
      <c r="P35" s="874" t="s">
        <v>1664</v>
      </c>
      <c r="Q35" s="874"/>
      <c r="R35" s="512">
        <f t="shared" si="59"/>
        <v>0</v>
      </c>
      <c r="S35" s="334">
        <f t="shared" si="60"/>
        <v>900</v>
      </c>
      <c r="T35" s="759">
        <f t="shared" si="58"/>
        <v>26.666666666666668</v>
      </c>
      <c r="U35" s="692">
        <v>24000</v>
      </c>
      <c r="V35" s="796">
        <f t="shared" si="61"/>
        <v>24000</v>
      </c>
      <c r="X35" s="4"/>
      <c r="Y35" s="4"/>
      <c r="Z35" s="748"/>
      <c r="AA35" s="510"/>
      <c r="AC35" s="821"/>
      <c r="AD35" s="822"/>
      <c r="AE35" s="822"/>
      <c r="AF35" s="814">
        <f t="shared" si="62"/>
        <v>0</v>
      </c>
      <c r="AG35" s="814">
        <f t="shared" si="63"/>
        <v>0</v>
      </c>
      <c r="AH35" s="816">
        <v>18</v>
      </c>
      <c r="AI35" s="818">
        <f t="shared" si="64"/>
        <v>0</v>
      </c>
      <c r="AK35" s="1546">
        <f t="shared" ref="AK35:AZ50" si="65">IF(AK$3="X",0,IF($P35=AK$3,1,0))</f>
        <v>0</v>
      </c>
      <c r="AL35" s="1546">
        <f t="shared" si="65"/>
        <v>0</v>
      </c>
      <c r="AM35" s="1546">
        <f t="shared" si="65"/>
        <v>0</v>
      </c>
      <c r="AN35" s="1546">
        <f t="shared" si="65"/>
        <v>0</v>
      </c>
      <c r="AO35" s="1546">
        <f t="shared" si="65"/>
        <v>0</v>
      </c>
      <c r="AP35" s="1546">
        <f t="shared" si="65"/>
        <v>0</v>
      </c>
      <c r="AQ35" s="1546">
        <f t="shared" si="65"/>
        <v>0</v>
      </c>
      <c r="AR35" s="1546">
        <f t="shared" si="65"/>
        <v>0</v>
      </c>
      <c r="AS35" s="1546">
        <f t="shared" si="65"/>
        <v>0</v>
      </c>
      <c r="AT35" s="1546">
        <f t="shared" si="65"/>
        <v>0</v>
      </c>
      <c r="AU35" s="1546">
        <f t="shared" si="65"/>
        <v>0</v>
      </c>
      <c r="AV35" s="1546">
        <f t="shared" si="65"/>
        <v>0</v>
      </c>
      <c r="AW35" s="1546">
        <f t="shared" si="65"/>
        <v>0</v>
      </c>
      <c r="AX35" s="1546">
        <f t="shared" si="65"/>
        <v>0</v>
      </c>
      <c r="AY35" s="1546">
        <f t="shared" si="65"/>
        <v>0</v>
      </c>
      <c r="AZ35" s="1546">
        <f t="shared" si="65"/>
        <v>0</v>
      </c>
      <c r="BA35" s="1546">
        <f t="shared" si="29"/>
        <v>0</v>
      </c>
      <c r="BC35" s="1271"/>
      <c r="BD35" s="1271"/>
      <c r="BE35" s="1271"/>
      <c r="BF35" s="1271"/>
      <c r="BG35" s="1271"/>
      <c r="BH35" s="1271"/>
      <c r="BI35" s="1271"/>
      <c r="BJ35" s="1271"/>
      <c r="BK35" s="1271"/>
      <c r="BL35" s="1271"/>
      <c r="BM35" s="1271"/>
      <c r="BN35" s="1271"/>
      <c r="BO35" s="1271"/>
      <c r="BP35" s="1271"/>
      <c r="BQ35" s="1271"/>
      <c r="BR35" s="1271"/>
      <c r="BS35" s="1271"/>
      <c r="BT35" s="1271"/>
      <c r="BV35" s="3"/>
      <c r="BW35" s="3"/>
      <c r="BX35" s="3"/>
      <c r="BY35" s="3"/>
      <c r="BZ35" s="3"/>
      <c r="CA35" s="3"/>
      <c r="CB35" s="3"/>
      <c r="CC35" s="3"/>
      <c r="CE35" s="3"/>
      <c r="CF35" s="3"/>
      <c r="CG35" s="3"/>
      <c r="CH35" s="3"/>
      <c r="CI35" s="3"/>
      <c r="CJ35" s="3"/>
      <c r="CK35" s="3"/>
      <c r="CL35" s="3"/>
      <c r="CN35" s="3"/>
      <c r="CO35" s="3"/>
      <c r="CP35" s="3"/>
      <c r="CQ35" s="3"/>
      <c r="CR35" s="3"/>
      <c r="CS35" s="3"/>
      <c r="CT35" s="3"/>
      <c r="CU35" s="3"/>
      <c r="CW35" s="3"/>
      <c r="CX35" s="3"/>
      <c r="CY35" s="3"/>
      <c r="CZ35" s="3"/>
      <c r="DA35" s="3"/>
      <c r="DB35" s="3"/>
      <c r="DC35" s="3"/>
      <c r="DD35" s="3"/>
      <c r="DF35" s="3"/>
      <c r="DG35" s="3"/>
      <c r="DH35" s="3"/>
      <c r="DI35" s="3"/>
      <c r="DJ35" s="3"/>
      <c r="DK35" s="3"/>
      <c r="DL35" s="3"/>
      <c r="DM35" s="3"/>
      <c r="DO35" s="3"/>
      <c r="DP35" s="3"/>
      <c r="DQ35" s="3"/>
      <c r="DR35" s="3"/>
      <c r="DS35" s="3"/>
      <c r="DT35" s="3"/>
      <c r="DU35" s="3"/>
      <c r="DV35" s="3"/>
      <c r="DX35" s="3"/>
      <c r="DY35" s="3"/>
      <c r="DZ35" s="3"/>
      <c r="EA35" s="3"/>
      <c r="EB35" s="3"/>
      <c r="EC35" s="3"/>
      <c r="ED35" s="3"/>
      <c r="EE35" s="3"/>
      <c r="EG35" s="3"/>
      <c r="EH35" s="3"/>
      <c r="EI35" s="3"/>
      <c r="EJ35" s="3"/>
      <c r="EK35" s="3"/>
      <c r="EL35" s="3"/>
      <c r="EM35" s="3"/>
      <c r="EN35" s="3"/>
      <c r="EP35" s="3"/>
      <c r="EQ35" s="3"/>
      <c r="ER35" s="3"/>
      <c r="ES35" s="3"/>
      <c r="ET35" s="3"/>
      <c r="EU35" s="3"/>
      <c r="EV35" s="3"/>
      <c r="EW35" s="3"/>
    </row>
    <row r="36" spans="1:153" ht="28.5" customHeight="1" x14ac:dyDescent="0.3">
      <c r="A36" s="20">
        <v>4</v>
      </c>
      <c r="B36" s="902" t="s">
        <v>2083</v>
      </c>
      <c r="C36" s="902" t="s">
        <v>2084</v>
      </c>
      <c r="D36" s="902" t="s">
        <v>4539</v>
      </c>
      <c r="E36" s="902" t="s">
        <v>4538</v>
      </c>
      <c r="F36" s="904">
        <v>3</v>
      </c>
      <c r="G36" s="902">
        <v>260</v>
      </c>
      <c r="H36" s="874">
        <v>18</v>
      </c>
      <c r="I36" s="874" t="s">
        <v>150</v>
      </c>
      <c r="J36" s="874"/>
      <c r="K36" s="902"/>
      <c r="L36" s="902"/>
      <c r="M36" s="902"/>
      <c r="N36" s="902">
        <v>250</v>
      </c>
      <c r="O36" s="902">
        <v>0</v>
      </c>
      <c r="P36" s="874" t="s">
        <v>1664</v>
      </c>
      <c r="Q36" s="874"/>
      <c r="R36" s="512">
        <f t="shared" si="59"/>
        <v>0</v>
      </c>
      <c r="S36" s="334">
        <f t="shared" si="60"/>
        <v>0</v>
      </c>
      <c r="T36" s="759">
        <f t="shared" si="58"/>
        <v>600</v>
      </c>
      <c r="U36" s="692">
        <v>150000</v>
      </c>
      <c r="V36" s="796">
        <f t="shared" si="61"/>
        <v>0</v>
      </c>
      <c r="X36" s="4"/>
      <c r="Y36" s="4"/>
      <c r="Z36" s="748"/>
      <c r="AA36" s="510"/>
      <c r="AC36" s="821"/>
      <c r="AD36" s="822"/>
      <c r="AE36" s="822"/>
      <c r="AF36" s="814">
        <f t="shared" si="62"/>
        <v>0</v>
      </c>
      <c r="AG36" s="814">
        <f t="shared" si="63"/>
        <v>0</v>
      </c>
      <c r="AH36" s="816">
        <v>18</v>
      </c>
      <c r="AI36" s="818">
        <f t="shared" si="64"/>
        <v>0</v>
      </c>
      <c r="AK36" s="1546">
        <f t="shared" si="65"/>
        <v>0</v>
      </c>
      <c r="AL36" s="1546">
        <f t="shared" si="65"/>
        <v>0</v>
      </c>
      <c r="AM36" s="1546">
        <f t="shared" si="65"/>
        <v>0</v>
      </c>
      <c r="AN36" s="1546">
        <f t="shared" si="65"/>
        <v>0</v>
      </c>
      <c r="AO36" s="1546">
        <f t="shared" si="65"/>
        <v>0</v>
      </c>
      <c r="AP36" s="1546">
        <f t="shared" si="65"/>
        <v>0</v>
      </c>
      <c r="AQ36" s="1546">
        <f t="shared" si="65"/>
        <v>0</v>
      </c>
      <c r="AR36" s="1546">
        <f t="shared" si="65"/>
        <v>0</v>
      </c>
      <c r="AS36" s="1546">
        <f t="shared" si="65"/>
        <v>0</v>
      </c>
      <c r="AT36" s="1546">
        <f t="shared" si="65"/>
        <v>0</v>
      </c>
      <c r="AU36" s="1546">
        <f t="shared" si="65"/>
        <v>0</v>
      </c>
      <c r="AV36" s="1546">
        <f t="shared" si="65"/>
        <v>0</v>
      </c>
      <c r="AW36" s="1546">
        <f t="shared" si="65"/>
        <v>0</v>
      </c>
      <c r="AX36" s="1546">
        <f t="shared" si="65"/>
        <v>0</v>
      </c>
      <c r="AY36" s="1546">
        <f t="shared" si="65"/>
        <v>0</v>
      </c>
      <c r="AZ36" s="1546">
        <f t="shared" si="65"/>
        <v>0</v>
      </c>
      <c r="BA36" s="1546">
        <f t="shared" si="29"/>
        <v>0</v>
      </c>
      <c r="BC36" s="1271"/>
      <c r="BD36" s="1271"/>
      <c r="BE36" s="1271"/>
      <c r="BF36" s="1271"/>
      <c r="BG36" s="1271"/>
      <c r="BH36" s="1271"/>
      <c r="BI36" s="1271"/>
      <c r="BJ36" s="1271"/>
      <c r="BK36" s="1271"/>
      <c r="BL36" s="1271"/>
      <c r="BM36" s="1271"/>
      <c r="BN36" s="1271"/>
      <c r="BO36" s="1271"/>
      <c r="BP36" s="1271"/>
      <c r="BQ36" s="1271"/>
      <c r="BR36" s="1271"/>
      <c r="BS36" s="1271"/>
      <c r="BT36" s="1271"/>
      <c r="BV36" s="3"/>
      <c r="BW36" s="3"/>
      <c r="BX36" s="3"/>
      <c r="BY36" s="3"/>
      <c r="BZ36" s="3"/>
      <c r="CA36" s="3"/>
      <c r="CB36" s="3"/>
      <c r="CC36" s="3"/>
      <c r="CE36" s="3"/>
      <c r="CF36" s="3"/>
      <c r="CG36" s="3"/>
      <c r="CH36" s="3"/>
      <c r="CI36" s="3"/>
      <c r="CJ36" s="3"/>
      <c r="CK36" s="3"/>
      <c r="CL36" s="3"/>
      <c r="CN36" s="3"/>
      <c r="CO36" s="3"/>
      <c r="CP36" s="3"/>
      <c r="CQ36" s="3"/>
      <c r="CR36" s="3"/>
      <c r="CS36" s="3"/>
      <c r="CT36" s="3"/>
      <c r="CU36" s="3"/>
      <c r="CW36" s="3"/>
      <c r="CX36" s="3"/>
      <c r="CY36" s="3"/>
      <c r="CZ36" s="3"/>
      <c r="DA36" s="3"/>
      <c r="DB36" s="3"/>
      <c r="DC36" s="3"/>
      <c r="DD36" s="3"/>
      <c r="DF36" s="3"/>
      <c r="DG36" s="3"/>
      <c r="DH36" s="3"/>
      <c r="DI36" s="3"/>
      <c r="DJ36" s="3"/>
      <c r="DK36" s="3"/>
      <c r="DL36" s="3"/>
      <c r="DM36" s="3"/>
      <c r="DO36" s="3"/>
      <c r="DP36" s="3"/>
      <c r="DQ36" s="3"/>
      <c r="DR36" s="3"/>
      <c r="DS36" s="3"/>
      <c r="DT36" s="3"/>
      <c r="DU36" s="3"/>
      <c r="DV36" s="3"/>
      <c r="DX36" s="3"/>
      <c r="DY36" s="3"/>
      <c r="DZ36" s="3"/>
      <c r="EA36" s="3"/>
      <c r="EB36" s="3"/>
      <c r="EC36" s="3"/>
      <c r="ED36" s="3"/>
      <c r="EE36" s="3"/>
      <c r="EG36" s="3"/>
      <c r="EH36" s="3"/>
      <c r="EI36" s="3"/>
      <c r="EJ36" s="3"/>
      <c r="EK36" s="3"/>
      <c r="EL36" s="3"/>
      <c r="EM36" s="3"/>
      <c r="EN36" s="3"/>
      <c r="EP36" s="3"/>
      <c r="EQ36" s="3"/>
      <c r="ER36" s="3"/>
      <c r="ES36" s="3"/>
      <c r="ET36" s="3"/>
      <c r="EU36" s="3"/>
      <c r="EV36" s="3"/>
      <c r="EW36" s="3"/>
    </row>
    <row r="37" spans="1:153" ht="28.5" customHeight="1" x14ac:dyDescent="0.3">
      <c r="A37" s="20">
        <v>5</v>
      </c>
      <c r="B37" s="1331" t="s">
        <v>2085</v>
      </c>
      <c r="C37" s="902" t="s">
        <v>2086</v>
      </c>
      <c r="D37" s="902" t="s">
        <v>2080</v>
      </c>
      <c r="E37" s="902" t="s">
        <v>4538</v>
      </c>
      <c r="F37" s="904"/>
      <c r="G37" s="902">
        <v>100</v>
      </c>
      <c r="H37" s="874">
        <v>18</v>
      </c>
      <c r="I37" s="874" t="s">
        <v>150</v>
      </c>
      <c r="J37" s="874"/>
      <c r="K37" s="902"/>
      <c r="L37" s="902"/>
      <c r="M37" s="902"/>
      <c r="N37" s="902">
        <v>350</v>
      </c>
      <c r="O37" s="902">
        <v>1</v>
      </c>
      <c r="P37" s="874" t="s">
        <v>1664</v>
      </c>
      <c r="Q37" s="874"/>
      <c r="R37" s="512">
        <f t="shared" si="59"/>
        <v>0</v>
      </c>
      <c r="S37" s="334">
        <f t="shared" si="60"/>
        <v>350</v>
      </c>
      <c r="T37" s="759">
        <f t="shared" si="58"/>
        <v>45.714285714285715</v>
      </c>
      <c r="U37" s="692">
        <v>16000</v>
      </c>
      <c r="V37" s="796">
        <f t="shared" si="61"/>
        <v>16000</v>
      </c>
      <c r="X37" s="4"/>
      <c r="Y37" s="4"/>
      <c r="Z37" s="748"/>
      <c r="AA37" s="510"/>
      <c r="AC37" s="821"/>
      <c r="AD37" s="822"/>
      <c r="AE37" s="822"/>
      <c r="AF37" s="814">
        <f t="shared" si="62"/>
        <v>0</v>
      </c>
      <c r="AG37" s="814">
        <f t="shared" si="63"/>
        <v>0</v>
      </c>
      <c r="AH37" s="816">
        <v>18</v>
      </c>
      <c r="AI37" s="818">
        <f t="shared" si="64"/>
        <v>0</v>
      </c>
      <c r="AK37" s="1546">
        <f t="shared" si="65"/>
        <v>0</v>
      </c>
      <c r="AL37" s="1546">
        <f t="shared" si="65"/>
        <v>0</v>
      </c>
      <c r="AM37" s="1546">
        <f t="shared" si="65"/>
        <v>0</v>
      </c>
      <c r="AN37" s="1546">
        <f t="shared" si="65"/>
        <v>0</v>
      </c>
      <c r="AO37" s="1546">
        <f t="shared" si="65"/>
        <v>0</v>
      </c>
      <c r="AP37" s="1546">
        <f t="shared" si="65"/>
        <v>0</v>
      </c>
      <c r="AQ37" s="1546">
        <f t="shared" si="65"/>
        <v>0</v>
      </c>
      <c r="AR37" s="1546">
        <f t="shared" si="65"/>
        <v>0</v>
      </c>
      <c r="AS37" s="1546">
        <f t="shared" si="65"/>
        <v>0</v>
      </c>
      <c r="AT37" s="1546">
        <f t="shared" si="65"/>
        <v>0</v>
      </c>
      <c r="AU37" s="1546">
        <f t="shared" si="65"/>
        <v>0</v>
      </c>
      <c r="AV37" s="1546">
        <f t="shared" si="65"/>
        <v>0</v>
      </c>
      <c r="AW37" s="1546">
        <f t="shared" si="65"/>
        <v>0</v>
      </c>
      <c r="AX37" s="1546">
        <f t="shared" si="65"/>
        <v>0</v>
      </c>
      <c r="AY37" s="1546">
        <f t="shared" si="65"/>
        <v>0</v>
      </c>
      <c r="AZ37" s="1546">
        <f t="shared" si="65"/>
        <v>0</v>
      </c>
      <c r="BA37" s="1546">
        <f t="shared" si="29"/>
        <v>0</v>
      </c>
      <c r="BC37" s="1271"/>
      <c r="BD37" s="1271"/>
      <c r="BE37" s="1271"/>
      <c r="BF37" s="1271"/>
      <c r="BG37" s="1271"/>
      <c r="BH37" s="1271"/>
      <c r="BI37" s="1271"/>
      <c r="BJ37" s="1271"/>
      <c r="BK37" s="1271"/>
      <c r="BL37" s="1271"/>
      <c r="BM37" s="1271"/>
      <c r="BN37" s="1271"/>
      <c r="BO37" s="1271"/>
      <c r="BP37" s="1271"/>
      <c r="BQ37" s="1271"/>
      <c r="BR37" s="1271"/>
      <c r="BS37" s="1271"/>
      <c r="BT37" s="1271"/>
      <c r="BV37" s="3"/>
      <c r="BW37" s="3"/>
      <c r="BX37" s="3"/>
      <c r="BY37" s="3"/>
      <c r="BZ37" s="3"/>
      <c r="CA37" s="3"/>
      <c r="CB37" s="3"/>
      <c r="CC37" s="3"/>
      <c r="CE37" s="3"/>
      <c r="CF37" s="3"/>
      <c r="CG37" s="3"/>
      <c r="CH37" s="3"/>
      <c r="CI37" s="3"/>
      <c r="CJ37" s="3"/>
      <c r="CK37" s="3"/>
      <c r="CL37" s="3"/>
      <c r="CN37" s="3"/>
      <c r="CO37" s="3"/>
      <c r="CP37" s="3"/>
      <c r="CQ37" s="3"/>
      <c r="CR37" s="3"/>
      <c r="CS37" s="3"/>
      <c r="CT37" s="3"/>
      <c r="CU37" s="3"/>
      <c r="CW37" s="3"/>
      <c r="CX37" s="3"/>
      <c r="CY37" s="3"/>
      <c r="CZ37" s="3"/>
      <c r="DA37" s="3"/>
      <c r="DB37" s="3"/>
      <c r="DC37" s="3"/>
      <c r="DD37" s="3"/>
      <c r="DF37" s="3"/>
      <c r="DG37" s="3"/>
      <c r="DH37" s="3"/>
      <c r="DI37" s="3"/>
      <c r="DJ37" s="3"/>
      <c r="DK37" s="3"/>
      <c r="DL37" s="3"/>
      <c r="DM37" s="3"/>
      <c r="DO37" s="3"/>
      <c r="DP37" s="3"/>
      <c r="DQ37" s="3"/>
      <c r="DR37" s="3"/>
      <c r="DS37" s="3"/>
      <c r="DT37" s="3"/>
      <c r="DU37" s="3"/>
      <c r="DV37" s="3"/>
      <c r="DX37" s="3"/>
      <c r="DY37" s="3"/>
      <c r="DZ37" s="3"/>
      <c r="EA37" s="3"/>
      <c r="EB37" s="3"/>
      <c r="EC37" s="3"/>
      <c r="ED37" s="3"/>
      <c r="EE37" s="3"/>
      <c r="EG37" s="3"/>
      <c r="EH37" s="3"/>
      <c r="EI37" s="3"/>
      <c r="EJ37" s="3"/>
      <c r="EK37" s="3"/>
      <c r="EL37" s="3"/>
      <c r="EM37" s="3"/>
      <c r="EN37" s="3"/>
      <c r="EP37" s="3"/>
      <c r="EQ37" s="3"/>
      <c r="ER37" s="3"/>
      <c r="ES37" s="3"/>
      <c r="ET37" s="3"/>
      <c r="EU37" s="3"/>
      <c r="EV37" s="3"/>
      <c r="EW37" s="3"/>
    </row>
    <row r="38" spans="1:153" ht="28.5" customHeight="1" x14ac:dyDescent="0.3">
      <c r="A38" s="20">
        <v>6</v>
      </c>
      <c r="B38" s="902" t="s">
        <v>4562</v>
      </c>
      <c r="C38" s="902" t="s">
        <v>2082</v>
      </c>
      <c r="D38" s="902" t="s">
        <v>2080</v>
      </c>
      <c r="E38" s="902" t="s">
        <v>4538</v>
      </c>
      <c r="F38" s="904" t="s">
        <v>4565</v>
      </c>
      <c r="G38" s="902">
        <v>260</v>
      </c>
      <c r="H38" s="874">
        <v>18</v>
      </c>
      <c r="I38" s="874" t="s">
        <v>150</v>
      </c>
      <c r="J38" s="874"/>
      <c r="K38" s="902"/>
      <c r="L38" s="902"/>
      <c r="M38" s="902"/>
      <c r="N38" s="902">
        <v>450</v>
      </c>
      <c r="O38" s="902">
        <v>1</v>
      </c>
      <c r="P38" s="874" t="s">
        <v>1664</v>
      </c>
      <c r="Q38" s="874"/>
      <c r="R38" s="512">
        <f t="shared" si="59"/>
        <v>0</v>
      </c>
      <c r="S38" s="334">
        <f t="shared" si="60"/>
        <v>450</v>
      </c>
      <c r="T38" s="759">
        <f t="shared" si="58"/>
        <v>71.111111111111114</v>
      </c>
      <c r="U38" s="692">
        <v>32000</v>
      </c>
      <c r="V38" s="796">
        <f t="shared" si="61"/>
        <v>32000</v>
      </c>
      <c r="X38" s="4"/>
      <c r="Y38" s="4"/>
      <c r="Z38" s="748"/>
      <c r="AA38" s="510"/>
      <c r="AC38" s="821"/>
      <c r="AD38" s="822"/>
      <c r="AE38" s="822"/>
      <c r="AF38" s="814">
        <f t="shared" si="62"/>
        <v>0</v>
      </c>
      <c r="AG38" s="814">
        <f t="shared" si="63"/>
        <v>0</v>
      </c>
      <c r="AH38" s="816">
        <v>18</v>
      </c>
      <c r="AI38" s="818">
        <f t="shared" si="64"/>
        <v>0</v>
      </c>
      <c r="AK38" s="1546">
        <f t="shared" si="65"/>
        <v>0</v>
      </c>
      <c r="AL38" s="1546">
        <f t="shared" si="65"/>
        <v>0</v>
      </c>
      <c r="AM38" s="1546">
        <f t="shared" si="65"/>
        <v>0</v>
      </c>
      <c r="AN38" s="1546">
        <f t="shared" si="65"/>
        <v>0</v>
      </c>
      <c r="AO38" s="1546">
        <f t="shared" si="65"/>
        <v>0</v>
      </c>
      <c r="AP38" s="1546">
        <f t="shared" si="65"/>
        <v>0</v>
      </c>
      <c r="AQ38" s="1546">
        <f t="shared" si="65"/>
        <v>0</v>
      </c>
      <c r="AR38" s="1546">
        <f t="shared" si="65"/>
        <v>0</v>
      </c>
      <c r="AS38" s="1546">
        <f t="shared" si="65"/>
        <v>0</v>
      </c>
      <c r="AT38" s="1546">
        <f t="shared" si="65"/>
        <v>0</v>
      </c>
      <c r="AU38" s="1546">
        <f t="shared" si="65"/>
        <v>0</v>
      </c>
      <c r="AV38" s="1546">
        <f t="shared" si="65"/>
        <v>0</v>
      </c>
      <c r="AW38" s="1546">
        <f t="shared" si="65"/>
        <v>0</v>
      </c>
      <c r="AX38" s="1546">
        <f t="shared" si="65"/>
        <v>0</v>
      </c>
      <c r="AY38" s="1546">
        <f t="shared" si="65"/>
        <v>0</v>
      </c>
      <c r="AZ38" s="1546">
        <f t="shared" si="65"/>
        <v>0</v>
      </c>
      <c r="BA38" s="1546">
        <f t="shared" si="29"/>
        <v>0</v>
      </c>
      <c r="BC38" s="1271"/>
      <c r="BD38" s="1271"/>
      <c r="BE38" s="1271"/>
      <c r="BF38" s="1271"/>
      <c r="BG38" s="1271"/>
      <c r="BH38" s="1271"/>
      <c r="BI38" s="1271"/>
      <c r="BJ38" s="1271"/>
      <c r="BK38" s="1271"/>
      <c r="BL38" s="1271"/>
      <c r="BM38" s="1271"/>
      <c r="BN38" s="1271"/>
      <c r="BO38" s="1271"/>
      <c r="BP38" s="1271"/>
      <c r="BQ38" s="1271"/>
      <c r="BR38" s="1271"/>
      <c r="BS38" s="1271"/>
      <c r="BT38" s="1271"/>
      <c r="BV38" s="3"/>
      <c r="BW38" s="3"/>
      <c r="BX38" s="3"/>
      <c r="BY38" s="3"/>
      <c r="BZ38" s="3"/>
      <c r="CA38" s="3"/>
      <c r="CB38" s="3"/>
      <c r="CC38" s="3"/>
      <c r="CE38" s="3"/>
      <c r="CF38" s="3"/>
      <c r="CG38" s="3"/>
      <c r="CH38" s="3"/>
      <c r="CI38" s="3"/>
      <c r="CJ38" s="3"/>
      <c r="CK38" s="3"/>
      <c r="CL38" s="3"/>
      <c r="CN38" s="3"/>
      <c r="CO38" s="3"/>
      <c r="CP38" s="3"/>
      <c r="CQ38" s="3"/>
      <c r="CR38" s="3"/>
      <c r="CS38" s="3"/>
      <c r="CT38" s="3"/>
      <c r="CU38" s="3"/>
      <c r="CW38" s="3"/>
      <c r="CX38" s="3"/>
      <c r="CY38" s="3"/>
      <c r="CZ38" s="3"/>
      <c r="DA38" s="3"/>
      <c r="DB38" s="3"/>
      <c r="DC38" s="3"/>
      <c r="DD38" s="3"/>
      <c r="DF38" s="3"/>
      <c r="DG38" s="3"/>
      <c r="DH38" s="3"/>
      <c r="DI38" s="3"/>
      <c r="DJ38" s="3"/>
      <c r="DK38" s="3"/>
      <c r="DL38" s="3"/>
      <c r="DM38" s="3"/>
      <c r="DO38" s="3"/>
      <c r="DP38" s="3"/>
      <c r="DQ38" s="3"/>
      <c r="DR38" s="3"/>
      <c r="DS38" s="3"/>
      <c r="DT38" s="3"/>
      <c r="DU38" s="3"/>
      <c r="DV38" s="3"/>
      <c r="DX38" s="3"/>
      <c r="DY38" s="3"/>
      <c r="DZ38" s="3"/>
      <c r="EA38" s="3"/>
      <c r="EB38" s="3"/>
      <c r="EC38" s="3"/>
      <c r="ED38" s="3"/>
      <c r="EE38" s="3"/>
      <c r="EG38" s="3"/>
      <c r="EH38" s="3"/>
      <c r="EI38" s="3"/>
      <c r="EJ38" s="3"/>
      <c r="EK38" s="3"/>
      <c r="EL38" s="3"/>
      <c r="EM38" s="3"/>
      <c r="EN38" s="3"/>
      <c r="EP38" s="3"/>
      <c r="EQ38" s="3"/>
      <c r="ER38" s="3"/>
      <c r="ES38" s="3"/>
      <c r="ET38" s="3"/>
      <c r="EU38" s="3"/>
      <c r="EV38" s="3"/>
      <c r="EW38" s="3"/>
    </row>
    <row r="39" spans="1:153" ht="28.5" customHeight="1" x14ac:dyDescent="0.3">
      <c r="A39" s="20">
        <v>7</v>
      </c>
      <c r="B39" s="902" t="s">
        <v>4564</v>
      </c>
      <c r="C39" s="902" t="s">
        <v>2082</v>
      </c>
      <c r="D39" s="902" t="s">
        <v>2080</v>
      </c>
      <c r="E39" s="902" t="s">
        <v>4538</v>
      </c>
      <c r="F39" s="904" t="s">
        <v>4567</v>
      </c>
      <c r="G39" s="902">
        <v>260</v>
      </c>
      <c r="H39" s="874">
        <v>18</v>
      </c>
      <c r="I39" s="874" t="s">
        <v>150</v>
      </c>
      <c r="J39" s="874"/>
      <c r="K39" s="902"/>
      <c r="L39" s="902"/>
      <c r="M39" s="902"/>
      <c r="N39" s="902">
        <v>400</v>
      </c>
      <c r="O39" s="902">
        <v>1</v>
      </c>
      <c r="P39" s="874" t="s">
        <v>1664</v>
      </c>
      <c r="Q39" s="874"/>
      <c r="R39" s="512">
        <f t="shared" si="59"/>
        <v>0</v>
      </c>
      <c r="S39" s="334">
        <f t="shared" si="60"/>
        <v>400</v>
      </c>
      <c r="T39" s="759">
        <f t="shared" si="58"/>
        <v>70</v>
      </c>
      <c r="U39" s="692">
        <v>28000</v>
      </c>
      <c r="V39" s="796">
        <f t="shared" si="61"/>
        <v>28000</v>
      </c>
      <c r="X39" s="4"/>
      <c r="Y39" s="4"/>
      <c r="Z39" s="748"/>
      <c r="AA39" s="510"/>
      <c r="AC39" s="821"/>
      <c r="AD39" s="822"/>
      <c r="AE39" s="822"/>
      <c r="AF39" s="814">
        <f t="shared" si="62"/>
        <v>0</v>
      </c>
      <c r="AG39" s="814">
        <f t="shared" si="63"/>
        <v>0</v>
      </c>
      <c r="AH39" s="816">
        <v>18</v>
      </c>
      <c r="AI39" s="818">
        <f t="shared" si="64"/>
        <v>0</v>
      </c>
      <c r="AK39" s="1546">
        <f t="shared" si="65"/>
        <v>0</v>
      </c>
      <c r="AL39" s="1546">
        <f t="shared" si="65"/>
        <v>0</v>
      </c>
      <c r="AM39" s="1546">
        <f t="shared" si="65"/>
        <v>0</v>
      </c>
      <c r="AN39" s="1546">
        <f t="shared" si="65"/>
        <v>0</v>
      </c>
      <c r="AO39" s="1546">
        <f t="shared" si="65"/>
        <v>0</v>
      </c>
      <c r="AP39" s="1546">
        <f t="shared" si="65"/>
        <v>0</v>
      </c>
      <c r="AQ39" s="1546">
        <f t="shared" si="65"/>
        <v>0</v>
      </c>
      <c r="AR39" s="1546">
        <f t="shared" si="65"/>
        <v>0</v>
      </c>
      <c r="AS39" s="1546">
        <f t="shared" si="65"/>
        <v>0</v>
      </c>
      <c r="AT39" s="1546">
        <f t="shared" si="65"/>
        <v>0</v>
      </c>
      <c r="AU39" s="1546">
        <f t="shared" si="65"/>
        <v>0</v>
      </c>
      <c r="AV39" s="1546">
        <f t="shared" si="65"/>
        <v>0</v>
      </c>
      <c r="AW39" s="1546">
        <f t="shared" si="65"/>
        <v>0</v>
      </c>
      <c r="AX39" s="1546">
        <f t="shared" si="65"/>
        <v>0</v>
      </c>
      <c r="AY39" s="1546">
        <f t="shared" si="65"/>
        <v>0</v>
      </c>
      <c r="AZ39" s="1546">
        <f t="shared" si="65"/>
        <v>0</v>
      </c>
      <c r="BA39" s="1546">
        <f t="shared" si="29"/>
        <v>0</v>
      </c>
      <c r="BC39" s="1271"/>
      <c r="BD39" s="1271"/>
      <c r="BE39" s="1271"/>
      <c r="BF39" s="1271"/>
      <c r="BG39" s="1271"/>
      <c r="BH39" s="1271"/>
      <c r="BI39" s="1271"/>
      <c r="BJ39" s="1271"/>
      <c r="BK39" s="1271"/>
      <c r="BL39" s="1271"/>
      <c r="BM39" s="1271"/>
      <c r="BN39" s="1271"/>
      <c r="BO39" s="1271"/>
      <c r="BP39" s="1271"/>
      <c r="BQ39" s="1271"/>
      <c r="BR39" s="1271"/>
      <c r="BS39" s="1271"/>
      <c r="BT39" s="1271"/>
      <c r="BV39" s="3"/>
      <c r="BW39" s="3"/>
      <c r="BX39" s="3"/>
      <c r="BY39" s="3"/>
      <c r="BZ39" s="3"/>
      <c r="CA39" s="3"/>
      <c r="CB39" s="3"/>
      <c r="CC39" s="3"/>
      <c r="CE39" s="3"/>
      <c r="CF39" s="3"/>
      <c r="CG39" s="3"/>
      <c r="CH39" s="3"/>
      <c r="CI39" s="3"/>
      <c r="CJ39" s="3"/>
      <c r="CK39" s="3"/>
      <c r="CL39" s="3"/>
      <c r="CN39" s="3"/>
      <c r="CO39" s="3"/>
      <c r="CP39" s="3"/>
      <c r="CQ39" s="3"/>
      <c r="CR39" s="3"/>
      <c r="CS39" s="3"/>
      <c r="CT39" s="3"/>
      <c r="CU39" s="3"/>
      <c r="CW39" s="3"/>
      <c r="CX39" s="3"/>
      <c r="CY39" s="3"/>
      <c r="CZ39" s="3"/>
      <c r="DA39" s="3"/>
      <c r="DB39" s="3"/>
      <c r="DC39" s="3"/>
      <c r="DD39" s="3"/>
      <c r="DF39" s="3"/>
      <c r="DG39" s="3"/>
      <c r="DH39" s="3"/>
      <c r="DI39" s="3"/>
      <c r="DJ39" s="3"/>
      <c r="DK39" s="3"/>
      <c r="DL39" s="3"/>
      <c r="DM39" s="3"/>
      <c r="DO39" s="3"/>
      <c r="DP39" s="3"/>
      <c r="DQ39" s="3"/>
      <c r="DR39" s="3"/>
      <c r="DS39" s="3"/>
      <c r="DT39" s="3"/>
      <c r="DU39" s="3"/>
      <c r="DV39" s="3"/>
      <c r="DX39" s="3"/>
      <c r="DY39" s="3"/>
      <c r="DZ39" s="3"/>
      <c r="EA39" s="3"/>
      <c r="EB39" s="3"/>
      <c r="EC39" s="3"/>
      <c r="ED39" s="3"/>
      <c r="EE39" s="3"/>
      <c r="EG39" s="3"/>
      <c r="EH39" s="3"/>
      <c r="EI39" s="3"/>
      <c r="EJ39" s="3"/>
      <c r="EK39" s="3"/>
      <c r="EL39" s="3"/>
      <c r="EM39" s="3"/>
      <c r="EN39" s="3"/>
      <c r="EP39" s="3"/>
      <c r="EQ39" s="3"/>
      <c r="ER39" s="3"/>
      <c r="ES39" s="3"/>
      <c r="ET39" s="3"/>
      <c r="EU39" s="3"/>
      <c r="EV39" s="3"/>
      <c r="EW39" s="3"/>
    </row>
    <row r="40" spans="1:153" ht="28.5" customHeight="1" x14ac:dyDescent="0.3">
      <c r="A40" s="20">
        <v>8</v>
      </c>
      <c r="B40" s="902"/>
      <c r="C40" s="902"/>
      <c r="D40" s="902"/>
      <c r="E40" s="902"/>
      <c r="F40" s="904"/>
      <c r="G40" s="902"/>
      <c r="H40" s="874"/>
      <c r="I40" s="874"/>
      <c r="J40" s="874"/>
      <c r="K40" s="902"/>
      <c r="L40" s="902"/>
      <c r="M40" s="902"/>
      <c r="N40" s="902"/>
      <c r="O40" s="902"/>
      <c r="P40" s="874"/>
      <c r="Q40" s="874"/>
      <c r="R40" s="512">
        <f t="shared" si="59"/>
        <v>0</v>
      </c>
      <c r="S40" s="334">
        <f>IFERROR(O40*N40,"")</f>
        <v>0</v>
      </c>
      <c r="T40" s="759" t="str">
        <f t="shared" si="58"/>
        <v/>
      </c>
      <c r="U40" s="692"/>
      <c r="V40" s="796">
        <f>U40*O40</f>
        <v>0</v>
      </c>
      <c r="X40" s="4"/>
      <c r="Y40" s="4"/>
      <c r="Z40" s="748"/>
      <c r="AA40" s="510"/>
      <c r="AC40" s="821"/>
      <c r="AD40" s="822"/>
      <c r="AE40" s="822"/>
      <c r="AF40" s="814">
        <f t="shared" si="62"/>
        <v>0</v>
      </c>
      <c r="AG40" s="814">
        <f t="shared" si="63"/>
        <v>0</v>
      </c>
      <c r="AH40" s="816">
        <v>18</v>
      </c>
      <c r="AI40" s="818">
        <f t="shared" si="64"/>
        <v>0</v>
      </c>
      <c r="AK40" s="1546">
        <f t="shared" si="65"/>
        <v>0</v>
      </c>
      <c r="AL40" s="1546">
        <f t="shared" si="65"/>
        <v>0</v>
      </c>
      <c r="AM40" s="1546">
        <f t="shared" si="65"/>
        <v>0</v>
      </c>
      <c r="AN40" s="1546">
        <f t="shared" si="65"/>
        <v>0</v>
      </c>
      <c r="AO40" s="1546">
        <f t="shared" si="65"/>
        <v>0</v>
      </c>
      <c r="AP40" s="1546">
        <f t="shared" si="65"/>
        <v>0</v>
      </c>
      <c r="AQ40" s="1546">
        <f t="shared" si="65"/>
        <v>0</v>
      </c>
      <c r="AR40" s="1546">
        <f t="shared" si="65"/>
        <v>0</v>
      </c>
      <c r="AS40" s="1546">
        <f t="shared" si="65"/>
        <v>0</v>
      </c>
      <c r="AT40" s="1546">
        <f t="shared" si="65"/>
        <v>0</v>
      </c>
      <c r="AU40" s="1546">
        <f t="shared" si="65"/>
        <v>0</v>
      </c>
      <c r="AV40" s="1546">
        <f t="shared" si="65"/>
        <v>0</v>
      </c>
      <c r="AW40" s="1546">
        <f t="shared" si="65"/>
        <v>0</v>
      </c>
      <c r="AX40" s="1546">
        <f t="shared" si="65"/>
        <v>0</v>
      </c>
      <c r="AY40" s="1546">
        <f t="shared" si="65"/>
        <v>0</v>
      </c>
      <c r="AZ40" s="1546">
        <f t="shared" si="65"/>
        <v>0</v>
      </c>
      <c r="BA40" s="1546">
        <f t="shared" si="29"/>
        <v>1</v>
      </c>
      <c r="BC40" s="1271"/>
      <c r="BD40" s="1271"/>
      <c r="BE40" s="1271"/>
      <c r="BF40" s="1271"/>
      <c r="BG40" s="1271"/>
      <c r="BH40" s="1271"/>
      <c r="BI40" s="1271"/>
      <c r="BJ40" s="1271"/>
      <c r="BK40" s="1271"/>
      <c r="BL40" s="1271"/>
      <c r="BM40" s="1271"/>
      <c r="BN40" s="1271"/>
      <c r="BO40" s="1271"/>
      <c r="BP40" s="1271"/>
      <c r="BQ40" s="1271"/>
      <c r="BR40" s="1271"/>
      <c r="BS40" s="1271"/>
      <c r="BT40" s="1271"/>
      <c r="BV40" s="3"/>
      <c r="BW40" s="3"/>
      <c r="BX40" s="3"/>
      <c r="BY40" s="3"/>
      <c r="BZ40" s="3"/>
      <c r="CA40" s="3"/>
      <c r="CB40" s="3"/>
      <c r="CC40" s="3"/>
      <c r="CE40" s="3"/>
      <c r="CF40" s="3"/>
      <c r="CG40" s="3"/>
      <c r="CH40" s="3"/>
      <c r="CI40" s="3"/>
      <c r="CJ40" s="3"/>
      <c r="CK40" s="3"/>
      <c r="CL40" s="3"/>
      <c r="CN40" s="3"/>
      <c r="CO40" s="3"/>
      <c r="CP40" s="3"/>
      <c r="CQ40" s="3"/>
      <c r="CR40" s="3"/>
      <c r="CS40" s="3"/>
      <c r="CT40" s="3"/>
      <c r="CU40" s="3"/>
      <c r="CW40" s="3"/>
      <c r="CX40" s="3"/>
      <c r="CY40" s="3"/>
      <c r="CZ40" s="3"/>
      <c r="DA40" s="3"/>
      <c r="DB40" s="3"/>
      <c r="DC40" s="3"/>
      <c r="DD40" s="3"/>
      <c r="DF40" s="3"/>
      <c r="DG40" s="3"/>
      <c r="DH40" s="3"/>
      <c r="DI40" s="3"/>
      <c r="DJ40" s="3"/>
      <c r="DK40" s="3"/>
      <c r="DL40" s="3"/>
      <c r="DM40" s="3"/>
      <c r="DO40" s="3"/>
      <c r="DP40" s="3"/>
      <c r="DQ40" s="3"/>
      <c r="DR40" s="3"/>
      <c r="DS40" s="3"/>
      <c r="DT40" s="3"/>
      <c r="DU40" s="3"/>
      <c r="DV40" s="3"/>
      <c r="DX40" s="3"/>
      <c r="DY40" s="3"/>
      <c r="DZ40" s="3"/>
      <c r="EA40" s="3"/>
      <c r="EB40" s="3"/>
      <c r="EC40" s="3"/>
      <c r="ED40" s="3"/>
      <c r="EE40" s="3"/>
      <c r="EG40" s="3"/>
      <c r="EH40" s="3"/>
      <c r="EI40" s="3"/>
      <c r="EJ40" s="3"/>
      <c r="EK40" s="3"/>
      <c r="EL40" s="3"/>
      <c r="EM40" s="3"/>
      <c r="EN40" s="3"/>
      <c r="EP40" s="3"/>
      <c r="EQ40" s="3"/>
      <c r="ER40" s="3"/>
      <c r="ES40" s="3"/>
      <c r="ET40" s="3"/>
      <c r="EU40" s="3"/>
      <c r="EV40" s="3"/>
      <c r="EW40" s="3"/>
    </row>
    <row r="41" spans="1:153" ht="28.5" customHeight="1" x14ac:dyDescent="0.3">
      <c r="A41" s="20">
        <v>9</v>
      </c>
      <c r="B41" s="902"/>
      <c r="C41" s="902"/>
      <c r="D41" s="902"/>
      <c r="E41" s="902"/>
      <c r="F41" s="904"/>
      <c r="G41" s="902"/>
      <c r="H41" s="874"/>
      <c r="I41" s="874"/>
      <c r="J41" s="874"/>
      <c r="K41" s="902"/>
      <c r="L41" s="902"/>
      <c r="M41" s="902"/>
      <c r="N41" s="902"/>
      <c r="O41" s="902"/>
      <c r="P41" s="874"/>
      <c r="Q41" s="874"/>
      <c r="R41" s="512">
        <f t="shared" si="59"/>
        <v>0</v>
      </c>
      <c r="S41" s="334">
        <f t="shared" si="60"/>
        <v>0</v>
      </c>
      <c r="T41" s="759" t="str">
        <f t="shared" si="58"/>
        <v/>
      </c>
      <c r="U41" s="692"/>
      <c r="V41" s="796">
        <f t="shared" si="61"/>
        <v>0</v>
      </c>
      <c r="X41" s="4"/>
      <c r="Y41" s="4"/>
      <c r="Z41" s="748"/>
      <c r="AA41" s="510"/>
      <c r="AC41" s="821"/>
      <c r="AD41" s="822"/>
      <c r="AE41" s="822"/>
      <c r="AF41" s="814">
        <f t="shared" si="62"/>
        <v>0</v>
      </c>
      <c r="AG41" s="814">
        <f t="shared" si="63"/>
        <v>0</v>
      </c>
      <c r="AH41" s="816">
        <v>18</v>
      </c>
      <c r="AI41" s="818">
        <f t="shared" si="64"/>
        <v>0</v>
      </c>
      <c r="AK41" s="1546">
        <f t="shared" si="65"/>
        <v>0</v>
      </c>
      <c r="AL41" s="1546">
        <f t="shared" si="65"/>
        <v>0</v>
      </c>
      <c r="AM41" s="1546">
        <f t="shared" si="65"/>
        <v>0</v>
      </c>
      <c r="AN41" s="1546">
        <f t="shared" si="65"/>
        <v>0</v>
      </c>
      <c r="AO41" s="1546">
        <f t="shared" si="65"/>
        <v>0</v>
      </c>
      <c r="AP41" s="1546">
        <f t="shared" si="65"/>
        <v>0</v>
      </c>
      <c r="AQ41" s="1546">
        <f t="shared" si="65"/>
        <v>0</v>
      </c>
      <c r="AR41" s="1546">
        <f t="shared" si="65"/>
        <v>0</v>
      </c>
      <c r="AS41" s="1546">
        <f t="shared" si="65"/>
        <v>0</v>
      </c>
      <c r="AT41" s="1546">
        <f t="shared" si="65"/>
        <v>0</v>
      </c>
      <c r="AU41" s="1546">
        <f t="shared" si="65"/>
        <v>0</v>
      </c>
      <c r="AV41" s="1546">
        <f t="shared" si="65"/>
        <v>0</v>
      </c>
      <c r="AW41" s="1546">
        <f t="shared" si="65"/>
        <v>0</v>
      </c>
      <c r="AX41" s="1546">
        <f t="shared" si="65"/>
        <v>0</v>
      </c>
      <c r="AY41" s="1546">
        <f t="shared" si="65"/>
        <v>0</v>
      </c>
      <c r="AZ41" s="1546">
        <f t="shared" si="65"/>
        <v>0</v>
      </c>
      <c r="BA41" s="1546">
        <f t="shared" si="29"/>
        <v>1</v>
      </c>
      <c r="BC41" s="1271"/>
      <c r="BD41" s="1271"/>
      <c r="BE41" s="1271"/>
      <c r="BF41" s="1271"/>
      <c r="BG41" s="1271"/>
      <c r="BH41" s="1271"/>
      <c r="BI41" s="1271"/>
      <c r="BJ41" s="1271"/>
      <c r="BK41" s="1271"/>
      <c r="BL41" s="1271"/>
      <c r="BM41" s="1271"/>
      <c r="BN41" s="1271"/>
      <c r="BO41" s="1271"/>
      <c r="BP41" s="1271"/>
      <c r="BQ41" s="1271"/>
      <c r="BR41" s="1271"/>
      <c r="BS41" s="1271"/>
      <c r="BT41" s="1271"/>
      <c r="BV41" s="3"/>
      <c r="BW41" s="3"/>
      <c r="BX41" s="3"/>
      <c r="BY41" s="3"/>
      <c r="BZ41" s="3"/>
      <c r="CA41" s="3"/>
      <c r="CB41" s="3"/>
      <c r="CC41" s="3"/>
      <c r="CE41" s="3"/>
      <c r="CF41" s="3"/>
      <c r="CG41" s="3"/>
      <c r="CH41" s="3"/>
      <c r="CI41" s="3"/>
      <c r="CJ41" s="3"/>
      <c r="CK41" s="3"/>
      <c r="CL41" s="3"/>
      <c r="CN41" s="3"/>
      <c r="CO41" s="3"/>
      <c r="CP41" s="3"/>
      <c r="CQ41" s="3"/>
      <c r="CR41" s="3"/>
      <c r="CS41" s="3"/>
      <c r="CT41" s="3"/>
      <c r="CU41" s="3"/>
      <c r="CW41" s="3"/>
      <c r="CX41" s="3"/>
      <c r="CY41" s="3"/>
      <c r="CZ41" s="3"/>
      <c r="DA41" s="3"/>
      <c r="DB41" s="3"/>
      <c r="DC41" s="3"/>
      <c r="DD41" s="3"/>
      <c r="DF41" s="3"/>
      <c r="DG41" s="3"/>
      <c r="DH41" s="3"/>
      <c r="DI41" s="3"/>
      <c r="DJ41" s="3"/>
      <c r="DK41" s="3"/>
      <c r="DL41" s="3"/>
      <c r="DM41" s="3"/>
      <c r="DO41" s="3"/>
      <c r="DP41" s="3"/>
      <c r="DQ41" s="3"/>
      <c r="DR41" s="3"/>
      <c r="DS41" s="3"/>
      <c r="DT41" s="3"/>
      <c r="DU41" s="3"/>
      <c r="DV41" s="3"/>
      <c r="DX41" s="3"/>
      <c r="DY41" s="3"/>
      <c r="DZ41" s="3"/>
      <c r="EA41" s="3"/>
      <c r="EB41" s="3"/>
      <c r="EC41" s="3"/>
      <c r="ED41" s="3"/>
      <c r="EE41" s="3"/>
      <c r="EG41" s="3"/>
      <c r="EH41" s="3"/>
      <c r="EI41" s="3"/>
      <c r="EJ41" s="3"/>
      <c r="EK41" s="3"/>
      <c r="EL41" s="3"/>
      <c r="EM41" s="3"/>
      <c r="EN41" s="3"/>
      <c r="EP41" s="3"/>
      <c r="EQ41" s="3"/>
      <c r="ER41" s="3"/>
      <c r="ES41" s="3"/>
      <c r="ET41" s="3"/>
      <c r="EU41" s="3"/>
      <c r="EV41" s="3"/>
      <c r="EW41" s="3"/>
    </row>
    <row r="42" spans="1:153" ht="28.5" customHeight="1" x14ac:dyDescent="0.3">
      <c r="A42" s="20">
        <v>10</v>
      </c>
      <c r="B42" s="902"/>
      <c r="C42" s="902"/>
      <c r="D42" s="902"/>
      <c r="E42" s="902"/>
      <c r="F42" s="904"/>
      <c r="G42" s="902"/>
      <c r="H42" s="874"/>
      <c r="I42" s="874"/>
      <c r="J42" s="874"/>
      <c r="K42" s="902"/>
      <c r="L42" s="902"/>
      <c r="M42" s="902"/>
      <c r="N42" s="902"/>
      <c r="O42" s="902"/>
      <c r="P42" s="874"/>
      <c r="Q42" s="874"/>
      <c r="R42" s="512">
        <f t="shared" si="59"/>
        <v>0</v>
      </c>
      <c r="S42" s="334">
        <f>IFERROR(O42*N42,"")</f>
        <v>0</v>
      </c>
      <c r="T42" s="759" t="str">
        <f t="shared" si="58"/>
        <v/>
      </c>
      <c r="U42" s="692"/>
      <c r="V42" s="796">
        <f t="shared" si="61"/>
        <v>0</v>
      </c>
      <c r="X42" s="4"/>
      <c r="Y42" s="4"/>
      <c r="Z42" s="748"/>
      <c r="AA42" s="510"/>
      <c r="AC42" s="821"/>
      <c r="AD42" s="822"/>
      <c r="AE42" s="822"/>
      <c r="AF42" s="814">
        <f t="shared" si="62"/>
        <v>0</v>
      </c>
      <c r="AG42" s="814">
        <f t="shared" si="63"/>
        <v>0</v>
      </c>
      <c r="AH42" s="816">
        <v>18</v>
      </c>
      <c r="AI42" s="818">
        <f t="shared" si="64"/>
        <v>0</v>
      </c>
      <c r="AK42" s="1546">
        <f t="shared" si="65"/>
        <v>0</v>
      </c>
      <c r="AL42" s="1546">
        <f t="shared" si="65"/>
        <v>0</v>
      </c>
      <c r="AM42" s="1546">
        <f t="shared" si="65"/>
        <v>0</v>
      </c>
      <c r="AN42" s="1546">
        <f t="shared" si="65"/>
        <v>0</v>
      </c>
      <c r="AO42" s="1546">
        <f t="shared" si="65"/>
        <v>0</v>
      </c>
      <c r="AP42" s="1546">
        <f t="shared" si="65"/>
        <v>0</v>
      </c>
      <c r="AQ42" s="1546">
        <f t="shared" si="65"/>
        <v>0</v>
      </c>
      <c r="AR42" s="1546">
        <f t="shared" si="65"/>
        <v>0</v>
      </c>
      <c r="AS42" s="1546">
        <f t="shared" si="65"/>
        <v>0</v>
      </c>
      <c r="AT42" s="1546">
        <f t="shared" si="65"/>
        <v>0</v>
      </c>
      <c r="AU42" s="1546">
        <f t="shared" si="65"/>
        <v>0</v>
      </c>
      <c r="AV42" s="1546">
        <f t="shared" si="65"/>
        <v>0</v>
      </c>
      <c r="AW42" s="1546">
        <f t="shared" si="65"/>
        <v>0</v>
      </c>
      <c r="AX42" s="1546">
        <f t="shared" si="65"/>
        <v>0</v>
      </c>
      <c r="AY42" s="1546">
        <f t="shared" si="65"/>
        <v>0</v>
      </c>
      <c r="AZ42" s="1546">
        <f t="shared" si="65"/>
        <v>0</v>
      </c>
      <c r="BA42" s="1546">
        <f t="shared" si="29"/>
        <v>1</v>
      </c>
      <c r="BC42" s="1271"/>
      <c r="BD42" s="1271"/>
      <c r="BE42" s="1271"/>
      <c r="BF42" s="1271"/>
      <c r="BG42" s="1271"/>
      <c r="BH42" s="1271"/>
      <c r="BI42" s="1271"/>
      <c r="BJ42" s="1271"/>
      <c r="BK42" s="1271"/>
      <c r="BL42" s="1271"/>
      <c r="BM42" s="1271"/>
      <c r="BN42" s="1271"/>
      <c r="BO42" s="1271"/>
      <c r="BP42" s="1271"/>
      <c r="BQ42" s="1271"/>
      <c r="BR42" s="1271"/>
      <c r="BS42" s="1271"/>
      <c r="BT42" s="1271"/>
      <c r="BV42" s="3"/>
      <c r="BW42" s="3"/>
      <c r="BX42" s="3"/>
      <c r="BY42" s="3"/>
      <c r="BZ42" s="3"/>
      <c r="CA42" s="3"/>
      <c r="CB42" s="3"/>
      <c r="CC42" s="3"/>
      <c r="CE42" s="3"/>
      <c r="CF42" s="3"/>
      <c r="CG42" s="3"/>
      <c r="CH42" s="3"/>
      <c r="CI42" s="3"/>
      <c r="CJ42" s="3"/>
      <c r="CK42" s="3"/>
      <c r="CL42" s="3"/>
      <c r="CN42" s="3"/>
      <c r="CO42" s="3"/>
      <c r="CP42" s="3"/>
      <c r="CQ42" s="3"/>
      <c r="CR42" s="3"/>
      <c r="CS42" s="3"/>
      <c r="CT42" s="3"/>
      <c r="CU42" s="3"/>
      <c r="CW42" s="3"/>
      <c r="CX42" s="3"/>
      <c r="CY42" s="3"/>
      <c r="CZ42" s="3"/>
      <c r="DA42" s="3"/>
      <c r="DB42" s="3"/>
      <c r="DC42" s="3"/>
      <c r="DD42" s="3"/>
      <c r="DF42" s="3"/>
      <c r="DG42" s="3"/>
      <c r="DH42" s="3"/>
      <c r="DI42" s="3"/>
      <c r="DJ42" s="3"/>
      <c r="DK42" s="3"/>
      <c r="DL42" s="3"/>
      <c r="DM42" s="3"/>
      <c r="DO42" s="3"/>
      <c r="DP42" s="3"/>
      <c r="DQ42" s="3"/>
      <c r="DR42" s="3"/>
      <c r="DS42" s="3"/>
      <c r="DT42" s="3"/>
      <c r="DU42" s="3"/>
      <c r="DV42" s="3"/>
      <c r="DX42" s="3"/>
      <c r="DY42" s="3"/>
      <c r="DZ42" s="3"/>
      <c r="EA42" s="3"/>
      <c r="EB42" s="3"/>
      <c r="EC42" s="3"/>
      <c r="ED42" s="3"/>
      <c r="EE42" s="3"/>
      <c r="EG42" s="3"/>
      <c r="EH42" s="3"/>
      <c r="EI42" s="3"/>
      <c r="EJ42" s="3"/>
      <c r="EK42" s="3"/>
      <c r="EL42" s="3"/>
      <c r="EM42" s="3"/>
      <c r="EN42" s="3"/>
      <c r="EP42" s="3"/>
      <c r="EQ42" s="3"/>
      <c r="ER42" s="3"/>
      <c r="ES42" s="3"/>
      <c r="ET42" s="3"/>
      <c r="EU42" s="3"/>
      <c r="EV42" s="3"/>
      <c r="EW42" s="3"/>
    </row>
    <row r="43" spans="1:153" ht="28.5" customHeight="1" x14ac:dyDescent="0.3">
      <c r="A43" s="20">
        <v>11</v>
      </c>
      <c r="B43" s="902"/>
      <c r="C43" s="902"/>
      <c r="D43" s="902"/>
      <c r="E43" s="902"/>
      <c r="F43" s="904"/>
      <c r="G43" s="902"/>
      <c r="H43" s="874"/>
      <c r="I43" s="874"/>
      <c r="J43" s="874"/>
      <c r="K43" s="902"/>
      <c r="L43" s="902"/>
      <c r="M43" s="902"/>
      <c r="N43" s="902"/>
      <c r="O43" s="902"/>
      <c r="P43" s="874"/>
      <c r="Q43" s="874"/>
      <c r="R43" s="512">
        <f t="shared" si="59"/>
        <v>0</v>
      </c>
      <c r="S43" s="334">
        <f t="shared" si="60"/>
        <v>0</v>
      </c>
      <c r="T43" s="759" t="str">
        <f t="shared" si="58"/>
        <v/>
      </c>
      <c r="U43" s="692"/>
      <c r="V43" s="796">
        <f t="shared" si="61"/>
        <v>0</v>
      </c>
      <c r="X43" s="4"/>
      <c r="Y43" s="4"/>
      <c r="Z43" s="748"/>
      <c r="AA43" s="510"/>
      <c r="AC43" s="821"/>
      <c r="AD43" s="822"/>
      <c r="AE43" s="822"/>
      <c r="AF43" s="814">
        <f t="shared" si="62"/>
        <v>0</v>
      </c>
      <c r="AG43" s="814">
        <f t="shared" si="63"/>
        <v>0</v>
      </c>
      <c r="AH43" s="816">
        <v>18</v>
      </c>
      <c r="AI43" s="818">
        <f t="shared" si="64"/>
        <v>0</v>
      </c>
      <c r="AK43" s="1546">
        <f t="shared" si="65"/>
        <v>0</v>
      </c>
      <c r="AL43" s="1546">
        <f t="shared" si="65"/>
        <v>0</v>
      </c>
      <c r="AM43" s="1546">
        <f t="shared" si="65"/>
        <v>0</v>
      </c>
      <c r="AN43" s="1546">
        <f t="shared" si="65"/>
        <v>0</v>
      </c>
      <c r="AO43" s="1546">
        <f t="shared" si="65"/>
        <v>0</v>
      </c>
      <c r="AP43" s="1546">
        <f t="shared" si="65"/>
        <v>0</v>
      </c>
      <c r="AQ43" s="1546">
        <f t="shared" si="65"/>
        <v>0</v>
      </c>
      <c r="AR43" s="1546">
        <f t="shared" si="65"/>
        <v>0</v>
      </c>
      <c r="AS43" s="1546">
        <f t="shared" si="65"/>
        <v>0</v>
      </c>
      <c r="AT43" s="1546">
        <f t="shared" si="65"/>
        <v>0</v>
      </c>
      <c r="AU43" s="1546">
        <f t="shared" si="65"/>
        <v>0</v>
      </c>
      <c r="AV43" s="1546">
        <f t="shared" si="65"/>
        <v>0</v>
      </c>
      <c r="AW43" s="1546">
        <f t="shared" si="65"/>
        <v>0</v>
      </c>
      <c r="AX43" s="1546">
        <f t="shared" si="65"/>
        <v>0</v>
      </c>
      <c r="AY43" s="1546">
        <f t="shared" si="65"/>
        <v>0</v>
      </c>
      <c r="AZ43" s="1546">
        <f t="shared" si="65"/>
        <v>0</v>
      </c>
      <c r="BA43" s="1546">
        <f t="shared" si="29"/>
        <v>1</v>
      </c>
      <c r="BC43" s="1271"/>
      <c r="BD43" s="1271"/>
      <c r="BE43" s="1271"/>
      <c r="BF43" s="1271"/>
      <c r="BG43" s="1271"/>
      <c r="BH43" s="1271"/>
      <c r="BI43" s="1271"/>
      <c r="BJ43" s="1271"/>
      <c r="BK43" s="1271"/>
      <c r="BL43" s="1271"/>
      <c r="BM43" s="1271"/>
      <c r="BN43" s="1271"/>
      <c r="BO43" s="1271"/>
      <c r="BP43" s="1271"/>
      <c r="BQ43" s="1271"/>
      <c r="BR43" s="1271"/>
      <c r="BS43" s="1271"/>
      <c r="BT43" s="1271"/>
      <c r="BV43" s="3"/>
      <c r="BW43" s="3"/>
      <c r="BX43" s="3"/>
      <c r="BY43" s="3"/>
      <c r="BZ43" s="3"/>
      <c r="CA43" s="3"/>
      <c r="CB43" s="3"/>
      <c r="CC43" s="3"/>
      <c r="CE43" s="3"/>
      <c r="CF43" s="3"/>
      <c r="CG43" s="3"/>
      <c r="CH43" s="3"/>
      <c r="CI43" s="3"/>
      <c r="CJ43" s="3"/>
      <c r="CK43" s="3"/>
      <c r="CL43" s="3"/>
      <c r="CN43" s="3"/>
      <c r="CO43" s="3"/>
      <c r="CP43" s="3"/>
      <c r="CQ43" s="3"/>
      <c r="CR43" s="3"/>
      <c r="CS43" s="3"/>
      <c r="CT43" s="3"/>
      <c r="CU43" s="3"/>
      <c r="CW43" s="3"/>
      <c r="CX43" s="3"/>
      <c r="CY43" s="3"/>
      <c r="CZ43" s="3"/>
      <c r="DA43" s="3"/>
      <c r="DB43" s="3"/>
      <c r="DC43" s="3"/>
      <c r="DD43" s="3"/>
      <c r="DF43" s="3"/>
      <c r="DG43" s="3"/>
      <c r="DH43" s="3"/>
      <c r="DI43" s="3"/>
      <c r="DJ43" s="3"/>
      <c r="DK43" s="3"/>
      <c r="DL43" s="3"/>
      <c r="DM43" s="3"/>
      <c r="DO43" s="3"/>
      <c r="DP43" s="3"/>
      <c r="DQ43" s="3"/>
      <c r="DR43" s="3"/>
      <c r="DS43" s="3"/>
      <c r="DT43" s="3"/>
      <c r="DU43" s="3"/>
      <c r="DV43" s="3"/>
      <c r="DX43" s="3"/>
      <c r="DY43" s="3"/>
      <c r="DZ43" s="3"/>
      <c r="EA43" s="3"/>
      <c r="EB43" s="3"/>
      <c r="EC43" s="3"/>
      <c r="ED43" s="3"/>
      <c r="EE43" s="3"/>
      <c r="EG43" s="3"/>
      <c r="EH43" s="3"/>
      <c r="EI43" s="3"/>
      <c r="EJ43" s="3"/>
      <c r="EK43" s="3"/>
      <c r="EL43" s="3"/>
      <c r="EM43" s="3"/>
      <c r="EN43" s="3"/>
      <c r="EP43" s="3"/>
      <c r="EQ43" s="3"/>
      <c r="ER43" s="3"/>
      <c r="ES43" s="3"/>
      <c r="ET43" s="3"/>
      <c r="EU43" s="3"/>
      <c r="EV43" s="3"/>
      <c r="EW43" s="3"/>
    </row>
    <row r="44" spans="1:153" ht="28.5" customHeight="1" x14ac:dyDescent="0.3">
      <c r="A44" s="20">
        <v>12</v>
      </c>
      <c r="B44" s="902"/>
      <c r="C44" s="902"/>
      <c r="D44" s="902"/>
      <c r="E44" s="902"/>
      <c r="F44" s="904"/>
      <c r="G44" s="902"/>
      <c r="H44" s="874"/>
      <c r="I44" s="874"/>
      <c r="J44" s="874"/>
      <c r="K44" s="902"/>
      <c r="L44" s="902"/>
      <c r="M44" s="902"/>
      <c r="N44" s="902"/>
      <c r="O44" s="902"/>
      <c r="P44" s="874"/>
      <c r="Q44" s="874"/>
      <c r="R44" s="512">
        <f t="shared" si="59"/>
        <v>0</v>
      </c>
      <c r="S44" s="334">
        <f t="shared" si="60"/>
        <v>0</v>
      </c>
      <c r="T44" s="759" t="str">
        <f t="shared" si="58"/>
        <v/>
      </c>
      <c r="U44" s="692"/>
      <c r="V44" s="796">
        <f t="shared" si="61"/>
        <v>0</v>
      </c>
      <c r="X44" s="4"/>
      <c r="Y44" s="4"/>
      <c r="Z44" s="748"/>
      <c r="AA44" s="510"/>
      <c r="AC44" s="821"/>
      <c r="AD44" s="822"/>
      <c r="AE44" s="822"/>
      <c r="AF44" s="814">
        <f t="shared" si="62"/>
        <v>0</v>
      </c>
      <c r="AG44" s="814">
        <f t="shared" si="63"/>
        <v>0</v>
      </c>
      <c r="AH44" s="816">
        <v>18</v>
      </c>
      <c r="AI44" s="818">
        <f t="shared" si="64"/>
        <v>0</v>
      </c>
      <c r="AK44" s="1546">
        <f t="shared" si="65"/>
        <v>0</v>
      </c>
      <c r="AL44" s="1546">
        <f t="shared" si="65"/>
        <v>0</v>
      </c>
      <c r="AM44" s="1546">
        <f t="shared" si="65"/>
        <v>0</v>
      </c>
      <c r="AN44" s="1546">
        <f t="shared" si="65"/>
        <v>0</v>
      </c>
      <c r="AO44" s="1546">
        <f t="shared" si="65"/>
        <v>0</v>
      </c>
      <c r="AP44" s="1546">
        <f t="shared" si="65"/>
        <v>0</v>
      </c>
      <c r="AQ44" s="1546">
        <f t="shared" si="65"/>
        <v>0</v>
      </c>
      <c r="AR44" s="1546">
        <f t="shared" si="65"/>
        <v>0</v>
      </c>
      <c r="AS44" s="1546">
        <f t="shared" si="65"/>
        <v>0</v>
      </c>
      <c r="AT44" s="1546">
        <f t="shared" si="65"/>
        <v>0</v>
      </c>
      <c r="AU44" s="1546">
        <f t="shared" si="65"/>
        <v>0</v>
      </c>
      <c r="AV44" s="1546">
        <f t="shared" si="65"/>
        <v>0</v>
      </c>
      <c r="AW44" s="1546">
        <f t="shared" si="65"/>
        <v>0</v>
      </c>
      <c r="AX44" s="1546">
        <f t="shared" si="65"/>
        <v>0</v>
      </c>
      <c r="AY44" s="1546">
        <f t="shared" si="65"/>
        <v>0</v>
      </c>
      <c r="AZ44" s="1546">
        <f t="shared" si="65"/>
        <v>0</v>
      </c>
      <c r="BA44" s="1546">
        <f t="shared" si="29"/>
        <v>1</v>
      </c>
      <c r="BC44" s="1271"/>
      <c r="BD44" s="1271"/>
      <c r="BE44" s="1271"/>
      <c r="BF44" s="1271"/>
      <c r="BG44" s="1271"/>
      <c r="BH44" s="1271"/>
      <c r="BI44" s="1271"/>
      <c r="BJ44" s="1271"/>
      <c r="BK44" s="1271"/>
      <c r="BL44" s="1271"/>
      <c r="BM44" s="1271"/>
      <c r="BN44" s="1271"/>
      <c r="BO44" s="1271"/>
      <c r="BP44" s="1271"/>
      <c r="BQ44" s="1271"/>
      <c r="BR44" s="1271"/>
      <c r="BS44" s="1271"/>
      <c r="BT44" s="1271"/>
      <c r="BV44" s="3"/>
      <c r="BW44" s="3"/>
      <c r="BX44" s="3"/>
      <c r="BY44" s="3"/>
      <c r="BZ44" s="3"/>
      <c r="CA44" s="3"/>
      <c r="CB44" s="3"/>
      <c r="CC44" s="3"/>
      <c r="CE44" s="3"/>
      <c r="CF44" s="3"/>
      <c r="CG44" s="3"/>
      <c r="CH44" s="3"/>
      <c r="CI44" s="3"/>
      <c r="CJ44" s="3"/>
      <c r="CK44" s="3"/>
      <c r="CL44" s="3"/>
      <c r="CN44" s="3"/>
      <c r="CO44" s="3"/>
      <c r="CP44" s="3"/>
      <c r="CQ44" s="3"/>
      <c r="CR44" s="3"/>
      <c r="CS44" s="3"/>
      <c r="CT44" s="3"/>
      <c r="CU44" s="3"/>
      <c r="CW44" s="3"/>
      <c r="CX44" s="3"/>
      <c r="CY44" s="3"/>
      <c r="CZ44" s="3"/>
      <c r="DA44" s="3"/>
      <c r="DB44" s="3"/>
      <c r="DC44" s="3"/>
      <c r="DD44" s="3"/>
      <c r="DF44" s="3"/>
      <c r="DG44" s="3"/>
      <c r="DH44" s="3"/>
      <c r="DI44" s="3"/>
      <c r="DJ44" s="3"/>
      <c r="DK44" s="3"/>
      <c r="DL44" s="3"/>
      <c r="DM44" s="3"/>
      <c r="DO44" s="3"/>
      <c r="DP44" s="3"/>
      <c r="DQ44" s="3"/>
      <c r="DR44" s="3"/>
      <c r="DS44" s="3"/>
      <c r="DT44" s="3"/>
      <c r="DU44" s="3"/>
      <c r="DV44" s="3"/>
      <c r="DX44" s="3"/>
      <c r="DY44" s="3"/>
      <c r="DZ44" s="3"/>
      <c r="EA44" s="3"/>
      <c r="EB44" s="3"/>
      <c r="EC44" s="3"/>
      <c r="ED44" s="3"/>
      <c r="EE44" s="3"/>
      <c r="EG44" s="3"/>
      <c r="EH44" s="3"/>
      <c r="EI44" s="3"/>
      <c r="EJ44" s="3"/>
      <c r="EK44" s="3"/>
      <c r="EL44" s="3"/>
      <c r="EM44" s="3"/>
      <c r="EN44" s="3"/>
      <c r="EP44" s="3"/>
      <c r="EQ44" s="3"/>
      <c r="ER44" s="3"/>
      <c r="ES44" s="3"/>
      <c r="ET44" s="3"/>
      <c r="EU44" s="3"/>
      <c r="EV44" s="3"/>
      <c r="EW44" s="3"/>
    </row>
    <row r="45" spans="1:153" ht="28.5" customHeight="1" x14ac:dyDescent="0.3">
      <c r="A45" s="20">
        <v>13</v>
      </c>
      <c r="B45" s="902"/>
      <c r="C45" s="902"/>
      <c r="D45" s="902"/>
      <c r="E45" s="902"/>
      <c r="F45" s="904"/>
      <c r="G45" s="902"/>
      <c r="H45" s="874"/>
      <c r="I45" s="874"/>
      <c r="J45" s="874"/>
      <c r="K45" s="902"/>
      <c r="L45" s="902"/>
      <c r="M45" s="902"/>
      <c r="N45" s="902"/>
      <c r="O45" s="902"/>
      <c r="P45" s="874"/>
      <c r="Q45" s="874"/>
      <c r="R45" s="512">
        <f t="shared" si="59"/>
        <v>0</v>
      </c>
      <c r="S45" s="334">
        <f t="shared" si="60"/>
        <v>0</v>
      </c>
      <c r="T45" s="759" t="str">
        <f t="shared" si="58"/>
        <v/>
      </c>
      <c r="U45" s="692"/>
      <c r="V45" s="796">
        <f t="shared" si="61"/>
        <v>0</v>
      </c>
      <c r="X45" s="4"/>
      <c r="Y45" s="4"/>
      <c r="Z45" s="748"/>
      <c r="AA45" s="510"/>
      <c r="AC45" s="821"/>
      <c r="AD45" s="822"/>
      <c r="AE45" s="822"/>
      <c r="AF45" s="814">
        <f t="shared" si="62"/>
        <v>0</v>
      </c>
      <c r="AG45" s="814">
        <f t="shared" si="63"/>
        <v>0</v>
      </c>
      <c r="AH45" s="816">
        <v>18</v>
      </c>
      <c r="AI45" s="818">
        <f t="shared" si="64"/>
        <v>0</v>
      </c>
      <c r="AK45" s="1546">
        <f t="shared" si="65"/>
        <v>0</v>
      </c>
      <c r="AL45" s="1546">
        <f t="shared" si="65"/>
        <v>0</v>
      </c>
      <c r="AM45" s="1546">
        <f t="shared" si="65"/>
        <v>0</v>
      </c>
      <c r="AN45" s="1546">
        <f t="shared" si="65"/>
        <v>0</v>
      </c>
      <c r="AO45" s="1546">
        <f t="shared" si="65"/>
        <v>0</v>
      </c>
      <c r="AP45" s="1546">
        <f t="shared" si="65"/>
        <v>0</v>
      </c>
      <c r="AQ45" s="1546">
        <f t="shared" si="65"/>
        <v>0</v>
      </c>
      <c r="AR45" s="1546">
        <f t="shared" si="65"/>
        <v>0</v>
      </c>
      <c r="AS45" s="1546">
        <f t="shared" si="65"/>
        <v>0</v>
      </c>
      <c r="AT45" s="1546">
        <f t="shared" si="65"/>
        <v>0</v>
      </c>
      <c r="AU45" s="1546">
        <f t="shared" si="65"/>
        <v>0</v>
      </c>
      <c r="AV45" s="1546">
        <f t="shared" si="65"/>
        <v>0</v>
      </c>
      <c r="AW45" s="1546">
        <f t="shared" si="65"/>
        <v>0</v>
      </c>
      <c r="AX45" s="1546">
        <f t="shared" si="65"/>
        <v>0</v>
      </c>
      <c r="AY45" s="1546">
        <f t="shared" si="65"/>
        <v>0</v>
      </c>
      <c r="AZ45" s="1546">
        <f t="shared" si="65"/>
        <v>0</v>
      </c>
      <c r="BA45" s="1546">
        <f t="shared" si="29"/>
        <v>1</v>
      </c>
      <c r="BC45" s="1271"/>
      <c r="BD45" s="1271"/>
      <c r="BE45" s="1271"/>
      <c r="BF45" s="1271"/>
      <c r="BG45" s="1271"/>
      <c r="BH45" s="1271"/>
      <c r="BI45" s="1271"/>
      <c r="BJ45" s="1271"/>
      <c r="BK45" s="1271"/>
      <c r="BL45" s="1271"/>
      <c r="BM45" s="1271"/>
      <c r="BN45" s="1271"/>
      <c r="BO45" s="1271"/>
      <c r="BP45" s="1271"/>
      <c r="BQ45" s="1271"/>
      <c r="BR45" s="1271"/>
      <c r="BS45" s="1271"/>
      <c r="BT45" s="1271"/>
      <c r="BV45" s="3"/>
      <c r="BW45" s="3"/>
      <c r="BX45" s="3"/>
      <c r="BY45" s="3"/>
      <c r="BZ45" s="3"/>
      <c r="CA45" s="3"/>
      <c r="CB45" s="3"/>
      <c r="CC45" s="3"/>
      <c r="CE45" s="3"/>
      <c r="CF45" s="3"/>
      <c r="CG45" s="3"/>
      <c r="CH45" s="3"/>
      <c r="CI45" s="3"/>
      <c r="CJ45" s="3"/>
      <c r="CK45" s="3"/>
      <c r="CL45" s="3"/>
      <c r="CN45" s="3"/>
      <c r="CO45" s="3"/>
      <c r="CP45" s="3"/>
      <c r="CQ45" s="3"/>
      <c r="CR45" s="3"/>
      <c r="CS45" s="3"/>
      <c r="CT45" s="3"/>
      <c r="CU45" s="3"/>
      <c r="CW45" s="3"/>
      <c r="CX45" s="3"/>
      <c r="CY45" s="3"/>
      <c r="CZ45" s="3"/>
      <c r="DA45" s="3"/>
      <c r="DB45" s="3"/>
      <c r="DC45" s="3"/>
      <c r="DD45" s="3"/>
      <c r="DF45" s="3"/>
      <c r="DG45" s="3"/>
      <c r="DH45" s="3"/>
      <c r="DI45" s="3"/>
      <c r="DJ45" s="3"/>
      <c r="DK45" s="3"/>
      <c r="DL45" s="3"/>
      <c r="DM45" s="3"/>
      <c r="DO45" s="3"/>
      <c r="DP45" s="3"/>
      <c r="DQ45" s="3"/>
      <c r="DR45" s="3"/>
      <c r="DS45" s="3"/>
      <c r="DT45" s="3"/>
      <c r="DU45" s="3"/>
      <c r="DV45" s="3"/>
      <c r="DX45" s="3"/>
      <c r="DY45" s="3"/>
      <c r="DZ45" s="3"/>
      <c r="EA45" s="3"/>
      <c r="EB45" s="3"/>
      <c r="EC45" s="3"/>
      <c r="ED45" s="3"/>
      <c r="EE45" s="3"/>
      <c r="EG45" s="3"/>
      <c r="EH45" s="3"/>
      <c r="EI45" s="3"/>
      <c r="EJ45" s="3"/>
      <c r="EK45" s="3"/>
      <c r="EL45" s="3"/>
      <c r="EM45" s="3"/>
      <c r="EN45" s="3"/>
      <c r="EP45" s="3"/>
      <c r="EQ45" s="3"/>
      <c r="ER45" s="3"/>
      <c r="ES45" s="3"/>
      <c r="ET45" s="3"/>
      <c r="EU45" s="3"/>
      <c r="EV45" s="3"/>
      <c r="EW45" s="3"/>
    </row>
    <row r="46" spans="1:153" ht="28.5" customHeight="1" x14ac:dyDescent="0.3">
      <c r="A46" s="20">
        <v>14</v>
      </c>
      <c r="B46" s="902"/>
      <c r="C46" s="902"/>
      <c r="D46" s="902"/>
      <c r="E46" s="902"/>
      <c r="F46" s="904"/>
      <c r="G46" s="902"/>
      <c r="H46" s="874"/>
      <c r="I46" s="874"/>
      <c r="J46" s="874"/>
      <c r="K46" s="902"/>
      <c r="L46" s="902"/>
      <c r="M46" s="902"/>
      <c r="N46" s="902"/>
      <c r="O46" s="902"/>
      <c r="P46" s="874"/>
      <c r="Q46" s="874"/>
      <c r="R46" s="512">
        <f t="shared" si="59"/>
        <v>0</v>
      </c>
      <c r="S46" s="334">
        <f t="shared" si="60"/>
        <v>0</v>
      </c>
      <c r="T46" s="759" t="str">
        <f t="shared" si="58"/>
        <v/>
      </c>
      <c r="U46" s="692"/>
      <c r="V46" s="796">
        <f t="shared" si="61"/>
        <v>0</v>
      </c>
      <c r="X46" s="4"/>
      <c r="Y46" s="4"/>
      <c r="Z46" s="748"/>
      <c r="AA46" s="510"/>
      <c r="AC46" s="821"/>
      <c r="AD46" s="822"/>
      <c r="AE46" s="822"/>
      <c r="AF46" s="814">
        <f t="shared" si="62"/>
        <v>0</v>
      </c>
      <c r="AG46" s="814">
        <f t="shared" si="63"/>
        <v>0</v>
      </c>
      <c r="AH46" s="816">
        <v>18</v>
      </c>
      <c r="AI46" s="818">
        <f t="shared" si="64"/>
        <v>0</v>
      </c>
      <c r="AK46" s="1546">
        <f t="shared" si="65"/>
        <v>0</v>
      </c>
      <c r="AL46" s="1546">
        <f t="shared" si="65"/>
        <v>0</v>
      </c>
      <c r="AM46" s="1546">
        <f t="shared" si="65"/>
        <v>0</v>
      </c>
      <c r="AN46" s="1546">
        <f t="shared" si="65"/>
        <v>0</v>
      </c>
      <c r="AO46" s="1546">
        <f t="shared" si="65"/>
        <v>0</v>
      </c>
      <c r="AP46" s="1546">
        <f t="shared" si="65"/>
        <v>0</v>
      </c>
      <c r="AQ46" s="1546">
        <f t="shared" si="65"/>
        <v>0</v>
      </c>
      <c r="AR46" s="1546">
        <f t="shared" si="65"/>
        <v>0</v>
      </c>
      <c r="AS46" s="1546">
        <f t="shared" si="65"/>
        <v>0</v>
      </c>
      <c r="AT46" s="1546">
        <f t="shared" si="65"/>
        <v>0</v>
      </c>
      <c r="AU46" s="1546">
        <f t="shared" si="65"/>
        <v>0</v>
      </c>
      <c r="AV46" s="1546">
        <f t="shared" si="65"/>
        <v>0</v>
      </c>
      <c r="AW46" s="1546">
        <f t="shared" si="65"/>
        <v>0</v>
      </c>
      <c r="AX46" s="1546">
        <f t="shared" si="65"/>
        <v>0</v>
      </c>
      <c r="AY46" s="1546">
        <f t="shared" si="65"/>
        <v>0</v>
      </c>
      <c r="AZ46" s="1546">
        <f t="shared" si="65"/>
        <v>0</v>
      </c>
      <c r="BA46" s="1546">
        <f t="shared" si="29"/>
        <v>1</v>
      </c>
      <c r="BC46" s="1271"/>
      <c r="BD46" s="1271"/>
      <c r="BE46" s="1271"/>
      <c r="BF46" s="1271"/>
      <c r="BG46" s="1271"/>
      <c r="BH46" s="1271"/>
      <c r="BI46" s="1271"/>
      <c r="BJ46" s="1271"/>
      <c r="BK46" s="1271"/>
      <c r="BL46" s="1271"/>
      <c r="BM46" s="1271"/>
      <c r="BN46" s="1271"/>
      <c r="BO46" s="1271"/>
      <c r="BP46" s="1271"/>
      <c r="BQ46" s="1271"/>
      <c r="BR46" s="1271"/>
      <c r="BS46" s="1271"/>
      <c r="BT46" s="1271"/>
      <c r="BV46" s="3"/>
      <c r="BW46" s="3"/>
      <c r="BX46" s="3"/>
      <c r="BY46" s="3"/>
      <c r="BZ46" s="3"/>
      <c r="CA46" s="3"/>
      <c r="CB46" s="3"/>
      <c r="CC46" s="3"/>
      <c r="CE46" s="3"/>
      <c r="CF46" s="3"/>
      <c r="CG46" s="3"/>
      <c r="CH46" s="3"/>
      <c r="CI46" s="3"/>
      <c r="CJ46" s="3"/>
      <c r="CK46" s="3"/>
      <c r="CL46" s="3"/>
      <c r="CN46" s="3"/>
      <c r="CO46" s="3"/>
      <c r="CP46" s="3"/>
      <c r="CQ46" s="3"/>
      <c r="CR46" s="3"/>
      <c r="CS46" s="3"/>
      <c r="CT46" s="3"/>
      <c r="CU46" s="3"/>
      <c r="CW46" s="3"/>
      <c r="CX46" s="3"/>
      <c r="CY46" s="3"/>
      <c r="CZ46" s="3"/>
      <c r="DA46" s="3"/>
      <c r="DB46" s="3"/>
      <c r="DC46" s="3"/>
      <c r="DD46" s="3"/>
      <c r="DF46" s="3"/>
      <c r="DG46" s="3"/>
      <c r="DH46" s="3"/>
      <c r="DI46" s="3"/>
      <c r="DJ46" s="3"/>
      <c r="DK46" s="3"/>
      <c r="DL46" s="3"/>
      <c r="DM46" s="3"/>
      <c r="DO46" s="3"/>
      <c r="DP46" s="3"/>
      <c r="DQ46" s="3"/>
      <c r="DR46" s="3"/>
      <c r="DS46" s="3"/>
      <c r="DT46" s="3"/>
      <c r="DU46" s="3"/>
      <c r="DV46" s="3"/>
      <c r="DX46" s="3"/>
      <c r="DY46" s="3"/>
      <c r="DZ46" s="3"/>
      <c r="EA46" s="3"/>
      <c r="EB46" s="3"/>
      <c r="EC46" s="3"/>
      <c r="ED46" s="3"/>
      <c r="EE46" s="3"/>
      <c r="EG46" s="3"/>
      <c r="EH46" s="3"/>
      <c r="EI46" s="3"/>
      <c r="EJ46" s="3"/>
      <c r="EK46" s="3"/>
      <c r="EL46" s="3"/>
      <c r="EM46" s="3"/>
      <c r="EN46" s="3"/>
      <c r="EP46" s="3"/>
      <c r="EQ46" s="3"/>
      <c r="ER46" s="3"/>
      <c r="ES46" s="3"/>
      <c r="ET46" s="3"/>
      <c r="EU46" s="3"/>
      <c r="EV46" s="3"/>
      <c r="EW46" s="3"/>
    </row>
    <row r="47" spans="1:153" ht="28.5" customHeight="1" x14ac:dyDescent="0.3">
      <c r="A47" s="20">
        <v>15</v>
      </c>
      <c r="B47" s="902"/>
      <c r="C47" s="902"/>
      <c r="D47" s="902"/>
      <c r="E47" s="902"/>
      <c r="F47" s="902"/>
      <c r="G47" s="902"/>
      <c r="H47" s="874"/>
      <c r="I47" s="874"/>
      <c r="J47" s="874"/>
      <c r="K47" s="902"/>
      <c r="L47" s="902"/>
      <c r="M47" s="902"/>
      <c r="N47" s="902"/>
      <c r="O47" s="902"/>
      <c r="P47" s="874"/>
      <c r="Q47" s="874"/>
      <c r="R47" s="512">
        <f t="shared" si="59"/>
        <v>0</v>
      </c>
      <c r="S47" s="334">
        <f t="shared" ref="S47:S52" si="66">IFERROR(O47*N47,"")</f>
        <v>0</v>
      </c>
      <c r="T47" s="759" t="str">
        <f t="shared" si="58"/>
        <v/>
      </c>
      <c r="U47" s="692"/>
      <c r="V47" s="796">
        <f t="shared" si="61"/>
        <v>0</v>
      </c>
      <c r="X47" s="4"/>
      <c r="Y47" s="4"/>
      <c r="Z47" s="748"/>
      <c r="AA47" s="510"/>
      <c r="AC47" s="821"/>
      <c r="AD47" s="822"/>
      <c r="AE47" s="822"/>
      <c r="AF47" s="814">
        <f t="shared" si="62"/>
        <v>0</v>
      </c>
      <c r="AG47" s="814">
        <f t="shared" si="63"/>
        <v>0</v>
      </c>
      <c r="AH47" s="816">
        <v>18</v>
      </c>
      <c r="AI47" s="818">
        <f t="shared" si="64"/>
        <v>0</v>
      </c>
      <c r="AK47" s="1546">
        <f t="shared" si="65"/>
        <v>0</v>
      </c>
      <c r="AL47" s="1546">
        <f t="shared" si="65"/>
        <v>0</v>
      </c>
      <c r="AM47" s="1546">
        <f t="shared" si="65"/>
        <v>0</v>
      </c>
      <c r="AN47" s="1546">
        <f t="shared" si="65"/>
        <v>0</v>
      </c>
      <c r="AO47" s="1546">
        <f t="shared" si="65"/>
        <v>0</v>
      </c>
      <c r="AP47" s="1546">
        <f t="shared" si="65"/>
        <v>0</v>
      </c>
      <c r="AQ47" s="1546">
        <f t="shared" si="65"/>
        <v>0</v>
      </c>
      <c r="AR47" s="1546">
        <f t="shared" si="65"/>
        <v>0</v>
      </c>
      <c r="AS47" s="1546">
        <f t="shared" si="65"/>
        <v>0</v>
      </c>
      <c r="AT47" s="1546">
        <f t="shared" si="65"/>
        <v>0</v>
      </c>
      <c r="AU47" s="1546">
        <f t="shared" si="65"/>
        <v>0</v>
      </c>
      <c r="AV47" s="1546">
        <f t="shared" si="65"/>
        <v>0</v>
      </c>
      <c r="AW47" s="1546">
        <f t="shared" si="65"/>
        <v>0</v>
      </c>
      <c r="AX47" s="1546">
        <f t="shared" si="65"/>
        <v>0</v>
      </c>
      <c r="AY47" s="1546">
        <f t="shared" si="65"/>
        <v>0</v>
      </c>
      <c r="AZ47" s="1546">
        <f t="shared" si="65"/>
        <v>0</v>
      </c>
      <c r="BA47" s="1546">
        <f t="shared" si="29"/>
        <v>1</v>
      </c>
      <c r="BC47" s="1271"/>
      <c r="BD47" s="1271"/>
      <c r="BE47" s="1271"/>
      <c r="BF47" s="1271"/>
      <c r="BG47" s="1271"/>
      <c r="BH47" s="1271"/>
      <c r="BI47" s="1271"/>
      <c r="BJ47" s="1271"/>
      <c r="BK47" s="1271"/>
      <c r="BL47" s="1271"/>
      <c r="BM47" s="1271"/>
      <c r="BN47" s="1271"/>
      <c r="BO47" s="1271"/>
      <c r="BP47" s="1271"/>
      <c r="BQ47" s="1271"/>
      <c r="BR47" s="1271"/>
      <c r="BS47" s="1271"/>
      <c r="BT47" s="1271"/>
      <c r="BV47" s="3"/>
      <c r="BW47" s="3"/>
      <c r="BX47" s="3"/>
      <c r="BY47" s="3"/>
      <c r="BZ47" s="3"/>
      <c r="CA47" s="3"/>
      <c r="CB47" s="3"/>
      <c r="CC47" s="3"/>
      <c r="CE47" s="3"/>
      <c r="CF47" s="3"/>
      <c r="CG47" s="3"/>
      <c r="CH47" s="3"/>
      <c r="CI47" s="3"/>
      <c r="CJ47" s="3"/>
      <c r="CK47" s="3"/>
      <c r="CL47" s="3"/>
      <c r="CN47" s="3"/>
      <c r="CO47" s="3"/>
      <c r="CP47" s="3"/>
      <c r="CQ47" s="3"/>
      <c r="CR47" s="3"/>
      <c r="CS47" s="3"/>
      <c r="CT47" s="3"/>
      <c r="CU47" s="3"/>
      <c r="CW47" s="3"/>
      <c r="CX47" s="3"/>
      <c r="CY47" s="3"/>
      <c r="CZ47" s="3"/>
      <c r="DA47" s="3"/>
      <c r="DB47" s="3"/>
      <c r="DC47" s="3"/>
      <c r="DD47" s="3"/>
      <c r="DF47" s="3"/>
      <c r="DG47" s="3"/>
      <c r="DH47" s="3"/>
      <c r="DI47" s="3"/>
      <c r="DJ47" s="3"/>
      <c r="DK47" s="3"/>
      <c r="DL47" s="3"/>
      <c r="DM47" s="3"/>
      <c r="DO47" s="3"/>
      <c r="DP47" s="3"/>
      <c r="DQ47" s="3"/>
      <c r="DR47" s="3"/>
      <c r="DS47" s="3"/>
      <c r="DT47" s="3"/>
      <c r="DU47" s="3"/>
      <c r="DV47" s="3"/>
      <c r="DX47" s="3"/>
      <c r="DY47" s="3"/>
      <c r="DZ47" s="3"/>
      <c r="EA47" s="3"/>
      <c r="EB47" s="3"/>
      <c r="EC47" s="3"/>
      <c r="ED47" s="3"/>
      <c r="EE47" s="3"/>
      <c r="EG47" s="3"/>
      <c r="EH47" s="3"/>
      <c r="EI47" s="3"/>
      <c r="EJ47" s="3"/>
      <c r="EK47" s="3"/>
      <c r="EL47" s="3"/>
      <c r="EM47" s="3"/>
      <c r="EN47" s="3"/>
      <c r="EP47" s="3"/>
      <c r="EQ47" s="3"/>
      <c r="ER47" s="3"/>
      <c r="ES47" s="3"/>
      <c r="ET47" s="3"/>
      <c r="EU47" s="3"/>
      <c r="EV47" s="3"/>
      <c r="EW47" s="3"/>
    </row>
    <row r="48" spans="1:153" ht="28.5" customHeight="1" x14ac:dyDescent="0.3">
      <c r="A48" s="20">
        <v>16</v>
      </c>
      <c r="B48" s="902"/>
      <c r="C48" s="902"/>
      <c r="D48" s="902"/>
      <c r="E48" s="902"/>
      <c r="F48" s="902"/>
      <c r="G48" s="902"/>
      <c r="H48" s="874"/>
      <c r="I48" s="874"/>
      <c r="J48" s="874"/>
      <c r="K48" s="902"/>
      <c r="L48" s="902"/>
      <c r="M48" s="902"/>
      <c r="N48" s="902"/>
      <c r="O48" s="902"/>
      <c r="P48" s="874"/>
      <c r="Q48" s="874"/>
      <c r="R48" s="512">
        <f t="shared" si="59"/>
        <v>0</v>
      </c>
      <c r="S48" s="334">
        <f t="shared" si="66"/>
        <v>0</v>
      </c>
      <c r="T48" s="759" t="str">
        <f t="shared" si="58"/>
        <v/>
      </c>
      <c r="U48" s="692"/>
      <c r="V48" s="796">
        <f t="shared" si="61"/>
        <v>0</v>
      </c>
      <c r="X48" s="4"/>
      <c r="Y48" s="4"/>
      <c r="Z48" s="748"/>
      <c r="AA48" s="510"/>
      <c r="AC48" s="821"/>
      <c r="AD48" s="822"/>
      <c r="AE48" s="822"/>
      <c r="AF48" s="814">
        <f t="shared" si="62"/>
        <v>0</v>
      </c>
      <c r="AG48" s="814">
        <f t="shared" si="63"/>
        <v>0</v>
      </c>
      <c r="AH48" s="816">
        <v>18</v>
      </c>
      <c r="AI48" s="818">
        <f t="shared" si="64"/>
        <v>0</v>
      </c>
      <c r="AK48" s="1546">
        <f t="shared" si="65"/>
        <v>0</v>
      </c>
      <c r="AL48" s="1546">
        <f t="shared" si="65"/>
        <v>0</v>
      </c>
      <c r="AM48" s="1546">
        <f t="shared" si="65"/>
        <v>0</v>
      </c>
      <c r="AN48" s="1546">
        <f t="shared" si="65"/>
        <v>0</v>
      </c>
      <c r="AO48" s="1546">
        <f t="shared" si="65"/>
        <v>0</v>
      </c>
      <c r="AP48" s="1546">
        <f t="shared" si="65"/>
        <v>0</v>
      </c>
      <c r="AQ48" s="1546">
        <f t="shared" si="65"/>
        <v>0</v>
      </c>
      <c r="AR48" s="1546">
        <f t="shared" si="65"/>
        <v>0</v>
      </c>
      <c r="AS48" s="1546">
        <f t="shared" si="65"/>
        <v>0</v>
      </c>
      <c r="AT48" s="1546">
        <f t="shared" si="65"/>
        <v>0</v>
      </c>
      <c r="AU48" s="1546">
        <f t="shared" si="65"/>
        <v>0</v>
      </c>
      <c r="AV48" s="1546">
        <f t="shared" si="65"/>
        <v>0</v>
      </c>
      <c r="AW48" s="1546">
        <f t="shared" si="65"/>
        <v>0</v>
      </c>
      <c r="AX48" s="1546">
        <f t="shared" si="65"/>
        <v>0</v>
      </c>
      <c r="AY48" s="1546">
        <f t="shared" si="65"/>
        <v>0</v>
      </c>
      <c r="AZ48" s="1546">
        <f t="shared" si="65"/>
        <v>0</v>
      </c>
      <c r="BA48" s="1546">
        <f t="shared" si="29"/>
        <v>1</v>
      </c>
      <c r="BC48" s="1271"/>
      <c r="BD48" s="1271"/>
      <c r="BE48" s="1271"/>
      <c r="BF48" s="1271"/>
      <c r="BG48" s="1271"/>
      <c r="BH48" s="1271"/>
      <c r="BI48" s="1271"/>
      <c r="BJ48" s="1271"/>
      <c r="BK48" s="1271"/>
      <c r="BL48" s="1271"/>
      <c r="BM48" s="1271"/>
      <c r="BN48" s="1271"/>
      <c r="BO48" s="1271"/>
      <c r="BP48" s="1271"/>
      <c r="BQ48" s="1271"/>
      <c r="BR48" s="1271"/>
      <c r="BS48" s="1271"/>
      <c r="BT48" s="1271"/>
      <c r="BV48" s="3"/>
      <c r="BW48" s="3"/>
      <c r="BX48" s="3"/>
      <c r="BY48" s="3"/>
      <c r="BZ48" s="3"/>
      <c r="CA48" s="3"/>
      <c r="CB48" s="3"/>
      <c r="CC48" s="3"/>
      <c r="CE48" s="3"/>
      <c r="CF48" s="3"/>
      <c r="CG48" s="3"/>
      <c r="CH48" s="3"/>
      <c r="CI48" s="3"/>
      <c r="CJ48" s="3"/>
      <c r="CK48" s="3"/>
      <c r="CL48" s="3"/>
      <c r="CN48" s="3"/>
      <c r="CO48" s="3"/>
      <c r="CP48" s="3"/>
      <c r="CQ48" s="3"/>
      <c r="CR48" s="3"/>
      <c r="CS48" s="3"/>
      <c r="CT48" s="3"/>
      <c r="CU48" s="3"/>
      <c r="CW48" s="3"/>
      <c r="CX48" s="3"/>
      <c r="CY48" s="3"/>
      <c r="CZ48" s="3"/>
      <c r="DA48" s="3"/>
      <c r="DB48" s="3"/>
      <c r="DC48" s="3"/>
      <c r="DD48" s="3"/>
      <c r="DF48" s="3"/>
      <c r="DG48" s="3"/>
      <c r="DH48" s="3"/>
      <c r="DI48" s="3"/>
      <c r="DJ48" s="3"/>
      <c r="DK48" s="3"/>
      <c r="DL48" s="3"/>
      <c r="DM48" s="3"/>
      <c r="DO48" s="3"/>
      <c r="DP48" s="3"/>
      <c r="DQ48" s="3"/>
      <c r="DR48" s="3"/>
      <c r="DS48" s="3"/>
      <c r="DT48" s="3"/>
      <c r="DU48" s="3"/>
      <c r="DV48" s="3"/>
      <c r="DX48" s="3"/>
      <c r="DY48" s="3"/>
      <c r="DZ48" s="3"/>
      <c r="EA48" s="3"/>
      <c r="EB48" s="3"/>
      <c r="EC48" s="3"/>
      <c r="ED48" s="3"/>
      <c r="EE48" s="3"/>
      <c r="EG48" s="3"/>
      <c r="EH48" s="3"/>
      <c r="EI48" s="3"/>
      <c r="EJ48" s="3"/>
      <c r="EK48" s="3"/>
      <c r="EL48" s="3"/>
      <c r="EM48" s="3"/>
      <c r="EN48" s="3"/>
      <c r="EP48" s="3"/>
      <c r="EQ48" s="3"/>
      <c r="ER48" s="3"/>
      <c r="ES48" s="3"/>
      <c r="ET48" s="3"/>
      <c r="EU48" s="3"/>
      <c r="EV48" s="3"/>
      <c r="EW48" s="3"/>
    </row>
    <row r="49" spans="1:153" ht="28.5" customHeight="1" x14ac:dyDescent="0.3">
      <c r="A49" s="20">
        <v>17</v>
      </c>
      <c r="B49" s="902"/>
      <c r="C49" s="902"/>
      <c r="D49" s="902"/>
      <c r="E49" s="902"/>
      <c r="F49" s="902"/>
      <c r="G49" s="902"/>
      <c r="H49" s="874"/>
      <c r="I49" s="874"/>
      <c r="J49" s="874"/>
      <c r="K49" s="902"/>
      <c r="L49" s="902"/>
      <c r="M49" s="902"/>
      <c r="N49" s="902"/>
      <c r="O49" s="902"/>
      <c r="P49" s="874"/>
      <c r="Q49" s="874"/>
      <c r="R49" s="512">
        <f t="shared" si="59"/>
        <v>0</v>
      </c>
      <c r="S49" s="334">
        <f t="shared" si="66"/>
        <v>0</v>
      </c>
      <c r="T49" s="759" t="str">
        <f t="shared" si="58"/>
        <v/>
      </c>
      <c r="U49" s="692"/>
      <c r="V49" s="796">
        <f t="shared" si="61"/>
        <v>0</v>
      </c>
      <c r="X49" s="4"/>
      <c r="Y49" s="4"/>
      <c r="Z49" s="748"/>
      <c r="AA49" s="510"/>
      <c r="AC49" s="821"/>
      <c r="AD49" s="822"/>
      <c r="AE49" s="822"/>
      <c r="AF49" s="814">
        <f t="shared" si="62"/>
        <v>0</v>
      </c>
      <c r="AG49" s="814">
        <f t="shared" si="63"/>
        <v>0</v>
      </c>
      <c r="AH49" s="816">
        <v>18</v>
      </c>
      <c r="AI49" s="818">
        <f t="shared" si="64"/>
        <v>0</v>
      </c>
      <c r="AK49" s="1546">
        <f t="shared" si="65"/>
        <v>0</v>
      </c>
      <c r="AL49" s="1546">
        <f t="shared" si="65"/>
        <v>0</v>
      </c>
      <c r="AM49" s="1546">
        <f t="shared" si="65"/>
        <v>0</v>
      </c>
      <c r="AN49" s="1546">
        <f t="shared" si="65"/>
        <v>0</v>
      </c>
      <c r="AO49" s="1546">
        <f t="shared" si="65"/>
        <v>0</v>
      </c>
      <c r="AP49" s="1546">
        <f t="shared" si="65"/>
        <v>0</v>
      </c>
      <c r="AQ49" s="1546">
        <f t="shared" si="65"/>
        <v>0</v>
      </c>
      <c r="AR49" s="1546">
        <f t="shared" si="65"/>
        <v>0</v>
      </c>
      <c r="AS49" s="1546">
        <f t="shared" si="65"/>
        <v>0</v>
      </c>
      <c r="AT49" s="1546">
        <f t="shared" si="65"/>
        <v>0</v>
      </c>
      <c r="AU49" s="1546">
        <f t="shared" si="65"/>
        <v>0</v>
      </c>
      <c r="AV49" s="1546">
        <f t="shared" si="65"/>
        <v>0</v>
      </c>
      <c r="AW49" s="1546">
        <f t="shared" si="65"/>
        <v>0</v>
      </c>
      <c r="AX49" s="1546">
        <f t="shared" si="65"/>
        <v>0</v>
      </c>
      <c r="AY49" s="1546">
        <f t="shared" si="65"/>
        <v>0</v>
      </c>
      <c r="AZ49" s="1546">
        <f t="shared" si="65"/>
        <v>0</v>
      </c>
      <c r="BA49" s="1546">
        <f t="shared" si="29"/>
        <v>1</v>
      </c>
      <c r="BC49" s="1271"/>
      <c r="BD49" s="1271"/>
      <c r="BE49" s="1271"/>
      <c r="BF49" s="1271"/>
      <c r="BG49" s="1271"/>
      <c r="BH49" s="1271"/>
      <c r="BI49" s="1271"/>
      <c r="BJ49" s="1271"/>
      <c r="BK49" s="1271"/>
      <c r="BL49" s="1271"/>
      <c r="BM49" s="1271"/>
      <c r="BN49" s="1271"/>
      <c r="BO49" s="1271"/>
      <c r="BP49" s="1271"/>
      <c r="BQ49" s="1271"/>
      <c r="BR49" s="1271"/>
      <c r="BS49" s="1271"/>
      <c r="BT49" s="1271"/>
      <c r="BV49" s="3"/>
      <c r="BW49" s="3"/>
      <c r="BX49" s="3"/>
      <c r="BY49" s="3"/>
      <c r="BZ49" s="3"/>
      <c r="CA49" s="3"/>
      <c r="CB49" s="3"/>
      <c r="CC49" s="3"/>
      <c r="CE49" s="3"/>
      <c r="CF49" s="3"/>
      <c r="CG49" s="3"/>
      <c r="CH49" s="3"/>
      <c r="CI49" s="3"/>
      <c r="CJ49" s="3"/>
      <c r="CK49" s="3"/>
      <c r="CL49" s="3"/>
      <c r="CN49" s="3"/>
      <c r="CO49" s="3"/>
      <c r="CP49" s="3"/>
      <c r="CQ49" s="3"/>
      <c r="CR49" s="3"/>
      <c r="CS49" s="3"/>
      <c r="CT49" s="3"/>
      <c r="CU49" s="3"/>
      <c r="CW49" s="3"/>
      <c r="CX49" s="3"/>
      <c r="CY49" s="3"/>
      <c r="CZ49" s="3"/>
      <c r="DA49" s="3"/>
      <c r="DB49" s="3"/>
      <c r="DC49" s="3"/>
      <c r="DD49" s="3"/>
      <c r="DF49" s="3"/>
      <c r="DG49" s="3"/>
      <c r="DH49" s="3"/>
      <c r="DI49" s="3"/>
      <c r="DJ49" s="3"/>
      <c r="DK49" s="3"/>
      <c r="DL49" s="3"/>
      <c r="DM49" s="3"/>
      <c r="DO49" s="3"/>
      <c r="DP49" s="3"/>
      <c r="DQ49" s="3"/>
      <c r="DR49" s="3"/>
      <c r="DS49" s="3"/>
      <c r="DT49" s="3"/>
      <c r="DU49" s="3"/>
      <c r="DV49" s="3"/>
      <c r="DX49" s="3"/>
      <c r="DY49" s="3"/>
      <c r="DZ49" s="3"/>
      <c r="EA49" s="3"/>
      <c r="EB49" s="3"/>
      <c r="EC49" s="3"/>
      <c r="ED49" s="3"/>
      <c r="EE49" s="3"/>
      <c r="EG49" s="3"/>
      <c r="EH49" s="3"/>
      <c r="EI49" s="3"/>
      <c r="EJ49" s="3"/>
      <c r="EK49" s="3"/>
      <c r="EL49" s="3"/>
      <c r="EM49" s="3"/>
      <c r="EN49" s="3"/>
      <c r="EP49" s="3"/>
      <c r="EQ49" s="3"/>
      <c r="ER49" s="3"/>
      <c r="ES49" s="3"/>
      <c r="ET49" s="3"/>
      <c r="EU49" s="3"/>
      <c r="EV49" s="3"/>
      <c r="EW49" s="3"/>
    </row>
    <row r="50" spans="1:153" ht="28.5" customHeight="1" x14ac:dyDescent="0.3">
      <c r="A50" s="20">
        <v>18</v>
      </c>
      <c r="B50" s="902"/>
      <c r="C50" s="902"/>
      <c r="D50" s="902"/>
      <c r="E50" s="902"/>
      <c r="F50" s="902"/>
      <c r="G50" s="902"/>
      <c r="H50" s="902"/>
      <c r="I50" s="902"/>
      <c r="J50" s="902"/>
      <c r="K50" s="902"/>
      <c r="L50" s="902"/>
      <c r="M50" s="902"/>
      <c r="N50" s="902"/>
      <c r="O50" s="902"/>
      <c r="P50" s="874"/>
      <c r="Q50" s="874"/>
      <c r="R50" s="512">
        <f t="shared" si="59"/>
        <v>0</v>
      </c>
      <c r="S50" s="334">
        <f t="shared" si="66"/>
        <v>0</v>
      </c>
      <c r="T50" s="759" t="str">
        <f t="shared" si="58"/>
        <v/>
      </c>
      <c r="U50" s="692"/>
      <c r="V50" s="796">
        <f t="shared" si="61"/>
        <v>0</v>
      </c>
      <c r="X50" s="4"/>
      <c r="Y50" s="4"/>
      <c r="Z50" s="748"/>
      <c r="AA50" s="510"/>
      <c r="AC50" s="821"/>
      <c r="AD50" s="822"/>
      <c r="AE50" s="822"/>
      <c r="AF50" s="814">
        <f t="shared" si="62"/>
        <v>0</v>
      </c>
      <c r="AG50" s="814">
        <f t="shared" si="63"/>
        <v>0</v>
      </c>
      <c r="AH50" s="816">
        <v>18</v>
      </c>
      <c r="AI50" s="818">
        <f t="shared" si="64"/>
        <v>0</v>
      </c>
      <c r="AK50" s="1546">
        <f t="shared" si="65"/>
        <v>0</v>
      </c>
      <c r="AL50" s="1546">
        <f t="shared" si="65"/>
        <v>0</v>
      </c>
      <c r="AM50" s="1546">
        <f t="shared" si="65"/>
        <v>0</v>
      </c>
      <c r="AN50" s="1546">
        <f t="shared" si="65"/>
        <v>0</v>
      </c>
      <c r="AO50" s="1546">
        <f t="shared" si="65"/>
        <v>0</v>
      </c>
      <c r="AP50" s="1546">
        <f t="shared" si="65"/>
        <v>0</v>
      </c>
      <c r="AQ50" s="1546">
        <f t="shared" si="65"/>
        <v>0</v>
      </c>
      <c r="AR50" s="1546">
        <f t="shared" si="65"/>
        <v>0</v>
      </c>
      <c r="AS50" s="1546">
        <f t="shared" si="65"/>
        <v>0</v>
      </c>
      <c r="AT50" s="1546">
        <f t="shared" si="65"/>
        <v>0</v>
      </c>
      <c r="AU50" s="1546">
        <f t="shared" si="65"/>
        <v>0</v>
      </c>
      <c r="AV50" s="1546">
        <f t="shared" si="65"/>
        <v>0</v>
      </c>
      <c r="AW50" s="1546">
        <f t="shared" si="65"/>
        <v>0</v>
      </c>
      <c r="AX50" s="1546">
        <f t="shared" si="65"/>
        <v>0</v>
      </c>
      <c r="AY50" s="1546">
        <f t="shared" si="65"/>
        <v>0</v>
      </c>
      <c r="AZ50" s="1546">
        <f t="shared" ref="AL50:AZ67" si="67">IF(AZ$3="X",0,IF($P50=AZ$3,1,0))</f>
        <v>0</v>
      </c>
      <c r="BA50" s="1546">
        <f t="shared" si="29"/>
        <v>1</v>
      </c>
      <c r="BC50" s="1271"/>
      <c r="BD50" s="1271"/>
      <c r="BE50" s="1271"/>
      <c r="BF50" s="1271"/>
      <c r="BG50" s="1271"/>
      <c r="BH50" s="1271"/>
      <c r="BI50" s="1271"/>
      <c r="BJ50" s="1271"/>
      <c r="BK50" s="1271"/>
      <c r="BL50" s="1271"/>
      <c r="BM50" s="1271"/>
      <c r="BN50" s="1271"/>
      <c r="BO50" s="1271"/>
      <c r="BP50" s="1271"/>
      <c r="BQ50" s="1271"/>
      <c r="BR50" s="1271"/>
      <c r="BS50" s="1271"/>
      <c r="BT50" s="1271"/>
      <c r="BV50" s="3"/>
      <c r="BW50" s="3"/>
      <c r="BX50" s="3"/>
      <c r="BY50" s="3"/>
      <c r="BZ50" s="3"/>
      <c r="CA50" s="3"/>
      <c r="CB50" s="3"/>
      <c r="CC50" s="3"/>
      <c r="CE50" s="3"/>
      <c r="CF50" s="3"/>
      <c r="CG50" s="3"/>
      <c r="CH50" s="3"/>
      <c r="CI50" s="3"/>
      <c r="CJ50" s="3"/>
      <c r="CK50" s="3"/>
      <c r="CL50" s="3"/>
      <c r="CN50" s="3"/>
      <c r="CO50" s="3"/>
      <c r="CP50" s="3"/>
      <c r="CQ50" s="3"/>
      <c r="CR50" s="3"/>
      <c r="CS50" s="3"/>
      <c r="CT50" s="3"/>
      <c r="CU50" s="3"/>
      <c r="CW50" s="3"/>
      <c r="CX50" s="3"/>
      <c r="CY50" s="3"/>
      <c r="CZ50" s="3"/>
      <c r="DA50" s="3"/>
      <c r="DB50" s="3"/>
      <c r="DC50" s="3"/>
      <c r="DD50" s="3"/>
      <c r="DF50" s="3"/>
      <c r="DG50" s="3"/>
      <c r="DH50" s="3"/>
      <c r="DI50" s="3"/>
      <c r="DJ50" s="3"/>
      <c r="DK50" s="3"/>
      <c r="DL50" s="3"/>
      <c r="DM50" s="3"/>
      <c r="DO50" s="3"/>
      <c r="DP50" s="3"/>
      <c r="DQ50" s="3"/>
      <c r="DR50" s="3"/>
      <c r="DS50" s="3"/>
      <c r="DT50" s="3"/>
      <c r="DU50" s="3"/>
      <c r="DV50" s="3"/>
      <c r="DX50" s="3"/>
      <c r="DY50" s="3"/>
      <c r="DZ50" s="3"/>
      <c r="EA50" s="3"/>
      <c r="EB50" s="3"/>
      <c r="EC50" s="3"/>
      <c r="ED50" s="3"/>
      <c r="EE50" s="3"/>
      <c r="EG50" s="3"/>
      <c r="EH50" s="3"/>
      <c r="EI50" s="3"/>
      <c r="EJ50" s="3"/>
      <c r="EK50" s="3"/>
      <c r="EL50" s="3"/>
      <c r="EM50" s="3"/>
      <c r="EN50" s="3"/>
      <c r="EP50" s="3"/>
      <c r="EQ50" s="3"/>
      <c r="ER50" s="3"/>
      <c r="ES50" s="3"/>
      <c r="ET50" s="3"/>
      <c r="EU50" s="3"/>
      <c r="EV50" s="3"/>
      <c r="EW50" s="3"/>
    </row>
    <row r="51" spans="1:153" ht="28.5" customHeight="1" x14ac:dyDescent="0.3">
      <c r="A51" s="20">
        <v>19</v>
      </c>
      <c r="B51" s="902"/>
      <c r="C51" s="902"/>
      <c r="D51" s="902"/>
      <c r="E51" s="902"/>
      <c r="F51" s="902"/>
      <c r="G51" s="902"/>
      <c r="H51" s="902"/>
      <c r="I51" s="902"/>
      <c r="J51" s="902"/>
      <c r="K51" s="902"/>
      <c r="L51" s="902"/>
      <c r="M51" s="902"/>
      <c r="N51" s="902"/>
      <c r="O51" s="902"/>
      <c r="P51" s="874"/>
      <c r="Q51" s="874"/>
      <c r="R51" s="512">
        <f t="shared" si="59"/>
        <v>0</v>
      </c>
      <c r="S51" s="334">
        <f t="shared" si="66"/>
        <v>0</v>
      </c>
      <c r="T51" s="759" t="str">
        <f t="shared" si="58"/>
        <v/>
      </c>
      <c r="U51" s="692"/>
      <c r="V51" s="796">
        <f t="shared" si="61"/>
        <v>0</v>
      </c>
      <c r="X51" s="4"/>
      <c r="Y51" s="4"/>
      <c r="Z51" s="748"/>
      <c r="AA51" s="510"/>
      <c r="AC51" s="821"/>
      <c r="AD51" s="822"/>
      <c r="AE51" s="822"/>
      <c r="AF51" s="814">
        <f t="shared" si="62"/>
        <v>0</v>
      </c>
      <c r="AG51" s="814">
        <f t="shared" si="63"/>
        <v>0</v>
      </c>
      <c r="AH51" s="816">
        <v>18</v>
      </c>
      <c r="AI51" s="818">
        <f t="shared" si="64"/>
        <v>0</v>
      </c>
      <c r="AK51" s="1546">
        <f t="shared" ref="AK51:AK75" si="68">IF(AK$3="X",0,IF($P51=AK$3,1,0))</f>
        <v>0</v>
      </c>
      <c r="AL51" s="1546">
        <f t="shared" si="67"/>
        <v>0</v>
      </c>
      <c r="AM51" s="1546">
        <f t="shared" si="67"/>
        <v>0</v>
      </c>
      <c r="AN51" s="1546">
        <f t="shared" si="67"/>
        <v>0</v>
      </c>
      <c r="AO51" s="1546">
        <f t="shared" si="67"/>
        <v>0</v>
      </c>
      <c r="AP51" s="1546">
        <f t="shared" si="67"/>
        <v>0</v>
      </c>
      <c r="AQ51" s="1546">
        <f t="shared" si="67"/>
        <v>0</v>
      </c>
      <c r="AR51" s="1546">
        <f t="shared" si="67"/>
        <v>0</v>
      </c>
      <c r="AS51" s="1546">
        <f t="shared" si="67"/>
        <v>0</v>
      </c>
      <c r="AT51" s="1546">
        <f t="shared" si="67"/>
        <v>0</v>
      </c>
      <c r="AU51" s="1546">
        <f t="shared" si="67"/>
        <v>0</v>
      </c>
      <c r="AV51" s="1546">
        <f t="shared" si="67"/>
        <v>0</v>
      </c>
      <c r="AW51" s="1546">
        <f t="shared" si="67"/>
        <v>0</v>
      </c>
      <c r="AX51" s="1546">
        <f t="shared" si="67"/>
        <v>0</v>
      </c>
      <c r="AY51" s="1546">
        <f t="shared" si="67"/>
        <v>0</v>
      </c>
      <c r="AZ51" s="1546">
        <f t="shared" si="67"/>
        <v>0</v>
      </c>
      <c r="BA51" s="1546">
        <f t="shared" si="29"/>
        <v>1</v>
      </c>
      <c r="BC51" s="1271"/>
      <c r="BD51" s="1271"/>
      <c r="BE51" s="1271"/>
      <c r="BF51" s="1271"/>
      <c r="BG51" s="1271"/>
      <c r="BH51" s="1271"/>
      <c r="BI51" s="1271"/>
      <c r="BJ51" s="1271"/>
      <c r="BK51" s="1271"/>
      <c r="BL51" s="1271"/>
      <c r="BM51" s="1271"/>
      <c r="BN51" s="1271"/>
      <c r="BO51" s="1271"/>
      <c r="BP51" s="1271"/>
      <c r="BQ51" s="1271"/>
      <c r="BR51" s="1271"/>
      <c r="BS51" s="1271"/>
      <c r="BT51" s="1271"/>
      <c r="BV51" s="3"/>
      <c r="BW51" s="3"/>
      <c r="BX51" s="3"/>
      <c r="BY51" s="3"/>
      <c r="BZ51" s="3"/>
      <c r="CA51" s="3"/>
      <c r="CB51" s="3"/>
      <c r="CC51" s="3"/>
      <c r="CE51" s="3"/>
      <c r="CF51" s="3"/>
      <c r="CG51" s="3"/>
      <c r="CH51" s="3"/>
      <c r="CI51" s="3"/>
      <c r="CJ51" s="3"/>
      <c r="CK51" s="3"/>
      <c r="CL51" s="3"/>
      <c r="CN51" s="3"/>
      <c r="CO51" s="3"/>
      <c r="CP51" s="3"/>
      <c r="CQ51" s="3"/>
      <c r="CR51" s="3"/>
      <c r="CS51" s="3"/>
      <c r="CT51" s="3"/>
      <c r="CU51" s="3"/>
      <c r="CW51" s="3"/>
      <c r="CX51" s="3"/>
      <c r="CY51" s="3"/>
      <c r="CZ51" s="3"/>
      <c r="DA51" s="3"/>
      <c r="DB51" s="3"/>
      <c r="DC51" s="3"/>
      <c r="DD51" s="3"/>
      <c r="DF51" s="3"/>
      <c r="DG51" s="3"/>
      <c r="DH51" s="3"/>
      <c r="DI51" s="3"/>
      <c r="DJ51" s="3"/>
      <c r="DK51" s="3"/>
      <c r="DL51" s="3"/>
      <c r="DM51" s="3"/>
      <c r="DO51" s="3"/>
      <c r="DP51" s="3"/>
      <c r="DQ51" s="3"/>
      <c r="DR51" s="3"/>
      <c r="DS51" s="3"/>
      <c r="DT51" s="3"/>
      <c r="DU51" s="3"/>
      <c r="DV51" s="3"/>
      <c r="DX51" s="3"/>
      <c r="DY51" s="3"/>
      <c r="DZ51" s="3"/>
      <c r="EA51" s="3"/>
      <c r="EB51" s="3"/>
      <c r="EC51" s="3"/>
      <c r="ED51" s="3"/>
      <c r="EE51" s="3"/>
      <c r="EG51" s="3"/>
      <c r="EH51" s="3"/>
      <c r="EI51" s="3"/>
      <c r="EJ51" s="3"/>
      <c r="EK51" s="3"/>
      <c r="EL51" s="3"/>
      <c r="EM51" s="3"/>
      <c r="EN51" s="3"/>
      <c r="EP51" s="3"/>
      <c r="EQ51" s="3"/>
      <c r="ER51" s="3"/>
      <c r="ES51" s="3"/>
      <c r="ET51" s="3"/>
      <c r="EU51" s="3"/>
      <c r="EV51" s="3"/>
      <c r="EW51" s="3"/>
    </row>
    <row r="52" spans="1:153" ht="28.5" customHeight="1" thickBot="1" x14ac:dyDescent="0.35">
      <c r="A52" s="22">
        <v>20</v>
      </c>
      <c r="B52" s="905"/>
      <c r="C52" s="905"/>
      <c r="D52" s="905"/>
      <c r="E52" s="905"/>
      <c r="F52" s="905"/>
      <c r="G52" s="905"/>
      <c r="H52" s="905"/>
      <c r="I52" s="905"/>
      <c r="J52" s="905"/>
      <c r="K52" s="905"/>
      <c r="L52" s="905"/>
      <c r="M52" s="905"/>
      <c r="N52" s="905"/>
      <c r="O52" s="905"/>
      <c r="P52" s="881"/>
      <c r="Q52" s="881"/>
      <c r="R52" s="911">
        <f t="shared" si="59"/>
        <v>0</v>
      </c>
      <c r="S52" s="335">
        <f t="shared" si="66"/>
        <v>0</v>
      </c>
      <c r="T52" s="335" t="str">
        <f t="shared" si="58"/>
        <v/>
      </c>
      <c r="U52" s="798"/>
      <c r="V52" s="799">
        <f t="shared" si="61"/>
        <v>0</v>
      </c>
      <c r="X52" s="4"/>
      <c r="Y52" s="4"/>
      <c r="Z52" s="748"/>
      <c r="AA52" s="510"/>
      <c r="AC52" s="821"/>
      <c r="AD52" s="822"/>
      <c r="AE52" s="822"/>
      <c r="AF52" s="814">
        <f t="shared" si="62"/>
        <v>0</v>
      </c>
      <c r="AG52" s="814">
        <f t="shared" si="63"/>
        <v>0</v>
      </c>
      <c r="AH52" s="816">
        <v>18</v>
      </c>
      <c r="AI52" s="818">
        <f t="shared" si="64"/>
        <v>0</v>
      </c>
      <c r="AK52" s="1546">
        <f t="shared" si="68"/>
        <v>0</v>
      </c>
      <c r="AL52" s="1546">
        <f t="shared" si="67"/>
        <v>0</v>
      </c>
      <c r="AM52" s="1546">
        <f t="shared" si="67"/>
        <v>0</v>
      </c>
      <c r="AN52" s="1546">
        <f t="shared" si="67"/>
        <v>0</v>
      </c>
      <c r="AO52" s="1546">
        <f t="shared" si="67"/>
        <v>0</v>
      </c>
      <c r="AP52" s="1546">
        <f t="shared" si="67"/>
        <v>0</v>
      </c>
      <c r="AQ52" s="1546">
        <f t="shared" si="67"/>
        <v>0</v>
      </c>
      <c r="AR52" s="1546">
        <f t="shared" si="67"/>
        <v>0</v>
      </c>
      <c r="AS52" s="1546">
        <f t="shared" si="67"/>
        <v>0</v>
      </c>
      <c r="AT52" s="1546">
        <f t="shared" si="67"/>
        <v>0</v>
      </c>
      <c r="AU52" s="1546">
        <f t="shared" si="67"/>
        <v>0</v>
      </c>
      <c r="AV52" s="1546">
        <f t="shared" si="67"/>
        <v>0</v>
      </c>
      <c r="AW52" s="1546">
        <f t="shared" si="67"/>
        <v>0</v>
      </c>
      <c r="AX52" s="1546">
        <f t="shared" si="67"/>
        <v>0</v>
      </c>
      <c r="AY52" s="1546">
        <f t="shared" si="67"/>
        <v>0</v>
      </c>
      <c r="AZ52" s="1546">
        <f t="shared" si="67"/>
        <v>0</v>
      </c>
      <c r="BA52" s="1546">
        <f t="shared" si="29"/>
        <v>1</v>
      </c>
      <c r="BC52" s="1271"/>
      <c r="BD52" s="1271"/>
      <c r="BE52" s="1271"/>
      <c r="BF52" s="1271"/>
      <c r="BG52" s="1271"/>
      <c r="BH52" s="1271"/>
      <c r="BI52" s="1271"/>
      <c r="BJ52" s="1271"/>
      <c r="BK52" s="1271"/>
      <c r="BL52" s="1271"/>
      <c r="BM52" s="1271"/>
      <c r="BN52" s="1271"/>
      <c r="BO52" s="1271"/>
      <c r="BP52" s="1271"/>
      <c r="BQ52" s="1271"/>
      <c r="BR52" s="1271"/>
      <c r="BS52" s="1271"/>
      <c r="BT52" s="1271"/>
      <c r="BV52" s="3"/>
      <c r="BW52" s="3"/>
      <c r="BX52" s="3"/>
      <c r="BY52" s="3"/>
      <c r="BZ52" s="3"/>
      <c r="CA52" s="3"/>
      <c r="CB52" s="3"/>
      <c r="CC52" s="3"/>
      <c r="CE52" s="3"/>
      <c r="CF52" s="3"/>
      <c r="CG52" s="3"/>
      <c r="CH52" s="3"/>
      <c r="CI52" s="3"/>
      <c r="CJ52" s="3"/>
      <c r="CK52" s="3"/>
      <c r="CL52" s="3"/>
      <c r="CN52" s="3"/>
      <c r="CO52" s="3"/>
      <c r="CP52" s="3"/>
      <c r="CQ52" s="3"/>
      <c r="CR52" s="3"/>
      <c r="CS52" s="3"/>
      <c r="CT52" s="3"/>
      <c r="CU52" s="3"/>
      <c r="CW52" s="3"/>
      <c r="CX52" s="3"/>
      <c r="CY52" s="3"/>
      <c r="CZ52" s="3"/>
      <c r="DA52" s="3"/>
      <c r="DB52" s="3"/>
      <c r="DC52" s="3"/>
      <c r="DD52" s="3"/>
      <c r="DF52" s="3"/>
      <c r="DG52" s="3"/>
      <c r="DH52" s="3"/>
      <c r="DI52" s="3"/>
      <c r="DJ52" s="3"/>
      <c r="DK52" s="3"/>
      <c r="DL52" s="3"/>
      <c r="DM52" s="3"/>
      <c r="DO52" s="3"/>
      <c r="DP52" s="3"/>
      <c r="DQ52" s="3"/>
      <c r="DR52" s="3"/>
      <c r="DS52" s="3"/>
      <c r="DT52" s="3"/>
      <c r="DU52" s="3"/>
      <c r="DV52" s="3"/>
      <c r="DX52" s="3"/>
      <c r="DY52" s="3"/>
      <c r="DZ52" s="3"/>
      <c r="EA52" s="3"/>
      <c r="EB52" s="3"/>
      <c r="EC52" s="3"/>
      <c r="ED52" s="3"/>
      <c r="EE52" s="3"/>
      <c r="EG52" s="3"/>
      <c r="EH52" s="3"/>
      <c r="EI52" s="3"/>
      <c r="EJ52" s="3"/>
      <c r="EK52" s="3"/>
      <c r="EL52" s="3"/>
      <c r="EM52" s="3"/>
      <c r="EN52" s="3"/>
      <c r="EP52" s="3"/>
      <c r="EQ52" s="3"/>
      <c r="ER52" s="3"/>
      <c r="ES52" s="3"/>
      <c r="ET52" s="3"/>
      <c r="EU52" s="3"/>
      <c r="EV52" s="3"/>
      <c r="EW52" s="3"/>
    </row>
    <row r="53" spans="1:153" ht="31.5" customHeight="1" thickBot="1" x14ac:dyDescent="0.35">
      <c r="A53" s="791"/>
      <c r="B53" s="791"/>
      <c r="C53" s="791"/>
      <c r="D53" s="791"/>
      <c r="E53" s="791"/>
      <c r="F53" s="791"/>
      <c r="G53" s="791"/>
      <c r="H53" s="791"/>
      <c r="I53" s="384" t="s">
        <v>2087</v>
      </c>
      <c r="J53" s="800"/>
      <c r="K53" s="800"/>
      <c r="L53" s="800"/>
      <c r="M53" s="800"/>
      <c r="N53" s="800"/>
      <c r="O53" s="800"/>
      <c r="P53" s="800"/>
      <c r="Q53" s="800"/>
      <c r="R53" s="800"/>
      <c r="S53" s="800"/>
      <c r="T53" s="800"/>
      <c r="U53" s="800"/>
      <c r="V53" s="802">
        <f>SUM(V56:V75)</f>
        <v>0</v>
      </c>
      <c r="X53" s="509"/>
      <c r="Y53" s="509"/>
      <c r="Z53" s="747"/>
      <c r="AA53" s="509"/>
      <c r="AC53" s="509"/>
      <c r="AD53" s="509"/>
      <c r="AE53" s="747"/>
      <c r="AF53" s="509"/>
      <c r="AG53" s="509"/>
      <c r="AH53" s="509"/>
      <c r="AI53" s="509"/>
      <c r="AK53" s="1546">
        <f t="shared" si="68"/>
        <v>0</v>
      </c>
      <c r="AL53" s="1546">
        <f t="shared" si="67"/>
        <v>0</v>
      </c>
      <c r="AM53" s="1546">
        <f t="shared" si="67"/>
        <v>0</v>
      </c>
      <c r="AN53" s="1546">
        <f t="shared" si="67"/>
        <v>0</v>
      </c>
      <c r="AO53" s="1546">
        <f t="shared" si="67"/>
        <v>0</v>
      </c>
      <c r="AP53" s="1546">
        <f t="shared" si="67"/>
        <v>0</v>
      </c>
      <c r="AQ53" s="1546">
        <f t="shared" si="67"/>
        <v>0</v>
      </c>
      <c r="AR53" s="1546">
        <f t="shared" si="67"/>
        <v>0</v>
      </c>
      <c r="AS53" s="1546">
        <f t="shared" si="67"/>
        <v>0</v>
      </c>
      <c r="AT53" s="1546">
        <f t="shared" si="67"/>
        <v>0</v>
      </c>
      <c r="AU53" s="1546">
        <f t="shared" si="67"/>
        <v>0</v>
      </c>
      <c r="AV53" s="1546">
        <f t="shared" si="67"/>
        <v>0</v>
      </c>
      <c r="AW53" s="1546">
        <f t="shared" si="67"/>
        <v>0</v>
      </c>
      <c r="AX53" s="1546">
        <f t="shared" si="67"/>
        <v>0</v>
      </c>
      <c r="AY53" s="1546">
        <f t="shared" si="67"/>
        <v>0</v>
      </c>
      <c r="AZ53" s="1546">
        <f t="shared" si="67"/>
        <v>0</v>
      </c>
      <c r="BA53" s="1546">
        <f t="shared" si="29"/>
        <v>1</v>
      </c>
      <c r="BC53" s="1271"/>
      <c r="BD53" s="1271"/>
      <c r="BE53" s="1271"/>
      <c r="BF53" s="1271"/>
      <c r="BG53" s="1271"/>
      <c r="BH53" s="1271"/>
      <c r="BI53" s="1271"/>
      <c r="BJ53" s="1271"/>
      <c r="BK53" s="1271"/>
      <c r="BL53" s="1271"/>
      <c r="BM53" s="1271"/>
      <c r="BN53" s="1271"/>
      <c r="BO53" s="1271"/>
      <c r="BP53" s="1271"/>
      <c r="BQ53" s="1271"/>
      <c r="BR53" s="1271"/>
      <c r="BS53" s="1271"/>
      <c r="BT53" s="1271"/>
      <c r="BV53" s="3"/>
      <c r="BW53" s="3"/>
      <c r="BX53" s="3"/>
      <c r="BY53" s="3"/>
      <c r="BZ53" s="3"/>
      <c r="CA53" s="3"/>
      <c r="CB53" s="3"/>
      <c r="CC53" s="3"/>
      <c r="CE53" s="3"/>
      <c r="CF53" s="3"/>
      <c r="CG53" s="3"/>
      <c r="CH53" s="3"/>
      <c r="CI53" s="3"/>
      <c r="CJ53" s="3"/>
      <c r="CK53" s="3"/>
      <c r="CL53" s="3"/>
      <c r="CN53" s="3"/>
      <c r="CO53" s="3"/>
      <c r="CP53" s="3"/>
      <c r="CQ53" s="3"/>
      <c r="CR53" s="3"/>
      <c r="CS53" s="3"/>
      <c r="CT53" s="3"/>
      <c r="CU53" s="3"/>
      <c r="CW53" s="3"/>
      <c r="CX53" s="3"/>
      <c r="CY53" s="3"/>
      <c r="CZ53" s="3"/>
      <c r="DA53" s="3"/>
      <c r="DB53" s="3"/>
      <c r="DC53" s="3"/>
      <c r="DD53" s="3"/>
      <c r="DF53" s="3"/>
      <c r="DG53" s="3"/>
      <c r="DH53" s="3"/>
      <c r="DI53" s="3"/>
      <c r="DJ53" s="3"/>
      <c r="DK53" s="3"/>
      <c r="DL53" s="3"/>
      <c r="DM53" s="3"/>
      <c r="DO53" s="3"/>
      <c r="DP53" s="3"/>
      <c r="DQ53" s="3"/>
      <c r="DR53" s="3"/>
      <c r="DS53" s="3"/>
      <c r="DT53" s="3"/>
      <c r="DU53" s="3"/>
      <c r="DV53" s="3"/>
      <c r="DX53" s="3"/>
      <c r="DY53" s="3"/>
      <c r="DZ53" s="3"/>
      <c r="EA53" s="3"/>
      <c r="EB53" s="3"/>
      <c r="EC53" s="3"/>
      <c r="ED53" s="3"/>
      <c r="EE53" s="3"/>
      <c r="EG53" s="3"/>
      <c r="EH53" s="3"/>
      <c r="EI53" s="3"/>
      <c r="EJ53" s="3"/>
      <c r="EK53" s="3"/>
      <c r="EL53" s="3"/>
      <c r="EM53" s="3"/>
      <c r="EN53" s="3"/>
      <c r="EP53" s="3"/>
      <c r="EQ53" s="3"/>
      <c r="ER53" s="3"/>
      <c r="ES53" s="3"/>
      <c r="ET53" s="3"/>
      <c r="EU53" s="3"/>
      <c r="EV53" s="3"/>
      <c r="EW53" s="3"/>
    </row>
    <row r="54" spans="1:153" ht="28.8" x14ac:dyDescent="0.3">
      <c r="A54" s="1812"/>
      <c r="B54" s="1812"/>
      <c r="C54" s="1812"/>
      <c r="D54" s="1812"/>
      <c r="E54" s="1812"/>
      <c r="F54" s="792"/>
      <c r="G54" s="792"/>
      <c r="H54" s="792"/>
      <c r="I54" s="1813" t="s">
        <v>366</v>
      </c>
      <c r="J54" s="1815" t="s">
        <v>335</v>
      </c>
      <c r="K54" s="1815"/>
      <c r="L54" s="1815"/>
      <c r="M54" s="1816"/>
      <c r="N54" s="1430" t="s">
        <v>184</v>
      </c>
      <c r="O54" s="1428" t="s">
        <v>292</v>
      </c>
      <c r="P54" s="1782" t="s">
        <v>1871</v>
      </c>
      <c r="Q54" s="1423" t="s">
        <v>188</v>
      </c>
      <c r="R54" s="1423" t="s">
        <v>327</v>
      </c>
      <c r="S54" s="1428" t="s">
        <v>313</v>
      </c>
      <c r="T54" s="1798" t="s">
        <v>370</v>
      </c>
      <c r="U54" s="1806"/>
      <c r="V54" s="1547" t="s">
        <v>372</v>
      </c>
      <c r="X54" s="5"/>
      <c r="Y54" s="5"/>
      <c r="Z54" s="748"/>
      <c r="AA54" s="5"/>
      <c r="AC54" s="5"/>
      <c r="AD54" s="5"/>
      <c r="AE54" s="748"/>
      <c r="AF54" s="5"/>
      <c r="AG54" s="5"/>
      <c r="AH54" s="5"/>
      <c r="AI54" s="5"/>
      <c r="AK54" s="1546">
        <f t="shared" si="68"/>
        <v>0</v>
      </c>
      <c r="AL54" s="1546">
        <f t="shared" si="67"/>
        <v>0</v>
      </c>
      <c r="AM54" s="1546">
        <f t="shared" si="67"/>
        <v>0</v>
      </c>
      <c r="AN54" s="1546">
        <f t="shared" si="67"/>
        <v>0</v>
      </c>
      <c r="AO54" s="1546">
        <f t="shared" si="67"/>
        <v>0</v>
      </c>
      <c r="AP54" s="1546">
        <f t="shared" si="67"/>
        <v>0</v>
      </c>
      <c r="AQ54" s="1546">
        <f t="shared" si="67"/>
        <v>0</v>
      </c>
      <c r="AR54" s="1546">
        <f t="shared" si="67"/>
        <v>0</v>
      </c>
      <c r="AS54" s="1546">
        <f t="shared" si="67"/>
        <v>0</v>
      </c>
      <c r="AT54" s="1546">
        <f t="shared" si="67"/>
        <v>0</v>
      </c>
      <c r="AU54" s="1546">
        <f t="shared" si="67"/>
        <v>0</v>
      </c>
      <c r="AV54" s="1546">
        <f t="shared" si="67"/>
        <v>0</v>
      </c>
      <c r="AW54" s="1546">
        <f t="shared" si="67"/>
        <v>0</v>
      </c>
      <c r="AX54" s="1546">
        <f t="shared" si="67"/>
        <v>0</v>
      </c>
      <c r="AY54" s="1546">
        <f t="shared" si="67"/>
        <v>0</v>
      </c>
      <c r="AZ54" s="1546">
        <f t="shared" si="67"/>
        <v>0</v>
      </c>
      <c r="BA54" s="1546">
        <f t="shared" si="29"/>
        <v>0</v>
      </c>
      <c r="BC54" s="1271"/>
      <c r="BD54" s="1271"/>
      <c r="BE54" s="1271"/>
      <c r="BF54" s="1271"/>
      <c r="BG54" s="1271"/>
      <c r="BH54" s="1271"/>
      <c r="BI54" s="1271"/>
      <c r="BJ54" s="1271"/>
      <c r="BK54" s="1271"/>
      <c r="BL54" s="1271"/>
      <c r="BM54" s="1271"/>
      <c r="BN54" s="1271"/>
      <c r="BO54" s="1271"/>
      <c r="BP54" s="1271"/>
      <c r="BQ54" s="1271"/>
      <c r="BR54" s="1271"/>
      <c r="BS54" s="1271"/>
      <c r="BT54" s="1271"/>
      <c r="BV54" s="3"/>
      <c r="BW54" s="3"/>
      <c r="BX54" s="3"/>
      <c r="BY54" s="3"/>
      <c r="BZ54" s="3"/>
      <c r="CA54" s="3"/>
      <c r="CB54" s="3"/>
      <c r="CC54" s="3"/>
      <c r="CE54" s="3"/>
      <c r="CF54" s="3"/>
      <c r="CG54" s="3"/>
      <c r="CH54" s="3"/>
      <c r="CI54" s="3"/>
      <c r="CJ54" s="3"/>
      <c r="CK54" s="3"/>
      <c r="CL54" s="3"/>
      <c r="CN54" s="3"/>
      <c r="CO54" s="3"/>
      <c r="CP54" s="3"/>
      <c r="CQ54" s="3"/>
      <c r="CR54" s="3"/>
      <c r="CS54" s="3"/>
      <c r="CT54" s="3"/>
      <c r="CU54" s="3"/>
      <c r="CW54" s="3"/>
      <c r="CX54" s="3"/>
      <c r="CY54" s="3"/>
      <c r="CZ54" s="3"/>
      <c r="DA54" s="3"/>
      <c r="DB54" s="3"/>
      <c r="DC54" s="3"/>
      <c r="DD54" s="3"/>
      <c r="DF54" s="3"/>
      <c r="DG54" s="3"/>
      <c r="DH54" s="3"/>
      <c r="DI54" s="3"/>
      <c r="DJ54" s="3"/>
      <c r="DK54" s="3"/>
      <c r="DL54" s="3"/>
      <c r="DM54" s="3"/>
      <c r="DO54" s="3"/>
      <c r="DP54" s="3"/>
      <c r="DQ54" s="3"/>
      <c r="DR54" s="3"/>
      <c r="DS54" s="3"/>
      <c r="DT54" s="3"/>
      <c r="DU54" s="3"/>
      <c r="DV54" s="3"/>
      <c r="DX54" s="3"/>
      <c r="DY54" s="3"/>
      <c r="DZ54" s="3"/>
      <c r="EA54" s="3"/>
      <c r="EB54" s="3"/>
      <c r="EC54" s="3"/>
      <c r="ED54" s="3"/>
      <c r="EE54" s="3"/>
      <c r="EG54" s="3"/>
      <c r="EH54" s="3"/>
      <c r="EI54" s="3"/>
      <c r="EJ54" s="3"/>
      <c r="EK54" s="3"/>
      <c r="EL54" s="3"/>
      <c r="EM54" s="3"/>
      <c r="EN54" s="3"/>
      <c r="EP54" s="3"/>
      <c r="EQ54" s="3"/>
      <c r="ER54" s="3"/>
      <c r="ES54" s="3"/>
      <c r="ET54" s="3"/>
      <c r="EU54" s="3"/>
      <c r="EV54" s="3"/>
      <c r="EW54" s="3"/>
    </row>
    <row r="55" spans="1:153" ht="27.75" customHeight="1" thickBot="1" x14ac:dyDescent="0.35">
      <c r="A55" s="1812"/>
      <c r="B55" s="1812"/>
      <c r="C55" s="1812"/>
      <c r="D55" s="1812"/>
      <c r="E55" s="1812"/>
      <c r="F55" s="792"/>
      <c r="G55" s="792"/>
      <c r="H55" s="792"/>
      <c r="I55" s="1814"/>
      <c r="J55" s="1817"/>
      <c r="K55" s="1817"/>
      <c r="L55" s="1817"/>
      <c r="M55" s="1818"/>
      <c r="N55" s="339" t="s">
        <v>1924</v>
      </c>
      <c r="O55" s="338" t="s">
        <v>301</v>
      </c>
      <c r="P55" s="1783"/>
      <c r="Q55" s="508" t="s">
        <v>228</v>
      </c>
      <c r="R55" s="508" t="s">
        <v>228</v>
      </c>
      <c r="S55" s="338" t="s">
        <v>222</v>
      </c>
      <c r="T55" s="338" t="s">
        <v>1068</v>
      </c>
      <c r="U55" s="338" t="s">
        <v>1925</v>
      </c>
      <c r="V55" s="341" t="s">
        <v>375</v>
      </c>
      <c r="X55" s="5"/>
      <c r="Y55" s="5"/>
      <c r="Z55" s="748"/>
      <c r="AA55" s="5"/>
      <c r="AC55" s="5"/>
      <c r="AD55" s="5"/>
      <c r="AE55" s="748"/>
      <c r="AF55" s="5"/>
      <c r="AG55" s="5"/>
      <c r="AH55" s="5"/>
      <c r="AI55" s="5"/>
      <c r="AK55" s="1546">
        <f t="shared" si="68"/>
        <v>0</v>
      </c>
      <c r="AL55" s="1546">
        <f t="shared" si="67"/>
        <v>0</v>
      </c>
      <c r="AM55" s="1546">
        <f t="shared" si="67"/>
        <v>0</v>
      </c>
      <c r="AN55" s="1546">
        <f t="shared" si="67"/>
        <v>0</v>
      </c>
      <c r="AO55" s="1546">
        <f t="shared" si="67"/>
        <v>0</v>
      </c>
      <c r="AP55" s="1546">
        <f t="shared" si="67"/>
        <v>0</v>
      </c>
      <c r="AQ55" s="1546">
        <f t="shared" si="67"/>
        <v>0</v>
      </c>
      <c r="AR55" s="1546">
        <f t="shared" si="67"/>
        <v>0</v>
      </c>
      <c r="AS55" s="1546">
        <f t="shared" si="67"/>
        <v>0</v>
      </c>
      <c r="AT55" s="1546">
        <f t="shared" si="67"/>
        <v>0</v>
      </c>
      <c r="AU55" s="1546">
        <f t="shared" si="67"/>
        <v>0</v>
      </c>
      <c r="AV55" s="1546">
        <f t="shared" si="67"/>
        <v>0</v>
      </c>
      <c r="AW55" s="1546">
        <f t="shared" si="67"/>
        <v>0</v>
      </c>
      <c r="AX55" s="1546">
        <f t="shared" si="67"/>
        <v>0</v>
      </c>
      <c r="AY55" s="1546">
        <f t="shared" si="67"/>
        <v>0</v>
      </c>
      <c r="AZ55" s="1546">
        <f t="shared" si="67"/>
        <v>0</v>
      </c>
      <c r="BA55" s="1546">
        <f t="shared" si="29"/>
        <v>1</v>
      </c>
      <c r="BC55" s="1271"/>
      <c r="BD55" s="1271"/>
      <c r="BE55" s="1271"/>
      <c r="BF55" s="1271"/>
      <c r="BG55" s="1271"/>
      <c r="BH55" s="1271"/>
      <c r="BI55" s="1271"/>
      <c r="BJ55" s="1271"/>
      <c r="BK55" s="1271"/>
      <c r="BL55" s="1271"/>
      <c r="BM55" s="1271"/>
      <c r="BN55" s="1271"/>
      <c r="BO55" s="1271"/>
      <c r="BP55" s="1271"/>
      <c r="BQ55" s="1271"/>
      <c r="BR55" s="1271"/>
      <c r="BS55" s="1271"/>
      <c r="BT55" s="1271"/>
      <c r="BV55" s="3"/>
      <c r="BW55" s="3"/>
      <c r="BX55" s="3"/>
      <c r="BY55" s="3"/>
      <c r="BZ55" s="3"/>
      <c r="CA55" s="3"/>
      <c r="CB55" s="3"/>
      <c r="CC55" s="3"/>
      <c r="CE55" s="3"/>
      <c r="CF55" s="3"/>
      <c r="CG55" s="3"/>
      <c r="CH55" s="3"/>
      <c r="CI55" s="3"/>
      <c r="CJ55" s="3"/>
      <c r="CK55" s="3"/>
      <c r="CL55" s="3"/>
      <c r="CN55" s="3"/>
      <c r="CO55" s="3"/>
      <c r="CP55" s="3"/>
      <c r="CQ55" s="3"/>
      <c r="CR55" s="3"/>
      <c r="CS55" s="3"/>
      <c r="CT55" s="3"/>
      <c r="CU55" s="3"/>
      <c r="CW55" s="3"/>
      <c r="CX55" s="3"/>
      <c r="CY55" s="3"/>
      <c r="CZ55" s="3"/>
      <c r="DA55" s="3"/>
      <c r="DB55" s="3"/>
      <c r="DC55" s="3"/>
      <c r="DD55" s="3"/>
      <c r="DF55" s="3"/>
      <c r="DG55" s="3"/>
      <c r="DH55" s="3"/>
      <c r="DI55" s="3"/>
      <c r="DJ55" s="3"/>
      <c r="DK55" s="3"/>
      <c r="DL55" s="3"/>
      <c r="DM55" s="3"/>
      <c r="DO55" s="3"/>
      <c r="DP55" s="3"/>
      <c r="DQ55" s="3"/>
      <c r="DR55" s="3"/>
      <c r="DS55" s="3"/>
      <c r="DT55" s="3"/>
      <c r="DU55" s="3"/>
      <c r="DV55" s="3"/>
      <c r="DX55" s="3"/>
      <c r="DY55" s="3"/>
      <c r="DZ55" s="3"/>
      <c r="EA55" s="3"/>
      <c r="EB55" s="3"/>
      <c r="EC55" s="3"/>
      <c r="ED55" s="3"/>
      <c r="EE55" s="3"/>
      <c r="EG55" s="3"/>
      <c r="EH55" s="3"/>
      <c r="EI55" s="3"/>
      <c r="EJ55" s="3"/>
      <c r="EK55" s="3"/>
      <c r="EL55" s="3"/>
      <c r="EM55" s="3"/>
      <c r="EN55" s="3"/>
      <c r="EP55" s="3"/>
      <c r="EQ55" s="3"/>
      <c r="ER55" s="3"/>
      <c r="ES55" s="3"/>
      <c r="ET55" s="3"/>
      <c r="EU55" s="3"/>
      <c r="EV55" s="3"/>
      <c r="EW55" s="3"/>
    </row>
    <row r="56" spans="1:153" ht="28.5" customHeight="1" x14ac:dyDescent="0.3">
      <c r="A56" s="793"/>
      <c r="B56" s="794"/>
      <c r="C56" s="794"/>
      <c r="D56" s="794"/>
      <c r="E56" s="794"/>
      <c r="F56" s="794"/>
      <c r="G56" s="794"/>
      <c r="H56" s="795"/>
      <c r="I56" s="18">
        <v>1</v>
      </c>
      <c r="J56" s="1809"/>
      <c r="K56" s="1809"/>
      <c r="L56" s="1809"/>
      <c r="M56" s="1810"/>
      <c r="N56" s="1216"/>
      <c r="O56" s="908"/>
      <c r="P56" s="873"/>
      <c r="Q56" s="873"/>
      <c r="R56" s="512">
        <f t="shared" ref="R56:R75" si="69">IFERROR(Q56*O56,"")</f>
        <v>0</v>
      </c>
      <c r="S56" s="759">
        <f t="shared" ref="S56:S61" si="70">IFERROR(O56*N56,"")</f>
        <v>0</v>
      </c>
      <c r="T56" s="759" t="str">
        <f>IFERROR(U56/N56,"")</f>
        <v/>
      </c>
      <c r="U56" s="909"/>
      <c r="V56" s="910">
        <f t="shared" ref="V56:V75" si="71">U56*O56</f>
        <v>0</v>
      </c>
      <c r="X56" s="4"/>
      <c r="Y56" s="4"/>
      <c r="Z56" s="748"/>
      <c r="AA56" s="510"/>
      <c r="AC56" s="4"/>
      <c r="AD56" s="4"/>
      <c r="AE56" s="748"/>
      <c r="AF56" s="510"/>
      <c r="AG56" s="510"/>
      <c r="AH56" s="510"/>
      <c r="AI56" s="510"/>
      <c r="AK56" s="1546">
        <f t="shared" si="68"/>
        <v>0</v>
      </c>
      <c r="AL56" s="1546">
        <f t="shared" si="67"/>
        <v>0</v>
      </c>
      <c r="AM56" s="1546">
        <f t="shared" si="67"/>
        <v>0</v>
      </c>
      <c r="AN56" s="1546">
        <f t="shared" si="67"/>
        <v>0</v>
      </c>
      <c r="AO56" s="1546">
        <f t="shared" si="67"/>
        <v>0</v>
      </c>
      <c r="AP56" s="1546">
        <f t="shared" si="67"/>
        <v>0</v>
      </c>
      <c r="AQ56" s="1546">
        <f t="shared" si="67"/>
        <v>0</v>
      </c>
      <c r="AR56" s="1546">
        <f t="shared" si="67"/>
        <v>0</v>
      </c>
      <c r="AS56" s="1546">
        <f t="shared" si="67"/>
        <v>0</v>
      </c>
      <c r="AT56" s="1546">
        <f t="shared" si="67"/>
        <v>0</v>
      </c>
      <c r="AU56" s="1546">
        <f t="shared" si="67"/>
        <v>0</v>
      </c>
      <c r="AV56" s="1546">
        <f t="shared" si="67"/>
        <v>0</v>
      </c>
      <c r="AW56" s="1546">
        <f t="shared" si="67"/>
        <v>0</v>
      </c>
      <c r="AX56" s="1546">
        <f t="shared" si="67"/>
        <v>0</v>
      </c>
      <c r="AY56" s="1546">
        <f t="shared" si="67"/>
        <v>0</v>
      </c>
      <c r="AZ56" s="1546">
        <f t="shared" si="67"/>
        <v>0</v>
      </c>
      <c r="BA56" s="1546">
        <f t="shared" si="29"/>
        <v>1</v>
      </c>
      <c r="BC56" s="1271"/>
      <c r="BD56" s="1271"/>
      <c r="BE56" s="1271"/>
      <c r="BF56" s="1271"/>
      <c r="BG56" s="1271"/>
      <c r="BH56" s="1271"/>
      <c r="BI56" s="1271"/>
      <c r="BJ56" s="1271"/>
      <c r="BK56" s="1271"/>
      <c r="BL56" s="1271"/>
      <c r="BM56" s="1271"/>
      <c r="BN56" s="1271"/>
      <c r="BO56" s="1271"/>
      <c r="BP56" s="1271"/>
      <c r="BQ56" s="1271"/>
      <c r="BR56" s="1271"/>
      <c r="BS56" s="1271"/>
      <c r="BT56" s="1271"/>
      <c r="BV56" s="3"/>
      <c r="BW56" s="3"/>
      <c r="BX56" s="3"/>
      <c r="BY56" s="3"/>
      <c r="BZ56" s="3"/>
      <c r="CA56" s="3"/>
      <c r="CB56" s="3"/>
      <c r="CC56" s="3"/>
      <c r="CE56" s="3"/>
      <c r="CF56" s="3"/>
      <c r="CG56" s="3"/>
      <c r="CH56" s="3"/>
      <c r="CI56" s="3"/>
      <c r="CJ56" s="3"/>
      <c r="CK56" s="3"/>
      <c r="CL56" s="3"/>
      <c r="CN56" s="3"/>
      <c r="CO56" s="3"/>
      <c r="CP56" s="3"/>
      <c r="CQ56" s="3"/>
      <c r="CR56" s="3"/>
      <c r="CS56" s="3"/>
      <c r="CT56" s="3"/>
      <c r="CU56" s="3"/>
      <c r="CW56" s="3"/>
      <c r="CX56" s="3"/>
      <c r="CY56" s="3"/>
      <c r="CZ56" s="3"/>
      <c r="DA56" s="3"/>
      <c r="DB56" s="3"/>
      <c r="DC56" s="3"/>
      <c r="DD56" s="3"/>
      <c r="DF56" s="3"/>
      <c r="DG56" s="3"/>
      <c r="DH56" s="3"/>
      <c r="DI56" s="3"/>
      <c r="DJ56" s="3"/>
      <c r="DK56" s="3"/>
      <c r="DL56" s="3"/>
      <c r="DM56" s="3"/>
      <c r="DO56" s="3"/>
      <c r="DP56" s="3"/>
      <c r="DQ56" s="3"/>
      <c r="DR56" s="3"/>
      <c r="DS56" s="3"/>
      <c r="DT56" s="3"/>
      <c r="DU56" s="3"/>
      <c r="DV56" s="3"/>
      <c r="DX56" s="3"/>
      <c r="DY56" s="3"/>
      <c r="DZ56" s="3"/>
      <c r="EA56" s="3"/>
      <c r="EB56" s="3"/>
      <c r="EC56" s="3"/>
      <c r="ED56" s="3"/>
      <c r="EE56" s="3"/>
      <c r="EG56" s="3"/>
      <c r="EH56" s="3"/>
      <c r="EI56" s="3"/>
      <c r="EJ56" s="3"/>
      <c r="EK56" s="3"/>
      <c r="EL56" s="3"/>
      <c r="EM56" s="3"/>
      <c r="EN56" s="3"/>
      <c r="EP56" s="3"/>
      <c r="EQ56" s="3"/>
      <c r="ER56" s="3"/>
      <c r="ES56" s="3"/>
      <c r="ET56" s="3"/>
      <c r="EU56" s="3"/>
      <c r="EV56" s="3"/>
      <c r="EW56" s="3"/>
    </row>
    <row r="57" spans="1:153" ht="28.5" customHeight="1" x14ac:dyDescent="0.3">
      <c r="A57" s="793"/>
      <c r="B57" s="794"/>
      <c r="C57" s="794"/>
      <c r="D57" s="794"/>
      <c r="E57" s="794"/>
      <c r="F57" s="794"/>
      <c r="G57" s="794"/>
      <c r="H57" s="795"/>
      <c r="I57" s="797">
        <v>2</v>
      </c>
      <c r="J57" s="1811"/>
      <c r="K57" s="1807"/>
      <c r="L57" s="1807"/>
      <c r="M57" s="1808"/>
      <c r="N57" s="902"/>
      <c r="O57" s="902"/>
      <c r="P57" s="874"/>
      <c r="Q57" s="874"/>
      <c r="R57" s="512">
        <f t="shared" si="69"/>
        <v>0</v>
      </c>
      <c r="S57" s="334">
        <f t="shared" si="70"/>
        <v>0</v>
      </c>
      <c r="T57" s="759" t="str">
        <f t="shared" ref="T57:T75" si="72">IFERROR(U57/N57,"")</f>
        <v/>
      </c>
      <c r="U57" s="907"/>
      <c r="V57" s="796">
        <f t="shared" si="71"/>
        <v>0</v>
      </c>
      <c r="X57" s="4"/>
      <c r="Y57" s="4"/>
      <c r="Z57" s="748"/>
      <c r="AA57" s="510"/>
      <c r="AC57" s="4"/>
      <c r="AD57" s="4"/>
      <c r="AE57" s="748"/>
      <c r="AF57" s="510"/>
      <c r="AG57" s="510"/>
      <c r="AH57" s="510"/>
      <c r="AI57" s="510"/>
      <c r="AK57" s="1546">
        <f t="shared" si="68"/>
        <v>0</v>
      </c>
      <c r="AL57" s="1546">
        <f t="shared" si="67"/>
        <v>0</v>
      </c>
      <c r="AM57" s="1546">
        <f t="shared" si="67"/>
        <v>0</v>
      </c>
      <c r="AN57" s="1546">
        <f t="shared" si="67"/>
        <v>0</v>
      </c>
      <c r="AO57" s="1546">
        <f t="shared" si="67"/>
        <v>0</v>
      </c>
      <c r="AP57" s="1546">
        <f t="shared" si="67"/>
        <v>0</v>
      </c>
      <c r="AQ57" s="1546">
        <f t="shared" si="67"/>
        <v>0</v>
      </c>
      <c r="AR57" s="1546">
        <f t="shared" si="67"/>
        <v>0</v>
      </c>
      <c r="AS57" s="1546">
        <f t="shared" si="67"/>
        <v>0</v>
      </c>
      <c r="AT57" s="1546">
        <f t="shared" si="67"/>
        <v>0</v>
      </c>
      <c r="AU57" s="1546">
        <f t="shared" si="67"/>
        <v>0</v>
      </c>
      <c r="AV57" s="1546">
        <f t="shared" si="67"/>
        <v>0</v>
      </c>
      <c r="AW57" s="1546">
        <f t="shared" si="67"/>
        <v>0</v>
      </c>
      <c r="AX57" s="1546">
        <f t="shared" si="67"/>
        <v>0</v>
      </c>
      <c r="AY57" s="1546">
        <f t="shared" si="67"/>
        <v>0</v>
      </c>
      <c r="AZ57" s="1546">
        <f t="shared" si="67"/>
        <v>0</v>
      </c>
      <c r="BA57" s="1546">
        <f t="shared" si="29"/>
        <v>1</v>
      </c>
      <c r="BC57" s="1271"/>
      <c r="BD57" s="1271"/>
      <c r="BE57" s="1271"/>
      <c r="BF57" s="1271"/>
      <c r="BG57" s="1271"/>
      <c r="BH57" s="1271"/>
      <c r="BI57" s="1271"/>
      <c r="BJ57" s="1271"/>
      <c r="BK57" s="1271"/>
      <c r="BL57" s="1271"/>
      <c r="BM57" s="1271"/>
      <c r="BN57" s="1271"/>
      <c r="BO57" s="1271"/>
      <c r="BP57" s="1271"/>
      <c r="BQ57" s="1271"/>
      <c r="BR57" s="1271"/>
      <c r="BS57" s="1271"/>
      <c r="BT57" s="1271"/>
      <c r="BV57" s="3"/>
      <c r="BW57" s="3"/>
      <c r="BX57" s="3"/>
      <c r="BY57" s="3"/>
      <c r="BZ57" s="3"/>
      <c r="CA57" s="3"/>
      <c r="CB57" s="3"/>
      <c r="CC57" s="3"/>
      <c r="CE57" s="3"/>
      <c r="CF57" s="3"/>
      <c r="CG57" s="3"/>
      <c r="CH57" s="3"/>
      <c r="CI57" s="3"/>
      <c r="CJ57" s="3"/>
      <c r="CK57" s="3"/>
      <c r="CL57" s="3"/>
      <c r="CN57" s="3"/>
      <c r="CO57" s="3"/>
      <c r="CP57" s="3"/>
      <c r="CQ57" s="3"/>
      <c r="CR57" s="3"/>
      <c r="CS57" s="3"/>
      <c r="CT57" s="3"/>
      <c r="CU57" s="3"/>
      <c r="CW57" s="3"/>
      <c r="CX57" s="3"/>
      <c r="CY57" s="3"/>
      <c r="CZ57" s="3"/>
      <c r="DA57" s="3"/>
      <c r="DB57" s="3"/>
      <c r="DC57" s="3"/>
      <c r="DD57" s="3"/>
      <c r="DF57" s="3"/>
      <c r="DG57" s="3"/>
      <c r="DH57" s="3"/>
      <c r="DI57" s="3"/>
      <c r="DJ57" s="3"/>
      <c r="DK57" s="3"/>
      <c r="DL57" s="3"/>
      <c r="DM57" s="3"/>
      <c r="DO57" s="3"/>
      <c r="DP57" s="3"/>
      <c r="DQ57" s="3"/>
      <c r="DR57" s="3"/>
      <c r="DS57" s="3"/>
      <c r="DT57" s="3"/>
      <c r="DU57" s="3"/>
      <c r="DV57" s="3"/>
      <c r="DX57" s="3"/>
      <c r="DY57" s="3"/>
      <c r="DZ57" s="3"/>
      <c r="EA57" s="3"/>
      <c r="EB57" s="3"/>
      <c r="EC57" s="3"/>
      <c r="ED57" s="3"/>
      <c r="EE57" s="3"/>
      <c r="EG57" s="3"/>
      <c r="EH57" s="3"/>
      <c r="EI57" s="3"/>
      <c r="EJ57" s="3"/>
      <c r="EK57" s="3"/>
      <c r="EL57" s="3"/>
      <c r="EM57" s="3"/>
      <c r="EN57" s="3"/>
      <c r="EP57" s="3"/>
      <c r="EQ57" s="3"/>
      <c r="ER57" s="3"/>
      <c r="ES57" s="3"/>
      <c r="ET57" s="3"/>
      <c r="EU57" s="3"/>
      <c r="EV57" s="3"/>
      <c r="EW57" s="3"/>
    </row>
    <row r="58" spans="1:153" ht="28.5" customHeight="1" x14ac:dyDescent="0.3">
      <c r="A58" s="793"/>
      <c r="B58" s="794"/>
      <c r="C58" s="794"/>
      <c r="D58" s="794"/>
      <c r="E58" s="794"/>
      <c r="F58" s="794"/>
      <c r="G58" s="794"/>
      <c r="H58" s="795"/>
      <c r="I58" s="797">
        <v>3</v>
      </c>
      <c r="J58" s="1811"/>
      <c r="K58" s="1807"/>
      <c r="L58" s="1807"/>
      <c r="M58" s="1808"/>
      <c r="N58" s="902"/>
      <c r="O58" s="902"/>
      <c r="P58" s="874"/>
      <c r="Q58" s="874"/>
      <c r="R58" s="512">
        <f t="shared" si="69"/>
        <v>0</v>
      </c>
      <c r="S58" s="334">
        <f t="shared" si="70"/>
        <v>0</v>
      </c>
      <c r="T58" s="759" t="str">
        <f t="shared" si="72"/>
        <v/>
      </c>
      <c r="U58" s="907"/>
      <c r="V58" s="796">
        <f t="shared" si="71"/>
        <v>0</v>
      </c>
      <c r="X58" s="4"/>
      <c r="Y58" s="4"/>
      <c r="Z58" s="748"/>
      <c r="AA58" s="510"/>
      <c r="AC58" s="4"/>
      <c r="AD58" s="4"/>
      <c r="AE58" s="748"/>
      <c r="AF58" s="510"/>
      <c r="AG58" s="510"/>
      <c r="AH58" s="510"/>
      <c r="AI58" s="510"/>
      <c r="AK58" s="1546">
        <f t="shared" si="68"/>
        <v>0</v>
      </c>
      <c r="AL58" s="1546">
        <f t="shared" si="67"/>
        <v>0</v>
      </c>
      <c r="AM58" s="1546">
        <f t="shared" si="67"/>
        <v>0</v>
      </c>
      <c r="AN58" s="1546">
        <f t="shared" si="67"/>
        <v>0</v>
      </c>
      <c r="AO58" s="1546">
        <f t="shared" si="67"/>
        <v>0</v>
      </c>
      <c r="AP58" s="1546">
        <f t="shared" si="67"/>
        <v>0</v>
      </c>
      <c r="AQ58" s="1546">
        <f t="shared" si="67"/>
        <v>0</v>
      </c>
      <c r="AR58" s="1546">
        <f t="shared" si="67"/>
        <v>0</v>
      </c>
      <c r="AS58" s="1546">
        <f t="shared" si="67"/>
        <v>0</v>
      </c>
      <c r="AT58" s="1546">
        <f t="shared" si="67"/>
        <v>0</v>
      </c>
      <c r="AU58" s="1546">
        <f t="shared" si="67"/>
        <v>0</v>
      </c>
      <c r="AV58" s="1546">
        <f t="shared" si="67"/>
        <v>0</v>
      </c>
      <c r="AW58" s="1546">
        <f t="shared" si="67"/>
        <v>0</v>
      </c>
      <c r="AX58" s="1546">
        <f t="shared" si="67"/>
        <v>0</v>
      </c>
      <c r="AY58" s="1546">
        <f t="shared" si="67"/>
        <v>0</v>
      </c>
      <c r="AZ58" s="1546">
        <f t="shared" si="67"/>
        <v>0</v>
      </c>
      <c r="BA58" s="1546">
        <f t="shared" si="29"/>
        <v>1</v>
      </c>
      <c r="BC58" s="1271"/>
      <c r="BD58" s="1271"/>
      <c r="BE58" s="1271"/>
      <c r="BF58" s="1271"/>
      <c r="BG58" s="1271"/>
      <c r="BH58" s="1271"/>
      <c r="BI58" s="1271"/>
      <c r="BJ58" s="1271"/>
      <c r="BK58" s="1271"/>
      <c r="BL58" s="1271"/>
      <c r="BM58" s="1271"/>
      <c r="BN58" s="1271"/>
      <c r="BO58" s="1271"/>
      <c r="BP58" s="1271"/>
      <c r="BQ58" s="1271"/>
      <c r="BR58" s="1271"/>
      <c r="BS58" s="1271"/>
      <c r="BT58" s="1271"/>
      <c r="BV58" s="3"/>
      <c r="BW58" s="3"/>
      <c r="BX58" s="3"/>
      <c r="BY58" s="3"/>
      <c r="BZ58" s="3"/>
      <c r="CA58" s="3"/>
      <c r="CB58" s="3"/>
      <c r="CC58" s="3"/>
      <c r="CE58" s="3"/>
      <c r="CF58" s="3"/>
      <c r="CG58" s="3"/>
      <c r="CH58" s="3"/>
      <c r="CI58" s="3"/>
      <c r="CJ58" s="3"/>
      <c r="CK58" s="3"/>
      <c r="CL58" s="3"/>
      <c r="CN58" s="3"/>
      <c r="CO58" s="3"/>
      <c r="CP58" s="3"/>
      <c r="CQ58" s="3"/>
      <c r="CR58" s="3"/>
      <c r="CS58" s="3"/>
      <c r="CT58" s="3"/>
      <c r="CU58" s="3"/>
      <c r="CW58" s="3"/>
      <c r="CX58" s="3"/>
      <c r="CY58" s="3"/>
      <c r="CZ58" s="3"/>
      <c r="DA58" s="3"/>
      <c r="DB58" s="3"/>
      <c r="DC58" s="3"/>
      <c r="DD58" s="3"/>
      <c r="DF58" s="3"/>
      <c r="DG58" s="3"/>
      <c r="DH58" s="3"/>
      <c r="DI58" s="3"/>
      <c r="DJ58" s="3"/>
      <c r="DK58" s="3"/>
      <c r="DL58" s="3"/>
      <c r="DM58" s="3"/>
      <c r="DO58" s="3"/>
      <c r="DP58" s="3"/>
      <c r="DQ58" s="3"/>
      <c r="DR58" s="3"/>
      <c r="DS58" s="3"/>
      <c r="DT58" s="3"/>
      <c r="DU58" s="3"/>
      <c r="DV58" s="3"/>
      <c r="DX58" s="3"/>
      <c r="DY58" s="3"/>
      <c r="DZ58" s="3"/>
      <c r="EA58" s="3"/>
      <c r="EB58" s="3"/>
      <c r="EC58" s="3"/>
      <c r="ED58" s="3"/>
      <c r="EE58" s="3"/>
      <c r="EG58" s="3"/>
      <c r="EH58" s="3"/>
      <c r="EI58" s="3"/>
      <c r="EJ58" s="3"/>
      <c r="EK58" s="3"/>
      <c r="EL58" s="3"/>
      <c r="EM58" s="3"/>
      <c r="EN58" s="3"/>
      <c r="EP58" s="3"/>
      <c r="EQ58" s="3"/>
      <c r="ER58" s="3"/>
      <c r="ES58" s="3"/>
      <c r="ET58" s="3"/>
      <c r="EU58" s="3"/>
      <c r="EV58" s="3"/>
      <c r="EW58" s="3"/>
    </row>
    <row r="59" spans="1:153" ht="28.5" customHeight="1" x14ac:dyDescent="0.3">
      <c r="A59" s="793"/>
      <c r="B59" s="794"/>
      <c r="C59" s="794"/>
      <c r="D59" s="794"/>
      <c r="E59" s="794"/>
      <c r="F59" s="794"/>
      <c r="G59" s="794"/>
      <c r="H59" s="795"/>
      <c r="I59" s="797">
        <v>4</v>
      </c>
      <c r="J59" s="1811"/>
      <c r="K59" s="1807"/>
      <c r="L59" s="1807"/>
      <c r="M59" s="1808"/>
      <c r="N59" s="902"/>
      <c r="O59" s="902"/>
      <c r="P59" s="874"/>
      <c r="Q59" s="874"/>
      <c r="R59" s="512">
        <f t="shared" si="69"/>
        <v>0</v>
      </c>
      <c r="S59" s="334">
        <f t="shared" si="70"/>
        <v>0</v>
      </c>
      <c r="T59" s="759" t="str">
        <f t="shared" si="72"/>
        <v/>
      </c>
      <c r="U59" s="907"/>
      <c r="V59" s="796">
        <f t="shared" si="71"/>
        <v>0</v>
      </c>
      <c r="X59" s="4"/>
      <c r="Y59" s="4"/>
      <c r="Z59" s="748"/>
      <c r="AA59" s="510"/>
      <c r="AC59" s="4"/>
      <c r="AD59" s="4"/>
      <c r="AE59" s="748"/>
      <c r="AF59" s="510"/>
      <c r="AG59" s="510"/>
      <c r="AH59" s="510"/>
      <c r="AI59" s="510"/>
      <c r="AK59" s="1546">
        <f t="shared" si="68"/>
        <v>0</v>
      </c>
      <c r="AL59" s="1546">
        <f t="shared" si="67"/>
        <v>0</v>
      </c>
      <c r="AM59" s="1546">
        <f t="shared" si="67"/>
        <v>0</v>
      </c>
      <c r="AN59" s="1546">
        <f t="shared" si="67"/>
        <v>0</v>
      </c>
      <c r="AO59" s="1546">
        <f t="shared" si="67"/>
        <v>0</v>
      </c>
      <c r="AP59" s="1546">
        <f t="shared" si="67"/>
        <v>0</v>
      </c>
      <c r="AQ59" s="1546">
        <f t="shared" si="67"/>
        <v>0</v>
      </c>
      <c r="AR59" s="1546">
        <f t="shared" si="67"/>
        <v>0</v>
      </c>
      <c r="AS59" s="1546">
        <f t="shared" si="67"/>
        <v>0</v>
      </c>
      <c r="AT59" s="1546">
        <f t="shared" si="67"/>
        <v>0</v>
      </c>
      <c r="AU59" s="1546">
        <f t="shared" si="67"/>
        <v>0</v>
      </c>
      <c r="AV59" s="1546">
        <f t="shared" si="67"/>
        <v>0</v>
      </c>
      <c r="AW59" s="1546">
        <f t="shared" si="67"/>
        <v>0</v>
      </c>
      <c r="AX59" s="1546">
        <f t="shared" si="67"/>
        <v>0</v>
      </c>
      <c r="AY59" s="1546">
        <f t="shared" si="67"/>
        <v>0</v>
      </c>
      <c r="AZ59" s="1546">
        <f t="shared" si="67"/>
        <v>0</v>
      </c>
      <c r="BA59" s="1546">
        <f t="shared" si="29"/>
        <v>1</v>
      </c>
      <c r="BC59" s="1271"/>
      <c r="BD59" s="1271"/>
      <c r="BE59" s="1271"/>
      <c r="BF59" s="1271"/>
      <c r="BG59" s="1271"/>
      <c r="BH59" s="1271"/>
      <c r="BI59" s="1271"/>
      <c r="BJ59" s="1271"/>
      <c r="BK59" s="1271"/>
      <c r="BL59" s="1271"/>
      <c r="BM59" s="1271"/>
      <c r="BN59" s="1271"/>
      <c r="BO59" s="1271"/>
      <c r="BP59" s="1271"/>
      <c r="BQ59" s="1271"/>
      <c r="BR59" s="1271"/>
      <c r="BS59" s="1271"/>
      <c r="BT59" s="1271"/>
      <c r="BV59" s="3"/>
      <c r="BW59" s="3"/>
      <c r="BX59" s="3"/>
      <c r="BY59" s="3"/>
      <c r="BZ59" s="3"/>
      <c r="CA59" s="3"/>
      <c r="CB59" s="3"/>
      <c r="CC59" s="3"/>
      <c r="CE59" s="3"/>
      <c r="CF59" s="3"/>
      <c r="CG59" s="3"/>
      <c r="CH59" s="3"/>
      <c r="CI59" s="3"/>
      <c r="CJ59" s="3"/>
      <c r="CK59" s="3"/>
      <c r="CL59" s="3"/>
      <c r="CN59" s="3"/>
      <c r="CO59" s="3"/>
      <c r="CP59" s="3"/>
      <c r="CQ59" s="3"/>
      <c r="CR59" s="3"/>
      <c r="CS59" s="3"/>
      <c r="CT59" s="3"/>
      <c r="CU59" s="3"/>
      <c r="CW59" s="3"/>
      <c r="CX59" s="3"/>
      <c r="CY59" s="3"/>
      <c r="CZ59" s="3"/>
      <c r="DA59" s="3"/>
      <c r="DB59" s="3"/>
      <c r="DC59" s="3"/>
      <c r="DD59" s="3"/>
      <c r="DF59" s="3"/>
      <c r="DG59" s="3"/>
      <c r="DH59" s="3"/>
      <c r="DI59" s="3"/>
      <c r="DJ59" s="3"/>
      <c r="DK59" s="3"/>
      <c r="DL59" s="3"/>
      <c r="DM59" s="3"/>
      <c r="DO59" s="3"/>
      <c r="DP59" s="3"/>
      <c r="DQ59" s="3"/>
      <c r="DR59" s="3"/>
      <c r="DS59" s="3"/>
      <c r="DT59" s="3"/>
      <c r="DU59" s="3"/>
      <c r="DV59" s="3"/>
      <c r="DX59" s="3"/>
      <c r="DY59" s="3"/>
      <c r="DZ59" s="3"/>
      <c r="EA59" s="3"/>
      <c r="EB59" s="3"/>
      <c r="EC59" s="3"/>
      <c r="ED59" s="3"/>
      <c r="EE59" s="3"/>
      <c r="EG59" s="3"/>
      <c r="EH59" s="3"/>
      <c r="EI59" s="3"/>
      <c r="EJ59" s="3"/>
      <c r="EK59" s="3"/>
      <c r="EL59" s="3"/>
      <c r="EM59" s="3"/>
      <c r="EN59" s="3"/>
      <c r="EP59" s="3"/>
      <c r="EQ59" s="3"/>
      <c r="ER59" s="3"/>
      <c r="ES59" s="3"/>
      <c r="ET59" s="3"/>
      <c r="EU59" s="3"/>
      <c r="EV59" s="3"/>
      <c r="EW59" s="3"/>
    </row>
    <row r="60" spans="1:153" ht="28.5" customHeight="1" x14ac:dyDescent="0.3">
      <c r="A60" s="793"/>
      <c r="B60" s="794"/>
      <c r="C60" s="794"/>
      <c r="D60" s="794"/>
      <c r="E60" s="794"/>
      <c r="F60" s="794"/>
      <c r="G60" s="794"/>
      <c r="H60" s="795"/>
      <c r="I60" s="797">
        <v>5</v>
      </c>
      <c r="J60" s="1807"/>
      <c r="K60" s="1807"/>
      <c r="L60" s="1807"/>
      <c r="M60" s="1808"/>
      <c r="N60" s="906"/>
      <c r="O60" s="902"/>
      <c r="P60" s="874"/>
      <c r="Q60" s="874"/>
      <c r="R60" s="512">
        <f t="shared" si="69"/>
        <v>0</v>
      </c>
      <c r="S60" s="334">
        <f t="shared" si="70"/>
        <v>0</v>
      </c>
      <c r="T60" s="759" t="str">
        <f t="shared" si="72"/>
        <v/>
      </c>
      <c r="U60" s="907"/>
      <c r="V60" s="796">
        <f t="shared" si="71"/>
        <v>0</v>
      </c>
      <c r="X60" s="4"/>
      <c r="Y60" s="4"/>
      <c r="Z60" s="748"/>
      <c r="AA60" s="510"/>
      <c r="AC60" s="4"/>
      <c r="AD60" s="4"/>
      <c r="AE60" s="748"/>
      <c r="AF60" s="510"/>
      <c r="AG60" s="510"/>
      <c r="AH60" s="510"/>
      <c r="AI60" s="510"/>
      <c r="AK60" s="1546">
        <f t="shared" si="68"/>
        <v>0</v>
      </c>
      <c r="AL60" s="1546">
        <f t="shared" si="67"/>
        <v>0</v>
      </c>
      <c r="AM60" s="1546">
        <f t="shared" si="67"/>
        <v>0</v>
      </c>
      <c r="AN60" s="1546">
        <f t="shared" si="67"/>
        <v>0</v>
      </c>
      <c r="AO60" s="1546">
        <f t="shared" si="67"/>
        <v>0</v>
      </c>
      <c r="AP60" s="1546">
        <f t="shared" si="67"/>
        <v>0</v>
      </c>
      <c r="AQ60" s="1546">
        <f t="shared" si="67"/>
        <v>0</v>
      </c>
      <c r="AR60" s="1546">
        <f t="shared" si="67"/>
        <v>0</v>
      </c>
      <c r="AS60" s="1546">
        <f t="shared" si="67"/>
        <v>0</v>
      </c>
      <c r="AT60" s="1546">
        <f t="shared" si="67"/>
        <v>0</v>
      </c>
      <c r="AU60" s="1546">
        <f t="shared" si="67"/>
        <v>0</v>
      </c>
      <c r="AV60" s="1546">
        <f t="shared" si="67"/>
        <v>0</v>
      </c>
      <c r="AW60" s="1546">
        <f t="shared" si="67"/>
        <v>0</v>
      </c>
      <c r="AX60" s="1546">
        <f t="shared" si="67"/>
        <v>0</v>
      </c>
      <c r="AY60" s="1546">
        <f t="shared" si="67"/>
        <v>0</v>
      </c>
      <c r="AZ60" s="1546">
        <f t="shared" si="67"/>
        <v>0</v>
      </c>
      <c r="BA60" s="1546">
        <f t="shared" si="29"/>
        <v>1</v>
      </c>
      <c r="BC60" s="1271"/>
      <c r="BD60" s="1271"/>
      <c r="BE60" s="1271"/>
      <c r="BF60" s="1271"/>
      <c r="BG60" s="1271"/>
      <c r="BH60" s="1271"/>
      <c r="BI60" s="1271"/>
      <c r="BJ60" s="1271"/>
      <c r="BK60" s="1271"/>
      <c r="BL60" s="1271"/>
      <c r="BM60" s="1271"/>
      <c r="BN60" s="1271"/>
      <c r="BO60" s="1271"/>
      <c r="BP60" s="1271"/>
      <c r="BQ60" s="1271"/>
      <c r="BR60" s="1271"/>
      <c r="BS60" s="1271"/>
      <c r="BT60" s="1271"/>
      <c r="BV60" s="3"/>
      <c r="BW60" s="3"/>
      <c r="BX60" s="3"/>
      <c r="BY60" s="3"/>
      <c r="BZ60" s="3"/>
      <c r="CA60" s="3"/>
      <c r="CB60" s="3"/>
      <c r="CC60" s="3"/>
      <c r="CE60" s="3"/>
      <c r="CF60" s="3"/>
      <c r="CG60" s="3"/>
      <c r="CH60" s="3"/>
      <c r="CI60" s="3"/>
      <c r="CJ60" s="3"/>
      <c r="CK60" s="3"/>
      <c r="CL60" s="3"/>
      <c r="CN60" s="3"/>
      <c r="CO60" s="3"/>
      <c r="CP60" s="3"/>
      <c r="CQ60" s="3"/>
      <c r="CR60" s="3"/>
      <c r="CS60" s="3"/>
      <c r="CT60" s="3"/>
      <c r="CU60" s="3"/>
      <c r="CW60" s="3"/>
      <c r="CX60" s="3"/>
      <c r="CY60" s="3"/>
      <c r="CZ60" s="3"/>
      <c r="DA60" s="3"/>
      <c r="DB60" s="3"/>
      <c r="DC60" s="3"/>
      <c r="DD60" s="3"/>
      <c r="DF60" s="3"/>
      <c r="DG60" s="3"/>
      <c r="DH60" s="3"/>
      <c r="DI60" s="3"/>
      <c r="DJ60" s="3"/>
      <c r="DK60" s="3"/>
      <c r="DL60" s="3"/>
      <c r="DM60" s="3"/>
      <c r="DO60" s="3"/>
      <c r="DP60" s="3"/>
      <c r="DQ60" s="3"/>
      <c r="DR60" s="3"/>
      <c r="DS60" s="3"/>
      <c r="DT60" s="3"/>
      <c r="DU60" s="3"/>
      <c r="DV60" s="3"/>
      <c r="DX60" s="3"/>
      <c r="DY60" s="3"/>
      <c r="DZ60" s="3"/>
      <c r="EA60" s="3"/>
      <c r="EB60" s="3"/>
      <c r="EC60" s="3"/>
      <c r="ED60" s="3"/>
      <c r="EE60" s="3"/>
      <c r="EG60" s="3"/>
      <c r="EH60" s="3"/>
      <c r="EI60" s="3"/>
      <c r="EJ60" s="3"/>
      <c r="EK60" s="3"/>
      <c r="EL60" s="3"/>
      <c r="EM60" s="3"/>
      <c r="EN60" s="3"/>
      <c r="EP60" s="3"/>
      <c r="EQ60" s="3"/>
      <c r="ER60" s="3"/>
      <c r="ES60" s="3"/>
      <c r="ET60" s="3"/>
      <c r="EU60" s="3"/>
      <c r="EV60" s="3"/>
      <c r="EW60" s="3"/>
    </row>
    <row r="61" spans="1:153" ht="21" customHeight="1" x14ac:dyDescent="0.3">
      <c r="A61" s="793"/>
      <c r="B61" s="794"/>
      <c r="C61" s="794"/>
      <c r="D61" s="794"/>
      <c r="E61" s="794"/>
      <c r="F61" s="794"/>
      <c r="G61" s="794"/>
      <c r="H61" s="795"/>
      <c r="I61" s="797">
        <v>6</v>
      </c>
      <c r="J61" s="1807"/>
      <c r="K61" s="1807"/>
      <c r="L61" s="1807"/>
      <c r="M61" s="1808"/>
      <c r="N61" s="906"/>
      <c r="O61" s="902"/>
      <c r="P61" s="874"/>
      <c r="Q61" s="874"/>
      <c r="R61" s="512">
        <f t="shared" si="69"/>
        <v>0</v>
      </c>
      <c r="S61" s="334">
        <f t="shared" si="70"/>
        <v>0</v>
      </c>
      <c r="T61" s="759" t="str">
        <f t="shared" si="72"/>
        <v/>
      </c>
      <c r="U61" s="907"/>
      <c r="V61" s="796">
        <f t="shared" si="71"/>
        <v>0</v>
      </c>
      <c r="X61" s="4"/>
      <c r="Y61" s="4"/>
      <c r="Z61" s="748"/>
      <c r="AA61" s="510"/>
      <c r="AC61" s="4"/>
      <c r="AD61" s="4"/>
      <c r="AE61" s="748"/>
      <c r="AF61" s="510"/>
      <c r="AG61" s="510"/>
      <c r="AH61" s="510"/>
      <c r="AI61" s="510"/>
      <c r="AK61" s="1546">
        <f t="shared" si="68"/>
        <v>0</v>
      </c>
      <c r="AL61" s="1546">
        <f t="shared" si="67"/>
        <v>0</v>
      </c>
      <c r="AM61" s="1546">
        <f t="shared" si="67"/>
        <v>0</v>
      </c>
      <c r="AN61" s="1546">
        <f t="shared" si="67"/>
        <v>0</v>
      </c>
      <c r="AO61" s="1546">
        <f t="shared" si="67"/>
        <v>0</v>
      </c>
      <c r="AP61" s="1546">
        <f t="shared" si="67"/>
        <v>0</v>
      </c>
      <c r="AQ61" s="1546">
        <f t="shared" si="67"/>
        <v>0</v>
      </c>
      <c r="AR61" s="1546">
        <f t="shared" si="67"/>
        <v>0</v>
      </c>
      <c r="AS61" s="1546">
        <f t="shared" si="67"/>
        <v>0</v>
      </c>
      <c r="AT61" s="1546">
        <f t="shared" si="67"/>
        <v>0</v>
      </c>
      <c r="AU61" s="1546">
        <f t="shared" si="67"/>
        <v>0</v>
      </c>
      <c r="AV61" s="1546">
        <f t="shared" si="67"/>
        <v>0</v>
      </c>
      <c r="AW61" s="1546">
        <f t="shared" si="67"/>
        <v>0</v>
      </c>
      <c r="AX61" s="1546">
        <f t="shared" si="67"/>
        <v>0</v>
      </c>
      <c r="AY61" s="1546">
        <f t="shared" si="67"/>
        <v>0</v>
      </c>
      <c r="AZ61" s="1546">
        <f t="shared" si="67"/>
        <v>0</v>
      </c>
      <c r="BA61" s="1546">
        <f t="shared" si="29"/>
        <v>1</v>
      </c>
      <c r="BC61" s="1271"/>
      <c r="BD61" s="1271"/>
      <c r="BE61" s="1271"/>
      <c r="BF61" s="1271"/>
      <c r="BG61" s="1271"/>
      <c r="BH61" s="1271"/>
      <c r="BI61" s="1271"/>
      <c r="BJ61" s="1271"/>
      <c r="BK61" s="1271"/>
      <c r="BL61" s="1271"/>
      <c r="BM61" s="1271"/>
      <c r="BN61" s="1271"/>
      <c r="BO61" s="1271"/>
      <c r="BP61" s="1271"/>
      <c r="BQ61" s="1271"/>
      <c r="BR61" s="1271"/>
      <c r="BS61" s="1271"/>
      <c r="BT61" s="1271"/>
      <c r="BV61" s="3"/>
      <c r="BW61" s="3"/>
      <c r="BX61" s="3"/>
      <c r="BY61" s="3"/>
      <c r="BZ61" s="3"/>
      <c r="CA61" s="3"/>
      <c r="CB61" s="3"/>
      <c r="CC61" s="3"/>
      <c r="CE61" s="3"/>
      <c r="CF61" s="3"/>
      <c r="CG61" s="3"/>
      <c r="CH61" s="3"/>
      <c r="CI61" s="3"/>
      <c r="CJ61" s="3"/>
      <c r="CK61" s="3"/>
      <c r="CL61" s="3"/>
      <c r="CN61" s="3"/>
      <c r="CO61" s="3"/>
      <c r="CP61" s="3"/>
      <c r="CQ61" s="3"/>
      <c r="CR61" s="3"/>
      <c r="CS61" s="3"/>
      <c r="CT61" s="3"/>
      <c r="CU61" s="3"/>
      <c r="CW61" s="3"/>
      <c r="CX61" s="3"/>
      <c r="CY61" s="3"/>
      <c r="CZ61" s="3"/>
      <c r="DA61" s="3"/>
      <c r="DB61" s="3"/>
      <c r="DC61" s="3"/>
      <c r="DD61" s="3"/>
      <c r="DF61" s="3"/>
      <c r="DG61" s="3"/>
      <c r="DH61" s="3"/>
      <c r="DI61" s="3"/>
      <c r="DJ61" s="3"/>
      <c r="DK61" s="3"/>
      <c r="DL61" s="3"/>
      <c r="DM61" s="3"/>
      <c r="DO61" s="3"/>
      <c r="DP61" s="3"/>
      <c r="DQ61" s="3"/>
      <c r="DR61" s="3"/>
      <c r="DS61" s="3"/>
      <c r="DT61" s="3"/>
      <c r="DU61" s="3"/>
      <c r="DV61" s="3"/>
      <c r="DX61" s="3"/>
      <c r="DY61" s="3"/>
      <c r="DZ61" s="3"/>
      <c r="EA61" s="3"/>
      <c r="EB61" s="3"/>
      <c r="EC61" s="3"/>
      <c r="ED61" s="3"/>
      <c r="EE61" s="3"/>
      <c r="EG61" s="3"/>
      <c r="EH61" s="3"/>
      <c r="EI61" s="3"/>
      <c r="EJ61" s="3"/>
      <c r="EK61" s="3"/>
      <c r="EL61" s="3"/>
      <c r="EM61" s="3"/>
      <c r="EN61" s="3"/>
      <c r="EP61" s="3"/>
      <c r="EQ61" s="3"/>
      <c r="ER61" s="3"/>
      <c r="ES61" s="3"/>
      <c r="ET61" s="3"/>
      <c r="EU61" s="3"/>
      <c r="EV61" s="3"/>
      <c r="EW61" s="3"/>
    </row>
    <row r="62" spans="1:153" ht="28.5" customHeight="1" x14ac:dyDescent="0.3">
      <c r="A62" s="793"/>
      <c r="B62" s="794"/>
      <c r="C62" s="794"/>
      <c r="D62" s="794"/>
      <c r="E62" s="794"/>
      <c r="F62" s="794"/>
      <c r="G62" s="794"/>
      <c r="H62" s="795"/>
      <c r="I62" s="797">
        <v>7</v>
      </c>
      <c r="J62" s="1807"/>
      <c r="K62" s="1807"/>
      <c r="L62" s="1807"/>
      <c r="M62" s="1808"/>
      <c r="N62" s="906"/>
      <c r="O62" s="902"/>
      <c r="P62" s="874"/>
      <c r="Q62" s="874"/>
      <c r="R62" s="512">
        <f t="shared" si="69"/>
        <v>0</v>
      </c>
      <c r="S62" s="334">
        <f t="shared" ref="S62:S75" si="73">IFERROR(O62*N62,"")</f>
        <v>0</v>
      </c>
      <c r="T62" s="759" t="str">
        <f t="shared" si="72"/>
        <v/>
      </c>
      <c r="U62" s="907"/>
      <c r="V62" s="796">
        <f t="shared" si="71"/>
        <v>0</v>
      </c>
      <c r="X62" s="4"/>
      <c r="Y62" s="4"/>
      <c r="Z62" s="748"/>
      <c r="AA62" s="510"/>
      <c r="AC62" s="4"/>
      <c r="AD62" s="4"/>
      <c r="AE62" s="748"/>
      <c r="AF62" s="510"/>
      <c r="AG62" s="510"/>
      <c r="AH62" s="510"/>
      <c r="AI62" s="510"/>
      <c r="AK62" s="1546">
        <f t="shared" si="68"/>
        <v>0</v>
      </c>
      <c r="AL62" s="1546">
        <f t="shared" si="67"/>
        <v>0</v>
      </c>
      <c r="AM62" s="1546">
        <f t="shared" si="67"/>
        <v>0</v>
      </c>
      <c r="AN62" s="1546">
        <f t="shared" si="67"/>
        <v>0</v>
      </c>
      <c r="AO62" s="1546">
        <f t="shared" si="67"/>
        <v>0</v>
      </c>
      <c r="AP62" s="1546">
        <f t="shared" si="67"/>
        <v>0</v>
      </c>
      <c r="AQ62" s="1546">
        <f t="shared" si="67"/>
        <v>0</v>
      </c>
      <c r="AR62" s="1546">
        <f t="shared" si="67"/>
        <v>0</v>
      </c>
      <c r="AS62" s="1546">
        <f t="shared" si="67"/>
        <v>0</v>
      </c>
      <c r="AT62" s="1546">
        <f t="shared" si="67"/>
        <v>0</v>
      </c>
      <c r="AU62" s="1546">
        <f t="shared" si="67"/>
        <v>0</v>
      </c>
      <c r="AV62" s="1546">
        <f t="shared" si="67"/>
        <v>0</v>
      </c>
      <c r="AW62" s="1546">
        <f t="shared" si="67"/>
        <v>0</v>
      </c>
      <c r="AX62" s="1546">
        <f t="shared" si="67"/>
        <v>0</v>
      </c>
      <c r="AY62" s="1546">
        <f t="shared" si="67"/>
        <v>0</v>
      </c>
      <c r="AZ62" s="1546">
        <f t="shared" si="67"/>
        <v>0</v>
      </c>
      <c r="BA62" s="1546">
        <f t="shared" si="29"/>
        <v>1</v>
      </c>
      <c r="BC62" s="1271"/>
      <c r="BD62" s="1271"/>
      <c r="BE62" s="1271"/>
      <c r="BF62" s="1271"/>
      <c r="BG62" s="1271"/>
      <c r="BH62" s="1271"/>
      <c r="BI62" s="1271"/>
      <c r="BJ62" s="1271"/>
      <c r="BK62" s="1271"/>
      <c r="BL62" s="1271"/>
      <c r="BM62" s="1271"/>
      <c r="BN62" s="1271"/>
      <c r="BO62" s="1271"/>
      <c r="BP62" s="1271"/>
      <c r="BQ62" s="1271"/>
      <c r="BR62" s="1271"/>
      <c r="BS62" s="1271"/>
      <c r="BT62" s="1271"/>
      <c r="BV62" s="3"/>
      <c r="BW62" s="3"/>
      <c r="BX62" s="3"/>
      <c r="BY62" s="3"/>
      <c r="BZ62" s="3"/>
      <c r="CA62" s="3"/>
      <c r="CB62" s="3"/>
      <c r="CC62" s="3"/>
      <c r="CE62" s="3"/>
      <c r="CF62" s="3"/>
      <c r="CG62" s="3"/>
      <c r="CH62" s="3"/>
      <c r="CI62" s="3"/>
      <c r="CJ62" s="3"/>
      <c r="CK62" s="3"/>
      <c r="CL62" s="3"/>
      <c r="CN62" s="3"/>
      <c r="CO62" s="3"/>
      <c r="CP62" s="3"/>
      <c r="CQ62" s="3"/>
      <c r="CR62" s="3"/>
      <c r="CS62" s="3"/>
      <c r="CT62" s="3"/>
      <c r="CU62" s="3"/>
      <c r="CW62" s="3"/>
      <c r="CX62" s="3"/>
      <c r="CY62" s="3"/>
      <c r="CZ62" s="3"/>
      <c r="DA62" s="3"/>
      <c r="DB62" s="3"/>
      <c r="DC62" s="3"/>
      <c r="DD62" s="3"/>
      <c r="DF62" s="3"/>
      <c r="DG62" s="3"/>
      <c r="DH62" s="3"/>
      <c r="DI62" s="3"/>
      <c r="DJ62" s="3"/>
      <c r="DK62" s="3"/>
      <c r="DL62" s="3"/>
      <c r="DM62" s="3"/>
      <c r="DO62" s="3"/>
      <c r="DP62" s="3"/>
      <c r="DQ62" s="3"/>
      <c r="DR62" s="3"/>
      <c r="DS62" s="3"/>
      <c r="DT62" s="3"/>
      <c r="DU62" s="3"/>
      <c r="DV62" s="3"/>
      <c r="DX62" s="3"/>
      <c r="DY62" s="3"/>
      <c r="DZ62" s="3"/>
      <c r="EA62" s="3"/>
      <c r="EB62" s="3"/>
      <c r="EC62" s="3"/>
      <c r="ED62" s="3"/>
      <c r="EE62" s="3"/>
      <c r="EG62" s="3"/>
      <c r="EH62" s="3"/>
      <c r="EI62" s="3"/>
      <c r="EJ62" s="3"/>
      <c r="EK62" s="3"/>
      <c r="EL62" s="3"/>
      <c r="EM62" s="3"/>
      <c r="EN62" s="3"/>
      <c r="EP62" s="3"/>
      <c r="EQ62" s="3"/>
      <c r="ER62" s="3"/>
      <c r="ES62" s="3"/>
      <c r="ET62" s="3"/>
      <c r="EU62" s="3"/>
      <c r="EV62" s="3"/>
      <c r="EW62" s="3"/>
    </row>
    <row r="63" spans="1:153" ht="28.5" customHeight="1" x14ac:dyDescent="0.3">
      <c r="A63" s="793"/>
      <c r="B63" s="794"/>
      <c r="C63" s="794"/>
      <c r="D63" s="794"/>
      <c r="E63" s="794"/>
      <c r="F63" s="794"/>
      <c r="G63" s="794"/>
      <c r="H63" s="795"/>
      <c r="I63" s="797">
        <v>8</v>
      </c>
      <c r="J63" s="1807"/>
      <c r="K63" s="1807"/>
      <c r="L63" s="1807"/>
      <c r="M63" s="1808"/>
      <c r="N63" s="906"/>
      <c r="O63" s="902"/>
      <c r="P63" s="874"/>
      <c r="Q63" s="874"/>
      <c r="R63" s="512">
        <f t="shared" si="69"/>
        <v>0</v>
      </c>
      <c r="S63" s="334">
        <f t="shared" si="73"/>
        <v>0</v>
      </c>
      <c r="T63" s="759" t="str">
        <f t="shared" si="72"/>
        <v/>
      </c>
      <c r="U63" s="907"/>
      <c r="V63" s="796">
        <f t="shared" si="71"/>
        <v>0</v>
      </c>
      <c r="X63" s="4"/>
      <c r="Y63" s="4"/>
      <c r="Z63" s="748"/>
      <c r="AA63" s="510"/>
      <c r="AC63" s="4"/>
      <c r="AD63" s="4"/>
      <c r="AE63" s="748"/>
      <c r="AF63" s="510"/>
      <c r="AG63" s="510"/>
      <c r="AH63" s="510"/>
      <c r="AI63" s="510"/>
      <c r="AK63" s="1546">
        <f t="shared" si="68"/>
        <v>0</v>
      </c>
      <c r="AL63" s="1546">
        <f t="shared" si="67"/>
        <v>0</v>
      </c>
      <c r="AM63" s="1546">
        <f t="shared" si="67"/>
        <v>0</v>
      </c>
      <c r="AN63" s="1546">
        <f t="shared" si="67"/>
        <v>0</v>
      </c>
      <c r="AO63" s="1546">
        <f t="shared" si="67"/>
        <v>0</v>
      </c>
      <c r="AP63" s="1546">
        <f t="shared" si="67"/>
        <v>0</v>
      </c>
      <c r="AQ63" s="1546">
        <f t="shared" si="67"/>
        <v>0</v>
      </c>
      <c r="AR63" s="1546">
        <f t="shared" si="67"/>
        <v>0</v>
      </c>
      <c r="AS63" s="1546">
        <f t="shared" si="67"/>
        <v>0</v>
      </c>
      <c r="AT63" s="1546">
        <f t="shared" si="67"/>
        <v>0</v>
      </c>
      <c r="AU63" s="1546">
        <f t="shared" si="67"/>
        <v>0</v>
      </c>
      <c r="AV63" s="1546">
        <f t="shared" si="67"/>
        <v>0</v>
      </c>
      <c r="AW63" s="1546">
        <f t="shared" si="67"/>
        <v>0</v>
      </c>
      <c r="AX63" s="1546">
        <f t="shared" si="67"/>
        <v>0</v>
      </c>
      <c r="AY63" s="1546">
        <f t="shared" si="67"/>
        <v>0</v>
      </c>
      <c r="AZ63" s="1546">
        <f t="shared" si="67"/>
        <v>0</v>
      </c>
      <c r="BA63" s="1546">
        <f t="shared" si="29"/>
        <v>1</v>
      </c>
      <c r="BC63" s="1271"/>
      <c r="BD63" s="1271"/>
      <c r="BE63" s="1271"/>
      <c r="BF63" s="1271"/>
      <c r="BG63" s="1271"/>
      <c r="BH63" s="1271"/>
      <c r="BI63" s="1271"/>
      <c r="BJ63" s="1271"/>
      <c r="BK63" s="1271"/>
      <c r="BL63" s="1271"/>
      <c r="BM63" s="1271"/>
      <c r="BN63" s="1271"/>
      <c r="BO63" s="1271"/>
      <c r="BP63" s="1271"/>
      <c r="BQ63" s="1271"/>
      <c r="BR63" s="1271"/>
      <c r="BS63" s="1271"/>
      <c r="BT63" s="1271"/>
      <c r="BV63" s="3"/>
      <c r="BW63" s="3"/>
      <c r="BX63" s="3"/>
      <c r="BY63" s="3"/>
      <c r="BZ63" s="3"/>
      <c r="CA63" s="3"/>
      <c r="CB63" s="3"/>
      <c r="CC63" s="3"/>
      <c r="CE63" s="3"/>
      <c r="CF63" s="3"/>
      <c r="CG63" s="3"/>
      <c r="CH63" s="3"/>
      <c r="CI63" s="3"/>
      <c r="CJ63" s="3"/>
      <c r="CK63" s="3"/>
      <c r="CL63" s="3"/>
      <c r="CN63" s="3"/>
      <c r="CO63" s="3"/>
      <c r="CP63" s="3"/>
      <c r="CQ63" s="3"/>
      <c r="CR63" s="3"/>
      <c r="CS63" s="3"/>
      <c r="CT63" s="3"/>
      <c r="CU63" s="3"/>
      <c r="CW63" s="3"/>
      <c r="CX63" s="3"/>
      <c r="CY63" s="3"/>
      <c r="CZ63" s="3"/>
      <c r="DA63" s="3"/>
      <c r="DB63" s="3"/>
      <c r="DC63" s="3"/>
      <c r="DD63" s="3"/>
      <c r="DF63" s="3"/>
      <c r="DG63" s="3"/>
      <c r="DH63" s="3"/>
      <c r="DI63" s="3"/>
      <c r="DJ63" s="3"/>
      <c r="DK63" s="3"/>
      <c r="DL63" s="3"/>
      <c r="DM63" s="3"/>
      <c r="DO63" s="3"/>
      <c r="DP63" s="3"/>
      <c r="DQ63" s="3"/>
      <c r="DR63" s="3"/>
      <c r="DS63" s="3"/>
      <c r="DT63" s="3"/>
      <c r="DU63" s="3"/>
      <c r="DV63" s="3"/>
      <c r="DX63" s="3"/>
      <c r="DY63" s="3"/>
      <c r="DZ63" s="3"/>
      <c r="EA63" s="3"/>
      <c r="EB63" s="3"/>
      <c r="EC63" s="3"/>
      <c r="ED63" s="3"/>
      <c r="EE63" s="3"/>
      <c r="EG63" s="3"/>
      <c r="EH63" s="3"/>
      <c r="EI63" s="3"/>
      <c r="EJ63" s="3"/>
      <c r="EK63" s="3"/>
      <c r="EL63" s="3"/>
      <c r="EM63" s="3"/>
      <c r="EN63" s="3"/>
      <c r="EP63" s="3"/>
      <c r="EQ63" s="3"/>
      <c r="ER63" s="3"/>
      <c r="ES63" s="3"/>
      <c r="ET63" s="3"/>
      <c r="EU63" s="3"/>
      <c r="EV63" s="3"/>
      <c r="EW63" s="3"/>
    </row>
    <row r="64" spans="1:153" ht="28.5" customHeight="1" x14ac:dyDescent="0.3">
      <c r="A64" s="793"/>
      <c r="B64" s="794"/>
      <c r="C64" s="794"/>
      <c r="D64" s="794"/>
      <c r="E64" s="794"/>
      <c r="F64" s="794"/>
      <c r="G64" s="794"/>
      <c r="H64" s="795"/>
      <c r="I64" s="797">
        <v>9</v>
      </c>
      <c r="J64" s="1807"/>
      <c r="K64" s="1807"/>
      <c r="L64" s="1807"/>
      <c r="M64" s="1808"/>
      <c r="N64" s="906"/>
      <c r="O64" s="902"/>
      <c r="P64" s="874"/>
      <c r="Q64" s="874"/>
      <c r="R64" s="512">
        <f t="shared" si="69"/>
        <v>0</v>
      </c>
      <c r="S64" s="334">
        <f t="shared" si="73"/>
        <v>0</v>
      </c>
      <c r="T64" s="759" t="str">
        <f t="shared" si="72"/>
        <v/>
      </c>
      <c r="U64" s="907"/>
      <c r="V64" s="796">
        <f t="shared" si="71"/>
        <v>0</v>
      </c>
      <c r="X64" s="4"/>
      <c r="Y64" s="4"/>
      <c r="Z64" s="748"/>
      <c r="AA64" s="510"/>
      <c r="AC64" s="4"/>
      <c r="AD64" s="4"/>
      <c r="AE64" s="748"/>
      <c r="AF64" s="510"/>
      <c r="AG64" s="510"/>
      <c r="AH64" s="510"/>
      <c r="AI64" s="510"/>
      <c r="AK64" s="1546">
        <f t="shared" si="68"/>
        <v>0</v>
      </c>
      <c r="AL64" s="1546">
        <f t="shared" si="67"/>
        <v>0</v>
      </c>
      <c r="AM64" s="1546">
        <f t="shared" si="67"/>
        <v>0</v>
      </c>
      <c r="AN64" s="1546">
        <f t="shared" si="67"/>
        <v>0</v>
      </c>
      <c r="AO64" s="1546">
        <f t="shared" si="67"/>
        <v>0</v>
      </c>
      <c r="AP64" s="1546">
        <f t="shared" si="67"/>
        <v>0</v>
      </c>
      <c r="AQ64" s="1546">
        <f t="shared" si="67"/>
        <v>0</v>
      </c>
      <c r="AR64" s="1546">
        <f t="shared" si="67"/>
        <v>0</v>
      </c>
      <c r="AS64" s="1546">
        <f t="shared" si="67"/>
        <v>0</v>
      </c>
      <c r="AT64" s="1546">
        <f t="shared" si="67"/>
        <v>0</v>
      </c>
      <c r="AU64" s="1546">
        <f t="shared" si="67"/>
        <v>0</v>
      </c>
      <c r="AV64" s="1546">
        <f t="shared" si="67"/>
        <v>0</v>
      </c>
      <c r="AW64" s="1546">
        <f t="shared" si="67"/>
        <v>0</v>
      </c>
      <c r="AX64" s="1546">
        <f t="shared" si="67"/>
        <v>0</v>
      </c>
      <c r="AY64" s="1546">
        <f t="shared" si="67"/>
        <v>0</v>
      </c>
      <c r="AZ64" s="1546">
        <f t="shared" si="67"/>
        <v>0</v>
      </c>
      <c r="BA64" s="1546">
        <f t="shared" si="29"/>
        <v>1</v>
      </c>
      <c r="BC64" s="1271"/>
      <c r="BD64" s="1271"/>
      <c r="BE64" s="1271"/>
      <c r="BF64" s="1271"/>
      <c r="BG64" s="1271"/>
      <c r="BH64" s="1271"/>
      <c r="BI64" s="1271"/>
      <c r="BJ64" s="1271"/>
      <c r="BK64" s="1271"/>
      <c r="BL64" s="1271"/>
      <c r="BM64" s="1271"/>
      <c r="BN64" s="1271"/>
      <c r="BO64" s="1271"/>
      <c r="BP64" s="1271"/>
      <c r="BQ64" s="1271"/>
      <c r="BR64" s="1271"/>
      <c r="BS64" s="1271"/>
      <c r="BT64" s="1271"/>
      <c r="BV64" s="3"/>
      <c r="BW64" s="3"/>
      <c r="BX64" s="3"/>
      <c r="BY64" s="3"/>
      <c r="BZ64" s="3"/>
      <c r="CA64" s="3"/>
      <c r="CB64" s="3"/>
      <c r="CC64" s="3"/>
      <c r="CE64" s="3"/>
      <c r="CF64" s="3"/>
      <c r="CG64" s="3"/>
      <c r="CH64" s="3"/>
      <c r="CI64" s="3"/>
      <c r="CJ64" s="3"/>
      <c r="CK64" s="3"/>
      <c r="CL64" s="3"/>
      <c r="CN64" s="3"/>
      <c r="CO64" s="3"/>
      <c r="CP64" s="3"/>
      <c r="CQ64" s="3"/>
      <c r="CR64" s="3"/>
      <c r="CS64" s="3"/>
      <c r="CT64" s="3"/>
      <c r="CU64" s="3"/>
      <c r="CW64" s="3"/>
      <c r="CX64" s="3"/>
      <c r="CY64" s="3"/>
      <c r="CZ64" s="3"/>
      <c r="DA64" s="3"/>
      <c r="DB64" s="3"/>
      <c r="DC64" s="3"/>
      <c r="DD64" s="3"/>
      <c r="DF64" s="3"/>
      <c r="DG64" s="3"/>
      <c r="DH64" s="3"/>
      <c r="DI64" s="3"/>
      <c r="DJ64" s="3"/>
      <c r="DK64" s="3"/>
      <c r="DL64" s="3"/>
      <c r="DM64" s="3"/>
      <c r="DO64" s="3"/>
      <c r="DP64" s="3"/>
      <c r="DQ64" s="3"/>
      <c r="DR64" s="3"/>
      <c r="DS64" s="3"/>
      <c r="DT64" s="3"/>
      <c r="DU64" s="3"/>
      <c r="DV64" s="3"/>
      <c r="DX64" s="3"/>
      <c r="DY64" s="3"/>
      <c r="DZ64" s="3"/>
      <c r="EA64" s="3"/>
      <c r="EB64" s="3"/>
      <c r="EC64" s="3"/>
      <c r="ED64" s="3"/>
      <c r="EE64" s="3"/>
      <c r="EG64" s="3"/>
      <c r="EH64" s="3"/>
      <c r="EI64" s="3"/>
      <c r="EJ64" s="3"/>
      <c r="EK64" s="3"/>
      <c r="EL64" s="3"/>
      <c r="EM64" s="3"/>
      <c r="EN64" s="3"/>
      <c r="EP64" s="3"/>
      <c r="EQ64" s="3"/>
      <c r="ER64" s="3"/>
      <c r="ES64" s="3"/>
      <c r="ET64" s="3"/>
      <c r="EU64" s="3"/>
      <c r="EV64" s="3"/>
      <c r="EW64" s="3"/>
    </row>
    <row r="65" spans="1:153" ht="28.5" customHeight="1" x14ac:dyDescent="0.3">
      <c r="A65" s="793"/>
      <c r="B65" s="794"/>
      <c r="C65" s="794"/>
      <c r="D65" s="794"/>
      <c r="E65" s="794"/>
      <c r="F65" s="794"/>
      <c r="G65" s="794"/>
      <c r="H65" s="795"/>
      <c r="I65" s="797">
        <v>10</v>
      </c>
      <c r="J65" s="1807"/>
      <c r="K65" s="1807"/>
      <c r="L65" s="1807"/>
      <c r="M65" s="1808"/>
      <c r="N65" s="906"/>
      <c r="O65" s="902"/>
      <c r="P65" s="874"/>
      <c r="Q65" s="874"/>
      <c r="R65" s="512">
        <f t="shared" si="69"/>
        <v>0</v>
      </c>
      <c r="S65" s="334">
        <f t="shared" si="73"/>
        <v>0</v>
      </c>
      <c r="T65" s="759" t="str">
        <f t="shared" si="72"/>
        <v/>
      </c>
      <c r="U65" s="907"/>
      <c r="V65" s="796">
        <f t="shared" si="71"/>
        <v>0</v>
      </c>
      <c r="X65" s="4"/>
      <c r="Y65" s="4"/>
      <c r="Z65" s="748"/>
      <c r="AA65" s="510"/>
      <c r="AC65" s="4"/>
      <c r="AD65" s="4"/>
      <c r="AE65" s="748"/>
      <c r="AF65" s="510"/>
      <c r="AG65" s="510"/>
      <c r="AH65" s="510"/>
      <c r="AI65" s="510"/>
      <c r="AK65" s="1546">
        <f t="shared" si="68"/>
        <v>0</v>
      </c>
      <c r="AL65" s="1546">
        <f t="shared" si="67"/>
        <v>0</v>
      </c>
      <c r="AM65" s="1546">
        <f t="shared" si="67"/>
        <v>0</v>
      </c>
      <c r="AN65" s="1546">
        <f t="shared" si="67"/>
        <v>0</v>
      </c>
      <c r="AO65" s="1546">
        <f t="shared" si="67"/>
        <v>0</v>
      </c>
      <c r="AP65" s="1546">
        <f t="shared" si="67"/>
        <v>0</v>
      </c>
      <c r="AQ65" s="1546">
        <f t="shared" si="67"/>
        <v>0</v>
      </c>
      <c r="AR65" s="1546">
        <f t="shared" si="67"/>
        <v>0</v>
      </c>
      <c r="AS65" s="1546">
        <f t="shared" si="67"/>
        <v>0</v>
      </c>
      <c r="AT65" s="1546">
        <f t="shared" si="67"/>
        <v>0</v>
      </c>
      <c r="AU65" s="1546">
        <f t="shared" si="67"/>
        <v>0</v>
      </c>
      <c r="AV65" s="1546">
        <f t="shared" si="67"/>
        <v>0</v>
      </c>
      <c r="AW65" s="1546">
        <f t="shared" si="67"/>
        <v>0</v>
      </c>
      <c r="AX65" s="1546">
        <f t="shared" si="67"/>
        <v>0</v>
      </c>
      <c r="AY65" s="1546">
        <f t="shared" si="67"/>
        <v>0</v>
      </c>
      <c r="AZ65" s="1546">
        <f t="shared" si="67"/>
        <v>0</v>
      </c>
      <c r="BA65" s="1546">
        <f t="shared" si="29"/>
        <v>1</v>
      </c>
      <c r="BC65" s="1271"/>
      <c r="BD65" s="1271"/>
      <c r="BE65" s="1271"/>
      <c r="BF65" s="1271"/>
      <c r="BG65" s="1271"/>
      <c r="BH65" s="1271"/>
      <c r="BI65" s="1271"/>
      <c r="BJ65" s="1271"/>
      <c r="BK65" s="1271"/>
      <c r="BL65" s="1271"/>
      <c r="BM65" s="1271"/>
      <c r="BN65" s="1271"/>
      <c r="BO65" s="1271"/>
      <c r="BP65" s="1271"/>
      <c r="BQ65" s="1271"/>
      <c r="BR65" s="1271"/>
      <c r="BS65" s="1271"/>
      <c r="BT65" s="1271"/>
      <c r="BV65" s="3"/>
      <c r="BW65" s="3"/>
      <c r="BX65" s="3"/>
      <c r="BY65" s="3"/>
      <c r="BZ65" s="3"/>
      <c r="CA65" s="3"/>
      <c r="CB65" s="3"/>
      <c r="CC65" s="3"/>
      <c r="CE65" s="3"/>
      <c r="CF65" s="3"/>
      <c r="CG65" s="3"/>
      <c r="CH65" s="3"/>
      <c r="CI65" s="3"/>
      <c r="CJ65" s="3"/>
      <c r="CK65" s="3"/>
      <c r="CL65" s="3"/>
      <c r="CN65" s="3"/>
      <c r="CO65" s="3"/>
      <c r="CP65" s="3"/>
      <c r="CQ65" s="3"/>
      <c r="CR65" s="3"/>
      <c r="CS65" s="3"/>
      <c r="CT65" s="3"/>
      <c r="CU65" s="3"/>
      <c r="CW65" s="3"/>
      <c r="CX65" s="3"/>
      <c r="CY65" s="3"/>
      <c r="CZ65" s="3"/>
      <c r="DA65" s="3"/>
      <c r="DB65" s="3"/>
      <c r="DC65" s="3"/>
      <c r="DD65" s="3"/>
      <c r="DF65" s="3"/>
      <c r="DG65" s="3"/>
      <c r="DH65" s="3"/>
      <c r="DI65" s="3"/>
      <c r="DJ65" s="3"/>
      <c r="DK65" s="3"/>
      <c r="DL65" s="3"/>
      <c r="DM65" s="3"/>
      <c r="DO65" s="3"/>
      <c r="DP65" s="3"/>
      <c r="DQ65" s="3"/>
      <c r="DR65" s="3"/>
      <c r="DS65" s="3"/>
      <c r="DT65" s="3"/>
      <c r="DU65" s="3"/>
      <c r="DV65" s="3"/>
      <c r="DX65" s="3"/>
      <c r="DY65" s="3"/>
      <c r="DZ65" s="3"/>
      <c r="EA65" s="3"/>
      <c r="EB65" s="3"/>
      <c r="EC65" s="3"/>
      <c r="ED65" s="3"/>
      <c r="EE65" s="3"/>
      <c r="EG65" s="3"/>
      <c r="EH65" s="3"/>
      <c r="EI65" s="3"/>
      <c r="EJ65" s="3"/>
      <c r="EK65" s="3"/>
      <c r="EL65" s="3"/>
      <c r="EM65" s="3"/>
      <c r="EN65" s="3"/>
      <c r="EP65" s="3"/>
      <c r="EQ65" s="3"/>
      <c r="ER65" s="3"/>
      <c r="ES65" s="3"/>
      <c r="ET65" s="3"/>
      <c r="EU65" s="3"/>
      <c r="EV65" s="3"/>
      <c r="EW65" s="3"/>
    </row>
    <row r="66" spans="1:153" ht="28.5" customHeight="1" x14ac:dyDescent="0.3">
      <c r="A66" s="793"/>
      <c r="B66" s="794"/>
      <c r="C66" s="794"/>
      <c r="D66" s="794"/>
      <c r="E66" s="794"/>
      <c r="F66" s="794"/>
      <c r="G66" s="794"/>
      <c r="H66" s="795"/>
      <c r="I66" s="797">
        <v>11</v>
      </c>
      <c r="J66" s="1807"/>
      <c r="K66" s="1807"/>
      <c r="L66" s="1807"/>
      <c r="M66" s="1808"/>
      <c r="N66" s="906"/>
      <c r="O66" s="902"/>
      <c r="P66" s="874"/>
      <c r="Q66" s="874"/>
      <c r="R66" s="512">
        <f t="shared" si="69"/>
        <v>0</v>
      </c>
      <c r="S66" s="334">
        <f t="shared" si="73"/>
        <v>0</v>
      </c>
      <c r="T66" s="759" t="str">
        <f t="shared" si="72"/>
        <v/>
      </c>
      <c r="U66" s="907"/>
      <c r="V66" s="796">
        <f t="shared" si="71"/>
        <v>0</v>
      </c>
      <c r="X66" s="4"/>
      <c r="Y66" s="4"/>
      <c r="Z66" s="748"/>
      <c r="AA66" s="510"/>
      <c r="AC66" s="4"/>
      <c r="AD66" s="4"/>
      <c r="AE66" s="748"/>
      <c r="AF66" s="510"/>
      <c r="AG66" s="510"/>
      <c r="AH66" s="510"/>
      <c r="AI66" s="510"/>
      <c r="AK66" s="1546">
        <f t="shared" si="68"/>
        <v>0</v>
      </c>
      <c r="AL66" s="1546">
        <f t="shared" si="67"/>
        <v>0</v>
      </c>
      <c r="AM66" s="1546">
        <f t="shared" si="67"/>
        <v>0</v>
      </c>
      <c r="AN66" s="1546">
        <f t="shared" si="67"/>
        <v>0</v>
      </c>
      <c r="AO66" s="1546">
        <f t="shared" si="67"/>
        <v>0</v>
      </c>
      <c r="AP66" s="1546">
        <f t="shared" si="67"/>
        <v>0</v>
      </c>
      <c r="AQ66" s="1546">
        <f t="shared" si="67"/>
        <v>0</v>
      </c>
      <c r="AR66" s="1546">
        <f t="shared" si="67"/>
        <v>0</v>
      </c>
      <c r="AS66" s="1546">
        <f t="shared" si="67"/>
        <v>0</v>
      </c>
      <c r="AT66" s="1546">
        <f t="shared" si="67"/>
        <v>0</v>
      </c>
      <c r="AU66" s="1546">
        <f t="shared" si="67"/>
        <v>0</v>
      </c>
      <c r="AV66" s="1546">
        <f t="shared" si="67"/>
        <v>0</v>
      </c>
      <c r="AW66" s="1546">
        <f t="shared" si="67"/>
        <v>0</v>
      </c>
      <c r="AX66" s="1546">
        <f t="shared" si="67"/>
        <v>0</v>
      </c>
      <c r="AY66" s="1546">
        <f t="shared" si="67"/>
        <v>0</v>
      </c>
      <c r="AZ66" s="1546">
        <f t="shared" si="67"/>
        <v>0</v>
      </c>
      <c r="BA66" s="1546">
        <f t="shared" si="29"/>
        <v>1</v>
      </c>
      <c r="BC66" s="1271"/>
      <c r="BD66" s="1271"/>
      <c r="BE66" s="1271"/>
      <c r="BF66" s="1271"/>
      <c r="BG66" s="1271"/>
      <c r="BH66" s="1271"/>
      <c r="BI66" s="1271"/>
      <c r="BJ66" s="1271"/>
      <c r="BK66" s="1271"/>
      <c r="BL66" s="1271"/>
      <c r="BM66" s="1271"/>
      <c r="BN66" s="1271"/>
      <c r="BO66" s="1271"/>
      <c r="BP66" s="1271"/>
      <c r="BQ66" s="1271"/>
      <c r="BR66" s="1271"/>
      <c r="BS66" s="1271"/>
      <c r="BT66" s="1271"/>
      <c r="BV66" s="3"/>
      <c r="BW66" s="3"/>
      <c r="BX66" s="3"/>
      <c r="BY66" s="3"/>
      <c r="BZ66" s="3"/>
      <c r="CA66" s="3"/>
      <c r="CB66" s="3"/>
      <c r="CC66" s="3"/>
      <c r="CE66" s="3"/>
      <c r="CF66" s="3"/>
      <c r="CG66" s="3"/>
      <c r="CH66" s="3"/>
      <c r="CI66" s="3"/>
      <c r="CJ66" s="3"/>
      <c r="CK66" s="3"/>
      <c r="CL66" s="3"/>
      <c r="CN66" s="3"/>
      <c r="CO66" s="3"/>
      <c r="CP66" s="3"/>
      <c r="CQ66" s="3"/>
      <c r="CR66" s="3"/>
      <c r="CS66" s="3"/>
      <c r="CT66" s="3"/>
      <c r="CU66" s="3"/>
      <c r="CW66" s="3"/>
      <c r="CX66" s="3"/>
      <c r="CY66" s="3"/>
      <c r="CZ66" s="3"/>
      <c r="DA66" s="3"/>
      <c r="DB66" s="3"/>
      <c r="DC66" s="3"/>
      <c r="DD66" s="3"/>
      <c r="DF66" s="3"/>
      <c r="DG66" s="3"/>
      <c r="DH66" s="3"/>
      <c r="DI66" s="3"/>
      <c r="DJ66" s="3"/>
      <c r="DK66" s="3"/>
      <c r="DL66" s="3"/>
      <c r="DM66" s="3"/>
      <c r="DO66" s="3"/>
      <c r="DP66" s="3"/>
      <c r="DQ66" s="3"/>
      <c r="DR66" s="3"/>
      <c r="DS66" s="3"/>
      <c r="DT66" s="3"/>
      <c r="DU66" s="3"/>
      <c r="DV66" s="3"/>
      <c r="DX66" s="3"/>
      <c r="DY66" s="3"/>
      <c r="DZ66" s="3"/>
      <c r="EA66" s="3"/>
      <c r="EB66" s="3"/>
      <c r="EC66" s="3"/>
      <c r="ED66" s="3"/>
      <c r="EE66" s="3"/>
      <c r="EG66" s="3"/>
      <c r="EH66" s="3"/>
      <c r="EI66" s="3"/>
      <c r="EJ66" s="3"/>
      <c r="EK66" s="3"/>
      <c r="EL66" s="3"/>
      <c r="EM66" s="3"/>
      <c r="EN66" s="3"/>
      <c r="EP66" s="3"/>
      <c r="EQ66" s="3"/>
      <c r="ER66" s="3"/>
      <c r="ES66" s="3"/>
      <c r="ET66" s="3"/>
      <c r="EU66" s="3"/>
      <c r="EV66" s="3"/>
      <c r="EW66" s="3"/>
    </row>
    <row r="67" spans="1:153" ht="28.5" customHeight="1" x14ac:dyDescent="0.3">
      <c r="A67" s="793"/>
      <c r="B67" s="794"/>
      <c r="C67" s="794"/>
      <c r="D67" s="794"/>
      <c r="E67" s="794"/>
      <c r="F67" s="794"/>
      <c r="G67" s="794"/>
      <c r="H67" s="795"/>
      <c r="I67" s="797">
        <v>12</v>
      </c>
      <c r="J67" s="1807"/>
      <c r="K67" s="1807"/>
      <c r="L67" s="1807"/>
      <c r="M67" s="1808"/>
      <c r="N67" s="906"/>
      <c r="O67" s="902"/>
      <c r="P67" s="874"/>
      <c r="Q67" s="874"/>
      <c r="R67" s="512">
        <f t="shared" si="69"/>
        <v>0</v>
      </c>
      <c r="S67" s="334">
        <f t="shared" si="73"/>
        <v>0</v>
      </c>
      <c r="T67" s="759" t="str">
        <f t="shared" si="72"/>
        <v/>
      </c>
      <c r="U67" s="907"/>
      <c r="V67" s="796">
        <f t="shared" si="71"/>
        <v>0</v>
      </c>
      <c r="X67" s="4"/>
      <c r="Y67" s="4"/>
      <c r="Z67" s="748"/>
      <c r="AA67" s="510"/>
      <c r="AC67" s="4"/>
      <c r="AD67" s="4"/>
      <c r="AE67" s="748"/>
      <c r="AF67" s="510"/>
      <c r="AG67" s="510"/>
      <c r="AH67" s="510"/>
      <c r="AI67" s="510"/>
      <c r="AK67" s="1546">
        <f t="shared" si="68"/>
        <v>0</v>
      </c>
      <c r="AL67" s="1546">
        <f t="shared" si="67"/>
        <v>0</v>
      </c>
      <c r="AM67" s="1546">
        <f t="shared" si="67"/>
        <v>0</v>
      </c>
      <c r="AN67" s="1546">
        <f t="shared" si="67"/>
        <v>0</v>
      </c>
      <c r="AO67" s="1546">
        <f t="shared" si="67"/>
        <v>0</v>
      </c>
      <c r="AP67" s="1546">
        <f t="shared" si="67"/>
        <v>0</v>
      </c>
      <c r="AQ67" s="1546">
        <f t="shared" si="67"/>
        <v>0</v>
      </c>
      <c r="AR67" s="1546">
        <f t="shared" si="67"/>
        <v>0</v>
      </c>
      <c r="AS67" s="1546">
        <f t="shared" si="67"/>
        <v>0</v>
      </c>
      <c r="AT67" s="1546">
        <f t="shared" si="67"/>
        <v>0</v>
      </c>
      <c r="AU67" s="1546">
        <f t="shared" si="67"/>
        <v>0</v>
      </c>
      <c r="AV67" s="1546">
        <f t="shared" si="67"/>
        <v>0</v>
      </c>
      <c r="AW67" s="1546">
        <f t="shared" si="67"/>
        <v>0</v>
      </c>
      <c r="AX67" s="1546">
        <f t="shared" si="67"/>
        <v>0</v>
      </c>
      <c r="AY67" s="1546">
        <f t="shared" si="67"/>
        <v>0</v>
      </c>
      <c r="AZ67" s="1546">
        <f t="shared" ref="AL67:AZ75" si="74">IF(AZ$3="X",0,IF($P67=AZ$3,1,0))</f>
        <v>0</v>
      </c>
      <c r="BA67" s="1546">
        <f t="shared" si="29"/>
        <v>1</v>
      </c>
      <c r="BC67" s="1271"/>
      <c r="BD67" s="1271"/>
      <c r="BE67" s="1271"/>
      <c r="BF67" s="1271"/>
      <c r="BG67" s="1271"/>
      <c r="BH67" s="1271"/>
      <c r="BI67" s="1271"/>
      <c r="BJ67" s="1271"/>
      <c r="BK67" s="1271"/>
      <c r="BL67" s="1271"/>
      <c r="BM67" s="1271"/>
      <c r="BN67" s="1271"/>
      <c r="BO67" s="1271"/>
      <c r="BP67" s="1271"/>
      <c r="BQ67" s="1271"/>
      <c r="BR67" s="1271"/>
      <c r="BS67" s="1271"/>
      <c r="BT67" s="1271"/>
      <c r="BV67" s="3"/>
      <c r="BW67" s="3"/>
      <c r="BX67" s="3"/>
      <c r="BY67" s="3"/>
      <c r="BZ67" s="3"/>
      <c r="CA67" s="3"/>
      <c r="CB67" s="3"/>
      <c r="CC67" s="3"/>
      <c r="CE67" s="3"/>
      <c r="CF67" s="3"/>
      <c r="CG67" s="3"/>
      <c r="CH67" s="3"/>
      <c r="CI67" s="3"/>
      <c r="CJ67" s="3"/>
      <c r="CK67" s="3"/>
      <c r="CL67" s="3"/>
      <c r="CN67" s="3"/>
      <c r="CO67" s="3"/>
      <c r="CP67" s="3"/>
      <c r="CQ67" s="3"/>
      <c r="CR67" s="3"/>
      <c r="CS67" s="3"/>
      <c r="CT67" s="3"/>
      <c r="CU67" s="3"/>
      <c r="CW67" s="3"/>
      <c r="CX67" s="3"/>
      <c r="CY67" s="3"/>
      <c r="CZ67" s="3"/>
      <c r="DA67" s="3"/>
      <c r="DB67" s="3"/>
      <c r="DC67" s="3"/>
      <c r="DD67" s="3"/>
      <c r="DF67" s="3"/>
      <c r="DG67" s="3"/>
      <c r="DH67" s="3"/>
      <c r="DI67" s="3"/>
      <c r="DJ67" s="3"/>
      <c r="DK67" s="3"/>
      <c r="DL67" s="3"/>
      <c r="DM67" s="3"/>
      <c r="DO67" s="3"/>
      <c r="DP67" s="3"/>
      <c r="DQ67" s="3"/>
      <c r="DR67" s="3"/>
      <c r="DS67" s="3"/>
      <c r="DT67" s="3"/>
      <c r="DU67" s="3"/>
      <c r="DV67" s="3"/>
      <c r="DX67" s="3"/>
      <c r="DY67" s="3"/>
      <c r="DZ67" s="3"/>
      <c r="EA67" s="3"/>
      <c r="EB67" s="3"/>
      <c r="EC67" s="3"/>
      <c r="ED67" s="3"/>
      <c r="EE67" s="3"/>
      <c r="EG67" s="3"/>
      <c r="EH67" s="3"/>
      <c r="EI67" s="3"/>
      <c r="EJ67" s="3"/>
      <c r="EK67" s="3"/>
      <c r="EL67" s="3"/>
      <c r="EM67" s="3"/>
      <c r="EN67" s="3"/>
      <c r="EP67" s="3"/>
      <c r="EQ67" s="3"/>
      <c r="ER67" s="3"/>
      <c r="ES67" s="3"/>
      <c r="ET67" s="3"/>
      <c r="EU67" s="3"/>
      <c r="EV67" s="3"/>
      <c r="EW67" s="3"/>
    </row>
    <row r="68" spans="1:153" ht="28.5" customHeight="1" x14ac:dyDescent="0.3">
      <c r="A68" s="793"/>
      <c r="B68" s="794"/>
      <c r="C68" s="794"/>
      <c r="D68" s="794"/>
      <c r="E68" s="794"/>
      <c r="F68" s="794"/>
      <c r="G68" s="794"/>
      <c r="H68" s="795"/>
      <c r="I68" s="797">
        <v>13</v>
      </c>
      <c r="J68" s="1807"/>
      <c r="K68" s="1807"/>
      <c r="L68" s="1807"/>
      <c r="M68" s="1808"/>
      <c r="N68" s="906"/>
      <c r="O68" s="902"/>
      <c r="P68" s="874"/>
      <c r="Q68" s="874"/>
      <c r="R68" s="512">
        <f t="shared" si="69"/>
        <v>0</v>
      </c>
      <c r="S68" s="334">
        <f t="shared" si="73"/>
        <v>0</v>
      </c>
      <c r="T68" s="759" t="str">
        <f t="shared" si="72"/>
        <v/>
      </c>
      <c r="U68" s="907"/>
      <c r="V68" s="796">
        <f t="shared" si="71"/>
        <v>0</v>
      </c>
      <c r="X68" s="4"/>
      <c r="Y68" s="4"/>
      <c r="Z68" s="748"/>
      <c r="AA68" s="510"/>
      <c r="AC68" s="4"/>
      <c r="AD68" s="4"/>
      <c r="AE68" s="748"/>
      <c r="AF68" s="510"/>
      <c r="AG68" s="510"/>
      <c r="AH68" s="510"/>
      <c r="AI68" s="510"/>
      <c r="AK68" s="1546">
        <f t="shared" si="68"/>
        <v>0</v>
      </c>
      <c r="AL68" s="1546">
        <f t="shared" si="74"/>
        <v>0</v>
      </c>
      <c r="AM68" s="1546">
        <f t="shared" si="74"/>
        <v>0</v>
      </c>
      <c r="AN68" s="1546">
        <f t="shared" si="74"/>
        <v>0</v>
      </c>
      <c r="AO68" s="1546">
        <f t="shared" si="74"/>
        <v>0</v>
      </c>
      <c r="AP68" s="1546">
        <f t="shared" si="74"/>
        <v>0</v>
      </c>
      <c r="AQ68" s="1546">
        <f t="shared" si="74"/>
        <v>0</v>
      </c>
      <c r="AR68" s="1546">
        <f t="shared" si="74"/>
        <v>0</v>
      </c>
      <c r="AS68" s="1546">
        <f t="shared" si="74"/>
        <v>0</v>
      </c>
      <c r="AT68" s="1546">
        <f t="shared" si="74"/>
        <v>0</v>
      </c>
      <c r="AU68" s="1546">
        <f t="shared" si="74"/>
        <v>0</v>
      </c>
      <c r="AV68" s="1546">
        <f t="shared" si="74"/>
        <v>0</v>
      </c>
      <c r="AW68" s="1546">
        <f t="shared" si="74"/>
        <v>0</v>
      </c>
      <c r="AX68" s="1546">
        <f t="shared" si="74"/>
        <v>0</v>
      </c>
      <c r="AY68" s="1546">
        <f t="shared" si="74"/>
        <v>0</v>
      </c>
      <c r="AZ68" s="1546">
        <f t="shared" si="74"/>
        <v>0</v>
      </c>
      <c r="BA68" s="1546">
        <f t="shared" si="29"/>
        <v>1</v>
      </c>
      <c r="BC68" s="1271"/>
      <c r="BD68" s="1271"/>
      <c r="BE68" s="1271"/>
      <c r="BF68" s="1271"/>
      <c r="BG68" s="1271"/>
      <c r="BH68" s="1271"/>
      <c r="BI68" s="1271"/>
      <c r="BJ68" s="1271"/>
      <c r="BK68" s="1271"/>
      <c r="BL68" s="1271"/>
      <c r="BM68" s="1271"/>
      <c r="BN68" s="1271"/>
      <c r="BO68" s="1271"/>
      <c r="BP68" s="1271"/>
      <c r="BQ68" s="1271"/>
      <c r="BR68" s="1271"/>
      <c r="BS68" s="1271"/>
      <c r="BT68" s="1271"/>
      <c r="BV68" s="3"/>
      <c r="BW68" s="3"/>
      <c r="BX68" s="3"/>
      <c r="BY68" s="3"/>
      <c r="BZ68" s="3"/>
      <c r="CA68" s="3"/>
      <c r="CB68" s="3"/>
      <c r="CC68" s="3"/>
      <c r="CE68" s="3"/>
      <c r="CF68" s="3"/>
      <c r="CG68" s="3"/>
      <c r="CH68" s="3"/>
      <c r="CI68" s="3"/>
      <c r="CJ68" s="3"/>
      <c r="CK68" s="3"/>
      <c r="CL68" s="3"/>
      <c r="CN68" s="3"/>
      <c r="CO68" s="3"/>
      <c r="CP68" s="3"/>
      <c r="CQ68" s="3"/>
      <c r="CR68" s="3"/>
      <c r="CS68" s="3"/>
      <c r="CT68" s="3"/>
      <c r="CU68" s="3"/>
      <c r="CW68" s="3"/>
      <c r="CX68" s="3"/>
      <c r="CY68" s="3"/>
      <c r="CZ68" s="3"/>
      <c r="DA68" s="3"/>
      <c r="DB68" s="3"/>
      <c r="DC68" s="3"/>
      <c r="DD68" s="3"/>
      <c r="DF68" s="3"/>
      <c r="DG68" s="3"/>
      <c r="DH68" s="3"/>
      <c r="DI68" s="3"/>
      <c r="DJ68" s="3"/>
      <c r="DK68" s="3"/>
      <c r="DL68" s="3"/>
      <c r="DM68" s="3"/>
      <c r="DO68" s="3"/>
      <c r="DP68" s="3"/>
      <c r="DQ68" s="3"/>
      <c r="DR68" s="3"/>
      <c r="DS68" s="3"/>
      <c r="DT68" s="3"/>
      <c r="DU68" s="3"/>
      <c r="DV68" s="3"/>
      <c r="DX68" s="3"/>
      <c r="DY68" s="3"/>
      <c r="DZ68" s="3"/>
      <c r="EA68" s="3"/>
      <c r="EB68" s="3"/>
      <c r="EC68" s="3"/>
      <c r="ED68" s="3"/>
      <c r="EE68" s="3"/>
      <c r="EG68" s="3"/>
      <c r="EH68" s="3"/>
      <c r="EI68" s="3"/>
      <c r="EJ68" s="3"/>
      <c r="EK68" s="3"/>
      <c r="EL68" s="3"/>
      <c r="EM68" s="3"/>
      <c r="EN68" s="3"/>
      <c r="EP68" s="3"/>
      <c r="EQ68" s="3"/>
      <c r="ER68" s="3"/>
      <c r="ES68" s="3"/>
      <c r="ET68" s="3"/>
      <c r="EU68" s="3"/>
      <c r="EV68" s="3"/>
      <c r="EW68" s="3"/>
    </row>
    <row r="69" spans="1:153" ht="28.5" customHeight="1" x14ac:dyDescent="0.3">
      <c r="A69" s="793"/>
      <c r="B69" s="794"/>
      <c r="C69" s="794"/>
      <c r="D69" s="794"/>
      <c r="E69" s="794"/>
      <c r="F69" s="794"/>
      <c r="G69" s="794"/>
      <c r="H69" s="795"/>
      <c r="I69" s="797">
        <v>14</v>
      </c>
      <c r="J69" s="1807"/>
      <c r="K69" s="1807"/>
      <c r="L69" s="1807"/>
      <c r="M69" s="1808"/>
      <c r="N69" s="906"/>
      <c r="O69" s="902"/>
      <c r="P69" s="874"/>
      <c r="Q69" s="874"/>
      <c r="R69" s="512">
        <f t="shared" si="69"/>
        <v>0</v>
      </c>
      <c r="S69" s="334">
        <f t="shared" si="73"/>
        <v>0</v>
      </c>
      <c r="T69" s="759" t="str">
        <f t="shared" si="72"/>
        <v/>
      </c>
      <c r="U69" s="907"/>
      <c r="V69" s="796">
        <f t="shared" si="71"/>
        <v>0</v>
      </c>
      <c r="X69" s="4"/>
      <c r="Y69" s="4"/>
      <c r="Z69" s="748"/>
      <c r="AA69" s="510"/>
      <c r="AC69" s="4"/>
      <c r="AD69" s="4"/>
      <c r="AE69" s="748"/>
      <c r="AF69" s="510"/>
      <c r="AG69" s="510"/>
      <c r="AH69" s="510"/>
      <c r="AI69" s="510"/>
      <c r="AK69" s="1546">
        <f t="shared" si="68"/>
        <v>0</v>
      </c>
      <c r="AL69" s="1546">
        <f t="shared" si="74"/>
        <v>0</v>
      </c>
      <c r="AM69" s="1546">
        <f t="shared" si="74"/>
        <v>0</v>
      </c>
      <c r="AN69" s="1546">
        <f t="shared" si="74"/>
        <v>0</v>
      </c>
      <c r="AO69" s="1546">
        <f t="shared" si="74"/>
        <v>0</v>
      </c>
      <c r="AP69" s="1546">
        <f t="shared" si="74"/>
        <v>0</v>
      </c>
      <c r="AQ69" s="1546">
        <f t="shared" si="74"/>
        <v>0</v>
      </c>
      <c r="AR69" s="1546">
        <f t="shared" si="74"/>
        <v>0</v>
      </c>
      <c r="AS69" s="1546">
        <f t="shared" si="74"/>
        <v>0</v>
      </c>
      <c r="AT69" s="1546">
        <f t="shared" si="74"/>
        <v>0</v>
      </c>
      <c r="AU69" s="1546">
        <f t="shared" si="74"/>
        <v>0</v>
      </c>
      <c r="AV69" s="1546">
        <f t="shared" si="74"/>
        <v>0</v>
      </c>
      <c r="AW69" s="1546">
        <f t="shared" si="74"/>
        <v>0</v>
      </c>
      <c r="AX69" s="1546">
        <f t="shared" si="74"/>
        <v>0</v>
      </c>
      <c r="AY69" s="1546">
        <f t="shared" si="74"/>
        <v>0</v>
      </c>
      <c r="AZ69" s="1546">
        <f t="shared" si="74"/>
        <v>0</v>
      </c>
      <c r="BA69" s="1546">
        <f t="shared" ref="BA69:BA75" si="75">IF(BA$3="X",0,IF($P69="",1,0))</f>
        <v>1</v>
      </c>
      <c r="BC69" s="1271"/>
      <c r="BD69" s="1271"/>
      <c r="BE69" s="1271"/>
      <c r="BF69" s="1271"/>
      <c r="BG69" s="1271"/>
      <c r="BH69" s="1271"/>
      <c r="BI69" s="1271"/>
      <c r="BJ69" s="1271"/>
      <c r="BK69" s="1271"/>
      <c r="BL69" s="1271"/>
      <c r="BM69" s="1271"/>
      <c r="BN69" s="1271"/>
      <c r="BO69" s="1271"/>
      <c r="BP69" s="1271"/>
      <c r="BQ69" s="1271"/>
      <c r="BR69" s="1271"/>
      <c r="BS69" s="1271"/>
      <c r="BT69" s="1271"/>
      <c r="BV69" s="3"/>
      <c r="BW69" s="3"/>
      <c r="BX69" s="3"/>
      <c r="BY69" s="3"/>
      <c r="BZ69" s="3"/>
      <c r="CA69" s="3"/>
      <c r="CB69" s="3"/>
      <c r="CC69" s="3"/>
      <c r="CE69" s="3"/>
      <c r="CF69" s="3"/>
      <c r="CG69" s="3"/>
      <c r="CH69" s="3"/>
      <c r="CI69" s="3"/>
      <c r="CJ69" s="3"/>
      <c r="CK69" s="3"/>
      <c r="CL69" s="3"/>
      <c r="CN69" s="3"/>
      <c r="CO69" s="3"/>
      <c r="CP69" s="3"/>
      <c r="CQ69" s="3"/>
      <c r="CR69" s="3"/>
      <c r="CS69" s="3"/>
      <c r="CT69" s="3"/>
      <c r="CU69" s="3"/>
      <c r="CW69" s="3"/>
      <c r="CX69" s="3"/>
      <c r="CY69" s="3"/>
      <c r="CZ69" s="3"/>
      <c r="DA69" s="3"/>
      <c r="DB69" s="3"/>
      <c r="DC69" s="3"/>
      <c r="DD69" s="3"/>
      <c r="DF69" s="3"/>
      <c r="DG69" s="3"/>
      <c r="DH69" s="3"/>
      <c r="DI69" s="3"/>
      <c r="DJ69" s="3"/>
      <c r="DK69" s="3"/>
      <c r="DL69" s="3"/>
      <c r="DM69" s="3"/>
      <c r="DO69" s="3"/>
      <c r="DP69" s="3"/>
      <c r="DQ69" s="3"/>
      <c r="DR69" s="3"/>
      <c r="DS69" s="3"/>
      <c r="DT69" s="3"/>
      <c r="DU69" s="3"/>
      <c r="DV69" s="3"/>
      <c r="DX69" s="3"/>
      <c r="DY69" s="3"/>
      <c r="DZ69" s="3"/>
      <c r="EA69" s="3"/>
      <c r="EB69" s="3"/>
      <c r="EC69" s="3"/>
      <c r="ED69" s="3"/>
      <c r="EE69" s="3"/>
      <c r="EG69" s="3"/>
      <c r="EH69" s="3"/>
      <c r="EI69" s="3"/>
      <c r="EJ69" s="3"/>
      <c r="EK69" s="3"/>
      <c r="EL69" s="3"/>
      <c r="EM69" s="3"/>
      <c r="EN69" s="3"/>
      <c r="EP69" s="3"/>
      <c r="EQ69" s="3"/>
      <c r="ER69" s="3"/>
      <c r="ES69" s="3"/>
      <c r="ET69" s="3"/>
      <c r="EU69" s="3"/>
      <c r="EV69" s="3"/>
      <c r="EW69" s="3"/>
    </row>
    <row r="70" spans="1:153" ht="28.5" customHeight="1" x14ac:dyDescent="0.3">
      <c r="A70" s="793"/>
      <c r="B70" s="794"/>
      <c r="C70" s="794"/>
      <c r="D70" s="794"/>
      <c r="E70" s="794"/>
      <c r="F70" s="794"/>
      <c r="G70" s="794"/>
      <c r="H70" s="795"/>
      <c r="I70" s="797">
        <v>15</v>
      </c>
      <c r="J70" s="1807"/>
      <c r="K70" s="1807"/>
      <c r="L70" s="1807"/>
      <c r="M70" s="1808"/>
      <c r="N70" s="906"/>
      <c r="O70" s="902"/>
      <c r="P70" s="874"/>
      <c r="Q70" s="874"/>
      <c r="R70" s="512">
        <f t="shared" si="69"/>
        <v>0</v>
      </c>
      <c r="S70" s="334">
        <f t="shared" si="73"/>
        <v>0</v>
      </c>
      <c r="T70" s="759" t="str">
        <f t="shared" si="72"/>
        <v/>
      </c>
      <c r="U70" s="907"/>
      <c r="V70" s="796">
        <f t="shared" si="71"/>
        <v>0</v>
      </c>
      <c r="X70" s="4"/>
      <c r="Y70" s="4"/>
      <c r="Z70" s="748"/>
      <c r="AA70" s="510"/>
      <c r="AC70" s="4"/>
      <c r="AD70" s="4"/>
      <c r="AE70" s="748"/>
      <c r="AF70" s="510"/>
      <c r="AG70" s="510"/>
      <c r="AH70" s="510"/>
      <c r="AI70" s="510"/>
      <c r="AK70" s="1546">
        <f t="shared" si="68"/>
        <v>0</v>
      </c>
      <c r="AL70" s="1546">
        <f t="shared" si="74"/>
        <v>0</v>
      </c>
      <c r="AM70" s="1546">
        <f t="shared" si="74"/>
        <v>0</v>
      </c>
      <c r="AN70" s="1546">
        <f t="shared" si="74"/>
        <v>0</v>
      </c>
      <c r="AO70" s="1546">
        <f t="shared" si="74"/>
        <v>0</v>
      </c>
      <c r="AP70" s="1546">
        <f t="shared" si="74"/>
        <v>0</v>
      </c>
      <c r="AQ70" s="1546">
        <f t="shared" si="74"/>
        <v>0</v>
      </c>
      <c r="AR70" s="1546">
        <f t="shared" si="74"/>
        <v>0</v>
      </c>
      <c r="AS70" s="1546">
        <f t="shared" si="74"/>
        <v>0</v>
      </c>
      <c r="AT70" s="1546">
        <f t="shared" si="74"/>
        <v>0</v>
      </c>
      <c r="AU70" s="1546">
        <f t="shared" si="74"/>
        <v>0</v>
      </c>
      <c r="AV70" s="1546">
        <f t="shared" si="74"/>
        <v>0</v>
      </c>
      <c r="AW70" s="1546">
        <f t="shared" si="74"/>
        <v>0</v>
      </c>
      <c r="AX70" s="1546">
        <f t="shared" si="74"/>
        <v>0</v>
      </c>
      <c r="AY70" s="1546">
        <f t="shared" si="74"/>
        <v>0</v>
      </c>
      <c r="AZ70" s="1546">
        <f t="shared" si="74"/>
        <v>0</v>
      </c>
      <c r="BA70" s="1546">
        <f t="shared" si="75"/>
        <v>1</v>
      </c>
      <c r="BC70" s="1271"/>
      <c r="BD70" s="1271"/>
      <c r="BE70" s="1271"/>
      <c r="BF70" s="1271"/>
      <c r="BG70" s="1271"/>
      <c r="BH70" s="1271"/>
      <c r="BI70" s="1271"/>
      <c r="BJ70" s="1271"/>
      <c r="BK70" s="1271"/>
      <c r="BL70" s="1271"/>
      <c r="BM70" s="1271"/>
      <c r="BN70" s="1271"/>
      <c r="BO70" s="1271"/>
      <c r="BP70" s="1271"/>
      <c r="BQ70" s="1271"/>
      <c r="BR70" s="1271"/>
      <c r="BS70" s="1271"/>
      <c r="BT70" s="1271"/>
      <c r="BV70" s="3"/>
      <c r="BW70" s="3"/>
      <c r="BX70" s="3"/>
      <c r="BY70" s="3"/>
      <c r="BZ70" s="3"/>
      <c r="CA70" s="3"/>
      <c r="CB70" s="3"/>
      <c r="CC70" s="3"/>
      <c r="CE70" s="3"/>
      <c r="CF70" s="3"/>
      <c r="CG70" s="3"/>
      <c r="CH70" s="3"/>
      <c r="CI70" s="3"/>
      <c r="CJ70" s="3"/>
      <c r="CK70" s="3"/>
      <c r="CL70" s="3"/>
      <c r="CN70" s="3"/>
      <c r="CO70" s="3"/>
      <c r="CP70" s="3"/>
      <c r="CQ70" s="3"/>
      <c r="CR70" s="3"/>
      <c r="CS70" s="3"/>
      <c r="CT70" s="3"/>
      <c r="CU70" s="3"/>
      <c r="CW70" s="3"/>
      <c r="CX70" s="3"/>
      <c r="CY70" s="3"/>
      <c r="CZ70" s="3"/>
      <c r="DA70" s="3"/>
      <c r="DB70" s="3"/>
      <c r="DC70" s="3"/>
      <c r="DD70" s="3"/>
      <c r="DF70" s="3"/>
      <c r="DG70" s="3"/>
      <c r="DH70" s="3"/>
      <c r="DI70" s="3"/>
      <c r="DJ70" s="3"/>
      <c r="DK70" s="3"/>
      <c r="DL70" s="3"/>
      <c r="DM70" s="3"/>
      <c r="DO70" s="3"/>
      <c r="DP70" s="3"/>
      <c r="DQ70" s="3"/>
      <c r="DR70" s="3"/>
      <c r="DS70" s="3"/>
      <c r="DT70" s="3"/>
      <c r="DU70" s="3"/>
      <c r="DV70" s="3"/>
      <c r="DX70" s="3"/>
      <c r="DY70" s="3"/>
      <c r="DZ70" s="3"/>
      <c r="EA70" s="3"/>
      <c r="EB70" s="3"/>
      <c r="EC70" s="3"/>
      <c r="ED70" s="3"/>
      <c r="EE70" s="3"/>
      <c r="EG70" s="3"/>
      <c r="EH70" s="3"/>
      <c r="EI70" s="3"/>
      <c r="EJ70" s="3"/>
      <c r="EK70" s="3"/>
      <c r="EL70" s="3"/>
      <c r="EM70" s="3"/>
      <c r="EN70" s="3"/>
      <c r="EP70" s="3"/>
      <c r="EQ70" s="3"/>
      <c r="ER70" s="3"/>
      <c r="ES70" s="3"/>
      <c r="ET70" s="3"/>
      <c r="EU70" s="3"/>
      <c r="EV70" s="3"/>
      <c r="EW70" s="3"/>
    </row>
    <row r="71" spans="1:153" ht="28.5" customHeight="1" x14ac:dyDescent="0.3">
      <c r="A71" s="793"/>
      <c r="B71" s="794"/>
      <c r="C71" s="794"/>
      <c r="D71" s="794"/>
      <c r="E71" s="794"/>
      <c r="F71" s="794"/>
      <c r="G71" s="794"/>
      <c r="H71" s="795"/>
      <c r="I71" s="797">
        <v>16</v>
      </c>
      <c r="J71" s="1807"/>
      <c r="K71" s="1807"/>
      <c r="L71" s="1807"/>
      <c r="M71" s="1808"/>
      <c r="N71" s="906"/>
      <c r="O71" s="902"/>
      <c r="P71" s="874"/>
      <c r="Q71" s="874"/>
      <c r="R71" s="512">
        <f t="shared" si="69"/>
        <v>0</v>
      </c>
      <c r="S71" s="334">
        <f t="shared" si="73"/>
        <v>0</v>
      </c>
      <c r="T71" s="759" t="str">
        <f t="shared" si="72"/>
        <v/>
      </c>
      <c r="U71" s="907"/>
      <c r="V71" s="796">
        <f t="shared" si="71"/>
        <v>0</v>
      </c>
      <c r="X71" s="4"/>
      <c r="Y71" s="4"/>
      <c r="Z71" s="748"/>
      <c r="AA71" s="510"/>
      <c r="AC71" s="4"/>
      <c r="AD71" s="4"/>
      <c r="AE71" s="748"/>
      <c r="AF71" s="510"/>
      <c r="AG71" s="510"/>
      <c r="AH71" s="510"/>
      <c r="AI71" s="510"/>
      <c r="AK71" s="1546">
        <f t="shared" si="68"/>
        <v>0</v>
      </c>
      <c r="AL71" s="1546">
        <f t="shared" si="74"/>
        <v>0</v>
      </c>
      <c r="AM71" s="1546">
        <f t="shared" si="74"/>
        <v>0</v>
      </c>
      <c r="AN71" s="1546">
        <f t="shared" si="74"/>
        <v>0</v>
      </c>
      <c r="AO71" s="1546">
        <f t="shared" si="74"/>
        <v>0</v>
      </c>
      <c r="AP71" s="1546">
        <f t="shared" si="74"/>
        <v>0</v>
      </c>
      <c r="AQ71" s="1546">
        <f t="shared" si="74"/>
        <v>0</v>
      </c>
      <c r="AR71" s="1546">
        <f t="shared" si="74"/>
        <v>0</v>
      </c>
      <c r="AS71" s="1546">
        <f t="shared" si="74"/>
        <v>0</v>
      </c>
      <c r="AT71" s="1546">
        <f t="shared" si="74"/>
        <v>0</v>
      </c>
      <c r="AU71" s="1546">
        <f t="shared" si="74"/>
        <v>0</v>
      </c>
      <c r="AV71" s="1546">
        <f t="shared" si="74"/>
        <v>0</v>
      </c>
      <c r="AW71" s="1546">
        <f t="shared" si="74"/>
        <v>0</v>
      </c>
      <c r="AX71" s="1546">
        <f t="shared" si="74"/>
        <v>0</v>
      </c>
      <c r="AY71" s="1546">
        <f t="shared" si="74"/>
        <v>0</v>
      </c>
      <c r="AZ71" s="1546">
        <f t="shared" si="74"/>
        <v>0</v>
      </c>
      <c r="BA71" s="1546">
        <f t="shared" si="75"/>
        <v>1</v>
      </c>
      <c r="BC71" s="1271"/>
      <c r="BD71" s="1271"/>
      <c r="BE71" s="1271"/>
      <c r="BF71" s="1271"/>
      <c r="BG71" s="1271"/>
      <c r="BH71" s="1271"/>
      <c r="BI71" s="1271"/>
      <c r="BJ71" s="1271"/>
      <c r="BK71" s="1271"/>
      <c r="BL71" s="1271"/>
      <c r="BM71" s="1271"/>
      <c r="BN71" s="1271"/>
      <c r="BO71" s="1271"/>
      <c r="BP71" s="1271"/>
      <c r="BQ71" s="1271"/>
      <c r="BR71" s="1271"/>
      <c r="BS71" s="1271"/>
      <c r="BT71" s="1271"/>
      <c r="BV71" s="3"/>
      <c r="BW71" s="3"/>
      <c r="BX71" s="3"/>
      <c r="BY71" s="3"/>
      <c r="BZ71" s="3"/>
      <c r="CA71" s="3"/>
      <c r="CB71" s="3"/>
      <c r="CC71" s="3"/>
      <c r="CE71" s="3"/>
      <c r="CF71" s="3"/>
      <c r="CG71" s="3"/>
      <c r="CH71" s="3"/>
      <c r="CI71" s="3"/>
      <c r="CJ71" s="3"/>
      <c r="CK71" s="3"/>
      <c r="CL71" s="3"/>
      <c r="CN71" s="3"/>
      <c r="CO71" s="3"/>
      <c r="CP71" s="3"/>
      <c r="CQ71" s="3"/>
      <c r="CR71" s="3"/>
      <c r="CS71" s="3"/>
      <c r="CT71" s="3"/>
      <c r="CU71" s="3"/>
      <c r="CW71" s="3"/>
      <c r="CX71" s="3"/>
      <c r="CY71" s="3"/>
      <c r="CZ71" s="3"/>
      <c r="DA71" s="3"/>
      <c r="DB71" s="3"/>
      <c r="DC71" s="3"/>
      <c r="DD71" s="3"/>
      <c r="DF71" s="3"/>
      <c r="DG71" s="3"/>
      <c r="DH71" s="3"/>
      <c r="DI71" s="3"/>
      <c r="DJ71" s="3"/>
      <c r="DK71" s="3"/>
      <c r="DL71" s="3"/>
      <c r="DM71" s="3"/>
      <c r="DO71" s="3"/>
      <c r="DP71" s="3"/>
      <c r="DQ71" s="3"/>
      <c r="DR71" s="3"/>
      <c r="DS71" s="3"/>
      <c r="DT71" s="3"/>
      <c r="DU71" s="3"/>
      <c r="DV71" s="3"/>
      <c r="DX71" s="3"/>
      <c r="DY71" s="3"/>
      <c r="DZ71" s="3"/>
      <c r="EA71" s="3"/>
      <c r="EB71" s="3"/>
      <c r="EC71" s="3"/>
      <c r="ED71" s="3"/>
      <c r="EE71" s="3"/>
      <c r="EG71" s="3"/>
      <c r="EH71" s="3"/>
      <c r="EI71" s="3"/>
      <c r="EJ71" s="3"/>
      <c r="EK71" s="3"/>
      <c r="EL71" s="3"/>
      <c r="EM71" s="3"/>
      <c r="EN71" s="3"/>
      <c r="EP71" s="3"/>
      <c r="EQ71" s="3"/>
      <c r="ER71" s="3"/>
      <c r="ES71" s="3"/>
      <c r="ET71" s="3"/>
      <c r="EU71" s="3"/>
      <c r="EV71" s="3"/>
      <c r="EW71" s="3"/>
    </row>
    <row r="72" spans="1:153" ht="28.5" customHeight="1" x14ac:dyDescent="0.3">
      <c r="A72" s="793"/>
      <c r="B72" s="794"/>
      <c r="C72" s="794"/>
      <c r="D72" s="794"/>
      <c r="E72" s="794"/>
      <c r="F72" s="794"/>
      <c r="G72" s="794"/>
      <c r="H72" s="795"/>
      <c r="I72" s="797">
        <v>17</v>
      </c>
      <c r="J72" s="1807"/>
      <c r="K72" s="1807"/>
      <c r="L72" s="1807"/>
      <c r="M72" s="1808"/>
      <c r="N72" s="906"/>
      <c r="O72" s="902"/>
      <c r="P72" s="874"/>
      <c r="Q72" s="874"/>
      <c r="R72" s="512">
        <f t="shared" si="69"/>
        <v>0</v>
      </c>
      <c r="S72" s="334">
        <f t="shared" si="73"/>
        <v>0</v>
      </c>
      <c r="T72" s="759" t="str">
        <f t="shared" si="72"/>
        <v/>
      </c>
      <c r="U72" s="907"/>
      <c r="V72" s="796">
        <f t="shared" si="71"/>
        <v>0</v>
      </c>
      <c r="X72" s="4"/>
      <c r="Y72" s="4"/>
      <c r="Z72" s="748"/>
      <c r="AA72" s="510"/>
      <c r="AC72" s="4"/>
      <c r="AD72" s="4"/>
      <c r="AE72" s="748"/>
      <c r="AF72" s="510"/>
      <c r="AG72" s="510"/>
      <c r="AH72" s="510"/>
      <c r="AI72" s="510"/>
      <c r="AK72" s="1546">
        <f t="shared" si="68"/>
        <v>0</v>
      </c>
      <c r="AL72" s="1546">
        <f t="shared" si="74"/>
        <v>0</v>
      </c>
      <c r="AM72" s="1546">
        <f t="shared" si="74"/>
        <v>0</v>
      </c>
      <c r="AN72" s="1546">
        <f t="shared" si="74"/>
        <v>0</v>
      </c>
      <c r="AO72" s="1546">
        <f t="shared" si="74"/>
        <v>0</v>
      </c>
      <c r="AP72" s="1546">
        <f t="shared" si="74"/>
        <v>0</v>
      </c>
      <c r="AQ72" s="1546">
        <f t="shared" si="74"/>
        <v>0</v>
      </c>
      <c r="AR72" s="1546">
        <f t="shared" si="74"/>
        <v>0</v>
      </c>
      <c r="AS72" s="1546">
        <f t="shared" si="74"/>
        <v>0</v>
      </c>
      <c r="AT72" s="1546">
        <f t="shared" si="74"/>
        <v>0</v>
      </c>
      <c r="AU72" s="1546">
        <f t="shared" si="74"/>
        <v>0</v>
      </c>
      <c r="AV72" s="1546">
        <f t="shared" si="74"/>
        <v>0</v>
      </c>
      <c r="AW72" s="1546">
        <f t="shared" si="74"/>
        <v>0</v>
      </c>
      <c r="AX72" s="1546">
        <f t="shared" si="74"/>
        <v>0</v>
      </c>
      <c r="AY72" s="1546">
        <f t="shared" si="74"/>
        <v>0</v>
      </c>
      <c r="AZ72" s="1546">
        <f t="shared" si="74"/>
        <v>0</v>
      </c>
      <c r="BA72" s="1546">
        <f t="shared" si="75"/>
        <v>1</v>
      </c>
      <c r="BC72" s="1271"/>
      <c r="BD72" s="1271"/>
      <c r="BE72" s="1271"/>
      <c r="BF72" s="1271"/>
      <c r="BG72" s="1271"/>
      <c r="BH72" s="1271"/>
      <c r="BI72" s="1271"/>
      <c r="BJ72" s="1271"/>
      <c r="BK72" s="1271"/>
      <c r="BL72" s="1271"/>
      <c r="BM72" s="1271"/>
      <c r="BN72" s="1271"/>
      <c r="BO72" s="1271"/>
      <c r="BP72" s="1271"/>
      <c r="BQ72" s="1271"/>
      <c r="BR72" s="1271"/>
      <c r="BS72" s="1271"/>
      <c r="BT72" s="1271"/>
      <c r="BV72" s="3"/>
      <c r="BW72" s="3"/>
      <c r="BX72" s="3"/>
      <c r="BY72" s="3"/>
      <c r="BZ72" s="3"/>
      <c r="CA72" s="3"/>
      <c r="CB72" s="3"/>
      <c r="CC72" s="3"/>
      <c r="CE72" s="3"/>
      <c r="CF72" s="3"/>
      <c r="CG72" s="3"/>
      <c r="CH72" s="3"/>
      <c r="CI72" s="3"/>
      <c r="CJ72" s="3"/>
      <c r="CK72" s="3"/>
      <c r="CL72" s="3"/>
      <c r="CN72" s="3"/>
      <c r="CO72" s="3"/>
      <c r="CP72" s="3"/>
      <c r="CQ72" s="3"/>
      <c r="CR72" s="3"/>
      <c r="CS72" s="3"/>
      <c r="CT72" s="3"/>
      <c r="CU72" s="3"/>
      <c r="CW72" s="3"/>
      <c r="CX72" s="3"/>
      <c r="CY72" s="3"/>
      <c r="CZ72" s="3"/>
      <c r="DA72" s="3"/>
      <c r="DB72" s="3"/>
      <c r="DC72" s="3"/>
      <c r="DD72" s="3"/>
      <c r="DF72" s="3"/>
      <c r="DG72" s="3"/>
      <c r="DH72" s="3"/>
      <c r="DI72" s="3"/>
      <c r="DJ72" s="3"/>
      <c r="DK72" s="3"/>
      <c r="DL72" s="3"/>
      <c r="DM72" s="3"/>
      <c r="DO72" s="3"/>
      <c r="DP72" s="3"/>
      <c r="DQ72" s="3"/>
      <c r="DR72" s="3"/>
      <c r="DS72" s="3"/>
      <c r="DT72" s="3"/>
      <c r="DU72" s="3"/>
      <c r="DV72" s="3"/>
      <c r="DX72" s="3"/>
      <c r="DY72" s="3"/>
      <c r="DZ72" s="3"/>
      <c r="EA72" s="3"/>
      <c r="EB72" s="3"/>
      <c r="EC72" s="3"/>
      <c r="ED72" s="3"/>
      <c r="EE72" s="3"/>
      <c r="EG72" s="3"/>
      <c r="EH72" s="3"/>
      <c r="EI72" s="3"/>
      <c r="EJ72" s="3"/>
      <c r="EK72" s="3"/>
      <c r="EL72" s="3"/>
      <c r="EM72" s="3"/>
      <c r="EN72" s="3"/>
      <c r="EP72" s="3"/>
      <c r="EQ72" s="3"/>
      <c r="ER72" s="3"/>
      <c r="ES72" s="3"/>
      <c r="ET72" s="3"/>
      <c r="EU72" s="3"/>
      <c r="EV72" s="3"/>
      <c r="EW72" s="3"/>
    </row>
    <row r="73" spans="1:153" ht="28.5" customHeight="1" x14ac:dyDescent="0.3">
      <c r="A73" s="793"/>
      <c r="B73" s="794"/>
      <c r="C73" s="794"/>
      <c r="D73" s="794"/>
      <c r="E73" s="794"/>
      <c r="F73" s="794"/>
      <c r="G73" s="794"/>
      <c r="H73" s="795"/>
      <c r="I73" s="797">
        <v>18</v>
      </c>
      <c r="J73" s="1807"/>
      <c r="K73" s="1807"/>
      <c r="L73" s="1807"/>
      <c r="M73" s="1808"/>
      <c r="N73" s="906"/>
      <c r="O73" s="902"/>
      <c r="P73" s="874"/>
      <c r="Q73" s="874"/>
      <c r="R73" s="512">
        <f t="shared" si="69"/>
        <v>0</v>
      </c>
      <c r="S73" s="334">
        <f t="shared" si="73"/>
        <v>0</v>
      </c>
      <c r="T73" s="759" t="str">
        <f t="shared" si="72"/>
        <v/>
      </c>
      <c r="U73" s="907"/>
      <c r="V73" s="796">
        <f t="shared" si="71"/>
        <v>0</v>
      </c>
      <c r="X73" s="4"/>
      <c r="Y73" s="4"/>
      <c r="Z73" s="748"/>
      <c r="AA73" s="510"/>
      <c r="AC73" s="4"/>
      <c r="AD73" s="4"/>
      <c r="AE73" s="748"/>
      <c r="AF73" s="510"/>
      <c r="AG73" s="510"/>
      <c r="AH73" s="510"/>
      <c r="AI73" s="510"/>
      <c r="AK73" s="1546">
        <f t="shared" si="68"/>
        <v>0</v>
      </c>
      <c r="AL73" s="1546">
        <f t="shared" si="74"/>
        <v>0</v>
      </c>
      <c r="AM73" s="1546">
        <f t="shared" si="74"/>
        <v>0</v>
      </c>
      <c r="AN73" s="1546">
        <f t="shared" si="74"/>
        <v>0</v>
      </c>
      <c r="AO73" s="1546">
        <f t="shared" si="74"/>
        <v>0</v>
      </c>
      <c r="AP73" s="1546">
        <f t="shared" si="74"/>
        <v>0</v>
      </c>
      <c r="AQ73" s="1546">
        <f t="shared" si="74"/>
        <v>0</v>
      </c>
      <c r="AR73" s="1546">
        <f t="shared" si="74"/>
        <v>0</v>
      </c>
      <c r="AS73" s="1546">
        <f t="shared" si="74"/>
        <v>0</v>
      </c>
      <c r="AT73" s="1546">
        <f t="shared" si="74"/>
        <v>0</v>
      </c>
      <c r="AU73" s="1546">
        <f t="shared" si="74"/>
        <v>0</v>
      </c>
      <c r="AV73" s="1546">
        <f t="shared" si="74"/>
        <v>0</v>
      </c>
      <c r="AW73" s="1546">
        <f t="shared" si="74"/>
        <v>0</v>
      </c>
      <c r="AX73" s="1546">
        <f t="shared" si="74"/>
        <v>0</v>
      </c>
      <c r="AY73" s="1546">
        <f t="shared" si="74"/>
        <v>0</v>
      </c>
      <c r="AZ73" s="1546">
        <f t="shared" si="74"/>
        <v>0</v>
      </c>
      <c r="BA73" s="1546">
        <f t="shared" si="75"/>
        <v>1</v>
      </c>
      <c r="BC73" s="1271"/>
      <c r="BD73" s="1271"/>
      <c r="BE73" s="1271"/>
      <c r="BF73" s="1271"/>
      <c r="BG73" s="1271"/>
      <c r="BH73" s="1271"/>
      <c r="BI73" s="1271"/>
      <c r="BJ73" s="1271"/>
      <c r="BK73" s="1271"/>
      <c r="BL73" s="1271"/>
      <c r="BM73" s="1271"/>
      <c r="BN73" s="1271"/>
      <c r="BO73" s="1271"/>
      <c r="BP73" s="1271"/>
      <c r="BQ73" s="1271"/>
      <c r="BR73" s="1271"/>
      <c r="BS73" s="1271"/>
      <c r="BT73" s="1271"/>
      <c r="BV73" s="3"/>
      <c r="BW73" s="3"/>
      <c r="BX73" s="3"/>
      <c r="BY73" s="3"/>
      <c r="BZ73" s="3"/>
      <c r="CA73" s="3"/>
      <c r="CB73" s="3"/>
      <c r="CC73" s="3"/>
      <c r="CE73" s="3"/>
      <c r="CF73" s="3"/>
      <c r="CG73" s="3"/>
      <c r="CH73" s="3"/>
      <c r="CI73" s="3"/>
      <c r="CJ73" s="3"/>
      <c r="CK73" s="3"/>
      <c r="CL73" s="3"/>
      <c r="CN73" s="3"/>
      <c r="CO73" s="3"/>
      <c r="CP73" s="3"/>
      <c r="CQ73" s="3"/>
      <c r="CR73" s="3"/>
      <c r="CS73" s="3"/>
      <c r="CT73" s="3"/>
      <c r="CU73" s="3"/>
      <c r="CW73" s="3"/>
      <c r="CX73" s="3"/>
      <c r="CY73" s="3"/>
      <c r="CZ73" s="3"/>
      <c r="DA73" s="3"/>
      <c r="DB73" s="3"/>
      <c r="DC73" s="3"/>
      <c r="DD73" s="3"/>
      <c r="DF73" s="3"/>
      <c r="DG73" s="3"/>
      <c r="DH73" s="3"/>
      <c r="DI73" s="3"/>
      <c r="DJ73" s="3"/>
      <c r="DK73" s="3"/>
      <c r="DL73" s="3"/>
      <c r="DM73" s="3"/>
      <c r="DO73" s="3"/>
      <c r="DP73" s="3"/>
      <c r="DQ73" s="3"/>
      <c r="DR73" s="3"/>
      <c r="DS73" s="3"/>
      <c r="DT73" s="3"/>
      <c r="DU73" s="3"/>
      <c r="DV73" s="3"/>
      <c r="DX73" s="3"/>
      <c r="DY73" s="3"/>
      <c r="DZ73" s="3"/>
      <c r="EA73" s="3"/>
      <c r="EB73" s="3"/>
      <c r="EC73" s="3"/>
      <c r="ED73" s="3"/>
      <c r="EE73" s="3"/>
      <c r="EG73" s="3"/>
      <c r="EH73" s="3"/>
      <c r="EI73" s="3"/>
      <c r="EJ73" s="3"/>
      <c r="EK73" s="3"/>
      <c r="EL73" s="3"/>
      <c r="EM73" s="3"/>
      <c r="EN73" s="3"/>
      <c r="EP73" s="3"/>
      <c r="EQ73" s="3"/>
      <c r="ER73" s="3"/>
      <c r="ES73" s="3"/>
      <c r="ET73" s="3"/>
      <c r="EU73" s="3"/>
      <c r="EV73" s="3"/>
      <c r="EW73" s="3"/>
    </row>
    <row r="74" spans="1:153" ht="28.5" customHeight="1" x14ac:dyDescent="0.3">
      <c r="A74" s="793"/>
      <c r="B74" s="794"/>
      <c r="C74" s="794"/>
      <c r="D74" s="794"/>
      <c r="E74" s="794"/>
      <c r="F74" s="794"/>
      <c r="G74" s="794"/>
      <c r="H74" s="795"/>
      <c r="I74" s="797">
        <v>19</v>
      </c>
      <c r="J74" s="1807"/>
      <c r="K74" s="1807"/>
      <c r="L74" s="1807"/>
      <c r="M74" s="1808"/>
      <c r="N74" s="906"/>
      <c r="O74" s="902"/>
      <c r="P74" s="874"/>
      <c r="Q74" s="874"/>
      <c r="R74" s="512">
        <f t="shared" si="69"/>
        <v>0</v>
      </c>
      <c r="S74" s="334">
        <f t="shared" si="73"/>
        <v>0</v>
      </c>
      <c r="T74" s="759" t="str">
        <f t="shared" si="72"/>
        <v/>
      </c>
      <c r="U74" s="907"/>
      <c r="V74" s="796">
        <f t="shared" si="71"/>
        <v>0</v>
      </c>
      <c r="X74" s="4"/>
      <c r="Y74" s="4"/>
      <c r="Z74" s="748"/>
      <c r="AA74" s="510"/>
      <c r="AC74" s="4"/>
      <c r="AD74" s="4"/>
      <c r="AE74" s="748"/>
      <c r="AF74" s="510"/>
      <c r="AG74" s="510"/>
      <c r="AH74" s="510"/>
      <c r="AI74" s="510"/>
      <c r="AK74" s="1546">
        <f t="shared" si="68"/>
        <v>0</v>
      </c>
      <c r="AL74" s="1546">
        <f t="shared" si="74"/>
        <v>0</v>
      </c>
      <c r="AM74" s="1546">
        <f t="shared" si="74"/>
        <v>0</v>
      </c>
      <c r="AN74" s="1546">
        <f t="shared" si="74"/>
        <v>0</v>
      </c>
      <c r="AO74" s="1546">
        <f t="shared" si="74"/>
        <v>0</v>
      </c>
      <c r="AP74" s="1546">
        <f t="shared" si="74"/>
        <v>0</v>
      </c>
      <c r="AQ74" s="1546">
        <f t="shared" si="74"/>
        <v>0</v>
      </c>
      <c r="AR74" s="1546">
        <f t="shared" si="74"/>
        <v>0</v>
      </c>
      <c r="AS74" s="1546">
        <f t="shared" si="74"/>
        <v>0</v>
      </c>
      <c r="AT74" s="1546">
        <f t="shared" si="74"/>
        <v>0</v>
      </c>
      <c r="AU74" s="1546">
        <f t="shared" si="74"/>
        <v>0</v>
      </c>
      <c r="AV74" s="1546">
        <f t="shared" si="74"/>
        <v>0</v>
      </c>
      <c r="AW74" s="1546">
        <f t="shared" si="74"/>
        <v>0</v>
      </c>
      <c r="AX74" s="1546">
        <f t="shared" si="74"/>
        <v>0</v>
      </c>
      <c r="AY74" s="1546">
        <f t="shared" si="74"/>
        <v>0</v>
      </c>
      <c r="AZ74" s="1546">
        <f t="shared" si="74"/>
        <v>0</v>
      </c>
      <c r="BA74" s="1546">
        <f t="shared" si="75"/>
        <v>1</v>
      </c>
      <c r="BC74" s="1271"/>
      <c r="BD74" s="1271"/>
      <c r="BE74" s="1271"/>
      <c r="BF74" s="1271"/>
      <c r="BG74" s="1271"/>
      <c r="BH74" s="1271"/>
      <c r="BI74" s="1271"/>
      <c r="BJ74" s="1271"/>
      <c r="BK74" s="1271"/>
      <c r="BL74" s="1271"/>
      <c r="BM74" s="1271"/>
      <c r="BN74" s="1271"/>
      <c r="BO74" s="1271"/>
      <c r="BP74" s="1271"/>
      <c r="BQ74" s="1271"/>
      <c r="BR74" s="1271"/>
      <c r="BS74" s="1271"/>
      <c r="BT74" s="1271"/>
      <c r="BV74" s="3"/>
      <c r="BW74" s="3"/>
      <c r="BX74" s="3"/>
      <c r="BY74" s="3"/>
      <c r="BZ74" s="3"/>
      <c r="CA74" s="3"/>
      <c r="CB74" s="3"/>
      <c r="CC74" s="3"/>
      <c r="CE74" s="3"/>
      <c r="CF74" s="3"/>
      <c r="CG74" s="3"/>
      <c r="CH74" s="3"/>
      <c r="CI74" s="3"/>
      <c r="CJ74" s="3"/>
      <c r="CK74" s="3"/>
      <c r="CL74" s="3"/>
      <c r="CN74" s="3"/>
      <c r="CO74" s="3"/>
      <c r="CP74" s="3"/>
      <c r="CQ74" s="3"/>
      <c r="CR74" s="3"/>
      <c r="CS74" s="3"/>
      <c r="CT74" s="3"/>
      <c r="CU74" s="3"/>
      <c r="CW74" s="3"/>
      <c r="CX74" s="3"/>
      <c r="CY74" s="3"/>
      <c r="CZ74" s="3"/>
      <c r="DA74" s="3"/>
      <c r="DB74" s="3"/>
      <c r="DC74" s="3"/>
      <c r="DD74" s="3"/>
      <c r="DF74" s="3"/>
      <c r="DG74" s="3"/>
      <c r="DH74" s="3"/>
      <c r="DI74" s="3"/>
      <c r="DJ74" s="3"/>
      <c r="DK74" s="3"/>
      <c r="DL74" s="3"/>
      <c r="DM74" s="3"/>
      <c r="DO74" s="3"/>
      <c r="DP74" s="3"/>
      <c r="DQ74" s="3"/>
      <c r="DR74" s="3"/>
      <c r="DS74" s="3"/>
      <c r="DT74" s="3"/>
      <c r="DU74" s="3"/>
      <c r="DV74" s="3"/>
      <c r="DX74" s="3"/>
      <c r="DY74" s="3"/>
      <c r="DZ74" s="3"/>
      <c r="EA74" s="3"/>
      <c r="EB74" s="3"/>
      <c r="EC74" s="3"/>
      <c r="ED74" s="3"/>
      <c r="EE74" s="3"/>
      <c r="EG74" s="3"/>
      <c r="EH74" s="3"/>
      <c r="EI74" s="3"/>
      <c r="EJ74" s="3"/>
      <c r="EK74" s="3"/>
      <c r="EL74" s="3"/>
      <c r="EM74" s="3"/>
      <c r="EN74" s="3"/>
      <c r="EP74" s="3"/>
      <c r="EQ74" s="3"/>
      <c r="ER74" s="3"/>
      <c r="ES74" s="3"/>
      <c r="ET74" s="3"/>
      <c r="EU74" s="3"/>
      <c r="EV74" s="3"/>
      <c r="EW74" s="3"/>
    </row>
    <row r="75" spans="1:153" ht="28.5" customHeight="1" x14ac:dyDescent="0.3">
      <c r="A75" s="793"/>
      <c r="B75" s="794"/>
      <c r="C75" s="794"/>
      <c r="D75" s="794"/>
      <c r="E75" s="794"/>
      <c r="F75" s="794"/>
      <c r="G75" s="794"/>
      <c r="H75" s="795"/>
      <c r="I75" s="797">
        <v>20</v>
      </c>
      <c r="J75" s="1807"/>
      <c r="K75" s="1807"/>
      <c r="L75" s="1807"/>
      <c r="M75" s="1808"/>
      <c r="N75" s="906"/>
      <c r="O75" s="902"/>
      <c r="P75" s="874"/>
      <c r="Q75" s="874"/>
      <c r="R75" s="512">
        <f t="shared" si="69"/>
        <v>0</v>
      </c>
      <c r="S75" s="334">
        <f t="shared" si="73"/>
        <v>0</v>
      </c>
      <c r="T75" s="759" t="str">
        <f t="shared" si="72"/>
        <v/>
      </c>
      <c r="U75" s="907"/>
      <c r="V75" s="796">
        <f t="shared" si="71"/>
        <v>0</v>
      </c>
      <c r="X75" s="4"/>
      <c r="Y75" s="4"/>
      <c r="Z75" s="748"/>
      <c r="AA75" s="510"/>
      <c r="AC75" s="4"/>
      <c r="AD75" s="4"/>
      <c r="AE75" s="748"/>
      <c r="AF75" s="510"/>
      <c r="AG75" s="510"/>
      <c r="AH75" s="510"/>
      <c r="AI75" s="510"/>
      <c r="AK75" s="1546">
        <f t="shared" si="68"/>
        <v>0</v>
      </c>
      <c r="AL75" s="1546">
        <f t="shared" si="74"/>
        <v>0</v>
      </c>
      <c r="AM75" s="1546">
        <f t="shared" si="74"/>
        <v>0</v>
      </c>
      <c r="AN75" s="1546">
        <f t="shared" si="74"/>
        <v>0</v>
      </c>
      <c r="AO75" s="1546">
        <f t="shared" si="74"/>
        <v>0</v>
      </c>
      <c r="AP75" s="1546">
        <f t="shared" si="74"/>
        <v>0</v>
      </c>
      <c r="AQ75" s="1546">
        <f t="shared" si="74"/>
        <v>0</v>
      </c>
      <c r="AR75" s="1546">
        <f t="shared" si="74"/>
        <v>0</v>
      </c>
      <c r="AS75" s="1546">
        <f t="shared" si="74"/>
        <v>0</v>
      </c>
      <c r="AT75" s="1546">
        <f t="shared" si="74"/>
        <v>0</v>
      </c>
      <c r="AU75" s="1546">
        <f t="shared" si="74"/>
        <v>0</v>
      </c>
      <c r="AV75" s="1546">
        <f t="shared" si="74"/>
        <v>0</v>
      </c>
      <c r="AW75" s="1546">
        <f t="shared" si="74"/>
        <v>0</v>
      </c>
      <c r="AX75" s="1546">
        <f t="shared" si="74"/>
        <v>0</v>
      </c>
      <c r="AY75" s="1546">
        <f t="shared" si="74"/>
        <v>0</v>
      </c>
      <c r="AZ75" s="1546">
        <f t="shared" si="74"/>
        <v>0</v>
      </c>
      <c r="BA75" s="1546">
        <f t="shared" si="75"/>
        <v>1</v>
      </c>
      <c r="BC75" s="1271"/>
      <c r="BD75" s="1271"/>
      <c r="BE75" s="1271"/>
      <c r="BF75" s="1271"/>
      <c r="BG75" s="1271"/>
      <c r="BH75" s="1271"/>
      <c r="BI75" s="1271"/>
      <c r="BJ75" s="1271"/>
      <c r="BK75" s="1271"/>
      <c r="BL75" s="1271"/>
      <c r="BM75" s="1271"/>
      <c r="BN75" s="1271"/>
      <c r="BO75" s="1271"/>
      <c r="BP75" s="1271"/>
      <c r="BQ75" s="1271"/>
      <c r="BR75" s="1271"/>
      <c r="BS75" s="1271"/>
      <c r="BT75" s="1271"/>
      <c r="BV75" s="3"/>
      <c r="BW75" s="3"/>
      <c r="BX75" s="3"/>
      <c r="BY75" s="3"/>
      <c r="BZ75" s="3"/>
      <c r="CA75" s="3"/>
      <c r="CB75" s="3"/>
      <c r="CC75" s="3"/>
      <c r="CE75" s="3"/>
      <c r="CF75" s="3"/>
      <c r="CG75" s="3"/>
      <c r="CH75" s="3"/>
      <c r="CI75" s="3"/>
      <c r="CJ75" s="3"/>
      <c r="CK75" s="3"/>
      <c r="CL75" s="3"/>
      <c r="CN75" s="3"/>
      <c r="CO75" s="3"/>
      <c r="CP75" s="3"/>
      <c r="CQ75" s="3"/>
      <c r="CR75" s="3"/>
      <c r="CS75" s="3"/>
      <c r="CT75" s="3"/>
      <c r="CU75" s="3"/>
      <c r="CW75" s="3"/>
      <c r="CX75" s="3"/>
      <c r="CY75" s="3"/>
      <c r="CZ75" s="3"/>
      <c r="DA75" s="3"/>
      <c r="DB75" s="3"/>
      <c r="DC75" s="3"/>
      <c r="DD75" s="3"/>
      <c r="DF75" s="3"/>
      <c r="DG75" s="3"/>
      <c r="DH75" s="3"/>
      <c r="DI75" s="3"/>
      <c r="DJ75" s="3"/>
      <c r="DK75" s="3"/>
      <c r="DL75" s="3"/>
      <c r="DM75" s="3"/>
      <c r="DO75" s="3"/>
      <c r="DP75" s="3"/>
      <c r="DQ75" s="3"/>
      <c r="DR75" s="3"/>
      <c r="DS75" s="3"/>
      <c r="DT75" s="3"/>
      <c r="DU75" s="3"/>
      <c r="DV75" s="3"/>
      <c r="DX75" s="3"/>
      <c r="DY75" s="3"/>
      <c r="DZ75" s="3"/>
      <c r="EA75" s="3"/>
      <c r="EB75" s="3"/>
      <c r="EC75" s="3"/>
      <c r="ED75" s="3"/>
      <c r="EE75" s="3"/>
      <c r="EG75" s="3"/>
      <c r="EH75" s="3"/>
      <c r="EI75" s="3"/>
      <c r="EJ75" s="3"/>
      <c r="EK75" s="3"/>
      <c r="EL75" s="3"/>
      <c r="EM75" s="3"/>
      <c r="EN75" s="3"/>
      <c r="EP75" s="3"/>
      <c r="EQ75" s="3"/>
      <c r="ER75" s="3"/>
      <c r="ES75" s="3"/>
      <c r="ET75" s="3"/>
      <c r="EU75" s="3"/>
      <c r="EV75" s="3"/>
      <c r="EW75" s="3"/>
    </row>
  </sheetData>
  <sheetProtection algorithmName="SHA-512" hashValue="lOP6ACKSJMG2O5RkYwEPoKyNMqLbDZ+9m007W06MO3UYxl3/jwK8NrSu75XoQn+wXggpwcqDl9xmmUO/j8YbQA==" saltValue="hKqNYH2FvacFeD5Jvj075A==" spinCount="100000" sheet="1" objects="1" scenarios="1"/>
  <mergeCells count="48">
    <mergeCell ref="P31:P32"/>
    <mergeCell ref="I31:I32"/>
    <mergeCell ref="D31:D32"/>
    <mergeCell ref="D2:D3"/>
    <mergeCell ref="A31:A32"/>
    <mergeCell ref="B31:B32"/>
    <mergeCell ref="C31:C32"/>
    <mergeCell ref="E31:E32"/>
    <mergeCell ref="J31:J32"/>
    <mergeCell ref="T2:U2"/>
    <mergeCell ref="B2:B3"/>
    <mergeCell ref="A2:A3"/>
    <mergeCell ref="C2:C3"/>
    <mergeCell ref="I2:I3"/>
    <mergeCell ref="E2:E3"/>
    <mergeCell ref="F2:F3"/>
    <mergeCell ref="P2:P3"/>
    <mergeCell ref="J2:J3"/>
    <mergeCell ref="P54:P55"/>
    <mergeCell ref="A54:A55"/>
    <mergeCell ref="B54:B55"/>
    <mergeCell ref="C54:C55"/>
    <mergeCell ref="D54:D55"/>
    <mergeCell ref="E54:E55"/>
    <mergeCell ref="I54:I55"/>
    <mergeCell ref="J54:M55"/>
    <mergeCell ref="J64:M64"/>
    <mergeCell ref="J56:M56"/>
    <mergeCell ref="J57:M57"/>
    <mergeCell ref="J58:M58"/>
    <mergeCell ref="J59:M59"/>
    <mergeCell ref="J60:M60"/>
    <mergeCell ref="T31:U31"/>
    <mergeCell ref="T54:U54"/>
    <mergeCell ref="J75:M75"/>
    <mergeCell ref="J70:M70"/>
    <mergeCell ref="J71:M71"/>
    <mergeCell ref="J72:M72"/>
    <mergeCell ref="J73:M73"/>
    <mergeCell ref="J74:M74"/>
    <mergeCell ref="J65:M65"/>
    <mergeCell ref="J66:M66"/>
    <mergeCell ref="J67:M67"/>
    <mergeCell ref="J68:M68"/>
    <mergeCell ref="J69:M69"/>
    <mergeCell ref="J61:M61"/>
    <mergeCell ref="J62:M62"/>
    <mergeCell ref="J63:M63"/>
  </mergeCells>
  <conditionalFormatting sqref="A4:D16">
    <cfRule type="cellIs" dxfId="106" priority="1" operator="equal">
      <formula>0</formula>
    </cfRule>
  </conditionalFormatting>
  <conditionalFormatting sqref="A44:N52">
    <cfRule type="cellIs" dxfId="105" priority="359" operator="equal">
      <formula>0</formula>
    </cfRule>
  </conditionalFormatting>
  <conditionalFormatting sqref="A1:V1">
    <cfRule type="cellIs" dxfId="104" priority="363" operator="equal">
      <formula>0</formula>
    </cfRule>
  </conditionalFormatting>
  <conditionalFormatting sqref="A30:V30">
    <cfRule type="cellIs" dxfId="103" priority="247" operator="equal">
      <formula>0</formula>
    </cfRule>
  </conditionalFormatting>
  <conditionalFormatting sqref="A53:V53">
    <cfRule type="cellIs" dxfId="102" priority="246" operator="equal">
      <formula>0</formula>
    </cfRule>
  </conditionalFormatting>
  <conditionalFormatting sqref="B12:B13">
    <cfRule type="cellIs" dxfId="101" priority="6" operator="equal">
      <formula>0</formula>
    </cfRule>
  </conditionalFormatting>
  <conditionalFormatting sqref="B22:B26">
    <cfRule type="cellIs" dxfId="100" priority="133" operator="equal">
      <formula>0</formula>
    </cfRule>
  </conditionalFormatting>
  <conditionalFormatting sqref="B34:C36">
    <cfRule type="cellIs" dxfId="99" priority="89" operator="equal">
      <formula>0</formula>
    </cfRule>
  </conditionalFormatting>
  <conditionalFormatting sqref="B31:I32">
    <cfRule type="cellIs" dxfId="98" priority="344" operator="equal">
      <formula>0</formula>
    </cfRule>
  </conditionalFormatting>
  <conditionalFormatting sqref="B33:M33">
    <cfRule type="cellIs" dxfId="97" priority="3" operator="equal">
      <formula>0</formula>
    </cfRule>
  </conditionalFormatting>
  <conditionalFormatting sqref="B37:N43">
    <cfRule type="cellIs" dxfId="96" priority="83" operator="equal">
      <formula>0</formula>
    </cfRule>
  </conditionalFormatting>
  <conditionalFormatting sqref="C12">
    <cfRule type="cellIs" dxfId="95" priority="111" operator="equal">
      <formula>0</formula>
    </cfRule>
  </conditionalFormatting>
  <conditionalFormatting sqref="C21:E26">
    <cfRule type="cellIs" dxfId="94" priority="132" operator="equal">
      <formula>0</formula>
    </cfRule>
  </conditionalFormatting>
  <conditionalFormatting sqref="D34:M34 D35:N36">
    <cfRule type="cellIs" dxfId="93" priority="107" operator="equal">
      <formula>0</formula>
    </cfRule>
  </conditionalFormatting>
  <conditionalFormatting sqref="J4:J29">
    <cfRule type="cellIs" dxfId="92" priority="150" operator="equal">
      <formula>0</formula>
    </cfRule>
  </conditionalFormatting>
  <conditionalFormatting sqref="J31">
    <cfRule type="cellIs" dxfId="91" priority="321" operator="equal">
      <formula>0</formula>
    </cfRule>
  </conditionalFormatting>
  <conditionalFormatting sqref="J54">
    <cfRule type="cellIs" dxfId="90" priority="277" operator="equal">
      <formula>0</formula>
    </cfRule>
  </conditionalFormatting>
  <conditionalFormatting sqref="J56:J75">
    <cfRule type="cellIs" dxfId="89" priority="78" operator="equal">
      <formula>0</formula>
    </cfRule>
  </conditionalFormatting>
  <conditionalFormatting sqref="K31:O32">
    <cfRule type="cellIs" dxfId="88" priority="345" operator="equal">
      <formula>0</formula>
    </cfRule>
  </conditionalFormatting>
  <conditionalFormatting sqref="K20:R26 K27:W29 AB1:AB42 BB1:BB75 BU1:BU1048576 CD1:CD1048576 CM1:CM1048576 CV1:CV1048576 DW1:DW1048576 EX1:XFD1048576 AJ3:AJ75 U4:W26 B27:I29">
    <cfRule type="cellIs" dxfId="87" priority="156" operator="equal">
      <formula>0</formula>
    </cfRule>
  </conditionalFormatting>
  <conditionalFormatting sqref="N33:N34">
    <cfRule type="cellIs" dxfId="86" priority="66" operator="equal">
      <formula>0</formula>
    </cfRule>
  </conditionalFormatting>
  <conditionalFormatting sqref="N54:O56">
    <cfRule type="cellIs" dxfId="85" priority="76" operator="equal">
      <formula>0</formula>
    </cfRule>
  </conditionalFormatting>
  <conditionalFormatting sqref="N57:Q75">
    <cfRule type="cellIs" dxfId="84" priority="250" operator="equal">
      <formula>0</formula>
    </cfRule>
  </conditionalFormatting>
  <conditionalFormatting sqref="O33:O42">
    <cfRule type="cellIs" dxfId="83" priority="65" operator="equal">
      <formula>0</formula>
    </cfRule>
  </conditionalFormatting>
  <conditionalFormatting sqref="O43:Q52">
    <cfRule type="cellIs" dxfId="82" priority="341" operator="equal">
      <formula>0</formula>
    </cfRule>
  </conditionalFormatting>
  <conditionalFormatting sqref="O13:R19">
    <cfRule type="cellIs" dxfId="81" priority="75" operator="equal">
      <formula>0</formula>
    </cfRule>
  </conditionalFormatting>
  <conditionalFormatting sqref="O5:S12 O4">
    <cfRule type="cellIs" dxfId="80" priority="73" operator="equal">
      <formula>0</formula>
    </cfRule>
  </conditionalFormatting>
  <conditionalFormatting sqref="P34:Q42">
    <cfRule type="cellIs" dxfId="79" priority="92" operator="equal">
      <formula>0</formula>
    </cfRule>
  </conditionalFormatting>
  <conditionalFormatting sqref="P56:Q56">
    <cfRule type="cellIs" dxfId="78" priority="80" operator="equal">
      <formula>0</formula>
    </cfRule>
  </conditionalFormatting>
  <conditionalFormatting sqref="P2:R29">
    <cfRule type="cellIs" dxfId="77" priority="72" operator="equal">
      <formula>0</formula>
    </cfRule>
  </conditionalFormatting>
  <conditionalFormatting sqref="P31:R52">
    <cfRule type="cellIs" dxfId="76" priority="91" operator="equal">
      <formula>0</formula>
    </cfRule>
  </conditionalFormatting>
  <conditionalFormatting sqref="P54:R75">
    <cfRule type="cellIs" dxfId="75" priority="79" operator="equal">
      <formula>0</formula>
    </cfRule>
  </conditionalFormatting>
  <conditionalFormatting sqref="S13:T26">
    <cfRule type="cellIs" dxfId="74" priority="69" operator="equal">
      <formula>0</formula>
    </cfRule>
  </conditionalFormatting>
  <conditionalFormatting sqref="S54:V75">
    <cfRule type="cellIs" dxfId="73" priority="121" operator="equal">
      <formula>0</formula>
    </cfRule>
  </conditionalFormatting>
  <conditionalFormatting sqref="T4:T12">
    <cfRule type="cellIs" dxfId="72" priority="4" operator="equal">
      <formula>0</formula>
    </cfRule>
  </conditionalFormatting>
  <conditionalFormatting sqref="T33:T52">
    <cfRule type="cellIs" dxfId="71" priority="119" operator="equal">
      <formula>0</formula>
    </cfRule>
  </conditionalFormatting>
  <conditionalFormatting sqref="T31:U32">
    <cfRule type="cellIs" dxfId="70" priority="126" operator="equal">
      <formula>0</formula>
    </cfRule>
  </conditionalFormatting>
  <conditionalFormatting sqref="U33:U42">
    <cfRule type="cellIs" dxfId="69" priority="64" operator="equal">
      <formula>0</formula>
    </cfRule>
  </conditionalFormatting>
  <conditionalFormatting sqref="U43:AB52">
    <cfRule type="cellIs" dxfId="68" priority="317" operator="equal">
      <formula>0</formula>
    </cfRule>
  </conditionalFormatting>
  <conditionalFormatting sqref="V31:V42 S31:S52">
    <cfRule type="cellIs" dxfId="67" priority="167" operator="equal">
      <formula>0</formula>
    </cfRule>
  </conditionalFormatting>
  <conditionalFormatting sqref="W1 AJ1:AT2 A2:O2 S2:W3 A3:C3 K3:O3 E3:I16 S4:S11 K4:N19 A17:I18 A19:E20 F19:I26 A21:B21 A22:A29">
    <cfRule type="cellIs" dxfId="66" priority="365" operator="equal">
      <formula>0</formula>
    </cfRule>
  </conditionalFormatting>
  <conditionalFormatting sqref="W30:W42 A31:A43">
    <cfRule type="cellIs" dxfId="65" priority="176" operator="equal">
      <formula>0</formula>
    </cfRule>
  </conditionalFormatting>
  <conditionalFormatting sqref="W53:W75 AB53:AB75 A54:I75">
    <cfRule type="cellIs" dxfId="64" priority="266" operator="equal">
      <formula>0</formula>
    </cfRule>
  </conditionalFormatting>
  <conditionalFormatting sqref="X1:AA1">
    <cfRule type="cellIs" dxfId="63" priority="327" operator="equal">
      <formula>0</formula>
    </cfRule>
  </conditionalFormatting>
  <conditionalFormatting sqref="X2:AA29">
    <cfRule type="cellIs" dxfId="62" priority="151" operator="equal">
      <formula>0</formula>
    </cfRule>
  </conditionalFormatting>
  <conditionalFormatting sqref="X30:AA30">
    <cfRule type="cellIs" dxfId="61" priority="326" operator="equal">
      <formula>0</formula>
    </cfRule>
  </conditionalFormatting>
  <conditionalFormatting sqref="X31:AA42">
    <cfRule type="cellIs" dxfId="60" priority="172" operator="equal">
      <formula>0</formula>
    </cfRule>
  </conditionalFormatting>
  <conditionalFormatting sqref="X53:AA53">
    <cfRule type="cellIs" dxfId="59" priority="295" operator="equal">
      <formula>0</formula>
    </cfRule>
  </conditionalFormatting>
  <conditionalFormatting sqref="X54:AA75">
    <cfRule type="cellIs" dxfId="58" priority="258" operator="equal">
      <formula>0</formula>
    </cfRule>
  </conditionalFormatting>
  <conditionalFormatting sqref="AC1:AI1">
    <cfRule type="cellIs" dxfId="57" priority="223" operator="equal">
      <formula>0</formula>
    </cfRule>
  </conditionalFormatting>
  <conditionalFormatting sqref="AC2:AI29">
    <cfRule type="cellIs" dxfId="56" priority="147" operator="equal">
      <formula>0</formula>
    </cfRule>
  </conditionalFormatting>
  <conditionalFormatting sqref="AC30:AI30">
    <cfRule type="cellIs" dxfId="55" priority="210" operator="equal">
      <formula>0</formula>
    </cfRule>
  </conditionalFormatting>
  <conditionalFormatting sqref="AC31:AI52">
    <cfRule type="cellIs" dxfId="54" priority="169" operator="equal">
      <formula>0</formula>
    </cfRule>
  </conditionalFormatting>
  <conditionalFormatting sqref="AC53:AI53">
    <cfRule type="cellIs" dxfId="53" priority="219" operator="equal">
      <formula>0</formula>
    </cfRule>
  </conditionalFormatting>
  <conditionalFormatting sqref="AC54:AI75">
    <cfRule type="cellIs" dxfId="52" priority="216" operator="equal">
      <formula>0</formula>
    </cfRule>
  </conditionalFormatting>
  <conditionalFormatting sqref="AK3:BA75">
    <cfRule type="cellIs" dxfId="51" priority="112" operator="equal">
      <formula>0</formula>
    </cfRule>
  </conditionalFormatting>
  <conditionalFormatting sqref="AU1:AZ1 AU2:BA2">
    <cfRule type="cellIs" dxfId="50" priority="114" operator="equal">
      <formula>0</formula>
    </cfRule>
  </conditionalFormatting>
  <conditionalFormatting sqref="BC1:BT2 A76:BT1048576">
    <cfRule type="cellIs" dxfId="49" priority="63" operator="equal">
      <formula>0</formula>
    </cfRule>
  </conditionalFormatting>
  <conditionalFormatting sqref="BC3:BT4">
    <cfRule type="cellIs" dxfId="48" priority="61" operator="equal">
      <formula>0</formula>
    </cfRule>
  </conditionalFormatting>
  <conditionalFormatting sqref="BC4:BT75">
    <cfRule type="cellIs" dxfId="47" priority="60" operator="equal">
      <formula>0</formula>
    </cfRule>
  </conditionalFormatting>
  <conditionalFormatting sqref="BD5:BT5 BC6:BT75">
    <cfRule type="cellIs" dxfId="46" priority="62" operator="equal">
      <formula>0</formula>
    </cfRule>
  </conditionalFormatting>
  <conditionalFormatting sqref="BV1:CC2 BV76:CC1048576">
    <cfRule type="cellIs" dxfId="45" priority="58" operator="equal">
      <formula>0</formula>
    </cfRule>
  </conditionalFormatting>
  <conditionalFormatting sqref="BV3:CC75">
    <cfRule type="cellIs" dxfId="44" priority="57" operator="equal">
      <formula>0</formula>
    </cfRule>
  </conditionalFormatting>
  <conditionalFormatting sqref="CE1:CL2 CE76:CL1048576">
    <cfRule type="cellIs" dxfId="43" priority="55" operator="equal">
      <formula>0</formula>
    </cfRule>
  </conditionalFormatting>
  <conditionalFormatting sqref="CE3:CL75">
    <cfRule type="cellIs" dxfId="42" priority="14" operator="equal">
      <formula>0</formula>
    </cfRule>
  </conditionalFormatting>
  <conditionalFormatting sqref="CF4:CL4">
    <cfRule type="cellIs" dxfId="41" priority="56" operator="equal">
      <formula>0</formula>
    </cfRule>
  </conditionalFormatting>
  <conditionalFormatting sqref="CN1:CU2 CN76:CU1048576">
    <cfRule type="cellIs" dxfId="40" priority="52" operator="equal">
      <formula>0</formula>
    </cfRule>
  </conditionalFormatting>
  <conditionalFormatting sqref="CN3:CU75">
    <cfRule type="cellIs" dxfId="39" priority="13" operator="equal">
      <formula>0</formula>
    </cfRule>
  </conditionalFormatting>
  <conditionalFormatting sqref="CO4:CU4">
    <cfRule type="cellIs" dxfId="38" priority="53" operator="equal">
      <formula>0</formula>
    </cfRule>
  </conditionalFormatting>
  <conditionalFormatting sqref="CW1:DD2 CW76:DD1048576">
    <cfRule type="cellIs" dxfId="37" priority="40" operator="equal">
      <formula>0</formula>
    </cfRule>
  </conditionalFormatting>
  <conditionalFormatting sqref="CW3:DD75">
    <cfRule type="cellIs" dxfId="36" priority="12" operator="equal">
      <formula>0</formula>
    </cfRule>
  </conditionalFormatting>
  <conditionalFormatting sqref="CX4:DD4">
    <cfRule type="cellIs" dxfId="35" priority="41" operator="equal">
      <formula>0</formula>
    </cfRule>
  </conditionalFormatting>
  <conditionalFormatting sqref="DE1:DE1048576 DN1:DN1048576">
    <cfRule type="cellIs" dxfId="34" priority="42" operator="equal">
      <formula>0</formula>
    </cfRule>
  </conditionalFormatting>
  <conditionalFormatting sqref="DF1:DM2 DF76:DM1048576">
    <cfRule type="cellIs" dxfId="33" priority="37" operator="equal">
      <formula>0</formula>
    </cfRule>
  </conditionalFormatting>
  <conditionalFormatting sqref="DF3:DM75">
    <cfRule type="cellIs" dxfId="32" priority="11" operator="equal">
      <formula>0</formula>
    </cfRule>
  </conditionalFormatting>
  <conditionalFormatting sqref="DG4:DM4">
    <cfRule type="cellIs" dxfId="31" priority="38" operator="equal">
      <formula>0</formula>
    </cfRule>
  </conditionalFormatting>
  <conditionalFormatting sqref="DO1:DV2 DO76:DV1048576">
    <cfRule type="cellIs" dxfId="30" priority="34" operator="equal">
      <formula>0</formula>
    </cfRule>
  </conditionalFormatting>
  <conditionalFormatting sqref="DO3:DV75">
    <cfRule type="cellIs" dxfId="29" priority="10" operator="equal">
      <formula>0</formula>
    </cfRule>
  </conditionalFormatting>
  <conditionalFormatting sqref="DP4:DV4">
    <cfRule type="cellIs" dxfId="28" priority="35" operator="equal">
      <formula>0</formula>
    </cfRule>
  </conditionalFormatting>
  <conditionalFormatting sqref="DX1:EE2 DX76:EE1048576">
    <cfRule type="cellIs" dxfId="27" priority="22" operator="equal">
      <formula>0</formula>
    </cfRule>
  </conditionalFormatting>
  <conditionalFormatting sqref="DX3:EE75">
    <cfRule type="cellIs" dxfId="26" priority="9" operator="equal">
      <formula>0</formula>
    </cfRule>
  </conditionalFormatting>
  <conditionalFormatting sqref="DY4:EE4">
    <cfRule type="cellIs" dxfId="25" priority="23" operator="equal">
      <formula>0</formula>
    </cfRule>
  </conditionalFormatting>
  <conditionalFormatting sqref="EF1:EF1048576 EO1:EO1048576">
    <cfRule type="cellIs" dxfId="24" priority="24" operator="equal">
      <formula>0</formula>
    </cfRule>
  </conditionalFormatting>
  <conditionalFormatting sqref="EG1:EN2 EG76:EN1048576">
    <cfRule type="cellIs" dxfId="23" priority="19" operator="equal">
      <formula>0</formula>
    </cfRule>
  </conditionalFormatting>
  <conditionalFormatting sqref="EG3:EN75">
    <cfRule type="cellIs" dxfId="22" priority="8" operator="equal">
      <formula>0</formula>
    </cfRule>
  </conditionalFormatting>
  <conditionalFormatting sqref="EH4:EN4">
    <cfRule type="cellIs" dxfId="21" priority="20" operator="equal">
      <formula>0</formula>
    </cfRule>
  </conditionalFormatting>
  <conditionalFormatting sqref="EP1:EW2 EP76:EW1048576">
    <cfRule type="cellIs" dxfId="20" priority="16" operator="equal">
      <formula>0</formula>
    </cfRule>
  </conditionalFormatting>
  <conditionalFormatting sqref="EP3:EW75">
    <cfRule type="cellIs" dxfId="19" priority="7" operator="equal">
      <formula>0</formula>
    </cfRule>
  </conditionalFormatting>
  <conditionalFormatting sqref="EQ4:EW4">
    <cfRule type="cellIs" dxfId="18" priority="17" operator="equal">
      <formula>0</formula>
    </cfRule>
  </conditionalFormatting>
  <dataValidations count="1">
    <dataValidation type="list" allowBlank="1" showInputMessage="1" showErrorMessage="1" sqref="P56:P75 P33:P52 P4:P29" xr:uid="{00000000-0002-0000-0E00-000000000000}">
      <formula1>Skid_section</formula1>
    </dataValidation>
  </dataValidations>
  <pageMargins left="0.70866141732283472" right="0.70866141732283472" top="0.74803149606299213" bottom="0.74803149606299213" header="0.31496062992125984" footer="0.31496062992125984"/>
  <pageSetup scale="24" fitToHeight="0" orientation="portrait" r:id="rId1"/>
  <headerFooter>
    <oddHeader>&amp;LMCE Vers. 1.0&amp;C&amp;F&amp;R&amp;"Calibri,Normale"&amp;8 Document classified as: 2 - Company Confidential&amp;1#</oddHeader>
    <oddFooter>&amp;C&amp;A - &amp;P&amp;R&amp;D</oddFoot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oglio12">
    <tabColor theme="4" tint="-0.249977111117893"/>
    <pageSetUpPr fitToPage="1"/>
  </sheetPr>
  <dimension ref="A1:AN73"/>
  <sheetViews>
    <sheetView topLeftCell="R1" zoomScale="70" zoomScaleNormal="70" workbookViewId="0">
      <selection activeCell="AA36" sqref="AA36"/>
    </sheetView>
  </sheetViews>
  <sheetFormatPr defaultRowHeight="14.4" x14ac:dyDescent="0.3"/>
  <cols>
    <col min="2" max="2" width="13.21875" customWidth="1"/>
    <col min="3" max="3" width="30" customWidth="1"/>
    <col min="4" max="4" width="14" bestFit="1" customWidth="1"/>
    <col min="8" max="8" width="13.44140625" bestFit="1" customWidth="1"/>
    <col min="10" max="10" width="45.77734375" customWidth="1"/>
    <col min="11" max="11" width="11.21875" customWidth="1"/>
    <col min="13" max="14" width="11" customWidth="1"/>
    <col min="18" max="19" width="23.5546875" customWidth="1"/>
    <col min="21" max="23" width="13.77734375" bestFit="1" customWidth="1"/>
    <col min="24" max="25" width="13.77734375" customWidth="1"/>
    <col min="26" max="27" width="13.77734375" bestFit="1" customWidth="1"/>
    <col min="28" max="29" width="13.77734375" customWidth="1"/>
    <col min="32" max="32" width="54.5546875" customWidth="1"/>
    <col min="33" max="33" width="8" bestFit="1" customWidth="1"/>
    <col min="34" max="34" width="57.77734375" customWidth="1"/>
    <col min="35" max="35" width="10.77734375" customWidth="1"/>
    <col min="37" max="37" width="54.21875" customWidth="1"/>
    <col min="38" max="38" width="10.44140625" customWidth="1"/>
    <col min="39" max="39" width="56.21875" customWidth="1"/>
    <col min="40" max="40" width="9.77734375" customWidth="1"/>
  </cols>
  <sheetData>
    <row r="1" spans="1:40" ht="31.5" customHeight="1" thickBot="1" x14ac:dyDescent="0.35">
      <c r="A1" s="380" t="s">
        <v>2088</v>
      </c>
      <c r="B1" s="401"/>
      <c r="C1" s="401"/>
      <c r="D1" s="401"/>
      <c r="E1" s="401"/>
      <c r="F1" s="401"/>
      <c r="G1" s="401"/>
      <c r="H1" s="401"/>
      <c r="I1" s="401"/>
      <c r="J1" s="401"/>
      <c r="K1" s="401"/>
      <c r="L1" s="401"/>
      <c r="M1" s="401"/>
      <c r="N1" s="401"/>
      <c r="O1" s="401"/>
      <c r="P1" s="401"/>
      <c r="Q1" s="401"/>
      <c r="R1" s="401"/>
      <c r="S1" s="401"/>
      <c r="T1" s="401"/>
      <c r="U1" s="401"/>
      <c r="V1" s="401"/>
      <c r="W1" s="401"/>
      <c r="X1" s="612"/>
      <c r="Y1" s="612"/>
      <c r="Z1" s="401"/>
      <c r="AA1" s="401"/>
      <c r="AB1" s="612"/>
      <c r="AC1" s="612"/>
      <c r="AD1" s="612"/>
      <c r="AE1" s="401"/>
      <c r="AF1" s="401"/>
      <c r="AG1" s="401"/>
      <c r="AH1" s="401"/>
      <c r="AI1" s="401"/>
      <c r="AJ1" s="401"/>
      <c r="AK1" s="401"/>
      <c r="AL1" s="401"/>
      <c r="AM1" s="401"/>
      <c r="AN1" s="401"/>
    </row>
    <row r="2" spans="1:40" s="3" customFormat="1" x14ac:dyDescent="0.3">
      <c r="A2" s="1821" t="s">
        <v>1073</v>
      </c>
      <c r="B2" s="1762"/>
      <c r="C2" s="1762"/>
      <c r="D2" s="1762"/>
      <c r="E2" s="1762" t="s">
        <v>2089</v>
      </c>
      <c r="F2" s="1762"/>
      <c r="G2" s="1762"/>
      <c r="H2" s="1762"/>
      <c r="I2" s="1762"/>
      <c r="J2" s="1762" t="s">
        <v>2090</v>
      </c>
      <c r="K2" s="1762"/>
      <c r="L2" s="1762"/>
      <c r="M2" s="1762"/>
      <c r="N2" s="1762"/>
      <c r="O2" s="1762"/>
      <c r="P2" s="1762"/>
      <c r="Q2" s="1762"/>
      <c r="R2" s="1765" t="s">
        <v>2091</v>
      </c>
      <c r="S2" s="1822"/>
      <c r="T2" s="1822"/>
      <c r="U2" s="1822"/>
      <c r="V2" s="1765" t="s">
        <v>2092</v>
      </c>
      <c r="W2" s="1822"/>
      <c r="X2" s="1822"/>
      <c r="Y2" s="1822"/>
      <c r="Z2" s="1828" t="s">
        <v>2093</v>
      </c>
      <c r="AA2" s="1822"/>
      <c r="AB2" s="1822"/>
      <c r="AC2" s="1829"/>
      <c r="AD2" s="532"/>
      <c r="AE2" s="1828" t="s">
        <v>2094</v>
      </c>
      <c r="AF2" s="1822"/>
      <c r="AG2" s="1822"/>
      <c r="AH2" s="1822"/>
      <c r="AI2" s="1829"/>
      <c r="AJ2" s="1828" t="s">
        <v>2095</v>
      </c>
      <c r="AK2" s="1822"/>
      <c r="AL2" s="1822"/>
      <c r="AM2" s="1822"/>
      <c r="AN2" s="1829"/>
    </row>
    <row r="3" spans="1:40" s="5" customFormat="1" ht="28.8" x14ac:dyDescent="0.3">
      <c r="A3" s="1819" t="s">
        <v>366</v>
      </c>
      <c r="B3" s="1757" t="s">
        <v>333</v>
      </c>
      <c r="C3" s="1757" t="s">
        <v>335</v>
      </c>
      <c r="D3" s="1757" t="s">
        <v>334</v>
      </c>
      <c r="E3" s="1757" t="s">
        <v>333</v>
      </c>
      <c r="F3" s="1497" t="s">
        <v>59</v>
      </c>
      <c r="G3" s="1757" t="s">
        <v>114</v>
      </c>
      <c r="H3" s="1757" t="s">
        <v>334</v>
      </c>
      <c r="I3" s="1497" t="s">
        <v>292</v>
      </c>
      <c r="J3" s="1757" t="s">
        <v>2096</v>
      </c>
      <c r="K3" s="1497" t="s">
        <v>2097</v>
      </c>
      <c r="L3" s="1497" t="s">
        <v>1650</v>
      </c>
      <c r="M3" s="1497" t="s">
        <v>292</v>
      </c>
      <c r="N3" s="1497" t="s">
        <v>2024</v>
      </c>
      <c r="O3" s="1823" t="s">
        <v>184</v>
      </c>
      <c r="P3" s="1824"/>
      <c r="Q3" s="1497" t="s">
        <v>313</v>
      </c>
      <c r="R3" s="1757" t="s">
        <v>2098</v>
      </c>
      <c r="S3" s="1757" t="s">
        <v>2099</v>
      </c>
      <c r="T3" s="1757" t="s">
        <v>114</v>
      </c>
      <c r="U3" s="1499" t="s">
        <v>2024</v>
      </c>
      <c r="V3" s="1823" t="s">
        <v>292</v>
      </c>
      <c r="W3" s="1825"/>
      <c r="X3" s="1825"/>
      <c r="Y3" s="1825"/>
      <c r="Z3" s="1826" t="s">
        <v>292</v>
      </c>
      <c r="AA3" s="1825"/>
      <c r="AB3" s="1825"/>
      <c r="AC3" s="1827"/>
      <c r="AD3" s="1830" t="s">
        <v>2100</v>
      </c>
      <c r="AE3" s="1819" t="s">
        <v>366</v>
      </c>
      <c r="AF3" s="1823" t="s">
        <v>2101</v>
      </c>
      <c r="AG3" s="1824"/>
      <c r="AH3" s="1823" t="s">
        <v>2102</v>
      </c>
      <c r="AI3" s="1827"/>
      <c r="AJ3" s="1819" t="s">
        <v>366</v>
      </c>
      <c r="AK3" s="1823" t="s">
        <v>2101</v>
      </c>
      <c r="AL3" s="1824"/>
      <c r="AM3" s="1823" t="s">
        <v>2102</v>
      </c>
      <c r="AN3" s="1827"/>
    </row>
    <row r="4" spans="1:40" s="5" customFormat="1" ht="20.25" customHeight="1" thickBot="1" x14ac:dyDescent="0.35">
      <c r="A4" s="1820"/>
      <c r="B4" s="1758"/>
      <c r="C4" s="1758"/>
      <c r="D4" s="1758"/>
      <c r="E4" s="1758"/>
      <c r="F4" s="587" t="s">
        <v>1082</v>
      </c>
      <c r="G4" s="1758"/>
      <c r="H4" s="1758"/>
      <c r="I4" s="587" t="s">
        <v>301</v>
      </c>
      <c r="J4" s="1758"/>
      <c r="K4" s="587" t="s">
        <v>1690</v>
      </c>
      <c r="L4" s="587" t="s">
        <v>93</v>
      </c>
      <c r="M4" s="587" t="s">
        <v>1892</v>
      </c>
      <c r="N4" s="587" t="s">
        <v>301</v>
      </c>
      <c r="O4" s="587" t="s">
        <v>1924</v>
      </c>
      <c r="P4" s="587" t="s">
        <v>1894</v>
      </c>
      <c r="Q4" s="587" t="s">
        <v>222</v>
      </c>
      <c r="R4" s="1758"/>
      <c r="S4" s="1758"/>
      <c r="T4" s="1758"/>
      <c r="U4" s="609" t="s">
        <v>301</v>
      </c>
      <c r="V4" s="609" t="s">
        <v>2103</v>
      </c>
      <c r="W4" s="609" t="s">
        <v>2104</v>
      </c>
      <c r="X4" s="609" t="s">
        <v>2105</v>
      </c>
      <c r="Y4" s="609" t="s">
        <v>2106</v>
      </c>
      <c r="Z4" s="443" t="s">
        <v>2103</v>
      </c>
      <c r="AA4" s="609" t="s">
        <v>2104</v>
      </c>
      <c r="AB4" s="609" t="s">
        <v>2105</v>
      </c>
      <c r="AC4" s="449" t="s">
        <v>2106</v>
      </c>
      <c r="AD4" s="1831"/>
      <c r="AE4" s="1820"/>
      <c r="AF4" s="608" t="s">
        <v>2107</v>
      </c>
      <c r="AG4" s="587" t="s">
        <v>369</v>
      </c>
      <c r="AH4" s="608" t="s">
        <v>335</v>
      </c>
      <c r="AI4" s="449" t="s">
        <v>292</v>
      </c>
      <c r="AJ4" s="1820"/>
      <c r="AK4" s="608" t="s">
        <v>2107</v>
      </c>
      <c r="AL4" s="587" t="s">
        <v>369</v>
      </c>
      <c r="AM4" s="608" t="s">
        <v>335</v>
      </c>
      <c r="AN4" s="449" t="s">
        <v>292</v>
      </c>
    </row>
    <row r="5" spans="1:40" x14ac:dyDescent="0.3">
      <c r="A5" s="19">
        <v>1</v>
      </c>
      <c r="B5" s="19" t="str">
        <f>VLOOKUP(A5,'Equip&amp;Mach List'!$1:$1048576,2,0)</f>
        <v>R-201</v>
      </c>
      <c r="C5" s="19" t="str">
        <f>VLOOKUP(A5,'Equip&amp;Mach List'!$1:$1048576,3,0)</f>
        <v>Deoxo reactor</v>
      </c>
      <c r="D5" s="19" t="str">
        <f>VLOOKUP(A5,'Equip&amp;Mach List'!$1:$1048576,4,0)</f>
        <v>Vessel</v>
      </c>
      <c r="E5" s="19" t="s">
        <v>353</v>
      </c>
      <c r="F5" s="19">
        <f>IFERROR(VLOOKUP($A5&amp;"."&amp;$E5&amp;" "&amp;F$3,'Equipment Weight Calc'!$L:$M,2,0),0)</f>
        <v>0</v>
      </c>
      <c r="G5" s="19">
        <f>IFERROR(VLOOKUP($A5&amp;"."&amp;$E5&amp;" "&amp;G$3,'Equipment Weight Calc'!$L:$M,2,0),0)</f>
        <v>0</v>
      </c>
      <c r="H5" s="19">
        <f>IFERROR(VLOOKUP($A5&amp;"."&amp;$E5&amp;" "&amp;H$3,'Equipment Weight Calc'!$L:$M,2,0),0)</f>
        <v>0</v>
      </c>
      <c r="I5" s="19">
        <f>IFERROR(VLOOKUP($A5&amp;"."&amp;$E5&amp;" "&amp;I$3,'Equipment Weight Calc'!$L:$M,2,0),0)</f>
        <v>0</v>
      </c>
      <c r="J5" s="873" t="s">
        <v>77</v>
      </c>
      <c r="K5" s="126">
        <f>IFERROR(VLOOKUP(F5&amp;"B"&amp;G5,'Bolting Chart'!$1:$1048576,IF(K$4="UNC",5,6),0),0)</f>
        <v>0</v>
      </c>
      <c r="L5" s="19">
        <f>IFERROR(VLOOKUP(F5&amp;"B"&amp;G5,'Bolting Chart'!$1:$1048576,9,0),0)</f>
        <v>0</v>
      </c>
      <c r="M5" s="19">
        <f>IFERROR(VLOOKUP(F5&amp;"B"&amp;G5,'Bolting Chart'!$1:$1048576,4,0),0)</f>
        <v>0</v>
      </c>
      <c r="N5" s="19">
        <f>M5*I5</f>
        <v>0</v>
      </c>
      <c r="O5" s="19">
        <f>(IFERROR(INDEX('Bolting Chart'!$A$169:$R$251,MATCH(L5,'Bolting Chart'!$A$170:$A$251,0),MATCH(IFERROR(VLOOKUP(F5&amp;"B"&amp;G5,'Bolting Chart'!$1:$1048576,7,0),0)+0,'Bolting Chart'!$A$169:$R$169,0)),0))/100</f>
        <v>0</v>
      </c>
      <c r="P5" s="19">
        <f>O5*M5</f>
        <v>0</v>
      </c>
      <c r="Q5" s="19">
        <f>O5*N5</f>
        <v>0</v>
      </c>
      <c r="R5" s="873" t="s">
        <v>2108</v>
      </c>
      <c r="S5" s="873" t="s">
        <v>2109</v>
      </c>
      <c r="T5" s="19">
        <f>G5</f>
        <v>0</v>
      </c>
      <c r="U5" s="610">
        <f>I5</f>
        <v>0</v>
      </c>
      <c r="V5" s="694">
        <v>2</v>
      </c>
      <c r="W5" s="695">
        <v>5</v>
      </c>
      <c r="X5" s="694">
        <v>1</v>
      </c>
      <c r="Y5" s="715">
        <v>1</v>
      </c>
      <c r="Z5" s="875">
        <v>0.1</v>
      </c>
      <c r="AA5" s="695">
        <v>5</v>
      </c>
      <c r="AB5" s="694">
        <v>1</v>
      </c>
      <c r="AC5" s="695">
        <v>1</v>
      </c>
      <c r="AD5" s="336">
        <f>COUNTIF($H$3:H5,"Welding Neck")+COUNTIF($H$3:H5,"LWN")</f>
        <v>0</v>
      </c>
      <c r="AE5" s="613">
        <f>IF(C5=0,0,IF(COUNTIF($AD$3:AD5,AD5)&gt;=2,0,AD5))</f>
        <v>0</v>
      </c>
      <c r="AF5" s="606">
        <f>IF(AE5=0,0,"Material "&amp;J5&amp;" "&amp;K5&amp;IF($K$4="UNC","''","")&amp;" L= "&amp;L5&amp;" mm")</f>
        <v>0</v>
      </c>
      <c r="AG5" s="606">
        <f>IF(AE5=0,0,IF(ROUNDUP(N5*V5,1)&lt;=W5,W5,ROUNDUP(N5*V5,1)))</f>
        <v>0</v>
      </c>
      <c r="AH5" s="606">
        <f>IF(AE5=0,0,"Material "&amp;R5&amp;" Type "&amp;S5&amp;" DN "&amp;F5&amp;"'' ANSI Rating "&amp;G5&amp;"#")</f>
        <v>0</v>
      </c>
      <c r="AI5" s="614">
        <f>IF(AE5=0,0,IF(ROUNDUP(U5*X5,1)&lt;=Y5,Y5,ROUNDUP(U5*X5,1)))</f>
        <v>0</v>
      </c>
      <c r="AJ5" s="613">
        <f>IF(C5=0,0,IF(COUNTIF($AD$3:AD5,AD5)&gt;=2,0,AD5))</f>
        <v>0</v>
      </c>
      <c r="AK5" s="606">
        <f>IF(AJ5=0,0,"Material "&amp;J5&amp;" "&amp;K5&amp;IF($K$4="UNC","''","")&amp;" L= "&amp;L5&amp;" mm")</f>
        <v>0</v>
      </c>
      <c r="AL5" s="606">
        <f>IF(AJ5=0,0,IF(ROUNDUP(N5*Z5,1)&lt;=AA5,AA5,ROUNDUP(N5*Z5,1)))</f>
        <v>0</v>
      </c>
      <c r="AM5" s="606">
        <f>IF(AJ5=0,0,"Material "&amp;R5&amp;" Type "&amp;S5&amp;" DN "&amp;F5&amp;"'' ANSI Rating "&amp;G5&amp;"#")</f>
        <v>0</v>
      </c>
      <c r="AN5" s="614">
        <f>IF(AJ5=0,0,IF(ROUNDUP(U5*AB5,1)&lt;=AC5,AC5,ROUNDUP(U5*AB5,1)))</f>
        <v>0</v>
      </c>
    </row>
    <row r="6" spans="1:40" x14ac:dyDescent="0.3">
      <c r="A6" s="21">
        <v>1</v>
      </c>
      <c r="B6" s="21" t="str">
        <f>VLOOKUP(A6,'Equip&amp;Mach List'!$1:$1048576,2,0)</f>
        <v>R-201</v>
      </c>
      <c r="C6" s="21" t="str">
        <f>VLOOKUP(A6,'Equip&amp;Mach List'!$1:$1048576,3,0)</f>
        <v>Deoxo reactor</v>
      </c>
      <c r="D6" s="21" t="str">
        <f>VLOOKUP(A6,'Equip&amp;Mach List'!$1:$1048576,4,0)</f>
        <v>Vessel</v>
      </c>
      <c r="E6" s="21" t="s">
        <v>354</v>
      </c>
      <c r="F6" s="21">
        <f>IFERROR(VLOOKUP($A6&amp;"."&amp;$E6&amp;" "&amp;F$3,'Equipment Weight Calc'!$L:$M,2,0),0)</f>
        <v>0</v>
      </c>
      <c r="G6" s="21">
        <f>IFERROR(VLOOKUP($A6&amp;"."&amp;$E6&amp;" "&amp;G$3,'Equipment Weight Calc'!$L:$M,2,0),0)</f>
        <v>0</v>
      </c>
      <c r="H6" s="21">
        <f>IFERROR(VLOOKUP($A6&amp;"."&amp;$E6&amp;" "&amp;H$3,'Equipment Weight Calc'!$L:$M,2,0),0)</f>
        <v>0</v>
      </c>
      <c r="I6" s="21">
        <f>IFERROR(VLOOKUP($A6&amp;"."&amp;$E6&amp;" "&amp;I$3,'Equipment Weight Calc'!$L:$M,2,0),0)</f>
        <v>0</v>
      </c>
      <c r="J6" s="873"/>
      <c r="K6" s="121">
        <f>IFERROR(VLOOKUP(F6&amp;"B"&amp;G6,'Bolting Chart'!$1:$1048576,IF(K$4="UNC",5,6),0),0)</f>
        <v>0</v>
      </c>
      <c r="L6" s="21">
        <f>IFERROR(VLOOKUP(F6&amp;"B"&amp;G6,'Bolting Chart'!$1:$1048576,9,0),0)</f>
        <v>0</v>
      </c>
      <c r="M6" s="21">
        <f>IFERROR(VLOOKUP(F6&amp;"B"&amp;G6,'Bolting Chart'!$1:$1048576,4,0),0)</f>
        <v>0</v>
      </c>
      <c r="N6" s="21">
        <f t="shared" ref="N6:N49" si="0">M6*I6</f>
        <v>0</v>
      </c>
      <c r="O6" s="21">
        <f>(IFERROR(INDEX('Bolting Chart'!$A$169:$R$251,MATCH(L6,'Bolting Chart'!$A$170:$A$251,0),MATCH(IFERROR(VLOOKUP(F6&amp;"B"&amp;G6,'Bolting Chart'!$1:$1048576,7,0),0)+0,'Bolting Chart'!$A$169:$R$169,0)),0))/100</f>
        <v>0</v>
      </c>
      <c r="P6" s="21">
        <f t="shared" ref="P6:P49" si="1">O6*M6</f>
        <v>0</v>
      </c>
      <c r="Q6" s="21">
        <f t="shared" ref="Q6:Q49" si="2">O6*N6</f>
        <v>0</v>
      </c>
      <c r="R6" s="873"/>
      <c r="S6" s="873"/>
      <c r="T6" s="21">
        <f t="shared" ref="T6:T49" si="3">G6</f>
        <v>0</v>
      </c>
      <c r="U6" s="611">
        <f t="shared" ref="U6:U49" si="4">I6</f>
        <v>0</v>
      </c>
      <c r="V6" s="694"/>
      <c r="W6" s="695"/>
      <c r="X6" s="694"/>
      <c r="Y6" s="697"/>
      <c r="Z6" s="875"/>
      <c r="AA6" s="695"/>
      <c r="AB6" s="694"/>
      <c r="AC6" s="695"/>
      <c r="AD6" s="337">
        <f>COUNTIF($H$3:H6,"Welding Neck")+COUNTIF($H$3:H6,"LWN")</f>
        <v>0</v>
      </c>
      <c r="AE6" s="615">
        <f>IF(C6=0,0,IF(COUNTIF($AD$3:AD6,AD6)&gt;=2,0,AD6))</f>
        <v>0</v>
      </c>
      <c r="AF6" s="607">
        <f t="shared" ref="AF6:AF49" si="5">IF(AE6=0,0,"Material "&amp;J6&amp;" "&amp;K6&amp;IF($K$4="UNC","''","")&amp;" L= "&amp;L6&amp;" mm")</f>
        <v>0</v>
      </c>
      <c r="AG6" s="607">
        <f t="shared" ref="AG6:AG49" si="6">IF(AE6=0,0,IF(ROUNDUP(N6*V6,1)&lt;=W6,W6,ROUNDUP(N6*V6,1)))</f>
        <v>0</v>
      </c>
      <c r="AH6" s="607">
        <f t="shared" ref="AH6:AH49" si="7">IF(AE6=0,0,"Material "&amp;R6&amp;" Type "&amp;S6&amp;" DN "&amp;F6&amp;"'' ANSI Rating "&amp;G6&amp;"#")</f>
        <v>0</v>
      </c>
      <c r="AI6" s="616">
        <f t="shared" ref="AI6:AI49" si="8">IF(AE6=0,0,IF(ROUNDUP(U6*X6,1)&lt;=Y6,Y6,ROUNDUP(U6*X6,1)))</f>
        <v>0</v>
      </c>
      <c r="AJ6" s="615">
        <f>IF(C6=0,0,IF(COUNTIF($AD$3:AD6,AD6)&gt;=2,0,AD6))</f>
        <v>0</v>
      </c>
      <c r="AK6" s="607">
        <f t="shared" ref="AK6:AK49" si="9">IF(AJ6=0,0,"Material "&amp;J6&amp;" "&amp;K6&amp;IF($K$4="UNC","''","")&amp;" L= "&amp;L6&amp;" mm")</f>
        <v>0</v>
      </c>
      <c r="AL6" s="607">
        <f t="shared" ref="AL6:AL49" si="10">IF(AJ6=0,0,IF(ROUNDUP(N6*Z6,1)&lt;=AA6,AA6,ROUNDUP(N6*Z6,1)))</f>
        <v>0</v>
      </c>
      <c r="AM6" s="607">
        <f t="shared" ref="AM6:AM49" si="11">IF(AJ6=0,0,"Material "&amp;R6&amp;" Type "&amp;S6&amp;" DN "&amp;F6&amp;"'' ANSI Rating "&amp;G6&amp;"#")</f>
        <v>0</v>
      </c>
      <c r="AN6" s="616">
        <f t="shared" ref="AN6:AN49" si="12">IF(AJ6=0,0,IF(ROUNDUP(U6*AB6,1)&lt;=AC6,AC6,ROUNDUP(U6*AB6,1)))</f>
        <v>0</v>
      </c>
    </row>
    <row r="7" spans="1:40" x14ac:dyDescent="0.3">
      <c r="A7" s="21">
        <v>1</v>
      </c>
      <c r="B7" s="21" t="str">
        <f>VLOOKUP(A7,'Equip&amp;Mach List'!$1:$1048576,2,0)</f>
        <v>R-201</v>
      </c>
      <c r="C7" s="21" t="str">
        <f>VLOOKUP(A7,'Equip&amp;Mach List'!$1:$1048576,3,0)</f>
        <v>Deoxo reactor</v>
      </c>
      <c r="D7" s="21" t="str">
        <f>VLOOKUP(A7,'Equip&amp;Mach List'!$1:$1048576,4,0)</f>
        <v>Vessel</v>
      </c>
      <c r="E7" s="21" t="s">
        <v>355</v>
      </c>
      <c r="F7" s="21">
        <f>IFERROR(VLOOKUP($A7&amp;"."&amp;$E7&amp;" "&amp;F$3,'Equipment Weight Calc'!$L:$M,2,0),0)</f>
        <v>0</v>
      </c>
      <c r="G7" s="21">
        <f>IFERROR(VLOOKUP($A7&amp;"."&amp;$E7&amp;" "&amp;G$3,'Equipment Weight Calc'!$L:$M,2,0),0)</f>
        <v>0</v>
      </c>
      <c r="H7" s="21">
        <f>IFERROR(VLOOKUP($A7&amp;"."&amp;$E7&amp;" "&amp;H$3,'Equipment Weight Calc'!$L:$M,2,0),0)</f>
        <v>0</v>
      </c>
      <c r="I7" s="21">
        <f>IFERROR(VLOOKUP($A7&amp;"."&amp;$E7&amp;" "&amp;I$3,'Equipment Weight Calc'!$L:$M,2,0),0)</f>
        <v>0</v>
      </c>
      <c r="J7" s="873"/>
      <c r="K7" s="121">
        <f>IFERROR(VLOOKUP(F7&amp;"B"&amp;G7,'Bolting Chart'!$1:$1048576,IF(K$4="UNC",5,6),0),0)</f>
        <v>0</v>
      </c>
      <c r="L7" s="21">
        <f>IFERROR(VLOOKUP(F7&amp;"B"&amp;G7,'Bolting Chart'!$1:$1048576,9,0),0)</f>
        <v>0</v>
      </c>
      <c r="M7" s="21">
        <f>IFERROR(VLOOKUP(F7&amp;"B"&amp;G7,'Bolting Chart'!$1:$1048576,4,0),0)</f>
        <v>0</v>
      </c>
      <c r="N7" s="21">
        <f t="shared" si="0"/>
        <v>0</v>
      </c>
      <c r="O7" s="21">
        <f>(IFERROR(INDEX('Bolting Chart'!$A$169:$R$251,MATCH(L7,'Bolting Chart'!$A$170:$A$251,0),MATCH(IFERROR(VLOOKUP(F7&amp;"B"&amp;G7,'Bolting Chart'!$1:$1048576,7,0),0)+0,'Bolting Chart'!$A$169:$R$169,0)),0))/100</f>
        <v>0</v>
      </c>
      <c r="P7" s="21">
        <f t="shared" si="1"/>
        <v>0</v>
      </c>
      <c r="Q7" s="21">
        <f t="shared" si="2"/>
        <v>0</v>
      </c>
      <c r="R7" s="873"/>
      <c r="S7" s="873"/>
      <c r="T7" s="21">
        <f t="shared" si="3"/>
        <v>0</v>
      </c>
      <c r="U7" s="611">
        <f t="shared" si="4"/>
        <v>0</v>
      </c>
      <c r="V7" s="694"/>
      <c r="W7" s="695"/>
      <c r="X7" s="694"/>
      <c r="Y7" s="697"/>
      <c r="Z7" s="875"/>
      <c r="AA7" s="695"/>
      <c r="AB7" s="694"/>
      <c r="AC7" s="695"/>
      <c r="AD7" s="337">
        <f>COUNTIF($H$3:H7,"Welding Neck")+COUNTIF($H$3:H7,"LWN")</f>
        <v>0</v>
      </c>
      <c r="AE7" s="615">
        <f>IF(C7=0,0,IF(COUNTIF($AD$3:AD7,AD7)&gt;=2,0,AD7))</f>
        <v>0</v>
      </c>
      <c r="AF7" s="607">
        <f t="shared" si="5"/>
        <v>0</v>
      </c>
      <c r="AG7" s="607">
        <f t="shared" si="6"/>
        <v>0</v>
      </c>
      <c r="AH7" s="607">
        <f t="shared" si="7"/>
        <v>0</v>
      </c>
      <c r="AI7" s="616">
        <f t="shared" si="8"/>
        <v>0</v>
      </c>
      <c r="AJ7" s="615">
        <f>IF(C7=0,0,IF(COUNTIF($AD$3:AD7,AD7)&gt;=2,0,AD7))</f>
        <v>0</v>
      </c>
      <c r="AK7" s="607">
        <f t="shared" si="9"/>
        <v>0</v>
      </c>
      <c r="AL7" s="607">
        <f t="shared" si="10"/>
        <v>0</v>
      </c>
      <c r="AM7" s="607">
        <f t="shared" si="11"/>
        <v>0</v>
      </c>
      <c r="AN7" s="616">
        <f t="shared" si="12"/>
        <v>0</v>
      </c>
    </row>
    <row r="8" spans="1:40" x14ac:dyDescent="0.3">
      <c r="A8" s="21">
        <f t="shared" ref="A8:A42" si="13">A5+1</f>
        <v>2</v>
      </c>
      <c r="B8" s="21" t="str">
        <f>VLOOKUP(A8,'Equip&amp;Mach List'!$1:$1048576,2,0)</f>
        <v>D-101</v>
      </c>
      <c r="C8" s="21" t="str">
        <f>VLOOKUP(A8,'Equip&amp;Mach List'!$1:$1048576,3,0)</f>
        <v>Hydrogen gas/water separator</v>
      </c>
      <c r="D8" s="21" t="str">
        <f>VLOOKUP(A8,'Equip&amp;Mach List'!$1:$1048576,4,0)</f>
        <v>Vessel</v>
      </c>
      <c r="E8" s="21" t="s">
        <v>353</v>
      </c>
      <c r="F8" s="21">
        <f>IFERROR(VLOOKUP($A8&amp;"."&amp;$E8&amp;" "&amp;F$3,'Equipment Weight Calc'!$L:$M,2,0),0)</f>
        <v>0</v>
      </c>
      <c r="G8" s="21">
        <f>IFERROR(VLOOKUP($A8&amp;"."&amp;$E8&amp;" "&amp;G$3,'Equipment Weight Calc'!$L:$M,2,0),0)</f>
        <v>0</v>
      </c>
      <c r="H8" s="21">
        <f>IFERROR(VLOOKUP($A8&amp;"."&amp;$E8&amp;" "&amp;H$3,'Equipment Weight Calc'!$L:$M,2,0),0)</f>
        <v>0</v>
      </c>
      <c r="I8" s="21">
        <f>IFERROR(VLOOKUP($A8&amp;"."&amp;$E8&amp;" "&amp;I$3,'Equipment Weight Calc'!$L:$M,2,0),0)</f>
        <v>0</v>
      </c>
      <c r="J8" s="873" t="s">
        <v>77</v>
      </c>
      <c r="K8" s="121">
        <f>IFERROR(VLOOKUP(F8&amp;"B"&amp;G8,'Bolting Chart'!$1:$1048576,IF(K$4="UNC",5,6),0),0)</f>
        <v>0</v>
      </c>
      <c r="L8" s="21">
        <f>IFERROR(VLOOKUP(F8&amp;"B"&amp;G8,'Bolting Chart'!$1:$1048576,9,0),0)</f>
        <v>0</v>
      </c>
      <c r="M8" s="21">
        <f>IFERROR(VLOOKUP(F8&amp;"B"&amp;G8,'Bolting Chart'!$1:$1048576,4,0),0)</f>
        <v>0</v>
      </c>
      <c r="N8" s="21">
        <f t="shared" si="0"/>
        <v>0</v>
      </c>
      <c r="O8" s="21">
        <f>(IFERROR(INDEX('Bolting Chart'!$A$169:$R$251,MATCH(L8,'Bolting Chart'!$A$170:$A$251,0),MATCH(IFERROR(VLOOKUP(F8&amp;"B"&amp;G8,'Bolting Chart'!$1:$1048576,7,0),0)+0,'Bolting Chart'!$A$169:$R$169,0)),0))/100</f>
        <v>0</v>
      </c>
      <c r="P8" s="21">
        <f t="shared" si="1"/>
        <v>0</v>
      </c>
      <c r="Q8" s="21">
        <f t="shared" si="2"/>
        <v>0</v>
      </c>
      <c r="R8" s="873"/>
      <c r="S8" s="873"/>
      <c r="T8" s="21">
        <f t="shared" si="3"/>
        <v>0</v>
      </c>
      <c r="U8" s="611">
        <f t="shared" si="4"/>
        <v>0</v>
      </c>
      <c r="V8" s="694">
        <v>0.1</v>
      </c>
      <c r="W8" s="695">
        <v>5</v>
      </c>
      <c r="X8" s="698">
        <v>2</v>
      </c>
      <c r="Y8" s="713">
        <v>2</v>
      </c>
      <c r="Z8" s="875">
        <v>0.1</v>
      </c>
      <c r="AA8" s="695">
        <v>5</v>
      </c>
      <c r="AB8" s="698">
        <v>2</v>
      </c>
      <c r="AC8" s="684">
        <v>2</v>
      </c>
      <c r="AD8" s="337">
        <f>COUNTIF($H$3:H8,"Welding Neck")+COUNTIF($H$3:H8,"LWN")</f>
        <v>0</v>
      </c>
      <c r="AE8" s="615">
        <f>IF(C8=0,0,IF(COUNTIF($AD$3:AD8,AD8)&gt;=2,0,AD8))</f>
        <v>0</v>
      </c>
      <c r="AF8" s="607">
        <f t="shared" si="5"/>
        <v>0</v>
      </c>
      <c r="AG8" s="607">
        <f t="shared" si="6"/>
        <v>0</v>
      </c>
      <c r="AH8" s="607">
        <f t="shared" si="7"/>
        <v>0</v>
      </c>
      <c r="AI8" s="616">
        <f t="shared" si="8"/>
        <v>0</v>
      </c>
      <c r="AJ8" s="615">
        <f>IF(C8=0,0,IF(COUNTIF($AD$3:AD8,AD8)&gt;=2,0,AD8))</f>
        <v>0</v>
      </c>
      <c r="AK8" s="607">
        <f t="shared" si="9"/>
        <v>0</v>
      </c>
      <c r="AL8" s="607">
        <f t="shared" si="10"/>
        <v>0</v>
      </c>
      <c r="AM8" s="607">
        <f t="shared" si="11"/>
        <v>0</v>
      </c>
      <c r="AN8" s="616">
        <f t="shared" si="12"/>
        <v>0</v>
      </c>
    </row>
    <row r="9" spans="1:40" x14ac:dyDescent="0.3">
      <c r="A9" s="21">
        <f t="shared" si="13"/>
        <v>2</v>
      </c>
      <c r="B9" s="21" t="str">
        <f>VLOOKUP(A9,'Equip&amp;Mach List'!$1:$1048576,2,0)</f>
        <v>D-101</v>
      </c>
      <c r="C9" s="21" t="str">
        <f>VLOOKUP(A9,'Equip&amp;Mach List'!$1:$1048576,3,0)</f>
        <v>Hydrogen gas/water separator</v>
      </c>
      <c r="D9" s="21" t="str">
        <f>VLOOKUP(A9,'Equip&amp;Mach List'!$1:$1048576,4,0)</f>
        <v>Vessel</v>
      </c>
      <c r="E9" s="21" t="s">
        <v>354</v>
      </c>
      <c r="F9" s="21">
        <f>IFERROR(VLOOKUP($A9&amp;"."&amp;$E9&amp;" "&amp;F$3,'Equipment Weight Calc'!$L:$M,2,0),0)</f>
        <v>0</v>
      </c>
      <c r="G9" s="21">
        <f>IFERROR(VLOOKUP($A9&amp;"."&amp;$E9&amp;" "&amp;G$3,'Equipment Weight Calc'!$L:$M,2,0),0)</f>
        <v>0</v>
      </c>
      <c r="H9" s="21">
        <f>IFERROR(VLOOKUP($A9&amp;"."&amp;$E9&amp;" "&amp;H$3,'Equipment Weight Calc'!$L:$M,2,0),0)</f>
        <v>0</v>
      </c>
      <c r="I9" s="21">
        <f>IFERROR(VLOOKUP($A9&amp;"."&amp;$E9&amp;" "&amp;I$3,'Equipment Weight Calc'!$L:$M,2,0),0)</f>
        <v>0</v>
      </c>
      <c r="J9" s="873" t="s">
        <v>77</v>
      </c>
      <c r="K9" s="121">
        <f>IFERROR(VLOOKUP(F9&amp;"B"&amp;G9,'Bolting Chart'!$1:$1048576,IF(K$4="UNC",5,6),0),0)</f>
        <v>0</v>
      </c>
      <c r="L9" s="21">
        <f>IFERROR(VLOOKUP(F9&amp;"B"&amp;G9,'Bolting Chart'!$1:$1048576,9,0),0)</f>
        <v>0</v>
      </c>
      <c r="M9" s="21">
        <f>IFERROR(VLOOKUP(F9&amp;"B"&amp;G9,'Bolting Chart'!$1:$1048576,4,0),0)</f>
        <v>0</v>
      </c>
      <c r="N9" s="21">
        <f t="shared" si="0"/>
        <v>0</v>
      </c>
      <c r="O9" s="21">
        <f>(IFERROR(INDEX('Bolting Chart'!$A$169:$R$251,MATCH(L9,'Bolting Chart'!$A$170:$A$251,0),MATCH(IFERROR(VLOOKUP(F9&amp;"B"&amp;G9,'Bolting Chart'!$1:$1048576,7,0),0)+0,'Bolting Chart'!$A$169:$R$169,0)),0))/100</f>
        <v>0</v>
      </c>
      <c r="P9" s="21">
        <f t="shared" si="1"/>
        <v>0</v>
      </c>
      <c r="Q9" s="21">
        <f t="shared" si="2"/>
        <v>0</v>
      </c>
      <c r="R9" s="873" t="s">
        <v>2108</v>
      </c>
      <c r="S9" s="873" t="s">
        <v>2109</v>
      </c>
      <c r="T9" s="21">
        <f t="shared" si="3"/>
        <v>0</v>
      </c>
      <c r="U9" s="611">
        <f t="shared" si="4"/>
        <v>0</v>
      </c>
      <c r="V9" s="694">
        <v>0.1</v>
      </c>
      <c r="W9" s="695">
        <v>5</v>
      </c>
      <c r="X9" s="698">
        <v>2</v>
      </c>
      <c r="Y9" s="713">
        <v>2</v>
      </c>
      <c r="Z9" s="875">
        <v>0.1</v>
      </c>
      <c r="AA9" s="695">
        <v>5</v>
      </c>
      <c r="AB9" s="698">
        <v>2</v>
      </c>
      <c r="AC9" s="684">
        <v>2</v>
      </c>
      <c r="AD9" s="337">
        <f>COUNTIF($H$3:H9,"Welding Neck")+COUNTIF($H$3:H9,"LWN")</f>
        <v>0</v>
      </c>
      <c r="AE9" s="615">
        <f>IF(C9=0,0,IF(COUNTIF($AD$3:AD9,AD9)&gt;=2,0,AD9))</f>
        <v>0</v>
      </c>
      <c r="AF9" s="607">
        <f t="shared" si="5"/>
        <v>0</v>
      </c>
      <c r="AG9" s="607">
        <f t="shared" si="6"/>
        <v>0</v>
      </c>
      <c r="AH9" s="607">
        <f t="shared" si="7"/>
        <v>0</v>
      </c>
      <c r="AI9" s="616">
        <f t="shared" si="8"/>
        <v>0</v>
      </c>
      <c r="AJ9" s="615">
        <f>IF(C9=0,0,IF(COUNTIF($AD$3:AD9,AD9)&gt;=2,0,AD9))</f>
        <v>0</v>
      </c>
      <c r="AK9" s="607">
        <f t="shared" si="9"/>
        <v>0</v>
      </c>
      <c r="AL9" s="607">
        <f t="shared" si="10"/>
        <v>0</v>
      </c>
      <c r="AM9" s="607">
        <f t="shared" si="11"/>
        <v>0</v>
      </c>
      <c r="AN9" s="616">
        <f t="shared" si="12"/>
        <v>0</v>
      </c>
    </row>
    <row r="10" spans="1:40" x14ac:dyDescent="0.3">
      <c r="A10" s="21">
        <f t="shared" si="13"/>
        <v>2</v>
      </c>
      <c r="B10" s="21" t="str">
        <f>VLOOKUP(A10,'Equip&amp;Mach List'!$1:$1048576,2,0)</f>
        <v>D-101</v>
      </c>
      <c r="C10" s="21" t="str">
        <f>VLOOKUP(A10,'Equip&amp;Mach List'!$1:$1048576,3,0)</f>
        <v>Hydrogen gas/water separator</v>
      </c>
      <c r="D10" s="21" t="str">
        <f>VLOOKUP(A10,'Equip&amp;Mach List'!$1:$1048576,4,0)</f>
        <v>Vessel</v>
      </c>
      <c r="E10" s="21" t="s">
        <v>355</v>
      </c>
      <c r="F10" s="21">
        <f>IFERROR(VLOOKUP($A10&amp;"."&amp;$E10&amp;" "&amp;F$3,'Equipment Weight Calc'!$L:$M,2,0),0)</f>
        <v>0</v>
      </c>
      <c r="G10" s="21">
        <f>IFERROR(VLOOKUP($A10&amp;"."&amp;$E10&amp;" "&amp;G$3,'Equipment Weight Calc'!$L:$M,2,0),0)</f>
        <v>0</v>
      </c>
      <c r="H10" s="21">
        <f>IFERROR(VLOOKUP($A10&amp;"."&amp;$E10&amp;" "&amp;H$3,'Equipment Weight Calc'!$L:$M,2,0),0)</f>
        <v>0</v>
      </c>
      <c r="I10" s="21">
        <f>IFERROR(VLOOKUP($A10&amp;"."&amp;$E10&amp;" "&amp;I$3,'Equipment Weight Calc'!$L:$M,2,0),0)</f>
        <v>0</v>
      </c>
      <c r="J10" s="873"/>
      <c r="K10" s="121">
        <f>IFERROR(VLOOKUP(F10&amp;"B"&amp;G10,'Bolting Chart'!$1:$1048576,IF(K$4="UNC",5,6),0),0)</f>
        <v>0</v>
      </c>
      <c r="L10" s="21">
        <f>IFERROR(VLOOKUP(F10&amp;"B"&amp;G10,'Bolting Chart'!$1:$1048576,9,0),0)</f>
        <v>0</v>
      </c>
      <c r="M10" s="21">
        <f>IFERROR(VLOOKUP(F10&amp;"B"&amp;G10,'Bolting Chart'!$1:$1048576,4,0),0)</f>
        <v>0</v>
      </c>
      <c r="N10" s="21">
        <f t="shared" si="0"/>
        <v>0</v>
      </c>
      <c r="O10" s="21">
        <f>(IFERROR(INDEX('Bolting Chart'!$A$169:$R$251,MATCH(L10,'Bolting Chart'!$A$170:$A$251,0),MATCH(IFERROR(VLOOKUP(F10&amp;"B"&amp;G10,'Bolting Chart'!$1:$1048576,7,0),0)+0,'Bolting Chart'!$A$169:$R$169,0)),0))/100</f>
        <v>0</v>
      </c>
      <c r="P10" s="21">
        <f t="shared" si="1"/>
        <v>0</v>
      </c>
      <c r="Q10" s="21">
        <f t="shared" si="2"/>
        <v>0</v>
      </c>
      <c r="R10" s="873"/>
      <c r="S10" s="873"/>
      <c r="T10" s="21">
        <f t="shared" si="3"/>
        <v>0</v>
      </c>
      <c r="U10" s="611">
        <f t="shared" si="4"/>
        <v>0</v>
      </c>
      <c r="V10" s="694"/>
      <c r="W10" s="695"/>
      <c r="X10" s="698"/>
      <c r="Y10" s="713"/>
      <c r="Z10" s="875"/>
      <c r="AA10" s="695"/>
      <c r="AB10" s="698"/>
      <c r="AC10" s="684"/>
      <c r="AD10" s="337">
        <f>COUNTIF($H$3:H10,"Welding Neck")+COUNTIF($H$3:H10,"LWN")</f>
        <v>0</v>
      </c>
      <c r="AE10" s="615">
        <f>IF(C10=0,0,IF(COUNTIF($AD$3:AD10,AD10)&gt;=2,0,AD10))</f>
        <v>0</v>
      </c>
      <c r="AF10" s="607">
        <f t="shared" si="5"/>
        <v>0</v>
      </c>
      <c r="AG10" s="607">
        <f t="shared" si="6"/>
        <v>0</v>
      </c>
      <c r="AH10" s="607">
        <f t="shared" si="7"/>
        <v>0</v>
      </c>
      <c r="AI10" s="616">
        <f t="shared" si="8"/>
        <v>0</v>
      </c>
      <c r="AJ10" s="615">
        <f>IF(C10=0,0,IF(COUNTIF($AD$3:AD10,AD10)&gt;=2,0,AD10))</f>
        <v>0</v>
      </c>
      <c r="AK10" s="607">
        <f t="shared" si="9"/>
        <v>0</v>
      </c>
      <c r="AL10" s="607">
        <f t="shared" si="10"/>
        <v>0</v>
      </c>
      <c r="AM10" s="607">
        <f t="shared" si="11"/>
        <v>0</v>
      </c>
      <c r="AN10" s="616">
        <f t="shared" si="12"/>
        <v>0</v>
      </c>
    </row>
    <row r="11" spans="1:40" x14ac:dyDescent="0.3">
      <c r="A11" s="21">
        <f t="shared" si="13"/>
        <v>3</v>
      </c>
      <c r="B11" s="21" t="str">
        <f>VLOOKUP(A11,'Equip&amp;Mach List'!$1:$1048576,2,0)</f>
        <v>T-101 A/B</v>
      </c>
      <c r="C11" s="21" t="str">
        <f>VLOOKUP(A11,'Equip&amp;Mach List'!$1:$1048576,3,0)</f>
        <v>Hydrogen dryers</v>
      </c>
      <c r="D11" s="21" t="str">
        <f>VLOOKUP(A11,'Equip&amp;Mach List'!$1:$1048576,4,0)</f>
        <v>Vessel</v>
      </c>
      <c r="E11" s="21" t="s">
        <v>353</v>
      </c>
      <c r="F11" s="21">
        <f>IFERROR(VLOOKUP($A11&amp;"."&amp;$E11&amp;" "&amp;F$3,'Equipment Weight Calc'!$L:$M,2,0),0)</f>
        <v>0</v>
      </c>
      <c r="G11" s="21">
        <f>IFERROR(VLOOKUP($A11&amp;"."&amp;$E11&amp;" "&amp;G$3,'Equipment Weight Calc'!$L:$M,2,0),0)</f>
        <v>0</v>
      </c>
      <c r="H11" s="21">
        <f>IFERROR(VLOOKUP($A11&amp;"."&amp;$E11&amp;" "&amp;H$3,'Equipment Weight Calc'!$L:$M,2,0),0)</f>
        <v>0</v>
      </c>
      <c r="I11" s="21">
        <f>IFERROR(VLOOKUP($A11&amp;"."&amp;$E11&amp;" "&amp;I$3,'Equipment Weight Calc'!$L:$M,2,0),0)</f>
        <v>0</v>
      </c>
      <c r="J11" s="873" t="s">
        <v>77</v>
      </c>
      <c r="K11" s="121">
        <f>IFERROR(VLOOKUP(F11&amp;"B"&amp;G11,'Bolting Chart'!$1:$1048576,IF(K$4="UNC",5,6),0),0)</f>
        <v>0</v>
      </c>
      <c r="L11" s="21">
        <f>IFERROR(VLOOKUP(F11&amp;"B"&amp;G11,'Bolting Chart'!$1:$1048576,9,0),0)</f>
        <v>0</v>
      </c>
      <c r="M11" s="21">
        <f>IFERROR(VLOOKUP(F11&amp;"B"&amp;G11,'Bolting Chart'!$1:$1048576,4,0),0)</f>
        <v>0</v>
      </c>
      <c r="N11" s="21">
        <f t="shared" si="0"/>
        <v>0</v>
      </c>
      <c r="O11" s="21">
        <f>(IFERROR(INDEX('Bolting Chart'!$A$169:$R$251,MATCH(L11,'Bolting Chart'!$A$170:$A$251,0),MATCH(IFERROR(VLOOKUP(F11&amp;"B"&amp;G11,'Bolting Chart'!$1:$1048576,7,0),0)+0,'Bolting Chart'!$A$169:$R$169,0)),0))/100</f>
        <v>0</v>
      </c>
      <c r="P11" s="21">
        <f t="shared" si="1"/>
        <v>0</v>
      </c>
      <c r="Q11" s="21">
        <f t="shared" si="2"/>
        <v>0</v>
      </c>
      <c r="R11" s="873" t="s">
        <v>2108</v>
      </c>
      <c r="S11" s="873" t="s">
        <v>2109</v>
      </c>
      <c r="T11" s="21">
        <f t="shared" si="3"/>
        <v>0</v>
      </c>
      <c r="U11" s="611">
        <f t="shared" si="4"/>
        <v>0</v>
      </c>
      <c r="V11" s="694">
        <v>0.1</v>
      </c>
      <c r="W11" s="695">
        <v>5</v>
      </c>
      <c r="X11" s="698">
        <v>2</v>
      </c>
      <c r="Y11" s="713">
        <v>2</v>
      </c>
      <c r="Z11" s="875">
        <v>0.1</v>
      </c>
      <c r="AA11" s="695">
        <v>5</v>
      </c>
      <c r="AB11" s="698">
        <v>2</v>
      </c>
      <c r="AC11" s="684">
        <v>2</v>
      </c>
      <c r="AD11" s="337">
        <f>COUNTIF($H$3:H11,"Welding Neck")+COUNTIF($H$3:H11,"LWN")</f>
        <v>0</v>
      </c>
      <c r="AE11" s="615">
        <f>IF(C11=0,0,IF(COUNTIF($AD$3:AD11,AD11)&gt;=2,0,AD11))</f>
        <v>0</v>
      </c>
      <c r="AF11" s="607">
        <f t="shared" si="5"/>
        <v>0</v>
      </c>
      <c r="AG11" s="607">
        <f t="shared" si="6"/>
        <v>0</v>
      </c>
      <c r="AH11" s="607">
        <f t="shared" si="7"/>
        <v>0</v>
      </c>
      <c r="AI11" s="616">
        <f t="shared" si="8"/>
        <v>0</v>
      </c>
      <c r="AJ11" s="615">
        <f>IF(C11=0,0,IF(COUNTIF($AD$3:AD11,AD11)&gt;=2,0,AD11))</f>
        <v>0</v>
      </c>
      <c r="AK11" s="607">
        <f t="shared" si="9"/>
        <v>0</v>
      </c>
      <c r="AL11" s="607">
        <f t="shared" si="10"/>
        <v>0</v>
      </c>
      <c r="AM11" s="607">
        <f t="shared" si="11"/>
        <v>0</v>
      </c>
      <c r="AN11" s="616">
        <f t="shared" si="12"/>
        <v>0</v>
      </c>
    </row>
    <row r="12" spans="1:40" x14ac:dyDescent="0.3">
      <c r="A12" s="21">
        <f t="shared" si="13"/>
        <v>3</v>
      </c>
      <c r="B12" s="21" t="str">
        <f>VLOOKUP(A12,'Equip&amp;Mach List'!$1:$1048576,2,0)</f>
        <v>T-101 A/B</v>
      </c>
      <c r="C12" s="21" t="str">
        <f>VLOOKUP(A12,'Equip&amp;Mach List'!$1:$1048576,3,0)</f>
        <v>Hydrogen dryers</v>
      </c>
      <c r="D12" s="21" t="str">
        <f>VLOOKUP(A12,'Equip&amp;Mach List'!$1:$1048576,4,0)</f>
        <v>Vessel</v>
      </c>
      <c r="E12" s="21" t="s">
        <v>354</v>
      </c>
      <c r="F12" s="21">
        <f>IFERROR(VLOOKUP($A12&amp;"."&amp;$E12&amp;" "&amp;F$3,'Equipment Weight Calc'!$L:$M,2,0),0)</f>
        <v>0</v>
      </c>
      <c r="G12" s="21">
        <f>IFERROR(VLOOKUP($A12&amp;"."&amp;$E12&amp;" "&amp;G$3,'Equipment Weight Calc'!$L:$M,2,0),0)</f>
        <v>0</v>
      </c>
      <c r="H12" s="21">
        <f>IFERROR(VLOOKUP($A12&amp;"."&amp;$E12&amp;" "&amp;H$3,'Equipment Weight Calc'!$L:$M,2,0),0)</f>
        <v>0</v>
      </c>
      <c r="I12" s="21">
        <f>IFERROR(VLOOKUP($A12&amp;"."&amp;$E12&amp;" "&amp;I$3,'Equipment Weight Calc'!$L:$M,2,0),0)</f>
        <v>0</v>
      </c>
      <c r="J12" s="874"/>
      <c r="K12" s="121">
        <f>IFERROR(VLOOKUP(F12&amp;"B"&amp;G12,'Bolting Chart'!$1:$1048576,IF(K$4="UNC",5,6),0),0)</f>
        <v>0</v>
      </c>
      <c r="L12" s="21">
        <f>IFERROR(VLOOKUP(F12&amp;"B"&amp;G12,'Bolting Chart'!$1:$1048576,9,0),0)</f>
        <v>0</v>
      </c>
      <c r="M12" s="21">
        <f>IFERROR(VLOOKUP(F12&amp;"B"&amp;G12,'Bolting Chart'!$1:$1048576,4,0),0)</f>
        <v>0</v>
      </c>
      <c r="N12" s="21">
        <f t="shared" si="0"/>
        <v>0</v>
      </c>
      <c r="O12" s="21">
        <f>(IFERROR(INDEX('Bolting Chart'!$A$169:$R$251,MATCH(L12,'Bolting Chart'!$A$170:$A$251,0),MATCH(IFERROR(VLOOKUP(F12&amp;"B"&amp;G12,'Bolting Chart'!$1:$1048576,7,0),0)+0,'Bolting Chart'!$A$169:$R$169,0)),0))/100</f>
        <v>0</v>
      </c>
      <c r="P12" s="21">
        <f t="shared" si="1"/>
        <v>0</v>
      </c>
      <c r="Q12" s="21">
        <f t="shared" si="2"/>
        <v>0</v>
      </c>
      <c r="R12" s="874"/>
      <c r="S12" s="874"/>
      <c r="T12" s="21">
        <f t="shared" si="3"/>
        <v>0</v>
      </c>
      <c r="U12" s="611">
        <f t="shared" si="4"/>
        <v>0</v>
      </c>
      <c r="V12" s="698"/>
      <c r="W12" s="684"/>
      <c r="X12" s="698"/>
      <c r="Y12" s="713"/>
      <c r="Z12" s="875"/>
      <c r="AA12" s="695"/>
      <c r="AB12" s="694"/>
      <c r="AC12" s="697"/>
      <c r="AD12" s="337">
        <f>COUNTIF($H$3:H12,"Welding Neck")+COUNTIF($H$3:H12,"LWN")</f>
        <v>0</v>
      </c>
      <c r="AE12" s="615">
        <f>IF(C12=0,0,IF(COUNTIF($AD$3:AD12,AD12)&gt;=2,0,AD12))</f>
        <v>0</v>
      </c>
      <c r="AF12" s="607">
        <f t="shared" si="5"/>
        <v>0</v>
      </c>
      <c r="AG12" s="607">
        <f t="shared" si="6"/>
        <v>0</v>
      </c>
      <c r="AH12" s="607">
        <f t="shared" si="7"/>
        <v>0</v>
      </c>
      <c r="AI12" s="616">
        <f t="shared" si="8"/>
        <v>0</v>
      </c>
      <c r="AJ12" s="615">
        <f>IF(C12=0,0,IF(COUNTIF($AD$3:AD12,AD12)&gt;=2,0,AD12))</f>
        <v>0</v>
      </c>
      <c r="AK12" s="607">
        <f t="shared" si="9"/>
        <v>0</v>
      </c>
      <c r="AL12" s="607">
        <f t="shared" si="10"/>
        <v>0</v>
      </c>
      <c r="AM12" s="607">
        <f t="shared" si="11"/>
        <v>0</v>
      </c>
      <c r="AN12" s="616">
        <f t="shared" si="12"/>
        <v>0</v>
      </c>
    </row>
    <row r="13" spans="1:40" x14ac:dyDescent="0.3">
      <c r="A13" s="21">
        <f t="shared" si="13"/>
        <v>3</v>
      </c>
      <c r="B13" s="21" t="str">
        <f>VLOOKUP(A13,'Equip&amp;Mach List'!$1:$1048576,2,0)</f>
        <v>T-101 A/B</v>
      </c>
      <c r="C13" s="21" t="str">
        <f>VLOOKUP(A13,'Equip&amp;Mach List'!$1:$1048576,3,0)</f>
        <v>Hydrogen dryers</v>
      </c>
      <c r="D13" s="21" t="str">
        <f>VLOOKUP(A13,'Equip&amp;Mach List'!$1:$1048576,4,0)</f>
        <v>Vessel</v>
      </c>
      <c r="E13" s="21" t="s">
        <v>355</v>
      </c>
      <c r="F13" s="21">
        <f>IFERROR(VLOOKUP($A13&amp;"."&amp;$E13&amp;" "&amp;F$3,'Equipment Weight Calc'!$L:$M,2,0),0)</f>
        <v>0</v>
      </c>
      <c r="G13" s="21">
        <f>IFERROR(VLOOKUP($A13&amp;"."&amp;$E13&amp;" "&amp;G$3,'Equipment Weight Calc'!$L:$M,2,0),0)</f>
        <v>0</v>
      </c>
      <c r="H13" s="21">
        <f>IFERROR(VLOOKUP($A13&amp;"."&amp;$E13&amp;" "&amp;H$3,'Equipment Weight Calc'!$L:$M,2,0),0)</f>
        <v>0</v>
      </c>
      <c r="I13" s="21">
        <f>IFERROR(VLOOKUP($A13&amp;"."&amp;$E13&amp;" "&amp;I$3,'Equipment Weight Calc'!$L:$M,2,0),0)</f>
        <v>0</v>
      </c>
      <c r="J13" s="873"/>
      <c r="K13" s="121">
        <f>IFERROR(VLOOKUP(F13&amp;"B"&amp;G13,'Bolting Chart'!$1:$1048576,IF(K$4="UNC",5,6),0),0)</f>
        <v>0</v>
      </c>
      <c r="L13" s="21">
        <f>IFERROR(VLOOKUP(F13&amp;"B"&amp;G13,'Bolting Chart'!$1:$1048576,9,0),0)</f>
        <v>0</v>
      </c>
      <c r="M13" s="21">
        <f>IFERROR(VLOOKUP(F13&amp;"B"&amp;G13,'Bolting Chart'!$1:$1048576,4,0),0)</f>
        <v>0</v>
      </c>
      <c r="N13" s="21">
        <f t="shared" si="0"/>
        <v>0</v>
      </c>
      <c r="O13" s="21">
        <f>(IFERROR(INDEX('Bolting Chart'!$A$169:$R$251,MATCH(L13,'Bolting Chart'!$A$170:$A$251,0),MATCH(IFERROR(VLOOKUP(F13&amp;"B"&amp;G13,'Bolting Chart'!$1:$1048576,7,0),0)+0,'Bolting Chart'!$A$169:$R$169,0)),0))/100</f>
        <v>0</v>
      </c>
      <c r="P13" s="21">
        <f t="shared" si="1"/>
        <v>0</v>
      </c>
      <c r="Q13" s="21">
        <f t="shared" si="2"/>
        <v>0</v>
      </c>
      <c r="R13" s="874"/>
      <c r="S13" s="874"/>
      <c r="T13" s="21">
        <f t="shared" si="3"/>
        <v>0</v>
      </c>
      <c r="U13" s="611">
        <f t="shared" si="4"/>
        <v>0</v>
      </c>
      <c r="V13" s="698"/>
      <c r="W13" s="684"/>
      <c r="X13" s="698"/>
      <c r="Y13" s="713"/>
      <c r="Z13" s="875"/>
      <c r="AA13" s="695"/>
      <c r="AB13" s="694"/>
      <c r="AC13" s="697"/>
      <c r="AD13" s="337">
        <f>COUNTIF($H$3:H13,"Welding Neck")+COUNTIF($H$3:H13,"LWN")</f>
        <v>0</v>
      </c>
      <c r="AE13" s="615">
        <f>IF(C13=0,0,IF(COUNTIF($AD$3:AD13,AD13)&gt;=2,0,AD13))</f>
        <v>0</v>
      </c>
      <c r="AF13" s="607">
        <f t="shared" si="5"/>
        <v>0</v>
      </c>
      <c r="AG13" s="607">
        <f t="shared" si="6"/>
        <v>0</v>
      </c>
      <c r="AH13" s="607">
        <f t="shared" si="7"/>
        <v>0</v>
      </c>
      <c r="AI13" s="616">
        <f t="shared" si="8"/>
        <v>0</v>
      </c>
      <c r="AJ13" s="615">
        <f>IF(C13=0,0,IF(COUNTIF($AD$3:AD13,AD13)&gt;=2,0,AD13))</f>
        <v>0</v>
      </c>
      <c r="AK13" s="607">
        <f t="shared" si="9"/>
        <v>0</v>
      </c>
      <c r="AL13" s="607">
        <f t="shared" si="10"/>
        <v>0</v>
      </c>
      <c r="AM13" s="607">
        <f t="shared" si="11"/>
        <v>0</v>
      </c>
      <c r="AN13" s="616">
        <f t="shared" si="12"/>
        <v>0</v>
      </c>
    </row>
    <row r="14" spans="1:40" x14ac:dyDescent="0.3">
      <c r="A14" s="21">
        <f t="shared" si="13"/>
        <v>4</v>
      </c>
      <c r="B14" s="21" t="str">
        <f>VLOOKUP(A14,'Equip&amp;Mach List'!$1:$1048576,2,0)</f>
        <v>D-102</v>
      </c>
      <c r="C14" s="21" t="str">
        <f>VLOOKUP(A14,'Equip&amp;Mach List'!$1:$1048576,3,0)</f>
        <v>Hydrogen gas/water separator</v>
      </c>
      <c r="D14" s="21" t="str">
        <f>VLOOKUP(A14,'Equip&amp;Mach List'!$1:$1048576,4,0)</f>
        <v>Vessel</v>
      </c>
      <c r="E14" s="21" t="s">
        <v>353</v>
      </c>
      <c r="F14" s="21">
        <f>IFERROR(VLOOKUP($A14&amp;"."&amp;$E14&amp;" "&amp;F$3,'Equipment Weight Calc'!$L:$M,2,0),0)</f>
        <v>0</v>
      </c>
      <c r="G14" s="21">
        <f>IFERROR(VLOOKUP($A14&amp;"."&amp;$E14&amp;" "&amp;G$3,'Equipment Weight Calc'!$L:$M,2,0),0)</f>
        <v>0</v>
      </c>
      <c r="H14" s="21">
        <f>IFERROR(VLOOKUP($A14&amp;"."&amp;$E14&amp;" "&amp;H$3,'Equipment Weight Calc'!$L:$M,2,0),0)</f>
        <v>0</v>
      </c>
      <c r="I14" s="21">
        <f>IFERROR(VLOOKUP($A14&amp;"."&amp;$E14&amp;" "&amp;I$3,'Equipment Weight Calc'!$L:$M,2,0),0)</f>
        <v>0</v>
      </c>
      <c r="J14" s="873" t="s">
        <v>77</v>
      </c>
      <c r="K14" s="121">
        <f>IFERROR(VLOOKUP(F14&amp;"B"&amp;G14,'Bolting Chart'!$1:$1048576,IF(K$4="UNC",5,6),0),0)</f>
        <v>0</v>
      </c>
      <c r="L14" s="21">
        <f>IFERROR(VLOOKUP(F14&amp;"B"&amp;G14,'Bolting Chart'!$1:$1048576,9,0),0)</f>
        <v>0</v>
      </c>
      <c r="M14" s="21">
        <f>IFERROR(VLOOKUP(F14&amp;"B"&amp;G14,'Bolting Chart'!$1:$1048576,4,0),0)</f>
        <v>0</v>
      </c>
      <c r="N14" s="21">
        <f t="shared" si="0"/>
        <v>0</v>
      </c>
      <c r="O14" s="21">
        <f>(IFERROR(INDEX('Bolting Chart'!$A$169:$R$251,MATCH(L14,'Bolting Chart'!$A$170:$A$251,0),MATCH(IFERROR(VLOOKUP(F14&amp;"B"&amp;G14,'Bolting Chart'!$1:$1048576,7,0),0)+0,'Bolting Chart'!$A$169:$R$169,0)),0))/100</f>
        <v>0</v>
      </c>
      <c r="P14" s="21">
        <f t="shared" si="1"/>
        <v>0</v>
      </c>
      <c r="Q14" s="21">
        <f t="shared" si="2"/>
        <v>0</v>
      </c>
      <c r="R14" s="873" t="s">
        <v>2108</v>
      </c>
      <c r="S14" s="873" t="s">
        <v>2109</v>
      </c>
      <c r="T14" s="21">
        <f t="shared" si="3"/>
        <v>0</v>
      </c>
      <c r="U14" s="611">
        <f t="shared" si="4"/>
        <v>0</v>
      </c>
      <c r="V14" s="694">
        <v>0.1</v>
      </c>
      <c r="W14" s="695">
        <v>5</v>
      </c>
      <c r="X14" s="698">
        <v>2</v>
      </c>
      <c r="Y14" s="713">
        <v>2</v>
      </c>
      <c r="Z14" s="875">
        <v>0.1</v>
      </c>
      <c r="AA14" s="695">
        <v>5</v>
      </c>
      <c r="AB14" s="698">
        <v>2</v>
      </c>
      <c r="AC14" s="684">
        <v>2</v>
      </c>
      <c r="AD14" s="337">
        <f>COUNTIF($H$3:H14,"Welding Neck")+COUNTIF($H$3:H14,"LWN")</f>
        <v>0</v>
      </c>
      <c r="AE14" s="615">
        <f>IF(C14=0,0,IF(COUNTIF($AD$3:AD14,AD14)&gt;=2,0,AD14))</f>
        <v>0</v>
      </c>
      <c r="AF14" s="607">
        <f t="shared" si="5"/>
        <v>0</v>
      </c>
      <c r="AG14" s="607">
        <f t="shared" si="6"/>
        <v>0</v>
      </c>
      <c r="AH14" s="607">
        <f>IF(AE14=0,0,"Material "&amp;R14&amp;" Type "&amp;S14&amp;" DN "&amp;F14&amp;"'' ANSI Rating "&amp;G14&amp;"#")</f>
        <v>0</v>
      </c>
      <c r="AI14" s="616">
        <f t="shared" si="8"/>
        <v>0</v>
      </c>
      <c r="AJ14" s="615">
        <f>IF(C14=0,0,IF(COUNTIF($AD$3:AD14,AD14)&gt;=2,0,AD14))</f>
        <v>0</v>
      </c>
      <c r="AK14" s="607">
        <f t="shared" si="9"/>
        <v>0</v>
      </c>
      <c r="AL14" s="607">
        <f t="shared" si="10"/>
        <v>0</v>
      </c>
      <c r="AM14" s="607">
        <f t="shared" si="11"/>
        <v>0</v>
      </c>
      <c r="AN14" s="616">
        <f t="shared" si="12"/>
        <v>0</v>
      </c>
    </row>
    <row r="15" spans="1:40" x14ac:dyDescent="0.3">
      <c r="A15" s="21">
        <f t="shared" si="13"/>
        <v>4</v>
      </c>
      <c r="B15" s="21" t="str">
        <f>VLOOKUP(A15,'Equip&amp;Mach List'!$1:$1048576,2,0)</f>
        <v>D-102</v>
      </c>
      <c r="C15" s="21" t="str">
        <f>VLOOKUP(A15,'Equip&amp;Mach List'!$1:$1048576,3,0)</f>
        <v>Hydrogen gas/water separator</v>
      </c>
      <c r="D15" s="21" t="str">
        <f>VLOOKUP(A15,'Equip&amp;Mach List'!$1:$1048576,4,0)</f>
        <v>Vessel</v>
      </c>
      <c r="E15" s="21" t="s">
        <v>354</v>
      </c>
      <c r="F15" s="21">
        <f>IFERROR(VLOOKUP($A15&amp;"."&amp;$E15&amp;" "&amp;F$3,'Equipment Weight Calc'!$L:$M,2,0),0)</f>
        <v>0</v>
      </c>
      <c r="G15" s="21">
        <f>IFERROR(VLOOKUP($A15&amp;"."&amp;$E15&amp;" "&amp;G$3,'Equipment Weight Calc'!$L:$M,2,0),0)</f>
        <v>0</v>
      </c>
      <c r="H15" s="21">
        <f>IFERROR(VLOOKUP($A15&amp;"."&amp;$E15&amp;" "&amp;H$3,'Equipment Weight Calc'!$L:$M,2,0),0)</f>
        <v>0</v>
      </c>
      <c r="I15" s="21">
        <f>IFERROR(VLOOKUP($A15&amp;"."&amp;$E15&amp;" "&amp;I$3,'Equipment Weight Calc'!$L:$M,2,0),0)</f>
        <v>0</v>
      </c>
      <c r="J15" s="874"/>
      <c r="K15" s="121">
        <f>IFERROR(VLOOKUP(F15&amp;"B"&amp;G15,'Bolting Chart'!$1:$1048576,IF(K$4="UNC",5,6),0),0)</f>
        <v>0</v>
      </c>
      <c r="L15" s="21">
        <f>IFERROR(VLOOKUP(F15&amp;"B"&amp;G15,'Bolting Chart'!$1:$1048576,9,0),0)</f>
        <v>0</v>
      </c>
      <c r="M15" s="21">
        <f>IFERROR(VLOOKUP(F15&amp;"B"&amp;G15,'Bolting Chart'!$1:$1048576,4,0),0)</f>
        <v>0</v>
      </c>
      <c r="N15" s="21">
        <f t="shared" si="0"/>
        <v>0</v>
      </c>
      <c r="O15" s="21">
        <f>(IFERROR(INDEX('Bolting Chart'!$A$169:$R$251,MATCH(L15,'Bolting Chart'!$A$170:$A$251,0),MATCH(IFERROR(VLOOKUP(F15&amp;"B"&amp;G15,'Bolting Chart'!$1:$1048576,7,0),0)+0,'Bolting Chart'!$A$169:$R$169,0)),0))/100</f>
        <v>0</v>
      </c>
      <c r="P15" s="21">
        <f t="shared" si="1"/>
        <v>0</v>
      </c>
      <c r="Q15" s="21">
        <f t="shared" si="2"/>
        <v>0</v>
      </c>
      <c r="R15" s="874"/>
      <c r="S15" s="874"/>
      <c r="T15" s="21">
        <f t="shared" si="3"/>
        <v>0</v>
      </c>
      <c r="U15" s="611">
        <f t="shared" si="4"/>
        <v>0</v>
      </c>
      <c r="V15" s="698"/>
      <c r="W15" s="684"/>
      <c r="X15" s="698"/>
      <c r="Y15" s="684"/>
      <c r="Z15" s="696"/>
      <c r="AA15" s="695"/>
      <c r="AB15" s="694"/>
      <c r="AC15" s="697"/>
      <c r="AD15" s="337">
        <f>COUNTIF($H$3:H15,"Welding Neck")+COUNTIF($H$3:H15,"LWN")</f>
        <v>0</v>
      </c>
      <c r="AE15" s="615">
        <f>IF(C15=0,0,IF(COUNTIF($AD$3:AD15,AD15)&gt;=2,0,AD15))</f>
        <v>0</v>
      </c>
      <c r="AF15" s="607">
        <f t="shared" si="5"/>
        <v>0</v>
      </c>
      <c r="AG15" s="607">
        <f t="shared" si="6"/>
        <v>0</v>
      </c>
      <c r="AH15" s="607">
        <f t="shared" si="7"/>
        <v>0</v>
      </c>
      <c r="AI15" s="616">
        <f t="shared" si="8"/>
        <v>0</v>
      </c>
      <c r="AJ15" s="615">
        <f>IF(C15=0,0,IF(COUNTIF($AD$3:AD15,AD15)&gt;=2,0,AD15))</f>
        <v>0</v>
      </c>
      <c r="AK15" s="607">
        <f t="shared" si="9"/>
        <v>0</v>
      </c>
      <c r="AL15" s="607">
        <f t="shared" si="10"/>
        <v>0</v>
      </c>
      <c r="AM15" s="607">
        <f t="shared" si="11"/>
        <v>0</v>
      </c>
      <c r="AN15" s="616">
        <f t="shared" si="12"/>
        <v>0</v>
      </c>
    </row>
    <row r="16" spans="1:40" x14ac:dyDescent="0.3">
      <c r="A16" s="21">
        <f t="shared" si="13"/>
        <v>4</v>
      </c>
      <c r="B16" s="21" t="str">
        <f>VLOOKUP(A16,'Equip&amp;Mach List'!$1:$1048576,2,0)</f>
        <v>D-102</v>
      </c>
      <c r="C16" s="21" t="str">
        <f>VLOOKUP(A16,'Equip&amp;Mach List'!$1:$1048576,3,0)</f>
        <v>Hydrogen gas/water separator</v>
      </c>
      <c r="D16" s="21" t="str">
        <f>VLOOKUP(A16,'Equip&amp;Mach List'!$1:$1048576,4,0)</f>
        <v>Vessel</v>
      </c>
      <c r="E16" s="21" t="s">
        <v>355</v>
      </c>
      <c r="F16" s="21">
        <f>IFERROR(VLOOKUP($A16&amp;"."&amp;$E16&amp;" "&amp;F$3,'Equipment Weight Calc'!$L:$M,2,0),0)</f>
        <v>0</v>
      </c>
      <c r="G16" s="21">
        <f>IFERROR(VLOOKUP($A16&amp;"."&amp;$E16&amp;" "&amp;G$3,'Equipment Weight Calc'!$L:$M,2,0),0)</f>
        <v>0</v>
      </c>
      <c r="H16" s="21">
        <f>IFERROR(VLOOKUP($A16&amp;"."&amp;$E16&amp;" "&amp;H$3,'Equipment Weight Calc'!$L:$M,2,0),0)</f>
        <v>0</v>
      </c>
      <c r="I16" s="21">
        <f>IFERROR(VLOOKUP($A16&amp;"."&amp;$E16&amp;" "&amp;I$3,'Equipment Weight Calc'!$L:$M,2,0),0)</f>
        <v>0</v>
      </c>
      <c r="J16" s="874"/>
      <c r="K16" s="121">
        <f>IFERROR(VLOOKUP(F16&amp;"B"&amp;G16,'Bolting Chart'!$1:$1048576,IF(K$4="UNC",5,6),0),0)</f>
        <v>0</v>
      </c>
      <c r="L16" s="21">
        <f>IFERROR(VLOOKUP(F16&amp;"B"&amp;G16,'Bolting Chart'!$1:$1048576,9,0),0)</f>
        <v>0</v>
      </c>
      <c r="M16" s="21">
        <f>IFERROR(VLOOKUP(F16&amp;"B"&amp;G16,'Bolting Chart'!$1:$1048576,4,0),0)</f>
        <v>0</v>
      </c>
      <c r="N16" s="21">
        <f t="shared" si="0"/>
        <v>0</v>
      </c>
      <c r="O16" s="21">
        <f>(IFERROR(INDEX('Bolting Chart'!$A$169:$R$251,MATCH(L16,'Bolting Chart'!$A$170:$A$251,0),MATCH(IFERROR(VLOOKUP(F16&amp;"B"&amp;G16,'Bolting Chart'!$1:$1048576,7,0),0)+0,'Bolting Chart'!$A$169:$R$169,0)),0))/100</f>
        <v>0</v>
      </c>
      <c r="P16" s="21">
        <f t="shared" si="1"/>
        <v>0</v>
      </c>
      <c r="Q16" s="21">
        <f t="shared" si="2"/>
        <v>0</v>
      </c>
      <c r="R16" s="874"/>
      <c r="S16" s="874"/>
      <c r="T16" s="21">
        <f t="shared" si="3"/>
        <v>0</v>
      </c>
      <c r="U16" s="611">
        <f t="shared" si="4"/>
        <v>0</v>
      </c>
      <c r="V16" s="698"/>
      <c r="W16" s="684"/>
      <c r="X16" s="698"/>
      <c r="Y16" s="684"/>
      <c r="Z16" s="696"/>
      <c r="AA16" s="695"/>
      <c r="AB16" s="694"/>
      <c r="AC16" s="697"/>
      <c r="AD16" s="337">
        <f>COUNTIF($H$3:H16,"Welding Neck")+COUNTIF($H$3:H16,"LWN")</f>
        <v>0</v>
      </c>
      <c r="AE16" s="615">
        <f>IF(C16=0,0,IF(COUNTIF($AD$3:AD16,AD16)&gt;=2,0,AD16))</f>
        <v>0</v>
      </c>
      <c r="AF16" s="607">
        <f t="shared" si="5"/>
        <v>0</v>
      </c>
      <c r="AG16" s="607">
        <f t="shared" si="6"/>
        <v>0</v>
      </c>
      <c r="AH16" s="607">
        <f t="shared" si="7"/>
        <v>0</v>
      </c>
      <c r="AI16" s="616">
        <f t="shared" si="8"/>
        <v>0</v>
      </c>
      <c r="AJ16" s="615">
        <f>IF(C16=0,0,IF(COUNTIF($AD$3:AD16,AD16)&gt;=2,0,AD16))</f>
        <v>0</v>
      </c>
      <c r="AK16" s="607">
        <f t="shared" si="9"/>
        <v>0</v>
      </c>
      <c r="AL16" s="607">
        <f t="shared" si="10"/>
        <v>0</v>
      </c>
      <c r="AM16" s="607">
        <f t="shared" si="11"/>
        <v>0</v>
      </c>
      <c r="AN16" s="616">
        <f t="shared" si="12"/>
        <v>0</v>
      </c>
    </row>
    <row r="17" spans="1:40" x14ac:dyDescent="0.3">
      <c r="A17" s="21">
        <f t="shared" si="13"/>
        <v>5</v>
      </c>
      <c r="B17" s="21">
        <f>VLOOKUP(A17,'Equip&amp;Mach List'!$1:$1048576,2,0)</f>
        <v>0</v>
      </c>
      <c r="C17" s="21">
        <f>VLOOKUP(A17,'Equip&amp;Mach List'!$1:$1048576,3,0)</f>
        <v>0</v>
      </c>
      <c r="D17" s="21">
        <f>VLOOKUP(A17,'Equip&amp;Mach List'!$1:$1048576,4,0)</f>
        <v>0</v>
      </c>
      <c r="E17" s="21" t="s">
        <v>353</v>
      </c>
      <c r="F17" s="21">
        <f>IFERROR(VLOOKUP($A17&amp;"."&amp;$E17&amp;" "&amp;F$3,'Equipment Weight Calc'!$L:$M,2,0),0)</f>
        <v>0</v>
      </c>
      <c r="G17" s="21">
        <f>IFERROR(VLOOKUP($A17&amp;"."&amp;$E17&amp;" "&amp;G$3,'Equipment Weight Calc'!$L:$M,2,0),0)</f>
        <v>0</v>
      </c>
      <c r="H17" s="21">
        <f>IFERROR(VLOOKUP($A17&amp;"."&amp;$E17&amp;" "&amp;H$3,'Equipment Weight Calc'!$L:$M,2,0),0)</f>
        <v>0</v>
      </c>
      <c r="I17" s="21">
        <f>IFERROR(VLOOKUP($A17&amp;"."&amp;$E17&amp;" "&amp;I$3,'Equipment Weight Calc'!$L:$M,2,0),0)</f>
        <v>0</v>
      </c>
      <c r="J17" s="873" t="s">
        <v>77</v>
      </c>
      <c r="K17" s="121">
        <f>IFERROR(VLOOKUP(F17&amp;"B"&amp;G17,'Bolting Chart'!$1:$1048576,IF(K$4="UNC",5,6),0),0)</f>
        <v>0</v>
      </c>
      <c r="L17" s="21">
        <f>IFERROR(VLOOKUP(F17&amp;"B"&amp;G17,'Bolting Chart'!$1:$1048576,9,0),0)</f>
        <v>0</v>
      </c>
      <c r="M17" s="21">
        <f>IFERROR(VLOOKUP(F17&amp;"B"&amp;G17,'Bolting Chart'!$1:$1048576,4,0),0)</f>
        <v>0</v>
      </c>
      <c r="N17" s="21">
        <f t="shared" si="0"/>
        <v>0</v>
      </c>
      <c r="O17" s="21">
        <f>(IFERROR(INDEX('Bolting Chart'!$A$169:$R$251,MATCH(L17,'Bolting Chart'!$A$170:$A$251,0),MATCH(IFERROR(VLOOKUP(F17&amp;"B"&amp;G17,'Bolting Chart'!$1:$1048576,7,0),0)+0,'Bolting Chart'!$A$169:$R$169,0)),0))/100</f>
        <v>0</v>
      </c>
      <c r="P17" s="21">
        <f t="shared" si="1"/>
        <v>0</v>
      </c>
      <c r="Q17" s="21">
        <f t="shared" si="2"/>
        <v>0</v>
      </c>
      <c r="R17" s="873" t="s">
        <v>2108</v>
      </c>
      <c r="S17" s="873" t="s">
        <v>2109</v>
      </c>
      <c r="T17" s="21">
        <f t="shared" si="3"/>
        <v>0</v>
      </c>
      <c r="U17" s="611">
        <f t="shared" si="4"/>
        <v>0</v>
      </c>
      <c r="V17" s="694">
        <v>0.1</v>
      </c>
      <c r="W17" s="695">
        <v>5</v>
      </c>
      <c r="X17" s="698">
        <v>2</v>
      </c>
      <c r="Y17" s="713">
        <v>2</v>
      </c>
      <c r="Z17" s="875">
        <v>0.1</v>
      </c>
      <c r="AA17" s="695">
        <v>5</v>
      </c>
      <c r="AB17" s="698">
        <v>2</v>
      </c>
      <c r="AC17" s="684">
        <v>2</v>
      </c>
      <c r="AD17" s="337">
        <f>COUNTIF($H$3:H17,"Welding Neck")+COUNTIF($H$3:H17,"LWN")</f>
        <v>0</v>
      </c>
      <c r="AE17" s="615">
        <f>IF(C17=0,0,IF(COUNTIF($AD$3:AD17,AD17)&gt;=2,0,AD17))</f>
        <v>0</v>
      </c>
      <c r="AF17" s="607">
        <f t="shared" si="5"/>
        <v>0</v>
      </c>
      <c r="AG17" s="607">
        <f t="shared" si="6"/>
        <v>0</v>
      </c>
      <c r="AH17" s="607">
        <f t="shared" si="7"/>
        <v>0</v>
      </c>
      <c r="AI17" s="616">
        <f t="shared" si="8"/>
        <v>0</v>
      </c>
      <c r="AJ17" s="615">
        <f>IF(C17=0,0,IF(COUNTIF($AD$3:AD17,AD17)&gt;=2,0,AD17))</f>
        <v>0</v>
      </c>
      <c r="AK17" s="607">
        <f t="shared" si="9"/>
        <v>0</v>
      </c>
      <c r="AL17" s="607">
        <f t="shared" si="10"/>
        <v>0</v>
      </c>
      <c r="AM17" s="607">
        <f t="shared" si="11"/>
        <v>0</v>
      </c>
      <c r="AN17" s="616">
        <f t="shared" si="12"/>
        <v>0</v>
      </c>
    </row>
    <row r="18" spans="1:40" x14ac:dyDescent="0.3">
      <c r="A18" s="21">
        <f t="shared" si="13"/>
        <v>5</v>
      </c>
      <c r="B18" s="21">
        <f>VLOOKUP(A18,'Equip&amp;Mach List'!$1:$1048576,2,0)</f>
        <v>0</v>
      </c>
      <c r="C18" s="21">
        <f>VLOOKUP(A18,'Equip&amp;Mach List'!$1:$1048576,3,0)</f>
        <v>0</v>
      </c>
      <c r="D18" s="21">
        <f>VLOOKUP(A18,'Equip&amp;Mach List'!$1:$1048576,4,0)</f>
        <v>0</v>
      </c>
      <c r="E18" s="21" t="s">
        <v>354</v>
      </c>
      <c r="F18" s="21">
        <f>IFERROR(VLOOKUP($A18&amp;"."&amp;$E18&amp;" "&amp;F$3,'Equipment Weight Calc'!$L:$M,2,0),0)</f>
        <v>0</v>
      </c>
      <c r="G18" s="21">
        <f>IFERROR(VLOOKUP($A18&amp;"."&amp;$E18&amp;" "&amp;G$3,'Equipment Weight Calc'!$L:$M,2,0),0)</f>
        <v>0</v>
      </c>
      <c r="H18" s="21">
        <f>IFERROR(VLOOKUP($A18&amp;"."&amp;$E18&amp;" "&amp;H$3,'Equipment Weight Calc'!$L:$M,2,0),0)</f>
        <v>0</v>
      </c>
      <c r="I18" s="21">
        <f>IFERROR(VLOOKUP($A18&amp;"."&amp;$E18&amp;" "&amp;I$3,'Equipment Weight Calc'!$L:$M,2,0),0)</f>
        <v>0</v>
      </c>
      <c r="J18" s="874"/>
      <c r="K18" s="121">
        <f>IFERROR(VLOOKUP(F18&amp;"B"&amp;G18,'Bolting Chart'!$1:$1048576,IF(K$4="UNC",5,6),0),0)</f>
        <v>0</v>
      </c>
      <c r="L18" s="21">
        <f>IFERROR(VLOOKUP(F18&amp;"B"&amp;G18,'Bolting Chart'!$1:$1048576,9,0),0)</f>
        <v>0</v>
      </c>
      <c r="M18" s="21">
        <f>IFERROR(VLOOKUP(F18&amp;"B"&amp;G18,'Bolting Chart'!$1:$1048576,4,0),0)</f>
        <v>0</v>
      </c>
      <c r="N18" s="21">
        <f t="shared" si="0"/>
        <v>0</v>
      </c>
      <c r="O18" s="21">
        <f>(IFERROR(INDEX('Bolting Chart'!$A$169:$R$251,MATCH(L18,'Bolting Chart'!$A$170:$A$251,0),MATCH(IFERROR(VLOOKUP(F18&amp;"B"&amp;G18,'Bolting Chart'!$1:$1048576,7,0),0)+0,'Bolting Chart'!$A$169:$R$169,0)),0))/100</f>
        <v>0</v>
      </c>
      <c r="P18" s="21">
        <f t="shared" si="1"/>
        <v>0</v>
      </c>
      <c r="Q18" s="21">
        <f t="shared" si="2"/>
        <v>0</v>
      </c>
      <c r="R18" s="874"/>
      <c r="S18" s="874"/>
      <c r="T18" s="21">
        <f t="shared" si="3"/>
        <v>0</v>
      </c>
      <c r="U18" s="611">
        <f t="shared" si="4"/>
        <v>0</v>
      </c>
      <c r="V18" s="698"/>
      <c r="W18" s="684"/>
      <c r="X18" s="698"/>
      <c r="Y18" s="684"/>
      <c r="Z18" s="696"/>
      <c r="AA18" s="695"/>
      <c r="AB18" s="694"/>
      <c r="AC18" s="697"/>
      <c r="AD18" s="337">
        <f>COUNTIF($H$3:H18,"Welding Neck")+COUNTIF($H$3:H18,"LWN")</f>
        <v>0</v>
      </c>
      <c r="AE18" s="615">
        <f>IF(C18=0,0,IF(COUNTIF($AD$3:AD18,AD18)&gt;=2,0,AD18))</f>
        <v>0</v>
      </c>
      <c r="AF18" s="607">
        <f t="shared" si="5"/>
        <v>0</v>
      </c>
      <c r="AG18" s="607">
        <f t="shared" si="6"/>
        <v>0</v>
      </c>
      <c r="AH18" s="607">
        <f t="shared" si="7"/>
        <v>0</v>
      </c>
      <c r="AI18" s="616">
        <f t="shared" si="8"/>
        <v>0</v>
      </c>
      <c r="AJ18" s="615">
        <f>IF(C18=0,0,IF(COUNTIF($AD$3:AD18,AD18)&gt;=2,0,AD18))</f>
        <v>0</v>
      </c>
      <c r="AK18" s="607">
        <f t="shared" si="9"/>
        <v>0</v>
      </c>
      <c r="AL18" s="607">
        <f t="shared" si="10"/>
        <v>0</v>
      </c>
      <c r="AM18" s="607">
        <f t="shared" si="11"/>
        <v>0</v>
      </c>
      <c r="AN18" s="616">
        <f t="shared" si="12"/>
        <v>0</v>
      </c>
    </row>
    <row r="19" spans="1:40" x14ac:dyDescent="0.3">
      <c r="A19" s="21">
        <f t="shared" si="13"/>
        <v>5</v>
      </c>
      <c r="B19" s="21">
        <f>VLOOKUP(A19,'Equip&amp;Mach List'!$1:$1048576,2,0)</f>
        <v>0</v>
      </c>
      <c r="C19" s="21">
        <f>VLOOKUP(A19,'Equip&amp;Mach List'!$1:$1048576,3,0)</f>
        <v>0</v>
      </c>
      <c r="D19" s="21">
        <f>VLOOKUP(A19,'Equip&amp;Mach List'!$1:$1048576,4,0)</f>
        <v>0</v>
      </c>
      <c r="E19" s="21" t="s">
        <v>355</v>
      </c>
      <c r="F19" s="21">
        <f>IFERROR(VLOOKUP($A19&amp;"."&amp;$E19&amp;" "&amp;F$3,'Equipment Weight Calc'!$L:$M,2,0),0)</f>
        <v>0</v>
      </c>
      <c r="G19" s="21">
        <f>IFERROR(VLOOKUP($A19&amp;"."&amp;$E19&amp;" "&amp;G$3,'Equipment Weight Calc'!$L:$M,2,0),0)</f>
        <v>0</v>
      </c>
      <c r="H19" s="21">
        <f>IFERROR(VLOOKUP($A19&amp;"."&amp;$E19&amp;" "&amp;H$3,'Equipment Weight Calc'!$L:$M,2,0),0)</f>
        <v>0</v>
      </c>
      <c r="I19" s="21">
        <f>IFERROR(VLOOKUP($A19&amp;"."&amp;$E19&amp;" "&amp;I$3,'Equipment Weight Calc'!$L:$M,2,0),0)</f>
        <v>0</v>
      </c>
      <c r="J19" s="874"/>
      <c r="K19" s="121">
        <f>IFERROR(VLOOKUP(F19&amp;"B"&amp;G19,'Bolting Chart'!$1:$1048576,IF(K$4="UNC",5,6),0),0)</f>
        <v>0</v>
      </c>
      <c r="L19" s="21">
        <f>IFERROR(VLOOKUP(F19&amp;"B"&amp;G19,'Bolting Chart'!$1:$1048576,9,0),0)</f>
        <v>0</v>
      </c>
      <c r="M19" s="21">
        <f>IFERROR(VLOOKUP(F19&amp;"B"&amp;G19,'Bolting Chart'!$1:$1048576,4,0),0)</f>
        <v>0</v>
      </c>
      <c r="N19" s="21">
        <f t="shared" si="0"/>
        <v>0</v>
      </c>
      <c r="O19" s="21">
        <f>(IFERROR(INDEX('Bolting Chart'!$A$169:$R$251,MATCH(L19,'Bolting Chart'!$A$170:$A$251,0),MATCH(IFERROR(VLOOKUP(F19&amp;"B"&amp;G19,'Bolting Chart'!$1:$1048576,7,0),0)+0,'Bolting Chart'!$A$169:$R$169,0)),0))/100</f>
        <v>0</v>
      </c>
      <c r="P19" s="21">
        <f t="shared" si="1"/>
        <v>0</v>
      </c>
      <c r="Q19" s="21">
        <f t="shared" si="2"/>
        <v>0</v>
      </c>
      <c r="R19" s="874"/>
      <c r="S19" s="874"/>
      <c r="T19" s="21">
        <f t="shared" si="3"/>
        <v>0</v>
      </c>
      <c r="U19" s="611">
        <f t="shared" si="4"/>
        <v>0</v>
      </c>
      <c r="V19" s="698"/>
      <c r="W19" s="684"/>
      <c r="X19" s="698"/>
      <c r="Y19" s="684"/>
      <c r="Z19" s="696"/>
      <c r="AA19" s="695"/>
      <c r="AB19" s="694"/>
      <c r="AC19" s="697"/>
      <c r="AD19" s="337">
        <f>COUNTIF($H$3:H19,"Welding Neck")+COUNTIF($H$3:H19,"LWN")</f>
        <v>0</v>
      </c>
      <c r="AE19" s="615">
        <f>IF(C19=0,0,IF(COUNTIF($AD$3:AD19,AD19)&gt;=2,0,AD19))</f>
        <v>0</v>
      </c>
      <c r="AF19" s="607">
        <f t="shared" si="5"/>
        <v>0</v>
      </c>
      <c r="AG19" s="607">
        <f t="shared" si="6"/>
        <v>0</v>
      </c>
      <c r="AH19" s="607">
        <f t="shared" si="7"/>
        <v>0</v>
      </c>
      <c r="AI19" s="616">
        <f t="shared" si="8"/>
        <v>0</v>
      </c>
      <c r="AJ19" s="615">
        <f>IF(C19=0,0,IF(COUNTIF($AD$3:AD19,AD19)&gt;=2,0,AD19))</f>
        <v>0</v>
      </c>
      <c r="AK19" s="607">
        <f t="shared" si="9"/>
        <v>0</v>
      </c>
      <c r="AL19" s="607">
        <f t="shared" si="10"/>
        <v>0</v>
      </c>
      <c r="AM19" s="607">
        <f t="shared" si="11"/>
        <v>0</v>
      </c>
      <c r="AN19" s="616">
        <f t="shared" si="12"/>
        <v>0</v>
      </c>
    </row>
    <row r="20" spans="1:40" x14ac:dyDescent="0.3">
      <c r="A20" s="21">
        <f t="shared" si="13"/>
        <v>6</v>
      </c>
      <c r="B20" s="21">
        <f>VLOOKUP(A20,'Equip&amp;Mach List'!$1:$1048576,2,0)</f>
        <v>0</v>
      </c>
      <c r="C20" s="21">
        <f>VLOOKUP(A20,'Equip&amp;Mach List'!$1:$1048576,3,0)</f>
        <v>0</v>
      </c>
      <c r="D20" s="21">
        <f>VLOOKUP(A20,'Equip&amp;Mach List'!$1:$1048576,4,0)</f>
        <v>0</v>
      </c>
      <c r="E20" s="21" t="s">
        <v>353</v>
      </c>
      <c r="F20" s="21">
        <f>IFERROR(VLOOKUP($A20&amp;"."&amp;$E20&amp;" "&amp;F$3,'Equipment Weight Calc'!$L:$M,2,0),0)</f>
        <v>0</v>
      </c>
      <c r="G20" s="21">
        <f>IFERROR(VLOOKUP($A20&amp;"."&amp;$E20&amp;" "&amp;G$3,'Equipment Weight Calc'!$L:$M,2,0),0)</f>
        <v>0</v>
      </c>
      <c r="H20" s="21">
        <f>IFERROR(VLOOKUP($A20&amp;"."&amp;$E20&amp;" "&amp;H$3,'Equipment Weight Calc'!$L:$M,2,0),0)</f>
        <v>0</v>
      </c>
      <c r="I20" s="21">
        <f>IFERROR(VLOOKUP($A20&amp;"."&amp;$E20&amp;" "&amp;I$3,'Equipment Weight Calc'!$L:$M,2,0),0)</f>
        <v>0</v>
      </c>
      <c r="J20" s="873" t="s">
        <v>77</v>
      </c>
      <c r="K20" s="121">
        <f>IFERROR(VLOOKUP(F20&amp;"B"&amp;G20,'Bolting Chart'!$1:$1048576,IF(K$4="UNC",5,6),0),0)</f>
        <v>0</v>
      </c>
      <c r="L20" s="21">
        <f>IFERROR(VLOOKUP(F20&amp;"B"&amp;G20,'Bolting Chart'!$1:$1048576,9,0),0)</f>
        <v>0</v>
      </c>
      <c r="M20" s="21">
        <f>IFERROR(VLOOKUP(F20&amp;"B"&amp;G20,'Bolting Chart'!$1:$1048576,4,0),0)</f>
        <v>0</v>
      </c>
      <c r="N20" s="21">
        <f t="shared" si="0"/>
        <v>0</v>
      </c>
      <c r="O20" s="21">
        <f>(IFERROR(INDEX('Bolting Chart'!$A$169:$R$251,MATCH(L20,'Bolting Chart'!$A$170:$A$251,0),MATCH(IFERROR(VLOOKUP(F20&amp;"B"&amp;G20,'Bolting Chart'!$1:$1048576,7,0),0)+0,'Bolting Chart'!$A$169:$R$169,0)),0))/100</f>
        <v>0</v>
      </c>
      <c r="P20" s="21">
        <f t="shared" si="1"/>
        <v>0</v>
      </c>
      <c r="Q20" s="21">
        <f t="shared" si="2"/>
        <v>0</v>
      </c>
      <c r="R20" s="873" t="s">
        <v>2108</v>
      </c>
      <c r="S20" s="873" t="s">
        <v>2109</v>
      </c>
      <c r="T20" s="21">
        <f t="shared" si="3"/>
        <v>0</v>
      </c>
      <c r="U20" s="611">
        <f t="shared" si="4"/>
        <v>0</v>
      </c>
      <c r="V20" s="694">
        <v>0.1</v>
      </c>
      <c r="W20" s="695">
        <v>5</v>
      </c>
      <c r="X20" s="698">
        <v>2</v>
      </c>
      <c r="Y20" s="713">
        <v>2</v>
      </c>
      <c r="Z20" s="875">
        <v>0.1</v>
      </c>
      <c r="AA20" s="695">
        <v>5</v>
      </c>
      <c r="AB20" s="698">
        <v>2</v>
      </c>
      <c r="AC20" s="684">
        <v>2</v>
      </c>
      <c r="AD20" s="337">
        <f>COUNTIF($H$3:H20,"Welding Neck")+COUNTIF($H$3:H20,"LWN")</f>
        <v>0</v>
      </c>
      <c r="AE20" s="615">
        <f>IF(C20=0,0,IF(COUNTIF($AD$3:AD20,AD20)&gt;=2,0,AD20))</f>
        <v>0</v>
      </c>
      <c r="AF20" s="607">
        <f t="shared" si="5"/>
        <v>0</v>
      </c>
      <c r="AG20" s="607">
        <f t="shared" si="6"/>
        <v>0</v>
      </c>
      <c r="AH20" s="607">
        <f t="shared" si="7"/>
        <v>0</v>
      </c>
      <c r="AI20" s="616">
        <f t="shared" si="8"/>
        <v>0</v>
      </c>
      <c r="AJ20" s="615">
        <f>IF(C20=0,0,IF(COUNTIF($AD$3:AD20,AD20)&gt;=2,0,AD20))</f>
        <v>0</v>
      </c>
      <c r="AK20" s="607">
        <f t="shared" si="9"/>
        <v>0</v>
      </c>
      <c r="AL20" s="607">
        <f t="shared" si="10"/>
        <v>0</v>
      </c>
      <c r="AM20" s="607">
        <f t="shared" si="11"/>
        <v>0</v>
      </c>
      <c r="AN20" s="616">
        <f t="shared" si="12"/>
        <v>0</v>
      </c>
    </row>
    <row r="21" spans="1:40" x14ac:dyDescent="0.3">
      <c r="A21" s="21">
        <f t="shared" si="13"/>
        <v>6</v>
      </c>
      <c r="B21" s="21">
        <f>VLOOKUP(A21,'Equip&amp;Mach List'!$1:$1048576,2,0)</f>
        <v>0</v>
      </c>
      <c r="C21" s="21">
        <f>VLOOKUP(A21,'Equip&amp;Mach List'!$1:$1048576,3,0)</f>
        <v>0</v>
      </c>
      <c r="D21" s="21">
        <f>VLOOKUP(A21,'Equip&amp;Mach List'!$1:$1048576,4,0)</f>
        <v>0</v>
      </c>
      <c r="E21" s="21" t="s">
        <v>354</v>
      </c>
      <c r="F21" s="21">
        <f>IFERROR(VLOOKUP($A21&amp;"."&amp;$E21&amp;" "&amp;F$3,'Equipment Weight Calc'!$L:$M,2,0),0)</f>
        <v>0</v>
      </c>
      <c r="G21" s="21">
        <f>IFERROR(VLOOKUP($A21&amp;"."&amp;$E21&amp;" "&amp;G$3,'Equipment Weight Calc'!$L:$M,2,0),0)</f>
        <v>0</v>
      </c>
      <c r="H21" s="21">
        <f>IFERROR(VLOOKUP($A21&amp;"."&amp;$E21&amp;" "&amp;H$3,'Equipment Weight Calc'!$L:$M,2,0),0)</f>
        <v>0</v>
      </c>
      <c r="I21" s="21">
        <f>IFERROR(VLOOKUP($A21&amp;"."&amp;$E21&amp;" "&amp;I$3,'Equipment Weight Calc'!$L:$M,2,0),0)</f>
        <v>0</v>
      </c>
      <c r="J21" s="874"/>
      <c r="K21" s="121">
        <f>IFERROR(VLOOKUP(F21&amp;"B"&amp;G21,'Bolting Chart'!$1:$1048576,IF(K$4="UNC",5,6),0),0)</f>
        <v>0</v>
      </c>
      <c r="L21" s="21">
        <f>IFERROR(VLOOKUP(F21&amp;"B"&amp;G21,'Bolting Chart'!$1:$1048576,9,0),0)</f>
        <v>0</v>
      </c>
      <c r="M21" s="21">
        <f>IFERROR(VLOOKUP(F21&amp;"B"&amp;G21,'Bolting Chart'!$1:$1048576,4,0),0)</f>
        <v>0</v>
      </c>
      <c r="N21" s="21">
        <f t="shared" si="0"/>
        <v>0</v>
      </c>
      <c r="O21" s="21">
        <f>(IFERROR(INDEX('Bolting Chart'!$A$169:$R$251,MATCH(L21,'Bolting Chart'!$A$170:$A$251,0),MATCH(IFERROR(VLOOKUP(F21&amp;"B"&amp;G21,'Bolting Chart'!$1:$1048576,7,0),0)+0,'Bolting Chart'!$A$169:$R$169,0)),0))/100</f>
        <v>0</v>
      </c>
      <c r="P21" s="21">
        <f t="shared" si="1"/>
        <v>0</v>
      </c>
      <c r="Q21" s="21">
        <f t="shared" si="2"/>
        <v>0</v>
      </c>
      <c r="R21" s="874"/>
      <c r="S21" s="874"/>
      <c r="T21" s="21">
        <f t="shared" si="3"/>
        <v>0</v>
      </c>
      <c r="U21" s="611">
        <f t="shared" si="4"/>
        <v>0</v>
      </c>
      <c r="V21" s="698"/>
      <c r="W21" s="684"/>
      <c r="X21" s="698"/>
      <c r="Y21" s="684"/>
      <c r="Z21" s="696"/>
      <c r="AA21" s="695"/>
      <c r="AB21" s="694"/>
      <c r="AC21" s="697"/>
      <c r="AD21" s="337">
        <f>COUNTIF($H$3:H21,"Welding Neck")+COUNTIF($H$3:H21,"LWN")</f>
        <v>0</v>
      </c>
      <c r="AE21" s="615">
        <f>IF(C21=0,0,IF(COUNTIF($AD$3:AD21,AD21)&gt;=2,0,AD21))</f>
        <v>0</v>
      </c>
      <c r="AF21" s="607">
        <f t="shared" si="5"/>
        <v>0</v>
      </c>
      <c r="AG21" s="607">
        <f t="shared" si="6"/>
        <v>0</v>
      </c>
      <c r="AH21" s="607">
        <f t="shared" si="7"/>
        <v>0</v>
      </c>
      <c r="AI21" s="616">
        <f t="shared" si="8"/>
        <v>0</v>
      </c>
      <c r="AJ21" s="615">
        <f>IF(C21=0,0,IF(COUNTIF($AD$3:AD21,AD21)&gt;=2,0,AD21))</f>
        <v>0</v>
      </c>
      <c r="AK21" s="607">
        <f t="shared" si="9"/>
        <v>0</v>
      </c>
      <c r="AL21" s="607">
        <f t="shared" si="10"/>
        <v>0</v>
      </c>
      <c r="AM21" s="607">
        <f t="shared" si="11"/>
        <v>0</v>
      </c>
      <c r="AN21" s="616">
        <f t="shared" si="12"/>
        <v>0</v>
      </c>
    </row>
    <row r="22" spans="1:40" x14ac:dyDescent="0.3">
      <c r="A22" s="21">
        <f t="shared" si="13"/>
        <v>6</v>
      </c>
      <c r="B22" s="21">
        <f>VLOOKUP(A22,'Equip&amp;Mach List'!$1:$1048576,2,0)</f>
        <v>0</v>
      </c>
      <c r="C22" s="21">
        <f>VLOOKUP(A22,'Equip&amp;Mach List'!$1:$1048576,3,0)</f>
        <v>0</v>
      </c>
      <c r="D22" s="21">
        <f>VLOOKUP(A22,'Equip&amp;Mach List'!$1:$1048576,4,0)</f>
        <v>0</v>
      </c>
      <c r="E22" s="21" t="s">
        <v>355</v>
      </c>
      <c r="F22" s="21">
        <f>IFERROR(VLOOKUP($A22&amp;"."&amp;$E22&amp;" "&amp;F$3,'Equipment Weight Calc'!$L:$M,2,0),0)</f>
        <v>0</v>
      </c>
      <c r="G22" s="21">
        <f>IFERROR(VLOOKUP($A22&amp;"."&amp;$E22&amp;" "&amp;G$3,'Equipment Weight Calc'!$L:$M,2,0),0)</f>
        <v>0</v>
      </c>
      <c r="H22" s="21">
        <f>IFERROR(VLOOKUP($A22&amp;"."&amp;$E22&amp;" "&amp;H$3,'Equipment Weight Calc'!$L:$M,2,0),0)</f>
        <v>0</v>
      </c>
      <c r="I22" s="21">
        <f>IFERROR(VLOOKUP($A22&amp;"."&amp;$E22&amp;" "&amp;I$3,'Equipment Weight Calc'!$L:$M,2,0),0)</f>
        <v>0</v>
      </c>
      <c r="J22" s="874"/>
      <c r="K22" s="121">
        <f>IFERROR(VLOOKUP(F22&amp;"B"&amp;G22,'Bolting Chart'!$1:$1048576,IF(K$4="UNC",5,6),0),0)</f>
        <v>0</v>
      </c>
      <c r="L22" s="21">
        <f>IFERROR(VLOOKUP(F22&amp;"B"&amp;G22,'Bolting Chart'!$1:$1048576,9,0),0)</f>
        <v>0</v>
      </c>
      <c r="M22" s="21">
        <f>IFERROR(VLOOKUP(F22&amp;"B"&amp;G22,'Bolting Chart'!$1:$1048576,4,0),0)</f>
        <v>0</v>
      </c>
      <c r="N22" s="21">
        <f t="shared" si="0"/>
        <v>0</v>
      </c>
      <c r="O22" s="21">
        <f>(IFERROR(INDEX('Bolting Chart'!$A$169:$R$251,MATCH(L22,'Bolting Chart'!$A$170:$A$251,0),MATCH(IFERROR(VLOOKUP(F22&amp;"B"&amp;G22,'Bolting Chart'!$1:$1048576,7,0),0)+0,'Bolting Chart'!$A$169:$R$169,0)),0))/100</f>
        <v>0</v>
      </c>
      <c r="P22" s="21">
        <f t="shared" si="1"/>
        <v>0</v>
      </c>
      <c r="Q22" s="21">
        <f t="shared" si="2"/>
        <v>0</v>
      </c>
      <c r="R22" s="874"/>
      <c r="S22" s="874"/>
      <c r="T22" s="21">
        <f t="shared" si="3"/>
        <v>0</v>
      </c>
      <c r="U22" s="611">
        <f t="shared" si="4"/>
        <v>0</v>
      </c>
      <c r="V22" s="698"/>
      <c r="W22" s="684"/>
      <c r="X22" s="698"/>
      <c r="Y22" s="684"/>
      <c r="Z22" s="696"/>
      <c r="AA22" s="695"/>
      <c r="AB22" s="694"/>
      <c r="AC22" s="697"/>
      <c r="AD22" s="337">
        <f>COUNTIF($H$3:H22,"Welding Neck")+COUNTIF($H$3:H22,"LWN")</f>
        <v>0</v>
      </c>
      <c r="AE22" s="615">
        <f>IF(C22=0,0,IF(COUNTIF($AD$3:AD22,AD22)&gt;=2,0,AD22))</f>
        <v>0</v>
      </c>
      <c r="AF22" s="607">
        <f t="shared" si="5"/>
        <v>0</v>
      </c>
      <c r="AG22" s="607">
        <f t="shared" si="6"/>
        <v>0</v>
      </c>
      <c r="AH22" s="607">
        <f t="shared" si="7"/>
        <v>0</v>
      </c>
      <c r="AI22" s="616">
        <f t="shared" si="8"/>
        <v>0</v>
      </c>
      <c r="AJ22" s="615">
        <f>IF(C22=0,0,IF(COUNTIF($AD$3:AD22,AD22)&gt;=2,0,AD22))</f>
        <v>0</v>
      </c>
      <c r="AK22" s="607">
        <f t="shared" si="9"/>
        <v>0</v>
      </c>
      <c r="AL22" s="607">
        <f t="shared" si="10"/>
        <v>0</v>
      </c>
      <c r="AM22" s="607">
        <f t="shared" si="11"/>
        <v>0</v>
      </c>
      <c r="AN22" s="616">
        <f t="shared" si="12"/>
        <v>0</v>
      </c>
    </row>
    <row r="23" spans="1:40" x14ac:dyDescent="0.3">
      <c r="A23" s="21">
        <f t="shared" si="13"/>
        <v>7</v>
      </c>
      <c r="B23" s="21">
        <f>VLOOKUP(A23,'Equip&amp;Mach List'!$1:$1048576,2,0)</f>
        <v>0</v>
      </c>
      <c r="C23" s="21">
        <f>VLOOKUP(A23,'Equip&amp;Mach List'!$1:$1048576,3,0)</f>
        <v>0</v>
      </c>
      <c r="D23" s="21">
        <f>VLOOKUP(A23,'Equip&amp;Mach List'!$1:$1048576,4,0)</f>
        <v>0</v>
      </c>
      <c r="E23" s="21" t="s">
        <v>353</v>
      </c>
      <c r="F23" s="21">
        <f>IFERROR(VLOOKUP($A23&amp;"."&amp;$E23&amp;" "&amp;F$3,'Equipment Weight Calc'!$L:$M,2,0),0)</f>
        <v>16</v>
      </c>
      <c r="G23" s="21">
        <f>IFERROR(VLOOKUP($A23&amp;"."&amp;$E23&amp;" "&amp;G$3,'Equipment Weight Calc'!$L:$M,2,0),0)</f>
        <v>150</v>
      </c>
      <c r="H23" s="21" t="str">
        <f>IFERROR(VLOOKUP($A23&amp;"."&amp;$E23&amp;" "&amp;H$3,'Equipment Weight Calc'!$L:$M,2,0),0)</f>
        <v>Blind</v>
      </c>
      <c r="I23" s="21">
        <f>IFERROR(VLOOKUP($A23&amp;"."&amp;$E23&amp;" "&amp;I$3,'Equipment Weight Calc'!$L:$M,2,0),0)</f>
        <v>0</v>
      </c>
      <c r="J23" s="873" t="s">
        <v>77</v>
      </c>
      <c r="K23" s="121">
        <f>IFERROR(VLOOKUP(F23&amp;"B"&amp;G23,'Bolting Chart'!$1:$1048576,IF(K$4="UNC",5,6),0),0)</f>
        <v>1</v>
      </c>
      <c r="L23" s="21">
        <f>IFERROR(VLOOKUP(F23&amp;"B"&amp;G23,'Bolting Chart'!$1:$1048576,9,0),0)</f>
        <v>150</v>
      </c>
      <c r="M23" s="21">
        <f>IFERROR(VLOOKUP(F23&amp;"B"&amp;G23,'Bolting Chart'!$1:$1048576,4,0),0)</f>
        <v>16</v>
      </c>
      <c r="N23" s="21">
        <f t="shared" si="0"/>
        <v>0</v>
      </c>
      <c r="O23" s="21">
        <f>(IFERROR(INDEX('Bolting Chart'!$A$169:$R$251,MATCH(L23,'Bolting Chart'!$A$170:$A$251,0),MATCH(IFERROR(VLOOKUP(F23&amp;"B"&amp;G23,'Bolting Chart'!$1:$1048576,7,0),0)+0,'Bolting Chart'!$A$169:$R$169,0)),0))/100</f>
        <v>0.90800000000000014</v>
      </c>
      <c r="P23" s="21">
        <f t="shared" si="1"/>
        <v>14.528000000000002</v>
      </c>
      <c r="Q23" s="21">
        <f t="shared" si="2"/>
        <v>0</v>
      </c>
      <c r="R23" s="873" t="s">
        <v>2108</v>
      </c>
      <c r="S23" s="873" t="s">
        <v>2109</v>
      </c>
      <c r="T23" s="21">
        <f t="shared" si="3"/>
        <v>150</v>
      </c>
      <c r="U23" s="611">
        <f t="shared" si="4"/>
        <v>0</v>
      </c>
      <c r="V23" s="694">
        <v>0.1</v>
      </c>
      <c r="W23" s="695">
        <v>5</v>
      </c>
      <c r="X23" s="698">
        <v>2</v>
      </c>
      <c r="Y23" s="713">
        <v>2</v>
      </c>
      <c r="Z23" s="875">
        <v>0.1</v>
      </c>
      <c r="AA23" s="695">
        <v>5</v>
      </c>
      <c r="AB23" s="698">
        <v>2</v>
      </c>
      <c r="AC23" s="684">
        <v>2</v>
      </c>
      <c r="AD23" s="337">
        <f>COUNTIF($H$3:H23,"Welding Neck")+COUNTIF($H$3:H23,"LWN")</f>
        <v>0</v>
      </c>
      <c r="AE23" s="615">
        <f>IF(C23=0,0,IF(COUNTIF($AD$3:AD23,AD23)&gt;=2,0,AD23))</f>
        <v>0</v>
      </c>
      <c r="AF23" s="607">
        <f t="shared" si="5"/>
        <v>0</v>
      </c>
      <c r="AG23" s="607">
        <f t="shared" si="6"/>
        <v>0</v>
      </c>
      <c r="AH23" s="607">
        <f t="shared" si="7"/>
        <v>0</v>
      </c>
      <c r="AI23" s="616">
        <f t="shared" si="8"/>
        <v>0</v>
      </c>
      <c r="AJ23" s="615">
        <f>IF(C23=0,0,IF(COUNTIF($AD$3:AD23,AD23)&gt;=2,0,AD23))</f>
        <v>0</v>
      </c>
      <c r="AK23" s="607">
        <f t="shared" si="9"/>
        <v>0</v>
      </c>
      <c r="AL23" s="607">
        <f t="shared" si="10"/>
        <v>0</v>
      </c>
      <c r="AM23" s="607">
        <f t="shared" si="11"/>
        <v>0</v>
      </c>
      <c r="AN23" s="616">
        <f t="shared" si="12"/>
        <v>0</v>
      </c>
    </row>
    <row r="24" spans="1:40" x14ac:dyDescent="0.3">
      <c r="A24" s="21">
        <f t="shared" si="13"/>
        <v>7</v>
      </c>
      <c r="B24" s="21">
        <f>VLOOKUP(A24,'Equip&amp;Mach List'!$1:$1048576,2,0)</f>
        <v>0</v>
      </c>
      <c r="C24" s="21">
        <f>VLOOKUP(A24,'Equip&amp;Mach List'!$1:$1048576,3,0)</f>
        <v>0</v>
      </c>
      <c r="D24" s="21">
        <f>VLOOKUP(A24,'Equip&amp;Mach List'!$1:$1048576,4,0)</f>
        <v>0</v>
      </c>
      <c r="E24" s="21" t="s">
        <v>354</v>
      </c>
      <c r="F24" s="21">
        <f>IFERROR(VLOOKUP($A24&amp;"."&amp;$E24&amp;" "&amp;F$3,'Equipment Weight Calc'!$L:$M,2,0),0)</f>
        <v>0</v>
      </c>
      <c r="G24" s="21">
        <f>IFERROR(VLOOKUP($A24&amp;"."&amp;$E24&amp;" "&amp;G$3,'Equipment Weight Calc'!$L:$M,2,0),0)</f>
        <v>0</v>
      </c>
      <c r="H24" s="21">
        <f>IFERROR(VLOOKUP($A24&amp;"."&amp;$E24&amp;" "&amp;H$3,'Equipment Weight Calc'!$L:$M,2,0),0)</f>
        <v>0</v>
      </c>
      <c r="I24" s="21">
        <f>IFERROR(VLOOKUP($A24&amp;"."&amp;$E24&amp;" "&amp;I$3,'Equipment Weight Calc'!$L:$M,2,0),0)</f>
        <v>0</v>
      </c>
      <c r="J24" s="874"/>
      <c r="K24" s="121">
        <f>IFERROR(VLOOKUP(F24&amp;"B"&amp;G24,'Bolting Chart'!$1:$1048576,IF(K$4="UNC",5,6),0),0)</f>
        <v>0</v>
      </c>
      <c r="L24" s="21">
        <f>IFERROR(VLOOKUP(F24&amp;"B"&amp;G24,'Bolting Chart'!$1:$1048576,9,0),0)</f>
        <v>0</v>
      </c>
      <c r="M24" s="21">
        <f>IFERROR(VLOOKUP(F24&amp;"B"&amp;G24,'Bolting Chart'!$1:$1048576,4,0),0)</f>
        <v>0</v>
      </c>
      <c r="N24" s="21">
        <f t="shared" si="0"/>
        <v>0</v>
      </c>
      <c r="O24" s="21">
        <f>(IFERROR(INDEX('Bolting Chart'!$A$169:$R$251,MATCH(L24,'Bolting Chart'!$A$170:$A$251,0),MATCH(IFERROR(VLOOKUP(F24&amp;"B"&amp;G24,'Bolting Chart'!$1:$1048576,7,0),0)+0,'Bolting Chart'!$A$169:$R$169,0)),0))/100</f>
        <v>0</v>
      </c>
      <c r="P24" s="21">
        <f t="shared" si="1"/>
        <v>0</v>
      </c>
      <c r="Q24" s="21">
        <f t="shared" si="2"/>
        <v>0</v>
      </c>
      <c r="R24" s="874"/>
      <c r="S24" s="874"/>
      <c r="T24" s="21">
        <f t="shared" si="3"/>
        <v>0</v>
      </c>
      <c r="U24" s="611">
        <f t="shared" si="4"/>
        <v>0</v>
      </c>
      <c r="V24" s="698"/>
      <c r="W24" s="684"/>
      <c r="X24" s="698"/>
      <c r="Y24" s="684"/>
      <c r="Z24" s="696"/>
      <c r="AA24" s="695"/>
      <c r="AB24" s="694"/>
      <c r="AC24" s="697"/>
      <c r="AD24" s="337">
        <f>COUNTIF($H$3:H24,"Welding Neck")+COUNTIF($H$3:H24,"LWN")</f>
        <v>0</v>
      </c>
      <c r="AE24" s="615">
        <f>IF(C24=0,0,IF(COUNTIF($AD$3:AD24,AD24)&gt;=2,0,AD24))</f>
        <v>0</v>
      </c>
      <c r="AF24" s="607">
        <f t="shared" si="5"/>
        <v>0</v>
      </c>
      <c r="AG24" s="607">
        <f t="shared" si="6"/>
        <v>0</v>
      </c>
      <c r="AH24" s="607">
        <f t="shared" si="7"/>
        <v>0</v>
      </c>
      <c r="AI24" s="616">
        <f t="shared" si="8"/>
        <v>0</v>
      </c>
      <c r="AJ24" s="615">
        <f>IF(C24=0,0,IF(COUNTIF($AD$3:AD24,AD24)&gt;=2,0,AD24))</f>
        <v>0</v>
      </c>
      <c r="AK24" s="607">
        <f t="shared" si="9"/>
        <v>0</v>
      </c>
      <c r="AL24" s="607">
        <f t="shared" si="10"/>
        <v>0</v>
      </c>
      <c r="AM24" s="607">
        <f t="shared" si="11"/>
        <v>0</v>
      </c>
      <c r="AN24" s="616">
        <f t="shared" si="12"/>
        <v>0</v>
      </c>
    </row>
    <row r="25" spans="1:40" x14ac:dyDescent="0.3">
      <c r="A25" s="21">
        <f t="shared" si="13"/>
        <v>7</v>
      </c>
      <c r="B25" s="21">
        <f>VLOOKUP(A25,'Equip&amp;Mach List'!$1:$1048576,2,0)</f>
        <v>0</v>
      </c>
      <c r="C25" s="21">
        <f>VLOOKUP(A25,'Equip&amp;Mach List'!$1:$1048576,3,0)</f>
        <v>0</v>
      </c>
      <c r="D25" s="21">
        <f>VLOOKUP(A25,'Equip&amp;Mach List'!$1:$1048576,4,0)</f>
        <v>0</v>
      </c>
      <c r="E25" s="21" t="s">
        <v>355</v>
      </c>
      <c r="F25" s="21">
        <f>IFERROR(VLOOKUP($A25&amp;"."&amp;$E25&amp;" "&amp;F$3,'Equipment Weight Calc'!$L:$M,2,0),0)</f>
        <v>0</v>
      </c>
      <c r="G25" s="21">
        <f>IFERROR(VLOOKUP($A25&amp;"."&amp;$E25&amp;" "&amp;G$3,'Equipment Weight Calc'!$L:$M,2,0),0)</f>
        <v>0</v>
      </c>
      <c r="H25" s="21">
        <f>IFERROR(VLOOKUP($A25&amp;"."&amp;$E25&amp;" "&amp;H$3,'Equipment Weight Calc'!$L:$M,2,0),0)</f>
        <v>0</v>
      </c>
      <c r="I25" s="21">
        <f>IFERROR(VLOOKUP($A25&amp;"."&amp;$E25&amp;" "&amp;I$3,'Equipment Weight Calc'!$L:$M,2,0),0)</f>
        <v>0</v>
      </c>
      <c r="J25" s="874"/>
      <c r="K25" s="121">
        <f>IFERROR(VLOOKUP(F25&amp;"B"&amp;G25,'Bolting Chart'!$1:$1048576,IF(K$4="UNC",5,6),0),0)</f>
        <v>0</v>
      </c>
      <c r="L25" s="21">
        <f>IFERROR(VLOOKUP(F25&amp;"B"&amp;G25,'Bolting Chart'!$1:$1048576,9,0),0)</f>
        <v>0</v>
      </c>
      <c r="M25" s="21">
        <f>IFERROR(VLOOKUP(F25&amp;"B"&amp;G25,'Bolting Chart'!$1:$1048576,4,0),0)</f>
        <v>0</v>
      </c>
      <c r="N25" s="21">
        <f t="shared" si="0"/>
        <v>0</v>
      </c>
      <c r="O25" s="21">
        <f>(IFERROR(INDEX('Bolting Chart'!$A$169:$R$251,MATCH(L25,'Bolting Chart'!$A$170:$A$251,0),MATCH(IFERROR(VLOOKUP(F25&amp;"B"&amp;G25,'Bolting Chart'!$1:$1048576,7,0),0)+0,'Bolting Chart'!$A$169:$R$169,0)),0))/100</f>
        <v>0</v>
      </c>
      <c r="P25" s="21">
        <f t="shared" si="1"/>
        <v>0</v>
      </c>
      <c r="Q25" s="21">
        <f t="shared" si="2"/>
        <v>0</v>
      </c>
      <c r="R25" s="874"/>
      <c r="S25" s="874"/>
      <c r="T25" s="21">
        <f t="shared" si="3"/>
        <v>0</v>
      </c>
      <c r="U25" s="611">
        <f t="shared" si="4"/>
        <v>0</v>
      </c>
      <c r="V25" s="698"/>
      <c r="W25" s="684"/>
      <c r="X25" s="698"/>
      <c r="Y25" s="684"/>
      <c r="Z25" s="696"/>
      <c r="AA25" s="695"/>
      <c r="AB25" s="694"/>
      <c r="AC25" s="697"/>
      <c r="AD25" s="337">
        <f>COUNTIF($H$3:H25,"Welding Neck")+COUNTIF($H$3:H25,"LWN")</f>
        <v>0</v>
      </c>
      <c r="AE25" s="615">
        <f>IF(C25=0,0,IF(COUNTIF($AD$3:AD25,AD25)&gt;=2,0,AD25))</f>
        <v>0</v>
      </c>
      <c r="AF25" s="607">
        <f t="shared" si="5"/>
        <v>0</v>
      </c>
      <c r="AG25" s="607">
        <f t="shared" si="6"/>
        <v>0</v>
      </c>
      <c r="AH25" s="607">
        <f t="shared" si="7"/>
        <v>0</v>
      </c>
      <c r="AI25" s="616">
        <f t="shared" si="8"/>
        <v>0</v>
      </c>
      <c r="AJ25" s="615">
        <f>IF(C25=0,0,IF(COUNTIF($AD$3:AD25,AD25)&gt;=2,0,AD25))</f>
        <v>0</v>
      </c>
      <c r="AK25" s="607">
        <f t="shared" si="9"/>
        <v>0</v>
      </c>
      <c r="AL25" s="607">
        <f t="shared" si="10"/>
        <v>0</v>
      </c>
      <c r="AM25" s="607">
        <f t="shared" si="11"/>
        <v>0</v>
      </c>
      <c r="AN25" s="616">
        <f t="shared" si="12"/>
        <v>0</v>
      </c>
    </row>
    <row r="26" spans="1:40" x14ac:dyDescent="0.3">
      <c r="A26" s="21">
        <f t="shared" si="13"/>
        <v>8</v>
      </c>
      <c r="B26" s="21">
        <f>VLOOKUP(A26,'Equip&amp;Mach List'!$1:$1048576,2,0)</f>
        <v>0</v>
      </c>
      <c r="C26" s="21">
        <f>VLOOKUP(A26,'Equip&amp;Mach List'!$1:$1048576,3,0)</f>
        <v>0</v>
      </c>
      <c r="D26" s="21">
        <f>VLOOKUP(A26,'Equip&amp;Mach List'!$1:$1048576,4,0)</f>
        <v>0</v>
      </c>
      <c r="E26" s="21" t="s">
        <v>353</v>
      </c>
      <c r="F26" s="21">
        <f>IFERROR(VLOOKUP($A26&amp;"."&amp;$E26&amp;" "&amp;F$3,'Equipment Weight Calc'!$L:$M,2,0),0)</f>
        <v>24</v>
      </c>
      <c r="G26" s="21">
        <f>IFERROR(VLOOKUP($A26&amp;"."&amp;$E26&amp;" "&amp;G$3,'Equipment Weight Calc'!$L:$M,2,0),0)</f>
        <v>150</v>
      </c>
      <c r="H26" s="21" t="str">
        <f>IFERROR(VLOOKUP($A26&amp;"."&amp;$E26&amp;" "&amp;H$3,'Equipment Weight Calc'!$L:$M,2,0),0)</f>
        <v>Welding Neck</v>
      </c>
      <c r="I26" s="21">
        <f>IFERROR(VLOOKUP($A26&amp;"."&amp;$E26&amp;" "&amp;I$3,'Equipment Weight Calc'!$L:$M,2,0),0)</f>
        <v>1</v>
      </c>
      <c r="J26" s="873" t="s">
        <v>77</v>
      </c>
      <c r="K26" s="121">
        <f>IFERROR(VLOOKUP(F26&amp;"B"&amp;G26,'Bolting Chart'!$1:$1048576,IF(K$4="UNC",5,6),0),0)</f>
        <v>1.25</v>
      </c>
      <c r="L26" s="21">
        <f>IFERROR(VLOOKUP(F26&amp;"B"&amp;G26,'Bolting Chart'!$1:$1048576,9,0),0)</f>
        <v>185</v>
      </c>
      <c r="M26" s="21">
        <f>IFERROR(VLOOKUP(F26&amp;"B"&amp;G26,'Bolting Chart'!$1:$1048576,4,0),0)</f>
        <v>20</v>
      </c>
      <c r="N26" s="21">
        <f t="shared" si="0"/>
        <v>20</v>
      </c>
      <c r="O26" s="21">
        <f>(IFERROR(INDEX('Bolting Chart'!$A$169:$R$251,MATCH(L26,'Bolting Chart'!$A$170:$A$251,0),MATCH(IFERROR(VLOOKUP(F26&amp;"B"&amp;G26,'Bolting Chart'!$1:$1048576,7,0),0)+0,'Bolting Chart'!$A$169:$R$169,0)),0))/100</f>
        <v>1.71</v>
      </c>
      <c r="P26" s="21">
        <f t="shared" si="1"/>
        <v>34.200000000000003</v>
      </c>
      <c r="Q26" s="21">
        <f t="shared" si="2"/>
        <v>34.200000000000003</v>
      </c>
      <c r="R26" s="873" t="s">
        <v>2108</v>
      </c>
      <c r="S26" s="873" t="s">
        <v>2109</v>
      </c>
      <c r="T26" s="21">
        <f t="shared" si="3"/>
        <v>150</v>
      </c>
      <c r="U26" s="611">
        <f t="shared" si="4"/>
        <v>1</v>
      </c>
      <c r="V26" s="694">
        <v>0.1</v>
      </c>
      <c r="W26" s="695">
        <v>5</v>
      </c>
      <c r="X26" s="698">
        <v>2</v>
      </c>
      <c r="Y26" s="713">
        <v>2</v>
      </c>
      <c r="Z26" s="875">
        <v>0.1</v>
      </c>
      <c r="AA26" s="695">
        <v>5</v>
      </c>
      <c r="AB26" s="698">
        <v>2</v>
      </c>
      <c r="AC26" s="684">
        <v>2</v>
      </c>
      <c r="AD26" s="337">
        <f>COUNTIF($H$3:H26,"Welding Neck")+COUNTIF($H$3:H26,"LWN")</f>
        <v>1</v>
      </c>
      <c r="AE26" s="615">
        <f>IF(C26=0,0,IF(COUNTIF($AD$3:AD26,AD26)&gt;=2,0,AD26))</f>
        <v>0</v>
      </c>
      <c r="AF26" s="607">
        <f t="shared" si="5"/>
        <v>0</v>
      </c>
      <c r="AG26" s="607">
        <f t="shared" si="6"/>
        <v>0</v>
      </c>
      <c r="AH26" s="607">
        <f t="shared" si="7"/>
        <v>0</v>
      </c>
      <c r="AI26" s="616">
        <f t="shared" si="8"/>
        <v>0</v>
      </c>
      <c r="AJ26" s="615">
        <f>IF(C26=0,0,IF(COUNTIF($AD$3:AD26,AD26)&gt;=2,0,AD26))</f>
        <v>0</v>
      </c>
      <c r="AK26" s="607">
        <f t="shared" si="9"/>
        <v>0</v>
      </c>
      <c r="AL26" s="607">
        <f t="shared" si="10"/>
        <v>0</v>
      </c>
      <c r="AM26" s="607">
        <f t="shared" si="11"/>
        <v>0</v>
      </c>
      <c r="AN26" s="616">
        <f t="shared" si="12"/>
        <v>0</v>
      </c>
    </row>
    <row r="27" spans="1:40" x14ac:dyDescent="0.3">
      <c r="A27" s="21">
        <f t="shared" si="13"/>
        <v>8</v>
      </c>
      <c r="B27" s="21">
        <f>VLOOKUP(A27,'Equip&amp;Mach List'!$1:$1048576,2,0)</f>
        <v>0</v>
      </c>
      <c r="C27" s="21">
        <f>VLOOKUP(A27,'Equip&amp;Mach List'!$1:$1048576,3,0)</f>
        <v>0</v>
      </c>
      <c r="D27" s="21">
        <f>VLOOKUP(A27,'Equip&amp;Mach List'!$1:$1048576,4,0)</f>
        <v>0</v>
      </c>
      <c r="E27" s="21" t="s">
        <v>354</v>
      </c>
      <c r="F27" s="21">
        <f>IFERROR(VLOOKUP($A27&amp;"."&amp;$E27&amp;" "&amp;F$3,'Equipment Weight Calc'!$L:$M,2,0),0)</f>
        <v>0</v>
      </c>
      <c r="G27" s="21">
        <f>IFERROR(VLOOKUP($A27&amp;"."&amp;$E27&amp;" "&amp;G$3,'Equipment Weight Calc'!$L:$M,2,0),0)</f>
        <v>0</v>
      </c>
      <c r="H27" s="21">
        <f>IFERROR(VLOOKUP($A27&amp;"."&amp;$E27&amp;" "&amp;H$3,'Equipment Weight Calc'!$L:$M,2,0),0)</f>
        <v>0</v>
      </c>
      <c r="I27" s="21">
        <f>IFERROR(VLOOKUP($A27&amp;"."&amp;$E27&amp;" "&amp;I$3,'Equipment Weight Calc'!$L:$M,2,0),0)</f>
        <v>0</v>
      </c>
      <c r="J27" s="874"/>
      <c r="K27" s="121">
        <f>IFERROR(VLOOKUP(F27&amp;"B"&amp;G27,'Bolting Chart'!$1:$1048576,IF(K$4="UNC",5,6),0),0)</f>
        <v>0</v>
      </c>
      <c r="L27" s="21">
        <f>IFERROR(VLOOKUP(F27&amp;"B"&amp;G27,'Bolting Chart'!$1:$1048576,9,0),0)</f>
        <v>0</v>
      </c>
      <c r="M27" s="21">
        <f>IFERROR(VLOOKUP(F27&amp;"B"&amp;G27,'Bolting Chart'!$1:$1048576,4,0),0)</f>
        <v>0</v>
      </c>
      <c r="N27" s="21">
        <f t="shared" si="0"/>
        <v>0</v>
      </c>
      <c r="O27" s="21">
        <f>(IFERROR(INDEX('Bolting Chart'!$A$169:$R$251,MATCH(L27,'Bolting Chart'!$A$170:$A$251,0),MATCH(IFERROR(VLOOKUP(F27&amp;"B"&amp;G27,'Bolting Chart'!$1:$1048576,7,0),0)+0,'Bolting Chart'!$A$169:$R$169,0)),0))/100</f>
        <v>0</v>
      </c>
      <c r="P27" s="21">
        <f t="shared" si="1"/>
        <v>0</v>
      </c>
      <c r="Q27" s="21">
        <f t="shared" si="2"/>
        <v>0</v>
      </c>
      <c r="R27" s="874"/>
      <c r="S27" s="874"/>
      <c r="T27" s="21">
        <f t="shared" si="3"/>
        <v>0</v>
      </c>
      <c r="U27" s="611">
        <f t="shared" si="4"/>
        <v>0</v>
      </c>
      <c r="V27" s="698"/>
      <c r="W27" s="684"/>
      <c r="X27" s="698"/>
      <c r="Y27" s="684"/>
      <c r="Z27" s="696"/>
      <c r="AA27" s="695"/>
      <c r="AB27" s="694"/>
      <c r="AC27" s="697"/>
      <c r="AD27" s="337">
        <f>COUNTIF($H$3:H27,"Welding Neck")+COUNTIF($H$3:H27,"LWN")</f>
        <v>1</v>
      </c>
      <c r="AE27" s="615">
        <f>IF(C27=0,0,IF(COUNTIF($AD$3:AD27,AD27)&gt;=2,0,AD27))</f>
        <v>0</v>
      </c>
      <c r="AF27" s="607">
        <f t="shared" si="5"/>
        <v>0</v>
      </c>
      <c r="AG27" s="607">
        <f t="shared" si="6"/>
        <v>0</v>
      </c>
      <c r="AH27" s="607">
        <f t="shared" si="7"/>
        <v>0</v>
      </c>
      <c r="AI27" s="616">
        <f t="shared" si="8"/>
        <v>0</v>
      </c>
      <c r="AJ27" s="615">
        <f>IF(C27=0,0,IF(COUNTIF($AD$3:AD27,AD27)&gt;=2,0,AD27))</f>
        <v>0</v>
      </c>
      <c r="AK27" s="607">
        <f t="shared" si="9"/>
        <v>0</v>
      </c>
      <c r="AL27" s="607">
        <f t="shared" si="10"/>
        <v>0</v>
      </c>
      <c r="AM27" s="607">
        <f t="shared" si="11"/>
        <v>0</v>
      </c>
      <c r="AN27" s="616">
        <f t="shared" si="12"/>
        <v>0</v>
      </c>
    </row>
    <row r="28" spans="1:40" x14ac:dyDescent="0.3">
      <c r="A28" s="21">
        <f t="shared" si="13"/>
        <v>8</v>
      </c>
      <c r="B28" s="21">
        <f>VLOOKUP(A28,'Equip&amp;Mach List'!$1:$1048576,2,0)</f>
        <v>0</v>
      </c>
      <c r="C28" s="21">
        <f>VLOOKUP(A28,'Equip&amp;Mach List'!$1:$1048576,3,0)</f>
        <v>0</v>
      </c>
      <c r="D28" s="21">
        <f>VLOOKUP(A28,'Equip&amp;Mach List'!$1:$1048576,4,0)</f>
        <v>0</v>
      </c>
      <c r="E28" s="21" t="s">
        <v>355</v>
      </c>
      <c r="F28" s="21">
        <f>IFERROR(VLOOKUP($A28&amp;"."&amp;$E28&amp;" "&amp;F$3,'Equipment Weight Calc'!$L:$M,2,0),0)</f>
        <v>0</v>
      </c>
      <c r="G28" s="21">
        <f>IFERROR(VLOOKUP($A28&amp;"."&amp;$E28&amp;" "&amp;G$3,'Equipment Weight Calc'!$L:$M,2,0),0)</f>
        <v>0</v>
      </c>
      <c r="H28" s="21">
        <f>IFERROR(VLOOKUP($A28&amp;"."&amp;$E28&amp;" "&amp;H$3,'Equipment Weight Calc'!$L:$M,2,0),0)</f>
        <v>0</v>
      </c>
      <c r="I28" s="21">
        <f>IFERROR(VLOOKUP($A28&amp;"."&amp;$E28&amp;" "&amp;I$3,'Equipment Weight Calc'!$L:$M,2,0),0)</f>
        <v>0</v>
      </c>
      <c r="J28" s="874"/>
      <c r="K28" s="121">
        <f>IFERROR(VLOOKUP(F28&amp;"B"&amp;G28,'Bolting Chart'!$1:$1048576,IF(K$4="UNC",5,6),0),0)</f>
        <v>0</v>
      </c>
      <c r="L28" s="21">
        <f>IFERROR(VLOOKUP(F28&amp;"B"&amp;G28,'Bolting Chart'!$1:$1048576,9,0),0)</f>
        <v>0</v>
      </c>
      <c r="M28" s="21">
        <f>IFERROR(VLOOKUP(F28&amp;"B"&amp;G28,'Bolting Chart'!$1:$1048576,4,0),0)</f>
        <v>0</v>
      </c>
      <c r="N28" s="21">
        <f t="shared" si="0"/>
        <v>0</v>
      </c>
      <c r="O28" s="21">
        <f>(IFERROR(INDEX('Bolting Chart'!$A$169:$R$251,MATCH(L28,'Bolting Chart'!$A$170:$A$251,0),MATCH(IFERROR(VLOOKUP(F28&amp;"B"&amp;G28,'Bolting Chart'!$1:$1048576,7,0),0)+0,'Bolting Chart'!$A$169:$R$169,0)),0))/100</f>
        <v>0</v>
      </c>
      <c r="P28" s="21">
        <f t="shared" si="1"/>
        <v>0</v>
      </c>
      <c r="Q28" s="21">
        <f t="shared" si="2"/>
        <v>0</v>
      </c>
      <c r="R28" s="874"/>
      <c r="S28" s="874"/>
      <c r="T28" s="21">
        <f t="shared" si="3"/>
        <v>0</v>
      </c>
      <c r="U28" s="611">
        <f t="shared" si="4"/>
        <v>0</v>
      </c>
      <c r="V28" s="698"/>
      <c r="W28" s="684"/>
      <c r="X28" s="698"/>
      <c r="Y28" s="684"/>
      <c r="Z28" s="696"/>
      <c r="AA28" s="695"/>
      <c r="AB28" s="694"/>
      <c r="AC28" s="697"/>
      <c r="AD28" s="337">
        <f>COUNTIF($H$3:H28,"Welding Neck")+COUNTIF($H$3:H28,"LWN")</f>
        <v>1</v>
      </c>
      <c r="AE28" s="615">
        <f>IF(C28=0,0,IF(COUNTIF($AD$3:AD28,AD28)&gt;=2,0,AD28))</f>
        <v>0</v>
      </c>
      <c r="AF28" s="607">
        <f t="shared" si="5"/>
        <v>0</v>
      </c>
      <c r="AG28" s="607">
        <f t="shared" si="6"/>
        <v>0</v>
      </c>
      <c r="AH28" s="607">
        <f t="shared" si="7"/>
        <v>0</v>
      </c>
      <c r="AI28" s="616">
        <f t="shared" si="8"/>
        <v>0</v>
      </c>
      <c r="AJ28" s="615">
        <f>IF(C28=0,0,IF(COUNTIF($AD$3:AD28,AD28)&gt;=2,0,AD28))</f>
        <v>0</v>
      </c>
      <c r="AK28" s="607">
        <f t="shared" si="9"/>
        <v>0</v>
      </c>
      <c r="AL28" s="607">
        <f t="shared" si="10"/>
        <v>0</v>
      </c>
      <c r="AM28" s="607">
        <f t="shared" si="11"/>
        <v>0</v>
      </c>
      <c r="AN28" s="616">
        <f t="shared" si="12"/>
        <v>0</v>
      </c>
    </row>
    <row r="29" spans="1:40" x14ac:dyDescent="0.3">
      <c r="A29" s="21">
        <f t="shared" si="13"/>
        <v>9</v>
      </c>
      <c r="B29" s="21">
        <f>VLOOKUP(A29,'Equip&amp;Mach List'!$1:$1048576,2,0)</f>
        <v>0</v>
      </c>
      <c r="C29" s="21">
        <f>VLOOKUP(A29,'Equip&amp;Mach List'!$1:$1048576,3,0)</f>
        <v>0</v>
      </c>
      <c r="D29" s="21">
        <f>VLOOKUP(A29,'Equip&amp;Mach List'!$1:$1048576,4,0)</f>
        <v>0</v>
      </c>
      <c r="E29" s="21" t="s">
        <v>353</v>
      </c>
      <c r="F29" s="21">
        <f>IFERROR(VLOOKUP($A29&amp;"."&amp;$E29&amp;" "&amp;F$3,'Equipment Weight Calc'!$L:$M,2,0),0)</f>
        <v>0</v>
      </c>
      <c r="G29" s="21">
        <f>IFERROR(VLOOKUP($A29&amp;"."&amp;$E29&amp;" "&amp;G$3,'Equipment Weight Calc'!$L:$M,2,0),0)</f>
        <v>0</v>
      </c>
      <c r="H29" s="21">
        <f>IFERROR(VLOOKUP($A29&amp;"."&amp;$E29&amp;" "&amp;H$3,'Equipment Weight Calc'!$L:$M,2,0),0)</f>
        <v>0</v>
      </c>
      <c r="I29" s="21">
        <f>IFERROR(VLOOKUP($A29&amp;"."&amp;$E29&amp;" "&amp;I$3,'Equipment Weight Calc'!$L:$M,2,0),0)</f>
        <v>0</v>
      </c>
      <c r="J29" s="873" t="s">
        <v>77</v>
      </c>
      <c r="K29" s="121">
        <f>IFERROR(VLOOKUP(F29&amp;"B"&amp;G29,'Bolting Chart'!$1:$1048576,IF(K$4="UNC",5,6),0),0)</f>
        <v>0</v>
      </c>
      <c r="L29" s="21">
        <f>IFERROR(VLOOKUP(F29&amp;"B"&amp;G29,'Bolting Chart'!$1:$1048576,9,0),0)</f>
        <v>0</v>
      </c>
      <c r="M29" s="21">
        <f>IFERROR(VLOOKUP(F29&amp;"B"&amp;G29,'Bolting Chart'!$1:$1048576,4,0),0)</f>
        <v>0</v>
      </c>
      <c r="N29" s="21">
        <f t="shared" si="0"/>
        <v>0</v>
      </c>
      <c r="O29" s="21">
        <f>(IFERROR(INDEX('Bolting Chart'!$A$169:$R$251,MATCH(L29,'Bolting Chart'!$A$170:$A$251,0),MATCH(IFERROR(VLOOKUP(F29&amp;"B"&amp;G29,'Bolting Chart'!$1:$1048576,7,0),0)+0,'Bolting Chart'!$A$169:$R$169,0)),0))/100</f>
        <v>0</v>
      </c>
      <c r="P29" s="21">
        <f t="shared" si="1"/>
        <v>0</v>
      </c>
      <c r="Q29" s="21">
        <f t="shared" si="2"/>
        <v>0</v>
      </c>
      <c r="R29" s="873" t="s">
        <v>2108</v>
      </c>
      <c r="S29" s="873" t="s">
        <v>2109</v>
      </c>
      <c r="T29" s="21">
        <f t="shared" si="3"/>
        <v>0</v>
      </c>
      <c r="U29" s="611">
        <f t="shared" si="4"/>
        <v>0</v>
      </c>
      <c r="V29" s="694">
        <v>0.1</v>
      </c>
      <c r="W29" s="695">
        <v>5</v>
      </c>
      <c r="X29" s="698">
        <v>2</v>
      </c>
      <c r="Y29" s="713">
        <v>2</v>
      </c>
      <c r="Z29" s="875">
        <v>0.1</v>
      </c>
      <c r="AA29" s="695">
        <v>5</v>
      </c>
      <c r="AB29" s="698">
        <v>2</v>
      </c>
      <c r="AC29" s="684">
        <v>2</v>
      </c>
      <c r="AD29" s="337">
        <f>COUNTIF($H$3:H29,"Welding Neck")+COUNTIF($H$3:H29,"LWN")</f>
        <v>1</v>
      </c>
      <c r="AE29" s="615">
        <f>IF(C29=0,0,IF(COUNTIF($AD$3:AD29,AD29)&gt;=2,0,AD29))</f>
        <v>0</v>
      </c>
      <c r="AF29" s="607">
        <f t="shared" si="5"/>
        <v>0</v>
      </c>
      <c r="AG29" s="607">
        <f t="shared" si="6"/>
        <v>0</v>
      </c>
      <c r="AH29" s="607">
        <f t="shared" si="7"/>
        <v>0</v>
      </c>
      <c r="AI29" s="616">
        <f t="shared" si="8"/>
        <v>0</v>
      </c>
      <c r="AJ29" s="615">
        <f>IF(C29=0,0,IF(COUNTIF($AD$3:AD29,AD29)&gt;=2,0,AD29))</f>
        <v>0</v>
      </c>
      <c r="AK29" s="607">
        <f t="shared" si="9"/>
        <v>0</v>
      </c>
      <c r="AL29" s="607">
        <f t="shared" si="10"/>
        <v>0</v>
      </c>
      <c r="AM29" s="607">
        <f t="shared" si="11"/>
        <v>0</v>
      </c>
      <c r="AN29" s="616">
        <f t="shared" si="12"/>
        <v>0</v>
      </c>
    </row>
    <row r="30" spans="1:40" x14ac:dyDescent="0.3">
      <c r="A30" s="21">
        <f t="shared" si="13"/>
        <v>9</v>
      </c>
      <c r="B30" s="21">
        <f>VLOOKUP(A30,'Equip&amp;Mach List'!$1:$1048576,2,0)</f>
        <v>0</v>
      </c>
      <c r="C30" s="21">
        <f>VLOOKUP(A30,'Equip&amp;Mach List'!$1:$1048576,3,0)</f>
        <v>0</v>
      </c>
      <c r="D30" s="21">
        <f>VLOOKUP(A30,'Equip&amp;Mach List'!$1:$1048576,4,0)</f>
        <v>0</v>
      </c>
      <c r="E30" s="21" t="s">
        <v>354</v>
      </c>
      <c r="F30" s="21">
        <f>IFERROR(VLOOKUP($A30&amp;"."&amp;$E30&amp;" "&amp;F$3,'Equipment Weight Calc'!$L:$M,2,0),0)</f>
        <v>0</v>
      </c>
      <c r="G30" s="21">
        <f>IFERROR(VLOOKUP($A30&amp;"."&amp;$E30&amp;" "&amp;G$3,'Equipment Weight Calc'!$L:$M,2,0),0)</f>
        <v>0</v>
      </c>
      <c r="H30" s="21">
        <f>IFERROR(VLOOKUP($A30&amp;"."&amp;$E30&amp;" "&amp;H$3,'Equipment Weight Calc'!$L:$M,2,0),0)</f>
        <v>0</v>
      </c>
      <c r="I30" s="21">
        <f>IFERROR(VLOOKUP($A30&amp;"."&amp;$E30&amp;" "&amp;I$3,'Equipment Weight Calc'!$L:$M,2,0),0)</f>
        <v>0</v>
      </c>
      <c r="J30" s="874"/>
      <c r="K30" s="121">
        <f>IFERROR(VLOOKUP(F30&amp;"B"&amp;G30,'Bolting Chart'!$1:$1048576,IF(K$4="UNC",5,6),0),0)</f>
        <v>0</v>
      </c>
      <c r="L30" s="21">
        <f>IFERROR(VLOOKUP(F30&amp;"B"&amp;G30,'Bolting Chart'!$1:$1048576,9,0),0)</f>
        <v>0</v>
      </c>
      <c r="M30" s="21">
        <f>IFERROR(VLOOKUP(F30&amp;"B"&amp;G30,'Bolting Chart'!$1:$1048576,4,0),0)</f>
        <v>0</v>
      </c>
      <c r="N30" s="21">
        <f t="shared" si="0"/>
        <v>0</v>
      </c>
      <c r="O30" s="21">
        <f>(IFERROR(INDEX('Bolting Chart'!$A$169:$R$251,MATCH(L30,'Bolting Chart'!$A$170:$A$251,0),MATCH(IFERROR(VLOOKUP(F30&amp;"B"&amp;G30,'Bolting Chart'!$1:$1048576,7,0),0)+0,'Bolting Chart'!$A$169:$R$169,0)),0))/100</f>
        <v>0</v>
      </c>
      <c r="P30" s="21">
        <f t="shared" si="1"/>
        <v>0</v>
      </c>
      <c r="Q30" s="21">
        <f t="shared" si="2"/>
        <v>0</v>
      </c>
      <c r="R30" s="874"/>
      <c r="S30" s="874"/>
      <c r="T30" s="21">
        <f t="shared" si="3"/>
        <v>0</v>
      </c>
      <c r="U30" s="611">
        <f t="shared" si="4"/>
        <v>0</v>
      </c>
      <c r="V30" s="698"/>
      <c r="W30" s="684"/>
      <c r="X30" s="698"/>
      <c r="Y30" s="684"/>
      <c r="Z30" s="696"/>
      <c r="AA30" s="695"/>
      <c r="AB30" s="694"/>
      <c r="AC30" s="697"/>
      <c r="AD30" s="337">
        <f>COUNTIF($H$3:H30,"Welding Neck")+COUNTIF($H$3:H30,"LWN")</f>
        <v>1</v>
      </c>
      <c r="AE30" s="615">
        <f>IF(C30=0,0,IF(COUNTIF($AD$3:AD30,AD30)&gt;=2,0,AD30))</f>
        <v>0</v>
      </c>
      <c r="AF30" s="607">
        <f t="shared" si="5"/>
        <v>0</v>
      </c>
      <c r="AG30" s="607">
        <f t="shared" si="6"/>
        <v>0</v>
      </c>
      <c r="AH30" s="607">
        <f t="shared" si="7"/>
        <v>0</v>
      </c>
      <c r="AI30" s="616">
        <f t="shared" si="8"/>
        <v>0</v>
      </c>
      <c r="AJ30" s="615">
        <f>IF(C30=0,0,IF(COUNTIF($AD$3:AD30,AD30)&gt;=2,0,AD30))</f>
        <v>0</v>
      </c>
      <c r="AK30" s="607">
        <f t="shared" si="9"/>
        <v>0</v>
      </c>
      <c r="AL30" s="607">
        <f t="shared" si="10"/>
        <v>0</v>
      </c>
      <c r="AM30" s="607">
        <f t="shared" si="11"/>
        <v>0</v>
      </c>
      <c r="AN30" s="616">
        <f t="shared" si="12"/>
        <v>0</v>
      </c>
    </row>
    <row r="31" spans="1:40" x14ac:dyDescent="0.3">
      <c r="A31" s="21">
        <f t="shared" si="13"/>
        <v>9</v>
      </c>
      <c r="B31" s="21">
        <f>VLOOKUP(A31,'Equip&amp;Mach List'!$1:$1048576,2,0)</f>
        <v>0</v>
      </c>
      <c r="C31" s="21">
        <f>VLOOKUP(A31,'Equip&amp;Mach List'!$1:$1048576,3,0)</f>
        <v>0</v>
      </c>
      <c r="D31" s="21">
        <f>VLOOKUP(A31,'Equip&amp;Mach List'!$1:$1048576,4,0)</f>
        <v>0</v>
      </c>
      <c r="E31" s="21" t="s">
        <v>355</v>
      </c>
      <c r="F31" s="21">
        <f>IFERROR(VLOOKUP($A31&amp;"."&amp;$E31&amp;" "&amp;F$3,'Equipment Weight Calc'!$L:$M,2,0),0)</f>
        <v>0</v>
      </c>
      <c r="G31" s="21">
        <f>IFERROR(VLOOKUP($A31&amp;"."&amp;$E31&amp;" "&amp;G$3,'Equipment Weight Calc'!$L:$M,2,0),0)</f>
        <v>0</v>
      </c>
      <c r="H31" s="21">
        <f>IFERROR(VLOOKUP($A31&amp;"."&amp;$E31&amp;" "&amp;H$3,'Equipment Weight Calc'!$L:$M,2,0),0)</f>
        <v>0</v>
      </c>
      <c r="I31" s="21">
        <f>IFERROR(VLOOKUP($A31&amp;"."&amp;$E31&amp;" "&amp;I$3,'Equipment Weight Calc'!$L:$M,2,0),0)</f>
        <v>0</v>
      </c>
      <c r="J31" s="874"/>
      <c r="K31" s="121">
        <f>IFERROR(VLOOKUP(F31&amp;"B"&amp;G31,'Bolting Chart'!$1:$1048576,IF(K$4="UNC",5,6),0),0)</f>
        <v>0</v>
      </c>
      <c r="L31" s="21">
        <f>IFERROR(VLOOKUP(F31&amp;"B"&amp;G31,'Bolting Chart'!$1:$1048576,9,0),0)</f>
        <v>0</v>
      </c>
      <c r="M31" s="21">
        <f>IFERROR(VLOOKUP(F31&amp;"B"&amp;G31,'Bolting Chart'!$1:$1048576,4,0),0)</f>
        <v>0</v>
      </c>
      <c r="N31" s="21">
        <f t="shared" si="0"/>
        <v>0</v>
      </c>
      <c r="O31" s="21">
        <f>(IFERROR(INDEX('Bolting Chart'!$A$169:$R$251,MATCH(L31,'Bolting Chart'!$A$170:$A$251,0),MATCH(IFERROR(VLOOKUP(F31&amp;"B"&amp;G31,'Bolting Chart'!$1:$1048576,7,0),0)+0,'Bolting Chart'!$A$169:$R$169,0)),0))/100</f>
        <v>0</v>
      </c>
      <c r="P31" s="21">
        <f t="shared" si="1"/>
        <v>0</v>
      </c>
      <c r="Q31" s="21">
        <f t="shared" si="2"/>
        <v>0</v>
      </c>
      <c r="R31" s="874"/>
      <c r="S31" s="874"/>
      <c r="T31" s="21">
        <f t="shared" si="3"/>
        <v>0</v>
      </c>
      <c r="U31" s="611">
        <f t="shared" si="4"/>
        <v>0</v>
      </c>
      <c r="V31" s="698"/>
      <c r="W31" s="684"/>
      <c r="X31" s="698"/>
      <c r="Y31" s="684"/>
      <c r="Z31" s="696"/>
      <c r="AA31" s="695"/>
      <c r="AB31" s="694"/>
      <c r="AC31" s="697"/>
      <c r="AD31" s="337">
        <f>COUNTIF($H$3:H31,"Welding Neck")+COUNTIF($H$3:H31,"LWN")</f>
        <v>1</v>
      </c>
      <c r="AE31" s="615">
        <f>IF(C31=0,0,IF(COUNTIF($AD$3:AD31,AD31)&gt;=2,0,AD31))</f>
        <v>0</v>
      </c>
      <c r="AF31" s="607">
        <f t="shared" si="5"/>
        <v>0</v>
      </c>
      <c r="AG31" s="607">
        <f t="shared" si="6"/>
        <v>0</v>
      </c>
      <c r="AH31" s="607">
        <f t="shared" si="7"/>
        <v>0</v>
      </c>
      <c r="AI31" s="616">
        <f t="shared" si="8"/>
        <v>0</v>
      </c>
      <c r="AJ31" s="615">
        <f>IF(C31=0,0,IF(COUNTIF($AD$3:AD31,AD31)&gt;=2,0,AD31))</f>
        <v>0</v>
      </c>
      <c r="AK31" s="607">
        <f t="shared" si="9"/>
        <v>0</v>
      </c>
      <c r="AL31" s="607">
        <f t="shared" si="10"/>
        <v>0</v>
      </c>
      <c r="AM31" s="607">
        <f t="shared" si="11"/>
        <v>0</v>
      </c>
      <c r="AN31" s="616">
        <f t="shared" si="12"/>
        <v>0</v>
      </c>
    </row>
    <row r="32" spans="1:40" x14ac:dyDescent="0.3">
      <c r="A32" s="21">
        <f t="shared" si="13"/>
        <v>10</v>
      </c>
      <c r="B32" s="21">
        <f>VLOOKUP(A32,'Equip&amp;Mach List'!$1:$1048576,2,0)</f>
        <v>0</v>
      </c>
      <c r="C32" s="21">
        <f>VLOOKUP(A32,'Equip&amp;Mach List'!$1:$1048576,3,0)</f>
        <v>0</v>
      </c>
      <c r="D32" s="21">
        <f>VLOOKUP(A32,'Equip&amp;Mach List'!$1:$1048576,4,0)</f>
        <v>0</v>
      </c>
      <c r="E32" s="21" t="s">
        <v>353</v>
      </c>
      <c r="F32" s="21">
        <f>IFERROR(VLOOKUP($A32&amp;"."&amp;$E32&amp;" "&amp;F$3,'Equipment Weight Calc'!$L:$M,2,0),0)</f>
        <v>0</v>
      </c>
      <c r="G32" s="21">
        <f>IFERROR(VLOOKUP($A32&amp;"."&amp;$E32&amp;" "&amp;G$3,'Equipment Weight Calc'!$L:$M,2,0),0)</f>
        <v>0</v>
      </c>
      <c r="H32" s="21">
        <f>IFERROR(VLOOKUP($A32&amp;"."&amp;$E32&amp;" "&amp;H$3,'Equipment Weight Calc'!$L:$M,2,0),0)</f>
        <v>0</v>
      </c>
      <c r="I32" s="21">
        <f>IFERROR(VLOOKUP($A32&amp;"."&amp;$E32&amp;" "&amp;I$3,'Equipment Weight Calc'!$L:$M,2,0),0)</f>
        <v>0</v>
      </c>
      <c r="J32" s="873" t="s">
        <v>77</v>
      </c>
      <c r="K32" s="121">
        <f>IFERROR(VLOOKUP(F32&amp;"B"&amp;G32,'Bolting Chart'!$1:$1048576,IF(K$4="UNC",5,6),0),0)</f>
        <v>0</v>
      </c>
      <c r="L32" s="21">
        <f>IFERROR(VLOOKUP(F32&amp;"B"&amp;G32,'Bolting Chart'!$1:$1048576,9,0),0)</f>
        <v>0</v>
      </c>
      <c r="M32" s="21">
        <f>IFERROR(VLOOKUP(F32&amp;"B"&amp;G32,'Bolting Chart'!$1:$1048576,4,0),0)</f>
        <v>0</v>
      </c>
      <c r="N32" s="21">
        <f t="shared" si="0"/>
        <v>0</v>
      </c>
      <c r="O32" s="21">
        <f>(IFERROR(INDEX('Bolting Chart'!$A$169:$R$251,MATCH(L32,'Bolting Chart'!$A$170:$A$251,0),MATCH(IFERROR(VLOOKUP(F32&amp;"B"&amp;G32,'Bolting Chart'!$1:$1048576,7,0),0)+0,'Bolting Chart'!$A$169:$R$169,0)),0))/100</f>
        <v>0</v>
      </c>
      <c r="P32" s="21">
        <f t="shared" si="1"/>
        <v>0</v>
      </c>
      <c r="Q32" s="21">
        <f t="shared" si="2"/>
        <v>0</v>
      </c>
      <c r="R32" s="873" t="s">
        <v>2108</v>
      </c>
      <c r="S32" s="873" t="s">
        <v>2109</v>
      </c>
      <c r="T32" s="21">
        <f t="shared" si="3"/>
        <v>0</v>
      </c>
      <c r="U32" s="611">
        <f t="shared" si="4"/>
        <v>0</v>
      </c>
      <c r="V32" s="694">
        <v>0.1</v>
      </c>
      <c r="W32" s="695">
        <v>5</v>
      </c>
      <c r="X32" s="698">
        <v>2</v>
      </c>
      <c r="Y32" s="713">
        <v>2</v>
      </c>
      <c r="Z32" s="875">
        <v>0.1</v>
      </c>
      <c r="AA32" s="695">
        <v>5</v>
      </c>
      <c r="AB32" s="698">
        <v>2</v>
      </c>
      <c r="AC32" s="684">
        <v>2</v>
      </c>
      <c r="AD32" s="337">
        <f>COUNTIF($H$3:H32,"Welding Neck")+COUNTIF($H$3:H32,"LWN")</f>
        <v>1</v>
      </c>
      <c r="AE32" s="615">
        <f>IF(C32=0,0,IF(COUNTIF($AD$3:AD32,AD32)&gt;=2,0,AD32))</f>
        <v>0</v>
      </c>
      <c r="AF32" s="607">
        <f t="shared" si="5"/>
        <v>0</v>
      </c>
      <c r="AG32" s="607">
        <f t="shared" si="6"/>
        <v>0</v>
      </c>
      <c r="AH32" s="607">
        <f t="shared" si="7"/>
        <v>0</v>
      </c>
      <c r="AI32" s="616">
        <f t="shared" si="8"/>
        <v>0</v>
      </c>
      <c r="AJ32" s="615">
        <f>IF(C32=0,0,IF(COUNTIF($AD$3:AD32,AD32)&gt;=2,0,AD32))</f>
        <v>0</v>
      </c>
      <c r="AK32" s="607">
        <f t="shared" si="9"/>
        <v>0</v>
      </c>
      <c r="AL32" s="607">
        <f t="shared" si="10"/>
        <v>0</v>
      </c>
      <c r="AM32" s="607">
        <f t="shared" si="11"/>
        <v>0</v>
      </c>
      <c r="AN32" s="616">
        <f t="shared" si="12"/>
        <v>0</v>
      </c>
    </row>
    <row r="33" spans="1:40" x14ac:dyDescent="0.3">
      <c r="A33" s="21">
        <f t="shared" ref="A33:A73" si="14">A30+1</f>
        <v>10</v>
      </c>
      <c r="B33" s="21">
        <f>VLOOKUP(A33,'Equip&amp;Mach List'!$1:$1048576,2,0)</f>
        <v>0</v>
      </c>
      <c r="C33" s="21">
        <f>VLOOKUP(A33,'Equip&amp;Mach List'!$1:$1048576,3,0)</f>
        <v>0</v>
      </c>
      <c r="D33" s="21">
        <f>VLOOKUP(A33,'Equip&amp;Mach List'!$1:$1048576,4,0)</f>
        <v>0</v>
      </c>
      <c r="E33" s="21" t="s">
        <v>354</v>
      </c>
      <c r="F33" s="21">
        <f>IFERROR(VLOOKUP($A33&amp;"."&amp;$E33&amp;" "&amp;F$3,'Equipment Weight Calc'!$L:$M,2,0),0)</f>
        <v>0</v>
      </c>
      <c r="G33" s="21">
        <f>IFERROR(VLOOKUP($A33&amp;"."&amp;$E33&amp;" "&amp;G$3,'Equipment Weight Calc'!$L:$M,2,0),0)</f>
        <v>0</v>
      </c>
      <c r="H33" s="21">
        <f>IFERROR(VLOOKUP($A33&amp;"."&amp;$E33&amp;" "&amp;H$3,'Equipment Weight Calc'!$L:$M,2,0),0)</f>
        <v>0</v>
      </c>
      <c r="I33" s="21">
        <f>IFERROR(VLOOKUP($A33&amp;"."&amp;$E33&amp;" "&amp;I$3,'Equipment Weight Calc'!$L:$M,2,0),0)</f>
        <v>0</v>
      </c>
      <c r="J33" s="874"/>
      <c r="K33" s="121">
        <f>IFERROR(VLOOKUP(F33&amp;"B"&amp;G33,'Bolting Chart'!$1:$1048576,IF(K$4="UNC",5,6),0),0)</f>
        <v>0</v>
      </c>
      <c r="L33" s="21">
        <f>IFERROR(VLOOKUP(F33&amp;"B"&amp;G33,'Bolting Chart'!$1:$1048576,9,0),0)</f>
        <v>0</v>
      </c>
      <c r="M33" s="21">
        <f>IFERROR(VLOOKUP(F33&amp;"B"&amp;G33,'Bolting Chart'!$1:$1048576,4,0),0)</f>
        <v>0</v>
      </c>
      <c r="N33" s="21">
        <f t="shared" si="0"/>
        <v>0</v>
      </c>
      <c r="O33" s="21">
        <f>(IFERROR(INDEX('Bolting Chart'!$A$169:$R$251,MATCH(L33,'Bolting Chart'!$A$170:$A$251,0),MATCH(IFERROR(VLOOKUP(F33&amp;"B"&amp;G33,'Bolting Chart'!$1:$1048576,7,0),0)+0,'Bolting Chart'!$A$169:$R$169,0)),0))/100</f>
        <v>0</v>
      </c>
      <c r="P33" s="21">
        <f t="shared" si="1"/>
        <v>0</v>
      </c>
      <c r="Q33" s="21">
        <f t="shared" si="2"/>
        <v>0</v>
      </c>
      <c r="R33" s="874"/>
      <c r="S33" s="874"/>
      <c r="T33" s="21">
        <f t="shared" si="3"/>
        <v>0</v>
      </c>
      <c r="U33" s="611">
        <f t="shared" si="4"/>
        <v>0</v>
      </c>
      <c r="V33" s="698"/>
      <c r="W33" s="684"/>
      <c r="X33" s="698"/>
      <c r="Y33" s="684"/>
      <c r="Z33" s="696"/>
      <c r="AA33" s="695"/>
      <c r="AB33" s="694"/>
      <c r="AC33" s="697"/>
      <c r="AD33" s="337">
        <f>COUNTIF($H$3:H33,"Welding Neck")+COUNTIF($H$3:H33,"LWN")</f>
        <v>1</v>
      </c>
      <c r="AE33" s="615">
        <f>IF(C33=0,0,IF(COUNTIF($AD$3:AD33,AD33)&gt;=2,0,AD33))</f>
        <v>0</v>
      </c>
      <c r="AF33" s="607">
        <f t="shared" si="5"/>
        <v>0</v>
      </c>
      <c r="AG33" s="607">
        <f t="shared" si="6"/>
        <v>0</v>
      </c>
      <c r="AH33" s="607">
        <f t="shared" si="7"/>
        <v>0</v>
      </c>
      <c r="AI33" s="616">
        <f t="shared" si="8"/>
        <v>0</v>
      </c>
      <c r="AJ33" s="615">
        <f>IF(C33=0,0,IF(COUNTIF($AD$3:AD33,AD33)&gt;=2,0,AD33))</f>
        <v>0</v>
      </c>
      <c r="AK33" s="607">
        <f t="shared" si="9"/>
        <v>0</v>
      </c>
      <c r="AL33" s="607">
        <f t="shared" si="10"/>
        <v>0</v>
      </c>
      <c r="AM33" s="607">
        <f t="shared" si="11"/>
        <v>0</v>
      </c>
      <c r="AN33" s="616">
        <f t="shared" si="12"/>
        <v>0</v>
      </c>
    </row>
    <row r="34" spans="1:40" x14ac:dyDescent="0.3">
      <c r="A34" s="21">
        <f t="shared" si="13"/>
        <v>10</v>
      </c>
      <c r="B34" s="21">
        <f>VLOOKUP(A34,'Equip&amp;Mach List'!$1:$1048576,2,0)</f>
        <v>0</v>
      </c>
      <c r="C34" s="21">
        <f>VLOOKUP(A34,'Equip&amp;Mach List'!$1:$1048576,3,0)</f>
        <v>0</v>
      </c>
      <c r="D34" s="21">
        <f>VLOOKUP(A34,'Equip&amp;Mach List'!$1:$1048576,4,0)</f>
        <v>0</v>
      </c>
      <c r="E34" s="21" t="s">
        <v>355</v>
      </c>
      <c r="F34" s="21">
        <f>IFERROR(VLOOKUP($A34&amp;"."&amp;$E34&amp;" "&amp;F$3,'Equipment Weight Calc'!$L:$M,2,0),0)</f>
        <v>0</v>
      </c>
      <c r="G34" s="21">
        <f>IFERROR(VLOOKUP($A34&amp;"."&amp;$E34&amp;" "&amp;G$3,'Equipment Weight Calc'!$L:$M,2,0),0)</f>
        <v>0</v>
      </c>
      <c r="H34" s="21">
        <f>IFERROR(VLOOKUP($A34&amp;"."&amp;$E34&amp;" "&amp;H$3,'Equipment Weight Calc'!$L:$M,2,0),0)</f>
        <v>0</v>
      </c>
      <c r="I34" s="21">
        <f>IFERROR(VLOOKUP($A34&amp;"."&amp;$E34&amp;" "&amp;I$3,'Equipment Weight Calc'!$L:$M,2,0),0)</f>
        <v>0</v>
      </c>
      <c r="J34" s="874"/>
      <c r="K34" s="121">
        <f>IFERROR(VLOOKUP(F34&amp;"B"&amp;G34,'Bolting Chart'!$1:$1048576,IF(K$4="UNC",5,6),0),0)</f>
        <v>0</v>
      </c>
      <c r="L34" s="21">
        <f>IFERROR(VLOOKUP(F34&amp;"B"&amp;G34,'Bolting Chart'!$1:$1048576,9,0),0)</f>
        <v>0</v>
      </c>
      <c r="M34" s="21">
        <f>IFERROR(VLOOKUP(F34&amp;"B"&amp;G34,'Bolting Chart'!$1:$1048576,4,0),0)</f>
        <v>0</v>
      </c>
      <c r="N34" s="21">
        <f t="shared" si="0"/>
        <v>0</v>
      </c>
      <c r="O34" s="21">
        <f>(IFERROR(INDEX('Bolting Chart'!$A$169:$R$251,MATCH(L34,'Bolting Chart'!$A$170:$A$251,0),MATCH(IFERROR(VLOOKUP(F34&amp;"B"&amp;G34,'Bolting Chart'!$1:$1048576,7,0),0)+0,'Bolting Chart'!$A$169:$R$169,0)),0))/100</f>
        <v>0</v>
      </c>
      <c r="P34" s="21">
        <f t="shared" si="1"/>
        <v>0</v>
      </c>
      <c r="Q34" s="21">
        <f t="shared" si="2"/>
        <v>0</v>
      </c>
      <c r="R34" s="874"/>
      <c r="S34" s="874"/>
      <c r="T34" s="21">
        <f t="shared" si="3"/>
        <v>0</v>
      </c>
      <c r="U34" s="611">
        <f t="shared" si="4"/>
        <v>0</v>
      </c>
      <c r="V34" s="698"/>
      <c r="W34" s="684"/>
      <c r="X34" s="698"/>
      <c r="Y34" s="684"/>
      <c r="Z34" s="696"/>
      <c r="AA34" s="695"/>
      <c r="AB34" s="694"/>
      <c r="AC34" s="697"/>
      <c r="AD34" s="337">
        <f>COUNTIF($H$3:H34,"Welding Neck")+COUNTIF($H$3:H34,"LWN")</f>
        <v>1</v>
      </c>
      <c r="AE34" s="615">
        <f>IF(C34=0,0,IF(COUNTIF($AD$3:AD34,AD34)&gt;=2,0,AD34))</f>
        <v>0</v>
      </c>
      <c r="AF34" s="607">
        <f t="shared" si="5"/>
        <v>0</v>
      </c>
      <c r="AG34" s="607">
        <f t="shared" si="6"/>
        <v>0</v>
      </c>
      <c r="AH34" s="607">
        <f t="shared" si="7"/>
        <v>0</v>
      </c>
      <c r="AI34" s="616">
        <f t="shared" si="8"/>
        <v>0</v>
      </c>
      <c r="AJ34" s="615">
        <f>IF(C34=0,0,IF(COUNTIF($AD$3:AD34,AD34)&gt;=2,0,AD34))</f>
        <v>0</v>
      </c>
      <c r="AK34" s="607">
        <f t="shared" si="9"/>
        <v>0</v>
      </c>
      <c r="AL34" s="607">
        <f t="shared" si="10"/>
        <v>0</v>
      </c>
      <c r="AM34" s="607">
        <f t="shared" si="11"/>
        <v>0</v>
      </c>
      <c r="AN34" s="616">
        <f t="shared" si="12"/>
        <v>0</v>
      </c>
    </row>
    <row r="35" spans="1:40" x14ac:dyDescent="0.3">
      <c r="A35" s="21">
        <f t="shared" si="13"/>
        <v>11</v>
      </c>
      <c r="B35" s="21">
        <f>VLOOKUP(A35,'Equip&amp;Mach List'!$1:$1048576,2,0)</f>
        <v>0</v>
      </c>
      <c r="C35" s="21">
        <f>VLOOKUP(A35,'Equip&amp;Mach List'!$1:$1048576,3,0)</f>
        <v>0</v>
      </c>
      <c r="D35" s="21">
        <f>VLOOKUP(A35,'Equip&amp;Mach List'!$1:$1048576,4,0)</f>
        <v>0</v>
      </c>
      <c r="E35" s="21" t="s">
        <v>353</v>
      </c>
      <c r="F35" s="21">
        <f>IFERROR(VLOOKUP($A35&amp;"."&amp;$E35&amp;" "&amp;F$3,'Equipment Weight Calc'!$L:$M,2,0),0)</f>
        <v>0</v>
      </c>
      <c r="G35" s="21">
        <f>IFERROR(VLOOKUP($A35&amp;"."&amp;$E35&amp;" "&amp;G$3,'Equipment Weight Calc'!$L:$M,2,0),0)</f>
        <v>0</v>
      </c>
      <c r="H35" s="21">
        <f>IFERROR(VLOOKUP($A35&amp;"."&amp;$E35&amp;" "&amp;H$3,'Equipment Weight Calc'!$L:$M,2,0),0)</f>
        <v>0</v>
      </c>
      <c r="I35" s="21">
        <f>IFERROR(VLOOKUP($A35&amp;"."&amp;$E35&amp;" "&amp;I$3,'Equipment Weight Calc'!$L:$M,2,0),0)</f>
        <v>0</v>
      </c>
      <c r="J35" s="873" t="s">
        <v>77</v>
      </c>
      <c r="K35" s="121">
        <f>IFERROR(VLOOKUP(F35&amp;"B"&amp;G35,'Bolting Chart'!$1:$1048576,IF(K$4="UNC",5,6),0),0)</f>
        <v>0</v>
      </c>
      <c r="L35" s="21">
        <f>IFERROR(VLOOKUP(F35&amp;"B"&amp;G35,'Bolting Chart'!$1:$1048576,9,0),0)</f>
        <v>0</v>
      </c>
      <c r="M35" s="21">
        <f>IFERROR(VLOOKUP(F35&amp;"B"&amp;G35,'Bolting Chart'!$1:$1048576,4,0),0)</f>
        <v>0</v>
      </c>
      <c r="N35" s="21">
        <f t="shared" si="0"/>
        <v>0</v>
      </c>
      <c r="O35" s="21">
        <f>(IFERROR(INDEX('Bolting Chart'!$A$169:$R$251,MATCH(L35,'Bolting Chart'!$A$170:$A$251,0),MATCH(IFERROR(VLOOKUP(F35&amp;"B"&amp;G35,'Bolting Chart'!$1:$1048576,7,0),0)+0,'Bolting Chart'!$A$169:$R$169,0)),0))/100</f>
        <v>0</v>
      </c>
      <c r="P35" s="21">
        <f t="shared" si="1"/>
        <v>0</v>
      </c>
      <c r="Q35" s="21">
        <f t="shared" si="2"/>
        <v>0</v>
      </c>
      <c r="R35" s="873" t="s">
        <v>2108</v>
      </c>
      <c r="S35" s="873" t="s">
        <v>2109</v>
      </c>
      <c r="T35" s="21">
        <f t="shared" si="3"/>
        <v>0</v>
      </c>
      <c r="U35" s="611">
        <f t="shared" si="4"/>
        <v>0</v>
      </c>
      <c r="V35" s="694">
        <v>0.1</v>
      </c>
      <c r="W35" s="695">
        <v>5</v>
      </c>
      <c r="X35" s="698">
        <v>2</v>
      </c>
      <c r="Y35" s="713">
        <v>2</v>
      </c>
      <c r="Z35" s="875">
        <v>0.1</v>
      </c>
      <c r="AA35" s="695">
        <v>5</v>
      </c>
      <c r="AB35" s="698">
        <v>2</v>
      </c>
      <c r="AC35" s="684">
        <v>2</v>
      </c>
      <c r="AD35" s="337">
        <f>COUNTIF($H$3:H35,"Welding Neck")+COUNTIF($H$3:H35,"LWN")</f>
        <v>1</v>
      </c>
      <c r="AE35" s="615">
        <f>IF(C35=0,0,IF(COUNTIF($AD$3:AD35,AD35)&gt;=2,0,AD35))</f>
        <v>0</v>
      </c>
      <c r="AF35" s="607">
        <f t="shared" si="5"/>
        <v>0</v>
      </c>
      <c r="AG35" s="607">
        <f t="shared" si="6"/>
        <v>0</v>
      </c>
      <c r="AH35" s="607">
        <f t="shared" si="7"/>
        <v>0</v>
      </c>
      <c r="AI35" s="616">
        <f t="shared" si="8"/>
        <v>0</v>
      </c>
      <c r="AJ35" s="615">
        <f>IF(C35=0,0,IF(COUNTIF($AD$3:AD35,AD35)&gt;=2,0,AD35))</f>
        <v>0</v>
      </c>
      <c r="AK35" s="607">
        <f t="shared" si="9"/>
        <v>0</v>
      </c>
      <c r="AL35" s="607">
        <f t="shared" si="10"/>
        <v>0</v>
      </c>
      <c r="AM35" s="607">
        <f t="shared" si="11"/>
        <v>0</v>
      </c>
      <c r="AN35" s="616">
        <f t="shared" si="12"/>
        <v>0</v>
      </c>
    </row>
    <row r="36" spans="1:40" x14ac:dyDescent="0.3">
      <c r="A36" s="21">
        <f t="shared" si="13"/>
        <v>11</v>
      </c>
      <c r="B36" s="21">
        <f>VLOOKUP(A36,'Equip&amp;Mach List'!$1:$1048576,2,0)</f>
        <v>0</v>
      </c>
      <c r="C36" s="21">
        <f>VLOOKUP(A36,'Equip&amp;Mach List'!$1:$1048576,3,0)</f>
        <v>0</v>
      </c>
      <c r="D36" s="21">
        <f>VLOOKUP(A36,'Equip&amp;Mach List'!$1:$1048576,4,0)</f>
        <v>0</v>
      </c>
      <c r="E36" s="21" t="s">
        <v>354</v>
      </c>
      <c r="F36" s="21">
        <f>IFERROR(VLOOKUP($A36&amp;"."&amp;$E36&amp;" "&amp;F$3,'Equipment Weight Calc'!$L:$M,2,0),0)</f>
        <v>0</v>
      </c>
      <c r="G36" s="21">
        <f>IFERROR(VLOOKUP($A36&amp;"."&amp;$E36&amp;" "&amp;G$3,'Equipment Weight Calc'!$L:$M,2,0),0)</f>
        <v>0</v>
      </c>
      <c r="H36" s="21">
        <f>IFERROR(VLOOKUP($A36&amp;"."&amp;$E36&amp;" "&amp;H$3,'Equipment Weight Calc'!$L:$M,2,0),0)</f>
        <v>0</v>
      </c>
      <c r="I36" s="21">
        <f>IFERROR(VLOOKUP($A36&amp;"."&amp;$E36&amp;" "&amp;I$3,'Equipment Weight Calc'!$L:$M,2,0),0)</f>
        <v>0</v>
      </c>
      <c r="J36" s="874"/>
      <c r="K36" s="121">
        <f>IFERROR(VLOOKUP(F36&amp;"B"&amp;G36,'Bolting Chart'!$1:$1048576,IF(K$4="UNC",5,6),0),0)</f>
        <v>0</v>
      </c>
      <c r="L36" s="21">
        <f>IFERROR(VLOOKUP(F36&amp;"B"&amp;G36,'Bolting Chart'!$1:$1048576,9,0),0)</f>
        <v>0</v>
      </c>
      <c r="M36" s="21">
        <f>IFERROR(VLOOKUP(F36&amp;"B"&amp;G36,'Bolting Chart'!$1:$1048576,4,0),0)</f>
        <v>0</v>
      </c>
      <c r="N36" s="21">
        <f t="shared" si="0"/>
        <v>0</v>
      </c>
      <c r="O36" s="21">
        <f>(IFERROR(INDEX('Bolting Chart'!$A$169:$R$251,MATCH(L36,'Bolting Chart'!$A$170:$A$251,0),MATCH(IFERROR(VLOOKUP(F36&amp;"B"&amp;G36,'Bolting Chart'!$1:$1048576,7,0),0)+0,'Bolting Chart'!$A$169:$R$169,0)),0))/100</f>
        <v>0</v>
      </c>
      <c r="P36" s="21">
        <f t="shared" si="1"/>
        <v>0</v>
      </c>
      <c r="Q36" s="21">
        <f t="shared" si="2"/>
        <v>0</v>
      </c>
      <c r="R36" s="874"/>
      <c r="S36" s="874"/>
      <c r="T36" s="21">
        <f t="shared" si="3"/>
        <v>0</v>
      </c>
      <c r="U36" s="611">
        <f t="shared" si="4"/>
        <v>0</v>
      </c>
      <c r="V36" s="698"/>
      <c r="W36" s="684"/>
      <c r="X36" s="698"/>
      <c r="Y36" s="684"/>
      <c r="Z36" s="696"/>
      <c r="AA36" s="695"/>
      <c r="AB36" s="694"/>
      <c r="AC36" s="697"/>
      <c r="AD36" s="337">
        <f>COUNTIF($H$3:H36,"Welding Neck")+COUNTIF($H$3:H36,"LWN")</f>
        <v>1</v>
      </c>
      <c r="AE36" s="615">
        <f>IF(C36=0,0,IF(COUNTIF($AD$3:AD36,AD36)&gt;=2,0,AD36))</f>
        <v>0</v>
      </c>
      <c r="AF36" s="607">
        <f t="shared" si="5"/>
        <v>0</v>
      </c>
      <c r="AG36" s="607">
        <f t="shared" si="6"/>
        <v>0</v>
      </c>
      <c r="AH36" s="607">
        <f t="shared" si="7"/>
        <v>0</v>
      </c>
      <c r="AI36" s="616">
        <f t="shared" si="8"/>
        <v>0</v>
      </c>
      <c r="AJ36" s="615">
        <f>IF(C36=0,0,IF(COUNTIF($AD$3:AD36,AD36)&gt;=2,0,AD36))</f>
        <v>0</v>
      </c>
      <c r="AK36" s="607">
        <f t="shared" si="9"/>
        <v>0</v>
      </c>
      <c r="AL36" s="607">
        <f t="shared" si="10"/>
        <v>0</v>
      </c>
      <c r="AM36" s="607">
        <f t="shared" si="11"/>
        <v>0</v>
      </c>
      <c r="AN36" s="616">
        <f t="shared" si="12"/>
        <v>0</v>
      </c>
    </row>
    <row r="37" spans="1:40" x14ac:dyDescent="0.3">
      <c r="A37" s="21">
        <f t="shared" si="13"/>
        <v>11</v>
      </c>
      <c r="B37" s="21">
        <f>VLOOKUP(A37,'Equip&amp;Mach List'!$1:$1048576,2,0)</f>
        <v>0</v>
      </c>
      <c r="C37" s="21">
        <f>VLOOKUP(A37,'Equip&amp;Mach List'!$1:$1048576,3,0)</f>
        <v>0</v>
      </c>
      <c r="D37" s="21">
        <f>VLOOKUP(A37,'Equip&amp;Mach List'!$1:$1048576,4,0)</f>
        <v>0</v>
      </c>
      <c r="E37" s="21" t="s">
        <v>355</v>
      </c>
      <c r="F37" s="21">
        <f>IFERROR(VLOOKUP($A37&amp;"."&amp;$E37&amp;" "&amp;F$3,'Equipment Weight Calc'!$L:$M,2,0),0)</f>
        <v>0</v>
      </c>
      <c r="G37" s="21">
        <f>IFERROR(VLOOKUP($A37&amp;"."&amp;$E37&amp;" "&amp;G$3,'Equipment Weight Calc'!$L:$M,2,0),0)</f>
        <v>0</v>
      </c>
      <c r="H37" s="21">
        <f>IFERROR(VLOOKUP($A37&amp;"."&amp;$E37&amp;" "&amp;H$3,'Equipment Weight Calc'!$L:$M,2,0),0)</f>
        <v>0</v>
      </c>
      <c r="I37" s="21">
        <f>IFERROR(VLOOKUP($A37&amp;"."&amp;$E37&amp;" "&amp;I$3,'Equipment Weight Calc'!$L:$M,2,0),0)</f>
        <v>0</v>
      </c>
      <c r="J37" s="874"/>
      <c r="K37" s="121">
        <f>IFERROR(VLOOKUP(F37&amp;"B"&amp;G37,'Bolting Chart'!$1:$1048576,IF(K$4="UNC",5,6),0),0)</f>
        <v>0</v>
      </c>
      <c r="L37" s="21">
        <f>IFERROR(VLOOKUP(F37&amp;"B"&amp;G37,'Bolting Chart'!$1:$1048576,9,0),0)</f>
        <v>0</v>
      </c>
      <c r="M37" s="21">
        <f>IFERROR(VLOOKUP(F37&amp;"B"&amp;G37,'Bolting Chart'!$1:$1048576,4,0),0)</f>
        <v>0</v>
      </c>
      <c r="N37" s="21">
        <f t="shared" si="0"/>
        <v>0</v>
      </c>
      <c r="O37" s="21">
        <f>(IFERROR(INDEX('Bolting Chart'!$A$169:$R$251,MATCH(L37,'Bolting Chart'!$A$170:$A$251,0),MATCH(IFERROR(VLOOKUP(F37&amp;"B"&amp;G37,'Bolting Chart'!$1:$1048576,7,0),0)+0,'Bolting Chart'!$A$169:$R$169,0)),0))/100</f>
        <v>0</v>
      </c>
      <c r="P37" s="21">
        <f t="shared" si="1"/>
        <v>0</v>
      </c>
      <c r="Q37" s="21">
        <f t="shared" si="2"/>
        <v>0</v>
      </c>
      <c r="R37" s="874"/>
      <c r="S37" s="874"/>
      <c r="T37" s="21">
        <f t="shared" si="3"/>
        <v>0</v>
      </c>
      <c r="U37" s="611">
        <f t="shared" si="4"/>
        <v>0</v>
      </c>
      <c r="V37" s="698"/>
      <c r="W37" s="684"/>
      <c r="X37" s="698"/>
      <c r="Y37" s="684"/>
      <c r="Z37" s="696"/>
      <c r="AA37" s="695"/>
      <c r="AB37" s="694"/>
      <c r="AC37" s="697"/>
      <c r="AD37" s="337">
        <f>COUNTIF($H$3:H37,"Welding Neck")+COUNTIF($H$3:H37,"LWN")</f>
        <v>1</v>
      </c>
      <c r="AE37" s="615">
        <f>IF(C37=0,0,IF(COUNTIF($AD$3:AD37,AD37)&gt;=2,0,AD37))</f>
        <v>0</v>
      </c>
      <c r="AF37" s="607">
        <f t="shared" si="5"/>
        <v>0</v>
      </c>
      <c r="AG37" s="607">
        <f t="shared" si="6"/>
        <v>0</v>
      </c>
      <c r="AH37" s="607">
        <f t="shared" si="7"/>
        <v>0</v>
      </c>
      <c r="AI37" s="616">
        <f t="shared" si="8"/>
        <v>0</v>
      </c>
      <c r="AJ37" s="615">
        <f>IF(C37=0,0,IF(COUNTIF($AD$3:AD37,AD37)&gt;=2,0,AD37))</f>
        <v>0</v>
      </c>
      <c r="AK37" s="607">
        <f t="shared" si="9"/>
        <v>0</v>
      </c>
      <c r="AL37" s="607">
        <f t="shared" si="10"/>
        <v>0</v>
      </c>
      <c r="AM37" s="607">
        <f t="shared" si="11"/>
        <v>0</v>
      </c>
      <c r="AN37" s="616">
        <f t="shared" si="12"/>
        <v>0</v>
      </c>
    </row>
    <row r="38" spans="1:40" x14ac:dyDescent="0.3">
      <c r="A38" s="21">
        <f t="shared" si="13"/>
        <v>12</v>
      </c>
      <c r="B38" s="21">
        <f>VLOOKUP(A38,'Equip&amp;Mach List'!$1:$1048576,2,0)</f>
        <v>0</v>
      </c>
      <c r="C38" s="21">
        <f>VLOOKUP(A38,'Equip&amp;Mach List'!$1:$1048576,3,0)</f>
        <v>0</v>
      </c>
      <c r="D38" s="21">
        <f>VLOOKUP(A38,'Equip&amp;Mach List'!$1:$1048576,4,0)</f>
        <v>0</v>
      </c>
      <c r="E38" s="21" t="s">
        <v>353</v>
      </c>
      <c r="F38" s="21">
        <f>IFERROR(VLOOKUP($A38&amp;"."&amp;$E38&amp;" "&amp;F$3,'Equipment Weight Calc'!$L:$M,2,0),0)</f>
        <v>0</v>
      </c>
      <c r="G38" s="21">
        <f>IFERROR(VLOOKUP($A38&amp;"."&amp;$E38&amp;" "&amp;G$3,'Equipment Weight Calc'!$L:$M,2,0),0)</f>
        <v>0</v>
      </c>
      <c r="H38" s="21">
        <f>IFERROR(VLOOKUP($A38&amp;"."&amp;$E38&amp;" "&amp;H$3,'Equipment Weight Calc'!$L:$M,2,0),0)</f>
        <v>0</v>
      </c>
      <c r="I38" s="21">
        <f>IFERROR(VLOOKUP($A38&amp;"."&amp;$E38&amp;" "&amp;I$3,'Equipment Weight Calc'!$L:$M,2,0),0)</f>
        <v>0</v>
      </c>
      <c r="J38" s="873" t="s">
        <v>77</v>
      </c>
      <c r="K38" s="121">
        <f>IFERROR(VLOOKUP(F38&amp;"B"&amp;G38,'Bolting Chart'!$1:$1048576,IF(K$4="UNC",5,6),0),0)</f>
        <v>0</v>
      </c>
      <c r="L38" s="21">
        <f>IFERROR(VLOOKUP(F38&amp;"B"&amp;G38,'Bolting Chart'!$1:$1048576,9,0),0)</f>
        <v>0</v>
      </c>
      <c r="M38" s="21">
        <f>IFERROR(VLOOKUP(F38&amp;"B"&amp;G38,'Bolting Chart'!$1:$1048576,4,0),0)</f>
        <v>0</v>
      </c>
      <c r="N38" s="21">
        <f t="shared" si="0"/>
        <v>0</v>
      </c>
      <c r="O38" s="21">
        <f>(IFERROR(INDEX('Bolting Chart'!$A$169:$R$251,MATCH(L38,'Bolting Chart'!$A$170:$A$251,0),MATCH(IFERROR(VLOOKUP(F38&amp;"B"&amp;G38,'Bolting Chart'!$1:$1048576,7,0),0)+0,'Bolting Chart'!$A$169:$R$169,0)),0))/100</f>
        <v>0</v>
      </c>
      <c r="P38" s="21">
        <f t="shared" si="1"/>
        <v>0</v>
      </c>
      <c r="Q38" s="21">
        <f t="shared" si="2"/>
        <v>0</v>
      </c>
      <c r="R38" s="873" t="s">
        <v>2108</v>
      </c>
      <c r="S38" s="873" t="s">
        <v>2109</v>
      </c>
      <c r="T38" s="21">
        <f t="shared" si="3"/>
        <v>0</v>
      </c>
      <c r="U38" s="611">
        <f t="shared" si="4"/>
        <v>0</v>
      </c>
      <c r="V38" s="694">
        <v>0.1</v>
      </c>
      <c r="W38" s="695">
        <v>5</v>
      </c>
      <c r="X38" s="698">
        <v>2</v>
      </c>
      <c r="Y38" s="713">
        <v>2</v>
      </c>
      <c r="Z38" s="875">
        <v>0.1</v>
      </c>
      <c r="AA38" s="695">
        <v>5</v>
      </c>
      <c r="AB38" s="698">
        <v>2</v>
      </c>
      <c r="AC38" s="684">
        <v>2</v>
      </c>
      <c r="AD38" s="337">
        <f>COUNTIF($H$3:H38,"Welding Neck")+COUNTIF($H$3:H38,"LWN")</f>
        <v>1</v>
      </c>
      <c r="AE38" s="615">
        <f>IF(C38=0,0,IF(COUNTIF($AD$3:AD38,AD38)&gt;=2,0,AD38))</f>
        <v>0</v>
      </c>
      <c r="AF38" s="607">
        <f t="shared" si="5"/>
        <v>0</v>
      </c>
      <c r="AG38" s="607">
        <f t="shared" si="6"/>
        <v>0</v>
      </c>
      <c r="AH38" s="607">
        <f t="shared" si="7"/>
        <v>0</v>
      </c>
      <c r="AI38" s="616">
        <f t="shared" si="8"/>
        <v>0</v>
      </c>
      <c r="AJ38" s="615">
        <f>IF(C38=0,0,IF(COUNTIF($AD$3:AD38,AD38)&gt;=2,0,AD38))</f>
        <v>0</v>
      </c>
      <c r="AK38" s="607">
        <f t="shared" si="9"/>
        <v>0</v>
      </c>
      <c r="AL38" s="607">
        <f t="shared" si="10"/>
        <v>0</v>
      </c>
      <c r="AM38" s="607">
        <f t="shared" si="11"/>
        <v>0</v>
      </c>
      <c r="AN38" s="616">
        <f t="shared" si="12"/>
        <v>0</v>
      </c>
    </row>
    <row r="39" spans="1:40" x14ac:dyDescent="0.3">
      <c r="A39" s="21">
        <f t="shared" si="13"/>
        <v>12</v>
      </c>
      <c r="B39" s="21">
        <f>VLOOKUP(A39,'Equip&amp;Mach List'!$1:$1048576,2,0)</f>
        <v>0</v>
      </c>
      <c r="C39" s="21">
        <f>VLOOKUP(A39,'Equip&amp;Mach List'!$1:$1048576,3,0)</f>
        <v>0</v>
      </c>
      <c r="D39" s="21">
        <f>VLOOKUP(A39,'Equip&amp;Mach List'!$1:$1048576,4,0)</f>
        <v>0</v>
      </c>
      <c r="E39" s="21" t="s">
        <v>354</v>
      </c>
      <c r="F39" s="21">
        <f>IFERROR(VLOOKUP($A39&amp;"."&amp;$E39&amp;" "&amp;F$3,'Equipment Weight Calc'!$L:$M,2,0),0)</f>
        <v>0</v>
      </c>
      <c r="G39" s="21">
        <f>IFERROR(VLOOKUP($A39&amp;"."&amp;$E39&amp;" "&amp;G$3,'Equipment Weight Calc'!$L:$M,2,0),0)</f>
        <v>0</v>
      </c>
      <c r="H39" s="21">
        <f>IFERROR(VLOOKUP($A39&amp;"."&amp;$E39&amp;" "&amp;H$3,'Equipment Weight Calc'!$L:$M,2,0),0)</f>
        <v>0</v>
      </c>
      <c r="I39" s="21">
        <f>IFERROR(VLOOKUP($A39&amp;"."&amp;$E39&amp;" "&amp;I$3,'Equipment Weight Calc'!$L:$M,2,0),0)</f>
        <v>0</v>
      </c>
      <c r="J39" s="874"/>
      <c r="K39" s="121">
        <f>IFERROR(VLOOKUP(F39&amp;"B"&amp;G39,'Bolting Chart'!$1:$1048576,IF(K$4="UNC",5,6),0),0)</f>
        <v>0</v>
      </c>
      <c r="L39" s="21">
        <f>IFERROR(VLOOKUP(F39&amp;"B"&amp;G39,'Bolting Chart'!$1:$1048576,9,0),0)</f>
        <v>0</v>
      </c>
      <c r="M39" s="21">
        <f>IFERROR(VLOOKUP(F39&amp;"B"&amp;G39,'Bolting Chart'!$1:$1048576,4,0),0)</f>
        <v>0</v>
      </c>
      <c r="N39" s="21">
        <f t="shared" si="0"/>
        <v>0</v>
      </c>
      <c r="O39" s="21">
        <f>(IFERROR(INDEX('Bolting Chart'!$A$169:$R$251,MATCH(L39,'Bolting Chart'!$A$170:$A$251,0),MATCH(IFERROR(VLOOKUP(F39&amp;"B"&amp;G39,'Bolting Chart'!$1:$1048576,7,0),0)+0,'Bolting Chart'!$A$169:$R$169,0)),0))/100</f>
        <v>0</v>
      </c>
      <c r="P39" s="21">
        <f t="shared" si="1"/>
        <v>0</v>
      </c>
      <c r="Q39" s="21">
        <f t="shared" si="2"/>
        <v>0</v>
      </c>
      <c r="R39" s="874"/>
      <c r="S39" s="874"/>
      <c r="T39" s="21">
        <f t="shared" si="3"/>
        <v>0</v>
      </c>
      <c r="U39" s="611">
        <f t="shared" si="4"/>
        <v>0</v>
      </c>
      <c r="V39" s="698"/>
      <c r="W39" s="684"/>
      <c r="X39" s="698"/>
      <c r="Y39" s="684"/>
      <c r="Z39" s="696"/>
      <c r="AA39" s="695"/>
      <c r="AB39" s="694"/>
      <c r="AC39" s="697"/>
      <c r="AD39" s="337">
        <f>COUNTIF($H$3:H39,"Welding Neck")+COUNTIF($H$3:H39,"LWN")</f>
        <v>1</v>
      </c>
      <c r="AE39" s="615">
        <f>IF(C39=0,0,IF(COUNTIF($AD$3:AD39,AD39)&gt;=2,0,AD39))</f>
        <v>0</v>
      </c>
      <c r="AF39" s="607">
        <f t="shared" si="5"/>
        <v>0</v>
      </c>
      <c r="AG39" s="607">
        <f t="shared" si="6"/>
        <v>0</v>
      </c>
      <c r="AH39" s="607">
        <f t="shared" si="7"/>
        <v>0</v>
      </c>
      <c r="AI39" s="616">
        <f t="shared" si="8"/>
        <v>0</v>
      </c>
      <c r="AJ39" s="615">
        <f>IF(C39=0,0,IF(COUNTIF($AD$3:AD39,AD39)&gt;=2,0,AD39))</f>
        <v>0</v>
      </c>
      <c r="AK39" s="607">
        <f t="shared" si="9"/>
        <v>0</v>
      </c>
      <c r="AL39" s="607">
        <f t="shared" si="10"/>
        <v>0</v>
      </c>
      <c r="AM39" s="607">
        <f t="shared" si="11"/>
        <v>0</v>
      </c>
      <c r="AN39" s="616">
        <f t="shared" si="12"/>
        <v>0</v>
      </c>
    </row>
    <row r="40" spans="1:40" x14ac:dyDescent="0.3">
      <c r="A40" s="21">
        <f t="shared" si="13"/>
        <v>12</v>
      </c>
      <c r="B40" s="21">
        <f>VLOOKUP(A40,'Equip&amp;Mach List'!$1:$1048576,2,0)</f>
        <v>0</v>
      </c>
      <c r="C40" s="21">
        <f>VLOOKUP(A40,'Equip&amp;Mach List'!$1:$1048576,3,0)</f>
        <v>0</v>
      </c>
      <c r="D40" s="21">
        <f>VLOOKUP(A40,'Equip&amp;Mach List'!$1:$1048576,4,0)</f>
        <v>0</v>
      </c>
      <c r="E40" s="21" t="s">
        <v>355</v>
      </c>
      <c r="F40" s="21">
        <f>IFERROR(VLOOKUP($A40&amp;"."&amp;$E40&amp;" "&amp;F$3,'Equipment Weight Calc'!$L:$M,2,0),0)</f>
        <v>0</v>
      </c>
      <c r="G40" s="21">
        <f>IFERROR(VLOOKUP($A40&amp;"."&amp;$E40&amp;" "&amp;G$3,'Equipment Weight Calc'!$L:$M,2,0),0)</f>
        <v>0</v>
      </c>
      <c r="H40" s="21">
        <f>IFERROR(VLOOKUP($A40&amp;"."&amp;$E40&amp;" "&amp;H$3,'Equipment Weight Calc'!$L:$M,2,0),0)</f>
        <v>0</v>
      </c>
      <c r="I40" s="21">
        <f>IFERROR(VLOOKUP($A40&amp;"."&amp;$E40&amp;" "&amp;I$3,'Equipment Weight Calc'!$L:$M,2,0),0)</f>
        <v>0</v>
      </c>
      <c r="J40" s="874"/>
      <c r="K40" s="121">
        <f>IFERROR(VLOOKUP(F40&amp;"B"&amp;G40,'Bolting Chart'!$1:$1048576,IF(K$4="UNC",5,6),0),0)</f>
        <v>0</v>
      </c>
      <c r="L40" s="21">
        <f>IFERROR(VLOOKUP(F40&amp;"B"&amp;G40,'Bolting Chart'!$1:$1048576,9,0),0)</f>
        <v>0</v>
      </c>
      <c r="M40" s="21">
        <f>IFERROR(VLOOKUP(F40&amp;"B"&amp;G40,'Bolting Chart'!$1:$1048576,4,0),0)</f>
        <v>0</v>
      </c>
      <c r="N40" s="21">
        <f t="shared" si="0"/>
        <v>0</v>
      </c>
      <c r="O40" s="21">
        <f>(IFERROR(INDEX('Bolting Chart'!$A$169:$R$251,MATCH(L40,'Bolting Chart'!$A$170:$A$251,0),MATCH(IFERROR(VLOOKUP(F40&amp;"B"&amp;G40,'Bolting Chart'!$1:$1048576,7,0),0)+0,'Bolting Chart'!$A$169:$R$169,0)),0))/100</f>
        <v>0</v>
      </c>
      <c r="P40" s="21">
        <f t="shared" si="1"/>
        <v>0</v>
      </c>
      <c r="Q40" s="21">
        <f t="shared" si="2"/>
        <v>0</v>
      </c>
      <c r="R40" s="874"/>
      <c r="S40" s="874"/>
      <c r="T40" s="21">
        <f t="shared" si="3"/>
        <v>0</v>
      </c>
      <c r="U40" s="611">
        <f t="shared" si="4"/>
        <v>0</v>
      </c>
      <c r="V40" s="698"/>
      <c r="W40" s="684"/>
      <c r="X40" s="698"/>
      <c r="Y40" s="684"/>
      <c r="Z40" s="696"/>
      <c r="AA40" s="695"/>
      <c r="AB40" s="694"/>
      <c r="AC40" s="697"/>
      <c r="AD40" s="337">
        <f>COUNTIF($H$3:H40,"Welding Neck")+COUNTIF($H$3:H40,"LWN")</f>
        <v>1</v>
      </c>
      <c r="AE40" s="615">
        <f>IF(C40=0,0,IF(COUNTIF($AD$3:AD40,AD40)&gt;=2,0,AD40))</f>
        <v>0</v>
      </c>
      <c r="AF40" s="607">
        <f t="shared" si="5"/>
        <v>0</v>
      </c>
      <c r="AG40" s="607">
        <f t="shared" si="6"/>
        <v>0</v>
      </c>
      <c r="AH40" s="607">
        <f t="shared" si="7"/>
        <v>0</v>
      </c>
      <c r="AI40" s="616">
        <f t="shared" si="8"/>
        <v>0</v>
      </c>
      <c r="AJ40" s="615">
        <f>IF(C40=0,0,IF(COUNTIF($AD$3:AD40,AD40)&gt;=2,0,AD40))</f>
        <v>0</v>
      </c>
      <c r="AK40" s="607">
        <f t="shared" si="9"/>
        <v>0</v>
      </c>
      <c r="AL40" s="607">
        <f t="shared" si="10"/>
        <v>0</v>
      </c>
      <c r="AM40" s="607">
        <f t="shared" si="11"/>
        <v>0</v>
      </c>
      <c r="AN40" s="616">
        <f t="shared" si="12"/>
        <v>0</v>
      </c>
    </row>
    <row r="41" spans="1:40" x14ac:dyDescent="0.3">
      <c r="A41" s="21">
        <f t="shared" si="13"/>
        <v>13</v>
      </c>
      <c r="B41" s="21">
        <f>VLOOKUP(A41,'Equip&amp;Mach List'!$1:$1048576,2,0)</f>
        <v>0</v>
      </c>
      <c r="C41" s="21">
        <f>VLOOKUP(A41,'Equip&amp;Mach List'!$1:$1048576,3,0)</f>
        <v>0</v>
      </c>
      <c r="D41" s="21">
        <f>VLOOKUP(A41,'Equip&amp;Mach List'!$1:$1048576,4,0)</f>
        <v>0</v>
      </c>
      <c r="E41" s="21" t="s">
        <v>353</v>
      </c>
      <c r="F41" s="21">
        <f>IFERROR(VLOOKUP($A41&amp;"."&amp;$E41&amp;" "&amp;F$3,'Equipment Weight Calc'!$L:$M,2,0),0)</f>
        <v>0</v>
      </c>
      <c r="G41" s="21">
        <f>IFERROR(VLOOKUP($A41&amp;"."&amp;$E41&amp;" "&amp;G$3,'Equipment Weight Calc'!$L:$M,2,0),0)</f>
        <v>0</v>
      </c>
      <c r="H41" s="21">
        <f>IFERROR(VLOOKUP($A41&amp;"."&amp;$E41&amp;" "&amp;H$3,'Equipment Weight Calc'!$L:$M,2,0),0)</f>
        <v>0</v>
      </c>
      <c r="I41" s="21">
        <f>IFERROR(VLOOKUP($A41&amp;"."&amp;$E41&amp;" "&amp;I$3,'Equipment Weight Calc'!$L:$M,2,0),0)</f>
        <v>0</v>
      </c>
      <c r="J41" s="874"/>
      <c r="K41" s="121">
        <f>IFERROR(VLOOKUP(F41&amp;"B"&amp;G41,'Bolting Chart'!$1:$1048576,IF(K$4="UNC",5,6),0),0)</f>
        <v>0</v>
      </c>
      <c r="L41" s="21">
        <f>IFERROR(VLOOKUP(F41&amp;"B"&amp;G41,'Bolting Chart'!$1:$1048576,9,0),0)</f>
        <v>0</v>
      </c>
      <c r="M41" s="21">
        <f>IFERROR(VLOOKUP(F41&amp;"B"&amp;G41,'Bolting Chart'!$1:$1048576,4,0),0)</f>
        <v>0</v>
      </c>
      <c r="N41" s="21">
        <f t="shared" si="0"/>
        <v>0</v>
      </c>
      <c r="O41" s="21">
        <f>(IFERROR(INDEX('Bolting Chart'!$A$169:$R$251,MATCH(L41,'Bolting Chart'!$A$170:$A$251,0),MATCH(IFERROR(VLOOKUP(F41&amp;"B"&amp;G41,'Bolting Chart'!$1:$1048576,7,0),0)+0,'Bolting Chart'!$A$169:$R$169,0)),0))/100</f>
        <v>0</v>
      </c>
      <c r="P41" s="21">
        <f t="shared" si="1"/>
        <v>0</v>
      </c>
      <c r="Q41" s="21">
        <f t="shared" si="2"/>
        <v>0</v>
      </c>
      <c r="R41" s="874"/>
      <c r="S41" s="874"/>
      <c r="T41" s="21">
        <f t="shared" si="3"/>
        <v>0</v>
      </c>
      <c r="U41" s="611">
        <f t="shared" si="4"/>
        <v>0</v>
      </c>
      <c r="V41" s="698"/>
      <c r="W41" s="684"/>
      <c r="X41" s="698"/>
      <c r="Y41" s="684"/>
      <c r="Z41" s="696"/>
      <c r="AA41" s="695"/>
      <c r="AB41" s="694"/>
      <c r="AC41" s="697"/>
      <c r="AD41" s="337">
        <f>COUNTIF($H$3:H41,"Welding Neck")+COUNTIF($H$3:H41,"LWN")</f>
        <v>1</v>
      </c>
      <c r="AE41" s="615">
        <f>IF(C41=0,0,IF(COUNTIF($AD$3:AD41,AD41)&gt;=2,0,AD41))</f>
        <v>0</v>
      </c>
      <c r="AF41" s="607">
        <f t="shared" si="5"/>
        <v>0</v>
      </c>
      <c r="AG41" s="607">
        <f t="shared" si="6"/>
        <v>0</v>
      </c>
      <c r="AH41" s="607">
        <f t="shared" si="7"/>
        <v>0</v>
      </c>
      <c r="AI41" s="616">
        <f t="shared" si="8"/>
        <v>0</v>
      </c>
      <c r="AJ41" s="615">
        <f>IF(C41=0,0,IF(COUNTIF($AD$3:AD41,AD41)&gt;=2,0,AD41))</f>
        <v>0</v>
      </c>
      <c r="AK41" s="607">
        <f t="shared" si="9"/>
        <v>0</v>
      </c>
      <c r="AL41" s="607">
        <f t="shared" si="10"/>
        <v>0</v>
      </c>
      <c r="AM41" s="607">
        <f t="shared" si="11"/>
        <v>0</v>
      </c>
      <c r="AN41" s="616">
        <f t="shared" si="12"/>
        <v>0</v>
      </c>
    </row>
    <row r="42" spans="1:40" x14ac:dyDescent="0.3">
      <c r="A42" s="21">
        <f t="shared" si="13"/>
        <v>13</v>
      </c>
      <c r="B42" s="21">
        <f>VLOOKUP(A42,'Equip&amp;Mach List'!$1:$1048576,2,0)</f>
        <v>0</v>
      </c>
      <c r="C42" s="21">
        <f>VLOOKUP(A42,'Equip&amp;Mach List'!$1:$1048576,3,0)</f>
        <v>0</v>
      </c>
      <c r="D42" s="21">
        <f>VLOOKUP(A42,'Equip&amp;Mach List'!$1:$1048576,4,0)</f>
        <v>0</v>
      </c>
      <c r="E42" s="21" t="s">
        <v>354</v>
      </c>
      <c r="F42" s="21">
        <f>IFERROR(VLOOKUP($A42&amp;"."&amp;$E42&amp;" "&amp;F$3,'Equipment Weight Calc'!$L:$M,2,0),0)</f>
        <v>0</v>
      </c>
      <c r="G42" s="21">
        <f>IFERROR(VLOOKUP($A42&amp;"."&amp;$E42&amp;" "&amp;G$3,'Equipment Weight Calc'!$L:$M,2,0),0)</f>
        <v>0</v>
      </c>
      <c r="H42" s="21">
        <f>IFERROR(VLOOKUP($A42&amp;"."&amp;$E42&amp;" "&amp;H$3,'Equipment Weight Calc'!$L:$M,2,0),0)</f>
        <v>0</v>
      </c>
      <c r="I42" s="21">
        <f>IFERROR(VLOOKUP($A42&amp;"."&amp;$E42&amp;" "&amp;I$3,'Equipment Weight Calc'!$L:$M,2,0),0)</f>
        <v>0</v>
      </c>
      <c r="J42" s="874"/>
      <c r="K42" s="121">
        <f>IFERROR(VLOOKUP(F42&amp;"B"&amp;G42,'Bolting Chart'!$1:$1048576,IF(K$4="UNC",5,6),0),0)</f>
        <v>0</v>
      </c>
      <c r="L42" s="21">
        <f>IFERROR(VLOOKUP(F42&amp;"B"&amp;G42,'Bolting Chart'!$1:$1048576,9,0),0)</f>
        <v>0</v>
      </c>
      <c r="M42" s="21">
        <f>IFERROR(VLOOKUP(F42&amp;"B"&amp;G42,'Bolting Chart'!$1:$1048576,4,0),0)</f>
        <v>0</v>
      </c>
      <c r="N42" s="21">
        <f t="shared" si="0"/>
        <v>0</v>
      </c>
      <c r="O42" s="21">
        <f>(IFERROR(INDEX('Bolting Chart'!$A$169:$R$251,MATCH(L42,'Bolting Chart'!$A$170:$A$251,0),MATCH(IFERROR(VLOOKUP(F42&amp;"B"&amp;G42,'Bolting Chart'!$1:$1048576,7,0),0)+0,'Bolting Chart'!$A$169:$R$169,0)),0))/100</f>
        <v>0</v>
      </c>
      <c r="P42" s="21">
        <f t="shared" si="1"/>
        <v>0</v>
      </c>
      <c r="Q42" s="21">
        <f t="shared" si="2"/>
        <v>0</v>
      </c>
      <c r="R42" s="874"/>
      <c r="S42" s="874"/>
      <c r="T42" s="21">
        <f t="shared" si="3"/>
        <v>0</v>
      </c>
      <c r="U42" s="611">
        <f t="shared" si="4"/>
        <v>0</v>
      </c>
      <c r="V42" s="698"/>
      <c r="W42" s="684"/>
      <c r="X42" s="698"/>
      <c r="Y42" s="684"/>
      <c r="Z42" s="696"/>
      <c r="AA42" s="695"/>
      <c r="AB42" s="694"/>
      <c r="AC42" s="697"/>
      <c r="AD42" s="337">
        <f>COUNTIF($H$3:H42,"Welding Neck")+COUNTIF($H$3:H42,"LWN")</f>
        <v>1</v>
      </c>
      <c r="AE42" s="615">
        <f>IF(C42=0,0,IF(COUNTIF($AD$3:AD42,AD42)&gt;=2,0,AD42))</f>
        <v>0</v>
      </c>
      <c r="AF42" s="607">
        <f t="shared" si="5"/>
        <v>0</v>
      </c>
      <c r="AG42" s="607">
        <f t="shared" si="6"/>
        <v>0</v>
      </c>
      <c r="AH42" s="607">
        <f t="shared" si="7"/>
        <v>0</v>
      </c>
      <c r="AI42" s="616">
        <f t="shared" si="8"/>
        <v>0</v>
      </c>
      <c r="AJ42" s="615">
        <f>IF(C42=0,0,IF(COUNTIF($AD$3:AD42,AD42)&gt;=2,0,AD42))</f>
        <v>0</v>
      </c>
      <c r="AK42" s="607">
        <f t="shared" si="9"/>
        <v>0</v>
      </c>
      <c r="AL42" s="607">
        <f t="shared" si="10"/>
        <v>0</v>
      </c>
      <c r="AM42" s="607">
        <f t="shared" si="11"/>
        <v>0</v>
      </c>
      <c r="AN42" s="616">
        <f t="shared" si="12"/>
        <v>0</v>
      </c>
    </row>
    <row r="43" spans="1:40" x14ac:dyDescent="0.3">
      <c r="A43" s="21">
        <f t="shared" si="14"/>
        <v>13</v>
      </c>
      <c r="B43" s="21">
        <f>VLOOKUP(A43,'Equip&amp;Mach List'!$1:$1048576,2,0)</f>
        <v>0</v>
      </c>
      <c r="C43" s="21">
        <f>VLOOKUP(A43,'Equip&amp;Mach List'!$1:$1048576,3,0)</f>
        <v>0</v>
      </c>
      <c r="D43" s="21">
        <f>VLOOKUP(A43,'Equip&amp;Mach List'!$1:$1048576,4,0)</f>
        <v>0</v>
      </c>
      <c r="E43" s="21" t="s">
        <v>355</v>
      </c>
      <c r="F43" s="21">
        <f>IFERROR(VLOOKUP($A43&amp;"."&amp;$E43&amp;" "&amp;F$3,'Equipment Weight Calc'!$L:$M,2,0),0)</f>
        <v>0</v>
      </c>
      <c r="G43" s="21">
        <f>IFERROR(VLOOKUP($A43&amp;"."&amp;$E43&amp;" "&amp;G$3,'Equipment Weight Calc'!$L:$M,2,0),0)</f>
        <v>0</v>
      </c>
      <c r="H43" s="21">
        <f>IFERROR(VLOOKUP($A43&amp;"."&amp;$E43&amp;" "&amp;H$3,'Equipment Weight Calc'!$L:$M,2,0),0)</f>
        <v>0</v>
      </c>
      <c r="I43" s="21">
        <f>IFERROR(VLOOKUP($A43&amp;"."&amp;$E43&amp;" "&amp;I$3,'Equipment Weight Calc'!$L:$M,2,0),0)</f>
        <v>0</v>
      </c>
      <c r="J43" s="874"/>
      <c r="K43" s="121">
        <f>IFERROR(VLOOKUP(F43&amp;"B"&amp;G43,'Bolting Chart'!$1:$1048576,IF(K$4="UNC",5,6),0),0)</f>
        <v>0</v>
      </c>
      <c r="L43" s="21">
        <f>IFERROR(VLOOKUP(F43&amp;"B"&amp;G43,'Bolting Chart'!$1:$1048576,9,0),0)</f>
        <v>0</v>
      </c>
      <c r="M43" s="21">
        <f>IFERROR(VLOOKUP(F43&amp;"B"&amp;G43,'Bolting Chart'!$1:$1048576,4,0),0)</f>
        <v>0</v>
      </c>
      <c r="N43" s="21">
        <f t="shared" si="0"/>
        <v>0</v>
      </c>
      <c r="O43" s="21">
        <f>(IFERROR(INDEX('Bolting Chart'!$A$169:$R$251,MATCH(L43,'Bolting Chart'!$A$170:$A$251,0),MATCH(IFERROR(VLOOKUP(F43&amp;"B"&amp;G43,'Bolting Chart'!$1:$1048576,7,0),0)+0,'Bolting Chart'!$A$169:$R$169,0)),0))/100</f>
        <v>0</v>
      </c>
      <c r="P43" s="21">
        <f t="shared" si="1"/>
        <v>0</v>
      </c>
      <c r="Q43" s="21">
        <f t="shared" si="2"/>
        <v>0</v>
      </c>
      <c r="R43" s="874"/>
      <c r="S43" s="874"/>
      <c r="T43" s="21">
        <f t="shared" si="3"/>
        <v>0</v>
      </c>
      <c r="U43" s="611">
        <f t="shared" si="4"/>
        <v>0</v>
      </c>
      <c r="V43" s="698"/>
      <c r="W43" s="684"/>
      <c r="X43" s="698"/>
      <c r="Y43" s="684"/>
      <c r="Z43" s="696"/>
      <c r="AA43" s="695"/>
      <c r="AB43" s="694"/>
      <c r="AC43" s="697"/>
      <c r="AD43" s="337">
        <f>COUNTIF($H$3:H43,"Welding Neck")+COUNTIF($H$3:H43,"LWN")</f>
        <v>1</v>
      </c>
      <c r="AE43" s="615">
        <f>IF(C43=0,0,IF(COUNTIF($AD$3:AD43,AD43)&gt;=2,0,AD43))</f>
        <v>0</v>
      </c>
      <c r="AF43" s="607">
        <f t="shared" si="5"/>
        <v>0</v>
      </c>
      <c r="AG43" s="607">
        <f t="shared" si="6"/>
        <v>0</v>
      </c>
      <c r="AH43" s="607">
        <f t="shared" si="7"/>
        <v>0</v>
      </c>
      <c r="AI43" s="616">
        <f t="shared" si="8"/>
        <v>0</v>
      </c>
      <c r="AJ43" s="615">
        <f>IF(C43=0,0,IF(COUNTIF($AD$3:AD43,AD43)&gt;=2,0,AD43))</f>
        <v>0</v>
      </c>
      <c r="AK43" s="607">
        <f t="shared" si="9"/>
        <v>0</v>
      </c>
      <c r="AL43" s="607">
        <f t="shared" si="10"/>
        <v>0</v>
      </c>
      <c r="AM43" s="607">
        <f t="shared" si="11"/>
        <v>0</v>
      </c>
      <c r="AN43" s="616">
        <f t="shared" si="12"/>
        <v>0</v>
      </c>
    </row>
    <row r="44" spans="1:40" x14ac:dyDescent="0.3">
      <c r="A44" s="21">
        <f t="shared" si="14"/>
        <v>14</v>
      </c>
      <c r="B44" s="21">
        <f>VLOOKUP(A44,'Equip&amp;Mach List'!$1:$1048576,2,0)</f>
        <v>0</v>
      </c>
      <c r="C44" s="21">
        <f>VLOOKUP(A44,'Equip&amp;Mach List'!$1:$1048576,3,0)</f>
        <v>0</v>
      </c>
      <c r="D44" s="21">
        <f>VLOOKUP(A44,'Equip&amp;Mach List'!$1:$1048576,4,0)</f>
        <v>0</v>
      </c>
      <c r="E44" s="21" t="s">
        <v>353</v>
      </c>
      <c r="F44" s="21">
        <f>IFERROR(VLOOKUP($A44&amp;"."&amp;$E44&amp;" "&amp;F$3,'Equipment Weight Calc'!$L:$M,2,0),0)</f>
        <v>0</v>
      </c>
      <c r="G44" s="21">
        <f>IFERROR(VLOOKUP($A44&amp;"."&amp;$E44&amp;" "&amp;G$3,'Equipment Weight Calc'!$L:$M,2,0),0)</f>
        <v>0</v>
      </c>
      <c r="H44" s="21">
        <f>IFERROR(VLOOKUP($A44&amp;"."&amp;$E44&amp;" "&amp;H$3,'Equipment Weight Calc'!$L:$M,2,0),0)</f>
        <v>0</v>
      </c>
      <c r="I44" s="21">
        <f>IFERROR(VLOOKUP($A44&amp;"."&amp;$E44&amp;" "&amp;I$3,'Equipment Weight Calc'!$L:$M,2,0),0)</f>
        <v>0</v>
      </c>
      <c r="J44" s="874"/>
      <c r="K44" s="121">
        <f>IFERROR(VLOOKUP(F44&amp;"B"&amp;G44,'Bolting Chart'!$1:$1048576,IF(K$4="UNC",5,6),0),0)</f>
        <v>0</v>
      </c>
      <c r="L44" s="21">
        <f>IFERROR(VLOOKUP(F44&amp;"B"&amp;G44,'Bolting Chart'!$1:$1048576,9,0),0)</f>
        <v>0</v>
      </c>
      <c r="M44" s="21">
        <f>IFERROR(VLOOKUP(F44&amp;"B"&amp;G44,'Bolting Chart'!$1:$1048576,4,0),0)</f>
        <v>0</v>
      </c>
      <c r="N44" s="21">
        <f t="shared" si="0"/>
        <v>0</v>
      </c>
      <c r="O44" s="21">
        <f>(IFERROR(INDEX('Bolting Chart'!$A$169:$R$251,MATCH(L44,'Bolting Chart'!$A$170:$A$251,0),MATCH(IFERROR(VLOOKUP(F44&amp;"B"&amp;G44,'Bolting Chart'!$1:$1048576,7,0),0)+0,'Bolting Chart'!$A$169:$R$169,0)),0))/100</f>
        <v>0</v>
      </c>
      <c r="P44" s="21">
        <f t="shared" si="1"/>
        <v>0</v>
      </c>
      <c r="Q44" s="21">
        <f t="shared" si="2"/>
        <v>0</v>
      </c>
      <c r="R44" s="874"/>
      <c r="S44" s="874"/>
      <c r="T44" s="21">
        <f t="shared" si="3"/>
        <v>0</v>
      </c>
      <c r="U44" s="611">
        <f t="shared" si="4"/>
        <v>0</v>
      </c>
      <c r="V44" s="698"/>
      <c r="W44" s="684"/>
      <c r="X44" s="698"/>
      <c r="Y44" s="684"/>
      <c r="Z44" s="696"/>
      <c r="AA44" s="695"/>
      <c r="AB44" s="694"/>
      <c r="AC44" s="697"/>
      <c r="AD44" s="337">
        <f>COUNTIF($H$3:H44,"Welding Neck")+COUNTIF($H$3:H44,"LWN")</f>
        <v>1</v>
      </c>
      <c r="AE44" s="615">
        <f>IF(C44=0,0,IF(COUNTIF($AD$3:AD44,AD44)&gt;=2,0,AD44))</f>
        <v>0</v>
      </c>
      <c r="AF44" s="607">
        <f t="shared" si="5"/>
        <v>0</v>
      </c>
      <c r="AG44" s="607">
        <f t="shared" si="6"/>
        <v>0</v>
      </c>
      <c r="AH44" s="607">
        <f t="shared" si="7"/>
        <v>0</v>
      </c>
      <c r="AI44" s="616">
        <f t="shared" si="8"/>
        <v>0</v>
      </c>
      <c r="AJ44" s="615">
        <f>IF(C44=0,0,IF(COUNTIF($AD$3:AD44,AD44)&gt;=2,0,AD44))</f>
        <v>0</v>
      </c>
      <c r="AK44" s="607">
        <f t="shared" si="9"/>
        <v>0</v>
      </c>
      <c r="AL44" s="607">
        <f t="shared" si="10"/>
        <v>0</v>
      </c>
      <c r="AM44" s="607">
        <f t="shared" si="11"/>
        <v>0</v>
      </c>
      <c r="AN44" s="616">
        <f t="shared" si="12"/>
        <v>0</v>
      </c>
    </row>
    <row r="45" spans="1:40" x14ac:dyDescent="0.3">
      <c r="A45" s="21">
        <f t="shared" si="14"/>
        <v>14</v>
      </c>
      <c r="B45" s="21">
        <f>VLOOKUP(A45,'Equip&amp;Mach List'!$1:$1048576,2,0)</f>
        <v>0</v>
      </c>
      <c r="C45" s="21">
        <f>VLOOKUP(A45,'Equip&amp;Mach List'!$1:$1048576,3,0)</f>
        <v>0</v>
      </c>
      <c r="D45" s="21">
        <f>VLOOKUP(A45,'Equip&amp;Mach List'!$1:$1048576,4,0)</f>
        <v>0</v>
      </c>
      <c r="E45" s="21" t="s">
        <v>354</v>
      </c>
      <c r="F45" s="21">
        <f>IFERROR(VLOOKUP($A45&amp;"."&amp;$E45&amp;" "&amp;F$3,'Equipment Weight Calc'!$L:$M,2,0),0)</f>
        <v>0</v>
      </c>
      <c r="G45" s="21">
        <f>IFERROR(VLOOKUP($A45&amp;"."&amp;$E45&amp;" "&amp;G$3,'Equipment Weight Calc'!$L:$M,2,0),0)</f>
        <v>0</v>
      </c>
      <c r="H45" s="21">
        <f>IFERROR(VLOOKUP($A45&amp;"."&amp;$E45&amp;" "&amp;H$3,'Equipment Weight Calc'!$L:$M,2,0),0)</f>
        <v>0</v>
      </c>
      <c r="I45" s="21">
        <f>IFERROR(VLOOKUP($A45&amp;"."&amp;$E45&amp;" "&amp;I$3,'Equipment Weight Calc'!$L:$M,2,0),0)</f>
        <v>0</v>
      </c>
      <c r="J45" s="874"/>
      <c r="K45" s="121">
        <f>IFERROR(VLOOKUP(F45&amp;"B"&amp;G45,'Bolting Chart'!$1:$1048576,IF(K$4="UNC",5,6),0),0)</f>
        <v>0</v>
      </c>
      <c r="L45" s="21">
        <f>IFERROR(VLOOKUP(F45&amp;"B"&amp;G45,'Bolting Chart'!$1:$1048576,9,0),0)</f>
        <v>0</v>
      </c>
      <c r="M45" s="21">
        <f>IFERROR(VLOOKUP(F45&amp;"B"&amp;G45,'Bolting Chart'!$1:$1048576,4,0),0)</f>
        <v>0</v>
      </c>
      <c r="N45" s="21">
        <f t="shared" si="0"/>
        <v>0</v>
      </c>
      <c r="O45" s="21">
        <f>(IFERROR(INDEX('Bolting Chart'!$A$169:$R$251,MATCH(L45,'Bolting Chart'!$A$170:$A$251,0),MATCH(IFERROR(VLOOKUP(F45&amp;"B"&amp;G45,'Bolting Chart'!$1:$1048576,7,0),0)+0,'Bolting Chart'!$A$169:$R$169,0)),0))/100</f>
        <v>0</v>
      </c>
      <c r="P45" s="21">
        <f t="shared" si="1"/>
        <v>0</v>
      </c>
      <c r="Q45" s="21">
        <f t="shared" si="2"/>
        <v>0</v>
      </c>
      <c r="R45" s="874"/>
      <c r="S45" s="874"/>
      <c r="T45" s="21">
        <f t="shared" si="3"/>
        <v>0</v>
      </c>
      <c r="U45" s="611">
        <f t="shared" si="4"/>
        <v>0</v>
      </c>
      <c r="V45" s="698"/>
      <c r="W45" s="684"/>
      <c r="X45" s="698"/>
      <c r="Y45" s="684"/>
      <c r="Z45" s="696"/>
      <c r="AA45" s="695"/>
      <c r="AB45" s="694"/>
      <c r="AC45" s="697"/>
      <c r="AD45" s="337">
        <f>COUNTIF($H$3:H45,"Welding Neck")+COUNTIF($H$3:H45,"LWN")</f>
        <v>1</v>
      </c>
      <c r="AE45" s="615">
        <f>IF(C45=0,0,IF(COUNTIF($AD$3:AD45,AD45)&gt;=2,0,AD45))</f>
        <v>0</v>
      </c>
      <c r="AF45" s="607">
        <f t="shared" si="5"/>
        <v>0</v>
      </c>
      <c r="AG45" s="607">
        <f t="shared" si="6"/>
        <v>0</v>
      </c>
      <c r="AH45" s="607">
        <f t="shared" si="7"/>
        <v>0</v>
      </c>
      <c r="AI45" s="616">
        <f t="shared" si="8"/>
        <v>0</v>
      </c>
      <c r="AJ45" s="615">
        <f>IF(C45=0,0,IF(COUNTIF($AD$3:AD45,AD45)&gt;=2,0,AD45))</f>
        <v>0</v>
      </c>
      <c r="AK45" s="607">
        <f t="shared" si="9"/>
        <v>0</v>
      </c>
      <c r="AL45" s="607">
        <f t="shared" si="10"/>
        <v>0</v>
      </c>
      <c r="AM45" s="607">
        <f t="shared" si="11"/>
        <v>0</v>
      </c>
      <c r="AN45" s="616">
        <f t="shared" si="12"/>
        <v>0</v>
      </c>
    </row>
    <row r="46" spans="1:40" x14ac:dyDescent="0.3">
      <c r="A46" s="21">
        <f t="shared" si="14"/>
        <v>14</v>
      </c>
      <c r="B46" s="21">
        <f>VLOOKUP(A46,'Equip&amp;Mach List'!$1:$1048576,2,0)</f>
        <v>0</v>
      </c>
      <c r="C46" s="21">
        <f>VLOOKUP(A46,'Equip&amp;Mach List'!$1:$1048576,3,0)</f>
        <v>0</v>
      </c>
      <c r="D46" s="21">
        <f>VLOOKUP(A46,'Equip&amp;Mach List'!$1:$1048576,4,0)</f>
        <v>0</v>
      </c>
      <c r="E46" s="21" t="s">
        <v>355</v>
      </c>
      <c r="F46" s="21">
        <f>IFERROR(VLOOKUP($A46&amp;"."&amp;$E46&amp;" "&amp;F$3,'Equipment Weight Calc'!$L:$M,2,0),0)</f>
        <v>0</v>
      </c>
      <c r="G46" s="21">
        <f>IFERROR(VLOOKUP($A46&amp;"."&amp;$E46&amp;" "&amp;G$3,'Equipment Weight Calc'!$L:$M,2,0),0)</f>
        <v>0</v>
      </c>
      <c r="H46" s="21">
        <f>IFERROR(VLOOKUP($A46&amp;"."&amp;$E46&amp;" "&amp;H$3,'Equipment Weight Calc'!$L:$M,2,0),0)</f>
        <v>0</v>
      </c>
      <c r="I46" s="21">
        <f>IFERROR(VLOOKUP($A46&amp;"."&amp;$E46&amp;" "&amp;I$3,'Equipment Weight Calc'!$L:$M,2,0),0)</f>
        <v>0</v>
      </c>
      <c r="J46" s="874"/>
      <c r="K46" s="121">
        <f>IFERROR(VLOOKUP(F46&amp;"B"&amp;G46,'Bolting Chart'!$1:$1048576,IF(K$4="UNC",5,6),0),0)</f>
        <v>0</v>
      </c>
      <c r="L46" s="21">
        <f>IFERROR(VLOOKUP(F46&amp;"B"&amp;G46,'Bolting Chart'!$1:$1048576,9,0),0)</f>
        <v>0</v>
      </c>
      <c r="M46" s="21">
        <f>IFERROR(VLOOKUP(F46&amp;"B"&amp;G46,'Bolting Chart'!$1:$1048576,4,0),0)</f>
        <v>0</v>
      </c>
      <c r="N46" s="21">
        <f t="shared" si="0"/>
        <v>0</v>
      </c>
      <c r="O46" s="21">
        <f>(IFERROR(INDEX('Bolting Chart'!$A$169:$R$251,MATCH(L46,'Bolting Chart'!$A$170:$A$251,0),MATCH(IFERROR(VLOOKUP(F46&amp;"B"&amp;G46,'Bolting Chart'!$1:$1048576,7,0),0)+0,'Bolting Chart'!$A$169:$R$169,0)),0))/100</f>
        <v>0</v>
      </c>
      <c r="P46" s="21">
        <f t="shared" si="1"/>
        <v>0</v>
      </c>
      <c r="Q46" s="21">
        <f t="shared" si="2"/>
        <v>0</v>
      </c>
      <c r="R46" s="874"/>
      <c r="S46" s="874"/>
      <c r="T46" s="21">
        <f t="shared" si="3"/>
        <v>0</v>
      </c>
      <c r="U46" s="611">
        <f t="shared" si="4"/>
        <v>0</v>
      </c>
      <c r="V46" s="698"/>
      <c r="W46" s="684"/>
      <c r="X46" s="698"/>
      <c r="Y46" s="684"/>
      <c r="Z46" s="696"/>
      <c r="AA46" s="695"/>
      <c r="AB46" s="694"/>
      <c r="AC46" s="697"/>
      <c r="AD46" s="337">
        <f>COUNTIF($H$3:H46,"Welding Neck")+COUNTIF($H$3:H46,"LWN")</f>
        <v>1</v>
      </c>
      <c r="AE46" s="615">
        <f>IF(C46=0,0,IF(COUNTIF($AD$3:AD46,AD46)&gt;=2,0,AD46))</f>
        <v>0</v>
      </c>
      <c r="AF46" s="607">
        <f t="shared" si="5"/>
        <v>0</v>
      </c>
      <c r="AG46" s="607">
        <f t="shared" si="6"/>
        <v>0</v>
      </c>
      <c r="AH46" s="607">
        <f t="shared" si="7"/>
        <v>0</v>
      </c>
      <c r="AI46" s="616">
        <f t="shared" si="8"/>
        <v>0</v>
      </c>
      <c r="AJ46" s="615">
        <f>IF(C46=0,0,IF(COUNTIF($AD$3:AD46,AD46)&gt;=2,0,AD46))</f>
        <v>0</v>
      </c>
      <c r="AK46" s="607">
        <f t="shared" si="9"/>
        <v>0</v>
      </c>
      <c r="AL46" s="607">
        <f t="shared" si="10"/>
        <v>0</v>
      </c>
      <c r="AM46" s="607">
        <f t="shared" si="11"/>
        <v>0</v>
      </c>
      <c r="AN46" s="616">
        <f t="shared" si="12"/>
        <v>0</v>
      </c>
    </row>
    <row r="47" spans="1:40" x14ac:dyDescent="0.3">
      <c r="A47" s="21">
        <f t="shared" si="14"/>
        <v>15</v>
      </c>
      <c r="B47" s="21">
        <f>VLOOKUP(A47,'Equip&amp;Mach List'!$1:$1048576,2,0)</f>
        <v>0</v>
      </c>
      <c r="C47" s="21">
        <f>VLOOKUP(A47,'Equip&amp;Mach List'!$1:$1048576,3,0)</f>
        <v>0</v>
      </c>
      <c r="D47" s="21">
        <f>VLOOKUP(A47,'Equip&amp;Mach List'!$1:$1048576,4,0)</f>
        <v>0</v>
      </c>
      <c r="E47" s="21" t="s">
        <v>353</v>
      </c>
      <c r="F47" s="21">
        <f>IFERROR(VLOOKUP($A47&amp;"."&amp;$E47&amp;" "&amp;F$3,'Equipment Weight Calc'!$L:$M,2,0),0)</f>
        <v>0</v>
      </c>
      <c r="G47" s="21">
        <f>IFERROR(VLOOKUP($A47&amp;"."&amp;$E47&amp;" "&amp;G$3,'Equipment Weight Calc'!$L:$M,2,0),0)</f>
        <v>0</v>
      </c>
      <c r="H47" s="21">
        <f>IFERROR(VLOOKUP($A47&amp;"."&amp;$E47&amp;" "&amp;H$3,'Equipment Weight Calc'!$L:$M,2,0),0)</f>
        <v>0</v>
      </c>
      <c r="I47" s="21">
        <f>IFERROR(VLOOKUP($A47&amp;"."&amp;$E47&amp;" "&amp;I$3,'Equipment Weight Calc'!$L:$M,2,0),0)</f>
        <v>0</v>
      </c>
      <c r="J47" s="874"/>
      <c r="K47" s="121">
        <f>IFERROR(VLOOKUP(F47&amp;"B"&amp;G47,'Bolting Chart'!$1:$1048576,IF(K$4="UNC",5,6),0),0)</f>
        <v>0</v>
      </c>
      <c r="L47" s="21">
        <f>IFERROR(VLOOKUP(F47&amp;"B"&amp;G47,'Bolting Chart'!$1:$1048576,9,0),0)</f>
        <v>0</v>
      </c>
      <c r="M47" s="21">
        <f>IFERROR(VLOOKUP(F47&amp;"B"&amp;G47,'Bolting Chart'!$1:$1048576,4,0),0)</f>
        <v>0</v>
      </c>
      <c r="N47" s="21">
        <f t="shared" si="0"/>
        <v>0</v>
      </c>
      <c r="O47" s="21">
        <f>(IFERROR(INDEX('Bolting Chart'!$A$169:$R$251,MATCH(L47,'Bolting Chart'!$A$170:$A$251,0),MATCH(IFERROR(VLOOKUP(F47&amp;"B"&amp;G47,'Bolting Chart'!$1:$1048576,7,0),0)+0,'Bolting Chart'!$A$169:$R$169,0)),0))/100</f>
        <v>0</v>
      </c>
      <c r="P47" s="21">
        <f t="shared" si="1"/>
        <v>0</v>
      </c>
      <c r="Q47" s="21">
        <f t="shared" si="2"/>
        <v>0</v>
      </c>
      <c r="R47" s="874"/>
      <c r="S47" s="874"/>
      <c r="T47" s="21">
        <f t="shared" si="3"/>
        <v>0</v>
      </c>
      <c r="U47" s="611">
        <f t="shared" si="4"/>
        <v>0</v>
      </c>
      <c r="V47" s="698"/>
      <c r="W47" s="684"/>
      <c r="X47" s="698"/>
      <c r="Y47" s="684"/>
      <c r="Z47" s="696"/>
      <c r="AA47" s="695"/>
      <c r="AB47" s="694"/>
      <c r="AC47" s="697"/>
      <c r="AD47" s="337">
        <f>COUNTIF($H$3:H47,"Welding Neck")+COUNTIF($H$3:H47,"LWN")</f>
        <v>1</v>
      </c>
      <c r="AE47" s="615">
        <f>IF(C47=0,0,IF(COUNTIF($AD$3:AD47,AD47)&gt;=2,0,AD47))</f>
        <v>0</v>
      </c>
      <c r="AF47" s="607">
        <f t="shared" si="5"/>
        <v>0</v>
      </c>
      <c r="AG47" s="607">
        <f t="shared" si="6"/>
        <v>0</v>
      </c>
      <c r="AH47" s="607">
        <f t="shared" si="7"/>
        <v>0</v>
      </c>
      <c r="AI47" s="616">
        <f t="shared" si="8"/>
        <v>0</v>
      </c>
      <c r="AJ47" s="615">
        <f>IF(C47=0,0,IF(COUNTIF($AD$3:AD47,AD47)&gt;=2,0,AD47))</f>
        <v>0</v>
      </c>
      <c r="AK47" s="607">
        <f t="shared" si="9"/>
        <v>0</v>
      </c>
      <c r="AL47" s="607">
        <f t="shared" si="10"/>
        <v>0</v>
      </c>
      <c r="AM47" s="607">
        <f t="shared" si="11"/>
        <v>0</v>
      </c>
      <c r="AN47" s="616">
        <f t="shared" si="12"/>
        <v>0</v>
      </c>
    </row>
    <row r="48" spans="1:40" x14ac:dyDescent="0.3">
      <c r="A48" s="21">
        <f t="shared" si="14"/>
        <v>15</v>
      </c>
      <c r="B48" s="21">
        <f>VLOOKUP(A48,'Equip&amp;Mach List'!$1:$1048576,2,0)</f>
        <v>0</v>
      </c>
      <c r="C48" s="21">
        <f>VLOOKUP(A48,'Equip&amp;Mach List'!$1:$1048576,3,0)</f>
        <v>0</v>
      </c>
      <c r="D48" s="21">
        <f>VLOOKUP(A48,'Equip&amp;Mach List'!$1:$1048576,4,0)</f>
        <v>0</v>
      </c>
      <c r="E48" s="21" t="s">
        <v>354</v>
      </c>
      <c r="F48" s="21">
        <f>IFERROR(VLOOKUP($A48&amp;"."&amp;$E48&amp;" "&amp;F$3,'Equipment Weight Calc'!$L:$M,2,0),0)</f>
        <v>0</v>
      </c>
      <c r="G48" s="21">
        <f>IFERROR(VLOOKUP($A48&amp;"."&amp;$E48&amp;" "&amp;G$3,'Equipment Weight Calc'!$L:$M,2,0),0)</f>
        <v>0</v>
      </c>
      <c r="H48" s="21">
        <f>IFERROR(VLOOKUP($A48&amp;"."&amp;$E48&amp;" "&amp;H$3,'Equipment Weight Calc'!$L:$M,2,0),0)</f>
        <v>0</v>
      </c>
      <c r="I48" s="21">
        <f>IFERROR(VLOOKUP($A48&amp;"."&amp;$E48&amp;" "&amp;I$3,'Equipment Weight Calc'!$L:$M,2,0),0)</f>
        <v>0</v>
      </c>
      <c r="J48" s="874"/>
      <c r="K48" s="121">
        <f>IFERROR(VLOOKUP(F48&amp;"B"&amp;G48,'Bolting Chart'!$1:$1048576,IF(K$4="UNC",5,6),0),0)</f>
        <v>0</v>
      </c>
      <c r="L48" s="21">
        <f>IFERROR(VLOOKUP(F48&amp;"B"&amp;G48,'Bolting Chart'!$1:$1048576,9,0),0)</f>
        <v>0</v>
      </c>
      <c r="M48" s="21">
        <f>IFERROR(VLOOKUP(F48&amp;"B"&amp;G48,'Bolting Chart'!$1:$1048576,4,0),0)</f>
        <v>0</v>
      </c>
      <c r="N48" s="21">
        <f t="shared" si="0"/>
        <v>0</v>
      </c>
      <c r="O48" s="21">
        <f>(IFERROR(INDEX('Bolting Chart'!$A$169:$R$251,MATCH(L48,'Bolting Chart'!$A$170:$A$251,0),MATCH(IFERROR(VLOOKUP(F48&amp;"B"&amp;G48,'Bolting Chart'!$1:$1048576,7,0),0)+0,'Bolting Chart'!$A$169:$R$169,0)),0))/100</f>
        <v>0</v>
      </c>
      <c r="P48" s="21">
        <f t="shared" si="1"/>
        <v>0</v>
      </c>
      <c r="Q48" s="21">
        <f t="shared" si="2"/>
        <v>0</v>
      </c>
      <c r="R48" s="874"/>
      <c r="S48" s="874"/>
      <c r="T48" s="21">
        <f t="shared" si="3"/>
        <v>0</v>
      </c>
      <c r="U48" s="611">
        <f t="shared" si="4"/>
        <v>0</v>
      </c>
      <c r="V48" s="698"/>
      <c r="W48" s="684"/>
      <c r="X48" s="698"/>
      <c r="Y48" s="684"/>
      <c r="Z48" s="696"/>
      <c r="AA48" s="695"/>
      <c r="AB48" s="694"/>
      <c r="AC48" s="697"/>
      <c r="AD48" s="337">
        <f>COUNTIF($H$3:H48,"Welding Neck")+COUNTIF($H$3:H48,"LWN")</f>
        <v>1</v>
      </c>
      <c r="AE48" s="615">
        <f>IF(C48=0,0,IF(COUNTIF($AD$3:AD48,AD48)&gt;=2,0,AD48))</f>
        <v>0</v>
      </c>
      <c r="AF48" s="607">
        <f t="shared" si="5"/>
        <v>0</v>
      </c>
      <c r="AG48" s="607">
        <f t="shared" si="6"/>
        <v>0</v>
      </c>
      <c r="AH48" s="607">
        <f t="shared" si="7"/>
        <v>0</v>
      </c>
      <c r="AI48" s="616">
        <f t="shared" si="8"/>
        <v>0</v>
      </c>
      <c r="AJ48" s="615">
        <f>IF(C48=0,0,IF(COUNTIF($AD$3:AD48,AD48)&gt;=2,0,AD48))</f>
        <v>0</v>
      </c>
      <c r="AK48" s="607">
        <f t="shared" si="9"/>
        <v>0</v>
      </c>
      <c r="AL48" s="607">
        <f t="shared" si="10"/>
        <v>0</v>
      </c>
      <c r="AM48" s="607">
        <f t="shared" si="11"/>
        <v>0</v>
      </c>
      <c r="AN48" s="616">
        <f t="shared" si="12"/>
        <v>0</v>
      </c>
    </row>
    <row r="49" spans="1:40" x14ac:dyDescent="0.3">
      <c r="A49" s="21">
        <f t="shared" si="14"/>
        <v>15</v>
      </c>
      <c r="B49" s="21">
        <f>VLOOKUP(A49,'Equip&amp;Mach List'!$1:$1048576,2,0)</f>
        <v>0</v>
      </c>
      <c r="C49" s="21">
        <f>VLOOKUP(A49,'Equip&amp;Mach List'!$1:$1048576,3,0)</f>
        <v>0</v>
      </c>
      <c r="D49" s="21">
        <f>VLOOKUP(A49,'Equip&amp;Mach List'!$1:$1048576,4,0)</f>
        <v>0</v>
      </c>
      <c r="E49" s="21" t="s">
        <v>355</v>
      </c>
      <c r="F49" s="21">
        <f>IFERROR(VLOOKUP($A49&amp;"."&amp;$E49&amp;" "&amp;F$3,'Equipment Weight Calc'!$L:$M,2,0),0)</f>
        <v>0</v>
      </c>
      <c r="G49" s="21">
        <f>IFERROR(VLOOKUP($A49&amp;"."&amp;$E49&amp;" "&amp;G$3,'Equipment Weight Calc'!$L:$M,2,0),0)</f>
        <v>0</v>
      </c>
      <c r="H49" s="21">
        <f>IFERROR(VLOOKUP($A49&amp;"."&amp;$E49&amp;" "&amp;H$3,'Equipment Weight Calc'!$L:$M,2,0),0)</f>
        <v>0</v>
      </c>
      <c r="I49" s="21">
        <f>IFERROR(VLOOKUP($A49&amp;"."&amp;$E49&amp;" "&amp;I$3,'Equipment Weight Calc'!$L:$M,2,0),0)</f>
        <v>0</v>
      </c>
      <c r="J49" s="874"/>
      <c r="K49" s="121">
        <f>IFERROR(VLOOKUP(F49&amp;"B"&amp;G49,'Bolting Chart'!$1:$1048576,IF(K$4="UNC",5,6),0),0)</f>
        <v>0</v>
      </c>
      <c r="L49" s="21">
        <f>IFERROR(VLOOKUP(F49&amp;"B"&amp;G49,'Bolting Chart'!$1:$1048576,9,0),0)</f>
        <v>0</v>
      </c>
      <c r="M49" s="21">
        <f>IFERROR(VLOOKUP(F49&amp;"B"&amp;G49,'Bolting Chart'!$1:$1048576,4,0),0)</f>
        <v>0</v>
      </c>
      <c r="N49" s="21">
        <f t="shared" si="0"/>
        <v>0</v>
      </c>
      <c r="O49" s="21">
        <f>(IFERROR(INDEX('Bolting Chart'!$A$169:$R$251,MATCH(L49,'Bolting Chart'!$A$170:$A$251,0),MATCH(IFERROR(VLOOKUP(F49&amp;"B"&amp;G49,'Bolting Chart'!$1:$1048576,7,0),0)+0,'Bolting Chart'!$A$169:$R$169,0)),0))/100</f>
        <v>0</v>
      </c>
      <c r="P49" s="21">
        <f t="shared" si="1"/>
        <v>0</v>
      </c>
      <c r="Q49" s="21">
        <f t="shared" si="2"/>
        <v>0</v>
      </c>
      <c r="R49" s="874"/>
      <c r="S49" s="874"/>
      <c r="T49" s="21">
        <f t="shared" si="3"/>
        <v>0</v>
      </c>
      <c r="U49" s="611">
        <f t="shared" si="4"/>
        <v>0</v>
      </c>
      <c r="V49" s="698"/>
      <c r="W49" s="684"/>
      <c r="X49" s="698"/>
      <c r="Y49" s="684"/>
      <c r="Z49" s="696"/>
      <c r="AA49" s="695"/>
      <c r="AB49" s="694"/>
      <c r="AC49" s="697"/>
      <c r="AD49" s="337">
        <f>COUNTIF($H$3:H49,"Welding Neck")+COUNTIF($H$3:H49,"LWN")</f>
        <v>1</v>
      </c>
      <c r="AE49" s="615">
        <f>IF(C49=0,0,IF(COUNTIF($AD$3:AD49,AD49)&gt;=2,0,AD49))</f>
        <v>0</v>
      </c>
      <c r="AF49" s="607">
        <f t="shared" si="5"/>
        <v>0</v>
      </c>
      <c r="AG49" s="607">
        <f t="shared" si="6"/>
        <v>0</v>
      </c>
      <c r="AH49" s="607">
        <f t="shared" si="7"/>
        <v>0</v>
      </c>
      <c r="AI49" s="616">
        <f t="shared" si="8"/>
        <v>0</v>
      </c>
      <c r="AJ49" s="615">
        <f>IF(C49=0,0,IF(COUNTIF($AD$3:AD49,AD49)&gt;=2,0,AD49))</f>
        <v>0</v>
      </c>
      <c r="AK49" s="607">
        <f t="shared" si="9"/>
        <v>0</v>
      </c>
      <c r="AL49" s="607">
        <f t="shared" si="10"/>
        <v>0</v>
      </c>
      <c r="AM49" s="607">
        <f t="shared" si="11"/>
        <v>0</v>
      </c>
      <c r="AN49" s="616">
        <f t="shared" si="12"/>
        <v>0</v>
      </c>
    </row>
    <row r="50" spans="1:40" x14ac:dyDescent="0.3">
      <c r="A50" s="21">
        <f t="shared" si="14"/>
        <v>16</v>
      </c>
      <c r="B50" s="21">
        <f>VLOOKUP(A50,'Equip&amp;Mach List'!$1:$1048576,2,0)</f>
        <v>0</v>
      </c>
      <c r="C50" s="21">
        <f>VLOOKUP(A50,'Equip&amp;Mach List'!$1:$1048576,3,0)</f>
        <v>0</v>
      </c>
      <c r="D50" s="21">
        <f>VLOOKUP(A50,'Equip&amp;Mach List'!$1:$1048576,4,0)</f>
        <v>0</v>
      </c>
      <c r="E50" s="21" t="s">
        <v>353</v>
      </c>
      <c r="F50" s="21">
        <f>IFERROR(VLOOKUP($A50&amp;"."&amp;$E50&amp;" "&amp;F$3,'Equipment Weight Calc'!$L:$M,2,0),0)</f>
        <v>0</v>
      </c>
      <c r="G50" s="21">
        <f>IFERROR(VLOOKUP($A50&amp;"."&amp;$E50&amp;" "&amp;G$3,'Equipment Weight Calc'!$L:$M,2,0),0)</f>
        <v>0</v>
      </c>
      <c r="H50" s="21">
        <f>IFERROR(VLOOKUP($A50&amp;"."&amp;$E50&amp;" "&amp;H$3,'Equipment Weight Calc'!$L:$M,2,0),0)</f>
        <v>0</v>
      </c>
      <c r="I50" s="21">
        <f>IFERROR(VLOOKUP($A50&amp;"."&amp;$E50&amp;" "&amp;I$3,'Equipment Weight Calc'!$L:$M,2,0),0)</f>
        <v>0</v>
      </c>
      <c r="J50" s="874"/>
      <c r="K50" s="121">
        <f>IFERROR(VLOOKUP(F50&amp;"B"&amp;G50,'Bolting Chart'!$1:$1048576,IF(K$4="UNC",5,6),0),0)</f>
        <v>0</v>
      </c>
      <c r="L50" s="21">
        <f>IFERROR(VLOOKUP(F50&amp;"B"&amp;G50,'Bolting Chart'!$1:$1048576,9,0),0)</f>
        <v>0</v>
      </c>
      <c r="M50" s="21">
        <f>IFERROR(VLOOKUP(F50&amp;"B"&amp;G50,'Bolting Chart'!$1:$1048576,4,0),0)</f>
        <v>0</v>
      </c>
      <c r="N50" s="21">
        <f>M50*I50</f>
        <v>0</v>
      </c>
      <c r="O50" s="21">
        <f>(IFERROR(INDEX('Bolting Chart'!$A$169:$R$251,MATCH(L50,'Bolting Chart'!$A$170:$A$251,0),MATCH(IFERROR(VLOOKUP(F50&amp;"B"&amp;G50,'Bolting Chart'!$1:$1048576,7,0),0)+0,'Bolting Chart'!$A$169:$R$169,0)),0))/100</f>
        <v>0</v>
      </c>
      <c r="P50" s="21">
        <f>O50*M50</f>
        <v>0</v>
      </c>
      <c r="Q50" s="21">
        <f>O50*N50</f>
        <v>0</v>
      </c>
      <c r="R50" s="874"/>
      <c r="S50" s="874"/>
      <c r="T50" s="21">
        <f>G50</f>
        <v>0</v>
      </c>
      <c r="U50" s="611">
        <f>I50</f>
        <v>0</v>
      </c>
      <c r="V50" s="698"/>
      <c r="W50" s="684"/>
      <c r="X50" s="698"/>
      <c r="Y50" s="684"/>
      <c r="Z50" s="696"/>
      <c r="AA50" s="695"/>
      <c r="AB50" s="694"/>
      <c r="AC50" s="697"/>
      <c r="AD50" s="337">
        <f>COUNTIF($H$3:H50,"Welding Neck")+COUNTIF($H$3:H50,"LWN")</f>
        <v>1</v>
      </c>
      <c r="AE50" s="615">
        <f>IF(C50=0,0,IF(COUNTIF($AD$3:AD50,AD50)&gt;=2,0,AD50))</f>
        <v>0</v>
      </c>
      <c r="AF50" s="607">
        <f>IF(AE50=0,0,"Material "&amp;J50&amp;" "&amp;K50&amp;IF($K$4="UNC","''","")&amp;" L= "&amp;L50&amp;" mm")</f>
        <v>0</v>
      </c>
      <c r="AG50" s="607">
        <f>IF(AE50=0,0,IF(ROUNDUP(N50*V50,1)&lt;=W50,W50,ROUNDUP(N50*V50,1)))</f>
        <v>0</v>
      </c>
      <c r="AH50" s="607">
        <f>IF(AE50=0,0,"Material "&amp;R50&amp;" Type "&amp;S50&amp;" DN "&amp;F50&amp;"'' ANSI Rating "&amp;G50&amp;"#")</f>
        <v>0</v>
      </c>
      <c r="AI50" s="616">
        <f>IF(AE50=0,0,IF(ROUNDUP(U50*X50,1)&lt;=Y50,Y50,ROUNDUP(U50*X50,1)))</f>
        <v>0</v>
      </c>
      <c r="AJ50" s="615">
        <f>IF(C50=0,0,IF(COUNTIF($AD$3:AD50,AD50)&gt;=2,0,AD50))</f>
        <v>0</v>
      </c>
      <c r="AK50" s="607">
        <f>IF(AJ50=0,0,"Material "&amp;J50&amp;" "&amp;K50&amp;IF($K$4="UNC","''","")&amp;" L= "&amp;L50&amp;" mm")</f>
        <v>0</v>
      </c>
      <c r="AL50" s="607">
        <f>IF(AJ50=0,0,IF(ROUNDUP(N50*Z50,1)&lt;=AA50,AA50,ROUNDUP(N50*Z50,1)))</f>
        <v>0</v>
      </c>
      <c r="AM50" s="607">
        <f>IF(AJ50=0,0,"Material "&amp;R50&amp;" Type "&amp;S50&amp;" DN "&amp;F50&amp;"'' ANSI Rating "&amp;G50&amp;"#")</f>
        <v>0</v>
      </c>
      <c r="AN50" s="616">
        <f>IF(AJ50=0,0,IF(ROUNDUP(U50*AB50,1)&lt;=AC50,AC50,ROUNDUP(U50*AB50,1)))</f>
        <v>0</v>
      </c>
    </row>
    <row r="51" spans="1:40" x14ac:dyDescent="0.3">
      <c r="A51" s="21">
        <f t="shared" si="14"/>
        <v>16</v>
      </c>
      <c r="B51" s="21">
        <f>VLOOKUP(A51,'Equip&amp;Mach List'!$1:$1048576,2,0)</f>
        <v>0</v>
      </c>
      <c r="C51" s="21">
        <f>VLOOKUP(A51,'Equip&amp;Mach List'!$1:$1048576,3,0)</f>
        <v>0</v>
      </c>
      <c r="D51" s="21">
        <f>VLOOKUP(A51,'Equip&amp;Mach List'!$1:$1048576,4,0)</f>
        <v>0</v>
      </c>
      <c r="E51" s="21" t="s">
        <v>354</v>
      </c>
      <c r="F51" s="21">
        <f>IFERROR(VLOOKUP($A51&amp;"."&amp;$E51&amp;" "&amp;F$3,'Equipment Weight Calc'!$L:$M,2,0),0)</f>
        <v>0</v>
      </c>
      <c r="G51" s="21">
        <f>IFERROR(VLOOKUP($A51&amp;"."&amp;$E51&amp;" "&amp;G$3,'Equipment Weight Calc'!$L:$M,2,0),0)</f>
        <v>0</v>
      </c>
      <c r="H51" s="21">
        <f>IFERROR(VLOOKUP($A51&amp;"."&amp;$E51&amp;" "&amp;H$3,'Equipment Weight Calc'!$L:$M,2,0),0)</f>
        <v>0</v>
      </c>
      <c r="I51" s="21">
        <f>IFERROR(VLOOKUP($A51&amp;"."&amp;$E51&amp;" "&amp;I$3,'Equipment Weight Calc'!$L:$M,2,0),0)</f>
        <v>0</v>
      </c>
      <c r="J51" s="874"/>
      <c r="K51" s="121">
        <f>IFERROR(VLOOKUP(F51&amp;"B"&amp;G51,'Bolting Chart'!$1:$1048576,IF(K$4="UNC",5,6),0),0)</f>
        <v>0</v>
      </c>
      <c r="L51" s="21">
        <f>IFERROR(VLOOKUP(F51&amp;"B"&amp;G51,'Bolting Chart'!$1:$1048576,9,0),0)</f>
        <v>0</v>
      </c>
      <c r="M51" s="21">
        <f>IFERROR(VLOOKUP(F51&amp;"B"&amp;G51,'Bolting Chart'!$1:$1048576,4,0),0)</f>
        <v>0</v>
      </c>
      <c r="N51" s="21">
        <f>M51*I51</f>
        <v>0</v>
      </c>
      <c r="O51" s="21">
        <f>(IFERROR(INDEX('Bolting Chart'!$A$169:$R$251,MATCH(L51,'Bolting Chart'!$A$170:$A$251,0),MATCH(IFERROR(VLOOKUP(F51&amp;"B"&amp;G51,'Bolting Chart'!$1:$1048576,7,0),0)+0,'Bolting Chart'!$A$169:$R$169,0)),0))/100</f>
        <v>0</v>
      </c>
      <c r="P51" s="21">
        <f>O51*M51</f>
        <v>0</v>
      </c>
      <c r="Q51" s="21">
        <f>O51*N51</f>
        <v>0</v>
      </c>
      <c r="R51" s="874"/>
      <c r="S51" s="874"/>
      <c r="T51" s="21">
        <f>G51</f>
        <v>0</v>
      </c>
      <c r="U51" s="611">
        <f>I51</f>
        <v>0</v>
      </c>
      <c r="V51" s="698"/>
      <c r="W51" s="684"/>
      <c r="X51" s="698"/>
      <c r="Y51" s="684"/>
      <c r="Z51" s="696"/>
      <c r="AA51" s="695"/>
      <c r="AB51" s="694"/>
      <c r="AC51" s="697"/>
      <c r="AD51" s="337">
        <f>COUNTIF($H$3:H51,"Welding Neck")+COUNTIF($H$3:H51,"LWN")</f>
        <v>1</v>
      </c>
      <c r="AE51" s="615">
        <f>IF(C51=0,0,IF(COUNTIF($AD$3:AD51,AD51)&gt;=2,0,AD51))</f>
        <v>0</v>
      </c>
      <c r="AF51" s="607">
        <f>IF(AE51=0,0,"Material "&amp;J51&amp;" "&amp;K51&amp;IF($K$4="UNC","''","")&amp;" L= "&amp;L51&amp;" mm")</f>
        <v>0</v>
      </c>
      <c r="AG51" s="607">
        <f>IF(AE51=0,0,IF(ROUNDUP(N51*V51,1)&lt;=W51,W51,ROUNDUP(N51*V51,1)))</f>
        <v>0</v>
      </c>
      <c r="AH51" s="607">
        <f>IF(AE51=0,0,"Material "&amp;R51&amp;" Type "&amp;S51&amp;" DN "&amp;F51&amp;"'' ANSI Rating "&amp;G51&amp;"#")</f>
        <v>0</v>
      </c>
      <c r="AI51" s="616">
        <f>IF(AE51=0,0,IF(ROUNDUP(U51*X51,1)&lt;=Y51,Y51,ROUNDUP(U51*X51,1)))</f>
        <v>0</v>
      </c>
      <c r="AJ51" s="615">
        <f>IF(C51=0,0,IF(COUNTIF($AD$3:AD51,AD51)&gt;=2,0,AD51))</f>
        <v>0</v>
      </c>
      <c r="AK51" s="607">
        <f>IF(AJ51=0,0,"Material "&amp;J51&amp;" "&amp;K51&amp;IF($K$4="UNC","''","")&amp;" L= "&amp;L51&amp;" mm")</f>
        <v>0</v>
      </c>
      <c r="AL51" s="607">
        <f>IF(AJ51=0,0,IF(ROUNDUP(N51*Z51,1)&lt;=AA51,AA51,ROUNDUP(N51*Z51,1)))</f>
        <v>0</v>
      </c>
      <c r="AM51" s="607">
        <f>IF(AJ51=0,0,"Material "&amp;R51&amp;" Type "&amp;S51&amp;" DN "&amp;F51&amp;"'' ANSI Rating "&amp;G51&amp;"#")</f>
        <v>0</v>
      </c>
      <c r="AN51" s="616">
        <f>IF(AJ51=0,0,IF(ROUNDUP(U51*AB51,1)&lt;=AC51,AC51,ROUNDUP(U51*AB51,1)))</f>
        <v>0</v>
      </c>
    </row>
    <row r="52" spans="1:40" x14ac:dyDescent="0.3">
      <c r="A52" s="21">
        <f t="shared" si="14"/>
        <v>16</v>
      </c>
      <c r="B52" s="21">
        <f>VLOOKUP(A52,'Equip&amp;Mach List'!$1:$1048576,2,0)</f>
        <v>0</v>
      </c>
      <c r="C52" s="21">
        <f>VLOOKUP(A52,'Equip&amp;Mach List'!$1:$1048576,3,0)</f>
        <v>0</v>
      </c>
      <c r="D52" s="21">
        <f>VLOOKUP(A52,'Equip&amp;Mach List'!$1:$1048576,4,0)</f>
        <v>0</v>
      </c>
      <c r="E52" s="21" t="s">
        <v>355</v>
      </c>
      <c r="F52" s="21">
        <f>IFERROR(VLOOKUP($A52&amp;"."&amp;$E52&amp;" "&amp;F$3,'Equipment Weight Calc'!$L:$M,2,0),0)</f>
        <v>0</v>
      </c>
      <c r="G52" s="21">
        <f>IFERROR(VLOOKUP($A52&amp;"."&amp;$E52&amp;" "&amp;G$3,'Equipment Weight Calc'!$L:$M,2,0),0)</f>
        <v>0</v>
      </c>
      <c r="H52" s="21">
        <f>IFERROR(VLOOKUP($A52&amp;"."&amp;$E52&amp;" "&amp;H$3,'Equipment Weight Calc'!$L:$M,2,0),0)</f>
        <v>0</v>
      </c>
      <c r="I52" s="21">
        <f>IFERROR(VLOOKUP($A52&amp;"."&amp;$E52&amp;" "&amp;I$3,'Equipment Weight Calc'!$L:$M,2,0),0)</f>
        <v>0</v>
      </c>
      <c r="J52" s="874"/>
      <c r="K52" s="121">
        <f>IFERROR(VLOOKUP(F52&amp;"B"&amp;G52,'Bolting Chart'!$1:$1048576,IF(K$4="UNC",5,6),0),0)</f>
        <v>0</v>
      </c>
      <c r="L52" s="21">
        <f>IFERROR(VLOOKUP(F52&amp;"B"&amp;G52,'Bolting Chart'!$1:$1048576,9,0),0)</f>
        <v>0</v>
      </c>
      <c r="M52" s="21">
        <f>IFERROR(VLOOKUP(F52&amp;"B"&amp;G52,'Bolting Chart'!$1:$1048576,4,0),0)</f>
        <v>0</v>
      </c>
      <c r="N52" s="21">
        <f>M52*I52</f>
        <v>0</v>
      </c>
      <c r="O52" s="21">
        <f>(IFERROR(INDEX('Bolting Chart'!$A$169:$R$251,MATCH(L52,'Bolting Chart'!$A$170:$A$251,0),MATCH(IFERROR(VLOOKUP(F52&amp;"B"&amp;G52,'Bolting Chart'!$1:$1048576,7,0),0)+0,'Bolting Chart'!$A$169:$R$169,0)),0))/100</f>
        <v>0</v>
      </c>
      <c r="P52" s="21">
        <f>O52*M52</f>
        <v>0</v>
      </c>
      <c r="Q52" s="21">
        <f>O52*N52</f>
        <v>0</v>
      </c>
      <c r="R52" s="874"/>
      <c r="S52" s="874"/>
      <c r="T52" s="21">
        <f>G52</f>
        <v>0</v>
      </c>
      <c r="U52" s="611">
        <f>I52</f>
        <v>0</v>
      </c>
      <c r="V52" s="698"/>
      <c r="W52" s="684"/>
      <c r="X52" s="698"/>
      <c r="Y52" s="684"/>
      <c r="Z52" s="696"/>
      <c r="AA52" s="695"/>
      <c r="AB52" s="694"/>
      <c r="AC52" s="697"/>
      <c r="AD52" s="337">
        <f>COUNTIF($H$3:H52,"Welding Neck")+COUNTIF($H$3:H52,"LWN")</f>
        <v>1</v>
      </c>
      <c r="AE52" s="615">
        <f>IF(C52=0,0,IF(COUNTIF($AD$3:AD52,AD52)&gt;=2,0,AD52))</f>
        <v>0</v>
      </c>
      <c r="AF52" s="607">
        <f>IF(AE52=0,0,"Material "&amp;J52&amp;" "&amp;K52&amp;IF($K$4="UNC","''","")&amp;" L= "&amp;L52&amp;" mm")</f>
        <v>0</v>
      </c>
      <c r="AG52" s="607">
        <f>IF(AE52=0,0,IF(ROUNDUP(N52*V52,1)&lt;=W52,W52,ROUNDUP(N52*V52,1)))</f>
        <v>0</v>
      </c>
      <c r="AH52" s="607">
        <f>IF(AE52=0,0,"Material "&amp;R52&amp;" Type "&amp;S52&amp;" DN "&amp;F52&amp;"'' ANSI Rating "&amp;G52&amp;"#")</f>
        <v>0</v>
      </c>
      <c r="AI52" s="616">
        <f>IF(AE52=0,0,IF(ROUNDUP(U52*X52,1)&lt;=Y52,Y52,ROUNDUP(U52*X52,1)))</f>
        <v>0</v>
      </c>
      <c r="AJ52" s="615">
        <f>IF(C52=0,0,IF(COUNTIF($AD$3:AD52,AD52)&gt;=2,0,AD52))</f>
        <v>0</v>
      </c>
      <c r="AK52" s="607">
        <f>IF(AJ52=0,0,"Material "&amp;J52&amp;" "&amp;K52&amp;IF($K$4="UNC","''","")&amp;" L= "&amp;L52&amp;" mm")</f>
        <v>0</v>
      </c>
      <c r="AL52" s="607">
        <f>IF(AJ52=0,0,IF(ROUNDUP(N52*Z52,1)&lt;=AA52,AA52,ROUNDUP(N52*Z52,1)))</f>
        <v>0</v>
      </c>
      <c r="AM52" s="607">
        <f>IF(AJ52=0,0,"Material "&amp;R52&amp;" Type "&amp;S52&amp;" DN "&amp;F52&amp;"'' ANSI Rating "&amp;G52&amp;"#")</f>
        <v>0</v>
      </c>
      <c r="AN52" s="616">
        <f>IF(AJ52=0,0,IF(ROUNDUP(U52*AB52,1)&lt;=AC52,AC52,ROUNDUP(U52*AB52,1)))</f>
        <v>0</v>
      </c>
    </row>
    <row r="53" spans="1:40" x14ac:dyDescent="0.3">
      <c r="A53" s="21">
        <f t="shared" si="14"/>
        <v>17</v>
      </c>
      <c r="B53" s="21">
        <f>VLOOKUP(A53,'Equip&amp;Mach List'!$1:$1048576,2,0)</f>
        <v>0</v>
      </c>
      <c r="C53" s="21">
        <f>VLOOKUP(A53,'Equip&amp;Mach List'!$1:$1048576,3,0)</f>
        <v>0</v>
      </c>
      <c r="D53" s="21">
        <f>VLOOKUP(A53,'Equip&amp;Mach List'!$1:$1048576,4,0)</f>
        <v>0</v>
      </c>
      <c r="E53" s="21" t="s">
        <v>353</v>
      </c>
      <c r="F53" s="21">
        <f>IFERROR(VLOOKUP($A53&amp;"."&amp;$E53&amp;" "&amp;F$3,'Equipment Weight Calc'!$L:$M,2,0),0)</f>
        <v>0</v>
      </c>
      <c r="G53" s="21">
        <f>IFERROR(VLOOKUP($A53&amp;"."&amp;$E53&amp;" "&amp;G$3,'Equipment Weight Calc'!$L:$M,2,0),0)</f>
        <v>0</v>
      </c>
      <c r="H53" s="21">
        <f>IFERROR(VLOOKUP($A53&amp;"."&amp;$E53&amp;" "&amp;H$3,'Equipment Weight Calc'!$L:$M,2,0),0)</f>
        <v>0</v>
      </c>
      <c r="I53" s="21">
        <f>IFERROR(VLOOKUP($A53&amp;"."&amp;$E53&amp;" "&amp;I$3,'Equipment Weight Calc'!$L:$M,2,0),0)</f>
        <v>0</v>
      </c>
      <c r="J53" s="874"/>
      <c r="K53" s="121">
        <f>IFERROR(VLOOKUP(F53&amp;"B"&amp;G53,'Bolting Chart'!$1:$1048576,IF(K$4="UNC",5,6),0),0)</f>
        <v>0</v>
      </c>
      <c r="L53" s="21">
        <f>IFERROR(VLOOKUP(F53&amp;"B"&amp;G53,'Bolting Chart'!$1:$1048576,9,0),0)</f>
        <v>0</v>
      </c>
      <c r="M53" s="21">
        <f>IFERROR(VLOOKUP(F53&amp;"B"&amp;G53,'Bolting Chart'!$1:$1048576,4,0),0)</f>
        <v>0</v>
      </c>
      <c r="N53" s="21">
        <f t="shared" ref="N53:N73" si="15">M53*I53</f>
        <v>0</v>
      </c>
      <c r="O53" s="21">
        <f>(IFERROR(INDEX('Bolting Chart'!$A$169:$R$251,MATCH(L53,'Bolting Chart'!$A$170:$A$251,0),MATCH(IFERROR(VLOOKUP(F53&amp;"B"&amp;G53,'Bolting Chart'!$1:$1048576,7,0),0)+0,'Bolting Chart'!$A$169:$R$169,0)),0))/100</f>
        <v>0</v>
      </c>
      <c r="P53" s="21">
        <f t="shared" ref="P53:P73" si="16">O53*M53</f>
        <v>0</v>
      </c>
      <c r="Q53" s="21">
        <f t="shared" ref="Q53:Q73" si="17">O53*N53</f>
        <v>0</v>
      </c>
      <c r="R53" s="874"/>
      <c r="S53" s="874"/>
      <c r="T53" s="21">
        <f t="shared" ref="T53:T73" si="18">G53</f>
        <v>0</v>
      </c>
      <c r="U53" s="611">
        <f t="shared" ref="U53:U73" si="19">I53</f>
        <v>0</v>
      </c>
      <c r="V53" s="698"/>
      <c r="W53" s="684"/>
      <c r="X53" s="698"/>
      <c r="Y53" s="684"/>
      <c r="Z53" s="696"/>
      <c r="AA53" s="695"/>
      <c r="AB53" s="694"/>
      <c r="AC53" s="697"/>
      <c r="AD53" s="337">
        <f>COUNTIF($H$3:H53,"Welding Neck")+COUNTIF($H$3:H53,"LWN")</f>
        <v>1</v>
      </c>
      <c r="AE53" s="615">
        <f>IF(C53=0,0,IF(COUNTIF($AD$3:AD53,AD53)&gt;=2,0,AD53))</f>
        <v>0</v>
      </c>
      <c r="AF53" s="607">
        <f t="shared" ref="AF53:AF73" si="20">IF(AE53=0,0,"Material "&amp;J53&amp;" "&amp;K53&amp;IF($K$4="UNC","''","")&amp;" L= "&amp;L53&amp;" mm")</f>
        <v>0</v>
      </c>
      <c r="AG53" s="607">
        <f t="shared" ref="AG53:AG73" si="21">IF(AE53=0,0,IF(ROUNDUP(N53*V53,1)&lt;=W53,W53,ROUNDUP(N53*V53,1)))</f>
        <v>0</v>
      </c>
      <c r="AH53" s="607">
        <f t="shared" ref="AH53:AH73" si="22">IF(AE53=0,0,"Material "&amp;R53&amp;" Type "&amp;S53&amp;" DN "&amp;F53&amp;"'' ANSI Rating "&amp;G53&amp;"#")</f>
        <v>0</v>
      </c>
      <c r="AI53" s="616">
        <f t="shared" ref="AI53:AI73" si="23">IF(AE53=0,0,IF(ROUNDUP(U53*X53,1)&lt;=Y53,Y53,ROUNDUP(U53*X53,1)))</f>
        <v>0</v>
      </c>
      <c r="AJ53" s="615">
        <f>IF(C53=0,0,IF(COUNTIF($AD$3:AD53,AD53)&gt;=2,0,AD53))</f>
        <v>0</v>
      </c>
      <c r="AK53" s="607">
        <f t="shared" ref="AK53:AK73" si="24">IF(AJ53=0,0,"Material "&amp;J53&amp;" "&amp;K53&amp;IF($K$4="UNC","''","")&amp;" L= "&amp;L53&amp;" mm")</f>
        <v>0</v>
      </c>
      <c r="AL53" s="607">
        <f t="shared" ref="AL53:AL73" si="25">IF(AJ53=0,0,IF(ROUNDUP(N53*Z53,1)&lt;=AA53,AA53,ROUNDUP(N53*Z53,1)))</f>
        <v>0</v>
      </c>
      <c r="AM53" s="607">
        <f t="shared" ref="AM53:AM73" si="26">IF(AJ53=0,0,"Material "&amp;R53&amp;" Type "&amp;S53&amp;" DN "&amp;F53&amp;"'' ANSI Rating "&amp;G53&amp;"#")</f>
        <v>0</v>
      </c>
      <c r="AN53" s="616">
        <f t="shared" ref="AN53:AN73" si="27">IF(AJ53=0,0,IF(ROUNDUP(U53*AB53,1)&lt;=AC53,AC53,ROUNDUP(U53*AB53,1)))</f>
        <v>0</v>
      </c>
    </row>
    <row r="54" spans="1:40" x14ac:dyDescent="0.3">
      <c r="A54" s="21">
        <f t="shared" si="14"/>
        <v>17</v>
      </c>
      <c r="B54" s="21">
        <f>VLOOKUP(A54,'Equip&amp;Mach List'!$1:$1048576,2,0)</f>
        <v>0</v>
      </c>
      <c r="C54" s="21">
        <f>VLOOKUP(A54,'Equip&amp;Mach List'!$1:$1048576,3,0)</f>
        <v>0</v>
      </c>
      <c r="D54" s="21">
        <f>VLOOKUP(A54,'Equip&amp;Mach List'!$1:$1048576,4,0)</f>
        <v>0</v>
      </c>
      <c r="E54" s="21" t="s">
        <v>354</v>
      </c>
      <c r="F54" s="21">
        <f>IFERROR(VLOOKUP($A54&amp;"."&amp;$E54&amp;" "&amp;F$3,'Equipment Weight Calc'!$L:$M,2,0),0)</f>
        <v>0</v>
      </c>
      <c r="G54" s="21">
        <f>IFERROR(VLOOKUP($A54&amp;"."&amp;$E54&amp;" "&amp;G$3,'Equipment Weight Calc'!$L:$M,2,0),0)</f>
        <v>0</v>
      </c>
      <c r="H54" s="21">
        <f>IFERROR(VLOOKUP($A54&amp;"."&amp;$E54&amp;" "&amp;H$3,'Equipment Weight Calc'!$L:$M,2,0),0)</f>
        <v>0</v>
      </c>
      <c r="I54" s="21">
        <f>IFERROR(VLOOKUP($A54&amp;"."&amp;$E54&amp;" "&amp;I$3,'Equipment Weight Calc'!$L:$M,2,0),0)</f>
        <v>0</v>
      </c>
      <c r="J54" s="874"/>
      <c r="K54" s="121">
        <f>IFERROR(VLOOKUP(F54&amp;"B"&amp;G54,'Bolting Chart'!$1:$1048576,IF(K$4="UNC",5,6),0),0)</f>
        <v>0</v>
      </c>
      <c r="L54" s="21">
        <f>IFERROR(VLOOKUP(F54&amp;"B"&amp;G54,'Bolting Chart'!$1:$1048576,9,0),0)</f>
        <v>0</v>
      </c>
      <c r="M54" s="21">
        <f>IFERROR(VLOOKUP(F54&amp;"B"&amp;G54,'Bolting Chart'!$1:$1048576,4,0),0)</f>
        <v>0</v>
      </c>
      <c r="N54" s="21">
        <f t="shared" si="15"/>
        <v>0</v>
      </c>
      <c r="O54" s="21">
        <f>(IFERROR(INDEX('Bolting Chart'!$A$169:$R$251,MATCH(L54,'Bolting Chart'!$A$170:$A$251,0),MATCH(IFERROR(VLOOKUP(F54&amp;"B"&amp;G54,'Bolting Chart'!$1:$1048576,7,0),0)+0,'Bolting Chart'!$A$169:$R$169,0)),0))/100</f>
        <v>0</v>
      </c>
      <c r="P54" s="21">
        <f t="shared" si="16"/>
        <v>0</v>
      </c>
      <c r="Q54" s="21">
        <f t="shared" si="17"/>
        <v>0</v>
      </c>
      <c r="R54" s="874"/>
      <c r="S54" s="874"/>
      <c r="T54" s="21">
        <f t="shared" si="18"/>
        <v>0</v>
      </c>
      <c r="U54" s="611">
        <f t="shared" si="19"/>
        <v>0</v>
      </c>
      <c r="V54" s="698"/>
      <c r="W54" s="684"/>
      <c r="X54" s="698"/>
      <c r="Y54" s="684"/>
      <c r="Z54" s="696"/>
      <c r="AA54" s="695"/>
      <c r="AB54" s="694"/>
      <c r="AC54" s="697"/>
      <c r="AD54" s="337">
        <f>COUNTIF($H$3:H54,"Welding Neck")+COUNTIF($H$3:H54,"LWN")</f>
        <v>1</v>
      </c>
      <c r="AE54" s="615">
        <f>IF(C54=0,0,IF(COUNTIF($AD$3:AD54,AD54)&gt;=2,0,AD54))</f>
        <v>0</v>
      </c>
      <c r="AF54" s="607">
        <f t="shared" si="20"/>
        <v>0</v>
      </c>
      <c r="AG54" s="607">
        <f t="shared" si="21"/>
        <v>0</v>
      </c>
      <c r="AH54" s="607">
        <f t="shared" si="22"/>
        <v>0</v>
      </c>
      <c r="AI54" s="616">
        <f t="shared" si="23"/>
        <v>0</v>
      </c>
      <c r="AJ54" s="615">
        <f>IF(C54=0,0,IF(COUNTIF($AD$3:AD54,AD54)&gt;=2,0,AD54))</f>
        <v>0</v>
      </c>
      <c r="AK54" s="607">
        <f t="shared" si="24"/>
        <v>0</v>
      </c>
      <c r="AL54" s="607">
        <f t="shared" si="25"/>
        <v>0</v>
      </c>
      <c r="AM54" s="607">
        <f t="shared" si="26"/>
        <v>0</v>
      </c>
      <c r="AN54" s="616">
        <f t="shared" si="27"/>
        <v>0</v>
      </c>
    </row>
    <row r="55" spans="1:40" x14ac:dyDescent="0.3">
      <c r="A55" s="21">
        <f t="shared" si="14"/>
        <v>17</v>
      </c>
      <c r="B55" s="21">
        <f>VLOOKUP(A55,'Equip&amp;Mach List'!$1:$1048576,2,0)</f>
        <v>0</v>
      </c>
      <c r="C55" s="21">
        <f>VLOOKUP(A55,'Equip&amp;Mach List'!$1:$1048576,3,0)</f>
        <v>0</v>
      </c>
      <c r="D55" s="21">
        <f>VLOOKUP(A55,'Equip&amp;Mach List'!$1:$1048576,4,0)</f>
        <v>0</v>
      </c>
      <c r="E55" s="21" t="s">
        <v>355</v>
      </c>
      <c r="F55" s="21">
        <f>IFERROR(VLOOKUP($A55&amp;"."&amp;$E55&amp;" "&amp;F$3,'Equipment Weight Calc'!$L:$M,2,0),0)</f>
        <v>0</v>
      </c>
      <c r="G55" s="21">
        <f>IFERROR(VLOOKUP($A55&amp;"."&amp;$E55&amp;" "&amp;G$3,'Equipment Weight Calc'!$L:$M,2,0),0)</f>
        <v>0</v>
      </c>
      <c r="H55" s="21">
        <f>IFERROR(VLOOKUP($A55&amp;"."&amp;$E55&amp;" "&amp;H$3,'Equipment Weight Calc'!$L:$M,2,0),0)</f>
        <v>0</v>
      </c>
      <c r="I55" s="21">
        <f>IFERROR(VLOOKUP($A55&amp;"."&amp;$E55&amp;" "&amp;I$3,'Equipment Weight Calc'!$L:$M,2,0),0)</f>
        <v>0</v>
      </c>
      <c r="J55" s="874"/>
      <c r="K55" s="121">
        <f>IFERROR(VLOOKUP(F55&amp;"B"&amp;G55,'Bolting Chart'!$1:$1048576,IF(K$4="UNC",5,6),0),0)</f>
        <v>0</v>
      </c>
      <c r="L55" s="21">
        <f>IFERROR(VLOOKUP(F55&amp;"B"&amp;G55,'Bolting Chart'!$1:$1048576,9,0),0)</f>
        <v>0</v>
      </c>
      <c r="M55" s="21">
        <f>IFERROR(VLOOKUP(F55&amp;"B"&amp;G55,'Bolting Chart'!$1:$1048576,4,0),0)</f>
        <v>0</v>
      </c>
      <c r="N55" s="21">
        <f t="shared" si="15"/>
        <v>0</v>
      </c>
      <c r="O55" s="21">
        <f>(IFERROR(INDEX('Bolting Chart'!$A$169:$R$251,MATCH(L55,'Bolting Chart'!$A$170:$A$251,0),MATCH(IFERROR(VLOOKUP(F55&amp;"B"&amp;G55,'Bolting Chart'!$1:$1048576,7,0),0)+0,'Bolting Chart'!$A$169:$R$169,0)),0))/100</f>
        <v>0</v>
      </c>
      <c r="P55" s="21">
        <f t="shared" si="16"/>
        <v>0</v>
      </c>
      <c r="Q55" s="21">
        <f t="shared" si="17"/>
        <v>0</v>
      </c>
      <c r="R55" s="874"/>
      <c r="S55" s="874"/>
      <c r="T55" s="21">
        <f t="shared" si="18"/>
        <v>0</v>
      </c>
      <c r="U55" s="611">
        <f t="shared" si="19"/>
        <v>0</v>
      </c>
      <c r="V55" s="698"/>
      <c r="W55" s="684"/>
      <c r="X55" s="698"/>
      <c r="Y55" s="684"/>
      <c r="Z55" s="696"/>
      <c r="AA55" s="695"/>
      <c r="AB55" s="694"/>
      <c r="AC55" s="697"/>
      <c r="AD55" s="337">
        <f>COUNTIF($H$3:H55,"Welding Neck")+COUNTIF($H$3:H55,"LWN")</f>
        <v>1</v>
      </c>
      <c r="AE55" s="615">
        <f>IF(C55=0,0,IF(COUNTIF($AD$3:AD55,AD55)&gt;=2,0,AD55))</f>
        <v>0</v>
      </c>
      <c r="AF55" s="607">
        <f t="shared" si="20"/>
        <v>0</v>
      </c>
      <c r="AG55" s="607">
        <f t="shared" si="21"/>
        <v>0</v>
      </c>
      <c r="AH55" s="607">
        <f t="shared" si="22"/>
        <v>0</v>
      </c>
      <c r="AI55" s="616">
        <f t="shared" si="23"/>
        <v>0</v>
      </c>
      <c r="AJ55" s="615">
        <f>IF(C55=0,0,IF(COUNTIF($AD$3:AD55,AD55)&gt;=2,0,AD55))</f>
        <v>0</v>
      </c>
      <c r="AK55" s="607">
        <f t="shared" si="24"/>
        <v>0</v>
      </c>
      <c r="AL55" s="607">
        <f t="shared" si="25"/>
        <v>0</v>
      </c>
      <c r="AM55" s="607">
        <f t="shared" si="26"/>
        <v>0</v>
      </c>
      <c r="AN55" s="616">
        <f t="shared" si="27"/>
        <v>0</v>
      </c>
    </row>
    <row r="56" spans="1:40" x14ac:dyDescent="0.3">
      <c r="A56" s="21">
        <f t="shared" si="14"/>
        <v>18</v>
      </c>
      <c r="B56" s="21">
        <f>VLOOKUP(A56,'Equip&amp;Mach List'!$1:$1048576,2,0)</f>
        <v>0</v>
      </c>
      <c r="C56" s="21">
        <f>VLOOKUP(A56,'Equip&amp;Mach List'!$1:$1048576,3,0)</f>
        <v>0</v>
      </c>
      <c r="D56" s="21">
        <f>VLOOKUP(A56,'Equip&amp;Mach List'!$1:$1048576,4,0)</f>
        <v>0</v>
      </c>
      <c r="E56" s="21" t="s">
        <v>353</v>
      </c>
      <c r="F56" s="21">
        <f>IFERROR(VLOOKUP($A56&amp;"."&amp;$E56&amp;" "&amp;F$3,'Equipment Weight Calc'!$L:$M,2,0),0)</f>
        <v>0</v>
      </c>
      <c r="G56" s="21">
        <f>IFERROR(VLOOKUP($A56&amp;"."&amp;$E56&amp;" "&amp;G$3,'Equipment Weight Calc'!$L:$M,2,0),0)</f>
        <v>0</v>
      </c>
      <c r="H56" s="21">
        <f>IFERROR(VLOOKUP($A56&amp;"."&amp;$E56&amp;" "&amp;H$3,'Equipment Weight Calc'!$L:$M,2,0),0)</f>
        <v>0</v>
      </c>
      <c r="I56" s="21">
        <f>IFERROR(VLOOKUP($A56&amp;"."&amp;$E56&amp;" "&amp;I$3,'Equipment Weight Calc'!$L:$M,2,0),0)</f>
        <v>0</v>
      </c>
      <c r="J56" s="874"/>
      <c r="K56" s="121">
        <f>IFERROR(VLOOKUP(F56&amp;"B"&amp;G56,'Bolting Chart'!$1:$1048576,IF(K$4="UNC",5,6),0),0)</f>
        <v>0</v>
      </c>
      <c r="L56" s="21">
        <f>IFERROR(VLOOKUP(F56&amp;"B"&amp;G56,'Bolting Chart'!$1:$1048576,9,0),0)</f>
        <v>0</v>
      </c>
      <c r="M56" s="21">
        <f>IFERROR(VLOOKUP(F56&amp;"B"&amp;G56,'Bolting Chart'!$1:$1048576,4,0),0)</f>
        <v>0</v>
      </c>
      <c r="N56" s="21">
        <f t="shared" si="15"/>
        <v>0</v>
      </c>
      <c r="O56" s="21">
        <f>(IFERROR(INDEX('Bolting Chart'!$A$169:$R$251,MATCH(L56,'Bolting Chart'!$A$170:$A$251,0),MATCH(IFERROR(VLOOKUP(F56&amp;"B"&amp;G56,'Bolting Chart'!$1:$1048576,7,0),0)+0,'Bolting Chart'!$A$169:$R$169,0)),0))/100</f>
        <v>0</v>
      </c>
      <c r="P56" s="21">
        <f t="shared" si="16"/>
        <v>0</v>
      </c>
      <c r="Q56" s="21">
        <f t="shared" si="17"/>
        <v>0</v>
      </c>
      <c r="R56" s="874"/>
      <c r="S56" s="874"/>
      <c r="T56" s="21">
        <f t="shared" si="18"/>
        <v>0</v>
      </c>
      <c r="U56" s="611">
        <f t="shared" si="19"/>
        <v>0</v>
      </c>
      <c r="V56" s="698"/>
      <c r="W56" s="684"/>
      <c r="X56" s="698"/>
      <c r="Y56" s="684"/>
      <c r="Z56" s="696"/>
      <c r="AA56" s="695"/>
      <c r="AB56" s="694"/>
      <c r="AC56" s="697"/>
      <c r="AD56" s="337">
        <f>COUNTIF($H$3:H56,"Welding Neck")+COUNTIF($H$3:H56,"LWN")</f>
        <v>1</v>
      </c>
      <c r="AE56" s="615">
        <f>IF(C56=0,0,IF(COUNTIF($AD$3:AD56,AD56)&gt;=2,0,AD56))</f>
        <v>0</v>
      </c>
      <c r="AF56" s="607">
        <f t="shared" si="20"/>
        <v>0</v>
      </c>
      <c r="AG56" s="607">
        <f t="shared" si="21"/>
        <v>0</v>
      </c>
      <c r="AH56" s="607">
        <f t="shared" si="22"/>
        <v>0</v>
      </c>
      <c r="AI56" s="616">
        <f t="shared" si="23"/>
        <v>0</v>
      </c>
      <c r="AJ56" s="615">
        <f>IF(C56=0,0,IF(COUNTIF($AD$3:AD56,AD56)&gt;=2,0,AD56))</f>
        <v>0</v>
      </c>
      <c r="AK56" s="607">
        <f t="shared" si="24"/>
        <v>0</v>
      </c>
      <c r="AL56" s="607">
        <f t="shared" si="25"/>
        <v>0</v>
      </c>
      <c r="AM56" s="607">
        <f t="shared" si="26"/>
        <v>0</v>
      </c>
      <c r="AN56" s="616">
        <f t="shared" si="27"/>
        <v>0</v>
      </c>
    </row>
    <row r="57" spans="1:40" x14ac:dyDescent="0.3">
      <c r="A57" s="21">
        <f t="shared" si="14"/>
        <v>18</v>
      </c>
      <c r="B57" s="21">
        <f>VLOOKUP(A57,'Equip&amp;Mach List'!$1:$1048576,2,0)</f>
        <v>0</v>
      </c>
      <c r="C57" s="21">
        <f>VLOOKUP(A57,'Equip&amp;Mach List'!$1:$1048576,3,0)</f>
        <v>0</v>
      </c>
      <c r="D57" s="21">
        <f>VLOOKUP(A57,'Equip&amp;Mach List'!$1:$1048576,4,0)</f>
        <v>0</v>
      </c>
      <c r="E57" s="21" t="s">
        <v>354</v>
      </c>
      <c r="F57" s="21">
        <f>IFERROR(VLOOKUP($A57&amp;"."&amp;$E57&amp;" "&amp;F$3,'Equipment Weight Calc'!$L:$M,2,0),0)</f>
        <v>0</v>
      </c>
      <c r="G57" s="21">
        <f>IFERROR(VLOOKUP($A57&amp;"."&amp;$E57&amp;" "&amp;G$3,'Equipment Weight Calc'!$L:$M,2,0),0)</f>
        <v>0</v>
      </c>
      <c r="H57" s="21">
        <f>IFERROR(VLOOKUP($A57&amp;"."&amp;$E57&amp;" "&amp;H$3,'Equipment Weight Calc'!$L:$M,2,0),0)</f>
        <v>0</v>
      </c>
      <c r="I57" s="21">
        <f>IFERROR(VLOOKUP($A57&amp;"."&amp;$E57&amp;" "&amp;I$3,'Equipment Weight Calc'!$L:$M,2,0),0)</f>
        <v>0</v>
      </c>
      <c r="J57" s="874"/>
      <c r="K57" s="121">
        <f>IFERROR(VLOOKUP(F57&amp;"B"&amp;G57,'Bolting Chart'!$1:$1048576,IF(K$4="UNC",5,6),0),0)</f>
        <v>0</v>
      </c>
      <c r="L57" s="21">
        <f>IFERROR(VLOOKUP(F57&amp;"B"&amp;G57,'Bolting Chart'!$1:$1048576,9,0),0)</f>
        <v>0</v>
      </c>
      <c r="M57" s="21">
        <f>IFERROR(VLOOKUP(F57&amp;"B"&amp;G57,'Bolting Chart'!$1:$1048576,4,0),0)</f>
        <v>0</v>
      </c>
      <c r="N57" s="21">
        <f t="shared" si="15"/>
        <v>0</v>
      </c>
      <c r="O57" s="21">
        <f>(IFERROR(INDEX('Bolting Chart'!$A$169:$R$251,MATCH(L57,'Bolting Chart'!$A$170:$A$251,0),MATCH(IFERROR(VLOOKUP(F57&amp;"B"&amp;G57,'Bolting Chart'!$1:$1048576,7,0),0)+0,'Bolting Chart'!$A$169:$R$169,0)),0))/100</f>
        <v>0</v>
      </c>
      <c r="P57" s="21">
        <f t="shared" si="16"/>
        <v>0</v>
      </c>
      <c r="Q57" s="21">
        <f t="shared" si="17"/>
        <v>0</v>
      </c>
      <c r="R57" s="874"/>
      <c r="S57" s="874"/>
      <c r="T57" s="21">
        <f t="shared" si="18"/>
        <v>0</v>
      </c>
      <c r="U57" s="611">
        <f t="shared" si="19"/>
        <v>0</v>
      </c>
      <c r="V57" s="698"/>
      <c r="W57" s="684"/>
      <c r="X57" s="698"/>
      <c r="Y57" s="684"/>
      <c r="Z57" s="696"/>
      <c r="AA57" s="695"/>
      <c r="AB57" s="694"/>
      <c r="AC57" s="697"/>
      <c r="AD57" s="337">
        <f>COUNTIF($H$3:H57,"Welding Neck")+COUNTIF($H$3:H57,"LWN")</f>
        <v>1</v>
      </c>
      <c r="AE57" s="615">
        <f>IF(C57=0,0,IF(COUNTIF($AD$3:AD57,AD57)&gt;=2,0,AD57))</f>
        <v>0</v>
      </c>
      <c r="AF57" s="607">
        <f t="shared" si="20"/>
        <v>0</v>
      </c>
      <c r="AG57" s="607">
        <f t="shared" si="21"/>
        <v>0</v>
      </c>
      <c r="AH57" s="607">
        <f t="shared" si="22"/>
        <v>0</v>
      </c>
      <c r="AI57" s="616">
        <f t="shared" si="23"/>
        <v>0</v>
      </c>
      <c r="AJ57" s="615">
        <f>IF(C57=0,0,IF(COUNTIF($AD$3:AD57,AD57)&gt;=2,0,AD57))</f>
        <v>0</v>
      </c>
      <c r="AK57" s="607">
        <f t="shared" si="24"/>
        <v>0</v>
      </c>
      <c r="AL57" s="607">
        <f t="shared" si="25"/>
        <v>0</v>
      </c>
      <c r="AM57" s="607">
        <f t="shared" si="26"/>
        <v>0</v>
      </c>
      <c r="AN57" s="616">
        <f t="shared" si="27"/>
        <v>0</v>
      </c>
    </row>
    <row r="58" spans="1:40" x14ac:dyDescent="0.3">
      <c r="A58" s="21">
        <f t="shared" si="14"/>
        <v>18</v>
      </c>
      <c r="B58" s="21">
        <f>VLOOKUP(A58,'Equip&amp;Mach List'!$1:$1048576,2,0)</f>
        <v>0</v>
      </c>
      <c r="C58" s="21">
        <f>VLOOKUP(A58,'Equip&amp;Mach List'!$1:$1048576,3,0)</f>
        <v>0</v>
      </c>
      <c r="D58" s="21">
        <f>VLOOKUP(A58,'Equip&amp;Mach List'!$1:$1048576,4,0)</f>
        <v>0</v>
      </c>
      <c r="E58" s="21" t="s">
        <v>355</v>
      </c>
      <c r="F58" s="21">
        <f>IFERROR(VLOOKUP($A58&amp;"."&amp;$E58&amp;" "&amp;F$3,'Equipment Weight Calc'!$L:$M,2,0),0)</f>
        <v>0</v>
      </c>
      <c r="G58" s="21">
        <f>IFERROR(VLOOKUP($A58&amp;"."&amp;$E58&amp;" "&amp;G$3,'Equipment Weight Calc'!$L:$M,2,0),0)</f>
        <v>0</v>
      </c>
      <c r="H58" s="21">
        <f>IFERROR(VLOOKUP($A58&amp;"."&amp;$E58&amp;" "&amp;H$3,'Equipment Weight Calc'!$L:$M,2,0),0)</f>
        <v>0</v>
      </c>
      <c r="I58" s="21">
        <f>IFERROR(VLOOKUP($A58&amp;"."&amp;$E58&amp;" "&amp;I$3,'Equipment Weight Calc'!$L:$M,2,0),0)</f>
        <v>0</v>
      </c>
      <c r="J58" s="874"/>
      <c r="K58" s="121">
        <f>IFERROR(VLOOKUP(F58&amp;"B"&amp;G58,'Bolting Chart'!$1:$1048576,IF(K$4="UNC",5,6),0),0)</f>
        <v>0</v>
      </c>
      <c r="L58" s="21">
        <f>IFERROR(VLOOKUP(F58&amp;"B"&amp;G58,'Bolting Chart'!$1:$1048576,9,0),0)</f>
        <v>0</v>
      </c>
      <c r="M58" s="21">
        <f>IFERROR(VLOOKUP(F58&amp;"B"&amp;G58,'Bolting Chart'!$1:$1048576,4,0),0)</f>
        <v>0</v>
      </c>
      <c r="N58" s="21">
        <f t="shared" si="15"/>
        <v>0</v>
      </c>
      <c r="O58" s="21">
        <f>(IFERROR(INDEX('Bolting Chart'!$A$169:$R$251,MATCH(L58,'Bolting Chart'!$A$170:$A$251,0),MATCH(IFERROR(VLOOKUP(F58&amp;"B"&amp;G58,'Bolting Chart'!$1:$1048576,7,0),0)+0,'Bolting Chart'!$A$169:$R$169,0)),0))/100</f>
        <v>0</v>
      </c>
      <c r="P58" s="21">
        <f t="shared" si="16"/>
        <v>0</v>
      </c>
      <c r="Q58" s="21">
        <f t="shared" si="17"/>
        <v>0</v>
      </c>
      <c r="R58" s="874"/>
      <c r="S58" s="874"/>
      <c r="T58" s="21">
        <f t="shared" si="18"/>
        <v>0</v>
      </c>
      <c r="U58" s="611">
        <f t="shared" si="19"/>
        <v>0</v>
      </c>
      <c r="V58" s="698"/>
      <c r="W58" s="684"/>
      <c r="X58" s="698"/>
      <c r="Y58" s="684"/>
      <c r="Z58" s="696"/>
      <c r="AA58" s="695"/>
      <c r="AB58" s="694"/>
      <c r="AC58" s="697"/>
      <c r="AD58" s="337">
        <f>COUNTIF($H$3:H58,"Welding Neck")+COUNTIF($H$3:H58,"LWN")</f>
        <v>1</v>
      </c>
      <c r="AE58" s="615">
        <f>IF(C58=0,0,IF(COUNTIF($AD$3:AD58,AD58)&gt;=2,0,AD58))</f>
        <v>0</v>
      </c>
      <c r="AF58" s="607">
        <f t="shared" si="20"/>
        <v>0</v>
      </c>
      <c r="AG58" s="607">
        <f t="shared" si="21"/>
        <v>0</v>
      </c>
      <c r="AH58" s="607">
        <f t="shared" si="22"/>
        <v>0</v>
      </c>
      <c r="AI58" s="616">
        <f t="shared" si="23"/>
        <v>0</v>
      </c>
      <c r="AJ58" s="615">
        <f>IF(C58=0,0,IF(COUNTIF($AD$3:AD58,AD58)&gt;=2,0,AD58))</f>
        <v>0</v>
      </c>
      <c r="AK58" s="607">
        <f t="shared" si="24"/>
        <v>0</v>
      </c>
      <c r="AL58" s="607">
        <f t="shared" si="25"/>
        <v>0</v>
      </c>
      <c r="AM58" s="607">
        <f t="shared" si="26"/>
        <v>0</v>
      </c>
      <c r="AN58" s="616">
        <f t="shared" si="27"/>
        <v>0</v>
      </c>
    </row>
    <row r="59" spans="1:40" x14ac:dyDescent="0.3">
      <c r="A59" s="21">
        <f t="shared" si="14"/>
        <v>19</v>
      </c>
      <c r="B59" s="21">
        <f>VLOOKUP(A59,'Equip&amp;Mach List'!$1:$1048576,2,0)</f>
        <v>0</v>
      </c>
      <c r="C59" s="21">
        <f>VLOOKUP(A59,'Equip&amp;Mach List'!$1:$1048576,3,0)</f>
        <v>4</v>
      </c>
      <c r="D59" s="21">
        <f>VLOOKUP(A59,'Equip&amp;Mach List'!$1:$1048576,4,0)</f>
        <v>0</v>
      </c>
      <c r="E59" s="21" t="s">
        <v>353</v>
      </c>
      <c r="F59" s="21">
        <f>IFERROR(VLOOKUP($A59&amp;"."&amp;$E59&amp;" "&amp;F$3,'Equipment Weight Calc'!$L:$M,2,0),0)</f>
        <v>0</v>
      </c>
      <c r="G59" s="21">
        <f>IFERROR(VLOOKUP($A59&amp;"."&amp;$E59&amp;" "&amp;G$3,'Equipment Weight Calc'!$L:$M,2,0),0)</f>
        <v>0</v>
      </c>
      <c r="H59" s="21">
        <f>IFERROR(VLOOKUP($A59&amp;"."&amp;$E59&amp;" "&amp;H$3,'Equipment Weight Calc'!$L:$M,2,0),0)</f>
        <v>0</v>
      </c>
      <c r="I59" s="21">
        <f>IFERROR(VLOOKUP($A59&amp;"."&amp;$E59&amp;" "&amp;I$3,'Equipment Weight Calc'!$L:$M,2,0),0)</f>
        <v>0</v>
      </c>
      <c r="J59" s="874"/>
      <c r="K59" s="121">
        <f>IFERROR(VLOOKUP(F59&amp;"B"&amp;G59,'Bolting Chart'!$1:$1048576,IF(K$4="UNC",5,6),0),0)</f>
        <v>0</v>
      </c>
      <c r="L59" s="21">
        <f>IFERROR(VLOOKUP(F59&amp;"B"&amp;G59,'Bolting Chart'!$1:$1048576,9,0),0)</f>
        <v>0</v>
      </c>
      <c r="M59" s="21">
        <f>IFERROR(VLOOKUP(F59&amp;"B"&amp;G59,'Bolting Chart'!$1:$1048576,4,0),0)</f>
        <v>0</v>
      </c>
      <c r="N59" s="21">
        <f t="shared" si="15"/>
        <v>0</v>
      </c>
      <c r="O59" s="21">
        <f>(IFERROR(INDEX('Bolting Chart'!$A$169:$R$251,MATCH(L59,'Bolting Chart'!$A$170:$A$251,0),MATCH(IFERROR(VLOOKUP(F59&amp;"B"&amp;G59,'Bolting Chart'!$1:$1048576,7,0),0)+0,'Bolting Chart'!$A$169:$R$169,0)),0))/100</f>
        <v>0</v>
      </c>
      <c r="P59" s="21">
        <f t="shared" si="16"/>
        <v>0</v>
      </c>
      <c r="Q59" s="21">
        <f t="shared" si="17"/>
        <v>0</v>
      </c>
      <c r="R59" s="874"/>
      <c r="S59" s="874"/>
      <c r="T59" s="21">
        <f t="shared" si="18"/>
        <v>0</v>
      </c>
      <c r="U59" s="611">
        <f t="shared" si="19"/>
        <v>0</v>
      </c>
      <c r="V59" s="698"/>
      <c r="W59" s="684"/>
      <c r="X59" s="698"/>
      <c r="Y59" s="684"/>
      <c r="Z59" s="696"/>
      <c r="AA59" s="695"/>
      <c r="AB59" s="694"/>
      <c r="AC59" s="697"/>
      <c r="AD59" s="337">
        <f>COUNTIF($H$3:H59,"Welding Neck")+COUNTIF($H$3:H59,"LWN")</f>
        <v>1</v>
      </c>
      <c r="AE59" s="615">
        <f>IF(C59=0,0,IF(COUNTIF($AD$3:AD59,AD59)&gt;=2,0,AD59))</f>
        <v>0</v>
      </c>
      <c r="AF59" s="607">
        <f t="shared" si="20"/>
        <v>0</v>
      </c>
      <c r="AG59" s="607">
        <f t="shared" si="21"/>
        <v>0</v>
      </c>
      <c r="AH59" s="607">
        <f t="shared" si="22"/>
        <v>0</v>
      </c>
      <c r="AI59" s="616">
        <f t="shared" si="23"/>
        <v>0</v>
      </c>
      <c r="AJ59" s="615">
        <f>IF(C59=0,0,IF(COUNTIF($AD$3:AD59,AD59)&gt;=2,0,AD59))</f>
        <v>0</v>
      </c>
      <c r="AK59" s="607">
        <f t="shared" si="24"/>
        <v>0</v>
      </c>
      <c r="AL59" s="607">
        <f t="shared" si="25"/>
        <v>0</v>
      </c>
      <c r="AM59" s="607">
        <f t="shared" si="26"/>
        <v>0</v>
      </c>
      <c r="AN59" s="616">
        <f t="shared" si="27"/>
        <v>0</v>
      </c>
    </row>
    <row r="60" spans="1:40" x14ac:dyDescent="0.3">
      <c r="A60" s="21">
        <f t="shared" si="14"/>
        <v>19</v>
      </c>
      <c r="B60" s="21">
        <f>VLOOKUP(A60,'Equip&amp;Mach List'!$1:$1048576,2,0)</f>
        <v>0</v>
      </c>
      <c r="C60" s="21">
        <f>VLOOKUP(A60,'Equip&amp;Mach List'!$1:$1048576,3,0)</f>
        <v>4</v>
      </c>
      <c r="D60" s="21">
        <f>VLOOKUP(A60,'Equip&amp;Mach List'!$1:$1048576,4,0)</f>
        <v>0</v>
      </c>
      <c r="E60" s="21" t="s">
        <v>354</v>
      </c>
      <c r="F60" s="21">
        <f>IFERROR(VLOOKUP($A60&amp;"."&amp;$E60&amp;" "&amp;F$3,'Equipment Weight Calc'!$L:$M,2,0),0)</f>
        <v>0</v>
      </c>
      <c r="G60" s="21">
        <f>IFERROR(VLOOKUP($A60&amp;"."&amp;$E60&amp;" "&amp;G$3,'Equipment Weight Calc'!$L:$M,2,0),0)</f>
        <v>0</v>
      </c>
      <c r="H60" s="21">
        <f>IFERROR(VLOOKUP($A60&amp;"."&amp;$E60&amp;" "&amp;H$3,'Equipment Weight Calc'!$L:$M,2,0),0)</f>
        <v>0</v>
      </c>
      <c r="I60" s="21">
        <f>IFERROR(VLOOKUP($A60&amp;"."&amp;$E60&amp;" "&amp;I$3,'Equipment Weight Calc'!$L:$M,2,0),0)</f>
        <v>0</v>
      </c>
      <c r="J60" s="874"/>
      <c r="K60" s="121">
        <f>IFERROR(VLOOKUP(F60&amp;"B"&amp;G60,'Bolting Chart'!$1:$1048576,IF(K$4="UNC",5,6),0),0)</f>
        <v>0</v>
      </c>
      <c r="L60" s="21">
        <f>IFERROR(VLOOKUP(F60&amp;"B"&amp;G60,'Bolting Chart'!$1:$1048576,9,0),0)</f>
        <v>0</v>
      </c>
      <c r="M60" s="21">
        <f>IFERROR(VLOOKUP(F60&amp;"B"&amp;G60,'Bolting Chart'!$1:$1048576,4,0),0)</f>
        <v>0</v>
      </c>
      <c r="N60" s="21">
        <f t="shared" si="15"/>
        <v>0</v>
      </c>
      <c r="O60" s="21">
        <f>(IFERROR(INDEX('Bolting Chart'!$A$169:$R$251,MATCH(L60,'Bolting Chart'!$A$170:$A$251,0),MATCH(IFERROR(VLOOKUP(F60&amp;"B"&amp;G60,'Bolting Chart'!$1:$1048576,7,0),0)+0,'Bolting Chart'!$A$169:$R$169,0)),0))/100</f>
        <v>0</v>
      </c>
      <c r="P60" s="21">
        <f t="shared" si="16"/>
        <v>0</v>
      </c>
      <c r="Q60" s="21">
        <f t="shared" si="17"/>
        <v>0</v>
      </c>
      <c r="R60" s="874"/>
      <c r="S60" s="874"/>
      <c r="T60" s="21">
        <f t="shared" si="18"/>
        <v>0</v>
      </c>
      <c r="U60" s="611">
        <f t="shared" si="19"/>
        <v>0</v>
      </c>
      <c r="V60" s="698"/>
      <c r="W60" s="684"/>
      <c r="X60" s="698"/>
      <c r="Y60" s="684"/>
      <c r="Z60" s="696"/>
      <c r="AA60" s="695"/>
      <c r="AB60" s="694"/>
      <c r="AC60" s="697"/>
      <c r="AD60" s="337">
        <f>COUNTIF($H$3:H60,"Welding Neck")+COUNTIF($H$3:H60,"LWN")</f>
        <v>1</v>
      </c>
      <c r="AE60" s="615">
        <f>IF(C60=0,0,IF(COUNTIF($AD$3:AD60,AD60)&gt;=2,0,AD60))</f>
        <v>0</v>
      </c>
      <c r="AF60" s="607">
        <f t="shared" si="20"/>
        <v>0</v>
      </c>
      <c r="AG60" s="607">
        <f t="shared" si="21"/>
        <v>0</v>
      </c>
      <c r="AH60" s="607">
        <f t="shared" si="22"/>
        <v>0</v>
      </c>
      <c r="AI60" s="616">
        <f t="shared" si="23"/>
        <v>0</v>
      </c>
      <c r="AJ60" s="615">
        <f>IF(C60=0,0,IF(COUNTIF($AD$3:AD60,AD60)&gt;=2,0,AD60))</f>
        <v>0</v>
      </c>
      <c r="AK60" s="607">
        <f t="shared" si="24"/>
        <v>0</v>
      </c>
      <c r="AL60" s="607">
        <f t="shared" si="25"/>
        <v>0</v>
      </c>
      <c r="AM60" s="607">
        <f t="shared" si="26"/>
        <v>0</v>
      </c>
      <c r="AN60" s="616">
        <f t="shared" si="27"/>
        <v>0</v>
      </c>
    </row>
    <row r="61" spans="1:40" x14ac:dyDescent="0.3">
      <c r="A61" s="21">
        <f t="shared" si="14"/>
        <v>19</v>
      </c>
      <c r="B61" s="21">
        <f>VLOOKUP(A61,'Equip&amp;Mach List'!$1:$1048576,2,0)</f>
        <v>0</v>
      </c>
      <c r="C61" s="21">
        <f>VLOOKUP(A61,'Equip&amp;Mach List'!$1:$1048576,3,0)</f>
        <v>4</v>
      </c>
      <c r="D61" s="21">
        <f>VLOOKUP(A61,'Equip&amp;Mach List'!$1:$1048576,4,0)</f>
        <v>0</v>
      </c>
      <c r="E61" s="21" t="s">
        <v>355</v>
      </c>
      <c r="F61" s="21">
        <f>IFERROR(VLOOKUP($A61&amp;"."&amp;$E61&amp;" "&amp;F$3,'Equipment Weight Calc'!$L:$M,2,0),0)</f>
        <v>0</v>
      </c>
      <c r="G61" s="21">
        <f>IFERROR(VLOOKUP($A61&amp;"."&amp;$E61&amp;" "&amp;G$3,'Equipment Weight Calc'!$L:$M,2,0),0)</f>
        <v>0</v>
      </c>
      <c r="H61" s="21">
        <f>IFERROR(VLOOKUP($A61&amp;"."&amp;$E61&amp;" "&amp;H$3,'Equipment Weight Calc'!$L:$M,2,0),0)</f>
        <v>0</v>
      </c>
      <c r="I61" s="21">
        <f>IFERROR(VLOOKUP($A61&amp;"."&amp;$E61&amp;" "&amp;I$3,'Equipment Weight Calc'!$L:$M,2,0),0)</f>
        <v>0</v>
      </c>
      <c r="J61" s="874"/>
      <c r="K61" s="121">
        <f>IFERROR(VLOOKUP(F61&amp;"B"&amp;G61,'Bolting Chart'!$1:$1048576,IF(K$4="UNC",5,6),0),0)</f>
        <v>0</v>
      </c>
      <c r="L61" s="21">
        <f>IFERROR(VLOOKUP(F61&amp;"B"&amp;G61,'Bolting Chart'!$1:$1048576,9,0),0)</f>
        <v>0</v>
      </c>
      <c r="M61" s="21">
        <f>IFERROR(VLOOKUP(F61&amp;"B"&amp;G61,'Bolting Chart'!$1:$1048576,4,0),0)</f>
        <v>0</v>
      </c>
      <c r="N61" s="21">
        <f t="shared" si="15"/>
        <v>0</v>
      </c>
      <c r="O61" s="21">
        <f>(IFERROR(INDEX('Bolting Chart'!$A$169:$R$251,MATCH(L61,'Bolting Chart'!$A$170:$A$251,0),MATCH(IFERROR(VLOOKUP(F61&amp;"B"&amp;G61,'Bolting Chart'!$1:$1048576,7,0),0)+0,'Bolting Chart'!$A$169:$R$169,0)),0))/100</f>
        <v>0</v>
      </c>
      <c r="P61" s="21">
        <f t="shared" si="16"/>
        <v>0</v>
      </c>
      <c r="Q61" s="21">
        <f t="shared" si="17"/>
        <v>0</v>
      </c>
      <c r="R61" s="874"/>
      <c r="S61" s="874"/>
      <c r="T61" s="21">
        <f t="shared" si="18"/>
        <v>0</v>
      </c>
      <c r="U61" s="611">
        <f t="shared" si="19"/>
        <v>0</v>
      </c>
      <c r="V61" s="698"/>
      <c r="W61" s="684"/>
      <c r="X61" s="698"/>
      <c r="Y61" s="684"/>
      <c r="Z61" s="696"/>
      <c r="AA61" s="695"/>
      <c r="AB61" s="694"/>
      <c r="AC61" s="697"/>
      <c r="AD61" s="337">
        <f>COUNTIF($H$3:H61,"Welding Neck")+COUNTIF($H$3:H61,"LWN")</f>
        <v>1</v>
      </c>
      <c r="AE61" s="615">
        <f>IF(C61=0,0,IF(COUNTIF($AD$3:AD61,AD61)&gt;=2,0,AD61))</f>
        <v>0</v>
      </c>
      <c r="AF61" s="607">
        <f t="shared" si="20"/>
        <v>0</v>
      </c>
      <c r="AG61" s="607">
        <f t="shared" si="21"/>
        <v>0</v>
      </c>
      <c r="AH61" s="607">
        <f t="shared" si="22"/>
        <v>0</v>
      </c>
      <c r="AI61" s="616">
        <f t="shared" si="23"/>
        <v>0</v>
      </c>
      <c r="AJ61" s="615">
        <f>IF(C61=0,0,IF(COUNTIF($AD$3:AD61,AD61)&gt;=2,0,AD61))</f>
        <v>0</v>
      </c>
      <c r="AK61" s="607">
        <f t="shared" si="24"/>
        <v>0</v>
      </c>
      <c r="AL61" s="607">
        <f t="shared" si="25"/>
        <v>0</v>
      </c>
      <c r="AM61" s="607">
        <f t="shared" si="26"/>
        <v>0</v>
      </c>
      <c r="AN61" s="616">
        <f t="shared" si="27"/>
        <v>0</v>
      </c>
    </row>
    <row r="62" spans="1:40" x14ac:dyDescent="0.3">
      <c r="A62" s="21">
        <f t="shared" si="14"/>
        <v>20</v>
      </c>
      <c r="B62" s="21">
        <f>VLOOKUP(A62,'Equip&amp;Mach List'!$1:$1048576,2,0)</f>
        <v>0</v>
      </c>
      <c r="C62" s="21">
        <f>VLOOKUP(A62,'Equip&amp;Mach List'!$1:$1048576,3,0)</f>
        <v>0</v>
      </c>
      <c r="D62" s="21">
        <f>VLOOKUP(A62,'Equip&amp;Mach List'!$1:$1048576,4,0)</f>
        <v>0</v>
      </c>
      <c r="E62" s="21" t="s">
        <v>353</v>
      </c>
      <c r="F62" s="21">
        <f>IFERROR(VLOOKUP($A62&amp;"."&amp;$E62&amp;" "&amp;F$3,'Equipment Weight Calc'!$L:$M,2,0),0)</f>
        <v>0</v>
      </c>
      <c r="G62" s="21">
        <f>IFERROR(VLOOKUP($A62&amp;"."&amp;$E62&amp;" "&amp;G$3,'Equipment Weight Calc'!$L:$M,2,0),0)</f>
        <v>0</v>
      </c>
      <c r="H62" s="21">
        <f>IFERROR(VLOOKUP($A62&amp;"."&amp;$E62&amp;" "&amp;H$3,'Equipment Weight Calc'!$L:$M,2,0),0)</f>
        <v>0</v>
      </c>
      <c r="I62" s="21">
        <f>IFERROR(VLOOKUP($A62&amp;"."&amp;$E62&amp;" "&amp;I$3,'Equipment Weight Calc'!$L:$M,2,0),0)</f>
        <v>0</v>
      </c>
      <c r="J62" s="874"/>
      <c r="K62" s="121">
        <f>IFERROR(VLOOKUP(F62&amp;"B"&amp;G62,'Bolting Chart'!$1:$1048576,IF(K$4="UNC",5,6),0),0)</f>
        <v>0</v>
      </c>
      <c r="L62" s="21">
        <f>IFERROR(VLOOKUP(F62&amp;"B"&amp;G62,'Bolting Chart'!$1:$1048576,9,0),0)</f>
        <v>0</v>
      </c>
      <c r="M62" s="21">
        <f>IFERROR(VLOOKUP(F62&amp;"B"&amp;G62,'Bolting Chart'!$1:$1048576,4,0),0)</f>
        <v>0</v>
      </c>
      <c r="N62" s="21">
        <f t="shared" si="15"/>
        <v>0</v>
      </c>
      <c r="O62" s="21">
        <f>(IFERROR(INDEX('Bolting Chart'!$A$169:$R$251,MATCH(L62,'Bolting Chart'!$A$170:$A$251,0),MATCH(IFERROR(VLOOKUP(F62&amp;"B"&amp;G62,'Bolting Chart'!$1:$1048576,7,0),0)+0,'Bolting Chart'!$A$169:$R$169,0)),0))/100</f>
        <v>0</v>
      </c>
      <c r="P62" s="21">
        <f t="shared" si="16"/>
        <v>0</v>
      </c>
      <c r="Q62" s="21">
        <f t="shared" si="17"/>
        <v>0</v>
      </c>
      <c r="R62" s="874"/>
      <c r="S62" s="874"/>
      <c r="T62" s="21">
        <f t="shared" si="18"/>
        <v>0</v>
      </c>
      <c r="U62" s="611">
        <f t="shared" si="19"/>
        <v>0</v>
      </c>
      <c r="V62" s="698"/>
      <c r="W62" s="684"/>
      <c r="X62" s="698"/>
      <c r="Y62" s="684"/>
      <c r="Z62" s="696"/>
      <c r="AA62" s="695"/>
      <c r="AB62" s="694"/>
      <c r="AC62" s="697"/>
      <c r="AD62" s="337">
        <f>COUNTIF($H$3:H62,"Welding Neck")+COUNTIF($H$3:H62,"LWN")</f>
        <v>1</v>
      </c>
      <c r="AE62" s="615">
        <f>IF(C62=0,0,IF(COUNTIF($AD$3:AD62,AD62)&gt;=2,0,AD62))</f>
        <v>0</v>
      </c>
      <c r="AF62" s="607">
        <f t="shared" si="20"/>
        <v>0</v>
      </c>
      <c r="AG62" s="607">
        <f t="shared" si="21"/>
        <v>0</v>
      </c>
      <c r="AH62" s="607">
        <f t="shared" si="22"/>
        <v>0</v>
      </c>
      <c r="AI62" s="616">
        <f t="shared" si="23"/>
        <v>0</v>
      </c>
      <c r="AJ62" s="615">
        <f>IF(C62=0,0,IF(COUNTIF($AD$3:AD62,AD62)&gt;=2,0,AD62))</f>
        <v>0</v>
      </c>
      <c r="AK62" s="607">
        <f t="shared" si="24"/>
        <v>0</v>
      </c>
      <c r="AL62" s="607">
        <f t="shared" si="25"/>
        <v>0</v>
      </c>
      <c r="AM62" s="607">
        <f t="shared" si="26"/>
        <v>0</v>
      </c>
      <c r="AN62" s="616">
        <f t="shared" si="27"/>
        <v>0</v>
      </c>
    </row>
    <row r="63" spans="1:40" x14ac:dyDescent="0.3">
      <c r="A63" s="21">
        <f t="shared" si="14"/>
        <v>20</v>
      </c>
      <c r="B63" s="21">
        <f>VLOOKUP(A63,'Equip&amp;Mach List'!$1:$1048576,2,0)</f>
        <v>0</v>
      </c>
      <c r="C63" s="21">
        <f>VLOOKUP(A63,'Equip&amp;Mach List'!$1:$1048576,3,0)</f>
        <v>0</v>
      </c>
      <c r="D63" s="21">
        <f>VLOOKUP(A63,'Equip&amp;Mach List'!$1:$1048576,4,0)</f>
        <v>0</v>
      </c>
      <c r="E63" s="21" t="s">
        <v>354</v>
      </c>
      <c r="F63" s="21">
        <f>IFERROR(VLOOKUP($A63&amp;"."&amp;$E63&amp;" "&amp;F$3,'Equipment Weight Calc'!$L:$M,2,0),0)</f>
        <v>0</v>
      </c>
      <c r="G63" s="21">
        <f>IFERROR(VLOOKUP($A63&amp;"."&amp;$E63&amp;" "&amp;G$3,'Equipment Weight Calc'!$L:$M,2,0),0)</f>
        <v>0</v>
      </c>
      <c r="H63" s="21">
        <f>IFERROR(VLOOKUP($A63&amp;"."&amp;$E63&amp;" "&amp;H$3,'Equipment Weight Calc'!$L:$M,2,0),0)</f>
        <v>0</v>
      </c>
      <c r="I63" s="21">
        <f>IFERROR(VLOOKUP($A63&amp;"."&amp;$E63&amp;" "&amp;I$3,'Equipment Weight Calc'!$L:$M,2,0),0)</f>
        <v>0</v>
      </c>
      <c r="J63" s="874"/>
      <c r="K63" s="121">
        <f>IFERROR(VLOOKUP(F63&amp;"B"&amp;G63,'Bolting Chart'!$1:$1048576,IF(K$4="UNC",5,6),0),0)</f>
        <v>0</v>
      </c>
      <c r="L63" s="21">
        <f>IFERROR(VLOOKUP(F63&amp;"B"&amp;G63,'Bolting Chart'!$1:$1048576,9,0),0)</f>
        <v>0</v>
      </c>
      <c r="M63" s="21">
        <f>IFERROR(VLOOKUP(F63&amp;"B"&amp;G63,'Bolting Chart'!$1:$1048576,4,0),0)</f>
        <v>0</v>
      </c>
      <c r="N63" s="21">
        <f t="shared" si="15"/>
        <v>0</v>
      </c>
      <c r="O63" s="21">
        <f>(IFERROR(INDEX('Bolting Chart'!$A$169:$R$251,MATCH(L63,'Bolting Chart'!$A$170:$A$251,0),MATCH(IFERROR(VLOOKUP(F63&amp;"B"&amp;G63,'Bolting Chart'!$1:$1048576,7,0),0)+0,'Bolting Chart'!$A$169:$R$169,0)),0))/100</f>
        <v>0</v>
      </c>
      <c r="P63" s="21">
        <f t="shared" si="16"/>
        <v>0</v>
      </c>
      <c r="Q63" s="21">
        <f t="shared" si="17"/>
        <v>0</v>
      </c>
      <c r="R63" s="874"/>
      <c r="S63" s="874"/>
      <c r="T63" s="21">
        <f t="shared" si="18"/>
        <v>0</v>
      </c>
      <c r="U63" s="611">
        <f t="shared" si="19"/>
        <v>0</v>
      </c>
      <c r="V63" s="698"/>
      <c r="W63" s="684"/>
      <c r="X63" s="698"/>
      <c r="Y63" s="684"/>
      <c r="Z63" s="696"/>
      <c r="AA63" s="695"/>
      <c r="AB63" s="694"/>
      <c r="AC63" s="697"/>
      <c r="AD63" s="337">
        <f>COUNTIF($H$3:H63,"Welding Neck")+COUNTIF($H$3:H63,"LWN")</f>
        <v>1</v>
      </c>
      <c r="AE63" s="615">
        <f>IF(C63=0,0,IF(COUNTIF($AD$3:AD63,AD63)&gt;=2,0,AD63))</f>
        <v>0</v>
      </c>
      <c r="AF63" s="607">
        <f t="shared" si="20"/>
        <v>0</v>
      </c>
      <c r="AG63" s="607">
        <f t="shared" si="21"/>
        <v>0</v>
      </c>
      <c r="AH63" s="607">
        <f t="shared" si="22"/>
        <v>0</v>
      </c>
      <c r="AI63" s="616">
        <f t="shared" si="23"/>
        <v>0</v>
      </c>
      <c r="AJ63" s="615">
        <f>IF(C63=0,0,IF(COUNTIF($AD$3:AD63,AD63)&gt;=2,0,AD63))</f>
        <v>0</v>
      </c>
      <c r="AK63" s="607">
        <f t="shared" si="24"/>
        <v>0</v>
      </c>
      <c r="AL63" s="607">
        <f t="shared" si="25"/>
        <v>0</v>
      </c>
      <c r="AM63" s="607">
        <f t="shared" si="26"/>
        <v>0</v>
      </c>
      <c r="AN63" s="616">
        <f t="shared" si="27"/>
        <v>0</v>
      </c>
    </row>
    <row r="64" spans="1:40" x14ac:dyDescent="0.3">
      <c r="A64" s="21">
        <f t="shared" si="14"/>
        <v>20</v>
      </c>
      <c r="B64" s="21">
        <f>VLOOKUP(A64,'Equip&amp;Mach List'!$1:$1048576,2,0)</f>
        <v>0</v>
      </c>
      <c r="C64" s="21">
        <f>VLOOKUP(A64,'Equip&amp;Mach List'!$1:$1048576,3,0)</f>
        <v>0</v>
      </c>
      <c r="D64" s="21">
        <f>VLOOKUP(A64,'Equip&amp;Mach List'!$1:$1048576,4,0)</f>
        <v>0</v>
      </c>
      <c r="E64" s="21" t="s">
        <v>355</v>
      </c>
      <c r="F64" s="21">
        <f>IFERROR(VLOOKUP($A64&amp;"."&amp;$E64&amp;" "&amp;F$3,'Equipment Weight Calc'!$L:$M,2,0),0)</f>
        <v>0</v>
      </c>
      <c r="G64" s="21">
        <f>IFERROR(VLOOKUP($A64&amp;"."&amp;$E64&amp;" "&amp;G$3,'Equipment Weight Calc'!$L:$M,2,0),0)</f>
        <v>0</v>
      </c>
      <c r="H64" s="21">
        <f>IFERROR(VLOOKUP($A64&amp;"."&amp;$E64&amp;" "&amp;H$3,'Equipment Weight Calc'!$L:$M,2,0),0)</f>
        <v>0</v>
      </c>
      <c r="I64" s="21">
        <f>IFERROR(VLOOKUP($A64&amp;"."&amp;$E64&amp;" "&amp;I$3,'Equipment Weight Calc'!$L:$M,2,0),0)</f>
        <v>0</v>
      </c>
      <c r="J64" s="874"/>
      <c r="K64" s="121">
        <f>IFERROR(VLOOKUP(F64&amp;"B"&amp;G64,'Bolting Chart'!$1:$1048576,IF(K$4="UNC",5,6),0),0)</f>
        <v>0</v>
      </c>
      <c r="L64" s="21">
        <f>IFERROR(VLOOKUP(F64&amp;"B"&amp;G64,'Bolting Chart'!$1:$1048576,9,0),0)</f>
        <v>0</v>
      </c>
      <c r="M64" s="21">
        <f>IFERROR(VLOOKUP(F64&amp;"B"&amp;G64,'Bolting Chart'!$1:$1048576,4,0),0)</f>
        <v>0</v>
      </c>
      <c r="N64" s="21">
        <f t="shared" si="15"/>
        <v>0</v>
      </c>
      <c r="O64" s="21">
        <f>(IFERROR(INDEX('Bolting Chart'!$A$169:$R$251,MATCH(L64,'Bolting Chart'!$A$170:$A$251,0),MATCH(IFERROR(VLOOKUP(F64&amp;"B"&amp;G64,'Bolting Chart'!$1:$1048576,7,0),0)+0,'Bolting Chart'!$A$169:$R$169,0)),0))/100</f>
        <v>0</v>
      </c>
      <c r="P64" s="21">
        <f t="shared" si="16"/>
        <v>0</v>
      </c>
      <c r="Q64" s="21">
        <f t="shared" si="17"/>
        <v>0</v>
      </c>
      <c r="R64" s="874"/>
      <c r="S64" s="874"/>
      <c r="T64" s="21">
        <f t="shared" si="18"/>
        <v>0</v>
      </c>
      <c r="U64" s="611">
        <f t="shared" si="19"/>
        <v>0</v>
      </c>
      <c r="V64" s="698"/>
      <c r="W64" s="684"/>
      <c r="X64" s="698"/>
      <c r="Y64" s="684"/>
      <c r="Z64" s="696"/>
      <c r="AA64" s="695"/>
      <c r="AB64" s="694"/>
      <c r="AC64" s="697"/>
      <c r="AD64" s="337">
        <f>COUNTIF($H$3:H64,"Welding Neck")+COUNTIF($H$3:H64,"LWN")</f>
        <v>1</v>
      </c>
      <c r="AE64" s="615">
        <f>IF(C64=0,0,IF(COUNTIF($AD$3:AD64,AD64)&gt;=2,0,AD64))</f>
        <v>0</v>
      </c>
      <c r="AF64" s="607">
        <f t="shared" si="20"/>
        <v>0</v>
      </c>
      <c r="AG64" s="607">
        <f t="shared" si="21"/>
        <v>0</v>
      </c>
      <c r="AH64" s="607">
        <f t="shared" si="22"/>
        <v>0</v>
      </c>
      <c r="AI64" s="616">
        <f t="shared" si="23"/>
        <v>0</v>
      </c>
      <c r="AJ64" s="615">
        <f>IF(C64=0,0,IF(COUNTIF($AD$3:AD64,AD64)&gt;=2,0,AD64))</f>
        <v>0</v>
      </c>
      <c r="AK64" s="607">
        <f t="shared" si="24"/>
        <v>0</v>
      </c>
      <c r="AL64" s="607">
        <f t="shared" si="25"/>
        <v>0</v>
      </c>
      <c r="AM64" s="607">
        <f t="shared" si="26"/>
        <v>0</v>
      </c>
      <c r="AN64" s="616">
        <f t="shared" si="27"/>
        <v>0</v>
      </c>
    </row>
    <row r="65" spans="1:40" x14ac:dyDescent="0.3">
      <c r="A65" s="21">
        <f t="shared" si="14"/>
        <v>21</v>
      </c>
      <c r="B65" s="21">
        <f>VLOOKUP(A65,'Equip&amp;Mach List'!$1:$1048576,2,0)</f>
        <v>0</v>
      </c>
      <c r="C65" s="21">
        <f>VLOOKUP(A65,'Equip&amp;Mach List'!$1:$1048576,3,0)</f>
        <v>0</v>
      </c>
      <c r="D65" s="21">
        <f>VLOOKUP(A65,'Equip&amp;Mach List'!$1:$1048576,4,0)</f>
        <v>0</v>
      </c>
      <c r="E65" s="21" t="s">
        <v>353</v>
      </c>
      <c r="F65" s="21">
        <f>IFERROR(VLOOKUP($A65&amp;"."&amp;$E65&amp;" "&amp;F$3,'Equipment Weight Calc'!$L:$M,2,0),0)</f>
        <v>0</v>
      </c>
      <c r="G65" s="21">
        <f>IFERROR(VLOOKUP($A65&amp;"."&amp;$E65&amp;" "&amp;G$3,'Equipment Weight Calc'!$L:$M,2,0),0)</f>
        <v>0</v>
      </c>
      <c r="H65" s="21">
        <f>IFERROR(VLOOKUP($A65&amp;"."&amp;$E65&amp;" "&amp;H$3,'Equipment Weight Calc'!$L:$M,2,0),0)</f>
        <v>0</v>
      </c>
      <c r="I65" s="21">
        <f>IFERROR(VLOOKUP($A65&amp;"."&amp;$E65&amp;" "&amp;I$3,'Equipment Weight Calc'!$L:$M,2,0),0)</f>
        <v>0</v>
      </c>
      <c r="J65" s="874"/>
      <c r="K65" s="121">
        <f>IFERROR(VLOOKUP(F65&amp;"B"&amp;G65,'Bolting Chart'!$1:$1048576,IF(K$4="UNC",5,6),0),0)</f>
        <v>0</v>
      </c>
      <c r="L65" s="21">
        <f>IFERROR(VLOOKUP(F65&amp;"B"&amp;G65,'Bolting Chart'!$1:$1048576,9,0),0)</f>
        <v>0</v>
      </c>
      <c r="M65" s="21">
        <f>IFERROR(VLOOKUP(F65&amp;"B"&amp;G65,'Bolting Chart'!$1:$1048576,4,0),0)</f>
        <v>0</v>
      </c>
      <c r="N65" s="21">
        <f t="shared" si="15"/>
        <v>0</v>
      </c>
      <c r="O65" s="21">
        <f>(IFERROR(INDEX('Bolting Chart'!$A$169:$R$251,MATCH(L65,'Bolting Chart'!$A$170:$A$251,0),MATCH(IFERROR(VLOOKUP(F65&amp;"B"&amp;G65,'Bolting Chart'!$1:$1048576,7,0),0)+0,'Bolting Chart'!$A$169:$R$169,0)),0))/100</f>
        <v>0</v>
      </c>
      <c r="P65" s="21">
        <f t="shared" si="16"/>
        <v>0</v>
      </c>
      <c r="Q65" s="21">
        <f t="shared" si="17"/>
        <v>0</v>
      </c>
      <c r="R65" s="874"/>
      <c r="S65" s="874"/>
      <c r="T65" s="21">
        <f t="shared" si="18"/>
        <v>0</v>
      </c>
      <c r="U65" s="611">
        <f t="shared" si="19"/>
        <v>0</v>
      </c>
      <c r="V65" s="698"/>
      <c r="W65" s="684"/>
      <c r="X65" s="698"/>
      <c r="Y65" s="684"/>
      <c r="Z65" s="696"/>
      <c r="AA65" s="695"/>
      <c r="AB65" s="694"/>
      <c r="AC65" s="697"/>
      <c r="AD65" s="337">
        <f>COUNTIF($H$3:H65,"Welding Neck")+COUNTIF($H$3:H65,"LWN")</f>
        <v>1</v>
      </c>
      <c r="AE65" s="615">
        <f>IF(C65=0,0,IF(COUNTIF($AD$3:AD65,AD65)&gt;=2,0,AD65))</f>
        <v>0</v>
      </c>
      <c r="AF65" s="607">
        <f t="shared" si="20"/>
        <v>0</v>
      </c>
      <c r="AG65" s="607">
        <f t="shared" si="21"/>
        <v>0</v>
      </c>
      <c r="AH65" s="607">
        <f t="shared" si="22"/>
        <v>0</v>
      </c>
      <c r="AI65" s="616">
        <f t="shared" si="23"/>
        <v>0</v>
      </c>
      <c r="AJ65" s="615">
        <f>IF(C65=0,0,IF(COUNTIF($AD$3:AD65,AD65)&gt;=2,0,AD65))</f>
        <v>0</v>
      </c>
      <c r="AK65" s="607">
        <f t="shared" si="24"/>
        <v>0</v>
      </c>
      <c r="AL65" s="607">
        <f t="shared" si="25"/>
        <v>0</v>
      </c>
      <c r="AM65" s="607">
        <f t="shared" si="26"/>
        <v>0</v>
      </c>
      <c r="AN65" s="616">
        <f t="shared" si="27"/>
        <v>0</v>
      </c>
    </row>
    <row r="66" spans="1:40" x14ac:dyDescent="0.3">
      <c r="A66" s="21">
        <f t="shared" si="14"/>
        <v>21</v>
      </c>
      <c r="B66" s="21">
        <f>VLOOKUP(A66,'Equip&amp;Mach List'!$1:$1048576,2,0)</f>
        <v>0</v>
      </c>
      <c r="C66" s="21">
        <f>VLOOKUP(A66,'Equip&amp;Mach List'!$1:$1048576,3,0)</f>
        <v>0</v>
      </c>
      <c r="D66" s="21">
        <f>VLOOKUP(A66,'Equip&amp;Mach List'!$1:$1048576,4,0)</f>
        <v>0</v>
      </c>
      <c r="E66" s="21" t="s">
        <v>354</v>
      </c>
      <c r="F66" s="21">
        <f>IFERROR(VLOOKUP($A66&amp;"."&amp;$E66&amp;" "&amp;F$3,'Equipment Weight Calc'!$L:$M,2,0),0)</f>
        <v>0</v>
      </c>
      <c r="G66" s="21">
        <f>IFERROR(VLOOKUP($A66&amp;"."&amp;$E66&amp;" "&amp;G$3,'Equipment Weight Calc'!$L:$M,2,0),0)</f>
        <v>0</v>
      </c>
      <c r="H66" s="21">
        <f>IFERROR(VLOOKUP($A66&amp;"."&amp;$E66&amp;" "&amp;H$3,'Equipment Weight Calc'!$L:$M,2,0),0)</f>
        <v>0</v>
      </c>
      <c r="I66" s="21">
        <f>IFERROR(VLOOKUP($A66&amp;"."&amp;$E66&amp;" "&amp;I$3,'Equipment Weight Calc'!$L:$M,2,0),0)</f>
        <v>0</v>
      </c>
      <c r="J66" s="874"/>
      <c r="K66" s="121">
        <f>IFERROR(VLOOKUP(F66&amp;"B"&amp;G66,'Bolting Chart'!$1:$1048576,IF(K$4="UNC",5,6),0),0)</f>
        <v>0</v>
      </c>
      <c r="L66" s="21">
        <f>IFERROR(VLOOKUP(F66&amp;"B"&amp;G66,'Bolting Chart'!$1:$1048576,9,0),0)</f>
        <v>0</v>
      </c>
      <c r="M66" s="21">
        <f>IFERROR(VLOOKUP(F66&amp;"B"&amp;G66,'Bolting Chart'!$1:$1048576,4,0),0)</f>
        <v>0</v>
      </c>
      <c r="N66" s="21">
        <f t="shared" si="15"/>
        <v>0</v>
      </c>
      <c r="O66" s="21">
        <f>(IFERROR(INDEX('Bolting Chart'!$A$169:$R$251,MATCH(L66,'Bolting Chart'!$A$170:$A$251,0),MATCH(IFERROR(VLOOKUP(F66&amp;"B"&amp;G66,'Bolting Chart'!$1:$1048576,7,0),0)+0,'Bolting Chart'!$A$169:$R$169,0)),0))/100</f>
        <v>0</v>
      </c>
      <c r="P66" s="21">
        <f t="shared" si="16"/>
        <v>0</v>
      </c>
      <c r="Q66" s="21">
        <f t="shared" si="17"/>
        <v>0</v>
      </c>
      <c r="R66" s="874"/>
      <c r="S66" s="874"/>
      <c r="T66" s="21">
        <f t="shared" si="18"/>
        <v>0</v>
      </c>
      <c r="U66" s="611">
        <f t="shared" si="19"/>
        <v>0</v>
      </c>
      <c r="V66" s="698"/>
      <c r="W66" s="684"/>
      <c r="X66" s="698"/>
      <c r="Y66" s="684"/>
      <c r="Z66" s="696"/>
      <c r="AA66" s="695"/>
      <c r="AB66" s="694"/>
      <c r="AC66" s="697"/>
      <c r="AD66" s="337">
        <f>COUNTIF($H$3:H66,"Welding Neck")+COUNTIF($H$3:H66,"LWN")</f>
        <v>1</v>
      </c>
      <c r="AE66" s="615">
        <f>IF(C66=0,0,IF(COUNTIF($AD$3:AD66,AD66)&gt;=2,0,AD66))</f>
        <v>0</v>
      </c>
      <c r="AF66" s="607">
        <f t="shared" si="20"/>
        <v>0</v>
      </c>
      <c r="AG66" s="607">
        <f t="shared" si="21"/>
        <v>0</v>
      </c>
      <c r="AH66" s="607">
        <f t="shared" si="22"/>
        <v>0</v>
      </c>
      <c r="AI66" s="616">
        <f t="shared" si="23"/>
        <v>0</v>
      </c>
      <c r="AJ66" s="615">
        <f>IF(C66=0,0,IF(COUNTIF($AD$3:AD66,AD66)&gt;=2,0,AD66))</f>
        <v>0</v>
      </c>
      <c r="AK66" s="607">
        <f t="shared" si="24"/>
        <v>0</v>
      </c>
      <c r="AL66" s="607">
        <f t="shared" si="25"/>
        <v>0</v>
      </c>
      <c r="AM66" s="607">
        <f t="shared" si="26"/>
        <v>0</v>
      </c>
      <c r="AN66" s="616">
        <f t="shared" si="27"/>
        <v>0</v>
      </c>
    </row>
    <row r="67" spans="1:40" x14ac:dyDescent="0.3">
      <c r="A67" s="21">
        <f t="shared" si="14"/>
        <v>21</v>
      </c>
      <c r="B67" s="21">
        <f>VLOOKUP(A67,'Equip&amp;Mach List'!$1:$1048576,2,0)</f>
        <v>0</v>
      </c>
      <c r="C67" s="21">
        <f>VLOOKUP(A67,'Equip&amp;Mach List'!$1:$1048576,3,0)</f>
        <v>0</v>
      </c>
      <c r="D67" s="21">
        <f>VLOOKUP(A67,'Equip&amp;Mach List'!$1:$1048576,4,0)</f>
        <v>0</v>
      </c>
      <c r="E67" s="21" t="s">
        <v>355</v>
      </c>
      <c r="F67" s="21">
        <f>IFERROR(VLOOKUP($A67&amp;"."&amp;$E67&amp;" "&amp;F$3,'Equipment Weight Calc'!$L:$M,2,0),0)</f>
        <v>0</v>
      </c>
      <c r="G67" s="21">
        <f>IFERROR(VLOOKUP($A67&amp;"."&amp;$E67&amp;" "&amp;G$3,'Equipment Weight Calc'!$L:$M,2,0),0)</f>
        <v>0</v>
      </c>
      <c r="H67" s="21">
        <f>IFERROR(VLOOKUP($A67&amp;"."&amp;$E67&amp;" "&amp;H$3,'Equipment Weight Calc'!$L:$M,2,0),0)</f>
        <v>0</v>
      </c>
      <c r="I67" s="21">
        <f>IFERROR(VLOOKUP($A67&amp;"."&amp;$E67&amp;" "&amp;I$3,'Equipment Weight Calc'!$L:$M,2,0),0)</f>
        <v>0</v>
      </c>
      <c r="J67" s="874"/>
      <c r="K67" s="121">
        <f>IFERROR(VLOOKUP(F67&amp;"B"&amp;G67,'Bolting Chart'!$1:$1048576,IF(K$4="UNC",5,6),0),0)</f>
        <v>0</v>
      </c>
      <c r="L67" s="21">
        <f>IFERROR(VLOOKUP(F67&amp;"B"&amp;G67,'Bolting Chart'!$1:$1048576,9,0),0)</f>
        <v>0</v>
      </c>
      <c r="M67" s="21">
        <f>IFERROR(VLOOKUP(F67&amp;"B"&amp;G67,'Bolting Chart'!$1:$1048576,4,0),0)</f>
        <v>0</v>
      </c>
      <c r="N67" s="21">
        <f t="shared" si="15"/>
        <v>0</v>
      </c>
      <c r="O67" s="21">
        <f>(IFERROR(INDEX('Bolting Chart'!$A$169:$R$251,MATCH(L67,'Bolting Chart'!$A$170:$A$251,0),MATCH(IFERROR(VLOOKUP(F67&amp;"B"&amp;G67,'Bolting Chart'!$1:$1048576,7,0),0)+0,'Bolting Chart'!$A$169:$R$169,0)),0))/100</f>
        <v>0</v>
      </c>
      <c r="P67" s="21">
        <f t="shared" si="16"/>
        <v>0</v>
      </c>
      <c r="Q67" s="21">
        <f t="shared" si="17"/>
        <v>0</v>
      </c>
      <c r="R67" s="874"/>
      <c r="S67" s="874"/>
      <c r="T67" s="21">
        <f t="shared" si="18"/>
        <v>0</v>
      </c>
      <c r="U67" s="611">
        <f t="shared" si="19"/>
        <v>0</v>
      </c>
      <c r="V67" s="698"/>
      <c r="W67" s="684"/>
      <c r="X67" s="698"/>
      <c r="Y67" s="684"/>
      <c r="Z67" s="696"/>
      <c r="AA67" s="695"/>
      <c r="AB67" s="694"/>
      <c r="AC67" s="697"/>
      <c r="AD67" s="337">
        <f>COUNTIF($H$3:H67,"Welding Neck")+COUNTIF($H$3:H67,"LWN")</f>
        <v>1</v>
      </c>
      <c r="AE67" s="615">
        <f>IF(C67=0,0,IF(COUNTIF($AD$3:AD67,AD67)&gt;=2,0,AD67))</f>
        <v>0</v>
      </c>
      <c r="AF67" s="607">
        <f t="shared" si="20"/>
        <v>0</v>
      </c>
      <c r="AG67" s="607">
        <f t="shared" si="21"/>
        <v>0</v>
      </c>
      <c r="AH67" s="607">
        <f t="shared" si="22"/>
        <v>0</v>
      </c>
      <c r="AI67" s="616">
        <f t="shared" si="23"/>
        <v>0</v>
      </c>
      <c r="AJ67" s="615">
        <f>IF(C67=0,0,IF(COUNTIF($AD$3:AD67,AD67)&gt;=2,0,AD67))</f>
        <v>0</v>
      </c>
      <c r="AK67" s="607">
        <f t="shared" si="24"/>
        <v>0</v>
      </c>
      <c r="AL67" s="607">
        <f t="shared" si="25"/>
        <v>0</v>
      </c>
      <c r="AM67" s="607">
        <f t="shared" si="26"/>
        <v>0</v>
      </c>
      <c r="AN67" s="616">
        <f t="shared" si="27"/>
        <v>0</v>
      </c>
    </row>
    <row r="68" spans="1:40" x14ac:dyDescent="0.3">
      <c r="A68" s="21">
        <f t="shared" si="14"/>
        <v>22</v>
      </c>
      <c r="B68" s="21">
        <f>VLOOKUP(A68,'Equip&amp;Mach List'!$1:$1048576,2,0)</f>
        <v>0</v>
      </c>
      <c r="C68" s="21">
        <f>VLOOKUP(A68,'Equip&amp;Mach List'!$1:$1048576,3,0)</f>
        <v>0</v>
      </c>
      <c r="D68" s="21">
        <f>VLOOKUP(A68,'Equip&amp;Mach List'!$1:$1048576,4,0)</f>
        <v>0</v>
      </c>
      <c r="E68" s="21" t="s">
        <v>353</v>
      </c>
      <c r="F68" s="21">
        <f>IFERROR(VLOOKUP($A68&amp;"."&amp;$E68&amp;" "&amp;F$3,'Equipment Weight Calc'!$L:$M,2,0),0)</f>
        <v>0</v>
      </c>
      <c r="G68" s="21">
        <f>IFERROR(VLOOKUP($A68&amp;"."&amp;$E68&amp;" "&amp;G$3,'Equipment Weight Calc'!$L:$M,2,0),0)</f>
        <v>0</v>
      </c>
      <c r="H68" s="21">
        <f>IFERROR(VLOOKUP($A68&amp;"."&amp;$E68&amp;" "&amp;H$3,'Equipment Weight Calc'!$L:$M,2,0),0)</f>
        <v>0</v>
      </c>
      <c r="I68" s="21">
        <f>IFERROR(VLOOKUP($A68&amp;"."&amp;$E68&amp;" "&amp;I$3,'Equipment Weight Calc'!$L:$M,2,0),0)</f>
        <v>0</v>
      </c>
      <c r="J68" s="874"/>
      <c r="K68" s="121">
        <f>IFERROR(VLOOKUP(F68&amp;"B"&amp;G68,'Bolting Chart'!$1:$1048576,IF(K$4="UNC",5,6),0),0)</f>
        <v>0</v>
      </c>
      <c r="L68" s="21">
        <f>IFERROR(VLOOKUP(F68&amp;"B"&amp;G68,'Bolting Chart'!$1:$1048576,9,0),0)</f>
        <v>0</v>
      </c>
      <c r="M68" s="21">
        <f>IFERROR(VLOOKUP(F68&amp;"B"&amp;G68,'Bolting Chart'!$1:$1048576,4,0),0)</f>
        <v>0</v>
      </c>
      <c r="N68" s="21">
        <f t="shared" si="15"/>
        <v>0</v>
      </c>
      <c r="O68" s="21">
        <f>(IFERROR(INDEX('Bolting Chart'!$A$169:$R$251,MATCH(L68,'Bolting Chart'!$A$170:$A$251,0),MATCH(IFERROR(VLOOKUP(F68&amp;"B"&amp;G68,'Bolting Chart'!$1:$1048576,7,0),0)+0,'Bolting Chart'!$A$169:$R$169,0)),0))/100</f>
        <v>0</v>
      </c>
      <c r="P68" s="21">
        <f t="shared" si="16"/>
        <v>0</v>
      </c>
      <c r="Q68" s="21">
        <f t="shared" si="17"/>
        <v>0</v>
      </c>
      <c r="R68" s="874"/>
      <c r="S68" s="874"/>
      <c r="T68" s="21">
        <f t="shared" si="18"/>
        <v>0</v>
      </c>
      <c r="U68" s="611">
        <f t="shared" si="19"/>
        <v>0</v>
      </c>
      <c r="V68" s="698"/>
      <c r="W68" s="684"/>
      <c r="X68" s="698"/>
      <c r="Y68" s="684"/>
      <c r="Z68" s="696"/>
      <c r="AA68" s="695"/>
      <c r="AB68" s="694"/>
      <c r="AC68" s="697"/>
      <c r="AD68" s="337">
        <f>COUNTIF($H$3:H68,"Welding Neck")+COUNTIF($H$3:H68,"LWN")</f>
        <v>1</v>
      </c>
      <c r="AE68" s="615">
        <f>IF(C68=0,0,IF(COUNTIF($AD$3:AD68,AD68)&gt;=2,0,AD68))</f>
        <v>0</v>
      </c>
      <c r="AF68" s="607">
        <f t="shared" si="20"/>
        <v>0</v>
      </c>
      <c r="AG68" s="607">
        <f t="shared" si="21"/>
        <v>0</v>
      </c>
      <c r="AH68" s="607">
        <f t="shared" si="22"/>
        <v>0</v>
      </c>
      <c r="AI68" s="616">
        <f t="shared" si="23"/>
        <v>0</v>
      </c>
      <c r="AJ68" s="615">
        <f>IF(C68=0,0,IF(COUNTIF($AD$3:AD68,AD68)&gt;=2,0,AD68))</f>
        <v>0</v>
      </c>
      <c r="AK68" s="607">
        <f t="shared" si="24"/>
        <v>0</v>
      </c>
      <c r="AL68" s="607">
        <f t="shared" si="25"/>
        <v>0</v>
      </c>
      <c r="AM68" s="607">
        <f t="shared" si="26"/>
        <v>0</v>
      </c>
      <c r="AN68" s="616">
        <f t="shared" si="27"/>
        <v>0</v>
      </c>
    </row>
    <row r="69" spans="1:40" x14ac:dyDescent="0.3">
      <c r="A69" s="21">
        <f t="shared" si="14"/>
        <v>22</v>
      </c>
      <c r="B69" s="21">
        <f>VLOOKUP(A69,'Equip&amp;Mach List'!$1:$1048576,2,0)</f>
        <v>0</v>
      </c>
      <c r="C69" s="21">
        <f>VLOOKUP(A69,'Equip&amp;Mach List'!$1:$1048576,3,0)</f>
        <v>0</v>
      </c>
      <c r="D69" s="21">
        <f>VLOOKUP(A69,'Equip&amp;Mach List'!$1:$1048576,4,0)</f>
        <v>0</v>
      </c>
      <c r="E69" s="21" t="s">
        <v>354</v>
      </c>
      <c r="F69" s="21">
        <f>IFERROR(VLOOKUP($A69&amp;"."&amp;$E69&amp;" "&amp;F$3,'Equipment Weight Calc'!$L:$M,2,0),0)</f>
        <v>0</v>
      </c>
      <c r="G69" s="21">
        <f>IFERROR(VLOOKUP($A69&amp;"."&amp;$E69&amp;" "&amp;G$3,'Equipment Weight Calc'!$L:$M,2,0),0)</f>
        <v>0</v>
      </c>
      <c r="H69" s="21">
        <f>IFERROR(VLOOKUP($A69&amp;"."&amp;$E69&amp;" "&amp;H$3,'Equipment Weight Calc'!$L:$M,2,0),0)</f>
        <v>0</v>
      </c>
      <c r="I69" s="21">
        <f>IFERROR(VLOOKUP($A69&amp;"."&amp;$E69&amp;" "&amp;I$3,'Equipment Weight Calc'!$L:$M,2,0),0)</f>
        <v>0</v>
      </c>
      <c r="J69" s="874"/>
      <c r="K69" s="121">
        <f>IFERROR(VLOOKUP(F69&amp;"B"&amp;G69,'Bolting Chart'!$1:$1048576,IF(K$4="UNC",5,6),0),0)</f>
        <v>0</v>
      </c>
      <c r="L69" s="21">
        <f>IFERROR(VLOOKUP(F69&amp;"B"&amp;G69,'Bolting Chart'!$1:$1048576,9,0),0)</f>
        <v>0</v>
      </c>
      <c r="M69" s="21">
        <f>IFERROR(VLOOKUP(F69&amp;"B"&amp;G69,'Bolting Chart'!$1:$1048576,4,0),0)</f>
        <v>0</v>
      </c>
      <c r="N69" s="21">
        <f t="shared" si="15"/>
        <v>0</v>
      </c>
      <c r="O69" s="21">
        <f>(IFERROR(INDEX('Bolting Chart'!$A$169:$R$251,MATCH(L69,'Bolting Chart'!$A$170:$A$251,0),MATCH(IFERROR(VLOOKUP(F69&amp;"B"&amp;G69,'Bolting Chart'!$1:$1048576,7,0),0)+0,'Bolting Chart'!$A$169:$R$169,0)),0))/100</f>
        <v>0</v>
      </c>
      <c r="P69" s="21">
        <f t="shared" si="16"/>
        <v>0</v>
      </c>
      <c r="Q69" s="21">
        <f t="shared" si="17"/>
        <v>0</v>
      </c>
      <c r="R69" s="874"/>
      <c r="S69" s="874"/>
      <c r="T69" s="21">
        <f t="shared" si="18"/>
        <v>0</v>
      </c>
      <c r="U69" s="611">
        <f t="shared" si="19"/>
        <v>0</v>
      </c>
      <c r="V69" s="698"/>
      <c r="W69" s="684"/>
      <c r="X69" s="698"/>
      <c r="Y69" s="684"/>
      <c r="Z69" s="696"/>
      <c r="AA69" s="695"/>
      <c r="AB69" s="694"/>
      <c r="AC69" s="697"/>
      <c r="AD69" s="337">
        <f>COUNTIF($H$3:H69,"Welding Neck")+COUNTIF($H$3:H69,"LWN")</f>
        <v>1</v>
      </c>
      <c r="AE69" s="615">
        <f>IF(C69=0,0,IF(COUNTIF($AD$3:AD69,AD69)&gt;=2,0,AD69))</f>
        <v>0</v>
      </c>
      <c r="AF69" s="607">
        <f t="shared" si="20"/>
        <v>0</v>
      </c>
      <c r="AG69" s="607">
        <f t="shared" si="21"/>
        <v>0</v>
      </c>
      <c r="AH69" s="607">
        <f t="shared" si="22"/>
        <v>0</v>
      </c>
      <c r="AI69" s="616">
        <f t="shared" si="23"/>
        <v>0</v>
      </c>
      <c r="AJ69" s="615">
        <f>IF(C69=0,0,IF(COUNTIF($AD$3:AD69,AD69)&gt;=2,0,AD69))</f>
        <v>0</v>
      </c>
      <c r="AK69" s="607">
        <f t="shared" si="24"/>
        <v>0</v>
      </c>
      <c r="AL69" s="607">
        <f t="shared" si="25"/>
        <v>0</v>
      </c>
      <c r="AM69" s="607">
        <f t="shared" si="26"/>
        <v>0</v>
      </c>
      <c r="AN69" s="616">
        <f t="shared" si="27"/>
        <v>0</v>
      </c>
    </row>
    <row r="70" spans="1:40" x14ac:dyDescent="0.3">
      <c r="A70" s="21">
        <f t="shared" si="14"/>
        <v>22</v>
      </c>
      <c r="B70" s="21">
        <f>VLOOKUP(A70,'Equip&amp;Mach List'!$1:$1048576,2,0)</f>
        <v>0</v>
      </c>
      <c r="C70" s="21">
        <f>VLOOKUP(A70,'Equip&amp;Mach List'!$1:$1048576,3,0)</f>
        <v>0</v>
      </c>
      <c r="D70" s="21">
        <f>VLOOKUP(A70,'Equip&amp;Mach List'!$1:$1048576,4,0)</f>
        <v>0</v>
      </c>
      <c r="E70" s="21" t="s">
        <v>355</v>
      </c>
      <c r="F70" s="21">
        <f>IFERROR(VLOOKUP($A70&amp;"."&amp;$E70&amp;" "&amp;F$3,'Equipment Weight Calc'!$L:$M,2,0),0)</f>
        <v>0</v>
      </c>
      <c r="G70" s="21">
        <f>IFERROR(VLOOKUP($A70&amp;"."&amp;$E70&amp;" "&amp;G$3,'Equipment Weight Calc'!$L:$M,2,0),0)</f>
        <v>0</v>
      </c>
      <c r="H70" s="21">
        <f>IFERROR(VLOOKUP($A70&amp;"."&amp;$E70&amp;" "&amp;H$3,'Equipment Weight Calc'!$L:$M,2,0),0)</f>
        <v>0</v>
      </c>
      <c r="I70" s="21">
        <f>IFERROR(VLOOKUP($A70&amp;"."&amp;$E70&amp;" "&amp;I$3,'Equipment Weight Calc'!$L:$M,2,0),0)</f>
        <v>0</v>
      </c>
      <c r="J70" s="874"/>
      <c r="K70" s="121">
        <f>IFERROR(VLOOKUP(F70&amp;"B"&amp;G70,'Bolting Chart'!$1:$1048576,IF(K$4="UNC",5,6),0),0)</f>
        <v>0</v>
      </c>
      <c r="L70" s="21">
        <f>IFERROR(VLOOKUP(F70&amp;"B"&amp;G70,'Bolting Chart'!$1:$1048576,9,0),0)</f>
        <v>0</v>
      </c>
      <c r="M70" s="21">
        <f>IFERROR(VLOOKUP(F70&amp;"B"&amp;G70,'Bolting Chart'!$1:$1048576,4,0),0)</f>
        <v>0</v>
      </c>
      <c r="N70" s="21">
        <f t="shared" si="15"/>
        <v>0</v>
      </c>
      <c r="O70" s="21">
        <f>(IFERROR(INDEX('Bolting Chart'!$A$169:$R$251,MATCH(L70,'Bolting Chart'!$A$170:$A$251,0),MATCH(IFERROR(VLOOKUP(F70&amp;"B"&amp;G70,'Bolting Chart'!$1:$1048576,7,0),0)+0,'Bolting Chart'!$A$169:$R$169,0)),0))/100</f>
        <v>0</v>
      </c>
      <c r="P70" s="21">
        <f t="shared" si="16"/>
        <v>0</v>
      </c>
      <c r="Q70" s="21">
        <f t="shared" si="17"/>
        <v>0</v>
      </c>
      <c r="R70" s="874"/>
      <c r="S70" s="874"/>
      <c r="T70" s="21">
        <f t="shared" si="18"/>
        <v>0</v>
      </c>
      <c r="U70" s="611">
        <f t="shared" si="19"/>
        <v>0</v>
      </c>
      <c r="V70" s="698"/>
      <c r="W70" s="684"/>
      <c r="X70" s="698"/>
      <c r="Y70" s="684"/>
      <c r="Z70" s="696"/>
      <c r="AA70" s="695"/>
      <c r="AB70" s="694"/>
      <c r="AC70" s="697"/>
      <c r="AD70" s="337">
        <f>COUNTIF($H$3:H70,"Welding Neck")+COUNTIF($H$3:H70,"LWN")</f>
        <v>1</v>
      </c>
      <c r="AE70" s="615">
        <f>IF(C70=0,0,IF(COUNTIF($AD$3:AD70,AD70)&gt;=2,0,AD70))</f>
        <v>0</v>
      </c>
      <c r="AF70" s="607">
        <f t="shared" si="20"/>
        <v>0</v>
      </c>
      <c r="AG70" s="607">
        <f t="shared" si="21"/>
        <v>0</v>
      </c>
      <c r="AH70" s="607">
        <f t="shared" si="22"/>
        <v>0</v>
      </c>
      <c r="AI70" s="616">
        <f t="shared" si="23"/>
        <v>0</v>
      </c>
      <c r="AJ70" s="615">
        <f>IF(C70=0,0,IF(COUNTIF($AD$3:AD70,AD70)&gt;=2,0,AD70))</f>
        <v>0</v>
      </c>
      <c r="AK70" s="607">
        <f t="shared" si="24"/>
        <v>0</v>
      </c>
      <c r="AL70" s="607">
        <f t="shared" si="25"/>
        <v>0</v>
      </c>
      <c r="AM70" s="607">
        <f t="shared" si="26"/>
        <v>0</v>
      </c>
      <c r="AN70" s="616">
        <f t="shared" si="27"/>
        <v>0</v>
      </c>
    </row>
    <row r="71" spans="1:40" x14ac:dyDescent="0.3">
      <c r="A71" s="21">
        <f t="shared" si="14"/>
        <v>23</v>
      </c>
      <c r="B71" s="21">
        <f>VLOOKUP(A71,'Equip&amp;Mach List'!$1:$1048576,2,0)</f>
        <v>0</v>
      </c>
      <c r="C71" s="21">
        <f>VLOOKUP(A71,'Equip&amp;Mach List'!$1:$1048576,3,0)</f>
        <v>0</v>
      </c>
      <c r="D71" s="21">
        <f>VLOOKUP(A71,'Equip&amp;Mach List'!$1:$1048576,4,0)</f>
        <v>0</v>
      </c>
      <c r="E71" s="21" t="s">
        <v>353</v>
      </c>
      <c r="F71" s="21">
        <f>IFERROR(VLOOKUP($A71&amp;"."&amp;$E71&amp;" "&amp;F$3,'Equipment Weight Calc'!$L:$M,2,0),0)</f>
        <v>0</v>
      </c>
      <c r="G71" s="21">
        <f>IFERROR(VLOOKUP($A71&amp;"."&amp;$E71&amp;" "&amp;G$3,'Equipment Weight Calc'!$L:$M,2,0),0)</f>
        <v>0</v>
      </c>
      <c r="H71" s="21">
        <f>IFERROR(VLOOKUP($A71&amp;"."&amp;$E71&amp;" "&amp;H$3,'Equipment Weight Calc'!$L:$M,2,0),0)</f>
        <v>0</v>
      </c>
      <c r="I71" s="21">
        <f>IFERROR(VLOOKUP($A71&amp;"."&amp;$E71&amp;" "&amp;I$3,'Equipment Weight Calc'!$L:$M,2,0),0)</f>
        <v>0</v>
      </c>
      <c r="J71" s="874"/>
      <c r="K71" s="121">
        <f>IFERROR(VLOOKUP(F71&amp;"B"&amp;G71,'Bolting Chart'!$1:$1048576,IF(K$4="UNC",5,6),0),0)</f>
        <v>0</v>
      </c>
      <c r="L71" s="21">
        <f>IFERROR(VLOOKUP(F71&amp;"B"&amp;G71,'Bolting Chart'!$1:$1048576,9,0),0)</f>
        <v>0</v>
      </c>
      <c r="M71" s="21">
        <f>IFERROR(VLOOKUP(F71&amp;"B"&amp;G71,'Bolting Chart'!$1:$1048576,4,0),0)</f>
        <v>0</v>
      </c>
      <c r="N71" s="21">
        <f t="shared" si="15"/>
        <v>0</v>
      </c>
      <c r="O71" s="21">
        <f>(IFERROR(INDEX('Bolting Chart'!$A$169:$R$251,MATCH(L71,'Bolting Chart'!$A$170:$A$251,0),MATCH(IFERROR(VLOOKUP(F71&amp;"B"&amp;G71,'Bolting Chart'!$1:$1048576,7,0),0)+0,'Bolting Chart'!$A$169:$R$169,0)),0))/100</f>
        <v>0</v>
      </c>
      <c r="P71" s="21">
        <f t="shared" si="16"/>
        <v>0</v>
      </c>
      <c r="Q71" s="21">
        <f t="shared" si="17"/>
        <v>0</v>
      </c>
      <c r="R71" s="874"/>
      <c r="S71" s="874"/>
      <c r="T71" s="21">
        <f t="shared" si="18"/>
        <v>0</v>
      </c>
      <c r="U71" s="611">
        <f t="shared" si="19"/>
        <v>0</v>
      </c>
      <c r="V71" s="698"/>
      <c r="W71" s="684"/>
      <c r="X71" s="698"/>
      <c r="Y71" s="684"/>
      <c r="Z71" s="696"/>
      <c r="AA71" s="695"/>
      <c r="AB71" s="694"/>
      <c r="AC71" s="697"/>
      <c r="AD71" s="337">
        <f>COUNTIF($H$3:H71,"Welding Neck")+COUNTIF($H$3:H71,"LWN")</f>
        <v>1</v>
      </c>
      <c r="AE71" s="615">
        <f>IF(C71=0,0,IF(COUNTIF($AD$3:AD71,AD71)&gt;=2,0,AD71))</f>
        <v>0</v>
      </c>
      <c r="AF71" s="607">
        <f t="shared" si="20"/>
        <v>0</v>
      </c>
      <c r="AG71" s="607">
        <f t="shared" si="21"/>
        <v>0</v>
      </c>
      <c r="AH71" s="607">
        <f t="shared" si="22"/>
        <v>0</v>
      </c>
      <c r="AI71" s="616">
        <f t="shared" si="23"/>
        <v>0</v>
      </c>
      <c r="AJ71" s="615">
        <f>IF(C71=0,0,IF(COUNTIF($AD$3:AD71,AD71)&gt;=2,0,AD71))</f>
        <v>0</v>
      </c>
      <c r="AK71" s="607">
        <f t="shared" si="24"/>
        <v>0</v>
      </c>
      <c r="AL71" s="607">
        <f t="shared" si="25"/>
        <v>0</v>
      </c>
      <c r="AM71" s="607">
        <f t="shared" si="26"/>
        <v>0</v>
      </c>
      <c r="AN71" s="616">
        <f t="shared" si="27"/>
        <v>0</v>
      </c>
    </row>
    <row r="72" spans="1:40" x14ac:dyDescent="0.3">
      <c r="A72" s="21">
        <f t="shared" si="14"/>
        <v>23</v>
      </c>
      <c r="B72" s="21">
        <f>VLOOKUP(A72,'Equip&amp;Mach List'!$1:$1048576,2,0)</f>
        <v>0</v>
      </c>
      <c r="C72" s="21">
        <f>VLOOKUP(A72,'Equip&amp;Mach List'!$1:$1048576,3,0)</f>
        <v>0</v>
      </c>
      <c r="D72" s="21">
        <f>VLOOKUP(A72,'Equip&amp;Mach List'!$1:$1048576,4,0)</f>
        <v>0</v>
      </c>
      <c r="E72" s="21" t="s">
        <v>354</v>
      </c>
      <c r="F72" s="21">
        <f>IFERROR(VLOOKUP($A72&amp;"."&amp;$E72&amp;" "&amp;F$3,'Equipment Weight Calc'!$L:$M,2,0),0)</f>
        <v>0</v>
      </c>
      <c r="G72" s="21">
        <f>IFERROR(VLOOKUP($A72&amp;"."&amp;$E72&amp;" "&amp;G$3,'Equipment Weight Calc'!$L:$M,2,0),0)</f>
        <v>0</v>
      </c>
      <c r="H72" s="21">
        <f>IFERROR(VLOOKUP($A72&amp;"."&amp;$E72&amp;" "&amp;H$3,'Equipment Weight Calc'!$L:$M,2,0),0)</f>
        <v>0</v>
      </c>
      <c r="I72" s="21">
        <f>IFERROR(VLOOKUP($A72&amp;"."&amp;$E72&amp;" "&amp;I$3,'Equipment Weight Calc'!$L:$M,2,0),0)</f>
        <v>0</v>
      </c>
      <c r="J72" s="874"/>
      <c r="K72" s="121">
        <f>IFERROR(VLOOKUP(F72&amp;"B"&amp;G72,'Bolting Chart'!$1:$1048576,IF(K$4="UNC",5,6),0),0)</f>
        <v>0</v>
      </c>
      <c r="L72" s="21">
        <f>IFERROR(VLOOKUP(F72&amp;"B"&amp;G72,'Bolting Chart'!$1:$1048576,9,0),0)</f>
        <v>0</v>
      </c>
      <c r="M72" s="21">
        <f>IFERROR(VLOOKUP(F72&amp;"B"&amp;G72,'Bolting Chart'!$1:$1048576,4,0),0)</f>
        <v>0</v>
      </c>
      <c r="N72" s="21">
        <f t="shared" si="15"/>
        <v>0</v>
      </c>
      <c r="O72" s="21">
        <f>(IFERROR(INDEX('Bolting Chart'!$A$169:$R$251,MATCH(L72,'Bolting Chart'!$A$170:$A$251,0),MATCH(IFERROR(VLOOKUP(F72&amp;"B"&amp;G72,'Bolting Chart'!$1:$1048576,7,0),0)+0,'Bolting Chart'!$A$169:$R$169,0)),0))/100</f>
        <v>0</v>
      </c>
      <c r="P72" s="21">
        <f t="shared" si="16"/>
        <v>0</v>
      </c>
      <c r="Q72" s="21">
        <f t="shared" si="17"/>
        <v>0</v>
      </c>
      <c r="R72" s="874"/>
      <c r="S72" s="874"/>
      <c r="T72" s="21">
        <f t="shared" si="18"/>
        <v>0</v>
      </c>
      <c r="U72" s="611">
        <f t="shared" si="19"/>
        <v>0</v>
      </c>
      <c r="V72" s="698"/>
      <c r="W72" s="684"/>
      <c r="X72" s="698"/>
      <c r="Y72" s="684"/>
      <c r="Z72" s="696"/>
      <c r="AA72" s="695"/>
      <c r="AB72" s="694"/>
      <c r="AC72" s="697"/>
      <c r="AD72" s="337">
        <f>COUNTIF($H$3:H72,"Welding Neck")+COUNTIF($H$3:H72,"LWN")</f>
        <v>1</v>
      </c>
      <c r="AE72" s="615">
        <f>IF(C72=0,0,IF(COUNTIF($AD$3:AD72,AD72)&gt;=2,0,AD72))</f>
        <v>0</v>
      </c>
      <c r="AF72" s="607">
        <f t="shared" si="20"/>
        <v>0</v>
      </c>
      <c r="AG72" s="607">
        <f t="shared" si="21"/>
        <v>0</v>
      </c>
      <c r="AH72" s="607">
        <f t="shared" si="22"/>
        <v>0</v>
      </c>
      <c r="AI72" s="616">
        <f t="shared" si="23"/>
        <v>0</v>
      </c>
      <c r="AJ72" s="615">
        <f>IF(C72=0,0,IF(COUNTIF($AD$3:AD72,AD72)&gt;=2,0,AD72))</f>
        <v>0</v>
      </c>
      <c r="AK72" s="607">
        <f t="shared" si="24"/>
        <v>0</v>
      </c>
      <c r="AL72" s="607">
        <f t="shared" si="25"/>
        <v>0</v>
      </c>
      <c r="AM72" s="607">
        <f t="shared" si="26"/>
        <v>0</v>
      </c>
      <c r="AN72" s="616">
        <f t="shared" si="27"/>
        <v>0</v>
      </c>
    </row>
    <row r="73" spans="1:40" x14ac:dyDescent="0.3">
      <c r="A73" s="21">
        <f t="shared" si="14"/>
        <v>23</v>
      </c>
      <c r="B73" s="21">
        <f>VLOOKUP(A73,'Equip&amp;Mach List'!$1:$1048576,2,0)</f>
        <v>0</v>
      </c>
      <c r="C73" s="21">
        <f>VLOOKUP(A73,'Equip&amp;Mach List'!$1:$1048576,3,0)</f>
        <v>0</v>
      </c>
      <c r="D73" s="21">
        <f>VLOOKUP(A73,'Equip&amp;Mach List'!$1:$1048576,4,0)</f>
        <v>0</v>
      </c>
      <c r="E73" s="21" t="s">
        <v>355</v>
      </c>
      <c r="F73" s="21">
        <f>IFERROR(VLOOKUP($A73&amp;"."&amp;$E73&amp;" "&amp;F$3,'Equipment Weight Calc'!$L:$M,2,0),0)</f>
        <v>0</v>
      </c>
      <c r="G73" s="21">
        <f>IFERROR(VLOOKUP($A73&amp;"."&amp;$E73&amp;" "&amp;G$3,'Equipment Weight Calc'!$L:$M,2,0),0)</f>
        <v>0</v>
      </c>
      <c r="H73" s="21">
        <f>IFERROR(VLOOKUP($A73&amp;"."&amp;$E73&amp;" "&amp;H$3,'Equipment Weight Calc'!$L:$M,2,0),0)</f>
        <v>0</v>
      </c>
      <c r="I73" s="21">
        <f>IFERROR(VLOOKUP($A73&amp;"."&amp;$E73&amp;" "&amp;I$3,'Equipment Weight Calc'!$L:$M,2,0),0)</f>
        <v>0</v>
      </c>
      <c r="J73" s="874"/>
      <c r="K73" s="121">
        <f>IFERROR(VLOOKUP(F73&amp;"B"&amp;G73,'Bolting Chart'!$1:$1048576,IF(K$4="UNC",5,6),0),0)</f>
        <v>0</v>
      </c>
      <c r="L73" s="21">
        <f>IFERROR(VLOOKUP(F73&amp;"B"&amp;G73,'Bolting Chart'!$1:$1048576,9,0),0)</f>
        <v>0</v>
      </c>
      <c r="M73" s="21">
        <f>IFERROR(VLOOKUP(F73&amp;"B"&amp;G73,'Bolting Chart'!$1:$1048576,4,0),0)</f>
        <v>0</v>
      </c>
      <c r="N73" s="21">
        <f t="shared" si="15"/>
        <v>0</v>
      </c>
      <c r="O73" s="21">
        <f>(IFERROR(INDEX('Bolting Chart'!$A$169:$R$251,MATCH(L73,'Bolting Chart'!$A$170:$A$251,0),MATCH(IFERROR(VLOOKUP(F73&amp;"B"&amp;G73,'Bolting Chart'!$1:$1048576,7,0),0)+0,'Bolting Chart'!$A$169:$R$169,0)),0))/100</f>
        <v>0</v>
      </c>
      <c r="P73" s="21">
        <f t="shared" si="16"/>
        <v>0</v>
      </c>
      <c r="Q73" s="21">
        <f t="shared" si="17"/>
        <v>0</v>
      </c>
      <c r="R73" s="874"/>
      <c r="S73" s="874"/>
      <c r="T73" s="21">
        <f t="shared" si="18"/>
        <v>0</v>
      </c>
      <c r="U73" s="611">
        <f t="shared" si="19"/>
        <v>0</v>
      </c>
      <c r="V73" s="698"/>
      <c r="W73" s="684"/>
      <c r="X73" s="698"/>
      <c r="Y73" s="684"/>
      <c r="Z73" s="696"/>
      <c r="AA73" s="695"/>
      <c r="AB73" s="694"/>
      <c r="AC73" s="697"/>
      <c r="AD73" s="337">
        <f>COUNTIF($H$3:H73,"Welding Neck")+COUNTIF($H$3:H73,"LWN")</f>
        <v>1</v>
      </c>
      <c r="AE73" s="615">
        <f>IF(C73=0,0,IF(COUNTIF($AD$3:AD73,AD73)&gt;=2,0,AD73))</f>
        <v>0</v>
      </c>
      <c r="AF73" s="607">
        <f t="shared" si="20"/>
        <v>0</v>
      </c>
      <c r="AG73" s="607">
        <f t="shared" si="21"/>
        <v>0</v>
      </c>
      <c r="AH73" s="607">
        <f t="shared" si="22"/>
        <v>0</v>
      </c>
      <c r="AI73" s="616">
        <f t="shared" si="23"/>
        <v>0</v>
      </c>
      <c r="AJ73" s="615">
        <f>IF(C73=0,0,IF(COUNTIF($AD$3:AD73,AD73)&gt;=2,0,AD73))</f>
        <v>0</v>
      </c>
      <c r="AK73" s="607">
        <f t="shared" si="24"/>
        <v>0</v>
      </c>
      <c r="AL73" s="607">
        <f t="shared" si="25"/>
        <v>0</v>
      </c>
      <c r="AM73" s="607">
        <f t="shared" si="26"/>
        <v>0</v>
      </c>
      <c r="AN73" s="616">
        <f t="shared" si="27"/>
        <v>0</v>
      </c>
    </row>
  </sheetData>
  <sheetProtection algorithmName="SHA-512" hashValue="CRhsnkEpLX10SEja8S8B06y5fmXGu3t8S4EM5QSya6FSdzXQADz/2SMyz7zKW7IE+BBN16x6HKHEg1Y5ni66jg==" saltValue="POGk6HfIfCGvcaFTmoyZSQ==" spinCount="100000" sheet="1" objects="1" scenarios="1"/>
  <autoFilter ref="A4:AN4" xr:uid="{00000000-0009-0000-0000-00000F000000}"/>
  <mergeCells count="29">
    <mergeCell ref="Z3:AC3"/>
    <mergeCell ref="AJ2:AN2"/>
    <mergeCell ref="AJ3:AJ4"/>
    <mergeCell ref="AK3:AL3"/>
    <mergeCell ref="AM3:AN3"/>
    <mergeCell ref="AF3:AG3"/>
    <mergeCell ref="AH3:AI3"/>
    <mergeCell ref="AE2:AI2"/>
    <mergeCell ref="AD3:AD4"/>
    <mergeCell ref="AE3:AE4"/>
    <mergeCell ref="Z2:AC2"/>
    <mergeCell ref="J3:J4"/>
    <mergeCell ref="J2:Q2"/>
    <mergeCell ref="R3:R4"/>
    <mergeCell ref="V2:Y2"/>
    <mergeCell ref="S3:S4"/>
    <mergeCell ref="T3:T4"/>
    <mergeCell ref="R2:U2"/>
    <mergeCell ref="O3:P3"/>
    <mergeCell ref="V3:Y3"/>
    <mergeCell ref="A3:A4"/>
    <mergeCell ref="C3:C4"/>
    <mergeCell ref="D3:D4"/>
    <mergeCell ref="A2:D2"/>
    <mergeCell ref="E3:E4"/>
    <mergeCell ref="E2:I2"/>
    <mergeCell ref="G3:G4"/>
    <mergeCell ref="H3:H4"/>
    <mergeCell ref="B3:B4"/>
  </mergeCells>
  <conditionalFormatting sqref="A1:AC1 Z3">
    <cfRule type="cellIs" dxfId="17" priority="29" operator="equal">
      <formula>0</formula>
    </cfRule>
  </conditionalFormatting>
  <conditionalFormatting sqref="A1:AI1">
    <cfRule type="cellIs" dxfId="16" priority="30" operator="equal">
      <formula>0</formula>
    </cfRule>
  </conditionalFormatting>
  <conditionalFormatting sqref="A49:XFD1048576">
    <cfRule type="cellIs" dxfId="15" priority="1" operator="equal">
      <formula>0</formula>
    </cfRule>
  </conditionalFormatting>
  <conditionalFormatting sqref="Q3:V3">
    <cfRule type="cellIs" dxfId="14" priority="35" operator="equal">
      <formula>0</formula>
    </cfRule>
  </conditionalFormatting>
  <conditionalFormatting sqref="AD1:AI1 AH3">
    <cfRule type="cellIs" dxfId="13" priority="33" operator="equal">
      <formula>0</formula>
    </cfRule>
  </conditionalFormatting>
  <conditionalFormatting sqref="AD1:AI1">
    <cfRule type="cellIs" dxfId="12" priority="34" operator="equal">
      <formula>0</formula>
    </cfRule>
  </conditionalFormatting>
  <conditionalFormatting sqref="AE2">
    <cfRule type="cellIs" dxfId="11" priority="39" operator="equal">
      <formula>0</formula>
    </cfRule>
  </conditionalFormatting>
  <conditionalFormatting sqref="AG4">
    <cfRule type="cellIs" dxfId="10" priority="31" operator="equal">
      <formula>0</formula>
    </cfRule>
  </conditionalFormatting>
  <conditionalFormatting sqref="AJ2">
    <cfRule type="cellIs" dxfId="9" priority="25" operator="equal">
      <formula>0</formula>
    </cfRule>
  </conditionalFormatting>
  <conditionalFormatting sqref="AJ3:AK3 AN4">
    <cfRule type="cellIs" dxfId="8" priority="20" operator="equal">
      <formula>0</formula>
    </cfRule>
  </conditionalFormatting>
  <conditionalFormatting sqref="AJ1:AN1">
    <cfRule type="cellIs" dxfId="7" priority="22" operator="equal">
      <formula>0</formula>
    </cfRule>
    <cfRule type="cellIs" dxfId="6" priority="23" operator="equal">
      <formula>0</formula>
    </cfRule>
    <cfRule type="cellIs" dxfId="5" priority="24" operator="equal">
      <formula>0</formula>
    </cfRule>
  </conditionalFormatting>
  <conditionalFormatting sqref="AL4">
    <cfRule type="cellIs" dxfId="4" priority="18" operator="equal">
      <formula>0</formula>
    </cfRule>
  </conditionalFormatting>
  <conditionalFormatting sqref="AM3">
    <cfRule type="cellIs" dxfId="3" priority="19" operator="equal">
      <formula>0</formula>
    </cfRule>
  </conditionalFormatting>
  <conditionalFormatting sqref="AO1:XFD1">
    <cfRule type="cellIs" dxfId="2" priority="46" operator="equal">
      <formula>0</formula>
    </cfRule>
  </conditionalFormatting>
  <conditionalFormatting sqref="AO1:XFD48 A2:R2 A3:O3 AE3:AF3 A4:AC48 AI4:AI48 AD5:AH48 AJ5:AN48">
    <cfRule type="cellIs" dxfId="1" priority="41" operator="equal">
      <formula>0</formula>
    </cfRule>
  </conditionalFormatting>
  <dataValidations count="1">
    <dataValidation type="list" allowBlank="1" showInputMessage="1" showErrorMessage="1" sqref="K4" xr:uid="{00000000-0002-0000-0F00-000000000000}">
      <formula1>Bolting_Dia</formula1>
    </dataValidation>
  </dataValidations>
  <pageMargins left="0.70866141732283472" right="0.70866141732283472" top="0.74803149606299213" bottom="0.74803149606299213" header="0.31496062992125984" footer="0.31496062992125984"/>
  <pageSetup scale="12" fitToHeight="0" orientation="portrait" r:id="rId1"/>
  <headerFooter>
    <oddHeader>&amp;LMCE Vers. 1.0&amp;C&amp;F&amp;R&amp;"Calibri,Normale"&amp;8 Document classified as: 2 - Company Confidential&amp;1#</oddHeader>
    <oddFooter>&amp;C&amp;A - &amp;P&amp;R&amp;D</oddFooter>
  </headerFooter>
  <colBreaks count="2" manualBreakCount="2">
    <brk id="30" max="1048575" man="1"/>
    <brk id="35"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0" tint="-0.34998626667073579"/>
    <pageSetUpPr fitToPage="1"/>
  </sheetPr>
  <dimension ref="A1:E30"/>
  <sheetViews>
    <sheetView workbookViewId="0">
      <selection activeCell="E6" sqref="E6"/>
    </sheetView>
  </sheetViews>
  <sheetFormatPr defaultRowHeight="14.4" x14ac:dyDescent="0.3"/>
  <cols>
    <col min="2" max="2" width="14.21875" bestFit="1" customWidth="1"/>
    <col min="3" max="3" width="56.5546875" customWidth="1"/>
  </cols>
  <sheetData>
    <row r="1" spans="1:5" ht="15" thickBot="1" x14ac:dyDescent="0.35">
      <c r="A1" s="1848" t="s">
        <v>2625</v>
      </c>
      <c r="B1" s="1849"/>
      <c r="C1" s="1849"/>
      <c r="D1" s="1849"/>
      <c r="E1" s="1850"/>
    </row>
    <row r="2" spans="1:5" x14ac:dyDescent="0.3">
      <c r="A2" s="1290"/>
      <c r="B2" s="1290"/>
      <c r="C2" s="1290"/>
      <c r="D2" s="1290"/>
      <c r="E2" s="1290"/>
    </row>
    <row r="3" spans="1:5" ht="15.6" x14ac:dyDescent="0.3">
      <c r="A3" s="1576" t="s">
        <v>2626</v>
      </c>
      <c r="B3" s="1577">
        <v>27</v>
      </c>
      <c r="C3" s="1291"/>
      <c r="D3" s="1290"/>
      <c r="E3" s="1290"/>
    </row>
    <row r="4" spans="1:5" ht="15" thickBot="1" x14ac:dyDescent="0.35">
      <c r="A4" s="1290"/>
      <c r="B4" s="1290"/>
      <c r="C4" s="1290"/>
      <c r="D4" s="1290"/>
      <c r="E4" s="1290"/>
    </row>
    <row r="5" spans="1:5" ht="15" thickBot="1" x14ac:dyDescent="0.35">
      <c r="A5" s="1292" t="s">
        <v>2627</v>
      </c>
      <c r="B5" s="1293" t="s">
        <v>2628</v>
      </c>
      <c r="C5" s="1293" t="s">
        <v>2629</v>
      </c>
      <c r="D5" s="1293" t="s">
        <v>2630</v>
      </c>
      <c r="E5" s="1294" t="s">
        <v>2631</v>
      </c>
    </row>
    <row r="6" spans="1:5" x14ac:dyDescent="0.3">
      <c r="A6" s="1348">
        <v>9</v>
      </c>
      <c r="B6" s="1578" t="s">
        <v>2632</v>
      </c>
      <c r="C6" s="1578" t="s">
        <v>2633</v>
      </c>
      <c r="D6" s="1295">
        <v>35</v>
      </c>
      <c r="E6" s="1296">
        <f>+A6*D6</f>
        <v>315</v>
      </c>
    </row>
    <row r="7" spans="1:5" x14ac:dyDescent="0.3">
      <c r="A7" s="1579">
        <v>2</v>
      </c>
      <c r="B7" s="1580" t="s">
        <v>2634</v>
      </c>
      <c r="C7" s="1580" t="s">
        <v>2633</v>
      </c>
      <c r="D7" s="1295">
        <v>30</v>
      </c>
      <c r="E7" s="1295">
        <f t="shared" ref="E7:E21" si="0">+A7*D7</f>
        <v>60</v>
      </c>
    </row>
    <row r="8" spans="1:5" x14ac:dyDescent="0.3">
      <c r="A8" s="1579">
        <v>3</v>
      </c>
      <c r="B8" s="1580" t="s">
        <v>1952</v>
      </c>
      <c r="C8" s="1580" t="s">
        <v>2633</v>
      </c>
      <c r="D8" s="1295">
        <v>35</v>
      </c>
      <c r="E8" s="1295">
        <f t="shared" si="0"/>
        <v>105</v>
      </c>
    </row>
    <row r="9" spans="1:5" x14ac:dyDescent="0.3">
      <c r="A9" s="1579">
        <v>3</v>
      </c>
      <c r="B9" s="1580" t="s">
        <v>1944</v>
      </c>
      <c r="C9" s="1580" t="s">
        <v>2633</v>
      </c>
      <c r="D9" s="1295">
        <v>100</v>
      </c>
      <c r="E9" s="1295">
        <f t="shared" si="0"/>
        <v>300</v>
      </c>
    </row>
    <row r="10" spans="1:5" x14ac:dyDescent="0.3">
      <c r="A10" s="1579">
        <v>0</v>
      </c>
      <c r="B10" s="1580" t="s">
        <v>2117</v>
      </c>
      <c r="C10" s="1580" t="s">
        <v>2633</v>
      </c>
      <c r="D10" s="1295">
        <v>180</v>
      </c>
      <c r="E10" s="1295">
        <f t="shared" si="0"/>
        <v>0</v>
      </c>
    </row>
    <row r="11" spans="1:5" x14ac:dyDescent="0.3">
      <c r="A11" s="1579">
        <v>0</v>
      </c>
      <c r="B11" s="1580" t="s">
        <v>2635</v>
      </c>
      <c r="C11" s="1580" t="s">
        <v>2633</v>
      </c>
      <c r="D11" s="1295">
        <v>180</v>
      </c>
      <c r="E11" s="1295">
        <f t="shared" si="0"/>
        <v>0</v>
      </c>
    </row>
    <row r="12" spans="1:5" x14ac:dyDescent="0.3">
      <c r="A12" s="1579">
        <v>0</v>
      </c>
      <c r="B12" s="1580" t="s">
        <v>1958</v>
      </c>
      <c r="C12" s="1580" t="s">
        <v>2633</v>
      </c>
      <c r="D12" s="1295">
        <v>160</v>
      </c>
      <c r="E12" s="1295">
        <f t="shared" si="0"/>
        <v>0</v>
      </c>
    </row>
    <row r="13" spans="1:5" x14ac:dyDescent="0.3">
      <c r="A13" s="1579">
        <v>0</v>
      </c>
      <c r="B13" s="1580" t="s">
        <v>1964</v>
      </c>
      <c r="C13" s="1580" t="s">
        <v>2633</v>
      </c>
      <c r="D13" s="1295">
        <v>80</v>
      </c>
      <c r="E13" s="1295">
        <f t="shared" si="0"/>
        <v>0</v>
      </c>
    </row>
    <row r="14" spans="1:5" x14ac:dyDescent="0.3">
      <c r="A14" s="1579">
        <v>0</v>
      </c>
      <c r="B14" s="1580" t="s">
        <v>2636</v>
      </c>
      <c r="C14" s="1580" t="s">
        <v>2637</v>
      </c>
      <c r="D14" s="1295">
        <v>180</v>
      </c>
      <c r="E14" s="1295">
        <f t="shared" si="0"/>
        <v>0</v>
      </c>
    </row>
    <row r="15" spans="1:5" x14ac:dyDescent="0.3">
      <c r="A15" s="1579">
        <v>19</v>
      </c>
      <c r="B15" s="1580" t="s">
        <v>2638</v>
      </c>
      <c r="C15" s="1580" t="s">
        <v>2637</v>
      </c>
      <c r="D15" s="1295">
        <v>140</v>
      </c>
      <c r="E15" s="1295">
        <f t="shared" si="0"/>
        <v>2660</v>
      </c>
    </row>
    <row r="16" spans="1:5" x14ac:dyDescent="0.3">
      <c r="A16" s="1579">
        <v>1</v>
      </c>
      <c r="B16" s="1580" t="s">
        <v>2639</v>
      </c>
      <c r="C16" s="1580" t="s">
        <v>2633</v>
      </c>
      <c r="D16" s="1295">
        <v>100</v>
      </c>
      <c r="E16" s="1295">
        <f t="shared" si="0"/>
        <v>100</v>
      </c>
    </row>
    <row r="17" spans="1:5" x14ac:dyDescent="0.3">
      <c r="A17" s="1579">
        <v>1</v>
      </c>
      <c r="B17" s="1580" t="s">
        <v>2001</v>
      </c>
      <c r="C17" s="1580" t="s">
        <v>2633</v>
      </c>
      <c r="D17" s="1295">
        <v>70</v>
      </c>
      <c r="E17" s="1295">
        <f t="shared" si="0"/>
        <v>70</v>
      </c>
    </row>
    <row r="18" spans="1:5" x14ac:dyDescent="0.3">
      <c r="A18" s="1579">
        <v>1</v>
      </c>
      <c r="B18" s="1580" t="s">
        <v>2640</v>
      </c>
      <c r="C18" s="1580" t="s">
        <v>2633</v>
      </c>
      <c r="D18" s="1295">
        <v>80</v>
      </c>
      <c r="E18" s="1295">
        <f t="shared" si="0"/>
        <v>80</v>
      </c>
    </row>
    <row r="19" spans="1:5" x14ac:dyDescent="0.3">
      <c r="A19" s="1579">
        <v>0</v>
      </c>
      <c r="B19" s="1580" t="s">
        <v>2641</v>
      </c>
      <c r="C19" s="1580" t="s">
        <v>2633</v>
      </c>
      <c r="D19" s="1295">
        <v>80</v>
      </c>
      <c r="E19" s="1295">
        <f t="shared" si="0"/>
        <v>0</v>
      </c>
    </row>
    <row r="20" spans="1:5" x14ac:dyDescent="0.3">
      <c r="A20" s="1297">
        <f>+A8+A9+A10+A11+A12+A13+A16</f>
        <v>7</v>
      </c>
      <c r="B20" s="1580" t="s">
        <v>2642</v>
      </c>
      <c r="C20" s="1580" t="s">
        <v>2637</v>
      </c>
      <c r="D20" s="1295">
        <v>90</v>
      </c>
      <c r="E20" s="1295">
        <f t="shared" si="0"/>
        <v>630</v>
      </c>
    </row>
    <row r="21" spans="1:5" x14ac:dyDescent="0.3">
      <c r="A21" s="1297">
        <f>SUM(A6:A16)/100*70</f>
        <v>25.9</v>
      </c>
      <c r="B21" s="1580" t="s">
        <v>2643</v>
      </c>
      <c r="C21" s="1580"/>
      <c r="D21" s="1295">
        <v>80</v>
      </c>
      <c r="E21" s="1295">
        <f t="shared" si="0"/>
        <v>2072</v>
      </c>
    </row>
    <row r="22" spans="1:5" x14ac:dyDescent="0.3">
      <c r="A22" s="1851" t="s">
        <v>2644</v>
      </c>
      <c r="B22" s="1852"/>
      <c r="C22" s="1853"/>
      <c r="D22" s="1295">
        <v>100</v>
      </c>
      <c r="E22" s="1298">
        <f>+B3*D22</f>
        <v>2700</v>
      </c>
    </row>
    <row r="23" spans="1:5" x14ac:dyDescent="0.3">
      <c r="A23" s="1851" t="s">
        <v>2645</v>
      </c>
      <c r="B23" s="1852"/>
      <c r="C23" s="1853"/>
      <c r="D23" s="1295">
        <v>150</v>
      </c>
      <c r="E23" s="1295">
        <f>+B3*D23</f>
        <v>4050</v>
      </c>
    </row>
    <row r="24" spans="1:5" x14ac:dyDescent="0.3">
      <c r="A24" s="1851" t="s">
        <v>2646</v>
      </c>
      <c r="B24" s="1852"/>
      <c r="C24" s="1853"/>
      <c r="D24" s="1581">
        <v>1000</v>
      </c>
      <c r="E24" s="1295">
        <f>D24</f>
        <v>1000</v>
      </c>
    </row>
    <row r="25" spans="1:5" x14ac:dyDescent="0.3">
      <c r="A25" s="1851"/>
      <c r="B25" s="1852"/>
      <c r="C25" s="1853"/>
      <c r="D25" s="1582" t="s">
        <v>2647</v>
      </c>
      <c r="E25" s="1295">
        <f>SUM(E6:E24)</f>
        <v>14142</v>
      </c>
    </row>
    <row r="26" spans="1:5" ht="15" thickBot="1" x14ac:dyDescent="0.35">
      <c r="A26" s="1845" t="s">
        <v>2648</v>
      </c>
      <c r="B26" s="1846"/>
      <c r="C26" s="1847"/>
      <c r="D26" s="1299">
        <v>0.3</v>
      </c>
      <c r="E26" s="1300">
        <f>E25*D26</f>
        <v>4242.5999999999995</v>
      </c>
    </row>
    <row r="27" spans="1:5" ht="16.2" thickBot="1" x14ac:dyDescent="0.35">
      <c r="A27" s="1290"/>
      <c r="B27" s="1290"/>
      <c r="C27" s="1290"/>
      <c r="D27" s="1301" t="s">
        <v>2649</v>
      </c>
      <c r="E27" s="1302">
        <f>SUM(E25:E26)</f>
        <v>18384.599999999999</v>
      </c>
    </row>
    <row r="28" spans="1:5" ht="15" thickBot="1" x14ac:dyDescent="0.35">
      <c r="A28" s="1290"/>
      <c r="B28" s="1290"/>
      <c r="C28" s="1290"/>
      <c r="D28" s="1290"/>
      <c r="E28" s="1290"/>
    </row>
    <row r="29" spans="1:5" ht="15" thickBot="1" x14ac:dyDescent="0.35">
      <c r="A29" s="1290"/>
      <c r="B29" s="1290"/>
      <c r="C29" s="1303"/>
      <c r="D29" s="1304" t="s">
        <v>2650</v>
      </c>
      <c r="E29" s="1305">
        <v>0</v>
      </c>
    </row>
    <row r="30" spans="1:5" ht="15" thickBot="1" x14ac:dyDescent="0.35">
      <c r="A30" s="1290"/>
      <c r="B30" s="1290"/>
      <c r="C30" s="1290"/>
      <c r="D30" s="1306" t="s">
        <v>2651</v>
      </c>
      <c r="E30" s="1307">
        <f>+E27+(+E27*E29)</f>
        <v>18384.599999999999</v>
      </c>
    </row>
  </sheetData>
  <mergeCells count="6">
    <mergeCell ref="A26:C26"/>
    <mergeCell ref="A1:E1"/>
    <mergeCell ref="A22:C22"/>
    <mergeCell ref="A23:C23"/>
    <mergeCell ref="A24:C24"/>
    <mergeCell ref="A25:C25"/>
  </mergeCells>
  <dataValidations count="1">
    <dataValidation type="decimal" allowBlank="1" showInputMessage="1" showErrorMessage="1" sqref="B3 A6:A19 D24 D26 E29" xr:uid="{7C2926DA-1FAB-4F2F-B278-CBE267FE9943}">
      <formula1>0</formula1>
      <formula2>1000000</formula2>
    </dataValidation>
  </dataValidations>
  <pageMargins left="0.70866141732283472" right="0.70866141732283472" top="0.74803149606299213" bottom="0.74803149606299213" header="0.31496062992125984" footer="0.31496062992125984"/>
  <pageSetup scale="92" fitToHeight="0" orientation="portrait" r:id="rId1"/>
  <headerFooter>
    <oddHeader>&amp;LMCE Vers. 1.0&amp;C&amp;F&amp;R&amp;"Calibri,Normale"&amp;8 Document classified as: 2 - Company Confidential&amp;1#</oddHeader>
    <oddFooter>&amp;C&amp;A - &amp;P&amp;R&amp;D</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Foglio20">
    <tabColor theme="5" tint="0.39997558519241921"/>
    <pageSetUpPr fitToPage="1"/>
  </sheetPr>
  <dimension ref="A1:BM404"/>
  <sheetViews>
    <sheetView topLeftCell="AM1" zoomScale="85" zoomScaleNormal="85" workbookViewId="0">
      <selection activeCell="AP1" sqref="AP1:BM1048576"/>
    </sheetView>
  </sheetViews>
  <sheetFormatPr defaultColWidth="55.21875" defaultRowHeight="14.4" x14ac:dyDescent="0.3"/>
  <cols>
    <col min="1" max="1" width="6.5546875" style="5" hidden="1" customWidth="1"/>
    <col min="2" max="2" width="11.21875" style="5" hidden="1" customWidth="1"/>
    <col min="3" max="4" width="13.77734375" style="5" hidden="1" customWidth="1"/>
    <col min="5" max="5" width="5.5546875" style="5" hidden="1" customWidth="1"/>
    <col min="6" max="6" width="10.21875" style="5" hidden="1" customWidth="1"/>
    <col min="7" max="7" width="10" style="5" hidden="1" customWidth="1"/>
    <col min="8" max="8" width="9.77734375" style="5" hidden="1" customWidth="1"/>
    <col min="9" max="10" width="13.21875" style="5" hidden="1" customWidth="1"/>
    <col min="11" max="12" width="6.44140625" style="5" hidden="1" customWidth="1"/>
    <col min="13" max="13" width="16" style="5" hidden="1" customWidth="1"/>
    <col min="14" max="14" width="5.21875" style="5" hidden="1" customWidth="1"/>
    <col min="15" max="15" width="7.21875" style="5" hidden="1" customWidth="1"/>
    <col min="16" max="16" width="25.77734375" style="5" hidden="1" customWidth="1"/>
    <col min="17" max="17" width="32" style="5" hidden="1" customWidth="1"/>
    <col min="18" max="18" width="24.5546875" style="5" hidden="1" customWidth="1"/>
    <col min="19" max="19" width="23.77734375" style="5" hidden="1" customWidth="1"/>
    <col min="20" max="21" width="22.77734375" style="5" hidden="1" customWidth="1"/>
    <col min="22" max="22" width="27.5546875" style="5" hidden="1" customWidth="1"/>
    <col min="23" max="23" width="26.21875" style="5" hidden="1" customWidth="1"/>
    <col min="24" max="24" width="14.77734375" style="5" hidden="1" customWidth="1"/>
    <col min="25" max="25" width="21.77734375" style="5" hidden="1" customWidth="1"/>
    <col min="26" max="26" width="13.77734375" style="5" hidden="1" customWidth="1"/>
    <col min="27" max="27" width="22.21875" style="5" hidden="1" customWidth="1"/>
    <col min="28" max="28" width="25.5546875" style="5" hidden="1" customWidth="1"/>
    <col min="29" max="34" width="24.44140625" style="5" hidden="1" customWidth="1"/>
    <col min="35" max="36" width="18.21875" style="5" hidden="1" customWidth="1"/>
    <col min="37" max="37" width="14.5546875" style="445" hidden="1" customWidth="1"/>
    <col min="38" max="38" width="9.21875" style="445" hidden="1" customWidth="1"/>
    <col min="39" max="39" width="9.44140625" style="445" bestFit="1" customWidth="1"/>
    <col min="40" max="40" width="11.5546875" style="445" bestFit="1" customWidth="1"/>
    <col min="41" max="41" width="18.5546875" style="445" customWidth="1"/>
    <col min="42" max="42" width="9.44140625" style="5" hidden="1" customWidth="1"/>
    <col min="43" max="43" width="17.77734375" style="5" hidden="1" customWidth="1"/>
    <col min="44" max="44" width="16.77734375" style="5" hidden="1" customWidth="1"/>
    <col min="45" max="45" width="7.44140625" style="5" hidden="1" customWidth="1"/>
    <col min="46" max="46" width="18.21875" style="5" hidden="1" customWidth="1"/>
    <col min="47" max="47" width="7.77734375" style="5" hidden="1" customWidth="1"/>
    <col min="48" max="48" width="7" style="5" hidden="1" customWidth="1"/>
    <col min="49" max="49" width="11" style="5" hidden="1" customWidth="1"/>
    <col min="50" max="50" width="7" style="5" hidden="1" customWidth="1"/>
    <col min="51" max="51" width="7.77734375" style="5" hidden="1" customWidth="1"/>
    <col min="52" max="54" width="6.77734375" style="5" hidden="1" customWidth="1"/>
    <col min="55" max="55" width="12" style="5" hidden="1" customWidth="1"/>
    <col min="56" max="56" width="17.77734375" style="5" hidden="1" customWidth="1"/>
    <col min="57" max="57" width="7.44140625" style="5" hidden="1" customWidth="1"/>
    <col min="58" max="58" width="21.77734375" style="5" hidden="1" customWidth="1"/>
    <col min="59" max="59" width="18.21875" style="5" hidden="1" customWidth="1"/>
    <col min="60" max="60" width="20.5546875" style="5" hidden="1" customWidth="1"/>
    <col min="61" max="61" width="11" style="5" hidden="1" customWidth="1"/>
    <col min="62" max="62" width="48" style="5" hidden="1" customWidth="1"/>
    <col min="63" max="65" width="20.5546875" style="5" hidden="1" customWidth="1"/>
    <col min="66" max="16384" width="55.21875" style="5"/>
  </cols>
  <sheetData>
    <row r="1" spans="1:65" ht="29.4" thickBot="1" x14ac:dyDescent="0.35">
      <c r="A1" s="430" t="s">
        <v>59</v>
      </c>
      <c r="B1" s="430" t="s">
        <v>2110</v>
      </c>
      <c r="C1" s="430" t="s">
        <v>2111</v>
      </c>
      <c r="D1" s="430" t="s">
        <v>2112</v>
      </c>
      <c r="E1" s="430" t="s">
        <v>59</v>
      </c>
      <c r="F1" s="430" t="s">
        <v>2113</v>
      </c>
      <c r="G1" s="430" t="s">
        <v>2114</v>
      </c>
      <c r="H1" s="430" t="s">
        <v>1071</v>
      </c>
      <c r="I1" s="430" t="s">
        <v>141</v>
      </c>
      <c r="J1" s="436" t="s">
        <v>1907</v>
      </c>
      <c r="K1" s="437" t="s">
        <v>2115</v>
      </c>
      <c r="L1" s="438" t="s">
        <v>2116</v>
      </c>
      <c r="M1" s="430" t="s">
        <v>110</v>
      </c>
      <c r="N1" s="430" t="s">
        <v>2017</v>
      </c>
      <c r="O1" s="430" t="s">
        <v>114</v>
      </c>
      <c r="P1" s="430" t="s">
        <v>2117</v>
      </c>
      <c r="Q1" s="430" t="s">
        <v>2118</v>
      </c>
      <c r="R1" s="430" t="s">
        <v>1961</v>
      </c>
      <c r="S1" s="430" t="s">
        <v>1958</v>
      </c>
      <c r="T1" s="430" t="s">
        <v>1955</v>
      </c>
      <c r="U1" s="430" t="s">
        <v>1944</v>
      </c>
      <c r="V1" s="430" t="s">
        <v>1926</v>
      </c>
      <c r="W1" s="430" t="s">
        <v>1927</v>
      </c>
      <c r="X1" s="430" t="s">
        <v>1940</v>
      </c>
      <c r="Y1" s="430" t="s">
        <v>1952</v>
      </c>
      <c r="Z1" s="430" t="s">
        <v>2119</v>
      </c>
      <c r="AA1" s="430" t="s">
        <v>1949</v>
      </c>
      <c r="AB1" s="458" t="s">
        <v>1977</v>
      </c>
      <c r="AC1" s="430" t="s">
        <v>1964</v>
      </c>
      <c r="AD1" s="458" t="s">
        <v>1928</v>
      </c>
      <c r="AE1" s="458" t="s">
        <v>1929</v>
      </c>
      <c r="AF1" s="458" t="s">
        <v>1930</v>
      </c>
      <c r="AG1" s="458" t="s">
        <v>1931</v>
      </c>
      <c r="AH1" s="458" t="s">
        <v>1932</v>
      </c>
      <c r="AI1" s="458" t="s">
        <v>2120</v>
      </c>
      <c r="AJ1" s="458" t="s">
        <v>2121</v>
      </c>
      <c r="AK1" s="1836" t="s">
        <v>2122</v>
      </c>
      <c r="AL1" s="1837"/>
      <c r="AM1" s="1836" t="s">
        <v>2123</v>
      </c>
      <c r="AN1" s="1838"/>
      <c r="AO1" s="1837"/>
      <c r="AP1" s="1839" t="s">
        <v>167</v>
      </c>
      <c r="AQ1" s="1764" t="s">
        <v>170</v>
      </c>
      <c r="AR1" s="1843" t="s">
        <v>2124</v>
      </c>
      <c r="AS1" s="1844"/>
      <c r="AT1" s="1842" t="s">
        <v>2125</v>
      </c>
      <c r="AU1" s="1832" t="s">
        <v>2126</v>
      </c>
      <c r="AV1" s="1833"/>
      <c r="AW1" s="1833"/>
      <c r="AX1" s="1833"/>
      <c r="AY1" s="1834"/>
      <c r="AZ1" s="1835" t="s">
        <v>176</v>
      </c>
      <c r="BA1" s="1833"/>
      <c r="BB1" s="1834"/>
      <c r="BC1" s="362" t="s">
        <v>299</v>
      </c>
      <c r="BD1" s="362" t="s">
        <v>2127</v>
      </c>
      <c r="BE1" s="388" t="s">
        <v>1917</v>
      </c>
      <c r="BF1" s="362" t="s">
        <v>1871</v>
      </c>
      <c r="BG1" s="362" t="s">
        <v>2128</v>
      </c>
      <c r="BH1" s="362" t="s">
        <v>2129</v>
      </c>
      <c r="BI1" s="362" t="s">
        <v>2130</v>
      </c>
      <c r="BJ1" s="362" t="s">
        <v>2131</v>
      </c>
      <c r="BK1" s="362" t="s">
        <v>2132</v>
      </c>
      <c r="BL1" s="362" t="s">
        <v>2133</v>
      </c>
      <c r="BM1" s="362" t="s">
        <v>2134</v>
      </c>
    </row>
    <row r="2" spans="1:65" ht="25.8" thickBot="1" x14ac:dyDescent="0.35">
      <c r="A2" s="430" t="s">
        <v>1082</v>
      </c>
      <c r="B2" s="431" t="s">
        <v>222</v>
      </c>
      <c r="C2" s="431" t="s">
        <v>222</v>
      </c>
      <c r="D2" s="431" t="s">
        <v>99</v>
      </c>
      <c r="E2" s="431">
        <v>0.5</v>
      </c>
      <c r="F2" s="431" t="s">
        <v>1222</v>
      </c>
      <c r="G2" s="431" t="s">
        <v>2135</v>
      </c>
      <c r="H2" s="431" t="s">
        <v>1906</v>
      </c>
      <c r="I2" s="431" t="s">
        <v>338</v>
      </c>
      <c r="J2" s="1435" t="s">
        <v>2136</v>
      </c>
      <c r="K2" s="1436">
        <v>1</v>
      </c>
      <c r="L2" s="1552">
        <v>0</v>
      </c>
      <c r="M2" s="431" t="s">
        <v>135</v>
      </c>
      <c r="N2" s="431" t="s">
        <v>136</v>
      </c>
      <c r="O2" s="431">
        <v>150</v>
      </c>
      <c r="P2" s="431" t="s">
        <v>1943</v>
      </c>
      <c r="Q2" s="431" t="s">
        <v>1993</v>
      </c>
      <c r="R2" s="431" t="s">
        <v>1970</v>
      </c>
      <c r="S2" s="431" t="s">
        <v>1959</v>
      </c>
      <c r="T2" s="431" t="s">
        <v>1981</v>
      </c>
      <c r="U2" s="431" t="s">
        <v>1945</v>
      </c>
      <c r="V2" s="432" t="s">
        <v>1947</v>
      </c>
      <c r="W2" s="432" t="s">
        <v>1991</v>
      </c>
      <c r="X2" s="432" t="s">
        <v>1941</v>
      </c>
      <c r="Y2" s="432" t="s">
        <v>1953</v>
      </c>
      <c r="Z2" s="432" t="s">
        <v>1984</v>
      </c>
      <c r="AA2" s="431" t="s">
        <v>1985</v>
      </c>
      <c r="AB2" s="431" t="s">
        <v>1978</v>
      </c>
      <c r="AC2" s="501" t="s">
        <v>1965</v>
      </c>
      <c r="AD2" s="1437" t="s">
        <v>1934</v>
      </c>
      <c r="AE2" s="1437" t="s">
        <v>1934</v>
      </c>
      <c r="AF2" s="1437" t="s">
        <v>1934</v>
      </c>
      <c r="AG2" s="1437" t="s">
        <v>1934</v>
      </c>
      <c r="AH2" s="1437" t="s">
        <v>1934</v>
      </c>
      <c r="AI2" s="1437" t="s">
        <v>1934</v>
      </c>
      <c r="AJ2" s="1437" t="s">
        <v>2137</v>
      </c>
      <c r="AK2" s="436" t="s">
        <v>2138</v>
      </c>
      <c r="AL2" s="438" t="s">
        <v>2139</v>
      </c>
      <c r="AM2" s="424" t="s">
        <v>2138</v>
      </c>
      <c r="AN2" s="439" t="s">
        <v>2139</v>
      </c>
      <c r="AO2" s="440" t="s">
        <v>2140</v>
      </c>
      <c r="AP2" s="1840"/>
      <c r="AQ2" s="1841"/>
      <c r="AR2" s="426" t="s">
        <v>1676</v>
      </c>
      <c r="AS2" s="441" t="s">
        <v>312</v>
      </c>
      <c r="AT2" s="1831"/>
      <c r="AU2" s="482"/>
      <c r="AV2" s="483" t="s">
        <v>180</v>
      </c>
      <c r="AW2" s="483" t="s">
        <v>2141</v>
      </c>
      <c r="AX2" s="483" t="s">
        <v>2142</v>
      </c>
      <c r="AY2" s="484" t="s">
        <v>198</v>
      </c>
      <c r="AZ2" s="485"/>
      <c r="BA2" s="483" t="s">
        <v>177</v>
      </c>
      <c r="BB2" s="484" t="s">
        <v>2143</v>
      </c>
      <c r="BC2" s="427" t="s">
        <v>2144</v>
      </c>
      <c r="BD2" s="427" t="s">
        <v>2145</v>
      </c>
      <c r="BE2" s="1553" t="s">
        <v>1937</v>
      </c>
      <c r="BF2" s="428" t="s">
        <v>2069</v>
      </c>
      <c r="BG2" s="427" t="s">
        <v>1690</v>
      </c>
      <c r="BH2" s="428" t="str">
        <f>IF('Piping Class'!A4="","X",'Piping Class'!A4)</f>
        <v>CS-150#</v>
      </c>
      <c r="BI2" s="427" t="s">
        <v>96</v>
      </c>
      <c r="BJ2" s="428" t="s">
        <v>418</v>
      </c>
      <c r="BK2" s="428" t="str">
        <f>IF('Piping Class'!A106="","X",'Piping Class'!A106)</f>
        <v>Cycle 1</v>
      </c>
      <c r="BL2" s="428">
        <v>0</v>
      </c>
      <c r="BM2" s="428">
        <v>0</v>
      </c>
    </row>
    <row r="3" spans="1:65" ht="29.4" thickBot="1" x14ac:dyDescent="0.35">
      <c r="A3" s="431">
        <v>0.125</v>
      </c>
      <c r="B3" s="425" t="s">
        <v>1661</v>
      </c>
      <c r="C3" s="425" t="s">
        <v>228</v>
      </c>
      <c r="D3" s="1360" t="s">
        <v>102</v>
      </c>
      <c r="E3" s="1360">
        <v>0.75</v>
      </c>
      <c r="F3" s="1360" t="s">
        <v>388</v>
      </c>
      <c r="G3" s="425" t="s">
        <v>2146</v>
      </c>
      <c r="H3" s="425" t="s">
        <v>2147</v>
      </c>
      <c r="I3" s="425" t="s">
        <v>345</v>
      </c>
      <c r="J3" s="1554" t="s">
        <v>2148</v>
      </c>
      <c r="K3" s="1555">
        <v>2</v>
      </c>
      <c r="L3" s="1556">
        <v>0</v>
      </c>
      <c r="M3" s="1360" t="s">
        <v>155</v>
      </c>
      <c r="N3" s="1360" t="s">
        <v>2149</v>
      </c>
      <c r="O3" s="1360">
        <v>300</v>
      </c>
      <c r="P3" s="1360" t="s">
        <v>1946</v>
      </c>
      <c r="Q3" s="1360" t="s">
        <v>1995</v>
      </c>
      <c r="R3" s="425" t="s">
        <v>1962</v>
      </c>
      <c r="S3" s="1360" t="s">
        <v>1971</v>
      </c>
      <c r="T3" s="1360" t="s">
        <v>1956</v>
      </c>
      <c r="U3" s="425" t="s">
        <v>2009</v>
      </c>
      <c r="V3" s="503"/>
      <c r="W3" s="503"/>
      <c r="AA3" s="425" t="s">
        <v>1950</v>
      </c>
      <c r="AB3" s="425" t="s">
        <v>1987</v>
      </c>
      <c r="AC3" s="1361" t="s">
        <v>1968</v>
      </c>
      <c r="AD3" s="500" t="s">
        <v>1933</v>
      </c>
      <c r="AE3" s="500" t="s">
        <v>1933</v>
      </c>
      <c r="AF3" s="500" t="s">
        <v>1933</v>
      </c>
      <c r="AG3" s="500" t="s">
        <v>1933</v>
      </c>
      <c r="AH3" s="500" t="s">
        <v>1933</v>
      </c>
      <c r="AI3" s="500" t="s">
        <v>1933</v>
      </c>
      <c r="AJ3" s="500"/>
      <c r="AK3" s="1438" t="s">
        <v>2150</v>
      </c>
      <c r="AL3" s="1557">
        <v>0</v>
      </c>
      <c r="AM3" s="1439" t="s">
        <v>2151</v>
      </c>
      <c r="AN3" s="1440">
        <v>60</v>
      </c>
      <c r="AO3" s="1558" t="str">
        <f>IF(OR(AM3=0,AN3=0),"",CONCATENATE(AM3," Gr.",AN3))</f>
        <v>SA-516 Gr.60</v>
      </c>
      <c r="AP3" s="442" t="s">
        <v>168</v>
      </c>
      <c r="AQ3" s="1559" t="s">
        <v>361</v>
      </c>
      <c r="AR3" s="1441">
        <v>1</v>
      </c>
      <c r="AS3" s="1560">
        <v>25</v>
      </c>
      <c r="AT3" s="428" t="s">
        <v>2152</v>
      </c>
      <c r="AU3" s="1345" t="s">
        <v>180</v>
      </c>
      <c r="AV3" s="1561">
        <v>1</v>
      </c>
      <c r="AW3" s="1561">
        <v>14.503773800721815</v>
      </c>
      <c r="AX3" s="1561">
        <v>0.1</v>
      </c>
      <c r="AY3" s="1562">
        <v>0.1</v>
      </c>
      <c r="AZ3" s="1563" t="s">
        <v>177</v>
      </c>
      <c r="BA3" s="1561">
        <v>1</v>
      </c>
      <c r="BB3" s="1562"/>
      <c r="BC3" s="429" t="s">
        <v>2153</v>
      </c>
      <c r="BD3" s="429" t="s">
        <v>2154</v>
      </c>
      <c r="BE3" s="1551" t="s">
        <v>1936</v>
      </c>
      <c r="BF3" s="1357" t="str">
        <f>IF('Steel Structure List'!$A5="","X",'Steel Structure List'!$A5)</f>
        <v>SKID 1 MODULO PIANO 1</v>
      </c>
      <c r="BG3" s="429" t="s">
        <v>1691</v>
      </c>
      <c r="BH3" s="1357" t="str">
        <f>IF('Piping Class'!A5="","X",'Piping Class'!A5)</f>
        <v>SS-300#</v>
      </c>
      <c r="BI3" s="429" t="s">
        <v>2155</v>
      </c>
      <c r="BJ3" s="1357" t="s">
        <v>398</v>
      </c>
      <c r="BK3" s="1357" t="str">
        <f>IF('Piping Class'!A107="","X",'Piping Class'!A107)</f>
        <v>Cycle 2</v>
      </c>
      <c r="BL3" s="428">
        <v>30</v>
      </c>
      <c r="BM3" s="428">
        <v>50</v>
      </c>
    </row>
    <row r="4" spans="1:65" ht="29.4" thickBot="1" x14ac:dyDescent="0.35">
      <c r="A4" s="1360">
        <v>0.25</v>
      </c>
      <c r="D4" s="1360" t="s">
        <v>1900</v>
      </c>
      <c r="E4" s="1360">
        <v>1</v>
      </c>
      <c r="F4" s="425" t="s">
        <v>2156</v>
      </c>
      <c r="J4" s="1554" t="s">
        <v>1908</v>
      </c>
      <c r="K4" s="1555">
        <v>2</v>
      </c>
      <c r="L4" s="1556">
        <v>0</v>
      </c>
      <c r="M4" s="1360" t="s">
        <v>151</v>
      </c>
      <c r="N4" s="425"/>
      <c r="O4" s="1360">
        <v>600</v>
      </c>
      <c r="P4" s="1360" t="s">
        <v>1948</v>
      </c>
      <c r="Q4" s="1360" t="s">
        <v>1998</v>
      </c>
      <c r="S4" s="1360" t="s">
        <v>1972</v>
      </c>
      <c r="T4" s="1360" t="s">
        <v>1982</v>
      </c>
      <c r="AC4" s="1361" t="s">
        <v>1988</v>
      </c>
      <c r="AD4" s="445"/>
      <c r="AE4" s="445"/>
      <c r="AF4" s="445"/>
      <c r="AG4" s="445"/>
      <c r="AH4" s="445"/>
      <c r="AI4" s="445"/>
      <c r="AJ4" s="445"/>
      <c r="AK4" s="1564" t="s">
        <v>2157</v>
      </c>
      <c r="AL4" s="1565">
        <v>1</v>
      </c>
      <c r="AM4" s="1566" t="s">
        <v>2151</v>
      </c>
      <c r="AN4" s="1567">
        <v>65</v>
      </c>
      <c r="AO4" s="1568" t="str">
        <f t="shared" ref="AO4:AO20" si="0">IF(OR(AM4=0,AN4=0),"",CONCATENATE(AM4," Gr.",AN4))</f>
        <v>SA-516 Gr.65</v>
      </c>
      <c r="AP4" s="429" t="s">
        <v>2158</v>
      </c>
      <c r="AQ4" s="443" t="s">
        <v>171</v>
      </c>
      <c r="AR4" s="1347">
        <v>457</v>
      </c>
      <c r="AS4" s="1569">
        <v>30</v>
      </c>
      <c r="AT4" s="1357" t="s">
        <v>2159</v>
      </c>
      <c r="AU4" s="1570" t="s">
        <v>2141</v>
      </c>
      <c r="AV4" s="1571">
        <v>6.8947572799999995E-2</v>
      </c>
      <c r="AW4" s="1571">
        <v>1</v>
      </c>
      <c r="AX4" s="1571">
        <v>6.8947572800000002E-3</v>
      </c>
      <c r="AY4" s="1572">
        <v>6.8947572800000002E-3</v>
      </c>
      <c r="AZ4" s="1573" t="s">
        <v>2143</v>
      </c>
      <c r="BA4" s="1574"/>
      <c r="BB4" s="1575">
        <v>1</v>
      </c>
      <c r="BC4" s="481"/>
      <c r="BE4" s="443" t="s">
        <v>1721</v>
      </c>
      <c r="BF4" s="1357" t="str">
        <f>IF('Steel Structure List'!$A6="","X",'Steel Structure List'!$A6)</f>
        <v>SKID 1 MODULO PIANO 2</v>
      </c>
      <c r="BH4" s="1357" t="str">
        <f>IF('Piping Class'!A6="","X",'Piping Class'!A6)</f>
        <v>X</v>
      </c>
      <c r="BJ4" s="1357" t="s">
        <v>598</v>
      </c>
      <c r="BK4" s="1357" t="str">
        <f>IF('Piping Class'!A108="","X",'Piping Class'!A108)</f>
        <v>Cycle 3</v>
      </c>
      <c r="BL4" s="1357">
        <v>40</v>
      </c>
      <c r="BM4" s="1357">
        <v>80</v>
      </c>
    </row>
    <row r="5" spans="1:65" ht="29.4" thickBot="1" x14ac:dyDescent="0.35">
      <c r="A5" s="1360">
        <v>0.375</v>
      </c>
      <c r="D5" s="1360" t="s">
        <v>1901</v>
      </c>
      <c r="E5" s="1360">
        <v>1.5</v>
      </c>
      <c r="J5" s="1554" t="s">
        <v>2160</v>
      </c>
      <c r="K5" s="1555">
        <v>2</v>
      </c>
      <c r="L5" s="1556">
        <v>0</v>
      </c>
      <c r="M5" s="1360" t="s">
        <v>154</v>
      </c>
      <c r="O5" s="1360">
        <v>900</v>
      </c>
      <c r="P5" s="1360" t="s">
        <v>1951</v>
      </c>
      <c r="Q5" s="425" t="s">
        <v>2000</v>
      </c>
      <c r="S5" s="1360" t="s">
        <v>1973</v>
      </c>
      <c r="T5" s="425" t="s">
        <v>1983</v>
      </c>
      <c r="AC5" s="502" t="s">
        <v>2161</v>
      </c>
      <c r="AK5" s="1564" t="s">
        <v>2162</v>
      </c>
      <c r="AL5" s="1565">
        <v>2</v>
      </c>
      <c r="AM5" s="1566" t="s">
        <v>2151</v>
      </c>
      <c r="AN5" s="1567">
        <v>70</v>
      </c>
      <c r="AO5" s="1568" t="str">
        <f t="shared" si="0"/>
        <v>SA-516 Gr.70</v>
      </c>
      <c r="AR5" s="1496">
        <v>508</v>
      </c>
      <c r="AS5" s="1501">
        <v>32</v>
      </c>
      <c r="AT5" s="1357" t="s">
        <v>345</v>
      </c>
      <c r="AU5" s="1570" t="s">
        <v>2142</v>
      </c>
      <c r="AV5" s="1574">
        <v>10</v>
      </c>
      <c r="AW5" s="1574">
        <v>145.03773800721814</v>
      </c>
      <c r="AX5" s="1574">
        <v>1</v>
      </c>
      <c r="AY5" s="1575">
        <v>1</v>
      </c>
      <c r="AZ5" s="1573"/>
      <c r="BA5" s="1574"/>
      <c r="BB5" s="1575"/>
      <c r="BF5" s="1357" t="str">
        <f>IF('Steel Structure List'!$A7="","X",'Steel Structure List'!$A7)</f>
        <v>SKID 2 MODULO PIANO 1</v>
      </c>
      <c r="BH5" s="1357" t="str">
        <f>IF('Piping Class'!A7="","X",'Piping Class'!A7)</f>
        <v>X</v>
      </c>
      <c r="BJ5" s="1357" t="s">
        <v>400</v>
      </c>
      <c r="BK5" s="1357" t="str">
        <f>IF('Piping Class'!A109="","X",'Piping Class'!A109)</f>
        <v>X</v>
      </c>
      <c r="BL5" s="1357">
        <v>50</v>
      </c>
      <c r="BM5" s="1357">
        <v>100</v>
      </c>
    </row>
    <row r="6" spans="1:65" ht="15" thickBot="1" x14ac:dyDescent="0.35">
      <c r="A6" s="1360">
        <v>0.5</v>
      </c>
      <c r="D6" s="1360" t="s">
        <v>1899</v>
      </c>
      <c r="E6" s="1360">
        <v>2</v>
      </c>
      <c r="J6" s="1554" t="s">
        <v>318</v>
      </c>
      <c r="K6" s="1555">
        <v>1</v>
      </c>
      <c r="L6" s="1556">
        <v>1</v>
      </c>
      <c r="M6" s="1360" t="s">
        <v>2163</v>
      </c>
      <c r="O6" s="1360">
        <v>1500</v>
      </c>
      <c r="P6" s="1360" t="s">
        <v>1954</v>
      </c>
      <c r="Q6" s="503"/>
      <c r="S6" s="1360" t="s">
        <v>1974</v>
      </c>
      <c r="AK6" s="1564" t="s">
        <v>2164</v>
      </c>
      <c r="AL6" s="1565">
        <v>3</v>
      </c>
      <c r="AM6" s="1566" t="s">
        <v>2165</v>
      </c>
      <c r="AN6" s="1567" t="s">
        <v>2166</v>
      </c>
      <c r="AO6" s="1568" t="str">
        <f t="shared" si="0"/>
        <v>SA-240 Gr.316L</v>
      </c>
      <c r="AR6" s="1496">
        <v>610</v>
      </c>
      <c r="AS6" s="1501">
        <v>40</v>
      </c>
      <c r="AT6" s="1357" t="s">
        <v>2167</v>
      </c>
      <c r="AU6" s="482" t="s">
        <v>198</v>
      </c>
      <c r="AV6" s="483">
        <v>10</v>
      </c>
      <c r="AW6" s="483">
        <v>145.03773800721814</v>
      </c>
      <c r="AX6" s="483">
        <v>1</v>
      </c>
      <c r="AY6" s="484">
        <v>1</v>
      </c>
      <c r="AZ6" s="485"/>
      <c r="BA6" s="483"/>
      <c r="BB6" s="484"/>
      <c r="BF6" s="1357" t="str">
        <f>IF('Steel Structure List'!$A8="","X",'Steel Structure List'!$A8)</f>
        <v>X</v>
      </c>
      <c r="BH6" s="1357" t="str">
        <f>IF('Piping Class'!A8="","X",'Piping Class'!A8)</f>
        <v>X</v>
      </c>
      <c r="BJ6" s="1357" t="s">
        <v>394</v>
      </c>
      <c r="BK6" s="1357" t="str">
        <f>IF('Piping Class'!A110="","X",'Piping Class'!A110)</f>
        <v>X</v>
      </c>
      <c r="BL6" s="1357">
        <v>60</v>
      </c>
      <c r="BM6" s="1357">
        <v>110</v>
      </c>
    </row>
    <row r="7" spans="1:65" ht="15" thickBot="1" x14ac:dyDescent="0.35">
      <c r="A7" s="1360">
        <v>0.75</v>
      </c>
      <c r="E7" s="1360">
        <v>2.5</v>
      </c>
      <c r="J7" s="1554" t="s">
        <v>1909</v>
      </c>
      <c r="K7" s="1555">
        <v>3</v>
      </c>
      <c r="L7" s="1556">
        <v>0</v>
      </c>
      <c r="M7" s="1360" t="s">
        <v>147</v>
      </c>
      <c r="O7" s="425">
        <v>2500</v>
      </c>
      <c r="P7" s="1360" t="s">
        <v>1957</v>
      </c>
      <c r="Q7" s="503"/>
      <c r="S7" s="1360" t="s">
        <v>1975</v>
      </c>
      <c r="AK7" s="1564" t="s">
        <v>2168</v>
      </c>
      <c r="AL7" s="1565">
        <v>4</v>
      </c>
      <c r="AM7" s="1566" t="s">
        <v>2169</v>
      </c>
      <c r="AN7" s="1567" t="s">
        <v>1864</v>
      </c>
      <c r="AO7" s="1568" t="str">
        <f t="shared" si="0"/>
        <v>SA-106 Gr.B</v>
      </c>
      <c r="AR7" s="1496">
        <v>680</v>
      </c>
      <c r="AS7" s="1501">
        <v>45</v>
      </c>
      <c r="AT7" s="1357" t="s">
        <v>338</v>
      </c>
      <c r="BF7" s="1357" t="str">
        <f>IF('Steel Structure List'!$A9="","X",'Steel Structure List'!$A9)</f>
        <v>X</v>
      </c>
      <c r="BH7" s="1357" t="str">
        <f>IF('Piping Class'!A9="","X",'Piping Class'!A9)</f>
        <v>X</v>
      </c>
      <c r="BJ7" s="1357" t="s">
        <v>396</v>
      </c>
      <c r="BK7" s="1357" t="str">
        <f>IF('Piping Class'!A111="","X",'Piping Class'!A111)</f>
        <v>X</v>
      </c>
      <c r="BL7" s="1357">
        <v>70</v>
      </c>
      <c r="BM7" s="1357">
        <v>130</v>
      </c>
    </row>
    <row r="8" spans="1:65" ht="15" thickBot="1" x14ac:dyDescent="0.35">
      <c r="A8" s="1360">
        <v>1</v>
      </c>
      <c r="E8" s="1360">
        <v>3</v>
      </c>
      <c r="J8" s="433" t="s">
        <v>2170</v>
      </c>
      <c r="K8" s="434">
        <v>2</v>
      </c>
      <c r="L8" s="435">
        <v>1</v>
      </c>
      <c r="M8" s="1360" t="s">
        <v>162</v>
      </c>
      <c r="P8" s="1360" t="s">
        <v>1960</v>
      </c>
      <c r="Q8" s="503"/>
      <c r="S8" s="1360" t="s">
        <v>1976</v>
      </c>
      <c r="AK8" s="1564" t="s">
        <v>2171</v>
      </c>
      <c r="AL8" s="1565">
        <v>5</v>
      </c>
      <c r="AM8" s="1566" t="s">
        <v>2172</v>
      </c>
      <c r="AN8" s="1567">
        <v>6</v>
      </c>
      <c r="AO8" s="1568" t="str">
        <f t="shared" si="0"/>
        <v>SA-333 Gr.6</v>
      </c>
      <c r="AR8" s="1496">
        <v>750</v>
      </c>
      <c r="AS8" s="1501">
        <v>52</v>
      </c>
      <c r="AT8" s="429" t="s">
        <v>360</v>
      </c>
      <c r="BF8" s="1357" t="str">
        <f>IF('Steel Structure List'!$A10="","X",'Steel Structure List'!$A10)</f>
        <v>X</v>
      </c>
      <c r="BH8" s="1357" t="str">
        <f>IF('Piping Class'!A10="","X",'Piping Class'!A10)</f>
        <v>X</v>
      </c>
      <c r="BJ8" s="1357" t="s">
        <v>863</v>
      </c>
      <c r="BK8" s="1357" t="str">
        <f>IF('Piping Class'!A112="","X",'Piping Class'!A112)</f>
        <v>X</v>
      </c>
      <c r="BL8" s="1357">
        <v>80</v>
      </c>
      <c r="BM8" s="1357">
        <v>140</v>
      </c>
    </row>
    <row r="9" spans="1:65" x14ac:dyDescent="0.3">
      <c r="A9" s="1360">
        <v>1.25</v>
      </c>
      <c r="E9" s="1360">
        <v>4</v>
      </c>
      <c r="P9" s="1360" t="s">
        <v>1963</v>
      </c>
      <c r="Q9" s="503"/>
      <c r="S9" s="1360" t="s">
        <v>1979</v>
      </c>
      <c r="AK9" s="1564" t="s">
        <v>2173</v>
      </c>
      <c r="AL9" s="1565">
        <v>6</v>
      </c>
      <c r="AM9" s="1566" t="s">
        <v>2174</v>
      </c>
      <c r="AN9" s="1567" t="s">
        <v>2175</v>
      </c>
      <c r="AO9" s="1568" t="str">
        <f t="shared" si="0"/>
        <v>SA-234 Gr.WPB</v>
      </c>
      <c r="AR9" s="1496">
        <v>820</v>
      </c>
      <c r="AS9" s="1501">
        <v>57</v>
      </c>
      <c r="BF9" s="1357" t="str">
        <f>IF('Steel Structure List'!$A11="","X",'Steel Structure List'!$A11)</f>
        <v>X</v>
      </c>
      <c r="BH9" s="1357" t="str">
        <f>IF('Piping Class'!A11="","X",'Piping Class'!A11)</f>
        <v>X</v>
      </c>
      <c r="BJ9" s="1357" t="s">
        <v>382</v>
      </c>
      <c r="BK9" s="1357" t="str">
        <f>IF('Piping Class'!A113="","X",'Piping Class'!A113)</f>
        <v>X</v>
      </c>
      <c r="BL9" s="1357">
        <v>90</v>
      </c>
      <c r="BM9" s="1357">
        <v>160</v>
      </c>
    </row>
    <row r="10" spans="1:65" x14ac:dyDescent="0.3">
      <c r="A10" s="1360">
        <v>1.5</v>
      </c>
      <c r="E10" s="1360">
        <v>6</v>
      </c>
      <c r="P10" s="1360" t="s">
        <v>1966</v>
      </c>
      <c r="Q10" s="503"/>
      <c r="S10" s="1360" t="s">
        <v>1980</v>
      </c>
      <c r="AK10" s="1564" t="s">
        <v>2176</v>
      </c>
      <c r="AL10" s="1565">
        <v>7</v>
      </c>
      <c r="AM10" s="1566" t="s">
        <v>2177</v>
      </c>
      <c r="AN10" s="1567" t="s">
        <v>1864</v>
      </c>
      <c r="AO10" s="1568" t="str">
        <f t="shared" si="0"/>
        <v>SA-533 Gr.B</v>
      </c>
      <c r="AR10" s="1496">
        <v>920</v>
      </c>
      <c r="AS10" s="1501">
        <v>62</v>
      </c>
      <c r="BF10" s="1357" t="str">
        <f>IF('Steel Structure List'!$A12="","X",'Steel Structure List'!$A12)</f>
        <v>X</v>
      </c>
      <c r="BH10" s="1357" t="str">
        <f>IF('Piping Class'!A12="","X",'Piping Class'!A12)</f>
        <v>X</v>
      </c>
      <c r="BJ10" s="1357" t="s">
        <v>376</v>
      </c>
      <c r="BK10" s="1357" t="str">
        <f>IF('Piping Class'!A114="","X",'Piping Class'!A114)</f>
        <v>X</v>
      </c>
      <c r="BL10" s="1357">
        <v>100</v>
      </c>
    </row>
    <row r="11" spans="1:65" x14ac:dyDescent="0.3">
      <c r="A11" s="1360">
        <v>2</v>
      </c>
      <c r="E11" s="1360">
        <v>8</v>
      </c>
      <c r="P11" s="1360" t="s">
        <v>1967</v>
      </c>
      <c r="Q11" s="503"/>
      <c r="R11" s="503"/>
      <c r="S11" s="764" t="s">
        <v>2006</v>
      </c>
      <c r="AK11" s="1564" t="s">
        <v>2178</v>
      </c>
      <c r="AL11" s="1565">
        <v>8</v>
      </c>
      <c r="AM11" s="1566" t="s">
        <v>2169</v>
      </c>
      <c r="AN11" s="1567">
        <v>3</v>
      </c>
      <c r="AO11" s="1568" t="str">
        <f t="shared" si="0"/>
        <v>SA-106 Gr.3</v>
      </c>
      <c r="AR11" s="1496">
        <v>1050</v>
      </c>
      <c r="AS11" s="1501">
        <v>78</v>
      </c>
      <c r="BF11" s="1357" t="str">
        <f>IF('Steel Structure List'!$A13="","X",'Steel Structure List'!$A13)</f>
        <v>X</v>
      </c>
      <c r="BH11" s="1357" t="str">
        <f>IF('Piping Class'!A13="","X",'Piping Class'!A13)</f>
        <v>X</v>
      </c>
      <c r="BJ11" s="1357" t="s">
        <v>379</v>
      </c>
      <c r="BK11" s="1357" t="str">
        <f>IF('Piping Class'!A115="","X",'Piping Class'!A115)</f>
        <v>X</v>
      </c>
    </row>
    <row r="12" spans="1:65" ht="15" thickBot="1" x14ac:dyDescent="0.35">
      <c r="A12" s="1360">
        <v>2.5</v>
      </c>
      <c r="E12" s="1360">
        <v>10</v>
      </c>
      <c r="P12" s="425" t="s">
        <v>1969</v>
      </c>
      <c r="Q12" s="503"/>
      <c r="S12" s="763" t="s">
        <v>2003</v>
      </c>
      <c r="AK12" s="1564" t="s">
        <v>2179</v>
      </c>
      <c r="AL12" s="1565">
        <v>9</v>
      </c>
      <c r="AM12" s="1566" t="s">
        <v>2177</v>
      </c>
      <c r="AN12" s="1567" t="s">
        <v>2180</v>
      </c>
      <c r="AO12" s="1568" t="str">
        <f t="shared" si="0"/>
        <v>SA-533 Gr.B, Cl. 3</v>
      </c>
      <c r="AR12" s="1496">
        <v>1200</v>
      </c>
      <c r="AS12" s="1501">
        <v>100</v>
      </c>
      <c r="BF12" s="1357" t="str">
        <f>IF('Steel Structure List'!$A14="","X",'Steel Structure List'!$A14)</f>
        <v>X</v>
      </c>
      <c r="BH12" s="1357" t="str">
        <f>IF('Piping Class'!A14="","X",'Piping Class'!A14)</f>
        <v>X</v>
      </c>
      <c r="BJ12" s="1357" t="s">
        <v>410</v>
      </c>
      <c r="BK12" s="1357" t="str">
        <f>IF('Piping Class'!A116="","X",'Piping Class'!A116)</f>
        <v>X</v>
      </c>
    </row>
    <row r="13" spans="1:65" x14ac:dyDescent="0.3">
      <c r="A13" s="1360">
        <v>3</v>
      </c>
      <c r="E13" s="1360">
        <v>12</v>
      </c>
      <c r="AK13" s="1564" t="s">
        <v>2181</v>
      </c>
      <c r="AL13" s="1565">
        <v>11</v>
      </c>
      <c r="AM13" s="1566" t="s">
        <v>2165</v>
      </c>
      <c r="AN13" s="1567" t="s">
        <v>2182</v>
      </c>
      <c r="AO13" s="1568" t="str">
        <f t="shared" si="0"/>
        <v>SA-240 Gr.316Ti</v>
      </c>
      <c r="AR13" s="1496">
        <v>1300</v>
      </c>
      <c r="AS13" s="1501">
        <v>115</v>
      </c>
      <c r="BF13" s="1357" t="str">
        <f>IF('Steel Structure List'!$A15="","X",'Steel Structure List'!$A15)</f>
        <v>X</v>
      </c>
      <c r="BH13" s="1357" t="str">
        <f>IF('Piping Class'!A15="","X",'Piping Class'!A15)</f>
        <v>X</v>
      </c>
      <c r="BJ13" s="1357" t="s">
        <v>1010</v>
      </c>
      <c r="BK13" s="1357" t="str">
        <f>IF('Piping Class'!A117="","X",'Piping Class'!A117)</f>
        <v>X</v>
      </c>
    </row>
    <row r="14" spans="1:65" x14ac:dyDescent="0.3">
      <c r="A14" s="1360">
        <v>3.5</v>
      </c>
      <c r="E14" s="1360">
        <v>14</v>
      </c>
      <c r="AK14" s="1564" t="s">
        <v>2169</v>
      </c>
      <c r="AL14" s="1565">
        <v>12</v>
      </c>
      <c r="AM14" s="1566"/>
      <c r="AN14" s="1567"/>
      <c r="AO14" s="1568" t="str">
        <f t="shared" si="0"/>
        <v/>
      </c>
      <c r="AR14" s="1496">
        <v>1450</v>
      </c>
      <c r="AS14" s="1501">
        <v>130</v>
      </c>
      <c r="BF14" s="1357" t="str">
        <f>IF('Steel Structure List'!$A16="","X",'Steel Structure List'!$A16)</f>
        <v>X</v>
      </c>
      <c r="BH14" s="1357" t="str">
        <f>IF('Piping Class'!A16="","X",'Piping Class'!A16)</f>
        <v>X</v>
      </c>
      <c r="BJ14" s="1357" t="s">
        <v>1034</v>
      </c>
      <c r="BK14" s="1357" t="str">
        <f>IF('Piping Class'!A118="","X",'Piping Class'!A118)</f>
        <v>Insulated</v>
      </c>
    </row>
    <row r="15" spans="1:65" x14ac:dyDescent="0.3">
      <c r="A15" s="1360">
        <v>4</v>
      </c>
      <c r="E15" s="1360">
        <v>16</v>
      </c>
      <c r="AK15" s="1564" t="s">
        <v>2183</v>
      </c>
      <c r="AL15" s="1565">
        <v>16</v>
      </c>
      <c r="AM15" s="1566"/>
      <c r="AN15" s="1567"/>
      <c r="AO15" s="1568" t="str">
        <f t="shared" si="0"/>
        <v/>
      </c>
      <c r="AR15" s="1496">
        <v>1600</v>
      </c>
      <c r="AS15" s="1501">
        <v>155</v>
      </c>
      <c r="BF15" s="1357" t="str">
        <f>IF('Steel Structure List'!$A17="","X",'Steel Structure List'!$A17)</f>
        <v>X</v>
      </c>
      <c r="BJ15" s="1357" t="s">
        <v>402</v>
      </c>
    </row>
    <row r="16" spans="1:65" x14ac:dyDescent="0.3">
      <c r="A16" s="1360">
        <v>5</v>
      </c>
      <c r="E16" s="1360">
        <v>18</v>
      </c>
      <c r="AK16" s="1564" t="s">
        <v>2184</v>
      </c>
      <c r="AL16" s="1565">
        <v>21</v>
      </c>
      <c r="AM16" s="1566"/>
      <c r="AN16" s="1567"/>
      <c r="AO16" s="1568" t="str">
        <f t="shared" si="0"/>
        <v/>
      </c>
      <c r="AR16" s="1496">
        <v>1800</v>
      </c>
      <c r="AS16" s="1501">
        <v>175</v>
      </c>
      <c r="BF16" s="1357" t="str">
        <f>IF('Steel Structure List'!$A18="","X",'Steel Structure List'!$A18)</f>
        <v>X</v>
      </c>
      <c r="BJ16" s="1357" t="s">
        <v>1060</v>
      </c>
    </row>
    <row r="17" spans="1:58" x14ac:dyDescent="0.3">
      <c r="A17" s="1360">
        <v>6</v>
      </c>
      <c r="E17" s="1360">
        <v>20</v>
      </c>
      <c r="AK17" s="1564" t="s">
        <v>2185</v>
      </c>
      <c r="AL17" s="1565">
        <v>22</v>
      </c>
      <c r="AM17" s="1566"/>
      <c r="AN17" s="1567"/>
      <c r="AO17" s="1568" t="str">
        <f t="shared" si="0"/>
        <v/>
      </c>
      <c r="AR17" s="1496">
        <v>2000</v>
      </c>
      <c r="AS17" s="1501">
        <v>200</v>
      </c>
      <c r="BF17" s="1357" t="str">
        <f>IF('Steel Structure List'!$A19="","X",'Steel Structure List'!$A19)</f>
        <v>X</v>
      </c>
    </row>
    <row r="18" spans="1:58" x14ac:dyDescent="0.3">
      <c r="A18" s="1360">
        <v>8</v>
      </c>
      <c r="E18" s="1360">
        <v>22</v>
      </c>
      <c r="AK18" s="1564" t="s">
        <v>2186</v>
      </c>
      <c r="AL18" s="1565">
        <v>40</v>
      </c>
      <c r="AM18" s="1566"/>
      <c r="AN18" s="1567"/>
      <c r="AO18" s="1568" t="str">
        <f t="shared" si="0"/>
        <v/>
      </c>
      <c r="AR18" s="1496">
        <v>2150</v>
      </c>
      <c r="AS18" s="1501">
        <v>250</v>
      </c>
    </row>
    <row r="19" spans="1:58" x14ac:dyDescent="0.3">
      <c r="A19" s="1360">
        <v>10</v>
      </c>
      <c r="E19" s="1360">
        <v>24</v>
      </c>
      <c r="AK19" s="1564" t="s">
        <v>2187</v>
      </c>
      <c r="AL19" s="1565">
        <v>45</v>
      </c>
      <c r="AM19" s="1566"/>
      <c r="AN19" s="1567"/>
      <c r="AO19" s="1568" t="str">
        <f t="shared" si="0"/>
        <v/>
      </c>
      <c r="AR19" s="1496">
        <v>2300</v>
      </c>
      <c r="AS19" s="1501">
        <v>275</v>
      </c>
    </row>
    <row r="20" spans="1:58" ht="15" thickBot="1" x14ac:dyDescent="0.35">
      <c r="A20" s="1360">
        <v>12</v>
      </c>
      <c r="E20" s="1360">
        <v>26</v>
      </c>
      <c r="AK20" s="1564" t="s">
        <v>2188</v>
      </c>
      <c r="AL20" s="1565">
        <v>50</v>
      </c>
      <c r="AM20" s="716"/>
      <c r="AN20" s="717"/>
      <c r="AO20" s="444" t="str">
        <f t="shared" si="0"/>
        <v/>
      </c>
      <c r="AR20" s="1496">
        <v>2450</v>
      </c>
      <c r="AS20" s="1501">
        <v>290</v>
      </c>
    </row>
    <row r="21" spans="1:58" x14ac:dyDescent="0.3">
      <c r="A21" s="1360">
        <v>14</v>
      </c>
      <c r="E21" s="1360">
        <v>28</v>
      </c>
      <c r="AK21" s="1564" t="s">
        <v>2189</v>
      </c>
      <c r="AL21" s="1565">
        <v>55</v>
      </c>
      <c r="AR21" s="1496">
        <v>2600</v>
      </c>
      <c r="AS21" s="1501">
        <v>325</v>
      </c>
    </row>
    <row r="22" spans="1:58" x14ac:dyDescent="0.3">
      <c r="A22" s="1360">
        <v>16</v>
      </c>
      <c r="E22" s="1360">
        <v>30</v>
      </c>
      <c r="AK22" s="1564" t="s">
        <v>2190</v>
      </c>
      <c r="AL22" s="1565">
        <v>60</v>
      </c>
      <c r="AR22" s="1496">
        <v>2800</v>
      </c>
      <c r="AS22" s="1501">
        <v>355</v>
      </c>
    </row>
    <row r="23" spans="1:58" x14ac:dyDescent="0.3">
      <c r="A23" s="1360">
        <v>18</v>
      </c>
      <c r="E23" s="1360">
        <v>32</v>
      </c>
      <c r="AK23" s="1564" t="s">
        <v>2191</v>
      </c>
      <c r="AL23" s="1565">
        <v>65</v>
      </c>
      <c r="AR23" s="1496">
        <v>3000</v>
      </c>
      <c r="AS23" s="1501">
        <v>390</v>
      </c>
    </row>
    <row r="24" spans="1:58" x14ac:dyDescent="0.3">
      <c r="A24" s="1360">
        <v>20</v>
      </c>
      <c r="E24" s="1360">
        <v>34</v>
      </c>
      <c r="AK24" s="1564" t="s">
        <v>2192</v>
      </c>
      <c r="AL24" s="1565">
        <v>70</v>
      </c>
      <c r="AR24" s="1496">
        <v>3200</v>
      </c>
      <c r="AS24" s="1501">
        <v>465</v>
      </c>
    </row>
    <row r="25" spans="1:58" x14ac:dyDescent="0.3">
      <c r="A25" s="1360">
        <v>22</v>
      </c>
      <c r="E25" s="1360">
        <v>36</v>
      </c>
      <c r="AK25" s="1564" t="s">
        <v>2193</v>
      </c>
      <c r="AL25" s="1565">
        <v>91</v>
      </c>
      <c r="AR25" s="1496">
        <v>3400</v>
      </c>
      <c r="AS25" s="1501">
        <v>510</v>
      </c>
    </row>
    <row r="26" spans="1:58" x14ac:dyDescent="0.3">
      <c r="A26" s="1360">
        <v>24</v>
      </c>
      <c r="E26" s="1360">
        <v>38</v>
      </c>
      <c r="AK26" s="1564" t="s">
        <v>2194</v>
      </c>
      <c r="AL26" s="1565">
        <v>204</v>
      </c>
      <c r="AR26" s="1496">
        <v>3600</v>
      </c>
      <c r="AS26" s="1501">
        <v>550</v>
      </c>
    </row>
    <row r="27" spans="1:58" x14ac:dyDescent="0.3">
      <c r="A27" s="1360">
        <v>26</v>
      </c>
      <c r="E27" s="1360">
        <v>40</v>
      </c>
      <c r="AK27" s="1564" t="s">
        <v>2195</v>
      </c>
      <c r="AL27" s="1565">
        <v>255</v>
      </c>
      <c r="AR27" s="1496">
        <v>3800</v>
      </c>
      <c r="AS27" s="1501">
        <v>615</v>
      </c>
    </row>
    <row r="28" spans="1:58" ht="15" thickBot="1" x14ac:dyDescent="0.35">
      <c r="A28" s="1360">
        <v>28</v>
      </c>
      <c r="E28" s="1360">
        <v>42</v>
      </c>
      <c r="AK28" s="1564" t="s">
        <v>2196</v>
      </c>
      <c r="AL28" s="1565">
        <v>301</v>
      </c>
      <c r="AR28" s="448">
        <v>4000</v>
      </c>
      <c r="AS28" s="449">
        <v>670</v>
      </c>
    </row>
    <row r="29" spans="1:58" x14ac:dyDescent="0.3">
      <c r="A29" s="1360">
        <v>30</v>
      </c>
      <c r="E29" s="1360">
        <v>44</v>
      </c>
      <c r="AK29" s="1564" t="s">
        <v>2197</v>
      </c>
      <c r="AL29" s="1565">
        <v>302</v>
      </c>
    </row>
    <row r="30" spans="1:58" x14ac:dyDescent="0.3">
      <c r="A30" s="1360">
        <v>32</v>
      </c>
      <c r="E30" s="1360">
        <v>46</v>
      </c>
      <c r="AK30" s="1564" t="s">
        <v>2198</v>
      </c>
      <c r="AL30" s="1565">
        <v>304</v>
      </c>
    </row>
    <row r="31" spans="1:58" x14ac:dyDescent="0.3">
      <c r="A31" s="1360">
        <v>34</v>
      </c>
      <c r="E31" s="1360">
        <v>48</v>
      </c>
      <c r="AK31" s="1564" t="s">
        <v>2199</v>
      </c>
      <c r="AL31" s="1565">
        <v>305</v>
      </c>
    </row>
    <row r="32" spans="1:58" x14ac:dyDescent="0.3">
      <c r="A32" s="1360">
        <v>36</v>
      </c>
      <c r="E32" s="1360">
        <v>50</v>
      </c>
      <c r="AK32" s="1564" t="s">
        <v>2174</v>
      </c>
      <c r="AL32" s="1565">
        <v>309</v>
      </c>
    </row>
    <row r="33" spans="1:38" x14ac:dyDescent="0.3">
      <c r="A33" s="1360">
        <v>40</v>
      </c>
      <c r="E33" s="1360">
        <v>52</v>
      </c>
      <c r="AK33" s="1564" t="s">
        <v>2165</v>
      </c>
      <c r="AL33" s="1565">
        <v>316</v>
      </c>
    </row>
    <row r="34" spans="1:38" x14ac:dyDescent="0.3">
      <c r="A34" s="1360">
        <v>42</v>
      </c>
      <c r="E34" s="1360">
        <v>54</v>
      </c>
      <c r="AK34" s="1564" t="s">
        <v>2200</v>
      </c>
      <c r="AL34" s="1565">
        <v>317</v>
      </c>
    </row>
    <row r="35" spans="1:38" x14ac:dyDescent="0.3">
      <c r="A35" s="1360">
        <v>44</v>
      </c>
      <c r="AK35" s="1564" t="s">
        <v>2201</v>
      </c>
      <c r="AL35" s="1565">
        <v>321</v>
      </c>
    </row>
    <row r="36" spans="1:38" x14ac:dyDescent="0.3">
      <c r="A36" s="1360">
        <v>46</v>
      </c>
      <c r="AK36" s="1564" t="s">
        <v>2202</v>
      </c>
      <c r="AL36" s="1565">
        <v>329</v>
      </c>
    </row>
    <row r="37" spans="1:38" x14ac:dyDescent="0.3">
      <c r="A37" s="1360">
        <v>48</v>
      </c>
      <c r="AK37" s="1564" t="s">
        <v>2203</v>
      </c>
      <c r="AL37" s="1565">
        <v>347</v>
      </c>
    </row>
    <row r="38" spans="1:38" x14ac:dyDescent="0.3">
      <c r="A38" s="1360">
        <v>50</v>
      </c>
      <c r="AK38" s="1564" t="s">
        <v>2204</v>
      </c>
      <c r="AL38" s="1565">
        <v>348</v>
      </c>
    </row>
    <row r="39" spans="1:38" x14ac:dyDescent="0.3">
      <c r="A39" s="1360">
        <v>52</v>
      </c>
      <c r="AK39" s="1564" t="s">
        <v>2205</v>
      </c>
      <c r="AL39" s="1565">
        <v>403</v>
      </c>
    </row>
    <row r="40" spans="1:38" x14ac:dyDescent="0.3">
      <c r="A40" s="1360">
        <v>54</v>
      </c>
      <c r="AK40" s="1564" t="s">
        <v>2206</v>
      </c>
      <c r="AL40" s="1565">
        <v>405</v>
      </c>
    </row>
    <row r="41" spans="1:38" x14ac:dyDescent="0.3">
      <c r="AK41" s="1564" t="s">
        <v>2207</v>
      </c>
      <c r="AL41" s="1565">
        <v>410</v>
      </c>
    </row>
    <row r="42" spans="1:38" x14ac:dyDescent="0.3">
      <c r="AK42" s="1564" t="s">
        <v>2208</v>
      </c>
      <c r="AL42" s="1565">
        <v>429</v>
      </c>
    </row>
    <row r="43" spans="1:38" x14ac:dyDescent="0.3">
      <c r="AK43" s="1564" t="s">
        <v>2172</v>
      </c>
      <c r="AL43" s="1565">
        <v>430</v>
      </c>
    </row>
    <row r="44" spans="1:38" x14ac:dyDescent="0.3">
      <c r="AK44" s="1564" t="s">
        <v>2209</v>
      </c>
      <c r="AL44" s="1565">
        <v>439</v>
      </c>
    </row>
    <row r="45" spans="1:38" x14ac:dyDescent="0.3">
      <c r="AK45" s="1564" t="s">
        <v>2210</v>
      </c>
      <c r="AL45" s="1565">
        <v>630</v>
      </c>
    </row>
    <row r="46" spans="1:38" x14ac:dyDescent="0.3">
      <c r="AK46" s="1564" t="s">
        <v>2211</v>
      </c>
      <c r="AL46" s="1565">
        <v>660</v>
      </c>
    </row>
    <row r="47" spans="1:38" x14ac:dyDescent="0.3">
      <c r="AK47" s="1564" t="s">
        <v>2212</v>
      </c>
      <c r="AL47" s="1565">
        <v>37375</v>
      </c>
    </row>
    <row r="48" spans="1:38" x14ac:dyDescent="0.3">
      <c r="AK48" s="1564" t="s">
        <v>2213</v>
      </c>
      <c r="AL48" s="1565">
        <v>37706</v>
      </c>
    </row>
    <row r="49" spans="37:38" x14ac:dyDescent="0.3">
      <c r="AK49" s="1564" t="s">
        <v>2214</v>
      </c>
      <c r="AL49" s="1565">
        <v>42123</v>
      </c>
    </row>
    <row r="50" spans="37:38" x14ac:dyDescent="0.3">
      <c r="AK50" s="1564" t="s">
        <v>2215</v>
      </c>
      <c r="AL50" s="1565" t="s">
        <v>2216</v>
      </c>
    </row>
    <row r="51" spans="37:38" x14ac:dyDescent="0.3">
      <c r="AK51" s="1564" t="s">
        <v>2217</v>
      </c>
      <c r="AL51" s="1565" t="s">
        <v>2218</v>
      </c>
    </row>
    <row r="52" spans="37:38" x14ac:dyDescent="0.3">
      <c r="AK52" s="1564" t="s">
        <v>2219</v>
      </c>
      <c r="AL52" s="1565" t="s">
        <v>2220</v>
      </c>
    </row>
    <row r="53" spans="37:38" x14ac:dyDescent="0.3">
      <c r="AK53" s="1564" t="s">
        <v>2221</v>
      </c>
      <c r="AL53" s="1565" t="s">
        <v>2222</v>
      </c>
    </row>
    <row r="54" spans="37:38" x14ac:dyDescent="0.3">
      <c r="AK54" s="1564" t="s">
        <v>2223</v>
      </c>
      <c r="AL54" s="1565" t="s">
        <v>2224</v>
      </c>
    </row>
    <row r="55" spans="37:38" x14ac:dyDescent="0.3">
      <c r="AK55" s="1564" t="s">
        <v>2225</v>
      </c>
      <c r="AL55" s="1565" t="s">
        <v>2226</v>
      </c>
    </row>
    <row r="56" spans="37:38" x14ac:dyDescent="0.3">
      <c r="AK56" s="1564" t="s">
        <v>2227</v>
      </c>
      <c r="AL56" s="1565" t="s">
        <v>2228</v>
      </c>
    </row>
    <row r="57" spans="37:38" x14ac:dyDescent="0.3">
      <c r="AK57" s="1564" t="s">
        <v>2229</v>
      </c>
      <c r="AL57" s="1565" t="s">
        <v>2230</v>
      </c>
    </row>
    <row r="58" spans="37:38" x14ac:dyDescent="0.3">
      <c r="AK58" s="1564" t="s">
        <v>2231</v>
      </c>
      <c r="AL58" s="1565" t="s">
        <v>2232</v>
      </c>
    </row>
    <row r="59" spans="37:38" x14ac:dyDescent="0.3">
      <c r="AK59" s="1564" t="s">
        <v>2233</v>
      </c>
      <c r="AL59" s="1565" t="s">
        <v>2234</v>
      </c>
    </row>
    <row r="60" spans="37:38" x14ac:dyDescent="0.3">
      <c r="AK60" s="1564" t="s">
        <v>2235</v>
      </c>
      <c r="AL60" s="1565" t="s">
        <v>2236</v>
      </c>
    </row>
    <row r="61" spans="37:38" x14ac:dyDescent="0.3">
      <c r="AK61" s="1564" t="s">
        <v>2237</v>
      </c>
      <c r="AL61" s="1565" t="s">
        <v>2238</v>
      </c>
    </row>
    <row r="62" spans="37:38" x14ac:dyDescent="0.3">
      <c r="AK62" s="1564" t="s">
        <v>2239</v>
      </c>
      <c r="AL62" s="1565" t="s">
        <v>2240</v>
      </c>
    </row>
    <row r="63" spans="37:38" x14ac:dyDescent="0.3">
      <c r="AK63" s="1564" t="s">
        <v>2241</v>
      </c>
      <c r="AL63" s="1565" t="s">
        <v>2242</v>
      </c>
    </row>
    <row r="64" spans="37:38" x14ac:dyDescent="0.3">
      <c r="AK64" s="1564" t="s">
        <v>2243</v>
      </c>
      <c r="AL64" s="1565" t="s">
        <v>2244</v>
      </c>
    </row>
    <row r="65" spans="37:38" x14ac:dyDescent="0.3">
      <c r="AK65" s="1564" t="s">
        <v>2245</v>
      </c>
      <c r="AL65" s="1565" t="s">
        <v>2246</v>
      </c>
    </row>
    <row r="66" spans="37:38" x14ac:dyDescent="0.3">
      <c r="AK66" s="1564" t="s">
        <v>2247</v>
      </c>
      <c r="AL66" s="1565" t="s">
        <v>2248</v>
      </c>
    </row>
    <row r="67" spans="37:38" x14ac:dyDescent="0.3">
      <c r="AK67" s="1564" t="s">
        <v>2249</v>
      </c>
      <c r="AL67" s="1565" t="s">
        <v>2250</v>
      </c>
    </row>
    <row r="68" spans="37:38" x14ac:dyDescent="0.3">
      <c r="AK68" s="1564" t="s">
        <v>2251</v>
      </c>
      <c r="AL68" s="1565" t="s">
        <v>2252</v>
      </c>
    </row>
    <row r="69" spans="37:38" x14ac:dyDescent="0.3">
      <c r="AK69" s="1564" t="s">
        <v>2151</v>
      </c>
      <c r="AL69" s="1565" t="s">
        <v>2253</v>
      </c>
    </row>
    <row r="70" spans="37:38" x14ac:dyDescent="0.3">
      <c r="AK70" s="1564" t="s">
        <v>2254</v>
      </c>
      <c r="AL70" s="1565" t="s">
        <v>2255</v>
      </c>
    </row>
    <row r="71" spans="37:38" x14ac:dyDescent="0.3">
      <c r="AK71" s="1564" t="s">
        <v>2256</v>
      </c>
      <c r="AL71" s="1565" t="s">
        <v>2257</v>
      </c>
    </row>
    <row r="72" spans="37:38" x14ac:dyDescent="0.3">
      <c r="AK72" s="1564" t="s">
        <v>2258</v>
      </c>
      <c r="AL72" s="1565" t="s">
        <v>2259</v>
      </c>
    </row>
    <row r="73" spans="37:38" x14ac:dyDescent="0.3">
      <c r="AK73" s="1564" t="s">
        <v>2260</v>
      </c>
      <c r="AL73" s="1565" t="s">
        <v>2259</v>
      </c>
    </row>
    <row r="74" spans="37:38" x14ac:dyDescent="0.3">
      <c r="AK74" s="1564" t="s">
        <v>2177</v>
      </c>
      <c r="AL74" s="1565" t="s">
        <v>2261</v>
      </c>
    </row>
    <row r="75" spans="37:38" x14ac:dyDescent="0.3">
      <c r="AK75" s="1564" t="s">
        <v>2262</v>
      </c>
      <c r="AL75" s="1565" t="s">
        <v>2261</v>
      </c>
    </row>
    <row r="76" spans="37:38" x14ac:dyDescent="0.3">
      <c r="AK76" s="1564" t="s">
        <v>2263</v>
      </c>
      <c r="AL76" s="1565" t="s">
        <v>2264</v>
      </c>
    </row>
    <row r="77" spans="37:38" x14ac:dyDescent="0.3">
      <c r="AK77" s="1564" t="s">
        <v>2265</v>
      </c>
      <c r="AL77" s="1565" t="s">
        <v>2266</v>
      </c>
    </row>
    <row r="78" spans="37:38" x14ac:dyDescent="0.3">
      <c r="AK78" s="1564" t="s">
        <v>2267</v>
      </c>
      <c r="AL78" s="1565" t="s">
        <v>2268</v>
      </c>
    </row>
    <row r="79" spans="37:38" x14ac:dyDescent="0.3">
      <c r="AK79" s="1564" t="s">
        <v>2269</v>
      </c>
      <c r="AL79" s="1565" t="s">
        <v>2166</v>
      </c>
    </row>
    <row r="80" spans="37:38" x14ac:dyDescent="0.3">
      <c r="AK80" s="1564" t="s">
        <v>2270</v>
      </c>
      <c r="AL80" s="1565" t="s">
        <v>2271</v>
      </c>
    </row>
    <row r="81" spans="37:38" x14ac:dyDescent="0.3">
      <c r="AK81" s="1564" t="s">
        <v>2272</v>
      </c>
      <c r="AL81" s="1565" t="s">
        <v>2273</v>
      </c>
    </row>
    <row r="82" spans="37:38" x14ac:dyDescent="0.3">
      <c r="AK82" s="1564" t="s">
        <v>2274</v>
      </c>
      <c r="AL82" s="1565" t="s">
        <v>2182</v>
      </c>
    </row>
    <row r="83" spans="37:38" x14ac:dyDescent="0.3">
      <c r="AK83" s="1564" t="s">
        <v>2275</v>
      </c>
      <c r="AL83" s="1565" t="s">
        <v>2276</v>
      </c>
    </row>
    <row r="84" spans="37:38" x14ac:dyDescent="0.3">
      <c r="AK84" s="1564" t="s">
        <v>2277</v>
      </c>
      <c r="AL84" s="1565" t="s">
        <v>2278</v>
      </c>
    </row>
    <row r="85" spans="37:38" x14ac:dyDescent="0.3">
      <c r="AK85" s="1564" t="s">
        <v>2279</v>
      </c>
      <c r="AL85" s="1565" t="s">
        <v>2280</v>
      </c>
    </row>
    <row r="86" spans="37:38" x14ac:dyDescent="0.3">
      <c r="AK86" s="1564" t="s">
        <v>2281</v>
      </c>
      <c r="AL86" s="1565" t="s">
        <v>2282</v>
      </c>
    </row>
    <row r="87" spans="37:38" x14ac:dyDescent="0.3">
      <c r="AK87" s="1564" t="s">
        <v>2283</v>
      </c>
      <c r="AL87" s="1565" t="s">
        <v>2284</v>
      </c>
    </row>
    <row r="88" spans="37:38" x14ac:dyDescent="0.3">
      <c r="AK88" s="1564" t="s">
        <v>2285</v>
      </c>
      <c r="AL88" s="1565" t="s">
        <v>2286</v>
      </c>
    </row>
    <row r="89" spans="37:38" x14ac:dyDescent="0.3">
      <c r="AK89" s="1564" t="s">
        <v>2287</v>
      </c>
      <c r="AL89" s="1565" t="s">
        <v>2288</v>
      </c>
    </row>
    <row r="90" spans="37:38" x14ac:dyDescent="0.3">
      <c r="AK90" s="1564" t="s">
        <v>2289</v>
      </c>
      <c r="AL90" s="1565" t="s">
        <v>2290</v>
      </c>
    </row>
    <row r="91" spans="37:38" x14ac:dyDescent="0.3">
      <c r="AK91" s="1564" t="s">
        <v>2291</v>
      </c>
      <c r="AL91" s="1565" t="s">
        <v>2292</v>
      </c>
    </row>
    <row r="92" spans="37:38" x14ac:dyDescent="0.3">
      <c r="AK92" s="1564" t="s">
        <v>2293</v>
      </c>
      <c r="AL92" s="1565" t="s">
        <v>2294</v>
      </c>
    </row>
    <row r="93" spans="37:38" x14ac:dyDescent="0.3">
      <c r="AK93" s="1564" t="s">
        <v>2295</v>
      </c>
      <c r="AL93" s="1565" t="s">
        <v>2296</v>
      </c>
    </row>
    <row r="94" spans="37:38" x14ac:dyDescent="0.3">
      <c r="AK94" s="1564" t="s">
        <v>2297</v>
      </c>
      <c r="AL94" s="1565" t="s">
        <v>2298</v>
      </c>
    </row>
    <row r="95" spans="37:38" x14ac:dyDescent="0.3">
      <c r="AK95" s="1564" t="s">
        <v>2299</v>
      </c>
      <c r="AL95" s="1565" t="s">
        <v>2300</v>
      </c>
    </row>
    <row r="96" spans="37:38" x14ac:dyDescent="0.3">
      <c r="AK96" s="1564" t="s">
        <v>2301</v>
      </c>
      <c r="AL96" s="1565" t="s">
        <v>2302</v>
      </c>
    </row>
    <row r="97" spans="37:38" x14ac:dyDescent="0.3">
      <c r="AK97" s="1564" t="s">
        <v>2303</v>
      </c>
      <c r="AL97" s="1565" t="s">
        <v>2304</v>
      </c>
    </row>
    <row r="98" spans="37:38" x14ac:dyDescent="0.3">
      <c r="AK98" s="1564" t="s">
        <v>2305</v>
      </c>
      <c r="AL98" s="1565" t="s">
        <v>2306</v>
      </c>
    </row>
    <row r="99" spans="37:38" x14ac:dyDescent="0.3">
      <c r="AK99" s="1564" t="s">
        <v>2307</v>
      </c>
      <c r="AL99" s="1565" t="s">
        <v>2308</v>
      </c>
    </row>
    <row r="100" spans="37:38" x14ac:dyDescent="0.3">
      <c r="AK100" s="1564" t="s">
        <v>2309</v>
      </c>
      <c r="AL100" s="1565" t="s">
        <v>2310</v>
      </c>
    </row>
    <row r="101" spans="37:38" x14ac:dyDescent="0.3">
      <c r="AK101" s="1564" t="s">
        <v>2311</v>
      </c>
      <c r="AL101" s="1565" t="s">
        <v>2312</v>
      </c>
    </row>
    <row r="102" spans="37:38" x14ac:dyDescent="0.3">
      <c r="AK102" s="1564" t="s">
        <v>2313</v>
      </c>
      <c r="AL102" s="1565" t="s">
        <v>2314</v>
      </c>
    </row>
    <row r="103" spans="37:38" x14ac:dyDescent="0.3">
      <c r="AK103" s="1564" t="s">
        <v>2315</v>
      </c>
      <c r="AL103" s="1565" t="s">
        <v>2316</v>
      </c>
    </row>
    <row r="104" spans="37:38" x14ac:dyDescent="0.3">
      <c r="AK104" s="1564" t="s">
        <v>2317</v>
      </c>
      <c r="AL104" s="1565" t="s">
        <v>12</v>
      </c>
    </row>
    <row r="105" spans="37:38" x14ac:dyDescent="0.3">
      <c r="AK105" s="1564" t="s">
        <v>2318</v>
      </c>
      <c r="AL105" s="1565" t="s">
        <v>2319</v>
      </c>
    </row>
    <row r="106" spans="37:38" x14ac:dyDescent="0.3">
      <c r="AK106" s="1564" t="s">
        <v>2320</v>
      </c>
      <c r="AL106" s="1565" t="s">
        <v>2321</v>
      </c>
    </row>
    <row r="107" spans="37:38" x14ac:dyDescent="0.3">
      <c r="AK107" s="1564" t="s">
        <v>2322</v>
      </c>
      <c r="AL107" s="1565" t="s">
        <v>2323</v>
      </c>
    </row>
    <row r="108" spans="37:38" x14ac:dyDescent="0.3">
      <c r="AK108" s="1564" t="s">
        <v>2324</v>
      </c>
      <c r="AL108" s="1565" t="s">
        <v>2325</v>
      </c>
    </row>
    <row r="109" spans="37:38" x14ac:dyDescent="0.3">
      <c r="AK109" s="1564" t="s">
        <v>2326</v>
      </c>
      <c r="AL109" s="1565" t="s">
        <v>2327</v>
      </c>
    </row>
    <row r="110" spans="37:38" x14ac:dyDescent="0.3">
      <c r="AK110" s="1564" t="s">
        <v>2328</v>
      </c>
      <c r="AL110" s="1565" t="s">
        <v>2329</v>
      </c>
    </row>
    <row r="111" spans="37:38" x14ac:dyDescent="0.3">
      <c r="AK111" s="1564" t="s">
        <v>2330</v>
      </c>
      <c r="AL111" s="1565" t="s">
        <v>2331</v>
      </c>
    </row>
    <row r="112" spans="37:38" x14ac:dyDescent="0.3">
      <c r="AK112" s="1564" t="s">
        <v>2332</v>
      </c>
      <c r="AL112" s="1565" t="s">
        <v>2333</v>
      </c>
    </row>
    <row r="113" spans="37:38" x14ac:dyDescent="0.3">
      <c r="AK113" s="1564" t="s">
        <v>2334</v>
      </c>
      <c r="AL113" s="1565" t="s">
        <v>2335</v>
      </c>
    </row>
    <row r="114" spans="37:38" x14ac:dyDescent="0.3">
      <c r="AK114" s="1564" t="s">
        <v>2336</v>
      </c>
      <c r="AL114" s="1565" t="s">
        <v>1864</v>
      </c>
    </row>
    <row r="115" spans="37:38" x14ac:dyDescent="0.3">
      <c r="AK115" s="1564" t="s">
        <v>2337</v>
      </c>
      <c r="AL115" s="1565" t="s">
        <v>2180</v>
      </c>
    </row>
    <row r="116" spans="37:38" x14ac:dyDescent="0.3">
      <c r="AK116" s="1564" t="s">
        <v>2338</v>
      </c>
      <c r="AL116" s="1565" t="s">
        <v>2339</v>
      </c>
    </row>
    <row r="117" spans="37:38" x14ac:dyDescent="0.3">
      <c r="AK117" s="1564"/>
      <c r="AL117" s="1565" t="s">
        <v>2340</v>
      </c>
    </row>
    <row r="118" spans="37:38" x14ac:dyDescent="0.3">
      <c r="AK118" s="1564"/>
      <c r="AL118" s="1565" t="s">
        <v>2341</v>
      </c>
    </row>
    <row r="119" spans="37:38" x14ac:dyDescent="0.3">
      <c r="AK119" s="1564"/>
      <c r="AL119" s="1565" t="s">
        <v>2342</v>
      </c>
    </row>
    <row r="120" spans="37:38" x14ac:dyDescent="0.3">
      <c r="AK120" s="1564"/>
      <c r="AL120" s="1565" t="s">
        <v>2343</v>
      </c>
    </row>
    <row r="121" spans="37:38" x14ac:dyDescent="0.3">
      <c r="AK121" s="1564"/>
      <c r="AL121" s="1565" t="s">
        <v>2344</v>
      </c>
    </row>
    <row r="122" spans="37:38" x14ac:dyDescent="0.3">
      <c r="AK122" s="1564"/>
      <c r="AL122" s="1565" t="s">
        <v>2345</v>
      </c>
    </row>
    <row r="123" spans="37:38" x14ac:dyDescent="0.3">
      <c r="AK123" s="1564"/>
      <c r="AL123" s="1565" t="s">
        <v>2346</v>
      </c>
    </row>
    <row r="124" spans="37:38" x14ac:dyDescent="0.3">
      <c r="AK124" s="1564"/>
      <c r="AL124" s="1565" t="s">
        <v>2347</v>
      </c>
    </row>
    <row r="125" spans="37:38" x14ac:dyDescent="0.3">
      <c r="AK125" s="1564"/>
      <c r="AL125" s="1565" t="s">
        <v>2348</v>
      </c>
    </row>
    <row r="126" spans="37:38" x14ac:dyDescent="0.3">
      <c r="AK126" s="1564"/>
      <c r="AL126" s="1565" t="s">
        <v>2349</v>
      </c>
    </row>
    <row r="127" spans="37:38" x14ac:dyDescent="0.3">
      <c r="AK127" s="1564"/>
      <c r="AL127" s="1565" t="s">
        <v>2350</v>
      </c>
    </row>
    <row r="128" spans="37:38" x14ac:dyDescent="0.3">
      <c r="AK128" s="1564"/>
      <c r="AL128" s="1565" t="s">
        <v>2351</v>
      </c>
    </row>
    <row r="129" spans="37:38" x14ac:dyDescent="0.3">
      <c r="AK129" s="1564"/>
      <c r="AL129" s="1565" t="s">
        <v>2352</v>
      </c>
    </row>
    <row r="130" spans="37:38" x14ac:dyDescent="0.3">
      <c r="AK130" s="1564"/>
      <c r="AL130" s="1565" t="s">
        <v>2353</v>
      </c>
    </row>
    <row r="131" spans="37:38" x14ac:dyDescent="0.3">
      <c r="AK131" s="1564"/>
      <c r="AL131" s="1565" t="s">
        <v>2354</v>
      </c>
    </row>
    <row r="132" spans="37:38" x14ac:dyDescent="0.3">
      <c r="AK132" s="1564"/>
      <c r="AL132" s="1565" t="s">
        <v>2355</v>
      </c>
    </row>
    <row r="133" spans="37:38" x14ac:dyDescent="0.3">
      <c r="AK133" s="1564"/>
      <c r="AL133" s="1565" t="s">
        <v>2356</v>
      </c>
    </row>
    <row r="134" spans="37:38" x14ac:dyDescent="0.3">
      <c r="AK134" s="1564"/>
      <c r="AL134" s="1565" t="s">
        <v>2357</v>
      </c>
    </row>
    <row r="135" spans="37:38" x14ac:dyDescent="0.3">
      <c r="AK135" s="1564"/>
      <c r="AL135" s="1565" t="s">
        <v>2358</v>
      </c>
    </row>
    <row r="136" spans="37:38" x14ac:dyDescent="0.3">
      <c r="AK136" s="1564"/>
      <c r="AL136" s="1565" t="s">
        <v>2359</v>
      </c>
    </row>
    <row r="137" spans="37:38" x14ac:dyDescent="0.3">
      <c r="AK137" s="1564"/>
      <c r="AL137" s="1565" t="s">
        <v>2360</v>
      </c>
    </row>
    <row r="138" spans="37:38" x14ac:dyDescent="0.3">
      <c r="AK138" s="1564"/>
      <c r="AL138" s="1565" t="s">
        <v>2361</v>
      </c>
    </row>
    <row r="139" spans="37:38" x14ac:dyDescent="0.3">
      <c r="AK139" s="1564"/>
      <c r="AL139" s="1565" t="s">
        <v>2362</v>
      </c>
    </row>
    <row r="140" spans="37:38" x14ac:dyDescent="0.3">
      <c r="AK140" s="1564"/>
      <c r="AL140" s="1565" t="s">
        <v>2363</v>
      </c>
    </row>
    <row r="141" spans="37:38" x14ac:dyDescent="0.3">
      <c r="AK141" s="1564"/>
      <c r="AL141" s="1565" t="s">
        <v>2364</v>
      </c>
    </row>
    <row r="142" spans="37:38" x14ac:dyDescent="0.3">
      <c r="AK142" s="1564"/>
      <c r="AL142" s="1565" t="s">
        <v>2365</v>
      </c>
    </row>
    <row r="143" spans="37:38" x14ac:dyDescent="0.3">
      <c r="AK143" s="1564"/>
      <c r="AL143" s="1565" t="s">
        <v>2366</v>
      </c>
    </row>
    <row r="144" spans="37:38" x14ac:dyDescent="0.3">
      <c r="AK144" s="1564"/>
      <c r="AL144" s="1565" t="s">
        <v>2367</v>
      </c>
    </row>
    <row r="145" spans="37:38" x14ac:dyDescent="0.3">
      <c r="AK145" s="1564"/>
      <c r="AL145" s="1565" t="s">
        <v>2368</v>
      </c>
    </row>
    <row r="146" spans="37:38" x14ac:dyDescent="0.3">
      <c r="AK146" s="1564"/>
      <c r="AL146" s="1565" t="s">
        <v>2369</v>
      </c>
    </row>
    <row r="147" spans="37:38" x14ac:dyDescent="0.3">
      <c r="AK147" s="1564"/>
      <c r="AL147" s="1565" t="s">
        <v>2370</v>
      </c>
    </row>
    <row r="148" spans="37:38" x14ac:dyDescent="0.3">
      <c r="AK148" s="1564"/>
      <c r="AL148" s="1565" t="s">
        <v>2371</v>
      </c>
    </row>
    <row r="149" spans="37:38" x14ac:dyDescent="0.3">
      <c r="AK149" s="1564"/>
      <c r="AL149" s="1565" t="s">
        <v>2372</v>
      </c>
    </row>
    <row r="150" spans="37:38" x14ac:dyDescent="0.3">
      <c r="AK150" s="1564"/>
      <c r="AL150" s="1565" t="s">
        <v>2373</v>
      </c>
    </row>
    <row r="151" spans="37:38" x14ac:dyDescent="0.3">
      <c r="AK151" s="1564"/>
      <c r="AL151" s="1565" t="s">
        <v>2374</v>
      </c>
    </row>
    <row r="152" spans="37:38" x14ac:dyDescent="0.3">
      <c r="AK152" s="1564"/>
      <c r="AL152" s="1565" t="s">
        <v>2375</v>
      </c>
    </row>
    <row r="153" spans="37:38" x14ac:dyDescent="0.3">
      <c r="AK153" s="1564"/>
      <c r="AL153" s="1565" t="s">
        <v>2376</v>
      </c>
    </row>
    <row r="154" spans="37:38" x14ac:dyDescent="0.3">
      <c r="AK154" s="1564"/>
      <c r="AL154" s="1565" t="s">
        <v>2377</v>
      </c>
    </row>
    <row r="155" spans="37:38" x14ac:dyDescent="0.3">
      <c r="AK155" s="1564"/>
      <c r="AL155" s="1565" t="s">
        <v>2378</v>
      </c>
    </row>
    <row r="156" spans="37:38" x14ac:dyDescent="0.3">
      <c r="AK156" s="1564"/>
      <c r="AL156" s="1565" t="s">
        <v>2379</v>
      </c>
    </row>
    <row r="157" spans="37:38" x14ac:dyDescent="0.3">
      <c r="AK157" s="1564"/>
      <c r="AL157" s="1565" t="s">
        <v>2380</v>
      </c>
    </row>
    <row r="158" spans="37:38" x14ac:dyDescent="0.3">
      <c r="AK158" s="1564"/>
      <c r="AL158" s="1565" t="s">
        <v>2381</v>
      </c>
    </row>
    <row r="159" spans="37:38" x14ac:dyDescent="0.3">
      <c r="AK159" s="1564"/>
      <c r="AL159" s="1565" t="s">
        <v>2382</v>
      </c>
    </row>
    <row r="160" spans="37:38" x14ac:dyDescent="0.3">
      <c r="AK160" s="1564"/>
      <c r="AL160" s="1565" t="s">
        <v>2383</v>
      </c>
    </row>
    <row r="161" spans="37:38" x14ac:dyDescent="0.3">
      <c r="AK161" s="1564"/>
      <c r="AL161" s="1565" t="s">
        <v>2384</v>
      </c>
    </row>
    <row r="162" spans="37:38" x14ac:dyDescent="0.3">
      <c r="AK162" s="1564"/>
      <c r="AL162" s="1565" t="s">
        <v>2385</v>
      </c>
    </row>
    <row r="163" spans="37:38" x14ac:dyDescent="0.3">
      <c r="AK163" s="1564"/>
      <c r="AL163" s="1565" t="s">
        <v>2386</v>
      </c>
    </row>
    <row r="164" spans="37:38" x14ac:dyDescent="0.3">
      <c r="AK164" s="1564"/>
      <c r="AL164" s="1565" t="s">
        <v>2387</v>
      </c>
    </row>
    <row r="165" spans="37:38" x14ac:dyDescent="0.3">
      <c r="AK165" s="1564"/>
      <c r="AL165" s="1565" t="s">
        <v>2388</v>
      </c>
    </row>
    <row r="166" spans="37:38" x14ac:dyDescent="0.3">
      <c r="AK166" s="1564"/>
      <c r="AL166" s="1565" t="s">
        <v>2389</v>
      </c>
    </row>
    <row r="167" spans="37:38" x14ac:dyDescent="0.3">
      <c r="AK167" s="1564"/>
      <c r="AL167" s="1565" t="s">
        <v>2390</v>
      </c>
    </row>
    <row r="168" spans="37:38" x14ac:dyDescent="0.3">
      <c r="AK168" s="1564"/>
      <c r="AL168" s="1565" t="s">
        <v>2391</v>
      </c>
    </row>
    <row r="169" spans="37:38" x14ac:dyDescent="0.3">
      <c r="AK169" s="1564"/>
      <c r="AL169" s="1565" t="s">
        <v>2392</v>
      </c>
    </row>
    <row r="170" spans="37:38" x14ac:dyDescent="0.3">
      <c r="AK170" s="1564"/>
      <c r="AL170" s="1565" t="s">
        <v>2393</v>
      </c>
    </row>
    <row r="171" spans="37:38" x14ac:dyDescent="0.3">
      <c r="AK171" s="1564"/>
      <c r="AL171" s="1565" t="s">
        <v>2394</v>
      </c>
    </row>
    <row r="172" spans="37:38" x14ac:dyDescent="0.3">
      <c r="AK172" s="1564"/>
      <c r="AL172" s="1565" t="s">
        <v>2395</v>
      </c>
    </row>
    <row r="173" spans="37:38" x14ac:dyDescent="0.3">
      <c r="AK173" s="1564"/>
      <c r="AL173" s="1565" t="s">
        <v>2396</v>
      </c>
    </row>
    <row r="174" spans="37:38" x14ac:dyDescent="0.3">
      <c r="AK174" s="1564"/>
      <c r="AL174" s="1565" t="s">
        <v>2397</v>
      </c>
    </row>
    <row r="175" spans="37:38" x14ac:dyDescent="0.3">
      <c r="AK175" s="1564"/>
      <c r="AL175" s="1565" t="s">
        <v>2398</v>
      </c>
    </row>
    <row r="176" spans="37:38" x14ac:dyDescent="0.3">
      <c r="AK176" s="1564"/>
      <c r="AL176" s="1565" t="s">
        <v>2399</v>
      </c>
    </row>
    <row r="177" spans="37:38" x14ac:dyDescent="0.3">
      <c r="AK177" s="1564"/>
      <c r="AL177" s="1565" t="s">
        <v>2400</v>
      </c>
    </row>
    <row r="178" spans="37:38" x14ac:dyDescent="0.3">
      <c r="AK178" s="1564"/>
      <c r="AL178" s="1565" t="s">
        <v>2401</v>
      </c>
    </row>
    <row r="179" spans="37:38" x14ac:dyDescent="0.3">
      <c r="AK179" s="1564"/>
      <c r="AL179" s="1565" t="s">
        <v>2402</v>
      </c>
    </row>
    <row r="180" spans="37:38" x14ac:dyDescent="0.3">
      <c r="AK180" s="1564"/>
      <c r="AL180" s="1565" t="s">
        <v>2403</v>
      </c>
    </row>
    <row r="181" spans="37:38" x14ac:dyDescent="0.3">
      <c r="AK181" s="1564"/>
      <c r="AL181" s="1565" t="s">
        <v>2404</v>
      </c>
    </row>
    <row r="182" spans="37:38" x14ac:dyDescent="0.3">
      <c r="AK182" s="1564"/>
      <c r="AL182" s="1565" t="s">
        <v>2405</v>
      </c>
    </row>
    <row r="183" spans="37:38" x14ac:dyDescent="0.3">
      <c r="AK183" s="1564"/>
      <c r="AL183" s="1565" t="s">
        <v>2406</v>
      </c>
    </row>
    <row r="184" spans="37:38" x14ac:dyDescent="0.3">
      <c r="AK184" s="1564"/>
      <c r="AL184" s="1565" t="s">
        <v>2407</v>
      </c>
    </row>
    <row r="185" spans="37:38" x14ac:dyDescent="0.3">
      <c r="AK185" s="1564"/>
      <c r="AL185" s="1565" t="s">
        <v>2408</v>
      </c>
    </row>
    <row r="186" spans="37:38" x14ac:dyDescent="0.3">
      <c r="AK186" s="1564"/>
      <c r="AL186" s="1565" t="s">
        <v>2409</v>
      </c>
    </row>
    <row r="187" spans="37:38" x14ac:dyDescent="0.3">
      <c r="AK187" s="1564"/>
      <c r="AL187" s="1565" t="s">
        <v>2410</v>
      </c>
    </row>
    <row r="188" spans="37:38" x14ac:dyDescent="0.3">
      <c r="AK188" s="1564"/>
      <c r="AL188" s="1565" t="s">
        <v>2411</v>
      </c>
    </row>
    <row r="189" spans="37:38" x14ac:dyDescent="0.3">
      <c r="AK189" s="1564"/>
      <c r="AL189" s="1565" t="s">
        <v>2412</v>
      </c>
    </row>
    <row r="190" spans="37:38" x14ac:dyDescent="0.3">
      <c r="AK190" s="1564"/>
      <c r="AL190" s="1565" t="s">
        <v>2413</v>
      </c>
    </row>
    <row r="191" spans="37:38" x14ac:dyDescent="0.3">
      <c r="AK191" s="1564"/>
      <c r="AL191" s="1565" t="s">
        <v>2414</v>
      </c>
    </row>
    <row r="192" spans="37:38" x14ac:dyDescent="0.3">
      <c r="AK192" s="1564"/>
      <c r="AL192" s="1565" t="s">
        <v>2415</v>
      </c>
    </row>
    <row r="193" spans="37:38" x14ac:dyDescent="0.3">
      <c r="AK193" s="1564"/>
      <c r="AL193" s="1565" t="s">
        <v>2416</v>
      </c>
    </row>
    <row r="194" spans="37:38" x14ac:dyDescent="0.3">
      <c r="AK194" s="1564"/>
      <c r="AL194" s="1565" t="s">
        <v>2417</v>
      </c>
    </row>
    <row r="195" spans="37:38" x14ac:dyDescent="0.3">
      <c r="AK195" s="1564"/>
      <c r="AL195" s="1565" t="s">
        <v>2418</v>
      </c>
    </row>
    <row r="196" spans="37:38" x14ac:dyDescent="0.3">
      <c r="AK196" s="1564"/>
      <c r="AL196" s="1565" t="s">
        <v>2419</v>
      </c>
    </row>
    <row r="197" spans="37:38" x14ac:dyDescent="0.3">
      <c r="AK197" s="1564"/>
      <c r="AL197" s="1565" t="s">
        <v>2420</v>
      </c>
    </row>
    <row r="198" spans="37:38" x14ac:dyDescent="0.3">
      <c r="AK198" s="1564"/>
      <c r="AL198" s="1565" t="s">
        <v>2421</v>
      </c>
    </row>
    <row r="199" spans="37:38" x14ac:dyDescent="0.3">
      <c r="AK199" s="1564"/>
      <c r="AL199" s="1565" t="s">
        <v>2422</v>
      </c>
    </row>
    <row r="200" spans="37:38" x14ac:dyDescent="0.3">
      <c r="AK200" s="1564"/>
      <c r="AL200" s="1565" t="s">
        <v>2423</v>
      </c>
    </row>
    <row r="201" spans="37:38" x14ac:dyDescent="0.3">
      <c r="AK201" s="1564"/>
      <c r="AL201" s="1565" t="s">
        <v>2424</v>
      </c>
    </row>
    <row r="202" spans="37:38" x14ac:dyDescent="0.3">
      <c r="AK202" s="1564"/>
      <c r="AL202" s="1565" t="s">
        <v>2425</v>
      </c>
    </row>
    <row r="203" spans="37:38" x14ac:dyDescent="0.3">
      <c r="AK203" s="1564"/>
      <c r="AL203" s="1565" t="s">
        <v>2426</v>
      </c>
    </row>
    <row r="204" spans="37:38" x14ac:dyDescent="0.3">
      <c r="AK204" s="1564"/>
      <c r="AL204" s="1565" t="s">
        <v>2427</v>
      </c>
    </row>
    <row r="205" spans="37:38" x14ac:dyDescent="0.3">
      <c r="AK205" s="1564"/>
      <c r="AL205" s="1565" t="s">
        <v>2428</v>
      </c>
    </row>
    <row r="206" spans="37:38" x14ac:dyDescent="0.3">
      <c r="AK206" s="1564"/>
      <c r="AL206" s="1565" t="s">
        <v>2429</v>
      </c>
    </row>
    <row r="207" spans="37:38" x14ac:dyDescent="0.3">
      <c r="AK207" s="1564"/>
      <c r="AL207" s="1565" t="s">
        <v>2430</v>
      </c>
    </row>
    <row r="208" spans="37:38" x14ac:dyDescent="0.3">
      <c r="AK208" s="1564"/>
      <c r="AL208" s="1565" t="s">
        <v>2431</v>
      </c>
    </row>
    <row r="209" spans="37:38" x14ac:dyDescent="0.3">
      <c r="AK209" s="1564"/>
      <c r="AL209" s="1565" t="s">
        <v>2432</v>
      </c>
    </row>
    <row r="210" spans="37:38" x14ac:dyDescent="0.3">
      <c r="AK210" s="1564"/>
      <c r="AL210" s="1565" t="s">
        <v>2433</v>
      </c>
    </row>
    <row r="211" spans="37:38" x14ac:dyDescent="0.3">
      <c r="AK211" s="1564"/>
      <c r="AL211" s="1565" t="s">
        <v>2434</v>
      </c>
    </row>
    <row r="212" spans="37:38" x14ac:dyDescent="0.3">
      <c r="AK212" s="1564"/>
      <c r="AL212" s="1565" t="s">
        <v>2435</v>
      </c>
    </row>
    <row r="213" spans="37:38" x14ac:dyDescent="0.3">
      <c r="AK213" s="1564"/>
      <c r="AL213" s="1565" t="s">
        <v>2436</v>
      </c>
    </row>
    <row r="214" spans="37:38" x14ac:dyDescent="0.3">
      <c r="AK214" s="1564"/>
      <c r="AL214" s="1565" t="s">
        <v>2437</v>
      </c>
    </row>
    <row r="215" spans="37:38" ht="25.2" x14ac:dyDescent="0.3">
      <c r="AK215" s="1564"/>
      <c r="AL215" s="1565" t="s">
        <v>2438</v>
      </c>
    </row>
    <row r="216" spans="37:38" x14ac:dyDescent="0.3">
      <c r="AK216" s="1564"/>
      <c r="AL216" s="1565" t="s">
        <v>140</v>
      </c>
    </row>
    <row r="217" spans="37:38" x14ac:dyDescent="0.3">
      <c r="AK217" s="1564"/>
      <c r="AL217" s="1565" t="s">
        <v>2439</v>
      </c>
    </row>
    <row r="218" spans="37:38" x14ac:dyDescent="0.3">
      <c r="AK218" s="1564"/>
      <c r="AL218" s="1565" t="s">
        <v>2440</v>
      </c>
    </row>
    <row r="219" spans="37:38" x14ac:dyDescent="0.3">
      <c r="AK219" s="1564"/>
      <c r="AL219" s="1565" t="s">
        <v>2441</v>
      </c>
    </row>
    <row r="220" spans="37:38" x14ac:dyDescent="0.3">
      <c r="AK220" s="1564"/>
      <c r="AL220" s="1565" t="s">
        <v>2442</v>
      </c>
    </row>
    <row r="221" spans="37:38" x14ac:dyDescent="0.3">
      <c r="AK221" s="1564"/>
      <c r="AL221" s="1565" t="s">
        <v>2443</v>
      </c>
    </row>
    <row r="222" spans="37:38" x14ac:dyDescent="0.3">
      <c r="AK222" s="1564"/>
      <c r="AL222" s="1565" t="s">
        <v>2444</v>
      </c>
    </row>
    <row r="223" spans="37:38" x14ac:dyDescent="0.3">
      <c r="AK223" s="1564"/>
      <c r="AL223" s="1565" t="s">
        <v>2445</v>
      </c>
    </row>
    <row r="224" spans="37:38" x14ac:dyDescent="0.3">
      <c r="AK224" s="1564"/>
      <c r="AL224" s="1565" t="s">
        <v>2446</v>
      </c>
    </row>
    <row r="225" spans="37:38" x14ac:dyDescent="0.3">
      <c r="AK225" s="1564"/>
      <c r="AL225" s="1565" t="s">
        <v>2447</v>
      </c>
    </row>
    <row r="226" spans="37:38" x14ac:dyDescent="0.3">
      <c r="AK226" s="1564"/>
      <c r="AL226" s="1565" t="s">
        <v>2448</v>
      </c>
    </row>
    <row r="227" spans="37:38" x14ac:dyDescent="0.3">
      <c r="AK227" s="1564"/>
      <c r="AL227" s="1565" t="s">
        <v>2449</v>
      </c>
    </row>
    <row r="228" spans="37:38" x14ac:dyDescent="0.3">
      <c r="AK228" s="1564"/>
      <c r="AL228" s="1565" t="s">
        <v>2450</v>
      </c>
    </row>
    <row r="229" spans="37:38" x14ac:dyDescent="0.3">
      <c r="AK229" s="1564"/>
      <c r="AL229" s="1565" t="s">
        <v>2451</v>
      </c>
    </row>
    <row r="230" spans="37:38" x14ac:dyDescent="0.3">
      <c r="AK230" s="1564"/>
      <c r="AL230" s="1565" t="s">
        <v>2452</v>
      </c>
    </row>
    <row r="231" spans="37:38" x14ac:dyDescent="0.3">
      <c r="AK231" s="1564"/>
      <c r="AL231" s="1565" t="s">
        <v>2453</v>
      </c>
    </row>
    <row r="232" spans="37:38" x14ac:dyDescent="0.3">
      <c r="AK232" s="1564"/>
      <c r="AL232" s="1565" t="s">
        <v>2454</v>
      </c>
    </row>
    <row r="233" spans="37:38" x14ac:dyDescent="0.3">
      <c r="AK233" s="1564"/>
      <c r="AL233" s="1565" t="s">
        <v>2455</v>
      </c>
    </row>
    <row r="234" spans="37:38" x14ac:dyDescent="0.3">
      <c r="AK234" s="1564"/>
      <c r="AL234" s="1565" t="s">
        <v>2456</v>
      </c>
    </row>
    <row r="235" spans="37:38" x14ac:dyDescent="0.3">
      <c r="AK235" s="1564"/>
      <c r="AL235" s="1565" t="s">
        <v>2457</v>
      </c>
    </row>
    <row r="236" spans="37:38" x14ac:dyDescent="0.3">
      <c r="AK236" s="1564"/>
      <c r="AL236" s="1565" t="s">
        <v>2458</v>
      </c>
    </row>
    <row r="237" spans="37:38" x14ac:dyDescent="0.3">
      <c r="AK237" s="1564"/>
      <c r="AL237" s="1565" t="s">
        <v>2459</v>
      </c>
    </row>
    <row r="238" spans="37:38" x14ac:dyDescent="0.3">
      <c r="AK238" s="1564"/>
      <c r="AL238" s="1565" t="s">
        <v>2460</v>
      </c>
    </row>
    <row r="239" spans="37:38" x14ac:dyDescent="0.3">
      <c r="AK239" s="1564"/>
      <c r="AL239" s="1565" t="s">
        <v>2461</v>
      </c>
    </row>
    <row r="240" spans="37:38" x14ac:dyDescent="0.3">
      <c r="AK240" s="1564"/>
      <c r="AL240" s="1565" t="s">
        <v>2462</v>
      </c>
    </row>
    <row r="241" spans="37:38" x14ac:dyDescent="0.3">
      <c r="AK241" s="1564"/>
      <c r="AL241" s="1565" t="s">
        <v>2463</v>
      </c>
    </row>
    <row r="242" spans="37:38" x14ac:dyDescent="0.3">
      <c r="AK242" s="1564"/>
      <c r="AL242" s="1565" t="s">
        <v>2464</v>
      </c>
    </row>
    <row r="243" spans="37:38" x14ac:dyDescent="0.3">
      <c r="AK243" s="1564"/>
      <c r="AL243" s="1565" t="s">
        <v>2465</v>
      </c>
    </row>
    <row r="244" spans="37:38" x14ac:dyDescent="0.3">
      <c r="AK244" s="1564"/>
      <c r="AL244" s="1565" t="s">
        <v>2466</v>
      </c>
    </row>
    <row r="245" spans="37:38" x14ac:dyDescent="0.3">
      <c r="AK245" s="1564"/>
      <c r="AL245" s="1565" t="s">
        <v>2467</v>
      </c>
    </row>
    <row r="246" spans="37:38" x14ac:dyDescent="0.3">
      <c r="AK246" s="1564"/>
      <c r="AL246" s="1565" t="s">
        <v>2468</v>
      </c>
    </row>
    <row r="247" spans="37:38" x14ac:dyDescent="0.3">
      <c r="AK247" s="1564"/>
      <c r="AL247" s="1565" t="s">
        <v>2469</v>
      </c>
    </row>
    <row r="248" spans="37:38" x14ac:dyDescent="0.3">
      <c r="AK248" s="1564"/>
      <c r="AL248" s="1565" t="s">
        <v>2470</v>
      </c>
    </row>
    <row r="249" spans="37:38" x14ac:dyDescent="0.3">
      <c r="AK249" s="1564"/>
      <c r="AL249" s="1565" t="s">
        <v>2471</v>
      </c>
    </row>
    <row r="250" spans="37:38" x14ac:dyDescent="0.3">
      <c r="AK250" s="1564"/>
      <c r="AL250" s="1565" t="s">
        <v>2472</v>
      </c>
    </row>
    <row r="251" spans="37:38" x14ac:dyDescent="0.3">
      <c r="AK251" s="1564"/>
      <c r="AL251" s="1565" t="s">
        <v>2473</v>
      </c>
    </row>
    <row r="252" spans="37:38" x14ac:dyDescent="0.3">
      <c r="AK252" s="1564"/>
      <c r="AL252" s="1565" t="s">
        <v>2474</v>
      </c>
    </row>
    <row r="253" spans="37:38" x14ac:dyDescent="0.3">
      <c r="AK253" s="1564"/>
      <c r="AL253" s="1565" t="s">
        <v>2475</v>
      </c>
    </row>
    <row r="254" spans="37:38" x14ac:dyDescent="0.3">
      <c r="AK254" s="1564"/>
      <c r="AL254" s="1565" t="s">
        <v>14</v>
      </c>
    </row>
    <row r="255" spans="37:38" x14ac:dyDescent="0.3">
      <c r="AK255" s="1564"/>
      <c r="AL255" s="1565" t="s">
        <v>2476</v>
      </c>
    </row>
    <row r="256" spans="37:38" x14ac:dyDescent="0.3">
      <c r="AK256" s="1564"/>
      <c r="AL256" s="1565" t="s">
        <v>2477</v>
      </c>
    </row>
    <row r="257" spans="37:38" ht="25.2" x14ac:dyDescent="0.3">
      <c r="AK257" s="1564"/>
      <c r="AL257" s="1565" t="s">
        <v>2478</v>
      </c>
    </row>
    <row r="258" spans="37:38" x14ac:dyDescent="0.3">
      <c r="AK258" s="1564"/>
      <c r="AL258" s="1565" t="s">
        <v>2479</v>
      </c>
    </row>
    <row r="259" spans="37:38" x14ac:dyDescent="0.3">
      <c r="AK259" s="1564"/>
      <c r="AL259" s="1565" t="s">
        <v>2480</v>
      </c>
    </row>
    <row r="260" spans="37:38" x14ac:dyDescent="0.3">
      <c r="AK260" s="1564"/>
      <c r="AL260" s="1565" t="s">
        <v>2481</v>
      </c>
    </row>
    <row r="261" spans="37:38" x14ac:dyDescent="0.3">
      <c r="AK261" s="1564"/>
      <c r="AL261" s="1565" t="s">
        <v>2482</v>
      </c>
    </row>
    <row r="262" spans="37:38" x14ac:dyDescent="0.3">
      <c r="AK262" s="1564"/>
      <c r="AL262" s="1565" t="s">
        <v>2483</v>
      </c>
    </row>
    <row r="263" spans="37:38" x14ac:dyDescent="0.3">
      <c r="AK263" s="1564"/>
      <c r="AL263" s="1565" t="s">
        <v>2484</v>
      </c>
    </row>
    <row r="264" spans="37:38" x14ac:dyDescent="0.3">
      <c r="AK264" s="1564"/>
      <c r="AL264" s="1565" t="s">
        <v>2485</v>
      </c>
    </row>
    <row r="265" spans="37:38" x14ac:dyDescent="0.3">
      <c r="AK265" s="1564"/>
      <c r="AL265" s="1565" t="s">
        <v>2486</v>
      </c>
    </row>
    <row r="266" spans="37:38" x14ac:dyDescent="0.3">
      <c r="AK266" s="1564"/>
      <c r="AL266" s="1565" t="s">
        <v>2487</v>
      </c>
    </row>
    <row r="267" spans="37:38" x14ac:dyDescent="0.3">
      <c r="AK267" s="1564"/>
      <c r="AL267" s="1565" t="s">
        <v>2488</v>
      </c>
    </row>
    <row r="268" spans="37:38" x14ac:dyDescent="0.3">
      <c r="AK268" s="1564"/>
      <c r="AL268" s="1565" t="s">
        <v>2489</v>
      </c>
    </row>
    <row r="269" spans="37:38" x14ac:dyDescent="0.3">
      <c r="AK269" s="1564"/>
      <c r="AL269" s="1565" t="s">
        <v>2490</v>
      </c>
    </row>
    <row r="270" spans="37:38" x14ac:dyDescent="0.3">
      <c r="AK270" s="1564"/>
      <c r="AL270" s="1565" t="s">
        <v>2491</v>
      </c>
    </row>
    <row r="271" spans="37:38" x14ac:dyDescent="0.3">
      <c r="AK271" s="1564"/>
      <c r="AL271" s="1565" t="s">
        <v>2492</v>
      </c>
    </row>
    <row r="272" spans="37:38" x14ac:dyDescent="0.3">
      <c r="AK272" s="1564"/>
      <c r="AL272" s="1565" t="s">
        <v>2493</v>
      </c>
    </row>
    <row r="273" spans="37:38" x14ac:dyDescent="0.3">
      <c r="AK273" s="1564"/>
      <c r="AL273" s="1565" t="s">
        <v>2494</v>
      </c>
    </row>
    <row r="274" spans="37:38" x14ac:dyDescent="0.3">
      <c r="AK274" s="1564"/>
      <c r="AL274" s="1565" t="s">
        <v>2495</v>
      </c>
    </row>
    <row r="275" spans="37:38" x14ac:dyDescent="0.3">
      <c r="AK275" s="1564"/>
      <c r="AL275" s="1565" t="s">
        <v>2496</v>
      </c>
    </row>
    <row r="276" spans="37:38" x14ac:dyDescent="0.3">
      <c r="AK276" s="1564"/>
      <c r="AL276" s="1565" t="s">
        <v>2497</v>
      </c>
    </row>
    <row r="277" spans="37:38" x14ac:dyDescent="0.3">
      <c r="AK277" s="1564"/>
      <c r="AL277" s="1565" t="s">
        <v>2498</v>
      </c>
    </row>
    <row r="278" spans="37:38" x14ac:dyDescent="0.3">
      <c r="AK278" s="1564"/>
      <c r="AL278" s="1565" t="s">
        <v>2499</v>
      </c>
    </row>
    <row r="279" spans="37:38" x14ac:dyDescent="0.3">
      <c r="AK279" s="1564"/>
      <c r="AL279" s="1565" t="s">
        <v>2500</v>
      </c>
    </row>
    <row r="280" spans="37:38" x14ac:dyDescent="0.3">
      <c r="AK280" s="1564"/>
      <c r="AL280" s="1565" t="s">
        <v>2501</v>
      </c>
    </row>
    <row r="281" spans="37:38" x14ac:dyDescent="0.3">
      <c r="AK281" s="1564"/>
      <c r="AL281" s="1565" t="s">
        <v>2502</v>
      </c>
    </row>
    <row r="282" spans="37:38" x14ac:dyDescent="0.3">
      <c r="AK282" s="1564"/>
      <c r="AL282" s="1565" t="s">
        <v>2503</v>
      </c>
    </row>
    <row r="283" spans="37:38" x14ac:dyDescent="0.3">
      <c r="AK283" s="1564"/>
      <c r="AL283" s="1565" t="s">
        <v>2504</v>
      </c>
    </row>
    <row r="284" spans="37:38" x14ac:dyDescent="0.3">
      <c r="AK284" s="1564"/>
      <c r="AL284" s="1565" t="s">
        <v>2505</v>
      </c>
    </row>
    <row r="285" spans="37:38" x14ac:dyDescent="0.3">
      <c r="AK285" s="1564"/>
      <c r="AL285" s="1565" t="s">
        <v>2506</v>
      </c>
    </row>
    <row r="286" spans="37:38" x14ac:dyDescent="0.3">
      <c r="AK286" s="1564"/>
      <c r="AL286" s="1565" t="s">
        <v>2507</v>
      </c>
    </row>
    <row r="287" spans="37:38" x14ac:dyDescent="0.3">
      <c r="AK287" s="1564"/>
      <c r="AL287" s="1565" t="s">
        <v>2508</v>
      </c>
    </row>
    <row r="288" spans="37:38" x14ac:dyDescent="0.3">
      <c r="AK288" s="1564"/>
      <c r="AL288" s="1565" t="s">
        <v>2509</v>
      </c>
    </row>
    <row r="289" spans="37:38" x14ac:dyDescent="0.3">
      <c r="AK289" s="1564"/>
      <c r="AL289" s="1565" t="s">
        <v>2510</v>
      </c>
    </row>
    <row r="290" spans="37:38" x14ac:dyDescent="0.3">
      <c r="AK290" s="1564"/>
      <c r="AL290" s="1565" t="s">
        <v>2511</v>
      </c>
    </row>
    <row r="291" spans="37:38" x14ac:dyDescent="0.3">
      <c r="AK291" s="1564"/>
      <c r="AL291" s="1565" t="s">
        <v>2512</v>
      </c>
    </row>
    <row r="292" spans="37:38" x14ac:dyDescent="0.3">
      <c r="AK292" s="1564"/>
      <c r="AL292" s="1565" t="s">
        <v>2513</v>
      </c>
    </row>
    <row r="293" spans="37:38" x14ac:dyDescent="0.3">
      <c r="AK293" s="1564"/>
      <c r="AL293" s="1565" t="s">
        <v>2514</v>
      </c>
    </row>
    <row r="294" spans="37:38" x14ac:dyDescent="0.3">
      <c r="AK294" s="1564"/>
      <c r="AL294" s="1565" t="s">
        <v>2515</v>
      </c>
    </row>
    <row r="295" spans="37:38" x14ac:dyDescent="0.3">
      <c r="AK295" s="1564"/>
      <c r="AL295" s="1565" t="s">
        <v>2516</v>
      </c>
    </row>
    <row r="296" spans="37:38" x14ac:dyDescent="0.3">
      <c r="AK296" s="1564"/>
      <c r="AL296" s="1565" t="s">
        <v>2517</v>
      </c>
    </row>
    <row r="297" spans="37:38" x14ac:dyDescent="0.3">
      <c r="AK297" s="1564"/>
      <c r="AL297" s="1565" t="s">
        <v>2518</v>
      </c>
    </row>
    <row r="298" spans="37:38" x14ac:dyDescent="0.3">
      <c r="AK298" s="1564"/>
      <c r="AL298" s="1565" t="s">
        <v>2519</v>
      </c>
    </row>
    <row r="299" spans="37:38" x14ac:dyDescent="0.3">
      <c r="AK299" s="1564"/>
      <c r="AL299" s="1565" t="s">
        <v>2520</v>
      </c>
    </row>
    <row r="300" spans="37:38" x14ac:dyDescent="0.3">
      <c r="AK300" s="1564"/>
      <c r="AL300" s="1565" t="s">
        <v>2521</v>
      </c>
    </row>
    <row r="301" spans="37:38" x14ac:dyDescent="0.3">
      <c r="AK301" s="1564"/>
      <c r="AL301" s="1565" t="s">
        <v>2522</v>
      </c>
    </row>
    <row r="302" spans="37:38" x14ac:dyDescent="0.3">
      <c r="AK302" s="1564"/>
      <c r="AL302" s="1565" t="s">
        <v>2523</v>
      </c>
    </row>
    <row r="303" spans="37:38" x14ac:dyDescent="0.3">
      <c r="AK303" s="1564"/>
      <c r="AL303" s="1565" t="s">
        <v>2524</v>
      </c>
    </row>
    <row r="304" spans="37:38" x14ac:dyDescent="0.3">
      <c r="AK304" s="1564"/>
      <c r="AL304" s="1565" t="s">
        <v>2525</v>
      </c>
    </row>
    <row r="305" spans="37:38" x14ac:dyDescent="0.3">
      <c r="AK305" s="1564"/>
      <c r="AL305" s="1565" t="s">
        <v>2526</v>
      </c>
    </row>
    <row r="306" spans="37:38" x14ac:dyDescent="0.3">
      <c r="AK306" s="1564"/>
      <c r="AL306" s="1565" t="s">
        <v>2527</v>
      </c>
    </row>
    <row r="307" spans="37:38" x14ac:dyDescent="0.3">
      <c r="AK307" s="1564"/>
      <c r="AL307" s="1565" t="s">
        <v>2528</v>
      </c>
    </row>
    <row r="308" spans="37:38" x14ac:dyDescent="0.3">
      <c r="AK308" s="1564"/>
      <c r="AL308" s="1565" t="s">
        <v>2529</v>
      </c>
    </row>
    <row r="309" spans="37:38" x14ac:dyDescent="0.3">
      <c r="AK309" s="1564"/>
      <c r="AL309" s="1565" t="s">
        <v>2530</v>
      </c>
    </row>
    <row r="310" spans="37:38" x14ac:dyDescent="0.3">
      <c r="AK310" s="1564"/>
      <c r="AL310" s="1565" t="s">
        <v>2531</v>
      </c>
    </row>
    <row r="311" spans="37:38" x14ac:dyDescent="0.3">
      <c r="AK311" s="1564"/>
      <c r="AL311" s="1565" t="s">
        <v>2532</v>
      </c>
    </row>
    <row r="312" spans="37:38" x14ac:dyDescent="0.3">
      <c r="AK312" s="1564"/>
      <c r="AL312" s="1565" t="s">
        <v>2533</v>
      </c>
    </row>
    <row r="313" spans="37:38" x14ac:dyDescent="0.3">
      <c r="AK313" s="1564"/>
      <c r="AL313" s="1565" t="s">
        <v>2534</v>
      </c>
    </row>
    <row r="314" spans="37:38" x14ac:dyDescent="0.3">
      <c r="AK314" s="1564"/>
      <c r="AL314" s="1565" t="s">
        <v>2535</v>
      </c>
    </row>
    <row r="315" spans="37:38" x14ac:dyDescent="0.3">
      <c r="AK315" s="1564"/>
      <c r="AL315" s="1565" t="s">
        <v>2536</v>
      </c>
    </row>
    <row r="316" spans="37:38" x14ac:dyDescent="0.3">
      <c r="AK316" s="1564"/>
      <c r="AL316" s="1565" t="s">
        <v>2537</v>
      </c>
    </row>
    <row r="317" spans="37:38" x14ac:dyDescent="0.3">
      <c r="AK317" s="1564"/>
      <c r="AL317" s="1565" t="s">
        <v>2538</v>
      </c>
    </row>
    <row r="318" spans="37:38" x14ac:dyDescent="0.3">
      <c r="AK318" s="1564"/>
      <c r="AL318" s="1565" t="s">
        <v>2539</v>
      </c>
    </row>
    <row r="319" spans="37:38" x14ac:dyDescent="0.3">
      <c r="AK319" s="1564"/>
      <c r="AL319" s="1565" t="s">
        <v>2540</v>
      </c>
    </row>
    <row r="320" spans="37:38" x14ac:dyDescent="0.3">
      <c r="AK320" s="1564"/>
      <c r="AL320" s="1565" t="s">
        <v>2541</v>
      </c>
    </row>
    <row r="321" spans="37:38" x14ac:dyDescent="0.3">
      <c r="AK321" s="1564"/>
      <c r="AL321" s="1565" t="s">
        <v>2542</v>
      </c>
    </row>
    <row r="322" spans="37:38" x14ac:dyDescent="0.3">
      <c r="AK322" s="1564"/>
      <c r="AL322" s="1565" t="s">
        <v>2543</v>
      </c>
    </row>
    <row r="323" spans="37:38" x14ac:dyDescent="0.3">
      <c r="AK323" s="1564"/>
      <c r="AL323" s="1565" t="s">
        <v>2544</v>
      </c>
    </row>
    <row r="324" spans="37:38" x14ac:dyDescent="0.3">
      <c r="AK324" s="1564"/>
      <c r="AL324" s="1565" t="s">
        <v>2545</v>
      </c>
    </row>
    <row r="325" spans="37:38" x14ac:dyDescent="0.3">
      <c r="AK325" s="1564"/>
      <c r="AL325" s="1565" t="s">
        <v>2546</v>
      </c>
    </row>
    <row r="326" spans="37:38" x14ac:dyDescent="0.3">
      <c r="AK326" s="1564"/>
      <c r="AL326" s="1565" t="s">
        <v>2547</v>
      </c>
    </row>
    <row r="327" spans="37:38" x14ac:dyDescent="0.3">
      <c r="AK327" s="1564"/>
      <c r="AL327" s="1565" t="s">
        <v>2548</v>
      </c>
    </row>
    <row r="328" spans="37:38" x14ac:dyDescent="0.3">
      <c r="AK328" s="1564"/>
      <c r="AL328" s="1565" t="s">
        <v>2549</v>
      </c>
    </row>
    <row r="329" spans="37:38" x14ac:dyDescent="0.3">
      <c r="AK329" s="1564"/>
      <c r="AL329" s="1565" t="s">
        <v>2550</v>
      </c>
    </row>
    <row r="330" spans="37:38" x14ac:dyDescent="0.3">
      <c r="AK330" s="1564"/>
      <c r="AL330" s="1565" t="s">
        <v>2551</v>
      </c>
    </row>
    <row r="331" spans="37:38" x14ac:dyDescent="0.3">
      <c r="AK331" s="1564"/>
      <c r="AL331" s="1565" t="s">
        <v>2552</v>
      </c>
    </row>
    <row r="332" spans="37:38" x14ac:dyDescent="0.3">
      <c r="AK332" s="1564"/>
      <c r="AL332" s="1565" t="s">
        <v>2553</v>
      </c>
    </row>
    <row r="333" spans="37:38" x14ac:dyDescent="0.3">
      <c r="AK333" s="1564"/>
      <c r="AL333" s="1565" t="s">
        <v>2554</v>
      </c>
    </row>
    <row r="334" spans="37:38" x14ac:dyDescent="0.3">
      <c r="AK334" s="1564"/>
      <c r="AL334" s="1565" t="s">
        <v>2555</v>
      </c>
    </row>
    <row r="335" spans="37:38" x14ac:dyDescent="0.3">
      <c r="AK335" s="1564"/>
      <c r="AL335" s="1565" t="s">
        <v>2556</v>
      </c>
    </row>
    <row r="336" spans="37:38" x14ac:dyDescent="0.3">
      <c r="AK336" s="1564"/>
      <c r="AL336" s="1565" t="s">
        <v>2557</v>
      </c>
    </row>
    <row r="337" spans="37:38" x14ac:dyDescent="0.3">
      <c r="AK337" s="1564"/>
      <c r="AL337" s="1565" t="s">
        <v>2558</v>
      </c>
    </row>
    <row r="338" spans="37:38" x14ac:dyDescent="0.3">
      <c r="AK338" s="1564"/>
      <c r="AL338" s="1565" t="s">
        <v>2559</v>
      </c>
    </row>
    <row r="339" spans="37:38" x14ac:dyDescent="0.3">
      <c r="AK339" s="1564"/>
      <c r="AL339" s="1565" t="s">
        <v>2560</v>
      </c>
    </row>
    <row r="340" spans="37:38" x14ac:dyDescent="0.3">
      <c r="AK340" s="1564"/>
      <c r="AL340" s="1565" t="s">
        <v>2561</v>
      </c>
    </row>
    <row r="341" spans="37:38" x14ac:dyDescent="0.3">
      <c r="AK341" s="1564"/>
      <c r="AL341" s="1565" t="s">
        <v>2562</v>
      </c>
    </row>
    <row r="342" spans="37:38" x14ac:dyDescent="0.3">
      <c r="AK342" s="1564"/>
      <c r="AL342" s="1565" t="s">
        <v>2563</v>
      </c>
    </row>
    <row r="343" spans="37:38" x14ac:dyDescent="0.3">
      <c r="AK343" s="1564"/>
      <c r="AL343" s="1565" t="s">
        <v>2564</v>
      </c>
    </row>
    <row r="344" spans="37:38" ht="25.2" x14ac:dyDescent="0.3">
      <c r="AK344" s="1564"/>
      <c r="AL344" s="1565" t="s">
        <v>2565</v>
      </c>
    </row>
    <row r="345" spans="37:38" ht="25.2" x14ac:dyDescent="0.3">
      <c r="AK345" s="1564"/>
      <c r="AL345" s="1565" t="s">
        <v>2566</v>
      </c>
    </row>
    <row r="346" spans="37:38" x14ac:dyDescent="0.3">
      <c r="AK346" s="1564"/>
      <c r="AL346" s="1565" t="s">
        <v>2567</v>
      </c>
    </row>
    <row r="347" spans="37:38" x14ac:dyDescent="0.3">
      <c r="AK347" s="1564"/>
      <c r="AL347" s="1565" t="s">
        <v>2568</v>
      </c>
    </row>
    <row r="348" spans="37:38" x14ac:dyDescent="0.3">
      <c r="AK348" s="1564"/>
      <c r="AL348" s="1565" t="s">
        <v>2569</v>
      </c>
    </row>
    <row r="349" spans="37:38" x14ac:dyDescent="0.3">
      <c r="AK349" s="1564"/>
      <c r="AL349" s="1565" t="s">
        <v>2570</v>
      </c>
    </row>
    <row r="350" spans="37:38" x14ac:dyDescent="0.3">
      <c r="AK350" s="1564"/>
      <c r="AL350" s="1565" t="s">
        <v>2571</v>
      </c>
    </row>
    <row r="351" spans="37:38" x14ac:dyDescent="0.3">
      <c r="AK351" s="1564"/>
      <c r="AL351" s="1565" t="s">
        <v>2572</v>
      </c>
    </row>
    <row r="352" spans="37:38" x14ac:dyDescent="0.3">
      <c r="AK352" s="1564"/>
      <c r="AL352" s="1565" t="s">
        <v>2573</v>
      </c>
    </row>
    <row r="353" spans="37:38" x14ac:dyDescent="0.3">
      <c r="AK353" s="1564"/>
      <c r="AL353" s="1565" t="s">
        <v>2574</v>
      </c>
    </row>
    <row r="354" spans="37:38" x14ac:dyDescent="0.3">
      <c r="AK354" s="1564"/>
      <c r="AL354" s="1565" t="s">
        <v>2575</v>
      </c>
    </row>
    <row r="355" spans="37:38" x14ac:dyDescent="0.3">
      <c r="AK355" s="1564"/>
      <c r="AL355" s="1565" t="s">
        <v>2576</v>
      </c>
    </row>
    <row r="356" spans="37:38" x14ac:dyDescent="0.3">
      <c r="AK356" s="1564"/>
      <c r="AL356" s="1565" t="s">
        <v>2577</v>
      </c>
    </row>
    <row r="357" spans="37:38" x14ac:dyDescent="0.3">
      <c r="AK357" s="1564"/>
      <c r="AL357" s="1565" t="s">
        <v>2578</v>
      </c>
    </row>
    <row r="358" spans="37:38" ht="25.2" x14ac:dyDescent="0.3">
      <c r="AK358" s="1564"/>
      <c r="AL358" s="1565" t="s">
        <v>2579</v>
      </c>
    </row>
    <row r="359" spans="37:38" x14ac:dyDescent="0.3">
      <c r="AK359" s="1564"/>
      <c r="AL359" s="1565" t="s">
        <v>2580</v>
      </c>
    </row>
    <row r="360" spans="37:38" x14ac:dyDescent="0.3">
      <c r="AK360" s="1564"/>
      <c r="AL360" s="1565" t="s">
        <v>2581</v>
      </c>
    </row>
    <row r="361" spans="37:38" x14ac:dyDescent="0.3">
      <c r="AK361" s="1564"/>
      <c r="AL361" s="1565" t="s">
        <v>2582</v>
      </c>
    </row>
    <row r="362" spans="37:38" x14ac:dyDescent="0.3">
      <c r="AK362" s="1564"/>
      <c r="AL362" s="1565" t="s">
        <v>2583</v>
      </c>
    </row>
    <row r="363" spans="37:38" x14ac:dyDescent="0.3">
      <c r="AK363" s="1564"/>
      <c r="AL363" s="1565" t="s">
        <v>2584</v>
      </c>
    </row>
    <row r="364" spans="37:38" x14ac:dyDescent="0.3">
      <c r="AK364" s="1564"/>
      <c r="AL364" s="1565" t="s">
        <v>2585</v>
      </c>
    </row>
    <row r="365" spans="37:38" x14ac:dyDescent="0.3">
      <c r="AK365" s="1564"/>
      <c r="AL365" s="1565" t="s">
        <v>2586</v>
      </c>
    </row>
    <row r="366" spans="37:38" x14ac:dyDescent="0.3">
      <c r="AK366" s="1564"/>
      <c r="AL366" s="1565" t="s">
        <v>2587</v>
      </c>
    </row>
    <row r="367" spans="37:38" x14ac:dyDescent="0.3">
      <c r="AK367" s="1564"/>
      <c r="AL367" s="1565" t="s">
        <v>2588</v>
      </c>
    </row>
    <row r="368" spans="37:38" x14ac:dyDescent="0.3">
      <c r="AK368" s="1564"/>
      <c r="AL368" s="1565" t="s">
        <v>2589</v>
      </c>
    </row>
    <row r="369" spans="37:38" x14ac:dyDescent="0.3">
      <c r="AK369" s="1564"/>
      <c r="AL369" s="1565" t="s">
        <v>2590</v>
      </c>
    </row>
    <row r="370" spans="37:38" x14ac:dyDescent="0.3">
      <c r="AK370" s="1564"/>
      <c r="AL370" s="1565" t="s">
        <v>2591</v>
      </c>
    </row>
    <row r="371" spans="37:38" x14ac:dyDescent="0.3">
      <c r="AK371" s="1564"/>
      <c r="AL371" s="1565" t="s">
        <v>2592</v>
      </c>
    </row>
    <row r="372" spans="37:38" x14ac:dyDescent="0.3">
      <c r="AK372" s="1564"/>
      <c r="AL372" s="1565" t="s">
        <v>2593</v>
      </c>
    </row>
    <row r="373" spans="37:38" x14ac:dyDescent="0.3">
      <c r="AK373" s="1564"/>
      <c r="AL373" s="1565" t="s">
        <v>2594</v>
      </c>
    </row>
    <row r="374" spans="37:38" x14ac:dyDescent="0.3">
      <c r="AK374" s="1564"/>
      <c r="AL374" s="1565" t="s">
        <v>2595</v>
      </c>
    </row>
    <row r="375" spans="37:38" x14ac:dyDescent="0.3">
      <c r="AK375" s="1564"/>
      <c r="AL375" s="1565" t="s">
        <v>2596</v>
      </c>
    </row>
    <row r="376" spans="37:38" x14ac:dyDescent="0.3">
      <c r="AK376" s="1564"/>
      <c r="AL376" s="1565" t="s">
        <v>2597</v>
      </c>
    </row>
    <row r="377" spans="37:38" x14ac:dyDescent="0.3">
      <c r="AK377" s="1564"/>
      <c r="AL377" s="1565" t="s">
        <v>2598</v>
      </c>
    </row>
    <row r="378" spans="37:38" x14ac:dyDescent="0.3">
      <c r="AK378" s="1564"/>
      <c r="AL378" s="1565" t="s">
        <v>2599</v>
      </c>
    </row>
    <row r="379" spans="37:38" x14ac:dyDescent="0.3">
      <c r="AK379" s="1564"/>
      <c r="AL379" s="1565" t="s">
        <v>2600</v>
      </c>
    </row>
    <row r="380" spans="37:38" x14ac:dyDescent="0.3">
      <c r="AK380" s="1564"/>
      <c r="AL380" s="1565" t="s">
        <v>2601</v>
      </c>
    </row>
    <row r="381" spans="37:38" x14ac:dyDescent="0.3">
      <c r="AK381" s="1564"/>
      <c r="AL381" s="1565" t="s">
        <v>2602</v>
      </c>
    </row>
    <row r="382" spans="37:38" x14ac:dyDescent="0.3">
      <c r="AK382" s="1564"/>
      <c r="AL382" s="1565" t="s">
        <v>2603</v>
      </c>
    </row>
    <row r="383" spans="37:38" x14ac:dyDescent="0.3">
      <c r="AK383" s="1564"/>
      <c r="AL383" s="1565" t="s">
        <v>2604</v>
      </c>
    </row>
    <row r="384" spans="37:38" x14ac:dyDescent="0.3">
      <c r="AK384" s="1564"/>
      <c r="AL384" s="1565" t="s">
        <v>2605</v>
      </c>
    </row>
    <row r="385" spans="37:38" x14ac:dyDescent="0.3">
      <c r="AK385" s="1564"/>
      <c r="AL385" s="1565" t="s">
        <v>2606</v>
      </c>
    </row>
    <row r="386" spans="37:38" x14ac:dyDescent="0.3">
      <c r="AK386" s="1564"/>
      <c r="AL386" s="1565" t="s">
        <v>2607</v>
      </c>
    </row>
    <row r="387" spans="37:38" x14ac:dyDescent="0.3">
      <c r="AK387" s="1564"/>
      <c r="AL387" s="1565" t="s">
        <v>2608</v>
      </c>
    </row>
    <row r="388" spans="37:38" x14ac:dyDescent="0.3">
      <c r="AK388" s="1564"/>
      <c r="AL388" s="1565" t="s">
        <v>2609</v>
      </c>
    </row>
    <row r="389" spans="37:38" x14ac:dyDescent="0.3">
      <c r="AK389" s="1564"/>
      <c r="AL389" s="1565" t="s">
        <v>2610</v>
      </c>
    </row>
    <row r="390" spans="37:38" x14ac:dyDescent="0.3">
      <c r="AK390" s="1564"/>
      <c r="AL390" s="1565" t="s">
        <v>2175</v>
      </c>
    </row>
    <row r="391" spans="37:38" x14ac:dyDescent="0.3">
      <c r="AK391" s="1564"/>
      <c r="AL391" s="1565" t="s">
        <v>2611</v>
      </c>
    </row>
    <row r="392" spans="37:38" x14ac:dyDescent="0.3">
      <c r="AK392" s="1564"/>
      <c r="AL392" s="1565" t="s">
        <v>2612</v>
      </c>
    </row>
    <row r="393" spans="37:38" x14ac:dyDescent="0.3">
      <c r="AK393" s="1564"/>
      <c r="AL393" s="1565" t="s">
        <v>2613</v>
      </c>
    </row>
    <row r="394" spans="37:38" x14ac:dyDescent="0.3">
      <c r="AK394" s="1564"/>
      <c r="AL394" s="1565" t="s">
        <v>2614</v>
      </c>
    </row>
    <row r="395" spans="37:38" x14ac:dyDescent="0.3">
      <c r="AK395" s="1564"/>
      <c r="AL395" s="1565" t="s">
        <v>2615</v>
      </c>
    </row>
    <row r="396" spans="37:38" x14ac:dyDescent="0.3">
      <c r="AK396" s="1564"/>
      <c r="AL396" s="1565" t="s">
        <v>2616</v>
      </c>
    </row>
    <row r="397" spans="37:38" ht="25.2" x14ac:dyDescent="0.3">
      <c r="AK397" s="1564"/>
      <c r="AL397" s="1565" t="s">
        <v>2617</v>
      </c>
    </row>
    <row r="398" spans="37:38" ht="25.2" x14ac:dyDescent="0.3">
      <c r="AK398" s="1564"/>
      <c r="AL398" s="1565" t="s">
        <v>2618</v>
      </c>
    </row>
    <row r="399" spans="37:38" x14ac:dyDescent="0.3">
      <c r="AK399" s="1564"/>
      <c r="AL399" s="1565" t="s">
        <v>2619</v>
      </c>
    </row>
    <row r="400" spans="37:38" x14ac:dyDescent="0.3">
      <c r="AK400" s="1564"/>
      <c r="AL400" s="1565" t="s">
        <v>2620</v>
      </c>
    </row>
    <row r="401" spans="37:38" x14ac:dyDescent="0.3">
      <c r="AK401" s="1564"/>
      <c r="AL401" s="1565" t="s">
        <v>2621</v>
      </c>
    </row>
    <row r="402" spans="37:38" x14ac:dyDescent="0.3">
      <c r="AK402" s="1564"/>
      <c r="AL402" s="1565" t="s">
        <v>2622</v>
      </c>
    </row>
    <row r="403" spans="37:38" x14ac:dyDescent="0.3">
      <c r="AK403" s="1564"/>
      <c r="AL403" s="1565" t="s">
        <v>2623</v>
      </c>
    </row>
    <row r="404" spans="37:38" ht="15" thickBot="1" x14ac:dyDescent="0.35">
      <c r="AK404" s="446"/>
      <c r="AL404" s="447" t="s">
        <v>2624</v>
      </c>
    </row>
  </sheetData>
  <mergeCells count="8">
    <mergeCell ref="AU1:AY1"/>
    <mergeCell ref="AZ1:BB1"/>
    <mergeCell ref="AK1:AL1"/>
    <mergeCell ref="AM1:AO1"/>
    <mergeCell ref="AP1:AP2"/>
    <mergeCell ref="AQ1:AQ2"/>
    <mergeCell ref="AT1:AT2"/>
    <mergeCell ref="AR1:AS1"/>
  </mergeCells>
  <dataValidations count="2">
    <dataValidation type="list" allowBlank="1" showInputMessage="1" showErrorMessage="1" sqref="AM3:AM20" xr:uid="{00000000-0002-0000-1300-000000000000}">
      <formula1>Spec._No._Gen</formula1>
    </dataValidation>
    <dataValidation type="list" allowBlank="1" showInputMessage="1" showErrorMessage="1" sqref="AN3:AN20" xr:uid="{00000000-0002-0000-1300-000001000000}">
      <formula1>Type_Grade_Gen</formula1>
    </dataValidation>
  </dataValidations>
  <pageMargins left="0.70866141732283472" right="0.70866141732283472" top="0.74803149606299213" bottom="0.74803149606299213" header="0.31496062992125984" footer="0.31496062992125984"/>
  <pageSetup fitToHeight="0" orientation="portrait" r:id="rId1"/>
  <headerFooter>
    <oddHeader>&amp;LMCE Vers. 1.0&amp;C&amp;F&amp;R&amp;"Calibri,Normale"&amp;8 Document classified as: 2 - Company Confidential&amp;1#</oddHeader>
    <oddFooter>&amp;C&amp;A - &amp;P&amp;R&amp;D</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0" tint="-0.34998626667073579"/>
    <pageSetUpPr fitToPage="1"/>
  </sheetPr>
  <dimension ref="A1"/>
  <sheetViews>
    <sheetView workbookViewId="0">
      <selection activeCell="G9" sqref="G9"/>
    </sheetView>
  </sheetViews>
  <sheetFormatPr defaultRowHeight="14.4" x14ac:dyDescent="0.3"/>
  <sheetData/>
  <pageMargins left="0.70866141732283472" right="0.70866141732283472" top="0.74803149606299213" bottom="0.74803149606299213" header="0.31496062992125984" footer="0.31496062992125984"/>
  <pageSetup fitToHeight="0" orientation="portrait" r:id="rId1"/>
  <headerFooter>
    <oddHeader>&amp;LMCE Vers. 1.0&amp;C&amp;F&amp;R&amp;"Calibri,Normale"&amp;8 Document classified as: 2 - Company Confidential&amp;1#</oddHeader>
    <oddFooter>&amp;C&amp;A - &amp;P&amp;R&amp;D</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0" tint="-0.34998626667073579"/>
    <pageSetUpPr fitToPage="1"/>
  </sheetPr>
  <dimension ref="A1"/>
  <sheetViews>
    <sheetView workbookViewId="0">
      <selection activeCell="S7" sqref="S7"/>
    </sheetView>
  </sheetViews>
  <sheetFormatPr defaultRowHeight="14.4" x14ac:dyDescent="0.3"/>
  <sheetData>
    <row r="1" spans="1:1" x14ac:dyDescent="0.3">
      <c r="A1" t="s">
        <v>2652</v>
      </c>
    </row>
  </sheetData>
  <pageMargins left="0.70866141732283472" right="0.70866141732283472" top="0.74803149606299213" bottom="0.74803149606299213" header="0.31496062992125984" footer="0.31496062992125984"/>
  <pageSetup fitToHeight="0" orientation="portrait" r:id="rId1"/>
  <headerFooter>
    <oddHeader>&amp;LMCE Vers. 1.0&amp;C&amp;F&amp;R&amp;"Calibri,Normale"&amp;8 Document classified as: 2 - Company Confidential&amp;1#</oddHeader>
    <oddFooter>&amp;C&amp;A - &amp;P&amp;R&amp;D</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oglio16">
    <tabColor rgb="FFFF0000"/>
    <pageSetUpPr fitToPage="1"/>
  </sheetPr>
  <dimension ref="A1:AZ1428"/>
  <sheetViews>
    <sheetView workbookViewId="0"/>
  </sheetViews>
  <sheetFormatPr defaultColWidth="9.21875" defaultRowHeight="14.4" x14ac:dyDescent="0.25"/>
  <cols>
    <col min="1" max="1" width="20.44140625" style="419" customWidth="1"/>
    <col min="2" max="2" width="10.77734375" style="419" customWidth="1"/>
    <col min="3" max="3" width="29.21875" style="419" bestFit="1" customWidth="1"/>
    <col min="4" max="4" width="31.5546875" style="419" customWidth="1"/>
    <col min="5" max="5" width="25.44140625" style="419" customWidth="1"/>
    <col min="6" max="6" width="16.44140625" style="419" bestFit="1" customWidth="1"/>
    <col min="7" max="7" width="12.5546875" style="419" bestFit="1" customWidth="1"/>
    <col min="8" max="8" width="12.21875" style="419" bestFit="1" customWidth="1"/>
    <col min="9" max="9" width="12.77734375" style="419" bestFit="1" customWidth="1"/>
    <col min="10" max="10" width="7.77734375" style="419" bestFit="1" customWidth="1"/>
    <col min="11" max="11" width="11.44140625" style="419" bestFit="1" customWidth="1"/>
    <col min="12" max="12" width="12.77734375" style="419" bestFit="1" customWidth="1"/>
    <col min="13" max="13" width="10.77734375" style="419" bestFit="1" customWidth="1"/>
    <col min="14" max="14" width="8.77734375" style="419" bestFit="1" customWidth="1"/>
    <col min="15" max="15" width="20.21875" style="419" customWidth="1"/>
    <col min="16" max="18" width="10.21875" style="419" bestFit="1" customWidth="1"/>
    <col min="19" max="19" width="43" style="419" customWidth="1"/>
    <col min="20" max="20" width="10.77734375" style="411" customWidth="1"/>
    <col min="21" max="35" width="8.77734375" style="411" bestFit="1" customWidth="1"/>
    <col min="36" max="36" width="9.77734375" style="411" bestFit="1" customWidth="1"/>
    <col min="37" max="52" width="8.77734375" style="411" bestFit="1" customWidth="1"/>
    <col min="53" max="16384" width="9.21875" style="140"/>
  </cols>
  <sheetData>
    <row r="1" spans="1:52" s="411" customFormat="1" x14ac:dyDescent="0.3">
      <c r="A1" s="408"/>
      <c r="B1" s="408" t="s">
        <v>2653</v>
      </c>
      <c r="C1" s="409"/>
      <c r="D1" s="409"/>
      <c r="E1" s="409"/>
      <c r="F1" s="409"/>
      <c r="G1" s="409"/>
      <c r="H1" s="409"/>
      <c r="I1" s="409"/>
      <c r="J1" s="409"/>
      <c r="K1" s="409"/>
      <c r="L1" s="409"/>
      <c r="M1" s="409"/>
      <c r="N1" s="409"/>
      <c r="O1" s="409"/>
      <c r="P1" s="409"/>
      <c r="Q1" s="409"/>
      <c r="R1" s="409"/>
      <c r="S1" s="409"/>
      <c r="T1" s="410"/>
      <c r="U1" s="410"/>
      <c r="V1" s="410"/>
      <c r="W1" s="410"/>
      <c r="X1" s="410"/>
      <c r="Y1" s="410"/>
      <c r="Z1" s="410"/>
      <c r="AA1" s="410"/>
      <c r="AB1" s="410"/>
      <c r="AC1" s="410"/>
      <c r="AD1" s="410"/>
      <c r="AE1" s="410"/>
      <c r="AF1" s="410"/>
      <c r="AG1" s="410"/>
      <c r="AH1" s="410"/>
      <c r="AI1" s="410"/>
      <c r="AJ1" s="410"/>
      <c r="AK1" s="410"/>
      <c r="AL1" s="410"/>
      <c r="AM1" s="410"/>
      <c r="AN1" s="410"/>
      <c r="AO1" s="410"/>
      <c r="AP1" s="410"/>
      <c r="AQ1" s="410"/>
      <c r="AR1" s="410"/>
      <c r="AS1" s="410"/>
      <c r="AT1" s="410"/>
      <c r="AU1" s="410"/>
      <c r="AV1" s="410"/>
      <c r="AW1" s="410"/>
      <c r="AX1" s="410"/>
      <c r="AY1" s="410"/>
      <c r="AZ1" s="410"/>
    </row>
    <row r="2" spans="1:52" s="411" customFormat="1" x14ac:dyDescent="0.3">
      <c r="A2" s="408"/>
      <c r="B2" s="408" t="s">
        <v>2654</v>
      </c>
      <c r="C2" s="409"/>
      <c r="D2" s="409"/>
      <c r="E2" s="409"/>
      <c r="F2" s="409"/>
      <c r="G2" s="409"/>
      <c r="H2" s="409"/>
      <c r="I2" s="409"/>
      <c r="J2" s="409"/>
      <c r="K2" s="409"/>
      <c r="L2" s="409"/>
      <c r="M2" s="409"/>
      <c r="N2" s="409"/>
      <c r="O2" s="409"/>
      <c r="P2" s="409"/>
      <c r="Q2" s="409"/>
      <c r="R2" s="409"/>
      <c r="S2" s="409"/>
      <c r="T2" s="410"/>
      <c r="U2" s="410"/>
      <c r="V2" s="410"/>
      <c r="W2" s="410"/>
      <c r="X2" s="410"/>
      <c r="Y2" s="410"/>
      <c r="Z2" s="410"/>
      <c r="AA2" s="410"/>
      <c r="AB2" s="410"/>
      <c r="AC2" s="410"/>
      <c r="AD2" s="410"/>
      <c r="AE2" s="410"/>
      <c r="AF2" s="410"/>
      <c r="AG2" s="410"/>
      <c r="AH2" s="410"/>
      <c r="AI2" s="410"/>
      <c r="AJ2" s="410"/>
      <c r="AK2" s="410"/>
      <c r="AL2" s="410"/>
      <c r="AM2" s="410"/>
      <c r="AN2" s="410"/>
      <c r="AO2" s="410"/>
      <c r="AP2" s="410"/>
      <c r="AQ2" s="410"/>
      <c r="AR2" s="410"/>
      <c r="AS2" s="410"/>
      <c r="AT2" s="410"/>
      <c r="AU2" s="410"/>
      <c r="AV2" s="410"/>
      <c r="AW2" s="410"/>
      <c r="AX2" s="410"/>
      <c r="AY2" s="410"/>
      <c r="AZ2" s="410"/>
    </row>
    <row r="3" spans="1:52" s="411" customFormat="1" x14ac:dyDescent="0.3">
      <c r="A3" s="408"/>
      <c r="B3" s="408" t="s">
        <v>2655</v>
      </c>
      <c r="C3" s="409"/>
      <c r="D3" s="409"/>
      <c r="E3" s="409"/>
      <c r="F3" s="409"/>
      <c r="G3" s="409"/>
      <c r="H3" s="409"/>
      <c r="I3" s="409"/>
      <c r="J3" s="409"/>
      <c r="K3" s="409"/>
      <c r="L3" s="409"/>
      <c r="M3" s="409"/>
      <c r="N3" s="409"/>
      <c r="O3" s="409"/>
      <c r="P3" s="409"/>
      <c r="Q3" s="409"/>
      <c r="R3" s="409"/>
      <c r="S3" s="409"/>
      <c r="T3" s="410"/>
      <c r="U3" s="410"/>
      <c r="V3" s="410"/>
      <c r="W3" s="410"/>
      <c r="X3" s="410"/>
      <c r="Y3" s="410"/>
      <c r="Z3" s="410"/>
      <c r="AA3" s="410"/>
      <c r="AB3" s="410"/>
      <c r="AC3" s="410"/>
      <c r="AD3" s="410"/>
      <c r="AE3" s="410"/>
      <c r="AF3" s="410"/>
      <c r="AG3" s="410"/>
      <c r="AH3" s="410"/>
      <c r="AI3" s="410"/>
      <c r="AJ3" s="410"/>
      <c r="AK3" s="410"/>
      <c r="AL3" s="410"/>
      <c r="AM3" s="410"/>
      <c r="AN3" s="410"/>
      <c r="AO3" s="410"/>
      <c r="AP3" s="410"/>
      <c r="AQ3" s="410"/>
      <c r="AR3" s="410"/>
      <c r="AS3" s="410"/>
      <c r="AT3" s="410"/>
      <c r="AU3" s="410"/>
      <c r="AV3" s="410"/>
      <c r="AW3" s="410"/>
      <c r="AX3" s="410"/>
      <c r="AY3" s="410"/>
      <c r="AZ3" s="410"/>
    </row>
    <row r="4" spans="1:52" s="411" customFormat="1" x14ac:dyDescent="0.3">
      <c r="A4" s="408"/>
      <c r="B4" s="408" t="s">
        <v>2656</v>
      </c>
      <c r="C4" s="409"/>
      <c r="D4" s="409"/>
      <c r="E4" s="409"/>
      <c r="F4" s="409"/>
      <c r="G4" s="409"/>
      <c r="H4" s="409"/>
      <c r="I4" s="409"/>
      <c r="J4" s="409"/>
      <c r="K4" s="409"/>
      <c r="L4" s="409"/>
      <c r="M4" s="409"/>
      <c r="N4" s="409"/>
      <c r="O4" s="409"/>
      <c r="P4" s="409"/>
      <c r="Q4" s="409"/>
      <c r="R4" s="409"/>
      <c r="S4" s="409"/>
      <c r="T4" s="410"/>
      <c r="U4" s="410"/>
      <c r="V4" s="410"/>
      <c r="W4" s="410"/>
      <c r="X4" s="410"/>
      <c r="Y4" s="410"/>
      <c r="Z4" s="410"/>
      <c r="AA4" s="410"/>
      <c r="AB4" s="410"/>
      <c r="AC4" s="410"/>
      <c r="AD4" s="410"/>
      <c r="AE4" s="410"/>
      <c r="AF4" s="410"/>
      <c r="AG4" s="410"/>
      <c r="AH4" s="410"/>
      <c r="AI4" s="410"/>
      <c r="AJ4" s="410"/>
      <c r="AK4" s="410"/>
      <c r="AL4" s="410"/>
      <c r="AM4" s="410"/>
      <c r="AN4" s="410"/>
      <c r="AO4" s="410"/>
      <c r="AP4" s="410"/>
      <c r="AQ4" s="410"/>
      <c r="AR4" s="410"/>
      <c r="AS4" s="410"/>
      <c r="AT4" s="410"/>
      <c r="AU4" s="410"/>
      <c r="AV4" s="410"/>
      <c r="AW4" s="410"/>
      <c r="AX4" s="410"/>
      <c r="AY4" s="410"/>
      <c r="AZ4" s="410"/>
    </row>
    <row r="5" spans="1:52" s="412" customFormat="1" ht="15" customHeight="1" x14ac:dyDescent="0.3">
      <c r="A5" s="1583"/>
      <c r="B5" s="1583"/>
      <c r="C5" s="1584"/>
      <c r="D5" s="1584"/>
      <c r="E5" s="1584"/>
      <c r="F5" s="1584"/>
      <c r="G5" s="1583"/>
      <c r="H5" s="1583"/>
      <c r="I5" s="1584"/>
      <c r="J5" s="1584"/>
      <c r="K5" s="1583"/>
      <c r="L5" s="1584"/>
      <c r="M5" s="1584"/>
      <c r="N5" s="1854" t="s">
        <v>2657</v>
      </c>
      <c r="O5" s="1854"/>
      <c r="P5" s="1854"/>
      <c r="Q5" s="1855"/>
      <c r="R5" s="1586"/>
      <c r="S5" s="1584"/>
      <c r="T5" s="1587" t="s">
        <v>2658</v>
      </c>
      <c r="U5" s="1588"/>
      <c r="V5" s="1588"/>
      <c r="W5" s="1588"/>
      <c r="X5" s="1588"/>
      <c r="Y5" s="1588"/>
      <c r="Z5" s="1588"/>
      <c r="AA5" s="1588"/>
      <c r="AB5" s="1588"/>
      <c r="AC5" s="1588"/>
      <c r="AD5" s="1588"/>
      <c r="AE5" s="1588"/>
      <c r="AF5" s="1588"/>
      <c r="AG5" s="1588"/>
      <c r="AH5" s="1588"/>
      <c r="AI5" s="1588"/>
      <c r="AJ5" s="1588"/>
      <c r="AK5" s="1588"/>
      <c r="AL5" s="1588"/>
      <c r="AM5" s="1588"/>
      <c r="AN5" s="1588"/>
      <c r="AO5" s="1588"/>
      <c r="AP5" s="1588"/>
      <c r="AQ5" s="1588"/>
      <c r="AR5" s="1588"/>
      <c r="AS5" s="1588"/>
      <c r="AT5" s="1588"/>
      <c r="AU5" s="1588"/>
      <c r="AV5" s="1588"/>
      <c r="AW5" s="1588"/>
      <c r="AX5" s="1588"/>
      <c r="AY5" s="1588"/>
      <c r="AZ5" s="1589"/>
    </row>
    <row r="6" spans="1:52" s="412" customFormat="1" ht="43.2" x14ac:dyDescent="0.3">
      <c r="A6" s="1585" t="s">
        <v>2140</v>
      </c>
      <c r="B6" s="1585" t="s">
        <v>2659</v>
      </c>
      <c r="C6" s="1585" t="s">
        <v>2660</v>
      </c>
      <c r="D6" s="1585" t="s">
        <v>2661</v>
      </c>
      <c r="E6" s="1585" t="s">
        <v>2662</v>
      </c>
      <c r="F6" s="1585" t="s">
        <v>2139</v>
      </c>
      <c r="G6" s="1585" t="s">
        <v>2663</v>
      </c>
      <c r="H6" s="1585" t="s">
        <v>2664</v>
      </c>
      <c r="I6" s="1585" t="s">
        <v>2665</v>
      </c>
      <c r="J6" s="1585" t="s">
        <v>2666</v>
      </c>
      <c r="K6" s="1585" t="s">
        <v>2667</v>
      </c>
      <c r="L6" s="1585" t="s">
        <v>2668</v>
      </c>
      <c r="M6" s="1585" t="s">
        <v>2669</v>
      </c>
      <c r="N6" s="1585" t="s">
        <v>2483</v>
      </c>
      <c r="O6" s="1585" t="s">
        <v>2485</v>
      </c>
      <c r="P6" s="1585" t="s">
        <v>2670</v>
      </c>
      <c r="Q6" s="1585" t="s">
        <v>2671</v>
      </c>
      <c r="R6" s="1585" t="s">
        <v>2672</v>
      </c>
      <c r="S6" s="1585" t="s">
        <v>1655</v>
      </c>
      <c r="T6" s="1585">
        <v>-30</v>
      </c>
      <c r="U6" s="1585">
        <v>40</v>
      </c>
      <c r="V6" s="1585">
        <v>65</v>
      </c>
      <c r="W6" s="1585">
        <v>100</v>
      </c>
      <c r="X6" s="1585">
        <v>125</v>
      </c>
      <c r="Y6" s="1585">
        <v>150</v>
      </c>
      <c r="Z6" s="1585">
        <v>200</v>
      </c>
      <c r="AA6" s="1585">
        <v>250</v>
      </c>
      <c r="AB6" s="1585">
        <v>300</v>
      </c>
      <c r="AC6" s="1585">
        <v>325</v>
      </c>
      <c r="AD6" s="1585">
        <v>350</v>
      </c>
      <c r="AE6" s="1585">
        <v>375</v>
      </c>
      <c r="AF6" s="1585">
        <v>400</v>
      </c>
      <c r="AG6" s="1585">
        <v>425</v>
      </c>
      <c r="AH6" s="1585">
        <v>450</v>
      </c>
      <c r="AI6" s="1585">
        <v>475</v>
      </c>
      <c r="AJ6" s="1585">
        <v>500</v>
      </c>
      <c r="AK6" s="1585">
        <v>525</v>
      </c>
      <c r="AL6" s="1585">
        <v>550</v>
      </c>
      <c r="AM6" s="1585">
        <v>575</v>
      </c>
      <c r="AN6" s="1585">
        <v>600</v>
      </c>
      <c r="AO6" s="1585">
        <v>625</v>
      </c>
      <c r="AP6" s="1585">
        <v>650</v>
      </c>
      <c r="AQ6" s="1585">
        <v>675</v>
      </c>
      <c r="AR6" s="1585">
        <v>700</v>
      </c>
      <c r="AS6" s="1585">
        <v>725</v>
      </c>
      <c r="AT6" s="1585">
        <v>750</v>
      </c>
      <c r="AU6" s="1585">
        <v>775</v>
      </c>
      <c r="AV6" s="1585">
        <v>800</v>
      </c>
      <c r="AW6" s="1585">
        <v>825</v>
      </c>
      <c r="AX6" s="1585">
        <v>850</v>
      </c>
      <c r="AY6" s="1585">
        <v>875</v>
      </c>
      <c r="AZ6" s="1585">
        <v>900</v>
      </c>
    </row>
    <row r="7" spans="1:52" s="411" customFormat="1" x14ac:dyDescent="0.3">
      <c r="A7" s="413" t="str">
        <f>CONCATENATE(E7," Gr.",F7)</f>
        <v>SA-1008 Gr.CS-A</v>
      </c>
      <c r="B7" s="413">
        <v>1</v>
      </c>
      <c r="C7" s="413" t="s">
        <v>2673</v>
      </c>
      <c r="D7" s="413" t="s">
        <v>2674</v>
      </c>
      <c r="E7" s="413" t="s">
        <v>2178</v>
      </c>
      <c r="F7" s="413" t="s">
        <v>2412</v>
      </c>
      <c r="G7" s="413">
        <v>0</v>
      </c>
      <c r="H7" s="413">
        <v>0</v>
      </c>
      <c r="I7" s="413">
        <v>0</v>
      </c>
      <c r="J7" s="413">
        <v>1</v>
      </c>
      <c r="K7" s="413">
        <v>1</v>
      </c>
      <c r="L7" s="413">
        <v>275</v>
      </c>
      <c r="M7" s="413">
        <v>140</v>
      </c>
      <c r="N7" s="413" t="s">
        <v>2675</v>
      </c>
      <c r="O7" s="413" t="s">
        <v>2675</v>
      </c>
      <c r="P7" s="413">
        <v>343</v>
      </c>
      <c r="Q7" s="413" t="s">
        <v>2675</v>
      </c>
      <c r="R7" s="413" t="s">
        <v>2676</v>
      </c>
      <c r="S7" s="413">
        <v>0</v>
      </c>
      <c r="T7" s="414">
        <v>78.599999999999994</v>
      </c>
      <c r="U7" s="414">
        <v>78.599999999999994</v>
      </c>
      <c r="V7" s="414">
        <v>78.599999999999994</v>
      </c>
      <c r="W7" s="414">
        <v>78.599999999999994</v>
      </c>
      <c r="X7" s="414">
        <v>78.599999999999994</v>
      </c>
      <c r="Y7" s="414">
        <v>78.599999999999994</v>
      </c>
      <c r="Z7" s="414">
        <v>78.599999999999994</v>
      </c>
      <c r="AA7" s="414">
        <v>76</v>
      </c>
      <c r="AB7" s="414">
        <v>71.599999999999994</v>
      </c>
      <c r="AC7" s="414">
        <v>69.599999999999994</v>
      </c>
      <c r="AD7" s="414">
        <v>67.8</v>
      </c>
      <c r="AE7" s="414">
        <v>0</v>
      </c>
      <c r="AF7" s="414">
        <v>0</v>
      </c>
      <c r="AG7" s="414">
        <v>0</v>
      </c>
      <c r="AH7" s="414">
        <v>0</v>
      </c>
      <c r="AI7" s="414">
        <v>0</v>
      </c>
      <c r="AJ7" s="414">
        <v>0</v>
      </c>
      <c r="AK7" s="414">
        <v>0</v>
      </c>
      <c r="AL7" s="414">
        <v>0</v>
      </c>
      <c r="AM7" s="414">
        <v>0</v>
      </c>
      <c r="AN7" s="414">
        <v>0</v>
      </c>
      <c r="AO7" s="414">
        <v>0</v>
      </c>
      <c r="AP7" s="414">
        <v>0</v>
      </c>
      <c r="AQ7" s="414">
        <v>0</v>
      </c>
      <c r="AR7" s="414">
        <v>0</v>
      </c>
      <c r="AS7" s="414">
        <v>0</v>
      </c>
      <c r="AT7" s="414">
        <v>0</v>
      </c>
      <c r="AU7" s="414">
        <v>0</v>
      </c>
      <c r="AV7" s="414">
        <v>0</v>
      </c>
      <c r="AW7" s="414">
        <v>0</v>
      </c>
      <c r="AX7" s="414">
        <v>0</v>
      </c>
      <c r="AY7" s="414">
        <v>0</v>
      </c>
      <c r="AZ7" s="414">
        <v>0</v>
      </c>
    </row>
    <row r="8" spans="1:52" s="411" customFormat="1" x14ac:dyDescent="0.3">
      <c r="A8" s="415" t="str">
        <f t="shared" ref="A8:A71" si="0">CONCATENATE(E8," Gr.",F8)</f>
        <v>SA-1008 Gr.CS-B</v>
      </c>
      <c r="B8" s="415">
        <v>2</v>
      </c>
      <c r="C8" s="415" t="s">
        <v>2673</v>
      </c>
      <c r="D8" s="415" t="s">
        <v>2674</v>
      </c>
      <c r="E8" s="415" t="s">
        <v>2178</v>
      </c>
      <c r="F8" s="415" t="s">
        <v>2413</v>
      </c>
      <c r="G8" s="415">
        <v>0</v>
      </c>
      <c r="H8" s="415">
        <v>0</v>
      </c>
      <c r="I8" s="415">
        <v>0</v>
      </c>
      <c r="J8" s="415">
        <v>1</v>
      </c>
      <c r="K8" s="415">
        <v>1</v>
      </c>
      <c r="L8" s="415">
        <v>275</v>
      </c>
      <c r="M8" s="415">
        <v>140</v>
      </c>
      <c r="N8" s="415" t="s">
        <v>2675</v>
      </c>
      <c r="O8" s="415" t="s">
        <v>2675</v>
      </c>
      <c r="P8" s="415">
        <v>343</v>
      </c>
      <c r="Q8" s="415" t="s">
        <v>2675</v>
      </c>
      <c r="R8" s="415" t="s">
        <v>2676</v>
      </c>
      <c r="S8" s="415">
        <v>0</v>
      </c>
      <c r="T8" s="416">
        <v>78.599999999999994</v>
      </c>
      <c r="U8" s="416">
        <v>78.599999999999994</v>
      </c>
      <c r="V8" s="416">
        <v>78.599999999999994</v>
      </c>
      <c r="W8" s="416">
        <v>78.599999999999994</v>
      </c>
      <c r="X8" s="416">
        <v>78.599999999999994</v>
      </c>
      <c r="Y8" s="416">
        <v>78.599999999999994</v>
      </c>
      <c r="Z8" s="416">
        <v>78.599999999999994</v>
      </c>
      <c r="AA8" s="416">
        <v>76</v>
      </c>
      <c r="AB8" s="416">
        <v>71.599999999999994</v>
      </c>
      <c r="AC8" s="416">
        <v>69.599999999999994</v>
      </c>
      <c r="AD8" s="416">
        <v>67.8</v>
      </c>
      <c r="AE8" s="416">
        <v>0</v>
      </c>
      <c r="AF8" s="416">
        <v>0</v>
      </c>
      <c r="AG8" s="416">
        <v>0</v>
      </c>
      <c r="AH8" s="416">
        <v>0</v>
      </c>
      <c r="AI8" s="416">
        <v>0</v>
      </c>
      <c r="AJ8" s="416">
        <v>0</v>
      </c>
      <c r="AK8" s="416">
        <v>0</v>
      </c>
      <c r="AL8" s="416">
        <v>0</v>
      </c>
      <c r="AM8" s="416">
        <v>0</v>
      </c>
      <c r="AN8" s="416">
        <v>0</v>
      </c>
      <c r="AO8" s="416">
        <v>0</v>
      </c>
      <c r="AP8" s="416">
        <v>0</v>
      </c>
      <c r="AQ8" s="416">
        <v>0</v>
      </c>
      <c r="AR8" s="416">
        <v>0</v>
      </c>
      <c r="AS8" s="416">
        <v>0</v>
      </c>
      <c r="AT8" s="416">
        <v>0</v>
      </c>
      <c r="AU8" s="416">
        <v>0</v>
      </c>
      <c r="AV8" s="416">
        <v>0</v>
      </c>
      <c r="AW8" s="416">
        <v>0</v>
      </c>
      <c r="AX8" s="416">
        <v>0</v>
      </c>
      <c r="AY8" s="416">
        <v>0</v>
      </c>
      <c r="AZ8" s="416">
        <v>0</v>
      </c>
    </row>
    <row r="9" spans="1:52" s="411" customFormat="1" x14ac:dyDescent="0.3">
      <c r="A9" s="415" t="str">
        <f t="shared" si="0"/>
        <v>SA-675 Gr.45</v>
      </c>
      <c r="B9" s="415">
        <v>3</v>
      </c>
      <c r="C9" s="415" t="s">
        <v>2673</v>
      </c>
      <c r="D9" s="415" t="s">
        <v>2677</v>
      </c>
      <c r="E9" s="415" t="s">
        <v>2299</v>
      </c>
      <c r="F9" s="415">
        <v>45</v>
      </c>
      <c r="G9" s="415">
        <v>0</v>
      </c>
      <c r="H9" s="415">
        <v>0</v>
      </c>
      <c r="I9" s="415">
        <v>0</v>
      </c>
      <c r="J9" s="415">
        <v>1</v>
      </c>
      <c r="K9" s="415">
        <v>1</v>
      </c>
      <c r="L9" s="415">
        <v>310</v>
      </c>
      <c r="M9" s="415">
        <v>155</v>
      </c>
      <c r="N9" s="415" t="s">
        <v>2675</v>
      </c>
      <c r="O9" s="415" t="s">
        <v>2678</v>
      </c>
      <c r="P9" s="415">
        <v>482</v>
      </c>
      <c r="Q9" s="415">
        <v>343</v>
      </c>
      <c r="R9" s="415" t="s">
        <v>2676</v>
      </c>
      <c r="S9" s="415" t="s">
        <v>2679</v>
      </c>
      <c r="T9" s="416">
        <v>88.9</v>
      </c>
      <c r="U9" s="416">
        <v>88.9</v>
      </c>
      <c r="V9" s="416">
        <v>88.9</v>
      </c>
      <c r="W9" s="416">
        <v>88.9</v>
      </c>
      <c r="X9" s="416">
        <v>88.9</v>
      </c>
      <c r="Y9" s="416">
        <v>88.9</v>
      </c>
      <c r="Z9" s="416">
        <v>88.4</v>
      </c>
      <c r="AA9" s="416">
        <v>85</v>
      </c>
      <c r="AB9" s="416">
        <v>80.7</v>
      </c>
      <c r="AC9" s="416">
        <v>78.400000000000006</v>
      </c>
      <c r="AD9" s="416">
        <v>75.8</v>
      </c>
      <c r="AE9" s="416">
        <v>73.5</v>
      </c>
      <c r="AF9" s="416">
        <v>71.5</v>
      </c>
      <c r="AG9" s="416">
        <v>64</v>
      </c>
      <c r="AH9" s="416">
        <v>56.1</v>
      </c>
      <c r="AI9" s="416">
        <v>44.5</v>
      </c>
      <c r="AJ9" s="416">
        <v>31.7</v>
      </c>
      <c r="AK9" s="416">
        <v>0</v>
      </c>
      <c r="AL9" s="416">
        <v>0</v>
      </c>
      <c r="AM9" s="416">
        <v>0</v>
      </c>
      <c r="AN9" s="416">
        <v>0</v>
      </c>
      <c r="AO9" s="416">
        <v>0</v>
      </c>
      <c r="AP9" s="416">
        <v>0</v>
      </c>
      <c r="AQ9" s="416">
        <v>0</v>
      </c>
      <c r="AR9" s="416">
        <v>0</v>
      </c>
      <c r="AS9" s="416">
        <v>0</v>
      </c>
      <c r="AT9" s="416">
        <v>0</v>
      </c>
      <c r="AU9" s="416">
        <v>0</v>
      </c>
      <c r="AV9" s="416">
        <v>0</v>
      </c>
      <c r="AW9" s="416">
        <v>0</v>
      </c>
      <c r="AX9" s="416">
        <v>0</v>
      </c>
      <c r="AY9" s="416">
        <v>0</v>
      </c>
      <c r="AZ9" s="416">
        <v>0</v>
      </c>
    </row>
    <row r="10" spans="1:52" s="411" customFormat="1" x14ac:dyDescent="0.3">
      <c r="A10" s="415" t="str">
        <f t="shared" si="0"/>
        <v>SA-134 Gr.A283A</v>
      </c>
      <c r="B10" s="415">
        <v>4</v>
      </c>
      <c r="C10" s="415" t="s">
        <v>2673</v>
      </c>
      <c r="D10" s="415" t="s">
        <v>2680</v>
      </c>
      <c r="E10" s="415" t="s">
        <v>2183</v>
      </c>
      <c r="F10" s="415" t="s">
        <v>2323</v>
      </c>
      <c r="G10" s="415">
        <v>0</v>
      </c>
      <c r="H10" s="415">
        <v>0</v>
      </c>
      <c r="I10" s="415">
        <v>0</v>
      </c>
      <c r="J10" s="415">
        <v>1</v>
      </c>
      <c r="K10" s="415">
        <v>1</v>
      </c>
      <c r="L10" s="415">
        <v>310</v>
      </c>
      <c r="M10" s="415">
        <v>165</v>
      </c>
      <c r="N10" s="415" t="s">
        <v>2675</v>
      </c>
      <c r="O10" s="415" t="s">
        <v>2681</v>
      </c>
      <c r="P10" s="415" t="s">
        <v>2675</v>
      </c>
      <c r="Q10" s="415" t="s">
        <v>2675</v>
      </c>
      <c r="R10" s="415" t="s">
        <v>2682</v>
      </c>
      <c r="S10" s="415" t="s">
        <v>2683</v>
      </c>
      <c r="T10" s="416">
        <v>88.9</v>
      </c>
      <c r="U10" s="416">
        <v>88.9</v>
      </c>
      <c r="V10" s="416">
        <v>88.9</v>
      </c>
      <c r="W10" s="416">
        <v>88.9</v>
      </c>
      <c r="X10" s="416">
        <v>88.9</v>
      </c>
      <c r="Y10" s="416">
        <v>88.9</v>
      </c>
      <c r="Z10" s="416">
        <v>0</v>
      </c>
      <c r="AA10" s="416">
        <v>0</v>
      </c>
      <c r="AB10" s="416">
        <v>0</v>
      </c>
      <c r="AC10" s="416">
        <v>0</v>
      </c>
      <c r="AD10" s="416">
        <v>0</v>
      </c>
      <c r="AE10" s="416">
        <v>0</v>
      </c>
      <c r="AF10" s="416">
        <v>0</v>
      </c>
      <c r="AG10" s="416">
        <v>0</v>
      </c>
      <c r="AH10" s="416">
        <v>0</v>
      </c>
      <c r="AI10" s="416">
        <v>0</v>
      </c>
      <c r="AJ10" s="416">
        <v>0</v>
      </c>
      <c r="AK10" s="416">
        <v>0</v>
      </c>
      <c r="AL10" s="416">
        <v>0</v>
      </c>
      <c r="AM10" s="416">
        <v>0</v>
      </c>
      <c r="AN10" s="416">
        <v>0</v>
      </c>
      <c r="AO10" s="416">
        <v>0</v>
      </c>
      <c r="AP10" s="416">
        <v>0</v>
      </c>
      <c r="AQ10" s="416">
        <v>0</v>
      </c>
      <c r="AR10" s="416">
        <v>0</v>
      </c>
      <c r="AS10" s="416">
        <v>0</v>
      </c>
      <c r="AT10" s="416">
        <v>0</v>
      </c>
      <c r="AU10" s="416">
        <v>0</v>
      </c>
      <c r="AV10" s="416">
        <v>0</v>
      </c>
      <c r="AW10" s="416">
        <v>0</v>
      </c>
      <c r="AX10" s="416">
        <v>0</v>
      </c>
      <c r="AY10" s="416">
        <v>0</v>
      </c>
      <c r="AZ10" s="416">
        <v>0</v>
      </c>
    </row>
    <row r="11" spans="1:52" s="411" customFormat="1" x14ac:dyDescent="0.3">
      <c r="A11" s="415" t="str">
        <f t="shared" si="0"/>
        <v>SA-283 Gr.A</v>
      </c>
      <c r="B11" s="415">
        <v>5</v>
      </c>
      <c r="C11" s="415" t="s">
        <v>2673</v>
      </c>
      <c r="D11" s="415" t="s">
        <v>2684</v>
      </c>
      <c r="E11" s="415" t="s">
        <v>2204</v>
      </c>
      <c r="F11" s="415" t="s">
        <v>12</v>
      </c>
      <c r="G11" s="415">
        <v>0</v>
      </c>
      <c r="H11" s="415">
        <v>0</v>
      </c>
      <c r="I11" s="415">
        <v>0</v>
      </c>
      <c r="J11" s="415">
        <v>1</v>
      </c>
      <c r="K11" s="415">
        <v>1</v>
      </c>
      <c r="L11" s="415">
        <v>310</v>
      </c>
      <c r="M11" s="415">
        <v>165</v>
      </c>
      <c r="N11" s="415" t="s">
        <v>2675</v>
      </c>
      <c r="O11" s="415" t="s">
        <v>2681</v>
      </c>
      <c r="P11" s="415">
        <v>343</v>
      </c>
      <c r="Q11" s="415">
        <v>343</v>
      </c>
      <c r="R11" s="415" t="s">
        <v>2682</v>
      </c>
      <c r="S11" s="415">
        <v>0</v>
      </c>
      <c r="T11" s="416">
        <v>88.9</v>
      </c>
      <c r="U11" s="416">
        <v>88.9</v>
      </c>
      <c r="V11" s="416">
        <v>88.9</v>
      </c>
      <c r="W11" s="416">
        <v>88.9</v>
      </c>
      <c r="X11" s="416">
        <v>88.9</v>
      </c>
      <c r="Y11" s="416">
        <v>88.9</v>
      </c>
      <c r="Z11" s="416">
        <v>88.9</v>
      </c>
      <c r="AA11" s="416">
        <v>88.9</v>
      </c>
      <c r="AB11" s="416">
        <v>86.3</v>
      </c>
      <c r="AC11" s="416">
        <v>83.8</v>
      </c>
      <c r="AD11" s="416">
        <v>81.400000000000006</v>
      </c>
      <c r="AE11" s="416">
        <v>0</v>
      </c>
      <c r="AF11" s="416">
        <v>0</v>
      </c>
      <c r="AG11" s="416">
        <v>0</v>
      </c>
      <c r="AH11" s="416">
        <v>0</v>
      </c>
      <c r="AI11" s="416">
        <v>0</v>
      </c>
      <c r="AJ11" s="416">
        <v>0</v>
      </c>
      <c r="AK11" s="416">
        <v>0</v>
      </c>
      <c r="AL11" s="416">
        <v>0</v>
      </c>
      <c r="AM11" s="416">
        <v>0</v>
      </c>
      <c r="AN11" s="416">
        <v>0</v>
      </c>
      <c r="AO11" s="416">
        <v>0</v>
      </c>
      <c r="AP11" s="416">
        <v>0</v>
      </c>
      <c r="AQ11" s="416">
        <v>0</v>
      </c>
      <c r="AR11" s="416">
        <v>0</v>
      </c>
      <c r="AS11" s="416">
        <v>0</v>
      </c>
      <c r="AT11" s="416">
        <v>0</v>
      </c>
      <c r="AU11" s="416">
        <v>0</v>
      </c>
      <c r="AV11" s="416">
        <v>0</v>
      </c>
      <c r="AW11" s="416">
        <v>0</v>
      </c>
      <c r="AX11" s="416">
        <v>0</v>
      </c>
      <c r="AY11" s="416">
        <v>0</v>
      </c>
      <c r="AZ11" s="416">
        <v>0</v>
      </c>
    </row>
    <row r="12" spans="1:52" s="411" customFormat="1" x14ac:dyDescent="0.3">
      <c r="A12" s="415" t="str">
        <f t="shared" si="0"/>
        <v>SA-285 Gr.A</v>
      </c>
      <c r="B12" s="415">
        <v>6</v>
      </c>
      <c r="C12" s="415" t="s">
        <v>2673</v>
      </c>
      <c r="D12" s="415" t="s">
        <v>2684</v>
      </c>
      <c r="E12" s="415" t="s">
        <v>2205</v>
      </c>
      <c r="F12" s="415" t="s">
        <v>12</v>
      </c>
      <c r="G12" s="415" t="s">
        <v>2685</v>
      </c>
      <c r="H12" s="415">
        <v>0</v>
      </c>
      <c r="I12" s="415">
        <v>0</v>
      </c>
      <c r="J12" s="415">
        <v>1</v>
      </c>
      <c r="K12" s="415">
        <v>1</v>
      </c>
      <c r="L12" s="415">
        <v>310</v>
      </c>
      <c r="M12" s="415">
        <v>165</v>
      </c>
      <c r="N12" s="415">
        <v>482</v>
      </c>
      <c r="O12" s="415">
        <v>371</v>
      </c>
      <c r="P12" s="415">
        <v>482</v>
      </c>
      <c r="Q12" s="415">
        <v>343</v>
      </c>
      <c r="R12" s="415" t="s">
        <v>2682</v>
      </c>
      <c r="S12" s="415" t="s">
        <v>2686</v>
      </c>
      <c r="T12" s="416">
        <v>88.9</v>
      </c>
      <c r="U12" s="416">
        <v>88.9</v>
      </c>
      <c r="V12" s="416">
        <v>88.9</v>
      </c>
      <c r="W12" s="416">
        <v>88.9</v>
      </c>
      <c r="X12" s="416">
        <v>88.9</v>
      </c>
      <c r="Y12" s="416">
        <v>88.9</v>
      </c>
      <c r="Z12" s="416">
        <v>88.9</v>
      </c>
      <c r="AA12" s="416">
        <v>88.9</v>
      </c>
      <c r="AB12" s="416">
        <v>86.3</v>
      </c>
      <c r="AC12" s="416">
        <v>83.8</v>
      </c>
      <c r="AD12" s="416">
        <v>81.400000000000006</v>
      </c>
      <c r="AE12" s="416">
        <v>78.8</v>
      </c>
      <c r="AF12" s="416">
        <v>73.400000000000006</v>
      </c>
      <c r="AG12" s="416">
        <v>64</v>
      </c>
      <c r="AH12" s="416">
        <v>56.1</v>
      </c>
      <c r="AI12" s="416">
        <v>44.5</v>
      </c>
      <c r="AJ12" s="416">
        <v>31.7</v>
      </c>
      <c r="AK12" s="416">
        <v>0</v>
      </c>
      <c r="AL12" s="416">
        <v>0</v>
      </c>
      <c r="AM12" s="416">
        <v>0</v>
      </c>
      <c r="AN12" s="416">
        <v>0</v>
      </c>
      <c r="AO12" s="416">
        <v>0</v>
      </c>
      <c r="AP12" s="416">
        <v>0</v>
      </c>
      <c r="AQ12" s="416">
        <v>0</v>
      </c>
      <c r="AR12" s="416">
        <v>0</v>
      </c>
      <c r="AS12" s="416">
        <v>0</v>
      </c>
      <c r="AT12" s="416">
        <v>0</v>
      </c>
      <c r="AU12" s="416">
        <v>0</v>
      </c>
      <c r="AV12" s="416">
        <v>0</v>
      </c>
      <c r="AW12" s="416">
        <v>0</v>
      </c>
      <c r="AX12" s="416">
        <v>0</v>
      </c>
      <c r="AY12" s="416">
        <v>0</v>
      </c>
      <c r="AZ12" s="416">
        <v>0</v>
      </c>
    </row>
    <row r="13" spans="1:52" s="411" customFormat="1" x14ac:dyDescent="0.3">
      <c r="A13" s="415" t="str">
        <f t="shared" si="0"/>
        <v>SA-672 Gr.A45</v>
      </c>
      <c r="B13" s="415">
        <v>7</v>
      </c>
      <c r="C13" s="415" t="s">
        <v>2673</v>
      </c>
      <c r="D13" s="415" t="s">
        <v>2680</v>
      </c>
      <c r="E13" s="415" t="s">
        <v>2297</v>
      </c>
      <c r="F13" s="415" t="s">
        <v>2331</v>
      </c>
      <c r="G13" s="415" t="s">
        <v>2685</v>
      </c>
      <c r="H13" s="415">
        <v>0</v>
      </c>
      <c r="I13" s="415">
        <v>0</v>
      </c>
      <c r="J13" s="415">
        <v>1</v>
      </c>
      <c r="K13" s="415">
        <v>1</v>
      </c>
      <c r="L13" s="415">
        <v>310</v>
      </c>
      <c r="M13" s="415">
        <v>165</v>
      </c>
      <c r="N13" s="415" t="s">
        <v>2675</v>
      </c>
      <c r="O13" s="415">
        <v>371</v>
      </c>
      <c r="P13" s="415" t="s">
        <v>2675</v>
      </c>
      <c r="Q13" s="415" t="s">
        <v>2675</v>
      </c>
      <c r="R13" s="415" t="s">
        <v>2682</v>
      </c>
      <c r="S13" s="415" t="s">
        <v>2687</v>
      </c>
      <c r="T13" s="416">
        <v>88.9</v>
      </c>
      <c r="U13" s="416">
        <v>88.9</v>
      </c>
      <c r="V13" s="416">
        <v>88.9</v>
      </c>
      <c r="W13" s="416">
        <v>88.9</v>
      </c>
      <c r="X13" s="416">
        <v>88.9</v>
      </c>
      <c r="Y13" s="416">
        <v>88.9</v>
      </c>
      <c r="Z13" s="416">
        <v>88.9</v>
      </c>
      <c r="AA13" s="416">
        <v>88.9</v>
      </c>
      <c r="AB13" s="416">
        <v>86.3</v>
      </c>
      <c r="AC13" s="416">
        <v>83.8</v>
      </c>
      <c r="AD13" s="416">
        <v>81.400000000000006</v>
      </c>
      <c r="AE13" s="416">
        <v>78.8</v>
      </c>
      <c r="AF13" s="416">
        <v>0</v>
      </c>
      <c r="AG13" s="416">
        <v>0</v>
      </c>
      <c r="AH13" s="416">
        <v>0</v>
      </c>
      <c r="AI13" s="416">
        <v>0</v>
      </c>
      <c r="AJ13" s="416">
        <v>0</v>
      </c>
      <c r="AK13" s="416">
        <v>0</v>
      </c>
      <c r="AL13" s="416">
        <v>0</v>
      </c>
      <c r="AM13" s="416">
        <v>0</v>
      </c>
      <c r="AN13" s="416">
        <v>0</v>
      </c>
      <c r="AO13" s="416">
        <v>0</v>
      </c>
      <c r="AP13" s="416">
        <v>0</v>
      </c>
      <c r="AQ13" s="416">
        <v>0</v>
      </c>
      <c r="AR13" s="416">
        <v>0</v>
      </c>
      <c r="AS13" s="416">
        <v>0</v>
      </c>
      <c r="AT13" s="416">
        <v>0</v>
      </c>
      <c r="AU13" s="416">
        <v>0</v>
      </c>
      <c r="AV13" s="416">
        <v>0</v>
      </c>
      <c r="AW13" s="416">
        <v>0</v>
      </c>
      <c r="AX13" s="416">
        <v>0</v>
      </c>
      <c r="AY13" s="416">
        <v>0</v>
      </c>
      <c r="AZ13" s="416">
        <v>0</v>
      </c>
    </row>
    <row r="14" spans="1:52" s="411" customFormat="1" x14ac:dyDescent="0.3">
      <c r="A14" s="415" t="str">
        <f t="shared" si="0"/>
        <v>SA-414 Gr.A</v>
      </c>
      <c r="B14" s="415">
        <v>8</v>
      </c>
      <c r="C14" s="415" t="s">
        <v>2673</v>
      </c>
      <c r="D14" s="415" t="s">
        <v>2674</v>
      </c>
      <c r="E14" s="415" t="s">
        <v>2233</v>
      </c>
      <c r="F14" s="415" t="s">
        <v>12</v>
      </c>
      <c r="G14" s="415" t="s">
        <v>2688</v>
      </c>
      <c r="H14" s="415">
        <v>0</v>
      </c>
      <c r="I14" s="415">
        <v>0</v>
      </c>
      <c r="J14" s="415">
        <v>1</v>
      </c>
      <c r="K14" s="415">
        <v>1</v>
      </c>
      <c r="L14" s="415">
        <v>310</v>
      </c>
      <c r="M14" s="415">
        <v>170</v>
      </c>
      <c r="N14" s="415" t="s">
        <v>2675</v>
      </c>
      <c r="O14" s="415" t="s">
        <v>2675</v>
      </c>
      <c r="P14" s="415">
        <v>482</v>
      </c>
      <c r="Q14" s="415">
        <v>343</v>
      </c>
      <c r="R14" s="415" t="s">
        <v>2682</v>
      </c>
      <c r="S14" s="415" t="s">
        <v>2686</v>
      </c>
      <c r="T14" s="416">
        <v>88.9</v>
      </c>
      <c r="U14" s="416">
        <v>88.9</v>
      </c>
      <c r="V14" s="416">
        <v>88.9</v>
      </c>
      <c r="W14" s="416">
        <v>88.9</v>
      </c>
      <c r="X14" s="416">
        <v>88.9</v>
      </c>
      <c r="Y14" s="416">
        <v>88.9</v>
      </c>
      <c r="Z14" s="416">
        <v>88.9</v>
      </c>
      <c r="AA14" s="416">
        <v>88.9</v>
      </c>
      <c r="AB14" s="416">
        <v>88.5</v>
      </c>
      <c r="AC14" s="416">
        <v>87.5</v>
      </c>
      <c r="AD14" s="416">
        <v>84.8</v>
      </c>
      <c r="AE14" s="416">
        <v>81.2</v>
      </c>
      <c r="AF14" s="416">
        <v>73.400000000000006</v>
      </c>
      <c r="AG14" s="416">
        <v>64</v>
      </c>
      <c r="AH14" s="416">
        <v>56.1</v>
      </c>
      <c r="AI14" s="416">
        <v>44.5</v>
      </c>
      <c r="AJ14" s="416">
        <v>31.7</v>
      </c>
      <c r="AK14" s="416">
        <v>0</v>
      </c>
      <c r="AL14" s="416">
        <v>0</v>
      </c>
      <c r="AM14" s="416">
        <v>0</v>
      </c>
      <c r="AN14" s="416">
        <v>0</v>
      </c>
      <c r="AO14" s="416">
        <v>0</v>
      </c>
      <c r="AP14" s="416">
        <v>0</v>
      </c>
      <c r="AQ14" s="416">
        <v>0</v>
      </c>
      <c r="AR14" s="416">
        <v>0</v>
      </c>
      <c r="AS14" s="416">
        <v>0</v>
      </c>
      <c r="AT14" s="416">
        <v>0</v>
      </c>
      <c r="AU14" s="416">
        <v>0</v>
      </c>
      <c r="AV14" s="416">
        <v>0</v>
      </c>
      <c r="AW14" s="416">
        <v>0</v>
      </c>
      <c r="AX14" s="416">
        <v>0</v>
      </c>
      <c r="AY14" s="416">
        <v>0</v>
      </c>
      <c r="AZ14" s="416">
        <v>0</v>
      </c>
    </row>
    <row r="15" spans="1:52" s="411" customFormat="1" x14ac:dyDescent="0.3">
      <c r="A15" s="415" t="str">
        <f t="shared" si="0"/>
        <v>SA-178 Gr.A</v>
      </c>
      <c r="B15" s="415">
        <v>9</v>
      </c>
      <c r="C15" s="415" t="s">
        <v>2673</v>
      </c>
      <c r="D15" s="415" t="s">
        <v>2689</v>
      </c>
      <c r="E15" s="415" t="s">
        <v>2185</v>
      </c>
      <c r="F15" s="415" t="s">
        <v>12</v>
      </c>
      <c r="G15" s="415" t="s">
        <v>2690</v>
      </c>
      <c r="H15" s="415">
        <v>0</v>
      </c>
      <c r="I15" s="415">
        <v>0</v>
      </c>
      <c r="J15" s="415">
        <v>1</v>
      </c>
      <c r="K15" s="415">
        <v>1</v>
      </c>
      <c r="L15" s="415">
        <v>325</v>
      </c>
      <c r="M15" s="415">
        <v>180</v>
      </c>
      <c r="N15" s="415">
        <v>538</v>
      </c>
      <c r="O15" s="415" t="s">
        <v>2675</v>
      </c>
      <c r="P15" s="415" t="s">
        <v>2675</v>
      </c>
      <c r="Q15" s="415" t="s">
        <v>2675</v>
      </c>
      <c r="R15" s="415" t="s">
        <v>2682</v>
      </c>
      <c r="S15" s="415" t="s">
        <v>2691</v>
      </c>
      <c r="T15" s="416">
        <v>92.4</v>
      </c>
      <c r="U15" s="416">
        <v>92.4</v>
      </c>
      <c r="V15" s="416">
        <v>92.4</v>
      </c>
      <c r="W15" s="416">
        <v>92.4</v>
      </c>
      <c r="X15" s="416">
        <v>92.4</v>
      </c>
      <c r="Y15" s="416">
        <v>92.4</v>
      </c>
      <c r="Z15" s="416">
        <v>92.4</v>
      </c>
      <c r="AA15" s="416">
        <v>92.4</v>
      </c>
      <c r="AB15" s="416">
        <v>91.9</v>
      </c>
      <c r="AC15" s="416">
        <v>90.7</v>
      </c>
      <c r="AD15" s="416">
        <v>87.8</v>
      </c>
      <c r="AE15" s="416">
        <v>84.3</v>
      </c>
      <c r="AF15" s="416"/>
      <c r="AG15" s="416"/>
      <c r="AH15" s="416"/>
      <c r="AI15" s="416"/>
      <c r="AJ15" s="416"/>
      <c r="AK15" s="416"/>
      <c r="AL15" s="416"/>
      <c r="AM15" s="416">
        <v>0</v>
      </c>
      <c r="AN15" s="416">
        <v>0</v>
      </c>
      <c r="AO15" s="416">
        <v>0</v>
      </c>
      <c r="AP15" s="416">
        <v>0</v>
      </c>
      <c r="AQ15" s="416">
        <v>0</v>
      </c>
      <c r="AR15" s="416">
        <v>0</v>
      </c>
      <c r="AS15" s="416">
        <v>0</v>
      </c>
      <c r="AT15" s="416">
        <v>0</v>
      </c>
      <c r="AU15" s="416">
        <v>0</v>
      </c>
      <c r="AV15" s="416">
        <v>0</v>
      </c>
      <c r="AW15" s="416">
        <v>0</v>
      </c>
      <c r="AX15" s="416">
        <v>0</v>
      </c>
      <c r="AY15" s="416">
        <v>0</v>
      </c>
      <c r="AZ15" s="416">
        <v>0</v>
      </c>
    </row>
    <row r="16" spans="1:52" s="411" customFormat="1" x14ac:dyDescent="0.3">
      <c r="A16" s="415" t="str">
        <f t="shared" si="0"/>
        <v>SA-178 Gr.A</v>
      </c>
      <c r="B16" s="415">
        <v>10</v>
      </c>
      <c r="C16" s="415" t="s">
        <v>2673</v>
      </c>
      <c r="D16" s="415" t="s">
        <v>2689</v>
      </c>
      <c r="E16" s="415" t="s">
        <v>2185</v>
      </c>
      <c r="F16" s="415" t="s">
        <v>12</v>
      </c>
      <c r="G16" s="415" t="s">
        <v>2690</v>
      </c>
      <c r="H16" s="415">
        <v>0</v>
      </c>
      <c r="I16" s="415">
        <v>0</v>
      </c>
      <c r="J16" s="415">
        <v>1</v>
      </c>
      <c r="K16" s="415">
        <v>1</v>
      </c>
      <c r="L16" s="415">
        <v>325</v>
      </c>
      <c r="M16" s="415">
        <v>180</v>
      </c>
      <c r="N16" s="415">
        <v>538</v>
      </c>
      <c r="O16" s="415" t="s">
        <v>2675</v>
      </c>
      <c r="P16" s="415">
        <v>538</v>
      </c>
      <c r="Q16" s="415">
        <v>343</v>
      </c>
      <c r="R16" s="415" t="s">
        <v>2682</v>
      </c>
      <c r="S16" s="415" t="s">
        <v>2692</v>
      </c>
      <c r="T16" s="416">
        <v>78.599999999999994</v>
      </c>
      <c r="U16" s="416">
        <v>78.599999999999994</v>
      </c>
      <c r="V16" s="416">
        <v>78.599999999999994</v>
      </c>
      <c r="W16" s="416">
        <v>78.599999999999994</v>
      </c>
      <c r="X16" s="416">
        <v>78.599999999999994</v>
      </c>
      <c r="Y16" s="416">
        <v>78.599999999999994</v>
      </c>
      <c r="Z16" s="416">
        <v>78.599999999999994</v>
      </c>
      <c r="AA16" s="416">
        <v>78.599999999999994</v>
      </c>
      <c r="AB16" s="416">
        <v>78.099999999999994</v>
      </c>
      <c r="AC16" s="416">
        <v>77.099999999999994</v>
      </c>
      <c r="AD16" s="416">
        <v>74.7</v>
      </c>
      <c r="AE16" s="416">
        <v>71.400000000000006</v>
      </c>
      <c r="AF16" s="416">
        <v>62.3</v>
      </c>
      <c r="AG16" s="416">
        <v>54.2</v>
      </c>
      <c r="AH16" s="416">
        <v>47.6</v>
      </c>
      <c r="AI16" s="416">
        <v>37.700000000000003</v>
      </c>
      <c r="AJ16" s="416">
        <v>27.1</v>
      </c>
      <c r="AK16" s="416">
        <v>18.5</v>
      </c>
      <c r="AL16" s="416">
        <v>10.6</v>
      </c>
      <c r="AM16" s="416">
        <v>0</v>
      </c>
      <c r="AN16" s="416">
        <v>0</v>
      </c>
      <c r="AO16" s="416">
        <v>0</v>
      </c>
      <c r="AP16" s="416">
        <v>0</v>
      </c>
      <c r="AQ16" s="416">
        <v>0</v>
      </c>
      <c r="AR16" s="416">
        <v>0</v>
      </c>
      <c r="AS16" s="416">
        <v>0</v>
      </c>
      <c r="AT16" s="416">
        <v>0</v>
      </c>
      <c r="AU16" s="416">
        <v>0</v>
      </c>
      <c r="AV16" s="416">
        <v>0</v>
      </c>
      <c r="AW16" s="416">
        <v>0</v>
      </c>
      <c r="AX16" s="416">
        <v>0</v>
      </c>
      <c r="AY16" s="416">
        <v>0</v>
      </c>
      <c r="AZ16" s="416">
        <v>0</v>
      </c>
    </row>
    <row r="17" spans="1:52" s="411" customFormat="1" x14ac:dyDescent="0.3">
      <c r="A17" s="415" t="str">
        <f t="shared" si="0"/>
        <v>SA-179 Gr.0</v>
      </c>
      <c r="B17" s="415">
        <v>11</v>
      </c>
      <c r="C17" s="415" t="s">
        <v>2673</v>
      </c>
      <c r="D17" s="415" t="s">
        <v>2693</v>
      </c>
      <c r="E17" s="415" t="s">
        <v>2186</v>
      </c>
      <c r="F17" s="415">
        <v>0</v>
      </c>
      <c r="G17" s="415" t="s">
        <v>2690</v>
      </c>
      <c r="H17" s="415">
        <v>0</v>
      </c>
      <c r="I17" s="415">
        <v>0</v>
      </c>
      <c r="J17" s="415">
        <v>1</v>
      </c>
      <c r="K17" s="415">
        <v>1</v>
      </c>
      <c r="L17" s="415">
        <v>325</v>
      </c>
      <c r="M17" s="415">
        <v>180</v>
      </c>
      <c r="N17" s="415" t="s">
        <v>2675</v>
      </c>
      <c r="O17" s="415" t="s">
        <v>2675</v>
      </c>
      <c r="P17" s="415">
        <v>482</v>
      </c>
      <c r="Q17" s="415">
        <v>343</v>
      </c>
      <c r="R17" s="415" t="s">
        <v>2682</v>
      </c>
      <c r="S17" s="415" t="s">
        <v>2686</v>
      </c>
      <c r="T17" s="416">
        <v>92.4</v>
      </c>
      <c r="U17" s="416">
        <v>92.4</v>
      </c>
      <c r="V17" s="416">
        <v>92.4</v>
      </c>
      <c r="W17" s="416">
        <v>92.4</v>
      </c>
      <c r="X17" s="416">
        <v>92.4</v>
      </c>
      <c r="Y17" s="416">
        <v>92.4</v>
      </c>
      <c r="Z17" s="416">
        <v>92.4</v>
      </c>
      <c r="AA17" s="416">
        <v>92.4</v>
      </c>
      <c r="AB17" s="416">
        <v>91.9</v>
      </c>
      <c r="AC17" s="416">
        <v>90.7</v>
      </c>
      <c r="AD17" s="416">
        <v>87.8</v>
      </c>
      <c r="AE17" s="416">
        <v>84.3</v>
      </c>
      <c r="AF17" s="416">
        <v>73.3</v>
      </c>
      <c r="AG17" s="416">
        <v>63.9</v>
      </c>
      <c r="AH17" s="416">
        <v>56.2</v>
      </c>
      <c r="AI17" s="416">
        <v>44.5</v>
      </c>
      <c r="AJ17" s="416">
        <v>31.9</v>
      </c>
      <c r="AK17" s="416">
        <v>0</v>
      </c>
      <c r="AL17" s="416">
        <v>0</v>
      </c>
      <c r="AM17" s="416">
        <v>0</v>
      </c>
      <c r="AN17" s="416">
        <v>0</v>
      </c>
      <c r="AO17" s="416">
        <v>0</v>
      </c>
      <c r="AP17" s="416">
        <v>0</v>
      </c>
      <c r="AQ17" s="416">
        <v>0</v>
      </c>
      <c r="AR17" s="416">
        <v>0</v>
      </c>
      <c r="AS17" s="416">
        <v>0</v>
      </c>
      <c r="AT17" s="416">
        <v>0</v>
      </c>
      <c r="AU17" s="416">
        <v>0</v>
      </c>
      <c r="AV17" s="416">
        <v>0</v>
      </c>
      <c r="AW17" s="416">
        <v>0</v>
      </c>
      <c r="AX17" s="416">
        <v>0</v>
      </c>
      <c r="AY17" s="416">
        <v>0</v>
      </c>
      <c r="AZ17" s="416">
        <v>0</v>
      </c>
    </row>
    <row r="18" spans="1:52" s="411" customFormat="1" x14ac:dyDescent="0.3">
      <c r="A18" s="415" t="str">
        <f t="shared" si="0"/>
        <v>SA-192 Gr.0</v>
      </c>
      <c r="B18" s="415">
        <v>12</v>
      </c>
      <c r="C18" s="415" t="s">
        <v>2673</v>
      </c>
      <c r="D18" s="415" t="s">
        <v>2693</v>
      </c>
      <c r="E18" s="415" t="s">
        <v>2189</v>
      </c>
      <c r="F18" s="415">
        <v>0</v>
      </c>
      <c r="G18" s="415" t="s">
        <v>2694</v>
      </c>
      <c r="H18" s="415">
        <v>0</v>
      </c>
      <c r="I18" s="415">
        <v>0</v>
      </c>
      <c r="J18" s="415">
        <v>1</v>
      </c>
      <c r="K18" s="415">
        <v>1</v>
      </c>
      <c r="L18" s="415">
        <v>325</v>
      </c>
      <c r="M18" s="415">
        <v>180</v>
      </c>
      <c r="N18" s="415">
        <v>538</v>
      </c>
      <c r="O18" s="415" t="s">
        <v>2675</v>
      </c>
      <c r="P18" s="415">
        <v>538</v>
      </c>
      <c r="Q18" s="415">
        <v>343</v>
      </c>
      <c r="R18" s="415" t="s">
        <v>2682</v>
      </c>
      <c r="S18" s="415" t="s">
        <v>2695</v>
      </c>
      <c r="T18" s="416">
        <v>92.4</v>
      </c>
      <c r="U18" s="416">
        <v>92.4</v>
      </c>
      <c r="V18" s="416">
        <v>92.4</v>
      </c>
      <c r="W18" s="416">
        <v>92.4</v>
      </c>
      <c r="X18" s="416">
        <v>92.4</v>
      </c>
      <c r="Y18" s="416">
        <v>92.4</v>
      </c>
      <c r="Z18" s="416">
        <v>92.4</v>
      </c>
      <c r="AA18" s="416">
        <v>92.4</v>
      </c>
      <c r="AB18" s="416">
        <v>91.9</v>
      </c>
      <c r="AC18" s="416">
        <v>90.7</v>
      </c>
      <c r="AD18" s="416">
        <v>87.8</v>
      </c>
      <c r="AE18" s="416">
        <v>84.3</v>
      </c>
      <c r="AF18" s="416"/>
      <c r="AG18" s="416"/>
      <c r="AH18" s="416"/>
      <c r="AI18" s="416"/>
      <c r="AJ18" s="416"/>
      <c r="AK18" s="416"/>
      <c r="AL18" s="416"/>
      <c r="AM18" s="416">
        <v>0</v>
      </c>
      <c r="AN18" s="416">
        <v>0</v>
      </c>
      <c r="AO18" s="416">
        <v>0</v>
      </c>
      <c r="AP18" s="416">
        <v>0</v>
      </c>
      <c r="AQ18" s="416">
        <v>0</v>
      </c>
      <c r="AR18" s="416">
        <v>0</v>
      </c>
      <c r="AS18" s="416">
        <v>0</v>
      </c>
      <c r="AT18" s="416">
        <v>0</v>
      </c>
      <c r="AU18" s="416">
        <v>0</v>
      </c>
      <c r="AV18" s="416">
        <v>0</v>
      </c>
      <c r="AW18" s="416">
        <v>0</v>
      </c>
      <c r="AX18" s="416">
        <v>0</v>
      </c>
      <c r="AY18" s="416">
        <v>0</v>
      </c>
      <c r="AZ18" s="416">
        <v>0</v>
      </c>
    </row>
    <row r="19" spans="1:52" s="411" customFormat="1" x14ac:dyDescent="0.3">
      <c r="A19" s="415" t="str">
        <f t="shared" si="0"/>
        <v>SA-214 Gr.0</v>
      </c>
      <c r="B19" s="415">
        <v>13</v>
      </c>
      <c r="C19" s="415" t="s">
        <v>2673</v>
      </c>
      <c r="D19" s="415" t="s">
        <v>2689</v>
      </c>
      <c r="E19" s="415" t="s">
        <v>2196</v>
      </c>
      <c r="F19" s="415">
        <v>0</v>
      </c>
      <c r="G19" s="415" t="s">
        <v>2696</v>
      </c>
      <c r="H19" s="415">
        <v>0</v>
      </c>
      <c r="I19" s="415">
        <v>0</v>
      </c>
      <c r="J19" s="415">
        <v>1</v>
      </c>
      <c r="K19" s="415">
        <v>1</v>
      </c>
      <c r="L19" s="415">
        <v>325</v>
      </c>
      <c r="M19" s="415">
        <v>180</v>
      </c>
      <c r="N19" s="415" t="s">
        <v>2675</v>
      </c>
      <c r="O19" s="415" t="s">
        <v>2675</v>
      </c>
      <c r="P19" s="415">
        <v>538</v>
      </c>
      <c r="Q19" s="415">
        <v>343</v>
      </c>
      <c r="R19" s="415" t="s">
        <v>2682</v>
      </c>
      <c r="S19" s="415" t="s">
        <v>2697</v>
      </c>
      <c r="T19" s="416">
        <v>78.599999999999994</v>
      </c>
      <c r="U19" s="416">
        <v>78.599999999999994</v>
      </c>
      <c r="V19" s="416">
        <v>78.599999999999994</v>
      </c>
      <c r="W19" s="416">
        <v>78.599999999999994</v>
      </c>
      <c r="X19" s="416">
        <v>78.599999999999994</v>
      </c>
      <c r="Y19" s="416">
        <v>78.599999999999994</v>
      </c>
      <c r="Z19" s="416">
        <v>78.599999999999994</v>
      </c>
      <c r="AA19" s="416">
        <v>78.599999999999994</v>
      </c>
      <c r="AB19" s="416">
        <v>78.099999999999994</v>
      </c>
      <c r="AC19" s="416">
        <v>77.099999999999994</v>
      </c>
      <c r="AD19" s="416">
        <v>74.7</v>
      </c>
      <c r="AE19" s="416">
        <v>71.400000000000006</v>
      </c>
      <c r="AF19" s="416">
        <v>62.3</v>
      </c>
      <c r="AG19" s="416">
        <v>54.2</v>
      </c>
      <c r="AH19" s="416">
        <v>47.6</v>
      </c>
      <c r="AI19" s="416">
        <v>37.700000000000003</v>
      </c>
      <c r="AJ19" s="416">
        <v>27.1</v>
      </c>
      <c r="AK19" s="416">
        <v>18.5</v>
      </c>
      <c r="AL19" s="416">
        <v>10.6</v>
      </c>
      <c r="AM19" s="416">
        <v>0</v>
      </c>
      <c r="AN19" s="416">
        <v>0</v>
      </c>
      <c r="AO19" s="416">
        <v>0</v>
      </c>
      <c r="AP19" s="416">
        <v>0</v>
      </c>
      <c r="AQ19" s="416">
        <v>0</v>
      </c>
      <c r="AR19" s="416">
        <v>0</v>
      </c>
      <c r="AS19" s="416">
        <v>0</v>
      </c>
      <c r="AT19" s="416">
        <v>0</v>
      </c>
      <c r="AU19" s="416">
        <v>0</v>
      </c>
      <c r="AV19" s="416">
        <v>0</v>
      </c>
      <c r="AW19" s="416">
        <v>0</v>
      </c>
      <c r="AX19" s="416">
        <v>0</v>
      </c>
      <c r="AY19" s="416">
        <v>0</v>
      </c>
      <c r="AZ19" s="416">
        <v>0</v>
      </c>
    </row>
    <row r="20" spans="1:52" s="411" customFormat="1" x14ac:dyDescent="0.3">
      <c r="A20" s="415" t="str">
        <f t="shared" si="0"/>
        <v>SA-556 Gr.A2</v>
      </c>
      <c r="B20" s="415">
        <v>14</v>
      </c>
      <c r="C20" s="415" t="s">
        <v>2673</v>
      </c>
      <c r="D20" s="415" t="s">
        <v>2693</v>
      </c>
      <c r="E20" s="415" t="s">
        <v>2270</v>
      </c>
      <c r="F20" s="415" t="s">
        <v>2321</v>
      </c>
      <c r="G20" s="415" t="s">
        <v>2696</v>
      </c>
      <c r="H20" s="415">
        <v>0</v>
      </c>
      <c r="I20" s="415">
        <v>0</v>
      </c>
      <c r="J20" s="415">
        <v>1</v>
      </c>
      <c r="K20" s="415">
        <v>1</v>
      </c>
      <c r="L20" s="415">
        <v>325</v>
      </c>
      <c r="M20" s="415">
        <v>180</v>
      </c>
      <c r="N20" s="415" t="s">
        <v>2675</v>
      </c>
      <c r="O20" s="415" t="s">
        <v>2675</v>
      </c>
      <c r="P20" s="415">
        <v>538</v>
      </c>
      <c r="Q20" s="415">
        <v>343</v>
      </c>
      <c r="R20" s="415" t="s">
        <v>2682</v>
      </c>
      <c r="S20" s="415" t="s">
        <v>2686</v>
      </c>
      <c r="T20" s="416">
        <v>92.4</v>
      </c>
      <c r="U20" s="416">
        <v>92.4</v>
      </c>
      <c r="V20" s="416">
        <v>92.4</v>
      </c>
      <c r="W20" s="416">
        <v>92.4</v>
      </c>
      <c r="X20" s="416">
        <v>92.4</v>
      </c>
      <c r="Y20" s="416">
        <v>92.4</v>
      </c>
      <c r="Z20" s="416">
        <v>92.4</v>
      </c>
      <c r="AA20" s="416">
        <v>92.4</v>
      </c>
      <c r="AB20" s="416">
        <v>91.9</v>
      </c>
      <c r="AC20" s="416">
        <v>90.7</v>
      </c>
      <c r="AD20" s="416">
        <v>87.8</v>
      </c>
      <c r="AE20" s="416">
        <v>84.3</v>
      </c>
      <c r="AF20" s="416">
        <v>73.3</v>
      </c>
      <c r="AG20" s="416">
        <v>63.9</v>
      </c>
      <c r="AH20" s="416">
        <v>56.2</v>
      </c>
      <c r="AI20" s="416">
        <v>44.5</v>
      </c>
      <c r="AJ20" s="416">
        <v>31.9</v>
      </c>
      <c r="AK20" s="416">
        <v>21.8</v>
      </c>
      <c r="AL20" s="416">
        <v>12.7</v>
      </c>
      <c r="AM20" s="416">
        <v>0</v>
      </c>
      <c r="AN20" s="416">
        <v>0</v>
      </c>
      <c r="AO20" s="416">
        <v>0</v>
      </c>
      <c r="AP20" s="416">
        <v>0</v>
      </c>
      <c r="AQ20" s="416">
        <v>0</v>
      </c>
      <c r="AR20" s="416">
        <v>0</v>
      </c>
      <c r="AS20" s="416">
        <v>0</v>
      </c>
      <c r="AT20" s="416">
        <v>0</v>
      </c>
      <c r="AU20" s="416">
        <v>0</v>
      </c>
      <c r="AV20" s="416">
        <v>0</v>
      </c>
      <c r="AW20" s="416">
        <v>0</v>
      </c>
      <c r="AX20" s="416">
        <v>0</v>
      </c>
      <c r="AY20" s="416">
        <v>0</v>
      </c>
      <c r="AZ20" s="416">
        <v>0</v>
      </c>
    </row>
    <row r="21" spans="1:52" s="411" customFormat="1" x14ac:dyDescent="0.3">
      <c r="A21" s="415" t="str">
        <f t="shared" si="0"/>
        <v>SA-557 Gr.A2</v>
      </c>
      <c r="B21" s="415">
        <v>15</v>
      </c>
      <c r="C21" s="415" t="s">
        <v>2673</v>
      </c>
      <c r="D21" s="415" t="s">
        <v>2689</v>
      </c>
      <c r="E21" s="415" t="s">
        <v>2272</v>
      </c>
      <c r="F21" s="415" t="s">
        <v>2321</v>
      </c>
      <c r="G21" s="415" t="s">
        <v>2696</v>
      </c>
      <c r="H21" s="415">
        <v>0</v>
      </c>
      <c r="I21" s="415">
        <v>0</v>
      </c>
      <c r="J21" s="415">
        <v>1</v>
      </c>
      <c r="K21" s="415">
        <v>1</v>
      </c>
      <c r="L21" s="415">
        <v>325</v>
      </c>
      <c r="M21" s="415">
        <v>180</v>
      </c>
      <c r="N21" s="415" t="s">
        <v>2675</v>
      </c>
      <c r="O21" s="415" t="s">
        <v>2675</v>
      </c>
      <c r="P21" s="415">
        <v>538</v>
      </c>
      <c r="Q21" s="415">
        <v>343</v>
      </c>
      <c r="R21" s="415" t="s">
        <v>2682</v>
      </c>
      <c r="S21" s="415" t="s">
        <v>2697</v>
      </c>
      <c r="T21" s="416">
        <v>78.599999999999994</v>
      </c>
      <c r="U21" s="416">
        <v>78.599999999999994</v>
      </c>
      <c r="V21" s="416">
        <v>78.599999999999994</v>
      </c>
      <c r="W21" s="416">
        <v>78.599999999999994</v>
      </c>
      <c r="X21" s="416">
        <v>78.599999999999994</v>
      </c>
      <c r="Y21" s="416">
        <v>78.599999999999994</v>
      </c>
      <c r="Z21" s="416">
        <v>78.599999999999994</v>
      </c>
      <c r="AA21" s="416">
        <v>78.599999999999994</v>
      </c>
      <c r="AB21" s="416">
        <v>78.099999999999994</v>
      </c>
      <c r="AC21" s="416">
        <v>77.099999999999994</v>
      </c>
      <c r="AD21" s="416">
        <v>74.7</v>
      </c>
      <c r="AE21" s="416">
        <v>71.400000000000006</v>
      </c>
      <c r="AF21" s="416">
        <v>62.3</v>
      </c>
      <c r="AG21" s="416">
        <v>54.2</v>
      </c>
      <c r="AH21" s="416">
        <v>47.6</v>
      </c>
      <c r="AI21" s="416">
        <v>37.700000000000003</v>
      </c>
      <c r="AJ21" s="416">
        <v>27.1</v>
      </c>
      <c r="AK21" s="416">
        <v>18.5</v>
      </c>
      <c r="AL21" s="416">
        <v>10.6</v>
      </c>
      <c r="AM21" s="416">
        <v>0</v>
      </c>
      <c r="AN21" s="416">
        <v>0</v>
      </c>
      <c r="AO21" s="416">
        <v>0</v>
      </c>
      <c r="AP21" s="416">
        <v>0</v>
      </c>
      <c r="AQ21" s="416">
        <v>0</v>
      </c>
      <c r="AR21" s="416">
        <v>0</v>
      </c>
      <c r="AS21" s="416">
        <v>0</v>
      </c>
      <c r="AT21" s="416">
        <v>0</v>
      </c>
      <c r="AU21" s="416">
        <v>0</v>
      </c>
      <c r="AV21" s="416">
        <v>0</v>
      </c>
      <c r="AW21" s="416">
        <v>0</v>
      </c>
      <c r="AX21" s="416">
        <v>0</v>
      </c>
      <c r="AY21" s="416">
        <v>0</v>
      </c>
      <c r="AZ21" s="416">
        <v>0</v>
      </c>
    </row>
    <row r="22" spans="1:52" s="411" customFormat="1" x14ac:dyDescent="0.3">
      <c r="A22" s="415" t="str">
        <f t="shared" si="0"/>
        <v>SA-53 Gr.E/A</v>
      </c>
      <c r="B22" s="415">
        <v>16</v>
      </c>
      <c r="C22" s="415" t="s">
        <v>2673</v>
      </c>
      <c r="D22" s="415" t="s">
        <v>2680</v>
      </c>
      <c r="E22" s="415" t="s">
        <v>2260</v>
      </c>
      <c r="F22" s="415" t="s">
        <v>2418</v>
      </c>
      <c r="G22" s="415" t="s">
        <v>2698</v>
      </c>
      <c r="H22" s="415">
        <v>0</v>
      </c>
      <c r="I22" s="415">
        <v>0</v>
      </c>
      <c r="J22" s="415">
        <v>1</v>
      </c>
      <c r="K22" s="415">
        <v>1</v>
      </c>
      <c r="L22" s="415">
        <v>330</v>
      </c>
      <c r="M22" s="415">
        <v>205</v>
      </c>
      <c r="N22" s="415">
        <v>482</v>
      </c>
      <c r="O22" s="415" t="s">
        <v>2675</v>
      </c>
      <c r="P22" s="415" t="s">
        <v>2675</v>
      </c>
      <c r="Q22" s="415" t="s">
        <v>2675</v>
      </c>
      <c r="R22" s="415" t="s">
        <v>2699</v>
      </c>
      <c r="S22" s="415" t="s">
        <v>2700</v>
      </c>
      <c r="T22" s="416">
        <v>80.7</v>
      </c>
      <c r="U22" s="416">
        <v>80.7</v>
      </c>
      <c r="V22" s="416">
        <v>80.7</v>
      </c>
      <c r="W22" s="416">
        <v>80.7</v>
      </c>
      <c r="X22" s="416">
        <v>80.7</v>
      </c>
      <c r="Y22" s="416">
        <v>80.7</v>
      </c>
      <c r="Z22" s="416">
        <v>80.7</v>
      </c>
      <c r="AA22" s="416">
        <v>80.7</v>
      </c>
      <c r="AB22" s="416">
        <v>80.7</v>
      </c>
      <c r="AC22" s="416">
        <v>80.7</v>
      </c>
      <c r="AD22" s="416">
        <v>79.8</v>
      </c>
      <c r="AE22" s="416">
        <v>71.599999999999994</v>
      </c>
      <c r="AF22" s="416"/>
      <c r="AG22" s="416"/>
      <c r="AH22" s="416"/>
      <c r="AI22" s="416"/>
      <c r="AJ22" s="416"/>
      <c r="AK22" s="416">
        <v>0</v>
      </c>
      <c r="AL22" s="416">
        <v>0</v>
      </c>
      <c r="AM22" s="416">
        <v>0</v>
      </c>
      <c r="AN22" s="416">
        <v>0</v>
      </c>
      <c r="AO22" s="416">
        <v>0</v>
      </c>
      <c r="AP22" s="416">
        <v>0</v>
      </c>
      <c r="AQ22" s="416">
        <v>0</v>
      </c>
      <c r="AR22" s="416">
        <v>0</v>
      </c>
      <c r="AS22" s="416">
        <v>0</v>
      </c>
      <c r="AT22" s="416">
        <v>0</v>
      </c>
      <c r="AU22" s="416">
        <v>0</v>
      </c>
      <c r="AV22" s="416">
        <v>0</v>
      </c>
      <c r="AW22" s="416">
        <v>0</v>
      </c>
      <c r="AX22" s="416">
        <v>0</v>
      </c>
      <c r="AY22" s="416">
        <v>0</v>
      </c>
      <c r="AZ22" s="416">
        <v>0</v>
      </c>
    </row>
    <row r="23" spans="1:52" s="411" customFormat="1" x14ac:dyDescent="0.3">
      <c r="A23" s="415" t="str">
        <f t="shared" si="0"/>
        <v>SA-53 Gr.E/A</v>
      </c>
      <c r="B23" s="415">
        <v>17</v>
      </c>
      <c r="C23" s="415" t="s">
        <v>2673</v>
      </c>
      <c r="D23" s="415" t="s">
        <v>2680</v>
      </c>
      <c r="E23" s="415" t="s">
        <v>2260</v>
      </c>
      <c r="F23" s="415" t="s">
        <v>2418</v>
      </c>
      <c r="G23" s="415" t="s">
        <v>2698</v>
      </c>
      <c r="H23" s="415">
        <v>0</v>
      </c>
      <c r="I23" s="415">
        <v>0</v>
      </c>
      <c r="J23" s="415">
        <v>1</v>
      </c>
      <c r="K23" s="415">
        <v>1</v>
      </c>
      <c r="L23" s="415">
        <v>330</v>
      </c>
      <c r="M23" s="415">
        <v>205</v>
      </c>
      <c r="N23" s="415">
        <v>482</v>
      </c>
      <c r="O23" s="415" t="s">
        <v>2681</v>
      </c>
      <c r="P23" s="415" t="s">
        <v>2675</v>
      </c>
      <c r="Q23" s="415" t="s">
        <v>2675</v>
      </c>
      <c r="R23" s="415" t="s">
        <v>2699</v>
      </c>
      <c r="S23" s="415" t="s">
        <v>2701</v>
      </c>
      <c r="T23" s="416">
        <v>94.5</v>
      </c>
      <c r="U23" s="416">
        <v>94.5</v>
      </c>
      <c r="V23" s="416">
        <v>94.5</v>
      </c>
      <c r="W23" s="416">
        <v>94.5</v>
      </c>
      <c r="X23" s="416">
        <v>94.5</v>
      </c>
      <c r="Y23" s="416">
        <v>94.5</v>
      </c>
      <c r="Z23" s="416">
        <v>94.5</v>
      </c>
      <c r="AA23" s="416">
        <v>94.5</v>
      </c>
      <c r="AB23" s="416">
        <v>94.5</v>
      </c>
      <c r="AC23" s="416">
        <v>94.5</v>
      </c>
      <c r="AD23" s="416">
        <v>93.5</v>
      </c>
      <c r="AE23" s="416">
        <v>84.5</v>
      </c>
      <c r="AF23" s="416">
        <v>73.3</v>
      </c>
      <c r="AG23" s="416">
        <v>62.8</v>
      </c>
      <c r="AH23" s="416">
        <v>51.2</v>
      </c>
      <c r="AI23" s="416">
        <v>38.299999999999997</v>
      </c>
      <c r="AJ23" s="416">
        <v>25.3</v>
      </c>
      <c r="AK23" s="416">
        <v>0</v>
      </c>
      <c r="AL23" s="416">
        <v>0</v>
      </c>
      <c r="AM23" s="416">
        <v>0</v>
      </c>
      <c r="AN23" s="416">
        <v>0</v>
      </c>
      <c r="AO23" s="416">
        <v>0</v>
      </c>
      <c r="AP23" s="416">
        <v>0</v>
      </c>
      <c r="AQ23" s="416">
        <v>0</v>
      </c>
      <c r="AR23" s="416">
        <v>0</v>
      </c>
      <c r="AS23" s="416">
        <v>0</v>
      </c>
      <c r="AT23" s="416">
        <v>0</v>
      </c>
      <c r="AU23" s="416">
        <v>0</v>
      </c>
      <c r="AV23" s="416">
        <v>0</v>
      </c>
      <c r="AW23" s="416">
        <v>0</v>
      </c>
      <c r="AX23" s="416">
        <v>0</v>
      </c>
      <c r="AY23" s="416">
        <v>0</v>
      </c>
      <c r="AZ23" s="416">
        <v>0</v>
      </c>
    </row>
    <row r="24" spans="1:52" s="411" customFormat="1" x14ac:dyDescent="0.3">
      <c r="A24" s="415" t="str">
        <f t="shared" si="0"/>
        <v>SA-53 Gr.E/A</v>
      </c>
      <c r="B24" s="415">
        <v>18</v>
      </c>
      <c r="C24" s="415" t="s">
        <v>2673</v>
      </c>
      <c r="D24" s="415" t="s">
        <v>2680</v>
      </c>
      <c r="E24" s="415" t="s">
        <v>2260</v>
      </c>
      <c r="F24" s="415" t="s">
        <v>2418</v>
      </c>
      <c r="G24" s="415" t="s">
        <v>2698</v>
      </c>
      <c r="H24" s="415">
        <v>0</v>
      </c>
      <c r="I24" s="415">
        <v>0</v>
      </c>
      <c r="J24" s="415">
        <v>1</v>
      </c>
      <c r="K24" s="415">
        <v>1</v>
      </c>
      <c r="L24" s="415">
        <v>330</v>
      </c>
      <c r="M24" s="415">
        <v>205</v>
      </c>
      <c r="N24" s="415" t="s">
        <v>2675</v>
      </c>
      <c r="O24" s="415" t="s">
        <v>2675</v>
      </c>
      <c r="P24" s="415">
        <v>482</v>
      </c>
      <c r="Q24" s="415">
        <v>343</v>
      </c>
      <c r="R24" s="415" t="s">
        <v>2699</v>
      </c>
      <c r="S24" s="415" t="s">
        <v>2697</v>
      </c>
      <c r="T24" s="416">
        <v>80.7</v>
      </c>
      <c r="U24" s="416">
        <v>80.7</v>
      </c>
      <c r="V24" s="416">
        <v>80.7</v>
      </c>
      <c r="W24" s="416">
        <v>80.7</v>
      </c>
      <c r="X24" s="416">
        <v>80.7</v>
      </c>
      <c r="Y24" s="416">
        <v>80.7</v>
      </c>
      <c r="Z24" s="416">
        <v>80.7</v>
      </c>
      <c r="AA24" s="416">
        <v>80.7</v>
      </c>
      <c r="AB24" s="416">
        <v>80.7</v>
      </c>
      <c r="AC24" s="416">
        <v>80.7</v>
      </c>
      <c r="AD24" s="416">
        <v>79.8</v>
      </c>
      <c r="AE24" s="416">
        <v>71.599999999999994</v>
      </c>
      <c r="AF24" s="416">
        <v>62.4</v>
      </c>
      <c r="AG24" s="416">
        <v>54.9</v>
      </c>
      <c r="AH24" s="416">
        <v>47.5</v>
      </c>
      <c r="AI24" s="416">
        <v>40.1</v>
      </c>
      <c r="AJ24" s="416">
        <v>32.6</v>
      </c>
      <c r="AK24" s="416">
        <v>0</v>
      </c>
      <c r="AL24" s="416">
        <v>0</v>
      </c>
      <c r="AM24" s="416">
        <v>0</v>
      </c>
      <c r="AN24" s="416">
        <v>0</v>
      </c>
      <c r="AO24" s="416">
        <v>0</v>
      </c>
      <c r="AP24" s="416">
        <v>0</v>
      </c>
      <c r="AQ24" s="416">
        <v>0</v>
      </c>
      <c r="AR24" s="416">
        <v>0</v>
      </c>
      <c r="AS24" s="416">
        <v>0</v>
      </c>
      <c r="AT24" s="416">
        <v>0</v>
      </c>
      <c r="AU24" s="416">
        <v>0</v>
      </c>
      <c r="AV24" s="416">
        <v>0</v>
      </c>
      <c r="AW24" s="416">
        <v>0</v>
      </c>
      <c r="AX24" s="416">
        <v>0</v>
      </c>
      <c r="AY24" s="416">
        <v>0</v>
      </c>
      <c r="AZ24" s="416">
        <v>0</v>
      </c>
    </row>
    <row r="25" spans="1:52" s="411" customFormat="1" x14ac:dyDescent="0.3">
      <c r="A25" s="415" t="str">
        <f t="shared" si="0"/>
        <v>SA-53 Gr.F/A</v>
      </c>
      <c r="B25" s="415">
        <v>19</v>
      </c>
      <c r="C25" s="415" t="s">
        <v>2673</v>
      </c>
      <c r="D25" s="415" t="s">
        <v>2680</v>
      </c>
      <c r="E25" s="415" t="s">
        <v>2260</v>
      </c>
      <c r="F25" s="415" t="s">
        <v>2424</v>
      </c>
      <c r="G25" s="415">
        <v>0</v>
      </c>
      <c r="H25" s="415">
        <v>0</v>
      </c>
      <c r="I25" s="415">
        <v>0</v>
      </c>
      <c r="J25" s="415">
        <v>1</v>
      </c>
      <c r="K25" s="415">
        <v>1</v>
      </c>
      <c r="L25" s="415">
        <v>330</v>
      </c>
      <c r="M25" s="415">
        <v>205</v>
      </c>
      <c r="N25" s="415">
        <v>399</v>
      </c>
      <c r="O25" s="415" t="s">
        <v>2675</v>
      </c>
      <c r="P25" s="415" t="s">
        <v>2675</v>
      </c>
      <c r="Q25" s="415" t="s">
        <v>2675</v>
      </c>
      <c r="R25" s="415" t="s">
        <v>2699</v>
      </c>
      <c r="S25" s="415" t="s">
        <v>2702</v>
      </c>
      <c r="T25" s="416">
        <v>56.5</v>
      </c>
      <c r="U25" s="416">
        <v>56.5</v>
      </c>
      <c r="V25" s="416">
        <v>56.5</v>
      </c>
      <c r="W25" s="416">
        <v>56.5</v>
      </c>
      <c r="X25" s="416">
        <v>56.5</v>
      </c>
      <c r="Y25" s="416">
        <v>56.5</v>
      </c>
      <c r="Z25" s="416">
        <v>56.5</v>
      </c>
      <c r="AA25" s="416">
        <v>56.5</v>
      </c>
      <c r="AB25" s="416">
        <v>56.5</v>
      </c>
      <c r="AC25" s="416">
        <v>56.5</v>
      </c>
      <c r="AD25" s="416">
        <v>56</v>
      </c>
      <c r="AE25" s="416">
        <v>50.7</v>
      </c>
      <c r="AF25" s="416">
        <v>43.8</v>
      </c>
      <c r="AG25" s="416">
        <v>0</v>
      </c>
      <c r="AH25" s="416">
        <v>0</v>
      </c>
      <c r="AI25" s="416">
        <v>0</v>
      </c>
      <c r="AJ25" s="416">
        <v>0</v>
      </c>
      <c r="AK25" s="416">
        <v>0</v>
      </c>
      <c r="AL25" s="416">
        <v>0</v>
      </c>
      <c r="AM25" s="416">
        <v>0</v>
      </c>
      <c r="AN25" s="416">
        <v>0</v>
      </c>
      <c r="AO25" s="416">
        <v>0</v>
      </c>
      <c r="AP25" s="416">
        <v>0</v>
      </c>
      <c r="AQ25" s="416">
        <v>0</v>
      </c>
      <c r="AR25" s="416">
        <v>0</v>
      </c>
      <c r="AS25" s="416">
        <v>0</v>
      </c>
      <c r="AT25" s="416">
        <v>0</v>
      </c>
      <c r="AU25" s="416">
        <v>0</v>
      </c>
      <c r="AV25" s="416">
        <v>0</v>
      </c>
      <c r="AW25" s="416">
        <v>0</v>
      </c>
      <c r="AX25" s="416">
        <v>0</v>
      </c>
      <c r="AY25" s="416">
        <v>0</v>
      </c>
      <c r="AZ25" s="416">
        <v>0</v>
      </c>
    </row>
    <row r="26" spans="1:52" s="411" customFormat="1" x14ac:dyDescent="0.3">
      <c r="A26" s="415" t="str">
        <f t="shared" si="0"/>
        <v>SA-53 Gr.S/A</v>
      </c>
      <c r="B26" s="415">
        <v>20</v>
      </c>
      <c r="C26" s="415" t="s">
        <v>2673</v>
      </c>
      <c r="D26" s="415" t="s">
        <v>2703</v>
      </c>
      <c r="E26" s="415" t="s">
        <v>2260</v>
      </c>
      <c r="F26" s="415" t="s">
        <v>2523</v>
      </c>
      <c r="G26" s="415" t="s">
        <v>2698</v>
      </c>
      <c r="H26" s="415">
        <v>0</v>
      </c>
      <c r="I26" s="415">
        <v>0</v>
      </c>
      <c r="J26" s="415">
        <v>1</v>
      </c>
      <c r="K26" s="415">
        <v>1</v>
      </c>
      <c r="L26" s="415">
        <v>330</v>
      </c>
      <c r="M26" s="415">
        <v>205</v>
      </c>
      <c r="N26" s="415">
        <v>482</v>
      </c>
      <c r="O26" s="415" t="s">
        <v>2681</v>
      </c>
      <c r="P26" s="415" t="s">
        <v>2675</v>
      </c>
      <c r="Q26" s="415" t="s">
        <v>2675</v>
      </c>
      <c r="R26" s="415" t="s">
        <v>2699</v>
      </c>
      <c r="S26" s="415" t="s">
        <v>2695</v>
      </c>
      <c r="T26" s="416">
        <v>94.5</v>
      </c>
      <c r="U26" s="416">
        <v>94.5</v>
      </c>
      <c r="V26" s="416">
        <v>94.5</v>
      </c>
      <c r="W26" s="416">
        <v>94.5</v>
      </c>
      <c r="X26" s="416">
        <v>94.5</v>
      </c>
      <c r="Y26" s="416">
        <v>94.5</v>
      </c>
      <c r="Z26" s="416">
        <v>94.5</v>
      </c>
      <c r="AA26" s="416">
        <v>94.5</v>
      </c>
      <c r="AB26" s="416">
        <v>94.5</v>
      </c>
      <c r="AC26" s="416">
        <v>94.5</v>
      </c>
      <c r="AD26" s="416">
        <v>93.5</v>
      </c>
      <c r="AE26" s="416">
        <v>84.5</v>
      </c>
      <c r="AF26" s="416">
        <v>73.3</v>
      </c>
      <c r="AG26" s="416">
        <v>62.8</v>
      </c>
      <c r="AH26" s="416">
        <v>51.2</v>
      </c>
      <c r="AI26" s="416">
        <v>38.299999999999997</v>
      </c>
      <c r="AJ26" s="416">
        <v>25.3</v>
      </c>
      <c r="AK26" s="416">
        <v>0</v>
      </c>
      <c r="AL26" s="416">
        <v>0</v>
      </c>
      <c r="AM26" s="416">
        <v>0</v>
      </c>
      <c r="AN26" s="416">
        <v>0</v>
      </c>
      <c r="AO26" s="416">
        <v>0</v>
      </c>
      <c r="AP26" s="416">
        <v>0</v>
      </c>
      <c r="AQ26" s="416">
        <v>0</v>
      </c>
      <c r="AR26" s="416">
        <v>0</v>
      </c>
      <c r="AS26" s="416">
        <v>0</v>
      </c>
      <c r="AT26" s="416">
        <v>0</v>
      </c>
      <c r="AU26" s="416">
        <v>0</v>
      </c>
      <c r="AV26" s="416">
        <v>0</v>
      </c>
      <c r="AW26" s="416">
        <v>0</v>
      </c>
      <c r="AX26" s="416">
        <v>0</v>
      </c>
      <c r="AY26" s="416">
        <v>0</v>
      </c>
      <c r="AZ26" s="416">
        <v>0</v>
      </c>
    </row>
    <row r="27" spans="1:52" s="411" customFormat="1" x14ac:dyDescent="0.3">
      <c r="A27" s="415" t="str">
        <f t="shared" si="0"/>
        <v>SA-53 Gr.S/A</v>
      </c>
      <c r="B27" s="415">
        <v>21</v>
      </c>
      <c r="C27" s="415" t="s">
        <v>2673</v>
      </c>
      <c r="D27" s="415" t="s">
        <v>2703</v>
      </c>
      <c r="E27" s="415" t="s">
        <v>2260</v>
      </c>
      <c r="F27" s="415" t="s">
        <v>2523</v>
      </c>
      <c r="G27" s="415" t="s">
        <v>2698</v>
      </c>
      <c r="H27" s="415">
        <v>0</v>
      </c>
      <c r="I27" s="415">
        <v>0</v>
      </c>
      <c r="J27" s="415">
        <v>1</v>
      </c>
      <c r="K27" s="415">
        <v>1</v>
      </c>
      <c r="L27" s="415">
        <v>330</v>
      </c>
      <c r="M27" s="415">
        <v>205</v>
      </c>
      <c r="N27" s="415" t="s">
        <v>2675</v>
      </c>
      <c r="O27" s="415" t="s">
        <v>2704</v>
      </c>
      <c r="P27" s="415">
        <v>482</v>
      </c>
      <c r="Q27" s="415">
        <v>343</v>
      </c>
      <c r="R27" s="415" t="s">
        <v>2699</v>
      </c>
      <c r="S27" s="415" t="s">
        <v>2686</v>
      </c>
      <c r="T27" s="416">
        <v>94.5</v>
      </c>
      <c r="U27" s="416">
        <v>94.5</v>
      </c>
      <c r="V27" s="416">
        <v>94.5</v>
      </c>
      <c r="W27" s="416">
        <v>94.5</v>
      </c>
      <c r="X27" s="416">
        <v>94.5</v>
      </c>
      <c r="Y27" s="416">
        <v>94.5</v>
      </c>
      <c r="Z27" s="416">
        <v>94.5</v>
      </c>
      <c r="AA27" s="416">
        <v>94.5</v>
      </c>
      <c r="AB27" s="416">
        <v>94.5</v>
      </c>
      <c r="AC27" s="416">
        <v>94.5</v>
      </c>
      <c r="AD27" s="416">
        <v>93.6</v>
      </c>
      <c r="AE27" s="416">
        <v>84.4</v>
      </c>
      <c r="AF27" s="416">
        <v>73.3</v>
      </c>
      <c r="AG27" s="416">
        <v>64.7</v>
      </c>
      <c r="AH27" s="416">
        <v>56</v>
      </c>
      <c r="AI27" s="416">
        <v>47.6</v>
      </c>
      <c r="AJ27" s="416">
        <v>36.200000000000003</v>
      </c>
      <c r="AK27" s="416">
        <v>0</v>
      </c>
      <c r="AL27" s="416">
        <v>0</v>
      </c>
      <c r="AM27" s="416">
        <v>0</v>
      </c>
      <c r="AN27" s="416">
        <v>0</v>
      </c>
      <c r="AO27" s="416">
        <v>0</v>
      </c>
      <c r="AP27" s="416">
        <v>0</v>
      </c>
      <c r="AQ27" s="416">
        <v>0</v>
      </c>
      <c r="AR27" s="416">
        <v>0</v>
      </c>
      <c r="AS27" s="416">
        <v>0</v>
      </c>
      <c r="AT27" s="416">
        <v>0</v>
      </c>
      <c r="AU27" s="416">
        <v>0</v>
      </c>
      <c r="AV27" s="416">
        <v>0</v>
      </c>
      <c r="AW27" s="416">
        <v>0</v>
      </c>
      <c r="AX27" s="416">
        <v>0</v>
      </c>
      <c r="AY27" s="416">
        <v>0</v>
      </c>
      <c r="AZ27" s="416">
        <v>0</v>
      </c>
    </row>
    <row r="28" spans="1:52" s="411" customFormat="1" x14ac:dyDescent="0.3">
      <c r="A28" s="415" t="str">
        <f t="shared" si="0"/>
        <v>SA-106 Gr.A</v>
      </c>
      <c r="B28" s="415">
        <v>22</v>
      </c>
      <c r="C28" s="415" t="s">
        <v>2673</v>
      </c>
      <c r="D28" s="415" t="s">
        <v>2703</v>
      </c>
      <c r="E28" s="415" t="s">
        <v>2169</v>
      </c>
      <c r="F28" s="415" t="s">
        <v>12</v>
      </c>
      <c r="G28" s="415" t="s">
        <v>2705</v>
      </c>
      <c r="H28" s="415">
        <v>0</v>
      </c>
      <c r="I28" s="415">
        <v>0</v>
      </c>
      <c r="J28" s="415">
        <v>1</v>
      </c>
      <c r="K28" s="415">
        <v>1</v>
      </c>
      <c r="L28" s="415">
        <v>330</v>
      </c>
      <c r="M28" s="415">
        <v>205</v>
      </c>
      <c r="N28" s="415">
        <v>538</v>
      </c>
      <c r="O28" s="415">
        <v>371</v>
      </c>
      <c r="P28" s="415">
        <v>538</v>
      </c>
      <c r="Q28" s="415">
        <v>343</v>
      </c>
      <c r="R28" s="415" t="s">
        <v>2699</v>
      </c>
      <c r="S28" s="415" t="s">
        <v>2706</v>
      </c>
      <c r="T28" s="416">
        <v>94.5</v>
      </c>
      <c r="U28" s="416">
        <v>94.5</v>
      </c>
      <c r="V28" s="416">
        <v>94.5</v>
      </c>
      <c r="W28" s="416">
        <v>94.5</v>
      </c>
      <c r="X28" s="416">
        <v>94.5</v>
      </c>
      <c r="Y28" s="416">
        <v>94.5</v>
      </c>
      <c r="Z28" s="416">
        <v>94.5</v>
      </c>
      <c r="AA28" s="416">
        <v>94.5</v>
      </c>
      <c r="AB28" s="416">
        <v>94.5</v>
      </c>
      <c r="AC28" s="416">
        <v>94.5</v>
      </c>
      <c r="AD28" s="416">
        <v>93.6</v>
      </c>
      <c r="AE28" s="416"/>
      <c r="AF28" s="416"/>
      <c r="AG28" s="416"/>
      <c r="AH28" s="416"/>
      <c r="AI28" s="416"/>
      <c r="AJ28" s="416"/>
      <c r="AK28" s="416"/>
      <c r="AL28" s="416"/>
      <c r="AM28" s="416">
        <v>0</v>
      </c>
      <c r="AN28" s="416">
        <v>0</v>
      </c>
      <c r="AO28" s="416">
        <v>0</v>
      </c>
      <c r="AP28" s="416">
        <v>0</v>
      </c>
      <c r="AQ28" s="416">
        <v>0</v>
      </c>
      <c r="AR28" s="416">
        <v>0</v>
      </c>
      <c r="AS28" s="416">
        <v>0</v>
      </c>
      <c r="AT28" s="416">
        <v>0</v>
      </c>
      <c r="AU28" s="416">
        <v>0</v>
      </c>
      <c r="AV28" s="416">
        <v>0</v>
      </c>
      <c r="AW28" s="416">
        <v>0</v>
      </c>
      <c r="AX28" s="416">
        <v>0</v>
      </c>
      <c r="AY28" s="416">
        <v>0</v>
      </c>
      <c r="AZ28" s="416">
        <v>0</v>
      </c>
    </row>
    <row r="29" spans="1:52" s="411" customFormat="1" x14ac:dyDescent="0.3">
      <c r="A29" s="415" t="str">
        <f t="shared" si="0"/>
        <v>SA-135 Gr.A</v>
      </c>
      <c r="B29" s="415">
        <v>23</v>
      </c>
      <c r="C29" s="415" t="s">
        <v>2673</v>
      </c>
      <c r="D29" s="415" t="s">
        <v>2680</v>
      </c>
      <c r="E29" s="415" t="s">
        <v>2184</v>
      </c>
      <c r="F29" s="415" t="s">
        <v>12</v>
      </c>
      <c r="G29" s="415">
        <v>0</v>
      </c>
      <c r="H29" s="415">
        <v>0</v>
      </c>
      <c r="I29" s="415">
        <v>0</v>
      </c>
      <c r="J29" s="415">
        <v>1</v>
      </c>
      <c r="K29" s="415">
        <v>1</v>
      </c>
      <c r="L29" s="415">
        <v>330</v>
      </c>
      <c r="M29" s="415">
        <v>205</v>
      </c>
      <c r="N29" s="415" t="s">
        <v>2675</v>
      </c>
      <c r="O29" s="415" t="s">
        <v>2675</v>
      </c>
      <c r="P29" s="415">
        <v>482</v>
      </c>
      <c r="Q29" s="415">
        <v>343</v>
      </c>
      <c r="R29" s="415" t="s">
        <v>2699</v>
      </c>
      <c r="S29" s="415" t="s">
        <v>2697</v>
      </c>
      <c r="T29" s="416">
        <v>80.7</v>
      </c>
      <c r="U29" s="416">
        <v>80.7</v>
      </c>
      <c r="V29" s="416">
        <v>80.7</v>
      </c>
      <c r="W29" s="416">
        <v>80.7</v>
      </c>
      <c r="X29" s="416">
        <v>80.7</v>
      </c>
      <c r="Y29" s="416">
        <v>80.7</v>
      </c>
      <c r="Z29" s="416">
        <v>80.7</v>
      </c>
      <c r="AA29" s="416">
        <v>80.7</v>
      </c>
      <c r="AB29" s="416">
        <v>80.7</v>
      </c>
      <c r="AC29" s="416">
        <v>80.7</v>
      </c>
      <c r="AD29" s="416">
        <v>79.8</v>
      </c>
      <c r="AE29" s="416">
        <v>71.599999999999994</v>
      </c>
      <c r="AF29" s="416">
        <v>62.4</v>
      </c>
      <c r="AG29" s="416">
        <v>54.9</v>
      </c>
      <c r="AH29" s="416">
        <v>47.5</v>
      </c>
      <c r="AI29" s="416">
        <v>40.1</v>
      </c>
      <c r="AJ29" s="416">
        <v>32.6</v>
      </c>
      <c r="AK29" s="416">
        <v>0</v>
      </c>
      <c r="AL29" s="416">
        <v>0</v>
      </c>
      <c r="AM29" s="416">
        <v>0</v>
      </c>
      <c r="AN29" s="416">
        <v>0</v>
      </c>
      <c r="AO29" s="416">
        <v>0</v>
      </c>
      <c r="AP29" s="416">
        <v>0</v>
      </c>
      <c r="AQ29" s="416">
        <v>0</v>
      </c>
      <c r="AR29" s="416">
        <v>0</v>
      </c>
      <c r="AS29" s="416">
        <v>0</v>
      </c>
      <c r="AT29" s="416">
        <v>0</v>
      </c>
      <c r="AU29" s="416">
        <v>0</v>
      </c>
      <c r="AV29" s="416">
        <v>0</v>
      </c>
      <c r="AW29" s="416">
        <v>0</v>
      </c>
      <c r="AX29" s="416">
        <v>0</v>
      </c>
      <c r="AY29" s="416">
        <v>0</v>
      </c>
      <c r="AZ29" s="416">
        <v>0</v>
      </c>
    </row>
    <row r="30" spans="1:52" s="411" customFormat="1" x14ac:dyDescent="0.3">
      <c r="A30" s="415" t="str">
        <f t="shared" si="0"/>
        <v>SA-369 Gr.FPA</v>
      </c>
      <c r="B30" s="415">
        <v>24</v>
      </c>
      <c r="C30" s="415" t="s">
        <v>2673</v>
      </c>
      <c r="D30" s="415" t="s">
        <v>2707</v>
      </c>
      <c r="E30" s="415" t="s">
        <v>2221</v>
      </c>
      <c r="F30" s="415" t="s">
        <v>2474</v>
      </c>
      <c r="G30" s="415" t="s">
        <v>2705</v>
      </c>
      <c r="H30" s="415">
        <v>0</v>
      </c>
      <c r="I30" s="415">
        <v>0</v>
      </c>
      <c r="J30" s="415">
        <v>1</v>
      </c>
      <c r="K30" s="415">
        <v>1</v>
      </c>
      <c r="L30" s="415">
        <v>330</v>
      </c>
      <c r="M30" s="415">
        <v>205</v>
      </c>
      <c r="N30" s="415">
        <v>538</v>
      </c>
      <c r="O30" s="415" t="s">
        <v>2675</v>
      </c>
      <c r="P30" s="415" t="s">
        <v>2675</v>
      </c>
      <c r="Q30" s="415" t="s">
        <v>2675</v>
      </c>
      <c r="R30" s="415" t="s">
        <v>2699</v>
      </c>
      <c r="S30" s="415" t="s">
        <v>2706</v>
      </c>
      <c r="T30" s="416">
        <v>94.5</v>
      </c>
      <c r="U30" s="416">
        <v>94.5</v>
      </c>
      <c r="V30" s="416">
        <v>94.5</v>
      </c>
      <c r="W30" s="416">
        <v>94.5</v>
      </c>
      <c r="X30" s="416">
        <v>94.5</v>
      </c>
      <c r="Y30" s="416">
        <v>94.5</v>
      </c>
      <c r="Z30" s="416">
        <v>94.5</v>
      </c>
      <c r="AA30" s="416">
        <v>94.5</v>
      </c>
      <c r="AB30" s="416">
        <v>94.5</v>
      </c>
      <c r="AC30" s="416">
        <v>94.5</v>
      </c>
      <c r="AD30" s="416">
        <v>93.5</v>
      </c>
      <c r="AE30" s="416">
        <v>84.5</v>
      </c>
      <c r="AF30" s="416">
        <v>73.3</v>
      </c>
      <c r="AG30" s="416">
        <v>62.8</v>
      </c>
      <c r="AH30" s="416">
        <v>51.2</v>
      </c>
      <c r="AI30" s="416">
        <v>38.299999999999997</v>
      </c>
      <c r="AJ30" s="416">
        <v>25.3</v>
      </c>
      <c r="AK30" s="416">
        <v>14.9</v>
      </c>
      <c r="AL30" s="416">
        <v>5.88</v>
      </c>
      <c r="AM30" s="416">
        <v>0</v>
      </c>
      <c r="AN30" s="416">
        <v>0</v>
      </c>
      <c r="AO30" s="416">
        <v>0</v>
      </c>
      <c r="AP30" s="416">
        <v>0</v>
      </c>
      <c r="AQ30" s="416">
        <v>0</v>
      </c>
      <c r="AR30" s="416">
        <v>0</v>
      </c>
      <c r="AS30" s="416">
        <v>0</v>
      </c>
      <c r="AT30" s="416">
        <v>0</v>
      </c>
      <c r="AU30" s="416">
        <v>0</v>
      </c>
      <c r="AV30" s="416">
        <v>0</v>
      </c>
      <c r="AW30" s="416">
        <v>0</v>
      </c>
      <c r="AX30" s="416">
        <v>0</v>
      </c>
      <c r="AY30" s="416">
        <v>0</v>
      </c>
      <c r="AZ30" s="416">
        <v>0</v>
      </c>
    </row>
    <row r="31" spans="1:52" s="411" customFormat="1" x14ac:dyDescent="0.3">
      <c r="A31" s="415" t="str">
        <f t="shared" si="0"/>
        <v>SA-587 Gr.0</v>
      </c>
      <c r="B31" s="415">
        <v>25</v>
      </c>
      <c r="C31" s="415" t="s">
        <v>2673</v>
      </c>
      <c r="D31" s="415" t="s">
        <v>2680</v>
      </c>
      <c r="E31" s="415" t="s">
        <v>2277</v>
      </c>
      <c r="F31" s="415">
        <v>0</v>
      </c>
      <c r="G31" s="415" t="s">
        <v>2708</v>
      </c>
      <c r="H31" s="415">
        <v>0</v>
      </c>
      <c r="I31" s="415">
        <v>0</v>
      </c>
      <c r="J31" s="415">
        <v>1</v>
      </c>
      <c r="K31" s="415">
        <v>1</v>
      </c>
      <c r="L31" s="415">
        <v>330</v>
      </c>
      <c r="M31" s="415">
        <v>205</v>
      </c>
      <c r="N31" s="415" t="s">
        <v>2675</v>
      </c>
      <c r="O31" s="415" t="s">
        <v>2681</v>
      </c>
      <c r="P31" s="415" t="s">
        <v>2675</v>
      </c>
      <c r="Q31" s="415" t="s">
        <v>2675</v>
      </c>
      <c r="R31" s="415" t="s">
        <v>2699</v>
      </c>
      <c r="S31" s="415">
        <v>0</v>
      </c>
      <c r="T31" s="416">
        <v>94.5</v>
      </c>
      <c r="U31" s="416">
        <v>94.5</v>
      </c>
      <c r="V31" s="416">
        <v>94.5</v>
      </c>
      <c r="W31" s="416">
        <v>94.5</v>
      </c>
      <c r="X31" s="416">
        <v>94.5</v>
      </c>
      <c r="Y31" s="416">
        <v>94.5</v>
      </c>
      <c r="Z31" s="416">
        <v>0</v>
      </c>
      <c r="AA31" s="416">
        <v>0</v>
      </c>
      <c r="AB31" s="416">
        <v>0</v>
      </c>
      <c r="AC31" s="416">
        <v>0</v>
      </c>
      <c r="AD31" s="416">
        <v>0</v>
      </c>
      <c r="AE31" s="416">
        <v>0</v>
      </c>
      <c r="AF31" s="416">
        <v>0</v>
      </c>
      <c r="AG31" s="416">
        <v>0</v>
      </c>
      <c r="AH31" s="416">
        <v>0</v>
      </c>
      <c r="AI31" s="416">
        <v>0</v>
      </c>
      <c r="AJ31" s="416">
        <v>0</v>
      </c>
      <c r="AK31" s="416">
        <v>0</v>
      </c>
      <c r="AL31" s="416">
        <v>0</v>
      </c>
      <c r="AM31" s="416">
        <v>0</v>
      </c>
      <c r="AN31" s="416">
        <v>0</v>
      </c>
      <c r="AO31" s="416">
        <v>0</v>
      </c>
      <c r="AP31" s="416">
        <v>0</v>
      </c>
      <c r="AQ31" s="416">
        <v>0</v>
      </c>
      <c r="AR31" s="416">
        <v>0</v>
      </c>
      <c r="AS31" s="416">
        <v>0</v>
      </c>
      <c r="AT31" s="416">
        <v>0</v>
      </c>
      <c r="AU31" s="416">
        <v>0</v>
      </c>
      <c r="AV31" s="416">
        <v>0</v>
      </c>
      <c r="AW31" s="416">
        <v>0</v>
      </c>
      <c r="AX31" s="416">
        <v>0</v>
      </c>
      <c r="AY31" s="416">
        <v>0</v>
      </c>
      <c r="AZ31" s="416">
        <v>0</v>
      </c>
    </row>
    <row r="32" spans="1:52" s="411" customFormat="1" x14ac:dyDescent="0.3">
      <c r="A32" s="415" t="str">
        <f t="shared" si="0"/>
        <v>SA-587 Gr.0</v>
      </c>
      <c r="B32" s="415">
        <v>26</v>
      </c>
      <c r="C32" s="415" t="s">
        <v>2673</v>
      </c>
      <c r="D32" s="415" t="s">
        <v>2680</v>
      </c>
      <c r="E32" s="415" t="s">
        <v>2277</v>
      </c>
      <c r="F32" s="415">
        <v>0</v>
      </c>
      <c r="G32" s="415" t="s">
        <v>2708</v>
      </c>
      <c r="H32" s="415">
        <v>0</v>
      </c>
      <c r="I32" s="415">
        <v>0</v>
      </c>
      <c r="J32" s="415">
        <v>1</v>
      </c>
      <c r="K32" s="415">
        <v>1</v>
      </c>
      <c r="L32" s="415">
        <v>330</v>
      </c>
      <c r="M32" s="415">
        <v>205</v>
      </c>
      <c r="N32" s="415" t="s">
        <v>2675</v>
      </c>
      <c r="O32" s="415" t="s">
        <v>2675</v>
      </c>
      <c r="P32" s="415">
        <v>454</v>
      </c>
      <c r="Q32" s="415">
        <v>343</v>
      </c>
      <c r="R32" s="415" t="s">
        <v>2699</v>
      </c>
      <c r="S32" s="415" t="s">
        <v>2697</v>
      </c>
      <c r="T32" s="416">
        <v>80.7</v>
      </c>
      <c r="U32" s="416">
        <v>80.7</v>
      </c>
      <c r="V32" s="416">
        <v>80.7</v>
      </c>
      <c r="W32" s="416">
        <v>80.7</v>
      </c>
      <c r="X32" s="416">
        <v>80.7</v>
      </c>
      <c r="Y32" s="416">
        <v>80.7</v>
      </c>
      <c r="Z32" s="416">
        <v>80.7</v>
      </c>
      <c r="AA32" s="416">
        <v>80.7</v>
      </c>
      <c r="AB32" s="416">
        <v>80.7</v>
      </c>
      <c r="AC32" s="416">
        <v>80.7</v>
      </c>
      <c r="AD32" s="416">
        <v>79.8</v>
      </c>
      <c r="AE32" s="416">
        <v>71.599999999999994</v>
      </c>
      <c r="AF32" s="416">
        <v>62.4</v>
      </c>
      <c r="AG32" s="416">
        <v>54.9</v>
      </c>
      <c r="AH32" s="416">
        <v>47.5</v>
      </c>
      <c r="AI32" s="416">
        <v>40.1</v>
      </c>
      <c r="AJ32" s="416">
        <v>0</v>
      </c>
      <c r="AK32" s="416">
        <v>0</v>
      </c>
      <c r="AL32" s="416">
        <v>0</v>
      </c>
      <c r="AM32" s="416">
        <v>0</v>
      </c>
      <c r="AN32" s="416">
        <v>0</v>
      </c>
      <c r="AO32" s="416">
        <v>0</v>
      </c>
      <c r="AP32" s="416">
        <v>0</v>
      </c>
      <c r="AQ32" s="416">
        <v>0</v>
      </c>
      <c r="AR32" s="416">
        <v>0</v>
      </c>
      <c r="AS32" s="416">
        <v>0</v>
      </c>
      <c r="AT32" s="416">
        <v>0</v>
      </c>
      <c r="AU32" s="416">
        <v>0</v>
      </c>
      <c r="AV32" s="416">
        <v>0</v>
      </c>
      <c r="AW32" s="416">
        <v>0</v>
      </c>
      <c r="AX32" s="416">
        <v>0</v>
      </c>
      <c r="AY32" s="416">
        <v>0</v>
      </c>
      <c r="AZ32" s="416">
        <v>0</v>
      </c>
    </row>
    <row r="33" spans="1:52" s="411" customFormat="1" x14ac:dyDescent="0.3">
      <c r="A33" s="415" t="str">
        <f t="shared" si="0"/>
        <v>SA-675 Gr.50</v>
      </c>
      <c r="B33" s="415">
        <v>27</v>
      </c>
      <c r="C33" s="415" t="s">
        <v>2673</v>
      </c>
      <c r="D33" s="415" t="s">
        <v>2677</v>
      </c>
      <c r="E33" s="415" t="s">
        <v>2299</v>
      </c>
      <c r="F33" s="415">
        <v>50</v>
      </c>
      <c r="G33" s="415">
        <v>0</v>
      </c>
      <c r="H33" s="415">
        <v>0</v>
      </c>
      <c r="I33" s="415">
        <v>0</v>
      </c>
      <c r="J33" s="415">
        <v>1</v>
      </c>
      <c r="K33" s="415">
        <v>1</v>
      </c>
      <c r="L33" s="415">
        <v>345</v>
      </c>
      <c r="M33" s="415">
        <v>170</v>
      </c>
      <c r="N33" s="415" t="s">
        <v>2675</v>
      </c>
      <c r="O33" s="415" t="s">
        <v>2678</v>
      </c>
      <c r="P33" s="415" t="s">
        <v>2675</v>
      </c>
      <c r="Q33" s="415" t="s">
        <v>2675</v>
      </c>
      <c r="R33" s="415" t="s">
        <v>2682</v>
      </c>
      <c r="S33" s="415">
        <v>0</v>
      </c>
      <c r="T33" s="416">
        <v>98.6</v>
      </c>
      <c r="U33" s="416">
        <v>98.6</v>
      </c>
      <c r="V33" s="416">
        <v>98.6</v>
      </c>
      <c r="W33" s="416">
        <v>98.6</v>
      </c>
      <c r="X33" s="416">
        <v>98.6</v>
      </c>
      <c r="Y33" s="416">
        <v>98.6</v>
      </c>
      <c r="Z33" s="416">
        <v>98.1</v>
      </c>
      <c r="AA33" s="416">
        <v>94.7</v>
      </c>
      <c r="AB33" s="416">
        <v>89.8</v>
      </c>
      <c r="AC33" s="416">
        <v>87.3</v>
      </c>
      <c r="AD33" s="416">
        <v>84.9</v>
      </c>
      <c r="AE33" s="416">
        <v>0</v>
      </c>
      <c r="AF33" s="416">
        <v>0</v>
      </c>
      <c r="AG33" s="416">
        <v>0</v>
      </c>
      <c r="AH33" s="416">
        <v>0</v>
      </c>
      <c r="AI33" s="416">
        <v>0</v>
      </c>
      <c r="AJ33" s="416">
        <v>0</v>
      </c>
      <c r="AK33" s="416">
        <v>0</v>
      </c>
      <c r="AL33" s="416">
        <v>0</v>
      </c>
      <c r="AM33" s="416">
        <v>0</v>
      </c>
      <c r="AN33" s="416">
        <v>0</v>
      </c>
      <c r="AO33" s="416">
        <v>0</v>
      </c>
      <c r="AP33" s="416">
        <v>0</v>
      </c>
      <c r="AQ33" s="416">
        <v>0</v>
      </c>
      <c r="AR33" s="416">
        <v>0</v>
      </c>
      <c r="AS33" s="416">
        <v>0</v>
      </c>
      <c r="AT33" s="416">
        <v>0</v>
      </c>
      <c r="AU33" s="416">
        <v>0</v>
      </c>
      <c r="AV33" s="416">
        <v>0</v>
      </c>
      <c r="AW33" s="416">
        <v>0</v>
      </c>
      <c r="AX33" s="416">
        <v>0</v>
      </c>
      <c r="AY33" s="416">
        <v>0</v>
      </c>
      <c r="AZ33" s="416">
        <v>0</v>
      </c>
    </row>
    <row r="34" spans="1:52" s="411" customFormat="1" x14ac:dyDescent="0.3">
      <c r="A34" s="415" t="str">
        <f t="shared" si="0"/>
        <v>SA-675 Gr.50</v>
      </c>
      <c r="B34" s="415">
        <v>28</v>
      </c>
      <c r="C34" s="415" t="s">
        <v>2673</v>
      </c>
      <c r="D34" s="415" t="s">
        <v>2677</v>
      </c>
      <c r="E34" s="415" t="s">
        <v>2299</v>
      </c>
      <c r="F34" s="415">
        <v>50</v>
      </c>
      <c r="G34" s="415">
        <v>0</v>
      </c>
      <c r="H34" s="415">
        <v>0</v>
      </c>
      <c r="I34" s="415">
        <v>0</v>
      </c>
      <c r="J34" s="415">
        <v>1</v>
      </c>
      <c r="K34" s="415">
        <v>1</v>
      </c>
      <c r="L34" s="415">
        <v>345</v>
      </c>
      <c r="M34" s="415">
        <v>170</v>
      </c>
      <c r="N34" s="415">
        <v>454</v>
      </c>
      <c r="O34" s="415" t="s">
        <v>2704</v>
      </c>
      <c r="P34" s="415">
        <v>482</v>
      </c>
      <c r="Q34" s="415">
        <v>343</v>
      </c>
      <c r="R34" s="415" t="s">
        <v>2682</v>
      </c>
      <c r="S34" s="415" t="s">
        <v>2709</v>
      </c>
      <c r="T34" s="416">
        <v>98.6</v>
      </c>
      <c r="U34" s="416">
        <v>98.6</v>
      </c>
      <c r="V34" s="416">
        <v>98.6</v>
      </c>
      <c r="W34" s="416">
        <v>98.6</v>
      </c>
      <c r="X34" s="416">
        <v>98.6</v>
      </c>
      <c r="Y34" s="416">
        <v>98.6</v>
      </c>
      <c r="Z34" s="416">
        <v>98.1</v>
      </c>
      <c r="AA34" s="416">
        <v>94.7</v>
      </c>
      <c r="AB34" s="416">
        <v>89.8</v>
      </c>
      <c r="AC34" s="416">
        <v>87.3</v>
      </c>
      <c r="AD34" s="416">
        <v>84.9</v>
      </c>
      <c r="AE34" s="416">
        <v>81.2</v>
      </c>
      <c r="AF34" s="416">
        <v>73.400000000000006</v>
      </c>
      <c r="AG34" s="416">
        <v>64.7</v>
      </c>
      <c r="AH34" s="416">
        <v>56</v>
      </c>
      <c r="AI34" s="416">
        <v>47.3</v>
      </c>
      <c r="AJ34" s="416">
        <v>38.6</v>
      </c>
      <c r="AK34" s="416">
        <v>0</v>
      </c>
      <c r="AL34" s="416">
        <v>0</v>
      </c>
      <c r="AM34" s="416">
        <v>0</v>
      </c>
      <c r="AN34" s="416">
        <v>0</v>
      </c>
      <c r="AO34" s="416">
        <v>0</v>
      </c>
      <c r="AP34" s="416">
        <v>0</v>
      </c>
      <c r="AQ34" s="416">
        <v>0</v>
      </c>
      <c r="AR34" s="416">
        <v>0</v>
      </c>
      <c r="AS34" s="416">
        <v>0</v>
      </c>
      <c r="AT34" s="416">
        <v>0</v>
      </c>
      <c r="AU34" s="416">
        <v>0</v>
      </c>
      <c r="AV34" s="416">
        <v>0</v>
      </c>
      <c r="AW34" s="416">
        <v>0</v>
      </c>
      <c r="AX34" s="416">
        <v>0</v>
      </c>
      <c r="AY34" s="416">
        <v>0</v>
      </c>
      <c r="AZ34" s="416">
        <v>0</v>
      </c>
    </row>
    <row r="35" spans="1:52" s="411" customFormat="1" x14ac:dyDescent="0.3">
      <c r="A35" s="415" t="str">
        <f t="shared" si="0"/>
        <v>SA-134 Gr.A283B</v>
      </c>
      <c r="B35" s="415">
        <v>29</v>
      </c>
      <c r="C35" s="415" t="s">
        <v>2673</v>
      </c>
      <c r="D35" s="415" t="s">
        <v>2680</v>
      </c>
      <c r="E35" s="415" t="s">
        <v>2183</v>
      </c>
      <c r="F35" s="415" t="s">
        <v>2325</v>
      </c>
      <c r="G35" s="415">
        <v>0</v>
      </c>
      <c r="H35" s="415">
        <v>0</v>
      </c>
      <c r="I35" s="415">
        <v>0</v>
      </c>
      <c r="J35" s="415">
        <v>1</v>
      </c>
      <c r="K35" s="415">
        <v>1</v>
      </c>
      <c r="L35" s="415">
        <v>345</v>
      </c>
      <c r="M35" s="415">
        <v>185</v>
      </c>
      <c r="N35" s="415" t="s">
        <v>2675</v>
      </c>
      <c r="O35" s="415" t="s">
        <v>2681</v>
      </c>
      <c r="P35" s="415" t="s">
        <v>2675</v>
      </c>
      <c r="Q35" s="415" t="s">
        <v>2675</v>
      </c>
      <c r="R35" s="415" t="s">
        <v>2682</v>
      </c>
      <c r="S35" s="415" t="s">
        <v>2683</v>
      </c>
      <c r="T35" s="416">
        <v>98.6</v>
      </c>
      <c r="U35" s="416">
        <v>98.6</v>
      </c>
      <c r="V35" s="416">
        <v>98.6</v>
      </c>
      <c r="W35" s="416">
        <v>98.6</v>
      </c>
      <c r="X35" s="416">
        <v>98.6</v>
      </c>
      <c r="Y35" s="416">
        <v>98.6</v>
      </c>
      <c r="Z35" s="416">
        <v>0</v>
      </c>
      <c r="AA35" s="416">
        <v>0</v>
      </c>
      <c r="AB35" s="416">
        <v>0</v>
      </c>
      <c r="AC35" s="416">
        <v>0</v>
      </c>
      <c r="AD35" s="416">
        <v>0</v>
      </c>
      <c r="AE35" s="416">
        <v>0</v>
      </c>
      <c r="AF35" s="416">
        <v>0</v>
      </c>
      <c r="AG35" s="416">
        <v>0</v>
      </c>
      <c r="AH35" s="416">
        <v>0</v>
      </c>
      <c r="AI35" s="416">
        <v>0</v>
      </c>
      <c r="AJ35" s="416">
        <v>0</v>
      </c>
      <c r="AK35" s="416">
        <v>0</v>
      </c>
      <c r="AL35" s="416">
        <v>0</v>
      </c>
      <c r="AM35" s="416">
        <v>0</v>
      </c>
      <c r="AN35" s="416">
        <v>0</v>
      </c>
      <c r="AO35" s="416">
        <v>0</v>
      </c>
      <c r="AP35" s="416">
        <v>0</v>
      </c>
      <c r="AQ35" s="416">
        <v>0</v>
      </c>
      <c r="AR35" s="416">
        <v>0</v>
      </c>
      <c r="AS35" s="416">
        <v>0</v>
      </c>
      <c r="AT35" s="416">
        <v>0</v>
      </c>
      <c r="AU35" s="416">
        <v>0</v>
      </c>
      <c r="AV35" s="416">
        <v>0</v>
      </c>
      <c r="AW35" s="416">
        <v>0</v>
      </c>
      <c r="AX35" s="416">
        <v>0</v>
      </c>
      <c r="AY35" s="416">
        <v>0</v>
      </c>
      <c r="AZ35" s="416">
        <v>0</v>
      </c>
    </row>
    <row r="36" spans="1:52" s="411" customFormat="1" x14ac:dyDescent="0.3">
      <c r="A36" s="415" t="str">
        <f t="shared" si="0"/>
        <v>SA-283 Gr.B</v>
      </c>
      <c r="B36" s="415">
        <v>30</v>
      </c>
      <c r="C36" s="415" t="s">
        <v>2673</v>
      </c>
      <c r="D36" s="415" t="s">
        <v>2684</v>
      </c>
      <c r="E36" s="415" t="s">
        <v>2204</v>
      </c>
      <c r="F36" s="415" t="s">
        <v>1864</v>
      </c>
      <c r="G36" s="415">
        <v>0</v>
      </c>
      <c r="H36" s="415">
        <v>0</v>
      </c>
      <c r="I36" s="415">
        <v>0</v>
      </c>
      <c r="J36" s="415">
        <v>1</v>
      </c>
      <c r="K36" s="415">
        <v>1</v>
      </c>
      <c r="L36" s="415">
        <v>345</v>
      </c>
      <c r="M36" s="415">
        <v>185</v>
      </c>
      <c r="N36" s="415" t="s">
        <v>2675</v>
      </c>
      <c r="O36" s="415" t="s">
        <v>2681</v>
      </c>
      <c r="P36" s="415">
        <v>343</v>
      </c>
      <c r="Q36" s="415">
        <v>343</v>
      </c>
      <c r="R36" s="415" t="s">
        <v>2682</v>
      </c>
      <c r="S36" s="415">
        <v>0</v>
      </c>
      <c r="T36" s="416">
        <v>98.6</v>
      </c>
      <c r="U36" s="416">
        <v>98.6</v>
      </c>
      <c r="V36" s="416">
        <v>98.6</v>
      </c>
      <c r="W36" s="416">
        <v>98.6</v>
      </c>
      <c r="X36" s="416">
        <v>98.6</v>
      </c>
      <c r="Y36" s="416">
        <v>98.6</v>
      </c>
      <c r="Z36" s="416">
        <v>98.6</v>
      </c>
      <c r="AA36" s="416">
        <v>98.6</v>
      </c>
      <c r="AB36" s="416">
        <v>96.6</v>
      </c>
      <c r="AC36" s="416">
        <v>94.1</v>
      </c>
      <c r="AD36" s="416">
        <v>90.6</v>
      </c>
      <c r="AE36" s="416">
        <v>0</v>
      </c>
      <c r="AF36" s="416">
        <v>0</v>
      </c>
      <c r="AG36" s="416">
        <v>0</v>
      </c>
      <c r="AH36" s="416">
        <v>0</v>
      </c>
      <c r="AI36" s="416">
        <v>0</v>
      </c>
      <c r="AJ36" s="416">
        <v>0</v>
      </c>
      <c r="AK36" s="416">
        <v>0</v>
      </c>
      <c r="AL36" s="416">
        <v>0</v>
      </c>
      <c r="AM36" s="416">
        <v>0</v>
      </c>
      <c r="AN36" s="416">
        <v>0</v>
      </c>
      <c r="AO36" s="416">
        <v>0</v>
      </c>
      <c r="AP36" s="416">
        <v>0</v>
      </c>
      <c r="AQ36" s="416">
        <v>0</v>
      </c>
      <c r="AR36" s="416">
        <v>0</v>
      </c>
      <c r="AS36" s="416">
        <v>0</v>
      </c>
      <c r="AT36" s="416">
        <v>0</v>
      </c>
      <c r="AU36" s="416">
        <v>0</v>
      </c>
      <c r="AV36" s="416">
        <v>0</v>
      </c>
      <c r="AW36" s="416">
        <v>0</v>
      </c>
      <c r="AX36" s="416">
        <v>0</v>
      </c>
      <c r="AY36" s="416">
        <v>0</v>
      </c>
      <c r="AZ36" s="416">
        <v>0</v>
      </c>
    </row>
    <row r="37" spans="1:52" s="411" customFormat="1" x14ac:dyDescent="0.3">
      <c r="A37" s="415" t="str">
        <f t="shared" si="0"/>
        <v>SA-285 Gr.B</v>
      </c>
      <c r="B37" s="415">
        <v>31</v>
      </c>
      <c r="C37" s="415" t="s">
        <v>2673</v>
      </c>
      <c r="D37" s="415" t="s">
        <v>2684</v>
      </c>
      <c r="E37" s="415" t="s">
        <v>2205</v>
      </c>
      <c r="F37" s="415" t="s">
        <v>1864</v>
      </c>
      <c r="G37" s="415" t="s">
        <v>2710</v>
      </c>
      <c r="H37" s="415">
        <v>0</v>
      </c>
      <c r="I37" s="415">
        <v>0</v>
      </c>
      <c r="J37" s="415">
        <v>1</v>
      </c>
      <c r="K37" s="415">
        <v>1</v>
      </c>
      <c r="L37" s="415">
        <v>345</v>
      </c>
      <c r="M37" s="415">
        <v>185</v>
      </c>
      <c r="N37" s="415">
        <v>482</v>
      </c>
      <c r="O37" s="415" t="s">
        <v>2675</v>
      </c>
      <c r="P37" s="415" t="s">
        <v>2675</v>
      </c>
      <c r="Q37" s="415" t="s">
        <v>2675</v>
      </c>
      <c r="R37" s="415" t="s">
        <v>2682</v>
      </c>
      <c r="S37" s="415" t="s">
        <v>2706</v>
      </c>
      <c r="T37" s="416">
        <v>98.6</v>
      </c>
      <c r="U37" s="416">
        <v>98.6</v>
      </c>
      <c r="V37" s="416">
        <v>98.6</v>
      </c>
      <c r="W37" s="416">
        <v>98.6</v>
      </c>
      <c r="X37" s="416">
        <v>98.6</v>
      </c>
      <c r="Y37" s="416">
        <v>98.6</v>
      </c>
      <c r="Z37" s="416">
        <v>98.6</v>
      </c>
      <c r="AA37" s="416">
        <v>98.6</v>
      </c>
      <c r="AB37" s="416">
        <v>96.6</v>
      </c>
      <c r="AC37" s="416">
        <v>94.1</v>
      </c>
      <c r="AD37" s="416">
        <v>90.7</v>
      </c>
      <c r="AE37" s="416">
        <v>85</v>
      </c>
      <c r="AF37" s="416">
        <v>75.400000000000006</v>
      </c>
      <c r="AG37" s="416">
        <v>65.599999999999994</v>
      </c>
      <c r="AH37" s="416">
        <v>52.8</v>
      </c>
      <c r="AI37" s="416">
        <v>38.6</v>
      </c>
      <c r="AJ37" s="416">
        <v>24.3</v>
      </c>
      <c r="AK37" s="416">
        <v>0</v>
      </c>
      <c r="AL37" s="416">
        <v>0</v>
      </c>
      <c r="AM37" s="416">
        <v>0</v>
      </c>
      <c r="AN37" s="416">
        <v>0</v>
      </c>
      <c r="AO37" s="416">
        <v>0</v>
      </c>
      <c r="AP37" s="416">
        <v>0</v>
      </c>
      <c r="AQ37" s="416">
        <v>0</v>
      </c>
      <c r="AR37" s="416">
        <v>0</v>
      </c>
      <c r="AS37" s="416">
        <v>0</v>
      </c>
      <c r="AT37" s="416">
        <v>0</v>
      </c>
      <c r="AU37" s="416">
        <v>0</v>
      </c>
      <c r="AV37" s="416">
        <v>0</v>
      </c>
      <c r="AW37" s="416">
        <v>0</v>
      </c>
      <c r="AX37" s="416">
        <v>0</v>
      </c>
      <c r="AY37" s="416">
        <v>0</v>
      </c>
      <c r="AZ37" s="416">
        <v>0</v>
      </c>
    </row>
    <row r="38" spans="1:52" s="411" customFormat="1" x14ac:dyDescent="0.3">
      <c r="A38" s="415" t="str">
        <f t="shared" si="0"/>
        <v>SA-285 Gr.B</v>
      </c>
      <c r="B38" s="415">
        <v>32</v>
      </c>
      <c r="C38" s="415" t="s">
        <v>2673</v>
      </c>
      <c r="D38" s="415" t="s">
        <v>2684</v>
      </c>
      <c r="E38" s="415" t="s">
        <v>2205</v>
      </c>
      <c r="F38" s="415" t="s">
        <v>1864</v>
      </c>
      <c r="G38" s="415" t="s">
        <v>2710</v>
      </c>
      <c r="H38" s="415">
        <v>0</v>
      </c>
      <c r="I38" s="415">
        <v>0</v>
      </c>
      <c r="J38" s="415">
        <v>1</v>
      </c>
      <c r="K38" s="415">
        <v>1</v>
      </c>
      <c r="L38" s="415">
        <v>345</v>
      </c>
      <c r="M38" s="415">
        <v>185</v>
      </c>
      <c r="N38" s="415" t="s">
        <v>2675</v>
      </c>
      <c r="O38" s="415">
        <v>371</v>
      </c>
      <c r="P38" s="415">
        <v>482</v>
      </c>
      <c r="Q38" s="415">
        <v>343</v>
      </c>
      <c r="R38" s="415" t="s">
        <v>2682</v>
      </c>
      <c r="S38" s="415" t="s">
        <v>2711</v>
      </c>
      <c r="T38" s="416">
        <v>98.6</v>
      </c>
      <c r="U38" s="416">
        <v>98.6</v>
      </c>
      <c r="V38" s="416">
        <v>98.6</v>
      </c>
      <c r="W38" s="416">
        <v>98.6</v>
      </c>
      <c r="X38" s="416">
        <v>98.6</v>
      </c>
      <c r="Y38" s="416">
        <v>98.6</v>
      </c>
      <c r="Z38" s="416">
        <v>98.6</v>
      </c>
      <c r="AA38" s="416">
        <v>98.6</v>
      </c>
      <c r="AB38" s="416">
        <v>96.6</v>
      </c>
      <c r="AC38" s="416">
        <v>94.1</v>
      </c>
      <c r="AD38" s="416">
        <v>90.6</v>
      </c>
      <c r="AE38" s="416">
        <v>85.1</v>
      </c>
      <c r="AF38" s="416">
        <v>76.8</v>
      </c>
      <c r="AG38" s="416">
        <v>66.8</v>
      </c>
      <c r="AH38" s="416">
        <v>57.8</v>
      </c>
      <c r="AI38" s="416">
        <v>44.9</v>
      </c>
      <c r="AJ38" s="416">
        <v>30.9</v>
      </c>
      <c r="AK38" s="416">
        <v>0</v>
      </c>
      <c r="AL38" s="416">
        <v>0</v>
      </c>
      <c r="AM38" s="416">
        <v>0</v>
      </c>
      <c r="AN38" s="416">
        <v>0</v>
      </c>
      <c r="AO38" s="416">
        <v>0</v>
      </c>
      <c r="AP38" s="416">
        <v>0</v>
      </c>
      <c r="AQ38" s="416">
        <v>0</v>
      </c>
      <c r="AR38" s="416">
        <v>0</v>
      </c>
      <c r="AS38" s="416">
        <v>0</v>
      </c>
      <c r="AT38" s="416">
        <v>0</v>
      </c>
      <c r="AU38" s="416">
        <v>0</v>
      </c>
      <c r="AV38" s="416">
        <v>0</v>
      </c>
      <c r="AW38" s="416">
        <v>0</v>
      </c>
      <c r="AX38" s="416">
        <v>0</v>
      </c>
      <c r="AY38" s="416">
        <v>0</v>
      </c>
      <c r="AZ38" s="416">
        <v>0</v>
      </c>
    </row>
    <row r="39" spans="1:52" s="411" customFormat="1" x14ac:dyDescent="0.3">
      <c r="A39" s="415" t="str">
        <f t="shared" si="0"/>
        <v>SA-672 Gr.A50</v>
      </c>
      <c r="B39" s="415">
        <v>33</v>
      </c>
      <c r="C39" s="415" t="s">
        <v>2673</v>
      </c>
      <c r="D39" s="415" t="s">
        <v>2680</v>
      </c>
      <c r="E39" s="415" t="s">
        <v>2297</v>
      </c>
      <c r="F39" s="415" t="s">
        <v>2333</v>
      </c>
      <c r="G39" s="415" t="s">
        <v>2710</v>
      </c>
      <c r="H39" s="415">
        <v>0</v>
      </c>
      <c r="I39" s="415">
        <v>0</v>
      </c>
      <c r="J39" s="415">
        <v>1</v>
      </c>
      <c r="K39" s="415">
        <v>1</v>
      </c>
      <c r="L39" s="415">
        <v>345</v>
      </c>
      <c r="M39" s="415">
        <v>185</v>
      </c>
      <c r="N39" s="415" t="s">
        <v>2675</v>
      </c>
      <c r="O39" s="415">
        <v>371</v>
      </c>
      <c r="P39" s="415" t="s">
        <v>2675</v>
      </c>
      <c r="Q39" s="415" t="s">
        <v>2675</v>
      </c>
      <c r="R39" s="415" t="s">
        <v>2682</v>
      </c>
      <c r="S39" s="415" t="s">
        <v>2712</v>
      </c>
      <c r="T39" s="416">
        <v>98.6</v>
      </c>
      <c r="U39" s="416">
        <v>98.6</v>
      </c>
      <c r="V39" s="416">
        <v>98.6</v>
      </c>
      <c r="W39" s="416">
        <v>98.6</v>
      </c>
      <c r="X39" s="416">
        <v>98.6</v>
      </c>
      <c r="Y39" s="416">
        <v>98.6</v>
      </c>
      <c r="Z39" s="416">
        <v>98.6</v>
      </c>
      <c r="AA39" s="416">
        <v>98.6</v>
      </c>
      <c r="AB39" s="416">
        <v>96.6</v>
      </c>
      <c r="AC39" s="416">
        <v>94.1</v>
      </c>
      <c r="AD39" s="416">
        <v>90.6</v>
      </c>
      <c r="AE39" s="416">
        <v>85.1</v>
      </c>
      <c r="AF39" s="416">
        <v>0</v>
      </c>
      <c r="AG39" s="416">
        <v>0</v>
      </c>
      <c r="AH39" s="416">
        <v>0</v>
      </c>
      <c r="AI39" s="416">
        <v>0</v>
      </c>
      <c r="AJ39" s="416">
        <v>0</v>
      </c>
      <c r="AK39" s="416">
        <v>0</v>
      </c>
      <c r="AL39" s="416">
        <v>0</v>
      </c>
      <c r="AM39" s="416">
        <v>0</v>
      </c>
      <c r="AN39" s="416">
        <v>0</v>
      </c>
      <c r="AO39" s="416">
        <v>0</v>
      </c>
      <c r="AP39" s="416">
        <v>0</v>
      </c>
      <c r="AQ39" s="416">
        <v>0</v>
      </c>
      <c r="AR39" s="416">
        <v>0</v>
      </c>
      <c r="AS39" s="416">
        <v>0</v>
      </c>
      <c r="AT39" s="416">
        <v>0</v>
      </c>
      <c r="AU39" s="416">
        <v>0</v>
      </c>
      <c r="AV39" s="416">
        <v>0</v>
      </c>
      <c r="AW39" s="416">
        <v>0</v>
      </c>
      <c r="AX39" s="416">
        <v>0</v>
      </c>
      <c r="AY39" s="416">
        <v>0</v>
      </c>
      <c r="AZ39" s="416">
        <v>0</v>
      </c>
    </row>
    <row r="40" spans="1:52" s="411" customFormat="1" x14ac:dyDescent="0.3">
      <c r="A40" s="415" t="str">
        <f t="shared" si="0"/>
        <v>SA-414 Gr.B</v>
      </c>
      <c r="B40" s="415">
        <v>34</v>
      </c>
      <c r="C40" s="415" t="s">
        <v>2673</v>
      </c>
      <c r="D40" s="415" t="s">
        <v>2674</v>
      </c>
      <c r="E40" s="415" t="s">
        <v>2233</v>
      </c>
      <c r="F40" s="415" t="s">
        <v>1864</v>
      </c>
      <c r="G40" s="415" t="s">
        <v>2713</v>
      </c>
      <c r="H40" s="415">
        <v>0</v>
      </c>
      <c r="I40" s="415">
        <v>0</v>
      </c>
      <c r="J40" s="415">
        <v>1</v>
      </c>
      <c r="K40" s="415">
        <v>1</v>
      </c>
      <c r="L40" s="415">
        <v>345</v>
      </c>
      <c r="M40" s="415">
        <v>205</v>
      </c>
      <c r="N40" s="415" t="s">
        <v>2675</v>
      </c>
      <c r="O40" s="415" t="s">
        <v>2675</v>
      </c>
      <c r="P40" s="415">
        <v>482</v>
      </c>
      <c r="Q40" s="415">
        <v>343</v>
      </c>
      <c r="R40" s="415" t="s">
        <v>2699</v>
      </c>
      <c r="S40" s="415" t="s">
        <v>2711</v>
      </c>
      <c r="T40" s="416">
        <v>98.6</v>
      </c>
      <c r="U40" s="416">
        <v>98.6</v>
      </c>
      <c r="V40" s="416">
        <v>98.6</v>
      </c>
      <c r="W40" s="416">
        <v>98.6</v>
      </c>
      <c r="X40" s="416">
        <v>98.6</v>
      </c>
      <c r="Y40" s="416">
        <v>98.6</v>
      </c>
      <c r="Z40" s="416">
        <v>98.6</v>
      </c>
      <c r="AA40" s="416">
        <v>98.6</v>
      </c>
      <c r="AB40" s="416">
        <v>98.6</v>
      </c>
      <c r="AC40" s="416">
        <v>98.6</v>
      </c>
      <c r="AD40" s="416">
        <v>96.9</v>
      </c>
      <c r="AE40" s="416"/>
      <c r="AF40" s="416"/>
      <c r="AG40" s="416"/>
      <c r="AH40" s="416"/>
      <c r="AI40" s="416"/>
      <c r="AJ40" s="416">
        <v>30.9</v>
      </c>
      <c r="AK40" s="416">
        <v>0</v>
      </c>
      <c r="AL40" s="416">
        <v>0</v>
      </c>
      <c r="AM40" s="416">
        <v>0</v>
      </c>
      <c r="AN40" s="416">
        <v>0</v>
      </c>
      <c r="AO40" s="416">
        <v>0</v>
      </c>
      <c r="AP40" s="416">
        <v>0</v>
      </c>
      <c r="AQ40" s="416">
        <v>0</v>
      </c>
      <c r="AR40" s="416">
        <v>0</v>
      </c>
      <c r="AS40" s="416">
        <v>0</v>
      </c>
      <c r="AT40" s="416">
        <v>0</v>
      </c>
      <c r="AU40" s="416">
        <v>0</v>
      </c>
      <c r="AV40" s="416">
        <v>0</v>
      </c>
      <c r="AW40" s="416">
        <v>0</v>
      </c>
      <c r="AX40" s="416">
        <v>0</v>
      </c>
      <c r="AY40" s="416">
        <v>0</v>
      </c>
      <c r="AZ40" s="416">
        <v>0</v>
      </c>
    </row>
    <row r="41" spans="1:52" s="411" customFormat="1" ht="28.8" x14ac:dyDescent="0.3">
      <c r="A41" s="415" t="str">
        <f t="shared" si="0"/>
        <v>SA/EN 10028-3 Gr.P275NH</v>
      </c>
      <c r="B41" s="415">
        <v>35</v>
      </c>
      <c r="C41" s="415" t="s">
        <v>2673</v>
      </c>
      <c r="D41" s="415" t="s">
        <v>2684</v>
      </c>
      <c r="E41" s="415" t="s">
        <v>2164</v>
      </c>
      <c r="F41" s="415" t="s">
        <v>2516</v>
      </c>
      <c r="G41" s="415">
        <v>0</v>
      </c>
      <c r="H41" s="415">
        <v>0</v>
      </c>
      <c r="I41" s="415" t="s">
        <v>2714</v>
      </c>
      <c r="J41" s="415">
        <v>1</v>
      </c>
      <c r="K41" s="415">
        <v>1</v>
      </c>
      <c r="L41" s="415">
        <v>350</v>
      </c>
      <c r="M41" s="415">
        <v>215</v>
      </c>
      <c r="N41" s="415" t="s">
        <v>2675</v>
      </c>
      <c r="O41" s="415" t="s">
        <v>2675</v>
      </c>
      <c r="P41" s="415">
        <v>204</v>
      </c>
      <c r="Q41" s="415" t="s">
        <v>2675</v>
      </c>
      <c r="R41" s="415" t="s">
        <v>2699</v>
      </c>
      <c r="S41" s="415" t="s">
        <v>2715</v>
      </c>
      <c r="T41" s="416">
        <v>100</v>
      </c>
      <c r="U41" s="416">
        <v>100</v>
      </c>
      <c r="V41" s="416">
        <v>100</v>
      </c>
      <c r="W41" s="416">
        <v>100</v>
      </c>
      <c r="X41" s="416">
        <v>100</v>
      </c>
      <c r="Y41" s="416">
        <v>100</v>
      </c>
      <c r="Z41" s="416">
        <v>100</v>
      </c>
      <c r="AA41" s="416">
        <v>0</v>
      </c>
      <c r="AB41" s="416">
        <v>0</v>
      </c>
      <c r="AC41" s="416">
        <v>0</v>
      </c>
      <c r="AD41" s="416">
        <v>0</v>
      </c>
      <c r="AE41" s="416">
        <v>0</v>
      </c>
      <c r="AF41" s="416">
        <v>0</v>
      </c>
      <c r="AG41" s="416">
        <v>0</v>
      </c>
      <c r="AH41" s="416">
        <v>0</v>
      </c>
      <c r="AI41" s="416">
        <v>0</v>
      </c>
      <c r="AJ41" s="416">
        <v>0</v>
      </c>
      <c r="AK41" s="416">
        <v>0</v>
      </c>
      <c r="AL41" s="416">
        <v>0</v>
      </c>
      <c r="AM41" s="416">
        <v>0</v>
      </c>
      <c r="AN41" s="416">
        <v>0</v>
      </c>
      <c r="AO41" s="416">
        <v>0</v>
      </c>
      <c r="AP41" s="416">
        <v>0</v>
      </c>
      <c r="AQ41" s="416">
        <v>0</v>
      </c>
      <c r="AR41" s="416">
        <v>0</v>
      </c>
      <c r="AS41" s="416">
        <v>0</v>
      </c>
      <c r="AT41" s="416">
        <v>0</v>
      </c>
      <c r="AU41" s="416">
        <v>0</v>
      </c>
      <c r="AV41" s="416">
        <v>0</v>
      </c>
      <c r="AW41" s="416">
        <v>0</v>
      </c>
      <c r="AX41" s="416">
        <v>0</v>
      </c>
      <c r="AY41" s="416">
        <v>0</v>
      </c>
      <c r="AZ41" s="416">
        <v>0</v>
      </c>
    </row>
    <row r="42" spans="1:52" s="411" customFormat="1" ht="28.8" x14ac:dyDescent="0.3">
      <c r="A42" s="415" t="str">
        <f t="shared" si="0"/>
        <v>SA/EN 10028-3 Gr.P275NH</v>
      </c>
      <c r="B42" s="415">
        <v>36</v>
      </c>
      <c r="C42" s="415" t="s">
        <v>2673</v>
      </c>
      <c r="D42" s="415" t="s">
        <v>2684</v>
      </c>
      <c r="E42" s="415" t="s">
        <v>2164</v>
      </c>
      <c r="F42" s="415" t="s">
        <v>2516</v>
      </c>
      <c r="G42" s="415">
        <v>0</v>
      </c>
      <c r="H42" s="415">
        <v>0</v>
      </c>
      <c r="I42" s="415" t="s">
        <v>2716</v>
      </c>
      <c r="J42" s="415">
        <v>1</v>
      </c>
      <c r="K42" s="415">
        <v>1</v>
      </c>
      <c r="L42" s="415">
        <v>360</v>
      </c>
      <c r="M42" s="415">
        <v>225</v>
      </c>
      <c r="N42" s="415" t="s">
        <v>2675</v>
      </c>
      <c r="O42" s="415" t="s">
        <v>2675</v>
      </c>
      <c r="P42" s="415">
        <v>204</v>
      </c>
      <c r="Q42" s="415" t="s">
        <v>2675</v>
      </c>
      <c r="R42" s="415" t="s">
        <v>2699</v>
      </c>
      <c r="S42" s="415" t="s">
        <v>2715</v>
      </c>
      <c r="T42" s="416">
        <v>103</v>
      </c>
      <c r="U42" s="416">
        <v>103</v>
      </c>
      <c r="V42" s="416">
        <v>103</v>
      </c>
      <c r="W42" s="416">
        <v>103</v>
      </c>
      <c r="X42" s="416">
        <v>103</v>
      </c>
      <c r="Y42" s="416">
        <v>103</v>
      </c>
      <c r="Z42" s="416">
        <v>103</v>
      </c>
      <c r="AA42" s="416">
        <v>0</v>
      </c>
      <c r="AB42" s="416">
        <v>0</v>
      </c>
      <c r="AC42" s="416">
        <v>0</v>
      </c>
      <c r="AD42" s="416">
        <v>0</v>
      </c>
      <c r="AE42" s="416">
        <v>0</v>
      </c>
      <c r="AF42" s="416">
        <v>0</v>
      </c>
      <c r="AG42" s="416">
        <v>0</v>
      </c>
      <c r="AH42" s="416">
        <v>0</v>
      </c>
      <c r="AI42" s="416">
        <v>0</v>
      </c>
      <c r="AJ42" s="416">
        <v>0</v>
      </c>
      <c r="AK42" s="416">
        <v>0</v>
      </c>
      <c r="AL42" s="416">
        <v>0</v>
      </c>
      <c r="AM42" s="416">
        <v>0</v>
      </c>
      <c r="AN42" s="416">
        <v>0</v>
      </c>
      <c r="AO42" s="416">
        <v>0</v>
      </c>
      <c r="AP42" s="416">
        <v>0</v>
      </c>
      <c r="AQ42" s="416">
        <v>0</v>
      </c>
      <c r="AR42" s="416">
        <v>0</v>
      </c>
      <c r="AS42" s="416">
        <v>0</v>
      </c>
      <c r="AT42" s="416">
        <v>0</v>
      </c>
      <c r="AU42" s="416">
        <v>0</v>
      </c>
      <c r="AV42" s="416">
        <v>0</v>
      </c>
      <c r="AW42" s="416">
        <v>0</v>
      </c>
      <c r="AX42" s="416">
        <v>0</v>
      </c>
      <c r="AY42" s="416">
        <v>0</v>
      </c>
      <c r="AZ42" s="416">
        <v>0</v>
      </c>
    </row>
    <row r="43" spans="1:52" s="411" customFormat="1" ht="28.8" x14ac:dyDescent="0.3">
      <c r="A43" s="415" t="str">
        <f t="shared" si="0"/>
        <v>SA/EN 10028-3 Gr.P275NH</v>
      </c>
      <c r="B43" s="415">
        <v>37</v>
      </c>
      <c r="C43" s="415" t="s">
        <v>2673</v>
      </c>
      <c r="D43" s="415" t="s">
        <v>2684</v>
      </c>
      <c r="E43" s="415" t="s">
        <v>2164</v>
      </c>
      <c r="F43" s="415" t="s">
        <v>2516</v>
      </c>
      <c r="G43" s="415">
        <v>0</v>
      </c>
      <c r="H43" s="415">
        <v>0</v>
      </c>
      <c r="I43" s="415" t="s">
        <v>2717</v>
      </c>
      <c r="J43" s="415">
        <v>1</v>
      </c>
      <c r="K43" s="415">
        <v>1</v>
      </c>
      <c r="L43" s="415">
        <v>370</v>
      </c>
      <c r="M43" s="415">
        <v>235</v>
      </c>
      <c r="N43" s="415" t="s">
        <v>2675</v>
      </c>
      <c r="O43" s="415" t="s">
        <v>2675</v>
      </c>
      <c r="P43" s="415">
        <v>204</v>
      </c>
      <c r="Q43" s="415" t="s">
        <v>2675</v>
      </c>
      <c r="R43" s="415" t="s">
        <v>2699</v>
      </c>
      <c r="S43" s="415" t="s">
        <v>2715</v>
      </c>
      <c r="T43" s="416">
        <v>105</v>
      </c>
      <c r="U43" s="416">
        <v>105</v>
      </c>
      <c r="V43" s="416">
        <v>105</v>
      </c>
      <c r="W43" s="416">
        <v>105</v>
      </c>
      <c r="X43" s="416">
        <v>105</v>
      </c>
      <c r="Y43" s="416">
        <v>105</v>
      </c>
      <c r="Z43" s="416">
        <v>105</v>
      </c>
      <c r="AA43" s="416">
        <v>0</v>
      </c>
      <c r="AB43" s="416">
        <v>0</v>
      </c>
      <c r="AC43" s="416">
        <v>0</v>
      </c>
      <c r="AD43" s="416">
        <v>0</v>
      </c>
      <c r="AE43" s="416">
        <v>0</v>
      </c>
      <c r="AF43" s="416">
        <v>0</v>
      </c>
      <c r="AG43" s="416">
        <v>0</v>
      </c>
      <c r="AH43" s="416">
        <v>0</v>
      </c>
      <c r="AI43" s="416">
        <v>0</v>
      </c>
      <c r="AJ43" s="416">
        <v>0</v>
      </c>
      <c r="AK43" s="416">
        <v>0</v>
      </c>
      <c r="AL43" s="416">
        <v>0</v>
      </c>
      <c r="AM43" s="416">
        <v>0</v>
      </c>
      <c r="AN43" s="416">
        <v>0</v>
      </c>
      <c r="AO43" s="416">
        <v>0</v>
      </c>
      <c r="AP43" s="416">
        <v>0</v>
      </c>
      <c r="AQ43" s="416">
        <v>0</v>
      </c>
      <c r="AR43" s="416">
        <v>0</v>
      </c>
      <c r="AS43" s="416">
        <v>0</v>
      </c>
      <c r="AT43" s="416">
        <v>0</v>
      </c>
      <c r="AU43" s="416">
        <v>0</v>
      </c>
      <c r="AV43" s="416">
        <v>0</v>
      </c>
      <c r="AW43" s="416">
        <v>0</v>
      </c>
      <c r="AX43" s="416">
        <v>0</v>
      </c>
      <c r="AY43" s="416">
        <v>0</v>
      </c>
      <c r="AZ43" s="416">
        <v>0</v>
      </c>
    </row>
    <row r="44" spans="1:52" s="411" customFormat="1" x14ac:dyDescent="0.3">
      <c r="A44" s="415" t="str">
        <f t="shared" si="0"/>
        <v>SA-675 Gr.55</v>
      </c>
      <c r="B44" s="415">
        <v>38</v>
      </c>
      <c r="C44" s="415" t="s">
        <v>2673</v>
      </c>
      <c r="D44" s="415" t="s">
        <v>2677</v>
      </c>
      <c r="E44" s="415" t="s">
        <v>2299</v>
      </c>
      <c r="F44" s="415">
        <v>55</v>
      </c>
      <c r="G44" s="415">
        <v>0</v>
      </c>
      <c r="H44" s="415">
        <v>0</v>
      </c>
      <c r="I44" s="415">
        <v>0</v>
      </c>
      <c r="J44" s="415">
        <v>1</v>
      </c>
      <c r="K44" s="415">
        <v>1</v>
      </c>
      <c r="L44" s="415">
        <v>380</v>
      </c>
      <c r="M44" s="415">
        <v>190</v>
      </c>
      <c r="N44" s="415">
        <v>454</v>
      </c>
      <c r="O44" s="415" t="s">
        <v>2704</v>
      </c>
      <c r="P44" s="415">
        <v>482</v>
      </c>
      <c r="Q44" s="415">
        <v>343</v>
      </c>
      <c r="R44" s="415" t="s">
        <v>2682</v>
      </c>
      <c r="S44" s="415" t="s">
        <v>2709</v>
      </c>
      <c r="T44" s="416">
        <v>108</v>
      </c>
      <c r="U44" s="416">
        <v>108</v>
      </c>
      <c r="V44" s="416">
        <v>108</v>
      </c>
      <c r="W44" s="416">
        <v>108</v>
      </c>
      <c r="X44" s="416">
        <v>108</v>
      </c>
      <c r="Y44" s="416">
        <v>108</v>
      </c>
      <c r="Z44" s="416">
        <v>108</v>
      </c>
      <c r="AA44" s="416">
        <v>104</v>
      </c>
      <c r="AB44" s="416">
        <v>98.8</v>
      </c>
      <c r="AC44" s="416">
        <v>96.1</v>
      </c>
      <c r="AD44" s="416">
        <v>92.9</v>
      </c>
      <c r="AE44" s="416">
        <v>89.9</v>
      </c>
      <c r="AF44" s="416">
        <v>87.3</v>
      </c>
      <c r="AG44" s="416">
        <v>75.400000000000006</v>
      </c>
      <c r="AH44" s="416">
        <v>62.5</v>
      </c>
      <c r="AI44" s="416">
        <v>46</v>
      </c>
      <c r="AJ44" s="416">
        <v>28.2</v>
      </c>
      <c r="AK44" s="416">
        <v>0</v>
      </c>
      <c r="AL44" s="416">
        <v>0</v>
      </c>
      <c r="AM44" s="416">
        <v>0</v>
      </c>
      <c r="AN44" s="416">
        <v>0</v>
      </c>
      <c r="AO44" s="416">
        <v>0</v>
      </c>
      <c r="AP44" s="416">
        <v>0</v>
      </c>
      <c r="AQ44" s="416">
        <v>0</v>
      </c>
      <c r="AR44" s="416">
        <v>0</v>
      </c>
      <c r="AS44" s="416">
        <v>0</v>
      </c>
      <c r="AT44" s="416">
        <v>0</v>
      </c>
      <c r="AU44" s="416">
        <v>0</v>
      </c>
      <c r="AV44" s="416">
        <v>0</v>
      </c>
      <c r="AW44" s="416">
        <v>0</v>
      </c>
      <c r="AX44" s="416">
        <v>0</v>
      </c>
      <c r="AY44" s="416">
        <v>0</v>
      </c>
      <c r="AZ44" s="416">
        <v>0</v>
      </c>
    </row>
    <row r="45" spans="1:52" s="411" customFormat="1" x14ac:dyDescent="0.3">
      <c r="A45" s="415" t="str">
        <f t="shared" si="0"/>
        <v>SA-675 Gr.55</v>
      </c>
      <c r="B45" s="415">
        <v>39</v>
      </c>
      <c r="C45" s="415" t="s">
        <v>2673</v>
      </c>
      <c r="D45" s="415" t="s">
        <v>2677</v>
      </c>
      <c r="E45" s="415" t="s">
        <v>2299</v>
      </c>
      <c r="F45" s="415">
        <v>55</v>
      </c>
      <c r="G45" s="415">
        <v>0</v>
      </c>
      <c r="H45" s="415">
        <v>0</v>
      </c>
      <c r="I45" s="415">
        <v>0</v>
      </c>
      <c r="J45" s="415">
        <v>1</v>
      </c>
      <c r="K45" s="415">
        <v>1</v>
      </c>
      <c r="L45" s="415">
        <v>380</v>
      </c>
      <c r="M45" s="415">
        <v>190</v>
      </c>
      <c r="N45" s="415" t="s">
        <v>2675</v>
      </c>
      <c r="O45" s="415" t="s">
        <v>2678</v>
      </c>
      <c r="P45" s="415" t="s">
        <v>2675</v>
      </c>
      <c r="Q45" s="415" t="s">
        <v>2675</v>
      </c>
      <c r="R45" s="415" t="s">
        <v>2682</v>
      </c>
      <c r="S45" s="415">
        <v>0</v>
      </c>
      <c r="T45" s="416">
        <v>108</v>
      </c>
      <c r="U45" s="416">
        <v>108</v>
      </c>
      <c r="V45" s="416">
        <v>108</v>
      </c>
      <c r="W45" s="416">
        <v>108</v>
      </c>
      <c r="X45" s="416">
        <v>108</v>
      </c>
      <c r="Y45" s="416">
        <v>108</v>
      </c>
      <c r="Z45" s="416">
        <v>108</v>
      </c>
      <c r="AA45" s="416">
        <v>104</v>
      </c>
      <c r="AB45" s="416">
        <v>98.8</v>
      </c>
      <c r="AC45" s="416">
        <v>96.1</v>
      </c>
      <c r="AD45" s="416">
        <v>92.9</v>
      </c>
      <c r="AE45" s="416">
        <v>0</v>
      </c>
      <c r="AF45" s="416">
        <v>0</v>
      </c>
      <c r="AG45" s="416">
        <v>0</v>
      </c>
      <c r="AH45" s="416">
        <v>0</v>
      </c>
      <c r="AI45" s="416">
        <v>0</v>
      </c>
      <c r="AJ45" s="416">
        <v>0</v>
      </c>
      <c r="AK45" s="416">
        <v>0</v>
      </c>
      <c r="AL45" s="416">
        <v>0</v>
      </c>
      <c r="AM45" s="416">
        <v>0</v>
      </c>
      <c r="AN45" s="416">
        <v>0</v>
      </c>
      <c r="AO45" s="416">
        <v>0</v>
      </c>
      <c r="AP45" s="416">
        <v>0</v>
      </c>
      <c r="AQ45" s="416">
        <v>0</v>
      </c>
      <c r="AR45" s="416">
        <v>0</v>
      </c>
      <c r="AS45" s="416">
        <v>0</v>
      </c>
      <c r="AT45" s="416">
        <v>0</v>
      </c>
      <c r="AU45" s="416">
        <v>0</v>
      </c>
      <c r="AV45" s="416">
        <v>0</v>
      </c>
      <c r="AW45" s="416">
        <v>0</v>
      </c>
      <c r="AX45" s="416">
        <v>0</v>
      </c>
      <c r="AY45" s="416">
        <v>0</v>
      </c>
      <c r="AZ45" s="416">
        <v>0</v>
      </c>
    </row>
    <row r="46" spans="1:52" s="411" customFormat="1" x14ac:dyDescent="0.3">
      <c r="A46" s="415" t="str">
        <f t="shared" si="0"/>
        <v>SA-134 Gr.A283C</v>
      </c>
      <c r="B46" s="415">
        <v>40</v>
      </c>
      <c r="C46" s="415" t="s">
        <v>2673</v>
      </c>
      <c r="D46" s="415" t="s">
        <v>2680</v>
      </c>
      <c r="E46" s="415" t="s">
        <v>2183</v>
      </c>
      <c r="F46" s="415" t="s">
        <v>2327</v>
      </c>
      <c r="G46" s="415" t="s">
        <v>2718</v>
      </c>
      <c r="H46" s="415">
        <v>0</v>
      </c>
      <c r="I46" s="415">
        <v>0</v>
      </c>
      <c r="J46" s="415">
        <v>1</v>
      </c>
      <c r="K46" s="415">
        <v>1</v>
      </c>
      <c r="L46" s="415">
        <v>380</v>
      </c>
      <c r="M46" s="415">
        <v>205</v>
      </c>
      <c r="N46" s="415" t="s">
        <v>2675</v>
      </c>
      <c r="O46" s="415" t="s">
        <v>2681</v>
      </c>
      <c r="P46" s="415" t="s">
        <v>2675</v>
      </c>
      <c r="Q46" s="415" t="s">
        <v>2675</v>
      </c>
      <c r="R46" s="415" t="s">
        <v>2699</v>
      </c>
      <c r="S46" s="415" t="s">
        <v>2683</v>
      </c>
      <c r="T46" s="416">
        <v>108</v>
      </c>
      <c r="U46" s="416">
        <v>108</v>
      </c>
      <c r="V46" s="416">
        <v>108</v>
      </c>
      <c r="W46" s="416">
        <v>108</v>
      </c>
      <c r="X46" s="416">
        <v>108</v>
      </c>
      <c r="Y46" s="416">
        <v>108</v>
      </c>
      <c r="Z46" s="416">
        <v>0</v>
      </c>
      <c r="AA46" s="416">
        <v>0</v>
      </c>
      <c r="AB46" s="416">
        <v>0</v>
      </c>
      <c r="AC46" s="416">
        <v>0</v>
      </c>
      <c r="AD46" s="416">
        <v>0</v>
      </c>
      <c r="AE46" s="416">
        <v>0</v>
      </c>
      <c r="AF46" s="416">
        <v>0</v>
      </c>
      <c r="AG46" s="416">
        <v>0</v>
      </c>
      <c r="AH46" s="416">
        <v>0</v>
      </c>
      <c r="AI46" s="416">
        <v>0</v>
      </c>
      <c r="AJ46" s="416">
        <v>0</v>
      </c>
      <c r="AK46" s="416">
        <v>0</v>
      </c>
      <c r="AL46" s="416">
        <v>0</v>
      </c>
      <c r="AM46" s="416">
        <v>0</v>
      </c>
      <c r="AN46" s="416">
        <v>0</v>
      </c>
      <c r="AO46" s="416">
        <v>0</v>
      </c>
      <c r="AP46" s="416">
        <v>0</v>
      </c>
      <c r="AQ46" s="416">
        <v>0</v>
      </c>
      <c r="AR46" s="416">
        <v>0</v>
      </c>
      <c r="AS46" s="416">
        <v>0</v>
      </c>
      <c r="AT46" s="416">
        <v>0</v>
      </c>
      <c r="AU46" s="416">
        <v>0</v>
      </c>
      <c r="AV46" s="416">
        <v>0</v>
      </c>
      <c r="AW46" s="416">
        <v>0</v>
      </c>
      <c r="AX46" s="416">
        <v>0</v>
      </c>
      <c r="AY46" s="416">
        <v>0</v>
      </c>
      <c r="AZ46" s="416">
        <v>0</v>
      </c>
    </row>
    <row r="47" spans="1:52" s="411" customFormat="1" x14ac:dyDescent="0.3">
      <c r="A47" s="415" t="str">
        <f t="shared" si="0"/>
        <v>SA-283 Gr.C</v>
      </c>
      <c r="B47" s="415">
        <v>41</v>
      </c>
      <c r="C47" s="415" t="s">
        <v>2673</v>
      </c>
      <c r="D47" s="415" t="s">
        <v>2684</v>
      </c>
      <c r="E47" s="415" t="s">
        <v>2204</v>
      </c>
      <c r="F47" s="415" t="s">
        <v>2348</v>
      </c>
      <c r="G47" s="415" t="s">
        <v>2718</v>
      </c>
      <c r="H47" s="415">
        <v>0</v>
      </c>
      <c r="I47" s="415">
        <v>0</v>
      </c>
      <c r="J47" s="415">
        <v>1</v>
      </c>
      <c r="K47" s="415">
        <v>1</v>
      </c>
      <c r="L47" s="415">
        <v>380</v>
      </c>
      <c r="M47" s="415">
        <v>205</v>
      </c>
      <c r="N47" s="415" t="s">
        <v>2675</v>
      </c>
      <c r="O47" s="415" t="s">
        <v>2681</v>
      </c>
      <c r="P47" s="415">
        <v>343</v>
      </c>
      <c r="Q47" s="415">
        <v>343</v>
      </c>
      <c r="R47" s="415" t="s">
        <v>2699</v>
      </c>
      <c r="S47" s="415">
        <v>0</v>
      </c>
      <c r="T47" s="416">
        <v>108</v>
      </c>
      <c r="U47" s="416">
        <v>108</v>
      </c>
      <c r="V47" s="416">
        <v>108</v>
      </c>
      <c r="W47" s="416">
        <v>108</v>
      </c>
      <c r="X47" s="416">
        <v>108</v>
      </c>
      <c r="Y47" s="416">
        <v>108</v>
      </c>
      <c r="Z47" s="416">
        <v>108</v>
      </c>
      <c r="AA47" s="416">
        <v>108</v>
      </c>
      <c r="AB47" s="416">
        <v>107</v>
      </c>
      <c r="AC47" s="416">
        <v>104</v>
      </c>
      <c r="AD47" s="416">
        <v>101</v>
      </c>
      <c r="AE47" s="416">
        <v>0</v>
      </c>
      <c r="AF47" s="416">
        <v>0</v>
      </c>
      <c r="AG47" s="416">
        <v>0</v>
      </c>
      <c r="AH47" s="416">
        <v>0</v>
      </c>
      <c r="AI47" s="416">
        <v>0</v>
      </c>
      <c r="AJ47" s="416">
        <v>0</v>
      </c>
      <c r="AK47" s="416">
        <v>0</v>
      </c>
      <c r="AL47" s="416">
        <v>0</v>
      </c>
      <c r="AM47" s="416">
        <v>0</v>
      </c>
      <c r="AN47" s="416">
        <v>0</v>
      </c>
      <c r="AO47" s="416">
        <v>0</v>
      </c>
      <c r="AP47" s="416">
        <v>0</v>
      </c>
      <c r="AQ47" s="416">
        <v>0</v>
      </c>
      <c r="AR47" s="416">
        <v>0</v>
      </c>
      <c r="AS47" s="416">
        <v>0</v>
      </c>
      <c r="AT47" s="416">
        <v>0</v>
      </c>
      <c r="AU47" s="416">
        <v>0</v>
      </c>
      <c r="AV47" s="416">
        <v>0</v>
      </c>
      <c r="AW47" s="416">
        <v>0</v>
      </c>
      <c r="AX47" s="416">
        <v>0</v>
      </c>
      <c r="AY47" s="416">
        <v>0</v>
      </c>
      <c r="AZ47" s="416">
        <v>0</v>
      </c>
    </row>
    <row r="48" spans="1:52" s="411" customFormat="1" x14ac:dyDescent="0.3">
      <c r="A48" s="415" t="str">
        <f t="shared" si="0"/>
        <v>SA-285 Gr.C</v>
      </c>
      <c r="B48" s="415">
        <v>42</v>
      </c>
      <c r="C48" s="415" t="s">
        <v>2673</v>
      </c>
      <c r="D48" s="415" t="s">
        <v>2684</v>
      </c>
      <c r="E48" s="415" t="s">
        <v>2205</v>
      </c>
      <c r="F48" s="415" t="s">
        <v>2348</v>
      </c>
      <c r="G48" s="415" t="s">
        <v>2719</v>
      </c>
      <c r="H48" s="415">
        <v>0</v>
      </c>
      <c r="I48" s="415">
        <v>0</v>
      </c>
      <c r="J48" s="415">
        <v>1</v>
      </c>
      <c r="K48" s="415">
        <v>1</v>
      </c>
      <c r="L48" s="415">
        <v>380</v>
      </c>
      <c r="M48" s="415">
        <v>205</v>
      </c>
      <c r="N48" s="415">
        <v>482</v>
      </c>
      <c r="O48" s="415">
        <v>371</v>
      </c>
      <c r="P48" s="415">
        <v>482</v>
      </c>
      <c r="Q48" s="415">
        <v>343</v>
      </c>
      <c r="R48" s="415" t="s">
        <v>2699</v>
      </c>
      <c r="S48" s="415" t="s">
        <v>2695</v>
      </c>
      <c r="T48" s="416">
        <v>108</v>
      </c>
      <c r="U48" s="416">
        <v>108</v>
      </c>
      <c r="V48" s="416">
        <v>108</v>
      </c>
      <c r="W48" s="416">
        <v>108</v>
      </c>
      <c r="X48" s="416">
        <v>108</v>
      </c>
      <c r="Y48" s="416">
        <v>108</v>
      </c>
      <c r="Z48" s="416">
        <v>108</v>
      </c>
      <c r="AA48" s="416">
        <v>108</v>
      </c>
      <c r="AB48" s="416">
        <v>107</v>
      </c>
      <c r="AC48" s="416">
        <v>104</v>
      </c>
      <c r="AD48" s="416">
        <v>101</v>
      </c>
      <c r="AE48" s="416">
        <v>97.8</v>
      </c>
      <c r="AF48" s="416">
        <v>89.1</v>
      </c>
      <c r="AG48" s="416">
        <v>75.400000000000006</v>
      </c>
      <c r="AH48" s="416">
        <v>62.6</v>
      </c>
      <c r="AI48" s="416">
        <v>45.5</v>
      </c>
      <c r="AJ48" s="416">
        <v>31.6</v>
      </c>
      <c r="AK48" s="416">
        <v>0</v>
      </c>
      <c r="AL48" s="416">
        <v>0</v>
      </c>
      <c r="AM48" s="416">
        <v>0</v>
      </c>
      <c r="AN48" s="416">
        <v>0</v>
      </c>
      <c r="AO48" s="416">
        <v>0</v>
      </c>
      <c r="AP48" s="416">
        <v>0</v>
      </c>
      <c r="AQ48" s="416">
        <v>0</v>
      </c>
      <c r="AR48" s="416">
        <v>0</v>
      </c>
      <c r="AS48" s="416">
        <v>0</v>
      </c>
      <c r="AT48" s="416">
        <v>0</v>
      </c>
      <c r="AU48" s="416">
        <v>0</v>
      </c>
      <c r="AV48" s="416">
        <v>0</v>
      </c>
      <c r="AW48" s="416">
        <v>0</v>
      </c>
      <c r="AX48" s="416">
        <v>0</v>
      </c>
      <c r="AY48" s="416">
        <v>0</v>
      </c>
      <c r="AZ48" s="416">
        <v>0</v>
      </c>
    </row>
    <row r="49" spans="1:52" s="411" customFormat="1" x14ac:dyDescent="0.3">
      <c r="A49" s="415" t="str">
        <f t="shared" si="0"/>
        <v>SA-333 Gr.1</v>
      </c>
      <c r="B49" s="415">
        <v>43</v>
      </c>
      <c r="C49" s="415" t="s">
        <v>2673</v>
      </c>
      <c r="D49" s="415" t="s">
        <v>2720</v>
      </c>
      <c r="E49" s="415" t="s">
        <v>2172</v>
      </c>
      <c r="F49" s="415">
        <v>1</v>
      </c>
      <c r="G49" s="415" t="s">
        <v>2721</v>
      </c>
      <c r="H49" s="415">
        <v>0</v>
      </c>
      <c r="I49" s="415">
        <v>0</v>
      </c>
      <c r="J49" s="415">
        <v>1</v>
      </c>
      <c r="K49" s="415">
        <v>1</v>
      </c>
      <c r="L49" s="415">
        <v>380</v>
      </c>
      <c r="M49" s="415">
        <v>205</v>
      </c>
      <c r="N49" s="415" t="s">
        <v>2675</v>
      </c>
      <c r="O49" s="415">
        <v>371</v>
      </c>
      <c r="P49" s="415">
        <v>343</v>
      </c>
      <c r="Q49" s="415">
        <v>343</v>
      </c>
      <c r="R49" s="415" t="s">
        <v>2699</v>
      </c>
      <c r="S49" s="415" t="s">
        <v>2722</v>
      </c>
      <c r="T49" s="416">
        <v>108</v>
      </c>
      <c r="U49" s="416">
        <v>108</v>
      </c>
      <c r="V49" s="416">
        <v>108</v>
      </c>
      <c r="W49" s="416">
        <v>108</v>
      </c>
      <c r="X49" s="416">
        <v>108</v>
      </c>
      <c r="Y49" s="416">
        <v>108</v>
      </c>
      <c r="Z49" s="416">
        <v>108</v>
      </c>
      <c r="AA49" s="416">
        <v>108</v>
      </c>
      <c r="AB49" s="416">
        <v>107</v>
      </c>
      <c r="AC49" s="416">
        <v>104</v>
      </c>
      <c r="AD49" s="416">
        <v>101</v>
      </c>
      <c r="AE49" s="416">
        <v>97.8</v>
      </c>
      <c r="AF49" s="416">
        <v>0</v>
      </c>
      <c r="AG49" s="416">
        <v>0</v>
      </c>
      <c r="AH49" s="416">
        <v>0</v>
      </c>
      <c r="AI49" s="416">
        <v>0</v>
      </c>
      <c r="AJ49" s="416">
        <v>0</v>
      </c>
      <c r="AK49" s="416">
        <v>0</v>
      </c>
      <c r="AL49" s="416">
        <v>0</v>
      </c>
      <c r="AM49" s="416">
        <v>0</v>
      </c>
      <c r="AN49" s="416">
        <v>0</v>
      </c>
      <c r="AO49" s="416">
        <v>0</v>
      </c>
      <c r="AP49" s="416">
        <v>0</v>
      </c>
      <c r="AQ49" s="416">
        <v>0</v>
      </c>
      <c r="AR49" s="416">
        <v>0</v>
      </c>
      <c r="AS49" s="416">
        <v>0</v>
      </c>
      <c r="AT49" s="416">
        <v>0</v>
      </c>
      <c r="AU49" s="416">
        <v>0</v>
      </c>
      <c r="AV49" s="416">
        <v>0</v>
      </c>
      <c r="AW49" s="416">
        <v>0</v>
      </c>
      <c r="AX49" s="416">
        <v>0</v>
      </c>
      <c r="AY49" s="416">
        <v>0</v>
      </c>
      <c r="AZ49" s="416">
        <v>0</v>
      </c>
    </row>
    <row r="50" spans="1:52" s="411" customFormat="1" x14ac:dyDescent="0.3">
      <c r="A50" s="415" t="str">
        <f t="shared" si="0"/>
        <v>SA-334 Gr.1</v>
      </c>
      <c r="B50" s="415">
        <v>44</v>
      </c>
      <c r="C50" s="415" t="s">
        <v>2673</v>
      </c>
      <c r="D50" s="415" t="s">
        <v>2723</v>
      </c>
      <c r="E50" s="415" t="s">
        <v>2209</v>
      </c>
      <c r="F50" s="415">
        <v>1</v>
      </c>
      <c r="G50" s="415" t="s">
        <v>2721</v>
      </c>
      <c r="H50" s="415">
        <v>0</v>
      </c>
      <c r="I50" s="415">
        <v>0</v>
      </c>
      <c r="J50" s="415">
        <v>1</v>
      </c>
      <c r="K50" s="415">
        <v>1</v>
      </c>
      <c r="L50" s="415">
        <v>380</v>
      </c>
      <c r="M50" s="415">
        <v>205</v>
      </c>
      <c r="N50" s="415" t="s">
        <v>2675</v>
      </c>
      <c r="O50" s="415">
        <v>371</v>
      </c>
      <c r="P50" s="415">
        <v>343</v>
      </c>
      <c r="Q50" s="415">
        <v>343</v>
      </c>
      <c r="R50" s="415" t="s">
        <v>2699</v>
      </c>
      <c r="S50" s="415" t="s">
        <v>2722</v>
      </c>
      <c r="T50" s="416">
        <v>108</v>
      </c>
      <c r="U50" s="416">
        <v>108</v>
      </c>
      <c r="V50" s="416">
        <v>108</v>
      </c>
      <c r="W50" s="416">
        <v>108</v>
      </c>
      <c r="X50" s="416">
        <v>108</v>
      </c>
      <c r="Y50" s="416">
        <v>108</v>
      </c>
      <c r="Z50" s="416">
        <v>108</v>
      </c>
      <c r="AA50" s="416">
        <v>108</v>
      </c>
      <c r="AB50" s="416">
        <v>107</v>
      </c>
      <c r="AC50" s="416">
        <v>104</v>
      </c>
      <c r="AD50" s="416">
        <v>101</v>
      </c>
      <c r="AE50" s="416">
        <v>97.8</v>
      </c>
      <c r="AF50" s="416">
        <v>0</v>
      </c>
      <c r="AG50" s="416">
        <v>0</v>
      </c>
      <c r="AH50" s="416">
        <v>0</v>
      </c>
      <c r="AI50" s="416">
        <v>0</v>
      </c>
      <c r="AJ50" s="416">
        <v>0</v>
      </c>
      <c r="AK50" s="416">
        <v>0</v>
      </c>
      <c r="AL50" s="416">
        <v>0</v>
      </c>
      <c r="AM50" s="416">
        <v>0</v>
      </c>
      <c r="AN50" s="416">
        <v>0</v>
      </c>
      <c r="AO50" s="416">
        <v>0</v>
      </c>
      <c r="AP50" s="416">
        <v>0</v>
      </c>
      <c r="AQ50" s="416">
        <v>0</v>
      </c>
      <c r="AR50" s="416">
        <v>0</v>
      </c>
      <c r="AS50" s="416">
        <v>0</v>
      </c>
      <c r="AT50" s="416">
        <v>0</v>
      </c>
      <c r="AU50" s="416">
        <v>0</v>
      </c>
      <c r="AV50" s="416">
        <v>0</v>
      </c>
      <c r="AW50" s="416">
        <v>0</v>
      </c>
      <c r="AX50" s="416">
        <v>0</v>
      </c>
      <c r="AY50" s="416">
        <v>0</v>
      </c>
      <c r="AZ50" s="416">
        <v>0</v>
      </c>
    </row>
    <row r="51" spans="1:52" s="411" customFormat="1" x14ac:dyDescent="0.3">
      <c r="A51" s="415" t="str">
        <f t="shared" si="0"/>
        <v>SA-334 Gr.1</v>
      </c>
      <c r="B51" s="415">
        <v>45</v>
      </c>
      <c r="C51" s="415" t="s">
        <v>2673</v>
      </c>
      <c r="D51" s="415" t="s">
        <v>2689</v>
      </c>
      <c r="E51" s="415" t="s">
        <v>2209</v>
      </c>
      <c r="F51" s="415">
        <v>1</v>
      </c>
      <c r="G51" s="415" t="s">
        <v>2721</v>
      </c>
      <c r="H51" s="415">
        <v>0</v>
      </c>
      <c r="I51" s="415">
        <v>0</v>
      </c>
      <c r="J51" s="415">
        <v>1</v>
      </c>
      <c r="K51" s="415">
        <v>1</v>
      </c>
      <c r="L51" s="415">
        <v>380</v>
      </c>
      <c r="M51" s="415">
        <v>205</v>
      </c>
      <c r="N51" s="415" t="s">
        <v>2675</v>
      </c>
      <c r="O51" s="415" t="s">
        <v>2675</v>
      </c>
      <c r="P51" s="415">
        <v>343</v>
      </c>
      <c r="Q51" s="415">
        <v>343</v>
      </c>
      <c r="R51" s="415" t="s">
        <v>2699</v>
      </c>
      <c r="S51" s="415" t="s">
        <v>2724</v>
      </c>
      <c r="T51" s="416">
        <v>92.4</v>
      </c>
      <c r="U51" s="416">
        <v>92.4</v>
      </c>
      <c r="V51" s="416">
        <v>92.4</v>
      </c>
      <c r="W51" s="416">
        <v>92.4</v>
      </c>
      <c r="X51" s="416">
        <v>92.4</v>
      </c>
      <c r="Y51" s="416">
        <v>92.4</v>
      </c>
      <c r="Z51" s="416">
        <v>92.4</v>
      </c>
      <c r="AA51" s="416">
        <v>92.4</v>
      </c>
      <c r="AB51" s="416">
        <v>90.8</v>
      </c>
      <c r="AC51" s="416">
        <v>88.7</v>
      </c>
      <c r="AD51" s="416">
        <v>86.2</v>
      </c>
      <c r="AE51" s="416">
        <v>0</v>
      </c>
      <c r="AF51" s="416">
        <v>0</v>
      </c>
      <c r="AG51" s="416">
        <v>0</v>
      </c>
      <c r="AH51" s="416">
        <v>0</v>
      </c>
      <c r="AI51" s="416">
        <v>0</v>
      </c>
      <c r="AJ51" s="416">
        <v>0</v>
      </c>
      <c r="AK51" s="416">
        <v>0</v>
      </c>
      <c r="AL51" s="416">
        <v>0</v>
      </c>
      <c r="AM51" s="416">
        <v>0</v>
      </c>
      <c r="AN51" s="416">
        <v>0</v>
      </c>
      <c r="AO51" s="416">
        <v>0</v>
      </c>
      <c r="AP51" s="416">
        <v>0</v>
      </c>
      <c r="AQ51" s="416">
        <v>0</v>
      </c>
      <c r="AR51" s="416">
        <v>0</v>
      </c>
      <c r="AS51" s="416">
        <v>0</v>
      </c>
      <c r="AT51" s="416">
        <v>0</v>
      </c>
      <c r="AU51" s="416">
        <v>0</v>
      </c>
      <c r="AV51" s="416">
        <v>0</v>
      </c>
      <c r="AW51" s="416">
        <v>0</v>
      </c>
      <c r="AX51" s="416">
        <v>0</v>
      </c>
      <c r="AY51" s="416">
        <v>0</v>
      </c>
      <c r="AZ51" s="416">
        <v>0</v>
      </c>
    </row>
    <row r="52" spans="1:52" s="411" customFormat="1" x14ac:dyDescent="0.3">
      <c r="A52" s="415" t="str">
        <f t="shared" si="0"/>
        <v>SA-516 Gr.55</v>
      </c>
      <c r="B52" s="415">
        <v>46</v>
      </c>
      <c r="C52" s="415" t="s">
        <v>2673</v>
      </c>
      <c r="D52" s="415" t="s">
        <v>2684</v>
      </c>
      <c r="E52" s="415" t="s">
        <v>2151</v>
      </c>
      <c r="F52" s="415">
        <v>55</v>
      </c>
      <c r="G52" s="415" t="s">
        <v>2725</v>
      </c>
      <c r="H52" s="415">
        <v>0</v>
      </c>
      <c r="I52" s="415">
        <v>0</v>
      </c>
      <c r="J52" s="415">
        <v>1</v>
      </c>
      <c r="K52" s="415">
        <v>1</v>
      </c>
      <c r="L52" s="415">
        <v>380</v>
      </c>
      <c r="M52" s="415">
        <v>205</v>
      </c>
      <c r="N52" s="415">
        <v>454</v>
      </c>
      <c r="O52" s="415">
        <v>371</v>
      </c>
      <c r="P52" s="415">
        <v>538</v>
      </c>
      <c r="Q52" s="415">
        <v>343</v>
      </c>
      <c r="R52" s="415" t="s">
        <v>2699</v>
      </c>
      <c r="S52" s="415" t="s">
        <v>2695</v>
      </c>
      <c r="T52" s="416">
        <v>108</v>
      </c>
      <c r="U52" s="416">
        <v>108</v>
      </c>
      <c r="V52" s="416">
        <v>108</v>
      </c>
      <c r="W52" s="416">
        <v>108</v>
      </c>
      <c r="X52" s="416">
        <v>108</v>
      </c>
      <c r="Y52" s="416">
        <v>108</v>
      </c>
      <c r="Z52" s="416">
        <v>108</v>
      </c>
      <c r="AA52" s="416">
        <v>108</v>
      </c>
      <c r="AB52" s="416">
        <v>107</v>
      </c>
      <c r="AC52" s="416">
        <v>104</v>
      </c>
      <c r="AD52" s="416">
        <v>101</v>
      </c>
      <c r="AE52" s="416">
        <v>97.8</v>
      </c>
      <c r="AF52" s="416">
        <v>89.1</v>
      </c>
      <c r="AG52" s="416">
        <v>75.400000000000006</v>
      </c>
      <c r="AH52" s="416">
        <v>62.6</v>
      </c>
      <c r="AI52" s="416">
        <v>45.5</v>
      </c>
      <c r="AJ52" s="416">
        <v>31.6</v>
      </c>
      <c r="AK52" s="416">
        <v>21.9</v>
      </c>
      <c r="AL52" s="416">
        <v>12.7</v>
      </c>
      <c r="AM52" s="416">
        <v>0</v>
      </c>
      <c r="AN52" s="416">
        <v>0</v>
      </c>
      <c r="AO52" s="416">
        <v>0</v>
      </c>
      <c r="AP52" s="416">
        <v>0</v>
      </c>
      <c r="AQ52" s="416">
        <v>0</v>
      </c>
      <c r="AR52" s="416">
        <v>0</v>
      </c>
      <c r="AS52" s="416">
        <v>0</v>
      </c>
      <c r="AT52" s="416">
        <v>0</v>
      </c>
      <c r="AU52" s="416">
        <v>0</v>
      </c>
      <c r="AV52" s="416">
        <v>0</v>
      </c>
      <c r="AW52" s="416">
        <v>0</v>
      </c>
      <c r="AX52" s="416">
        <v>0</v>
      </c>
      <c r="AY52" s="416">
        <v>0</v>
      </c>
      <c r="AZ52" s="416">
        <v>0</v>
      </c>
    </row>
    <row r="53" spans="1:52" s="411" customFormat="1" x14ac:dyDescent="0.3">
      <c r="A53" s="415" t="str">
        <f t="shared" si="0"/>
        <v>SA-524 Gr.II</v>
      </c>
      <c r="B53" s="415">
        <v>47</v>
      </c>
      <c r="C53" s="415" t="s">
        <v>2673</v>
      </c>
      <c r="D53" s="415" t="s">
        <v>2703</v>
      </c>
      <c r="E53" s="415" t="s">
        <v>2258</v>
      </c>
      <c r="F53" s="415" t="s">
        <v>2484</v>
      </c>
      <c r="G53" s="415" t="s">
        <v>2726</v>
      </c>
      <c r="H53" s="415">
        <v>0</v>
      </c>
      <c r="I53" s="415">
        <v>0</v>
      </c>
      <c r="J53" s="415">
        <v>1</v>
      </c>
      <c r="K53" s="415">
        <v>1</v>
      </c>
      <c r="L53" s="415">
        <v>380</v>
      </c>
      <c r="M53" s="415">
        <v>205</v>
      </c>
      <c r="N53" s="415" t="s">
        <v>2675</v>
      </c>
      <c r="O53" s="415" t="s">
        <v>2675</v>
      </c>
      <c r="P53" s="415">
        <v>538</v>
      </c>
      <c r="Q53" s="415">
        <v>343</v>
      </c>
      <c r="R53" s="415" t="s">
        <v>2699</v>
      </c>
      <c r="S53" s="415" t="s">
        <v>2686</v>
      </c>
      <c r="T53" s="416">
        <v>108</v>
      </c>
      <c r="U53" s="416">
        <v>108</v>
      </c>
      <c r="V53" s="416">
        <v>108</v>
      </c>
      <c r="W53" s="416">
        <v>108</v>
      </c>
      <c r="X53" s="416">
        <v>108</v>
      </c>
      <c r="Y53" s="416">
        <v>108</v>
      </c>
      <c r="Z53" s="416">
        <v>108</v>
      </c>
      <c r="AA53" s="416">
        <v>108</v>
      </c>
      <c r="AB53" s="416">
        <v>107</v>
      </c>
      <c r="AC53" s="416">
        <v>104</v>
      </c>
      <c r="AD53" s="416">
        <v>101</v>
      </c>
      <c r="AE53" s="416">
        <v>97.8</v>
      </c>
      <c r="AF53" s="416">
        <v>89.1</v>
      </c>
      <c r="AG53" s="416">
        <v>75.400000000000006</v>
      </c>
      <c r="AH53" s="416">
        <v>62.6</v>
      </c>
      <c r="AI53" s="416">
        <v>45.5</v>
      </c>
      <c r="AJ53" s="416">
        <v>31.6</v>
      </c>
      <c r="AK53" s="416">
        <v>21.9</v>
      </c>
      <c r="AL53" s="416">
        <v>12.7</v>
      </c>
      <c r="AM53" s="416">
        <v>0</v>
      </c>
      <c r="AN53" s="416">
        <v>0</v>
      </c>
      <c r="AO53" s="416">
        <v>0</v>
      </c>
      <c r="AP53" s="416">
        <v>0</v>
      </c>
      <c r="AQ53" s="416">
        <v>0</v>
      </c>
      <c r="AR53" s="416">
        <v>0</v>
      </c>
      <c r="AS53" s="416">
        <v>0</v>
      </c>
      <c r="AT53" s="416">
        <v>0</v>
      </c>
      <c r="AU53" s="416">
        <v>0</v>
      </c>
      <c r="AV53" s="416">
        <v>0</v>
      </c>
      <c r="AW53" s="416">
        <v>0</v>
      </c>
      <c r="AX53" s="416">
        <v>0</v>
      </c>
      <c r="AY53" s="416">
        <v>0</v>
      </c>
      <c r="AZ53" s="416">
        <v>0</v>
      </c>
    </row>
    <row r="54" spans="1:52" s="411" customFormat="1" x14ac:dyDescent="0.3">
      <c r="A54" s="415" t="str">
        <f t="shared" si="0"/>
        <v>SA-671 Gr.CA55</v>
      </c>
      <c r="B54" s="415">
        <v>48</v>
      </c>
      <c r="C54" s="415" t="s">
        <v>2673</v>
      </c>
      <c r="D54" s="415" t="s">
        <v>2680</v>
      </c>
      <c r="E54" s="415" t="s">
        <v>2295</v>
      </c>
      <c r="F54" s="415" t="s">
        <v>2357</v>
      </c>
      <c r="G54" s="415" t="s">
        <v>2719</v>
      </c>
      <c r="H54" s="415">
        <v>0</v>
      </c>
      <c r="I54" s="415">
        <v>0</v>
      </c>
      <c r="J54" s="415">
        <v>1</v>
      </c>
      <c r="K54" s="415">
        <v>1</v>
      </c>
      <c r="L54" s="415">
        <v>380</v>
      </c>
      <c r="M54" s="415">
        <v>205</v>
      </c>
      <c r="N54" s="415" t="s">
        <v>2675</v>
      </c>
      <c r="O54" s="415">
        <v>371</v>
      </c>
      <c r="P54" s="415" t="s">
        <v>2675</v>
      </c>
      <c r="Q54" s="415" t="s">
        <v>2675</v>
      </c>
      <c r="R54" s="415" t="s">
        <v>2699</v>
      </c>
      <c r="S54" s="415" t="s">
        <v>2687</v>
      </c>
      <c r="T54" s="416">
        <v>108</v>
      </c>
      <c r="U54" s="416">
        <v>108</v>
      </c>
      <c r="V54" s="416">
        <v>108</v>
      </c>
      <c r="W54" s="416">
        <v>108</v>
      </c>
      <c r="X54" s="416">
        <v>108</v>
      </c>
      <c r="Y54" s="416">
        <v>108</v>
      </c>
      <c r="Z54" s="416">
        <v>108</v>
      </c>
      <c r="AA54" s="416">
        <v>108</v>
      </c>
      <c r="AB54" s="416">
        <v>107</v>
      </c>
      <c r="AC54" s="416">
        <v>104</v>
      </c>
      <c r="AD54" s="416">
        <v>101</v>
      </c>
      <c r="AE54" s="416">
        <v>97.8</v>
      </c>
      <c r="AF54" s="416">
        <v>0</v>
      </c>
      <c r="AG54" s="416">
        <v>0</v>
      </c>
      <c r="AH54" s="416">
        <v>0</v>
      </c>
      <c r="AI54" s="416">
        <v>0</v>
      </c>
      <c r="AJ54" s="416">
        <v>0</v>
      </c>
      <c r="AK54" s="416">
        <v>0</v>
      </c>
      <c r="AL54" s="416">
        <v>0</v>
      </c>
      <c r="AM54" s="416">
        <v>0</v>
      </c>
      <c r="AN54" s="416">
        <v>0</v>
      </c>
      <c r="AO54" s="416">
        <v>0</v>
      </c>
      <c r="AP54" s="416">
        <v>0</v>
      </c>
      <c r="AQ54" s="416">
        <v>0</v>
      </c>
      <c r="AR54" s="416">
        <v>0</v>
      </c>
      <c r="AS54" s="416">
        <v>0</v>
      </c>
      <c r="AT54" s="416">
        <v>0</v>
      </c>
      <c r="AU54" s="416">
        <v>0</v>
      </c>
      <c r="AV54" s="416">
        <v>0</v>
      </c>
      <c r="AW54" s="416">
        <v>0</v>
      </c>
      <c r="AX54" s="416">
        <v>0</v>
      </c>
      <c r="AY54" s="416">
        <v>0</v>
      </c>
      <c r="AZ54" s="416">
        <v>0</v>
      </c>
    </row>
    <row r="55" spans="1:52" s="411" customFormat="1" x14ac:dyDescent="0.3">
      <c r="A55" s="415" t="str">
        <f t="shared" si="0"/>
        <v>SA-671 Gr.CE55</v>
      </c>
      <c r="B55" s="415">
        <v>49</v>
      </c>
      <c r="C55" s="415" t="s">
        <v>2673</v>
      </c>
      <c r="D55" s="415" t="s">
        <v>2680</v>
      </c>
      <c r="E55" s="415" t="s">
        <v>2295</v>
      </c>
      <c r="F55" s="415" t="s">
        <v>2368</v>
      </c>
      <c r="G55" s="415" t="s">
        <v>2727</v>
      </c>
      <c r="H55" s="415">
        <v>0</v>
      </c>
      <c r="I55" s="415">
        <v>0</v>
      </c>
      <c r="J55" s="415">
        <v>1</v>
      </c>
      <c r="K55" s="415">
        <v>1</v>
      </c>
      <c r="L55" s="415">
        <v>380</v>
      </c>
      <c r="M55" s="415">
        <v>205</v>
      </c>
      <c r="N55" s="415" t="s">
        <v>2675</v>
      </c>
      <c r="O55" s="415">
        <v>371</v>
      </c>
      <c r="P55" s="415" t="s">
        <v>2675</v>
      </c>
      <c r="Q55" s="415" t="s">
        <v>2675</v>
      </c>
      <c r="R55" s="415" t="s">
        <v>2699</v>
      </c>
      <c r="S55" s="415" t="s">
        <v>2687</v>
      </c>
      <c r="T55" s="416">
        <v>108</v>
      </c>
      <c r="U55" s="416">
        <v>108</v>
      </c>
      <c r="V55" s="416">
        <v>108</v>
      </c>
      <c r="W55" s="416">
        <v>108</v>
      </c>
      <c r="X55" s="416">
        <v>108</v>
      </c>
      <c r="Y55" s="416">
        <v>108</v>
      </c>
      <c r="Z55" s="416">
        <v>108</v>
      </c>
      <c r="AA55" s="416">
        <v>108</v>
      </c>
      <c r="AB55" s="416">
        <v>107</v>
      </c>
      <c r="AC55" s="416">
        <v>104</v>
      </c>
      <c r="AD55" s="416">
        <v>101</v>
      </c>
      <c r="AE55" s="416">
        <v>97.8</v>
      </c>
      <c r="AF55" s="416">
        <v>0</v>
      </c>
      <c r="AG55" s="416">
        <v>0</v>
      </c>
      <c r="AH55" s="416">
        <v>0</v>
      </c>
      <c r="AI55" s="416">
        <v>0</v>
      </c>
      <c r="AJ55" s="416">
        <v>0</v>
      </c>
      <c r="AK55" s="416">
        <v>0</v>
      </c>
      <c r="AL55" s="416">
        <v>0</v>
      </c>
      <c r="AM55" s="416">
        <v>0</v>
      </c>
      <c r="AN55" s="416">
        <v>0</v>
      </c>
      <c r="AO55" s="416">
        <v>0</v>
      </c>
      <c r="AP55" s="416">
        <v>0</v>
      </c>
      <c r="AQ55" s="416">
        <v>0</v>
      </c>
      <c r="AR55" s="416">
        <v>0</v>
      </c>
      <c r="AS55" s="416">
        <v>0</v>
      </c>
      <c r="AT55" s="416">
        <v>0</v>
      </c>
      <c r="AU55" s="416">
        <v>0</v>
      </c>
      <c r="AV55" s="416">
        <v>0</v>
      </c>
      <c r="AW55" s="416">
        <v>0</v>
      </c>
      <c r="AX55" s="416">
        <v>0</v>
      </c>
      <c r="AY55" s="416">
        <v>0</v>
      </c>
      <c r="AZ55" s="416">
        <v>0</v>
      </c>
    </row>
    <row r="56" spans="1:52" s="411" customFormat="1" x14ac:dyDescent="0.3">
      <c r="A56" s="415" t="str">
        <f t="shared" si="0"/>
        <v>SA-672 Gr.A55</v>
      </c>
      <c r="B56" s="415">
        <v>50</v>
      </c>
      <c r="C56" s="415" t="s">
        <v>2673</v>
      </c>
      <c r="D56" s="415" t="s">
        <v>2680</v>
      </c>
      <c r="E56" s="415" t="s">
        <v>2297</v>
      </c>
      <c r="F56" s="415" t="s">
        <v>2335</v>
      </c>
      <c r="G56" s="415" t="s">
        <v>2719</v>
      </c>
      <c r="H56" s="415">
        <v>0</v>
      </c>
      <c r="I56" s="415">
        <v>0</v>
      </c>
      <c r="J56" s="415">
        <v>1</v>
      </c>
      <c r="K56" s="415">
        <v>1</v>
      </c>
      <c r="L56" s="415">
        <v>380</v>
      </c>
      <c r="M56" s="415">
        <v>205</v>
      </c>
      <c r="N56" s="415" t="s">
        <v>2675</v>
      </c>
      <c r="O56" s="415">
        <v>371</v>
      </c>
      <c r="P56" s="415" t="s">
        <v>2675</v>
      </c>
      <c r="Q56" s="415" t="s">
        <v>2675</v>
      </c>
      <c r="R56" s="415" t="s">
        <v>2699</v>
      </c>
      <c r="S56" s="415" t="s">
        <v>2687</v>
      </c>
      <c r="T56" s="416">
        <v>108</v>
      </c>
      <c r="U56" s="416">
        <v>108</v>
      </c>
      <c r="V56" s="416">
        <v>108</v>
      </c>
      <c r="W56" s="416">
        <v>108</v>
      </c>
      <c r="X56" s="416">
        <v>108</v>
      </c>
      <c r="Y56" s="416">
        <v>108</v>
      </c>
      <c r="Z56" s="416">
        <v>108</v>
      </c>
      <c r="AA56" s="416">
        <v>108</v>
      </c>
      <c r="AB56" s="416">
        <v>107</v>
      </c>
      <c r="AC56" s="416">
        <v>104</v>
      </c>
      <c r="AD56" s="416">
        <v>101</v>
      </c>
      <c r="AE56" s="416">
        <v>97.8</v>
      </c>
      <c r="AF56" s="416">
        <v>0</v>
      </c>
      <c r="AG56" s="416">
        <v>0</v>
      </c>
      <c r="AH56" s="416">
        <v>0</v>
      </c>
      <c r="AI56" s="416">
        <v>0</v>
      </c>
      <c r="AJ56" s="416">
        <v>0</v>
      </c>
      <c r="AK56" s="416">
        <v>0</v>
      </c>
      <c r="AL56" s="416">
        <v>0</v>
      </c>
      <c r="AM56" s="416">
        <v>0</v>
      </c>
      <c r="AN56" s="416">
        <v>0</v>
      </c>
      <c r="AO56" s="416">
        <v>0</v>
      </c>
      <c r="AP56" s="416">
        <v>0</v>
      </c>
      <c r="AQ56" s="416">
        <v>0</v>
      </c>
      <c r="AR56" s="416">
        <v>0</v>
      </c>
      <c r="AS56" s="416">
        <v>0</v>
      </c>
      <c r="AT56" s="416">
        <v>0</v>
      </c>
      <c r="AU56" s="416">
        <v>0</v>
      </c>
      <c r="AV56" s="416">
        <v>0</v>
      </c>
      <c r="AW56" s="416">
        <v>0</v>
      </c>
      <c r="AX56" s="416">
        <v>0</v>
      </c>
      <c r="AY56" s="416">
        <v>0</v>
      </c>
      <c r="AZ56" s="416">
        <v>0</v>
      </c>
    </row>
    <row r="57" spans="1:52" s="411" customFormat="1" x14ac:dyDescent="0.3">
      <c r="A57" s="415" t="str">
        <f t="shared" si="0"/>
        <v>SA-672 Gr.B55</v>
      </c>
      <c r="B57" s="415">
        <v>51</v>
      </c>
      <c r="C57" s="415" t="s">
        <v>2673</v>
      </c>
      <c r="D57" s="415" t="s">
        <v>2680</v>
      </c>
      <c r="E57" s="415" t="s">
        <v>2297</v>
      </c>
      <c r="F57" s="415" t="s">
        <v>2344</v>
      </c>
      <c r="G57" s="415" t="s">
        <v>2728</v>
      </c>
      <c r="H57" s="415">
        <v>0</v>
      </c>
      <c r="I57" s="415">
        <v>0</v>
      </c>
      <c r="J57" s="415">
        <v>1</v>
      </c>
      <c r="K57" s="415">
        <v>1</v>
      </c>
      <c r="L57" s="415">
        <v>380</v>
      </c>
      <c r="M57" s="415">
        <v>205</v>
      </c>
      <c r="N57" s="415" t="s">
        <v>2675</v>
      </c>
      <c r="O57" s="415">
        <v>371</v>
      </c>
      <c r="P57" s="415" t="s">
        <v>2675</v>
      </c>
      <c r="Q57" s="415" t="s">
        <v>2675</v>
      </c>
      <c r="R57" s="415" t="s">
        <v>2699</v>
      </c>
      <c r="S57" s="415" t="s">
        <v>2687</v>
      </c>
      <c r="T57" s="416">
        <v>108</v>
      </c>
      <c r="U57" s="416">
        <v>108</v>
      </c>
      <c r="V57" s="416">
        <v>108</v>
      </c>
      <c r="W57" s="416">
        <v>108</v>
      </c>
      <c r="X57" s="416">
        <v>108</v>
      </c>
      <c r="Y57" s="416">
        <v>108</v>
      </c>
      <c r="Z57" s="416">
        <v>108</v>
      </c>
      <c r="AA57" s="416">
        <v>108</v>
      </c>
      <c r="AB57" s="416">
        <v>107</v>
      </c>
      <c r="AC57" s="416">
        <v>104</v>
      </c>
      <c r="AD57" s="416">
        <v>101</v>
      </c>
      <c r="AE57" s="416">
        <v>97.8</v>
      </c>
      <c r="AF57" s="416">
        <v>0</v>
      </c>
      <c r="AG57" s="416">
        <v>0</v>
      </c>
      <c r="AH57" s="416">
        <v>0</v>
      </c>
      <c r="AI57" s="416">
        <v>0</v>
      </c>
      <c r="AJ57" s="416">
        <v>0</v>
      </c>
      <c r="AK57" s="416">
        <v>0</v>
      </c>
      <c r="AL57" s="416">
        <v>0</v>
      </c>
      <c r="AM57" s="416">
        <v>0</v>
      </c>
      <c r="AN57" s="416">
        <v>0</v>
      </c>
      <c r="AO57" s="416">
        <v>0</v>
      </c>
      <c r="AP57" s="416">
        <v>0</v>
      </c>
      <c r="AQ57" s="416">
        <v>0</v>
      </c>
      <c r="AR57" s="416">
        <v>0</v>
      </c>
      <c r="AS57" s="416">
        <v>0</v>
      </c>
      <c r="AT57" s="416">
        <v>0</v>
      </c>
      <c r="AU57" s="416">
        <v>0</v>
      </c>
      <c r="AV57" s="416">
        <v>0</v>
      </c>
      <c r="AW57" s="416">
        <v>0</v>
      </c>
      <c r="AX57" s="416">
        <v>0</v>
      </c>
      <c r="AY57" s="416">
        <v>0</v>
      </c>
      <c r="AZ57" s="416">
        <v>0</v>
      </c>
    </row>
    <row r="58" spans="1:52" s="411" customFormat="1" x14ac:dyDescent="0.3">
      <c r="A58" s="415" t="str">
        <f t="shared" si="0"/>
        <v>SA-672 Gr.C55</v>
      </c>
      <c r="B58" s="415">
        <v>52</v>
      </c>
      <c r="C58" s="415" t="s">
        <v>2673</v>
      </c>
      <c r="D58" s="415" t="s">
        <v>2680</v>
      </c>
      <c r="E58" s="415" t="s">
        <v>2297</v>
      </c>
      <c r="F58" s="415" t="s">
        <v>2352</v>
      </c>
      <c r="G58" s="415" t="s">
        <v>2725</v>
      </c>
      <c r="H58" s="415">
        <v>0</v>
      </c>
      <c r="I58" s="415">
        <v>0</v>
      </c>
      <c r="J58" s="415">
        <v>1</v>
      </c>
      <c r="K58" s="415">
        <v>1</v>
      </c>
      <c r="L58" s="415">
        <v>380</v>
      </c>
      <c r="M58" s="415">
        <v>205</v>
      </c>
      <c r="N58" s="415" t="s">
        <v>2675</v>
      </c>
      <c r="O58" s="415">
        <v>371</v>
      </c>
      <c r="P58" s="415" t="s">
        <v>2675</v>
      </c>
      <c r="Q58" s="415" t="s">
        <v>2675</v>
      </c>
      <c r="R58" s="415" t="s">
        <v>2699</v>
      </c>
      <c r="S58" s="415" t="s">
        <v>2687</v>
      </c>
      <c r="T58" s="416">
        <v>108</v>
      </c>
      <c r="U58" s="416">
        <v>108</v>
      </c>
      <c r="V58" s="416">
        <v>108</v>
      </c>
      <c r="W58" s="416">
        <v>108</v>
      </c>
      <c r="X58" s="416">
        <v>108</v>
      </c>
      <c r="Y58" s="416">
        <v>108</v>
      </c>
      <c r="Z58" s="416">
        <v>108</v>
      </c>
      <c r="AA58" s="416">
        <v>108</v>
      </c>
      <c r="AB58" s="416">
        <v>107</v>
      </c>
      <c r="AC58" s="416">
        <v>104</v>
      </c>
      <c r="AD58" s="416">
        <v>101</v>
      </c>
      <c r="AE58" s="416">
        <v>97.8</v>
      </c>
      <c r="AF58" s="416">
        <v>0</v>
      </c>
      <c r="AG58" s="416">
        <v>0</v>
      </c>
      <c r="AH58" s="416">
        <v>0</v>
      </c>
      <c r="AI58" s="416">
        <v>0</v>
      </c>
      <c r="AJ58" s="416">
        <v>0</v>
      </c>
      <c r="AK58" s="416">
        <v>0</v>
      </c>
      <c r="AL58" s="416">
        <v>0</v>
      </c>
      <c r="AM58" s="416">
        <v>0</v>
      </c>
      <c r="AN58" s="416">
        <v>0</v>
      </c>
      <c r="AO58" s="416">
        <v>0</v>
      </c>
      <c r="AP58" s="416">
        <v>0</v>
      </c>
      <c r="AQ58" s="416">
        <v>0</v>
      </c>
      <c r="AR58" s="416">
        <v>0</v>
      </c>
      <c r="AS58" s="416">
        <v>0</v>
      </c>
      <c r="AT58" s="416">
        <v>0</v>
      </c>
      <c r="AU58" s="416">
        <v>0</v>
      </c>
      <c r="AV58" s="416">
        <v>0</v>
      </c>
      <c r="AW58" s="416">
        <v>0</v>
      </c>
      <c r="AX58" s="416">
        <v>0</v>
      </c>
      <c r="AY58" s="416">
        <v>0</v>
      </c>
      <c r="AZ58" s="416">
        <v>0</v>
      </c>
    </row>
    <row r="59" spans="1:52" s="411" customFormat="1" x14ac:dyDescent="0.3">
      <c r="A59" s="415" t="str">
        <f t="shared" si="0"/>
        <v>SA-672 Gr.E55</v>
      </c>
      <c r="B59" s="415">
        <v>53</v>
      </c>
      <c r="C59" s="415" t="s">
        <v>2673</v>
      </c>
      <c r="D59" s="415" t="s">
        <v>2680</v>
      </c>
      <c r="E59" s="415" t="s">
        <v>2297</v>
      </c>
      <c r="F59" s="415" t="s">
        <v>2420</v>
      </c>
      <c r="G59" s="415" t="s">
        <v>2727</v>
      </c>
      <c r="H59" s="415">
        <v>0</v>
      </c>
      <c r="I59" s="415">
        <v>0</v>
      </c>
      <c r="J59" s="415">
        <v>1</v>
      </c>
      <c r="K59" s="415">
        <v>1</v>
      </c>
      <c r="L59" s="415">
        <v>380</v>
      </c>
      <c r="M59" s="415">
        <v>205</v>
      </c>
      <c r="N59" s="415" t="s">
        <v>2675</v>
      </c>
      <c r="O59" s="415">
        <v>371</v>
      </c>
      <c r="P59" s="415" t="s">
        <v>2675</v>
      </c>
      <c r="Q59" s="415" t="s">
        <v>2675</v>
      </c>
      <c r="R59" s="415" t="s">
        <v>2699</v>
      </c>
      <c r="S59" s="415" t="s">
        <v>2687</v>
      </c>
      <c r="T59" s="416">
        <v>108</v>
      </c>
      <c r="U59" s="416">
        <v>108</v>
      </c>
      <c r="V59" s="416">
        <v>108</v>
      </c>
      <c r="W59" s="416">
        <v>108</v>
      </c>
      <c r="X59" s="416">
        <v>108</v>
      </c>
      <c r="Y59" s="416">
        <v>108</v>
      </c>
      <c r="Z59" s="416">
        <v>108</v>
      </c>
      <c r="AA59" s="416">
        <v>108</v>
      </c>
      <c r="AB59" s="416">
        <v>107</v>
      </c>
      <c r="AC59" s="416">
        <v>104</v>
      </c>
      <c r="AD59" s="416">
        <v>101</v>
      </c>
      <c r="AE59" s="416">
        <v>97.8</v>
      </c>
      <c r="AF59" s="416">
        <v>0</v>
      </c>
      <c r="AG59" s="416">
        <v>0</v>
      </c>
      <c r="AH59" s="416">
        <v>0</v>
      </c>
      <c r="AI59" s="416">
        <v>0</v>
      </c>
      <c r="AJ59" s="416">
        <v>0</v>
      </c>
      <c r="AK59" s="416">
        <v>0</v>
      </c>
      <c r="AL59" s="416">
        <v>0</v>
      </c>
      <c r="AM59" s="416">
        <v>0</v>
      </c>
      <c r="AN59" s="416">
        <v>0</v>
      </c>
      <c r="AO59" s="416">
        <v>0</v>
      </c>
      <c r="AP59" s="416">
        <v>0</v>
      </c>
      <c r="AQ59" s="416">
        <v>0</v>
      </c>
      <c r="AR59" s="416">
        <v>0</v>
      </c>
      <c r="AS59" s="416">
        <v>0</v>
      </c>
      <c r="AT59" s="416">
        <v>0</v>
      </c>
      <c r="AU59" s="416">
        <v>0</v>
      </c>
      <c r="AV59" s="416">
        <v>0</v>
      </c>
      <c r="AW59" s="416">
        <v>0</v>
      </c>
      <c r="AX59" s="416">
        <v>0</v>
      </c>
      <c r="AY59" s="416">
        <v>0</v>
      </c>
      <c r="AZ59" s="416">
        <v>0</v>
      </c>
    </row>
    <row r="60" spans="1:52" s="411" customFormat="1" x14ac:dyDescent="0.3">
      <c r="A60" s="415" t="str">
        <f t="shared" si="0"/>
        <v>SA-414 Gr.C</v>
      </c>
      <c r="B60" s="415">
        <v>54</v>
      </c>
      <c r="C60" s="415" t="s">
        <v>2673</v>
      </c>
      <c r="D60" s="415" t="s">
        <v>2674</v>
      </c>
      <c r="E60" s="415" t="s">
        <v>2233</v>
      </c>
      <c r="F60" s="415" t="s">
        <v>2348</v>
      </c>
      <c r="G60" s="415" t="s">
        <v>2729</v>
      </c>
      <c r="H60" s="415">
        <v>0</v>
      </c>
      <c r="I60" s="415">
        <v>0</v>
      </c>
      <c r="J60" s="415">
        <v>1</v>
      </c>
      <c r="K60" s="415">
        <v>1</v>
      </c>
      <c r="L60" s="415">
        <v>380</v>
      </c>
      <c r="M60" s="415">
        <v>230</v>
      </c>
      <c r="N60" s="415" t="s">
        <v>2675</v>
      </c>
      <c r="O60" s="415">
        <v>371</v>
      </c>
      <c r="P60" s="415">
        <v>482</v>
      </c>
      <c r="Q60" s="415">
        <v>343</v>
      </c>
      <c r="R60" s="415" t="s">
        <v>2699</v>
      </c>
      <c r="S60" s="415" t="s">
        <v>2711</v>
      </c>
      <c r="T60" s="416">
        <v>108</v>
      </c>
      <c r="U60" s="416">
        <v>108</v>
      </c>
      <c r="V60" s="416">
        <v>108</v>
      </c>
      <c r="W60" s="416">
        <v>108</v>
      </c>
      <c r="X60" s="416">
        <v>108</v>
      </c>
      <c r="Y60" s="416">
        <v>108</v>
      </c>
      <c r="Z60" s="416">
        <v>108</v>
      </c>
      <c r="AA60" s="416">
        <v>108</v>
      </c>
      <c r="AB60" s="416">
        <v>108</v>
      </c>
      <c r="AC60" s="416">
        <v>108</v>
      </c>
      <c r="AD60" s="416">
        <v>108</v>
      </c>
      <c r="AE60" s="416">
        <v>106</v>
      </c>
      <c r="AF60" s="416">
        <v>88.8</v>
      </c>
      <c r="AG60" s="416">
        <v>75.2</v>
      </c>
      <c r="AH60" s="416">
        <v>62.6</v>
      </c>
      <c r="AI60" s="416">
        <v>45.9</v>
      </c>
      <c r="AJ60" s="416">
        <v>28.2</v>
      </c>
      <c r="AK60" s="416">
        <v>0</v>
      </c>
      <c r="AL60" s="416">
        <v>0</v>
      </c>
      <c r="AM60" s="416">
        <v>0</v>
      </c>
      <c r="AN60" s="416">
        <v>0</v>
      </c>
      <c r="AO60" s="416">
        <v>0</v>
      </c>
      <c r="AP60" s="416">
        <v>0</v>
      </c>
      <c r="AQ60" s="416">
        <v>0</v>
      </c>
      <c r="AR60" s="416">
        <v>0</v>
      </c>
      <c r="AS60" s="416">
        <v>0</v>
      </c>
      <c r="AT60" s="416">
        <v>0</v>
      </c>
      <c r="AU60" s="416">
        <v>0</v>
      </c>
      <c r="AV60" s="416">
        <v>0</v>
      </c>
      <c r="AW60" s="416">
        <v>0</v>
      </c>
      <c r="AX60" s="416">
        <v>0</v>
      </c>
      <c r="AY60" s="416">
        <v>0</v>
      </c>
      <c r="AZ60" s="416">
        <v>0</v>
      </c>
    </row>
    <row r="61" spans="1:52" s="411" customFormat="1" ht="28.8" x14ac:dyDescent="0.3">
      <c r="A61" s="415" t="str">
        <f t="shared" si="0"/>
        <v>SA/EN 10028-3 Gr.P275NH</v>
      </c>
      <c r="B61" s="415">
        <v>55</v>
      </c>
      <c r="C61" s="415" t="s">
        <v>2673</v>
      </c>
      <c r="D61" s="415" t="s">
        <v>2684</v>
      </c>
      <c r="E61" s="415" t="s">
        <v>2164</v>
      </c>
      <c r="F61" s="415" t="s">
        <v>2516</v>
      </c>
      <c r="G61" s="415">
        <v>0</v>
      </c>
      <c r="H61" s="415">
        <v>0</v>
      </c>
      <c r="I61" s="415" t="s">
        <v>2730</v>
      </c>
      <c r="J61" s="415">
        <v>1</v>
      </c>
      <c r="K61" s="415">
        <v>1</v>
      </c>
      <c r="L61" s="415">
        <v>390</v>
      </c>
      <c r="M61" s="415">
        <v>265</v>
      </c>
      <c r="N61" s="415" t="s">
        <v>2675</v>
      </c>
      <c r="O61" s="415" t="s">
        <v>2675</v>
      </c>
      <c r="P61" s="415">
        <v>204</v>
      </c>
      <c r="Q61" s="415">
        <v>204</v>
      </c>
      <c r="R61" s="415" t="s">
        <v>2699</v>
      </c>
      <c r="S61" s="415" t="s">
        <v>2715</v>
      </c>
      <c r="T61" s="416">
        <v>111</v>
      </c>
      <c r="U61" s="416">
        <v>111</v>
      </c>
      <c r="V61" s="416">
        <v>111</v>
      </c>
      <c r="W61" s="416">
        <v>111</v>
      </c>
      <c r="X61" s="416">
        <v>111</v>
      </c>
      <c r="Y61" s="416">
        <v>111</v>
      </c>
      <c r="Z61" s="416">
        <v>111</v>
      </c>
      <c r="AA61" s="416">
        <v>0</v>
      </c>
      <c r="AB61" s="416">
        <v>0</v>
      </c>
      <c r="AC61" s="416">
        <v>0</v>
      </c>
      <c r="AD61" s="416">
        <v>0</v>
      </c>
      <c r="AE61" s="416">
        <v>0</v>
      </c>
      <c r="AF61" s="416">
        <v>0</v>
      </c>
      <c r="AG61" s="416">
        <v>0</v>
      </c>
      <c r="AH61" s="416">
        <v>0</v>
      </c>
      <c r="AI61" s="416">
        <v>0</v>
      </c>
      <c r="AJ61" s="416">
        <v>0</v>
      </c>
      <c r="AK61" s="416">
        <v>0</v>
      </c>
      <c r="AL61" s="416">
        <v>0</v>
      </c>
      <c r="AM61" s="416">
        <v>0</v>
      </c>
      <c r="AN61" s="416">
        <v>0</v>
      </c>
      <c r="AO61" s="416">
        <v>0</v>
      </c>
      <c r="AP61" s="416">
        <v>0</v>
      </c>
      <c r="AQ61" s="416">
        <v>0</v>
      </c>
      <c r="AR61" s="416">
        <v>0</v>
      </c>
      <c r="AS61" s="416">
        <v>0</v>
      </c>
      <c r="AT61" s="416">
        <v>0</v>
      </c>
      <c r="AU61" s="416">
        <v>0</v>
      </c>
      <c r="AV61" s="416">
        <v>0</v>
      </c>
      <c r="AW61" s="416">
        <v>0</v>
      </c>
      <c r="AX61" s="416">
        <v>0</v>
      </c>
      <c r="AY61" s="416">
        <v>0</v>
      </c>
      <c r="AZ61" s="416">
        <v>0</v>
      </c>
    </row>
    <row r="62" spans="1:52" s="411" customFormat="1" x14ac:dyDescent="0.3">
      <c r="A62" s="415" t="str">
        <f t="shared" si="0"/>
        <v>SA-36 Gr.0</v>
      </c>
      <c r="B62" s="415">
        <v>56</v>
      </c>
      <c r="C62" s="415" t="s">
        <v>2673</v>
      </c>
      <c r="D62" s="415" t="s">
        <v>2677</v>
      </c>
      <c r="E62" s="415" t="s">
        <v>2219</v>
      </c>
      <c r="F62" s="415">
        <v>0</v>
      </c>
      <c r="G62" s="415" t="s">
        <v>2731</v>
      </c>
      <c r="H62" s="415">
        <v>0</v>
      </c>
      <c r="I62" s="415">
        <v>0</v>
      </c>
      <c r="J62" s="415">
        <v>1</v>
      </c>
      <c r="K62" s="415">
        <v>1</v>
      </c>
      <c r="L62" s="415">
        <v>400</v>
      </c>
      <c r="M62" s="415">
        <v>250</v>
      </c>
      <c r="N62" s="415">
        <v>343</v>
      </c>
      <c r="O62" s="415" t="s">
        <v>2732</v>
      </c>
      <c r="P62" s="415">
        <v>482</v>
      </c>
      <c r="Q62" s="415">
        <v>343</v>
      </c>
      <c r="R62" s="415" t="s">
        <v>2699</v>
      </c>
      <c r="S62" s="415" t="s">
        <v>2733</v>
      </c>
      <c r="T62" s="416">
        <v>114</v>
      </c>
      <c r="U62" s="416">
        <v>114</v>
      </c>
      <c r="V62" s="416">
        <v>114</v>
      </c>
      <c r="W62" s="416">
        <v>114</v>
      </c>
      <c r="X62" s="416">
        <v>114</v>
      </c>
      <c r="Y62" s="416">
        <v>114</v>
      </c>
      <c r="Z62" s="416">
        <v>114</v>
      </c>
      <c r="AA62" s="416">
        <v>114</v>
      </c>
      <c r="AB62" s="416">
        <v>114</v>
      </c>
      <c r="AC62" s="416">
        <v>114</v>
      </c>
      <c r="AD62" s="416">
        <v>114</v>
      </c>
      <c r="AE62" s="416">
        <v>105</v>
      </c>
      <c r="AF62" s="416">
        <v>88.9</v>
      </c>
      <c r="AG62" s="416">
        <v>75.3</v>
      </c>
      <c r="AH62" s="416">
        <v>62.6</v>
      </c>
      <c r="AI62" s="416">
        <v>45.9</v>
      </c>
      <c r="AJ62" s="416">
        <v>28.2</v>
      </c>
      <c r="AK62" s="416">
        <v>0</v>
      </c>
      <c r="AL62" s="416">
        <v>0</v>
      </c>
      <c r="AM62" s="416">
        <v>0</v>
      </c>
      <c r="AN62" s="416">
        <v>0</v>
      </c>
      <c r="AO62" s="416">
        <v>0</v>
      </c>
      <c r="AP62" s="416">
        <v>0</v>
      </c>
      <c r="AQ62" s="416">
        <v>0</v>
      </c>
      <c r="AR62" s="416">
        <v>0</v>
      </c>
      <c r="AS62" s="416">
        <v>0</v>
      </c>
      <c r="AT62" s="416">
        <v>0</v>
      </c>
      <c r="AU62" s="416">
        <v>0</v>
      </c>
      <c r="AV62" s="416">
        <v>0</v>
      </c>
      <c r="AW62" s="416">
        <v>0</v>
      </c>
      <c r="AX62" s="416">
        <v>0</v>
      </c>
      <c r="AY62" s="416">
        <v>0</v>
      </c>
      <c r="AZ62" s="416">
        <v>0</v>
      </c>
    </row>
    <row r="63" spans="1:52" s="411" customFormat="1" x14ac:dyDescent="0.3">
      <c r="A63" s="415" t="str">
        <f t="shared" si="0"/>
        <v>SA-36 Gr.0</v>
      </c>
      <c r="B63" s="415">
        <v>57</v>
      </c>
      <c r="C63" s="415" t="s">
        <v>2673</v>
      </c>
      <c r="D63" s="415" t="s">
        <v>2734</v>
      </c>
      <c r="E63" s="415" t="s">
        <v>2219</v>
      </c>
      <c r="F63" s="415">
        <v>0</v>
      </c>
      <c r="G63" s="415" t="s">
        <v>2731</v>
      </c>
      <c r="H63" s="415">
        <v>0</v>
      </c>
      <c r="I63" s="415">
        <v>0</v>
      </c>
      <c r="J63" s="415">
        <v>1</v>
      </c>
      <c r="K63" s="415">
        <v>1</v>
      </c>
      <c r="L63" s="415">
        <v>400</v>
      </c>
      <c r="M63" s="415">
        <v>250</v>
      </c>
      <c r="N63" s="415" t="s">
        <v>2675</v>
      </c>
      <c r="O63" s="415">
        <v>371</v>
      </c>
      <c r="P63" s="415">
        <v>343</v>
      </c>
      <c r="Q63" s="415">
        <v>343</v>
      </c>
      <c r="R63" s="415" t="s">
        <v>2699</v>
      </c>
      <c r="S63" s="415" t="s">
        <v>2735</v>
      </c>
      <c r="T63" s="416">
        <v>114</v>
      </c>
      <c r="U63" s="416">
        <v>114</v>
      </c>
      <c r="V63" s="416">
        <v>114</v>
      </c>
      <c r="W63" s="416">
        <v>114</v>
      </c>
      <c r="X63" s="416">
        <v>114</v>
      </c>
      <c r="Y63" s="416">
        <v>114</v>
      </c>
      <c r="Z63" s="416">
        <v>114</v>
      </c>
      <c r="AA63" s="416">
        <v>114</v>
      </c>
      <c r="AB63" s="416">
        <v>114</v>
      </c>
      <c r="AC63" s="416">
        <v>114</v>
      </c>
      <c r="AD63" s="416">
        <v>114</v>
      </c>
      <c r="AE63" s="416">
        <v>105</v>
      </c>
      <c r="AF63" s="416">
        <v>0</v>
      </c>
      <c r="AG63" s="416">
        <v>0</v>
      </c>
      <c r="AH63" s="416">
        <v>0</v>
      </c>
      <c r="AI63" s="416">
        <v>0</v>
      </c>
      <c r="AJ63" s="416">
        <v>0</v>
      </c>
      <c r="AK63" s="416">
        <v>0</v>
      </c>
      <c r="AL63" s="416">
        <v>0</v>
      </c>
      <c r="AM63" s="416">
        <v>0</v>
      </c>
      <c r="AN63" s="416">
        <v>0</v>
      </c>
      <c r="AO63" s="416">
        <v>0</v>
      </c>
      <c r="AP63" s="416">
        <v>0</v>
      </c>
      <c r="AQ63" s="416">
        <v>0</v>
      </c>
      <c r="AR63" s="416">
        <v>0</v>
      </c>
      <c r="AS63" s="416">
        <v>0</v>
      </c>
      <c r="AT63" s="416">
        <v>0</v>
      </c>
      <c r="AU63" s="416">
        <v>0</v>
      </c>
      <c r="AV63" s="416">
        <v>0</v>
      </c>
      <c r="AW63" s="416">
        <v>0</v>
      </c>
      <c r="AX63" s="416">
        <v>0</v>
      </c>
      <c r="AY63" s="416">
        <v>0</v>
      </c>
      <c r="AZ63" s="416">
        <v>0</v>
      </c>
    </row>
    <row r="64" spans="1:52" s="411" customFormat="1" x14ac:dyDescent="0.3">
      <c r="A64" s="415" t="str">
        <f t="shared" si="0"/>
        <v>SA-662 Gr.A</v>
      </c>
      <c r="B64" s="415">
        <v>58</v>
      </c>
      <c r="C64" s="415" t="s">
        <v>2673</v>
      </c>
      <c r="D64" s="415" t="s">
        <v>2734</v>
      </c>
      <c r="E64" s="415" t="s">
        <v>2291</v>
      </c>
      <c r="F64" s="415" t="s">
        <v>12</v>
      </c>
      <c r="G64" s="415" t="s">
        <v>2736</v>
      </c>
      <c r="H64" s="415">
        <v>0</v>
      </c>
      <c r="I64" s="415">
        <v>0</v>
      </c>
      <c r="J64" s="415">
        <v>1</v>
      </c>
      <c r="K64" s="415">
        <v>1</v>
      </c>
      <c r="L64" s="415">
        <v>400</v>
      </c>
      <c r="M64" s="415">
        <v>275</v>
      </c>
      <c r="N64" s="415" t="s">
        <v>2675</v>
      </c>
      <c r="O64" s="415" t="s">
        <v>2675</v>
      </c>
      <c r="P64" s="415">
        <v>371</v>
      </c>
      <c r="Q64" s="415">
        <v>343</v>
      </c>
      <c r="R64" s="415" t="s">
        <v>2699</v>
      </c>
      <c r="S64" s="415" t="s">
        <v>2535</v>
      </c>
      <c r="T64" s="416">
        <v>114</v>
      </c>
      <c r="U64" s="416">
        <v>114</v>
      </c>
      <c r="V64" s="416">
        <v>114</v>
      </c>
      <c r="W64" s="416">
        <v>114</v>
      </c>
      <c r="X64" s="416">
        <v>114</v>
      </c>
      <c r="Y64" s="416">
        <v>114</v>
      </c>
      <c r="Z64" s="416">
        <v>114</v>
      </c>
      <c r="AA64" s="416">
        <v>114</v>
      </c>
      <c r="AB64" s="416">
        <v>114</v>
      </c>
      <c r="AC64" s="416">
        <v>114</v>
      </c>
      <c r="AD64" s="416">
        <v>114</v>
      </c>
      <c r="AE64" s="416">
        <v>105</v>
      </c>
      <c r="AF64" s="416">
        <v>0</v>
      </c>
      <c r="AG64" s="416">
        <v>0</v>
      </c>
      <c r="AH64" s="416">
        <v>0</v>
      </c>
      <c r="AI64" s="416">
        <v>0</v>
      </c>
      <c r="AJ64" s="416">
        <v>0</v>
      </c>
      <c r="AK64" s="416">
        <v>0</v>
      </c>
      <c r="AL64" s="416">
        <v>0</v>
      </c>
      <c r="AM64" s="416">
        <v>0</v>
      </c>
      <c r="AN64" s="416">
        <v>0</v>
      </c>
      <c r="AO64" s="416">
        <v>0</v>
      </c>
      <c r="AP64" s="416">
        <v>0</v>
      </c>
      <c r="AQ64" s="416">
        <v>0</v>
      </c>
      <c r="AR64" s="416">
        <v>0</v>
      </c>
      <c r="AS64" s="416">
        <v>0</v>
      </c>
      <c r="AT64" s="416">
        <v>0</v>
      </c>
      <c r="AU64" s="416">
        <v>0</v>
      </c>
      <c r="AV64" s="416">
        <v>0</v>
      </c>
      <c r="AW64" s="416">
        <v>0</v>
      </c>
      <c r="AX64" s="416">
        <v>0</v>
      </c>
      <c r="AY64" s="416">
        <v>0</v>
      </c>
      <c r="AZ64" s="416">
        <v>0</v>
      </c>
    </row>
    <row r="65" spans="1:52" s="411" customFormat="1" x14ac:dyDescent="0.3">
      <c r="A65" s="415" t="str">
        <f t="shared" si="0"/>
        <v>SA-181 Gr.0</v>
      </c>
      <c r="B65" s="415">
        <v>59</v>
      </c>
      <c r="C65" s="415" t="s">
        <v>2673</v>
      </c>
      <c r="D65" s="415" t="s">
        <v>2737</v>
      </c>
      <c r="E65" s="415" t="s">
        <v>2187</v>
      </c>
      <c r="F65" s="415">
        <v>0</v>
      </c>
      <c r="G65" s="415" t="s">
        <v>2738</v>
      </c>
      <c r="H65" s="415">
        <v>60</v>
      </c>
      <c r="I65" s="415">
        <v>0</v>
      </c>
      <c r="J65" s="415">
        <v>1</v>
      </c>
      <c r="K65" s="415">
        <v>1</v>
      </c>
      <c r="L65" s="415">
        <v>415</v>
      </c>
      <c r="M65" s="415">
        <v>205</v>
      </c>
      <c r="N65" s="415">
        <v>538</v>
      </c>
      <c r="O65" s="415">
        <v>371</v>
      </c>
      <c r="P65" s="415">
        <v>538</v>
      </c>
      <c r="Q65" s="415">
        <v>343</v>
      </c>
      <c r="R65" s="415" t="s">
        <v>2699</v>
      </c>
      <c r="S65" s="415" t="s">
        <v>2695</v>
      </c>
      <c r="T65" s="416">
        <v>118</v>
      </c>
      <c r="U65" s="416">
        <v>118</v>
      </c>
      <c r="V65" s="416">
        <v>118</v>
      </c>
      <c r="W65" s="416">
        <v>118</v>
      </c>
      <c r="X65" s="416">
        <v>118</v>
      </c>
      <c r="Y65" s="416">
        <v>118</v>
      </c>
      <c r="Z65" s="416">
        <v>118</v>
      </c>
      <c r="AA65" s="416">
        <v>114</v>
      </c>
      <c r="AB65" s="416">
        <v>107</v>
      </c>
      <c r="AC65" s="416">
        <v>104</v>
      </c>
      <c r="AD65" s="416">
        <v>101</v>
      </c>
      <c r="AE65" s="416">
        <v>97.8</v>
      </c>
      <c r="AF65" s="416">
        <v>89.1</v>
      </c>
      <c r="AG65" s="416">
        <v>75.400000000000006</v>
      </c>
      <c r="AH65" s="416">
        <v>62.6</v>
      </c>
      <c r="AI65" s="416">
        <v>45.5</v>
      </c>
      <c r="AJ65" s="416">
        <v>31.6</v>
      </c>
      <c r="AK65" s="416">
        <v>21.9</v>
      </c>
      <c r="AL65" s="416">
        <v>12.7</v>
      </c>
      <c r="AM65" s="416">
        <v>0</v>
      </c>
      <c r="AN65" s="416">
        <v>0</v>
      </c>
      <c r="AO65" s="416">
        <v>0</v>
      </c>
      <c r="AP65" s="416">
        <v>0</v>
      </c>
      <c r="AQ65" s="416">
        <v>0</v>
      </c>
      <c r="AR65" s="416">
        <v>0</v>
      </c>
      <c r="AS65" s="416">
        <v>0</v>
      </c>
      <c r="AT65" s="416">
        <v>0</v>
      </c>
      <c r="AU65" s="416">
        <v>0</v>
      </c>
      <c r="AV65" s="416">
        <v>0</v>
      </c>
      <c r="AW65" s="416">
        <v>0</v>
      </c>
      <c r="AX65" s="416">
        <v>0</v>
      </c>
      <c r="AY65" s="416">
        <v>0</v>
      </c>
      <c r="AZ65" s="416">
        <v>0</v>
      </c>
    </row>
    <row r="66" spans="1:52" s="411" customFormat="1" x14ac:dyDescent="0.3">
      <c r="A66" s="415" t="str">
        <f t="shared" si="0"/>
        <v>SA-216 Gr.WCA</v>
      </c>
      <c r="B66" s="415">
        <v>60</v>
      </c>
      <c r="C66" s="415" t="s">
        <v>2673</v>
      </c>
      <c r="D66" s="415" t="s">
        <v>2739</v>
      </c>
      <c r="E66" s="415" t="s">
        <v>2197</v>
      </c>
      <c r="F66" s="415" t="s">
        <v>2601</v>
      </c>
      <c r="G66" s="415" t="s">
        <v>2740</v>
      </c>
      <c r="H66" s="415">
        <v>0</v>
      </c>
      <c r="I66" s="415">
        <v>0</v>
      </c>
      <c r="J66" s="415">
        <v>1</v>
      </c>
      <c r="K66" s="415">
        <v>1</v>
      </c>
      <c r="L66" s="415">
        <v>415</v>
      </c>
      <c r="M66" s="415">
        <v>205</v>
      </c>
      <c r="N66" s="415">
        <v>538</v>
      </c>
      <c r="O66" s="415">
        <v>371</v>
      </c>
      <c r="P66" s="415">
        <v>538</v>
      </c>
      <c r="Q66" s="415">
        <v>343</v>
      </c>
      <c r="R66" s="415" t="s">
        <v>2699</v>
      </c>
      <c r="S66" s="415" t="s">
        <v>2741</v>
      </c>
      <c r="T66" s="416">
        <v>118</v>
      </c>
      <c r="U66" s="416">
        <v>118</v>
      </c>
      <c r="V66" s="416">
        <v>118</v>
      </c>
      <c r="W66" s="416">
        <v>118</v>
      </c>
      <c r="X66" s="416">
        <v>118</v>
      </c>
      <c r="Y66" s="416">
        <v>118</v>
      </c>
      <c r="Z66" s="416">
        <v>118</v>
      </c>
      <c r="AA66" s="416">
        <v>114</v>
      </c>
      <c r="AB66" s="416">
        <v>107</v>
      </c>
      <c r="AC66" s="416">
        <v>104</v>
      </c>
      <c r="AD66" s="416">
        <v>101</v>
      </c>
      <c r="AE66" s="416">
        <v>97.8</v>
      </c>
      <c r="AF66" s="416">
        <v>89.1</v>
      </c>
      <c r="AG66" s="416">
        <v>75.400000000000006</v>
      </c>
      <c r="AH66" s="416">
        <v>62.6</v>
      </c>
      <c r="AI66" s="416">
        <v>45.5</v>
      </c>
      <c r="AJ66" s="416">
        <v>31.6</v>
      </c>
      <c r="AK66" s="416">
        <v>21.9</v>
      </c>
      <c r="AL66" s="416">
        <v>12.7</v>
      </c>
      <c r="AM66" s="416">
        <v>0</v>
      </c>
      <c r="AN66" s="416">
        <v>0</v>
      </c>
      <c r="AO66" s="416">
        <v>0</v>
      </c>
      <c r="AP66" s="416">
        <v>0</v>
      </c>
      <c r="AQ66" s="416">
        <v>0</v>
      </c>
      <c r="AR66" s="416">
        <v>0</v>
      </c>
      <c r="AS66" s="416">
        <v>0</v>
      </c>
      <c r="AT66" s="416">
        <v>0</v>
      </c>
      <c r="AU66" s="416">
        <v>0</v>
      </c>
      <c r="AV66" s="416">
        <v>0</v>
      </c>
      <c r="AW66" s="416">
        <v>0</v>
      </c>
      <c r="AX66" s="416">
        <v>0</v>
      </c>
      <c r="AY66" s="416">
        <v>0</v>
      </c>
      <c r="AZ66" s="416">
        <v>0</v>
      </c>
    </row>
    <row r="67" spans="1:52" s="411" customFormat="1" x14ac:dyDescent="0.3">
      <c r="A67" s="415" t="str">
        <f t="shared" si="0"/>
        <v>SA-266 Gr.1</v>
      </c>
      <c r="B67" s="415">
        <v>61</v>
      </c>
      <c r="C67" s="415" t="s">
        <v>2673</v>
      </c>
      <c r="D67" s="415" t="s">
        <v>2737</v>
      </c>
      <c r="E67" s="415" t="s">
        <v>2202</v>
      </c>
      <c r="F67" s="415">
        <v>1</v>
      </c>
      <c r="G67" s="415" t="s">
        <v>2742</v>
      </c>
      <c r="H67" s="415">
        <v>0</v>
      </c>
      <c r="I67" s="415">
        <v>0</v>
      </c>
      <c r="J67" s="415">
        <v>1</v>
      </c>
      <c r="K67" s="415">
        <v>1</v>
      </c>
      <c r="L67" s="415">
        <v>415</v>
      </c>
      <c r="M67" s="415">
        <v>205</v>
      </c>
      <c r="N67" s="415">
        <v>538</v>
      </c>
      <c r="O67" s="415">
        <v>371</v>
      </c>
      <c r="P67" s="415">
        <v>538</v>
      </c>
      <c r="Q67" s="415">
        <v>343</v>
      </c>
      <c r="R67" s="415" t="s">
        <v>2699</v>
      </c>
      <c r="S67" s="415" t="s">
        <v>2695</v>
      </c>
      <c r="T67" s="416">
        <v>118</v>
      </c>
      <c r="U67" s="416">
        <v>118</v>
      </c>
      <c r="V67" s="416">
        <v>118</v>
      </c>
      <c r="W67" s="416">
        <v>118</v>
      </c>
      <c r="X67" s="416">
        <v>118</v>
      </c>
      <c r="Y67" s="416">
        <v>118</v>
      </c>
      <c r="Z67" s="416">
        <v>118</v>
      </c>
      <c r="AA67" s="416">
        <v>114</v>
      </c>
      <c r="AB67" s="416">
        <v>107</v>
      </c>
      <c r="AC67" s="416">
        <v>104</v>
      </c>
      <c r="AD67" s="416">
        <v>101</v>
      </c>
      <c r="AE67" s="416">
        <v>97.8</v>
      </c>
      <c r="AF67" s="416">
        <v>89.1</v>
      </c>
      <c r="AG67" s="416">
        <v>75.400000000000006</v>
      </c>
      <c r="AH67" s="416">
        <v>62.6</v>
      </c>
      <c r="AI67" s="416">
        <v>45.5</v>
      </c>
      <c r="AJ67" s="416">
        <v>31.6</v>
      </c>
      <c r="AK67" s="416">
        <v>21.9</v>
      </c>
      <c r="AL67" s="416">
        <v>12.7</v>
      </c>
      <c r="AM67" s="416">
        <v>0</v>
      </c>
      <c r="AN67" s="416">
        <v>0</v>
      </c>
      <c r="AO67" s="416">
        <v>0</v>
      </c>
      <c r="AP67" s="416">
        <v>0</v>
      </c>
      <c r="AQ67" s="416">
        <v>0</v>
      </c>
      <c r="AR67" s="416">
        <v>0</v>
      </c>
      <c r="AS67" s="416">
        <v>0</v>
      </c>
      <c r="AT67" s="416">
        <v>0</v>
      </c>
      <c r="AU67" s="416">
        <v>0</v>
      </c>
      <c r="AV67" s="416">
        <v>0</v>
      </c>
      <c r="AW67" s="416">
        <v>0</v>
      </c>
      <c r="AX67" s="416">
        <v>0</v>
      </c>
      <c r="AY67" s="416">
        <v>0</v>
      </c>
      <c r="AZ67" s="416">
        <v>0</v>
      </c>
    </row>
    <row r="68" spans="1:52" s="411" customFormat="1" x14ac:dyDescent="0.3">
      <c r="A68" s="415" t="str">
        <f t="shared" si="0"/>
        <v>SA-350 Gr.LF1</v>
      </c>
      <c r="B68" s="415">
        <v>62</v>
      </c>
      <c r="C68" s="415" t="s">
        <v>2673</v>
      </c>
      <c r="D68" s="415" t="s">
        <v>2737</v>
      </c>
      <c r="E68" s="415" t="s">
        <v>2212</v>
      </c>
      <c r="F68" s="415" t="s">
        <v>2501</v>
      </c>
      <c r="G68" s="415" t="s">
        <v>2743</v>
      </c>
      <c r="H68" s="415">
        <v>1</v>
      </c>
      <c r="I68" s="415">
        <v>0</v>
      </c>
      <c r="J68" s="415">
        <v>1</v>
      </c>
      <c r="K68" s="415">
        <v>1</v>
      </c>
      <c r="L68" s="415">
        <v>415</v>
      </c>
      <c r="M68" s="415">
        <v>205</v>
      </c>
      <c r="N68" s="415" t="s">
        <v>2675</v>
      </c>
      <c r="O68" s="415">
        <v>371</v>
      </c>
      <c r="P68" s="415">
        <v>538</v>
      </c>
      <c r="Q68" s="415">
        <v>343</v>
      </c>
      <c r="R68" s="415" t="s">
        <v>2699</v>
      </c>
      <c r="S68" s="415" t="s">
        <v>2686</v>
      </c>
      <c r="T68" s="416">
        <v>118</v>
      </c>
      <c r="U68" s="416">
        <v>118</v>
      </c>
      <c r="V68" s="416">
        <v>118</v>
      </c>
      <c r="W68" s="416">
        <v>118</v>
      </c>
      <c r="X68" s="416">
        <v>118</v>
      </c>
      <c r="Y68" s="416">
        <v>118</v>
      </c>
      <c r="Z68" s="416">
        <v>118</v>
      </c>
      <c r="AA68" s="416">
        <v>114</v>
      </c>
      <c r="AB68" s="416">
        <v>107</v>
      </c>
      <c r="AC68" s="416">
        <v>104</v>
      </c>
      <c r="AD68" s="416">
        <v>101</v>
      </c>
      <c r="AE68" s="416">
        <v>97.8</v>
      </c>
      <c r="AF68" s="416">
        <v>89.1</v>
      </c>
      <c r="AG68" s="416">
        <v>75.400000000000006</v>
      </c>
      <c r="AH68" s="416">
        <v>62.6</v>
      </c>
      <c r="AI68" s="416">
        <v>45.5</v>
      </c>
      <c r="AJ68" s="416">
        <v>31.6</v>
      </c>
      <c r="AK68" s="416">
        <v>21.9</v>
      </c>
      <c r="AL68" s="416">
        <v>12.7</v>
      </c>
      <c r="AM68" s="416">
        <v>0</v>
      </c>
      <c r="AN68" s="416">
        <v>0</v>
      </c>
      <c r="AO68" s="416">
        <v>0</v>
      </c>
      <c r="AP68" s="416">
        <v>0</v>
      </c>
      <c r="AQ68" s="416">
        <v>0</v>
      </c>
      <c r="AR68" s="416">
        <v>0</v>
      </c>
      <c r="AS68" s="416">
        <v>0</v>
      </c>
      <c r="AT68" s="416">
        <v>0</v>
      </c>
      <c r="AU68" s="416">
        <v>0</v>
      </c>
      <c r="AV68" s="416">
        <v>0</v>
      </c>
      <c r="AW68" s="416">
        <v>0</v>
      </c>
      <c r="AX68" s="416">
        <v>0</v>
      </c>
      <c r="AY68" s="416">
        <v>0</v>
      </c>
      <c r="AZ68" s="416">
        <v>0</v>
      </c>
    </row>
    <row r="69" spans="1:52" s="411" customFormat="1" x14ac:dyDescent="0.3">
      <c r="A69" s="415" t="str">
        <f t="shared" si="0"/>
        <v>SA-352 Gr.LCA</v>
      </c>
      <c r="B69" s="415">
        <v>63</v>
      </c>
      <c r="C69" s="415" t="s">
        <v>2673</v>
      </c>
      <c r="D69" s="415" t="s">
        <v>2739</v>
      </c>
      <c r="E69" s="415" t="s">
        <v>2214</v>
      </c>
      <c r="F69" s="415" t="s">
        <v>2498</v>
      </c>
      <c r="G69" s="415" t="s">
        <v>2744</v>
      </c>
      <c r="H69" s="415">
        <v>0</v>
      </c>
      <c r="I69" s="415">
        <v>0</v>
      </c>
      <c r="J69" s="415">
        <v>1</v>
      </c>
      <c r="K69" s="415">
        <v>1</v>
      </c>
      <c r="L69" s="415">
        <v>415</v>
      </c>
      <c r="M69" s="415">
        <v>205</v>
      </c>
      <c r="N69" s="415" t="s">
        <v>2675</v>
      </c>
      <c r="O69" s="415">
        <v>371</v>
      </c>
      <c r="P69" s="415" t="s">
        <v>2675</v>
      </c>
      <c r="Q69" s="415" t="s">
        <v>2675</v>
      </c>
      <c r="R69" s="415" t="s">
        <v>2699</v>
      </c>
      <c r="S69" s="415" t="s">
        <v>2745</v>
      </c>
      <c r="T69" s="416">
        <v>118</v>
      </c>
      <c r="U69" s="416">
        <v>118</v>
      </c>
      <c r="V69" s="416">
        <v>118</v>
      </c>
      <c r="W69" s="416">
        <v>118</v>
      </c>
      <c r="X69" s="416">
        <v>118</v>
      </c>
      <c r="Y69" s="416">
        <v>118</v>
      </c>
      <c r="Z69" s="416">
        <v>118</v>
      </c>
      <c r="AA69" s="416">
        <v>114</v>
      </c>
      <c r="AB69" s="416">
        <v>107</v>
      </c>
      <c r="AC69" s="416">
        <v>104</v>
      </c>
      <c r="AD69" s="416">
        <v>101</v>
      </c>
      <c r="AE69" s="416">
        <v>97.8</v>
      </c>
      <c r="AF69" s="416">
        <v>0</v>
      </c>
      <c r="AG69" s="416">
        <v>0</v>
      </c>
      <c r="AH69" s="416">
        <v>0</v>
      </c>
      <c r="AI69" s="416">
        <v>0</v>
      </c>
      <c r="AJ69" s="416">
        <v>0</v>
      </c>
      <c r="AK69" s="416">
        <v>0</v>
      </c>
      <c r="AL69" s="416">
        <v>0</v>
      </c>
      <c r="AM69" s="416">
        <v>0</v>
      </c>
      <c r="AN69" s="416">
        <v>0</v>
      </c>
      <c r="AO69" s="416">
        <v>0</v>
      </c>
      <c r="AP69" s="416">
        <v>0</v>
      </c>
      <c r="AQ69" s="416">
        <v>0</v>
      </c>
      <c r="AR69" s="416">
        <v>0</v>
      </c>
      <c r="AS69" s="416">
        <v>0</v>
      </c>
      <c r="AT69" s="416">
        <v>0</v>
      </c>
      <c r="AU69" s="416">
        <v>0</v>
      </c>
      <c r="AV69" s="416">
        <v>0</v>
      </c>
      <c r="AW69" s="416">
        <v>0</v>
      </c>
      <c r="AX69" s="416">
        <v>0</v>
      </c>
      <c r="AY69" s="416">
        <v>0</v>
      </c>
      <c r="AZ69" s="416">
        <v>0</v>
      </c>
    </row>
    <row r="70" spans="1:52" s="411" customFormat="1" x14ac:dyDescent="0.3">
      <c r="A70" s="415" t="str">
        <f t="shared" si="0"/>
        <v>SA-660 Gr.WCA</v>
      </c>
      <c r="B70" s="415">
        <v>64</v>
      </c>
      <c r="C70" s="415" t="s">
        <v>2673</v>
      </c>
      <c r="D70" s="415" t="s">
        <v>2746</v>
      </c>
      <c r="E70" s="415" t="s">
        <v>2289</v>
      </c>
      <c r="F70" s="415" t="s">
        <v>2601</v>
      </c>
      <c r="G70" s="415" t="s">
        <v>2744</v>
      </c>
      <c r="H70" s="415">
        <v>0</v>
      </c>
      <c r="I70" s="415">
        <v>0</v>
      </c>
      <c r="J70" s="415">
        <v>1</v>
      </c>
      <c r="K70" s="415">
        <v>1</v>
      </c>
      <c r="L70" s="415">
        <v>415</v>
      </c>
      <c r="M70" s="415">
        <v>205</v>
      </c>
      <c r="N70" s="415">
        <v>538</v>
      </c>
      <c r="O70" s="415">
        <v>371</v>
      </c>
      <c r="P70" s="415" t="s">
        <v>2675</v>
      </c>
      <c r="Q70" s="415" t="s">
        <v>2675</v>
      </c>
      <c r="R70" s="415" t="s">
        <v>2699</v>
      </c>
      <c r="S70" s="415" t="s">
        <v>2741</v>
      </c>
      <c r="T70" s="416">
        <v>118</v>
      </c>
      <c r="U70" s="416">
        <v>118</v>
      </c>
      <c r="V70" s="416">
        <v>118</v>
      </c>
      <c r="W70" s="416">
        <v>118</v>
      </c>
      <c r="X70" s="416">
        <v>118</v>
      </c>
      <c r="Y70" s="416">
        <v>118</v>
      </c>
      <c r="Z70" s="416">
        <v>118</v>
      </c>
      <c r="AA70" s="416">
        <v>114</v>
      </c>
      <c r="AB70" s="416">
        <v>107</v>
      </c>
      <c r="AC70" s="416">
        <v>104</v>
      </c>
      <c r="AD70" s="416">
        <v>101</v>
      </c>
      <c r="AE70" s="416">
        <v>97.8</v>
      </c>
      <c r="AF70" s="416">
        <v>89.1</v>
      </c>
      <c r="AG70" s="416">
        <v>75.400000000000006</v>
      </c>
      <c r="AH70" s="416">
        <v>62.6</v>
      </c>
      <c r="AI70" s="416">
        <v>45.5</v>
      </c>
      <c r="AJ70" s="416">
        <v>31.6</v>
      </c>
      <c r="AK70" s="416">
        <v>21.9</v>
      </c>
      <c r="AL70" s="416">
        <v>12.7</v>
      </c>
      <c r="AM70" s="416">
        <v>0</v>
      </c>
      <c r="AN70" s="416">
        <v>0</v>
      </c>
      <c r="AO70" s="416">
        <v>0</v>
      </c>
      <c r="AP70" s="416">
        <v>0</v>
      </c>
      <c r="AQ70" s="416">
        <v>0</v>
      </c>
      <c r="AR70" s="416">
        <v>0</v>
      </c>
      <c r="AS70" s="416">
        <v>0</v>
      </c>
      <c r="AT70" s="416">
        <v>0</v>
      </c>
      <c r="AU70" s="416">
        <v>0</v>
      </c>
      <c r="AV70" s="416">
        <v>0</v>
      </c>
      <c r="AW70" s="416">
        <v>0</v>
      </c>
      <c r="AX70" s="416">
        <v>0</v>
      </c>
      <c r="AY70" s="416">
        <v>0</v>
      </c>
      <c r="AZ70" s="416">
        <v>0</v>
      </c>
    </row>
    <row r="71" spans="1:52" s="411" customFormat="1" x14ac:dyDescent="0.3">
      <c r="A71" s="415" t="str">
        <f t="shared" si="0"/>
        <v>SA-675 Gr.60</v>
      </c>
      <c r="B71" s="415">
        <v>65</v>
      </c>
      <c r="C71" s="415" t="s">
        <v>2673</v>
      </c>
      <c r="D71" s="415" t="s">
        <v>2677</v>
      </c>
      <c r="E71" s="415" t="s">
        <v>2299</v>
      </c>
      <c r="F71" s="415">
        <v>60</v>
      </c>
      <c r="G71" s="415">
        <v>0</v>
      </c>
      <c r="H71" s="415">
        <v>0</v>
      </c>
      <c r="I71" s="415">
        <v>0</v>
      </c>
      <c r="J71" s="415">
        <v>1</v>
      </c>
      <c r="K71" s="415">
        <v>1</v>
      </c>
      <c r="L71" s="415">
        <v>415</v>
      </c>
      <c r="M71" s="415">
        <v>205</v>
      </c>
      <c r="N71" s="415">
        <v>454</v>
      </c>
      <c r="O71" s="415" t="s">
        <v>2704</v>
      </c>
      <c r="P71" s="415" t="s">
        <v>2675</v>
      </c>
      <c r="Q71" s="415" t="s">
        <v>2675</v>
      </c>
      <c r="R71" s="415" t="s">
        <v>2699</v>
      </c>
      <c r="S71" s="415" t="s">
        <v>2747</v>
      </c>
      <c r="T71" s="416">
        <v>118</v>
      </c>
      <c r="U71" s="416">
        <v>118</v>
      </c>
      <c r="V71" s="416">
        <v>118</v>
      </c>
      <c r="W71" s="416">
        <v>118</v>
      </c>
      <c r="X71" s="416">
        <v>118</v>
      </c>
      <c r="Y71" s="416">
        <v>118</v>
      </c>
      <c r="Z71" s="416">
        <v>118</v>
      </c>
      <c r="AA71" s="416">
        <v>114</v>
      </c>
      <c r="AB71" s="416">
        <v>107</v>
      </c>
      <c r="AC71" s="416">
        <v>104</v>
      </c>
      <c r="AD71" s="416">
        <v>101</v>
      </c>
      <c r="AE71" s="416">
        <v>97.8</v>
      </c>
      <c r="AF71" s="416">
        <v>89.1</v>
      </c>
      <c r="AG71" s="416">
        <v>75.400000000000006</v>
      </c>
      <c r="AH71" s="416">
        <v>62.6</v>
      </c>
      <c r="AI71" s="416">
        <v>45.5</v>
      </c>
      <c r="AJ71" s="416">
        <v>0</v>
      </c>
      <c r="AK71" s="416">
        <v>0</v>
      </c>
      <c r="AL71" s="416">
        <v>0</v>
      </c>
      <c r="AM71" s="416">
        <v>0</v>
      </c>
      <c r="AN71" s="416">
        <v>0</v>
      </c>
      <c r="AO71" s="416">
        <v>0</v>
      </c>
      <c r="AP71" s="416">
        <v>0</v>
      </c>
      <c r="AQ71" s="416">
        <v>0</v>
      </c>
      <c r="AR71" s="416">
        <v>0</v>
      </c>
      <c r="AS71" s="416">
        <v>0</v>
      </c>
      <c r="AT71" s="416">
        <v>0</v>
      </c>
      <c r="AU71" s="416">
        <v>0</v>
      </c>
      <c r="AV71" s="416">
        <v>0</v>
      </c>
      <c r="AW71" s="416">
        <v>0</v>
      </c>
      <c r="AX71" s="416">
        <v>0</v>
      </c>
      <c r="AY71" s="416">
        <v>0</v>
      </c>
      <c r="AZ71" s="416">
        <v>0</v>
      </c>
    </row>
    <row r="72" spans="1:52" s="411" customFormat="1" x14ac:dyDescent="0.3">
      <c r="A72" s="415" t="str">
        <f t="shared" ref="A72:A135" si="1">CONCATENATE(E72," Gr.",F72)</f>
        <v>SA-675 Gr.60</v>
      </c>
      <c r="B72" s="415">
        <v>66</v>
      </c>
      <c r="C72" s="415" t="s">
        <v>2673</v>
      </c>
      <c r="D72" s="415" t="s">
        <v>2677</v>
      </c>
      <c r="E72" s="415" t="s">
        <v>2299</v>
      </c>
      <c r="F72" s="415">
        <v>60</v>
      </c>
      <c r="G72" s="415">
        <v>0</v>
      </c>
      <c r="H72" s="415">
        <v>0</v>
      </c>
      <c r="I72" s="415">
        <v>0</v>
      </c>
      <c r="J72" s="415">
        <v>1</v>
      </c>
      <c r="K72" s="415">
        <v>1</v>
      </c>
      <c r="L72" s="415">
        <v>415</v>
      </c>
      <c r="M72" s="415">
        <v>205</v>
      </c>
      <c r="N72" s="415" t="s">
        <v>2675</v>
      </c>
      <c r="O72" s="415" t="s">
        <v>2678</v>
      </c>
      <c r="P72" s="415">
        <v>482</v>
      </c>
      <c r="Q72" s="415">
        <v>343</v>
      </c>
      <c r="R72" s="415" t="s">
        <v>2699</v>
      </c>
      <c r="S72" s="415" t="s">
        <v>2748</v>
      </c>
      <c r="T72" s="416">
        <v>118</v>
      </c>
      <c r="U72" s="416">
        <v>118</v>
      </c>
      <c r="V72" s="416">
        <v>118</v>
      </c>
      <c r="W72" s="416">
        <v>118</v>
      </c>
      <c r="X72" s="416">
        <v>118</v>
      </c>
      <c r="Y72" s="416">
        <v>118</v>
      </c>
      <c r="Z72" s="416">
        <v>118</v>
      </c>
      <c r="AA72" s="416">
        <v>114</v>
      </c>
      <c r="AB72" s="416">
        <v>107</v>
      </c>
      <c r="AC72" s="416">
        <v>104</v>
      </c>
      <c r="AD72" s="416">
        <v>101</v>
      </c>
      <c r="AE72" s="416">
        <v>97.8</v>
      </c>
      <c r="AF72" s="416">
        <v>89.1</v>
      </c>
      <c r="AG72" s="416">
        <v>75.400000000000006</v>
      </c>
      <c r="AH72" s="416">
        <v>62.6</v>
      </c>
      <c r="AI72" s="416">
        <v>45.5</v>
      </c>
      <c r="AJ72" s="416">
        <v>31.6</v>
      </c>
      <c r="AK72" s="416">
        <v>0</v>
      </c>
      <c r="AL72" s="416">
        <v>0</v>
      </c>
      <c r="AM72" s="416">
        <v>0</v>
      </c>
      <c r="AN72" s="416">
        <v>0</v>
      </c>
      <c r="AO72" s="416">
        <v>0</v>
      </c>
      <c r="AP72" s="416">
        <v>0</v>
      </c>
      <c r="AQ72" s="416">
        <v>0</v>
      </c>
      <c r="AR72" s="416">
        <v>0</v>
      </c>
      <c r="AS72" s="416">
        <v>0</v>
      </c>
      <c r="AT72" s="416">
        <v>0</v>
      </c>
      <c r="AU72" s="416">
        <v>0</v>
      </c>
      <c r="AV72" s="416">
        <v>0</v>
      </c>
      <c r="AW72" s="416">
        <v>0</v>
      </c>
      <c r="AX72" s="416">
        <v>0</v>
      </c>
      <c r="AY72" s="416">
        <v>0</v>
      </c>
      <c r="AZ72" s="416">
        <v>0</v>
      </c>
    </row>
    <row r="73" spans="1:52" s="411" customFormat="1" x14ac:dyDescent="0.3">
      <c r="A73" s="415" t="str">
        <f t="shared" si="1"/>
        <v>SA-765 Gr.I</v>
      </c>
      <c r="B73" s="415">
        <v>67</v>
      </c>
      <c r="C73" s="415" t="s">
        <v>2673</v>
      </c>
      <c r="D73" s="415" t="s">
        <v>2737</v>
      </c>
      <c r="E73" s="415" t="s">
        <v>2320</v>
      </c>
      <c r="F73" s="415" t="s">
        <v>2483</v>
      </c>
      <c r="G73" s="415" t="s">
        <v>2749</v>
      </c>
      <c r="H73" s="415">
        <v>0</v>
      </c>
      <c r="I73" s="415">
        <v>0</v>
      </c>
      <c r="J73" s="415">
        <v>1</v>
      </c>
      <c r="K73" s="415">
        <v>1</v>
      </c>
      <c r="L73" s="415">
        <v>415</v>
      </c>
      <c r="M73" s="415">
        <v>205</v>
      </c>
      <c r="N73" s="415" t="s">
        <v>2675</v>
      </c>
      <c r="O73" s="415" t="s">
        <v>2675</v>
      </c>
      <c r="P73" s="415">
        <v>538</v>
      </c>
      <c r="Q73" s="415">
        <v>343</v>
      </c>
      <c r="R73" s="415" t="s">
        <v>2699</v>
      </c>
      <c r="S73" s="415" t="s">
        <v>2686</v>
      </c>
      <c r="T73" s="416">
        <v>118</v>
      </c>
      <c r="U73" s="416">
        <v>118</v>
      </c>
      <c r="V73" s="416">
        <v>118</v>
      </c>
      <c r="W73" s="416">
        <v>118</v>
      </c>
      <c r="X73" s="416">
        <v>118</v>
      </c>
      <c r="Y73" s="416">
        <v>118</v>
      </c>
      <c r="Z73" s="416">
        <v>118</v>
      </c>
      <c r="AA73" s="416">
        <v>114</v>
      </c>
      <c r="AB73" s="416">
        <v>107</v>
      </c>
      <c r="AC73" s="416">
        <v>104</v>
      </c>
      <c r="AD73" s="416">
        <v>101</v>
      </c>
      <c r="AE73" s="416">
        <v>97.8</v>
      </c>
      <c r="AF73" s="416">
        <v>89.1</v>
      </c>
      <c r="AG73" s="416">
        <v>75.400000000000006</v>
      </c>
      <c r="AH73" s="416">
        <v>62.6</v>
      </c>
      <c r="AI73" s="416">
        <v>45.5</v>
      </c>
      <c r="AJ73" s="416">
        <v>31.6</v>
      </c>
      <c r="AK73" s="416">
        <v>21.9</v>
      </c>
      <c r="AL73" s="416">
        <v>12.7</v>
      </c>
      <c r="AM73" s="416">
        <v>0</v>
      </c>
      <c r="AN73" s="416">
        <v>0</v>
      </c>
      <c r="AO73" s="416">
        <v>0</v>
      </c>
      <c r="AP73" s="416">
        <v>0</v>
      </c>
      <c r="AQ73" s="416">
        <v>0</v>
      </c>
      <c r="AR73" s="416">
        <v>0</v>
      </c>
      <c r="AS73" s="416">
        <v>0</v>
      </c>
      <c r="AT73" s="416">
        <v>0</v>
      </c>
      <c r="AU73" s="416">
        <v>0</v>
      </c>
      <c r="AV73" s="416">
        <v>0</v>
      </c>
      <c r="AW73" s="416">
        <v>0</v>
      </c>
      <c r="AX73" s="416">
        <v>0</v>
      </c>
      <c r="AY73" s="416">
        <v>0</v>
      </c>
      <c r="AZ73" s="416">
        <v>0</v>
      </c>
    </row>
    <row r="74" spans="1:52" s="411" customFormat="1" x14ac:dyDescent="0.3">
      <c r="A74" s="415" t="str">
        <f t="shared" si="1"/>
        <v>SA-515 Gr.60</v>
      </c>
      <c r="B74" s="415">
        <v>68</v>
      </c>
      <c r="C74" s="415" t="s">
        <v>2673</v>
      </c>
      <c r="D74" s="415" t="s">
        <v>2684</v>
      </c>
      <c r="E74" s="415" t="s">
        <v>2251</v>
      </c>
      <c r="F74" s="415">
        <v>60</v>
      </c>
      <c r="G74" s="415" t="s">
        <v>2718</v>
      </c>
      <c r="H74" s="415">
        <v>0</v>
      </c>
      <c r="I74" s="415">
        <v>0</v>
      </c>
      <c r="J74" s="415">
        <v>1</v>
      </c>
      <c r="K74" s="415">
        <v>1</v>
      </c>
      <c r="L74" s="415">
        <v>415</v>
      </c>
      <c r="M74" s="415">
        <v>220</v>
      </c>
      <c r="N74" s="415">
        <v>538</v>
      </c>
      <c r="O74" s="415">
        <v>371</v>
      </c>
      <c r="P74" s="415">
        <v>538</v>
      </c>
      <c r="Q74" s="415">
        <v>343</v>
      </c>
      <c r="R74" s="415" t="s">
        <v>2699</v>
      </c>
      <c r="S74" s="415" t="s">
        <v>2695</v>
      </c>
      <c r="T74" s="416">
        <v>118</v>
      </c>
      <c r="U74" s="416">
        <v>118</v>
      </c>
      <c r="V74" s="416">
        <v>118</v>
      </c>
      <c r="W74" s="416">
        <v>118</v>
      </c>
      <c r="X74" s="416">
        <v>118</v>
      </c>
      <c r="Y74" s="416">
        <v>118</v>
      </c>
      <c r="Z74" s="416">
        <v>118</v>
      </c>
      <c r="AA74" s="416">
        <v>118</v>
      </c>
      <c r="AB74" s="416">
        <v>115</v>
      </c>
      <c r="AC74" s="416">
        <v>112</v>
      </c>
      <c r="AD74" s="416">
        <v>108</v>
      </c>
      <c r="AE74" s="416">
        <v>104</v>
      </c>
      <c r="AF74" s="416">
        <v>88.9</v>
      </c>
      <c r="AG74" s="416">
        <v>75.3</v>
      </c>
      <c r="AH74" s="416">
        <v>62.7</v>
      </c>
      <c r="AI74" s="416">
        <v>45.5</v>
      </c>
      <c r="AJ74" s="416">
        <v>31.6</v>
      </c>
      <c r="AK74" s="416">
        <v>21.9</v>
      </c>
      <c r="AL74" s="416">
        <v>12.7</v>
      </c>
      <c r="AM74" s="416">
        <v>0</v>
      </c>
      <c r="AN74" s="416">
        <v>0</v>
      </c>
      <c r="AO74" s="416">
        <v>0</v>
      </c>
      <c r="AP74" s="416">
        <v>0</v>
      </c>
      <c r="AQ74" s="416">
        <v>0</v>
      </c>
      <c r="AR74" s="416">
        <v>0</v>
      </c>
      <c r="AS74" s="416">
        <v>0</v>
      </c>
      <c r="AT74" s="416">
        <v>0</v>
      </c>
      <c r="AU74" s="416">
        <v>0</v>
      </c>
      <c r="AV74" s="416">
        <v>0</v>
      </c>
      <c r="AW74" s="416">
        <v>0</v>
      </c>
      <c r="AX74" s="416">
        <v>0</v>
      </c>
      <c r="AY74" s="416">
        <v>0</v>
      </c>
      <c r="AZ74" s="416">
        <v>0</v>
      </c>
    </row>
    <row r="75" spans="1:52" s="411" customFormat="1" x14ac:dyDescent="0.3">
      <c r="A75" s="415" t="str">
        <f t="shared" si="1"/>
        <v>SA-516 Gr.60</v>
      </c>
      <c r="B75" s="415">
        <v>69</v>
      </c>
      <c r="C75" s="415" t="s">
        <v>2673</v>
      </c>
      <c r="D75" s="415" t="s">
        <v>2684</v>
      </c>
      <c r="E75" s="415" t="s">
        <v>2151</v>
      </c>
      <c r="F75" s="415">
        <v>60</v>
      </c>
      <c r="G75" s="415" t="s">
        <v>2750</v>
      </c>
      <c r="H75" s="415">
        <v>0</v>
      </c>
      <c r="I75" s="415">
        <v>0</v>
      </c>
      <c r="J75" s="415">
        <v>1</v>
      </c>
      <c r="K75" s="415">
        <v>1</v>
      </c>
      <c r="L75" s="415">
        <v>415</v>
      </c>
      <c r="M75" s="415">
        <v>220</v>
      </c>
      <c r="N75" s="415">
        <v>454</v>
      </c>
      <c r="O75" s="415">
        <v>371</v>
      </c>
      <c r="P75" s="415">
        <v>538</v>
      </c>
      <c r="Q75" s="415">
        <v>343</v>
      </c>
      <c r="R75" s="415" t="s">
        <v>2699</v>
      </c>
      <c r="S75" s="415" t="s">
        <v>2695</v>
      </c>
      <c r="T75" s="416">
        <v>118</v>
      </c>
      <c r="U75" s="416">
        <v>118</v>
      </c>
      <c r="V75" s="416">
        <v>118</v>
      </c>
      <c r="W75" s="416">
        <v>118</v>
      </c>
      <c r="X75" s="416">
        <v>118</v>
      </c>
      <c r="Y75" s="416">
        <v>118</v>
      </c>
      <c r="Z75" s="416">
        <v>118</v>
      </c>
      <c r="AA75" s="416">
        <v>118</v>
      </c>
      <c r="AB75" s="416">
        <v>115</v>
      </c>
      <c r="AC75" s="416">
        <v>112</v>
      </c>
      <c r="AD75" s="416">
        <v>108</v>
      </c>
      <c r="AE75" s="416">
        <v>104</v>
      </c>
      <c r="AF75" s="416">
        <v>88.9</v>
      </c>
      <c r="AG75" s="416">
        <v>75.3</v>
      </c>
      <c r="AH75" s="416">
        <v>62.7</v>
      </c>
      <c r="AI75" s="416">
        <v>45.5</v>
      </c>
      <c r="AJ75" s="416">
        <v>31.6</v>
      </c>
      <c r="AK75" s="416">
        <v>21.9</v>
      </c>
      <c r="AL75" s="416">
        <v>12.7</v>
      </c>
      <c r="AM75" s="416">
        <v>0</v>
      </c>
      <c r="AN75" s="416">
        <v>0</v>
      </c>
      <c r="AO75" s="416">
        <v>0</v>
      </c>
      <c r="AP75" s="416">
        <v>0</v>
      </c>
      <c r="AQ75" s="416">
        <v>0</v>
      </c>
      <c r="AR75" s="416">
        <v>0</v>
      </c>
      <c r="AS75" s="416">
        <v>0</v>
      </c>
      <c r="AT75" s="416">
        <v>0</v>
      </c>
      <c r="AU75" s="416">
        <v>0</v>
      </c>
      <c r="AV75" s="416">
        <v>0</v>
      </c>
      <c r="AW75" s="416">
        <v>0</v>
      </c>
      <c r="AX75" s="416">
        <v>0</v>
      </c>
      <c r="AY75" s="416">
        <v>0</v>
      </c>
      <c r="AZ75" s="416">
        <v>0</v>
      </c>
    </row>
    <row r="76" spans="1:52" s="411" customFormat="1" x14ac:dyDescent="0.3">
      <c r="A76" s="415" t="str">
        <f t="shared" si="1"/>
        <v>SA-671 Gr.CB60</v>
      </c>
      <c r="B76" s="415">
        <v>70</v>
      </c>
      <c r="C76" s="415" t="s">
        <v>2673</v>
      </c>
      <c r="D76" s="415" t="s">
        <v>2680</v>
      </c>
      <c r="E76" s="415" t="s">
        <v>2295</v>
      </c>
      <c r="F76" s="415" t="s">
        <v>2359</v>
      </c>
      <c r="G76" s="415" t="s">
        <v>2718</v>
      </c>
      <c r="H76" s="415">
        <v>0</v>
      </c>
      <c r="I76" s="415">
        <v>0</v>
      </c>
      <c r="J76" s="415">
        <v>1</v>
      </c>
      <c r="K76" s="415">
        <v>1</v>
      </c>
      <c r="L76" s="415">
        <v>415</v>
      </c>
      <c r="M76" s="415">
        <v>220</v>
      </c>
      <c r="N76" s="415" t="s">
        <v>2675</v>
      </c>
      <c r="O76" s="415">
        <v>371</v>
      </c>
      <c r="P76" s="415" t="s">
        <v>2675</v>
      </c>
      <c r="Q76" s="415" t="s">
        <v>2675</v>
      </c>
      <c r="R76" s="415" t="s">
        <v>2699</v>
      </c>
      <c r="S76" s="415" t="s">
        <v>2687</v>
      </c>
      <c r="T76" s="416">
        <v>118</v>
      </c>
      <c r="U76" s="416">
        <v>118</v>
      </c>
      <c r="V76" s="416">
        <v>118</v>
      </c>
      <c r="W76" s="416">
        <v>118</v>
      </c>
      <c r="X76" s="416">
        <v>118</v>
      </c>
      <c r="Y76" s="416">
        <v>118</v>
      </c>
      <c r="Z76" s="416">
        <v>118</v>
      </c>
      <c r="AA76" s="416">
        <v>118</v>
      </c>
      <c r="AB76" s="416">
        <v>115</v>
      </c>
      <c r="AC76" s="416">
        <v>112</v>
      </c>
      <c r="AD76" s="416">
        <v>108</v>
      </c>
      <c r="AE76" s="416">
        <v>104</v>
      </c>
      <c r="AF76" s="416">
        <v>0</v>
      </c>
      <c r="AG76" s="416">
        <v>0</v>
      </c>
      <c r="AH76" s="416">
        <v>0</v>
      </c>
      <c r="AI76" s="416">
        <v>0</v>
      </c>
      <c r="AJ76" s="416">
        <v>0</v>
      </c>
      <c r="AK76" s="416">
        <v>0</v>
      </c>
      <c r="AL76" s="416">
        <v>0</v>
      </c>
      <c r="AM76" s="416">
        <v>0</v>
      </c>
      <c r="AN76" s="416">
        <v>0</v>
      </c>
      <c r="AO76" s="416">
        <v>0</v>
      </c>
      <c r="AP76" s="416">
        <v>0</v>
      </c>
      <c r="AQ76" s="416">
        <v>0</v>
      </c>
      <c r="AR76" s="416">
        <v>0</v>
      </c>
      <c r="AS76" s="416">
        <v>0</v>
      </c>
      <c r="AT76" s="416">
        <v>0</v>
      </c>
      <c r="AU76" s="416">
        <v>0</v>
      </c>
      <c r="AV76" s="416">
        <v>0</v>
      </c>
      <c r="AW76" s="416">
        <v>0</v>
      </c>
      <c r="AX76" s="416">
        <v>0</v>
      </c>
      <c r="AY76" s="416">
        <v>0</v>
      </c>
      <c r="AZ76" s="416">
        <v>0</v>
      </c>
    </row>
    <row r="77" spans="1:52" s="411" customFormat="1" x14ac:dyDescent="0.3">
      <c r="A77" s="415" t="str">
        <f t="shared" si="1"/>
        <v>SA-671 Gr.CC60</v>
      </c>
      <c r="B77" s="415">
        <v>71</v>
      </c>
      <c r="C77" s="415" t="s">
        <v>2673</v>
      </c>
      <c r="D77" s="415" t="s">
        <v>2680</v>
      </c>
      <c r="E77" s="415" t="s">
        <v>2295</v>
      </c>
      <c r="F77" s="415" t="s">
        <v>2363</v>
      </c>
      <c r="G77" s="415" t="s">
        <v>2750</v>
      </c>
      <c r="H77" s="415">
        <v>0</v>
      </c>
      <c r="I77" s="415">
        <v>0</v>
      </c>
      <c r="J77" s="415">
        <v>1</v>
      </c>
      <c r="K77" s="415">
        <v>1</v>
      </c>
      <c r="L77" s="415">
        <v>415</v>
      </c>
      <c r="M77" s="415">
        <v>220</v>
      </c>
      <c r="N77" s="415" t="s">
        <v>2675</v>
      </c>
      <c r="O77" s="415">
        <v>371</v>
      </c>
      <c r="P77" s="415" t="s">
        <v>2675</v>
      </c>
      <c r="Q77" s="415" t="s">
        <v>2675</v>
      </c>
      <c r="R77" s="415" t="s">
        <v>2699</v>
      </c>
      <c r="S77" s="415" t="s">
        <v>2687</v>
      </c>
      <c r="T77" s="416">
        <v>118</v>
      </c>
      <c r="U77" s="416">
        <v>118</v>
      </c>
      <c r="V77" s="416">
        <v>118</v>
      </c>
      <c r="W77" s="416">
        <v>118</v>
      </c>
      <c r="X77" s="416">
        <v>118</v>
      </c>
      <c r="Y77" s="416">
        <v>118</v>
      </c>
      <c r="Z77" s="416">
        <v>118</v>
      </c>
      <c r="AA77" s="416">
        <v>118</v>
      </c>
      <c r="AB77" s="416">
        <v>115</v>
      </c>
      <c r="AC77" s="416">
        <v>112</v>
      </c>
      <c r="AD77" s="416">
        <v>108</v>
      </c>
      <c r="AE77" s="416">
        <v>104</v>
      </c>
      <c r="AF77" s="416">
        <v>0</v>
      </c>
      <c r="AG77" s="416">
        <v>0</v>
      </c>
      <c r="AH77" s="416">
        <v>0</v>
      </c>
      <c r="AI77" s="416">
        <v>0</v>
      </c>
      <c r="AJ77" s="416">
        <v>0</v>
      </c>
      <c r="AK77" s="416">
        <v>0</v>
      </c>
      <c r="AL77" s="416">
        <v>0</v>
      </c>
      <c r="AM77" s="416">
        <v>0</v>
      </c>
      <c r="AN77" s="416">
        <v>0</v>
      </c>
      <c r="AO77" s="416">
        <v>0</v>
      </c>
      <c r="AP77" s="416">
        <v>0</v>
      </c>
      <c r="AQ77" s="416">
        <v>0</v>
      </c>
      <c r="AR77" s="416">
        <v>0</v>
      </c>
      <c r="AS77" s="416">
        <v>0</v>
      </c>
      <c r="AT77" s="416">
        <v>0</v>
      </c>
      <c r="AU77" s="416">
        <v>0</v>
      </c>
      <c r="AV77" s="416">
        <v>0</v>
      </c>
      <c r="AW77" s="416">
        <v>0</v>
      </c>
      <c r="AX77" s="416">
        <v>0</v>
      </c>
      <c r="AY77" s="416">
        <v>0</v>
      </c>
      <c r="AZ77" s="416">
        <v>0</v>
      </c>
    </row>
    <row r="78" spans="1:52" s="411" customFormat="1" x14ac:dyDescent="0.3">
      <c r="A78" s="415" t="str">
        <f t="shared" si="1"/>
        <v>SA-671 Gr.CE60</v>
      </c>
      <c r="B78" s="415">
        <v>72</v>
      </c>
      <c r="C78" s="415" t="s">
        <v>2673</v>
      </c>
      <c r="D78" s="415" t="s">
        <v>2680</v>
      </c>
      <c r="E78" s="415" t="s">
        <v>2295</v>
      </c>
      <c r="F78" s="415" t="s">
        <v>2369</v>
      </c>
      <c r="G78" s="415" t="s">
        <v>2751</v>
      </c>
      <c r="H78" s="415">
        <v>0</v>
      </c>
      <c r="I78" s="415">
        <v>0</v>
      </c>
      <c r="J78" s="415">
        <v>1</v>
      </c>
      <c r="K78" s="415">
        <v>1</v>
      </c>
      <c r="L78" s="415">
        <v>415</v>
      </c>
      <c r="M78" s="415">
        <v>220</v>
      </c>
      <c r="N78" s="415" t="s">
        <v>2675</v>
      </c>
      <c r="O78" s="415">
        <v>371</v>
      </c>
      <c r="P78" s="415" t="s">
        <v>2675</v>
      </c>
      <c r="Q78" s="415" t="s">
        <v>2675</v>
      </c>
      <c r="R78" s="415" t="s">
        <v>2699</v>
      </c>
      <c r="S78" s="415" t="s">
        <v>2687</v>
      </c>
      <c r="T78" s="416">
        <v>118</v>
      </c>
      <c r="U78" s="416">
        <v>118</v>
      </c>
      <c r="V78" s="416">
        <v>118</v>
      </c>
      <c r="W78" s="416">
        <v>118</v>
      </c>
      <c r="X78" s="416">
        <v>118</v>
      </c>
      <c r="Y78" s="416">
        <v>118</v>
      </c>
      <c r="Z78" s="416">
        <v>118</v>
      </c>
      <c r="AA78" s="416">
        <v>118</v>
      </c>
      <c r="AB78" s="416">
        <v>115</v>
      </c>
      <c r="AC78" s="416">
        <v>112</v>
      </c>
      <c r="AD78" s="416">
        <v>108</v>
      </c>
      <c r="AE78" s="416">
        <v>104</v>
      </c>
      <c r="AF78" s="416">
        <v>0</v>
      </c>
      <c r="AG78" s="416">
        <v>0</v>
      </c>
      <c r="AH78" s="416">
        <v>0</v>
      </c>
      <c r="AI78" s="416">
        <v>0</v>
      </c>
      <c r="AJ78" s="416">
        <v>0</v>
      </c>
      <c r="AK78" s="416">
        <v>0</v>
      </c>
      <c r="AL78" s="416">
        <v>0</v>
      </c>
      <c r="AM78" s="416">
        <v>0</v>
      </c>
      <c r="AN78" s="416">
        <v>0</v>
      </c>
      <c r="AO78" s="416">
        <v>0</v>
      </c>
      <c r="AP78" s="416">
        <v>0</v>
      </c>
      <c r="AQ78" s="416">
        <v>0</v>
      </c>
      <c r="AR78" s="416">
        <v>0</v>
      </c>
      <c r="AS78" s="416">
        <v>0</v>
      </c>
      <c r="AT78" s="416">
        <v>0</v>
      </c>
      <c r="AU78" s="416">
        <v>0</v>
      </c>
      <c r="AV78" s="416">
        <v>0</v>
      </c>
      <c r="AW78" s="416">
        <v>0</v>
      </c>
      <c r="AX78" s="416">
        <v>0</v>
      </c>
      <c r="AY78" s="416">
        <v>0</v>
      </c>
      <c r="AZ78" s="416">
        <v>0</v>
      </c>
    </row>
    <row r="79" spans="1:52" s="411" customFormat="1" x14ac:dyDescent="0.3">
      <c r="A79" s="415" t="str">
        <f t="shared" si="1"/>
        <v>SA-672 Gr.B60</v>
      </c>
      <c r="B79" s="415">
        <v>73</v>
      </c>
      <c r="C79" s="415" t="s">
        <v>2673</v>
      </c>
      <c r="D79" s="415" t="s">
        <v>2680</v>
      </c>
      <c r="E79" s="415" t="s">
        <v>2297</v>
      </c>
      <c r="F79" s="415" t="s">
        <v>2345</v>
      </c>
      <c r="G79" s="415" t="s">
        <v>2718</v>
      </c>
      <c r="H79" s="415">
        <v>0</v>
      </c>
      <c r="I79" s="415">
        <v>0</v>
      </c>
      <c r="J79" s="415">
        <v>1</v>
      </c>
      <c r="K79" s="415">
        <v>1</v>
      </c>
      <c r="L79" s="415">
        <v>415</v>
      </c>
      <c r="M79" s="415">
        <v>220</v>
      </c>
      <c r="N79" s="415" t="s">
        <v>2675</v>
      </c>
      <c r="O79" s="415">
        <v>371</v>
      </c>
      <c r="P79" s="415" t="s">
        <v>2675</v>
      </c>
      <c r="Q79" s="415" t="s">
        <v>2675</v>
      </c>
      <c r="R79" s="415" t="s">
        <v>2699</v>
      </c>
      <c r="S79" s="415" t="s">
        <v>2687</v>
      </c>
      <c r="T79" s="416">
        <v>118</v>
      </c>
      <c r="U79" s="416">
        <v>118</v>
      </c>
      <c r="V79" s="416">
        <v>118</v>
      </c>
      <c r="W79" s="416">
        <v>118</v>
      </c>
      <c r="X79" s="416">
        <v>118</v>
      </c>
      <c r="Y79" s="416">
        <v>118</v>
      </c>
      <c r="Z79" s="416">
        <v>118</v>
      </c>
      <c r="AA79" s="416">
        <v>118</v>
      </c>
      <c r="AB79" s="416">
        <v>115</v>
      </c>
      <c r="AC79" s="416">
        <v>112</v>
      </c>
      <c r="AD79" s="416">
        <v>108</v>
      </c>
      <c r="AE79" s="416">
        <v>104</v>
      </c>
      <c r="AF79" s="416">
        <v>0</v>
      </c>
      <c r="AG79" s="416">
        <v>0</v>
      </c>
      <c r="AH79" s="416">
        <v>0</v>
      </c>
      <c r="AI79" s="416">
        <v>0</v>
      </c>
      <c r="AJ79" s="416">
        <v>0</v>
      </c>
      <c r="AK79" s="416">
        <v>0</v>
      </c>
      <c r="AL79" s="416">
        <v>0</v>
      </c>
      <c r="AM79" s="416">
        <v>0</v>
      </c>
      <c r="AN79" s="416">
        <v>0</v>
      </c>
      <c r="AO79" s="416">
        <v>0</v>
      </c>
      <c r="AP79" s="416">
        <v>0</v>
      </c>
      <c r="AQ79" s="416">
        <v>0</v>
      </c>
      <c r="AR79" s="416">
        <v>0</v>
      </c>
      <c r="AS79" s="416">
        <v>0</v>
      </c>
      <c r="AT79" s="416">
        <v>0</v>
      </c>
      <c r="AU79" s="416">
        <v>0</v>
      </c>
      <c r="AV79" s="416">
        <v>0</v>
      </c>
      <c r="AW79" s="416">
        <v>0</v>
      </c>
      <c r="AX79" s="416">
        <v>0</v>
      </c>
      <c r="AY79" s="416">
        <v>0</v>
      </c>
      <c r="AZ79" s="416">
        <v>0</v>
      </c>
    </row>
    <row r="80" spans="1:52" s="411" customFormat="1" x14ac:dyDescent="0.3">
      <c r="A80" s="415" t="str">
        <f t="shared" si="1"/>
        <v>SA-672 Gr.C60</v>
      </c>
      <c r="B80" s="415">
        <v>74</v>
      </c>
      <c r="C80" s="415" t="s">
        <v>2673</v>
      </c>
      <c r="D80" s="415" t="s">
        <v>2680</v>
      </c>
      <c r="E80" s="415" t="s">
        <v>2297</v>
      </c>
      <c r="F80" s="415" t="s">
        <v>2353</v>
      </c>
      <c r="G80" s="415" t="s">
        <v>2750</v>
      </c>
      <c r="H80" s="415">
        <v>0</v>
      </c>
      <c r="I80" s="415">
        <v>0</v>
      </c>
      <c r="J80" s="415">
        <v>1</v>
      </c>
      <c r="K80" s="415">
        <v>1</v>
      </c>
      <c r="L80" s="415">
        <v>415</v>
      </c>
      <c r="M80" s="415">
        <v>220</v>
      </c>
      <c r="N80" s="415" t="s">
        <v>2675</v>
      </c>
      <c r="O80" s="415">
        <v>371</v>
      </c>
      <c r="P80" s="415" t="s">
        <v>2675</v>
      </c>
      <c r="Q80" s="415" t="s">
        <v>2675</v>
      </c>
      <c r="R80" s="415" t="s">
        <v>2699</v>
      </c>
      <c r="S80" s="415" t="s">
        <v>2687</v>
      </c>
      <c r="T80" s="416">
        <v>118</v>
      </c>
      <c r="U80" s="416">
        <v>118</v>
      </c>
      <c r="V80" s="416">
        <v>118</v>
      </c>
      <c r="W80" s="416">
        <v>118</v>
      </c>
      <c r="X80" s="416">
        <v>118</v>
      </c>
      <c r="Y80" s="416">
        <v>118</v>
      </c>
      <c r="Z80" s="416">
        <v>118</v>
      </c>
      <c r="AA80" s="416">
        <v>118</v>
      </c>
      <c r="AB80" s="416">
        <v>115</v>
      </c>
      <c r="AC80" s="416">
        <v>112</v>
      </c>
      <c r="AD80" s="416">
        <v>108</v>
      </c>
      <c r="AE80" s="416">
        <v>104</v>
      </c>
      <c r="AF80" s="416">
        <v>0</v>
      </c>
      <c r="AG80" s="416">
        <v>0</v>
      </c>
      <c r="AH80" s="416">
        <v>0</v>
      </c>
      <c r="AI80" s="416">
        <v>0</v>
      </c>
      <c r="AJ80" s="416">
        <v>0</v>
      </c>
      <c r="AK80" s="416">
        <v>0</v>
      </c>
      <c r="AL80" s="416">
        <v>0</v>
      </c>
      <c r="AM80" s="416">
        <v>0</v>
      </c>
      <c r="AN80" s="416">
        <v>0</v>
      </c>
      <c r="AO80" s="416">
        <v>0</v>
      </c>
      <c r="AP80" s="416">
        <v>0</v>
      </c>
      <c r="AQ80" s="416">
        <v>0</v>
      </c>
      <c r="AR80" s="416">
        <v>0</v>
      </c>
      <c r="AS80" s="416">
        <v>0</v>
      </c>
      <c r="AT80" s="416">
        <v>0</v>
      </c>
      <c r="AU80" s="416">
        <v>0</v>
      </c>
      <c r="AV80" s="416">
        <v>0</v>
      </c>
      <c r="AW80" s="416">
        <v>0</v>
      </c>
      <c r="AX80" s="416">
        <v>0</v>
      </c>
      <c r="AY80" s="416">
        <v>0</v>
      </c>
      <c r="AZ80" s="416">
        <v>0</v>
      </c>
    </row>
    <row r="81" spans="1:52" s="411" customFormat="1" x14ac:dyDescent="0.3">
      <c r="A81" s="415" t="str">
        <f t="shared" si="1"/>
        <v>SA-672 Gr.E60</v>
      </c>
      <c r="B81" s="415">
        <v>75</v>
      </c>
      <c r="C81" s="415" t="s">
        <v>2673</v>
      </c>
      <c r="D81" s="415" t="s">
        <v>2680</v>
      </c>
      <c r="E81" s="415" t="s">
        <v>2297</v>
      </c>
      <c r="F81" s="415" t="s">
        <v>2421</v>
      </c>
      <c r="G81" s="415" t="s">
        <v>2751</v>
      </c>
      <c r="H81" s="415">
        <v>0</v>
      </c>
      <c r="I81" s="415">
        <v>0</v>
      </c>
      <c r="J81" s="415">
        <v>1</v>
      </c>
      <c r="K81" s="415">
        <v>1</v>
      </c>
      <c r="L81" s="415">
        <v>415</v>
      </c>
      <c r="M81" s="415">
        <v>220</v>
      </c>
      <c r="N81" s="415" t="s">
        <v>2675</v>
      </c>
      <c r="O81" s="415">
        <v>371</v>
      </c>
      <c r="P81" s="415" t="s">
        <v>2675</v>
      </c>
      <c r="Q81" s="415" t="s">
        <v>2675</v>
      </c>
      <c r="R81" s="415" t="s">
        <v>2699</v>
      </c>
      <c r="S81" s="415" t="s">
        <v>2687</v>
      </c>
      <c r="T81" s="416">
        <v>118</v>
      </c>
      <c r="U81" s="416">
        <v>118</v>
      </c>
      <c r="V81" s="416">
        <v>118</v>
      </c>
      <c r="W81" s="416">
        <v>118</v>
      </c>
      <c r="X81" s="416">
        <v>118</v>
      </c>
      <c r="Y81" s="416">
        <v>118</v>
      </c>
      <c r="Z81" s="416">
        <v>118</v>
      </c>
      <c r="AA81" s="416">
        <v>118</v>
      </c>
      <c r="AB81" s="416">
        <v>115</v>
      </c>
      <c r="AC81" s="416">
        <v>112</v>
      </c>
      <c r="AD81" s="416">
        <v>108</v>
      </c>
      <c r="AE81" s="416">
        <v>104</v>
      </c>
      <c r="AF81" s="416">
        <v>0</v>
      </c>
      <c r="AG81" s="416">
        <v>0</v>
      </c>
      <c r="AH81" s="416">
        <v>0</v>
      </c>
      <c r="AI81" s="416">
        <v>0</v>
      </c>
      <c r="AJ81" s="416">
        <v>0</v>
      </c>
      <c r="AK81" s="416">
        <v>0</v>
      </c>
      <c r="AL81" s="416">
        <v>0</v>
      </c>
      <c r="AM81" s="416">
        <v>0</v>
      </c>
      <c r="AN81" s="416">
        <v>0</v>
      </c>
      <c r="AO81" s="416">
        <v>0</v>
      </c>
      <c r="AP81" s="416">
        <v>0</v>
      </c>
      <c r="AQ81" s="416">
        <v>0</v>
      </c>
      <c r="AR81" s="416">
        <v>0</v>
      </c>
      <c r="AS81" s="416">
        <v>0</v>
      </c>
      <c r="AT81" s="416">
        <v>0</v>
      </c>
      <c r="AU81" s="416">
        <v>0</v>
      </c>
      <c r="AV81" s="416">
        <v>0</v>
      </c>
      <c r="AW81" s="416">
        <v>0</v>
      </c>
      <c r="AX81" s="416">
        <v>0</v>
      </c>
      <c r="AY81" s="416">
        <v>0</v>
      </c>
      <c r="AZ81" s="416">
        <v>0</v>
      </c>
    </row>
    <row r="82" spans="1:52" s="411" customFormat="1" x14ac:dyDescent="0.3">
      <c r="A82" s="415" t="str">
        <f t="shared" si="1"/>
        <v>SA-134 Gr.A283D</v>
      </c>
      <c r="B82" s="415">
        <v>76</v>
      </c>
      <c r="C82" s="415" t="s">
        <v>2673</v>
      </c>
      <c r="D82" s="415" t="s">
        <v>2680</v>
      </c>
      <c r="E82" s="415" t="s">
        <v>2183</v>
      </c>
      <c r="F82" s="415" t="s">
        <v>2329</v>
      </c>
      <c r="G82" s="415" t="s">
        <v>2752</v>
      </c>
      <c r="H82" s="415">
        <v>0</v>
      </c>
      <c r="I82" s="415">
        <v>0</v>
      </c>
      <c r="J82" s="415">
        <v>1</v>
      </c>
      <c r="K82" s="415">
        <v>1</v>
      </c>
      <c r="L82" s="415">
        <v>415</v>
      </c>
      <c r="M82" s="415">
        <v>230</v>
      </c>
      <c r="N82" s="415" t="s">
        <v>2675</v>
      </c>
      <c r="O82" s="415" t="s">
        <v>2681</v>
      </c>
      <c r="P82" s="415" t="s">
        <v>2675</v>
      </c>
      <c r="Q82" s="415" t="s">
        <v>2675</v>
      </c>
      <c r="R82" s="415" t="s">
        <v>2699</v>
      </c>
      <c r="S82" s="415" t="s">
        <v>2683</v>
      </c>
      <c r="T82" s="416">
        <v>118</v>
      </c>
      <c r="U82" s="416">
        <v>118</v>
      </c>
      <c r="V82" s="416">
        <v>118</v>
      </c>
      <c r="W82" s="416">
        <v>118</v>
      </c>
      <c r="X82" s="416">
        <v>118</v>
      </c>
      <c r="Y82" s="416">
        <v>118</v>
      </c>
      <c r="Z82" s="416">
        <v>0</v>
      </c>
      <c r="AA82" s="416">
        <v>0</v>
      </c>
      <c r="AB82" s="416">
        <v>0</v>
      </c>
      <c r="AC82" s="416">
        <v>0</v>
      </c>
      <c r="AD82" s="416">
        <v>0</v>
      </c>
      <c r="AE82" s="416">
        <v>0</v>
      </c>
      <c r="AF82" s="416">
        <v>0</v>
      </c>
      <c r="AG82" s="416">
        <v>0</v>
      </c>
      <c r="AH82" s="416">
        <v>0</v>
      </c>
      <c r="AI82" s="416">
        <v>0</v>
      </c>
      <c r="AJ82" s="416">
        <v>0</v>
      </c>
      <c r="AK82" s="416">
        <v>0</v>
      </c>
      <c r="AL82" s="416">
        <v>0</v>
      </c>
      <c r="AM82" s="416">
        <v>0</v>
      </c>
      <c r="AN82" s="416">
        <v>0</v>
      </c>
      <c r="AO82" s="416">
        <v>0</v>
      </c>
      <c r="AP82" s="416">
        <v>0</v>
      </c>
      <c r="AQ82" s="416">
        <v>0</v>
      </c>
      <c r="AR82" s="416">
        <v>0</v>
      </c>
      <c r="AS82" s="416">
        <v>0</v>
      </c>
      <c r="AT82" s="416">
        <v>0</v>
      </c>
      <c r="AU82" s="416">
        <v>0</v>
      </c>
      <c r="AV82" s="416">
        <v>0</v>
      </c>
      <c r="AW82" s="416">
        <v>0</v>
      </c>
      <c r="AX82" s="416">
        <v>0</v>
      </c>
      <c r="AY82" s="416">
        <v>0</v>
      </c>
      <c r="AZ82" s="416">
        <v>0</v>
      </c>
    </row>
    <row r="83" spans="1:52" s="411" customFormat="1" x14ac:dyDescent="0.3">
      <c r="A83" s="415" t="str">
        <f t="shared" si="1"/>
        <v>SA-283 Gr.D</v>
      </c>
      <c r="B83" s="415">
        <v>77</v>
      </c>
      <c r="C83" s="415" t="s">
        <v>2673</v>
      </c>
      <c r="D83" s="415" t="s">
        <v>2684</v>
      </c>
      <c r="E83" s="415" t="s">
        <v>2204</v>
      </c>
      <c r="F83" s="415" t="s">
        <v>2414</v>
      </c>
      <c r="G83" s="415" t="s">
        <v>2752</v>
      </c>
      <c r="H83" s="415">
        <v>0</v>
      </c>
      <c r="I83" s="415">
        <v>0</v>
      </c>
      <c r="J83" s="415">
        <v>1</v>
      </c>
      <c r="K83" s="415">
        <v>1</v>
      </c>
      <c r="L83" s="415">
        <v>415</v>
      </c>
      <c r="M83" s="415">
        <v>230</v>
      </c>
      <c r="N83" s="415" t="s">
        <v>2675</v>
      </c>
      <c r="O83" s="415" t="s">
        <v>2681</v>
      </c>
      <c r="P83" s="415">
        <v>343</v>
      </c>
      <c r="Q83" s="415">
        <v>343</v>
      </c>
      <c r="R83" s="415" t="s">
        <v>2699</v>
      </c>
      <c r="S83" s="415">
        <v>0</v>
      </c>
      <c r="T83" s="416">
        <v>118</v>
      </c>
      <c r="U83" s="416">
        <v>118</v>
      </c>
      <c r="V83" s="416">
        <v>118</v>
      </c>
      <c r="W83" s="416">
        <v>118</v>
      </c>
      <c r="X83" s="416">
        <v>118</v>
      </c>
      <c r="Y83" s="416">
        <v>118</v>
      </c>
      <c r="Z83" s="416">
        <v>118</v>
      </c>
      <c r="AA83" s="416">
        <v>118</v>
      </c>
      <c r="AB83" s="416">
        <v>118</v>
      </c>
      <c r="AC83" s="416">
        <v>115</v>
      </c>
      <c r="AD83" s="416">
        <v>111</v>
      </c>
      <c r="AE83" s="416">
        <v>0</v>
      </c>
      <c r="AF83" s="416">
        <v>0</v>
      </c>
      <c r="AG83" s="416">
        <v>0</v>
      </c>
      <c r="AH83" s="416">
        <v>0</v>
      </c>
      <c r="AI83" s="416">
        <v>0</v>
      </c>
      <c r="AJ83" s="416">
        <v>0</v>
      </c>
      <c r="AK83" s="416">
        <v>0</v>
      </c>
      <c r="AL83" s="416">
        <v>0</v>
      </c>
      <c r="AM83" s="416">
        <v>0</v>
      </c>
      <c r="AN83" s="416">
        <v>0</v>
      </c>
      <c r="AO83" s="416">
        <v>0</v>
      </c>
      <c r="AP83" s="416">
        <v>0</v>
      </c>
      <c r="AQ83" s="416">
        <v>0</v>
      </c>
      <c r="AR83" s="416">
        <v>0</v>
      </c>
      <c r="AS83" s="416">
        <v>0</v>
      </c>
      <c r="AT83" s="416">
        <v>0</v>
      </c>
      <c r="AU83" s="416">
        <v>0</v>
      </c>
      <c r="AV83" s="416">
        <v>0</v>
      </c>
      <c r="AW83" s="416">
        <v>0</v>
      </c>
      <c r="AX83" s="416">
        <v>0</v>
      </c>
      <c r="AY83" s="416">
        <v>0</v>
      </c>
      <c r="AZ83" s="416">
        <v>0</v>
      </c>
    </row>
    <row r="84" spans="1:52" s="411" customFormat="1" x14ac:dyDescent="0.3">
      <c r="A84" s="415" t="str">
        <f t="shared" si="1"/>
        <v>SA-53 Gr.E/B</v>
      </c>
      <c r="B84" s="415">
        <v>78</v>
      </c>
      <c r="C84" s="415" t="s">
        <v>2673</v>
      </c>
      <c r="D84" s="415" t="s">
        <v>2680</v>
      </c>
      <c r="E84" s="415" t="s">
        <v>2260</v>
      </c>
      <c r="F84" s="415" t="s">
        <v>2419</v>
      </c>
      <c r="G84" s="415" t="s">
        <v>2753</v>
      </c>
      <c r="H84" s="415">
        <v>0</v>
      </c>
      <c r="I84" s="415">
        <v>0</v>
      </c>
      <c r="J84" s="415">
        <v>1</v>
      </c>
      <c r="K84" s="415">
        <v>1</v>
      </c>
      <c r="L84" s="415">
        <v>415</v>
      </c>
      <c r="M84" s="415">
        <v>240</v>
      </c>
      <c r="N84" s="415">
        <v>482</v>
      </c>
      <c r="O84" s="415" t="s">
        <v>2681</v>
      </c>
      <c r="P84" s="415" t="s">
        <v>2675</v>
      </c>
      <c r="Q84" s="415" t="s">
        <v>2675</v>
      </c>
      <c r="R84" s="415" t="s">
        <v>2699</v>
      </c>
      <c r="S84" s="415" t="s">
        <v>2754</v>
      </c>
      <c r="T84" s="416">
        <v>118</v>
      </c>
      <c r="U84" s="416">
        <v>118</v>
      </c>
      <c r="V84" s="416">
        <v>118</v>
      </c>
      <c r="W84" s="416">
        <v>118</v>
      </c>
      <c r="X84" s="416">
        <v>118</v>
      </c>
      <c r="Y84" s="416">
        <v>118</v>
      </c>
      <c r="Z84" s="416">
        <v>118</v>
      </c>
      <c r="AA84" s="416">
        <v>118</v>
      </c>
      <c r="AB84" s="416">
        <v>118</v>
      </c>
      <c r="AC84" s="416">
        <v>118</v>
      </c>
      <c r="AD84" s="416">
        <v>117</v>
      </c>
      <c r="AE84" s="416">
        <v>105</v>
      </c>
      <c r="AF84" s="416">
        <v>88.9</v>
      </c>
      <c r="AG84" s="416">
        <v>75.3</v>
      </c>
      <c r="AH84" s="416">
        <v>62.7</v>
      </c>
      <c r="AI84" s="416">
        <v>45.5</v>
      </c>
      <c r="AJ84" s="416">
        <v>31.6</v>
      </c>
      <c r="AK84" s="416">
        <v>0</v>
      </c>
      <c r="AL84" s="416">
        <v>0</v>
      </c>
      <c r="AM84" s="416">
        <v>0</v>
      </c>
      <c r="AN84" s="416">
        <v>0</v>
      </c>
      <c r="AO84" s="416">
        <v>0</v>
      </c>
      <c r="AP84" s="416">
        <v>0</v>
      </c>
      <c r="AQ84" s="416">
        <v>0</v>
      </c>
      <c r="AR84" s="416">
        <v>0</v>
      </c>
      <c r="AS84" s="416">
        <v>0</v>
      </c>
      <c r="AT84" s="416">
        <v>0</v>
      </c>
      <c r="AU84" s="416">
        <v>0</v>
      </c>
      <c r="AV84" s="416">
        <v>0</v>
      </c>
      <c r="AW84" s="416">
        <v>0</v>
      </c>
      <c r="AX84" s="416">
        <v>0</v>
      </c>
      <c r="AY84" s="416">
        <v>0</v>
      </c>
      <c r="AZ84" s="416">
        <v>0</v>
      </c>
    </row>
    <row r="85" spans="1:52" s="411" customFormat="1" x14ac:dyDescent="0.3">
      <c r="A85" s="415" t="str">
        <f t="shared" si="1"/>
        <v>SA-53 Gr.E/B</v>
      </c>
      <c r="B85" s="415">
        <v>79</v>
      </c>
      <c r="C85" s="415" t="s">
        <v>2673</v>
      </c>
      <c r="D85" s="415" t="s">
        <v>2680</v>
      </c>
      <c r="E85" s="415" t="s">
        <v>2260</v>
      </c>
      <c r="F85" s="415" t="s">
        <v>2419</v>
      </c>
      <c r="G85" s="415" t="s">
        <v>2753</v>
      </c>
      <c r="H85" s="415">
        <v>0</v>
      </c>
      <c r="I85" s="415">
        <v>0</v>
      </c>
      <c r="J85" s="415">
        <v>1</v>
      </c>
      <c r="K85" s="415">
        <v>1</v>
      </c>
      <c r="L85" s="415">
        <v>415</v>
      </c>
      <c r="M85" s="415">
        <v>240</v>
      </c>
      <c r="N85" s="415">
        <v>482</v>
      </c>
      <c r="O85" s="415" t="s">
        <v>2675</v>
      </c>
      <c r="P85" s="415">
        <v>482</v>
      </c>
      <c r="Q85" s="415">
        <v>343</v>
      </c>
      <c r="R85" s="415" t="s">
        <v>2699</v>
      </c>
      <c r="S85" s="415" t="s">
        <v>2755</v>
      </c>
      <c r="T85" s="416">
        <v>101</v>
      </c>
      <c r="U85" s="416">
        <v>101</v>
      </c>
      <c r="V85" s="416">
        <v>101</v>
      </c>
      <c r="W85" s="416">
        <v>101</v>
      </c>
      <c r="X85" s="416">
        <v>101</v>
      </c>
      <c r="Y85" s="416">
        <v>101</v>
      </c>
      <c r="Z85" s="416">
        <v>101</v>
      </c>
      <c r="AA85" s="416">
        <v>101</v>
      </c>
      <c r="AB85" s="416">
        <v>101</v>
      </c>
      <c r="AC85" s="416">
        <v>101</v>
      </c>
      <c r="AD85" s="416">
        <v>99.7</v>
      </c>
      <c r="AE85" s="416">
        <v>89.7</v>
      </c>
      <c r="AF85" s="416">
        <v>75.900000000000006</v>
      </c>
      <c r="AG85" s="416">
        <v>64.099999999999994</v>
      </c>
      <c r="AH85" s="416">
        <v>53.3</v>
      </c>
      <c r="AI85" s="416">
        <v>38.6</v>
      </c>
      <c r="AJ85" s="416">
        <v>26.8</v>
      </c>
      <c r="AK85" s="416">
        <v>0</v>
      </c>
      <c r="AL85" s="416">
        <v>0</v>
      </c>
      <c r="AM85" s="416">
        <v>0</v>
      </c>
      <c r="AN85" s="416">
        <v>0</v>
      </c>
      <c r="AO85" s="416">
        <v>0</v>
      </c>
      <c r="AP85" s="416">
        <v>0</v>
      </c>
      <c r="AQ85" s="416">
        <v>0</v>
      </c>
      <c r="AR85" s="416">
        <v>0</v>
      </c>
      <c r="AS85" s="416">
        <v>0</v>
      </c>
      <c r="AT85" s="416">
        <v>0</v>
      </c>
      <c r="AU85" s="416">
        <v>0</v>
      </c>
      <c r="AV85" s="416">
        <v>0</v>
      </c>
      <c r="AW85" s="416">
        <v>0</v>
      </c>
      <c r="AX85" s="416">
        <v>0</v>
      </c>
      <c r="AY85" s="416">
        <v>0</v>
      </c>
      <c r="AZ85" s="416">
        <v>0</v>
      </c>
    </row>
    <row r="86" spans="1:52" s="411" customFormat="1" x14ac:dyDescent="0.3">
      <c r="A86" s="415" t="str">
        <f t="shared" si="1"/>
        <v>SA-53 Gr.S/B</v>
      </c>
      <c r="B86" s="415">
        <v>80</v>
      </c>
      <c r="C86" s="415" t="s">
        <v>2673</v>
      </c>
      <c r="D86" s="415" t="s">
        <v>2703</v>
      </c>
      <c r="E86" s="415" t="s">
        <v>2260</v>
      </c>
      <c r="F86" s="415" t="s">
        <v>2524</v>
      </c>
      <c r="G86" s="415" t="s">
        <v>2753</v>
      </c>
      <c r="H86" s="415">
        <v>0</v>
      </c>
      <c r="I86" s="415">
        <v>0</v>
      </c>
      <c r="J86" s="415">
        <v>1</v>
      </c>
      <c r="K86" s="415">
        <v>1</v>
      </c>
      <c r="L86" s="415">
        <v>415</v>
      </c>
      <c r="M86" s="415">
        <v>240</v>
      </c>
      <c r="N86" s="415">
        <v>482</v>
      </c>
      <c r="O86" s="415" t="s">
        <v>2681</v>
      </c>
      <c r="P86" s="415" t="s">
        <v>2675</v>
      </c>
      <c r="Q86" s="415" t="s">
        <v>2675</v>
      </c>
      <c r="R86" s="415" t="s">
        <v>2699</v>
      </c>
      <c r="S86" s="415" t="s">
        <v>2706</v>
      </c>
      <c r="T86" s="416">
        <v>118</v>
      </c>
      <c r="U86" s="416">
        <v>118</v>
      </c>
      <c r="V86" s="416">
        <v>118</v>
      </c>
      <c r="W86" s="416">
        <v>118</v>
      </c>
      <c r="X86" s="416">
        <v>118</v>
      </c>
      <c r="Y86" s="416">
        <v>118</v>
      </c>
      <c r="Z86" s="416">
        <v>118</v>
      </c>
      <c r="AA86" s="416">
        <v>118</v>
      </c>
      <c r="AB86" s="416">
        <v>118</v>
      </c>
      <c r="AC86" s="416">
        <v>118</v>
      </c>
      <c r="AD86" s="416">
        <v>117</v>
      </c>
      <c r="AE86" s="416">
        <v>105</v>
      </c>
      <c r="AF86" s="416">
        <v>88.9</v>
      </c>
      <c r="AG86" s="416">
        <v>75.3</v>
      </c>
      <c r="AH86" s="416">
        <v>62.7</v>
      </c>
      <c r="AI86" s="416">
        <v>45.5</v>
      </c>
      <c r="AJ86" s="416">
        <v>31.6</v>
      </c>
      <c r="AK86" s="416">
        <v>0</v>
      </c>
      <c r="AL86" s="416">
        <v>0</v>
      </c>
      <c r="AM86" s="416">
        <v>0</v>
      </c>
      <c r="AN86" s="416">
        <v>0</v>
      </c>
      <c r="AO86" s="416">
        <v>0</v>
      </c>
      <c r="AP86" s="416">
        <v>0</v>
      </c>
      <c r="AQ86" s="416">
        <v>0</v>
      </c>
      <c r="AR86" s="416">
        <v>0</v>
      </c>
      <c r="AS86" s="416">
        <v>0</v>
      </c>
      <c r="AT86" s="416">
        <v>0</v>
      </c>
      <c r="AU86" s="416">
        <v>0</v>
      </c>
      <c r="AV86" s="416">
        <v>0</v>
      </c>
      <c r="AW86" s="416">
        <v>0</v>
      </c>
      <c r="AX86" s="416">
        <v>0</v>
      </c>
      <c r="AY86" s="416">
        <v>0</v>
      </c>
      <c r="AZ86" s="416">
        <v>0</v>
      </c>
    </row>
    <row r="87" spans="1:52" s="411" customFormat="1" x14ac:dyDescent="0.3">
      <c r="A87" s="415" t="str">
        <f t="shared" si="1"/>
        <v>SA-53 Gr.S/B</v>
      </c>
      <c r="B87" s="415">
        <v>81</v>
      </c>
      <c r="C87" s="415" t="s">
        <v>2673</v>
      </c>
      <c r="D87" s="415" t="s">
        <v>2703</v>
      </c>
      <c r="E87" s="415" t="s">
        <v>2260</v>
      </c>
      <c r="F87" s="415" t="s">
        <v>2524</v>
      </c>
      <c r="G87" s="415" t="s">
        <v>2753</v>
      </c>
      <c r="H87" s="415">
        <v>0</v>
      </c>
      <c r="I87" s="415">
        <v>0</v>
      </c>
      <c r="J87" s="415">
        <v>1</v>
      </c>
      <c r="K87" s="415">
        <v>1</v>
      </c>
      <c r="L87" s="415">
        <v>415</v>
      </c>
      <c r="M87" s="415">
        <v>240</v>
      </c>
      <c r="N87" s="415" t="s">
        <v>2675</v>
      </c>
      <c r="O87" s="415" t="s">
        <v>2704</v>
      </c>
      <c r="P87" s="415">
        <v>482</v>
      </c>
      <c r="Q87" s="415">
        <v>343</v>
      </c>
      <c r="R87" s="415" t="s">
        <v>2699</v>
      </c>
      <c r="S87" s="415" t="s">
        <v>2711</v>
      </c>
      <c r="T87" s="416">
        <v>118</v>
      </c>
      <c r="U87" s="416">
        <v>118</v>
      </c>
      <c r="V87" s="416">
        <v>118</v>
      </c>
      <c r="W87" s="416">
        <v>118</v>
      </c>
      <c r="X87" s="416">
        <v>118</v>
      </c>
      <c r="Y87" s="416">
        <v>118</v>
      </c>
      <c r="Z87" s="416">
        <v>118</v>
      </c>
      <c r="AA87" s="416">
        <v>118</v>
      </c>
      <c r="AB87" s="416">
        <v>118</v>
      </c>
      <c r="AC87" s="416">
        <v>118</v>
      </c>
      <c r="AD87" s="416">
        <v>117</v>
      </c>
      <c r="AE87" s="416">
        <v>105</v>
      </c>
      <c r="AF87" s="416">
        <v>88.9</v>
      </c>
      <c r="AG87" s="416">
        <v>75.3</v>
      </c>
      <c r="AH87" s="416">
        <v>62.7</v>
      </c>
      <c r="AI87" s="416">
        <v>45.5</v>
      </c>
      <c r="AJ87" s="416">
        <v>31.6</v>
      </c>
      <c r="AK87" s="416">
        <v>0</v>
      </c>
      <c r="AL87" s="416">
        <v>0</v>
      </c>
      <c r="AM87" s="416">
        <v>0</v>
      </c>
      <c r="AN87" s="416">
        <v>0</v>
      </c>
      <c r="AO87" s="416">
        <v>0</v>
      </c>
      <c r="AP87" s="416">
        <v>0</v>
      </c>
      <c r="AQ87" s="416">
        <v>0</v>
      </c>
      <c r="AR87" s="416">
        <v>0</v>
      </c>
      <c r="AS87" s="416">
        <v>0</v>
      </c>
      <c r="AT87" s="416">
        <v>0</v>
      </c>
      <c r="AU87" s="416">
        <v>0</v>
      </c>
      <c r="AV87" s="416">
        <v>0</v>
      </c>
      <c r="AW87" s="416">
        <v>0</v>
      </c>
      <c r="AX87" s="416">
        <v>0</v>
      </c>
      <c r="AY87" s="416">
        <v>0</v>
      </c>
      <c r="AZ87" s="416">
        <v>0</v>
      </c>
    </row>
    <row r="88" spans="1:52" s="411" customFormat="1" x14ac:dyDescent="0.3">
      <c r="A88" s="415" t="str">
        <f t="shared" si="1"/>
        <v>SA-106 Gr.B</v>
      </c>
      <c r="B88" s="415">
        <v>82</v>
      </c>
      <c r="C88" s="415" t="s">
        <v>2673</v>
      </c>
      <c r="D88" s="415" t="s">
        <v>2703</v>
      </c>
      <c r="E88" s="415" t="s">
        <v>2169</v>
      </c>
      <c r="F88" s="415" t="s">
        <v>1864</v>
      </c>
      <c r="G88" s="415" t="s">
        <v>2756</v>
      </c>
      <c r="H88" s="415">
        <v>0</v>
      </c>
      <c r="I88" s="415">
        <v>0</v>
      </c>
      <c r="J88" s="415">
        <v>1</v>
      </c>
      <c r="K88" s="415">
        <v>1</v>
      </c>
      <c r="L88" s="415">
        <v>415</v>
      </c>
      <c r="M88" s="415">
        <v>240</v>
      </c>
      <c r="N88" s="415">
        <v>538</v>
      </c>
      <c r="O88" s="415">
        <v>371</v>
      </c>
      <c r="P88" s="415">
        <v>538</v>
      </c>
      <c r="Q88" s="415">
        <v>343</v>
      </c>
      <c r="R88" s="415" t="s">
        <v>2699</v>
      </c>
      <c r="S88" s="415" t="s">
        <v>2706</v>
      </c>
      <c r="T88" s="416">
        <v>118</v>
      </c>
      <c r="U88" s="416">
        <v>118</v>
      </c>
      <c r="V88" s="416">
        <v>118</v>
      </c>
      <c r="W88" s="416">
        <v>118</v>
      </c>
      <c r="X88" s="416">
        <v>118</v>
      </c>
      <c r="Y88" s="416">
        <v>118</v>
      </c>
      <c r="Z88" s="416">
        <v>118</v>
      </c>
      <c r="AA88" s="416">
        <v>118</v>
      </c>
      <c r="AB88" s="416">
        <v>118</v>
      </c>
      <c r="AC88" s="416">
        <v>118</v>
      </c>
      <c r="AD88" s="416">
        <v>117</v>
      </c>
      <c r="AE88" s="416">
        <v>105</v>
      </c>
      <c r="AF88" s="416">
        <v>88.9</v>
      </c>
      <c r="AG88" s="416">
        <v>75.3</v>
      </c>
      <c r="AH88" s="416">
        <v>62.7</v>
      </c>
      <c r="AI88" s="416">
        <v>45.5</v>
      </c>
      <c r="AJ88" s="416">
        <v>31.6</v>
      </c>
      <c r="AK88" s="416">
        <v>21.9</v>
      </c>
      <c r="AL88" s="416">
        <v>12.7</v>
      </c>
      <c r="AM88" s="416">
        <v>0</v>
      </c>
      <c r="AN88" s="416">
        <v>0</v>
      </c>
      <c r="AO88" s="416">
        <v>0</v>
      </c>
      <c r="AP88" s="416">
        <v>0</v>
      </c>
      <c r="AQ88" s="416">
        <v>0</v>
      </c>
      <c r="AR88" s="416">
        <v>0</v>
      </c>
      <c r="AS88" s="416">
        <v>0</v>
      </c>
      <c r="AT88" s="416">
        <v>0</v>
      </c>
      <c r="AU88" s="416">
        <v>0</v>
      </c>
      <c r="AV88" s="416">
        <v>0</v>
      </c>
      <c r="AW88" s="416">
        <v>0</v>
      </c>
      <c r="AX88" s="416">
        <v>0</v>
      </c>
      <c r="AY88" s="416">
        <v>0</v>
      </c>
      <c r="AZ88" s="416">
        <v>0</v>
      </c>
    </row>
    <row r="89" spans="1:52" s="411" customFormat="1" x14ac:dyDescent="0.3">
      <c r="A89" s="415" t="str">
        <f t="shared" si="1"/>
        <v>SA-135 Gr.B</v>
      </c>
      <c r="B89" s="415">
        <v>83</v>
      </c>
      <c r="C89" s="415" t="s">
        <v>2673</v>
      </c>
      <c r="D89" s="415" t="s">
        <v>2680</v>
      </c>
      <c r="E89" s="415" t="s">
        <v>2184</v>
      </c>
      <c r="F89" s="415" t="s">
        <v>1864</v>
      </c>
      <c r="G89" s="415">
        <v>0</v>
      </c>
      <c r="H89" s="415">
        <v>0</v>
      </c>
      <c r="I89" s="415">
        <v>0</v>
      </c>
      <c r="J89" s="415">
        <v>1</v>
      </c>
      <c r="K89" s="415">
        <v>1</v>
      </c>
      <c r="L89" s="415">
        <v>415</v>
      </c>
      <c r="M89" s="415">
        <v>240</v>
      </c>
      <c r="N89" s="415" t="s">
        <v>2675</v>
      </c>
      <c r="O89" s="415" t="s">
        <v>2675</v>
      </c>
      <c r="P89" s="415">
        <v>482</v>
      </c>
      <c r="Q89" s="415">
        <v>343</v>
      </c>
      <c r="R89" s="415" t="s">
        <v>2699</v>
      </c>
      <c r="S89" s="415" t="s">
        <v>2757</v>
      </c>
      <c r="T89" s="416">
        <v>101</v>
      </c>
      <c r="U89" s="416">
        <v>101</v>
      </c>
      <c r="V89" s="416">
        <v>101</v>
      </c>
      <c r="W89" s="416">
        <v>101</v>
      </c>
      <c r="X89" s="416">
        <v>101</v>
      </c>
      <c r="Y89" s="416">
        <v>101</v>
      </c>
      <c r="Z89" s="416">
        <v>101</v>
      </c>
      <c r="AA89" s="416">
        <v>101</v>
      </c>
      <c r="AB89" s="416">
        <v>101</v>
      </c>
      <c r="AC89" s="416">
        <v>101</v>
      </c>
      <c r="AD89" s="416">
        <v>99.7</v>
      </c>
      <c r="AE89" s="416">
        <v>89.7</v>
      </c>
      <c r="AF89" s="416">
        <v>75.900000000000006</v>
      </c>
      <c r="AG89" s="416">
        <v>64.099999999999994</v>
      </c>
      <c r="AH89" s="416">
        <v>53.3</v>
      </c>
      <c r="AI89" s="416">
        <v>38.6</v>
      </c>
      <c r="AJ89" s="416">
        <v>26.8</v>
      </c>
      <c r="AK89" s="416">
        <v>0</v>
      </c>
      <c r="AL89" s="416">
        <v>0</v>
      </c>
      <c r="AM89" s="416">
        <v>0</v>
      </c>
      <c r="AN89" s="416">
        <v>0</v>
      </c>
      <c r="AO89" s="416">
        <v>0</v>
      </c>
      <c r="AP89" s="416">
        <v>0</v>
      </c>
      <c r="AQ89" s="416">
        <v>0</v>
      </c>
      <c r="AR89" s="416">
        <v>0</v>
      </c>
      <c r="AS89" s="416">
        <v>0</v>
      </c>
      <c r="AT89" s="416">
        <v>0</v>
      </c>
      <c r="AU89" s="416">
        <v>0</v>
      </c>
      <c r="AV89" s="416">
        <v>0</v>
      </c>
      <c r="AW89" s="416">
        <v>0</v>
      </c>
      <c r="AX89" s="416">
        <v>0</v>
      </c>
      <c r="AY89" s="416">
        <v>0</v>
      </c>
      <c r="AZ89" s="416">
        <v>0</v>
      </c>
    </row>
    <row r="90" spans="1:52" s="411" customFormat="1" x14ac:dyDescent="0.3">
      <c r="A90" s="415" t="str">
        <f t="shared" si="1"/>
        <v>SA-234 Gr.WPB</v>
      </c>
      <c r="B90" s="415">
        <v>84</v>
      </c>
      <c r="C90" s="415" t="s">
        <v>2673</v>
      </c>
      <c r="D90" s="415" t="s">
        <v>2758</v>
      </c>
      <c r="E90" s="415" t="s">
        <v>2174</v>
      </c>
      <c r="F90" s="415" t="s">
        <v>2175</v>
      </c>
      <c r="G90" s="415" t="s">
        <v>2756</v>
      </c>
      <c r="H90" s="415">
        <v>0</v>
      </c>
      <c r="I90" s="415">
        <v>0</v>
      </c>
      <c r="J90" s="415">
        <v>1</v>
      </c>
      <c r="K90" s="415">
        <v>1</v>
      </c>
      <c r="L90" s="415">
        <v>415</v>
      </c>
      <c r="M90" s="415">
        <v>240</v>
      </c>
      <c r="N90" s="415">
        <v>538</v>
      </c>
      <c r="O90" s="415">
        <v>371</v>
      </c>
      <c r="P90" s="415">
        <v>538</v>
      </c>
      <c r="Q90" s="415">
        <v>343</v>
      </c>
      <c r="R90" s="415" t="s">
        <v>2699</v>
      </c>
      <c r="S90" s="415" t="s">
        <v>2706</v>
      </c>
      <c r="T90" s="416">
        <v>118</v>
      </c>
      <c r="U90" s="416">
        <v>118</v>
      </c>
      <c r="V90" s="416">
        <v>118</v>
      </c>
      <c r="W90" s="416">
        <v>118</v>
      </c>
      <c r="X90" s="416">
        <v>118</v>
      </c>
      <c r="Y90" s="416">
        <v>118</v>
      </c>
      <c r="Z90" s="416">
        <v>118</v>
      </c>
      <c r="AA90" s="416">
        <v>118</v>
      </c>
      <c r="AB90" s="416">
        <v>118</v>
      </c>
      <c r="AC90" s="416">
        <v>118</v>
      </c>
      <c r="AD90" s="416">
        <v>117</v>
      </c>
      <c r="AE90" s="416">
        <v>105</v>
      </c>
      <c r="AF90" s="416">
        <v>88.9</v>
      </c>
      <c r="AG90" s="416">
        <v>75.3</v>
      </c>
      <c r="AH90" s="416">
        <v>62.7</v>
      </c>
      <c r="AI90" s="416">
        <v>45.5</v>
      </c>
      <c r="AJ90" s="416">
        <v>31.6</v>
      </c>
      <c r="AK90" s="416">
        <v>21.9</v>
      </c>
      <c r="AL90" s="416">
        <v>12.7</v>
      </c>
      <c r="AM90" s="416">
        <v>0</v>
      </c>
      <c r="AN90" s="416">
        <v>0</v>
      </c>
      <c r="AO90" s="416">
        <v>0</v>
      </c>
      <c r="AP90" s="416">
        <v>0</v>
      </c>
      <c r="AQ90" s="416">
        <v>0</v>
      </c>
      <c r="AR90" s="416">
        <v>0</v>
      </c>
      <c r="AS90" s="416">
        <v>0</v>
      </c>
      <c r="AT90" s="416">
        <v>0</v>
      </c>
      <c r="AU90" s="416">
        <v>0</v>
      </c>
      <c r="AV90" s="416">
        <v>0</v>
      </c>
      <c r="AW90" s="416">
        <v>0</v>
      </c>
      <c r="AX90" s="416">
        <v>0</v>
      </c>
      <c r="AY90" s="416">
        <v>0</v>
      </c>
      <c r="AZ90" s="416">
        <v>0</v>
      </c>
    </row>
    <row r="91" spans="1:52" s="411" customFormat="1" x14ac:dyDescent="0.3">
      <c r="A91" s="415" t="str">
        <f t="shared" si="1"/>
        <v>SA-333 Gr.6</v>
      </c>
      <c r="B91" s="415">
        <v>85</v>
      </c>
      <c r="C91" s="415" t="s">
        <v>2673</v>
      </c>
      <c r="D91" s="415" t="s">
        <v>2720</v>
      </c>
      <c r="E91" s="415" t="s">
        <v>2172</v>
      </c>
      <c r="F91" s="415">
        <v>6</v>
      </c>
      <c r="G91" s="415" t="s">
        <v>2756</v>
      </c>
      <c r="H91" s="415">
        <v>0</v>
      </c>
      <c r="I91" s="415">
        <v>0</v>
      </c>
      <c r="J91" s="415">
        <v>1</v>
      </c>
      <c r="K91" s="415">
        <v>1</v>
      </c>
      <c r="L91" s="415">
        <v>415</v>
      </c>
      <c r="M91" s="415">
        <v>240</v>
      </c>
      <c r="N91" s="415">
        <v>371</v>
      </c>
      <c r="O91" s="415">
        <v>371</v>
      </c>
      <c r="P91" s="415">
        <v>538</v>
      </c>
      <c r="Q91" s="415">
        <v>343</v>
      </c>
      <c r="R91" s="415" t="s">
        <v>2699</v>
      </c>
      <c r="S91" s="415" t="s">
        <v>2759</v>
      </c>
      <c r="T91" s="416">
        <v>118</v>
      </c>
      <c r="U91" s="416">
        <v>118</v>
      </c>
      <c r="V91" s="416">
        <v>118</v>
      </c>
      <c r="W91" s="416">
        <v>118</v>
      </c>
      <c r="X91" s="416">
        <v>118</v>
      </c>
      <c r="Y91" s="416">
        <v>118</v>
      </c>
      <c r="Z91" s="416">
        <v>118</v>
      </c>
      <c r="AA91" s="416">
        <v>118</v>
      </c>
      <c r="AB91" s="416">
        <v>118</v>
      </c>
      <c r="AC91" s="416">
        <v>118</v>
      </c>
      <c r="AD91" s="416">
        <v>117</v>
      </c>
      <c r="AE91" s="416">
        <v>105</v>
      </c>
      <c r="AF91" s="416">
        <v>88.9</v>
      </c>
      <c r="AG91" s="416">
        <v>75.3</v>
      </c>
      <c r="AH91" s="416">
        <v>62.7</v>
      </c>
      <c r="AI91" s="416">
        <v>45.5</v>
      </c>
      <c r="AJ91" s="416">
        <v>31.6</v>
      </c>
      <c r="AK91" s="416">
        <v>21.9</v>
      </c>
      <c r="AL91" s="416">
        <v>12.7</v>
      </c>
      <c r="AM91" s="416">
        <v>0</v>
      </c>
      <c r="AN91" s="416">
        <v>0</v>
      </c>
      <c r="AO91" s="416">
        <v>0</v>
      </c>
      <c r="AP91" s="416">
        <v>0</v>
      </c>
      <c r="AQ91" s="416">
        <v>0</v>
      </c>
      <c r="AR91" s="416">
        <v>0</v>
      </c>
      <c r="AS91" s="416">
        <v>0</v>
      </c>
      <c r="AT91" s="416">
        <v>0</v>
      </c>
      <c r="AU91" s="416">
        <v>0</v>
      </c>
      <c r="AV91" s="416">
        <v>0</v>
      </c>
      <c r="AW91" s="416">
        <v>0</v>
      </c>
      <c r="AX91" s="416">
        <v>0</v>
      </c>
      <c r="AY91" s="416">
        <v>0</v>
      </c>
      <c r="AZ91" s="416">
        <v>0</v>
      </c>
    </row>
    <row r="92" spans="1:52" s="411" customFormat="1" x14ac:dyDescent="0.3">
      <c r="A92" s="415" t="str">
        <f t="shared" si="1"/>
        <v>SA-333 Gr.6</v>
      </c>
      <c r="B92" s="415">
        <v>86</v>
      </c>
      <c r="C92" s="415" t="s">
        <v>2673</v>
      </c>
      <c r="D92" s="415" t="s">
        <v>2680</v>
      </c>
      <c r="E92" s="415" t="s">
        <v>2172</v>
      </c>
      <c r="F92" s="415">
        <v>6</v>
      </c>
      <c r="G92" s="415" t="s">
        <v>2756</v>
      </c>
      <c r="H92" s="415">
        <v>0</v>
      </c>
      <c r="I92" s="415">
        <v>0</v>
      </c>
      <c r="J92" s="415">
        <v>1</v>
      </c>
      <c r="K92" s="415">
        <v>1</v>
      </c>
      <c r="L92" s="415">
        <v>415</v>
      </c>
      <c r="M92" s="415">
        <v>240</v>
      </c>
      <c r="N92" s="415">
        <v>371</v>
      </c>
      <c r="O92" s="415" t="s">
        <v>2675</v>
      </c>
      <c r="P92" s="415" t="s">
        <v>2675</v>
      </c>
      <c r="Q92" s="415" t="s">
        <v>2675</v>
      </c>
      <c r="R92" s="415" t="s">
        <v>2699</v>
      </c>
      <c r="S92" s="415" t="s">
        <v>2535</v>
      </c>
      <c r="T92" s="416">
        <v>101</v>
      </c>
      <c r="U92" s="416">
        <v>101</v>
      </c>
      <c r="V92" s="416">
        <v>101</v>
      </c>
      <c r="W92" s="416">
        <v>101</v>
      </c>
      <c r="X92" s="416">
        <v>101</v>
      </c>
      <c r="Y92" s="416">
        <v>101</v>
      </c>
      <c r="Z92" s="416">
        <v>101</v>
      </c>
      <c r="AA92" s="416">
        <v>101</v>
      </c>
      <c r="AB92" s="416">
        <v>101</v>
      </c>
      <c r="AC92" s="416">
        <v>101</v>
      </c>
      <c r="AD92" s="416">
        <v>99.7</v>
      </c>
      <c r="AE92" s="416">
        <v>89.7</v>
      </c>
      <c r="AF92" s="416">
        <v>0</v>
      </c>
      <c r="AG92" s="416">
        <v>0</v>
      </c>
      <c r="AH92" s="416">
        <v>0</v>
      </c>
      <c r="AI92" s="416">
        <v>0</v>
      </c>
      <c r="AJ92" s="416">
        <v>0</v>
      </c>
      <c r="AK92" s="416">
        <v>0</v>
      </c>
      <c r="AL92" s="416">
        <v>0</v>
      </c>
      <c r="AM92" s="416">
        <v>0</v>
      </c>
      <c r="AN92" s="416">
        <v>0</v>
      </c>
      <c r="AO92" s="416">
        <v>0</v>
      </c>
      <c r="AP92" s="416">
        <v>0</v>
      </c>
      <c r="AQ92" s="416">
        <v>0</v>
      </c>
      <c r="AR92" s="416">
        <v>0</v>
      </c>
      <c r="AS92" s="416">
        <v>0</v>
      </c>
      <c r="AT92" s="416">
        <v>0</v>
      </c>
      <c r="AU92" s="416">
        <v>0</v>
      </c>
      <c r="AV92" s="416">
        <v>0</v>
      </c>
      <c r="AW92" s="416">
        <v>0</v>
      </c>
      <c r="AX92" s="416">
        <v>0</v>
      </c>
      <c r="AY92" s="416">
        <v>0</v>
      </c>
      <c r="AZ92" s="416">
        <v>0</v>
      </c>
    </row>
    <row r="93" spans="1:52" s="411" customFormat="1" x14ac:dyDescent="0.3">
      <c r="A93" s="415" t="str">
        <f t="shared" si="1"/>
        <v>SA-334 Gr.6</v>
      </c>
      <c r="B93" s="415">
        <v>87</v>
      </c>
      <c r="C93" s="415" t="s">
        <v>2673</v>
      </c>
      <c r="D93" s="415" t="s">
        <v>2723</v>
      </c>
      <c r="E93" s="415" t="s">
        <v>2209</v>
      </c>
      <c r="F93" s="415">
        <v>6</v>
      </c>
      <c r="G93" s="415" t="s">
        <v>2756</v>
      </c>
      <c r="H93" s="415">
        <v>0</v>
      </c>
      <c r="I93" s="415">
        <v>0</v>
      </c>
      <c r="J93" s="415">
        <v>1</v>
      </c>
      <c r="K93" s="415">
        <v>1</v>
      </c>
      <c r="L93" s="415">
        <v>415</v>
      </c>
      <c r="M93" s="415">
        <v>240</v>
      </c>
      <c r="N93" s="415" t="s">
        <v>2675</v>
      </c>
      <c r="O93" s="415">
        <v>371</v>
      </c>
      <c r="P93" s="415">
        <v>343</v>
      </c>
      <c r="Q93" s="415">
        <v>343</v>
      </c>
      <c r="R93" s="415" t="s">
        <v>2699</v>
      </c>
      <c r="S93" s="415" t="s">
        <v>2760</v>
      </c>
      <c r="T93" s="416">
        <v>118</v>
      </c>
      <c r="U93" s="416">
        <v>118</v>
      </c>
      <c r="V93" s="416">
        <v>118</v>
      </c>
      <c r="W93" s="416">
        <v>118</v>
      </c>
      <c r="X93" s="416">
        <v>118</v>
      </c>
      <c r="Y93" s="416">
        <v>118</v>
      </c>
      <c r="Z93" s="416">
        <v>118</v>
      </c>
      <c r="AA93" s="416">
        <v>118</v>
      </c>
      <c r="AB93" s="416">
        <v>118</v>
      </c>
      <c r="AC93" s="416">
        <v>118</v>
      </c>
      <c r="AD93" s="416">
        <v>117</v>
      </c>
      <c r="AE93" s="416">
        <v>105</v>
      </c>
      <c r="AF93" s="416">
        <v>0</v>
      </c>
      <c r="AG93" s="416">
        <v>0</v>
      </c>
      <c r="AH93" s="416">
        <v>0</v>
      </c>
      <c r="AI93" s="416">
        <v>0</v>
      </c>
      <c r="AJ93" s="416">
        <v>0</v>
      </c>
      <c r="AK93" s="416">
        <v>0</v>
      </c>
      <c r="AL93" s="416">
        <v>0</v>
      </c>
      <c r="AM93" s="416">
        <v>0</v>
      </c>
      <c r="AN93" s="416">
        <v>0</v>
      </c>
      <c r="AO93" s="416">
        <v>0</v>
      </c>
      <c r="AP93" s="416">
        <v>0</v>
      </c>
      <c r="AQ93" s="416">
        <v>0</v>
      </c>
      <c r="AR93" s="416">
        <v>0</v>
      </c>
      <c r="AS93" s="416">
        <v>0</v>
      </c>
      <c r="AT93" s="416">
        <v>0</v>
      </c>
      <c r="AU93" s="416">
        <v>0</v>
      </c>
      <c r="AV93" s="416">
        <v>0</v>
      </c>
      <c r="AW93" s="416">
        <v>0</v>
      </c>
      <c r="AX93" s="416">
        <v>0</v>
      </c>
      <c r="AY93" s="416">
        <v>0</v>
      </c>
      <c r="AZ93" s="416">
        <v>0</v>
      </c>
    </row>
    <row r="94" spans="1:52" s="411" customFormat="1" x14ac:dyDescent="0.3">
      <c r="A94" s="415" t="str">
        <f t="shared" si="1"/>
        <v>SA-334 Gr.6</v>
      </c>
      <c r="B94" s="415">
        <v>88</v>
      </c>
      <c r="C94" s="415" t="s">
        <v>2673</v>
      </c>
      <c r="D94" s="415" t="s">
        <v>2689</v>
      </c>
      <c r="E94" s="415" t="s">
        <v>2209</v>
      </c>
      <c r="F94" s="415">
        <v>6</v>
      </c>
      <c r="G94" s="415" t="s">
        <v>2756</v>
      </c>
      <c r="H94" s="415">
        <v>0</v>
      </c>
      <c r="I94" s="415">
        <v>0</v>
      </c>
      <c r="J94" s="415">
        <v>1</v>
      </c>
      <c r="K94" s="415">
        <v>1</v>
      </c>
      <c r="L94" s="415">
        <v>415</v>
      </c>
      <c r="M94" s="415">
        <v>240</v>
      </c>
      <c r="N94" s="415" t="s">
        <v>2675</v>
      </c>
      <c r="O94" s="415" t="s">
        <v>2675</v>
      </c>
      <c r="P94" s="415">
        <v>343</v>
      </c>
      <c r="Q94" s="415">
        <v>343</v>
      </c>
      <c r="R94" s="415" t="s">
        <v>2699</v>
      </c>
      <c r="S94" s="415" t="s">
        <v>2724</v>
      </c>
      <c r="T94" s="416">
        <v>101</v>
      </c>
      <c r="U94" s="416">
        <v>101</v>
      </c>
      <c r="V94" s="416">
        <v>101</v>
      </c>
      <c r="W94" s="416">
        <v>101</v>
      </c>
      <c r="X94" s="416">
        <v>101</v>
      </c>
      <c r="Y94" s="416">
        <v>101</v>
      </c>
      <c r="Z94" s="416">
        <v>101</v>
      </c>
      <c r="AA94" s="416">
        <v>101</v>
      </c>
      <c r="AB94" s="416">
        <v>101</v>
      </c>
      <c r="AC94" s="416">
        <v>101</v>
      </c>
      <c r="AD94" s="416">
        <v>101</v>
      </c>
      <c r="AE94" s="416">
        <v>0</v>
      </c>
      <c r="AF94" s="416">
        <v>0</v>
      </c>
      <c r="AG94" s="416">
        <v>0</v>
      </c>
      <c r="AH94" s="416">
        <v>0</v>
      </c>
      <c r="AI94" s="416">
        <v>0</v>
      </c>
      <c r="AJ94" s="416">
        <v>0</v>
      </c>
      <c r="AK94" s="416">
        <v>0</v>
      </c>
      <c r="AL94" s="416">
        <v>0</v>
      </c>
      <c r="AM94" s="416">
        <v>0</v>
      </c>
      <c r="AN94" s="416">
        <v>0</v>
      </c>
      <c r="AO94" s="416">
        <v>0</v>
      </c>
      <c r="AP94" s="416">
        <v>0</v>
      </c>
      <c r="AQ94" s="416">
        <v>0</v>
      </c>
      <c r="AR94" s="416">
        <v>0</v>
      </c>
      <c r="AS94" s="416">
        <v>0</v>
      </c>
      <c r="AT94" s="416">
        <v>0</v>
      </c>
      <c r="AU94" s="416">
        <v>0</v>
      </c>
      <c r="AV94" s="416">
        <v>0</v>
      </c>
      <c r="AW94" s="416">
        <v>0</v>
      </c>
      <c r="AX94" s="416">
        <v>0</v>
      </c>
      <c r="AY94" s="416">
        <v>0</v>
      </c>
      <c r="AZ94" s="416">
        <v>0</v>
      </c>
    </row>
    <row r="95" spans="1:52" s="411" customFormat="1" x14ac:dyDescent="0.3">
      <c r="A95" s="415" t="str">
        <f t="shared" si="1"/>
        <v>SA-369 Gr.FPB</v>
      </c>
      <c r="B95" s="415">
        <v>89</v>
      </c>
      <c r="C95" s="415" t="s">
        <v>2673</v>
      </c>
      <c r="D95" s="415" t="s">
        <v>2707</v>
      </c>
      <c r="E95" s="415" t="s">
        <v>2221</v>
      </c>
      <c r="F95" s="415" t="s">
        <v>2475</v>
      </c>
      <c r="G95" s="415" t="s">
        <v>2756</v>
      </c>
      <c r="H95" s="415">
        <v>0</v>
      </c>
      <c r="I95" s="415">
        <v>0</v>
      </c>
      <c r="J95" s="415">
        <v>1</v>
      </c>
      <c r="K95" s="415">
        <v>1</v>
      </c>
      <c r="L95" s="415">
        <v>415</v>
      </c>
      <c r="M95" s="415">
        <v>240</v>
      </c>
      <c r="N95" s="415">
        <v>538</v>
      </c>
      <c r="O95" s="415" t="s">
        <v>2675</v>
      </c>
      <c r="P95" s="415" t="s">
        <v>2675</v>
      </c>
      <c r="Q95" s="415" t="s">
        <v>2675</v>
      </c>
      <c r="R95" s="415" t="s">
        <v>2699</v>
      </c>
      <c r="S95" s="415" t="s">
        <v>2706</v>
      </c>
      <c r="T95" s="416">
        <v>118</v>
      </c>
      <c r="U95" s="416">
        <v>118</v>
      </c>
      <c r="V95" s="416">
        <v>118</v>
      </c>
      <c r="W95" s="416">
        <v>118</v>
      </c>
      <c r="X95" s="416">
        <v>118</v>
      </c>
      <c r="Y95" s="416">
        <v>118</v>
      </c>
      <c r="Z95" s="416">
        <v>118</v>
      </c>
      <c r="AA95" s="416">
        <v>118</v>
      </c>
      <c r="AB95" s="416">
        <v>118</v>
      </c>
      <c r="AC95" s="416">
        <v>118</v>
      </c>
      <c r="AD95" s="416">
        <v>117</v>
      </c>
      <c r="AE95" s="416">
        <v>105</v>
      </c>
      <c r="AF95" s="416">
        <v>88.9</v>
      </c>
      <c r="AG95" s="416">
        <v>75.3</v>
      </c>
      <c r="AH95" s="416">
        <v>62.7</v>
      </c>
      <c r="AI95" s="416">
        <v>45.5</v>
      </c>
      <c r="AJ95" s="416">
        <v>31.6</v>
      </c>
      <c r="AK95" s="416">
        <v>21.9</v>
      </c>
      <c r="AL95" s="416">
        <v>12.7</v>
      </c>
      <c r="AM95" s="416">
        <v>0</v>
      </c>
      <c r="AN95" s="416">
        <v>0</v>
      </c>
      <c r="AO95" s="416">
        <v>0</v>
      </c>
      <c r="AP95" s="416">
        <v>0</v>
      </c>
      <c r="AQ95" s="416">
        <v>0</v>
      </c>
      <c r="AR95" s="416">
        <v>0</v>
      </c>
      <c r="AS95" s="416">
        <v>0</v>
      </c>
      <c r="AT95" s="416">
        <v>0</v>
      </c>
      <c r="AU95" s="416">
        <v>0</v>
      </c>
      <c r="AV95" s="416">
        <v>0</v>
      </c>
      <c r="AW95" s="416">
        <v>0</v>
      </c>
      <c r="AX95" s="416">
        <v>0</v>
      </c>
      <c r="AY95" s="416">
        <v>0</v>
      </c>
      <c r="AZ95" s="416">
        <v>0</v>
      </c>
    </row>
    <row r="96" spans="1:52" s="411" customFormat="1" x14ac:dyDescent="0.3">
      <c r="A96" s="415" t="str">
        <f t="shared" si="1"/>
        <v>SA-372 Gr.A</v>
      </c>
      <c r="B96" s="415">
        <v>90</v>
      </c>
      <c r="C96" s="415" t="s">
        <v>2673</v>
      </c>
      <c r="D96" s="415" t="s">
        <v>2737</v>
      </c>
      <c r="E96" s="415" t="s">
        <v>2223</v>
      </c>
      <c r="F96" s="415" t="s">
        <v>12</v>
      </c>
      <c r="G96" s="415" t="s">
        <v>2761</v>
      </c>
      <c r="H96" s="415">
        <v>0</v>
      </c>
      <c r="I96" s="415">
        <v>0</v>
      </c>
      <c r="J96" s="415">
        <v>1</v>
      </c>
      <c r="K96" s="415">
        <v>1</v>
      </c>
      <c r="L96" s="415">
        <v>415</v>
      </c>
      <c r="M96" s="415">
        <v>240</v>
      </c>
      <c r="N96" s="415" t="s">
        <v>2675</v>
      </c>
      <c r="O96" s="415" t="s">
        <v>2675</v>
      </c>
      <c r="P96" s="415">
        <v>343</v>
      </c>
      <c r="Q96" s="415">
        <v>343</v>
      </c>
      <c r="R96" s="415" t="s">
        <v>2699</v>
      </c>
      <c r="S96" s="415">
        <v>0</v>
      </c>
      <c r="T96" s="416">
        <v>118</v>
      </c>
      <c r="U96" s="416">
        <v>118</v>
      </c>
      <c r="V96" s="416">
        <v>118</v>
      </c>
      <c r="W96" s="416">
        <v>118</v>
      </c>
      <c r="X96" s="416">
        <v>118</v>
      </c>
      <c r="Y96" s="416">
        <v>118</v>
      </c>
      <c r="Z96" s="416">
        <v>118</v>
      </c>
      <c r="AA96" s="416">
        <v>118</v>
      </c>
      <c r="AB96" s="416">
        <v>118</v>
      </c>
      <c r="AC96" s="416">
        <v>118</v>
      </c>
      <c r="AD96" s="416">
        <v>118</v>
      </c>
      <c r="AE96" s="416">
        <v>0</v>
      </c>
      <c r="AF96" s="416">
        <v>0</v>
      </c>
      <c r="AG96" s="416">
        <v>0</v>
      </c>
      <c r="AH96" s="416">
        <v>0</v>
      </c>
      <c r="AI96" s="416">
        <v>0</v>
      </c>
      <c r="AJ96" s="416">
        <v>0</v>
      </c>
      <c r="AK96" s="416">
        <v>0</v>
      </c>
      <c r="AL96" s="416">
        <v>0</v>
      </c>
      <c r="AM96" s="416">
        <v>0</v>
      </c>
      <c r="AN96" s="416">
        <v>0</v>
      </c>
      <c r="AO96" s="416">
        <v>0</v>
      </c>
      <c r="AP96" s="416">
        <v>0</v>
      </c>
      <c r="AQ96" s="416">
        <v>0</v>
      </c>
      <c r="AR96" s="416">
        <v>0</v>
      </c>
      <c r="AS96" s="416">
        <v>0</v>
      </c>
      <c r="AT96" s="416">
        <v>0</v>
      </c>
      <c r="AU96" s="416">
        <v>0</v>
      </c>
      <c r="AV96" s="416">
        <v>0</v>
      </c>
      <c r="AW96" s="416">
        <v>0</v>
      </c>
      <c r="AX96" s="416">
        <v>0</v>
      </c>
      <c r="AY96" s="416">
        <v>0</v>
      </c>
      <c r="AZ96" s="416">
        <v>0</v>
      </c>
    </row>
    <row r="97" spans="1:52" s="411" customFormat="1" x14ac:dyDescent="0.3">
      <c r="A97" s="415" t="str">
        <f t="shared" si="1"/>
        <v>SA-414 Gr.D</v>
      </c>
      <c r="B97" s="415">
        <v>91</v>
      </c>
      <c r="C97" s="415" t="s">
        <v>2673</v>
      </c>
      <c r="D97" s="415" t="s">
        <v>2674</v>
      </c>
      <c r="E97" s="415" t="s">
        <v>2233</v>
      </c>
      <c r="F97" s="415" t="s">
        <v>2414</v>
      </c>
      <c r="G97" s="415" t="s">
        <v>2762</v>
      </c>
      <c r="H97" s="415">
        <v>0</v>
      </c>
      <c r="I97" s="415">
        <v>0</v>
      </c>
      <c r="J97" s="415">
        <v>1</v>
      </c>
      <c r="K97" s="415">
        <v>1</v>
      </c>
      <c r="L97" s="415">
        <v>415</v>
      </c>
      <c r="M97" s="415">
        <v>240</v>
      </c>
      <c r="N97" s="415" t="s">
        <v>2675</v>
      </c>
      <c r="O97" s="415" t="s">
        <v>2675</v>
      </c>
      <c r="P97" s="415">
        <v>482</v>
      </c>
      <c r="Q97" s="415">
        <v>343</v>
      </c>
      <c r="R97" s="415" t="s">
        <v>2699</v>
      </c>
      <c r="S97" s="415" t="s">
        <v>2711</v>
      </c>
      <c r="T97" s="416">
        <v>118</v>
      </c>
      <c r="U97" s="416">
        <v>118</v>
      </c>
      <c r="V97" s="416">
        <v>118</v>
      </c>
      <c r="W97" s="416">
        <v>118</v>
      </c>
      <c r="X97" s="416">
        <v>118</v>
      </c>
      <c r="Y97" s="416">
        <v>118</v>
      </c>
      <c r="Z97" s="416">
        <v>118</v>
      </c>
      <c r="AA97" s="416">
        <v>118</v>
      </c>
      <c r="AB97" s="416">
        <v>118</v>
      </c>
      <c r="AC97" s="416">
        <v>118</v>
      </c>
      <c r="AD97" s="416">
        <v>117</v>
      </c>
      <c r="AE97" s="416">
        <v>105</v>
      </c>
      <c r="AF97" s="416">
        <v>88.9</v>
      </c>
      <c r="AG97" s="416">
        <v>75.3</v>
      </c>
      <c r="AH97" s="416">
        <v>62.7</v>
      </c>
      <c r="AI97" s="416">
        <v>45.5</v>
      </c>
      <c r="AJ97" s="416">
        <v>31.6</v>
      </c>
      <c r="AK97" s="416">
        <v>0</v>
      </c>
      <c r="AL97" s="416">
        <v>0</v>
      </c>
      <c r="AM97" s="416">
        <v>0</v>
      </c>
      <c r="AN97" s="416">
        <v>0</v>
      </c>
      <c r="AO97" s="416">
        <v>0</v>
      </c>
      <c r="AP97" s="416">
        <v>0</v>
      </c>
      <c r="AQ97" s="416">
        <v>0</v>
      </c>
      <c r="AR97" s="416">
        <v>0</v>
      </c>
      <c r="AS97" s="416">
        <v>0</v>
      </c>
      <c r="AT97" s="416">
        <v>0</v>
      </c>
      <c r="AU97" s="416">
        <v>0</v>
      </c>
      <c r="AV97" s="416">
        <v>0</v>
      </c>
      <c r="AW97" s="416">
        <v>0</v>
      </c>
      <c r="AX97" s="416">
        <v>0</v>
      </c>
      <c r="AY97" s="416">
        <v>0</v>
      </c>
      <c r="AZ97" s="416">
        <v>0</v>
      </c>
    </row>
    <row r="98" spans="1:52" s="411" customFormat="1" x14ac:dyDescent="0.3">
      <c r="A98" s="415" t="str">
        <f t="shared" si="1"/>
        <v>SA-420 Gr.WPL6</v>
      </c>
      <c r="B98" s="415">
        <v>92</v>
      </c>
      <c r="C98" s="415" t="s">
        <v>2673</v>
      </c>
      <c r="D98" s="415" t="s">
        <v>2758</v>
      </c>
      <c r="E98" s="415" t="s">
        <v>2235</v>
      </c>
      <c r="F98" s="415" t="s">
        <v>2613</v>
      </c>
      <c r="G98" s="415">
        <v>0</v>
      </c>
      <c r="H98" s="415">
        <v>0</v>
      </c>
      <c r="I98" s="415">
        <v>0</v>
      </c>
      <c r="J98" s="415">
        <v>1</v>
      </c>
      <c r="K98" s="415">
        <v>1</v>
      </c>
      <c r="L98" s="415">
        <v>415</v>
      </c>
      <c r="M98" s="415">
        <v>240</v>
      </c>
      <c r="N98" s="415" t="s">
        <v>2675</v>
      </c>
      <c r="O98" s="415">
        <v>371</v>
      </c>
      <c r="P98" s="415">
        <v>454</v>
      </c>
      <c r="Q98" s="415">
        <v>343</v>
      </c>
      <c r="R98" s="415" t="s">
        <v>2699</v>
      </c>
      <c r="S98" s="415" t="s">
        <v>2763</v>
      </c>
      <c r="T98" s="416">
        <v>118</v>
      </c>
      <c r="U98" s="416">
        <v>118</v>
      </c>
      <c r="V98" s="416">
        <v>118</v>
      </c>
      <c r="W98" s="416">
        <v>118</v>
      </c>
      <c r="X98" s="416">
        <v>118</v>
      </c>
      <c r="Y98" s="416">
        <v>118</v>
      </c>
      <c r="Z98" s="416">
        <v>118</v>
      </c>
      <c r="AA98" s="416">
        <v>118</v>
      </c>
      <c r="AB98" s="416">
        <v>118</v>
      </c>
      <c r="AC98" s="416">
        <v>118</v>
      </c>
      <c r="AD98" s="416">
        <v>117</v>
      </c>
      <c r="AE98" s="416">
        <v>105</v>
      </c>
      <c r="AF98" s="416">
        <v>88.9</v>
      </c>
      <c r="AG98" s="416">
        <v>75.3</v>
      </c>
      <c r="AH98" s="416">
        <v>62.7</v>
      </c>
      <c r="AI98" s="416">
        <v>45.5</v>
      </c>
      <c r="AJ98" s="416">
        <v>0</v>
      </c>
      <c r="AK98" s="416">
        <v>0</v>
      </c>
      <c r="AL98" s="416">
        <v>0</v>
      </c>
      <c r="AM98" s="416">
        <v>0</v>
      </c>
      <c r="AN98" s="416">
        <v>0</v>
      </c>
      <c r="AO98" s="416">
        <v>0</v>
      </c>
      <c r="AP98" s="416">
        <v>0</v>
      </c>
      <c r="AQ98" s="416">
        <v>0</v>
      </c>
      <c r="AR98" s="416">
        <v>0</v>
      </c>
      <c r="AS98" s="416">
        <v>0</v>
      </c>
      <c r="AT98" s="416">
        <v>0</v>
      </c>
      <c r="AU98" s="416">
        <v>0</v>
      </c>
      <c r="AV98" s="416">
        <v>0</v>
      </c>
      <c r="AW98" s="416">
        <v>0</v>
      </c>
      <c r="AX98" s="416">
        <v>0</v>
      </c>
      <c r="AY98" s="416">
        <v>0</v>
      </c>
      <c r="AZ98" s="416">
        <v>0</v>
      </c>
    </row>
    <row r="99" spans="1:52" s="411" customFormat="1" x14ac:dyDescent="0.3">
      <c r="A99" s="415" t="str">
        <f t="shared" si="1"/>
        <v>SA-524 Gr.I</v>
      </c>
      <c r="B99" s="415">
        <v>93</v>
      </c>
      <c r="C99" s="415" t="s">
        <v>2673</v>
      </c>
      <c r="D99" s="415" t="s">
        <v>2703</v>
      </c>
      <c r="E99" s="415" t="s">
        <v>2258</v>
      </c>
      <c r="F99" s="415" t="s">
        <v>2483</v>
      </c>
      <c r="G99" s="415" t="s">
        <v>2726</v>
      </c>
      <c r="H99" s="415">
        <v>0</v>
      </c>
      <c r="I99" s="415">
        <v>0</v>
      </c>
      <c r="J99" s="415">
        <v>1</v>
      </c>
      <c r="K99" s="415">
        <v>1</v>
      </c>
      <c r="L99" s="415">
        <v>415</v>
      </c>
      <c r="M99" s="415">
        <v>240</v>
      </c>
      <c r="N99" s="415" t="s">
        <v>2675</v>
      </c>
      <c r="O99" s="415" t="s">
        <v>2675</v>
      </c>
      <c r="P99" s="415">
        <v>538</v>
      </c>
      <c r="Q99" s="415">
        <v>343</v>
      </c>
      <c r="R99" s="415" t="s">
        <v>2699</v>
      </c>
      <c r="S99" s="415" t="s">
        <v>2711</v>
      </c>
      <c r="T99" s="416">
        <v>118</v>
      </c>
      <c r="U99" s="416">
        <v>118</v>
      </c>
      <c r="V99" s="416">
        <v>118</v>
      </c>
      <c r="W99" s="416">
        <v>118</v>
      </c>
      <c r="X99" s="416">
        <v>118</v>
      </c>
      <c r="Y99" s="416">
        <v>118</v>
      </c>
      <c r="Z99" s="416">
        <v>118</v>
      </c>
      <c r="AA99" s="416">
        <v>118</v>
      </c>
      <c r="AB99" s="416">
        <v>118</v>
      </c>
      <c r="AC99" s="416">
        <v>118</v>
      </c>
      <c r="AD99" s="416">
        <v>117</v>
      </c>
      <c r="AE99" s="416">
        <v>105</v>
      </c>
      <c r="AF99" s="416">
        <v>88.9</v>
      </c>
      <c r="AG99" s="416">
        <v>75.3</v>
      </c>
      <c r="AH99" s="416">
        <v>62.7</v>
      </c>
      <c r="AI99" s="416">
        <v>45.5</v>
      </c>
      <c r="AJ99" s="416">
        <v>31.6</v>
      </c>
      <c r="AK99" s="416">
        <v>21.9</v>
      </c>
      <c r="AL99" s="416">
        <v>12.7</v>
      </c>
      <c r="AM99" s="416">
        <v>0</v>
      </c>
      <c r="AN99" s="416">
        <v>0</v>
      </c>
      <c r="AO99" s="416">
        <v>0</v>
      </c>
      <c r="AP99" s="416">
        <v>0</v>
      </c>
      <c r="AQ99" s="416">
        <v>0</v>
      </c>
      <c r="AR99" s="416">
        <v>0</v>
      </c>
      <c r="AS99" s="416">
        <v>0</v>
      </c>
      <c r="AT99" s="416">
        <v>0</v>
      </c>
      <c r="AU99" s="416">
        <v>0</v>
      </c>
      <c r="AV99" s="416">
        <v>0</v>
      </c>
      <c r="AW99" s="416">
        <v>0</v>
      </c>
      <c r="AX99" s="416">
        <v>0</v>
      </c>
      <c r="AY99" s="416">
        <v>0</v>
      </c>
      <c r="AZ99" s="416">
        <v>0</v>
      </c>
    </row>
    <row r="100" spans="1:52" s="411" customFormat="1" x14ac:dyDescent="0.3">
      <c r="A100" s="415" t="str">
        <f t="shared" si="1"/>
        <v>SA-695 Gr.B/35</v>
      </c>
      <c r="B100" s="415">
        <v>94</v>
      </c>
      <c r="C100" s="415" t="s">
        <v>2673</v>
      </c>
      <c r="D100" s="415" t="s">
        <v>2677</v>
      </c>
      <c r="E100" s="415" t="s">
        <v>2764</v>
      </c>
      <c r="F100" s="415" t="s">
        <v>2339</v>
      </c>
      <c r="G100" s="415" t="s">
        <v>2765</v>
      </c>
      <c r="H100" s="415">
        <v>0</v>
      </c>
      <c r="I100" s="415">
        <v>0</v>
      </c>
      <c r="J100" s="415">
        <v>1</v>
      </c>
      <c r="K100" s="415">
        <v>1</v>
      </c>
      <c r="L100" s="415">
        <v>415</v>
      </c>
      <c r="M100" s="415">
        <v>240</v>
      </c>
      <c r="N100" s="415" t="s">
        <v>2675</v>
      </c>
      <c r="O100" s="415">
        <v>371</v>
      </c>
      <c r="P100" s="415">
        <v>538</v>
      </c>
      <c r="Q100" s="415">
        <v>343</v>
      </c>
      <c r="R100" s="415" t="s">
        <v>2699</v>
      </c>
      <c r="S100" s="415" t="s">
        <v>2766</v>
      </c>
      <c r="T100" s="416">
        <v>118</v>
      </c>
      <c r="U100" s="416">
        <v>118</v>
      </c>
      <c r="V100" s="416">
        <v>118</v>
      </c>
      <c r="W100" s="416">
        <v>118</v>
      </c>
      <c r="X100" s="416">
        <v>118</v>
      </c>
      <c r="Y100" s="416">
        <v>118</v>
      </c>
      <c r="Z100" s="416">
        <v>118</v>
      </c>
      <c r="AA100" s="416">
        <v>118</v>
      </c>
      <c r="AB100" s="416">
        <v>118</v>
      </c>
      <c r="AC100" s="416">
        <v>118</v>
      </c>
      <c r="AD100" s="416">
        <v>117</v>
      </c>
      <c r="AE100" s="416">
        <v>105</v>
      </c>
      <c r="AF100" s="416">
        <v>88.9</v>
      </c>
      <c r="AG100" s="416">
        <v>75.3</v>
      </c>
      <c r="AH100" s="416">
        <v>62.7</v>
      </c>
      <c r="AI100" s="416">
        <v>45.5</v>
      </c>
      <c r="AJ100" s="416">
        <v>31.6</v>
      </c>
      <c r="AK100" s="416">
        <v>21.9</v>
      </c>
      <c r="AL100" s="416">
        <v>12.7</v>
      </c>
      <c r="AM100" s="416">
        <v>0</v>
      </c>
      <c r="AN100" s="416">
        <v>0</v>
      </c>
      <c r="AO100" s="416">
        <v>0</v>
      </c>
      <c r="AP100" s="416">
        <v>0</v>
      </c>
      <c r="AQ100" s="416">
        <v>0</v>
      </c>
      <c r="AR100" s="416">
        <v>0</v>
      </c>
      <c r="AS100" s="416">
        <v>0</v>
      </c>
      <c r="AT100" s="416">
        <v>0</v>
      </c>
      <c r="AU100" s="416">
        <v>0</v>
      </c>
      <c r="AV100" s="416">
        <v>0</v>
      </c>
      <c r="AW100" s="416">
        <v>0</v>
      </c>
      <c r="AX100" s="416">
        <v>0</v>
      </c>
      <c r="AY100" s="416">
        <v>0</v>
      </c>
      <c r="AZ100" s="416">
        <v>0</v>
      </c>
    </row>
    <row r="101" spans="1:52" s="411" customFormat="1" x14ac:dyDescent="0.3">
      <c r="A101" s="415" t="str">
        <f t="shared" si="1"/>
        <v>SA-696 Gr.B</v>
      </c>
      <c r="B101" s="415">
        <v>95</v>
      </c>
      <c r="C101" s="415" t="s">
        <v>2673</v>
      </c>
      <c r="D101" s="415" t="s">
        <v>2677</v>
      </c>
      <c r="E101" s="415" t="s">
        <v>2767</v>
      </c>
      <c r="F101" s="415" t="s">
        <v>1864</v>
      </c>
      <c r="G101" s="415" t="s">
        <v>2768</v>
      </c>
      <c r="H101" s="415">
        <v>0</v>
      </c>
      <c r="I101" s="415">
        <v>0</v>
      </c>
      <c r="J101" s="415">
        <v>1</v>
      </c>
      <c r="K101" s="415">
        <v>1</v>
      </c>
      <c r="L101" s="415">
        <v>415</v>
      </c>
      <c r="M101" s="415">
        <v>240</v>
      </c>
      <c r="N101" s="415" t="s">
        <v>2675</v>
      </c>
      <c r="O101" s="415">
        <v>371</v>
      </c>
      <c r="P101" s="415" t="s">
        <v>2675</v>
      </c>
      <c r="Q101" s="415" t="s">
        <v>2675</v>
      </c>
      <c r="R101" s="415" t="s">
        <v>2699</v>
      </c>
      <c r="S101" s="415" t="s">
        <v>2535</v>
      </c>
      <c r="T101" s="416">
        <v>118</v>
      </c>
      <c r="U101" s="416">
        <v>118</v>
      </c>
      <c r="V101" s="416">
        <v>118</v>
      </c>
      <c r="W101" s="416">
        <v>118</v>
      </c>
      <c r="X101" s="416">
        <v>118</v>
      </c>
      <c r="Y101" s="416">
        <v>118</v>
      </c>
      <c r="Z101" s="416">
        <v>118</v>
      </c>
      <c r="AA101" s="416">
        <v>118</v>
      </c>
      <c r="AB101" s="416">
        <v>118</v>
      </c>
      <c r="AC101" s="416">
        <v>118</v>
      </c>
      <c r="AD101" s="416">
        <v>117</v>
      </c>
      <c r="AE101" s="416">
        <v>105</v>
      </c>
      <c r="AF101" s="416">
        <v>0</v>
      </c>
      <c r="AG101" s="416">
        <v>0</v>
      </c>
      <c r="AH101" s="416">
        <v>0</v>
      </c>
      <c r="AI101" s="416">
        <v>0</v>
      </c>
      <c r="AJ101" s="416">
        <v>0</v>
      </c>
      <c r="AK101" s="416">
        <v>0</v>
      </c>
      <c r="AL101" s="416">
        <v>0</v>
      </c>
      <c r="AM101" s="416">
        <v>0</v>
      </c>
      <c r="AN101" s="416">
        <v>0</v>
      </c>
      <c r="AO101" s="416">
        <v>0</v>
      </c>
      <c r="AP101" s="416">
        <v>0</v>
      </c>
      <c r="AQ101" s="416">
        <v>0</v>
      </c>
      <c r="AR101" s="416">
        <v>0</v>
      </c>
      <c r="AS101" s="416">
        <v>0</v>
      </c>
      <c r="AT101" s="416">
        <v>0</v>
      </c>
      <c r="AU101" s="416">
        <v>0</v>
      </c>
      <c r="AV101" s="416">
        <v>0</v>
      </c>
      <c r="AW101" s="416">
        <v>0</v>
      </c>
      <c r="AX101" s="416">
        <v>0</v>
      </c>
      <c r="AY101" s="416">
        <v>0</v>
      </c>
      <c r="AZ101" s="416">
        <v>0</v>
      </c>
    </row>
    <row r="102" spans="1:52" s="411" customFormat="1" x14ac:dyDescent="0.3">
      <c r="A102" s="415" t="str">
        <f t="shared" si="1"/>
        <v>SA-727 Gr.0</v>
      </c>
      <c r="B102" s="415">
        <v>96</v>
      </c>
      <c r="C102" s="415" t="s">
        <v>2673</v>
      </c>
      <c r="D102" s="415" t="s">
        <v>2737</v>
      </c>
      <c r="E102" s="415" t="s">
        <v>2309</v>
      </c>
      <c r="F102" s="415">
        <v>0</v>
      </c>
      <c r="G102" s="415" t="s">
        <v>2769</v>
      </c>
      <c r="H102" s="415">
        <v>0</v>
      </c>
      <c r="I102" s="415">
        <v>0</v>
      </c>
      <c r="J102" s="415">
        <v>1</v>
      </c>
      <c r="K102" s="415">
        <v>1</v>
      </c>
      <c r="L102" s="415">
        <v>415</v>
      </c>
      <c r="M102" s="415">
        <v>250</v>
      </c>
      <c r="N102" s="415" t="s">
        <v>2675</v>
      </c>
      <c r="O102" s="415">
        <v>371</v>
      </c>
      <c r="P102" s="415">
        <v>538</v>
      </c>
      <c r="Q102" s="415">
        <v>343</v>
      </c>
      <c r="R102" s="415" t="s">
        <v>2699</v>
      </c>
      <c r="S102" s="415" t="s">
        <v>2766</v>
      </c>
      <c r="T102" s="416">
        <v>118</v>
      </c>
      <c r="U102" s="416">
        <v>118</v>
      </c>
      <c r="V102" s="416">
        <v>118</v>
      </c>
      <c r="W102" s="416">
        <v>118</v>
      </c>
      <c r="X102" s="416">
        <v>118</v>
      </c>
      <c r="Y102" s="416">
        <v>118</v>
      </c>
      <c r="Z102" s="416">
        <v>118</v>
      </c>
      <c r="AA102" s="416">
        <v>118</v>
      </c>
      <c r="AB102" s="416">
        <v>118</v>
      </c>
      <c r="AC102" s="416">
        <v>118</v>
      </c>
      <c r="AD102" s="416">
        <v>117</v>
      </c>
      <c r="AE102" s="416">
        <v>105</v>
      </c>
      <c r="AF102" s="416">
        <v>88.9</v>
      </c>
      <c r="AG102" s="416">
        <v>75.3</v>
      </c>
      <c r="AH102" s="416">
        <v>62.7</v>
      </c>
      <c r="AI102" s="416">
        <v>45.5</v>
      </c>
      <c r="AJ102" s="416">
        <v>31.6</v>
      </c>
      <c r="AK102" s="416">
        <v>21.9</v>
      </c>
      <c r="AL102" s="416">
        <v>12.7</v>
      </c>
      <c r="AM102" s="416">
        <v>0</v>
      </c>
      <c r="AN102" s="416">
        <v>0</v>
      </c>
      <c r="AO102" s="416">
        <v>0</v>
      </c>
      <c r="AP102" s="416">
        <v>0</v>
      </c>
      <c r="AQ102" s="416">
        <v>0</v>
      </c>
      <c r="AR102" s="416">
        <v>0</v>
      </c>
      <c r="AS102" s="416">
        <v>0</v>
      </c>
      <c r="AT102" s="416">
        <v>0</v>
      </c>
      <c r="AU102" s="416">
        <v>0</v>
      </c>
      <c r="AV102" s="416">
        <v>0</v>
      </c>
      <c r="AW102" s="416">
        <v>0</v>
      </c>
      <c r="AX102" s="416">
        <v>0</v>
      </c>
      <c r="AY102" s="416">
        <v>0</v>
      </c>
      <c r="AZ102" s="416">
        <v>0</v>
      </c>
    </row>
    <row r="103" spans="1:52" s="411" customFormat="1" x14ac:dyDescent="0.3">
      <c r="A103" s="415" t="str">
        <f t="shared" si="1"/>
        <v>SA-178 Gr.C</v>
      </c>
      <c r="B103" s="415">
        <v>97</v>
      </c>
      <c r="C103" s="415" t="s">
        <v>2673</v>
      </c>
      <c r="D103" s="415" t="s">
        <v>2689</v>
      </c>
      <c r="E103" s="415" t="s">
        <v>2185</v>
      </c>
      <c r="F103" s="415" t="s">
        <v>2348</v>
      </c>
      <c r="G103" s="415" t="s">
        <v>2770</v>
      </c>
      <c r="H103" s="415">
        <v>0</v>
      </c>
      <c r="I103" s="415">
        <v>0</v>
      </c>
      <c r="J103" s="415">
        <v>1</v>
      </c>
      <c r="K103" s="415">
        <v>1</v>
      </c>
      <c r="L103" s="415">
        <v>415</v>
      </c>
      <c r="M103" s="415">
        <v>255</v>
      </c>
      <c r="N103" s="415">
        <v>538</v>
      </c>
      <c r="O103" s="415" t="s">
        <v>2675</v>
      </c>
      <c r="P103" s="415" t="s">
        <v>2675</v>
      </c>
      <c r="Q103" s="415" t="s">
        <v>2675</v>
      </c>
      <c r="R103" s="415" t="s">
        <v>2699</v>
      </c>
      <c r="S103" s="415" t="s">
        <v>2771</v>
      </c>
      <c r="T103" s="416">
        <v>118</v>
      </c>
      <c r="U103" s="416">
        <v>118</v>
      </c>
      <c r="V103" s="416">
        <v>118</v>
      </c>
      <c r="W103" s="416">
        <v>118</v>
      </c>
      <c r="X103" s="416">
        <v>118</v>
      </c>
      <c r="Y103" s="416">
        <v>118</v>
      </c>
      <c r="Z103" s="416">
        <v>118</v>
      </c>
      <c r="AA103" s="416">
        <v>118</v>
      </c>
      <c r="AB103" s="416">
        <v>118</v>
      </c>
      <c r="AC103" s="416">
        <v>118</v>
      </c>
      <c r="AD103" s="416">
        <v>117</v>
      </c>
      <c r="AE103" s="416">
        <v>105</v>
      </c>
      <c r="AF103" s="416">
        <v>88.9</v>
      </c>
      <c r="AG103" s="416">
        <v>75.2</v>
      </c>
      <c r="AH103" s="416">
        <v>63.2</v>
      </c>
      <c r="AI103" s="416">
        <v>40.5</v>
      </c>
      <c r="AJ103" s="416">
        <v>26.2</v>
      </c>
      <c r="AK103" s="416">
        <v>18.8</v>
      </c>
      <c r="AL103" s="416">
        <v>10.5</v>
      </c>
      <c r="AM103" s="416">
        <v>0</v>
      </c>
      <c r="AN103" s="416">
        <v>0</v>
      </c>
      <c r="AO103" s="416">
        <v>0</v>
      </c>
      <c r="AP103" s="416">
        <v>0</v>
      </c>
      <c r="AQ103" s="416">
        <v>0</v>
      </c>
      <c r="AR103" s="416">
        <v>0</v>
      </c>
      <c r="AS103" s="416">
        <v>0</v>
      </c>
      <c r="AT103" s="416">
        <v>0</v>
      </c>
      <c r="AU103" s="416">
        <v>0</v>
      </c>
      <c r="AV103" s="416">
        <v>0</v>
      </c>
      <c r="AW103" s="416">
        <v>0</v>
      </c>
      <c r="AX103" s="416">
        <v>0</v>
      </c>
      <c r="AY103" s="416">
        <v>0</v>
      </c>
      <c r="AZ103" s="416">
        <v>0</v>
      </c>
    </row>
    <row r="104" spans="1:52" s="411" customFormat="1" x14ac:dyDescent="0.3">
      <c r="A104" s="415" t="str">
        <f t="shared" si="1"/>
        <v>SA-178 Gr.C</v>
      </c>
      <c r="B104" s="415">
        <v>98</v>
      </c>
      <c r="C104" s="415" t="s">
        <v>2673</v>
      </c>
      <c r="D104" s="415" t="s">
        <v>2689</v>
      </c>
      <c r="E104" s="415" t="s">
        <v>2185</v>
      </c>
      <c r="F104" s="415" t="s">
        <v>2348</v>
      </c>
      <c r="G104" s="415" t="s">
        <v>2770</v>
      </c>
      <c r="H104" s="415">
        <v>0</v>
      </c>
      <c r="I104" s="415">
        <v>0</v>
      </c>
      <c r="J104" s="415">
        <v>1</v>
      </c>
      <c r="K104" s="415">
        <v>1</v>
      </c>
      <c r="L104" s="415">
        <v>415</v>
      </c>
      <c r="M104" s="415">
        <v>255</v>
      </c>
      <c r="N104" s="415">
        <v>538</v>
      </c>
      <c r="O104" s="415">
        <v>371</v>
      </c>
      <c r="P104" s="415" t="s">
        <v>2675</v>
      </c>
      <c r="Q104" s="415" t="s">
        <v>2675</v>
      </c>
      <c r="R104" s="415" t="s">
        <v>2699</v>
      </c>
      <c r="S104" s="415" t="s">
        <v>2772</v>
      </c>
      <c r="T104" s="416">
        <v>118</v>
      </c>
      <c r="U104" s="416">
        <v>118</v>
      </c>
      <c r="V104" s="416">
        <v>118</v>
      </c>
      <c r="W104" s="416">
        <v>118</v>
      </c>
      <c r="X104" s="416">
        <v>118</v>
      </c>
      <c r="Y104" s="416">
        <v>118</v>
      </c>
      <c r="Z104" s="416">
        <v>118</v>
      </c>
      <c r="AA104" s="416">
        <v>118</v>
      </c>
      <c r="AB104" s="416">
        <v>118</v>
      </c>
      <c r="AC104" s="416">
        <v>118</v>
      </c>
      <c r="AD104" s="416">
        <v>117</v>
      </c>
      <c r="AE104" s="416">
        <v>105</v>
      </c>
      <c r="AF104" s="416">
        <v>88.9</v>
      </c>
      <c r="AG104" s="416">
        <v>75.3</v>
      </c>
      <c r="AH104" s="416">
        <v>62.7</v>
      </c>
      <c r="AI104" s="416">
        <v>45.5</v>
      </c>
      <c r="AJ104" s="416">
        <v>31.6</v>
      </c>
      <c r="AK104" s="416">
        <v>21.9</v>
      </c>
      <c r="AL104" s="416">
        <v>12.7</v>
      </c>
      <c r="AM104" s="416">
        <v>0</v>
      </c>
      <c r="AN104" s="416">
        <v>0</v>
      </c>
      <c r="AO104" s="416">
        <v>0</v>
      </c>
      <c r="AP104" s="416">
        <v>0</v>
      </c>
      <c r="AQ104" s="416">
        <v>0</v>
      </c>
      <c r="AR104" s="416">
        <v>0</v>
      </c>
      <c r="AS104" s="416">
        <v>0</v>
      </c>
      <c r="AT104" s="416">
        <v>0</v>
      </c>
      <c r="AU104" s="416">
        <v>0</v>
      </c>
      <c r="AV104" s="416">
        <v>0</v>
      </c>
      <c r="AW104" s="416">
        <v>0</v>
      </c>
      <c r="AX104" s="416">
        <v>0</v>
      </c>
      <c r="AY104" s="416">
        <v>0</v>
      </c>
      <c r="AZ104" s="416">
        <v>0</v>
      </c>
    </row>
    <row r="105" spans="1:52" s="411" customFormat="1" x14ac:dyDescent="0.3">
      <c r="A105" s="415" t="str">
        <f t="shared" si="1"/>
        <v>SA-178 Gr.C</v>
      </c>
      <c r="B105" s="415">
        <v>99</v>
      </c>
      <c r="C105" s="415" t="s">
        <v>2673</v>
      </c>
      <c r="D105" s="415" t="s">
        <v>2689</v>
      </c>
      <c r="E105" s="415" t="s">
        <v>2185</v>
      </c>
      <c r="F105" s="415" t="s">
        <v>2348</v>
      </c>
      <c r="G105" s="415" t="s">
        <v>2770</v>
      </c>
      <c r="H105" s="415">
        <v>0</v>
      </c>
      <c r="I105" s="415">
        <v>0</v>
      </c>
      <c r="J105" s="415">
        <v>1</v>
      </c>
      <c r="K105" s="415">
        <v>1</v>
      </c>
      <c r="L105" s="415">
        <v>415</v>
      </c>
      <c r="M105" s="415">
        <v>255</v>
      </c>
      <c r="N105" s="415">
        <v>538</v>
      </c>
      <c r="O105" s="415" t="s">
        <v>2675</v>
      </c>
      <c r="P105" s="415">
        <v>538</v>
      </c>
      <c r="Q105" s="415">
        <v>343</v>
      </c>
      <c r="R105" s="415" t="s">
        <v>2699</v>
      </c>
      <c r="S105" s="415" t="s">
        <v>2692</v>
      </c>
      <c r="T105" s="416">
        <v>101</v>
      </c>
      <c r="U105" s="416">
        <v>101</v>
      </c>
      <c r="V105" s="416">
        <v>101</v>
      </c>
      <c r="W105" s="416">
        <v>101</v>
      </c>
      <c r="X105" s="416">
        <v>101</v>
      </c>
      <c r="Y105" s="416">
        <v>101</v>
      </c>
      <c r="Z105" s="416">
        <v>101</v>
      </c>
      <c r="AA105" s="416">
        <v>101</v>
      </c>
      <c r="AB105" s="416">
        <v>101</v>
      </c>
      <c r="AC105" s="416">
        <v>101</v>
      </c>
      <c r="AD105" s="416">
        <v>99.7</v>
      </c>
      <c r="AE105" s="416">
        <v>89.7</v>
      </c>
      <c r="AF105" s="416">
        <v>75.900000000000006</v>
      </c>
      <c r="AG105" s="416">
        <v>64.099999999999994</v>
      </c>
      <c r="AH105" s="416">
        <v>53.3</v>
      </c>
      <c r="AI105" s="416">
        <v>38.6</v>
      </c>
      <c r="AJ105" s="416">
        <v>26.8</v>
      </c>
      <c r="AK105" s="416">
        <v>18.600000000000001</v>
      </c>
      <c r="AL105" s="416">
        <v>10.5</v>
      </c>
      <c r="AM105" s="416">
        <v>0</v>
      </c>
      <c r="AN105" s="416">
        <v>0</v>
      </c>
      <c r="AO105" s="416">
        <v>0</v>
      </c>
      <c r="AP105" s="416">
        <v>0</v>
      </c>
      <c r="AQ105" s="416">
        <v>0</v>
      </c>
      <c r="AR105" s="416">
        <v>0</v>
      </c>
      <c r="AS105" s="416">
        <v>0</v>
      </c>
      <c r="AT105" s="416">
        <v>0</v>
      </c>
      <c r="AU105" s="416">
        <v>0</v>
      </c>
      <c r="AV105" s="416">
        <v>0</v>
      </c>
      <c r="AW105" s="416">
        <v>0</v>
      </c>
      <c r="AX105" s="416">
        <v>0</v>
      </c>
      <c r="AY105" s="416">
        <v>0</v>
      </c>
      <c r="AZ105" s="416">
        <v>0</v>
      </c>
    </row>
    <row r="106" spans="1:52" s="411" customFormat="1" x14ac:dyDescent="0.3">
      <c r="A106" s="415" t="str">
        <f t="shared" si="1"/>
        <v>SA-210 Gr.A-1</v>
      </c>
      <c r="B106" s="415">
        <v>100</v>
      </c>
      <c r="C106" s="415" t="s">
        <v>2673</v>
      </c>
      <c r="D106" s="415" t="s">
        <v>2693</v>
      </c>
      <c r="E106" s="415" t="s">
        <v>2194</v>
      </c>
      <c r="F106" s="415" t="s">
        <v>2319</v>
      </c>
      <c r="G106" s="415" t="s">
        <v>2773</v>
      </c>
      <c r="H106" s="415">
        <v>0</v>
      </c>
      <c r="I106" s="415">
        <v>0</v>
      </c>
      <c r="J106" s="415">
        <v>1</v>
      </c>
      <c r="K106" s="415">
        <v>1</v>
      </c>
      <c r="L106" s="415">
        <v>415</v>
      </c>
      <c r="M106" s="415">
        <v>255</v>
      </c>
      <c r="N106" s="415">
        <v>538</v>
      </c>
      <c r="O106" s="415">
        <v>371</v>
      </c>
      <c r="P106" s="415">
        <v>538</v>
      </c>
      <c r="Q106" s="415">
        <v>343</v>
      </c>
      <c r="R106" s="415" t="s">
        <v>2699</v>
      </c>
      <c r="S106" s="415" t="s">
        <v>2706</v>
      </c>
      <c r="T106" s="416">
        <v>118</v>
      </c>
      <c r="U106" s="416">
        <v>118</v>
      </c>
      <c r="V106" s="416">
        <v>118</v>
      </c>
      <c r="W106" s="416">
        <v>118</v>
      </c>
      <c r="X106" s="416">
        <v>118</v>
      </c>
      <c r="Y106" s="416">
        <v>118</v>
      </c>
      <c r="Z106" s="416">
        <v>118</v>
      </c>
      <c r="AA106" s="416">
        <v>118</v>
      </c>
      <c r="AB106" s="416">
        <v>118</v>
      </c>
      <c r="AC106" s="416">
        <v>118</v>
      </c>
      <c r="AD106" s="416">
        <v>117</v>
      </c>
      <c r="AE106" s="416">
        <v>105</v>
      </c>
      <c r="AF106" s="416">
        <v>88.9</v>
      </c>
      <c r="AG106" s="416">
        <v>75.3</v>
      </c>
      <c r="AH106" s="416">
        <v>62.7</v>
      </c>
      <c r="AI106" s="416">
        <v>45.5</v>
      </c>
      <c r="AJ106" s="416">
        <v>31.6</v>
      </c>
      <c r="AK106" s="416">
        <v>21.9</v>
      </c>
      <c r="AL106" s="416">
        <v>12.7</v>
      </c>
      <c r="AM106" s="416">
        <v>0</v>
      </c>
      <c r="AN106" s="416">
        <v>0</v>
      </c>
      <c r="AO106" s="416">
        <v>0</v>
      </c>
      <c r="AP106" s="416">
        <v>0</v>
      </c>
      <c r="AQ106" s="416">
        <v>0</v>
      </c>
      <c r="AR106" s="416">
        <v>0</v>
      </c>
      <c r="AS106" s="416">
        <v>0</v>
      </c>
      <c r="AT106" s="416">
        <v>0</v>
      </c>
      <c r="AU106" s="416">
        <v>0</v>
      </c>
      <c r="AV106" s="416">
        <v>0</v>
      </c>
      <c r="AW106" s="416">
        <v>0</v>
      </c>
      <c r="AX106" s="416">
        <v>0</v>
      </c>
      <c r="AY106" s="416">
        <v>0</v>
      </c>
      <c r="AZ106" s="416">
        <v>0</v>
      </c>
    </row>
    <row r="107" spans="1:52" s="411" customFormat="1" x14ac:dyDescent="0.3">
      <c r="A107" s="415" t="str">
        <f t="shared" si="1"/>
        <v>SA-556 Gr.B2</v>
      </c>
      <c r="B107" s="415">
        <v>101</v>
      </c>
      <c r="C107" s="415" t="s">
        <v>2673</v>
      </c>
      <c r="D107" s="415" t="s">
        <v>2693</v>
      </c>
      <c r="E107" s="415" t="s">
        <v>2270</v>
      </c>
      <c r="F107" s="415" t="s">
        <v>2342</v>
      </c>
      <c r="G107" s="415" t="s">
        <v>2773</v>
      </c>
      <c r="H107" s="415">
        <v>0</v>
      </c>
      <c r="I107" s="415">
        <v>0</v>
      </c>
      <c r="J107" s="415">
        <v>1</v>
      </c>
      <c r="K107" s="415">
        <v>1</v>
      </c>
      <c r="L107" s="415">
        <v>415</v>
      </c>
      <c r="M107" s="415">
        <v>255</v>
      </c>
      <c r="N107" s="415" t="s">
        <v>2675</v>
      </c>
      <c r="O107" s="415" t="s">
        <v>2675</v>
      </c>
      <c r="P107" s="415">
        <v>538</v>
      </c>
      <c r="Q107" s="415">
        <v>343</v>
      </c>
      <c r="R107" s="415" t="s">
        <v>2699</v>
      </c>
      <c r="S107" s="415" t="s">
        <v>2711</v>
      </c>
      <c r="T107" s="416">
        <v>118</v>
      </c>
      <c r="U107" s="416">
        <v>118</v>
      </c>
      <c r="V107" s="416">
        <v>118</v>
      </c>
      <c r="W107" s="416">
        <v>118</v>
      </c>
      <c r="X107" s="416">
        <v>118</v>
      </c>
      <c r="Y107" s="416">
        <v>118</v>
      </c>
      <c r="Z107" s="416">
        <v>118</v>
      </c>
      <c r="AA107" s="416">
        <v>118</v>
      </c>
      <c r="AB107" s="416">
        <v>118</v>
      </c>
      <c r="AC107" s="416">
        <v>118</v>
      </c>
      <c r="AD107" s="416">
        <v>117</v>
      </c>
      <c r="AE107" s="416">
        <v>105</v>
      </c>
      <c r="AF107" s="416">
        <v>88.9</v>
      </c>
      <c r="AG107" s="416">
        <v>75.3</v>
      </c>
      <c r="AH107" s="416">
        <v>62.7</v>
      </c>
      <c r="AI107" s="416">
        <v>45.5</v>
      </c>
      <c r="AJ107" s="416">
        <v>31.6</v>
      </c>
      <c r="AK107" s="416">
        <v>21.9</v>
      </c>
      <c r="AL107" s="416">
        <v>12.7</v>
      </c>
      <c r="AM107" s="416">
        <v>0</v>
      </c>
      <c r="AN107" s="416">
        <v>0</v>
      </c>
      <c r="AO107" s="416">
        <v>0</v>
      </c>
      <c r="AP107" s="416">
        <v>0</v>
      </c>
      <c r="AQ107" s="416">
        <v>0</v>
      </c>
      <c r="AR107" s="416">
        <v>0</v>
      </c>
      <c r="AS107" s="416">
        <v>0</v>
      </c>
      <c r="AT107" s="416">
        <v>0</v>
      </c>
      <c r="AU107" s="416">
        <v>0</v>
      </c>
      <c r="AV107" s="416">
        <v>0</v>
      </c>
      <c r="AW107" s="416">
        <v>0</v>
      </c>
      <c r="AX107" s="416">
        <v>0</v>
      </c>
      <c r="AY107" s="416">
        <v>0</v>
      </c>
      <c r="AZ107" s="416">
        <v>0</v>
      </c>
    </row>
    <row r="108" spans="1:52" s="411" customFormat="1" x14ac:dyDescent="0.3">
      <c r="A108" s="415" t="str">
        <f t="shared" si="1"/>
        <v>SA-557 Gr.B2</v>
      </c>
      <c r="B108" s="415">
        <v>102</v>
      </c>
      <c r="C108" s="415" t="s">
        <v>2673</v>
      </c>
      <c r="D108" s="415" t="s">
        <v>2689</v>
      </c>
      <c r="E108" s="415" t="s">
        <v>2272</v>
      </c>
      <c r="F108" s="415" t="s">
        <v>2342</v>
      </c>
      <c r="G108" s="415" t="s">
        <v>2774</v>
      </c>
      <c r="H108" s="415">
        <v>0</v>
      </c>
      <c r="I108" s="415">
        <v>0</v>
      </c>
      <c r="J108" s="415">
        <v>1</v>
      </c>
      <c r="K108" s="415">
        <v>1</v>
      </c>
      <c r="L108" s="415">
        <v>415</v>
      </c>
      <c r="M108" s="415">
        <v>255</v>
      </c>
      <c r="N108" s="415" t="s">
        <v>2675</v>
      </c>
      <c r="O108" s="415" t="s">
        <v>2675</v>
      </c>
      <c r="P108" s="415">
        <v>538</v>
      </c>
      <c r="Q108" s="415">
        <v>343</v>
      </c>
      <c r="R108" s="415" t="s">
        <v>2699</v>
      </c>
      <c r="S108" s="415" t="s">
        <v>2757</v>
      </c>
      <c r="T108" s="416">
        <v>101</v>
      </c>
      <c r="U108" s="416">
        <v>101</v>
      </c>
      <c r="V108" s="416">
        <v>101</v>
      </c>
      <c r="W108" s="416">
        <v>101</v>
      </c>
      <c r="X108" s="416">
        <v>101</v>
      </c>
      <c r="Y108" s="416">
        <v>101</v>
      </c>
      <c r="Z108" s="416">
        <v>101</v>
      </c>
      <c r="AA108" s="416">
        <v>101</v>
      </c>
      <c r="AB108" s="416">
        <v>101</v>
      </c>
      <c r="AC108" s="416">
        <v>101</v>
      </c>
      <c r="AD108" s="416">
        <v>99.7</v>
      </c>
      <c r="AE108" s="416">
        <v>89.7</v>
      </c>
      <c r="AF108" s="416">
        <v>75.900000000000006</v>
      </c>
      <c r="AG108" s="416">
        <v>64.099999999999994</v>
      </c>
      <c r="AH108" s="416">
        <v>53.3</v>
      </c>
      <c r="AI108" s="416">
        <v>38.6</v>
      </c>
      <c r="AJ108" s="416">
        <v>26.8</v>
      </c>
      <c r="AK108" s="416">
        <v>18.600000000000001</v>
      </c>
      <c r="AL108" s="416">
        <v>10.5</v>
      </c>
      <c r="AM108" s="416">
        <v>0</v>
      </c>
      <c r="AN108" s="416">
        <v>0</v>
      </c>
      <c r="AO108" s="416">
        <v>0</v>
      </c>
      <c r="AP108" s="416">
        <v>0</v>
      </c>
      <c r="AQ108" s="416">
        <v>0</v>
      </c>
      <c r="AR108" s="416">
        <v>0</v>
      </c>
      <c r="AS108" s="416">
        <v>0</v>
      </c>
      <c r="AT108" s="416">
        <v>0</v>
      </c>
      <c r="AU108" s="416">
        <v>0</v>
      </c>
      <c r="AV108" s="416">
        <v>0</v>
      </c>
      <c r="AW108" s="416">
        <v>0</v>
      </c>
      <c r="AX108" s="416">
        <v>0</v>
      </c>
      <c r="AY108" s="416">
        <v>0</v>
      </c>
      <c r="AZ108" s="416">
        <v>0</v>
      </c>
    </row>
    <row r="109" spans="1:52" s="411" customFormat="1" x14ac:dyDescent="0.3">
      <c r="A109" s="415" t="str">
        <f t="shared" si="1"/>
        <v>SA/CSA-G40.21 Gr.38W</v>
      </c>
      <c r="B109" s="415">
        <v>103</v>
      </c>
      <c r="C109" s="415" t="s">
        <v>2673</v>
      </c>
      <c r="D109" s="415" t="s">
        <v>2775</v>
      </c>
      <c r="E109" s="415" t="s">
        <v>2157</v>
      </c>
      <c r="F109" s="415" t="s">
        <v>2284</v>
      </c>
      <c r="G109" s="415">
        <v>0</v>
      </c>
      <c r="H109" s="415">
        <v>0</v>
      </c>
      <c r="I109" s="415">
        <v>0</v>
      </c>
      <c r="J109" s="415">
        <v>1</v>
      </c>
      <c r="K109" s="415">
        <v>1</v>
      </c>
      <c r="L109" s="415">
        <v>415</v>
      </c>
      <c r="M109" s="415">
        <v>260</v>
      </c>
      <c r="N109" s="415" t="s">
        <v>2675</v>
      </c>
      <c r="O109" s="415" t="s">
        <v>2675</v>
      </c>
      <c r="P109" s="415">
        <v>343</v>
      </c>
      <c r="Q109" s="415">
        <v>343</v>
      </c>
      <c r="R109" s="415" t="s">
        <v>2699</v>
      </c>
      <c r="S109" s="415">
        <v>0</v>
      </c>
      <c r="T109" s="416">
        <v>118</v>
      </c>
      <c r="U109" s="416">
        <v>118</v>
      </c>
      <c r="V109" s="416">
        <v>118</v>
      </c>
      <c r="W109" s="416">
        <v>118</v>
      </c>
      <c r="X109" s="416">
        <v>118</v>
      </c>
      <c r="Y109" s="416">
        <v>118</v>
      </c>
      <c r="Z109" s="416">
        <v>118</v>
      </c>
      <c r="AA109" s="416">
        <v>118</v>
      </c>
      <c r="AB109" s="416">
        <v>118</v>
      </c>
      <c r="AC109" s="416">
        <v>118</v>
      </c>
      <c r="AD109" s="416">
        <v>118</v>
      </c>
      <c r="AE109" s="416">
        <v>0</v>
      </c>
      <c r="AF109" s="416">
        <v>0</v>
      </c>
      <c r="AG109" s="416">
        <v>0</v>
      </c>
      <c r="AH109" s="416">
        <v>0</v>
      </c>
      <c r="AI109" s="416">
        <v>0</v>
      </c>
      <c r="AJ109" s="416">
        <v>0</v>
      </c>
      <c r="AK109" s="416">
        <v>0</v>
      </c>
      <c r="AL109" s="416">
        <v>0</v>
      </c>
      <c r="AM109" s="416">
        <v>0</v>
      </c>
      <c r="AN109" s="416">
        <v>0</v>
      </c>
      <c r="AO109" s="416">
        <v>0</v>
      </c>
      <c r="AP109" s="416">
        <v>0</v>
      </c>
      <c r="AQ109" s="416">
        <v>0</v>
      </c>
      <c r="AR109" s="416">
        <v>0</v>
      </c>
      <c r="AS109" s="416">
        <v>0</v>
      </c>
      <c r="AT109" s="416">
        <v>0</v>
      </c>
      <c r="AU109" s="416">
        <v>0</v>
      </c>
      <c r="AV109" s="416">
        <v>0</v>
      </c>
      <c r="AW109" s="416">
        <v>0</v>
      </c>
      <c r="AX109" s="416">
        <v>0</v>
      </c>
      <c r="AY109" s="416">
        <v>0</v>
      </c>
      <c r="AZ109" s="416">
        <v>0</v>
      </c>
    </row>
    <row r="110" spans="1:52" s="411" customFormat="1" x14ac:dyDescent="0.3">
      <c r="A110" s="415" t="str">
        <f t="shared" si="1"/>
        <v>SA/AS 1548 Gr.7-430A</v>
      </c>
      <c r="B110" s="415">
        <v>104</v>
      </c>
      <c r="C110" s="415" t="s">
        <v>2673</v>
      </c>
      <c r="D110" s="415" t="s">
        <v>2684</v>
      </c>
      <c r="E110" s="415" t="s">
        <v>2150</v>
      </c>
      <c r="F110" s="415" t="s">
        <v>2300</v>
      </c>
      <c r="G110" s="415">
        <v>0</v>
      </c>
      <c r="H110" s="415" t="s">
        <v>2776</v>
      </c>
      <c r="I110" s="415" t="s">
        <v>2777</v>
      </c>
      <c r="J110" s="415">
        <v>1</v>
      </c>
      <c r="K110" s="415">
        <v>2</v>
      </c>
      <c r="L110" s="415">
        <v>430</v>
      </c>
      <c r="M110" s="415">
        <v>0</v>
      </c>
      <c r="N110" s="415">
        <v>538</v>
      </c>
      <c r="O110" s="415" t="s">
        <v>2675</v>
      </c>
      <c r="P110" s="415">
        <v>538</v>
      </c>
      <c r="Q110" s="415" t="s">
        <v>2675</v>
      </c>
      <c r="R110" s="415" t="s">
        <v>2699</v>
      </c>
      <c r="S110" s="415" t="s">
        <v>2778</v>
      </c>
      <c r="T110" s="416">
        <v>123</v>
      </c>
      <c r="U110" s="416">
        <v>123</v>
      </c>
      <c r="V110" s="416">
        <v>123</v>
      </c>
      <c r="W110" s="416">
        <v>123</v>
      </c>
      <c r="X110" s="416">
        <v>123</v>
      </c>
      <c r="Y110" s="416">
        <v>123</v>
      </c>
      <c r="Z110" s="416">
        <v>123</v>
      </c>
      <c r="AA110" s="416">
        <v>123</v>
      </c>
      <c r="AB110" s="416">
        <v>123</v>
      </c>
      <c r="AC110" s="416">
        <v>123</v>
      </c>
      <c r="AD110" s="416">
        <v>123</v>
      </c>
      <c r="AE110" s="416">
        <v>114</v>
      </c>
      <c r="AF110" s="416">
        <v>95</v>
      </c>
      <c r="AG110" s="416">
        <v>79.599999999999994</v>
      </c>
      <c r="AH110" s="416">
        <v>63.2</v>
      </c>
      <c r="AI110" s="416">
        <v>45.3</v>
      </c>
      <c r="AJ110" s="416">
        <v>31.7</v>
      </c>
      <c r="AK110" s="416">
        <v>21.9</v>
      </c>
      <c r="AL110" s="416">
        <v>12.7</v>
      </c>
      <c r="AM110" s="416">
        <v>0</v>
      </c>
      <c r="AN110" s="416">
        <v>0</v>
      </c>
      <c r="AO110" s="416">
        <v>0</v>
      </c>
      <c r="AP110" s="416">
        <v>0</v>
      </c>
      <c r="AQ110" s="416">
        <v>0</v>
      </c>
      <c r="AR110" s="416">
        <v>0</v>
      </c>
      <c r="AS110" s="416">
        <v>0</v>
      </c>
      <c r="AT110" s="416">
        <v>0</v>
      </c>
      <c r="AU110" s="416">
        <v>0</v>
      </c>
      <c r="AV110" s="416">
        <v>0</v>
      </c>
      <c r="AW110" s="416">
        <v>0</v>
      </c>
      <c r="AX110" s="416">
        <v>0</v>
      </c>
      <c r="AY110" s="416">
        <v>0</v>
      </c>
      <c r="AZ110" s="416">
        <v>0</v>
      </c>
    </row>
    <row r="111" spans="1:52" s="411" customFormat="1" x14ac:dyDescent="0.3">
      <c r="A111" s="415" t="str">
        <f t="shared" si="1"/>
        <v>SA/AS 1548 Gr.7-430N</v>
      </c>
      <c r="B111" s="415">
        <v>105</v>
      </c>
      <c r="C111" s="415" t="s">
        <v>2673</v>
      </c>
      <c r="D111" s="415" t="s">
        <v>2684</v>
      </c>
      <c r="E111" s="415" t="s">
        <v>2150</v>
      </c>
      <c r="F111" s="415" t="s">
        <v>2302</v>
      </c>
      <c r="G111" s="415">
        <v>0</v>
      </c>
      <c r="H111" s="415" t="s">
        <v>2779</v>
      </c>
      <c r="I111" s="415" t="s">
        <v>2777</v>
      </c>
      <c r="J111" s="415">
        <v>1</v>
      </c>
      <c r="K111" s="415">
        <v>2</v>
      </c>
      <c r="L111" s="415">
        <v>430</v>
      </c>
      <c r="M111" s="415">
        <v>0</v>
      </c>
      <c r="N111" s="415">
        <v>538</v>
      </c>
      <c r="O111" s="415" t="s">
        <v>2675</v>
      </c>
      <c r="P111" s="415">
        <v>538</v>
      </c>
      <c r="Q111" s="415" t="s">
        <v>2675</v>
      </c>
      <c r="R111" s="415" t="s">
        <v>2699</v>
      </c>
      <c r="S111" s="415" t="s">
        <v>2778</v>
      </c>
      <c r="T111" s="416">
        <v>123</v>
      </c>
      <c r="U111" s="416">
        <v>123</v>
      </c>
      <c r="V111" s="416">
        <v>123</v>
      </c>
      <c r="W111" s="416">
        <v>123</v>
      </c>
      <c r="X111" s="416">
        <v>123</v>
      </c>
      <c r="Y111" s="416">
        <v>123</v>
      </c>
      <c r="Z111" s="416">
        <v>123</v>
      </c>
      <c r="AA111" s="416">
        <v>123</v>
      </c>
      <c r="AB111" s="416">
        <v>123</v>
      </c>
      <c r="AC111" s="416">
        <v>123</v>
      </c>
      <c r="AD111" s="416">
        <v>123</v>
      </c>
      <c r="AE111" s="416">
        <v>114</v>
      </c>
      <c r="AF111" s="416">
        <v>95</v>
      </c>
      <c r="AG111" s="416">
        <v>79.599999999999994</v>
      </c>
      <c r="AH111" s="416">
        <v>63.2</v>
      </c>
      <c r="AI111" s="416">
        <v>45.3</v>
      </c>
      <c r="AJ111" s="416">
        <v>31.7</v>
      </c>
      <c r="AK111" s="416">
        <v>21.9</v>
      </c>
      <c r="AL111" s="416">
        <v>12.7</v>
      </c>
      <c r="AM111" s="416">
        <v>0</v>
      </c>
      <c r="AN111" s="416">
        <v>0</v>
      </c>
      <c r="AO111" s="416">
        <v>0</v>
      </c>
      <c r="AP111" s="416">
        <v>0</v>
      </c>
      <c r="AQ111" s="416">
        <v>0</v>
      </c>
      <c r="AR111" s="416">
        <v>0</v>
      </c>
      <c r="AS111" s="416">
        <v>0</v>
      </c>
      <c r="AT111" s="416">
        <v>0</v>
      </c>
      <c r="AU111" s="416">
        <v>0</v>
      </c>
      <c r="AV111" s="416">
        <v>0</v>
      </c>
      <c r="AW111" s="416">
        <v>0</v>
      </c>
      <c r="AX111" s="416">
        <v>0</v>
      </c>
      <c r="AY111" s="416">
        <v>0</v>
      </c>
      <c r="AZ111" s="416">
        <v>0</v>
      </c>
    </row>
    <row r="112" spans="1:52" s="411" customFormat="1" x14ac:dyDescent="0.3">
      <c r="A112" s="415" t="str">
        <f t="shared" si="1"/>
        <v>SA/AS 1548 Gr.7-430R</v>
      </c>
      <c r="B112" s="415">
        <v>106</v>
      </c>
      <c r="C112" s="415" t="s">
        <v>2673</v>
      </c>
      <c r="D112" s="415" t="s">
        <v>2684</v>
      </c>
      <c r="E112" s="415" t="s">
        <v>2150</v>
      </c>
      <c r="F112" s="415" t="s">
        <v>2304</v>
      </c>
      <c r="G112" s="415">
        <v>0</v>
      </c>
      <c r="H112" s="415" t="s">
        <v>2780</v>
      </c>
      <c r="I112" s="415" t="s">
        <v>2781</v>
      </c>
      <c r="J112" s="415">
        <v>1</v>
      </c>
      <c r="K112" s="415">
        <v>2</v>
      </c>
      <c r="L112" s="415">
        <v>430</v>
      </c>
      <c r="M112" s="415">
        <v>0</v>
      </c>
      <c r="N112" s="415">
        <v>538</v>
      </c>
      <c r="O112" s="415" t="s">
        <v>2675</v>
      </c>
      <c r="P112" s="415">
        <v>538</v>
      </c>
      <c r="Q112" s="415" t="s">
        <v>2675</v>
      </c>
      <c r="R112" s="415" t="s">
        <v>2699</v>
      </c>
      <c r="S112" s="415" t="s">
        <v>2778</v>
      </c>
      <c r="T112" s="416">
        <v>123</v>
      </c>
      <c r="U112" s="416">
        <v>123</v>
      </c>
      <c r="V112" s="416">
        <v>123</v>
      </c>
      <c r="W112" s="416">
        <v>123</v>
      </c>
      <c r="X112" s="416">
        <v>123</v>
      </c>
      <c r="Y112" s="416">
        <v>123</v>
      </c>
      <c r="Z112" s="416">
        <v>123</v>
      </c>
      <c r="AA112" s="416">
        <v>123</v>
      </c>
      <c r="AB112" s="416">
        <v>123</v>
      </c>
      <c r="AC112" s="416">
        <v>123</v>
      </c>
      <c r="AD112" s="416">
        <v>123</v>
      </c>
      <c r="AE112" s="416">
        <v>114</v>
      </c>
      <c r="AF112" s="416">
        <v>95</v>
      </c>
      <c r="AG112" s="416">
        <v>79.599999999999994</v>
      </c>
      <c r="AH112" s="416">
        <v>63.2</v>
      </c>
      <c r="AI112" s="416">
        <v>45.3</v>
      </c>
      <c r="AJ112" s="416">
        <v>31.7</v>
      </c>
      <c r="AK112" s="416">
        <v>21.9</v>
      </c>
      <c r="AL112" s="416">
        <v>12.7</v>
      </c>
      <c r="AM112" s="416">
        <v>0</v>
      </c>
      <c r="AN112" s="416">
        <v>0</v>
      </c>
      <c r="AO112" s="416">
        <v>0</v>
      </c>
      <c r="AP112" s="416">
        <v>0</v>
      </c>
      <c r="AQ112" s="416">
        <v>0</v>
      </c>
      <c r="AR112" s="416">
        <v>0</v>
      </c>
      <c r="AS112" s="416">
        <v>0</v>
      </c>
      <c r="AT112" s="416">
        <v>0</v>
      </c>
      <c r="AU112" s="416">
        <v>0</v>
      </c>
      <c r="AV112" s="416">
        <v>0</v>
      </c>
      <c r="AW112" s="416">
        <v>0</v>
      </c>
      <c r="AX112" s="416">
        <v>0</v>
      </c>
      <c r="AY112" s="416">
        <v>0</v>
      </c>
      <c r="AZ112" s="416">
        <v>0</v>
      </c>
    </row>
    <row r="113" spans="1:52" s="411" customFormat="1" ht="28.8" x14ac:dyDescent="0.3">
      <c r="A113" s="415" t="str">
        <f t="shared" si="1"/>
        <v>SA/EN 10028-2 Gr.P295GH</v>
      </c>
      <c r="B113" s="415">
        <v>107</v>
      </c>
      <c r="C113" s="415" t="s">
        <v>2673</v>
      </c>
      <c r="D113" s="415" t="s">
        <v>2684</v>
      </c>
      <c r="E113" s="415" t="s">
        <v>2162</v>
      </c>
      <c r="F113" s="415" t="s">
        <v>2517</v>
      </c>
      <c r="G113" s="415">
        <v>0</v>
      </c>
      <c r="H113" s="415">
        <v>0</v>
      </c>
      <c r="I113" s="415" t="s">
        <v>2782</v>
      </c>
      <c r="J113" s="415">
        <v>1</v>
      </c>
      <c r="K113" s="415">
        <v>1</v>
      </c>
      <c r="L113" s="415">
        <v>430</v>
      </c>
      <c r="M113" s="415">
        <v>220</v>
      </c>
      <c r="N113" s="415">
        <v>454</v>
      </c>
      <c r="O113" s="415" t="s">
        <v>2675</v>
      </c>
      <c r="P113" s="415">
        <v>538</v>
      </c>
      <c r="Q113" s="415" t="s">
        <v>2675</v>
      </c>
      <c r="R113" s="415" t="s">
        <v>2699</v>
      </c>
      <c r="S113" s="415" t="s">
        <v>2695</v>
      </c>
      <c r="T113" s="416">
        <v>123</v>
      </c>
      <c r="U113" s="416">
        <v>123</v>
      </c>
      <c r="V113" s="416">
        <v>123</v>
      </c>
      <c r="W113" s="416">
        <v>123</v>
      </c>
      <c r="X113" s="416">
        <v>123</v>
      </c>
      <c r="Y113" s="416">
        <v>123</v>
      </c>
      <c r="Z113" s="416">
        <v>123</v>
      </c>
      <c r="AA113" s="416">
        <v>121</v>
      </c>
      <c r="AB113" s="416">
        <v>114</v>
      </c>
      <c r="AC113" s="416">
        <v>111</v>
      </c>
      <c r="AD113" s="416">
        <v>108</v>
      </c>
      <c r="AE113" s="416">
        <v>105</v>
      </c>
      <c r="AF113" s="416">
        <v>96.2</v>
      </c>
      <c r="AG113" s="416">
        <v>79.099999999999994</v>
      </c>
      <c r="AH113" s="416">
        <v>62.1</v>
      </c>
      <c r="AI113" s="416">
        <v>46</v>
      </c>
      <c r="AJ113" s="416">
        <v>32.1</v>
      </c>
      <c r="AK113" s="416">
        <v>21.2</v>
      </c>
      <c r="AL113" s="416">
        <v>14.4</v>
      </c>
      <c r="AM113" s="416">
        <v>0</v>
      </c>
      <c r="AN113" s="416">
        <v>0</v>
      </c>
      <c r="AO113" s="416">
        <v>0</v>
      </c>
      <c r="AP113" s="416">
        <v>0</v>
      </c>
      <c r="AQ113" s="416">
        <v>0</v>
      </c>
      <c r="AR113" s="416">
        <v>0</v>
      </c>
      <c r="AS113" s="416">
        <v>0</v>
      </c>
      <c r="AT113" s="416">
        <v>0</v>
      </c>
      <c r="AU113" s="416">
        <v>0</v>
      </c>
      <c r="AV113" s="416">
        <v>0</v>
      </c>
      <c r="AW113" s="416">
        <v>0</v>
      </c>
      <c r="AX113" s="416">
        <v>0</v>
      </c>
      <c r="AY113" s="416">
        <v>0</v>
      </c>
      <c r="AZ113" s="416">
        <v>0</v>
      </c>
    </row>
    <row r="114" spans="1:52" s="411" customFormat="1" ht="28.8" x14ac:dyDescent="0.3">
      <c r="A114" s="415" t="str">
        <f t="shared" si="1"/>
        <v>SA/EN 10028-2 Gr.P295GH</v>
      </c>
      <c r="B114" s="415">
        <v>108</v>
      </c>
      <c r="C114" s="415" t="s">
        <v>2673</v>
      </c>
      <c r="D114" s="415" t="s">
        <v>2684</v>
      </c>
      <c r="E114" s="415" t="s">
        <v>2162</v>
      </c>
      <c r="F114" s="415" t="s">
        <v>2517</v>
      </c>
      <c r="G114" s="415">
        <v>0</v>
      </c>
      <c r="H114" s="415">
        <v>0</v>
      </c>
      <c r="I114" s="415" t="s">
        <v>2783</v>
      </c>
      <c r="J114" s="415">
        <v>1</v>
      </c>
      <c r="K114" s="415">
        <v>1</v>
      </c>
      <c r="L114" s="415">
        <v>440</v>
      </c>
      <c r="M114" s="415">
        <v>235</v>
      </c>
      <c r="N114" s="415">
        <v>454</v>
      </c>
      <c r="O114" s="415" t="s">
        <v>2675</v>
      </c>
      <c r="P114" s="415">
        <v>538</v>
      </c>
      <c r="Q114" s="415" t="s">
        <v>2675</v>
      </c>
      <c r="R114" s="415" t="s">
        <v>2699</v>
      </c>
      <c r="S114" s="415" t="s">
        <v>2695</v>
      </c>
      <c r="T114" s="416">
        <v>126</v>
      </c>
      <c r="U114" s="416">
        <v>126</v>
      </c>
      <c r="V114" s="416">
        <v>126</v>
      </c>
      <c r="W114" s="416">
        <v>126</v>
      </c>
      <c r="X114" s="416">
        <v>126</v>
      </c>
      <c r="Y114" s="416">
        <v>126</v>
      </c>
      <c r="Z114" s="416">
        <v>126</v>
      </c>
      <c r="AA114" s="416">
        <v>126</v>
      </c>
      <c r="AB114" s="416">
        <v>122</v>
      </c>
      <c r="AC114" s="416">
        <v>119</v>
      </c>
      <c r="AD114" s="416">
        <v>115</v>
      </c>
      <c r="AE114" s="416">
        <v>112</v>
      </c>
      <c r="AF114" s="416">
        <v>96.2</v>
      </c>
      <c r="AG114" s="416">
        <v>79.099999999999994</v>
      </c>
      <c r="AH114" s="416">
        <v>62.1</v>
      </c>
      <c r="AI114" s="416">
        <v>46</v>
      </c>
      <c r="AJ114" s="416">
        <v>32.1</v>
      </c>
      <c r="AK114" s="416">
        <v>21.2</v>
      </c>
      <c r="AL114" s="416">
        <v>14.4</v>
      </c>
      <c r="AM114" s="416">
        <v>0</v>
      </c>
      <c r="AN114" s="416">
        <v>0</v>
      </c>
      <c r="AO114" s="416">
        <v>0</v>
      </c>
      <c r="AP114" s="416">
        <v>0</v>
      </c>
      <c r="AQ114" s="416">
        <v>0</v>
      </c>
      <c r="AR114" s="416">
        <v>0</v>
      </c>
      <c r="AS114" s="416">
        <v>0</v>
      </c>
      <c r="AT114" s="416">
        <v>0</v>
      </c>
      <c r="AU114" s="416">
        <v>0</v>
      </c>
      <c r="AV114" s="416">
        <v>0</v>
      </c>
      <c r="AW114" s="416">
        <v>0</v>
      </c>
      <c r="AX114" s="416">
        <v>0</v>
      </c>
      <c r="AY114" s="416">
        <v>0</v>
      </c>
      <c r="AZ114" s="416">
        <v>0</v>
      </c>
    </row>
    <row r="115" spans="1:52" s="411" customFormat="1" x14ac:dyDescent="0.3">
      <c r="A115" s="415" t="str">
        <f t="shared" si="1"/>
        <v>SA-675 Gr.65</v>
      </c>
      <c r="B115" s="415">
        <v>109</v>
      </c>
      <c r="C115" s="415" t="s">
        <v>2673</v>
      </c>
      <c r="D115" s="415" t="s">
        <v>2677</v>
      </c>
      <c r="E115" s="415" t="s">
        <v>2299</v>
      </c>
      <c r="F115" s="415">
        <v>65</v>
      </c>
      <c r="G115" s="415">
        <v>0</v>
      </c>
      <c r="H115" s="415">
        <v>0</v>
      </c>
      <c r="I115" s="415">
        <v>0</v>
      </c>
      <c r="J115" s="415">
        <v>1</v>
      </c>
      <c r="K115" s="415">
        <v>1</v>
      </c>
      <c r="L115" s="415">
        <v>450</v>
      </c>
      <c r="M115" s="415">
        <v>225</v>
      </c>
      <c r="N115" s="415">
        <v>454</v>
      </c>
      <c r="O115" s="415" t="s">
        <v>2678</v>
      </c>
      <c r="P115" s="415">
        <v>538</v>
      </c>
      <c r="Q115" s="415">
        <v>343</v>
      </c>
      <c r="R115" s="415" t="s">
        <v>2699</v>
      </c>
      <c r="S115" s="415" t="s">
        <v>2709</v>
      </c>
      <c r="T115" s="416">
        <v>128</v>
      </c>
      <c r="U115" s="416">
        <v>128</v>
      </c>
      <c r="V115" s="416">
        <v>128</v>
      </c>
      <c r="W115" s="416">
        <v>128</v>
      </c>
      <c r="X115" s="416">
        <v>128</v>
      </c>
      <c r="Y115" s="416">
        <v>128</v>
      </c>
      <c r="Z115" s="416">
        <v>128</v>
      </c>
      <c r="AA115" s="416">
        <v>123</v>
      </c>
      <c r="AB115" s="416">
        <v>117</v>
      </c>
      <c r="AC115" s="416">
        <v>113</v>
      </c>
      <c r="AD115" s="416">
        <v>110</v>
      </c>
      <c r="AE115" s="416">
        <v>106</v>
      </c>
      <c r="AF115" s="416">
        <v>95.2</v>
      </c>
      <c r="AG115" s="416">
        <v>79.599999999999994</v>
      </c>
      <c r="AH115" s="416">
        <v>63.8</v>
      </c>
      <c r="AI115" s="416">
        <v>39.200000000000003</v>
      </c>
      <c r="AJ115" s="416">
        <v>30.1</v>
      </c>
      <c r="AK115" s="416">
        <v>22.4</v>
      </c>
      <c r="AL115" s="416">
        <v>12.5</v>
      </c>
      <c r="AM115" s="416">
        <v>0</v>
      </c>
      <c r="AN115" s="416">
        <v>0</v>
      </c>
      <c r="AO115" s="416">
        <v>0</v>
      </c>
      <c r="AP115" s="416">
        <v>0</v>
      </c>
      <c r="AQ115" s="416">
        <v>0</v>
      </c>
      <c r="AR115" s="416">
        <v>0</v>
      </c>
      <c r="AS115" s="416">
        <v>0</v>
      </c>
      <c r="AT115" s="416">
        <v>0</v>
      </c>
      <c r="AU115" s="416">
        <v>0</v>
      </c>
      <c r="AV115" s="416">
        <v>0</v>
      </c>
      <c r="AW115" s="416">
        <v>0</v>
      </c>
      <c r="AX115" s="416">
        <v>0</v>
      </c>
      <c r="AY115" s="416">
        <v>0</v>
      </c>
      <c r="AZ115" s="416">
        <v>0</v>
      </c>
    </row>
    <row r="116" spans="1:52" s="411" customFormat="1" x14ac:dyDescent="0.3">
      <c r="A116" s="415" t="str">
        <f t="shared" si="1"/>
        <v>SA-352 Gr.LCB</v>
      </c>
      <c r="B116" s="415">
        <v>110</v>
      </c>
      <c r="C116" s="415" t="s">
        <v>2673</v>
      </c>
      <c r="D116" s="415" t="s">
        <v>2739</v>
      </c>
      <c r="E116" s="415" t="s">
        <v>2214</v>
      </c>
      <c r="F116" s="415" t="s">
        <v>2499</v>
      </c>
      <c r="G116" s="415" t="s">
        <v>2784</v>
      </c>
      <c r="H116" s="415">
        <v>0</v>
      </c>
      <c r="I116" s="415">
        <v>0</v>
      </c>
      <c r="J116" s="415">
        <v>1</v>
      </c>
      <c r="K116" s="415">
        <v>1</v>
      </c>
      <c r="L116" s="415">
        <v>450</v>
      </c>
      <c r="M116" s="415">
        <v>240</v>
      </c>
      <c r="N116" s="415" t="s">
        <v>2675</v>
      </c>
      <c r="O116" s="415">
        <v>371</v>
      </c>
      <c r="P116" s="415">
        <v>343</v>
      </c>
      <c r="Q116" s="415">
        <v>343</v>
      </c>
      <c r="R116" s="415" t="s">
        <v>2699</v>
      </c>
      <c r="S116" s="415" t="s">
        <v>2785</v>
      </c>
      <c r="T116" s="416">
        <v>128</v>
      </c>
      <c r="U116" s="416">
        <v>128</v>
      </c>
      <c r="V116" s="416">
        <v>128</v>
      </c>
      <c r="W116" s="416">
        <v>128</v>
      </c>
      <c r="X116" s="416">
        <v>128</v>
      </c>
      <c r="Y116" s="416">
        <v>128</v>
      </c>
      <c r="Z116" s="416">
        <v>128</v>
      </c>
      <c r="AA116" s="416">
        <v>128</v>
      </c>
      <c r="AB116" s="416">
        <v>125</v>
      </c>
      <c r="AC116" s="416">
        <v>122</v>
      </c>
      <c r="AD116" s="416">
        <v>118</v>
      </c>
      <c r="AE116" s="416">
        <v>114</v>
      </c>
      <c r="AF116" s="416">
        <v>0</v>
      </c>
      <c r="AG116" s="416">
        <v>0</v>
      </c>
      <c r="AH116" s="416">
        <v>0</v>
      </c>
      <c r="AI116" s="416">
        <v>0</v>
      </c>
      <c r="AJ116" s="416">
        <v>0</v>
      </c>
      <c r="AK116" s="416">
        <v>0</v>
      </c>
      <c r="AL116" s="416">
        <v>0</v>
      </c>
      <c r="AM116" s="416">
        <v>0</v>
      </c>
      <c r="AN116" s="416">
        <v>0</v>
      </c>
      <c r="AO116" s="416">
        <v>0</v>
      </c>
      <c r="AP116" s="416">
        <v>0</v>
      </c>
      <c r="AQ116" s="416">
        <v>0</v>
      </c>
      <c r="AR116" s="416">
        <v>0</v>
      </c>
      <c r="AS116" s="416">
        <v>0</v>
      </c>
      <c r="AT116" s="416">
        <v>0</v>
      </c>
      <c r="AU116" s="416">
        <v>0</v>
      </c>
      <c r="AV116" s="416">
        <v>0</v>
      </c>
      <c r="AW116" s="416">
        <v>0</v>
      </c>
      <c r="AX116" s="416">
        <v>0</v>
      </c>
      <c r="AY116" s="416">
        <v>0</v>
      </c>
      <c r="AZ116" s="416">
        <v>0</v>
      </c>
    </row>
    <row r="117" spans="1:52" s="411" customFormat="1" x14ac:dyDescent="0.3">
      <c r="A117" s="415" t="str">
        <f t="shared" si="1"/>
        <v>SA-515 Gr.65</v>
      </c>
      <c r="B117" s="415">
        <v>111</v>
      </c>
      <c r="C117" s="415" t="s">
        <v>2673</v>
      </c>
      <c r="D117" s="415" t="s">
        <v>2684</v>
      </c>
      <c r="E117" s="415" t="s">
        <v>2251</v>
      </c>
      <c r="F117" s="415">
        <v>65</v>
      </c>
      <c r="G117" s="415" t="s">
        <v>2786</v>
      </c>
      <c r="H117" s="415">
        <v>0</v>
      </c>
      <c r="I117" s="415">
        <v>0</v>
      </c>
      <c r="J117" s="415">
        <v>1</v>
      </c>
      <c r="K117" s="415">
        <v>1</v>
      </c>
      <c r="L117" s="415">
        <v>450</v>
      </c>
      <c r="M117" s="415">
        <v>240</v>
      </c>
      <c r="N117" s="415">
        <v>538</v>
      </c>
      <c r="O117" s="415">
        <v>371</v>
      </c>
      <c r="P117" s="415">
        <v>538</v>
      </c>
      <c r="Q117" s="415">
        <v>343</v>
      </c>
      <c r="R117" s="415" t="s">
        <v>2699</v>
      </c>
      <c r="S117" s="415" t="s">
        <v>2695</v>
      </c>
      <c r="T117" s="416">
        <v>128</v>
      </c>
      <c r="U117" s="416">
        <v>128</v>
      </c>
      <c r="V117" s="416">
        <v>128</v>
      </c>
      <c r="W117" s="416">
        <v>128</v>
      </c>
      <c r="X117" s="416">
        <v>128</v>
      </c>
      <c r="Y117" s="416">
        <v>128</v>
      </c>
      <c r="Z117" s="416">
        <v>128</v>
      </c>
      <c r="AA117" s="416">
        <v>128</v>
      </c>
      <c r="AB117" s="416">
        <v>125</v>
      </c>
      <c r="AC117" s="416">
        <v>122</v>
      </c>
      <c r="AD117" s="416">
        <v>118</v>
      </c>
      <c r="AE117" s="416">
        <v>114</v>
      </c>
      <c r="AF117" s="416">
        <v>95</v>
      </c>
      <c r="AG117" s="416">
        <v>79.599999999999994</v>
      </c>
      <c r="AH117" s="416">
        <v>63.2</v>
      </c>
      <c r="AI117" s="416">
        <v>45.3</v>
      </c>
      <c r="AJ117" s="416">
        <v>31.7</v>
      </c>
      <c r="AK117" s="416">
        <v>21.9</v>
      </c>
      <c r="AL117" s="416">
        <v>12.7</v>
      </c>
      <c r="AM117" s="416">
        <v>0</v>
      </c>
      <c r="AN117" s="416">
        <v>0</v>
      </c>
      <c r="AO117" s="416">
        <v>0</v>
      </c>
      <c r="AP117" s="416">
        <v>0</v>
      </c>
      <c r="AQ117" s="416">
        <v>0</v>
      </c>
      <c r="AR117" s="416">
        <v>0</v>
      </c>
      <c r="AS117" s="416">
        <v>0</v>
      </c>
      <c r="AT117" s="416">
        <v>0</v>
      </c>
      <c r="AU117" s="416">
        <v>0</v>
      </c>
      <c r="AV117" s="416">
        <v>0</v>
      </c>
      <c r="AW117" s="416">
        <v>0</v>
      </c>
      <c r="AX117" s="416">
        <v>0</v>
      </c>
      <c r="AY117" s="416">
        <v>0</v>
      </c>
      <c r="AZ117" s="416">
        <v>0</v>
      </c>
    </row>
    <row r="118" spans="1:52" s="411" customFormat="1" x14ac:dyDescent="0.3">
      <c r="A118" s="415" t="str">
        <f t="shared" si="1"/>
        <v>SA-516 Gr.65</v>
      </c>
      <c r="B118" s="415">
        <v>112</v>
      </c>
      <c r="C118" s="415" t="s">
        <v>2673</v>
      </c>
      <c r="D118" s="415" t="s">
        <v>2684</v>
      </c>
      <c r="E118" s="415" t="s">
        <v>2151</v>
      </c>
      <c r="F118" s="415">
        <v>65</v>
      </c>
      <c r="G118" s="415" t="s">
        <v>2787</v>
      </c>
      <c r="H118" s="415">
        <v>0</v>
      </c>
      <c r="I118" s="415">
        <v>0</v>
      </c>
      <c r="J118" s="415">
        <v>1</v>
      </c>
      <c r="K118" s="415">
        <v>1</v>
      </c>
      <c r="L118" s="415">
        <v>450</v>
      </c>
      <c r="M118" s="415">
        <v>240</v>
      </c>
      <c r="N118" s="415">
        <v>454</v>
      </c>
      <c r="O118" s="415">
        <v>371</v>
      </c>
      <c r="P118" s="415">
        <v>538</v>
      </c>
      <c r="Q118" s="415">
        <v>343</v>
      </c>
      <c r="R118" s="415" t="s">
        <v>2699</v>
      </c>
      <c r="S118" s="415" t="s">
        <v>2695</v>
      </c>
      <c r="T118" s="416">
        <v>128</v>
      </c>
      <c r="U118" s="416">
        <v>128</v>
      </c>
      <c r="V118" s="416">
        <v>128</v>
      </c>
      <c r="W118" s="416">
        <v>128</v>
      </c>
      <c r="X118" s="416">
        <v>128</v>
      </c>
      <c r="Y118" s="416">
        <v>128</v>
      </c>
      <c r="Z118" s="416">
        <v>128</v>
      </c>
      <c r="AA118" s="416">
        <v>128</v>
      </c>
      <c r="AB118" s="416">
        <v>125</v>
      </c>
      <c r="AC118" s="416">
        <v>122</v>
      </c>
      <c r="AD118" s="416">
        <v>118</v>
      </c>
      <c r="AE118" s="416">
        <v>114</v>
      </c>
      <c r="AF118" s="416">
        <v>95</v>
      </c>
      <c r="AG118" s="416">
        <v>79.599999999999994</v>
      </c>
      <c r="AH118" s="416">
        <v>63.2</v>
      </c>
      <c r="AI118" s="416">
        <v>45.3</v>
      </c>
      <c r="AJ118" s="416">
        <v>31.7</v>
      </c>
      <c r="AK118" s="416">
        <v>21.9</v>
      </c>
      <c r="AL118" s="416">
        <v>12.7</v>
      </c>
      <c r="AM118" s="416">
        <v>0</v>
      </c>
      <c r="AN118" s="416">
        <v>0</v>
      </c>
      <c r="AO118" s="416">
        <v>0</v>
      </c>
      <c r="AP118" s="416">
        <v>0</v>
      </c>
      <c r="AQ118" s="416">
        <v>0</v>
      </c>
      <c r="AR118" s="416">
        <v>0</v>
      </c>
      <c r="AS118" s="416">
        <v>0</v>
      </c>
      <c r="AT118" s="416">
        <v>0</v>
      </c>
      <c r="AU118" s="416">
        <v>0</v>
      </c>
      <c r="AV118" s="416">
        <v>0</v>
      </c>
      <c r="AW118" s="416">
        <v>0</v>
      </c>
      <c r="AX118" s="416">
        <v>0</v>
      </c>
      <c r="AY118" s="416">
        <v>0</v>
      </c>
      <c r="AZ118" s="416">
        <v>0</v>
      </c>
    </row>
    <row r="119" spans="1:52" s="411" customFormat="1" x14ac:dyDescent="0.3">
      <c r="A119" s="415" t="str">
        <f t="shared" si="1"/>
        <v>SA-671 Gr.CB65</v>
      </c>
      <c r="B119" s="415">
        <v>113</v>
      </c>
      <c r="C119" s="415" t="s">
        <v>2673</v>
      </c>
      <c r="D119" s="415" t="s">
        <v>2680</v>
      </c>
      <c r="E119" s="415" t="s">
        <v>2295</v>
      </c>
      <c r="F119" s="415" t="s">
        <v>2360</v>
      </c>
      <c r="G119" s="415" t="s">
        <v>2786</v>
      </c>
      <c r="H119" s="415">
        <v>0</v>
      </c>
      <c r="I119" s="415">
        <v>0</v>
      </c>
      <c r="J119" s="415">
        <v>1</v>
      </c>
      <c r="K119" s="415">
        <v>1</v>
      </c>
      <c r="L119" s="415">
        <v>450</v>
      </c>
      <c r="M119" s="415">
        <v>240</v>
      </c>
      <c r="N119" s="415" t="s">
        <v>2675</v>
      </c>
      <c r="O119" s="415">
        <v>371</v>
      </c>
      <c r="P119" s="415" t="s">
        <v>2675</v>
      </c>
      <c r="Q119" s="415" t="s">
        <v>2675</v>
      </c>
      <c r="R119" s="415" t="s">
        <v>2699</v>
      </c>
      <c r="S119" s="415" t="s">
        <v>2687</v>
      </c>
      <c r="T119" s="416">
        <v>128</v>
      </c>
      <c r="U119" s="416">
        <v>128</v>
      </c>
      <c r="V119" s="416">
        <v>128</v>
      </c>
      <c r="W119" s="416">
        <v>128</v>
      </c>
      <c r="X119" s="416">
        <v>128</v>
      </c>
      <c r="Y119" s="416">
        <v>128</v>
      </c>
      <c r="Z119" s="416">
        <v>128</v>
      </c>
      <c r="AA119" s="416">
        <v>128</v>
      </c>
      <c r="AB119" s="416">
        <v>125</v>
      </c>
      <c r="AC119" s="416">
        <v>122</v>
      </c>
      <c r="AD119" s="416">
        <v>118</v>
      </c>
      <c r="AE119" s="416">
        <v>114</v>
      </c>
      <c r="AF119" s="416">
        <v>0</v>
      </c>
      <c r="AG119" s="416">
        <v>0</v>
      </c>
      <c r="AH119" s="416">
        <v>0</v>
      </c>
      <c r="AI119" s="416">
        <v>0</v>
      </c>
      <c r="AJ119" s="416">
        <v>0</v>
      </c>
      <c r="AK119" s="416">
        <v>0</v>
      </c>
      <c r="AL119" s="416">
        <v>0</v>
      </c>
      <c r="AM119" s="416">
        <v>0</v>
      </c>
      <c r="AN119" s="416">
        <v>0</v>
      </c>
      <c r="AO119" s="416">
        <v>0</v>
      </c>
      <c r="AP119" s="416">
        <v>0</v>
      </c>
      <c r="AQ119" s="416">
        <v>0</v>
      </c>
      <c r="AR119" s="416">
        <v>0</v>
      </c>
      <c r="AS119" s="416">
        <v>0</v>
      </c>
      <c r="AT119" s="416">
        <v>0</v>
      </c>
      <c r="AU119" s="416">
        <v>0</v>
      </c>
      <c r="AV119" s="416">
        <v>0</v>
      </c>
      <c r="AW119" s="416">
        <v>0</v>
      </c>
      <c r="AX119" s="416">
        <v>0</v>
      </c>
      <c r="AY119" s="416">
        <v>0</v>
      </c>
      <c r="AZ119" s="416">
        <v>0</v>
      </c>
    </row>
    <row r="120" spans="1:52" s="411" customFormat="1" x14ac:dyDescent="0.3">
      <c r="A120" s="415" t="str">
        <f t="shared" si="1"/>
        <v>SA-671 Gr.CC65</v>
      </c>
      <c r="B120" s="415">
        <v>114</v>
      </c>
      <c r="C120" s="415" t="s">
        <v>2673</v>
      </c>
      <c r="D120" s="415" t="s">
        <v>2680</v>
      </c>
      <c r="E120" s="415" t="s">
        <v>2295</v>
      </c>
      <c r="F120" s="415" t="s">
        <v>2364</v>
      </c>
      <c r="G120" s="415" t="s">
        <v>2787</v>
      </c>
      <c r="H120" s="415">
        <v>0</v>
      </c>
      <c r="I120" s="415">
        <v>0</v>
      </c>
      <c r="J120" s="415">
        <v>1</v>
      </c>
      <c r="K120" s="415">
        <v>1</v>
      </c>
      <c r="L120" s="415">
        <v>450</v>
      </c>
      <c r="M120" s="415">
        <v>240</v>
      </c>
      <c r="N120" s="415" t="s">
        <v>2675</v>
      </c>
      <c r="O120" s="415">
        <v>371</v>
      </c>
      <c r="P120" s="415" t="s">
        <v>2675</v>
      </c>
      <c r="Q120" s="415" t="s">
        <v>2675</v>
      </c>
      <c r="R120" s="415" t="s">
        <v>2699</v>
      </c>
      <c r="S120" s="415" t="s">
        <v>2687</v>
      </c>
      <c r="T120" s="416">
        <v>128</v>
      </c>
      <c r="U120" s="416">
        <v>128</v>
      </c>
      <c r="V120" s="416">
        <v>128</v>
      </c>
      <c r="W120" s="416">
        <v>128</v>
      </c>
      <c r="X120" s="416">
        <v>128</v>
      </c>
      <c r="Y120" s="416">
        <v>128</v>
      </c>
      <c r="Z120" s="416">
        <v>128</v>
      </c>
      <c r="AA120" s="416">
        <v>128</v>
      </c>
      <c r="AB120" s="416">
        <v>125</v>
      </c>
      <c r="AC120" s="416">
        <v>122</v>
      </c>
      <c r="AD120" s="416">
        <v>118</v>
      </c>
      <c r="AE120" s="416">
        <v>114</v>
      </c>
      <c r="AF120" s="416">
        <v>0</v>
      </c>
      <c r="AG120" s="416">
        <v>0</v>
      </c>
      <c r="AH120" s="416">
        <v>0</v>
      </c>
      <c r="AI120" s="416">
        <v>0</v>
      </c>
      <c r="AJ120" s="416">
        <v>0</v>
      </c>
      <c r="AK120" s="416">
        <v>0</v>
      </c>
      <c r="AL120" s="416">
        <v>0</v>
      </c>
      <c r="AM120" s="416">
        <v>0</v>
      </c>
      <c r="AN120" s="416">
        <v>0</v>
      </c>
      <c r="AO120" s="416">
        <v>0</v>
      </c>
      <c r="AP120" s="416">
        <v>0</v>
      </c>
      <c r="AQ120" s="416">
        <v>0</v>
      </c>
      <c r="AR120" s="416">
        <v>0</v>
      </c>
      <c r="AS120" s="416">
        <v>0</v>
      </c>
      <c r="AT120" s="416">
        <v>0</v>
      </c>
      <c r="AU120" s="416">
        <v>0</v>
      </c>
      <c r="AV120" s="416">
        <v>0</v>
      </c>
      <c r="AW120" s="416">
        <v>0</v>
      </c>
      <c r="AX120" s="416">
        <v>0</v>
      </c>
      <c r="AY120" s="416">
        <v>0</v>
      </c>
      <c r="AZ120" s="416">
        <v>0</v>
      </c>
    </row>
    <row r="121" spans="1:52" s="411" customFormat="1" x14ac:dyDescent="0.3">
      <c r="A121" s="415" t="str">
        <f t="shared" si="1"/>
        <v>SA-672 Gr.B65</v>
      </c>
      <c r="B121" s="415">
        <v>115</v>
      </c>
      <c r="C121" s="415" t="s">
        <v>2673</v>
      </c>
      <c r="D121" s="415" t="s">
        <v>2680</v>
      </c>
      <c r="E121" s="415" t="s">
        <v>2297</v>
      </c>
      <c r="F121" s="415" t="s">
        <v>2346</v>
      </c>
      <c r="G121" s="415" t="s">
        <v>2786</v>
      </c>
      <c r="H121" s="415">
        <v>0</v>
      </c>
      <c r="I121" s="415">
        <v>0</v>
      </c>
      <c r="J121" s="415">
        <v>1</v>
      </c>
      <c r="K121" s="415">
        <v>1</v>
      </c>
      <c r="L121" s="415">
        <v>450</v>
      </c>
      <c r="M121" s="415">
        <v>240</v>
      </c>
      <c r="N121" s="415" t="s">
        <v>2675</v>
      </c>
      <c r="O121" s="415">
        <v>371</v>
      </c>
      <c r="P121" s="415" t="s">
        <v>2675</v>
      </c>
      <c r="Q121" s="415" t="s">
        <v>2675</v>
      </c>
      <c r="R121" s="415" t="s">
        <v>2699</v>
      </c>
      <c r="S121" s="415" t="s">
        <v>2687</v>
      </c>
      <c r="T121" s="416">
        <v>128</v>
      </c>
      <c r="U121" s="416">
        <v>128</v>
      </c>
      <c r="V121" s="416">
        <v>128</v>
      </c>
      <c r="W121" s="416">
        <v>128</v>
      </c>
      <c r="X121" s="416">
        <v>128</v>
      </c>
      <c r="Y121" s="416">
        <v>128</v>
      </c>
      <c r="Z121" s="416">
        <v>128</v>
      </c>
      <c r="AA121" s="416">
        <v>128</v>
      </c>
      <c r="AB121" s="416">
        <v>125</v>
      </c>
      <c r="AC121" s="416">
        <v>122</v>
      </c>
      <c r="AD121" s="416">
        <v>118</v>
      </c>
      <c r="AE121" s="416">
        <v>114</v>
      </c>
      <c r="AF121" s="416">
        <v>0</v>
      </c>
      <c r="AG121" s="416">
        <v>0</v>
      </c>
      <c r="AH121" s="416">
        <v>0</v>
      </c>
      <c r="AI121" s="416">
        <v>0</v>
      </c>
      <c r="AJ121" s="416">
        <v>0</v>
      </c>
      <c r="AK121" s="416">
        <v>0</v>
      </c>
      <c r="AL121" s="416">
        <v>0</v>
      </c>
      <c r="AM121" s="416">
        <v>0</v>
      </c>
      <c r="AN121" s="416">
        <v>0</v>
      </c>
      <c r="AO121" s="416">
        <v>0</v>
      </c>
      <c r="AP121" s="416">
        <v>0</v>
      </c>
      <c r="AQ121" s="416">
        <v>0</v>
      </c>
      <c r="AR121" s="416">
        <v>0</v>
      </c>
      <c r="AS121" s="416">
        <v>0</v>
      </c>
      <c r="AT121" s="416">
        <v>0</v>
      </c>
      <c r="AU121" s="416">
        <v>0</v>
      </c>
      <c r="AV121" s="416">
        <v>0</v>
      </c>
      <c r="AW121" s="416">
        <v>0</v>
      </c>
      <c r="AX121" s="416">
        <v>0</v>
      </c>
      <c r="AY121" s="416">
        <v>0</v>
      </c>
      <c r="AZ121" s="416">
        <v>0</v>
      </c>
    </row>
    <row r="122" spans="1:52" s="411" customFormat="1" x14ac:dyDescent="0.3">
      <c r="A122" s="415" t="str">
        <f t="shared" si="1"/>
        <v>SA-672 Gr.C65</v>
      </c>
      <c r="B122" s="415">
        <v>116</v>
      </c>
      <c r="C122" s="415" t="s">
        <v>2673</v>
      </c>
      <c r="D122" s="415" t="s">
        <v>2680</v>
      </c>
      <c r="E122" s="415" t="s">
        <v>2297</v>
      </c>
      <c r="F122" s="415" t="s">
        <v>2354</v>
      </c>
      <c r="G122" s="415" t="s">
        <v>2787</v>
      </c>
      <c r="H122" s="415">
        <v>0</v>
      </c>
      <c r="I122" s="415">
        <v>0</v>
      </c>
      <c r="J122" s="415">
        <v>1</v>
      </c>
      <c r="K122" s="415">
        <v>1</v>
      </c>
      <c r="L122" s="415">
        <v>450</v>
      </c>
      <c r="M122" s="415">
        <v>240</v>
      </c>
      <c r="N122" s="415" t="s">
        <v>2675</v>
      </c>
      <c r="O122" s="415">
        <v>371</v>
      </c>
      <c r="P122" s="415" t="s">
        <v>2675</v>
      </c>
      <c r="Q122" s="415" t="s">
        <v>2675</v>
      </c>
      <c r="R122" s="415" t="s">
        <v>2699</v>
      </c>
      <c r="S122" s="415" t="s">
        <v>2687</v>
      </c>
      <c r="T122" s="416">
        <v>128</v>
      </c>
      <c r="U122" s="416">
        <v>128</v>
      </c>
      <c r="V122" s="416">
        <v>128</v>
      </c>
      <c r="W122" s="416">
        <v>128</v>
      </c>
      <c r="X122" s="416">
        <v>128</v>
      </c>
      <c r="Y122" s="416">
        <v>128</v>
      </c>
      <c r="Z122" s="416">
        <v>128</v>
      </c>
      <c r="AA122" s="416">
        <v>128</v>
      </c>
      <c r="AB122" s="416">
        <v>125</v>
      </c>
      <c r="AC122" s="416">
        <v>122</v>
      </c>
      <c r="AD122" s="416">
        <v>118</v>
      </c>
      <c r="AE122" s="416">
        <v>114</v>
      </c>
      <c r="AF122" s="416">
        <v>0</v>
      </c>
      <c r="AG122" s="416">
        <v>0</v>
      </c>
      <c r="AH122" s="416">
        <v>0</v>
      </c>
      <c r="AI122" s="416">
        <v>0</v>
      </c>
      <c r="AJ122" s="416">
        <v>0</v>
      </c>
      <c r="AK122" s="416">
        <v>0</v>
      </c>
      <c r="AL122" s="416">
        <v>0</v>
      </c>
      <c r="AM122" s="416">
        <v>0</v>
      </c>
      <c r="AN122" s="416">
        <v>0</v>
      </c>
      <c r="AO122" s="416">
        <v>0</v>
      </c>
      <c r="AP122" s="416">
        <v>0</v>
      </c>
      <c r="AQ122" s="416">
        <v>0</v>
      </c>
      <c r="AR122" s="416">
        <v>0</v>
      </c>
      <c r="AS122" s="416">
        <v>0</v>
      </c>
      <c r="AT122" s="416">
        <v>0</v>
      </c>
      <c r="AU122" s="416">
        <v>0</v>
      </c>
      <c r="AV122" s="416">
        <v>0</v>
      </c>
      <c r="AW122" s="416">
        <v>0</v>
      </c>
      <c r="AX122" s="416">
        <v>0</v>
      </c>
      <c r="AY122" s="416">
        <v>0</v>
      </c>
      <c r="AZ122" s="416">
        <v>0</v>
      </c>
    </row>
    <row r="123" spans="1:52" s="411" customFormat="1" x14ac:dyDescent="0.3">
      <c r="A123" s="415" t="str">
        <f t="shared" si="1"/>
        <v>SA-414 Gr.E</v>
      </c>
      <c r="B123" s="415">
        <v>117</v>
      </c>
      <c r="C123" s="415" t="s">
        <v>2673</v>
      </c>
      <c r="D123" s="415" t="s">
        <v>2674</v>
      </c>
      <c r="E123" s="415" t="s">
        <v>2233</v>
      </c>
      <c r="F123" s="415" t="s">
        <v>2417</v>
      </c>
      <c r="G123" s="415" t="s">
        <v>2788</v>
      </c>
      <c r="H123" s="415">
        <v>0</v>
      </c>
      <c r="I123" s="415">
        <v>0</v>
      </c>
      <c r="J123" s="415">
        <v>1</v>
      </c>
      <c r="K123" s="415">
        <v>1</v>
      </c>
      <c r="L123" s="415">
        <v>450</v>
      </c>
      <c r="M123" s="415">
        <v>260</v>
      </c>
      <c r="N123" s="415" t="s">
        <v>2675</v>
      </c>
      <c r="O123" s="415" t="s">
        <v>2675</v>
      </c>
      <c r="P123" s="415">
        <v>482</v>
      </c>
      <c r="Q123" s="415">
        <v>343</v>
      </c>
      <c r="R123" s="415" t="s">
        <v>2699</v>
      </c>
      <c r="S123" s="415" t="s">
        <v>2711</v>
      </c>
      <c r="T123" s="416">
        <v>128</v>
      </c>
      <c r="U123" s="416">
        <v>128</v>
      </c>
      <c r="V123" s="416">
        <v>128</v>
      </c>
      <c r="W123" s="416">
        <v>128</v>
      </c>
      <c r="X123" s="416">
        <v>128</v>
      </c>
      <c r="Y123" s="416">
        <v>128</v>
      </c>
      <c r="Z123" s="416">
        <v>128</v>
      </c>
      <c r="AA123" s="416">
        <v>128</v>
      </c>
      <c r="AB123" s="416">
        <v>128</v>
      </c>
      <c r="AC123" s="416">
        <v>128</v>
      </c>
      <c r="AD123" s="416">
        <v>127</v>
      </c>
      <c r="AE123" s="416">
        <v>114</v>
      </c>
      <c r="AF123" s="416">
        <v>95.1</v>
      </c>
      <c r="AG123" s="416">
        <v>79.599999999999994</v>
      </c>
      <c r="AH123" s="416">
        <v>63.1</v>
      </c>
      <c r="AI123" s="416">
        <v>45.7</v>
      </c>
      <c r="AJ123" s="416">
        <v>28.3</v>
      </c>
      <c r="AK123" s="416">
        <v>0</v>
      </c>
      <c r="AL123" s="416">
        <v>0</v>
      </c>
      <c r="AM123" s="416">
        <v>0</v>
      </c>
      <c r="AN123" s="416">
        <v>0</v>
      </c>
      <c r="AO123" s="416">
        <v>0</v>
      </c>
      <c r="AP123" s="416">
        <v>0</v>
      </c>
      <c r="AQ123" s="416">
        <v>0</v>
      </c>
      <c r="AR123" s="416">
        <v>0</v>
      </c>
      <c r="AS123" s="416">
        <v>0</v>
      </c>
      <c r="AT123" s="416">
        <v>0</v>
      </c>
      <c r="AU123" s="416">
        <v>0</v>
      </c>
      <c r="AV123" s="416">
        <v>0</v>
      </c>
      <c r="AW123" s="416">
        <v>0</v>
      </c>
      <c r="AX123" s="416">
        <v>0</v>
      </c>
      <c r="AY123" s="416">
        <v>0</v>
      </c>
      <c r="AZ123" s="416">
        <v>0</v>
      </c>
    </row>
    <row r="124" spans="1:52" s="411" customFormat="1" x14ac:dyDescent="0.3">
      <c r="A124" s="415" t="str">
        <f t="shared" si="1"/>
        <v>SA-662 Gr.B</v>
      </c>
      <c r="B124" s="415">
        <v>118</v>
      </c>
      <c r="C124" s="415" t="s">
        <v>2673</v>
      </c>
      <c r="D124" s="415" t="s">
        <v>2684</v>
      </c>
      <c r="E124" s="415" t="s">
        <v>2291</v>
      </c>
      <c r="F124" s="415" t="s">
        <v>1864</v>
      </c>
      <c r="G124" s="415" t="s">
        <v>2789</v>
      </c>
      <c r="H124" s="415">
        <v>0</v>
      </c>
      <c r="I124" s="415">
        <v>0</v>
      </c>
      <c r="J124" s="415">
        <v>1</v>
      </c>
      <c r="K124" s="415">
        <v>1</v>
      </c>
      <c r="L124" s="415">
        <v>450</v>
      </c>
      <c r="M124" s="415">
        <v>275</v>
      </c>
      <c r="N124" s="415" t="s">
        <v>2675</v>
      </c>
      <c r="O124" s="415" t="s">
        <v>2675</v>
      </c>
      <c r="P124" s="415">
        <v>371</v>
      </c>
      <c r="Q124" s="415">
        <v>343</v>
      </c>
      <c r="R124" s="415" t="s">
        <v>2699</v>
      </c>
      <c r="S124" s="415" t="s">
        <v>2535</v>
      </c>
      <c r="T124" s="416">
        <v>128</v>
      </c>
      <c r="U124" s="416">
        <v>128</v>
      </c>
      <c r="V124" s="416">
        <v>128</v>
      </c>
      <c r="W124" s="416">
        <v>128</v>
      </c>
      <c r="X124" s="416">
        <v>128</v>
      </c>
      <c r="Y124" s="416">
        <v>128</v>
      </c>
      <c r="Z124" s="416">
        <v>128</v>
      </c>
      <c r="AA124" s="416">
        <v>128</v>
      </c>
      <c r="AB124" s="416">
        <v>128</v>
      </c>
      <c r="AC124" s="416">
        <v>128</v>
      </c>
      <c r="AD124" s="416">
        <v>127</v>
      </c>
      <c r="AE124" s="416">
        <v>114</v>
      </c>
      <c r="AF124" s="416">
        <v>0</v>
      </c>
      <c r="AG124" s="416">
        <v>0</v>
      </c>
      <c r="AH124" s="416">
        <v>0</v>
      </c>
      <c r="AI124" s="416">
        <v>0</v>
      </c>
      <c r="AJ124" s="416">
        <v>0</v>
      </c>
      <c r="AK124" s="416">
        <v>0</v>
      </c>
      <c r="AL124" s="416">
        <v>0</v>
      </c>
      <c r="AM124" s="416">
        <v>0</v>
      </c>
      <c r="AN124" s="416">
        <v>0</v>
      </c>
      <c r="AO124" s="416">
        <v>0</v>
      </c>
      <c r="AP124" s="416">
        <v>0</v>
      </c>
      <c r="AQ124" s="416">
        <v>0</v>
      </c>
      <c r="AR124" s="416">
        <v>0</v>
      </c>
      <c r="AS124" s="416">
        <v>0</v>
      </c>
      <c r="AT124" s="416">
        <v>0</v>
      </c>
      <c r="AU124" s="416">
        <v>0</v>
      </c>
      <c r="AV124" s="416">
        <v>0</v>
      </c>
      <c r="AW124" s="416">
        <v>0</v>
      </c>
      <c r="AX124" s="416">
        <v>0</v>
      </c>
      <c r="AY124" s="416">
        <v>0</v>
      </c>
      <c r="AZ124" s="416">
        <v>0</v>
      </c>
    </row>
    <row r="125" spans="1:52" s="411" customFormat="1" x14ac:dyDescent="0.3">
      <c r="A125" s="415" t="str">
        <f t="shared" si="1"/>
        <v>SA/GB 6654 Gr.16MnR</v>
      </c>
      <c r="B125" s="415">
        <v>119</v>
      </c>
      <c r="C125" s="415" t="s">
        <v>2673</v>
      </c>
      <c r="D125" s="415" t="s">
        <v>2684</v>
      </c>
      <c r="E125" s="415" t="s">
        <v>2171</v>
      </c>
      <c r="F125" s="415" t="s">
        <v>2220</v>
      </c>
      <c r="G125" s="415">
        <v>0</v>
      </c>
      <c r="H125" s="415">
        <v>0</v>
      </c>
      <c r="I125" s="415" t="s">
        <v>2790</v>
      </c>
      <c r="J125" s="415">
        <v>1</v>
      </c>
      <c r="K125" s="415">
        <v>1</v>
      </c>
      <c r="L125" s="415">
        <v>450</v>
      </c>
      <c r="M125" s="415">
        <v>275</v>
      </c>
      <c r="N125" s="415" t="s">
        <v>2675</v>
      </c>
      <c r="O125" s="415" t="s">
        <v>2675</v>
      </c>
      <c r="P125" s="415">
        <v>250</v>
      </c>
      <c r="Q125" s="415" t="s">
        <v>2675</v>
      </c>
      <c r="R125" s="415" t="s">
        <v>2699</v>
      </c>
      <c r="S125" s="415">
        <v>0</v>
      </c>
      <c r="T125" s="416">
        <v>129</v>
      </c>
      <c r="U125" s="416">
        <v>129</v>
      </c>
      <c r="V125" s="416">
        <v>129</v>
      </c>
      <c r="W125" s="416">
        <v>129</v>
      </c>
      <c r="X125" s="416">
        <v>129</v>
      </c>
      <c r="Y125" s="416">
        <v>129</v>
      </c>
      <c r="Z125" s="416">
        <v>129</v>
      </c>
      <c r="AA125" s="416">
        <v>129</v>
      </c>
      <c r="AB125" s="416">
        <v>129</v>
      </c>
      <c r="AC125" s="416">
        <v>0</v>
      </c>
      <c r="AD125" s="416">
        <v>0</v>
      </c>
      <c r="AE125" s="416">
        <v>0</v>
      </c>
      <c r="AF125" s="416">
        <v>0</v>
      </c>
      <c r="AG125" s="416">
        <v>0</v>
      </c>
      <c r="AH125" s="416">
        <v>0</v>
      </c>
      <c r="AI125" s="416">
        <v>0</v>
      </c>
      <c r="AJ125" s="416">
        <v>0</v>
      </c>
      <c r="AK125" s="416">
        <v>0</v>
      </c>
      <c r="AL125" s="416">
        <v>0</v>
      </c>
      <c r="AM125" s="416">
        <v>0</v>
      </c>
      <c r="AN125" s="416">
        <v>0</v>
      </c>
      <c r="AO125" s="416">
        <v>0</v>
      </c>
      <c r="AP125" s="416">
        <v>0</v>
      </c>
      <c r="AQ125" s="416">
        <v>0</v>
      </c>
      <c r="AR125" s="416">
        <v>0</v>
      </c>
      <c r="AS125" s="416">
        <v>0</v>
      </c>
      <c r="AT125" s="416">
        <v>0</v>
      </c>
      <c r="AU125" s="416">
        <v>0</v>
      </c>
      <c r="AV125" s="416">
        <v>0</v>
      </c>
      <c r="AW125" s="416">
        <v>0</v>
      </c>
      <c r="AX125" s="416">
        <v>0</v>
      </c>
      <c r="AY125" s="416">
        <v>0</v>
      </c>
      <c r="AZ125" s="416">
        <v>0</v>
      </c>
    </row>
    <row r="126" spans="1:52" s="411" customFormat="1" x14ac:dyDescent="0.3">
      <c r="A126" s="415" t="str">
        <f t="shared" si="1"/>
        <v>SA-537 Gr.0</v>
      </c>
      <c r="B126" s="415">
        <v>120</v>
      </c>
      <c r="C126" s="415" t="s">
        <v>2673</v>
      </c>
      <c r="D126" s="415" t="s">
        <v>2684</v>
      </c>
      <c r="E126" s="415" t="s">
        <v>2262</v>
      </c>
      <c r="F126" s="415">
        <v>0</v>
      </c>
      <c r="G126" s="415" t="s">
        <v>2791</v>
      </c>
      <c r="H126" s="415">
        <v>1</v>
      </c>
      <c r="I126" s="415" t="s">
        <v>2792</v>
      </c>
      <c r="J126" s="415">
        <v>1</v>
      </c>
      <c r="K126" s="415">
        <v>2</v>
      </c>
      <c r="L126" s="415">
        <v>450</v>
      </c>
      <c r="M126" s="415">
        <v>310</v>
      </c>
      <c r="N126" s="415" t="s">
        <v>2675</v>
      </c>
      <c r="O126" s="415">
        <v>371</v>
      </c>
      <c r="P126" s="415">
        <v>343</v>
      </c>
      <c r="Q126" s="415">
        <v>343</v>
      </c>
      <c r="R126" s="415" t="s">
        <v>2699</v>
      </c>
      <c r="S126" s="415" t="s">
        <v>2535</v>
      </c>
      <c r="T126" s="416">
        <v>128</v>
      </c>
      <c r="U126" s="416">
        <v>128</v>
      </c>
      <c r="V126" s="416">
        <v>128</v>
      </c>
      <c r="W126" s="416">
        <v>128</v>
      </c>
      <c r="X126" s="416">
        <v>128</v>
      </c>
      <c r="Y126" s="416">
        <v>128</v>
      </c>
      <c r="Z126" s="416">
        <v>128</v>
      </c>
      <c r="AA126" s="416">
        <v>128</v>
      </c>
      <c r="AB126" s="416">
        <v>128</v>
      </c>
      <c r="AC126" s="416">
        <v>128</v>
      </c>
      <c r="AD126" s="416">
        <v>127</v>
      </c>
      <c r="AE126" s="416">
        <v>114</v>
      </c>
      <c r="AF126" s="416">
        <v>0</v>
      </c>
      <c r="AG126" s="416">
        <v>0</v>
      </c>
      <c r="AH126" s="416">
        <v>0</v>
      </c>
      <c r="AI126" s="416">
        <v>0</v>
      </c>
      <c r="AJ126" s="416">
        <v>0</v>
      </c>
      <c r="AK126" s="416">
        <v>0</v>
      </c>
      <c r="AL126" s="416">
        <v>0</v>
      </c>
      <c r="AM126" s="416">
        <v>0</v>
      </c>
      <c r="AN126" s="416">
        <v>0</v>
      </c>
      <c r="AO126" s="416">
        <v>0</v>
      </c>
      <c r="AP126" s="416">
        <v>0</v>
      </c>
      <c r="AQ126" s="416">
        <v>0</v>
      </c>
      <c r="AR126" s="416">
        <v>0</v>
      </c>
      <c r="AS126" s="416">
        <v>0</v>
      </c>
      <c r="AT126" s="416">
        <v>0</v>
      </c>
      <c r="AU126" s="416">
        <v>0</v>
      </c>
      <c r="AV126" s="416">
        <v>0</v>
      </c>
      <c r="AW126" s="416">
        <v>0</v>
      </c>
      <c r="AX126" s="416">
        <v>0</v>
      </c>
      <c r="AY126" s="416">
        <v>0</v>
      </c>
      <c r="AZ126" s="416">
        <v>0</v>
      </c>
    </row>
    <row r="127" spans="1:52" s="411" customFormat="1" x14ac:dyDescent="0.3">
      <c r="A127" s="415" t="str">
        <f t="shared" si="1"/>
        <v>SA-691 Gr.CMSH-70</v>
      </c>
      <c r="B127" s="415">
        <v>121</v>
      </c>
      <c r="C127" s="415" t="s">
        <v>2673</v>
      </c>
      <c r="D127" s="415" t="s">
        <v>2680</v>
      </c>
      <c r="E127" s="415" t="s">
        <v>2303</v>
      </c>
      <c r="F127" s="415" t="s">
        <v>2390</v>
      </c>
      <c r="G127" s="415" t="s">
        <v>2791</v>
      </c>
      <c r="H127" s="415">
        <v>0</v>
      </c>
      <c r="I127" s="415" t="s">
        <v>2792</v>
      </c>
      <c r="J127" s="415">
        <v>1</v>
      </c>
      <c r="K127" s="415">
        <v>2</v>
      </c>
      <c r="L127" s="415">
        <v>450</v>
      </c>
      <c r="M127" s="415">
        <v>310</v>
      </c>
      <c r="N127" s="415" t="s">
        <v>2675</v>
      </c>
      <c r="O127" s="415">
        <v>371</v>
      </c>
      <c r="P127" s="415" t="s">
        <v>2675</v>
      </c>
      <c r="Q127" s="415" t="s">
        <v>2675</v>
      </c>
      <c r="R127" s="415" t="s">
        <v>2699</v>
      </c>
      <c r="S127" s="415" t="s">
        <v>2793</v>
      </c>
      <c r="T127" s="416">
        <v>128</v>
      </c>
      <c r="U127" s="416">
        <v>128</v>
      </c>
      <c r="V127" s="416">
        <v>128</v>
      </c>
      <c r="W127" s="416">
        <v>128</v>
      </c>
      <c r="X127" s="416">
        <v>128</v>
      </c>
      <c r="Y127" s="416">
        <v>128</v>
      </c>
      <c r="Z127" s="416">
        <v>128</v>
      </c>
      <c r="AA127" s="416">
        <v>128</v>
      </c>
      <c r="AB127" s="416">
        <v>128</v>
      </c>
      <c r="AC127" s="416">
        <v>128</v>
      </c>
      <c r="AD127" s="416">
        <v>127</v>
      </c>
      <c r="AE127" s="416">
        <v>114</v>
      </c>
      <c r="AF127" s="416">
        <v>0</v>
      </c>
      <c r="AG127" s="416">
        <v>0</v>
      </c>
      <c r="AH127" s="416">
        <v>0</v>
      </c>
      <c r="AI127" s="416">
        <v>0</v>
      </c>
      <c r="AJ127" s="416">
        <v>0</v>
      </c>
      <c r="AK127" s="416">
        <v>0</v>
      </c>
      <c r="AL127" s="416">
        <v>0</v>
      </c>
      <c r="AM127" s="416">
        <v>0</v>
      </c>
      <c r="AN127" s="416">
        <v>0</v>
      </c>
      <c r="AO127" s="416">
        <v>0</v>
      </c>
      <c r="AP127" s="416">
        <v>0</v>
      </c>
      <c r="AQ127" s="416">
        <v>0</v>
      </c>
      <c r="AR127" s="416">
        <v>0</v>
      </c>
      <c r="AS127" s="416">
        <v>0</v>
      </c>
      <c r="AT127" s="416">
        <v>0</v>
      </c>
      <c r="AU127" s="416">
        <v>0</v>
      </c>
      <c r="AV127" s="416">
        <v>0</v>
      </c>
      <c r="AW127" s="416">
        <v>0</v>
      </c>
      <c r="AX127" s="416">
        <v>0</v>
      </c>
      <c r="AY127" s="416">
        <v>0</v>
      </c>
      <c r="AZ127" s="416">
        <v>0</v>
      </c>
    </row>
    <row r="128" spans="1:52" s="411" customFormat="1" x14ac:dyDescent="0.3">
      <c r="A128" s="415" t="str">
        <f t="shared" si="1"/>
        <v>SA/AS 1548 Gr.7-460A</v>
      </c>
      <c r="B128" s="415">
        <v>122</v>
      </c>
      <c r="C128" s="415" t="s">
        <v>2673</v>
      </c>
      <c r="D128" s="415" t="s">
        <v>2684</v>
      </c>
      <c r="E128" s="415" t="s">
        <v>2150</v>
      </c>
      <c r="F128" s="415" t="s">
        <v>2306</v>
      </c>
      <c r="G128" s="415">
        <v>0</v>
      </c>
      <c r="H128" s="415" t="s">
        <v>2776</v>
      </c>
      <c r="I128" s="415" t="s">
        <v>2777</v>
      </c>
      <c r="J128" s="415">
        <v>1</v>
      </c>
      <c r="K128" s="415">
        <v>2</v>
      </c>
      <c r="L128" s="415">
        <v>460</v>
      </c>
      <c r="M128" s="415">
        <v>0</v>
      </c>
      <c r="N128" s="415">
        <v>538</v>
      </c>
      <c r="O128" s="415" t="s">
        <v>2675</v>
      </c>
      <c r="P128" s="415">
        <v>538</v>
      </c>
      <c r="Q128" s="415" t="s">
        <v>2675</v>
      </c>
      <c r="R128" s="415" t="s">
        <v>2699</v>
      </c>
      <c r="S128" s="415" t="s">
        <v>2778</v>
      </c>
      <c r="T128" s="416">
        <v>131</v>
      </c>
      <c r="U128" s="416">
        <v>131</v>
      </c>
      <c r="V128" s="416">
        <v>131</v>
      </c>
      <c r="W128" s="416">
        <v>131</v>
      </c>
      <c r="X128" s="416">
        <v>131</v>
      </c>
      <c r="Y128" s="416">
        <v>131</v>
      </c>
      <c r="Z128" s="416">
        <v>131</v>
      </c>
      <c r="AA128" s="416">
        <v>131</v>
      </c>
      <c r="AB128" s="416">
        <v>131</v>
      </c>
      <c r="AC128" s="416">
        <v>131</v>
      </c>
      <c r="AD128" s="416">
        <v>129</v>
      </c>
      <c r="AE128" s="416">
        <v>114</v>
      </c>
      <c r="AF128" s="416">
        <v>95.1</v>
      </c>
      <c r="AG128" s="416">
        <v>79.599999999999994</v>
      </c>
      <c r="AH128" s="416">
        <v>63.2</v>
      </c>
      <c r="AI128" s="416">
        <v>45.3</v>
      </c>
      <c r="AJ128" s="416">
        <v>31.7</v>
      </c>
      <c r="AK128" s="416">
        <v>21.9</v>
      </c>
      <c r="AL128" s="416">
        <v>12.7</v>
      </c>
      <c r="AM128" s="416">
        <v>0</v>
      </c>
      <c r="AN128" s="416">
        <v>0</v>
      </c>
      <c r="AO128" s="416">
        <v>0</v>
      </c>
      <c r="AP128" s="416">
        <v>0</v>
      </c>
      <c r="AQ128" s="416">
        <v>0</v>
      </c>
      <c r="AR128" s="416">
        <v>0</v>
      </c>
      <c r="AS128" s="416">
        <v>0</v>
      </c>
      <c r="AT128" s="416">
        <v>0</v>
      </c>
      <c r="AU128" s="416">
        <v>0</v>
      </c>
      <c r="AV128" s="416">
        <v>0</v>
      </c>
      <c r="AW128" s="416">
        <v>0</v>
      </c>
      <c r="AX128" s="416">
        <v>0</v>
      </c>
      <c r="AY128" s="416">
        <v>0</v>
      </c>
      <c r="AZ128" s="416">
        <v>0</v>
      </c>
    </row>
    <row r="129" spans="1:52" s="411" customFormat="1" x14ac:dyDescent="0.3">
      <c r="A129" s="415" t="str">
        <f t="shared" si="1"/>
        <v>SA/AS 1548 Gr.7-460N</v>
      </c>
      <c r="B129" s="415">
        <v>123</v>
      </c>
      <c r="C129" s="415" t="s">
        <v>2673</v>
      </c>
      <c r="D129" s="415" t="s">
        <v>2684</v>
      </c>
      <c r="E129" s="415" t="s">
        <v>2150</v>
      </c>
      <c r="F129" s="415" t="s">
        <v>2308</v>
      </c>
      <c r="G129" s="415">
        <v>0</v>
      </c>
      <c r="H129" s="415" t="s">
        <v>2779</v>
      </c>
      <c r="I129" s="415" t="s">
        <v>2777</v>
      </c>
      <c r="J129" s="415">
        <v>1</v>
      </c>
      <c r="K129" s="415">
        <v>2</v>
      </c>
      <c r="L129" s="415">
        <v>460</v>
      </c>
      <c r="M129" s="415">
        <v>0</v>
      </c>
      <c r="N129" s="415">
        <v>538</v>
      </c>
      <c r="O129" s="415" t="s">
        <v>2675</v>
      </c>
      <c r="P129" s="415">
        <v>538</v>
      </c>
      <c r="Q129" s="415" t="s">
        <v>2675</v>
      </c>
      <c r="R129" s="415" t="s">
        <v>2699</v>
      </c>
      <c r="S129" s="415" t="s">
        <v>2778</v>
      </c>
      <c r="T129" s="416">
        <v>131</v>
      </c>
      <c r="U129" s="416">
        <v>131</v>
      </c>
      <c r="V129" s="416">
        <v>131</v>
      </c>
      <c r="W129" s="416">
        <v>131</v>
      </c>
      <c r="X129" s="416">
        <v>131</v>
      </c>
      <c r="Y129" s="416">
        <v>131</v>
      </c>
      <c r="Z129" s="416">
        <v>131</v>
      </c>
      <c r="AA129" s="416">
        <v>131</v>
      </c>
      <c r="AB129" s="416">
        <v>131</v>
      </c>
      <c r="AC129" s="416">
        <v>131</v>
      </c>
      <c r="AD129" s="416">
        <v>129</v>
      </c>
      <c r="AE129" s="416">
        <v>114</v>
      </c>
      <c r="AF129" s="416">
        <v>95.1</v>
      </c>
      <c r="AG129" s="416">
        <v>79.599999999999994</v>
      </c>
      <c r="AH129" s="416">
        <v>63.2</v>
      </c>
      <c r="AI129" s="416">
        <v>45.3</v>
      </c>
      <c r="AJ129" s="416">
        <v>31.7</v>
      </c>
      <c r="AK129" s="416">
        <v>21.9</v>
      </c>
      <c r="AL129" s="416">
        <v>12.7</v>
      </c>
      <c r="AM129" s="416">
        <v>0</v>
      </c>
      <c r="AN129" s="416">
        <v>0</v>
      </c>
      <c r="AO129" s="416">
        <v>0</v>
      </c>
      <c r="AP129" s="416">
        <v>0</v>
      </c>
      <c r="AQ129" s="416">
        <v>0</v>
      </c>
      <c r="AR129" s="416">
        <v>0</v>
      </c>
      <c r="AS129" s="416">
        <v>0</v>
      </c>
      <c r="AT129" s="416">
        <v>0</v>
      </c>
      <c r="AU129" s="416">
        <v>0</v>
      </c>
      <c r="AV129" s="416">
        <v>0</v>
      </c>
      <c r="AW129" s="416">
        <v>0</v>
      </c>
      <c r="AX129" s="416">
        <v>0</v>
      </c>
      <c r="AY129" s="416">
        <v>0</v>
      </c>
      <c r="AZ129" s="416">
        <v>0</v>
      </c>
    </row>
    <row r="130" spans="1:52" s="411" customFormat="1" x14ac:dyDescent="0.3">
      <c r="A130" s="415" t="str">
        <f t="shared" si="1"/>
        <v>SA/AS 1548 Gr.7-460R</v>
      </c>
      <c r="B130" s="415">
        <v>124</v>
      </c>
      <c r="C130" s="415" t="s">
        <v>2673</v>
      </c>
      <c r="D130" s="415" t="s">
        <v>2684</v>
      </c>
      <c r="E130" s="415" t="s">
        <v>2150</v>
      </c>
      <c r="F130" s="415" t="s">
        <v>2310</v>
      </c>
      <c r="G130" s="415">
        <v>0</v>
      </c>
      <c r="H130" s="415" t="s">
        <v>2780</v>
      </c>
      <c r="I130" s="415" t="s">
        <v>2781</v>
      </c>
      <c r="J130" s="415">
        <v>1</v>
      </c>
      <c r="K130" s="415">
        <v>2</v>
      </c>
      <c r="L130" s="415">
        <v>460</v>
      </c>
      <c r="M130" s="415">
        <v>0</v>
      </c>
      <c r="N130" s="415">
        <v>538</v>
      </c>
      <c r="O130" s="415" t="s">
        <v>2675</v>
      </c>
      <c r="P130" s="415">
        <v>538</v>
      </c>
      <c r="Q130" s="415" t="s">
        <v>2675</v>
      </c>
      <c r="R130" s="415" t="s">
        <v>2699</v>
      </c>
      <c r="S130" s="415" t="s">
        <v>2778</v>
      </c>
      <c r="T130" s="416">
        <v>131</v>
      </c>
      <c r="U130" s="416">
        <v>131</v>
      </c>
      <c r="V130" s="416">
        <v>131</v>
      </c>
      <c r="W130" s="416">
        <v>131</v>
      </c>
      <c r="X130" s="416">
        <v>131</v>
      </c>
      <c r="Y130" s="416">
        <v>131</v>
      </c>
      <c r="Z130" s="416">
        <v>131</v>
      </c>
      <c r="AA130" s="416">
        <v>131</v>
      </c>
      <c r="AB130" s="416">
        <v>131</v>
      </c>
      <c r="AC130" s="416">
        <v>131</v>
      </c>
      <c r="AD130" s="416">
        <v>129</v>
      </c>
      <c r="AE130" s="416">
        <v>114</v>
      </c>
      <c r="AF130" s="416">
        <v>95.1</v>
      </c>
      <c r="AG130" s="416">
        <v>79.599999999999994</v>
      </c>
      <c r="AH130" s="416">
        <v>63.2</v>
      </c>
      <c r="AI130" s="416">
        <v>45.3</v>
      </c>
      <c r="AJ130" s="416">
        <v>31.7</v>
      </c>
      <c r="AK130" s="416">
        <v>21.9</v>
      </c>
      <c r="AL130" s="416">
        <v>12.7</v>
      </c>
      <c r="AM130" s="416">
        <v>0</v>
      </c>
      <c r="AN130" s="416">
        <v>0</v>
      </c>
      <c r="AO130" s="416">
        <v>0</v>
      </c>
      <c r="AP130" s="416">
        <v>0</v>
      </c>
      <c r="AQ130" s="416">
        <v>0</v>
      </c>
      <c r="AR130" s="416">
        <v>0</v>
      </c>
      <c r="AS130" s="416">
        <v>0</v>
      </c>
      <c r="AT130" s="416">
        <v>0</v>
      </c>
      <c r="AU130" s="416">
        <v>0</v>
      </c>
      <c r="AV130" s="416">
        <v>0</v>
      </c>
      <c r="AW130" s="416">
        <v>0</v>
      </c>
      <c r="AX130" s="416">
        <v>0</v>
      </c>
      <c r="AY130" s="416">
        <v>0</v>
      </c>
      <c r="AZ130" s="416">
        <v>0</v>
      </c>
    </row>
    <row r="131" spans="1:52" s="411" customFormat="1" ht="28.8" x14ac:dyDescent="0.3">
      <c r="A131" s="415" t="str">
        <f t="shared" si="1"/>
        <v>SA/EN 10028-2 Gr.P295GH</v>
      </c>
      <c r="B131" s="415">
        <v>125</v>
      </c>
      <c r="C131" s="415" t="s">
        <v>2673</v>
      </c>
      <c r="D131" s="415" t="s">
        <v>2684</v>
      </c>
      <c r="E131" s="415" t="s">
        <v>2162</v>
      </c>
      <c r="F131" s="415" t="s">
        <v>2517</v>
      </c>
      <c r="G131" s="415">
        <v>0</v>
      </c>
      <c r="H131" s="415">
        <v>0</v>
      </c>
      <c r="I131" s="415" t="s">
        <v>2794</v>
      </c>
      <c r="J131" s="415">
        <v>1</v>
      </c>
      <c r="K131" s="415">
        <v>1</v>
      </c>
      <c r="L131" s="415">
        <v>460</v>
      </c>
      <c r="M131" s="415">
        <v>260</v>
      </c>
      <c r="N131" s="415">
        <v>454</v>
      </c>
      <c r="O131" s="415" t="s">
        <v>2675</v>
      </c>
      <c r="P131" s="415">
        <v>538</v>
      </c>
      <c r="Q131" s="415" t="s">
        <v>2675</v>
      </c>
      <c r="R131" s="415" t="s">
        <v>2699</v>
      </c>
      <c r="S131" s="415" t="s">
        <v>2706</v>
      </c>
      <c r="T131" s="416">
        <v>131</v>
      </c>
      <c r="U131" s="416">
        <v>131</v>
      </c>
      <c r="V131" s="416">
        <v>131</v>
      </c>
      <c r="W131" s="416">
        <v>131</v>
      </c>
      <c r="X131" s="416">
        <v>131</v>
      </c>
      <c r="Y131" s="416">
        <v>131</v>
      </c>
      <c r="Z131" s="416">
        <v>131</v>
      </c>
      <c r="AA131" s="416">
        <v>131</v>
      </c>
      <c r="AB131" s="416">
        <v>131</v>
      </c>
      <c r="AC131" s="416">
        <v>131</v>
      </c>
      <c r="AD131" s="416">
        <v>127</v>
      </c>
      <c r="AE131" s="416">
        <v>112</v>
      </c>
      <c r="AF131" s="416">
        <v>96.2</v>
      </c>
      <c r="AG131" s="416">
        <v>79.099999999999994</v>
      </c>
      <c r="AH131" s="416">
        <v>62.1</v>
      </c>
      <c r="AI131" s="416">
        <v>46</v>
      </c>
      <c r="AJ131" s="416">
        <v>32.1</v>
      </c>
      <c r="AK131" s="416">
        <v>21.2</v>
      </c>
      <c r="AL131" s="416">
        <v>14.4</v>
      </c>
      <c r="AM131" s="416">
        <v>0</v>
      </c>
      <c r="AN131" s="416">
        <v>0</v>
      </c>
      <c r="AO131" s="416">
        <v>0</v>
      </c>
      <c r="AP131" s="416">
        <v>0</v>
      </c>
      <c r="AQ131" s="416">
        <v>0</v>
      </c>
      <c r="AR131" s="416">
        <v>0</v>
      </c>
      <c r="AS131" s="416">
        <v>0</v>
      </c>
      <c r="AT131" s="416">
        <v>0</v>
      </c>
      <c r="AU131" s="416">
        <v>0</v>
      </c>
      <c r="AV131" s="416">
        <v>0</v>
      </c>
      <c r="AW131" s="416">
        <v>0</v>
      </c>
      <c r="AX131" s="416">
        <v>0</v>
      </c>
      <c r="AY131" s="416">
        <v>0</v>
      </c>
      <c r="AZ131" s="416">
        <v>0</v>
      </c>
    </row>
    <row r="132" spans="1:52" s="411" customFormat="1" ht="28.8" x14ac:dyDescent="0.3">
      <c r="A132" s="415" t="str">
        <f t="shared" si="1"/>
        <v>SA/EN 10028-2 Gr.P295GH</v>
      </c>
      <c r="B132" s="415">
        <v>126</v>
      </c>
      <c r="C132" s="415" t="s">
        <v>2673</v>
      </c>
      <c r="D132" s="415" t="s">
        <v>2684</v>
      </c>
      <c r="E132" s="415" t="s">
        <v>2162</v>
      </c>
      <c r="F132" s="415" t="s">
        <v>2517</v>
      </c>
      <c r="G132" s="415">
        <v>0</v>
      </c>
      <c r="H132" s="415">
        <v>0</v>
      </c>
      <c r="I132" s="415" t="s">
        <v>2795</v>
      </c>
      <c r="J132" s="415">
        <v>1</v>
      </c>
      <c r="K132" s="415">
        <v>1</v>
      </c>
      <c r="L132" s="415">
        <v>460</v>
      </c>
      <c r="M132" s="415">
        <v>0</v>
      </c>
      <c r="N132" s="415">
        <v>454</v>
      </c>
      <c r="O132" s="415" t="s">
        <v>2675</v>
      </c>
      <c r="P132" s="415">
        <v>538</v>
      </c>
      <c r="Q132" s="415">
        <v>343</v>
      </c>
      <c r="R132" s="415" t="s">
        <v>2699</v>
      </c>
      <c r="S132" s="415" t="s">
        <v>2778</v>
      </c>
      <c r="T132" s="416">
        <v>131</v>
      </c>
      <c r="U132" s="416">
        <v>131</v>
      </c>
      <c r="V132" s="416">
        <v>131</v>
      </c>
      <c r="W132" s="416">
        <v>131</v>
      </c>
      <c r="X132" s="416">
        <v>131</v>
      </c>
      <c r="Y132" s="416">
        <v>131</v>
      </c>
      <c r="Z132" s="416">
        <v>131</v>
      </c>
      <c r="AA132" s="416">
        <v>131</v>
      </c>
      <c r="AB132" s="416">
        <v>131</v>
      </c>
      <c r="AC132" s="416">
        <v>131</v>
      </c>
      <c r="AD132" s="416">
        <v>127</v>
      </c>
      <c r="AE132" s="416">
        <v>112</v>
      </c>
      <c r="AF132" s="416">
        <v>96.2</v>
      </c>
      <c r="AG132" s="416">
        <v>79.099999999999994</v>
      </c>
      <c r="AH132" s="416">
        <v>62.1</v>
      </c>
      <c r="AI132" s="416">
        <v>46</v>
      </c>
      <c r="AJ132" s="416">
        <v>32.1</v>
      </c>
      <c r="AK132" s="416">
        <v>21.2</v>
      </c>
      <c r="AL132" s="416">
        <v>14.4</v>
      </c>
      <c r="AM132" s="416">
        <v>0</v>
      </c>
      <c r="AN132" s="416">
        <v>0</v>
      </c>
      <c r="AO132" s="416">
        <v>0</v>
      </c>
      <c r="AP132" s="416">
        <v>0</v>
      </c>
      <c r="AQ132" s="416">
        <v>0</v>
      </c>
      <c r="AR132" s="416">
        <v>0</v>
      </c>
      <c r="AS132" s="416">
        <v>0</v>
      </c>
      <c r="AT132" s="416">
        <v>0</v>
      </c>
      <c r="AU132" s="416">
        <v>0</v>
      </c>
      <c r="AV132" s="416">
        <v>0</v>
      </c>
      <c r="AW132" s="416">
        <v>0</v>
      </c>
      <c r="AX132" s="416">
        <v>0</v>
      </c>
      <c r="AY132" s="416">
        <v>0</v>
      </c>
      <c r="AZ132" s="416">
        <v>0</v>
      </c>
    </row>
    <row r="133" spans="1:52" s="411" customFormat="1" x14ac:dyDescent="0.3">
      <c r="A133" s="415" t="str">
        <f t="shared" si="1"/>
        <v>SA/GB 6654 Gr.16MnR</v>
      </c>
      <c r="B133" s="415">
        <v>127</v>
      </c>
      <c r="C133" s="415" t="s">
        <v>2673</v>
      </c>
      <c r="D133" s="415" t="s">
        <v>2684</v>
      </c>
      <c r="E133" s="415" t="s">
        <v>2171</v>
      </c>
      <c r="F133" s="415" t="s">
        <v>2220</v>
      </c>
      <c r="G133" s="415">
        <v>0</v>
      </c>
      <c r="H133" s="415">
        <v>0</v>
      </c>
      <c r="I133" s="415" t="s">
        <v>2794</v>
      </c>
      <c r="J133" s="415">
        <v>1</v>
      </c>
      <c r="K133" s="415">
        <v>1</v>
      </c>
      <c r="L133" s="415">
        <v>460</v>
      </c>
      <c r="M133" s="415">
        <v>285</v>
      </c>
      <c r="N133" s="415" t="s">
        <v>2675</v>
      </c>
      <c r="O133" s="415" t="s">
        <v>2675</v>
      </c>
      <c r="P133" s="415">
        <v>250</v>
      </c>
      <c r="Q133" s="415" t="s">
        <v>2675</v>
      </c>
      <c r="R133" s="415" t="s">
        <v>2699</v>
      </c>
      <c r="S133" s="415">
        <v>0</v>
      </c>
      <c r="T133" s="416">
        <v>131</v>
      </c>
      <c r="U133" s="416">
        <v>131</v>
      </c>
      <c r="V133" s="416">
        <v>131</v>
      </c>
      <c r="W133" s="416">
        <v>131</v>
      </c>
      <c r="X133" s="416">
        <v>131</v>
      </c>
      <c r="Y133" s="416">
        <v>131</v>
      </c>
      <c r="Z133" s="416">
        <v>131</v>
      </c>
      <c r="AA133" s="416">
        <v>131</v>
      </c>
      <c r="AB133" s="416">
        <v>0</v>
      </c>
      <c r="AC133" s="416">
        <v>0</v>
      </c>
      <c r="AD133" s="416">
        <v>0</v>
      </c>
      <c r="AE133" s="416">
        <v>0</v>
      </c>
      <c r="AF133" s="416">
        <v>0</v>
      </c>
      <c r="AG133" s="416">
        <v>0</v>
      </c>
      <c r="AH133" s="416">
        <v>0</v>
      </c>
      <c r="AI133" s="416">
        <v>0</v>
      </c>
      <c r="AJ133" s="416">
        <v>0</v>
      </c>
      <c r="AK133" s="416">
        <v>0</v>
      </c>
      <c r="AL133" s="416">
        <v>0</v>
      </c>
      <c r="AM133" s="416">
        <v>0</v>
      </c>
      <c r="AN133" s="416">
        <v>0</v>
      </c>
      <c r="AO133" s="416">
        <v>0</v>
      </c>
      <c r="AP133" s="416">
        <v>0</v>
      </c>
      <c r="AQ133" s="416">
        <v>0</v>
      </c>
      <c r="AR133" s="416">
        <v>0</v>
      </c>
      <c r="AS133" s="416">
        <v>0</v>
      </c>
      <c r="AT133" s="416">
        <v>0</v>
      </c>
      <c r="AU133" s="416">
        <v>0</v>
      </c>
      <c r="AV133" s="416">
        <v>0</v>
      </c>
      <c r="AW133" s="416">
        <v>0</v>
      </c>
      <c r="AX133" s="416">
        <v>0</v>
      </c>
      <c r="AY133" s="416">
        <v>0</v>
      </c>
      <c r="AZ133" s="416">
        <v>0</v>
      </c>
    </row>
    <row r="134" spans="1:52" s="411" customFormat="1" x14ac:dyDescent="0.3">
      <c r="A134" s="415" t="str">
        <f t="shared" si="1"/>
        <v>SA/GB 6654 Gr.16MnR</v>
      </c>
      <c r="B134" s="415">
        <v>128</v>
      </c>
      <c r="C134" s="415" t="s">
        <v>2673</v>
      </c>
      <c r="D134" s="415" t="s">
        <v>2684</v>
      </c>
      <c r="E134" s="415" t="s">
        <v>2171</v>
      </c>
      <c r="F134" s="415" t="s">
        <v>2220</v>
      </c>
      <c r="G134" s="415">
        <v>0</v>
      </c>
      <c r="H134" s="415">
        <v>0</v>
      </c>
      <c r="I134" s="415" t="s">
        <v>2796</v>
      </c>
      <c r="J134" s="415">
        <v>1</v>
      </c>
      <c r="K134" s="415">
        <v>1</v>
      </c>
      <c r="L134" s="415">
        <v>470</v>
      </c>
      <c r="M134" s="415">
        <v>305</v>
      </c>
      <c r="N134" s="415" t="s">
        <v>2675</v>
      </c>
      <c r="O134" s="415" t="s">
        <v>2675</v>
      </c>
      <c r="P134" s="415">
        <v>250</v>
      </c>
      <c r="Q134" s="415" t="s">
        <v>2675</v>
      </c>
      <c r="R134" s="415" t="s">
        <v>2699</v>
      </c>
      <c r="S134" s="415">
        <v>0</v>
      </c>
      <c r="T134" s="416">
        <v>134</v>
      </c>
      <c r="U134" s="416">
        <v>134</v>
      </c>
      <c r="V134" s="416">
        <v>134</v>
      </c>
      <c r="W134" s="416">
        <v>134</v>
      </c>
      <c r="X134" s="416">
        <v>134</v>
      </c>
      <c r="Y134" s="416">
        <v>134</v>
      </c>
      <c r="Z134" s="416">
        <v>134</v>
      </c>
      <c r="AA134" s="416">
        <v>134</v>
      </c>
      <c r="AB134" s="416">
        <v>0</v>
      </c>
      <c r="AC134" s="416">
        <v>0</v>
      </c>
      <c r="AD134" s="416">
        <v>0</v>
      </c>
      <c r="AE134" s="416">
        <v>0</v>
      </c>
      <c r="AF134" s="416">
        <v>0</v>
      </c>
      <c r="AG134" s="416">
        <v>0</v>
      </c>
      <c r="AH134" s="416">
        <v>0</v>
      </c>
      <c r="AI134" s="416">
        <v>0</v>
      </c>
      <c r="AJ134" s="416">
        <v>0</v>
      </c>
      <c r="AK134" s="416">
        <v>0</v>
      </c>
      <c r="AL134" s="416">
        <v>0</v>
      </c>
      <c r="AM134" s="416">
        <v>0</v>
      </c>
      <c r="AN134" s="416">
        <v>0</v>
      </c>
      <c r="AO134" s="416">
        <v>0</v>
      </c>
      <c r="AP134" s="416">
        <v>0</v>
      </c>
      <c r="AQ134" s="416">
        <v>0</v>
      </c>
      <c r="AR134" s="416">
        <v>0</v>
      </c>
      <c r="AS134" s="416">
        <v>0</v>
      </c>
      <c r="AT134" s="416">
        <v>0</v>
      </c>
      <c r="AU134" s="416">
        <v>0</v>
      </c>
      <c r="AV134" s="416">
        <v>0</v>
      </c>
      <c r="AW134" s="416">
        <v>0</v>
      </c>
      <c r="AX134" s="416">
        <v>0</v>
      </c>
      <c r="AY134" s="416">
        <v>0</v>
      </c>
      <c r="AZ134" s="416">
        <v>0</v>
      </c>
    </row>
    <row r="135" spans="1:52" s="411" customFormat="1" x14ac:dyDescent="0.3">
      <c r="A135" s="415" t="str">
        <f t="shared" si="1"/>
        <v>SA-455 Gr.0</v>
      </c>
      <c r="B135" s="415">
        <v>129</v>
      </c>
      <c r="C135" s="415" t="s">
        <v>2673</v>
      </c>
      <c r="D135" s="415" t="s">
        <v>2684</v>
      </c>
      <c r="E135" s="415" t="s">
        <v>2243</v>
      </c>
      <c r="F135" s="415">
        <v>0</v>
      </c>
      <c r="G135" s="415" t="s">
        <v>2797</v>
      </c>
      <c r="H135" s="415">
        <v>0</v>
      </c>
      <c r="I135" s="415" t="s">
        <v>2798</v>
      </c>
      <c r="J135" s="415">
        <v>1</v>
      </c>
      <c r="K135" s="415">
        <v>2</v>
      </c>
      <c r="L135" s="415">
        <v>485</v>
      </c>
      <c r="M135" s="415">
        <v>240</v>
      </c>
      <c r="N135" s="415" t="s">
        <v>2675</v>
      </c>
      <c r="O135" s="415" t="s">
        <v>2799</v>
      </c>
      <c r="P135" s="415">
        <v>343</v>
      </c>
      <c r="Q135" s="415">
        <v>343</v>
      </c>
      <c r="R135" s="415" t="s">
        <v>2699</v>
      </c>
      <c r="S135" s="415">
        <v>0</v>
      </c>
      <c r="T135" s="416">
        <v>138</v>
      </c>
      <c r="U135" s="416">
        <v>138</v>
      </c>
      <c r="V135" s="416">
        <v>138</v>
      </c>
      <c r="W135" s="416">
        <v>138</v>
      </c>
      <c r="X135" s="416">
        <v>138</v>
      </c>
      <c r="Y135" s="416">
        <v>138</v>
      </c>
      <c r="Z135" s="416">
        <v>137</v>
      </c>
      <c r="AA135" s="416">
        <v>132</v>
      </c>
      <c r="AB135" s="416">
        <v>126</v>
      </c>
      <c r="AC135" s="416">
        <v>122</v>
      </c>
      <c r="AD135" s="416">
        <v>119</v>
      </c>
      <c r="AE135" s="416">
        <v>0</v>
      </c>
      <c r="AF135" s="416">
        <v>0</v>
      </c>
      <c r="AG135" s="416">
        <v>0</v>
      </c>
      <c r="AH135" s="416">
        <v>0</v>
      </c>
      <c r="AI135" s="416">
        <v>0</v>
      </c>
      <c r="AJ135" s="416">
        <v>0</v>
      </c>
      <c r="AK135" s="416">
        <v>0</v>
      </c>
      <c r="AL135" s="416">
        <v>0</v>
      </c>
      <c r="AM135" s="416">
        <v>0</v>
      </c>
      <c r="AN135" s="416">
        <v>0</v>
      </c>
      <c r="AO135" s="416">
        <v>0</v>
      </c>
      <c r="AP135" s="416">
        <v>0</v>
      </c>
      <c r="AQ135" s="416">
        <v>0</v>
      </c>
      <c r="AR135" s="416">
        <v>0</v>
      </c>
      <c r="AS135" s="416">
        <v>0</v>
      </c>
      <c r="AT135" s="416">
        <v>0</v>
      </c>
      <c r="AU135" s="416">
        <v>0</v>
      </c>
      <c r="AV135" s="416">
        <v>0</v>
      </c>
      <c r="AW135" s="416">
        <v>0</v>
      </c>
      <c r="AX135" s="416">
        <v>0</v>
      </c>
      <c r="AY135" s="416">
        <v>0</v>
      </c>
      <c r="AZ135" s="416">
        <v>0</v>
      </c>
    </row>
    <row r="136" spans="1:52" s="411" customFormat="1" x14ac:dyDescent="0.3">
      <c r="A136" s="415" t="str">
        <f t="shared" ref="A136:A199" si="2">CONCATENATE(E136," Gr.",F136)</f>
        <v>SA-675 Gr.70</v>
      </c>
      <c r="B136" s="415">
        <v>130</v>
      </c>
      <c r="C136" s="415" t="s">
        <v>2673</v>
      </c>
      <c r="D136" s="415" t="s">
        <v>2677</v>
      </c>
      <c r="E136" s="415" t="s">
        <v>2299</v>
      </c>
      <c r="F136" s="415">
        <v>70</v>
      </c>
      <c r="G136" s="415">
        <v>0</v>
      </c>
      <c r="H136" s="415">
        <v>0</v>
      </c>
      <c r="I136" s="415">
        <v>0</v>
      </c>
      <c r="J136" s="415">
        <v>1</v>
      </c>
      <c r="K136" s="415">
        <v>2</v>
      </c>
      <c r="L136" s="415">
        <v>485</v>
      </c>
      <c r="M136" s="415">
        <v>240</v>
      </c>
      <c r="N136" s="415">
        <v>454</v>
      </c>
      <c r="O136" s="415" t="s">
        <v>2678</v>
      </c>
      <c r="P136" s="415">
        <v>538</v>
      </c>
      <c r="Q136" s="415">
        <v>343</v>
      </c>
      <c r="R136" s="415" t="s">
        <v>2699</v>
      </c>
      <c r="S136" s="415" t="s">
        <v>2709</v>
      </c>
      <c r="T136" s="416">
        <v>138</v>
      </c>
      <c r="U136" s="416">
        <v>138</v>
      </c>
      <c r="V136" s="416">
        <v>138</v>
      </c>
      <c r="W136" s="416">
        <v>138</v>
      </c>
      <c r="X136" s="416">
        <v>138</v>
      </c>
      <c r="Y136" s="416">
        <v>138</v>
      </c>
      <c r="Z136" s="416">
        <v>137</v>
      </c>
      <c r="AA136" s="416">
        <v>132</v>
      </c>
      <c r="AB136" s="416">
        <v>126</v>
      </c>
      <c r="AC136" s="416">
        <v>122</v>
      </c>
      <c r="AD136" s="416">
        <v>119</v>
      </c>
      <c r="AE136" s="416">
        <v>114</v>
      </c>
      <c r="AF136" s="416">
        <v>101</v>
      </c>
      <c r="AG136" s="416">
        <v>83.9</v>
      </c>
      <c r="AH136" s="416">
        <v>67</v>
      </c>
      <c r="AI136" s="416">
        <v>51.1</v>
      </c>
      <c r="AJ136" s="416">
        <v>33.6</v>
      </c>
      <c r="AK136" s="416">
        <v>21.3</v>
      </c>
      <c r="AL136" s="416">
        <v>12.9</v>
      </c>
      <c r="AM136" s="416">
        <v>0</v>
      </c>
      <c r="AN136" s="416">
        <v>0</v>
      </c>
      <c r="AO136" s="416">
        <v>0</v>
      </c>
      <c r="AP136" s="416">
        <v>0</v>
      </c>
      <c r="AQ136" s="416">
        <v>0</v>
      </c>
      <c r="AR136" s="416">
        <v>0</v>
      </c>
      <c r="AS136" s="416">
        <v>0</v>
      </c>
      <c r="AT136" s="416">
        <v>0</v>
      </c>
      <c r="AU136" s="416">
        <v>0</v>
      </c>
      <c r="AV136" s="416">
        <v>0</v>
      </c>
      <c r="AW136" s="416">
        <v>0</v>
      </c>
      <c r="AX136" s="416">
        <v>0</v>
      </c>
      <c r="AY136" s="416">
        <v>0</v>
      </c>
      <c r="AZ136" s="416">
        <v>0</v>
      </c>
    </row>
    <row r="137" spans="1:52" s="411" customFormat="1" x14ac:dyDescent="0.3">
      <c r="A137" s="415" t="str">
        <f t="shared" si="2"/>
        <v>SA-105 Gr.0</v>
      </c>
      <c r="B137" s="415">
        <v>131</v>
      </c>
      <c r="C137" s="415" t="s">
        <v>2673</v>
      </c>
      <c r="D137" s="415" t="s">
        <v>2737</v>
      </c>
      <c r="E137" s="415" t="s">
        <v>2181</v>
      </c>
      <c r="F137" s="415">
        <v>0</v>
      </c>
      <c r="G137" s="415" t="s">
        <v>2765</v>
      </c>
      <c r="H137" s="415">
        <v>0</v>
      </c>
      <c r="I137" s="415">
        <v>0</v>
      </c>
      <c r="J137" s="415">
        <v>1</v>
      </c>
      <c r="K137" s="415">
        <v>2</v>
      </c>
      <c r="L137" s="415">
        <v>485</v>
      </c>
      <c r="M137" s="415">
        <v>250</v>
      </c>
      <c r="N137" s="415">
        <v>538</v>
      </c>
      <c r="O137" s="415">
        <v>371</v>
      </c>
      <c r="P137" s="415">
        <v>538</v>
      </c>
      <c r="Q137" s="415">
        <v>343</v>
      </c>
      <c r="R137" s="415" t="s">
        <v>2699</v>
      </c>
      <c r="S137" s="415" t="s">
        <v>2695</v>
      </c>
      <c r="T137" s="416">
        <v>138</v>
      </c>
      <c r="U137" s="416">
        <v>138</v>
      </c>
      <c r="V137" s="416">
        <v>138</v>
      </c>
      <c r="W137" s="416">
        <v>138</v>
      </c>
      <c r="X137" s="416">
        <v>138</v>
      </c>
      <c r="Y137" s="416">
        <v>138</v>
      </c>
      <c r="Z137" s="416">
        <v>138</v>
      </c>
      <c r="AA137" s="416">
        <v>136</v>
      </c>
      <c r="AB137" s="416">
        <v>129</v>
      </c>
      <c r="AC137" s="416">
        <v>125</v>
      </c>
      <c r="AD137" s="416">
        <v>122</v>
      </c>
      <c r="AE137" s="416">
        <v>117</v>
      </c>
      <c r="AF137" s="416">
        <v>101</v>
      </c>
      <c r="AG137" s="416">
        <v>83.9</v>
      </c>
      <c r="AH137" s="416">
        <v>67</v>
      </c>
      <c r="AI137" s="416">
        <v>51.1</v>
      </c>
      <c r="AJ137" s="416">
        <v>33.6</v>
      </c>
      <c r="AK137" s="416">
        <v>21.3</v>
      </c>
      <c r="AL137" s="416">
        <v>12.9</v>
      </c>
      <c r="AM137" s="416">
        <v>0</v>
      </c>
      <c r="AN137" s="416">
        <v>0</v>
      </c>
      <c r="AO137" s="416">
        <v>0</v>
      </c>
      <c r="AP137" s="416">
        <v>0</v>
      </c>
      <c r="AQ137" s="416">
        <v>0</v>
      </c>
      <c r="AR137" s="416">
        <v>0</v>
      </c>
      <c r="AS137" s="416">
        <v>0</v>
      </c>
      <c r="AT137" s="416">
        <v>0</v>
      </c>
      <c r="AU137" s="416">
        <v>0</v>
      </c>
      <c r="AV137" s="416">
        <v>0</v>
      </c>
      <c r="AW137" s="416">
        <v>0</v>
      </c>
      <c r="AX137" s="416">
        <v>0</v>
      </c>
      <c r="AY137" s="416">
        <v>0</v>
      </c>
      <c r="AZ137" s="416">
        <v>0</v>
      </c>
    </row>
    <row r="138" spans="1:52" s="411" customFormat="1" x14ac:dyDescent="0.3">
      <c r="A138" s="415" t="str">
        <f t="shared" si="2"/>
        <v>SA-181 Gr.0</v>
      </c>
      <c r="B138" s="415">
        <v>132</v>
      </c>
      <c r="C138" s="415" t="s">
        <v>2673</v>
      </c>
      <c r="D138" s="415" t="s">
        <v>2737</v>
      </c>
      <c r="E138" s="415" t="s">
        <v>2187</v>
      </c>
      <c r="F138" s="415">
        <v>0</v>
      </c>
      <c r="G138" s="415" t="s">
        <v>2738</v>
      </c>
      <c r="H138" s="415">
        <v>70</v>
      </c>
      <c r="I138" s="415">
        <v>0</v>
      </c>
      <c r="J138" s="415">
        <v>1</v>
      </c>
      <c r="K138" s="415">
        <v>2</v>
      </c>
      <c r="L138" s="415">
        <v>485</v>
      </c>
      <c r="M138" s="415">
        <v>250</v>
      </c>
      <c r="N138" s="415">
        <v>538</v>
      </c>
      <c r="O138" s="415">
        <v>371</v>
      </c>
      <c r="P138" s="415">
        <v>538</v>
      </c>
      <c r="Q138" s="415">
        <v>343</v>
      </c>
      <c r="R138" s="415" t="s">
        <v>2699</v>
      </c>
      <c r="S138" s="415" t="s">
        <v>2695</v>
      </c>
      <c r="T138" s="416">
        <v>138</v>
      </c>
      <c r="U138" s="416">
        <v>138</v>
      </c>
      <c r="V138" s="416">
        <v>138</v>
      </c>
      <c r="W138" s="416">
        <v>138</v>
      </c>
      <c r="X138" s="416">
        <v>138</v>
      </c>
      <c r="Y138" s="416">
        <v>138</v>
      </c>
      <c r="Z138" s="416">
        <v>138</v>
      </c>
      <c r="AA138" s="416">
        <v>136</v>
      </c>
      <c r="AB138" s="416">
        <v>129</v>
      </c>
      <c r="AC138" s="416">
        <v>125</v>
      </c>
      <c r="AD138" s="416">
        <v>122</v>
      </c>
      <c r="AE138" s="416">
        <v>117</v>
      </c>
      <c r="AF138" s="416">
        <v>101</v>
      </c>
      <c r="AG138" s="416">
        <v>83.9</v>
      </c>
      <c r="AH138" s="416">
        <v>67</v>
      </c>
      <c r="AI138" s="416">
        <v>51.1</v>
      </c>
      <c r="AJ138" s="416">
        <v>33.6</v>
      </c>
      <c r="AK138" s="416">
        <v>21.3</v>
      </c>
      <c r="AL138" s="416">
        <v>12.9</v>
      </c>
      <c r="AM138" s="416">
        <v>0</v>
      </c>
      <c r="AN138" s="416">
        <v>0</v>
      </c>
      <c r="AO138" s="416">
        <v>0</v>
      </c>
      <c r="AP138" s="416">
        <v>0</v>
      </c>
      <c r="AQ138" s="416">
        <v>0</v>
      </c>
      <c r="AR138" s="416">
        <v>0</v>
      </c>
      <c r="AS138" s="416">
        <v>0</v>
      </c>
      <c r="AT138" s="416">
        <v>0</v>
      </c>
      <c r="AU138" s="416">
        <v>0</v>
      </c>
      <c r="AV138" s="416">
        <v>0</v>
      </c>
      <c r="AW138" s="416">
        <v>0</v>
      </c>
      <c r="AX138" s="416">
        <v>0</v>
      </c>
      <c r="AY138" s="416">
        <v>0</v>
      </c>
      <c r="AZ138" s="416">
        <v>0</v>
      </c>
    </row>
    <row r="139" spans="1:52" s="411" customFormat="1" x14ac:dyDescent="0.3">
      <c r="A139" s="415" t="str">
        <f t="shared" si="2"/>
        <v>SA-216 Gr.WCB</v>
      </c>
      <c r="B139" s="415">
        <v>133</v>
      </c>
      <c r="C139" s="415" t="s">
        <v>2673</v>
      </c>
      <c r="D139" s="415" t="s">
        <v>2739</v>
      </c>
      <c r="E139" s="415" t="s">
        <v>2197</v>
      </c>
      <c r="F139" s="415" t="s">
        <v>2602</v>
      </c>
      <c r="G139" s="415" t="s">
        <v>2800</v>
      </c>
      <c r="H139" s="415">
        <v>0</v>
      </c>
      <c r="I139" s="415">
        <v>0</v>
      </c>
      <c r="J139" s="415">
        <v>1</v>
      </c>
      <c r="K139" s="415">
        <v>2</v>
      </c>
      <c r="L139" s="415">
        <v>485</v>
      </c>
      <c r="M139" s="415">
        <v>250</v>
      </c>
      <c r="N139" s="415">
        <v>538</v>
      </c>
      <c r="O139" s="415">
        <v>371</v>
      </c>
      <c r="P139" s="415">
        <v>538</v>
      </c>
      <c r="Q139" s="415">
        <v>343</v>
      </c>
      <c r="R139" s="415" t="s">
        <v>2699</v>
      </c>
      <c r="S139" s="415" t="s">
        <v>2741</v>
      </c>
      <c r="T139" s="416">
        <v>138</v>
      </c>
      <c r="U139" s="416">
        <v>138</v>
      </c>
      <c r="V139" s="416">
        <v>138</v>
      </c>
      <c r="W139" s="416">
        <v>138</v>
      </c>
      <c r="X139" s="416">
        <v>138</v>
      </c>
      <c r="Y139" s="416">
        <v>138</v>
      </c>
      <c r="Z139" s="416">
        <v>138</v>
      </c>
      <c r="AA139" s="416">
        <v>136</v>
      </c>
      <c r="AB139" s="416">
        <v>129</v>
      </c>
      <c r="AC139" s="416">
        <v>125</v>
      </c>
      <c r="AD139" s="416">
        <v>122</v>
      </c>
      <c r="AE139" s="416">
        <v>117</v>
      </c>
      <c r="AF139" s="416">
        <v>101</v>
      </c>
      <c r="AG139" s="416">
        <v>83.9</v>
      </c>
      <c r="AH139" s="416">
        <v>67</v>
      </c>
      <c r="AI139" s="416">
        <v>51.1</v>
      </c>
      <c r="AJ139" s="416">
        <v>33.6</v>
      </c>
      <c r="AK139" s="416">
        <v>21.3</v>
      </c>
      <c r="AL139" s="416">
        <v>12.9</v>
      </c>
      <c r="AM139" s="416">
        <v>0</v>
      </c>
      <c r="AN139" s="416">
        <v>0</v>
      </c>
      <c r="AO139" s="416">
        <v>0</v>
      </c>
      <c r="AP139" s="416">
        <v>0</v>
      </c>
      <c r="AQ139" s="416">
        <v>0</v>
      </c>
      <c r="AR139" s="416">
        <v>0</v>
      </c>
      <c r="AS139" s="416">
        <v>0</v>
      </c>
      <c r="AT139" s="416">
        <v>0</v>
      </c>
      <c r="AU139" s="416">
        <v>0</v>
      </c>
      <c r="AV139" s="416">
        <v>0</v>
      </c>
      <c r="AW139" s="416">
        <v>0</v>
      </c>
      <c r="AX139" s="416">
        <v>0</v>
      </c>
      <c r="AY139" s="416">
        <v>0</v>
      </c>
      <c r="AZ139" s="416">
        <v>0</v>
      </c>
    </row>
    <row r="140" spans="1:52" s="411" customFormat="1" x14ac:dyDescent="0.3">
      <c r="A140" s="415" t="str">
        <f t="shared" si="2"/>
        <v>SA-266 Gr.2</v>
      </c>
      <c r="B140" s="415">
        <v>134</v>
      </c>
      <c r="C140" s="415" t="s">
        <v>2673</v>
      </c>
      <c r="D140" s="415" t="s">
        <v>2737</v>
      </c>
      <c r="E140" s="415" t="s">
        <v>2202</v>
      </c>
      <c r="F140" s="415">
        <v>2</v>
      </c>
      <c r="G140" s="415" t="s">
        <v>2742</v>
      </c>
      <c r="H140" s="415">
        <v>0</v>
      </c>
      <c r="I140" s="415">
        <v>0</v>
      </c>
      <c r="J140" s="415">
        <v>1</v>
      </c>
      <c r="K140" s="415">
        <v>2</v>
      </c>
      <c r="L140" s="415">
        <v>485</v>
      </c>
      <c r="M140" s="415">
        <v>250</v>
      </c>
      <c r="N140" s="415">
        <v>538</v>
      </c>
      <c r="O140" s="415">
        <v>371</v>
      </c>
      <c r="P140" s="415">
        <v>538</v>
      </c>
      <c r="Q140" s="415">
        <v>343</v>
      </c>
      <c r="R140" s="415" t="s">
        <v>2699</v>
      </c>
      <c r="S140" s="415" t="s">
        <v>2695</v>
      </c>
      <c r="T140" s="416">
        <v>138</v>
      </c>
      <c r="U140" s="416">
        <v>138</v>
      </c>
      <c r="V140" s="416">
        <v>138</v>
      </c>
      <c r="W140" s="416">
        <v>138</v>
      </c>
      <c r="X140" s="416">
        <v>138</v>
      </c>
      <c r="Y140" s="416">
        <v>138</v>
      </c>
      <c r="Z140" s="416">
        <v>138</v>
      </c>
      <c r="AA140" s="416">
        <v>136</v>
      </c>
      <c r="AB140" s="416">
        <v>129</v>
      </c>
      <c r="AC140" s="416">
        <v>125</v>
      </c>
      <c r="AD140" s="416">
        <v>122</v>
      </c>
      <c r="AE140" s="416">
        <v>117</v>
      </c>
      <c r="AF140" s="416">
        <v>101</v>
      </c>
      <c r="AG140" s="416">
        <v>83.9</v>
      </c>
      <c r="AH140" s="416">
        <v>67</v>
      </c>
      <c r="AI140" s="416">
        <v>51.1</v>
      </c>
      <c r="AJ140" s="416">
        <v>33.6</v>
      </c>
      <c r="AK140" s="416">
        <v>21.3</v>
      </c>
      <c r="AL140" s="416">
        <v>12.9</v>
      </c>
      <c r="AM140" s="416">
        <v>0</v>
      </c>
      <c r="AN140" s="416">
        <v>0</v>
      </c>
      <c r="AO140" s="416">
        <v>0</v>
      </c>
      <c r="AP140" s="416">
        <v>0</v>
      </c>
      <c r="AQ140" s="416">
        <v>0</v>
      </c>
      <c r="AR140" s="416">
        <v>0</v>
      </c>
      <c r="AS140" s="416">
        <v>0</v>
      </c>
      <c r="AT140" s="416">
        <v>0</v>
      </c>
      <c r="AU140" s="416">
        <v>0</v>
      </c>
      <c r="AV140" s="416">
        <v>0</v>
      </c>
      <c r="AW140" s="416">
        <v>0</v>
      </c>
      <c r="AX140" s="416">
        <v>0</v>
      </c>
      <c r="AY140" s="416">
        <v>0</v>
      </c>
      <c r="AZ140" s="416">
        <v>0</v>
      </c>
    </row>
    <row r="141" spans="1:52" s="411" customFormat="1" x14ac:dyDescent="0.3">
      <c r="A141" s="415" t="str">
        <f t="shared" si="2"/>
        <v>SA-266 Gr.4</v>
      </c>
      <c r="B141" s="415">
        <v>135</v>
      </c>
      <c r="C141" s="415" t="s">
        <v>2673</v>
      </c>
      <c r="D141" s="415" t="s">
        <v>2737</v>
      </c>
      <c r="E141" s="415" t="s">
        <v>2202</v>
      </c>
      <c r="F141" s="415">
        <v>4</v>
      </c>
      <c r="G141" s="415" t="s">
        <v>2801</v>
      </c>
      <c r="H141" s="415">
        <v>0</v>
      </c>
      <c r="I141" s="415">
        <v>0</v>
      </c>
      <c r="J141" s="415">
        <v>1</v>
      </c>
      <c r="K141" s="415">
        <v>2</v>
      </c>
      <c r="L141" s="415">
        <v>485</v>
      </c>
      <c r="M141" s="415">
        <v>250</v>
      </c>
      <c r="N141" s="415" t="s">
        <v>2675</v>
      </c>
      <c r="O141" s="415" t="s">
        <v>2675</v>
      </c>
      <c r="P141" s="415">
        <v>538</v>
      </c>
      <c r="Q141" s="415">
        <v>343</v>
      </c>
      <c r="R141" s="415" t="s">
        <v>2699</v>
      </c>
      <c r="S141" s="415" t="s">
        <v>2686</v>
      </c>
      <c r="T141" s="416">
        <v>138</v>
      </c>
      <c r="U141" s="416">
        <v>138</v>
      </c>
      <c r="V141" s="416">
        <v>138</v>
      </c>
      <c r="W141" s="416">
        <v>138</v>
      </c>
      <c r="X141" s="416">
        <v>138</v>
      </c>
      <c r="Y141" s="416">
        <v>138</v>
      </c>
      <c r="Z141" s="416">
        <v>138</v>
      </c>
      <c r="AA141" s="416">
        <v>136</v>
      </c>
      <c r="AB141" s="416">
        <v>129</v>
      </c>
      <c r="AC141" s="416">
        <v>125</v>
      </c>
      <c r="AD141" s="416">
        <v>122</v>
      </c>
      <c r="AE141" s="416">
        <v>117</v>
      </c>
      <c r="AF141" s="416">
        <v>101</v>
      </c>
      <c r="AG141" s="416">
        <v>83.9</v>
      </c>
      <c r="AH141" s="416">
        <v>67</v>
      </c>
      <c r="AI141" s="416">
        <v>51.1</v>
      </c>
      <c r="AJ141" s="416">
        <v>33.6</v>
      </c>
      <c r="AK141" s="416">
        <v>21.3</v>
      </c>
      <c r="AL141" s="416">
        <v>12.9</v>
      </c>
      <c r="AM141" s="416">
        <v>0</v>
      </c>
      <c r="AN141" s="416">
        <v>0</v>
      </c>
      <c r="AO141" s="416">
        <v>0</v>
      </c>
      <c r="AP141" s="416">
        <v>0</v>
      </c>
      <c r="AQ141" s="416">
        <v>0</v>
      </c>
      <c r="AR141" s="416">
        <v>0</v>
      </c>
      <c r="AS141" s="416">
        <v>0</v>
      </c>
      <c r="AT141" s="416">
        <v>0</v>
      </c>
      <c r="AU141" s="416">
        <v>0</v>
      </c>
      <c r="AV141" s="416">
        <v>0</v>
      </c>
      <c r="AW141" s="416">
        <v>0</v>
      </c>
      <c r="AX141" s="416">
        <v>0</v>
      </c>
      <c r="AY141" s="416">
        <v>0</v>
      </c>
      <c r="AZ141" s="416">
        <v>0</v>
      </c>
    </row>
    <row r="142" spans="1:52" s="411" customFormat="1" x14ac:dyDescent="0.3">
      <c r="A142" s="415" t="str">
        <f t="shared" si="2"/>
        <v>SA-350 Gr.LF2</v>
      </c>
      <c r="B142" s="415">
        <v>136</v>
      </c>
      <c r="C142" s="415" t="s">
        <v>2673</v>
      </c>
      <c r="D142" s="415" t="s">
        <v>2737</v>
      </c>
      <c r="E142" s="415" t="s">
        <v>2212</v>
      </c>
      <c r="F142" s="415" t="s">
        <v>2502</v>
      </c>
      <c r="G142" s="415" t="s">
        <v>2802</v>
      </c>
      <c r="H142" s="415">
        <v>1</v>
      </c>
      <c r="I142" s="415">
        <v>0</v>
      </c>
      <c r="J142" s="415">
        <v>1</v>
      </c>
      <c r="K142" s="415">
        <v>2</v>
      </c>
      <c r="L142" s="415">
        <v>485</v>
      </c>
      <c r="M142" s="415">
        <v>250</v>
      </c>
      <c r="N142" s="415" t="s">
        <v>2675</v>
      </c>
      <c r="O142" s="415">
        <v>371</v>
      </c>
      <c r="P142" s="415">
        <v>538</v>
      </c>
      <c r="Q142" s="415">
        <v>343</v>
      </c>
      <c r="R142" s="415" t="s">
        <v>2699</v>
      </c>
      <c r="S142" s="415" t="s">
        <v>2686</v>
      </c>
      <c r="T142" s="416">
        <v>138</v>
      </c>
      <c r="U142" s="416">
        <v>138</v>
      </c>
      <c r="V142" s="416">
        <v>138</v>
      </c>
      <c r="W142" s="416">
        <v>138</v>
      </c>
      <c r="X142" s="416">
        <v>138</v>
      </c>
      <c r="Y142" s="416">
        <v>138</v>
      </c>
      <c r="Z142" s="416">
        <v>138</v>
      </c>
      <c r="AA142" s="416">
        <v>136</v>
      </c>
      <c r="AB142" s="416">
        <v>129</v>
      </c>
      <c r="AC142" s="416">
        <v>125</v>
      </c>
      <c r="AD142" s="416">
        <v>122</v>
      </c>
      <c r="AE142" s="416">
        <v>117</v>
      </c>
      <c r="AF142" s="416">
        <v>101</v>
      </c>
      <c r="AG142" s="416">
        <v>83.9</v>
      </c>
      <c r="AH142" s="416">
        <v>67</v>
      </c>
      <c r="AI142" s="416">
        <v>51.1</v>
      </c>
      <c r="AJ142" s="416">
        <v>33.6</v>
      </c>
      <c r="AK142" s="416">
        <v>21.3</v>
      </c>
      <c r="AL142" s="416">
        <v>12.9</v>
      </c>
      <c r="AM142" s="416">
        <v>0</v>
      </c>
      <c r="AN142" s="416">
        <v>0</v>
      </c>
      <c r="AO142" s="416">
        <v>0</v>
      </c>
      <c r="AP142" s="416">
        <v>0</v>
      </c>
      <c r="AQ142" s="416">
        <v>0</v>
      </c>
      <c r="AR142" s="416">
        <v>0</v>
      </c>
      <c r="AS142" s="416">
        <v>0</v>
      </c>
      <c r="AT142" s="416">
        <v>0</v>
      </c>
      <c r="AU142" s="416">
        <v>0</v>
      </c>
      <c r="AV142" s="416">
        <v>0</v>
      </c>
      <c r="AW142" s="416">
        <v>0</v>
      </c>
      <c r="AX142" s="416">
        <v>0</v>
      </c>
      <c r="AY142" s="416">
        <v>0</v>
      </c>
      <c r="AZ142" s="416">
        <v>0</v>
      </c>
    </row>
    <row r="143" spans="1:52" s="411" customFormat="1" x14ac:dyDescent="0.3">
      <c r="A143" s="415" t="str">
        <f t="shared" si="2"/>
        <v>SA-350 Gr.LF2</v>
      </c>
      <c r="B143" s="415">
        <v>137</v>
      </c>
      <c r="C143" s="415" t="s">
        <v>2673</v>
      </c>
      <c r="D143" s="415" t="s">
        <v>2737</v>
      </c>
      <c r="E143" s="415" t="s">
        <v>2212</v>
      </c>
      <c r="F143" s="415" t="s">
        <v>2502</v>
      </c>
      <c r="G143" s="415" t="s">
        <v>2802</v>
      </c>
      <c r="H143" s="415">
        <v>2</v>
      </c>
      <c r="I143" s="415">
        <v>0</v>
      </c>
      <c r="J143" s="415">
        <v>1</v>
      </c>
      <c r="K143" s="415">
        <v>2</v>
      </c>
      <c r="L143" s="415">
        <v>485</v>
      </c>
      <c r="M143" s="415">
        <v>250</v>
      </c>
      <c r="N143" s="415" t="s">
        <v>2675</v>
      </c>
      <c r="O143" s="415">
        <v>371</v>
      </c>
      <c r="P143" s="415">
        <v>538</v>
      </c>
      <c r="Q143" s="415">
        <v>343</v>
      </c>
      <c r="R143" s="415" t="s">
        <v>2699</v>
      </c>
      <c r="S143" s="415" t="s">
        <v>2686</v>
      </c>
      <c r="T143" s="416">
        <v>138</v>
      </c>
      <c r="U143" s="416">
        <v>138</v>
      </c>
      <c r="V143" s="416">
        <v>138</v>
      </c>
      <c r="W143" s="416">
        <v>138</v>
      </c>
      <c r="X143" s="416">
        <v>138</v>
      </c>
      <c r="Y143" s="416">
        <v>138</v>
      </c>
      <c r="Z143" s="416">
        <v>138</v>
      </c>
      <c r="AA143" s="416">
        <v>136</v>
      </c>
      <c r="AB143" s="416">
        <v>129</v>
      </c>
      <c r="AC143" s="416">
        <v>125</v>
      </c>
      <c r="AD143" s="416">
        <v>122</v>
      </c>
      <c r="AE143" s="416">
        <v>117</v>
      </c>
      <c r="AF143" s="416">
        <v>101</v>
      </c>
      <c r="AG143" s="416">
        <v>83.9</v>
      </c>
      <c r="AH143" s="416">
        <v>67</v>
      </c>
      <c r="AI143" s="416">
        <v>51.1</v>
      </c>
      <c r="AJ143" s="416">
        <v>33.6</v>
      </c>
      <c r="AK143" s="416">
        <v>21.3</v>
      </c>
      <c r="AL143" s="416">
        <v>12.9</v>
      </c>
      <c r="AM143" s="416">
        <v>0</v>
      </c>
      <c r="AN143" s="416">
        <v>0</v>
      </c>
      <c r="AO143" s="416">
        <v>0</v>
      </c>
      <c r="AP143" s="416">
        <v>0</v>
      </c>
      <c r="AQ143" s="416">
        <v>0</v>
      </c>
      <c r="AR143" s="416">
        <v>0</v>
      </c>
      <c r="AS143" s="416">
        <v>0</v>
      </c>
      <c r="AT143" s="416">
        <v>0</v>
      </c>
      <c r="AU143" s="416">
        <v>0</v>
      </c>
      <c r="AV143" s="416">
        <v>0</v>
      </c>
      <c r="AW143" s="416">
        <v>0</v>
      </c>
      <c r="AX143" s="416">
        <v>0</v>
      </c>
      <c r="AY143" s="416">
        <v>0</v>
      </c>
      <c r="AZ143" s="416">
        <v>0</v>
      </c>
    </row>
    <row r="144" spans="1:52" s="411" customFormat="1" x14ac:dyDescent="0.3">
      <c r="A144" s="415" t="str">
        <f t="shared" si="2"/>
        <v>SA-508 Gr.1</v>
      </c>
      <c r="B144" s="415">
        <v>138</v>
      </c>
      <c r="C144" s="415" t="s">
        <v>2673</v>
      </c>
      <c r="D144" s="415" t="s">
        <v>2737</v>
      </c>
      <c r="E144" s="415" t="s">
        <v>2249</v>
      </c>
      <c r="F144" s="415">
        <v>1</v>
      </c>
      <c r="G144" s="415" t="s">
        <v>2803</v>
      </c>
      <c r="H144" s="415">
        <v>0</v>
      </c>
      <c r="I144" s="415">
        <v>0</v>
      </c>
      <c r="J144" s="415">
        <v>1</v>
      </c>
      <c r="K144" s="415">
        <v>2</v>
      </c>
      <c r="L144" s="415">
        <v>485</v>
      </c>
      <c r="M144" s="415">
        <v>250</v>
      </c>
      <c r="N144" s="415" t="s">
        <v>2675</v>
      </c>
      <c r="O144" s="415">
        <v>371</v>
      </c>
      <c r="P144" s="415">
        <v>538</v>
      </c>
      <c r="Q144" s="415">
        <v>343</v>
      </c>
      <c r="R144" s="415" t="s">
        <v>2699</v>
      </c>
      <c r="S144" s="415" t="s">
        <v>2686</v>
      </c>
      <c r="T144" s="416">
        <v>138</v>
      </c>
      <c r="U144" s="416">
        <v>138</v>
      </c>
      <c r="V144" s="416">
        <v>138</v>
      </c>
      <c r="W144" s="416">
        <v>138</v>
      </c>
      <c r="X144" s="416">
        <v>138</v>
      </c>
      <c r="Y144" s="416">
        <v>138</v>
      </c>
      <c r="Z144" s="416">
        <v>138</v>
      </c>
      <c r="AA144" s="416">
        <v>136</v>
      </c>
      <c r="AB144" s="416">
        <v>129</v>
      </c>
      <c r="AC144" s="416">
        <v>125</v>
      </c>
      <c r="AD144" s="416">
        <v>122</v>
      </c>
      <c r="AE144" s="416">
        <v>117</v>
      </c>
      <c r="AF144" s="416">
        <v>101</v>
      </c>
      <c r="AG144" s="416">
        <v>83.9</v>
      </c>
      <c r="AH144" s="416">
        <v>67</v>
      </c>
      <c r="AI144" s="416">
        <v>51.1</v>
      </c>
      <c r="AJ144" s="416">
        <v>33.6</v>
      </c>
      <c r="AK144" s="416">
        <v>21.3</v>
      </c>
      <c r="AL144" s="416">
        <v>12.9</v>
      </c>
      <c r="AM144" s="416">
        <v>0</v>
      </c>
      <c r="AN144" s="416">
        <v>0</v>
      </c>
      <c r="AO144" s="416">
        <v>0</v>
      </c>
      <c r="AP144" s="416">
        <v>0</v>
      </c>
      <c r="AQ144" s="416">
        <v>0</v>
      </c>
      <c r="AR144" s="416">
        <v>0</v>
      </c>
      <c r="AS144" s="416">
        <v>0</v>
      </c>
      <c r="AT144" s="416">
        <v>0</v>
      </c>
      <c r="AU144" s="416">
        <v>0</v>
      </c>
      <c r="AV144" s="416">
        <v>0</v>
      </c>
      <c r="AW144" s="416">
        <v>0</v>
      </c>
      <c r="AX144" s="416">
        <v>0</v>
      </c>
      <c r="AY144" s="416">
        <v>0</v>
      </c>
      <c r="AZ144" s="416">
        <v>0</v>
      </c>
    </row>
    <row r="145" spans="1:52" s="411" customFormat="1" x14ac:dyDescent="0.3">
      <c r="A145" s="415" t="str">
        <f t="shared" si="2"/>
        <v>SA-508 Gr.1A</v>
      </c>
      <c r="B145" s="415">
        <v>139</v>
      </c>
      <c r="C145" s="415" t="s">
        <v>2673</v>
      </c>
      <c r="D145" s="415" t="s">
        <v>2737</v>
      </c>
      <c r="E145" s="415" t="s">
        <v>2249</v>
      </c>
      <c r="F145" s="415" t="s">
        <v>2222</v>
      </c>
      <c r="G145" s="415" t="s">
        <v>2803</v>
      </c>
      <c r="H145" s="415">
        <v>0</v>
      </c>
      <c r="I145" s="415">
        <v>0</v>
      </c>
      <c r="J145" s="415">
        <v>1</v>
      </c>
      <c r="K145" s="415">
        <v>2</v>
      </c>
      <c r="L145" s="415">
        <v>485</v>
      </c>
      <c r="M145" s="415">
        <v>250</v>
      </c>
      <c r="N145" s="415" t="s">
        <v>2675</v>
      </c>
      <c r="O145" s="415">
        <v>371</v>
      </c>
      <c r="P145" s="415">
        <v>538</v>
      </c>
      <c r="Q145" s="415">
        <v>343</v>
      </c>
      <c r="R145" s="415" t="s">
        <v>2699</v>
      </c>
      <c r="S145" s="415" t="s">
        <v>2686</v>
      </c>
      <c r="T145" s="416">
        <v>138</v>
      </c>
      <c r="U145" s="416">
        <v>138</v>
      </c>
      <c r="V145" s="416">
        <v>138</v>
      </c>
      <c r="W145" s="416">
        <v>138</v>
      </c>
      <c r="X145" s="416">
        <v>138</v>
      </c>
      <c r="Y145" s="416">
        <v>138</v>
      </c>
      <c r="Z145" s="416">
        <v>138</v>
      </c>
      <c r="AA145" s="416">
        <v>136</v>
      </c>
      <c r="AB145" s="416">
        <v>129</v>
      </c>
      <c r="AC145" s="416">
        <v>125</v>
      </c>
      <c r="AD145" s="416">
        <v>122</v>
      </c>
      <c r="AE145" s="416">
        <v>117</v>
      </c>
      <c r="AF145" s="416">
        <v>101</v>
      </c>
      <c r="AG145" s="416">
        <v>83.9</v>
      </c>
      <c r="AH145" s="416">
        <v>67</v>
      </c>
      <c r="AI145" s="416">
        <v>51.1</v>
      </c>
      <c r="AJ145" s="416">
        <v>33.6</v>
      </c>
      <c r="AK145" s="416">
        <v>21.3</v>
      </c>
      <c r="AL145" s="416">
        <v>12.9</v>
      </c>
      <c r="AM145" s="416">
        <v>0</v>
      </c>
      <c r="AN145" s="416">
        <v>0</v>
      </c>
      <c r="AO145" s="416">
        <v>0</v>
      </c>
      <c r="AP145" s="416">
        <v>0</v>
      </c>
      <c r="AQ145" s="416">
        <v>0</v>
      </c>
      <c r="AR145" s="416">
        <v>0</v>
      </c>
      <c r="AS145" s="416">
        <v>0</v>
      </c>
      <c r="AT145" s="416">
        <v>0</v>
      </c>
      <c r="AU145" s="416">
        <v>0</v>
      </c>
      <c r="AV145" s="416">
        <v>0</v>
      </c>
      <c r="AW145" s="416">
        <v>0</v>
      </c>
      <c r="AX145" s="416">
        <v>0</v>
      </c>
      <c r="AY145" s="416">
        <v>0</v>
      </c>
      <c r="AZ145" s="416">
        <v>0</v>
      </c>
    </row>
    <row r="146" spans="1:52" s="411" customFormat="1" x14ac:dyDescent="0.3">
      <c r="A146" s="415" t="str">
        <f t="shared" si="2"/>
        <v>SA-541 Gr.1</v>
      </c>
      <c r="B146" s="415">
        <v>140</v>
      </c>
      <c r="C146" s="415" t="s">
        <v>2673</v>
      </c>
      <c r="D146" s="415" t="s">
        <v>2737</v>
      </c>
      <c r="E146" s="415" t="s">
        <v>2263</v>
      </c>
      <c r="F146" s="415">
        <v>1</v>
      </c>
      <c r="G146" s="415" t="s">
        <v>2742</v>
      </c>
      <c r="H146" s="415">
        <v>0</v>
      </c>
      <c r="I146" s="415">
        <v>0</v>
      </c>
      <c r="J146" s="415">
        <v>1</v>
      </c>
      <c r="K146" s="415">
        <v>2</v>
      </c>
      <c r="L146" s="415">
        <v>485</v>
      </c>
      <c r="M146" s="415">
        <v>250</v>
      </c>
      <c r="N146" s="415" t="s">
        <v>2675</v>
      </c>
      <c r="O146" s="415">
        <v>371</v>
      </c>
      <c r="P146" s="415">
        <v>538</v>
      </c>
      <c r="Q146" s="415">
        <v>343</v>
      </c>
      <c r="R146" s="415" t="s">
        <v>2699</v>
      </c>
      <c r="S146" s="415" t="s">
        <v>2686</v>
      </c>
      <c r="T146" s="416">
        <v>138</v>
      </c>
      <c r="U146" s="416">
        <v>138</v>
      </c>
      <c r="V146" s="416">
        <v>138</v>
      </c>
      <c r="W146" s="416">
        <v>138</v>
      </c>
      <c r="X146" s="416">
        <v>138</v>
      </c>
      <c r="Y146" s="416">
        <v>138</v>
      </c>
      <c r="Z146" s="416">
        <v>138</v>
      </c>
      <c r="AA146" s="416">
        <v>136</v>
      </c>
      <c r="AB146" s="416">
        <v>129</v>
      </c>
      <c r="AC146" s="416">
        <v>125</v>
      </c>
      <c r="AD146" s="416">
        <v>122</v>
      </c>
      <c r="AE146" s="416">
        <v>117</v>
      </c>
      <c r="AF146" s="416">
        <v>101</v>
      </c>
      <c r="AG146" s="416">
        <v>83.9</v>
      </c>
      <c r="AH146" s="416">
        <v>67</v>
      </c>
      <c r="AI146" s="416">
        <v>51.1</v>
      </c>
      <c r="AJ146" s="416">
        <v>33.6</v>
      </c>
      <c r="AK146" s="416">
        <v>21.3</v>
      </c>
      <c r="AL146" s="416">
        <v>12.9</v>
      </c>
      <c r="AM146" s="416">
        <v>0</v>
      </c>
      <c r="AN146" s="416">
        <v>0</v>
      </c>
      <c r="AO146" s="416">
        <v>0</v>
      </c>
      <c r="AP146" s="416">
        <v>0</v>
      </c>
      <c r="AQ146" s="416">
        <v>0</v>
      </c>
      <c r="AR146" s="416">
        <v>0</v>
      </c>
      <c r="AS146" s="416">
        <v>0</v>
      </c>
      <c r="AT146" s="416">
        <v>0</v>
      </c>
      <c r="AU146" s="416">
        <v>0</v>
      </c>
      <c r="AV146" s="416">
        <v>0</v>
      </c>
      <c r="AW146" s="416">
        <v>0</v>
      </c>
      <c r="AX146" s="416">
        <v>0</v>
      </c>
      <c r="AY146" s="416">
        <v>0</v>
      </c>
      <c r="AZ146" s="416">
        <v>0</v>
      </c>
    </row>
    <row r="147" spans="1:52" s="411" customFormat="1" x14ac:dyDescent="0.3">
      <c r="A147" s="415" t="str">
        <f t="shared" si="2"/>
        <v>SA-541 Gr.1A</v>
      </c>
      <c r="B147" s="415">
        <v>141</v>
      </c>
      <c r="C147" s="415" t="s">
        <v>2673</v>
      </c>
      <c r="D147" s="415" t="s">
        <v>2737</v>
      </c>
      <c r="E147" s="415" t="s">
        <v>2263</v>
      </c>
      <c r="F147" s="415" t="s">
        <v>2222</v>
      </c>
      <c r="G147" s="415" t="s">
        <v>2804</v>
      </c>
      <c r="H147" s="415">
        <v>0</v>
      </c>
      <c r="I147" s="415">
        <v>0</v>
      </c>
      <c r="J147" s="415">
        <v>1</v>
      </c>
      <c r="K147" s="415">
        <v>2</v>
      </c>
      <c r="L147" s="415">
        <v>485</v>
      </c>
      <c r="M147" s="415">
        <v>250</v>
      </c>
      <c r="N147" s="415" t="s">
        <v>2675</v>
      </c>
      <c r="O147" s="415">
        <v>371</v>
      </c>
      <c r="P147" s="415">
        <v>538</v>
      </c>
      <c r="Q147" s="415">
        <v>343</v>
      </c>
      <c r="R147" s="415" t="s">
        <v>2699</v>
      </c>
      <c r="S147" s="415" t="s">
        <v>2686</v>
      </c>
      <c r="T147" s="416">
        <v>138</v>
      </c>
      <c r="U147" s="416">
        <v>138</v>
      </c>
      <c r="V147" s="416">
        <v>138</v>
      </c>
      <c r="W147" s="416">
        <v>138</v>
      </c>
      <c r="X147" s="416">
        <v>138</v>
      </c>
      <c r="Y147" s="416">
        <v>138</v>
      </c>
      <c r="Z147" s="416">
        <v>138</v>
      </c>
      <c r="AA147" s="416">
        <v>136</v>
      </c>
      <c r="AB147" s="416">
        <v>129</v>
      </c>
      <c r="AC147" s="416">
        <v>125</v>
      </c>
      <c r="AD147" s="416">
        <v>122</v>
      </c>
      <c r="AE147" s="416">
        <v>117</v>
      </c>
      <c r="AF147" s="416">
        <v>101</v>
      </c>
      <c r="AG147" s="416">
        <v>83.9</v>
      </c>
      <c r="AH147" s="416">
        <v>67</v>
      </c>
      <c r="AI147" s="416">
        <v>51.1</v>
      </c>
      <c r="AJ147" s="416">
        <v>33.6</v>
      </c>
      <c r="AK147" s="416">
        <v>21.3</v>
      </c>
      <c r="AL147" s="416">
        <v>12.9</v>
      </c>
      <c r="AM147" s="416">
        <v>0</v>
      </c>
      <c r="AN147" s="416">
        <v>0</v>
      </c>
      <c r="AO147" s="416">
        <v>0</v>
      </c>
      <c r="AP147" s="416">
        <v>0</v>
      </c>
      <c r="AQ147" s="416">
        <v>0</v>
      </c>
      <c r="AR147" s="416">
        <v>0</v>
      </c>
      <c r="AS147" s="416">
        <v>0</v>
      </c>
      <c r="AT147" s="416">
        <v>0</v>
      </c>
      <c r="AU147" s="416">
        <v>0</v>
      </c>
      <c r="AV147" s="416">
        <v>0</v>
      </c>
      <c r="AW147" s="416">
        <v>0</v>
      </c>
      <c r="AX147" s="416">
        <v>0</v>
      </c>
      <c r="AY147" s="416">
        <v>0</v>
      </c>
      <c r="AZ147" s="416">
        <v>0</v>
      </c>
    </row>
    <row r="148" spans="1:52" s="411" customFormat="1" x14ac:dyDescent="0.3">
      <c r="A148" s="415" t="str">
        <f t="shared" si="2"/>
        <v>SA-660 Gr.WCB</v>
      </c>
      <c r="B148" s="415">
        <v>142</v>
      </c>
      <c r="C148" s="415" t="s">
        <v>2673</v>
      </c>
      <c r="D148" s="415" t="s">
        <v>2746</v>
      </c>
      <c r="E148" s="415" t="s">
        <v>2289</v>
      </c>
      <c r="F148" s="415" t="s">
        <v>2602</v>
      </c>
      <c r="G148" s="415" t="s">
        <v>2784</v>
      </c>
      <c r="H148" s="415">
        <v>0</v>
      </c>
      <c r="I148" s="415">
        <v>0</v>
      </c>
      <c r="J148" s="415">
        <v>1</v>
      </c>
      <c r="K148" s="415">
        <v>2</v>
      </c>
      <c r="L148" s="415">
        <v>485</v>
      </c>
      <c r="M148" s="415">
        <v>250</v>
      </c>
      <c r="N148" s="415">
        <v>538</v>
      </c>
      <c r="O148" s="415">
        <v>371</v>
      </c>
      <c r="P148" s="415" t="s">
        <v>2675</v>
      </c>
      <c r="Q148" s="415" t="s">
        <v>2675</v>
      </c>
      <c r="R148" s="415" t="s">
        <v>2699</v>
      </c>
      <c r="S148" s="415" t="s">
        <v>2741</v>
      </c>
      <c r="T148" s="416">
        <v>138</v>
      </c>
      <c r="U148" s="416">
        <v>138</v>
      </c>
      <c r="V148" s="416">
        <v>138</v>
      </c>
      <c r="W148" s="416">
        <v>138</v>
      </c>
      <c r="X148" s="416">
        <v>138</v>
      </c>
      <c r="Y148" s="416">
        <v>138</v>
      </c>
      <c r="Z148" s="416">
        <v>138</v>
      </c>
      <c r="AA148" s="416">
        <v>136</v>
      </c>
      <c r="AB148" s="416">
        <v>129</v>
      </c>
      <c r="AC148" s="416">
        <v>125</v>
      </c>
      <c r="AD148" s="416">
        <v>122</v>
      </c>
      <c r="AE148" s="416">
        <v>117</v>
      </c>
      <c r="AF148" s="416">
        <v>101</v>
      </c>
      <c r="AG148" s="416">
        <v>83.9</v>
      </c>
      <c r="AH148" s="416">
        <v>67</v>
      </c>
      <c r="AI148" s="416">
        <v>51.1</v>
      </c>
      <c r="AJ148" s="416">
        <v>33.6</v>
      </c>
      <c r="AK148" s="416">
        <v>21.3</v>
      </c>
      <c r="AL148" s="416">
        <v>12.9</v>
      </c>
      <c r="AM148" s="416">
        <v>0</v>
      </c>
      <c r="AN148" s="416">
        <v>0</v>
      </c>
      <c r="AO148" s="416">
        <v>0</v>
      </c>
      <c r="AP148" s="416">
        <v>0</v>
      </c>
      <c r="AQ148" s="416">
        <v>0</v>
      </c>
      <c r="AR148" s="416">
        <v>0</v>
      </c>
      <c r="AS148" s="416">
        <v>0</v>
      </c>
      <c r="AT148" s="416">
        <v>0</v>
      </c>
      <c r="AU148" s="416">
        <v>0</v>
      </c>
      <c r="AV148" s="416">
        <v>0</v>
      </c>
      <c r="AW148" s="416">
        <v>0</v>
      </c>
      <c r="AX148" s="416">
        <v>0</v>
      </c>
      <c r="AY148" s="416">
        <v>0</v>
      </c>
      <c r="AZ148" s="416">
        <v>0</v>
      </c>
    </row>
    <row r="149" spans="1:52" s="411" customFormat="1" x14ac:dyDescent="0.3">
      <c r="A149" s="415" t="str">
        <f t="shared" si="2"/>
        <v>SA-765 Gr.II</v>
      </c>
      <c r="B149" s="415">
        <v>143</v>
      </c>
      <c r="C149" s="415" t="s">
        <v>2673</v>
      </c>
      <c r="D149" s="415" t="s">
        <v>2737</v>
      </c>
      <c r="E149" s="415" t="s">
        <v>2320</v>
      </c>
      <c r="F149" s="415" t="s">
        <v>2484</v>
      </c>
      <c r="G149" s="415" t="s">
        <v>2805</v>
      </c>
      <c r="H149" s="415">
        <v>0</v>
      </c>
      <c r="I149" s="415">
        <v>0</v>
      </c>
      <c r="J149" s="415">
        <v>1</v>
      </c>
      <c r="K149" s="415">
        <v>2</v>
      </c>
      <c r="L149" s="415">
        <v>485</v>
      </c>
      <c r="M149" s="415">
        <v>250</v>
      </c>
      <c r="N149" s="415" t="s">
        <v>2675</v>
      </c>
      <c r="O149" s="415" t="s">
        <v>2675</v>
      </c>
      <c r="P149" s="415">
        <v>538</v>
      </c>
      <c r="Q149" s="415">
        <v>343</v>
      </c>
      <c r="R149" s="415" t="s">
        <v>2699</v>
      </c>
      <c r="S149" s="415" t="s">
        <v>2686</v>
      </c>
      <c r="T149" s="416">
        <v>138</v>
      </c>
      <c r="U149" s="416">
        <v>138</v>
      </c>
      <c r="V149" s="416">
        <v>138</v>
      </c>
      <c r="W149" s="416">
        <v>138</v>
      </c>
      <c r="X149" s="416">
        <v>138</v>
      </c>
      <c r="Y149" s="416">
        <v>138</v>
      </c>
      <c r="Z149" s="416">
        <v>138</v>
      </c>
      <c r="AA149" s="416">
        <v>136</v>
      </c>
      <c r="AB149" s="416">
        <v>129</v>
      </c>
      <c r="AC149" s="416">
        <v>125</v>
      </c>
      <c r="AD149" s="416">
        <v>122</v>
      </c>
      <c r="AE149" s="416">
        <v>117</v>
      </c>
      <c r="AF149" s="416">
        <v>101</v>
      </c>
      <c r="AG149" s="416">
        <v>83.9</v>
      </c>
      <c r="AH149" s="416">
        <v>67</v>
      </c>
      <c r="AI149" s="416">
        <v>51.1</v>
      </c>
      <c r="AJ149" s="416">
        <v>33.6</v>
      </c>
      <c r="AK149" s="416">
        <v>21.3</v>
      </c>
      <c r="AL149" s="416">
        <v>12.9</v>
      </c>
      <c r="AM149" s="416">
        <v>0</v>
      </c>
      <c r="AN149" s="416">
        <v>0</v>
      </c>
      <c r="AO149" s="416">
        <v>0</v>
      </c>
      <c r="AP149" s="416">
        <v>0</v>
      </c>
      <c r="AQ149" s="416">
        <v>0</v>
      </c>
      <c r="AR149" s="416">
        <v>0</v>
      </c>
      <c r="AS149" s="416">
        <v>0</v>
      </c>
      <c r="AT149" s="416">
        <v>0</v>
      </c>
      <c r="AU149" s="416">
        <v>0</v>
      </c>
      <c r="AV149" s="416">
        <v>0</v>
      </c>
      <c r="AW149" s="416">
        <v>0</v>
      </c>
      <c r="AX149" s="416">
        <v>0</v>
      </c>
      <c r="AY149" s="416">
        <v>0</v>
      </c>
      <c r="AZ149" s="416">
        <v>0</v>
      </c>
    </row>
    <row r="150" spans="1:52" s="411" customFormat="1" x14ac:dyDescent="0.3">
      <c r="A150" s="415" t="str">
        <f t="shared" si="2"/>
        <v>SA-515 Gr.70</v>
      </c>
      <c r="B150" s="415">
        <v>144</v>
      </c>
      <c r="C150" s="415" t="s">
        <v>2673</v>
      </c>
      <c r="D150" s="415" t="s">
        <v>2684</v>
      </c>
      <c r="E150" s="415" t="s">
        <v>2251</v>
      </c>
      <c r="F150" s="415">
        <v>70</v>
      </c>
      <c r="G150" s="415" t="s">
        <v>2806</v>
      </c>
      <c r="H150" s="415">
        <v>0</v>
      </c>
      <c r="I150" s="415">
        <v>0</v>
      </c>
      <c r="J150" s="415">
        <v>1</v>
      </c>
      <c r="K150" s="415">
        <v>2</v>
      </c>
      <c r="L150" s="415">
        <v>485</v>
      </c>
      <c r="M150" s="415">
        <v>260</v>
      </c>
      <c r="N150" s="415">
        <v>538</v>
      </c>
      <c r="O150" s="415">
        <v>371</v>
      </c>
      <c r="P150" s="415">
        <v>538</v>
      </c>
      <c r="Q150" s="415">
        <v>343</v>
      </c>
      <c r="R150" s="415" t="s">
        <v>2699</v>
      </c>
      <c r="S150" s="415" t="s">
        <v>2695</v>
      </c>
      <c r="T150" s="416">
        <v>138</v>
      </c>
      <c r="U150" s="416">
        <v>138</v>
      </c>
      <c r="V150" s="416">
        <v>138</v>
      </c>
      <c r="W150" s="416">
        <v>138</v>
      </c>
      <c r="X150" s="416">
        <v>138</v>
      </c>
      <c r="Y150" s="416">
        <v>138</v>
      </c>
      <c r="Z150" s="416">
        <v>138</v>
      </c>
      <c r="AA150" s="416">
        <v>138</v>
      </c>
      <c r="AB150" s="416">
        <v>136</v>
      </c>
      <c r="AC150" s="416">
        <v>132</v>
      </c>
      <c r="AD150" s="416">
        <v>128</v>
      </c>
      <c r="AE150" s="416">
        <v>123</v>
      </c>
      <c r="AF150" s="416">
        <v>101</v>
      </c>
      <c r="AG150" s="416">
        <v>83.8</v>
      </c>
      <c r="AH150" s="416">
        <v>67.099999999999994</v>
      </c>
      <c r="AI150" s="416">
        <v>51</v>
      </c>
      <c r="AJ150" s="416">
        <v>33.6</v>
      </c>
      <c r="AK150" s="416">
        <v>21.3</v>
      </c>
      <c r="AL150" s="416">
        <v>12.9</v>
      </c>
      <c r="AM150" s="416">
        <v>0</v>
      </c>
      <c r="AN150" s="416">
        <v>0</v>
      </c>
      <c r="AO150" s="416">
        <v>0</v>
      </c>
      <c r="AP150" s="416">
        <v>0</v>
      </c>
      <c r="AQ150" s="416">
        <v>0</v>
      </c>
      <c r="AR150" s="416">
        <v>0</v>
      </c>
      <c r="AS150" s="416">
        <v>0</v>
      </c>
      <c r="AT150" s="416">
        <v>0</v>
      </c>
      <c r="AU150" s="416">
        <v>0</v>
      </c>
      <c r="AV150" s="416">
        <v>0</v>
      </c>
      <c r="AW150" s="416">
        <v>0</v>
      </c>
      <c r="AX150" s="416">
        <v>0</v>
      </c>
      <c r="AY150" s="416">
        <v>0</v>
      </c>
      <c r="AZ150" s="416">
        <v>0</v>
      </c>
    </row>
    <row r="151" spans="1:52" s="411" customFormat="1" x14ac:dyDescent="0.3">
      <c r="A151" s="415" t="str">
        <f t="shared" si="2"/>
        <v>SA-516 Gr.70</v>
      </c>
      <c r="B151" s="415">
        <v>145</v>
      </c>
      <c r="C151" s="415" t="s">
        <v>2673</v>
      </c>
      <c r="D151" s="415" t="s">
        <v>2684</v>
      </c>
      <c r="E151" s="415" t="s">
        <v>2151</v>
      </c>
      <c r="F151" s="415">
        <v>70</v>
      </c>
      <c r="G151" s="415" t="s">
        <v>2807</v>
      </c>
      <c r="H151" s="415">
        <v>0</v>
      </c>
      <c r="I151" s="415">
        <v>0</v>
      </c>
      <c r="J151" s="415">
        <v>1</v>
      </c>
      <c r="K151" s="415">
        <v>2</v>
      </c>
      <c r="L151" s="415">
        <v>485</v>
      </c>
      <c r="M151" s="415">
        <v>260</v>
      </c>
      <c r="N151" s="415">
        <v>454</v>
      </c>
      <c r="O151" s="415">
        <v>371</v>
      </c>
      <c r="P151" s="415">
        <v>538</v>
      </c>
      <c r="Q151" s="415">
        <v>343</v>
      </c>
      <c r="R151" s="415" t="s">
        <v>2699</v>
      </c>
      <c r="S151" s="415" t="s">
        <v>2695</v>
      </c>
      <c r="T151" s="416">
        <v>138</v>
      </c>
      <c r="U151" s="416">
        <v>138</v>
      </c>
      <c r="V151" s="416">
        <v>138</v>
      </c>
      <c r="W151" s="416">
        <v>138</v>
      </c>
      <c r="X151" s="416">
        <v>138</v>
      </c>
      <c r="Y151" s="416">
        <v>138</v>
      </c>
      <c r="Z151" s="416">
        <v>138</v>
      </c>
      <c r="AA151" s="416">
        <v>138</v>
      </c>
      <c r="AB151" s="416">
        <v>136</v>
      </c>
      <c r="AC151" s="416">
        <v>132</v>
      </c>
      <c r="AD151" s="416">
        <v>128</v>
      </c>
      <c r="AE151" s="416">
        <v>123</v>
      </c>
      <c r="AF151" s="416">
        <v>101</v>
      </c>
      <c r="AG151" s="416">
        <v>83.8</v>
      </c>
      <c r="AH151" s="416">
        <v>67.099999999999994</v>
      </c>
      <c r="AI151" s="416">
        <v>51</v>
      </c>
      <c r="AJ151" s="416">
        <v>33.6</v>
      </c>
      <c r="AK151" s="416">
        <v>21.3</v>
      </c>
      <c r="AL151" s="416">
        <v>12.9</v>
      </c>
      <c r="AM151" s="416">
        <v>0</v>
      </c>
      <c r="AN151" s="416">
        <v>0</v>
      </c>
      <c r="AO151" s="416">
        <v>0</v>
      </c>
      <c r="AP151" s="416">
        <v>0</v>
      </c>
      <c r="AQ151" s="416">
        <v>0</v>
      </c>
      <c r="AR151" s="416">
        <v>0</v>
      </c>
      <c r="AS151" s="416">
        <v>0</v>
      </c>
      <c r="AT151" s="416">
        <v>0</v>
      </c>
      <c r="AU151" s="416">
        <v>0</v>
      </c>
      <c r="AV151" s="416">
        <v>0</v>
      </c>
      <c r="AW151" s="416">
        <v>0</v>
      </c>
      <c r="AX151" s="416">
        <v>0</v>
      </c>
      <c r="AY151" s="416">
        <v>0</v>
      </c>
      <c r="AZ151" s="416">
        <v>0</v>
      </c>
    </row>
    <row r="152" spans="1:52" s="411" customFormat="1" ht="28.8" x14ac:dyDescent="0.3">
      <c r="A152" s="415" t="str">
        <f t="shared" si="2"/>
        <v>SA/JIS G3118 Gr.SGV480</v>
      </c>
      <c r="B152" s="415">
        <v>146</v>
      </c>
      <c r="C152" s="415" t="s">
        <v>2673</v>
      </c>
      <c r="D152" s="415" t="s">
        <v>2684</v>
      </c>
      <c r="E152" s="415" t="s">
        <v>2173</v>
      </c>
      <c r="F152" s="415" t="s">
        <v>2525</v>
      </c>
      <c r="G152" s="415">
        <v>0</v>
      </c>
      <c r="H152" s="415">
        <v>0</v>
      </c>
      <c r="I152" s="415">
        <v>0</v>
      </c>
      <c r="J152" s="415">
        <v>1</v>
      </c>
      <c r="K152" s="415">
        <v>2</v>
      </c>
      <c r="L152" s="415">
        <v>485</v>
      </c>
      <c r="M152" s="415">
        <v>260</v>
      </c>
      <c r="N152" s="415">
        <v>454</v>
      </c>
      <c r="O152" s="415" t="s">
        <v>2675</v>
      </c>
      <c r="P152" s="415" t="s">
        <v>2675</v>
      </c>
      <c r="Q152" s="415" t="s">
        <v>2675</v>
      </c>
      <c r="R152" s="415" t="s">
        <v>2699</v>
      </c>
      <c r="S152" s="415" t="s">
        <v>2695</v>
      </c>
      <c r="T152" s="416">
        <v>138</v>
      </c>
      <c r="U152" s="416">
        <v>138</v>
      </c>
      <c r="V152" s="416">
        <v>138</v>
      </c>
      <c r="W152" s="416">
        <v>138</v>
      </c>
      <c r="X152" s="416">
        <v>138</v>
      </c>
      <c r="Y152" s="416">
        <v>138</v>
      </c>
      <c r="Z152" s="416">
        <v>138</v>
      </c>
      <c r="AA152" s="416">
        <v>138</v>
      </c>
      <c r="AB152" s="416">
        <v>136</v>
      </c>
      <c r="AC152" s="416">
        <v>132</v>
      </c>
      <c r="AD152" s="416">
        <v>128</v>
      </c>
      <c r="AE152" s="416">
        <v>123</v>
      </c>
      <c r="AF152" s="416">
        <v>101</v>
      </c>
      <c r="AG152" s="416">
        <v>83.8</v>
      </c>
      <c r="AH152" s="416">
        <v>67.099999999999994</v>
      </c>
      <c r="AI152" s="416">
        <v>51</v>
      </c>
      <c r="AJ152" s="416">
        <v>0</v>
      </c>
      <c r="AK152" s="416">
        <v>0</v>
      </c>
      <c r="AL152" s="416">
        <v>0</v>
      </c>
      <c r="AM152" s="416">
        <v>0</v>
      </c>
      <c r="AN152" s="416">
        <v>0</v>
      </c>
      <c r="AO152" s="416">
        <v>0</v>
      </c>
      <c r="AP152" s="416">
        <v>0</v>
      </c>
      <c r="AQ152" s="416">
        <v>0</v>
      </c>
      <c r="AR152" s="416">
        <v>0</v>
      </c>
      <c r="AS152" s="416">
        <v>0</v>
      </c>
      <c r="AT152" s="416">
        <v>0</v>
      </c>
      <c r="AU152" s="416">
        <v>0</v>
      </c>
      <c r="AV152" s="416">
        <v>0</v>
      </c>
      <c r="AW152" s="416">
        <v>0</v>
      </c>
      <c r="AX152" s="416">
        <v>0</v>
      </c>
      <c r="AY152" s="416">
        <v>0</v>
      </c>
      <c r="AZ152" s="416">
        <v>0</v>
      </c>
    </row>
    <row r="153" spans="1:52" s="411" customFormat="1" x14ac:dyDescent="0.3">
      <c r="A153" s="415" t="str">
        <f t="shared" si="2"/>
        <v>SA-671 Gr.CB70</v>
      </c>
      <c r="B153" s="415">
        <v>147</v>
      </c>
      <c r="C153" s="415" t="s">
        <v>2673</v>
      </c>
      <c r="D153" s="415" t="s">
        <v>2680</v>
      </c>
      <c r="E153" s="415" t="s">
        <v>2295</v>
      </c>
      <c r="F153" s="415" t="s">
        <v>2361</v>
      </c>
      <c r="G153" s="415" t="s">
        <v>2806</v>
      </c>
      <c r="H153" s="415">
        <v>0</v>
      </c>
      <c r="I153" s="415">
        <v>0</v>
      </c>
      <c r="J153" s="415">
        <v>1</v>
      </c>
      <c r="K153" s="415">
        <v>2</v>
      </c>
      <c r="L153" s="415">
        <v>485</v>
      </c>
      <c r="M153" s="415">
        <v>260</v>
      </c>
      <c r="N153" s="415" t="s">
        <v>2675</v>
      </c>
      <c r="O153" s="415">
        <v>371</v>
      </c>
      <c r="P153" s="415" t="s">
        <v>2675</v>
      </c>
      <c r="Q153" s="415" t="s">
        <v>2675</v>
      </c>
      <c r="R153" s="415" t="s">
        <v>2699</v>
      </c>
      <c r="S153" s="415" t="s">
        <v>2808</v>
      </c>
      <c r="T153" s="416">
        <v>138</v>
      </c>
      <c r="U153" s="416">
        <v>138</v>
      </c>
      <c r="V153" s="416">
        <v>138</v>
      </c>
      <c r="W153" s="416">
        <v>138</v>
      </c>
      <c r="X153" s="416">
        <v>138</v>
      </c>
      <c r="Y153" s="416">
        <v>138</v>
      </c>
      <c r="Z153" s="416">
        <v>138</v>
      </c>
      <c r="AA153" s="416">
        <v>138</v>
      </c>
      <c r="AB153" s="416">
        <v>136</v>
      </c>
      <c r="AC153" s="416">
        <v>132</v>
      </c>
      <c r="AD153" s="416">
        <v>128</v>
      </c>
      <c r="AE153" s="416">
        <v>123</v>
      </c>
      <c r="AF153" s="416">
        <v>0</v>
      </c>
      <c r="AG153" s="416">
        <v>0</v>
      </c>
      <c r="AH153" s="416">
        <v>0</v>
      </c>
      <c r="AI153" s="416">
        <v>0</v>
      </c>
      <c r="AJ153" s="416">
        <v>0</v>
      </c>
      <c r="AK153" s="416">
        <v>0</v>
      </c>
      <c r="AL153" s="416">
        <v>0</v>
      </c>
      <c r="AM153" s="416">
        <v>0</v>
      </c>
      <c r="AN153" s="416">
        <v>0</v>
      </c>
      <c r="AO153" s="416">
        <v>0</v>
      </c>
      <c r="AP153" s="416">
        <v>0</v>
      </c>
      <c r="AQ153" s="416">
        <v>0</v>
      </c>
      <c r="AR153" s="416">
        <v>0</v>
      </c>
      <c r="AS153" s="416">
        <v>0</v>
      </c>
      <c r="AT153" s="416">
        <v>0</v>
      </c>
      <c r="AU153" s="416">
        <v>0</v>
      </c>
      <c r="AV153" s="416">
        <v>0</v>
      </c>
      <c r="AW153" s="416">
        <v>0</v>
      </c>
      <c r="AX153" s="416">
        <v>0</v>
      </c>
      <c r="AY153" s="416">
        <v>0</v>
      </c>
      <c r="AZ153" s="416">
        <v>0</v>
      </c>
    </row>
    <row r="154" spans="1:52" s="411" customFormat="1" x14ac:dyDescent="0.3">
      <c r="A154" s="415" t="str">
        <f t="shared" si="2"/>
        <v>SA-671 Gr.CC70</v>
      </c>
      <c r="B154" s="415">
        <v>148</v>
      </c>
      <c r="C154" s="415" t="s">
        <v>2673</v>
      </c>
      <c r="D154" s="415" t="s">
        <v>2680</v>
      </c>
      <c r="E154" s="415" t="s">
        <v>2295</v>
      </c>
      <c r="F154" s="415" t="s">
        <v>2365</v>
      </c>
      <c r="G154" s="415" t="s">
        <v>2807</v>
      </c>
      <c r="H154" s="415">
        <v>0</v>
      </c>
      <c r="I154" s="415">
        <v>0</v>
      </c>
      <c r="J154" s="415">
        <v>1</v>
      </c>
      <c r="K154" s="415">
        <v>2</v>
      </c>
      <c r="L154" s="415">
        <v>485</v>
      </c>
      <c r="M154" s="415">
        <v>260</v>
      </c>
      <c r="N154" s="415" t="s">
        <v>2675</v>
      </c>
      <c r="O154" s="415">
        <v>371</v>
      </c>
      <c r="P154" s="415" t="s">
        <v>2675</v>
      </c>
      <c r="Q154" s="415" t="s">
        <v>2675</v>
      </c>
      <c r="R154" s="415" t="s">
        <v>2699</v>
      </c>
      <c r="S154" s="415" t="s">
        <v>2687</v>
      </c>
      <c r="T154" s="416">
        <v>138</v>
      </c>
      <c r="U154" s="416">
        <v>138</v>
      </c>
      <c r="V154" s="416">
        <v>138</v>
      </c>
      <c r="W154" s="416">
        <v>138</v>
      </c>
      <c r="X154" s="416">
        <v>138</v>
      </c>
      <c r="Y154" s="416">
        <v>138</v>
      </c>
      <c r="Z154" s="416">
        <v>138</v>
      </c>
      <c r="AA154" s="416">
        <v>138</v>
      </c>
      <c r="AB154" s="416">
        <v>136</v>
      </c>
      <c r="AC154" s="416">
        <v>132</v>
      </c>
      <c r="AD154" s="416">
        <v>128</v>
      </c>
      <c r="AE154" s="416">
        <v>123</v>
      </c>
      <c r="AF154" s="416">
        <v>0</v>
      </c>
      <c r="AG154" s="416">
        <v>0</v>
      </c>
      <c r="AH154" s="416">
        <v>0</v>
      </c>
      <c r="AI154" s="416">
        <v>0</v>
      </c>
      <c r="AJ154" s="416">
        <v>0</v>
      </c>
      <c r="AK154" s="416">
        <v>0</v>
      </c>
      <c r="AL154" s="416">
        <v>0</v>
      </c>
      <c r="AM154" s="416">
        <v>0</v>
      </c>
      <c r="AN154" s="416">
        <v>0</v>
      </c>
      <c r="AO154" s="416">
        <v>0</v>
      </c>
      <c r="AP154" s="416">
        <v>0</v>
      </c>
      <c r="AQ154" s="416">
        <v>0</v>
      </c>
      <c r="AR154" s="416">
        <v>0</v>
      </c>
      <c r="AS154" s="416">
        <v>0</v>
      </c>
      <c r="AT154" s="416">
        <v>0</v>
      </c>
      <c r="AU154" s="416">
        <v>0</v>
      </c>
      <c r="AV154" s="416">
        <v>0</v>
      </c>
      <c r="AW154" s="416">
        <v>0</v>
      </c>
      <c r="AX154" s="416">
        <v>0</v>
      </c>
      <c r="AY154" s="416">
        <v>0</v>
      </c>
      <c r="AZ154" s="416">
        <v>0</v>
      </c>
    </row>
    <row r="155" spans="1:52" s="411" customFormat="1" x14ac:dyDescent="0.3">
      <c r="A155" s="415" t="str">
        <f t="shared" si="2"/>
        <v>SA-672 Gr.B70</v>
      </c>
      <c r="B155" s="415">
        <v>149</v>
      </c>
      <c r="C155" s="415" t="s">
        <v>2673</v>
      </c>
      <c r="D155" s="415" t="s">
        <v>2680</v>
      </c>
      <c r="E155" s="415" t="s">
        <v>2297</v>
      </c>
      <c r="F155" s="415" t="s">
        <v>2347</v>
      </c>
      <c r="G155" s="415" t="s">
        <v>2806</v>
      </c>
      <c r="H155" s="415">
        <v>0</v>
      </c>
      <c r="I155" s="415">
        <v>0</v>
      </c>
      <c r="J155" s="415">
        <v>1</v>
      </c>
      <c r="K155" s="415">
        <v>2</v>
      </c>
      <c r="L155" s="415">
        <v>485</v>
      </c>
      <c r="M155" s="415">
        <v>260</v>
      </c>
      <c r="N155" s="415" t="s">
        <v>2675</v>
      </c>
      <c r="O155" s="415">
        <v>371</v>
      </c>
      <c r="P155" s="415" t="s">
        <v>2675</v>
      </c>
      <c r="Q155" s="415" t="s">
        <v>2675</v>
      </c>
      <c r="R155" s="415" t="s">
        <v>2699</v>
      </c>
      <c r="S155" s="415" t="s">
        <v>2808</v>
      </c>
      <c r="T155" s="416">
        <v>138</v>
      </c>
      <c r="U155" s="416">
        <v>138</v>
      </c>
      <c r="V155" s="416">
        <v>138</v>
      </c>
      <c r="W155" s="416">
        <v>138</v>
      </c>
      <c r="X155" s="416">
        <v>138</v>
      </c>
      <c r="Y155" s="416">
        <v>138</v>
      </c>
      <c r="Z155" s="416">
        <v>138</v>
      </c>
      <c r="AA155" s="416">
        <v>138</v>
      </c>
      <c r="AB155" s="416">
        <v>136</v>
      </c>
      <c r="AC155" s="416">
        <v>132</v>
      </c>
      <c r="AD155" s="416">
        <v>128</v>
      </c>
      <c r="AE155" s="416">
        <v>123</v>
      </c>
      <c r="AF155" s="416">
        <v>0</v>
      </c>
      <c r="AG155" s="416">
        <v>0</v>
      </c>
      <c r="AH155" s="416">
        <v>0</v>
      </c>
      <c r="AI155" s="416">
        <v>0</v>
      </c>
      <c r="AJ155" s="416">
        <v>0</v>
      </c>
      <c r="AK155" s="416">
        <v>0</v>
      </c>
      <c r="AL155" s="416">
        <v>0</v>
      </c>
      <c r="AM155" s="416">
        <v>0</v>
      </c>
      <c r="AN155" s="416">
        <v>0</v>
      </c>
      <c r="AO155" s="416">
        <v>0</v>
      </c>
      <c r="AP155" s="416">
        <v>0</v>
      </c>
      <c r="AQ155" s="416">
        <v>0</v>
      </c>
      <c r="AR155" s="416">
        <v>0</v>
      </c>
      <c r="AS155" s="416">
        <v>0</v>
      </c>
      <c r="AT155" s="416">
        <v>0</v>
      </c>
      <c r="AU155" s="416">
        <v>0</v>
      </c>
      <c r="AV155" s="416">
        <v>0</v>
      </c>
      <c r="AW155" s="416">
        <v>0</v>
      </c>
      <c r="AX155" s="416">
        <v>0</v>
      </c>
      <c r="AY155" s="416">
        <v>0</v>
      </c>
      <c r="AZ155" s="416">
        <v>0</v>
      </c>
    </row>
    <row r="156" spans="1:52" s="411" customFormat="1" x14ac:dyDescent="0.3">
      <c r="A156" s="415" t="str">
        <f t="shared" si="2"/>
        <v>SA-672 Gr.C70</v>
      </c>
      <c r="B156" s="415">
        <v>150</v>
      </c>
      <c r="C156" s="415" t="s">
        <v>2673</v>
      </c>
      <c r="D156" s="415" t="s">
        <v>2680</v>
      </c>
      <c r="E156" s="415" t="s">
        <v>2297</v>
      </c>
      <c r="F156" s="415" t="s">
        <v>2355</v>
      </c>
      <c r="G156" s="415" t="s">
        <v>2807</v>
      </c>
      <c r="H156" s="415">
        <v>0</v>
      </c>
      <c r="I156" s="415">
        <v>0</v>
      </c>
      <c r="J156" s="415">
        <v>1</v>
      </c>
      <c r="K156" s="415">
        <v>2</v>
      </c>
      <c r="L156" s="415">
        <v>485</v>
      </c>
      <c r="M156" s="415">
        <v>260</v>
      </c>
      <c r="N156" s="415" t="s">
        <v>2675</v>
      </c>
      <c r="O156" s="415">
        <v>371</v>
      </c>
      <c r="P156" s="415" t="s">
        <v>2675</v>
      </c>
      <c r="Q156" s="415" t="s">
        <v>2675</v>
      </c>
      <c r="R156" s="415" t="s">
        <v>2699</v>
      </c>
      <c r="S156" s="415" t="s">
        <v>2687</v>
      </c>
      <c r="T156" s="416">
        <v>138</v>
      </c>
      <c r="U156" s="416">
        <v>138</v>
      </c>
      <c r="V156" s="416">
        <v>138</v>
      </c>
      <c r="W156" s="416">
        <v>138</v>
      </c>
      <c r="X156" s="416">
        <v>138</v>
      </c>
      <c r="Y156" s="416">
        <v>138</v>
      </c>
      <c r="Z156" s="416">
        <v>138</v>
      </c>
      <c r="AA156" s="416">
        <v>138</v>
      </c>
      <c r="AB156" s="416">
        <v>136</v>
      </c>
      <c r="AC156" s="416">
        <v>132</v>
      </c>
      <c r="AD156" s="416">
        <v>128</v>
      </c>
      <c r="AE156" s="416">
        <v>123</v>
      </c>
      <c r="AF156" s="416">
        <v>0</v>
      </c>
      <c r="AG156" s="416">
        <v>0</v>
      </c>
      <c r="AH156" s="416">
        <v>0</v>
      </c>
      <c r="AI156" s="416">
        <v>0</v>
      </c>
      <c r="AJ156" s="416">
        <v>0</v>
      </c>
      <c r="AK156" s="416">
        <v>0</v>
      </c>
      <c r="AL156" s="416">
        <v>0</v>
      </c>
      <c r="AM156" s="416">
        <v>0</v>
      </c>
      <c r="AN156" s="416">
        <v>0</v>
      </c>
      <c r="AO156" s="416">
        <v>0</v>
      </c>
      <c r="AP156" s="416">
        <v>0</v>
      </c>
      <c r="AQ156" s="416">
        <v>0</v>
      </c>
      <c r="AR156" s="416">
        <v>0</v>
      </c>
      <c r="AS156" s="416">
        <v>0</v>
      </c>
      <c r="AT156" s="416">
        <v>0</v>
      </c>
      <c r="AU156" s="416">
        <v>0</v>
      </c>
      <c r="AV156" s="416">
        <v>0</v>
      </c>
      <c r="AW156" s="416">
        <v>0</v>
      </c>
      <c r="AX156" s="416">
        <v>0</v>
      </c>
      <c r="AY156" s="416">
        <v>0</v>
      </c>
      <c r="AZ156" s="416">
        <v>0</v>
      </c>
    </row>
    <row r="157" spans="1:52" s="411" customFormat="1" x14ac:dyDescent="0.3">
      <c r="A157" s="415" t="str">
        <f t="shared" si="2"/>
        <v>SA-106 Gr.C</v>
      </c>
      <c r="B157" s="415">
        <v>151</v>
      </c>
      <c r="C157" s="415" t="s">
        <v>2673</v>
      </c>
      <c r="D157" s="415" t="s">
        <v>2703</v>
      </c>
      <c r="E157" s="415" t="s">
        <v>2169</v>
      </c>
      <c r="F157" s="415" t="s">
        <v>2348</v>
      </c>
      <c r="G157" s="415" t="s">
        <v>2809</v>
      </c>
      <c r="H157" s="415">
        <v>0</v>
      </c>
      <c r="I157" s="415">
        <v>0</v>
      </c>
      <c r="J157" s="415">
        <v>1</v>
      </c>
      <c r="K157" s="415">
        <v>2</v>
      </c>
      <c r="L157" s="415">
        <v>485</v>
      </c>
      <c r="M157" s="415">
        <v>275</v>
      </c>
      <c r="N157" s="415">
        <v>538</v>
      </c>
      <c r="O157" s="415">
        <v>371</v>
      </c>
      <c r="P157" s="415">
        <v>538</v>
      </c>
      <c r="Q157" s="415">
        <v>343</v>
      </c>
      <c r="R157" s="415" t="s">
        <v>2699</v>
      </c>
      <c r="S157" s="415" t="s">
        <v>2706</v>
      </c>
      <c r="T157" s="416">
        <v>138</v>
      </c>
      <c r="U157" s="416">
        <v>138</v>
      </c>
      <c r="V157" s="416">
        <v>138</v>
      </c>
      <c r="W157" s="416">
        <v>138</v>
      </c>
      <c r="X157" s="416">
        <v>138</v>
      </c>
      <c r="Y157" s="416">
        <v>138</v>
      </c>
      <c r="Z157" s="416">
        <v>138</v>
      </c>
      <c r="AA157" s="416">
        <v>138</v>
      </c>
      <c r="AB157" s="416">
        <v>138</v>
      </c>
      <c r="AC157" s="416">
        <v>138</v>
      </c>
      <c r="AD157" s="416">
        <v>135</v>
      </c>
      <c r="AE157" s="416">
        <v>123</v>
      </c>
      <c r="AF157" s="416">
        <v>101</v>
      </c>
      <c r="AG157" s="416">
        <v>83.8</v>
      </c>
      <c r="AH157" s="416">
        <v>67</v>
      </c>
      <c r="AI157" s="416">
        <v>51</v>
      </c>
      <c r="AJ157" s="416">
        <v>33.6</v>
      </c>
      <c r="AK157" s="416">
        <v>21.3</v>
      </c>
      <c r="AL157" s="416">
        <v>12.9</v>
      </c>
      <c r="AM157" s="416">
        <v>0</v>
      </c>
      <c r="AN157" s="416">
        <v>0</v>
      </c>
      <c r="AO157" s="416">
        <v>0</v>
      </c>
      <c r="AP157" s="416">
        <v>0</v>
      </c>
      <c r="AQ157" s="416">
        <v>0</v>
      </c>
      <c r="AR157" s="416">
        <v>0</v>
      </c>
      <c r="AS157" s="416">
        <v>0</v>
      </c>
      <c r="AT157" s="416">
        <v>0</v>
      </c>
      <c r="AU157" s="416">
        <v>0</v>
      </c>
      <c r="AV157" s="416">
        <v>0</v>
      </c>
      <c r="AW157" s="416">
        <v>0</v>
      </c>
      <c r="AX157" s="416">
        <v>0</v>
      </c>
      <c r="AY157" s="416">
        <v>0</v>
      </c>
      <c r="AZ157" s="416">
        <v>0</v>
      </c>
    </row>
    <row r="158" spans="1:52" s="411" customFormat="1" x14ac:dyDescent="0.3">
      <c r="A158" s="415" t="str">
        <f t="shared" si="2"/>
        <v>SA-178 Gr.D</v>
      </c>
      <c r="B158" s="415">
        <v>152</v>
      </c>
      <c r="C158" s="415" t="s">
        <v>2673</v>
      </c>
      <c r="D158" s="415" t="s">
        <v>2689</v>
      </c>
      <c r="E158" s="415" t="s">
        <v>2185</v>
      </c>
      <c r="F158" s="415" t="s">
        <v>2414</v>
      </c>
      <c r="G158" s="415">
        <v>0</v>
      </c>
      <c r="H158" s="415">
        <v>0</v>
      </c>
      <c r="I158" s="415">
        <v>0</v>
      </c>
      <c r="J158" s="415">
        <v>1</v>
      </c>
      <c r="K158" s="415">
        <v>2</v>
      </c>
      <c r="L158" s="415">
        <v>485</v>
      </c>
      <c r="M158" s="415">
        <v>275</v>
      </c>
      <c r="N158" s="415">
        <v>538</v>
      </c>
      <c r="O158" s="415" t="s">
        <v>2675</v>
      </c>
      <c r="P158" s="415" t="s">
        <v>2675</v>
      </c>
      <c r="Q158" s="415" t="s">
        <v>2675</v>
      </c>
      <c r="R158" s="415" t="s">
        <v>2699</v>
      </c>
      <c r="S158" s="415" t="s">
        <v>2772</v>
      </c>
      <c r="T158" s="416">
        <v>138</v>
      </c>
      <c r="U158" s="416">
        <v>138</v>
      </c>
      <c r="V158" s="416">
        <v>138</v>
      </c>
      <c r="W158" s="416">
        <v>138</v>
      </c>
      <c r="X158" s="416">
        <v>138</v>
      </c>
      <c r="Y158" s="416">
        <v>138</v>
      </c>
      <c r="Z158" s="416">
        <v>138</v>
      </c>
      <c r="AA158" s="416">
        <v>138</v>
      </c>
      <c r="AB158" s="416">
        <v>138</v>
      </c>
      <c r="AC158" s="416">
        <v>138</v>
      </c>
      <c r="AD158" s="416">
        <v>135</v>
      </c>
      <c r="AE158" s="416">
        <v>123</v>
      </c>
      <c r="AF158" s="416">
        <v>101</v>
      </c>
      <c r="AG158" s="416">
        <v>83.8</v>
      </c>
      <c r="AH158" s="416">
        <v>67</v>
      </c>
      <c r="AI158" s="416">
        <v>51</v>
      </c>
      <c r="AJ158" s="416">
        <v>33.6</v>
      </c>
      <c r="AK158" s="416">
        <v>21.3</v>
      </c>
      <c r="AL158" s="416">
        <v>12.9</v>
      </c>
      <c r="AM158" s="416">
        <v>0</v>
      </c>
      <c r="AN158" s="416">
        <v>0</v>
      </c>
      <c r="AO158" s="416">
        <v>0</v>
      </c>
      <c r="AP158" s="416">
        <v>0</v>
      </c>
      <c r="AQ158" s="416">
        <v>0</v>
      </c>
      <c r="AR158" s="416">
        <v>0</v>
      </c>
      <c r="AS158" s="416">
        <v>0</v>
      </c>
      <c r="AT158" s="416">
        <v>0</v>
      </c>
      <c r="AU158" s="416">
        <v>0</v>
      </c>
      <c r="AV158" s="416">
        <v>0</v>
      </c>
      <c r="AW158" s="416">
        <v>0</v>
      </c>
      <c r="AX158" s="416">
        <v>0</v>
      </c>
      <c r="AY158" s="416">
        <v>0</v>
      </c>
      <c r="AZ158" s="416">
        <v>0</v>
      </c>
    </row>
    <row r="159" spans="1:52" s="411" customFormat="1" x14ac:dyDescent="0.3">
      <c r="A159" s="415" t="str">
        <f t="shared" si="2"/>
        <v>SA-178 Gr.D</v>
      </c>
      <c r="B159" s="415">
        <v>153</v>
      </c>
      <c r="C159" s="415" t="s">
        <v>2673</v>
      </c>
      <c r="D159" s="415" t="s">
        <v>2689</v>
      </c>
      <c r="E159" s="415" t="s">
        <v>2185</v>
      </c>
      <c r="F159" s="415" t="s">
        <v>2414</v>
      </c>
      <c r="G159" s="415">
        <v>0</v>
      </c>
      <c r="H159" s="415">
        <v>0</v>
      </c>
      <c r="I159" s="415">
        <v>0</v>
      </c>
      <c r="J159" s="415">
        <v>1</v>
      </c>
      <c r="K159" s="415">
        <v>2</v>
      </c>
      <c r="L159" s="415">
        <v>485</v>
      </c>
      <c r="M159" s="415">
        <v>275</v>
      </c>
      <c r="N159" s="415">
        <v>538</v>
      </c>
      <c r="O159" s="415" t="s">
        <v>2675</v>
      </c>
      <c r="P159" s="415" t="s">
        <v>2675</v>
      </c>
      <c r="Q159" s="415" t="s">
        <v>2675</v>
      </c>
      <c r="R159" s="415" t="s">
        <v>2699</v>
      </c>
      <c r="S159" s="415" t="s">
        <v>2810</v>
      </c>
      <c r="T159" s="416">
        <v>138</v>
      </c>
      <c r="U159" s="416">
        <v>138</v>
      </c>
      <c r="V159" s="416">
        <v>138</v>
      </c>
      <c r="W159" s="416">
        <v>138</v>
      </c>
      <c r="X159" s="416">
        <v>138</v>
      </c>
      <c r="Y159" s="416">
        <v>138</v>
      </c>
      <c r="Z159" s="416">
        <v>138</v>
      </c>
      <c r="AA159" s="416">
        <v>138</v>
      </c>
      <c r="AB159" s="416">
        <v>138</v>
      </c>
      <c r="AC159" s="416">
        <v>138</v>
      </c>
      <c r="AD159" s="416">
        <v>135</v>
      </c>
      <c r="AE159" s="416">
        <v>123</v>
      </c>
      <c r="AF159" s="416">
        <v>101</v>
      </c>
      <c r="AG159" s="416">
        <v>83.7</v>
      </c>
      <c r="AH159" s="416">
        <v>67.599999999999994</v>
      </c>
      <c r="AI159" s="416">
        <v>45.5</v>
      </c>
      <c r="AJ159" s="416">
        <v>27.9</v>
      </c>
      <c r="AK159" s="416">
        <v>18.3</v>
      </c>
      <c r="AL159" s="416">
        <v>10.6</v>
      </c>
      <c r="AM159" s="416">
        <v>0</v>
      </c>
      <c r="AN159" s="416">
        <v>0</v>
      </c>
      <c r="AO159" s="416">
        <v>0</v>
      </c>
      <c r="AP159" s="416">
        <v>0</v>
      </c>
      <c r="AQ159" s="416">
        <v>0</v>
      </c>
      <c r="AR159" s="416">
        <v>0</v>
      </c>
      <c r="AS159" s="416">
        <v>0</v>
      </c>
      <c r="AT159" s="416">
        <v>0</v>
      </c>
      <c r="AU159" s="416">
        <v>0</v>
      </c>
      <c r="AV159" s="416">
        <v>0</v>
      </c>
      <c r="AW159" s="416">
        <v>0</v>
      </c>
      <c r="AX159" s="416">
        <v>0</v>
      </c>
      <c r="AY159" s="416">
        <v>0</v>
      </c>
      <c r="AZ159" s="416">
        <v>0</v>
      </c>
    </row>
    <row r="160" spans="1:52" s="411" customFormat="1" x14ac:dyDescent="0.3">
      <c r="A160" s="415" t="str">
        <f t="shared" si="2"/>
        <v>SA-178 Gr.D</v>
      </c>
      <c r="B160" s="415">
        <v>154</v>
      </c>
      <c r="C160" s="415" t="s">
        <v>2673</v>
      </c>
      <c r="D160" s="415" t="s">
        <v>2689</v>
      </c>
      <c r="E160" s="415" t="s">
        <v>2185</v>
      </c>
      <c r="F160" s="415" t="s">
        <v>2414</v>
      </c>
      <c r="G160" s="415">
        <v>0</v>
      </c>
      <c r="H160" s="415">
        <v>0</v>
      </c>
      <c r="I160" s="415">
        <v>0</v>
      </c>
      <c r="J160" s="415">
        <v>1</v>
      </c>
      <c r="K160" s="415">
        <v>2</v>
      </c>
      <c r="L160" s="415">
        <v>485</v>
      </c>
      <c r="M160" s="415">
        <v>275</v>
      </c>
      <c r="N160" s="415">
        <v>538</v>
      </c>
      <c r="O160" s="415" t="s">
        <v>2675</v>
      </c>
      <c r="P160" s="415" t="s">
        <v>2675</v>
      </c>
      <c r="Q160" s="415" t="s">
        <v>2675</v>
      </c>
      <c r="R160" s="415" t="s">
        <v>2699</v>
      </c>
      <c r="S160" s="415" t="s">
        <v>2700</v>
      </c>
      <c r="T160" s="416">
        <v>117</v>
      </c>
      <c r="U160" s="416">
        <v>117</v>
      </c>
      <c r="V160" s="416">
        <v>117</v>
      </c>
      <c r="W160" s="416">
        <v>117</v>
      </c>
      <c r="X160" s="416">
        <v>117</v>
      </c>
      <c r="Y160" s="416">
        <v>117</v>
      </c>
      <c r="Z160" s="416">
        <v>117</v>
      </c>
      <c r="AA160" s="416">
        <v>117</v>
      </c>
      <c r="AB160" s="416">
        <v>117</v>
      </c>
      <c r="AC160" s="416">
        <v>117</v>
      </c>
      <c r="AD160" s="416">
        <v>115</v>
      </c>
      <c r="AE160" s="416">
        <v>104</v>
      </c>
      <c r="AF160" s="416">
        <v>86.1</v>
      </c>
      <c r="AG160" s="416">
        <v>71.3</v>
      </c>
      <c r="AH160" s="416">
        <v>56.9</v>
      </c>
      <c r="AI160" s="416">
        <v>43.4</v>
      </c>
      <c r="AJ160" s="416">
        <v>28.6</v>
      </c>
      <c r="AK160" s="416">
        <v>18.100000000000001</v>
      </c>
      <c r="AL160" s="416">
        <v>10.7</v>
      </c>
      <c r="AM160" s="416">
        <v>0</v>
      </c>
      <c r="AN160" s="416">
        <v>0</v>
      </c>
      <c r="AO160" s="416">
        <v>0</v>
      </c>
      <c r="AP160" s="416">
        <v>0</v>
      </c>
      <c r="AQ160" s="416">
        <v>0</v>
      </c>
      <c r="AR160" s="416">
        <v>0</v>
      </c>
      <c r="AS160" s="416">
        <v>0</v>
      </c>
      <c r="AT160" s="416">
        <v>0</v>
      </c>
      <c r="AU160" s="416">
        <v>0</v>
      </c>
      <c r="AV160" s="416">
        <v>0</v>
      </c>
      <c r="AW160" s="416">
        <v>0</v>
      </c>
      <c r="AX160" s="416">
        <v>0</v>
      </c>
      <c r="AY160" s="416">
        <v>0</v>
      </c>
      <c r="AZ160" s="416">
        <v>0</v>
      </c>
    </row>
    <row r="161" spans="1:52" s="411" customFormat="1" x14ac:dyDescent="0.3">
      <c r="A161" s="415" t="str">
        <f t="shared" si="2"/>
        <v>SA-210 Gr.C</v>
      </c>
      <c r="B161" s="415">
        <v>155</v>
      </c>
      <c r="C161" s="415" t="s">
        <v>2673</v>
      </c>
      <c r="D161" s="415" t="s">
        <v>2693</v>
      </c>
      <c r="E161" s="415" t="s">
        <v>2194</v>
      </c>
      <c r="F161" s="415" t="s">
        <v>2348</v>
      </c>
      <c r="G161" s="415" t="s">
        <v>2809</v>
      </c>
      <c r="H161" s="415">
        <v>0</v>
      </c>
      <c r="I161" s="415">
        <v>0</v>
      </c>
      <c r="J161" s="415">
        <v>1</v>
      </c>
      <c r="K161" s="415">
        <v>2</v>
      </c>
      <c r="L161" s="415">
        <v>485</v>
      </c>
      <c r="M161" s="415">
        <v>275</v>
      </c>
      <c r="N161" s="415">
        <v>538</v>
      </c>
      <c r="O161" s="415" t="s">
        <v>2675</v>
      </c>
      <c r="P161" s="415">
        <v>538</v>
      </c>
      <c r="Q161" s="415">
        <v>343</v>
      </c>
      <c r="R161" s="415" t="s">
        <v>2699</v>
      </c>
      <c r="S161" s="415" t="s">
        <v>2706</v>
      </c>
      <c r="T161" s="416">
        <v>138</v>
      </c>
      <c r="U161" s="416">
        <v>138</v>
      </c>
      <c r="V161" s="416">
        <v>138</v>
      </c>
      <c r="W161" s="416">
        <v>138</v>
      </c>
      <c r="X161" s="416">
        <v>138</v>
      </c>
      <c r="Y161" s="416">
        <v>138</v>
      </c>
      <c r="Z161" s="416">
        <v>138</v>
      </c>
      <c r="AA161" s="416">
        <v>138</v>
      </c>
      <c r="AB161" s="416">
        <v>138</v>
      </c>
      <c r="AC161" s="416">
        <v>138</v>
      </c>
      <c r="AD161" s="416">
        <v>135</v>
      </c>
      <c r="AE161" s="416">
        <v>123</v>
      </c>
      <c r="AF161" s="416">
        <v>101</v>
      </c>
      <c r="AG161" s="416">
        <v>83.8</v>
      </c>
      <c r="AH161" s="416">
        <v>67</v>
      </c>
      <c r="AI161" s="416">
        <v>51</v>
      </c>
      <c r="AJ161" s="416">
        <v>33.6</v>
      </c>
      <c r="AK161" s="416">
        <v>21.3</v>
      </c>
      <c r="AL161" s="416">
        <v>12.9</v>
      </c>
      <c r="AM161" s="416">
        <v>0</v>
      </c>
      <c r="AN161" s="416">
        <v>0</v>
      </c>
      <c r="AO161" s="416">
        <v>0</v>
      </c>
      <c r="AP161" s="416">
        <v>0</v>
      </c>
      <c r="AQ161" s="416">
        <v>0</v>
      </c>
      <c r="AR161" s="416">
        <v>0</v>
      </c>
      <c r="AS161" s="416">
        <v>0</v>
      </c>
      <c r="AT161" s="416">
        <v>0</v>
      </c>
      <c r="AU161" s="416">
        <v>0</v>
      </c>
      <c r="AV161" s="416">
        <v>0</v>
      </c>
      <c r="AW161" s="416">
        <v>0</v>
      </c>
      <c r="AX161" s="416">
        <v>0</v>
      </c>
      <c r="AY161" s="416">
        <v>0</v>
      </c>
      <c r="AZ161" s="416">
        <v>0</v>
      </c>
    </row>
    <row r="162" spans="1:52" s="411" customFormat="1" x14ac:dyDescent="0.3">
      <c r="A162" s="415" t="str">
        <f t="shared" si="2"/>
        <v>SA-216 Gr.WCC</v>
      </c>
      <c r="B162" s="415">
        <v>156</v>
      </c>
      <c r="C162" s="415" t="s">
        <v>2673</v>
      </c>
      <c r="D162" s="415" t="s">
        <v>2739</v>
      </c>
      <c r="E162" s="415" t="s">
        <v>2197</v>
      </c>
      <c r="F162" s="415" t="s">
        <v>2603</v>
      </c>
      <c r="G162" s="415" t="s">
        <v>2811</v>
      </c>
      <c r="H162" s="415">
        <v>0</v>
      </c>
      <c r="I162" s="415">
        <v>0</v>
      </c>
      <c r="J162" s="415">
        <v>1</v>
      </c>
      <c r="K162" s="415">
        <v>2</v>
      </c>
      <c r="L162" s="415">
        <v>485</v>
      </c>
      <c r="M162" s="415">
        <v>275</v>
      </c>
      <c r="N162" s="415">
        <v>538</v>
      </c>
      <c r="O162" s="415">
        <v>371</v>
      </c>
      <c r="P162" s="415">
        <v>538</v>
      </c>
      <c r="Q162" s="415">
        <v>343</v>
      </c>
      <c r="R162" s="415" t="s">
        <v>2699</v>
      </c>
      <c r="S162" s="415" t="s">
        <v>2812</v>
      </c>
      <c r="T162" s="416">
        <v>138</v>
      </c>
      <c r="U162" s="416">
        <v>138</v>
      </c>
      <c r="V162" s="416">
        <v>138</v>
      </c>
      <c r="W162" s="416">
        <v>138</v>
      </c>
      <c r="X162" s="416">
        <v>138</v>
      </c>
      <c r="Y162" s="416">
        <v>138</v>
      </c>
      <c r="Z162" s="416">
        <v>138</v>
      </c>
      <c r="AA162" s="416">
        <v>138</v>
      </c>
      <c r="AB162" s="416">
        <v>138</v>
      </c>
      <c r="AC162" s="416">
        <v>138</v>
      </c>
      <c r="AD162" s="416">
        <v>135</v>
      </c>
      <c r="AE162" s="416">
        <v>123</v>
      </c>
      <c r="AF162" s="416">
        <v>101</v>
      </c>
      <c r="AG162" s="416">
        <v>83.8</v>
      </c>
      <c r="AH162" s="416">
        <v>67</v>
      </c>
      <c r="AI162" s="416">
        <v>51</v>
      </c>
      <c r="AJ162" s="416">
        <v>33.6</v>
      </c>
      <c r="AK162" s="416">
        <v>21.3</v>
      </c>
      <c r="AL162" s="416">
        <v>12.9</v>
      </c>
      <c r="AM162" s="416">
        <v>0</v>
      </c>
      <c r="AN162" s="416">
        <v>0</v>
      </c>
      <c r="AO162" s="416">
        <v>0</v>
      </c>
      <c r="AP162" s="416">
        <v>0</v>
      </c>
      <c r="AQ162" s="416">
        <v>0</v>
      </c>
      <c r="AR162" s="416">
        <v>0</v>
      </c>
      <c r="AS162" s="416">
        <v>0</v>
      </c>
      <c r="AT162" s="416">
        <v>0</v>
      </c>
      <c r="AU162" s="416">
        <v>0</v>
      </c>
      <c r="AV162" s="416">
        <v>0</v>
      </c>
      <c r="AW162" s="416">
        <v>0</v>
      </c>
      <c r="AX162" s="416">
        <v>0</v>
      </c>
      <c r="AY162" s="416">
        <v>0</v>
      </c>
      <c r="AZ162" s="416">
        <v>0</v>
      </c>
    </row>
    <row r="163" spans="1:52" s="411" customFormat="1" x14ac:dyDescent="0.3">
      <c r="A163" s="415" t="str">
        <f t="shared" si="2"/>
        <v>SA-234 Gr.WPC</v>
      </c>
      <c r="B163" s="415">
        <v>157</v>
      </c>
      <c r="C163" s="415" t="s">
        <v>2673</v>
      </c>
      <c r="D163" s="415" t="s">
        <v>2758</v>
      </c>
      <c r="E163" s="415" t="s">
        <v>2174</v>
      </c>
      <c r="F163" s="415" t="s">
        <v>2611</v>
      </c>
      <c r="G163" s="415" t="s">
        <v>2809</v>
      </c>
      <c r="H163" s="415">
        <v>0</v>
      </c>
      <c r="I163" s="415">
        <v>0</v>
      </c>
      <c r="J163" s="415">
        <v>1</v>
      </c>
      <c r="K163" s="415">
        <v>2</v>
      </c>
      <c r="L163" s="415">
        <v>485</v>
      </c>
      <c r="M163" s="415">
        <v>275</v>
      </c>
      <c r="N163" s="415">
        <v>427</v>
      </c>
      <c r="O163" s="415">
        <v>371</v>
      </c>
      <c r="P163" s="415">
        <v>427</v>
      </c>
      <c r="Q163" s="415">
        <v>343</v>
      </c>
      <c r="R163" s="415" t="s">
        <v>2699</v>
      </c>
      <c r="S163" s="415" t="s">
        <v>2763</v>
      </c>
      <c r="T163" s="416">
        <v>138</v>
      </c>
      <c r="U163" s="416">
        <v>138</v>
      </c>
      <c r="V163" s="416">
        <v>138</v>
      </c>
      <c r="W163" s="416">
        <v>138</v>
      </c>
      <c r="X163" s="416">
        <v>138</v>
      </c>
      <c r="Y163" s="416">
        <v>138</v>
      </c>
      <c r="Z163" s="416">
        <v>138</v>
      </c>
      <c r="AA163" s="416">
        <v>138</v>
      </c>
      <c r="AB163" s="416">
        <v>138</v>
      </c>
      <c r="AC163" s="416">
        <v>138</v>
      </c>
      <c r="AD163" s="416">
        <v>135</v>
      </c>
      <c r="AE163" s="416">
        <v>123</v>
      </c>
      <c r="AF163" s="416">
        <v>101</v>
      </c>
      <c r="AG163" s="416">
        <v>83.8</v>
      </c>
      <c r="AH163" s="416">
        <v>67</v>
      </c>
      <c r="AI163" s="416">
        <v>0</v>
      </c>
      <c r="AJ163" s="416">
        <v>0</v>
      </c>
      <c r="AK163" s="416">
        <v>0</v>
      </c>
      <c r="AL163" s="416">
        <v>0</v>
      </c>
      <c r="AM163" s="416">
        <v>0</v>
      </c>
      <c r="AN163" s="416">
        <v>0</v>
      </c>
      <c r="AO163" s="416">
        <v>0</v>
      </c>
      <c r="AP163" s="416">
        <v>0</v>
      </c>
      <c r="AQ163" s="416">
        <v>0</v>
      </c>
      <c r="AR163" s="416">
        <v>0</v>
      </c>
      <c r="AS163" s="416">
        <v>0</v>
      </c>
      <c r="AT163" s="416">
        <v>0</v>
      </c>
      <c r="AU163" s="416">
        <v>0</v>
      </c>
      <c r="AV163" s="416">
        <v>0</v>
      </c>
      <c r="AW163" s="416">
        <v>0</v>
      </c>
      <c r="AX163" s="416">
        <v>0</v>
      </c>
      <c r="AY163" s="416">
        <v>0</v>
      </c>
      <c r="AZ163" s="416">
        <v>0</v>
      </c>
    </row>
    <row r="164" spans="1:52" s="411" customFormat="1" x14ac:dyDescent="0.3">
      <c r="A164" s="415" t="str">
        <f t="shared" si="2"/>
        <v>SA-352 Gr.LCC</v>
      </c>
      <c r="B164" s="415">
        <v>158</v>
      </c>
      <c r="C164" s="415" t="s">
        <v>2673</v>
      </c>
      <c r="D164" s="415" t="s">
        <v>2739</v>
      </c>
      <c r="E164" s="415" t="s">
        <v>2214</v>
      </c>
      <c r="F164" s="415" t="s">
        <v>2500</v>
      </c>
      <c r="G164" s="415" t="s">
        <v>2813</v>
      </c>
      <c r="H164" s="415">
        <v>0</v>
      </c>
      <c r="I164" s="415">
        <v>0</v>
      </c>
      <c r="J164" s="415">
        <v>1</v>
      </c>
      <c r="K164" s="415">
        <v>2</v>
      </c>
      <c r="L164" s="415">
        <v>485</v>
      </c>
      <c r="M164" s="415">
        <v>275</v>
      </c>
      <c r="N164" s="415" t="s">
        <v>2675</v>
      </c>
      <c r="O164" s="415">
        <v>371</v>
      </c>
      <c r="P164" s="415" t="s">
        <v>2675</v>
      </c>
      <c r="Q164" s="415" t="s">
        <v>2675</v>
      </c>
      <c r="R164" s="415" t="s">
        <v>2699</v>
      </c>
      <c r="S164" s="415" t="s">
        <v>2814</v>
      </c>
      <c r="T164" s="416">
        <v>138</v>
      </c>
      <c r="U164" s="416">
        <v>138</v>
      </c>
      <c r="V164" s="416">
        <v>138</v>
      </c>
      <c r="W164" s="416">
        <v>138</v>
      </c>
      <c r="X164" s="416">
        <v>138</v>
      </c>
      <c r="Y164" s="416">
        <v>138</v>
      </c>
      <c r="Z164" s="416">
        <v>138</v>
      </c>
      <c r="AA164" s="416">
        <v>138</v>
      </c>
      <c r="AB164" s="416">
        <v>138</v>
      </c>
      <c r="AC164" s="416">
        <v>138</v>
      </c>
      <c r="AD164" s="416">
        <v>135</v>
      </c>
      <c r="AE164" s="416">
        <v>123</v>
      </c>
      <c r="AF164" s="416">
        <v>0</v>
      </c>
      <c r="AG164" s="416">
        <v>0</v>
      </c>
      <c r="AH164" s="416">
        <v>0</v>
      </c>
      <c r="AI164" s="416">
        <v>0</v>
      </c>
      <c r="AJ164" s="416">
        <v>0</v>
      </c>
      <c r="AK164" s="416">
        <v>0</v>
      </c>
      <c r="AL164" s="416">
        <v>0</v>
      </c>
      <c r="AM164" s="416">
        <v>0</v>
      </c>
      <c r="AN164" s="416">
        <v>0</v>
      </c>
      <c r="AO164" s="416">
        <v>0</v>
      </c>
      <c r="AP164" s="416">
        <v>0</v>
      </c>
      <c r="AQ164" s="416">
        <v>0</v>
      </c>
      <c r="AR164" s="416">
        <v>0</v>
      </c>
      <c r="AS164" s="416">
        <v>0</v>
      </c>
      <c r="AT164" s="416">
        <v>0</v>
      </c>
      <c r="AU164" s="416">
        <v>0</v>
      </c>
      <c r="AV164" s="416">
        <v>0</v>
      </c>
      <c r="AW164" s="416">
        <v>0</v>
      </c>
      <c r="AX164" s="416">
        <v>0</v>
      </c>
      <c r="AY164" s="416">
        <v>0</v>
      </c>
      <c r="AZ164" s="416">
        <v>0</v>
      </c>
    </row>
    <row r="165" spans="1:52" s="411" customFormat="1" x14ac:dyDescent="0.3">
      <c r="A165" s="415" t="str">
        <f t="shared" si="2"/>
        <v>SA-487 Gr.16</v>
      </c>
      <c r="B165" s="415">
        <v>159</v>
      </c>
      <c r="C165" s="415" t="s">
        <v>2673</v>
      </c>
      <c r="D165" s="415" t="s">
        <v>2739</v>
      </c>
      <c r="E165" s="415" t="s">
        <v>2247</v>
      </c>
      <c r="F165" s="415">
        <v>16</v>
      </c>
      <c r="G165" s="415">
        <v>0</v>
      </c>
      <c r="H165" s="415" t="s">
        <v>12</v>
      </c>
      <c r="I165" s="415">
        <v>0</v>
      </c>
      <c r="J165" s="415">
        <v>1</v>
      </c>
      <c r="K165" s="415">
        <v>2</v>
      </c>
      <c r="L165" s="415">
        <v>485</v>
      </c>
      <c r="M165" s="415">
        <v>275</v>
      </c>
      <c r="N165" s="415" t="s">
        <v>2675</v>
      </c>
      <c r="O165" s="415">
        <v>371</v>
      </c>
      <c r="P165" s="415" t="s">
        <v>2675</v>
      </c>
      <c r="Q165" s="415" t="s">
        <v>2675</v>
      </c>
      <c r="R165" s="415" t="s">
        <v>2699</v>
      </c>
      <c r="S165" s="415">
        <v>0</v>
      </c>
      <c r="T165" s="416">
        <v>138</v>
      </c>
      <c r="U165" s="416">
        <v>138</v>
      </c>
      <c r="V165" s="416">
        <v>138</v>
      </c>
      <c r="W165" s="416">
        <v>137</v>
      </c>
      <c r="X165" s="416">
        <v>133</v>
      </c>
      <c r="Y165" s="416">
        <v>129</v>
      </c>
      <c r="Z165" s="416">
        <v>125</v>
      </c>
      <c r="AA165" s="416">
        <v>123</v>
      </c>
      <c r="AB165" s="416">
        <v>123</v>
      </c>
      <c r="AC165" s="416">
        <v>123</v>
      </c>
      <c r="AD165" s="416">
        <v>123</v>
      </c>
      <c r="AE165" s="416">
        <v>123</v>
      </c>
      <c r="AF165" s="416">
        <v>0</v>
      </c>
      <c r="AG165" s="416">
        <v>0</v>
      </c>
      <c r="AH165" s="416">
        <v>0</v>
      </c>
      <c r="AI165" s="416">
        <v>0</v>
      </c>
      <c r="AJ165" s="416">
        <v>0</v>
      </c>
      <c r="AK165" s="416">
        <v>0</v>
      </c>
      <c r="AL165" s="416">
        <v>0</v>
      </c>
      <c r="AM165" s="416">
        <v>0</v>
      </c>
      <c r="AN165" s="416">
        <v>0</v>
      </c>
      <c r="AO165" s="416">
        <v>0</v>
      </c>
      <c r="AP165" s="416">
        <v>0</v>
      </c>
      <c r="AQ165" s="416">
        <v>0</v>
      </c>
      <c r="AR165" s="416">
        <v>0</v>
      </c>
      <c r="AS165" s="416">
        <v>0</v>
      </c>
      <c r="AT165" s="416">
        <v>0</v>
      </c>
      <c r="AU165" s="416">
        <v>0</v>
      </c>
      <c r="AV165" s="416">
        <v>0</v>
      </c>
      <c r="AW165" s="416">
        <v>0</v>
      </c>
      <c r="AX165" s="416">
        <v>0</v>
      </c>
      <c r="AY165" s="416">
        <v>0</v>
      </c>
      <c r="AZ165" s="416">
        <v>0</v>
      </c>
    </row>
    <row r="166" spans="1:52" s="411" customFormat="1" x14ac:dyDescent="0.3">
      <c r="A166" s="415" t="str">
        <f t="shared" si="2"/>
        <v>SA-537 Gr.0</v>
      </c>
      <c r="B166" s="415">
        <v>160</v>
      </c>
      <c r="C166" s="415" t="s">
        <v>2673</v>
      </c>
      <c r="D166" s="415" t="s">
        <v>2684</v>
      </c>
      <c r="E166" s="415" t="s">
        <v>2262</v>
      </c>
      <c r="F166" s="415">
        <v>0</v>
      </c>
      <c r="G166" s="415" t="s">
        <v>2791</v>
      </c>
      <c r="H166" s="415">
        <v>3</v>
      </c>
      <c r="I166" s="415" t="s">
        <v>2783</v>
      </c>
      <c r="J166" s="415">
        <v>1</v>
      </c>
      <c r="K166" s="415">
        <v>3</v>
      </c>
      <c r="L166" s="415">
        <v>485</v>
      </c>
      <c r="M166" s="415">
        <v>275</v>
      </c>
      <c r="N166" s="415" t="s">
        <v>2675</v>
      </c>
      <c r="O166" s="415" t="s">
        <v>2675</v>
      </c>
      <c r="P166" s="415">
        <v>371</v>
      </c>
      <c r="Q166" s="415">
        <v>343</v>
      </c>
      <c r="R166" s="415" t="s">
        <v>2699</v>
      </c>
      <c r="S166" s="415" t="s">
        <v>2815</v>
      </c>
      <c r="T166" s="416">
        <v>138</v>
      </c>
      <c r="U166" s="416">
        <v>138</v>
      </c>
      <c r="V166" s="416">
        <v>138</v>
      </c>
      <c r="W166" s="416">
        <v>138</v>
      </c>
      <c r="X166" s="416">
        <v>137</v>
      </c>
      <c r="Y166" s="416">
        <v>136</v>
      </c>
      <c r="Z166" s="416">
        <v>135</v>
      </c>
      <c r="AA166" s="416">
        <v>131</v>
      </c>
      <c r="AB166" s="416">
        <v>126</v>
      </c>
      <c r="AC166" s="416">
        <v>123</v>
      </c>
      <c r="AD166" s="416">
        <v>121</v>
      </c>
      <c r="AE166" s="416">
        <v>118</v>
      </c>
      <c r="AF166" s="416">
        <v>0</v>
      </c>
      <c r="AG166" s="416">
        <v>0</v>
      </c>
      <c r="AH166" s="416">
        <v>0</v>
      </c>
      <c r="AI166" s="416">
        <v>0</v>
      </c>
      <c r="AJ166" s="416">
        <v>0</v>
      </c>
      <c r="AK166" s="416">
        <v>0</v>
      </c>
      <c r="AL166" s="416">
        <v>0</v>
      </c>
      <c r="AM166" s="416">
        <v>0</v>
      </c>
      <c r="AN166" s="416">
        <v>0</v>
      </c>
      <c r="AO166" s="416">
        <v>0</v>
      </c>
      <c r="AP166" s="416">
        <v>0</v>
      </c>
      <c r="AQ166" s="416">
        <v>0</v>
      </c>
      <c r="AR166" s="416">
        <v>0</v>
      </c>
      <c r="AS166" s="416">
        <v>0</v>
      </c>
      <c r="AT166" s="416">
        <v>0</v>
      </c>
      <c r="AU166" s="416">
        <v>0</v>
      </c>
      <c r="AV166" s="416">
        <v>0</v>
      </c>
      <c r="AW166" s="416">
        <v>0</v>
      </c>
      <c r="AX166" s="416">
        <v>0</v>
      </c>
      <c r="AY166" s="416">
        <v>0</v>
      </c>
      <c r="AZ166" s="416">
        <v>0</v>
      </c>
    </row>
    <row r="167" spans="1:52" s="411" customFormat="1" x14ac:dyDescent="0.3">
      <c r="A167" s="415" t="str">
        <f t="shared" si="2"/>
        <v>SA-556 Gr.C2</v>
      </c>
      <c r="B167" s="415">
        <v>161</v>
      </c>
      <c r="C167" s="415" t="s">
        <v>2673</v>
      </c>
      <c r="D167" s="415" t="s">
        <v>2693</v>
      </c>
      <c r="E167" s="415" t="s">
        <v>2270</v>
      </c>
      <c r="F167" s="415" t="s">
        <v>2350</v>
      </c>
      <c r="G167" s="415" t="s">
        <v>2756</v>
      </c>
      <c r="H167" s="415">
        <v>0</v>
      </c>
      <c r="I167" s="415">
        <v>0</v>
      </c>
      <c r="J167" s="415">
        <v>1</v>
      </c>
      <c r="K167" s="415">
        <v>2</v>
      </c>
      <c r="L167" s="415">
        <v>485</v>
      </c>
      <c r="M167" s="415">
        <v>275</v>
      </c>
      <c r="N167" s="415" t="s">
        <v>2675</v>
      </c>
      <c r="O167" s="415" t="s">
        <v>2675</v>
      </c>
      <c r="P167" s="415">
        <v>427</v>
      </c>
      <c r="Q167" s="415">
        <v>343</v>
      </c>
      <c r="R167" s="415" t="s">
        <v>2699</v>
      </c>
      <c r="S167" s="415" t="s">
        <v>2711</v>
      </c>
      <c r="T167" s="416">
        <v>138</v>
      </c>
      <c r="U167" s="416">
        <v>138</v>
      </c>
      <c r="V167" s="416">
        <v>138</v>
      </c>
      <c r="W167" s="416">
        <v>138</v>
      </c>
      <c r="X167" s="416">
        <v>138</v>
      </c>
      <c r="Y167" s="416">
        <v>138</v>
      </c>
      <c r="Z167" s="416">
        <v>138</v>
      </c>
      <c r="AA167" s="416">
        <v>138</v>
      </c>
      <c r="AB167" s="416">
        <v>138</v>
      </c>
      <c r="AC167" s="416">
        <v>138</v>
      </c>
      <c r="AD167" s="416">
        <v>135</v>
      </c>
      <c r="AE167" s="416">
        <v>123</v>
      </c>
      <c r="AF167" s="416">
        <v>101</v>
      </c>
      <c r="AG167" s="416">
        <v>83.8</v>
      </c>
      <c r="AH167" s="416">
        <v>67</v>
      </c>
      <c r="AI167" s="416">
        <v>0</v>
      </c>
      <c r="AJ167" s="416">
        <v>0</v>
      </c>
      <c r="AK167" s="416">
        <v>0</v>
      </c>
      <c r="AL167" s="416">
        <v>0</v>
      </c>
      <c r="AM167" s="416">
        <v>0</v>
      </c>
      <c r="AN167" s="416">
        <v>0</v>
      </c>
      <c r="AO167" s="416">
        <v>0</v>
      </c>
      <c r="AP167" s="416">
        <v>0</v>
      </c>
      <c r="AQ167" s="416">
        <v>0</v>
      </c>
      <c r="AR167" s="416">
        <v>0</v>
      </c>
      <c r="AS167" s="416">
        <v>0</v>
      </c>
      <c r="AT167" s="416">
        <v>0</v>
      </c>
      <c r="AU167" s="416">
        <v>0</v>
      </c>
      <c r="AV167" s="416">
        <v>0</v>
      </c>
      <c r="AW167" s="416">
        <v>0</v>
      </c>
      <c r="AX167" s="416">
        <v>0</v>
      </c>
      <c r="AY167" s="416">
        <v>0</v>
      </c>
      <c r="AZ167" s="416">
        <v>0</v>
      </c>
    </row>
    <row r="168" spans="1:52" s="411" customFormat="1" x14ac:dyDescent="0.3">
      <c r="A168" s="415" t="str">
        <f t="shared" si="2"/>
        <v>SA-557 Gr.C2</v>
      </c>
      <c r="B168" s="415">
        <v>162</v>
      </c>
      <c r="C168" s="415" t="s">
        <v>2673</v>
      </c>
      <c r="D168" s="415" t="s">
        <v>2689</v>
      </c>
      <c r="E168" s="415" t="s">
        <v>2272</v>
      </c>
      <c r="F168" s="415" t="s">
        <v>2350</v>
      </c>
      <c r="G168" s="415" t="s">
        <v>2816</v>
      </c>
      <c r="H168" s="415">
        <v>0</v>
      </c>
      <c r="I168" s="415">
        <v>0</v>
      </c>
      <c r="J168" s="415">
        <v>1</v>
      </c>
      <c r="K168" s="415">
        <v>2</v>
      </c>
      <c r="L168" s="415">
        <v>485</v>
      </c>
      <c r="M168" s="415">
        <v>275</v>
      </c>
      <c r="N168" s="415" t="s">
        <v>2675</v>
      </c>
      <c r="O168" s="415" t="s">
        <v>2675</v>
      </c>
      <c r="P168" s="415">
        <v>538</v>
      </c>
      <c r="Q168" s="415">
        <v>343</v>
      </c>
      <c r="R168" s="415" t="s">
        <v>2699</v>
      </c>
      <c r="S168" s="415" t="s">
        <v>2697</v>
      </c>
      <c r="T168" s="416">
        <v>117</v>
      </c>
      <c r="U168" s="416">
        <v>117</v>
      </c>
      <c r="V168" s="416">
        <v>117</v>
      </c>
      <c r="W168" s="416">
        <v>117</v>
      </c>
      <c r="X168" s="416">
        <v>117</v>
      </c>
      <c r="Y168" s="416">
        <v>117</v>
      </c>
      <c r="Z168" s="416">
        <v>117</v>
      </c>
      <c r="AA168" s="416">
        <v>117</v>
      </c>
      <c r="AB168" s="416">
        <v>117</v>
      </c>
      <c r="AC168" s="416">
        <v>117</v>
      </c>
      <c r="AD168" s="416">
        <v>115</v>
      </c>
      <c r="AE168" s="416">
        <v>104</v>
      </c>
      <c r="AF168" s="416">
        <v>86.1</v>
      </c>
      <c r="AG168" s="416">
        <v>71.3</v>
      </c>
      <c r="AH168" s="416">
        <v>56.9</v>
      </c>
      <c r="AI168" s="416">
        <v>43.4</v>
      </c>
      <c r="AJ168" s="416">
        <v>28.6</v>
      </c>
      <c r="AK168" s="416">
        <v>18.100000000000001</v>
      </c>
      <c r="AL168" s="416">
        <v>10.7</v>
      </c>
      <c r="AM168" s="416">
        <v>0</v>
      </c>
      <c r="AN168" s="416">
        <v>0</v>
      </c>
      <c r="AO168" s="416">
        <v>0</v>
      </c>
      <c r="AP168" s="416">
        <v>0</v>
      </c>
      <c r="AQ168" s="416">
        <v>0</v>
      </c>
      <c r="AR168" s="416">
        <v>0</v>
      </c>
      <c r="AS168" s="416">
        <v>0</v>
      </c>
      <c r="AT168" s="416">
        <v>0</v>
      </c>
      <c r="AU168" s="416">
        <v>0</v>
      </c>
      <c r="AV168" s="416">
        <v>0</v>
      </c>
      <c r="AW168" s="416">
        <v>0</v>
      </c>
      <c r="AX168" s="416">
        <v>0</v>
      </c>
      <c r="AY168" s="416">
        <v>0</v>
      </c>
      <c r="AZ168" s="416">
        <v>0</v>
      </c>
    </row>
    <row r="169" spans="1:52" s="411" customFormat="1" x14ac:dyDescent="0.3">
      <c r="A169" s="415" t="str">
        <f t="shared" si="2"/>
        <v>SA-660 Gr.WCC</v>
      </c>
      <c r="B169" s="415">
        <v>163</v>
      </c>
      <c r="C169" s="415" t="s">
        <v>2673</v>
      </c>
      <c r="D169" s="415" t="s">
        <v>2746</v>
      </c>
      <c r="E169" s="415" t="s">
        <v>2289</v>
      </c>
      <c r="F169" s="415" t="s">
        <v>2603</v>
      </c>
      <c r="G169" s="415" t="s">
        <v>2813</v>
      </c>
      <c r="H169" s="415">
        <v>0</v>
      </c>
      <c r="I169" s="415">
        <v>0</v>
      </c>
      <c r="J169" s="415">
        <v>1</v>
      </c>
      <c r="K169" s="415">
        <v>2</v>
      </c>
      <c r="L169" s="415">
        <v>485</v>
      </c>
      <c r="M169" s="415">
        <v>275</v>
      </c>
      <c r="N169" s="415">
        <v>538</v>
      </c>
      <c r="O169" s="415">
        <v>371</v>
      </c>
      <c r="P169" s="415" t="s">
        <v>2675</v>
      </c>
      <c r="Q169" s="415" t="s">
        <v>2675</v>
      </c>
      <c r="R169" s="415" t="s">
        <v>2699</v>
      </c>
      <c r="S169" s="415" t="s">
        <v>2812</v>
      </c>
      <c r="T169" s="416">
        <v>138</v>
      </c>
      <c r="U169" s="416">
        <v>138</v>
      </c>
      <c r="V169" s="416">
        <v>138</v>
      </c>
      <c r="W169" s="416">
        <v>138</v>
      </c>
      <c r="X169" s="416">
        <v>138</v>
      </c>
      <c r="Y169" s="416">
        <v>138</v>
      </c>
      <c r="Z169" s="416">
        <v>138</v>
      </c>
      <c r="AA169" s="416">
        <v>138</v>
      </c>
      <c r="AB169" s="416">
        <v>138</v>
      </c>
      <c r="AC169" s="416">
        <v>138</v>
      </c>
      <c r="AD169" s="416">
        <v>135</v>
      </c>
      <c r="AE169" s="416">
        <v>123</v>
      </c>
      <c r="AF169" s="416">
        <v>101</v>
      </c>
      <c r="AG169" s="416">
        <v>83.8</v>
      </c>
      <c r="AH169" s="416">
        <v>67</v>
      </c>
      <c r="AI169" s="416">
        <v>51</v>
      </c>
      <c r="AJ169" s="416">
        <v>33.6</v>
      </c>
      <c r="AK169" s="416">
        <v>21.3</v>
      </c>
      <c r="AL169" s="416">
        <v>12.9</v>
      </c>
      <c r="AM169" s="416">
        <v>0</v>
      </c>
      <c r="AN169" s="416">
        <v>0</v>
      </c>
      <c r="AO169" s="416">
        <v>0</v>
      </c>
      <c r="AP169" s="416">
        <v>0</v>
      </c>
      <c r="AQ169" s="416">
        <v>0</v>
      </c>
      <c r="AR169" s="416">
        <v>0</v>
      </c>
      <c r="AS169" s="416">
        <v>0</v>
      </c>
      <c r="AT169" s="416">
        <v>0</v>
      </c>
      <c r="AU169" s="416">
        <v>0</v>
      </c>
      <c r="AV169" s="416">
        <v>0</v>
      </c>
      <c r="AW169" s="416">
        <v>0</v>
      </c>
      <c r="AX169" s="416">
        <v>0</v>
      </c>
      <c r="AY169" s="416">
        <v>0</v>
      </c>
      <c r="AZ169" s="416">
        <v>0</v>
      </c>
    </row>
    <row r="170" spans="1:52" s="411" customFormat="1" x14ac:dyDescent="0.3">
      <c r="A170" s="415" t="str">
        <f t="shared" si="2"/>
        <v>SA-695 Gr.B/40</v>
      </c>
      <c r="B170" s="415">
        <v>164</v>
      </c>
      <c r="C170" s="415" t="s">
        <v>2673</v>
      </c>
      <c r="D170" s="415" t="s">
        <v>2677</v>
      </c>
      <c r="E170" s="415" t="s">
        <v>2764</v>
      </c>
      <c r="F170" s="415" t="s">
        <v>2340</v>
      </c>
      <c r="G170" s="415" t="s">
        <v>2765</v>
      </c>
      <c r="H170" s="415">
        <v>0</v>
      </c>
      <c r="I170" s="415">
        <v>0</v>
      </c>
      <c r="J170" s="415">
        <v>1</v>
      </c>
      <c r="K170" s="415">
        <v>2</v>
      </c>
      <c r="L170" s="415">
        <v>485</v>
      </c>
      <c r="M170" s="415">
        <v>275</v>
      </c>
      <c r="N170" s="415" t="s">
        <v>2675</v>
      </c>
      <c r="O170" s="415">
        <v>371</v>
      </c>
      <c r="P170" s="415">
        <v>427</v>
      </c>
      <c r="Q170" s="415">
        <v>343</v>
      </c>
      <c r="R170" s="415" t="s">
        <v>2699</v>
      </c>
      <c r="S170" s="415" t="s">
        <v>2711</v>
      </c>
      <c r="T170" s="416">
        <v>138</v>
      </c>
      <c r="U170" s="416">
        <v>138</v>
      </c>
      <c r="V170" s="416">
        <v>138</v>
      </c>
      <c r="W170" s="416">
        <v>138</v>
      </c>
      <c r="X170" s="416">
        <v>138</v>
      </c>
      <c r="Y170" s="416">
        <v>138</v>
      </c>
      <c r="Z170" s="416">
        <v>138</v>
      </c>
      <c r="AA170" s="416">
        <v>138</v>
      </c>
      <c r="AB170" s="416">
        <v>138</v>
      </c>
      <c r="AC170" s="416">
        <v>138</v>
      </c>
      <c r="AD170" s="416">
        <v>135</v>
      </c>
      <c r="AE170" s="416">
        <v>123</v>
      </c>
      <c r="AF170" s="416">
        <v>101</v>
      </c>
      <c r="AG170" s="416">
        <v>83.8</v>
      </c>
      <c r="AH170" s="416">
        <v>67</v>
      </c>
      <c r="AI170" s="416">
        <v>0</v>
      </c>
      <c r="AJ170" s="416">
        <v>0</v>
      </c>
      <c r="AK170" s="416">
        <v>0</v>
      </c>
      <c r="AL170" s="416">
        <v>0</v>
      </c>
      <c r="AM170" s="416">
        <v>0</v>
      </c>
      <c r="AN170" s="416">
        <v>0</v>
      </c>
      <c r="AO170" s="416">
        <v>0</v>
      </c>
      <c r="AP170" s="416">
        <v>0</v>
      </c>
      <c r="AQ170" s="416">
        <v>0</v>
      </c>
      <c r="AR170" s="416">
        <v>0</v>
      </c>
      <c r="AS170" s="416">
        <v>0</v>
      </c>
      <c r="AT170" s="416">
        <v>0</v>
      </c>
      <c r="AU170" s="416">
        <v>0</v>
      </c>
      <c r="AV170" s="416">
        <v>0</v>
      </c>
      <c r="AW170" s="416">
        <v>0</v>
      </c>
      <c r="AX170" s="416">
        <v>0</v>
      </c>
      <c r="AY170" s="416">
        <v>0</v>
      </c>
      <c r="AZ170" s="416">
        <v>0</v>
      </c>
    </row>
    <row r="171" spans="1:52" s="411" customFormat="1" x14ac:dyDescent="0.3">
      <c r="A171" s="415" t="str">
        <f t="shared" si="2"/>
        <v>SA-696 Gr.C</v>
      </c>
      <c r="B171" s="415">
        <v>165</v>
      </c>
      <c r="C171" s="415" t="s">
        <v>2673</v>
      </c>
      <c r="D171" s="415" t="s">
        <v>2677</v>
      </c>
      <c r="E171" s="415" t="s">
        <v>2767</v>
      </c>
      <c r="F171" s="415" t="s">
        <v>2348</v>
      </c>
      <c r="G171" s="415" t="s">
        <v>2768</v>
      </c>
      <c r="H171" s="415">
        <v>0</v>
      </c>
      <c r="I171" s="415">
        <v>0</v>
      </c>
      <c r="J171" s="415">
        <v>1</v>
      </c>
      <c r="K171" s="415">
        <v>2</v>
      </c>
      <c r="L171" s="415">
        <v>485</v>
      </c>
      <c r="M171" s="415">
        <v>275</v>
      </c>
      <c r="N171" s="415" t="s">
        <v>2675</v>
      </c>
      <c r="O171" s="415">
        <v>371</v>
      </c>
      <c r="P171" s="415" t="s">
        <v>2675</v>
      </c>
      <c r="Q171" s="415" t="s">
        <v>2675</v>
      </c>
      <c r="R171" s="415" t="s">
        <v>2699</v>
      </c>
      <c r="S171" s="415" t="s">
        <v>2535</v>
      </c>
      <c r="T171" s="416">
        <v>138</v>
      </c>
      <c r="U171" s="416">
        <v>138</v>
      </c>
      <c r="V171" s="416">
        <v>138</v>
      </c>
      <c r="W171" s="416">
        <v>138</v>
      </c>
      <c r="X171" s="416">
        <v>138</v>
      </c>
      <c r="Y171" s="416">
        <v>138</v>
      </c>
      <c r="Z171" s="416">
        <v>138</v>
      </c>
      <c r="AA171" s="416">
        <v>138</v>
      </c>
      <c r="AB171" s="416">
        <v>138</v>
      </c>
      <c r="AC171" s="416">
        <v>138</v>
      </c>
      <c r="AD171" s="416">
        <v>135</v>
      </c>
      <c r="AE171" s="416">
        <v>123</v>
      </c>
      <c r="AF171" s="416">
        <v>0</v>
      </c>
      <c r="AG171" s="416">
        <v>0</v>
      </c>
      <c r="AH171" s="416">
        <v>0</v>
      </c>
      <c r="AI171" s="416">
        <v>0</v>
      </c>
      <c r="AJ171" s="416">
        <v>0</v>
      </c>
      <c r="AK171" s="416">
        <v>0</v>
      </c>
      <c r="AL171" s="416">
        <v>0</v>
      </c>
      <c r="AM171" s="416">
        <v>0</v>
      </c>
      <c r="AN171" s="416">
        <v>0</v>
      </c>
      <c r="AO171" s="416">
        <v>0</v>
      </c>
      <c r="AP171" s="416">
        <v>0</v>
      </c>
      <c r="AQ171" s="416">
        <v>0</v>
      </c>
      <c r="AR171" s="416">
        <v>0</v>
      </c>
      <c r="AS171" s="416">
        <v>0</v>
      </c>
      <c r="AT171" s="416">
        <v>0</v>
      </c>
      <c r="AU171" s="416">
        <v>0</v>
      </c>
      <c r="AV171" s="416">
        <v>0</v>
      </c>
      <c r="AW171" s="416">
        <v>0</v>
      </c>
      <c r="AX171" s="416">
        <v>0</v>
      </c>
      <c r="AY171" s="416">
        <v>0</v>
      </c>
      <c r="AZ171" s="416">
        <v>0</v>
      </c>
    </row>
    <row r="172" spans="1:52" s="411" customFormat="1" x14ac:dyDescent="0.3">
      <c r="A172" s="415" t="str">
        <f t="shared" si="2"/>
        <v>SA-414 Gr.F</v>
      </c>
      <c r="B172" s="415">
        <v>166</v>
      </c>
      <c r="C172" s="415" t="s">
        <v>2673</v>
      </c>
      <c r="D172" s="415" t="s">
        <v>2674</v>
      </c>
      <c r="E172" s="415" t="s">
        <v>2233</v>
      </c>
      <c r="F172" s="415" t="s">
        <v>2423</v>
      </c>
      <c r="G172" s="415" t="s">
        <v>2817</v>
      </c>
      <c r="H172" s="415">
        <v>0</v>
      </c>
      <c r="I172" s="415">
        <v>0</v>
      </c>
      <c r="J172" s="415">
        <v>1</v>
      </c>
      <c r="K172" s="415">
        <v>2</v>
      </c>
      <c r="L172" s="415">
        <v>485</v>
      </c>
      <c r="M172" s="415">
        <v>290</v>
      </c>
      <c r="N172" s="415" t="s">
        <v>2675</v>
      </c>
      <c r="O172" s="415" t="s">
        <v>2675</v>
      </c>
      <c r="P172" s="415">
        <v>482</v>
      </c>
      <c r="Q172" s="415">
        <v>343</v>
      </c>
      <c r="R172" s="415" t="s">
        <v>2699</v>
      </c>
      <c r="S172" s="415" t="s">
        <v>2711</v>
      </c>
      <c r="T172" s="416">
        <v>138</v>
      </c>
      <c r="U172" s="416">
        <v>138</v>
      </c>
      <c r="V172" s="416">
        <v>138</v>
      </c>
      <c r="W172" s="416">
        <v>138</v>
      </c>
      <c r="X172" s="416">
        <v>138</v>
      </c>
      <c r="Y172" s="416">
        <v>138</v>
      </c>
      <c r="Z172" s="416">
        <v>138</v>
      </c>
      <c r="AA172" s="416">
        <v>138</v>
      </c>
      <c r="AB172" s="416">
        <v>138</v>
      </c>
      <c r="AC172" s="416">
        <v>138</v>
      </c>
      <c r="AD172" s="416">
        <v>137</v>
      </c>
      <c r="AE172" s="416">
        <v>123</v>
      </c>
      <c r="AF172" s="416">
        <v>101</v>
      </c>
      <c r="AG172" s="416">
        <v>83.8</v>
      </c>
      <c r="AH172" s="416">
        <v>67.099999999999994</v>
      </c>
      <c r="AI172" s="416">
        <v>50.8</v>
      </c>
      <c r="AJ172" s="416">
        <v>34.700000000000003</v>
      </c>
      <c r="AK172" s="416">
        <v>0</v>
      </c>
      <c r="AL172" s="416">
        <v>0</v>
      </c>
      <c r="AM172" s="416">
        <v>0</v>
      </c>
      <c r="AN172" s="416">
        <v>0</v>
      </c>
      <c r="AO172" s="416">
        <v>0</v>
      </c>
      <c r="AP172" s="416">
        <v>0</v>
      </c>
      <c r="AQ172" s="416">
        <v>0</v>
      </c>
      <c r="AR172" s="416">
        <v>0</v>
      </c>
      <c r="AS172" s="416">
        <v>0</v>
      </c>
      <c r="AT172" s="416">
        <v>0</v>
      </c>
      <c r="AU172" s="416">
        <v>0</v>
      </c>
      <c r="AV172" s="416">
        <v>0</v>
      </c>
      <c r="AW172" s="416">
        <v>0</v>
      </c>
      <c r="AX172" s="416">
        <v>0</v>
      </c>
      <c r="AY172" s="416">
        <v>0</v>
      </c>
      <c r="AZ172" s="416">
        <v>0</v>
      </c>
    </row>
    <row r="173" spans="1:52" s="411" customFormat="1" x14ac:dyDescent="0.3">
      <c r="A173" s="415" t="str">
        <f t="shared" si="2"/>
        <v>SA-662 Gr.C</v>
      </c>
      <c r="B173" s="415">
        <v>167</v>
      </c>
      <c r="C173" s="415" t="s">
        <v>2673</v>
      </c>
      <c r="D173" s="415" t="s">
        <v>2684</v>
      </c>
      <c r="E173" s="415" t="s">
        <v>2291</v>
      </c>
      <c r="F173" s="415" t="s">
        <v>2348</v>
      </c>
      <c r="G173" s="415" t="s">
        <v>2818</v>
      </c>
      <c r="H173" s="415">
        <v>0</v>
      </c>
      <c r="I173" s="415">
        <v>0</v>
      </c>
      <c r="J173" s="415">
        <v>1</v>
      </c>
      <c r="K173" s="415">
        <v>2</v>
      </c>
      <c r="L173" s="415">
        <v>485</v>
      </c>
      <c r="M173" s="415">
        <v>295</v>
      </c>
      <c r="N173" s="415" t="s">
        <v>2675</v>
      </c>
      <c r="O173" s="415" t="s">
        <v>2675</v>
      </c>
      <c r="P173" s="415">
        <v>371</v>
      </c>
      <c r="Q173" s="415">
        <v>343</v>
      </c>
      <c r="R173" s="415" t="s">
        <v>2819</v>
      </c>
      <c r="S173" s="415" t="s">
        <v>2535</v>
      </c>
      <c r="T173" s="416">
        <v>138</v>
      </c>
      <c r="U173" s="416">
        <v>138</v>
      </c>
      <c r="V173" s="416">
        <v>138</v>
      </c>
      <c r="W173" s="416">
        <v>138</v>
      </c>
      <c r="X173" s="416">
        <v>138</v>
      </c>
      <c r="Y173" s="416">
        <v>138</v>
      </c>
      <c r="Z173" s="416">
        <v>138</v>
      </c>
      <c r="AA173" s="416">
        <v>138</v>
      </c>
      <c r="AB173" s="416">
        <v>138</v>
      </c>
      <c r="AC173" s="416">
        <v>138</v>
      </c>
      <c r="AD173" s="416">
        <v>137</v>
      </c>
      <c r="AE173" s="416">
        <v>123</v>
      </c>
      <c r="AF173" s="416">
        <v>0</v>
      </c>
      <c r="AG173" s="416">
        <v>0</v>
      </c>
      <c r="AH173" s="416">
        <v>0</v>
      </c>
      <c r="AI173" s="416">
        <v>0</v>
      </c>
      <c r="AJ173" s="416">
        <v>0</v>
      </c>
      <c r="AK173" s="416">
        <v>0</v>
      </c>
      <c r="AL173" s="416">
        <v>0</v>
      </c>
      <c r="AM173" s="416">
        <v>0</v>
      </c>
      <c r="AN173" s="416">
        <v>0</v>
      </c>
      <c r="AO173" s="416">
        <v>0</v>
      </c>
      <c r="AP173" s="416">
        <v>0</v>
      </c>
      <c r="AQ173" s="416">
        <v>0</v>
      </c>
      <c r="AR173" s="416">
        <v>0</v>
      </c>
      <c r="AS173" s="416">
        <v>0</v>
      </c>
      <c r="AT173" s="416">
        <v>0</v>
      </c>
      <c r="AU173" s="416">
        <v>0</v>
      </c>
      <c r="AV173" s="416">
        <v>0</v>
      </c>
      <c r="AW173" s="416">
        <v>0</v>
      </c>
      <c r="AX173" s="416">
        <v>0</v>
      </c>
      <c r="AY173" s="416">
        <v>0</v>
      </c>
      <c r="AZ173" s="416">
        <v>0</v>
      </c>
    </row>
    <row r="174" spans="1:52" s="411" customFormat="1" x14ac:dyDescent="0.3">
      <c r="A174" s="415" t="str">
        <f t="shared" si="2"/>
        <v>SA-537 Gr.0</v>
      </c>
      <c r="B174" s="415">
        <v>168</v>
      </c>
      <c r="C174" s="415" t="s">
        <v>2673</v>
      </c>
      <c r="D174" s="415" t="s">
        <v>2684</v>
      </c>
      <c r="E174" s="415" t="s">
        <v>2262</v>
      </c>
      <c r="F174" s="415">
        <v>0</v>
      </c>
      <c r="G174" s="415" t="s">
        <v>2791</v>
      </c>
      <c r="H174" s="415">
        <v>2</v>
      </c>
      <c r="I174" s="415" t="s">
        <v>2783</v>
      </c>
      <c r="J174" s="415">
        <v>1</v>
      </c>
      <c r="K174" s="415">
        <v>3</v>
      </c>
      <c r="L174" s="415">
        <v>485</v>
      </c>
      <c r="M174" s="415">
        <v>315</v>
      </c>
      <c r="N174" s="415" t="s">
        <v>2675</v>
      </c>
      <c r="O174" s="415">
        <v>371</v>
      </c>
      <c r="P174" s="415">
        <v>371</v>
      </c>
      <c r="Q174" s="415">
        <v>343</v>
      </c>
      <c r="R174" s="415" t="s">
        <v>2819</v>
      </c>
      <c r="S174" s="415" t="s">
        <v>2820</v>
      </c>
      <c r="T174" s="416">
        <v>138</v>
      </c>
      <c r="U174" s="416">
        <v>138</v>
      </c>
      <c r="V174" s="416">
        <v>138</v>
      </c>
      <c r="W174" s="416">
        <v>138</v>
      </c>
      <c r="X174" s="416">
        <v>137</v>
      </c>
      <c r="Y174" s="416">
        <v>136</v>
      </c>
      <c r="Z174" s="416">
        <v>134</v>
      </c>
      <c r="AA174" s="416">
        <v>134</v>
      </c>
      <c r="AB174" s="416">
        <v>134</v>
      </c>
      <c r="AC174" s="416">
        <v>134</v>
      </c>
      <c r="AD174" s="416">
        <v>133</v>
      </c>
      <c r="AE174" s="416">
        <v>125</v>
      </c>
      <c r="AF174" s="416">
        <v>0</v>
      </c>
      <c r="AG174" s="416">
        <v>0</v>
      </c>
      <c r="AH174" s="416">
        <v>0</v>
      </c>
      <c r="AI174" s="416">
        <v>0</v>
      </c>
      <c r="AJ174" s="416">
        <v>0</v>
      </c>
      <c r="AK174" s="416">
        <v>0</v>
      </c>
      <c r="AL174" s="416">
        <v>0</v>
      </c>
      <c r="AM174" s="416">
        <v>0</v>
      </c>
      <c r="AN174" s="416">
        <v>0</v>
      </c>
      <c r="AO174" s="416">
        <v>0</v>
      </c>
      <c r="AP174" s="416">
        <v>0</v>
      </c>
      <c r="AQ174" s="416">
        <v>0</v>
      </c>
      <c r="AR174" s="416">
        <v>0</v>
      </c>
      <c r="AS174" s="416">
        <v>0</v>
      </c>
      <c r="AT174" s="416">
        <v>0</v>
      </c>
      <c r="AU174" s="416">
        <v>0</v>
      </c>
      <c r="AV174" s="416">
        <v>0</v>
      </c>
      <c r="AW174" s="416">
        <v>0</v>
      </c>
      <c r="AX174" s="416">
        <v>0</v>
      </c>
      <c r="AY174" s="416">
        <v>0</v>
      </c>
      <c r="AZ174" s="416">
        <v>0</v>
      </c>
    </row>
    <row r="175" spans="1:52" s="411" customFormat="1" x14ac:dyDescent="0.3">
      <c r="A175" s="415" t="str">
        <f t="shared" si="2"/>
        <v>SA-738 Gr.C</v>
      </c>
      <c r="B175" s="415">
        <v>169</v>
      </c>
      <c r="C175" s="415" t="s">
        <v>2673</v>
      </c>
      <c r="D175" s="415" t="s">
        <v>2684</v>
      </c>
      <c r="E175" s="415" t="s">
        <v>2315</v>
      </c>
      <c r="F175" s="415" t="s">
        <v>2348</v>
      </c>
      <c r="G175" s="415" t="s">
        <v>2821</v>
      </c>
      <c r="H175" s="415">
        <v>0</v>
      </c>
      <c r="I175" s="415" t="s">
        <v>2783</v>
      </c>
      <c r="J175" s="415">
        <v>1</v>
      </c>
      <c r="K175" s="415">
        <v>3</v>
      </c>
      <c r="L175" s="415">
        <v>485</v>
      </c>
      <c r="M175" s="415">
        <v>315</v>
      </c>
      <c r="N175" s="415" t="s">
        <v>2675</v>
      </c>
      <c r="O175" s="415">
        <v>343</v>
      </c>
      <c r="P175" s="415">
        <v>343</v>
      </c>
      <c r="Q175" s="415">
        <v>343</v>
      </c>
      <c r="R175" s="415" t="s">
        <v>2819</v>
      </c>
      <c r="S175" s="415" t="s">
        <v>2815</v>
      </c>
      <c r="T175" s="416">
        <v>138</v>
      </c>
      <c r="U175" s="416">
        <v>138</v>
      </c>
      <c r="V175" s="416">
        <v>138</v>
      </c>
      <c r="W175" s="416">
        <v>138</v>
      </c>
      <c r="X175" s="416">
        <v>137</v>
      </c>
      <c r="Y175" s="416">
        <v>136</v>
      </c>
      <c r="Z175" s="416">
        <v>134</v>
      </c>
      <c r="AA175" s="416">
        <v>134</v>
      </c>
      <c r="AB175" s="416">
        <v>134</v>
      </c>
      <c r="AC175" s="416">
        <v>134</v>
      </c>
      <c r="AD175" s="416">
        <v>133</v>
      </c>
      <c r="AE175" s="416">
        <v>0</v>
      </c>
      <c r="AF175" s="416">
        <v>0</v>
      </c>
      <c r="AG175" s="416">
        <v>0</v>
      </c>
      <c r="AH175" s="416">
        <v>0</v>
      </c>
      <c r="AI175" s="416">
        <v>0</v>
      </c>
      <c r="AJ175" s="416">
        <v>0</v>
      </c>
      <c r="AK175" s="416">
        <v>0</v>
      </c>
      <c r="AL175" s="416">
        <v>0</v>
      </c>
      <c r="AM175" s="416">
        <v>0</v>
      </c>
      <c r="AN175" s="416">
        <v>0</v>
      </c>
      <c r="AO175" s="416">
        <v>0</v>
      </c>
      <c r="AP175" s="416">
        <v>0</v>
      </c>
      <c r="AQ175" s="416">
        <v>0</v>
      </c>
      <c r="AR175" s="416">
        <v>0</v>
      </c>
      <c r="AS175" s="416">
        <v>0</v>
      </c>
      <c r="AT175" s="416">
        <v>0</v>
      </c>
      <c r="AU175" s="416">
        <v>0</v>
      </c>
      <c r="AV175" s="416">
        <v>0</v>
      </c>
      <c r="AW175" s="416">
        <v>0</v>
      </c>
      <c r="AX175" s="416">
        <v>0</v>
      </c>
      <c r="AY175" s="416">
        <v>0</v>
      </c>
      <c r="AZ175" s="416">
        <v>0</v>
      </c>
    </row>
    <row r="176" spans="1:52" s="411" customFormat="1" x14ac:dyDescent="0.3">
      <c r="A176" s="415" t="str">
        <f t="shared" si="2"/>
        <v>SA-537 Gr.0</v>
      </c>
      <c r="B176" s="415">
        <v>170</v>
      </c>
      <c r="C176" s="415" t="s">
        <v>2673</v>
      </c>
      <c r="D176" s="415" t="s">
        <v>2684</v>
      </c>
      <c r="E176" s="415" t="s">
        <v>2262</v>
      </c>
      <c r="F176" s="415">
        <v>0</v>
      </c>
      <c r="G176" s="415" t="s">
        <v>2791</v>
      </c>
      <c r="H176" s="415">
        <v>1</v>
      </c>
      <c r="I176" s="415" t="s">
        <v>2822</v>
      </c>
      <c r="J176" s="415">
        <v>1</v>
      </c>
      <c r="K176" s="415">
        <v>2</v>
      </c>
      <c r="L176" s="415">
        <v>485</v>
      </c>
      <c r="M176" s="415">
        <v>345</v>
      </c>
      <c r="N176" s="415" t="s">
        <v>2675</v>
      </c>
      <c r="O176" s="415">
        <v>371</v>
      </c>
      <c r="P176" s="415">
        <v>343</v>
      </c>
      <c r="Q176" s="415">
        <v>343</v>
      </c>
      <c r="R176" s="415" t="s">
        <v>2819</v>
      </c>
      <c r="S176" s="415" t="s">
        <v>2823</v>
      </c>
      <c r="T176" s="416">
        <v>138</v>
      </c>
      <c r="U176" s="416">
        <v>138</v>
      </c>
      <c r="V176" s="416">
        <v>138</v>
      </c>
      <c r="W176" s="416">
        <v>138</v>
      </c>
      <c r="X176" s="416">
        <v>137</v>
      </c>
      <c r="Y176" s="416">
        <v>136</v>
      </c>
      <c r="Z176" s="416">
        <v>134</v>
      </c>
      <c r="AA176" s="416">
        <v>134</v>
      </c>
      <c r="AB176" s="416">
        <v>134</v>
      </c>
      <c r="AC176" s="416">
        <v>134</v>
      </c>
      <c r="AD176" s="416">
        <v>133</v>
      </c>
      <c r="AE176" s="416">
        <v>125</v>
      </c>
      <c r="AF176" s="416">
        <v>0</v>
      </c>
      <c r="AG176" s="416">
        <v>0</v>
      </c>
      <c r="AH176" s="416">
        <v>0</v>
      </c>
      <c r="AI176" s="416">
        <v>0</v>
      </c>
      <c r="AJ176" s="416">
        <v>0</v>
      </c>
      <c r="AK176" s="416">
        <v>0</v>
      </c>
      <c r="AL176" s="416">
        <v>0</v>
      </c>
      <c r="AM176" s="416">
        <v>0</v>
      </c>
      <c r="AN176" s="416">
        <v>0</v>
      </c>
      <c r="AO176" s="416">
        <v>0</v>
      </c>
      <c r="AP176" s="416">
        <v>0</v>
      </c>
      <c r="AQ176" s="416">
        <v>0</v>
      </c>
      <c r="AR176" s="416">
        <v>0</v>
      </c>
      <c r="AS176" s="416">
        <v>0</v>
      </c>
      <c r="AT176" s="416">
        <v>0</v>
      </c>
      <c r="AU176" s="416">
        <v>0</v>
      </c>
      <c r="AV176" s="416">
        <v>0</v>
      </c>
      <c r="AW176" s="416">
        <v>0</v>
      </c>
      <c r="AX176" s="416">
        <v>0</v>
      </c>
      <c r="AY176" s="416">
        <v>0</v>
      </c>
      <c r="AZ176" s="416">
        <v>0</v>
      </c>
    </row>
    <row r="177" spans="1:52" s="411" customFormat="1" x14ac:dyDescent="0.3">
      <c r="A177" s="415" t="str">
        <f t="shared" si="2"/>
        <v>SA-671 Gr.CD70</v>
      </c>
      <c r="B177" s="415">
        <v>171</v>
      </c>
      <c r="C177" s="415" t="s">
        <v>2673</v>
      </c>
      <c r="D177" s="415" t="s">
        <v>2680</v>
      </c>
      <c r="E177" s="415" t="s">
        <v>2295</v>
      </c>
      <c r="F177" s="415" t="s">
        <v>2366</v>
      </c>
      <c r="G177" s="415" t="s">
        <v>2791</v>
      </c>
      <c r="H177" s="415">
        <v>0</v>
      </c>
      <c r="I177" s="415" t="s">
        <v>2822</v>
      </c>
      <c r="J177" s="415">
        <v>1</v>
      </c>
      <c r="K177" s="415">
        <v>2</v>
      </c>
      <c r="L177" s="415">
        <v>485</v>
      </c>
      <c r="M177" s="415">
        <v>345</v>
      </c>
      <c r="N177" s="415" t="s">
        <v>2675</v>
      </c>
      <c r="O177" s="415">
        <v>371</v>
      </c>
      <c r="P177" s="415" t="s">
        <v>2675</v>
      </c>
      <c r="Q177" s="415" t="s">
        <v>2675</v>
      </c>
      <c r="R177" s="415" t="s">
        <v>2819</v>
      </c>
      <c r="S177" s="415" t="s">
        <v>2712</v>
      </c>
      <c r="T177" s="416">
        <v>138</v>
      </c>
      <c r="U177" s="416">
        <v>138</v>
      </c>
      <c r="V177" s="416">
        <v>138</v>
      </c>
      <c r="W177" s="416">
        <v>138</v>
      </c>
      <c r="X177" s="416">
        <v>137</v>
      </c>
      <c r="Y177" s="416">
        <v>136</v>
      </c>
      <c r="Z177" s="416">
        <v>134</v>
      </c>
      <c r="AA177" s="416">
        <v>134</v>
      </c>
      <c r="AB177" s="416">
        <v>134</v>
      </c>
      <c r="AC177" s="416">
        <v>134</v>
      </c>
      <c r="AD177" s="416">
        <v>133</v>
      </c>
      <c r="AE177" s="416">
        <v>125</v>
      </c>
      <c r="AF177" s="416">
        <v>0</v>
      </c>
      <c r="AG177" s="416">
        <v>0</v>
      </c>
      <c r="AH177" s="416">
        <v>0</v>
      </c>
      <c r="AI177" s="416">
        <v>0</v>
      </c>
      <c r="AJ177" s="416">
        <v>0</v>
      </c>
      <c r="AK177" s="416">
        <v>0</v>
      </c>
      <c r="AL177" s="416">
        <v>0</v>
      </c>
      <c r="AM177" s="416">
        <v>0</v>
      </c>
      <c r="AN177" s="416">
        <v>0</v>
      </c>
      <c r="AO177" s="416">
        <v>0</v>
      </c>
      <c r="AP177" s="416">
        <v>0</v>
      </c>
      <c r="AQ177" s="416">
        <v>0</v>
      </c>
      <c r="AR177" s="416">
        <v>0</v>
      </c>
      <c r="AS177" s="416">
        <v>0</v>
      </c>
      <c r="AT177" s="416">
        <v>0</v>
      </c>
      <c r="AU177" s="416">
        <v>0</v>
      </c>
      <c r="AV177" s="416">
        <v>0</v>
      </c>
      <c r="AW177" s="416">
        <v>0</v>
      </c>
      <c r="AX177" s="416">
        <v>0</v>
      </c>
      <c r="AY177" s="416">
        <v>0</v>
      </c>
      <c r="AZ177" s="416">
        <v>0</v>
      </c>
    </row>
    <row r="178" spans="1:52" s="411" customFormat="1" x14ac:dyDescent="0.3">
      <c r="A178" s="415" t="str">
        <f t="shared" si="2"/>
        <v>SA-672 Gr.D70</v>
      </c>
      <c r="B178" s="415">
        <v>172</v>
      </c>
      <c r="C178" s="415" t="s">
        <v>2673</v>
      </c>
      <c r="D178" s="415" t="s">
        <v>2680</v>
      </c>
      <c r="E178" s="415" t="s">
        <v>2297</v>
      </c>
      <c r="F178" s="415" t="s">
        <v>2415</v>
      </c>
      <c r="G178" s="415" t="s">
        <v>2791</v>
      </c>
      <c r="H178" s="415">
        <v>0</v>
      </c>
      <c r="I178" s="415" t="s">
        <v>2822</v>
      </c>
      <c r="J178" s="415">
        <v>1</v>
      </c>
      <c r="K178" s="415">
        <v>2</v>
      </c>
      <c r="L178" s="415">
        <v>485</v>
      </c>
      <c r="M178" s="415">
        <v>345</v>
      </c>
      <c r="N178" s="415" t="s">
        <v>2675</v>
      </c>
      <c r="O178" s="415">
        <v>371</v>
      </c>
      <c r="P178" s="415" t="s">
        <v>2675</v>
      </c>
      <c r="Q178" s="415" t="s">
        <v>2675</v>
      </c>
      <c r="R178" s="415" t="s">
        <v>2819</v>
      </c>
      <c r="S178" s="415" t="s">
        <v>2712</v>
      </c>
      <c r="T178" s="416">
        <v>138</v>
      </c>
      <c r="U178" s="416">
        <v>138</v>
      </c>
      <c r="V178" s="416">
        <v>138</v>
      </c>
      <c r="W178" s="416">
        <v>138</v>
      </c>
      <c r="X178" s="416">
        <v>137</v>
      </c>
      <c r="Y178" s="416">
        <v>136</v>
      </c>
      <c r="Z178" s="416">
        <v>134</v>
      </c>
      <c r="AA178" s="416">
        <v>134</v>
      </c>
      <c r="AB178" s="416">
        <v>134</v>
      </c>
      <c r="AC178" s="416">
        <v>134</v>
      </c>
      <c r="AD178" s="416">
        <v>133</v>
      </c>
      <c r="AE178" s="416">
        <v>125</v>
      </c>
      <c r="AF178" s="416">
        <v>0</v>
      </c>
      <c r="AG178" s="416">
        <v>0</v>
      </c>
      <c r="AH178" s="416">
        <v>0</v>
      </c>
      <c r="AI178" s="416">
        <v>0</v>
      </c>
      <c r="AJ178" s="416">
        <v>0</v>
      </c>
      <c r="AK178" s="416">
        <v>0</v>
      </c>
      <c r="AL178" s="416">
        <v>0</v>
      </c>
      <c r="AM178" s="416">
        <v>0</v>
      </c>
      <c r="AN178" s="416">
        <v>0</v>
      </c>
      <c r="AO178" s="416">
        <v>0</v>
      </c>
      <c r="AP178" s="416">
        <v>0</v>
      </c>
      <c r="AQ178" s="416">
        <v>0</v>
      </c>
      <c r="AR178" s="416">
        <v>0</v>
      </c>
      <c r="AS178" s="416">
        <v>0</v>
      </c>
      <c r="AT178" s="416">
        <v>0</v>
      </c>
      <c r="AU178" s="416">
        <v>0</v>
      </c>
      <c r="AV178" s="416">
        <v>0</v>
      </c>
      <c r="AW178" s="416">
        <v>0</v>
      </c>
      <c r="AX178" s="416">
        <v>0</v>
      </c>
      <c r="AY178" s="416">
        <v>0</v>
      </c>
      <c r="AZ178" s="416">
        <v>0</v>
      </c>
    </row>
    <row r="179" spans="1:52" s="411" customFormat="1" x14ac:dyDescent="0.3">
      <c r="A179" s="415" t="str">
        <f t="shared" si="2"/>
        <v>SA-691 Gr.CMSH-70</v>
      </c>
      <c r="B179" s="415">
        <v>173</v>
      </c>
      <c r="C179" s="415" t="s">
        <v>2673</v>
      </c>
      <c r="D179" s="415" t="s">
        <v>2680</v>
      </c>
      <c r="E179" s="415" t="s">
        <v>2303</v>
      </c>
      <c r="F179" s="415" t="s">
        <v>2390</v>
      </c>
      <c r="G179" s="415" t="s">
        <v>2791</v>
      </c>
      <c r="H179" s="415">
        <v>0</v>
      </c>
      <c r="I179" s="415" t="s">
        <v>2822</v>
      </c>
      <c r="J179" s="415">
        <v>1</v>
      </c>
      <c r="K179" s="415">
        <v>2</v>
      </c>
      <c r="L179" s="415">
        <v>485</v>
      </c>
      <c r="M179" s="415">
        <v>345</v>
      </c>
      <c r="N179" s="415" t="s">
        <v>2675</v>
      </c>
      <c r="O179" s="415">
        <v>371</v>
      </c>
      <c r="P179" s="415" t="s">
        <v>2675</v>
      </c>
      <c r="Q179" s="415" t="s">
        <v>2675</v>
      </c>
      <c r="R179" s="415" t="s">
        <v>2819</v>
      </c>
      <c r="S179" s="415" t="s">
        <v>2712</v>
      </c>
      <c r="T179" s="416">
        <v>138</v>
      </c>
      <c r="U179" s="416">
        <v>138</v>
      </c>
      <c r="V179" s="416">
        <v>138</v>
      </c>
      <c r="W179" s="416">
        <v>138</v>
      </c>
      <c r="X179" s="416">
        <v>137</v>
      </c>
      <c r="Y179" s="416">
        <v>136</v>
      </c>
      <c r="Z179" s="416">
        <v>134</v>
      </c>
      <c r="AA179" s="416">
        <v>134</v>
      </c>
      <c r="AB179" s="416">
        <v>134</v>
      </c>
      <c r="AC179" s="416">
        <v>134</v>
      </c>
      <c r="AD179" s="416">
        <v>133</v>
      </c>
      <c r="AE179" s="416">
        <v>125</v>
      </c>
      <c r="AF179" s="416">
        <v>0</v>
      </c>
      <c r="AG179" s="416">
        <v>0</v>
      </c>
      <c r="AH179" s="416">
        <v>0</v>
      </c>
      <c r="AI179" s="416">
        <v>0</v>
      </c>
      <c r="AJ179" s="416">
        <v>0</v>
      </c>
      <c r="AK179" s="416">
        <v>0</v>
      </c>
      <c r="AL179" s="416">
        <v>0</v>
      </c>
      <c r="AM179" s="416">
        <v>0</v>
      </c>
      <c r="AN179" s="416">
        <v>0</v>
      </c>
      <c r="AO179" s="416">
        <v>0</v>
      </c>
      <c r="AP179" s="416">
        <v>0</v>
      </c>
      <c r="AQ179" s="416">
        <v>0</v>
      </c>
      <c r="AR179" s="416">
        <v>0</v>
      </c>
      <c r="AS179" s="416">
        <v>0</v>
      </c>
      <c r="AT179" s="416">
        <v>0</v>
      </c>
      <c r="AU179" s="416">
        <v>0</v>
      </c>
      <c r="AV179" s="416">
        <v>0</v>
      </c>
      <c r="AW179" s="416">
        <v>0</v>
      </c>
      <c r="AX179" s="416">
        <v>0</v>
      </c>
      <c r="AY179" s="416">
        <v>0</v>
      </c>
      <c r="AZ179" s="416">
        <v>0</v>
      </c>
    </row>
    <row r="180" spans="1:52" s="411" customFormat="1" x14ac:dyDescent="0.3">
      <c r="A180" s="415" t="str">
        <f t="shared" si="2"/>
        <v>SA/AS 1548 Gr.7-490A</v>
      </c>
      <c r="B180" s="415">
        <v>174</v>
      </c>
      <c r="C180" s="415" t="s">
        <v>2673</v>
      </c>
      <c r="D180" s="415" t="s">
        <v>2684</v>
      </c>
      <c r="E180" s="415" t="s">
        <v>2150</v>
      </c>
      <c r="F180" s="415" t="s">
        <v>2312</v>
      </c>
      <c r="G180" s="415">
        <v>0</v>
      </c>
      <c r="H180" s="415" t="s">
        <v>2776</v>
      </c>
      <c r="I180" s="415" t="s">
        <v>2777</v>
      </c>
      <c r="J180" s="415">
        <v>1</v>
      </c>
      <c r="K180" s="415">
        <v>2</v>
      </c>
      <c r="L180" s="415">
        <v>490</v>
      </c>
      <c r="M180" s="415">
        <v>0</v>
      </c>
      <c r="N180" s="415">
        <v>538</v>
      </c>
      <c r="O180" s="415" t="s">
        <v>2675</v>
      </c>
      <c r="P180" s="415">
        <v>538</v>
      </c>
      <c r="Q180" s="415" t="s">
        <v>2675</v>
      </c>
      <c r="R180" s="415" t="s">
        <v>2699</v>
      </c>
      <c r="S180" s="415" t="s">
        <v>2778</v>
      </c>
      <c r="T180" s="416">
        <v>140</v>
      </c>
      <c r="U180" s="416">
        <v>140</v>
      </c>
      <c r="V180" s="416">
        <v>140</v>
      </c>
      <c r="W180" s="416">
        <v>140</v>
      </c>
      <c r="X180" s="416">
        <v>140</v>
      </c>
      <c r="Y180" s="416">
        <v>140</v>
      </c>
      <c r="Z180" s="416">
        <v>140</v>
      </c>
      <c r="AA180" s="416">
        <v>140</v>
      </c>
      <c r="AB180" s="416">
        <v>140</v>
      </c>
      <c r="AC180" s="416">
        <v>140</v>
      </c>
      <c r="AD180" s="416">
        <v>139</v>
      </c>
      <c r="AE180" s="416">
        <v>123</v>
      </c>
      <c r="AF180" s="416">
        <v>101</v>
      </c>
      <c r="AG180" s="416">
        <v>83.8</v>
      </c>
      <c r="AH180" s="416">
        <v>67</v>
      </c>
      <c r="AI180" s="416">
        <v>51</v>
      </c>
      <c r="AJ180" s="416">
        <v>33.6</v>
      </c>
      <c r="AK180" s="416">
        <v>21.3</v>
      </c>
      <c r="AL180" s="416">
        <v>12.9</v>
      </c>
      <c r="AM180" s="416">
        <v>0</v>
      </c>
      <c r="AN180" s="416">
        <v>0</v>
      </c>
      <c r="AO180" s="416">
        <v>0</v>
      </c>
      <c r="AP180" s="416">
        <v>0</v>
      </c>
      <c r="AQ180" s="416">
        <v>0</v>
      </c>
      <c r="AR180" s="416">
        <v>0</v>
      </c>
      <c r="AS180" s="416">
        <v>0</v>
      </c>
      <c r="AT180" s="416">
        <v>0</v>
      </c>
      <c r="AU180" s="416">
        <v>0</v>
      </c>
      <c r="AV180" s="416">
        <v>0</v>
      </c>
      <c r="AW180" s="416">
        <v>0</v>
      </c>
      <c r="AX180" s="416">
        <v>0</v>
      </c>
      <c r="AY180" s="416">
        <v>0</v>
      </c>
      <c r="AZ180" s="416">
        <v>0</v>
      </c>
    </row>
    <row r="181" spans="1:52" s="411" customFormat="1" x14ac:dyDescent="0.3">
      <c r="A181" s="415" t="str">
        <f t="shared" si="2"/>
        <v>SA/AS 1548 Gr.7-490N</v>
      </c>
      <c r="B181" s="415">
        <v>175</v>
      </c>
      <c r="C181" s="415" t="s">
        <v>2673</v>
      </c>
      <c r="D181" s="415" t="s">
        <v>2684</v>
      </c>
      <c r="E181" s="415" t="s">
        <v>2150</v>
      </c>
      <c r="F181" s="415" t="s">
        <v>2314</v>
      </c>
      <c r="G181" s="415">
        <v>0</v>
      </c>
      <c r="H181" s="415" t="s">
        <v>2779</v>
      </c>
      <c r="I181" s="415" t="s">
        <v>2777</v>
      </c>
      <c r="J181" s="415">
        <v>1</v>
      </c>
      <c r="K181" s="415">
        <v>2</v>
      </c>
      <c r="L181" s="415">
        <v>490</v>
      </c>
      <c r="M181" s="415">
        <v>0</v>
      </c>
      <c r="N181" s="415">
        <v>538</v>
      </c>
      <c r="O181" s="415" t="s">
        <v>2675</v>
      </c>
      <c r="P181" s="415">
        <v>538</v>
      </c>
      <c r="Q181" s="415" t="s">
        <v>2675</v>
      </c>
      <c r="R181" s="415" t="s">
        <v>2699</v>
      </c>
      <c r="S181" s="415" t="s">
        <v>2778</v>
      </c>
      <c r="T181" s="416">
        <v>140</v>
      </c>
      <c r="U181" s="416">
        <v>140</v>
      </c>
      <c r="V181" s="416">
        <v>140</v>
      </c>
      <c r="W181" s="416">
        <v>140</v>
      </c>
      <c r="X181" s="416">
        <v>140</v>
      </c>
      <c r="Y181" s="416">
        <v>140</v>
      </c>
      <c r="Z181" s="416">
        <v>140</v>
      </c>
      <c r="AA181" s="416">
        <v>140</v>
      </c>
      <c r="AB181" s="416">
        <v>140</v>
      </c>
      <c r="AC181" s="416">
        <v>140</v>
      </c>
      <c r="AD181" s="416">
        <v>139</v>
      </c>
      <c r="AE181" s="416">
        <v>123</v>
      </c>
      <c r="AF181" s="416">
        <v>101</v>
      </c>
      <c r="AG181" s="416">
        <v>83.8</v>
      </c>
      <c r="AH181" s="416">
        <v>67</v>
      </c>
      <c r="AI181" s="416">
        <v>51</v>
      </c>
      <c r="AJ181" s="416">
        <v>33.6</v>
      </c>
      <c r="AK181" s="416">
        <v>21.3</v>
      </c>
      <c r="AL181" s="416">
        <v>12.9</v>
      </c>
      <c r="AM181" s="416">
        <v>0</v>
      </c>
      <c r="AN181" s="416">
        <v>0</v>
      </c>
      <c r="AO181" s="416">
        <v>0</v>
      </c>
      <c r="AP181" s="416">
        <v>0</v>
      </c>
      <c r="AQ181" s="416">
        <v>0</v>
      </c>
      <c r="AR181" s="416">
        <v>0</v>
      </c>
      <c r="AS181" s="416">
        <v>0</v>
      </c>
      <c r="AT181" s="416">
        <v>0</v>
      </c>
      <c r="AU181" s="416">
        <v>0</v>
      </c>
      <c r="AV181" s="416">
        <v>0</v>
      </c>
      <c r="AW181" s="416">
        <v>0</v>
      </c>
      <c r="AX181" s="416">
        <v>0</v>
      </c>
      <c r="AY181" s="416">
        <v>0</v>
      </c>
      <c r="AZ181" s="416">
        <v>0</v>
      </c>
    </row>
    <row r="182" spans="1:52" s="411" customFormat="1" x14ac:dyDescent="0.3">
      <c r="A182" s="415" t="str">
        <f t="shared" si="2"/>
        <v>SA/AS 1548 Gr.7-490R</v>
      </c>
      <c r="B182" s="415">
        <v>176</v>
      </c>
      <c r="C182" s="415" t="s">
        <v>2673</v>
      </c>
      <c r="D182" s="415" t="s">
        <v>2684</v>
      </c>
      <c r="E182" s="415" t="s">
        <v>2150</v>
      </c>
      <c r="F182" s="415" t="s">
        <v>2316</v>
      </c>
      <c r="G182" s="415">
        <v>0</v>
      </c>
      <c r="H182" s="415" t="s">
        <v>2780</v>
      </c>
      <c r="I182" s="415" t="s">
        <v>2781</v>
      </c>
      <c r="J182" s="415">
        <v>1</v>
      </c>
      <c r="K182" s="415">
        <v>2</v>
      </c>
      <c r="L182" s="415">
        <v>490</v>
      </c>
      <c r="M182" s="415">
        <v>0</v>
      </c>
      <c r="N182" s="415">
        <v>538</v>
      </c>
      <c r="O182" s="415" t="s">
        <v>2675</v>
      </c>
      <c r="P182" s="415">
        <v>538</v>
      </c>
      <c r="Q182" s="415" t="s">
        <v>2675</v>
      </c>
      <c r="R182" s="415" t="s">
        <v>2699</v>
      </c>
      <c r="S182" s="415" t="s">
        <v>2778</v>
      </c>
      <c r="T182" s="416">
        <v>140</v>
      </c>
      <c r="U182" s="416">
        <v>140</v>
      </c>
      <c r="V182" s="416">
        <v>140</v>
      </c>
      <c r="W182" s="416">
        <v>140</v>
      </c>
      <c r="X182" s="416">
        <v>140</v>
      </c>
      <c r="Y182" s="416">
        <v>140</v>
      </c>
      <c r="Z182" s="416">
        <v>140</v>
      </c>
      <c r="AA182" s="416">
        <v>140</v>
      </c>
      <c r="AB182" s="416">
        <v>140</v>
      </c>
      <c r="AC182" s="416">
        <v>140</v>
      </c>
      <c r="AD182" s="416">
        <v>139</v>
      </c>
      <c r="AE182" s="416">
        <v>123</v>
      </c>
      <c r="AF182" s="416">
        <v>101</v>
      </c>
      <c r="AG182" s="416">
        <v>83.8</v>
      </c>
      <c r="AH182" s="416">
        <v>67</v>
      </c>
      <c r="AI182" s="416">
        <v>51</v>
      </c>
      <c r="AJ182" s="416">
        <v>33.6</v>
      </c>
      <c r="AK182" s="416">
        <v>21.3</v>
      </c>
      <c r="AL182" s="416">
        <v>12.9</v>
      </c>
      <c r="AM182" s="416">
        <v>0</v>
      </c>
      <c r="AN182" s="416">
        <v>0</v>
      </c>
      <c r="AO182" s="416">
        <v>0</v>
      </c>
      <c r="AP182" s="416">
        <v>0</v>
      </c>
      <c r="AQ182" s="416">
        <v>0</v>
      </c>
      <c r="AR182" s="416">
        <v>0</v>
      </c>
      <c r="AS182" s="416">
        <v>0</v>
      </c>
      <c r="AT182" s="416">
        <v>0</v>
      </c>
      <c r="AU182" s="416">
        <v>0</v>
      </c>
      <c r="AV182" s="416">
        <v>0</v>
      </c>
      <c r="AW182" s="416">
        <v>0</v>
      </c>
      <c r="AX182" s="416">
        <v>0</v>
      </c>
      <c r="AY182" s="416">
        <v>0</v>
      </c>
      <c r="AZ182" s="416">
        <v>0</v>
      </c>
    </row>
    <row r="183" spans="1:52" s="411" customFormat="1" x14ac:dyDescent="0.3">
      <c r="A183" s="415" t="str">
        <f t="shared" si="2"/>
        <v>SA/GB 6654 Gr.16MnR</v>
      </c>
      <c r="B183" s="415">
        <v>177</v>
      </c>
      <c r="C183" s="415" t="s">
        <v>2673</v>
      </c>
      <c r="D183" s="415" t="s">
        <v>2684</v>
      </c>
      <c r="E183" s="415" t="s">
        <v>2171</v>
      </c>
      <c r="F183" s="415" t="s">
        <v>2220</v>
      </c>
      <c r="G183" s="415">
        <v>0</v>
      </c>
      <c r="H183" s="415">
        <v>0</v>
      </c>
      <c r="I183" s="415" t="s">
        <v>2824</v>
      </c>
      <c r="J183" s="415">
        <v>1</v>
      </c>
      <c r="K183" s="415">
        <v>2</v>
      </c>
      <c r="L183" s="415">
        <v>490</v>
      </c>
      <c r="M183" s="415">
        <v>325</v>
      </c>
      <c r="N183" s="415" t="s">
        <v>2675</v>
      </c>
      <c r="O183" s="415" t="s">
        <v>2675</v>
      </c>
      <c r="P183" s="415">
        <v>250</v>
      </c>
      <c r="Q183" s="415" t="s">
        <v>2675</v>
      </c>
      <c r="R183" s="415" t="s">
        <v>2699</v>
      </c>
      <c r="S183" s="415">
        <v>0</v>
      </c>
      <c r="T183" s="416">
        <v>140</v>
      </c>
      <c r="U183" s="416">
        <v>140</v>
      </c>
      <c r="V183" s="416">
        <v>140</v>
      </c>
      <c r="W183" s="416">
        <v>140</v>
      </c>
      <c r="X183" s="416">
        <v>140</v>
      </c>
      <c r="Y183" s="416">
        <v>140</v>
      </c>
      <c r="Z183" s="416">
        <v>140</v>
      </c>
      <c r="AA183" s="416">
        <v>140</v>
      </c>
      <c r="AB183" s="416">
        <v>0</v>
      </c>
      <c r="AC183" s="416">
        <v>0</v>
      </c>
      <c r="AD183" s="416">
        <v>0</v>
      </c>
      <c r="AE183" s="416">
        <v>0</v>
      </c>
      <c r="AF183" s="416">
        <v>0</v>
      </c>
      <c r="AG183" s="416">
        <v>0</v>
      </c>
      <c r="AH183" s="416">
        <v>0</v>
      </c>
      <c r="AI183" s="416">
        <v>0</v>
      </c>
      <c r="AJ183" s="416">
        <v>0</v>
      </c>
      <c r="AK183" s="416">
        <v>0</v>
      </c>
      <c r="AL183" s="416">
        <v>0</v>
      </c>
      <c r="AM183" s="416">
        <v>0</v>
      </c>
      <c r="AN183" s="416">
        <v>0</v>
      </c>
      <c r="AO183" s="416">
        <v>0</v>
      </c>
      <c r="AP183" s="416">
        <v>0</v>
      </c>
      <c r="AQ183" s="416">
        <v>0</v>
      </c>
      <c r="AR183" s="416">
        <v>0</v>
      </c>
      <c r="AS183" s="416">
        <v>0</v>
      </c>
      <c r="AT183" s="416">
        <v>0</v>
      </c>
      <c r="AU183" s="416">
        <v>0</v>
      </c>
      <c r="AV183" s="416">
        <v>0</v>
      </c>
      <c r="AW183" s="416">
        <v>0</v>
      </c>
      <c r="AX183" s="416">
        <v>0</v>
      </c>
      <c r="AY183" s="416">
        <v>0</v>
      </c>
      <c r="AZ183" s="416">
        <v>0</v>
      </c>
    </row>
    <row r="184" spans="1:52" s="411" customFormat="1" x14ac:dyDescent="0.3">
      <c r="A184" s="415" t="str">
        <f t="shared" si="2"/>
        <v>SA-455 Gr.0</v>
      </c>
      <c r="B184" s="415">
        <v>178</v>
      </c>
      <c r="C184" s="415" t="s">
        <v>2673</v>
      </c>
      <c r="D184" s="415" t="s">
        <v>2684</v>
      </c>
      <c r="E184" s="415" t="s">
        <v>2243</v>
      </c>
      <c r="F184" s="415">
        <v>0</v>
      </c>
      <c r="G184" s="415" t="s">
        <v>2797</v>
      </c>
      <c r="H184" s="415">
        <v>0</v>
      </c>
      <c r="I184" s="415" t="s">
        <v>2825</v>
      </c>
      <c r="J184" s="415">
        <v>1</v>
      </c>
      <c r="K184" s="415">
        <v>2</v>
      </c>
      <c r="L184" s="415">
        <v>505</v>
      </c>
      <c r="M184" s="415">
        <v>255</v>
      </c>
      <c r="N184" s="415" t="s">
        <v>2675</v>
      </c>
      <c r="O184" s="415" t="s">
        <v>2799</v>
      </c>
      <c r="P184" s="415">
        <v>343</v>
      </c>
      <c r="Q184" s="415">
        <v>343</v>
      </c>
      <c r="R184" s="415" t="s">
        <v>2699</v>
      </c>
      <c r="S184" s="415">
        <v>0</v>
      </c>
      <c r="T184" s="416">
        <v>144</v>
      </c>
      <c r="U184" s="416">
        <v>144</v>
      </c>
      <c r="V184" s="416">
        <v>144</v>
      </c>
      <c r="W184" s="416">
        <v>144</v>
      </c>
      <c r="X184" s="416">
        <v>144</v>
      </c>
      <c r="Y184" s="416">
        <v>144</v>
      </c>
      <c r="Z184" s="416">
        <v>144</v>
      </c>
      <c r="AA184" s="416">
        <v>140</v>
      </c>
      <c r="AB184" s="416">
        <v>133</v>
      </c>
      <c r="AC184" s="416">
        <v>129</v>
      </c>
      <c r="AD184" s="416">
        <v>125</v>
      </c>
      <c r="AE184" s="416">
        <v>0</v>
      </c>
      <c r="AF184" s="416">
        <v>0</v>
      </c>
      <c r="AG184" s="416">
        <v>0</v>
      </c>
      <c r="AH184" s="416">
        <v>0</v>
      </c>
      <c r="AI184" s="416">
        <v>0</v>
      </c>
      <c r="AJ184" s="416">
        <v>0</v>
      </c>
      <c r="AK184" s="416">
        <v>0</v>
      </c>
      <c r="AL184" s="416">
        <v>0</v>
      </c>
      <c r="AM184" s="416">
        <v>0</v>
      </c>
      <c r="AN184" s="416">
        <v>0</v>
      </c>
      <c r="AO184" s="416">
        <v>0</v>
      </c>
      <c r="AP184" s="416">
        <v>0</v>
      </c>
      <c r="AQ184" s="416">
        <v>0</v>
      </c>
      <c r="AR184" s="416">
        <v>0</v>
      </c>
      <c r="AS184" s="416">
        <v>0</v>
      </c>
      <c r="AT184" s="416">
        <v>0</v>
      </c>
      <c r="AU184" s="416">
        <v>0</v>
      </c>
      <c r="AV184" s="416">
        <v>0</v>
      </c>
      <c r="AW184" s="416">
        <v>0</v>
      </c>
      <c r="AX184" s="416">
        <v>0</v>
      </c>
      <c r="AY184" s="416">
        <v>0</v>
      </c>
      <c r="AZ184" s="416">
        <v>0</v>
      </c>
    </row>
    <row r="185" spans="1:52" s="411" customFormat="1" x14ac:dyDescent="0.3">
      <c r="A185" s="415" t="str">
        <f t="shared" si="2"/>
        <v>SA/GB 6654 Gr.16MnR</v>
      </c>
      <c r="B185" s="415">
        <v>179</v>
      </c>
      <c r="C185" s="415" t="s">
        <v>2673</v>
      </c>
      <c r="D185" s="415" t="s">
        <v>2684</v>
      </c>
      <c r="E185" s="415" t="s">
        <v>2171</v>
      </c>
      <c r="F185" s="415" t="s">
        <v>2220</v>
      </c>
      <c r="G185" s="415">
        <v>0</v>
      </c>
      <c r="H185" s="415">
        <v>0</v>
      </c>
      <c r="I185" s="415" t="s">
        <v>2826</v>
      </c>
      <c r="J185" s="415">
        <v>1</v>
      </c>
      <c r="K185" s="415">
        <v>2</v>
      </c>
      <c r="L185" s="415">
        <v>510</v>
      </c>
      <c r="M185" s="415">
        <v>345</v>
      </c>
      <c r="N185" s="415" t="s">
        <v>2675</v>
      </c>
      <c r="O185" s="415" t="s">
        <v>2675</v>
      </c>
      <c r="P185" s="415">
        <v>250</v>
      </c>
      <c r="Q185" s="415" t="s">
        <v>2675</v>
      </c>
      <c r="R185" s="415" t="s">
        <v>2699</v>
      </c>
      <c r="S185" s="415">
        <v>0</v>
      </c>
      <c r="T185" s="416">
        <v>146</v>
      </c>
      <c r="U185" s="416">
        <v>146</v>
      </c>
      <c r="V185" s="416">
        <v>146</v>
      </c>
      <c r="W185" s="416">
        <v>146</v>
      </c>
      <c r="X185" s="416">
        <v>146</v>
      </c>
      <c r="Y185" s="416">
        <v>146</v>
      </c>
      <c r="Z185" s="416">
        <v>146</v>
      </c>
      <c r="AA185" s="416">
        <v>146</v>
      </c>
      <c r="AB185" s="416">
        <v>0</v>
      </c>
      <c r="AC185" s="416">
        <v>0</v>
      </c>
      <c r="AD185" s="416">
        <v>0</v>
      </c>
      <c r="AE185" s="416">
        <v>0</v>
      </c>
      <c r="AF185" s="416">
        <v>0</v>
      </c>
      <c r="AG185" s="416">
        <v>0</v>
      </c>
      <c r="AH185" s="416">
        <v>0</v>
      </c>
      <c r="AI185" s="416">
        <v>0</v>
      </c>
      <c r="AJ185" s="416">
        <v>0</v>
      </c>
      <c r="AK185" s="416">
        <v>0</v>
      </c>
      <c r="AL185" s="416">
        <v>0</v>
      </c>
      <c r="AM185" s="416">
        <v>0</v>
      </c>
      <c r="AN185" s="416">
        <v>0</v>
      </c>
      <c r="AO185" s="416">
        <v>0</v>
      </c>
      <c r="AP185" s="416">
        <v>0</v>
      </c>
      <c r="AQ185" s="416">
        <v>0</v>
      </c>
      <c r="AR185" s="416">
        <v>0</v>
      </c>
      <c r="AS185" s="416">
        <v>0</v>
      </c>
      <c r="AT185" s="416">
        <v>0</v>
      </c>
      <c r="AU185" s="416">
        <v>0</v>
      </c>
      <c r="AV185" s="416">
        <v>0</v>
      </c>
      <c r="AW185" s="416">
        <v>0</v>
      </c>
      <c r="AX185" s="416">
        <v>0</v>
      </c>
      <c r="AY185" s="416">
        <v>0</v>
      </c>
      <c r="AZ185" s="416">
        <v>0</v>
      </c>
    </row>
    <row r="186" spans="1:52" s="411" customFormat="1" x14ac:dyDescent="0.3">
      <c r="A186" s="415" t="str">
        <f t="shared" si="2"/>
        <v>SA-266 Gr.3</v>
      </c>
      <c r="B186" s="415">
        <v>180</v>
      </c>
      <c r="C186" s="415" t="s">
        <v>2673</v>
      </c>
      <c r="D186" s="415" t="s">
        <v>2737</v>
      </c>
      <c r="E186" s="415" t="s">
        <v>2202</v>
      </c>
      <c r="F186" s="415">
        <v>3</v>
      </c>
      <c r="G186" s="415" t="s">
        <v>2827</v>
      </c>
      <c r="H186" s="415">
        <v>0</v>
      </c>
      <c r="I186" s="415">
        <v>0</v>
      </c>
      <c r="J186" s="415">
        <v>1</v>
      </c>
      <c r="K186" s="415">
        <v>2</v>
      </c>
      <c r="L186" s="415">
        <v>515</v>
      </c>
      <c r="M186" s="415">
        <v>260</v>
      </c>
      <c r="N186" s="415">
        <v>538</v>
      </c>
      <c r="O186" s="415">
        <v>371</v>
      </c>
      <c r="P186" s="415">
        <v>538</v>
      </c>
      <c r="Q186" s="415" t="s">
        <v>2675</v>
      </c>
      <c r="R186" s="415" t="s">
        <v>2699</v>
      </c>
      <c r="S186" s="415" t="s">
        <v>2828</v>
      </c>
      <c r="T186" s="416">
        <v>148</v>
      </c>
      <c r="U186" s="416">
        <v>148</v>
      </c>
      <c r="V186" s="416">
        <v>148</v>
      </c>
      <c r="W186" s="416">
        <v>148</v>
      </c>
      <c r="X186" s="416">
        <v>148</v>
      </c>
      <c r="Y186" s="416">
        <v>148</v>
      </c>
      <c r="Z186" s="416">
        <v>148</v>
      </c>
      <c r="AA186" s="416">
        <v>142</v>
      </c>
      <c r="AB186" s="416">
        <v>135</v>
      </c>
      <c r="AC186" s="416">
        <v>131</v>
      </c>
      <c r="AD186" s="416">
        <v>127</v>
      </c>
      <c r="AE186" s="416">
        <v>122</v>
      </c>
      <c r="AF186" s="416">
        <v>107</v>
      </c>
      <c r="AG186" s="416">
        <v>88.3</v>
      </c>
      <c r="AH186" s="416">
        <v>67.5</v>
      </c>
      <c r="AI186" s="416">
        <v>50.9</v>
      </c>
      <c r="AJ186" s="416">
        <v>33.700000000000003</v>
      </c>
      <c r="AK186" s="416">
        <v>21.3</v>
      </c>
      <c r="AL186" s="416">
        <v>12.9</v>
      </c>
      <c r="AM186" s="416">
        <v>0</v>
      </c>
      <c r="AN186" s="416">
        <v>0</v>
      </c>
      <c r="AO186" s="416">
        <v>0</v>
      </c>
      <c r="AP186" s="416">
        <v>0</v>
      </c>
      <c r="AQ186" s="416">
        <v>0</v>
      </c>
      <c r="AR186" s="416">
        <v>0</v>
      </c>
      <c r="AS186" s="416">
        <v>0</v>
      </c>
      <c r="AT186" s="416">
        <v>0</v>
      </c>
      <c r="AU186" s="416">
        <v>0</v>
      </c>
      <c r="AV186" s="416">
        <v>0</v>
      </c>
      <c r="AW186" s="416">
        <v>0</v>
      </c>
      <c r="AX186" s="416">
        <v>0</v>
      </c>
      <c r="AY186" s="416">
        <v>0</v>
      </c>
      <c r="AZ186" s="416">
        <v>0</v>
      </c>
    </row>
    <row r="187" spans="1:52" s="411" customFormat="1" x14ac:dyDescent="0.3">
      <c r="A187" s="415" t="str">
        <f t="shared" si="2"/>
        <v>SA-455 Gr.0</v>
      </c>
      <c r="B187" s="415">
        <v>181</v>
      </c>
      <c r="C187" s="415" t="s">
        <v>2673</v>
      </c>
      <c r="D187" s="415" t="s">
        <v>2684</v>
      </c>
      <c r="E187" s="415" t="s">
        <v>2243</v>
      </c>
      <c r="F187" s="415">
        <v>0</v>
      </c>
      <c r="G187" s="415" t="s">
        <v>2797</v>
      </c>
      <c r="H187" s="415">
        <v>0</v>
      </c>
      <c r="I187" s="415" t="s">
        <v>2829</v>
      </c>
      <c r="J187" s="415">
        <v>1</v>
      </c>
      <c r="K187" s="415">
        <v>2</v>
      </c>
      <c r="L187" s="415">
        <v>515</v>
      </c>
      <c r="M187" s="415">
        <v>260</v>
      </c>
      <c r="N187" s="415" t="s">
        <v>2675</v>
      </c>
      <c r="O187" s="415" t="s">
        <v>2799</v>
      </c>
      <c r="P187" s="415">
        <v>343</v>
      </c>
      <c r="Q187" s="415">
        <v>343</v>
      </c>
      <c r="R187" s="415" t="s">
        <v>2699</v>
      </c>
      <c r="S187" s="415">
        <v>0</v>
      </c>
      <c r="T187" s="416">
        <v>148</v>
      </c>
      <c r="U187" s="416">
        <v>148</v>
      </c>
      <c r="V187" s="416">
        <v>148</v>
      </c>
      <c r="W187" s="416">
        <v>148</v>
      </c>
      <c r="X187" s="416">
        <v>148</v>
      </c>
      <c r="Y187" s="416">
        <v>148</v>
      </c>
      <c r="Z187" s="416">
        <v>148</v>
      </c>
      <c r="AA187" s="416">
        <v>143</v>
      </c>
      <c r="AB187" s="416">
        <v>136</v>
      </c>
      <c r="AC187" s="416">
        <v>132</v>
      </c>
      <c r="AD187" s="416">
        <v>129</v>
      </c>
      <c r="AE187" s="416">
        <v>0</v>
      </c>
      <c r="AF187" s="416">
        <v>0</v>
      </c>
      <c r="AG187" s="416">
        <v>0</v>
      </c>
      <c r="AH187" s="416">
        <v>0</v>
      </c>
      <c r="AI187" s="416">
        <v>0</v>
      </c>
      <c r="AJ187" s="416">
        <v>0</v>
      </c>
      <c r="AK187" s="416">
        <v>0</v>
      </c>
      <c r="AL187" s="416">
        <v>0</v>
      </c>
      <c r="AM187" s="416">
        <v>0</v>
      </c>
      <c r="AN187" s="416">
        <v>0</v>
      </c>
      <c r="AO187" s="416">
        <v>0</v>
      </c>
      <c r="AP187" s="416">
        <v>0</v>
      </c>
      <c r="AQ187" s="416">
        <v>0</v>
      </c>
      <c r="AR187" s="416">
        <v>0</v>
      </c>
      <c r="AS187" s="416">
        <v>0</v>
      </c>
      <c r="AT187" s="416">
        <v>0</v>
      </c>
      <c r="AU187" s="416">
        <v>0</v>
      </c>
      <c r="AV187" s="416">
        <v>0</v>
      </c>
      <c r="AW187" s="416">
        <v>0</v>
      </c>
      <c r="AX187" s="416">
        <v>0</v>
      </c>
      <c r="AY187" s="416">
        <v>0</v>
      </c>
      <c r="AZ187" s="416">
        <v>0</v>
      </c>
    </row>
    <row r="188" spans="1:52" s="411" customFormat="1" x14ac:dyDescent="0.3">
      <c r="A188" s="415" t="str">
        <f t="shared" si="2"/>
        <v>SA-299 Gr.A</v>
      </c>
      <c r="B188" s="415">
        <v>182</v>
      </c>
      <c r="C188" s="415" t="s">
        <v>2673</v>
      </c>
      <c r="D188" s="415" t="s">
        <v>2684</v>
      </c>
      <c r="E188" s="415" t="s">
        <v>2206</v>
      </c>
      <c r="F188" s="415" t="s">
        <v>12</v>
      </c>
      <c r="G188" s="415" t="s">
        <v>2830</v>
      </c>
      <c r="H188" s="415">
        <v>0</v>
      </c>
      <c r="I188" s="415" t="s">
        <v>2831</v>
      </c>
      <c r="J188" s="415">
        <v>1</v>
      </c>
      <c r="K188" s="415">
        <v>2</v>
      </c>
      <c r="L188" s="415">
        <v>515</v>
      </c>
      <c r="M188" s="415">
        <v>275</v>
      </c>
      <c r="N188" s="415">
        <v>538</v>
      </c>
      <c r="O188" s="415">
        <v>371</v>
      </c>
      <c r="P188" s="415">
        <v>538</v>
      </c>
      <c r="Q188" s="415">
        <v>343</v>
      </c>
      <c r="R188" s="415" t="s">
        <v>2699</v>
      </c>
      <c r="S188" s="415" t="s">
        <v>2695</v>
      </c>
      <c r="T188" s="416">
        <v>148</v>
      </c>
      <c r="U188" s="416">
        <v>148</v>
      </c>
      <c r="V188" s="416">
        <v>148</v>
      </c>
      <c r="W188" s="416">
        <v>148</v>
      </c>
      <c r="X188" s="416">
        <v>148</v>
      </c>
      <c r="Y188" s="416">
        <v>148</v>
      </c>
      <c r="Z188" s="416">
        <v>148</v>
      </c>
      <c r="AA188" s="416">
        <v>148</v>
      </c>
      <c r="AB188" s="416">
        <v>143</v>
      </c>
      <c r="AC188" s="416">
        <v>139</v>
      </c>
      <c r="AD188" s="416">
        <v>135</v>
      </c>
      <c r="AE188" s="416">
        <v>130</v>
      </c>
      <c r="AF188" s="416">
        <v>107</v>
      </c>
      <c r="AG188" s="416">
        <v>88.1</v>
      </c>
      <c r="AH188" s="416">
        <v>67.5</v>
      </c>
      <c r="AI188" s="416">
        <v>50.8</v>
      </c>
      <c r="AJ188" s="416">
        <v>33.700000000000003</v>
      </c>
      <c r="AK188" s="416">
        <v>21.3</v>
      </c>
      <c r="AL188" s="416">
        <v>12.9</v>
      </c>
      <c r="AM188" s="416">
        <v>0</v>
      </c>
      <c r="AN188" s="416">
        <v>0</v>
      </c>
      <c r="AO188" s="416">
        <v>0</v>
      </c>
      <c r="AP188" s="416">
        <v>0</v>
      </c>
      <c r="AQ188" s="416">
        <v>0</v>
      </c>
      <c r="AR188" s="416">
        <v>0</v>
      </c>
      <c r="AS188" s="416">
        <v>0</v>
      </c>
      <c r="AT188" s="416">
        <v>0</v>
      </c>
      <c r="AU188" s="416">
        <v>0</v>
      </c>
      <c r="AV188" s="416">
        <v>0</v>
      </c>
      <c r="AW188" s="416">
        <v>0</v>
      </c>
      <c r="AX188" s="416">
        <v>0</v>
      </c>
      <c r="AY188" s="416">
        <v>0</v>
      </c>
      <c r="AZ188" s="416">
        <v>0</v>
      </c>
    </row>
    <row r="189" spans="1:52" s="411" customFormat="1" x14ac:dyDescent="0.3">
      <c r="A189" s="415" t="str">
        <f t="shared" si="2"/>
        <v>SA-671 Gr.CK75</v>
      </c>
      <c r="B189" s="415">
        <v>183</v>
      </c>
      <c r="C189" s="415" t="s">
        <v>2673</v>
      </c>
      <c r="D189" s="415" t="s">
        <v>2680</v>
      </c>
      <c r="E189" s="415" t="s">
        <v>2295</v>
      </c>
      <c r="F189" s="415" t="s">
        <v>2385</v>
      </c>
      <c r="G189" s="415" t="s">
        <v>2830</v>
      </c>
      <c r="H189" s="415">
        <v>0</v>
      </c>
      <c r="I189" s="415" t="s">
        <v>2831</v>
      </c>
      <c r="J189" s="415">
        <v>1</v>
      </c>
      <c r="K189" s="415">
        <v>2</v>
      </c>
      <c r="L189" s="415">
        <v>515</v>
      </c>
      <c r="M189" s="415">
        <v>275</v>
      </c>
      <c r="N189" s="415" t="s">
        <v>2675</v>
      </c>
      <c r="O189" s="415">
        <v>371</v>
      </c>
      <c r="P189" s="415" t="s">
        <v>2675</v>
      </c>
      <c r="Q189" s="415" t="s">
        <v>2675</v>
      </c>
      <c r="R189" s="415" t="s">
        <v>2699</v>
      </c>
      <c r="S189" s="415" t="s">
        <v>2687</v>
      </c>
      <c r="T189" s="416">
        <v>148</v>
      </c>
      <c r="U189" s="416">
        <v>148</v>
      </c>
      <c r="V189" s="416">
        <v>148</v>
      </c>
      <c r="W189" s="416">
        <v>148</v>
      </c>
      <c r="X189" s="416">
        <v>148</v>
      </c>
      <c r="Y189" s="416">
        <v>148</v>
      </c>
      <c r="Z189" s="416">
        <v>148</v>
      </c>
      <c r="AA189" s="416">
        <v>148</v>
      </c>
      <c r="AB189" s="416">
        <v>143</v>
      </c>
      <c r="AC189" s="416">
        <v>139</v>
      </c>
      <c r="AD189" s="416">
        <v>135</v>
      </c>
      <c r="AE189" s="416">
        <v>130</v>
      </c>
      <c r="AF189" s="416">
        <v>0</v>
      </c>
      <c r="AG189" s="416">
        <v>0</v>
      </c>
      <c r="AH189" s="416">
        <v>0</v>
      </c>
      <c r="AI189" s="416">
        <v>0</v>
      </c>
      <c r="AJ189" s="416">
        <v>0</v>
      </c>
      <c r="AK189" s="416">
        <v>0</v>
      </c>
      <c r="AL189" s="416">
        <v>0</v>
      </c>
      <c r="AM189" s="416">
        <v>0</v>
      </c>
      <c r="AN189" s="416">
        <v>0</v>
      </c>
      <c r="AO189" s="416">
        <v>0</v>
      </c>
      <c r="AP189" s="416">
        <v>0</v>
      </c>
      <c r="AQ189" s="416">
        <v>0</v>
      </c>
      <c r="AR189" s="416">
        <v>0</v>
      </c>
      <c r="AS189" s="416">
        <v>0</v>
      </c>
      <c r="AT189" s="416">
        <v>0</v>
      </c>
      <c r="AU189" s="416">
        <v>0</v>
      </c>
      <c r="AV189" s="416">
        <v>0</v>
      </c>
      <c r="AW189" s="416">
        <v>0</v>
      </c>
      <c r="AX189" s="416">
        <v>0</v>
      </c>
      <c r="AY189" s="416">
        <v>0</v>
      </c>
      <c r="AZ189" s="416">
        <v>0</v>
      </c>
    </row>
    <row r="190" spans="1:52" s="411" customFormat="1" x14ac:dyDescent="0.3">
      <c r="A190" s="415" t="str">
        <f t="shared" si="2"/>
        <v>SA-672 Gr.N75</v>
      </c>
      <c r="B190" s="415">
        <v>184</v>
      </c>
      <c r="C190" s="415" t="s">
        <v>2673</v>
      </c>
      <c r="D190" s="415" t="s">
        <v>2680</v>
      </c>
      <c r="E190" s="415" t="s">
        <v>2297</v>
      </c>
      <c r="F190" s="415" t="s">
        <v>2507</v>
      </c>
      <c r="G190" s="415" t="s">
        <v>2830</v>
      </c>
      <c r="H190" s="415">
        <v>0</v>
      </c>
      <c r="I190" s="415" t="s">
        <v>2831</v>
      </c>
      <c r="J190" s="415">
        <v>1</v>
      </c>
      <c r="K190" s="415">
        <v>2</v>
      </c>
      <c r="L190" s="415">
        <v>515</v>
      </c>
      <c r="M190" s="415">
        <v>275</v>
      </c>
      <c r="N190" s="415" t="s">
        <v>2675</v>
      </c>
      <c r="O190" s="415">
        <v>371</v>
      </c>
      <c r="P190" s="415" t="s">
        <v>2675</v>
      </c>
      <c r="Q190" s="415" t="s">
        <v>2675</v>
      </c>
      <c r="R190" s="415" t="s">
        <v>2699</v>
      </c>
      <c r="S190" s="415" t="s">
        <v>2687</v>
      </c>
      <c r="T190" s="416">
        <v>148</v>
      </c>
      <c r="U190" s="416">
        <v>148</v>
      </c>
      <c r="V190" s="416">
        <v>148</v>
      </c>
      <c r="W190" s="416">
        <v>148</v>
      </c>
      <c r="X190" s="416">
        <v>148</v>
      </c>
      <c r="Y190" s="416">
        <v>148</v>
      </c>
      <c r="Z190" s="416">
        <v>148</v>
      </c>
      <c r="AA190" s="416">
        <v>148</v>
      </c>
      <c r="AB190" s="416">
        <v>143</v>
      </c>
      <c r="AC190" s="416">
        <v>139</v>
      </c>
      <c r="AD190" s="416">
        <v>135</v>
      </c>
      <c r="AE190" s="416">
        <v>130</v>
      </c>
      <c r="AF190" s="416">
        <v>0</v>
      </c>
      <c r="AG190" s="416">
        <v>0</v>
      </c>
      <c r="AH190" s="416">
        <v>0</v>
      </c>
      <c r="AI190" s="416">
        <v>0</v>
      </c>
      <c r="AJ190" s="416">
        <v>0</v>
      </c>
      <c r="AK190" s="416">
        <v>0</v>
      </c>
      <c r="AL190" s="416">
        <v>0</v>
      </c>
      <c r="AM190" s="416">
        <v>0</v>
      </c>
      <c r="AN190" s="416">
        <v>0</v>
      </c>
      <c r="AO190" s="416">
        <v>0</v>
      </c>
      <c r="AP190" s="416">
        <v>0</v>
      </c>
      <c r="AQ190" s="416">
        <v>0</v>
      </c>
      <c r="AR190" s="416">
        <v>0</v>
      </c>
      <c r="AS190" s="416">
        <v>0</v>
      </c>
      <c r="AT190" s="416">
        <v>0</v>
      </c>
      <c r="AU190" s="416">
        <v>0</v>
      </c>
      <c r="AV190" s="416">
        <v>0</v>
      </c>
      <c r="AW190" s="416">
        <v>0</v>
      </c>
      <c r="AX190" s="416">
        <v>0</v>
      </c>
      <c r="AY190" s="416">
        <v>0</v>
      </c>
      <c r="AZ190" s="416">
        <v>0</v>
      </c>
    </row>
    <row r="191" spans="1:52" s="411" customFormat="1" x14ac:dyDescent="0.3">
      <c r="A191" s="415" t="str">
        <f t="shared" si="2"/>
        <v>SA-691 Gr.CMS-75</v>
      </c>
      <c r="B191" s="415">
        <v>185</v>
      </c>
      <c r="C191" s="415" t="s">
        <v>2673</v>
      </c>
      <c r="D191" s="415" t="s">
        <v>2680</v>
      </c>
      <c r="E191" s="415" t="s">
        <v>2303</v>
      </c>
      <c r="F191" s="415" t="s">
        <v>2389</v>
      </c>
      <c r="G191" s="415" t="s">
        <v>2830</v>
      </c>
      <c r="H191" s="415">
        <v>0</v>
      </c>
      <c r="I191" s="415" t="s">
        <v>2831</v>
      </c>
      <c r="J191" s="415">
        <v>1</v>
      </c>
      <c r="K191" s="415">
        <v>2</v>
      </c>
      <c r="L191" s="415">
        <v>515</v>
      </c>
      <c r="M191" s="415">
        <v>275</v>
      </c>
      <c r="N191" s="415" t="s">
        <v>2675</v>
      </c>
      <c r="O191" s="415">
        <v>371</v>
      </c>
      <c r="P191" s="415" t="s">
        <v>2675</v>
      </c>
      <c r="Q191" s="415" t="s">
        <v>2675</v>
      </c>
      <c r="R191" s="415" t="s">
        <v>2699</v>
      </c>
      <c r="S191" s="415" t="s">
        <v>2687</v>
      </c>
      <c r="T191" s="416">
        <v>148</v>
      </c>
      <c r="U191" s="416">
        <v>148</v>
      </c>
      <c r="V191" s="416">
        <v>148</v>
      </c>
      <c r="W191" s="416">
        <v>148</v>
      </c>
      <c r="X191" s="416">
        <v>148</v>
      </c>
      <c r="Y191" s="416">
        <v>148</v>
      </c>
      <c r="Z191" s="416">
        <v>148</v>
      </c>
      <c r="AA191" s="416">
        <v>148</v>
      </c>
      <c r="AB191" s="416">
        <v>143</v>
      </c>
      <c r="AC191" s="416">
        <v>139</v>
      </c>
      <c r="AD191" s="416">
        <v>135</v>
      </c>
      <c r="AE191" s="416">
        <v>130</v>
      </c>
      <c r="AF191" s="416">
        <v>0</v>
      </c>
      <c r="AG191" s="416">
        <v>0</v>
      </c>
      <c r="AH191" s="416">
        <v>0</v>
      </c>
      <c r="AI191" s="416">
        <v>0</v>
      </c>
      <c r="AJ191" s="416">
        <v>0</v>
      </c>
      <c r="AK191" s="416">
        <v>0</v>
      </c>
      <c r="AL191" s="416">
        <v>0</v>
      </c>
      <c r="AM191" s="416">
        <v>0</v>
      </c>
      <c r="AN191" s="416">
        <v>0</v>
      </c>
      <c r="AO191" s="416">
        <v>0</v>
      </c>
      <c r="AP191" s="416">
        <v>0</v>
      </c>
      <c r="AQ191" s="416">
        <v>0</v>
      </c>
      <c r="AR191" s="416">
        <v>0</v>
      </c>
      <c r="AS191" s="416">
        <v>0</v>
      </c>
      <c r="AT191" s="416">
        <v>0</v>
      </c>
      <c r="AU191" s="416">
        <v>0</v>
      </c>
      <c r="AV191" s="416">
        <v>0</v>
      </c>
      <c r="AW191" s="416">
        <v>0</v>
      </c>
      <c r="AX191" s="416">
        <v>0</v>
      </c>
      <c r="AY191" s="416">
        <v>0</v>
      </c>
      <c r="AZ191" s="416">
        <v>0</v>
      </c>
    </row>
    <row r="192" spans="1:52" s="411" customFormat="1" x14ac:dyDescent="0.3">
      <c r="A192" s="415" t="str">
        <f t="shared" si="2"/>
        <v>SA-299 Gr.A</v>
      </c>
      <c r="B192" s="415">
        <v>186</v>
      </c>
      <c r="C192" s="415" t="s">
        <v>2673</v>
      </c>
      <c r="D192" s="415" t="s">
        <v>2684</v>
      </c>
      <c r="E192" s="415" t="s">
        <v>2206</v>
      </c>
      <c r="F192" s="415" t="s">
        <v>12</v>
      </c>
      <c r="G192" s="415" t="s">
        <v>2830</v>
      </c>
      <c r="H192" s="415">
        <v>0</v>
      </c>
      <c r="I192" s="415" t="s">
        <v>2832</v>
      </c>
      <c r="J192" s="415">
        <v>1</v>
      </c>
      <c r="K192" s="415">
        <v>2</v>
      </c>
      <c r="L192" s="415">
        <v>515</v>
      </c>
      <c r="M192" s="415">
        <v>290</v>
      </c>
      <c r="N192" s="415">
        <v>538</v>
      </c>
      <c r="O192" s="415">
        <v>371</v>
      </c>
      <c r="P192" s="415">
        <v>538</v>
      </c>
      <c r="Q192" s="415">
        <v>343</v>
      </c>
      <c r="R192" s="415" t="s">
        <v>2699</v>
      </c>
      <c r="S192" s="415" t="s">
        <v>2706</v>
      </c>
      <c r="T192" s="416">
        <v>148</v>
      </c>
      <c r="U192" s="416">
        <v>148</v>
      </c>
      <c r="V192" s="416">
        <v>148</v>
      </c>
      <c r="W192" s="416">
        <v>148</v>
      </c>
      <c r="X192" s="416">
        <v>148</v>
      </c>
      <c r="Y192" s="416">
        <v>148</v>
      </c>
      <c r="Z192" s="416">
        <v>148</v>
      </c>
      <c r="AA192" s="416">
        <v>148</v>
      </c>
      <c r="AB192" s="416">
        <v>148</v>
      </c>
      <c r="AC192" s="416">
        <v>147</v>
      </c>
      <c r="AD192" s="416">
        <v>141</v>
      </c>
      <c r="AE192" s="416">
        <v>133</v>
      </c>
      <c r="AF192" s="416">
        <v>107</v>
      </c>
      <c r="AG192" s="416">
        <v>88.1</v>
      </c>
      <c r="AH192" s="416">
        <v>67.599999999999994</v>
      </c>
      <c r="AI192" s="416">
        <v>50.8</v>
      </c>
      <c r="AJ192" s="416">
        <v>33.700000000000003</v>
      </c>
      <c r="AK192" s="416">
        <v>21.3</v>
      </c>
      <c r="AL192" s="416">
        <v>12.9</v>
      </c>
      <c r="AM192" s="416">
        <v>0</v>
      </c>
      <c r="AN192" s="416">
        <v>0</v>
      </c>
      <c r="AO192" s="416">
        <v>0</v>
      </c>
      <c r="AP192" s="416">
        <v>0</v>
      </c>
      <c r="AQ192" s="416">
        <v>0</v>
      </c>
      <c r="AR192" s="416">
        <v>0</v>
      </c>
      <c r="AS192" s="416">
        <v>0</v>
      </c>
      <c r="AT192" s="416">
        <v>0</v>
      </c>
      <c r="AU192" s="416">
        <v>0</v>
      </c>
      <c r="AV192" s="416">
        <v>0</v>
      </c>
      <c r="AW192" s="416">
        <v>0</v>
      </c>
      <c r="AX192" s="416">
        <v>0</v>
      </c>
      <c r="AY192" s="416">
        <v>0</v>
      </c>
      <c r="AZ192" s="416">
        <v>0</v>
      </c>
    </row>
    <row r="193" spans="1:52" s="411" customFormat="1" x14ac:dyDescent="0.3">
      <c r="A193" s="415" t="str">
        <f t="shared" si="2"/>
        <v>SA-691 Gr.CMS-75</v>
      </c>
      <c r="B193" s="415">
        <v>187</v>
      </c>
      <c r="C193" s="415" t="s">
        <v>2673</v>
      </c>
      <c r="D193" s="415" t="s">
        <v>2680</v>
      </c>
      <c r="E193" s="415" t="s">
        <v>2303</v>
      </c>
      <c r="F193" s="415" t="s">
        <v>2389</v>
      </c>
      <c r="G193" s="415" t="s">
        <v>2830</v>
      </c>
      <c r="H193" s="415">
        <v>0</v>
      </c>
      <c r="I193" s="415" t="s">
        <v>2832</v>
      </c>
      <c r="J193" s="415">
        <v>1</v>
      </c>
      <c r="K193" s="415">
        <v>2</v>
      </c>
      <c r="L193" s="415">
        <v>515</v>
      </c>
      <c r="M193" s="415">
        <v>290</v>
      </c>
      <c r="N193" s="415" t="s">
        <v>2675</v>
      </c>
      <c r="O193" s="415">
        <v>371</v>
      </c>
      <c r="P193" s="415" t="s">
        <v>2675</v>
      </c>
      <c r="Q193" s="415" t="s">
        <v>2675</v>
      </c>
      <c r="R193" s="415" t="s">
        <v>2699</v>
      </c>
      <c r="S193" s="415" t="s">
        <v>2833</v>
      </c>
      <c r="T193" s="416">
        <v>148</v>
      </c>
      <c r="U193" s="416">
        <v>148</v>
      </c>
      <c r="V193" s="416">
        <v>148</v>
      </c>
      <c r="W193" s="416">
        <v>148</v>
      </c>
      <c r="X193" s="416">
        <v>148</v>
      </c>
      <c r="Y193" s="416">
        <v>148</v>
      </c>
      <c r="Z193" s="416">
        <v>148</v>
      </c>
      <c r="AA193" s="416">
        <v>148</v>
      </c>
      <c r="AB193" s="416">
        <v>148</v>
      </c>
      <c r="AC193" s="416">
        <v>147</v>
      </c>
      <c r="AD193" s="416">
        <v>141</v>
      </c>
      <c r="AE193" s="416">
        <v>133</v>
      </c>
      <c r="AF193" s="416">
        <v>0</v>
      </c>
      <c r="AG193" s="416">
        <v>0</v>
      </c>
      <c r="AH193" s="416">
        <v>0</v>
      </c>
      <c r="AI193" s="416">
        <v>0</v>
      </c>
      <c r="AJ193" s="416">
        <v>0</v>
      </c>
      <c r="AK193" s="416">
        <v>0</v>
      </c>
      <c r="AL193" s="416">
        <v>0</v>
      </c>
      <c r="AM193" s="416">
        <v>0</v>
      </c>
      <c r="AN193" s="416">
        <v>0</v>
      </c>
      <c r="AO193" s="416">
        <v>0</v>
      </c>
      <c r="AP193" s="416">
        <v>0</v>
      </c>
      <c r="AQ193" s="416">
        <v>0</v>
      </c>
      <c r="AR193" s="416">
        <v>0</v>
      </c>
      <c r="AS193" s="416">
        <v>0</v>
      </c>
      <c r="AT193" s="416">
        <v>0</v>
      </c>
      <c r="AU193" s="416">
        <v>0</v>
      </c>
      <c r="AV193" s="416">
        <v>0</v>
      </c>
      <c r="AW193" s="416">
        <v>0</v>
      </c>
      <c r="AX193" s="416">
        <v>0</v>
      </c>
      <c r="AY193" s="416">
        <v>0</v>
      </c>
      <c r="AZ193" s="416">
        <v>0</v>
      </c>
    </row>
    <row r="194" spans="1:52" s="411" customFormat="1" x14ac:dyDescent="0.3">
      <c r="A194" s="415" t="str">
        <f t="shared" si="2"/>
        <v>SA-372 Gr.B</v>
      </c>
      <c r="B194" s="415">
        <v>188</v>
      </c>
      <c r="C194" s="415" t="s">
        <v>2673</v>
      </c>
      <c r="D194" s="415" t="s">
        <v>2737</v>
      </c>
      <c r="E194" s="415" t="s">
        <v>2223</v>
      </c>
      <c r="F194" s="415" t="s">
        <v>1864</v>
      </c>
      <c r="G194" s="415" t="s">
        <v>2834</v>
      </c>
      <c r="H194" s="415">
        <v>0</v>
      </c>
      <c r="I194" s="415">
        <v>0</v>
      </c>
      <c r="J194" s="415">
        <v>1</v>
      </c>
      <c r="K194" s="415">
        <v>2</v>
      </c>
      <c r="L194" s="415">
        <v>515</v>
      </c>
      <c r="M194" s="415">
        <v>310</v>
      </c>
      <c r="N194" s="415" t="s">
        <v>2675</v>
      </c>
      <c r="O194" s="415" t="s">
        <v>2675</v>
      </c>
      <c r="P194" s="415">
        <v>343</v>
      </c>
      <c r="Q194" s="415">
        <v>343</v>
      </c>
      <c r="R194" s="415" t="s">
        <v>2819</v>
      </c>
      <c r="S194" s="415" t="s">
        <v>2835</v>
      </c>
      <c r="T194" s="416">
        <v>148</v>
      </c>
      <c r="U194" s="416">
        <v>148</v>
      </c>
      <c r="V194" s="416">
        <v>148</v>
      </c>
      <c r="W194" s="416">
        <v>148</v>
      </c>
      <c r="X194" s="416">
        <v>148</v>
      </c>
      <c r="Y194" s="416">
        <v>148</v>
      </c>
      <c r="Z194" s="416">
        <v>148</v>
      </c>
      <c r="AA194" s="416">
        <v>148</v>
      </c>
      <c r="AB194" s="416">
        <v>148</v>
      </c>
      <c r="AC194" s="416">
        <v>148</v>
      </c>
      <c r="AD194" s="416">
        <v>148</v>
      </c>
      <c r="AE194" s="416">
        <v>0</v>
      </c>
      <c r="AF194" s="416">
        <v>0</v>
      </c>
      <c r="AG194" s="416">
        <v>0</v>
      </c>
      <c r="AH194" s="416">
        <v>0</v>
      </c>
      <c r="AI194" s="416">
        <v>0</v>
      </c>
      <c r="AJ194" s="416">
        <v>0</v>
      </c>
      <c r="AK194" s="416">
        <v>0</v>
      </c>
      <c r="AL194" s="416">
        <v>0</v>
      </c>
      <c r="AM194" s="416">
        <v>0</v>
      </c>
      <c r="AN194" s="416">
        <v>0</v>
      </c>
      <c r="AO194" s="416">
        <v>0</v>
      </c>
      <c r="AP194" s="416">
        <v>0</v>
      </c>
      <c r="AQ194" s="416">
        <v>0</v>
      </c>
      <c r="AR194" s="416">
        <v>0</v>
      </c>
      <c r="AS194" s="416">
        <v>0</v>
      </c>
      <c r="AT194" s="416">
        <v>0</v>
      </c>
      <c r="AU194" s="416">
        <v>0</v>
      </c>
      <c r="AV194" s="416">
        <v>0</v>
      </c>
      <c r="AW194" s="416">
        <v>0</v>
      </c>
      <c r="AX194" s="416">
        <v>0</v>
      </c>
      <c r="AY194" s="416">
        <v>0</v>
      </c>
      <c r="AZ194" s="416">
        <v>0</v>
      </c>
    </row>
    <row r="195" spans="1:52" s="411" customFormat="1" x14ac:dyDescent="0.3">
      <c r="A195" s="415" t="str">
        <f t="shared" si="2"/>
        <v>SA-414 Gr.G</v>
      </c>
      <c r="B195" s="415">
        <v>189</v>
      </c>
      <c r="C195" s="415" t="s">
        <v>2673</v>
      </c>
      <c r="D195" s="415" t="s">
        <v>2674</v>
      </c>
      <c r="E195" s="415" t="s">
        <v>2233</v>
      </c>
      <c r="F195" s="415" t="s">
        <v>2479</v>
      </c>
      <c r="G195" s="415" t="s">
        <v>2836</v>
      </c>
      <c r="H195" s="415">
        <v>0</v>
      </c>
      <c r="I195" s="415">
        <v>0</v>
      </c>
      <c r="J195" s="415">
        <v>1</v>
      </c>
      <c r="K195" s="415">
        <v>2</v>
      </c>
      <c r="L195" s="415">
        <v>515</v>
      </c>
      <c r="M195" s="415">
        <v>310</v>
      </c>
      <c r="N195" s="415" t="s">
        <v>2675</v>
      </c>
      <c r="O195" s="415" t="s">
        <v>2675</v>
      </c>
      <c r="P195" s="415">
        <v>482</v>
      </c>
      <c r="Q195" s="415">
        <v>343</v>
      </c>
      <c r="R195" s="415" t="s">
        <v>2819</v>
      </c>
      <c r="S195" s="415" t="s">
        <v>2711</v>
      </c>
      <c r="T195" s="416">
        <v>148</v>
      </c>
      <c r="U195" s="416">
        <v>148</v>
      </c>
      <c r="V195" s="416">
        <v>148</v>
      </c>
      <c r="W195" s="416">
        <v>148</v>
      </c>
      <c r="X195" s="416">
        <v>148</v>
      </c>
      <c r="Y195" s="416">
        <v>148</v>
      </c>
      <c r="Z195" s="416">
        <v>148</v>
      </c>
      <c r="AA195" s="416">
        <v>148</v>
      </c>
      <c r="AB195" s="416">
        <v>148</v>
      </c>
      <c r="AC195" s="416">
        <v>148</v>
      </c>
      <c r="AD195" s="416">
        <v>146</v>
      </c>
      <c r="AE195" s="416">
        <v>132</v>
      </c>
      <c r="AF195" s="416">
        <v>107</v>
      </c>
      <c r="AG195" s="416">
        <v>88.2</v>
      </c>
      <c r="AH195" s="416">
        <v>67.599999999999994</v>
      </c>
      <c r="AI195" s="416">
        <v>50.6</v>
      </c>
      <c r="AJ195" s="416">
        <v>34.9</v>
      </c>
      <c r="AK195" s="416">
        <v>0</v>
      </c>
      <c r="AL195" s="416">
        <v>0</v>
      </c>
      <c r="AM195" s="416">
        <v>0</v>
      </c>
      <c r="AN195" s="416">
        <v>0</v>
      </c>
      <c r="AO195" s="416">
        <v>0</v>
      </c>
      <c r="AP195" s="416">
        <v>0</v>
      </c>
      <c r="AQ195" s="416">
        <v>0</v>
      </c>
      <c r="AR195" s="416">
        <v>0</v>
      </c>
      <c r="AS195" s="416">
        <v>0</v>
      </c>
      <c r="AT195" s="416">
        <v>0</v>
      </c>
      <c r="AU195" s="416">
        <v>0</v>
      </c>
      <c r="AV195" s="416">
        <v>0</v>
      </c>
      <c r="AW195" s="416">
        <v>0</v>
      </c>
      <c r="AX195" s="416">
        <v>0</v>
      </c>
      <c r="AY195" s="416">
        <v>0</v>
      </c>
      <c r="AZ195" s="416">
        <v>0</v>
      </c>
    </row>
    <row r="196" spans="1:52" s="411" customFormat="1" x14ac:dyDescent="0.3">
      <c r="A196" s="415" t="str">
        <f t="shared" si="2"/>
        <v>SA-738 Gr.A</v>
      </c>
      <c r="B196" s="415">
        <v>190</v>
      </c>
      <c r="C196" s="415" t="s">
        <v>2673</v>
      </c>
      <c r="D196" s="415" t="s">
        <v>2684</v>
      </c>
      <c r="E196" s="415" t="s">
        <v>2315</v>
      </c>
      <c r="F196" s="415" t="s">
        <v>12</v>
      </c>
      <c r="G196" s="415" t="s">
        <v>2837</v>
      </c>
      <c r="H196" s="415">
        <v>0</v>
      </c>
      <c r="I196" s="415">
        <v>0</v>
      </c>
      <c r="J196" s="415">
        <v>1</v>
      </c>
      <c r="K196" s="415">
        <v>2</v>
      </c>
      <c r="L196" s="415">
        <v>515</v>
      </c>
      <c r="M196" s="415">
        <v>310</v>
      </c>
      <c r="N196" s="415" t="s">
        <v>2675</v>
      </c>
      <c r="O196" s="415" t="s">
        <v>2675</v>
      </c>
      <c r="P196" s="415">
        <v>371</v>
      </c>
      <c r="Q196" s="415">
        <v>343</v>
      </c>
      <c r="R196" s="415" t="s">
        <v>2699</v>
      </c>
      <c r="S196" s="415" t="s">
        <v>2535</v>
      </c>
      <c r="T196" s="416">
        <v>148</v>
      </c>
      <c r="U196" s="416">
        <v>148</v>
      </c>
      <c r="V196" s="416">
        <v>148</v>
      </c>
      <c r="W196" s="416">
        <v>148</v>
      </c>
      <c r="X196" s="416">
        <v>148</v>
      </c>
      <c r="Y196" s="416">
        <v>148</v>
      </c>
      <c r="Z196" s="416">
        <v>148</v>
      </c>
      <c r="AA196" s="416">
        <v>148</v>
      </c>
      <c r="AB196" s="416">
        <v>148</v>
      </c>
      <c r="AC196" s="416">
        <v>148</v>
      </c>
      <c r="AD196" s="416">
        <v>146</v>
      </c>
      <c r="AE196" s="416">
        <v>132</v>
      </c>
      <c r="AF196" s="416">
        <v>0</v>
      </c>
      <c r="AG196" s="416">
        <v>0</v>
      </c>
      <c r="AH196" s="416">
        <v>0</v>
      </c>
      <c r="AI196" s="416">
        <v>0</v>
      </c>
      <c r="AJ196" s="416">
        <v>0</v>
      </c>
      <c r="AK196" s="416">
        <v>0</v>
      </c>
      <c r="AL196" s="416">
        <v>0</v>
      </c>
      <c r="AM196" s="416">
        <v>0</v>
      </c>
      <c r="AN196" s="416">
        <v>0</v>
      </c>
      <c r="AO196" s="416">
        <v>0</v>
      </c>
      <c r="AP196" s="416">
        <v>0</v>
      </c>
      <c r="AQ196" s="416">
        <v>0</v>
      </c>
      <c r="AR196" s="416">
        <v>0</v>
      </c>
      <c r="AS196" s="416">
        <v>0</v>
      </c>
      <c r="AT196" s="416">
        <v>0</v>
      </c>
      <c r="AU196" s="416">
        <v>0</v>
      </c>
      <c r="AV196" s="416">
        <v>0</v>
      </c>
      <c r="AW196" s="416">
        <v>0</v>
      </c>
      <c r="AX196" s="416">
        <v>0</v>
      </c>
      <c r="AY196" s="416">
        <v>0</v>
      </c>
      <c r="AZ196" s="416">
        <v>0</v>
      </c>
    </row>
    <row r="197" spans="1:52" s="411" customFormat="1" x14ac:dyDescent="0.3">
      <c r="A197" s="415" t="str">
        <f t="shared" si="2"/>
        <v>SA-537 Gr.0</v>
      </c>
      <c r="B197" s="415">
        <v>191</v>
      </c>
      <c r="C197" s="415" t="s">
        <v>2673</v>
      </c>
      <c r="D197" s="415" t="s">
        <v>2684</v>
      </c>
      <c r="E197" s="415" t="s">
        <v>2262</v>
      </c>
      <c r="F197" s="415">
        <v>0</v>
      </c>
      <c r="G197" s="415" t="s">
        <v>2791</v>
      </c>
      <c r="H197" s="415">
        <v>3</v>
      </c>
      <c r="I197" s="415" t="s">
        <v>2792</v>
      </c>
      <c r="J197" s="415">
        <v>1</v>
      </c>
      <c r="K197" s="415">
        <v>3</v>
      </c>
      <c r="L197" s="415">
        <v>515</v>
      </c>
      <c r="M197" s="415">
        <v>345</v>
      </c>
      <c r="N197" s="415" t="s">
        <v>2675</v>
      </c>
      <c r="O197" s="415" t="s">
        <v>2675</v>
      </c>
      <c r="P197" s="415">
        <v>371</v>
      </c>
      <c r="Q197" s="415">
        <v>343</v>
      </c>
      <c r="R197" s="415" t="s">
        <v>2838</v>
      </c>
      <c r="S197" s="415" t="s">
        <v>2839</v>
      </c>
      <c r="T197" s="416">
        <v>148</v>
      </c>
      <c r="U197" s="416">
        <v>148</v>
      </c>
      <c r="V197" s="416">
        <v>148</v>
      </c>
      <c r="W197" s="416">
        <v>147</v>
      </c>
      <c r="X197" s="416">
        <v>147</v>
      </c>
      <c r="Y197" s="416">
        <v>145</v>
      </c>
      <c r="Z197" s="416">
        <v>144</v>
      </c>
      <c r="AA197" s="416">
        <v>144</v>
      </c>
      <c r="AB197" s="416">
        <v>144</v>
      </c>
      <c r="AC197" s="416">
        <v>144</v>
      </c>
      <c r="AD197" s="416">
        <v>142</v>
      </c>
      <c r="AE197" s="416">
        <v>123</v>
      </c>
      <c r="AF197" s="416">
        <v>0</v>
      </c>
      <c r="AG197" s="416">
        <v>0</v>
      </c>
      <c r="AH197" s="416">
        <v>0</v>
      </c>
      <c r="AI197" s="416">
        <v>0</v>
      </c>
      <c r="AJ197" s="416">
        <v>0</v>
      </c>
      <c r="AK197" s="416">
        <v>0</v>
      </c>
      <c r="AL197" s="416">
        <v>0</v>
      </c>
      <c r="AM197" s="416">
        <v>0</v>
      </c>
      <c r="AN197" s="416">
        <v>0</v>
      </c>
      <c r="AO197" s="416">
        <v>0</v>
      </c>
      <c r="AP197" s="416">
        <v>0</v>
      </c>
      <c r="AQ197" s="416">
        <v>0</v>
      </c>
      <c r="AR197" s="416">
        <v>0</v>
      </c>
      <c r="AS197" s="416">
        <v>0</v>
      </c>
      <c r="AT197" s="416">
        <v>0</v>
      </c>
      <c r="AU197" s="416">
        <v>0</v>
      </c>
      <c r="AV197" s="416">
        <v>0</v>
      </c>
      <c r="AW197" s="416">
        <v>0</v>
      </c>
      <c r="AX197" s="416">
        <v>0</v>
      </c>
      <c r="AY197" s="416">
        <v>0</v>
      </c>
      <c r="AZ197" s="416">
        <v>0</v>
      </c>
    </row>
    <row r="198" spans="1:52" s="411" customFormat="1" x14ac:dyDescent="0.3">
      <c r="A198" s="415" t="str">
        <f t="shared" si="2"/>
        <v>SA-537 Gr.0</v>
      </c>
      <c r="B198" s="415">
        <v>192</v>
      </c>
      <c r="C198" s="415" t="s">
        <v>2673</v>
      </c>
      <c r="D198" s="415" t="s">
        <v>2684</v>
      </c>
      <c r="E198" s="415" t="s">
        <v>2262</v>
      </c>
      <c r="F198" s="415">
        <v>0</v>
      </c>
      <c r="G198" s="415" t="s">
        <v>2791</v>
      </c>
      <c r="H198" s="415">
        <v>2</v>
      </c>
      <c r="I198" s="415" t="s">
        <v>2792</v>
      </c>
      <c r="J198" s="415">
        <v>1</v>
      </c>
      <c r="K198" s="415">
        <v>3</v>
      </c>
      <c r="L198" s="415">
        <v>515</v>
      </c>
      <c r="M198" s="415">
        <v>380</v>
      </c>
      <c r="N198" s="415" t="s">
        <v>2675</v>
      </c>
      <c r="O198" s="415">
        <v>371</v>
      </c>
      <c r="P198" s="415">
        <v>343</v>
      </c>
      <c r="Q198" s="415">
        <v>343</v>
      </c>
      <c r="R198" s="415" t="s">
        <v>2838</v>
      </c>
      <c r="S198" s="415" t="s">
        <v>2839</v>
      </c>
      <c r="T198" s="416">
        <v>148</v>
      </c>
      <c r="U198" s="416">
        <v>148</v>
      </c>
      <c r="V198" s="416">
        <v>148</v>
      </c>
      <c r="W198" s="416">
        <v>147</v>
      </c>
      <c r="X198" s="416">
        <v>147</v>
      </c>
      <c r="Y198" s="416">
        <v>145</v>
      </c>
      <c r="Z198" s="416">
        <v>144</v>
      </c>
      <c r="AA198" s="416">
        <v>144</v>
      </c>
      <c r="AB198" s="416">
        <v>144</v>
      </c>
      <c r="AC198" s="416">
        <v>144</v>
      </c>
      <c r="AD198" s="416">
        <v>143</v>
      </c>
      <c r="AE198" s="416">
        <v>134</v>
      </c>
      <c r="AF198" s="416">
        <v>0</v>
      </c>
      <c r="AG198" s="416">
        <v>0</v>
      </c>
      <c r="AH198" s="416">
        <v>0</v>
      </c>
      <c r="AI198" s="416">
        <v>0</v>
      </c>
      <c r="AJ198" s="416">
        <v>0</v>
      </c>
      <c r="AK198" s="416">
        <v>0</v>
      </c>
      <c r="AL198" s="416">
        <v>0</v>
      </c>
      <c r="AM198" s="416">
        <v>0</v>
      </c>
      <c r="AN198" s="416">
        <v>0</v>
      </c>
      <c r="AO198" s="416">
        <v>0</v>
      </c>
      <c r="AP198" s="416">
        <v>0</v>
      </c>
      <c r="AQ198" s="416">
        <v>0</v>
      </c>
      <c r="AR198" s="416">
        <v>0</v>
      </c>
      <c r="AS198" s="416">
        <v>0</v>
      </c>
      <c r="AT198" s="416">
        <v>0</v>
      </c>
      <c r="AU198" s="416">
        <v>0</v>
      </c>
      <c r="AV198" s="416">
        <v>0</v>
      </c>
      <c r="AW198" s="416">
        <v>0</v>
      </c>
      <c r="AX198" s="416">
        <v>0</v>
      </c>
      <c r="AY198" s="416">
        <v>0</v>
      </c>
      <c r="AZ198" s="416">
        <v>0</v>
      </c>
    </row>
    <row r="199" spans="1:52" s="411" customFormat="1" x14ac:dyDescent="0.3">
      <c r="A199" s="415" t="str">
        <f t="shared" si="2"/>
        <v>SA-691 Gr.CMSH-80</v>
      </c>
      <c r="B199" s="415">
        <v>193</v>
      </c>
      <c r="C199" s="415" t="s">
        <v>2673</v>
      </c>
      <c r="D199" s="415" t="s">
        <v>2680</v>
      </c>
      <c r="E199" s="415" t="s">
        <v>2303</v>
      </c>
      <c r="F199" s="415" t="s">
        <v>2391</v>
      </c>
      <c r="G199" s="415" t="s">
        <v>2791</v>
      </c>
      <c r="H199" s="415">
        <v>0</v>
      </c>
      <c r="I199" s="415" t="s">
        <v>2792</v>
      </c>
      <c r="J199" s="415">
        <v>1</v>
      </c>
      <c r="K199" s="415">
        <v>3</v>
      </c>
      <c r="L199" s="415">
        <v>515</v>
      </c>
      <c r="M199" s="415">
        <v>380</v>
      </c>
      <c r="N199" s="415" t="s">
        <v>2675</v>
      </c>
      <c r="O199" s="415">
        <v>371</v>
      </c>
      <c r="P199" s="415" t="s">
        <v>2675</v>
      </c>
      <c r="Q199" s="415" t="s">
        <v>2675</v>
      </c>
      <c r="R199" s="415" t="s">
        <v>2838</v>
      </c>
      <c r="S199" s="415" t="s">
        <v>2793</v>
      </c>
      <c r="T199" s="416">
        <v>148</v>
      </c>
      <c r="U199" s="416">
        <v>148</v>
      </c>
      <c r="V199" s="416">
        <v>148</v>
      </c>
      <c r="W199" s="416">
        <v>147</v>
      </c>
      <c r="X199" s="416">
        <v>147</v>
      </c>
      <c r="Y199" s="416">
        <v>145</v>
      </c>
      <c r="Z199" s="416">
        <v>144</v>
      </c>
      <c r="AA199" s="416">
        <v>144</v>
      </c>
      <c r="AB199" s="416">
        <v>144</v>
      </c>
      <c r="AC199" s="416">
        <v>144</v>
      </c>
      <c r="AD199" s="416">
        <v>143</v>
      </c>
      <c r="AE199" s="416">
        <v>134</v>
      </c>
      <c r="AF199" s="416">
        <v>0</v>
      </c>
      <c r="AG199" s="416">
        <v>0</v>
      </c>
      <c r="AH199" s="416">
        <v>0</v>
      </c>
      <c r="AI199" s="416">
        <v>0</v>
      </c>
      <c r="AJ199" s="416">
        <v>0</v>
      </c>
      <c r="AK199" s="416">
        <v>0</v>
      </c>
      <c r="AL199" s="416">
        <v>0</v>
      </c>
      <c r="AM199" s="416">
        <v>0</v>
      </c>
      <c r="AN199" s="416">
        <v>0</v>
      </c>
      <c r="AO199" s="416">
        <v>0</v>
      </c>
      <c r="AP199" s="416">
        <v>0</v>
      </c>
      <c r="AQ199" s="416">
        <v>0</v>
      </c>
      <c r="AR199" s="416">
        <v>0</v>
      </c>
      <c r="AS199" s="416">
        <v>0</v>
      </c>
      <c r="AT199" s="416">
        <v>0</v>
      </c>
      <c r="AU199" s="416">
        <v>0</v>
      </c>
      <c r="AV199" s="416">
        <v>0</v>
      </c>
      <c r="AW199" s="416">
        <v>0</v>
      </c>
      <c r="AX199" s="416">
        <v>0</v>
      </c>
      <c r="AY199" s="416">
        <v>0</v>
      </c>
      <c r="AZ199" s="416">
        <v>0</v>
      </c>
    </row>
    <row r="200" spans="1:52" s="411" customFormat="1" x14ac:dyDescent="0.3">
      <c r="A200" s="415" t="str">
        <f t="shared" ref="A200:A263" si="3">CONCATENATE(E200," Gr.",F200)</f>
        <v>SA-738 Gr.C</v>
      </c>
      <c r="B200" s="415">
        <v>194</v>
      </c>
      <c r="C200" s="415" t="s">
        <v>2673</v>
      </c>
      <c r="D200" s="415" t="s">
        <v>2684</v>
      </c>
      <c r="E200" s="415" t="s">
        <v>2315</v>
      </c>
      <c r="F200" s="415" t="s">
        <v>2348</v>
      </c>
      <c r="G200" s="415" t="s">
        <v>2821</v>
      </c>
      <c r="H200" s="415">
        <v>0</v>
      </c>
      <c r="I200" s="415" t="s">
        <v>2792</v>
      </c>
      <c r="J200" s="415">
        <v>1</v>
      </c>
      <c r="K200" s="415">
        <v>3</v>
      </c>
      <c r="L200" s="415">
        <v>515</v>
      </c>
      <c r="M200" s="415">
        <v>380</v>
      </c>
      <c r="N200" s="415" t="s">
        <v>2675</v>
      </c>
      <c r="O200" s="415">
        <v>343</v>
      </c>
      <c r="P200" s="415">
        <v>343</v>
      </c>
      <c r="Q200" s="415">
        <v>343</v>
      </c>
      <c r="R200" s="415" t="s">
        <v>2838</v>
      </c>
      <c r="S200" s="415" t="s">
        <v>2815</v>
      </c>
      <c r="T200" s="416">
        <v>148</v>
      </c>
      <c r="U200" s="416">
        <v>148</v>
      </c>
      <c r="V200" s="416">
        <v>148</v>
      </c>
      <c r="W200" s="416">
        <v>147</v>
      </c>
      <c r="X200" s="416">
        <v>147</v>
      </c>
      <c r="Y200" s="416">
        <v>145</v>
      </c>
      <c r="Z200" s="416">
        <v>144</v>
      </c>
      <c r="AA200" s="416">
        <v>144</v>
      </c>
      <c r="AB200" s="416">
        <v>144</v>
      </c>
      <c r="AC200" s="416">
        <v>144</v>
      </c>
      <c r="AD200" s="416">
        <v>143</v>
      </c>
      <c r="AE200" s="416">
        <v>0</v>
      </c>
      <c r="AF200" s="416">
        <v>0</v>
      </c>
      <c r="AG200" s="416">
        <v>0</v>
      </c>
      <c r="AH200" s="416">
        <v>0</v>
      </c>
      <c r="AI200" s="416">
        <v>0</v>
      </c>
      <c r="AJ200" s="416">
        <v>0</v>
      </c>
      <c r="AK200" s="416">
        <v>0</v>
      </c>
      <c r="AL200" s="416">
        <v>0</v>
      </c>
      <c r="AM200" s="416">
        <v>0</v>
      </c>
      <c r="AN200" s="416">
        <v>0</v>
      </c>
      <c r="AO200" s="416">
        <v>0</v>
      </c>
      <c r="AP200" s="416">
        <v>0</v>
      </c>
      <c r="AQ200" s="416">
        <v>0</v>
      </c>
      <c r="AR200" s="416">
        <v>0</v>
      </c>
      <c r="AS200" s="416">
        <v>0</v>
      </c>
      <c r="AT200" s="416">
        <v>0</v>
      </c>
      <c r="AU200" s="416">
        <v>0</v>
      </c>
      <c r="AV200" s="416">
        <v>0</v>
      </c>
      <c r="AW200" s="416">
        <v>0</v>
      </c>
      <c r="AX200" s="416">
        <v>0</v>
      </c>
      <c r="AY200" s="416">
        <v>0</v>
      </c>
      <c r="AZ200" s="416">
        <v>0</v>
      </c>
    </row>
    <row r="201" spans="1:52" s="411" customFormat="1" x14ac:dyDescent="0.3">
      <c r="A201" s="415" t="str">
        <f t="shared" si="3"/>
        <v>SA-299 Gr.B</v>
      </c>
      <c r="B201" s="415">
        <v>195</v>
      </c>
      <c r="C201" s="415" t="s">
        <v>2673</v>
      </c>
      <c r="D201" s="415" t="s">
        <v>2684</v>
      </c>
      <c r="E201" s="415" t="s">
        <v>2206</v>
      </c>
      <c r="F201" s="415" t="s">
        <v>1864</v>
      </c>
      <c r="G201" s="415" t="s">
        <v>2830</v>
      </c>
      <c r="H201" s="415">
        <v>0</v>
      </c>
      <c r="I201" s="415" t="s">
        <v>2831</v>
      </c>
      <c r="J201" s="415">
        <v>1</v>
      </c>
      <c r="K201" s="415">
        <v>3</v>
      </c>
      <c r="L201" s="415">
        <v>550</v>
      </c>
      <c r="M201" s="415">
        <v>310</v>
      </c>
      <c r="N201" s="415">
        <v>427</v>
      </c>
      <c r="O201" s="415" t="s">
        <v>2675</v>
      </c>
      <c r="P201" s="415">
        <v>538</v>
      </c>
      <c r="Q201" s="415">
        <v>343</v>
      </c>
      <c r="R201" s="415" t="s">
        <v>2819</v>
      </c>
      <c r="S201" s="415" t="s">
        <v>2706</v>
      </c>
      <c r="T201" s="416">
        <v>158</v>
      </c>
      <c r="U201" s="416">
        <v>158</v>
      </c>
      <c r="V201" s="416">
        <v>158</v>
      </c>
      <c r="W201" s="416">
        <v>158</v>
      </c>
      <c r="X201" s="416">
        <v>158</v>
      </c>
      <c r="Y201" s="416">
        <v>158</v>
      </c>
      <c r="Z201" s="416">
        <v>158</v>
      </c>
      <c r="AA201" s="416">
        <v>158</v>
      </c>
      <c r="AB201" s="416">
        <v>158</v>
      </c>
      <c r="AC201" s="416">
        <v>157</v>
      </c>
      <c r="AD201" s="416">
        <v>152</v>
      </c>
      <c r="AE201" s="416">
        <v>133</v>
      </c>
      <c r="AF201" s="416">
        <v>107</v>
      </c>
      <c r="AG201" s="416">
        <v>88.1</v>
      </c>
      <c r="AH201" s="416">
        <v>67.599999999999994</v>
      </c>
      <c r="AI201" s="416">
        <v>50.8</v>
      </c>
      <c r="AJ201" s="416">
        <v>33.700000000000003</v>
      </c>
      <c r="AK201" s="416">
        <v>21.3</v>
      </c>
      <c r="AL201" s="416">
        <v>12.9</v>
      </c>
      <c r="AM201" s="416">
        <v>0</v>
      </c>
      <c r="AN201" s="416">
        <v>0</v>
      </c>
      <c r="AO201" s="416">
        <v>0</v>
      </c>
      <c r="AP201" s="416">
        <v>0</v>
      </c>
      <c r="AQ201" s="416">
        <v>0</v>
      </c>
      <c r="AR201" s="416">
        <v>0</v>
      </c>
      <c r="AS201" s="416">
        <v>0</v>
      </c>
      <c r="AT201" s="416">
        <v>0</v>
      </c>
      <c r="AU201" s="416">
        <v>0</v>
      </c>
      <c r="AV201" s="416">
        <v>0</v>
      </c>
      <c r="AW201" s="416">
        <v>0</v>
      </c>
      <c r="AX201" s="416">
        <v>0</v>
      </c>
      <c r="AY201" s="416">
        <v>0</v>
      </c>
      <c r="AZ201" s="416">
        <v>0</v>
      </c>
    </row>
    <row r="202" spans="1:52" s="411" customFormat="1" x14ac:dyDescent="0.3">
      <c r="A202" s="415" t="str">
        <f t="shared" si="3"/>
        <v>SA-299 Gr.B</v>
      </c>
      <c r="B202" s="415">
        <v>196</v>
      </c>
      <c r="C202" s="415" t="s">
        <v>2673</v>
      </c>
      <c r="D202" s="415" t="s">
        <v>2684</v>
      </c>
      <c r="E202" s="415" t="s">
        <v>2206</v>
      </c>
      <c r="F202" s="415" t="s">
        <v>1864</v>
      </c>
      <c r="G202" s="415" t="s">
        <v>2830</v>
      </c>
      <c r="H202" s="415">
        <v>0</v>
      </c>
      <c r="I202" s="415" t="s">
        <v>2832</v>
      </c>
      <c r="J202" s="415">
        <v>1</v>
      </c>
      <c r="K202" s="415">
        <v>3</v>
      </c>
      <c r="L202" s="415">
        <v>550</v>
      </c>
      <c r="M202" s="415">
        <v>325</v>
      </c>
      <c r="N202" s="415">
        <v>427</v>
      </c>
      <c r="O202" s="415" t="s">
        <v>2675</v>
      </c>
      <c r="P202" s="415">
        <v>538</v>
      </c>
      <c r="Q202" s="415">
        <v>343</v>
      </c>
      <c r="R202" s="415" t="s">
        <v>2819</v>
      </c>
      <c r="S202" s="415" t="s">
        <v>2706</v>
      </c>
      <c r="T202" s="416">
        <v>158</v>
      </c>
      <c r="U202" s="416">
        <v>158</v>
      </c>
      <c r="V202" s="416">
        <v>158</v>
      </c>
      <c r="W202" s="416">
        <v>158</v>
      </c>
      <c r="X202" s="416">
        <v>158</v>
      </c>
      <c r="Y202" s="416">
        <v>158</v>
      </c>
      <c r="Z202" s="416">
        <v>158</v>
      </c>
      <c r="AA202" s="416">
        <v>158</v>
      </c>
      <c r="AB202" s="416">
        <v>158</v>
      </c>
      <c r="AC202" s="416">
        <v>158</v>
      </c>
      <c r="AD202" s="416">
        <v>158</v>
      </c>
      <c r="AE202" s="416">
        <v>133</v>
      </c>
      <c r="AF202" s="416">
        <v>107</v>
      </c>
      <c r="AG202" s="416">
        <v>88.1</v>
      </c>
      <c r="AH202" s="416">
        <v>67.599999999999994</v>
      </c>
      <c r="AI202" s="416">
        <v>50.8</v>
      </c>
      <c r="AJ202" s="416">
        <v>33.700000000000003</v>
      </c>
      <c r="AK202" s="416">
        <v>21.3</v>
      </c>
      <c r="AL202" s="416">
        <v>12.9</v>
      </c>
      <c r="AM202" s="416">
        <v>0</v>
      </c>
      <c r="AN202" s="416">
        <v>0</v>
      </c>
      <c r="AO202" s="416">
        <v>0</v>
      </c>
      <c r="AP202" s="416">
        <v>0</v>
      </c>
      <c r="AQ202" s="416">
        <v>0</v>
      </c>
      <c r="AR202" s="416">
        <v>0</v>
      </c>
      <c r="AS202" s="416">
        <v>0</v>
      </c>
      <c r="AT202" s="416">
        <v>0</v>
      </c>
      <c r="AU202" s="416">
        <v>0</v>
      </c>
      <c r="AV202" s="416">
        <v>0</v>
      </c>
      <c r="AW202" s="416">
        <v>0</v>
      </c>
      <c r="AX202" s="416">
        <v>0</v>
      </c>
      <c r="AY202" s="416">
        <v>0</v>
      </c>
      <c r="AZ202" s="416">
        <v>0</v>
      </c>
    </row>
    <row r="203" spans="1:52" s="411" customFormat="1" x14ac:dyDescent="0.3">
      <c r="A203" s="415" t="str">
        <f t="shared" si="3"/>
        <v>SA-765 Gr.IV</v>
      </c>
      <c r="B203" s="415">
        <v>197</v>
      </c>
      <c r="C203" s="415" t="s">
        <v>2673</v>
      </c>
      <c r="D203" s="415" t="s">
        <v>2737</v>
      </c>
      <c r="E203" s="415" t="s">
        <v>2320</v>
      </c>
      <c r="F203" s="415" t="s">
        <v>2486</v>
      </c>
      <c r="G203" s="415" t="s">
        <v>2840</v>
      </c>
      <c r="H203" s="415">
        <v>0</v>
      </c>
      <c r="I203" s="415">
        <v>0</v>
      </c>
      <c r="J203" s="415">
        <v>1</v>
      </c>
      <c r="K203" s="415">
        <v>3</v>
      </c>
      <c r="L203" s="415">
        <v>550</v>
      </c>
      <c r="M203" s="415">
        <v>345</v>
      </c>
      <c r="N203" s="415" t="s">
        <v>2675</v>
      </c>
      <c r="O203" s="415" t="s">
        <v>2675</v>
      </c>
      <c r="P203" s="415">
        <v>371</v>
      </c>
      <c r="Q203" s="415" t="s">
        <v>2675</v>
      </c>
      <c r="R203" s="415" t="s">
        <v>2819</v>
      </c>
      <c r="S203" s="415">
        <v>0</v>
      </c>
      <c r="T203" s="416">
        <v>158</v>
      </c>
      <c r="U203" s="416">
        <v>158</v>
      </c>
      <c r="V203" s="416">
        <v>158</v>
      </c>
      <c r="W203" s="416">
        <v>158</v>
      </c>
      <c r="X203" s="416">
        <v>158</v>
      </c>
      <c r="Y203" s="416">
        <v>158</v>
      </c>
      <c r="Z203" s="416">
        <v>156</v>
      </c>
      <c r="AA203" s="416">
        <v>156</v>
      </c>
      <c r="AB203" s="416">
        <v>156</v>
      </c>
      <c r="AC203" s="416">
        <v>156</v>
      </c>
      <c r="AD203" s="416">
        <v>155</v>
      </c>
      <c r="AE203" s="416">
        <v>153</v>
      </c>
      <c r="AF203" s="416">
        <v>0</v>
      </c>
      <c r="AG203" s="416">
        <v>0</v>
      </c>
      <c r="AH203" s="416">
        <v>0</v>
      </c>
      <c r="AI203" s="416">
        <v>0</v>
      </c>
      <c r="AJ203" s="416">
        <v>0</v>
      </c>
      <c r="AK203" s="416">
        <v>0</v>
      </c>
      <c r="AL203" s="416">
        <v>0</v>
      </c>
      <c r="AM203" s="416">
        <v>0</v>
      </c>
      <c r="AN203" s="416">
        <v>0</v>
      </c>
      <c r="AO203" s="416">
        <v>0</v>
      </c>
      <c r="AP203" s="416">
        <v>0</v>
      </c>
      <c r="AQ203" s="416">
        <v>0</v>
      </c>
      <c r="AR203" s="416">
        <v>0</v>
      </c>
      <c r="AS203" s="416">
        <v>0</v>
      </c>
      <c r="AT203" s="416">
        <v>0</v>
      </c>
      <c r="AU203" s="416">
        <v>0</v>
      </c>
      <c r="AV203" s="416">
        <v>0</v>
      </c>
      <c r="AW203" s="416">
        <v>0</v>
      </c>
      <c r="AX203" s="416">
        <v>0</v>
      </c>
      <c r="AY203" s="416">
        <v>0</v>
      </c>
      <c r="AZ203" s="416">
        <v>0</v>
      </c>
    </row>
    <row r="204" spans="1:52" s="411" customFormat="1" x14ac:dyDescent="0.3">
      <c r="A204" s="415" t="str">
        <f t="shared" si="3"/>
        <v>SA-537 Gr.0</v>
      </c>
      <c r="B204" s="415">
        <v>198</v>
      </c>
      <c r="C204" s="415" t="s">
        <v>2673</v>
      </c>
      <c r="D204" s="415" t="s">
        <v>2684</v>
      </c>
      <c r="E204" s="415" t="s">
        <v>2262</v>
      </c>
      <c r="F204" s="415">
        <v>0</v>
      </c>
      <c r="G204" s="415" t="s">
        <v>2791</v>
      </c>
      <c r="H204" s="415">
        <v>3</v>
      </c>
      <c r="I204" s="415" t="s">
        <v>2822</v>
      </c>
      <c r="J204" s="415">
        <v>1</v>
      </c>
      <c r="K204" s="415">
        <v>3</v>
      </c>
      <c r="L204" s="415">
        <v>550</v>
      </c>
      <c r="M204" s="415">
        <v>380</v>
      </c>
      <c r="N204" s="415" t="s">
        <v>2675</v>
      </c>
      <c r="O204" s="415" t="s">
        <v>2675</v>
      </c>
      <c r="P204" s="415">
        <v>371</v>
      </c>
      <c r="Q204" s="415">
        <v>343</v>
      </c>
      <c r="R204" s="415" t="s">
        <v>2838</v>
      </c>
      <c r="S204" s="415" t="s">
        <v>2839</v>
      </c>
      <c r="T204" s="416">
        <v>158</v>
      </c>
      <c r="U204" s="416">
        <v>158</v>
      </c>
      <c r="V204" s="416">
        <v>158</v>
      </c>
      <c r="W204" s="416">
        <v>158</v>
      </c>
      <c r="X204" s="416">
        <v>157</v>
      </c>
      <c r="Y204" s="416">
        <v>156</v>
      </c>
      <c r="Z204" s="416">
        <v>154</v>
      </c>
      <c r="AA204" s="416">
        <v>154</v>
      </c>
      <c r="AB204" s="416">
        <v>154</v>
      </c>
      <c r="AC204" s="416">
        <v>154</v>
      </c>
      <c r="AD204" s="416">
        <v>151</v>
      </c>
      <c r="AE204" s="416">
        <v>132</v>
      </c>
      <c r="AF204" s="416">
        <v>0</v>
      </c>
      <c r="AG204" s="416">
        <v>0</v>
      </c>
      <c r="AH204" s="416">
        <v>0</v>
      </c>
      <c r="AI204" s="416">
        <v>0</v>
      </c>
      <c r="AJ204" s="416">
        <v>0</v>
      </c>
      <c r="AK204" s="416">
        <v>0</v>
      </c>
      <c r="AL204" s="416">
        <v>0</v>
      </c>
      <c r="AM204" s="416">
        <v>0</v>
      </c>
      <c r="AN204" s="416">
        <v>0</v>
      </c>
      <c r="AO204" s="416">
        <v>0</v>
      </c>
      <c r="AP204" s="416">
        <v>0</v>
      </c>
      <c r="AQ204" s="416">
        <v>0</v>
      </c>
      <c r="AR204" s="416">
        <v>0</v>
      </c>
      <c r="AS204" s="416">
        <v>0</v>
      </c>
      <c r="AT204" s="416">
        <v>0</v>
      </c>
      <c r="AU204" s="416">
        <v>0</v>
      </c>
      <c r="AV204" s="416">
        <v>0</v>
      </c>
      <c r="AW204" s="416">
        <v>0</v>
      </c>
      <c r="AX204" s="416">
        <v>0</v>
      </c>
      <c r="AY204" s="416">
        <v>0</v>
      </c>
      <c r="AZ204" s="416">
        <v>0</v>
      </c>
    </row>
    <row r="205" spans="1:52" s="411" customFormat="1" x14ac:dyDescent="0.3">
      <c r="A205" s="415" t="str">
        <f t="shared" si="3"/>
        <v>SA-537 Gr.0</v>
      </c>
      <c r="B205" s="415">
        <v>199</v>
      </c>
      <c r="C205" s="415" t="s">
        <v>2673</v>
      </c>
      <c r="D205" s="415" t="s">
        <v>2684</v>
      </c>
      <c r="E205" s="415" t="s">
        <v>2262</v>
      </c>
      <c r="F205" s="415">
        <v>0</v>
      </c>
      <c r="G205" s="415" t="s">
        <v>2791</v>
      </c>
      <c r="H205" s="415">
        <v>2</v>
      </c>
      <c r="I205" s="415" t="s">
        <v>2822</v>
      </c>
      <c r="J205" s="415">
        <v>1</v>
      </c>
      <c r="K205" s="415">
        <v>3</v>
      </c>
      <c r="L205" s="415">
        <v>550</v>
      </c>
      <c r="M205" s="415">
        <v>415</v>
      </c>
      <c r="N205" s="415" t="s">
        <v>2675</v>
      </c>
      <c r="O205" s="415">
        <v>371</v>
      </c>
      <c r="P205" s="415">
        <v>343</v>
      </c>
      <c r="Q205" s="415">
        <v>343</v>
      </c>
      <c r="R205" s="415" t="s">
        <v>2838</v>
      </c>
      <c r="S205" s="415" t="s">
        <v>2841</v>
      </c>
      <c r="T205" s="416">
        <v>158</v>
      </c>
      <c r="U205" s="416">
        <v>158</v>
      </c>
      <c r="V205" s="416">
        <v>158</v>
      </c>
      <c r="W205" s="416">
        <v>158</v>
      </c>
      <c r="X205" s="416">
        <v>157</v>
      </c>
      <c r="Y205" s="416">
        <v>156</v>
      </c>
      <c r="Z205" s="416">
        <v>154</v>
      </c>
      <c r="AA205" s="416">
        <v>154</v>
      </c>
      <c r="AB205" s="416">
        <v>154</v>
      </c>
      <c r="AC205" s="416">
        <v>154</v>
      </c>
      <c r="AD205" s="416">
        <v>151</v>
      </c>
      <c r="AE205" s="416">
        <v>132</v>
      </c>
      <c r="AF205" s="416">
        <v>0</v>
      </c>
      <c r="AG205" s="416">
        <v>0</v>
      </c>
      <c r="AH205" s="416">
        <v>0</v>
      </c>
      <c r="AI205" s="416">
        <v>0</v>
      </c>
      <c r="AJ205" s="416">
        <v>0</v>
      </c>
      <c r="AK205" s="416">
        <v>0</v>
      </c>
      <c r="AL205" s="416">
        <v>0</v>
      </c>
      <c r="AM205" s="416">
        <v>0</v>
      </c>
      <c r="AN205" s="416">
        <v>0</v>
      </c>
      <c r="AO205" s="416">
        <v>0</v>
      </c>
      <c r="AP205" s="416">
        <v>0</v>
      </c>
      <c r="AQ205" s="416">
        <v>0</v>
      </c>
      <c r="AR205" s="416">
        <v>0</v>
      </c>
      <c r="AS205" s="416">
        <v>0</v>
      </c>
      <c r="AT205" s="416">
        <v>0</v>
      </c>
      <c r="AU205" s="416">
        <v>0</v>
      </c>
      <c r="AV205" s="416">
        <v>0</v>
      </c>
      <c r="AW205" s="416">
        <v>0</v>
      </c>
      <c r="AX205" s="416">
        <v>0</v>
      </c>
      <c r="AY205" s="416">
        <v>0</v>
      </c>
      <c r="AZ205" s="416">
        <v>0</v>
      </c>
    </row>
    <row r="206" spans="1:52" s="411" customFormat="1" x14ac:dyDescent="0.3">
      <c r="A206" s="415" t="str">
        <f t="shared" si="3"/>
        <v>SA-671 Gr.CD80</v>
      </c>
      <c r="B206" s="415">
        <v>200</v>
      </c>
      <c r="C206" s="415" t="s">
        <v>2673</v>
      </c>
      <c r="D206" s="415" t="s">
        <v>2680</v>
      </c>
      <c r="E206" s="415" t="s">
        <v>2295</v>
      </c>
      <c r="F206" s="415" t="s">
        <v>2367</v>
      </c>
      <c r="G206" s="415" t="s">
        <v>2791</v>
      </c>
      <c r="H206" s="415">
        <v>0</v>
      </c>
      <c r="I206" s="415" t="s">
        <v>2822</v>
      </c>
      <c r="J206" s="415">
        <v>1</v>
      </c>
      <c r="K206" s="415">
        <v>3</v>
      </c>
      <c r="L206" s="415">
        <v>550</v>
      </c>
      <c r="M206" s="415">
        <v>415</v>
      </c>
      <c r="N206" s="415" t="s">
        <v>2675</v>
      </c>
      <c r="O206" s="415">
        <v>371</v>
      </c>
      <c r="P206" s="415" t="s">
        <v>2675</v>
      </c>
      <c r="Q206" s="415" t="s">
        <v>2675</v>
      </c>
      <c r="R206" s="415" t="s">
        <v>2838</v>
      </c>
      <c r="S206" s="415" t="s">
        <v>2712</v>
      </c>
      <c r="T206" s="416">
        <v>158</v>
      </c>
      <c r="U206" s="416">
        <v>158</v>
      </c>
      <c r="V206" s="416">
        <v>158</v>
      </c>
      <c r="W206" s="416">
        <v>158</v>
      </c>
      <c r="X206" s="416">
        <v>157</v>
      </c>
      <c r="Y206" s="416">
        <v>156</v>
      </c>
      <c r="Z206" s="416">
        <v>154</v>
      </c>
      <c r="AA206" s="416">
        <v>154</v>
      </c>
      <c r="AB206" s="416">
        <v>154</v>
      </c>
      <c r="AC206" s="416">
        <v>154</v>
      </c>
      <c r="AD206" s="416">
        <v>151</v>
      </c>
      <c r="AE206" s="416">
        <v>132</v>
      </c>
      <c r="AF206" s="416">
        <v>0</v>
      </c>
      <c r="AG206" s="416">
        <v>0</v>
      </c>
      <c r="AH206" s="416">
        <v>0</v>
      </c>
      <c r="AI206" s="416">
        <v>0</v>
      </c>
      <c r="AJ206" s="416">
        <v>0</v>
      </c>
      <c r="AK206" s="416">
        <v>0</v>
      </c>
      <c r="AL206" s="416">
        <v>0</v>
      </c>
      <c r="AM206" s="416">
        <v>0</v>
      </c>
      <c r="AN206" s="416">
        <v>0</v>
      </c>
      <c r="AO206" s="416">
        <v>0</v>
      </c>
      <c r="AP206" s="416">
        <v>0</v>
      </c>
      <c r="AQ206" s="416">
        <v>0</v>
      </c>
      <c r="AR206" s="416">
        <v>0</v>
      </c>
      <c r="AS206" s="416">
        <v>0</v>
      </c>
      <c r="AT206" s="416">
        <v>0</v>
      </c>
      <c r="AU206" s="416">
        <v>0</v>
      </c>
      <c r="AV206" s="416">
        <v>0</v>
      </c>
      <c r="AW206" s="416">
        <v>0</v>
      </c>
      <c r="AX206" s="416">
        <v>0</v>
      </c>
      <c r="AY206" s="416">
        <v>0</v>
      </c>
      <c r="AZ206" s="416">
        <v>0</v>
      </c>
    </row>
    <row r="207" spans="1:52" s="411" customFormat="1" x14ac:dyDescent="0.3">
      <c r="A207" s="415" t="str">
        <f t="shared" si="3"/>
        <v>SA-672 Gr.D80</v>
      </c>
      <c r="B207" s="415">
        <v>201</v>
      </c>
      <c r="C207" s="415" t="s">
        <v>2673</v>
      </c>
      <c r="D207" s="415" t="s">
        <v>2680</v>
      </c>
      <c r="E207" s="415" t="s">
        <v>2297</v>
      </c>
      <c r="F207" s="415" t="s">
        <v>2416</v>
      </c>
      <c r="G207" s="415" t="s">
        <v>2791</v>
      </c>
      <c r="H207" s="415">
        <v>0</v>
      </c>
      <c r="I207" s="415" t="s">
        <v>2822</v>
      </c>
      <c r="J207" s="415">
        <v>1</v>
      </c>
      <c r="K207" s="415">
        <v>3</v>
      </c>
      <c r="L207" s="415">
        <v>550</v>
      </c>
      <c r="M207" s="415">
        <v>415</v>
      </c>
      <c r="N207" s="415" t="s">
        <v>2675</v>
      </c>
      <c r="O207" s="415">
        <v>371</v>
      </c>
      <c r="P207" s="415" t="s">
        <v>2675</v>
      </c>
      <c r="Q207" s="415" t="s">
        <v>2675</v>
      </c>
      <c r="R207" s="415" t="s">
        <v>2838</v>
      </c>
      <c r="S207" s="415" t="s">
        <v>2712</v>
      </c>
      <c r="T207" s="416">
        <v>158</v>
      </c>
      <c r="U207" s="416">
        <v>158</v>
      </c>
      <c r="V207" s="416">
        <v>158</v>
      </c>
      <c r="W207" s="416">
        <v>158</v>
      </c>
      <c r="X207" s="416">
        <v>157</v>
      </c>
      <c r="Y207" s="416">
        <v>156</v>
      </c>
      <c r="Z207" s="416">
        <v>154</v>
      </c>
      <c r="AA207" s="416">
        <v>154</v>
      </c>
      <c r="AB207" s="416">
        <v>154</v>
      </c>
      <c r="AC207" s="416">
        <v>154</v>
      </c>
      <c r="AD207" s="416">
        <v>151</v>
      </c>
      <c r="AE207" s="416">
        <v>132</v>
      </c>
      <c r="AF207" s="416">
        <v>0</v>
      </c>
      <c r="AG207" s="416">
        <v>0</v>
      </c>
      <c r="AH207" s="416">
        <v>0</v>
      </c>
      <c r="AI207" s="416">
        <v>0</v>
      </c>
      <c r="AJ207" s="416">
        <v>0</v>
      </c>
      <c r="AK207" s="416">
        <v>0</v>
      </c>
      <c r="AL207" s="416">
        <v>0</v>
      </c>
      <c r="AM207" s="416">
        <v>0</v>
      </c>
      <c r="AN207" s="416">
        <v>0</v>
      </c>
      <c r="AO207" s="416">
        <v>0</v>
      </c>
      <c r="AP207" s="416">
        <v>0</v>
      </c>
      <c r="AQ207" s="416">
        <v>0</v>
      </c>
      <c r="AR207" s="416">
        <v>0</v>
      </c>
      <c r="AS207" s="416">
        <v>0</v>
      </c>
      <c r="AT207" s="416">
        <v>0</v>
      </c>
      <c r="AU207" s="416">
        <v>0</v>
      </c>
      <c r="AV207" s="416">
        <v>0</v>
      </c>
      <c r="AW207" s="416">
        <v>0</v>
      </c>
      <c r="AX207" s="416">
        <v>0</v>
      </c>
      <c r="AY207" s="416">
        <v>0</v>
      </c>
      <c r="AZ207" s="416">
        <v>0</v>
      </c>
    </row>
    <row r="208" spans="1:52" s="411" customFormat="1" x14ac:dyDescent="0.3">
      <c r="A208" s="415" t="str">
        <f t="shared" si="3"/>
        <v>SA-691 Gr.CMSH-80</v>
      </c>
      <c r="B208" s="415">
        <v>202</v>
      </c>
      <c r="C208" s="415" t="s">
        <v>2673</v>
      </c>
      <c r="D208" s="415" t="s">
        <v>2680</v>
      </c>
      <c r="E208" s="415" t="s">
        <v>2303</v>
      </c>
      <c r="F208" s="415" t="s">
        <v>2391</v>
      </c>
      <c r="G208" s="415" t="s">
        <v>2791</v>
      </c>
      <c r="H208" s="415">
        <v>0</v>
      </c>
      <c r="I208" s="415" t="s">
        <v>2822</v>
      </c>
      <c r="J208" s="415">
        <v>1</v>
      </c>
      <c r="K208" s="415">
        <v>3</v>
      </c>
      <c r="L208" s="415">
        <v>550</v>
      </c>
      <c r="M208" s="415">
        <v>415</v>
      </c>
      <c r="N208" s="415" t="s">
        <v>2675</v>
      </c>
      <c r="O208" s="415">
        <v>371</v>
      </c>
      <c r="P208" s="415" t="s">
        <v>2675</v>
      </c>
      <c r="Q208" s="415" t="s">
        <v>2675</v>
      </c>
      <c r="R208" s="415" t="s">
        <v>2838</v>
      </c>
      <c r="S208" s="415" t="s">
        <v>2712</v>
      </c>
      <c r="T208" s="416">
        <v>158</v>
      </c>
      <c r="U208" s="416">
        <v>158</v>
      </c>
      <c r="V208" s="416">
        <v>158</v>
      </c>
      <c r="W208" s="416">
        <v>158</v>
      </c>
      <c r="X208" s="416">
        <v>157</v>
      </c>
      <c r="Y208" s="416">
        <v>156</v>
      </c>
      <c r="Z208" s="416">
        <v>154</v>
      </c>
      <c r="AA208" s="416">
        <v>154</v>
      </c>
      <c r="AB208" s="416">
        <v>154</v>
      </c>
      <c r="AC208" s="416">
        <v>154</v>
      </c>
      <c r="AD208" s="416">
        <v>151</v>
      </c>
      <c r="AE208" s="416">
        <v>132</v>
      </c>
      <c r="AF208" s="416">
        <v>0</v>
      </c>
      <c r="AG208" s="416">
        <v>0</v>
      </c>
      <c r="AH208" s="416">
        <v>0</v>
      </c>
      <c r="AI208" s="416">
        <v>0</v>
      </c>
      <c r="AJ208" s="416">
        <v>0</v>
      </c>
      <c r="AK208" s="416">
        <v>0</v>
      </c>
      <c r="AL208" s="416">
        <v>0</v>
      </c>
      <c r="AM208" s="416">
        <v>0</v>
      </c>
      <c r="AN208" s="416">
        <v>0</v>
      </c>
      <c r="AO208" s="416">
        <v>0</v>
      </c>
      <c r="AP208" s="416">
        <v>0</v>
      </c>
      <c r="AQ208" s="416">
        <v>0</v>
      </c>
      <c r="AR208" s="416">
        <v>0</v>
      </c>
      <c r="AS208" s="416">
        <v>0</v>
      </c>
      <c r="AT208" s="416">
        <v>0</v>
      </c>
      <c r="AU208" s="416">
        <v>0</v>
      </c>
      <c r="AV208" s="416">
        <v>0</v>
      </c>
      <c r="AW208" s="416">
        <v>0</v>
      </c>
      <c r="AX208" s="416">
        <v>0</v>
      </c>
      <c r="AY208" s="416">
        <v>0</v>
      </c>
      <c r="AZ208" s="416">
        <v>0</v>
      </c>
    </row>
    <row r="209" spans="1:52" s="411" customFormat="1" x14ac:dyDescent="0.3">
      <c r="A209" s="415" t="str">
        <f t="shared" si="3"/>
        <v>SA-738 Gr.C</v>
      </c>
      <c r="B209" s="415">
        <v>203</v>
      </c>
      <c r="C209" s="415" t="s">
        <v>2673</v>
      </c>
      <c r="D209" s="415" t="s">
        <v>2684</v>
      </c>
      <c r="E209" s="415" t="s">
        <v>2315</v>
      </c>
      <c r="F209" s="415" t="s">
        <v>2348</v>
      </c>
      <c r="G209" s="415" t="s">
        <v>2821</v>
      </c>
      <c r="H209" s="415">
        <v>0</v>
      </c>
      <c r="I209" s="415" t="s">
        <v>2822</v>
      </c>
      <c r="J209" s="415">
        <v>1</v>
      </c>
      <c r="K209" s="415">
        <v>3</v>
      </c>
      <c r="L209" s="415">
        <v>550</v>
      </c>
      <c r="M209" s="415">
        <v>415</v>
      </c>
      <c r="N209" s="415" t="s">
        <v>2675</v>
      </c>
      <c r="O209" s="415">
        <v>343</v>
      </c>
      <c r="P209" s="415">
        <v>343</v>
      </c>
      <c r="Q209" s="415">
        <v>343</v>
      </c>
      <c r="R209" s="415" t="s">
        <v>2838</v>
      </c>
      <c r="S209" s="415" t="s">
        <v>2842</v>
      </c>
      <c r="T209" s="416">
        <v>158</v>
      </c>
      <c r="U209" s="416">
        <v>158</v>
      </c>
      <c r="V209" s="416">
        <v>158</v>
      </c>
      <c r="W209" s="416">
        <v>158</v>
      </c>
      <c r="X209" s="416">
        <v>157</v>
      </c>
      <c r="Y209" s="416">
        <v>156</v>
      </c>
      <c r="Z209" s="416">
        <v>154</v>
      </c>
      <c r="AA209" s="416">
        <v>154</v>
      </c>
      <c r="AB209" s="416">
        <v>154</v>
      </c>
      <c r="AC209" s="416">
        <v>154</v>
      </c>
      <c r="AD209" s="416">
        <v>151</v>
      </c>
      <c r="AE209" s="416">
        <v>0</v>
      </c>
      <c r="AF209" s="416">
        <v>0</v>
      </c>
      <c r="AG209" s="416">
        <v>0</v>
      </c>
      <c r="AH209" s="416">
        <v>0</v>
      </c>
      <c r="AI209" s="416">
        <v>0</v>
      </c>
      <c r="AJ209" s="416">
        <v>0</v>
      </c>
      <c r="AK209" s="416">
        <v>0</v>
      </c>
      <c r="AL209" s="416">
        <v>0</v>
      </c>
      <c r="AM209" s="416">
        <v>0</v>
      </c>
      <c r="AN209" s="416">
        <v>0</v>
      </c>
      <c r="AO209" s="416">
        <v>0</v>
      </c>
      <c r="AP209" s="416">
        <v>0</v>
      </c>
      <c r="AQ209" s="416">
        <v>0</v>
      </c>
      <c r="AR209" s="416">
        <v>0</v>
      </c>
      <c r="AS209" s="416">
        <v>0</v>
      </c>
      <c r="AT209" s="416">
        <v>0</v>
      </c>
      <c r="AU209" s="416">
        <v>0</v>
      </c>
      <c r="AV209" s="416">
        <v>0</v>
      </c>
      <c r="AW209" s="416">
        <v>0</v>
      </c>
      <c r="AX209" s="416">
        <v>0</v>
      </c>
      <c r="AY209" s="416">
        <v>0</v>
      </c>
      <c r="AZ209" s="416">
        <v>0</v>
      </c>
    </row>
    <row r="210" spans="1:52" s="411" customFormat="1" x14ac:dyDescent="0.3">
      <c r="A210" s="415" t="str">
        <f t="shared" si="3"/>
        <v>SA-612 Gr.0</v>
      </c>
      <c r="B210" s="415">
        <v>204</v>
      </c>
      <c r="C210" s="415" t="s">
        <v>2673</v>
      </c>
      <c r="D210" s="415" t="s">
        <v>2684</v>
      </c>
      <c r="E210" s="415" t="s">
        <v>2281</v>
      </c>
      <c r="F210" s="415">
        <v>0</v>
      </c>
      <c r="G210" s="415" t="s">
        <v>2843</v>
      </c>
      <c r="H210" s="415">
        <v>0</v>
      </c>
      <c r="I210" s="415" t="s">
        <v>2844</v>
      </c>
      <c r="J210" s="415" t="s">
        <v>2845</v>
      </c>
      <c r="K210" s="415">
        <v>1</v>
      </c>
      <c r="L210" s="415">
        <v>560</v>
      </c>
      <c r="M210" s="415">
        <v>345</v>
      </c>
      <c r="N210" s="415" t="s">
        <v>2675</v>
      </c>
      <c r="O210" s="415">
        <v>371</v>
      </c>
      <c r="P210" s="415">
        <v>343</v>
      </c>
      <c r="Q210" s="415">
        <v>343</v>
      </c>
      <c r="R210" s="415" t="s">
        <v>2819</v>
      </c>
      <c r="S210" s="415" t="s">
        <v>2535</v>
      </c>
      <c r="T210" s="416">
        <v>159</v>
      </c>
      <c r="U210" s="416">
        <v>159</v>
      </c>
      <c r="V210" s="416">
        <v>159</v>
      </c>
      <c r="W210" s="416">
        <v>159</v>
      </c>
      <c r="X210" s="416">
        <v>158</v>
      </c>
      <c r="Y210" s="416">
        <v>157</v>
      </c>
      <c r="Z210" s="416">
        <v>156</v>
      </c>
      <c r="AA210" s="416">
        <v>156</v>
      </c>
      <c r="AB210" s="416">
        <v>155</v>
      </c>
      <c r="AC210" s="416">
        <v>155</v>
      </c>
      <c r="AD210" s="416">
        <v>149</v>
      </c>
      <c r="AE210" s="416">
        <v>133</v>
      </c>
      <c r="AF210" s="416">
        <v>0</v>
      </c>
      <c r="AG210" s="416">
        <v>0</v>
      </c>
      <c r="AH210" s="416">
        <v>0</v>
      </c>
      <c r="AI210" s="416">
        <v>0</v>
      </c>
      <c r="AJ210" s="416">
        <v>0</v>
      </c>
      <c r="AK210" s="416">
        <v>0</v>
      </c>
      <c r="AL210" s="416">
        <v>0</v>
      </c>
      <c r="AM210" s="416">
        <v>0</v>
      </c>
      <c r="AN210" s="416">
        <v>0</v>
      </c>
      <c r="AO210" s="416">
        <v>0</v>
      </c>
      <c r="AP210" s="416">
        <v>0</v>
      </c>
      <c r="AQ210" s="416">
        <v>0</v>
      </c>
      <c r="AR210" s="416">
        <v>0</v>
      </c>
      <c r="AS210" s="416">
        <v>0</v>
      </c>
      <c r="AT210" s="416">
        <v>0</v>
      </c>
      <c r="AU210" s="416">
        <v>0</v>
      </c>
      <c r="AV210" s="416">
        <v>0</v>
      </c>
      <c r="AW210" s="416">
        <v>0</v>
      </c>
      <c r="AX210" s="416">
        <v>0</v>
      </c>
      <c r="AY210" s="416">
        <v>0</v>
      </c>
      <c r="AZ210" s="416">
        <v>0</v>
      </c>
    </row>
    <row r="211" spans="1:52" s="411" customFormat="1" x14ac:dyDescent="0.3">
      <c r="A211" s="415" t="str">
        <f t="shared" si="3"/>
        <v>SA-612 Gr.0</v>
      </c>
      <c r="B211" s="415">
        <v>205</v>
      </c>
      <c r="C211" s="415" t="s">
        <v>2673</v>
      </c>
      <c r="D211" s="415" t="s">
        <v>2684</v>
      </c>
      <c r="E211" s="415" t="s">
        <v>2281</v>
      </c>
      <c r="F211" s="415">
        <v>0</v>
      </c>
      <c r="G211" s="415" t="s">
        <v>2843</v>
      </c>
      <c r="H211" s="415">
        <v>0</v>
      </c>
      <c r="I211" s="415" t="s">
        <v>2846</v>
      </c>
      <c r="J211" s="415" t="s">
        <v>2845</v>
      </c>
      <c r="K211" s="415">
        <v>1</v>
      </c>
      <c r="L211" s="415">
        <v>570</v>
      </c>
      <c r="M211" s="415">
        <v>345</v>
      </c>
      <c r="N211" s="415" t="s">
        <v>2675</v>
      </c>
      <c r="O211" s="415">
        <v>343</v>
      </c>
      <c r="P211" s="415">
        <v>343</v>
      </c>
      <c r="Q211" s="415">
        <v>343</v>
      </c>
      <c r="R211" s="415" t="s">
        <v>2819</v>
      </c>
      <c r="S211" s="415">
        <v>0</v>
      </c>
      <c r="T211" s="416">
        <v>163</v>
      </c>
      <c r="U211" s="416">
        <v>163</v>
      </c>
      <c r="V211" s="416">
        <v>163</v>
      </c>
      <c r="W211" s="416">
        <v>163</v>
      </c>
      <c r="X211" s="416">
        <v>162</v>
      </c>
      <c r="Y211" s="416">
        <v>161</v>
      </c>
      <c r="Z211" s="416">
        <v>160</v>
      </c>
      <c r="AA211" s="416">
        <v>160</v>
      </c>
      <c r="AB211" s="416">
        <v>157</v>
      </c>
      <c r="AC211" s="416">
        <v>154</v>
      </c>
      <c r="AD211" s="416">
        <v>151</v>
      </c>
      <c r="AE211" s="416">
        <v>0</v>
      </c>
      <c r="AF211" s="416">
        <v>0</v>
      </c>
      <c r="AG211" s="416">
        <v>0</v>
      </c>
      <c r="AH211" s="416">
        <v>0</v>
      </c>
      <c r="AI211" s="416">
        <v>0</v>
      </c>
      <c r="AJ211" s="416">
        <v>0</v>
      </c>
      <c r="AK211" s="416">
        <v>0</v>
      </c>
      <c r="AL211" s="416">
        <v>0</v>
      </c>
      <c r="AM211" s="416">
        <v>0</v>
      </c>
      <c r="AN211" s="416">
        <v>0</v>
      </c>
      <c r="AO211" s="416">
        <v>0</v>
      </c>
      <c r="AP211" s="416">
        <v>0</v>
      </c>
      <c r="AQ211" s="416">
        <v>0</v>
      </c>
      <c r="AR211" s="416">
        <v>0</v>
      </c>
      <c r="AS211" s="416">
        <v>0</v>
      </c>
      <c r="AT211" s="416">
        <v>0</v>
      </c>
      <c r="AU211" s="416">
        <v>0</v>
      </c>
      <c r="AV211" s="416">
        <v>0</v>
      </c>
      <c r="AW211" s="416">
        <v>0</v>
      </c>
      <c r="AX211" s="416">
        <v>0</v>
      </c>
      <c r="AY211" s="416">
        <v>0</v>
      </c>
      <c r="AZ211" s="416">
        <v>0</v>
      </c>
    </row>
    <row r="212" spans="1:52" s="411" customFormat="1" x14ac:dyDescent="0.3">
      <c r="A212" s="415" t="str">
        <f t="shared" si="3"/>
        <v>SA-738 Gr.B</v>
      </c>
      <c r="B212" s="415">
        <v>206</v>
      </c>
      <c r="C212" s="415" t="s">
        <v>2673</v>
      </c>
      <c r="D212" s="415" t="s">
        <v>2684</v>
      </c>
      <c r="E212" s="415" t="s">
        <v>2315</v>
      </c>
      <c r="F212" s="415" t="s">
        <v>1864</v>
      </c>
      <c r="G212" s="415" t="s">
        <v>2847</v>
      </c>
      <c r="H212" s="415">
        <v>0</v>
      </c>
      <c r="I212" s="415">
        <v>0</v>
      </c>
      <c r="J212" s="415">
        <v>1</v>
      </c>
      <c r="K212" s="415">
        <v>3</v>
      </c>
      <c r="L212" s="415">
        <v>585</v>
      </c>
      <c r="M212" s="415">
        <v>415</v>
      </c>
      <c r="N212" s="415" t="s">
        <v>2675</v>
      </c>
      <c r="O212" s="415">
        <v>343</v>
      </c>
      <c r="P212" s="415">
        <v>343</v>
      </c>
      <c r="Q212" s="415">
        <v>343</v>
      </c>
      <c r="R212" s="415" t="s">
        <v>2838</v>
      </c>
      <c r="S212" s="415" t="s">
        <v>2848</v>
      </c>
      <c r="T212" s="416">
        <v>168</v>
      </c>
      <c r="U212" s="416">
        <v>168</v>
      </c>
      <c r="V212" s="416">
        <v>168</v>
      </c>
      <c r="W212" s="416">
        <v>168</v>
      </c>
      <c r="X212" s="416">
        <v>168</v>
      </c>
      <c r="Y212" s="416">
        <v>168</v>
      </c>
      <c r="Z212" s="416">
        <v>168</v>
      </c>
      <c r="AA212" s="416">
        <v>168</v>
      </c>
      <c r="AB212" s="416">
        <v>167</v>
      </c>
      <c r="AC212" s="416">
        <v>165</v>
      </c>
      <c r="AD212" s="416">
        <v>163</v>
      </c>
      <c r="AE212" s="416">
        <v>0</v>
      </c>
      <c r="AF212" s="416">
        <v>0</v>
      </c>
      <c r="AG212" s="416">
        <v>0</v>
      </c>
      <c r="AH212" s="416">
        <v>0</v>
      </c>
      <c r="AI212" s="416">
        <v>0</v>
      </c>
      <c r="AJ212" s="416">
        <v>0</v>
      </c>
      <c r="AK212" s="416">
        <v>0</v>
      </c>
      <c r="AL212" s="416">
        <v>0</v>
      </c>
      <c r="AM212" s="416">
        <v>0</v>
      </c>
      <c r="AN212" s="416">
        <v>0</v>
      </c>
      <c r="AO212" s="416">
        <v>0</v>
      </c>
      <c r="AP212" s="416">
        <v>0</v>
      </c>
      <c r="AQ212" s="416">
        <v>0</v>
      </c>
      <c r="AR212" s="416">
        <v>0</v>
      </c>
      <c r="AS212" s="416">
        <v>0</v>
      </c>
      <c r="AT212" s="416">
        <v>0</v>
      </c>
      <c r="AU212" s="416">
        <v>0</v>
      </c>
      <c r="AV212" s="416">
        <v>0</v>
      </c>
      <c r="AW212" s="416">
        <v>0</v>
      </c>
      <c r="AX212" s="416">
        <v>0</v>
      </c>
      <c r="AY212" s="416">
        <v>0</v>
      </c>
      <c r="AZ212" s="416">
        <v>0</v>
      </c>
    </row>
    <row r="213" spans="1:52" s="411" customFormat="1" x14ac:dyDescent="0.3">
      <c r="A213" s="415" t="str">
        <f t="shared" si="3"/>
        <v>SA-372 Gr.C</v>
      </c>
      <c r="B213" s="415">
        <v>207</v>
      </c>
      <c r="C213" s="415" t="s">
        <v>2673</v>
      </c>
      <c r="D213" s="415" t="s">
        <v>2737</v>
      </c>
      <c r="E213" s="415" t="s">
        <v>2223</v>
      </c>
      <c r="F213" s="415" t="s">
        <v>2348</v>
      </c>
      <c r="G213" s="415" t="s">
        <v>2849</v>
      </c>
      <c r="H213" s="415">
        <v>0</v>
      </c>
      <c r="I213" s="415">
        <v>0</v>
      </c>
      <c r="J213" s="415">
        <v>0</v>
      </c>
      <c r="K213" s="415">
        <v>0</v>
      </c>
      <c r="L213" s="415">
        <v>620</v>
      </c>
      <c r="M213" s="415">
        <v>380</v>
      </c>
      <c r="N213" s="415" t="s">
        <v>2675</v>
      </c>
      <c r="O213" s="415" t="s">
        <v>2675</v>
      </c>
      <c r="P213" s="415">
        <v>343</v>
      </c>
      <c r="Q213" s="415">
        <v>343</v>
      </c>
      <c r="R213" s="415" t="s">
        <v>2819</v>
      </c>
      <c r="S213" s="415" t="s">
        <v>2835</v>
      </c>
      <c r="T213" s="416">
        <v>177</v>
      </c>
      <c r="U213" s="416">
        <v>177</v>
      </c>
      <c r="V213" s="416">
        <v>177</v>
      </c>
      <c r="W213" s="416">
        <v>177</v>
      </c>
      <c r="X213" s="416">
        <v>177</v>
      </c>
      <c r="Y213" s="416">
        <v>177</v>
      </c>
      <c r="Z213" s="416">
        <v>177</v>
      </c>
      <c r="AA213" s="416">
        <v>177</v>
      </c>
      <c r="AB213" s="416">
        <v>177</v>
      </c>
      <c r="AC213" s="416">
        <v>175</v>
      </c>
      <c r="AD213" s="416">
        <v>166</v>
      </c>
      <c r="AE213" s="416">
        <v>0</v>
      </c>
      <c r="AF213" s="416">
        <v>0</v>
      </c>
      <c r="AG213" s="416">
        <v>0</v>
      </c>
      <c r="AH213" s="416">
        <v>0</v>
      </c>
      <c r="AI213" s="416">
        <v>0</v>
      </c>
      <c r="AJ213" s="416">
        <v>0</v>
      </c>
      <c r="AK213" s="416">
        <v>0</v>
      </c>
      <c r="AL213" s="416">
        <v>0</v>
      </c>
      <c r="AM213" s="416">
        <v>0</v>
      </c>
      <c r="AN213" s="416">
        <v>0</v>
      </c>
      <c r="AO213" s="416">
        <v>0</v>
      </c>
      <c r="AP213" s="416">
        <v>0</v>
      </c>
      <c r="AQ213" s="416">
        <v>0</v>
      </c>
      <c r="AR213" s="416">
        <v>0</v>
      </c>
      <c r="AS213" s="416">
        <v>0</v>
      </c>
      <c r="AT213" s="416">
        <v>0</v>
      </c>
      <c r="AU213" s="416">
        <v>0</v>
      </c>
      <c r="AV213" s="416">
        <v>0</v>
      </c>
      <c r="AW213" s="416">
        <v>0</v>
      </c>
      <c r="AX213" s="416">
        <v>0</v>
      </c>
      <c r="AY213" s="416">
        <v>0</v>
      </c>
      <c r="AZ213" s="416">
        <v>0</v>
      </c>
    </row>
    <row r="214" spans="1:52" s="411" customFormat="1" x14ac:dyDescent="0.3">
      <c r="A214" s="415" t="str">
        <f t="shared" si="3"/>
        <v>SA-724 Gr.A</v>
      </c>
      <c r="B214" s="415">
        <v>208</v>
      </c>
      <c r="C214" s="415" t="s">
        <v>2673</v>
      </c>
      <c r="D214" s="415" t="s">
        <v>2684</v>
      </c>
      <c r="E214" s="415" t="s">
        <v>2307</v>
      </c>
      <c r="F214" s="415" t="s">
        <v>12</v>
      </c>
      <c r="G214" s="415" t="s">
        <v>2850</v>
      </c>
      <c r="H214" s="415">
        <v>0</v>
      </c>
      <c r="I214" s="415">
        <v>0</v>
      </c>
      <c r="J214" s="415">
        <v>1</v>
      </c>
      <c r="K214" s="415">
        <v>4</v>
      </c>
      <c r="L214" s="415">
        <v>620</v>
      </c>
      <c r="M214" s="415">
        <v>485</v>
      </c>
      <c r="N214" s="415" t="s">
        <v>2675</v>
      </c>
      <c r="O214" s="415" t="s">
        <v>2675</v>
      </c>
      <c r="P214" s="415">
        <v>371</v>
      </c>
      <c r="Q214" s="415">
        <v>343</v>
      </c>
      <c r="R214" s="415" t="s">
        <v>2838</v>
      </c>
      <c r="S214" s="415">
        <v>0</v>
      </c>
      <c r="T214" s="416">
        <v>177</v>
      </c>
      <c r="U214" s="416">
        <v>177</v>
      </c>
      <c r="V214" s="416">
        <v>177</v>
      </c>
      <c r="W214" s="416">
        <v>177</v>
      </c>
      <c r="X214" s="416">
        <v>176</v>
      </c>
      <c r="Y214" s="416">
        <v>175</v>
      </c>
      <c r="Z214" s="416">
        <v>173</v>
      </c>
      <c r="AA214" s="416">
        <v>173</v>
      </c>
      <c r="AB214" s="416">
        <v>173</v>
      </c>
      <c r="AC214" s="416">
        <v>173</v>
      </c>
      <c r="AD214" s="416">
        <v>165</v>
      </c>
      <c r="AE214" s="416">
        <v>148</v>
      </c>
      <c r="AF214" s="416">
        <v>0</v>
      </c>
      <c r="AG214" s="416">
        <v>0</v>
      </c>
      <c r="AH214" s="416">
        <v>0</v>
      </c>
      <c r="AI214" s="416">
        <v>0</v>
      </c>
      <c r="AJ214" s="416">
        <v>0</v>
      </c>
      <c r="AK214" s="416">
        <v>0</v>
      </c>
      <c r="AL214" s="416">
        <v>0</v>
      </c>
      <c r="AM214" s="416">
        <v>0</v>
      </c>
      <c r="AN214" s="416">
        <v>0</v>
      </c>
      <c r="AO214" s="416">
        <v>0</v>
      </c>
      <c r="AP214" s="416">
        <v>0</v>
      </c>
      <c r="AQ214" s="416">
        <v>0</v>
      </c>
      <c r="AR214" s="416">
        <v>0</v>
      </c>
      <c r="AS214" s="416">
        <v>0</v>
      </c>
      <c r="AT214" s="416">
        <v>0</v>
      </c>
      <c r="AU214" s="416">
        <v>0</v>
      </c>
      <c r="AV214" s="416">
        <v>0</v>
      </c>
      <c r="AW214" s="416">
        <v>0</v>
      </c>
      <c r="AX214" s="416">
        <v>0</v>
      </c>
      <c r="AY214" s="416">
        <v>0</v>
      </c>
      <c r="AZ214" s="416">
        <v>0</v>
      </c>
    </row>
    <row r="215" spans="1:52" s="411" customFormat="1" x14ac:dyDescent="0.3">
      <c r="A215" s="415" t="str">
        <f t="shared" si="3"/>
        <v>SA-724 Gr.C</v>
      </c>
      <c r="B215" s="415">
        <v>209</v>
      </c>
      <c r="C215" s="415" t="s">
        <v>2673</v>
      </c>
      <c r="D215" s="415" t="s">
        <v>2684</v>
      </c>
      <c r="E215" s="415" t="s">
        <v>2307</v>
      </c>
      <c r="F215" s="415" t="s">
        <v>2348</v>
      </c>
      <c r="G215" s="415" t="s">
        <v>2851</v>
      </c>
      <c r="H215" s="415">
        <v>0</v>
      </c>
      <c r="I215" s="415">
        <v>0</v>
      </c>
      <c r="J215" s="415">
        <v>1</v>
      </c>
      <c r="K215" s="415">
        <v>4</v>
      </c>
      <c r="L215" s="415">
        <v>620</v>
      </c>
      <c r="M215" s="415">
        <v>485</v>
      </c>
      <c r="N215" s="415" t="s">
        <v>2675</v>
      </c>
      <c r="O215" s="415" t="s">
        <v>2675</v>
      </c>
      <c r="P215" s="415">
        <v>371</v>
      </c>
      <c r="Q215" s="415">
        <v>343</v>
      </c>
      <c r="R215" s="415" t="s">
        <v>2838</v>
      </c>
      <c r="S215" s="415">
        <v>0</v>
      </c>
      <c r="T215" s="416">
        <v>177</v>
      </c>
      <c r="U215" s="416">
        <v>177</v>
      </c>
      <c r="V215" s="416">
        <v>177</v>
      </c>
      <c r="W215" s="416">
        <v>177</v>
      </c>
      <c r="X215" s="416">
        <v>176</v>
      </c>
      <c r="Y215" s="416">
        <v>175</v>
      </c>
      <c r="Z215" s="416">
        <v>173</v>
      </c>
      <c r="AA215" s="416">
        <v>173</v>
      </c>
      <c r="AB215" s="416">
        <v>173</v>
      </c>
      <c r="AC215" s="416">
        <v>173</v>
      </c>
      <c r="AD215" s="416">
        <v>165</v>
      </c>
      <c r="AE215" s="416">
        <v>148</v>
      </c>
      <c r="AF215" s="416">
        <v>0</v>
      </c>
      <c r="AG215" s="416">
        <v>0</v>
      </c>
      <c r="AH215" s="416">
        <v>0</v>
      </c>
      <c r="AI215" s="416">
        <v>0</v>
      </c>
      <c r="AJ215" s="416">
        <v>0</v>
      </c>
      <c r="AK215" s="416">
        <v>0</v>
      </c>
      <c r="AL215" s="416">
        <v>0</v>
      </c>
      <c r="AM215" s="416">
        <v>0</v>
      </c>
      <c r="AN215" s="416">
        <v>0</v>
      </c>
      <c r="AO215" s="416">
        <v>0</v>
      </c>
      <c r="AP215" s="416">
        <v>0</v>
      </c>
      <c r="AQ215" s="416">
        <v>0</v>
      </c>
      <c r="AR215" s="416">
        <v>0</v>
      </c>
      <c r="AS215" s="416">
        <v>0</v>
      </c>
      <c r="AT215" s="416">
        <v>0</v>
      </c>
      <c r="AU215" s="416">
        <v>0</v>
      </c>
      <c r="AV215" s="416">
        <v>0</v>
      </c>
      <c r="AW215" s="416">
        <v>0</v>
      </c>
      <c r="AX215" s="416">
        <v>0</v>
      </c>
      <c r="AY215" s="416">
        <v>0</v>
      </c>
      <c r="AZ215" s="416">
        <v>0</v>
      </c>
    </row>
    <row r="216" spans="1:52" s="411" customFormat="1" x14ac:dyDescent="0.3">
      <c r="A216" s="415" t="str">
        <f t="shared" si="3"/>
        <v>SA-724 Gr.B</v>
      </c>
      <c r="B216" s="415">
        <v>210</v>
      </c>
      <c r="C216" s="415" t="s">
        <v>2673</v>
      </c>
      <c r="D216" s="415" t="s">
        <v>2684</v>
      </c>
      <c r="E216" s="415" t="s">
        <v>2307</v>
      </c>
      <c r="F216" s="415" t="s">
        <v>1864</v>
      </c>
      <c r="G216" s="415" t="s">
        <v>2852</v>
      </c>
      <c r="H216" s="415">
        <v>0</v>
      </c>
      <c r="I216" s="415">
        <v>0</v>
      </c>
      <c r="J216" s="415">
        <v>1</v>
      </c>
      <c r="K216" s="415">
        <v>4</v>
      </c>
      <c r="L216" s="415">
        <v>655</v>
      </c>
      <c r="M216" s="415">
        <v>515</v>
      </c>
      <c r="N216" s="415" t="s">
        <v>2675</v>
      </c>
      <c r="O216" s="415" t="s">
        <v>2675</v>
      </c>
      <c r="P216" s="415">
        <v>371</v>
      </c>
      <c r="Q216" s="415">
        <v>343</v>
      </c>
      <c r="R216" s="415" t="s">
        <v>2838</v>
      </c>
      <c r="S216" s="415">
        <v>0</v>
      </c>
      <c r="T216" s="416">
        <v>187</v>
      </c>
      <c r="U216" s="416">
        <v>187</v>
      </c>
      <c r="V216" s="416">
        <v>187</v>
      </c>
      <c r="W216" s="416">
        <v>187</v>
      </c>
      <c r="X216" s="416">
        <v>186</v>
      </c>
      <c r="Y216" s="416">
        <v>185</v>
      </c>
      <c r="Z216" s="416">
        <v>183</v>
      </c>
      <c r="AA216" s="416">
        <v>183</v>
      </c>
      <c r="AB216" s="416">
        <v>183</v>
      </c>
      <c r="AC216" s="416">
        <v>179</v>
      </c>
      <c r="AD216" s="416">
        <v>165</v>
      </c>
      <c r="AE216" s="416">
        <v>158</v>
      </c>
      <c r="AF216" s="416">
        <v>0</v>
      </c>
      <c r="AG216" s="416">
        <v>0</v>
      </c>
      <c r="AH216" s="416">
        <v>0</v>
      </c>
      <c r="AI216" s="416">
        <v>0</v>
      </c>
      <c r="AJ216" s="416">
        <v>0</v>
      </c>
      <c r="AK216" s="416">
        <v>0</v>
      </c>
      <c r="AL216" s="416">
        <v>0</v>
      </c>
      <c r="AM216" s="416">
        <v>0</v>
      </c>
      <c r="AN216" s="416">
        <v>0</v>
      </c>
      <c r="AO216" s="416">
        <v>0</v>
      </c>
      <c r="AP216" s="416">
        <v>0</v>
      </c>
      <c r="AQ216" s="416">
        <v>0</v>
      </c>
      <c r="AR216" s="416">
        <v>0</v>
      </c>
      <c r="AS216" s="416">
        <v>0</v>
      </c>
      <c r="AT216" s="416">
        <v>0</v>
      </c>
      <c r="AU216" s="416">
        <v>0</v>
      </c>
      <c r="AV216" s="416">
        <v>0</v>
      </c>
      <c r="AW216" s="416">
        <v>0</v>
      </c>
      <c r="AX216" s="416">
        <v>0</v>
      </c>
      <c r="AY216" s="416">
        <v>0</v>
      </c>
      <c r="AZ216" s="416">
        <v>0</v>
      </c>
    </row>
    <row r="217" spans="1:52" s="411" customFormat="1" x14ac:dyDescent="0.3">
      <c r="A217" s="415" t="str">
        <f t="shared" si="3"/>
        <v>SA-737 Gr.B</v>
      </c>
      <c r="B217" s="415">
        <v>211</v>
      </c>
      <c r="C217" s="415" t="s">
        <v>2853</v>
      </c>
      <c r="D217" s="415" t="s">
        <v>2684</v>
      </c>
      <c r="E217" s="415" t="s">
        <v>2313</v>
      </c>
      <c r="F217" s="415" t="s">
        <v>1864</v>
      </c>
      <c r="G217" s="415" t="s">
        <v>2854</v>
      </c>
      <c r="H217" s="415">
        <v>0</v>
      </c>
      <c r="I217" s="415">
        <v>0</v>
      </c>
      <c r="J217" s="415">
        <v>1</v>
      </c>
      <c r="K217" s="415">
        <v>2</v>
      </c>
      <c r="L217" s="415">
        <v>485</v>
      </c>
      <c r="M217" s="415">
        <v>345</v>
      </c>
      <c r="N217" s="415" t="s">
        <v>2675</v>
      </c>
      <c r="O217" s="415">
        <v>371</v>
      </c>
      <c r="P217" s="415">
        <v>371</v>
      </c>
      <c r="Q217" s="415">
        <v>343</v>
      </c>
      <c r="R217" s="415" t="s">
        <v>2819</v>
      </c>
      <c r="S217" s="415" t="s">
        <v>2855</v>
      </c>
      <c r="T217" s="416">
        <v>138</v>
      </c>
      <c r="U217" s="416">
        <v>138</v>
      </c>
      <c r="V217" s="416">
        <v>138</v>
      </c>
      <c r="W217" s="416">
        <v>138</v>
      </c>
      <c r="X217" s="416">
        <v>138</v>
      </c>
      <c r="Y217" s="416">
        <v>138</v>
      </c>
      <c r="Z217" s="416">
        <v>138</v>
      </c>
      <c r="AA217" s="416">
        <v>138</v>
      </c>
      <c r="AB217" s="416">
        <v>138</v>
      </c>
      <c r="AC217" s="416">
        <v>138</v>
      </c>
      <c r="AD217" s="416">
        <v>138</v>
      </c>
      <c r="AE217" s="416">
        <v>135</v>
      </c>
      <c r="AF217" s="416">
        <v>0</v>
      </c>
      <c r="AG217" s="416">
        <v>0</v>
      </c>
      <c r="AH217" s="416">
        <v>0</v>
      </c>
      <c r="AI217" s="416">
        <v>0</v>
      </c>
      <c r="AJ217" s="416">
        <v>0</v>
      </c>
      <c r="AK217" s="416">
        <v>0</v>
      </c>
      <c r="AL217" s="416">
        <v>0</v>
      </c>
      <c r="AM217" s="416">
        <v>0</v>
      </c>
      <c r="AN217" s="416">
        <v>0</v>
      </c>
      <c r="AO217" s="416">
        <v>0</v>
      </c>
      <c r="AP217" s="416">
        <v>0</v>
      </c>
      <c r="AQ217" s="416">
        <v>0</v>
      </c>
      <c r="AR217" s="416">
        <v>0</v>
      </c>
      <c r="AS217" s="416">
        <v>0</v>
      </c>
      <c r="AT217" s="416">
        <v>0</v>
      </c>
      <c r="AU217" s="416">
        <v>0</v>
      </c>
      <c r="AV217" s="416">
        <v>0</v>
      </c>
      <c r="AW217" s="416">
        <v>0</v>
      </c>
      <c r="AX217" s="416">
        <v>0</v>
      </c>
      <c r="AY217" s="416">
        <v>0</v>
      </c>
      <c r="AZ217" s="416">
        <v>0</v>
      </c>
    </row>
    <row r="218" spans="1:52" s="411" customFormat="1" x14ac:dyDescent="0.3">
      <c r="A218" s="415" t="str">
        <f t="shared" si="3"/>
        <v>SA/AS 1548 Gr.5-490A</v>
      </c>
      <c r="B218" s="415">
        <v>212</v>
      </c>
      <c r="C218" s="415" t="s">
        <v>2853</v>
      </c>
      <c r="D218" s="415" t="s">
        <v>2684</v>
      </c>
      <c r="E218" s="415" t="s">
        <v>2150</v>
      </c>
      <c r="F218" s="415" t="s">
        <v>2294</v>
      </c>
      <c r="G218" s="415">
        <v>0</v>
      </c>
      <c r="H218" s="415" t="s">
        <v>2776</v>
      </c>
      <c r="I218" s="415" t="s">
        <v>2777</v>
      </c>
      <c r="J218" s="415">
        <v>1</v>
      </c>
      <c r="K218" s="415">
        <v>2</v>
      </c>
      <c r="L218" s="415">
        <v>490</v>
      </c>
      <c r="M218" s="415">
        <v>0</v>
      </c>
      <c r="N218" s="415">
        <v>538</v>
      </c>
      <c r="O218" s="415" t="s">
        <v>2675</v>
      </c>
      <c r="P218" s="415" t="s">
        <v>2675</v>
      </c>
      <c r="Q218" s="415" t="s">
        <v>2675</v>
      </c>
      <c r="R218" s="415" t="s">
        <v>2699</v>
      </c>
      <c r="S218" s="415" t="s">
        <v>2778</v>
      </c>
      <c r="T218" s="416">
        <v>140</v>
      </c>
      <c r="U218" s="416">
        <v>140</v>
      </c>
      <c r="V218" s="416">
        <v>140</v>
      </c>
      <c r="W218" s="416">
        <v>140</v>
      </c>
      <c r="X218" s="416">
        <v>140</v>
      </c>
      <c r="Y218" s="416">
        <v>140</v>
      </c>
      <c r="Z218" s="416">
        <v>140</v>
      </c>
      <c r="AA218" s="416">
        <v>140</v>
      </c>
      <c r="AB218" s="416">
        <v>140</v>
      </c>
      <c r="AC218" s="416">
        <v>140</v>
      </c>
      <c r="AD218" s="416">
        <v>139</v>
      </c>
      <c r="AE218" s="416">
        <v>123</v>
      </c>
      <c r="AF218" s="416">
        <v>101</v>
      </c>
      <c r="AG218" s="416">
        <v>83.8</v>
      </c>
      <c r="AH218" s="416">
        <v>67</v>
      </c>
      <c r="AI218" s="416">
        <v>51</v>
      </c>
      <c r="AJ218" s="416">
        <v>33.6</v>
      </c>
      <c r="AK218" s="416">
        <v>21.3</v>
      </c>
      <c r="AL218" s="416">
        <v>12.9</v>
      </c>
      <c r="AM218" s="416">
        <v>0</v>
      </c>
      <c r="AN218" s="416">
        <v>0</v>
      </c>
      <c r="AO218" s="416">
        <v>0</v>
      </c>
      <c r="AP218" s="416">
        <v>0</v>
      </c>
      <c r="AQ218" s="416">
        <v>0</v>
      </c>
      <c r="AR218" s="416">
        <v>0</v>
      </c>
      <c r="AS218" s="416">
        <v>0</v>
      </c>
      <c r="AT218" s="416">
        <v>0</v>
      </c>
      <c r="AU218" s="416">
        <v>0</v>
      </c>
      <c r="AV218" s="416">
        <v>0</v>
      </c>
      <c r="AW218" s="416">
        <v>0</v>
      </c>
      <c r="AX218" s="416">
        <v>0</v>
      </c>
      <c r="AY218" s="416">
        <v>0</v>
      </c>
      <c r="AZ218" s="416">
        <v>0</v>
      </c>
    </row>
    <row r="219" spans="1:52" s="411" customFormat="1" x14ac:dyDescent="0.3">
      <c r="A219" s="415" t="str">
        <f t="shared" si="3"/>
        <v>SA/AS 1548 Gr.5-490N</v>
      </c>
      <c r="B219" s="415">
        <v>213</v>
      </c>
      <c r="C219" s="415" t="s">
        <v>2853</v>
      </c>
      <c r="D219" s="415" t="s">
        <v>2684</v>
      </c>
      <c r="E219" s="415" t="s">
        <v>2150</v>
      </c>
      <c r="F219" s="415" t="s">
        <v>2296</v>
      </c>
      <c r="G219" s="415">
        <v>0</v>
      </c>
      <c r="H219" s="415" t="s">
        <v>2779</v>
      </c>
      <c r="I219" s="415" t="s">
        <v>2777</v>
      </c>
      <c r="J219" s="415">
        <v>1</v>
      </c>
      <c r="K219" s="415">
        <v>2</v>
      </c>
      <c r="L219" s="415">
        <v>490</v>
      </c>
      <c r="M219" s="415">
        <v>0</v>
      </c>
      <c r="N219" s="415">
        <v>538</v>
      </c>
      <c r="O219" s="415" t="s">
        <v>2675</v>
      </c>
      <c r="P219" s="415" t="s">
        <v>2675</v>
      </c>
      <c r="Q219" s="415" t="s">
        <v>2675</v>
      </c>
      <c r="R219" s="415" t="s">
        <v>2699</v>
      </c>
      <c r="S219" s="415" t="s">
        <v>2778</v>
      </c>
      <c r="T219" s="416">
        <v>140</v>
      </c>
      <c r="U219" s="416">
        <v>140</v>
      </c>
      <c r="V219" s="416">
        <v>140</v>
      </c>
      <c r="W219" s="416">
        <v>140</v>
      </c>
      <c r="X219" s="416">
        <v>140</v>
      </c>
      <c r="Y219" s="416">
        <v>140</v>
      </c>
      <c r="Z219" s="416">
        <v>140</v>
      </c>
      <c r="AA219" s="416">
        <v>140</v>
      </c>
      <c r="AB219" s="416">
        <v>140</v>
      </c>
      <c r="AC219" s="416">
        <v>140</v>
      </c>
      <c r="AD219" s="416">
        <v>139</v>
      </c>
      <c r="AE219" s="416">
        <v>123</v>
      </c>
      <c r="AF219" s="416">
        <v>101</v>
      </c>
      <c r="AG219" s="416">
        <v>83.8</v>
      </c>
      <c r="AH219" s="416">
        <v>67</v>
      </c>
      <c r="AI219" s="416">
        <v>51</v>
      </c>
      <c r="AJ219" s="416">
        <v>33.6</v>
      </c>
      <c r="AK219" s="416">
        <v>21.3</v>
      </c>
      <c r="AL219" s="416">
        <v>12.9</v>
      </c>
      <c r="AM219" s="416">
        <v>0</v>
      </c>
      <c r="AN219" s="416">
        <v>0</v>
      </c>
      <c r="AO219" s="416">
        <v>0</v>
      </c>
      <c r="AP219" s="416">
        <v>0</v>
      </c>
      <c r="AQ219" s="416">
        <v>0</v>
      </c>
      <c r="AR219" s="416">
        <v>0</v>
      </c>
      <c r="AS219" s="416">
        <v>0</v>
      </c>
      <c r="AT219" s="416">
        <v>0</v>
      </c>
      <c r="AU219" s="416">
        <v>0</v>
      </c>
      <c r="AV219" s="416">
        <v>0</v>
      </c>
      <c r="AW219" s="416">
        <v>0</v>
      </c>
      <c r="AX219" s="416">
        <v>0</v>
      </c>
      <c r="AY219" s="416">
        <v>0</v>
      </c>
      <c r="AZ219" s="416">
        <v>0</v>
      </c>
    </row>
    <row r="220" spans="1:52" s="411" customFormat="1" x14ac:dyDescent="0.3">
      <c r="A220" s="415" t="str">
        <f t="shared" si="3"/>
        <v>SA-737 Gr.C</v>
      </c>
      <c r="B220" s="415">
        <v>214</v>
      </c>
      <c r="C220" s="415" t="s">
        <v>2856</v>
      </c>
      <c r="D220" s="415" t="s">
        <v>2684</v>
      </c>
      <c r="E220" s="415" t="s">
        <v>2313</v>
      </c>
      <c r="F220" s="415" t="s">
        <v>2348</v>
      </c>
      <c r="G220" s="415" t="s">
        <v>2857</v>
      </c>
      <c r="H220" s="415">
        <v>0</v>
      </c>
      <c r="I220" s="415">
        <v>0</v>
      </c>
      <c r="J220" s="415">
        <v>1</v>
      </c>
      <c r="K220" s="415">
        <v>3</v>
      </c>
      <c r="L220" s="415">
        <v>550</v>
      </c>
      <c r="M220" s="415">
        <v>415</v>
      </c>
      <c r="N220" s="415" t="s">
        <v>2675</v>
      </c>
      <c r="O220" s="415">
        <v>371</v>
      </c>
      <c r="P220" s="415">
        <v>371</v>
      </c>
      <c r="Q220" s="415">
        <v>343</v>
      </c>
      <c r="R220" s="415" t="s">
        <v>2819</v>
      </c>
      <c r="S220" s="415" t="s">
        <v>2848</v>
      </c>
      <c r="T220" s="416">
        <v>158</v>
      </c>
      <c r="U220" s="416">
        <v>158</v>
      </c>
      <c r="V220" s="416">
        <v>158</v>
      </c>
      <c r="W220" s="416">
        <v>158</v>
      </c>
      <c r="X220" s="416">
        <v>158</v>
      </c>
      <c r="Y220" s="416">
        <v>158</v>
      </c>
      <c r="Z220" s="416">
        <v>158</v>
      </c>
      <c r="AA220" s="416">
        <v>158</v>
      </c>
      <c r="AB220" s="416">
        <v>158</v>
      </c>
      <c r="AC220" s="416">
        <v>158</v>
      </c>
      <c r="AD220" s="416">
        <v>155</v>
      </c>
      <c r="AE220" s="416">
        <v>135</v>
      </c>
      <c r="AF220" s="416">
        <v>0</v>
      </c>
      <c r="AG220" s="416">
        <v>0</v>
      </c>
      <c r="AH220" s="416">
        <v>0</v>
      </c>
      <c r="AI220" s="416">
        <v>0</v>
      </c>
      <c r="AJ220" s="416">
        <v>0</v>
      </c>
      <c r="AK220" s="416">
        <v>0</v>
      </c>
      <c r="AL220" s="416">
        <v>0</v>
      </c>
      <c r="AM220" s="416">
        <v>0</v>
      </c>
      <c r="AN220" s="416">
        <v>0</v>
      </c>
      <c r="AO220" s="416">
        <v>0</v>
      </c>
      <c r="AP220" s="416">
        <v>0</v>
      </c>
      <c r="AQ220" s="416">
        <v>0</v>
      </c>
      <c r="AR220" s="416">
        <v>0</v>
      </c>
      <c r="AS220" s="416">
        <v>0</v>
      </c>
      <c r="AT220" s="416">
        <v>0</v>
      </c>
      <c r="AU220" s="416">
        <v>0</v>
      </c>
      <c r="AV220" s="416">
        <v>0</v>
      </c>
      <c r="AW220" s="416">
        <v>0</v>
      </c>
      <c r="AX220" s="416">
        <v>0</v>
      </c>
      <c r="AY220" s="416">
        <v>0</v>
      </c>
      <c r="AZ220" s="416">
        <v>0</v>
      </c>
    </row>
    <row r="221" spans="1:52" s="411" customFormat="1" x14ac:dyDescent="0.3">
      <c r="A221" s="415" t="str">
        <f t="shared" si="3"/>
        <v>SA-656 Gr.T3</v>
      </c>
      <c r="B221" s="415">
        <v>215</v>
      </c>
      <c r="C221" s="415" t="s">
        <v>2858</v>
      </c>
      <c r="D221" s="415" t="s">
        <v>2684</v>
      </c>
      <c r="E221" s="415" t="s">
        <v>2287</v>
      </c>
      <c r="F221" s="415" t="s">
        <v>2548</v>
      </c>
      <c r="G221" s="415">
        <v>0</v>
      </c>
      <c r="H221" s="415">
        <v>0</v>
      </c>
      <c r="I221" s="415" t="s">
        <v>2730</v>
      </c>
      <c r="J221" s="415">
        <v>1</v>
      </c>
      <c r="K221" s="415">
        <v>1</v>
      </c>
      <c r="L221" s="415">
        <v>414</v>
      </c>
      <c r="M221" s="415">
        <v>345</v>
      </c>
      <c r="N221" s="415" t="s">
        <v>2675</v>
      </c>
      <c r="O221" s="415" t="s">
        <v>2675</v>
      </c>
      <c r="P221" s="415" t="s">
        <v>2675</v>
      </c>
      <c r="Q221" s="415">
        <v>343</v>
      </c>
      <c r="R221" s="415">
        <v>0</v>
      </c>
      <c r="S221" s="415">
        <v>0</v>
      </c>
      <c r="T221" s="416">
        <v>118</v>
      </c>
      <c r="U221" s="416">
        <v>118</v>
      </c>
      <c r="V221" s="416">
        <v>118</v>
      </c>
      <c r="W221" s="416">
        <v>118</v>
      </c>
      <c r="X221" s="416">
        <v>118</v>
      </c>
      <c r="Y221" s="416">
        <v>118</v>
      </c>
      <c r="Z221" s="416">
        <v>118</v>
      </c>
      <c r="AA221" s="416">
        <v>118</v>
      </c>
      <c r="AB221" s="416">
        <v>118</v>
      </c>
      <c r="AC221" s="416">
        <v>118</v>
      </c>
      <c r="AD221" s="416">
        <v>118</v>
      </c>
      <c r="AE221" s="416">
        <v>0</v>
      </c>
      <c r="AF221" s="416">
        <v>0</v>
      </c>
      <c r="AG221" s="416">
        <v>0</v>
      </c>
      <c r="AH221" s="416">
        <v>0</v>
      </c>
      <c r="AI221" s="416">
        <v>0</v>
      </c>
      <c r="AJ221" s="416">
        <v>0</v>
      </c>
      <c r="AK221" s="416">
        <v>0</v>
      </c>
      <c r="AL221" s="416">
        <v>0</v>
      </c>
      <c r="AM221" s="416">
        <v>0</v>
      </c>
      <c r="AN221" s="416">
        <v>0</v>
      </c>
      <c r="AO221" s="416">
        <v>0</v>
      </c>
      <c r="AP221" s="416">
        <v>0</v>
      </c>
      <c r="AQ221" s="416">
        <v>0</v>
      </c>
      <c r="AR221" s="416">
        <v>0</v>
      </c>
      <c r="AS221" s="416">
        <v>0</v>
      </c>
      <c r="AT221" s="416">
        <v>0</v>
      </c>
      <c r="AU221" s="416">
        <v>0</v>
      </c>
      <c r="AV221" s="416">
        <v>0</v>
      </c>
      <c r="AW221" s="416">
        <v>0</v>
      </c>
      <c r="AX221" s="416">
        <v>0</v>
      </c>
      <c r="AY221" s="416">
        <v>0</v>
      </c>
      <c r="AZ221" s="416">
        <v>0</v>
      </c>
    </row>
    <row r="222" spans="1:52" s="411" customFormat="1" x14ac:dyDescent="0.3">
      <c r="A222" s="415" t="str">
        <f t="shared" si="3"/>
        <v>SA-656 Gr.T7</v>
      </c>
      <c r="B222" s="415">
        <v>216</v>
      </c>
      <c r="C222" s="415" t="s">
        <v>2858</v>
      </c>
      <c r="D222" s="415" t="s">
        <v>2684</v>
      </c>
      <c r="E222" s="415" t="s">
        <v>2287</v>
      </c>
      <c r="F222" s="415" t="s">
        <v>2552</v>
      </c>
      <c r="G222" s="415">
        <v>0</v>
      </c>
      <c r="H222" s="415">
        <v>0</v>
      </c>
      <c r="I222" s="415" t="s">
        <v>2730</v>
      </c>
      <c r="J222" s="415">
        <v>1</v>
      </c>
      <c r="K222" s="415">
        <v>1</v>
      </c>
      <c r="L222" s="415">
        <v>414</v>
      </c>
      <c r="M222" s="415">
        <v>345</v>
      </c>
      <c r="N222" s="415" t="s">
        <v>2675</v>
      </c>
      <c r="O222" s="415" t="s">
        <v>2675</v>
      </c>
      <c r="P222" s="415" t="s">
        <v>2675</v>
      </c>
      <c r="Q222" s="415">
        <v>343</v>
      </c>
      <c r="R222" s="415">
        <v>0</v>
      </c>
      <c r="S222" s="415">
        <v>0</v>
      </c>
      <c r="T222" s="416">
        <v>118</v>
      </c>
      <c r="U222" s="416">
        <v>118</v>
      </c>
      <c r="V222" s="416">
        <v>118</v>
      </c>
      <c r="W222" s="416">
        <v>118</v>
      </c>
      <c r="X222" s="416">
        <v>118</v>
      </c>
      <c r="Y222" s="416">
        <v>118</v>
      </c>
      <c r="Z222" s="416">
        <v>118</v>
      </c>
      <c r="AA222" s="416">
        <v>118</v>
      </c>
      <c r="AB222" s="416">
        <v>118</v>
      </c>
      <c r="AC222" s="416">
        <v>118</v>
      </c>
      <c r="AD222" s="416">
        <v>118</v>
      </c>
      <c r="AE222" s="416">
        <v>0</v>
      </c>
      <c r="AF222" s="416">
        <v>0</v>
      </c>
      <c r="AG222" s="416">
        <v>0</v>
      </c>
      <c r="AH222" s="416">
        <v>0</v>
      </c>
      <c r="AI222" s="416">
        <v>0</v>
      </c>
      <c r="AJ222" s="416">
        <v>0</v>
      </c>
      <c r="AK222" s="416">
        <v>0</v>
      </c>
      <c r="AL222" s="416">
        <v>0</v>
      </c>
      <c r="AM222" s="416">
        <v>0</v>
      </c>
      <c r="AN222" s="416">
        <v>0</v>
      </c>
      <c r="AO222" s="416">
        <v>0</v>
      </c>
      <c r="AP222" s="416">
        <v>0</v>
      </c>
      <c r="AQ222" s="416">
        <v>0</v>
      </c>
      <c r="AR222" s="416">
        <v>0</v>
      </c>
      <c r="AS222" s="416">
        <v>0</v>
      </c>
      <c r="AT222" s="416">
        <v>0</v>
      </c>
      <c r="AU222" s="416">
        <v>0</v>
      </c>
      <c r="AV222" s="416">
        <v>0</v>
      </c>
      <c r="AW222" s="416">
        <v>0</v>
      </c>
      <c r="AX222" s="416">
        <v>0</v>
      </c>
      <c r="AY222" s="416">
        <v>0</v>
      </c>
      <c r="AZ222" s="416">
        <v>0</v>
      </c>
    </row>
    <row r="223" spans="1:52" s="411" customFormat="1" x14ac:dyDescent="0.3">
      <c r="A223" s="415" t="str">
        <f t="shared" si="3"/>
        <v>SA-656 Gr.T3</v>
      </c>
      <c r="B223" s="415">
        <v>217</v>
      </c>
      <c r="C223" s="415" t="s">
        <v>2858</v>
      </c>
      <c r="D223" s="415" t="s">
        <v>2684</v>
      </c>
      <c r="E223" s="415" t="s">
        <v>2287</v>
      </c>
      <c r="F223" s="415" t="s">
        <v>2548</v>
      </c>
      <c r="G223" s="415">
        <v>0</v>
      </c>
      <c r="H223" s="415">
        <v>0</v>
      </c>
      <c r="I223" s="415" t="s">
        <v>2781</v>
      </c>
      <c r="J223" s="415">
        <v>1</v>
      </c>
      <c r="K223" s="415">
        <v>2</v>
      </c>
      <c r="L223" s="415">
        <v>483</v>
      </c>
      <c r="M223" s="415">
        <v>414</v>
      </c>
      <c r="N223" s="415" t="s">
        <v>2675</v>
      </c>
      <c r="O223" s="415" t="s">
        <v>2675</v>
      </c>
      <c r="P223" s="415" t="s">
        <v>2675</v>
      </c>
      <c r="Q223" s="415">
        <v>343</v>
      </c>
      <c r="R223" s="415">
        <v>0</v>
      </c>
      <c r="S223" s="415">
        <v>0</v>
      </c>
      <c r="T223" s="416">
        <v>138</v>
      </c>
      <c r="U223" s="416">
        <v>138</v>
      </c>
      <c r="V223" s="416">
        <v>138</v>
      </c>
      <c r="W223" s="416">
        <v>138</v>
      </c>
      <c r="X223" s="416">
        <v>138</v>
      </c>
      <c r="Y223" s="416">
        <v>138</v>
      </c>
      <c r="Z223" s="416">
        <v>138</v>
      </c>
      <c r="AA223" s="416">
        <v>138</v>
      </c>
      <c r="AB223" s="416">
        <v>138</v>
      </c>
      <c r="AC223" s="416">
        <v>138</v>
      </c>
      <c r="AD223" s="416">
        <v>138</v>
      </c>
      <c r="AE223" s="416">
        <v>0</v>
      </c>
      <c r="AF223" s="416">
        <v>0</v>
      </c>
      <c r="AG223" s="416">
        <v>0</v>
      </c>
      <c r="AH223" s="416">
        <v>0</v>
      </c>
      <c r="AI223" s="416">
        <v>0</v>
      </c>
      <c r="AJ223" s="416">
        <v>0</v>
      </c>
      <c r="AK223" s="416">
        <v>0</v>
      </c>
      <c r="AL223" s="416">
        <v>0</v>
      </c>
      <c r="AM223" s="416">
        <v>0</v>
      </c>
      <c r="AN223" s="416">
        <v>0</v>
      </c>
      <c r="AO223" s="416">
        <v>0</v>
      </c>
      <c r="AP223" s="416">
        <v>0</v>
      </c>
      <c r="AQ223" s="416">
        <v>0</v>
      </c>
      <c r="AR223" s="416">
        <v>0</v>
      </c>
      <c r="AS223" s="416">
        <v>0</v>
      </c>
      <c r="AT223" s="416">
        <v>0</v>
      </c>
      <c r="AU223" s="416">
        <v>0</v>
      </c>
      <c r="AV223" s="416">
        <v>0</v>
      </c>
      <c r="AW223" s="416">
        <v>0</v>
      </c>
      <c r="AX223" s="416">
        <v>0</v>
      </c>
      <c r="AY223" s="416">
        <v>0</v>
      </c>
      <c r="AZ223" s="416">
        <v>0</v>
      </c>
    </row>
    <row r="224" spans="1:52" s="411" customFormat="1" x14ac:dyDescent="0.3">
      <c r="A224" s="415" t="str">
        <f t="shared" si="3"/>
        <v>SA-656 Gr.T7</v>
      </c>
      <c r="B224" s="415">
        <v>218</v>
      </c>
      <c r="C224" s="415" t="s">
        <v>2858</v>
      </c>
      <c r="D224" s="415" t="s">
        <v>2684</v>
      </c>
      <c r="E224" s="415" t="s">
        <v>2287</v>
      </c>
      <c r="F224" s="415" t="s">
        <v>2552</v>
      </c>
      <c r="G224" s="415">
        <v>0</v>
      </c>
      <c r="H224" s="415">
        <v>0</v>
      </c>
      <c r="I224" s="415" t="s">
        <v>2781</v>
      </c>
      <c r="J224" s="415">
        <v>1</v>
      </c>
      <c r="K224" s="415">
        <v>2</v>
      </c>
      <c r="L224" s="415">
        <v>483</v>
      </c>
      <c r="M224" s="415">
        <v>414</v>
      </c>
      <c r="N224" s="415" t="s">
        <v>2675</v>
      </c>
      <c r="O224" s="415" t="s">
        <v>2675</v>
      </c>
      <c r="P224" s="415" t="s">
        <v>2675</v>
      </c>
      <c r="Q224" s="415">
        <v>343</v>
      </c>
      <c r="R224" s="415">
        <v>0</v>
      </c>
      <c r="S224" s="415">
        <v>0</v>
      </c>
      <c r="T224" s="416">
        <v>138</v>
      </c>
      <c r="U224" s="416">
        <v>138</v>
      </c>
      <c r="V224" s="416">
        <v>138</v>
      </c>
      <c r="W224" s="416">
        <v>138</v>
      </c>
      <c r="X224" s="416">
        <v>138</v>
      </c>
      <c r="Y224" s="416">
        <v>138</v>
      </c>
      <c r="Z224" s="416">
        <v>138</v>
      </c>
      <c r="AA224" s="416">
        <v>138</v>
      </c>
      <c r="AB224" s="416">
        <v>138</v>
      </c>
      <c r="AC224" s="416">
        <v>138</v>
      </c>
      <c r="AD224" s="416">
        <v>138</v>
      </c>
      <c r="AE224" s="416">
        <v>0</v>
      </c>
      <c r="AF224" s="416">
        <v>0</v>
      </c>
      <c r="AG224" s="416">
        <v>0</v>
      </c>
      <c r="AH224" s="416">
        <v>0</v>
      </c>
      <c r="AI224" s="416">
        <v>0</v>
      </c>
      <c r="AJ224" s="416">
        <v>0</v>
      </c>
      <c r="AK224" s="416">
        <v>0</v>
      </c>
      <c r="AL224" s="416">
        <v>0</v>
      </c>
      <c r="AM224" s="416">
        <v>0</v>
      </c>
      <c r="AN224" s="416">
        <v>0</v>
      </c>
      <c r="AO224" s="416">
        <v>0</v>
      </c>
      <c r="AP224" s="416">
        <v>0</v>
      </c>
      <c r="AQ224" s="416">
        <v>0</v>
      </c>
      <c r="AR224" s="416">
        <v>0</v>
      </c>
      <c r="AS224" s="416">
        <v>0</v>
      </c>
      <c r="AT224" s="416">
        <v>0</v>
      </c>
      <c r="AU224" s="416">
        <v>0</v>
      </c>
      <c r="AV224" s="416">
        <v>0</v>
      </c>
      <c r="AW224" s="416">
        <v>0</v>
      </c>
      <c r="AX224" s="416">
        <v>0</v>
      </c>
      <c r="AY224" s="416">
        <v>0</v>
      </c>
      <c r="AZ224" s="416">
        <v>0</v>
      </c>
    </row>
    <row r="225" spans="1:52" s="411" customFormat="1" x14ac:dyDescent="0.3">
      <c r="A225" s="415" t="str">
        <f t="shared" si="3"/>
        <v>SA-656 Gr.T3</v>
      </c>
      <c r="B225" s="415">
        <v>219</v>
      </c>
      <c r="C225" s="415" t="s">
        <v>2858</v>
      </c>
      <c r="D225" s="415" t="s">
        <v>2684</v>
      </c>
      <c r="E225" s="415" t="s">
        <v>2287</v>
      </c>
      <c r="F225" s="415" t="s">
        <v>2548</v>
      </c>
      <c r="G225" s="415">
        <v>0</v>
      </c>
      <c r="H225" s="415">
        <v>0</v>
      </c>
      <c r="I225" s="415" t="s">
        <v>2832</v>
      </c>
      <c r="J225" s="415">
        <v>1</v>
      </c>
      <c r="K225" s="415">
        <v>3</v>
      </c>
      <c r="L225" s="415">
        <v>552</v>
      </c>
      <c r="M225" s="415">
        <v>483</v>
      </c>
      <c r="N225" s="415" t="s">
        <v>2675</v>
      </c>
      <c r="O225" s="415" t="s">
        <v>2675</v>
      </c>
      <c r="P225" s="415" t="s">
        <v>2675</v>
      </c>
      <c r="Q225" s="415">
        <v>343</v>
      </c>
      <c r="R225" s="415">
        <v>0</v>
      </c>
      <c r="S225" s="415">
        <v>0</v>
      </c>
      <c r="T225" s="416">
        <v>158</v>
      </c>
      <c r="U225" s="416">
        <v>158</v>
      </c>
      <c r="V225" s="416">
        <v>158</v>
      </c>
      <c r="W225" s="416">
        <v>158</v>
      </c>
      <c r="X225" s="416">
        <v>158</v>
      </c>
      <c r="Y225" s="416">
        <v>158</v>
      </c>
      <c r="Z225" s="416">
        <v>158</v>
      </c>
      <c r="AA225" s="416">
        <v>158</v>
      </c>
      <c r="AB225" s="416">
        <v>158</v>
      </c>
      <c r="AC225" s="416">
        <v>158</v>
      </c>
      <c r="AD225" s="416">
        <v>158</v>
      </c>
      <c r="AE225" s="416">
        <v>0</v>
      </c>
      <c r="AF225" s="416">
        <v>0</v>
      </c>
      <c r="AG225" s="416">
        <v>0</v>
      </c>
      <c r="AH225" s="416">
        <v>0</v>
      </c>
      <c r="AI225" s="416">
        <v>0</v>
      </c>
      <c r="AJ225" s="416">
        <v>0</v>
      </c>
      <c r="AK225" s="416">
        <v>0</v>
      </c>
      <c r="AL225" s="416">
        <v>0</v>
      </c>
      <c r="AM225" s="416">
        <v>0</v>
      </c>
      <c r="AN225" s="416">
        <v>0</v>
      </c>
      <c r="AO225" s="416">
        <v>0</v>
      </c>
      <c r="AP225" s="416">
        <v>0</v>
      </c>
      <c r="AQ225" s="416">
        <v>0</v>
      </c>
      <c r="AR225" s="416">
        <v>0</v>
      </c>
      <c r="AS225" s="416">
        <v>0</v>
      </c>
      <c r="AT225" s="416">
        <v>0</v>
      </c>
      <c r="AU225" s="416">
        <v>0</v>
      </c>
      <c r="AV225" s="416">
        <v>0</v>
      </c>
      <c r="AW225" s="416">
        <v>0</v>
      </c>
      <c r="AX225" s="416">
        <v>0</v>
      </c>
      <c r="AY225" s="416">
        <v>0</v>
      </c>
      <c r="AZ225" s="416">
        <v>0</v>
      </c>
    </row>
    <row r="226" spans="1:52" s="411" customFormat="1" x14ac:dyDescent="0.3">
      <c r="A226" s="415" t="str">
        <f t="shared" si="3"/>
        <v>SA-656 Gr.T7</v>
      </c>
      <c r="B226" s="415">
        <v>220</v>
      </c>
      <c r="C226" s="415" t="s">
        <v>2858</v>
      </c>
      <c r="D226" s="415" t="s">
        <v>2684</v>
      </c>
      <c r="E226" s="415" t="s">
        <v>2287</v>
      </c>
      <c r="F226" s="415" t="s">
        <v>2552</v>
      </c>
      <c r="G226" s="415">
        <v>0</v>
      </c>
      <c r="H226" s="415">
        <v>0</v>
      </c>
      <c r="I226" s="415" t="s">
        <v>2832</v>
      </c>
      <c r="J226" s="415">
        <v>1</v>
      </c>
      <c r="K226" s="415">
        <v>3</v>
      </c>
      <c r="L226" s="415">
        <v>552</v>
      </c>
      <c r="M226" s="415">
        <v>483</v>
      </c>
      <c r="N226" s="415" t="s">
        <v>2675</v>
      </c>
      <c r="O226" s="415" t="s">
        <v>2675</v>
      </c>
      <c r="P226" s="415" t="s">
        <v>2675</v>
      </c>
      <c r="Q226" s="415">
        <v>343</v>
      </c>
      <c r="R226" s="415">
        <v>0</v>
      </c>
      <c r="S226" s="415">
        <v>0</v>
      </c>
      <c r="T226" s="416">
        <v>158</v>
      </c>
      <c r="U226" s="416">
        <v>158</v>
      </c>
      <c r="V226" s="416">
        <v>158</v>
      </c>
      <c r="W226" s="416">
        <v>158</v>
      </c>
      <c r="X226" s="416">
        <v>158</v>
      </c>
      <c r="Y226" s="416">
        <v>158</v>
      </c>
      <c r="Z226" s="416">
        <v>158</v>
      </c>
      <c r="AA226" s="416">
        <v>158</v>
      </c>
      <c r="AB226" s="416">
        <v>158</v>
      </c>
      <c r="AC226" s="416">
        <v>158</v>
      </c>
      <c r="AD226" s="416">
        <v>158</v>
      </c>
      <c r="AE226" s="416">
        <v>0</v>
      </c>
      <c r="AF226" s="416">
        <v>0</v>
      </c>
      <c r="AG226" s="416">
        <v>0</v>
      </c>
      <c r="AH226" s="416">
        <v>0</v>
      </c>
      <c r="AI226" s="416">
        <v>0</v>
      </c>
      <c r="AJ226" s="416">
        <v>0</v>
      </c>
      <c r="AK226" s="416">
        <v>0</v>
      </c>
      <c r="AL226" s="416">
        <v>0</v>
      </c>
      <c r="AM226" s="416">
        <v>0</v>
      </c>
      <c r="AN226" s="416">
        <v>0</v>
      </c>
      <c r="AO226" s="416">
        <v>0</v>
      </c>
      <c r="AP226" s="416">
        <v>0</v>
      </c>
      <c r="AQ226" s="416">
        <v>0</v>
      </c>
      <c r="AR226" s="416">
        <v>0</v>
      </c>
      <c r="AS226" s="416">
        <v>0</v>
      </c>
      <c r="AT226" s="416">
        <v>0</v>
      </c>
      <c r="AU226" s="416">
        <v>0</v>
      </c>
      <c r="AV226" s="416">
        <v>0</v>
      </c>
      <c r="AW226" s="416">
        <v>0</v>
      </c>
      <c r="AX226" s="416">
        <v>0</v>
      </c>
      <c r="AY226" s="416">
        <v>0</v>
      </c>
      <c r="AZ226" s="416">
        <v>0</v>
      </c>
    </row>
    <row r="227" spans="1:52" s="411" customFormat="1" x14ac:dyDescent="0.3">
      <c r="A227" s="415" t="str">
        <f t="shared" si="3"/>
        <v>SA-656 Gr.T3</v>
      </c>
      <c r="B227" s="415">
        <v>221</v>
      </c>
      <c r="C227" s="415" t="s">
        <v>2858</v>
      </c>
      <c r="D227" s="415" t="s">
        <v>2684</v>
      </c>
      <c r="E227" s="415" t="s">
        <v>2287</v>
      </c>
      <c r="F227" s="415" t="s">
        <v>2548</v>
      </c>
      <c r="G227" s="415">
        <v>0</v>
      </c>
      <c r="H227" s="415">
        <v>0</v>
      </c>
      <c r="I227" s="415" t="s">
        <v>2859</v>
      </c>
      <c r="J227" s="415">
        <v>1</v>
      </c>
      <c r="K227" s="415">
        <v>4</v>
      </c>
      <c r="L227" s="415">
        <v>621</v>
      </c>
      <c r="M227" s="415">
        <v>552</v>
      </c>
      <c r="N227" s="415" t="s">
        <v>2675</v>
      </c>
      <c r="O227" s="415" t="s">
        <v>2675</v>
      </c>
      <c r="P227" s="415" t="s">
        <v>2675</v>
      </c>
      <c r="Q227" s="415">
        <v>343</v>
      </c>
      <c r="R227" s="415">
        <v>0</v>
      </c>
      <c r="S227" s="415">
        <v>0</v>
      </c>
      <c r="T227" s="416">
        <v>177</v>
      </c>
      <c r="U227" s="416">
        <v>177</v>
      </c>
      <c r="V227" s="416">
        <v>177</v>
      </c>
      <c r="W227" s="416">
        <v>177</v>
      </c>
      <c r="X227" s="416">
        <v>177</v>
      </c>
      <c r="Y227" s="416">
        <v>177</v>
      </c>
      <c r="Z227" s="416">
        <v>177</v>
      </c>
      <c r="AA227" s="416">
        <v>177</v>
      </c>
      <c r="AB227" s="416">
        <v>177</v>
      </c>
      <c r="AC227" s="416">
        <v>177</v>
      </c>
      <c r="AD227" s="416">
        <v>177</v>
      </c>
      <c r="AE227" s="416">
        <v>0</v>
      </c>
      <c r="AF227" s="416">
        <v>0</v>
      </c>
      <c r="AG227" s="416">
        <v>0</v>
      </c>
      <c r="AH227" s="416">
        <v>0</v>
      </c>
      <c r="AI227" s="416">
        <v>0</v>
      </c>
      <c r="AJ227" s="416">
        <v>0</v>
      </c>
      <c r="AK227" s="416">
        <v>0</v>
      </c>
      <c r="AL227" s="416">
        <v>0</v>
      </c>
      <c r="AM227" s="416">
        <v>0</v>
      </c>
      <c r="AN227" s="416">
        <v>0</v>
      </c>
      <c r="AO227" s="416">
        <v>0</v>
      </c>
      <c r="AP227" s="416">
        <v>0</v>
      </c>
      <c r="AQ227" s="416">
        <v>0</v>
      </c>
      <c r="AR227" s="416">
        <v>0</v>
      </c>
      <c r="AS227" s="416">
        <v>0</v>
      </c>
      <c r="AT227" s="416">
        <v>0</v>
      </c>
      <c r="AU227" s="416">
        <v>0</v>
      </c>
      <c r="AV227" s="416">
        <v>0</v>
      </c>
      <c r="AW227" s="416">
        <v>0</v>
      </c>
      <c r="AX227" s="416">
        <v>0</v>
      </c>
      <c r="AY227" s="416">
        <v>0</v>
      </c>
      <c r="AZ227" s="416">
        <v>0</v>
      </c>
    </row>
    <row r="228" spans="1:52" s="411" customFormat="1" x14ac:dyDescent="0.3">
      <c r="A228" s="415" t="str">
        <f t="shared" si="3"/>
        <v>SA-656 Gr.T7</v>
      </c>
      <c r="B228" s="415">
        <v>222</v>
      </c>
      <c r="C228" s="415" t="s">
        <v>2858</v>
      </c>
      <c r="D228" s="415" t="s">
        <v>2684</v>
      </c>
      <c r="E228" s="415" t="s">
        <v>2287</v>
      </c>
      <c r="F228" s="415" t="s">
        <v>2552</v>
      </c>
      <c r="G228" s="415">
        <v>0</v>
      </c>
      <c r="H228" s="415">
        <v>0</v>
      </c>
      <c r="I228" s="415" t="s">
        <v>2859</v>
      </c>
      <c r="J228" s="415">
        <v>1</v>
      </c>
      <c r="K228" s="415">
        <v>4</v>
      </c>
      <c r="L228" s="415">
        <v>621</v>
      </c>
      <c r="M228" s="415">
        <v>552</v>
      </c>
      <c r="N228" s="415" t="s">
        <v>2675</v>
      </c>
      <c r="O228" s="415" t="s">
        <v>2675</v>
      </c>
      <c r="P228" s="415" t="s">
        <v>2675</v>
      </c>
      <c r="Q228" s="415">
        <v>343</v>
      </c>
      <c r="R228" s="415">
        <v>0</v>
      </c>
      <c r="S228" s="415">
        <v>0</v>
      </c>
      <c r="T228" s="416">
        <v>177</v>
      </c>
      <c r="U228" s="416">
        <v>177</v>
      </c>
      <c r="V228" s="416">
        <v>177</v>
      </c>
      <c r="W228" s="416">
        <v>177</v>
      </c>
      <c r="X228" s="416">
        <v>177</v>
      </c>
      <c r="Y228" s="416">
        <v>177</v>
      </c>
      <c r="Z228" s="416">
        <v>177</v>
      </c>
      <c r="AA228" s="416">
        <v>177</v>
      </c>
      <c r="AB228" s="416">
        <v>177</v>
      </c>
      <c r="AC228" s="416">
        <v>177</v>
      </c>
      <c r="AD228" s="416">
        <v>177</v>
      </c>
      <c r="AE228" s="416">
        <v>0</v>
      </c>
      <c r="AF228" s="416">
        <v>0</v>
      </c>
      <c r="AG228" s="416">
        <v>0</v>
      </c>
      <c r="AH228" s="416">
        <v>0</v>
      </c>
      <c r="AI228" s="416">
        <v>0</v>
      </c>
      <c r="AJ228" s="416">
        <v>0</v>
      </c>
      <c r="AK228" s="416">
        <v>0</v>
      </c>
      <c r="AL228" s="416">
        <v>0</v>
      </c>
      <c r="AM228" s="416">
        <v>0</v>
      </c>
      <c r="AN228" s="416">
        <v>0</v>
      </c>
      <c r="AO228" s="416">
        <v>0</v>
      </c>
      <c r="AP228" s="416">
        <v>0</v>
      </c>
      <c r="AQ228" s="416">
        <v>0</v>
      </c>
      <c r="AR228" s="416">
        <v>0</v>
      </c>
      <c r="AS228" s="416">
        <v>0</v>
      </c>
      <c r="AT228" s="416">
        <v>0</v>
      </c>
      <c r="AU228" s="416">
        <v>0</v>
      </c>
      <c r="AV228" s="416">
        <v>0</v>
      </c>
      <c r="AW228" s="416">
        <v>0</v>
      </c>
      <c r="AX228" s="416">
        <v>0</v>
      </c>
      <c r="AY228" s="416">
        <v>0</v>
      </c>
      <c r="AZ228" s="416">
        <v>0</v>
      </c>
    </row>
    <row r="229" spans="1:52" s="411" customFormat="1" x14ac:dyDescent="0.3">
      <c r="A229" s="415" t="str">
        <f t="shared" si="3"/>
        <v>SA-562 Gr.0</v>
      </c>
      <c r="B229" s="415">
        <v>223</v>
      </c>
      <c r="C229" s="415" t="s">
        <v>2860</v>
      </c>
      <c r="D229" s="415" t="s">
        <v>2734</v>
      </c>
      <c r="E229" s="415" t="s">
        <v>2274</v>
      </c>
      <c r="F229" s="415">
        <v>0</v>
      </c>
      <c r="G229" s="415" t="s">
        <v>2861</v>
      </c>
      <c r="H229" s="415">
        <v>0</v>
      </c>
      <c r="I229" s="415">
        <v>0</v>
      </c>
      <c r="J229" s="415">
        <v>1</v>
      </c>
      <c r="K229" s="415">
        <v>1</v>
      </c>
      <c r="L229" s="415">
        <v>380</v>
      </c>
      <c r="M229" s="415">
        <v>205</v>
      </c>
      <c r="N229" s="415" t="s">
        <v>2675</v>
      </c>
      <c r="O229" s="415" t="s">
        <v>2675</v>
      </c>
      <c r="P229" s="415">
        <v>343</v>
      </c>
      <c r="Q229" s="415" t="s">
        <v>2675</v>
      </c>
      <c r="R229" s="415" t="s">
        <v>2676</v>
      </c>
      <c r="S229" s="415" t="s">
        <v>2862</v>
      </c>
      <c r="T229" s="416">
        <v>88.9</v>
      </c>
      <c r="U229" s="416">
        <v>88.9</v>
      </c>
      <c r="V229" s="416">
        <v>84</v>
      </c>
      <c r="W229" s="416">
        <v>78.3</v>
      </c>
      <c r="X229" s="416">
        <v>75.099999999999994</v>
      </c>
      <c r="Y229" s="416">
        <v>73</v>
      </c>
      <c r="Z229" s="416">
        <v>71.7</v>
      </c>
      <c r="AA229" s="416">
        <v>71.7</v>
      </c>
      <c r="AB229" s="416">
        <v>71.7</v>
      </c>
      <c r="AC229" s="416">
        <v>71.7</v>
      </c>
      <c r="AD229" s="416">
        <v>71.7</v>
      </c>
      <c r="AE229" s="416">
        <v>0</v>
      </c>
      <c r="AF229" s="416">
        <v>0</v>
      </c>
      <c r="AG229" s="416">
        <v>0</v>
      </c>
      <c r="AH229" s="416">
        <v>0</v>
      </c>
      <c r="AI229" s="416">
        <v>0</v>
      </c>
      <c r="AJ229" s="416">
        <v>0</v>
      </c>
      <c r="AK229" s="416">
        <v>0</v>
      </c>
      <c r="AL229" s="416">
        <v>0</v>
      </c>
      <c r="AM229" s="416">
        <v>0</v>
      </c>
      <c r="AN229" s="416">
        <v>0</v>
      </c>
      <c r="AO229" s="416">
        <v>0</v>
      </c>
      <c r="AP229" s="416">
        <v>0</v>
      </c>
      <c r="AQ229" s="416">
        <v>0</v>
      </c>
      <c r="AR229" s="416">
        <v>0</v>
      </c>
      <c r="AS229" s="416">
        <v>0</v>
      </c>
      <c r="AT229" s="416">
        <v>0</v>
      </c>
      <c r="AU229" s="416">
        <v>0</v>
      </c>
      <c r="AV229" s="416">
        <v>0</v>
      </c>
      <c r="AW229" s="416">
        <v>0</v>
      </c>
      <c r="AX229" s="416">
        <v>0</v>
      </c>
      <c r="AY229" s="416">
        <v>0</v>
      </c>
      <c r="AZ229" s="416">
        <v>0</v>
      </c>
    </row>
    <row r="230" spans="1:52" s="411" customFormat="1" x14ac:dyDescent="0.3">
      <c r="A230" s="415" t="str">
        <f t="shared" si="3"/>
        <v>SA-836 Gr.0</v>
      </c>
      <c r="B230" s="415">
        <v>224</v>
      </c>
      <c r="C230" s="415" t="s">
        <v>2863</v>
      </c>
      <c r="D230" s="415" t="s">
        <v>2737</v>
      </c>
      <c r="E230" s="415" t="s">
        <v>2336</v>
      </c>
      <c r="F230" s="415">
        <v>0</v>
      </c>
      <c r="G230" s="415">
        <v>0</v>
      </c>
      <c r="H230" s="415">
        <v>1</v>
      </c>
      <c r="I230" s="415">
        <v>0</v>
      </c>
      <c r="J230" s="415">
        <v>1</v>
      </c>
      <c r="K230" s="415">
        <v>1</v>
      </c>
      <c r="L230" s="415">
        <v>380</v>
      </c>
      <c r="M230" s="415">
        <v>170</v>
      </c>
      <c r="N230" s="415" t="s">
        <v>2675</v>
      </c>
      <c r="O230" s="415" t="s">
        <v>2675</v>
      </c>
      <c r="P230" s="415">
        <v>343</v>
      </c>
      <c r="Q230" s="415">
        <v>343</v>
      </c>
      <c r="R230" s="415" t="s">
        <v>2682</v>
      </c>
      <c r="S230" s="415">
        <v>0</v>
      </c>
      <c r="T230" s="416">
        <v>108</v>
      </c>
      <c r="U230" s="416">
        <v>108</v>
      </c>
      <c r="V230" s="416">
        <v>103</v>
      </c>
      <c r="W230" s="416">
        <v>97.6</v>
      </c>
      <c r="X230" s="416">
        <v>94.1</v>
      </c>
      <c r="Y230" s="416">
        <v>91.6</v>
      </c>
      <c r="Z230" s="416">
        <v>89.7</v>
      </c>
      <c r="AA230" s="416">
        <v>89.6</v>
      </c>
      <c r="AB230" s="416">
        <v>89.4</v>
      </c>
      <c r="AC230" s="416">
        <v>88.5</v>
      </c>
      <c r="AD230" s="416">
        <v>87.2</v>
      </c>
      <c r="AE230" s="416">
        <v>0</v>
      </c>
      <c r="AF230" s="416">
        <v>0</v>
      </c>
      <c r="AG230" s="416">
        <v>0</v>
      </c>
      <c r="AH230" s="416">
        <v>0</v>
      </c>
      <c r="AI230" s="416">
        <v>0</v>
      </c>
      <c r="AJ230" s="416">
        <v>0</v>
      </c>
      <c r="AK230" s="416">
        <v>0</v>
      </c>
      <c r="AL230" s="416">
        <v>0</v>
      </c>
      <c r="AM230" s="416">
        <v>0</v>
      </c>
      <c r="AN230" s="416">
        <v>0</v>
      </c>
      <c r="AO230" s="416">
        <v>0</v>
      </c>
      <c r="AP230" s="416">
        <v>0</v>
      </c>
      <c r="AQ230" s="416">
        <v>0</v>
      </c>
      <c r="AR230" s="416">
        <v>0</v>
      </c>
      <c r="AS230" s="416">
        <v>0</v>
      </c>
      <c r="AT230" s="416">
        <v>0</v>
      </c>
      <c r="AU230" s="416">
        <v>0</v>
      </c>
      <c r="AV230" s="416">
        <v>0</v>
      </c>
      <c r="AW230" s="416">
        <v>0</v>
      </c>
      <c r="AX230" s="416">
        <v>0</v>
      </c>
      <c r="AY230" s="416">
        <v>0</v>
      </c>
      <c r="AZ230" s="416">
        <v>0</v>
      </c>
    </row>
    <row r="231" spans="1:52" s="411" customFormat="1" x14ac:dyDescent="0.3">
      <c r="A231" s="415" t="str">
        <f t="shared" si="3"/>
        <v>SA-209 Gr.T1b</v>
      </c>
      <c r="B231" s="415">
        <v>225</v>
      </c>
      <c r="C231" s="415" t="s">
        <v>2864</v>
      </c>
      <c r="D231" s="415" t="s">
        <v>2693</v>
      </c>
      <c r="E231" s="415" t="s">
        <v>2193</v>
      </c>
      <c r="F231" s="415" t="s">
        <v>2542</v>
      </c>
      <c r="G231" s="415" t="s">
        <v>2865</v>
      </c>
      <c r="H231" s="415">
        <v>0</v>
      </c>
      <c r="I231" s="415">
        <v>0</v>
      </c>
      <c r="J231" s="415">
        <v>3</v>
      </c>
      <c r="K231" s="415">
        <v>1</v>
      </c>
      <c r="L231" s="415">
        <v>365</v>
      </c>
      <c r="M231" s="415">
        <v>195</v>
      </c>
      <c r="N231" s="415">
        <v>538</v>
      </c>
      <c r="O231" s="415" t="s">
        <v>2675</v>
      </c>
      <c r="P231" s="415">
        <v>538</v>
      </c>
      <c r="Q231" s="415">
        <v>343</v>
      </c>
      <c r="R231" s="415" t="s">
        <v>2682</v>
      </c>
      <c r="S231" s="415" t="s">
        <v>2866</v>
      </c>
      <c r="T231" s="416">
        <v>104</v>
      </c>
      <c r="U231" s="416">
        <v>104</v>
      </c>
      <c r="V231" s="416">
        <v>104</v>
      </c>
      <c r="W231" s="416">
        <v>104</v>
      </c>
      <c r="X231" s="416">
        <v>104</v>
      </c>
      <c r="Y231" s="416">
        <v>104</v>
      </c>
      <c r="Z231" s="416">
        <v>104</v>
      </c>
      <c r="AA231" s="416">
        <v>104</v>
      </c>
      <c r="AB231" s="416">
        <v>104</v>
      </c>
      <c r="AC231" s="416">
        <v>104</v>
      </c>
      <c r="AD231" s="416">
        <v>103</v>
      </c>
      <c r="AE231" s="416">
        <v>101</v>
      </c>
      <c r="AF231" s="416">
        <v>98.5</v>
      </c>
      <c r="AG231" s="416">
        <v>96.7</v>
      </c>
      <c r="AH231" s="416">
        <v>93.6</v>
      </c>
      <c r="AI231" s="416">
        <v>90.7</v>
      </c>
      <c r="AJ231" s="416">
        <v>70.400000000000006</v>
      </c>
      <c r="AK231" s="416">
        <v>42.2</v>
      </c>
      <c r="AL231" s="416">
        <v>23.4</v>
      </c>
      <c r="AM231" s="416">
        <v>0</v>
      </c>
      <c r="AN231" s="416">
        <v>0</v>
      </c>
      <c r="AO231" s="416">
        <v>0</v>
      </c>
      <c r="AP231" s="416">
        <v>0</v>
      </c>
      <c r="AQ231" s="416">
        <v>0</v>
      </c>
      <c r="AR231" s="416">
        <v>0</v>
      </c>
      <c r="AS231" s="416">
        <v>0</v>
      </c>
      <c r="AT231" s="416">
        <v>0</v>
      </c>
      <c r="AU231" s="416">
        <v>0</v>
      </c>
      <c r="AV231" s="416">
        <v>0</v>
      </c>
      <c r="AW231" s="416">
        <v>0</v>
      </c>
      <c r="AX231" s="416">
        <v>0</v>
      </c>
      <c r="AY231" s="416">
        <v>0</v>
      </c>
      <c r="AZ231" s="416">
        <v>0</v>
      </c>
    </row>
    <row r="232" spans="1:52" s="411" customFormat="1" x14ac:dyDescent="0.3">
      <c r="A232" s="415" t="str">
        <f t="shared" si="3"/>
        <v>SA-250 Gr.T1b</v>
      </c>
      <c r="B232" s="415">
        <v>226</v>
      </c>
      <c r="C232" s="415" t="s">
        <v>2864</v>
      </c>
      <c r="D232" s="415" t="s">
        <v>2689</v>
      </c>
      <c r="E232" s="415" t="s">
        <v>2201</v>
      </c>
      <c r="F232" s="415" t="s">
        <v>2542</v>
      </c>
      <c r="G232" s="415" t="s">
        <v>2865</v>
      </c>
      <c r="H232" s="415">
        <v>0</v>
      </c>
      <c r="I232" s="415">
        <v>0</v>
      </c>
      <c r="J232" s="415">
        <v>3</v>
      </c>
      <c r="K232" s="415">
        <v>1</v>
      </c>
      <c r="L232" s="415">
        <v>365</v>
      </c>
      <c r="M232" s="415">
        <v>195</v>
      </c>
      <c r="N232" s="415">
        <v>538</v>
      </c>
      <c r="O232" s="415" t="s">
        <v>2675</v>
      </c>
      <c r="P232" s="415" t="s">
        <v>2675</v>
      </c>
      <c r="Q232" s="415" t="s">
        <v>2675</v>
      </c>
      <c r="R232" s="415" t="s">
        <v>2682</v>
      </c>
      <c r="S232" s="415" t="s">
        <v>2867</v>
      </c>
      <c r="T232" s="416">
        <v>104</v>
      </c>
      <c r="U232" s="416">
        <v>104</v>
      </c>
      <c r="V232" s="416">
        <v>104</v>
      </c>
      <c r="W232" s="416">
        <v>104</v>
      </c>
      <c r="X232" s="416">
        <v>104</v>
      </c>
      <c r="Y232" s="416">
        <v>104</v>
      </c>
      <c r="Z232" s="416">
        <v>104</v>
      </c>
      <c r="AA232" s="416">
        <v>104</v>
      </c>
      <c r="AB232" s="416">
        <v>104</v>
      </c>
      <c r="AC232" s="416">
        <v>104</v>
      </c>
      <c r="AD232" s="416">
        <v>103</v>
      </c>
      <c r="AE232" s="416">
        <v>101</v>
      </c>
      <c r="AF232" s="416">
        <v>98.5</v>
      </c>
      <c r="AG232" s="416">
        <v>96.7</v>
      </c>
      <c r="AH232" s="416">
        <v>93.6</v>
      </c>
      <c r="AI232" s="416">
        <v>90.7</v>
      </c>
      <c r="AJ232" s="416">
        <v>70.400000000000006</v>
      </c>
      <c r="AK232" s="416">
        <v>42.2</v>
      </c>
      <c r="AL232" s="416">
        <v>23.4</v>
      </c>
      <c r="AM232" s="416">
        <v>0</v>
      </c>
      <c r="AN232" s="416">
        <v>0</v>
      </c>
      <c r="AO232" s="416">
        <v>0</v>
      </c>
      <c r="AP232" s="416">
        <v>0</v>
      </c>
      <c r="AQ232" s="416">
        <v>0</v>
      </c>
      <c r="AR232" s="416">
        <v>0</v>
      </c>
      <c r="AS232" s="416">
        <v>0</v>
      </c>
      <c r="AT232" s="416">
        <v>0</v>
      </c>
      <c r="AU232" s="416">
        <v>0</v>
      </c>
      <c r="AV232" s="416">
        <v>0</v>
      </c>
      <c r="AW232" s="416">
        <v>0</v>
      </c>
      <c r="AX232" s="416">
        <v>0</v>
      </c>
      <c r="AY232" s="416">
        <v>0</v>
      </c>
      <c r="AZ232" s="416">
        <v>0</v>
      </c>
    </row>
    <row r="233" spans="1:52" s="411" customFormat="1" x14ac:dyDescent="0.3">
      <c r="A233" s="415" t="str">
        <f t="shared" si="3"/>
        <v>SA-250 Gr.T1b</v>
      </c>
      <c r="B233" s="415">
        <v>227</v>
      </c>
      <c r="C233" s="415" t="s">
        <v>2864</v>
      </c>
      <c r="D233" s="415" t="s">
        <v>2689</v>
      </c>
      <c r="E233" s="415" t="s">
        <v>2201</v>
      </c>
      <c r="F233" s="415" t="s">
        <v>2542</v>
      </c>
      <c r="G233" s="415" t="s">
        <v>2865</v>
      </c>
      <c r="H233" s="415">
        <v>0</v>
      </c>
      <c r="I233" s="415">
        <v>0</v>
      </c>
      <c r="J233" s="415">
        <v>3</v>
      </c>
      <c r="K233" s="415">
        <v>1</v>
      </c>
      <c r="L233" s="415">
        <v>365</v>
      </c>
      <c r="M233" s="415">
        <v>195</v>
      </c>
      <c r="N233" s="415">
        <v>538</v>
      </c>
      <c r="O233" s="415" t="s">
        <v>2675</v>
      </c>
      <c r="P233" s="415">
        <v>538</v>
      </c>
      <c r="Q233" s="415">
        <v>343</v>
      </c>
      <c r="R233" s="415" t="s">
        <v>2682</v>
      </c>
      <c r="S233" s="415" t="s">
        <v>2868</v>
      </c>
      <c r="T233" s="416">
        <v>88.9</v>
      </c>
      <c r="U233" s="416">
        <v>88.9</v>
      </c>
      <c r="V233" s="416">
        <v>88.9</v>
      </c>
      <c r="W233" s="416">
        <v>88.9</v>
      </c>
      <c r="X233" s="416">
        <v>88.9</v>
      </c>
      <c r="Y233" s="416">
        <v>88.9</v>
      </c>
      <c r="Z233" s="416">
        <v>88.9</v>
      </c>
      <c r="AA233" s="416">
        <v>88.9</v>
      </c>
      <c r="AB233" s="416">
        <v>88.9</v>
      </c>
      <c r="AC233" s="416">
        <v>88.6</v>
      </c>
      <c r="AD233" s="416">
        <v>87.2</v>
      </c>
      <c r="AE233" s="416">
        <v>85.9</v>
      </c>
      <c r="AF233" s="416">
        <v>84</v>
      </c>
      <c r="AG233" s="416">
        <v>82.2</v>
      </c>
      <c r="AH233" s="416">
        <v>79.7</v>
      </c>
      <c r="AI233" s="416">
        <v>77.400000000000006</v>
      </c>
      <c r="AJ233" s="416">
        <v>60.2</v>
      </c>
      <c r="AK233" s="416">
        <v>36</v>
      </c>
      <c r="AL233" s="416">
        <v>20</v>
      </c>
      <c r="AM233" s="416">
        <v>0</v>
      </c>
      <c r="AN233" s="416">
        <v>0</v>
      </c>
      <c r="AO233" s="416">
        <v>0</v>
      </c>
      <c r="AP233" s="416">
        <v>0</v>
      </c>
      <c r="AQ233" s="416">
        <v>0</v>
      </c>
      <c r="AR233" s="416">
        <v>0</v>
      </c>
      <c r="AS233" s="416">
        <v>0</v>
      </c>
      <c r="AT233" s="416">
        <v>0</v>
      </c>
      <c r="AU233" s="416">
        <v>0</v>
      </c>
      <c r="AV233" s="416">
        <v>0</v>
      </c>
      <c r="AW233" s="416">
        <v>0</v>
      </c>
      <c r="AX233" s="416">
        <v>0</v>
      </c>
      <c r="AY233" s="416">
        <v>0</v>
      </c>
      <c r="AZ233" s="416">
        <v>0</v>
      </c>
    </row>
    <row r="234" spans="1:52" s="411" customFormat="1" x14ac:dyDescent="0.3">
      <c r="A234" s="415" t="str">
        <f t="shared" si="3"/>
        <v>SA-209 Gr.T1</v>
      </c>
      <c r="B234" s="415">
        <v>228</v>
      </c>
      <c r="C234" s="415" t="s">
        <v>2864</v>
      </c>
      <c r="D234" s="415" t="s">
        <v>2693</v>
      </c>
      <c r="E234" s="415" t="s">
        <v>2193</v>
      </c>
      <c r="F234" s="415" t="s">
        <v>2535</v>
      </c>
      <c r="G234" s="415" t="s">
        <v>2869</v>
      </c>
      <c r="H234" s="415">
        <v>0</v>
      </c>
      <c r="I234" s="415">
        <v>0</v>
      </c>
      <c r="J234" s="415">
        <v>3</v>
      </c>
      <c r="K234" s="415">
        <v>1</v>
      </c>
      <c r="L234" s="415">
        <v>380</v>
      </c>
      <c r="M234" s="415">
        <v>205</v>
      </c>
      <c r="N234" s="415">
        <v>538</v>
      </c>
      <c r="O234" s="415" t="s">
        <v>2675</v>
      </c>
      <c r="P234" s="415">
        <v>538</v>
      </c>
      <c r="Q234" s="415">
        <v>343</v>
      </c>
      <c r="R234" s="415" t="s">
        <v>2699</v>
      </c>
      <c r="S234" s="415" t="s">
        <v>2870</v>
      </c>
      <c r="T234" s="416">
        <v>108</v>
      </c>
      <c r="U234" s="416">
        <v>108</v>
      </c>
      <c r="V234" s="416">
        <v>108</v>
      </c>
      <c r="W234" s="416">
        <v>108</v>
      </c>
      <c r="X234" s="416">
        <v>108</v>
      </c>
      <c r="Y234" s="416">
        <v>108</v>
      </c>
      <c r="Z234" s="416">
        <v>108</v>
      </c>
      <c r="AA234" s="416">
        <v>108</v>
      </c>
      <c r="AB234" s="416">
        <v>108</v>
      </c>
      <c r="AC234" s="416">
        <v>108</v>
      </c>
      <c r="AD234" s="416">
        <v>108</v>
      </c>
      <c r="AE234" s="416">
        <v>108</v>
      </c>
      <c r="AF234" s="416">
        <v>106</v>
      </c>
      <c r="AG234" s="416">
        <v>103</v>
      </c>
      <c r="AH234" s="416">
        <v>101</v>
      </c>
      <c r="AI234" s="416">
        <v>96.1</v>
      </c>
      <c r="AJ234" s="416">
        <v>72.099999999999994</v>
      </c>
      <c r="AK234" s="416">
        <v>41.7</v>
      </c>
      <c r="AL234" s="416">
        <v>23.6</v>
      </c>
      <c r="AM234" s="416">
        <v>0</v>
      </c>
      <c r="AN234" s="416">
        <v>0</v>
      </c>
      <c r="AO234" s="416">
        <v>0</v>
      </c>
      <c r="AP234" s="416">
        <v>0</v>
      </c>
      <c r="AQ234" s="416">
        <v>0</v>
      </c>
      <c r="AR234" s="416">
        <v>0</v>
      </c>
      <c r="AS234" s="416">
        <v>0</v>
      </c>
      <c r="AT234" s="416">
        <v>0</v>
      </c>
      <c r="AU234" s="416">
        <v>0</v>
      </c>
      <c r="AV234" s="416">
        <v>0</v>
      </c>
      <c r="AW234" s="416">
        <v>0</v>
      </c>
      <c r="AX234" s="416">
        <v>0</v>
      </c>
      <c r="AY234" s="416">
        <v>0</v>
      </c>
      <c r="AZ234" s="416">
        <v>0</v>
      </c>
    </row>
    <row r="235" spans="1:52" s="411" customFormat="1" x14ac:dyDescent="0.3">
      <c r="A235" s="415" t="str">
        <f t="shared" si="3"/>
        <v>SA-234 Gr.WP1</v>
      </c>
      <c r="B235" s="415">
        <v>229</v>
      </c>
      <c r="C235" s="415" t="s">
        <v>2864</v>
      </c>
      <c r="D235" s="415" t="s">
        <v>2758</v>
      </c>
      <c r="E235" s="415" t="s">
        <v>2174</v>
      </c>
      <c r="F235" s="415" t="s">
        <v>2604</v>
      </c>
      <c r="G235" s="415" t="s">
        <v>2871</v>
      </c>
      <c r="H235" s="415">
        <v>0</v>
      </c>
      <c r="I235" s="415">
        <v>0</v>
      </c>
      <c r="J235" s="415">
        <v>3</v>
      </c>
      <c r="K235" s="415">
        <v>1</v>
      </c>
      <c r="L235" s="415">
        <v>380</v>
      </c>
      <c r="M235" s="415">
        <v>205</v>
      </c>
      <c r="N235" s="415">
        <v>538</v>
      </c>
      <c r="O235" s="415">
        <v>371</v>
      </c>
      <c r="P235" s="415">
        <v>538</v>
      </c>
      <c r="Q235" s="415">
        <v>343</v>
      </c>
      <c r="R235" s="415" t="s">
        <v>2699</v>
      </c>
      <c r="S235" s="415" t="s">
        <v>2872</v>
      </c>
      <c r="T235" s="416">
        <v>108</v>
      </c>
      <c r="U235" s="416">
        <v>108</v>
      </c>
      <c r="V235" s="416">
        <v>108</v>
      </c>
      <c r="W235" s="416">
        <v>108</v>
      </c>
      <c r="X235" s="416">
        <v>108</v>
      </c>
      <c r="Y235" s="416">
        <v>108</v>
      </c>
      <c r="Z235" s="416">
        <v>108</v>
      </c>
      <c r="AA235" s="416">
        <v>108</v>
      </c>
      <c r="AB235" s="416">
        <v>108</v>
      </c>
      <c r="AC235" s="416">
        <v>108</v>
      </c>
      <c r="AD235" s="416">
        <v>108</v>
      </c>
      <c r="AE235" s="416">
        <v>108</v>
      </c>
      <c r="AF235" s="416">
        <v>106</v>
      </c>
      <c r="AG235" s="416">
        <v>103</v>
      </c>
      <c r="AH235" s="416">
        <v>101</v>
      </c>
      <c r="AI235" s="416">
        <v>96.1</v>
      </c>
      <c r="AJ235" s="416">
        <v>72.099999999999994</v>
      </c>
      <c r="AK235" s="416">
        <v>41.7</v>
      </c>
      <c r="AL235" s="416">
        <v>23.6</v>
      </c>
      <c r="AM235" s="416">
        <v>0</v>
      </c>
      <c r="AN235" s="416">
        <v>0</v>
      </c>
      <c r="AO235" s="416">
        <v>0</v>
      </c>
      <c r="AP235" s="416">
        <v>0</v>
      </c>
      <c r="AQ235" s="416">
        <v>0</v>
      </c>
      <c r="AR235" s="416">
        <v>0</v>
      </c>
      <c r="AS235" s="416">
        <v>0</v>
      </c>
      <c r="AT235" s="416">
        <v>0</v>
      </c>
      <c r="AU235" s="416">
        <v>0</v>
      </c>
      <c r="AV235" s="416">
        <v>0</v>
      </c>
      <c r="AW235" s="416">
        <v>0</v>
      </c>
      <c r="AX235" s="416">
        <v>0</v>
      </c>
      <c r="AY235" s="416">
        <v>0</v>
      </c>
      <c r="AZ235" s="416">
        <v>0</v>
      </c>
    </row>
    <row r="236" spans="1:52" s="411" customFormat="1" x14ac:dyDescent="0.3">
      <c r="A236" s="415" t="str">
        <f t="shared" si="3"/>
        <v>SA-250 Gr.T1</v>
      </c>
      <c r="B236" s="415">
        <v>230</v>
      </c>
      <c r="C236" s="415" t="s">
        <v>2864</v>
      </c>
      <c r="D236" s="415" t="s">
        <v>2689</v>
      </c>
      <c r="E236" s="415" t="s">
        <v>2201</v>
      </c>
      <c r="F236" s="415" t="s">
        <v>2535</v>
      </c>
      <c r="G236" s="415" t="s">
        <v>2869</v>
      </c>
      <c r="H236" s="415">
        <v>0</v>
      </c>
      <c r="I236" s="415">
        <v>0</v>
      </c>
      <c r="J236" s="415">
        <v>3</v>
      </c>
      <c r="K236" s="415">
        <v>1</v>
      </c>
      <c r="L236" s="415">
        <v>380</v>
      </c>
      <c r="M236" s="415">
        <v>205</v>
      </c>
      <c r="N236" s="415">
        <v>538</v>
      </c>
      <c r="O236" s="415" t="s">
        <v>2675</v>
      </c>
      <c r="P236" s="415" t="s">
        <v>2675</v>
      </c>
      <c r="Q236" s="415" t="s">
        <v>2675</v>
      </c>
      <c r="R236" s="415" t="s">
        <v>2699</v>
      </c>
      <c r="S236" s="415" t="s">
        <v>2873</v>
      </c>
      <c r="T236" s="416">
        <v>108</v>
      </c>
      <c r="U236" s="416">
        <v>108</v>
      </c>
      <c r="V236" s="416">
        <v>108</v>
      </c>
      <c r="W236" s="416">
        <v>108</v>
      </c>
      <c r="X236" s="416">
        <v>108</v>
      </c>
      <c r="Y236" s="416">
        <v>108</v>
      </c>
      <c r="Z236" s="416">
        <v>108</v>
      </c>
      <c r="AA236" s="416">
        <v>108</v>
      </c>
      <c r="AB236" s="416">
        <v>108</v>
      </c>
      <c r="AC236" s="416">
        <v>108</v>
      </c>
      <c r="AD236" s="416">
        <v>108</v>
      </c>
      <c r="AE236" s="416">
        <v>108</v>
      </c>
      <c r="AF236" s="416">
        <v>106</v>
      </c>
      <c r="AG236" s="416">
        <v>103</v>
      </c>
      <c r="AH236" s="416">
        <v>101</v>
      </c>
      <c r="AI236" s="416">
        <v>96.1</v>
      </c>
      <c r="AJ236" s="416">
        <v>72.099999999999994</v>
      </c>
      <c r="AK236" s="416">
        <v>41.7</v>
      </c>
      <c r="AL236" s="416">
        <v>23.6</v>
      </c>
      <c r="AM236" s="416">
        <v>0</v>
      </c>
      <c r="AN236" s="416">
        <v>0</v>
      </c>
      <c r="AO236" s="416">
        <v>0</v>
      </c>
      <c r="AP236" s="416">
        <v>0</v>
      </c>
      <c r="AQ236" s="416">
        <v>0</v>
      </c>
      <c r="AR236" s="416">
        <v>0</v>
      </c>
      <c r="AS236" s="416">
        <v>0</v>
      </c>
      <c r="AT236" s="416">
        <v>0</v>
      </c>
      <c r="AU236" s="416">
        <v>0</v>
      </c>
      <c r="AV236" s="416">
        <v>0</v>
      </c>
      <c r="AW236" s="416">
        <v>0</v>
      </c>
      <c r="AX236" s="416">
        <v>0</v>
      </c>
      <c r="AY236" s="416">
        <v>0</v>
      </c>
      <c r="AZ236" s="416">
        <v>0</v>
      </c>
    </row>
    <row r="237" spans="1:52" s="411" customFormat="1" x14ac:dyDescent="0.3">
      <c r="A237" s="415" t="str">
        <f t="shared" si="3"/>
        <v>SA-250 Gr.T1</v>
      </c>
      <c r="B237" s="415">
        <v>231</v>
      </c>
      <c r="C237" s="415" t="s">
        <v>2864</v>
      </c>
      <c r="D237" s="415" t="s">
        <v>2689</v>
      </c>
      <c r="E237" s="415" t="s">
        <v>2201</v>
      </c>
      <c r="F237" s="415" t="s">
        <v>2535</v>
      </c>
      <c r="G237" s="415" t="s">
        <v>2869</v>
      </c>
      <c r="H237" s="415">
        <v>0</v>
      </c>
      <c r="I237" s="415">
        <v>0</v>
      </c>
      <c r="J237" s="415">
        <v>3</v>
      </c>
      <c r="K237" s="415">
        <v>1</v>
      </c>
      <c r="L237" s="415">
        <v>380</v>
      </c>
      <c r="M237" s="415">
        <v>205</v>
      </c>
      <c r="N237" s="415">
        <v>538</v>
      </c>
      <c r="O237" s="415" t="s">
        <v>2675</v>
      </c>
      <c r="P237" s="415">
        <v>538</v>
      </c>
      <c r="Q237" s="415">
        <v>343</v>
      </c>
      <c r="R237" s="415" t="s">
        <v>2699</v>
      </c>
      <c r="S237" s="415" t="s">
        <v>2874</v>
      </c>
      <c r="T237" s="416">
        <v>92.4</v>
      </c>
      <c r="U237" s="416">
        <v>92.4</v>
      </c>
      <c r="V237" s="416">
        <v>92.4</v>
      </c>
      <c r="W237" s="416">
        <v>92.4</v>
      </c>
      <c r="X237" s="416">
        <v>92.4</v>
      </c>
      <c r="Y237" s="416">
        <v>92.4</v>
      </c>
      <c r="Z237" s="416">
        <v>92.4</v>
      </c>
      <c r="AA237" s="416">
        <v>92.4</v>
      </c>
      <c r="AB237" s="416">
        <v>92.4</v>
      </c>
      <c r="AC237" s="416">
        <v>92.4</v>
      </c>
      <c r="AD237" s="416">
        <v>92.4</v>
      </c>
      <c r="AE237" s="416">
        <v>92.2</v>
      </c>
      <c r="AF237" s="416">
        <v>90.2</v>
      </c>
      <c r="AG237" s="416">
        <v>87.7</v>
      </c>
      <c r="AH237" s="416">
        <v>85.4</v>
      </c>
      <c r="AI237" s="416">
        <v>81.400000000000006</v>
      </c>
      <c r="AJ237" s="416">
        <v>61.3</v>
      </c>
      <c r="AK237" s="416">
        <v>35.700000000000003</v>
      </c>
      <c r="AL237" s="416">
        <v>20.100000000000001</v>
      </c>
      <c r="AM237" s="416">
        <v>0</v>
      </c>
      <c r="AN237" s="416">
        <v>0</v>
      </c>
      <c r="AO237" s="416">
        <v>0</v>
      </c>
      <c r="AP237" s="416">
        <v>0</v>
      </c>
      <c r="AQ237" s="416">
        <v>0</v>
      </c>
      <c r="AR237" s="416">
        <v>0</v>
      </c>
      <c r="AS237" s="416">
        <v>0</v>
      </c>
      <c r="AT237" s="416">
        <v>0</v>
      </c>
      <c r="AU237" s="416">
        <v>0</v>
      </c>
      <c r="AV237" s="416">
        <v>0</v>
      </c>
      <c r="AW237" s="416">
        <v>0</v>
      </c>
      <c r="AX237" s="416">
        <v>0</v>
      </c>
      <c r="AY237" s="416">
        <v>0</v>
      </c>
      <c r="AZ237" s="416">
        <v>0</v>
      </c>
    </row>
    <row r="238" spans="1:52" s="411" customFormat="1" x14ac:dyDescent="0.3">
      <c r="A238" s="415" t="str">
        <f t="shared" si="3"/>
        <v>SA-335 Gr.P1</v>
      </c>
      <c r="B238" s="415">
        <v>232</v>
      </c>
      <c r="C238" s="415" t="s">
        <v>2864</v>
      </c>
      <c r="D238" s="415" t="s">
        <v>2703</v>
      </c>
      <c r="E238" s="415" t="s">
        <v>2210</v>
      </c>
      <c r="F238" s="415" t="s">
        <v>2509</v>
      </c>
      <c r="G238" s="415" t="s">
        <v>2869</v>
      </c>
      <c r="H238" s="415">
        <v>0</v>
      </c>
      <c r="I238" s="415">
        <v>0</v>
      </c>
      <c r="J238" s="415">
        <v>3</v>
      </c>
      <c r="K238" s="415">
        <v>1</v>
      </c>
      <c r="L238" s="415">
        <v>380</v>
      </c>
      <c r="M238" s="415">
        <v>205</v>
      </c>
      <c r="N238" s="415">
        <v>538</v>
      </c>
      <c r="O238" s="415">
        <v>371</v>
      </c>
      <c r="P238" s="415">
        <v>538</v>
      </c>
      <c r="Q238" s="415">
        <v>343</v>
      </c>
      <c r="R238" s="415" t="s">
        <v>2699</v>
      </c>
      <c r="S238" s="415" t="s">
        <v>2875</v>
      </c>
      <c r="T238" s="416">
        <v>108</v>
      </c>
      <c r="U238" s="416">
        <v>108</v>
      </c>
      <c r="V238" s="416">
        <v>108</v>
      </c>
      <c r="W238" s="416">
        <v>108</v>
      </c>
      <c r="X238" s="416">
        <v>108</v>
      </c>
      <c r="Y238" s="416">
        <v>108</v>
      </c>
      <c r="Z238" s="416">
        <v>108</v>
      </c>
      <c r="AA238" s="416">
        <v>108</v>
      </c>
      <c r="AB238" s="416">
        <v>108</v>
      </c>
      <c r="AC238" s="416">
        <v>108</v>
      </c>
      <c r="AD238" s="416">
        <v>108</v>
      </c>
      <c r="AE238" s="416">
        <v>108</v>
      </c>
      <c r="AF238" s="416">
        <v>106</v>
      </c>
      <c r="AG238" s="416">
        <v>103</v>
      </c>
      <c r="AH238" s="416">
        <v>101</v>
      </c>
      <c r="AI238" s="416">
        <v>96.1</v>
      </c>
      <c r="AJ238" s="416">
        <v>72.099999999999994</v>
      </c>
      <c r="AK238" s="416">
        <v>41.7</v>
      </c>
      <c r="AL238" s="416">
        <v>23.6</v>
      </c>
      <c r="AM238" s="416">
        <v>0</v>
      </c>
      <c r="AN238" s="416">
        <v>0</v>
      </c>
      <c r="AO238" s="416">
        <v>0</v>
      </c>
      <c r="AP238" s="416">
        <v>0</v>
      </c>
      <c r="AQ238" s="416">
        <v>0</v>
      </c>
      <c r="AR238" s="416">
        <v>0</v>
      </c>
      <c r="AS238" s="416">
        <v>0</v>
      </c>
      <c r="AT238" s="416">
        <v>0</v>
      </c>
      <c r="AU238" s="416">
        <v>0</v>
      </c>
      <c r="AV238" s="416">
        <v>0</v>
      </c>
      <c r="AW238" s="416">
        <v>0</v>
      </c>
      <c r="AX238" s="416">
        <v>0</v>
      </c>
      <c r="AY238" s="416">
        <v>0</v>
      </c>
      <c r="AZ238" s="416">
        <v>0</v>
      </c>
    </row>
    <row r="239" spans="1:52" s="411" customFormat="1" x14ac:dyDescent="0.3">
      <c r="A239" s="415" t="str">
        <f t="shared" si="3"/>
        <v>SA-369 Gr.FP1</v>
      </c>
      <c r="B239" s="415">
        <v>233</v>
      </c>
      <c r="C239" s="415" t="s">
        <v>2864</v>
      </c>
      <c r="D239" s="415" t="s">
        <v>2707</v>
      </c>
      <c r="E239" s="415" t="s">
        <v>2221</v>
      </c>
      <c r="F239" s="415" t="s">
        <v>2465</v>
      </c>
      <c r="G239" s="415" t="s">
        <v>2869</v>
      </c>
      <c r="H239" s="415">
        <v>0</v>
      </c>
      <c r="I239" s="415">
        <v>0</v>
      </c>
      <c r="J239" s="415">
        <v>3</v>
      </c>
      <c r="K239" s="415">
        <v>1</v>
      </c>
      <c r="L239" s="415">
        <v>380</v>
      </c>
      <c r="M239" s="415">
        <v>205</v>
      </c>
      <c r="N239" s="415">
        <v>538</v>
      </c>
      <c r="O239" s="415">
        <v>371</v>
      </c>
      <c r="P239" s="415">
        <v>538</v>
      </c>
      <c r="Q239" s="415">
        <v>343</v>
      </c>
      <c r="R239" s="415" t="s">
        <v>2699</v>
      </c>
      <c r="S239" s="415" t="s">
        <v>2875</v>
      </c>
      <c r="T239" s="416">
        <v>108</v>
      </c>
      <c r="U239" s="416">
        <v>108</v>
      </c>
      <c r="V239" s="416">
        <v>108</v>
      </c>
      <c r="W239" s="416">
        <v>108</v>
      </c>
      <c r="X239" s="416">
        <v>108</v>
      </c>
      <c r="Y239" s="416">
        <v>108</v>
      </c>
      <c r="Z239" s="416">
        <v>108</v>
      </c>
      <c r="AA239" s="416">
        <v>108</v>
      </c>
      <c r="AB239" s="416">
        <v>108</v>
      </c>
      <c r="AC239" s="416">
        <v>108</v>
      </c>
      <c r="AD239" s="416">
        <v>108</v>
      </c>
      <c r="AE239" s="416">
        <v>108</v>
      </c>
      <c r="AF239" s="416">
        <v>106</v>
      </c>
      <c r="AG239" s="416">
        <v>103</v>
      </c>
      <c r="AH239" s="416">
        <v>101</v>
      </c>
      <c r="AI239" s="416">
        <v>96.1</v>
      </c>
      <c r="AJ239" s="416">
        <v>72.099999999999994</v>
      </c>
      <c r="AK239" s="416">
        <v>41.7</v>
      </c>
      <c r="AL239" s="416">
        <v>23.6</v>
      </c>
      <c r="AM239" s="416">
        <v>0</v>
      </c>
      <c r="AN239" s="416">
        <v>0</v>
      </c>
      <c r="AO239" s="416">
        <v>0</v>
      </c>
      <c r="AP239" s="416">
        <v>0</v>
      </c>
      <c r="AQ239" s="416">
        <v>0</v>
      </c>
      <c r="AR239" s="416">
        <v>0</v>
      </c>
      <c r="AS239" s="416">
        <v>0</v>
      </c>
      <c r="AT239" s="416">
        <v>0</v>
      </c>
      <c r="AU239" s="416">
        <v>0</v>
      </c>
      <c r="AV239" s="416">
        <v>0</v>
      </c>
      <c r="AW239" s="416">
        <v>0</v>
      </c>
      <c r="AX239" s="416">
        <v>0</v>
      </c>
      <c r="AY239" s="416">
        <v>0</v>
      </c>
      <c r="AZ239" s="416">
        <v>0</v>
      </c>
    </row>
    <row r="240" spans="1:52" s="411" customFormat="1" x14ac:dyDescent="0.3">
      <c r="A240" s="415" t="str">
        <f t="shared" si="3"/>
        <v>SA-209 Gr.T1a</v>
      </c>
      <c r="B240" s="415">
        <v>234</v>
      </c>
      <c r="C240" s="415" t="s">
        <v>2864</v>
      </c>
      <c r="D240" s="415" t="s">
        <v>2693</v>
      </c>
      <c r="E240" s="415" t="s">
        <v>2193</v>
      </c>
      <c r="F240" s="415" t="s">
        <v>2541</v>
      </c>
      <c r="G240" s="415" t="s">
        <v>2876</v>
      </c>
      <c r="H240" s="415">
        <v>0</v>
      </c>
      <c r="I240" s="415">
        <v>0</v>
      </c>
      <c r="J240" s="415">
        <v>3</v>
      </c>
      <c r="K240" s="415">
        <v>1</v>
      </c>
      <c r="L240" s="415">
        <v>415</v>
      </c>
      <c r="M240" s="415">
        <v>220</v>
      </c>
      <c r="N240" s="415">
        <v>538</v>
      </c>
      <c r="O240" s="415" t="s">
        <v>2675</v>
      </c>
      <c r="P240" s="415">
        <v>538</v>
      </c>
      <c r="Q240" s="415">
        <v>343</v>
      </c>
      <c r="R240" s="415" t="s">
        <v>2699</v>
      </c>
      <c r="S240" s="415" t="s">
        <v>2870</v>
      </c>
      <c r="T240" s="416">
        <v>118</v>
      </c>
      <c r="U240" s="416">
        <v>118</v>
      </c>
      <c r="V240" s="416">
        <v>118</v>
      </c>
      <c r="W240" s="416">
        <v>118</v>
      </c>
      <c r="X240" s="416">
        <v>118</v>
      </c>
      <c r="Y240" s="416">
        <v>118</v>
      </c>
      <c r="Z240" s="416">
        <v>118</v>
      </c>
      <c r="AA240" s="416">
        <v>118</v>
      </c>
      <c r="AB240" s="416">
        <v>118</v>
      </c>
      <c r="AC240" s="416">
        <v>118</v>
      </c>
      <c r="AD240" s="416">
        <v>118</v>
      </c>
      <c r="AE240" s="416">
        <v>115</v>
      </c>
      <c r="AF240" s="416">
        <v>113</v>
      </c>
      <c r="AG240" s="416">
        <v>110</v>
      </c>
      <c r="AH240" s="416">
        <v>107</v>
      </c>
      <c r="AI240" s="416">
        <v>100</v>
      </c>
      <c r="AJ240" s="416">
        <v>70.400000000000006</v>
      </c>
      <c r="AK240" s="416">
        <v>42.3</v>
      </c>
      <c r="AL240" s="416">
        <v>23.4</v>
      </c>
      <c r="AM240" s="416">
        <v>0</v>
      </c>
      <c r="AN240" s="416">
        <v>0</v>
      </c>
      <c r="AO240" s="416">
        <v>0</v>
      </c>
      <c r="AP240" s="416">
        <v>0</v>
      </c>
      <c r="AQ240" s="416">
        <v>0</v>
      </c>
      <c r="AR240" s="416">
        <v>0</v>
      </c>
      <c r="AS240" s="416">
        <v>0</v>
      </c>
      <c r="AT240" s="416">
        <v>0</v>
      </c>
      <c r="AU240" s="416">
        <v>0</v>
      </c>
      <c r="AV240" s="416">
        <v>0</v>
      </c>
      <c r="AW240" s="416">
        <v>0</v>
      </c>
      <c r="AX240" s="416">
        <v>0</v>
      </c>
      <c r="AY240" s="416">
        <v>0</v>
      </c>
      <c r="AZ240" s="416">
        <v>0</v>
      </c>
    </row>
    <row r="241" spans="1:52" s="411" customFormat="1" x14ac:dyDescent="0.3">
      <c r="A241" s="415" t="str">
        <f t="shared" si="3"/>
        <v>SA-250 Gr.T1a</v>
      </c>
      <c r="B241" s="415">
        <v>235</v>
      </c>
      <c r="C241" s="415" t="s">
        <v>2864</v>
      </c>
      <c r="D241" s="415" t="s">
        <v>2689</v>
      </c>
      <c r="E241" s="415" t="s">
        <v>2201</v>
      </c>
      <c r="F241" s="415" t="s">
        <v>2541</v>
      </c>
      <c r="G241" s="415" t="s">
        <v>2876</v>
      </c>
      <c r="H241" s="415">
        <v>0</v>
      </c>
      <c r="I241" s="415">
        <v>0</v>
      </c>
      <c r="J241" s="415">
        <v>3</v>
      </c>
      <c r="K241" s="415">
        <v>1</v>
      </c>
      <c r="L241" s="415">
        <v>415</v>
      </c>
      <c r="M241" s="415">
        <v>220</v>
      </c>
      <c r="N241" s="415">
        <v>538</v>
      </c>
      <c r="O241" s="415" t="s">
        <v>2675</v>
      </c>
      <c r="P241" s="415" t="s">
        <v>2675</v>
      </c>
      <c r="Q241" s="415" t="s">
        <v>2675</v>
      </c>
      <c r="R241" s="415" t="s">
        <v>2699</v>
      </c>
      <c r="S241" s="415" t="s">
        <v>2873</v>
      </c>
      <c r="T241" s="416">
        <v>118</v>
      </c>
      <c r="U241" s="416">
        <v>118</v>
      </c>
      <c r="V241" s="416">
        <v>118</v>
      </c>
      <c r="W241" s="416">
        <v>118</v>
      </c>
      <c r="X241" s="416">
        <v>118</v>
      </c>
      <c r="Y241" s="416">
        <v>118</v>
      </c>
      <c r="Z241" s="416">
        <v>118</v>
      </c>
      <c r="AA241" s="416">
        <v>118</v>
      </c>
      <c r="AB241" s="416">
        <v>118</v>
      </c>
      <c r="AC241" s="416">
        <v>118</v>
      </c>
      <c r="AD241" s="416">
        <v>118</v>
      </c>
      <c r="AE241" s="416">
        <v>115</v>
      </c>
      <c r="AF241" s="416">
        <v>113</v>
      </c>
      <c r="AG241" s="416">
        <v>110</v>
      </c>
      <c r="AH241" s="416">
        <v>107</v>
      </c>
      <c r="AI241" s="416">
        <v>100</v>
      </c>
      <c r="AJ241" s="416">
        <v>70.400000000000006</v>
      </c>
      <c r="AK241" s="416">
        <v>42.3</v>
      </c>
      <c r="AL241" s="416">
        <v>23.4</v>
      </c>
      <c r="AM241" s="416">
        <v>0</v>
      </c>
      <c r="AN241" s="416">
        <v>0</v>
      </c>
      <c r="AO241" s="416">
        <v>0</v>
      </c>
      <c r="AP241" s="416">
        <v>0</v>
      </c>
      <c r="AQ241" s="416">
        <v>0</v>
      </c>
      <c r="AR241" s="416">
        <v>0</v>
      </c>
      <c r="AS241" s="416">
        <v>0</v>
      </c>
      <c r="AT241" s="416">
        <v>0</v>
      </c>
      <c r="AU241" s="416">
        <v>0</v>
      </c>
      <c r="AV241" s="416">
        <v>0</v>
      </c>
      <c r="AW241" s="416">
        <v>0</v>
      </c>
      <c r="AX241" s="416">
        <v>0</v>
      </c>
      <c r="AY241" s="416">
        <v>0</v>
      </c>
      <c r="AZ241" s="416">
        <v>0</v>
      </c>
    </row>
    <row r="242" spans="1:52" s="411" customFormat="1" x14ac:dyDescent="0.3">
      <c r="A242" s="415" t="str">
        <f t="shared" si="3"/>
        <v>SA-250 Gr.T1a</v>
      </c>
      <c r="B242" s="415">
        <v>236</v>
      </c>
      <c r="C242" s="415" t="s">
        <v>2864</v>
      </c>
      <c r="D242" s="415" t="s">
        <v>2689</v>
      </c>
      <c r="E242" s="415" t="s">
        <v>2201</v>
      </c>
      <c r="F242" s="415" t="s">
        <v>2541</v>
      </c>
      <c r="G242" s="415" t="s">
        <v>2876</v>
      </c>
      <c r="H242" s="415">
        <v>0</v>
      </c>
      <c r="I242" s="415">
        <v>0</v>
      </c>
      <c r="J242" s="415">
        <v>3</v>
      </c>
      <c r="K242" s="415">
        <v>1</v>
      </c>
      <c r="L242" s="415">
        <v>415</v>
      </c>
      <c r="M242" s="415">
        <v>220</v>
      </c>
      <c r="N242" s="415">
        <v>538</v>
      </c>
      <c r="O242" s="415" t="s">
        <v>2675</v>
      </c>
      <c r="P242" s="415">
        <v>538</v>
      </c>
      <c r="Q242" s="415">
        <v>343</v>
      </c>
      <c r="R242" s="415" t="s">
        <v>2699</v>
      </c>
      <c r="S242" s="415" t="s">
        <v>2874</v>
      </c>
      <c r="T242" s="416">
        <v>101</v>
      </c>
      <c r="U242" s="416">
        <v>101</v>
      </c>
      <c r="V242" s="416">
        <v>101</v>
      </c>
      <c r="W242" s="416">
        <v>101</v>
      </c>
      <c r="X242" s="416">
        <v>101</v>
      </c>
      <c r="Y242" s="416">
        <v>101</v>
      </c>
      <c r="Z242" s="416">
        <v>101</v>
      </c>
      <c r="AA242" s="416">
        <v>101</v>
      </c>
      <c r="AB242" s="416">
        <v>101</v>
      </c>
      <c r="AC242" s="416">
        <v>101</v>
      </c>
      <c r="AD242" s="416">
        <v>100</v>
      </c>
      <c r="AE242" s="416">
        <v>98.2</v>
      </c>
      <c r="AF242" s="416">
        <v>95.8</v>
      </c>
      <c r="AG242" s="416">
        <v>93.9</v>
      </c>
      <c r="AH242" s="416">
        <v>90.9</v>
      </c>
      <c r="AI242" s="416">
        <v>84.9</v>
      </c>
      <c r="AJ242" s="416">
        <v>59.9</v>
      </c>
      <c r="AK242" s="416">
        <v>36.200000000000003</v>
      </c>
      <c r="AL242" s="416">
        <v>19.899999999999999</v>
      </c>
      <c r="AM242" s="416">
        <v>0</v>
      </c>
      <c r="AN242" s="416">
        <v>0</v>
      </c>
      <c r="AO242" s="416">
        <v>0</v>
      </c>
      <c r="AP242" s="416">
        <v>0</v>
      </c>
      <c r="AQ242" s="416">
        <v>0</v>
      </c>
      <c r="AR242" s="416">
        <v>0</v>
      </c>
      <c r="AS242" s="416">
        <v>0</v>
      </c>
      <c r="AT242" s="416">
        <v>0</v>
      </c>
      <c r="AU242" s="416">
        <v>0</v>
      </c>
      <c r="AV242" s="416">
        <v>0</v>
      </c>
      <c r="AW242" s="416">
        <v>0</v>
      </c>
      <c r="AX242" s="416">
        <v>0</v>
      </c>
      <c r="AY242" s="416">
        <v>0</v>
      </c>
      <c r="AZ242" s="416">
        <v>0</v>
      </c>
    </row>
    <row r="243" spans="1:52" s="411" customFormat="1" x14ac:dyDescent="0.3">
      <c r="A243" s="415" t="str">
        <f t="shared" si="3"/>
        <v>SA-217 Gr.WC1</v>
      </c>
      <c r="B243" s="415">
        <v>237</v>
      </c>
      <c r="C243" s="415" t="s">
        <v>2864</v>
      </c>
      <c r="D243" s="415" t="s">
        <v>2739</v>
      </c>
      <c r="E243" s="415" t="s">
        <v>2198</v>
      </c>
      <c r="F243" s="415" t="s">
        <v>2596</v>
      </c>
      <c r="G243" s="415" t="s">
        <v>2877</v>
      </c>
      <c r="H243" s="415">
        <v>0</v>
      </c>
      <c r="I243" s="415">
        <v>0</v>
      </c>
      <c r="J243" s="415">
        <v>3</v>
      </c>
      <c r="K243" s="415">
        <v>1</v>
      </c>
      <c r="L243" s="415">
        <v>450</v>
      </c>
      <c r="M243" s="415">
        <v>240</v>
      </c>
      <c r="N243" s="415">
        <v>538</v>
      </c>
      <c r="O243" s="415">
        <v>371</v>
      </c>
      <c r="P243" s="415">
        <v>538</v>
      </c>
      <c r="Q243" s="415">
        <v>343</v>
      </c>
      <c r="R243" s="415" t="s">
        <v>2699</v>
      </c>
      <c r="S243" s="415" t="s">
        <v>2878</v>
      </c>
      <c r="T243" s="416">
        <v>128</v>
      </c>
      <c r="U243" s="416">
        <v>128</v>
      </c>
      <c r="V243" s="416">
        <v>128</v>
      </c>
      <c r="W243" s="416">
        <v>128</v>
      </c>
      <c r="X243" s="416">
        <v>128</v>
      </c>
      <c r="Y243" s="416">
        <v>128</v>
      </c>
      <c r="Z243" s="416">
        <v>128</v>
      </c>
      <c r="AA243" s="416">
        <v>128</v>
      </c>
      <c r="AB243" s="416">
        <v>128</v>
      </c>
      <c r="AC243" s="416">
        <v>128</v>
      </c>
      <c r="AD243" s="416">
        <v>128</v>
      </c>
      <c r="AE243" s="416">
        <v>126</v>
      </c>
      <c r="AF243" s="416">
        <v>123</v>
      </c>
      <c r="AG243" s="416">
        <v>120</v>
      </c>
      <c r="AH243" s="416">
        <v>117</v>
      </c>
      <c r="AI243" s="416">
        <v>103</v>
      </c>
      <c r="AJ243" s="416">
        <v>69.5</v>
      </c>
      <c r="AK243" s="416">
        <v>42.6</v>
      </c>
      <c r="AL243" s="416">
        <v>23.2</v>
      </c>
      <c r="AM243" s="416">
        <v>0</v>
      </c>
      <c r="AN243" s="416">
        <v>0</v>
      </c>
      <c r="AO243" s="416">
        <v>0</v>
      </c>
      <c r="AP243" s="416">
        <v>0</v>
      </c>
      <c r="AQ243" s="416">
        <v>0</v>
      </c>
      <c r="AR243" s="416">
        <v>0</v>
      </c>
      <c r="AS243" s="416">
        <v>0</v>
      </c>
      <c r="AT243" s="416">
        <v>0</v>
      </c>
      <c r="AU243" s="416">
        <v>0</v>
      </c>
      <c r="AV243" s="416">
        <v>0</v>
      </c>
      <c r="AW243" s="416">
        <v>0</v>
      </c>
      <c r="AX243" s="416">
        <v>0</v>
      </c>
      <c r="AY243" s="416">
        <v>0</v>
      </c>
      <c r="AZ243" s="416">
        <v>0</v>
      </c>
    </row>
    <row r="244" spans="1:52" s="411" customFormat="1" x14ac:dyDescent="0.3">
      <c r="A244" s="415" t="str">
        <f t="shared" si="3"/>
        <v>SA-352 Gr.LC1</v>
      </c>
      <c r="B244" s="415">
        <v>238</v>
      </c>
      <c r="C244" s="415" t="s">
        <v>2864</v>
      </c>
      <c r="D244" s="415" t="s">
        <v>2739</v>
      </c>
      <c r="E244" s="415" t="s">
        <v>2214</v>
      </c>
      <c r="F244" s="415" t="s">
        <v>2495</v>
      </c>
      <c r="G244" s="415" t="s">
        <v>2879</v>
      </c>
      <c r="H244" s="415">
        <v>0</v>
      </c>
      <c r="I244" s="415">
        <v>0</v>
      </c>
      <c r="J244" s="415">
        <v>3</v>
      </c>
      <c r="K244" s="415">
        <v>1</v>
      </c>
      <c r="L244" s="415">
        <v>450</v>
      </c>
      <c r="M244" s="415">
        <v>240</v>
      </c>
      <c r="N244" s="415" t="s">
        <v>2675</v>
      </c>
      <c r="O244" s="415">
        <v>371</v>
      </c>
      <c r="P244" s="415">
        <v>343</v>
      </c>
      <c r="Q244" s="415">
        <v>343</v>
      </c>
      <c r="R244" s="415" t="s">
        <v>2699</v>
      </c>
      <c r="S244" s="415" t="s">
        <v>2785</v>
      </c>
      <c r="T244" s="416">
        <v>128</v>
      </c>
      <c r="U244" s="416">
        <v>128</v>
      </c>
      <c r="V244" s="416">
        <v>128</v>
      </c>
      <c r="W244" s="416">
        <v>128</v>
      </c>
      <c r="X244" s="416">
        <v>128</v>
      </c>
      <c r="Y244" s="416">
        <v>128</v>
      </c>
      <c r="Z244" s="416">
        <v>128</v>
      </c>
      <c r="AA244" s="416">
        <v>128</v>
      </c>
      <c r="AB244" s="416">
        <v>128</v>
      </c>
      <c r="AC244" s="416">
        <v>128</v>
      </c>
      <c r="AD244" s="416">
        <v>128</v>
      </c>
      <c r="AE244" s="416">
        <v>126</v>
      </c>
      <c r="AF244" s="416">
        <v>0</v>
      </c>
      <c r="AG244" s="416">
        <v>0</v>
      </c>
      <c r="AH244" s="416">
        <v>0</v>
      </c>
      <c r="AI244" s="416">
        <v>0</v>
      </c>
      <c r="AJ244" s="416">
        <v>0</v>
      </c>
      <c r="AK244" s="416">
        <v>0</v>
      </c>
      <c r="AL244" s="416">
        <v>0</v>
      </c>
      <c r="AM244" s="416">
        <v>0</v>
      </c>
      <c r="AN244" s="416">
        <v>0</v>
      </c>
      <c r="AO244" s="416">
        <v>0</v>
      </c>
      <c r="AP244" s="416">
        <v>0</v>
      </c>
      <c r="AQ244" s="416">
        <v>0</v>
      </c>
      <c r="AR244" s="416">
        <v>0</v>
      </c>
      <c r="AS244" s="416">
        <v>0</v>
      </c>
      <c r="AT244" s="416">
        <v>0</v>
      </c>
      <c r="AU244" s="416">
        <v>0</v>
      </c>
      <c r="AV244" s="416">
        <v>0</v>
      </c>
      <c r="AW244" s="416">
        <v>0</v>
      </c>
      <c r="AX244" s="416">
        <v>0</v>
      </c>
      <c r="AY244" s="416">
        <v>0</v>
      </c>
      <c r="AZ244" s="416">
        <v>0</v>
      </c>
    </row>
    <row r="245" spans="1:52" s="411" customFormat="1" x14ac:dyDescent="0.3">
      <c r="A245" s="415" t="str">
        <f t="shared" si="3"/>
        <v>SA-426 Gr.CP1</v>
      </c>
      <c r="B245" s="415">
        <v>239</v>
      </c>
      <c r="C245" s="415" t="s">
        <v>2864</v>
      </c>
      <c r="D245" s="415" t="s">
        <v>2746</v>
      </c>
      <c r="E245" s="415" t="s">
        <v>2239</v>
      </c>
      <c r="F245" s="415" t="s">
        <v>2393</v>
      </c>
      <c r="G245" s="415" t="s">
        <v>2880</v>
      </c>
      <c r="H245" s="415">
        <v>0</v>
      </c>
      <c r="I245" s="415">
        <v>0</v>
      </c>
      <c r="J245" s="415">
        <v>3</v>
      </c>
      <c r="K245" s="415">
        <v>1</v>
      </c>
      <c r="L245" s="415">
        <v>450</v>
      </c>
      <c r="M245" s="415">
        <v>240</v>
      </c>
      <c r="N245" s="415" t="s">
        <v>2675</v>
      </c>
      <c r="O245" s="415">
        <v>371</v>
      </c>
      <c r="P245" s="415" t="s">
        <v>2675</v>
      </c>
      <c r="Q245" s="415" t="s">
        <v>2675</v>
      </c>
      <c r="R245" s="415" t="s">
        <v>2699</v>
      </c>
      <c r="S245" s="415" t="s">
        <v>2745</v>
      </c>
      <c r="T245" s="416">
        <v>128</v>
      </c>
      <c r="U245" s="416">
        <v>128</v>
      </c>
      <c r="V245" s="416">
        <v>128</v>
      </c>
      <c r="W245" s="416">
        <v>128</v>
      </c>
      <c r="X245" s="416">
        <v>128</v>
      </c>
      <c r="Y245" s="416">
        <v>128</v>
      </c>
      <c r="Z245" s="416">
        <v>128</v>
      </c>
      <c r="AA245" s="416">
        <v>128</v>
      </c>
      <c r="AB245" s="416">
        <v>128</v>
      </c>
      <c r="AC245" s="416">
        <v>128</v>
      </c>
      <c r="AD245" s="416">
        <v>128</v>
      </c>
      <c r="AE245" s="416">
        <v>126</v>
      </c>
      <c r="AF245" s="416">
        <v>0</v>
      </c>
      <c r="AG245" s="416">
        <v>0</v>
      </c>
      <c r="AH245" s="416">
        <v>0</v>
      </c>
      <c r="AI245" s="416">
        <v>0</v>
      </c>
      <c r="AJ245" s="416">
        <v>0</v>
      </c>
      <c r="AK245" s="416">
        <v>0</v>
      </c>
      <c r="AL245" s="416">
        <v>0</v>
      </c>
      <c r="AM245" s="416">
        <v>0</v>
      </c>
      <c r="AN245" s="416">
        <v>0</v>
      </c>
      <c r="AO245" s="416">
        <v>0</v>
      </c>
      <c r="AP245" s="416">
        <v>0</v>
      </c>
      <c r="AQ245" s="416">
        <v>0</v>
      </c>
      <c r="AR245" s="416">
        <v>0</v>
      </c>
      <c r="AS245" s="416">
        <v>0</v>
      </c>
      <c r="AT245" s="416">
        <v>0</v>
      </c>
      <c r="AU245" s="416">
        <v>0</v>
      </c>
      <c r="AV245" s="416">
        <v>0</v>
      </c>
      <c r="AW245" s="416">
        <v>0</v>
      </c>
      <c r="AX245" s="416">
        <v>0</v>
      </c>
      <c r="AY245" s="416">
        <v>0</v>
      </c>
      <c r="AZ245" s="416">
        <v>0</v>
      </c>
    </row>
    <row r="246" spans="1:52" s="411" customFormat="1" x14ac:dyDescent="0.3">
      <c r="A246" s="415" t="str">
        <f t="shared" si="3"/>
        <v>SA-204 Gr.A</v>
      </c>
      <c r="B246" s="415">
        <v>240</v>
      </c>
      <c r="C246" s="415" t="s">
        <v>2864</v>
      </c>
      <c r="D246" s="415" t="s">
        <v>2684</v>
      </c>
      <c r="E246" s="415" t="s">
        <v>2192</v>
      </c>
      <c r="F246" s="415" t="s">
        <v>12</v>
      </c>
      <c r="G246" s="415" t="s">
        <v>2881</v>
      </c>
      <c r="H246" s="415">
        <v>0</v>
      </c>
      <c r="I246" s="415">
        <v>0</v>
      </c>
      <c r="J246" s="415">
        <v>3</v>
      </c>
      <c r="K246" s="415">
        <v>1</v>
      </c>
      <c r="L246" s="415">
        <v>450</v>
      </c>
      <c r="M246" s="415">
        <v>255</v>
      </c>
      <c r="N246" s="415">
        <v>538</v>
      </c>
      <c r="O246" s="415">
        <v>371</v>
      </c>
      <c r="P246" s="415">
        <v>538</v>
      </c>
      <c r="Q246" s="415">
        <v>343</v>
      </c>
      <c r="R246" s="415" t="s">
        <v>2699</v>
      </c>
      <c r="S246" s="415" t="s">
        <v>2875</v>
      </c>
      <c r="T246" s="416">
        <v>128</v>
      </c>
      <c r="U246" s="416">
        <v>128</v>
      </c>
      <c r="V246" s="416">
        <v>128</v>
      </c>
      <c r="W246" s="416">
        <v>128</v>
      </c>
      <c r="X246" s="416">
        <v>128</v>
      </c>
      <c r="Y246" s="416">
        <v>128</v>
      </c>
      <c r="Z246" s="416">
        <v>128</v>
      </c>
      <c r="AA246" s="416">
        <v>128</v>
      </c>
      <c r="AB246" s="416">
        <v>128</v>
      </c>
      <c r="AC246" s="416">
        <v>128</v>
      </c>
      <c r="AD246" s="416">
        <v>128</v>
      </c>
      <c r="AE246" s="416">
        <v>128</v>
      </c>
      <c r="AF246" s="416">
        <v>128</v>
      </c>
      <c r="AG246" s="416">
        <v>127</v>
      </c>
      <c r="AH246" s="416">
        <v>124</v>
      </c>
      <c r="AI246" s="416">
        <v>105</v>
      </c>
      <c r="AJ246" s="416">
        <v>68.900000000000006</v>
      </c>
      <c r="AK246" s="416">
        <v>42.8</v>
      </c>
      <c r="AL246" s="416">
        <v>23.2</v>
      </c>
      <c r="AM246" s="416">
        <v>0</v>
      </c>
      <c r="AN246" s="416">
        <v>0</v>
      </c>
      <c r="AO246" s="416">
        <v>0</v>
      </c>
      <c r="AP246" s="416">
        <v>0</v>
      </c>
      <c r="AQ246" s="416">
        <v>0</v>
      </c>
      <c r="AR246" s="416">
        <v>0</v>
      </c>
      <c r="AS246" s="416">
        <v>0</v>
      </c>
      <c r="AT246" s="416">
        <v>0</v>
      </c>
      <c r="AU246" s="416">
        <v>0</v>
      </c>
      <c r="AV246" s="416">
        <v>0</v>
      </c>
      <c r="AW246" s="416">
        <v>0</v>
      </c>
      <c r="AX246" s="416">
        <v>0</v>
      </c>
      <c r="AY246" s="416">
        <v>0</v>
      </c>
      <c r="AZ246" s="416">
        <v>0</v>
      </c>
    </row>
    <row r="247" spans="1:52" s="411" customFormat="1" x14ac:dyDescent="0.3">
      <c r="A247" s="415" t="str">
        <f t="shared" si="3"/>
        <v>SA-672 Gr.L65</v>
      </c>
      <c r="B247" s="415">
        <v>241</v>
      </c>
      <c r="C247" s="415" t="s">
        <v>2864</v>
      </c>
      <c r="D247" s="415" t="s">
        <v>2680</v>
      </c>
      <c r="E247" s="415" t="s">
        <v>2297</v>
      </c>
      <c r="F247" s="415" t="s">
        <v>2492</v>
      </c>
      <c r="G247" s="415" t="s">
        <v>2881</v>
      </c>
      <c r="H247" s="415">
        <v>0</v>
      </c>
      <c r="I247" s="415">
        <v>0</v>
      </c>
      <c r="J247" s="415">
        <v>3</v>
      </c>
      <c r="K247" s="415">
        <v>1</v>
      </c>
      <c r="L247" s="415">
        <v>450</v>
      </c>
      <c r="M247" s="415">
        <v>255</v>
      </c>
      <c r="N247" s="415" t="s">
        <v>2675</v>
      </c>
      <c r="O247" s="415">
        <v>371</v>
      </c>
      <c r="P247" s="415" t="s">
        <v>2675</v>
      </c>
      <c r="Q247" s="415" t="s">
        <v>2675</v>
      </c>
      <c r="R247" s="415" t="s">
        <v>2699</v>
      </c>
      <c r="S247" s="415" t="s">
        <v>2882</v>
      </c>
      <c r="T247" s="416">
        <v>128</v>
      </c>
      <c r="U247" s="416">
        <v>128</v>
      </c>
      <c r="V247" s="416">
        <v>128</v>
      </c>
      <c r="W247" s="416">
        <v>128</v>
      </c>
      <c r="X247" s="416">
        <v>128</v>
      </c>
      <c r="Y247" s="416">
        <v>128</v>
      </c>
      <c r="Z247" s="416">
        <v>128</v>
      </c>
      <c r="AA247" s="416">
        <v>128</v>
      </c>
      <c r="AB247" s="416">
        <v>128</v>
      </c>
      <c r="AC247" s="416">
        <v>128</v>
      </c>
      <c r="AD247" s="416">
        <v>128</v>
      </c>
      <c r="AE247" s="416">
        <v>128</v>
      </c>
      <c r="AF247" s="416">
        <v>0</v>
      </c>
      <c r="AG247" s="416">
        <v>0</v>
      </c>
      <c r="AH247" s="416">
        <v>0</v>
      </c>
      <c r="AI247" s="416">
        <v>0</v>
      </c>
      <c r="AJ247" s="416">
        <v>0</v>
      </c>
      <c r="AK247" s="416">
        <v>0</v>
      </c>
      <c r="AL247" s="416">
        <v>0</v>
      </c>
      <c r="AM247" s="416">
        <v>0</v>
      </c>
      <c r="AN247" s="416">
        <v>0</v>
      </c>
      <c r="AO247" s="416">
        <v>0</v>
      </c>
      <c r="AP247" s="416">
        <v>0</v>
      </c>
      <c r="AQ247" s="416">
        <v>0</v>
      </c>
      <c r="AR247" s="416">
        <v>0</v>
      </c>
      <c r="AS247" s="416">
        <v>0</v>
      </c>
      <c r="AT247" s="416">
        <v>0</v>
      </c>
      <c r="AU247" s="416">
        <v>0</v>
      </c>
      <c r="AV247" s="416">
        <v>0</v>
      </c>
      <c r="AW247" s="416">
        <v>0</v>
      </c>
      <c r="AX247" s="416">
        <v>0</v>
      </c>
      <c r="AY247" s="416">
        <v>0</v>
      </c>
      <c r="AZ247" s="416">
        <v>0</v>
      </c>
    </row>
    <row r="248" spans="1:52" s="411" customFormat="1" x14ac:dyDescent="0.3">
      <c r="A248" s="415" t="str">
        <f t="shared" si="3"/>
        <v>SA-691 Gr.CM-65</v>
      </c>
      <c r="B248" s="415">
        <v>242</v>
      </c>
      <c r="C248" s="415" t="s">
        <v>2864</v>
      </c>
      <c r="D248" s="415" t="s">
        <v>2680</v>
      </c>
      <c r="E248" s="415" t="s">
        <v>2303</v>
      </c>
      <c r="F248" s="415" t="s">
        <v>2386</v>
      </c>
      <c r="G248" s="415" t="s">
        <v>2881</v>
      </c>
      <c r="H248" s="415">
        <v>0</v>
      </c>
      <c r="I248" s="415">
        <v>0</v>
      </c>
      <c r="J248" s="415">
        <v>3</v>
      </c>
      <c r="K248" s="415">
        <v>1</v>
      </c>
      <c r="L248" s="415">
        <v>450</v>
      </c>
      <c r="M248" s="415">
        <v>255</v>
      </c>
      <c r="N248" s="415" t="s">
        <v>2675</v>
      </c>
      <c r="O248" s="415">
        <v>371</v>
      </c>
      <c r="P248" s="415" t="s">
        <v>2675</v>
      </c>
      <c r="Q248" s="415" t="s">
        <v>2675</v>
      </c>
      <c r="R248" s="415" t="s">
        <v>2699</v>
      </c>
      <c r="S248" s="415" t="s">
        <v>2882</v>
      </c>
      <c r="T248" s="416">
        <v>128</v>
      </c>
      <c r="U248" s="416">
        <v>128</v>
      </c>
      <c r="V248" s="416">
        <v>128</v>
      </c>
      <c r="W248" s="416">
        <v>128</v>
      </c>
      <c r="X248" s="416">
        <v>128</v>
      </c>
      <c r="Y248" s="416">
        <v>128</v>
      </c>
      <c r="Z248" s="416">
        <v>128</v>
      </c>
      <c r="AA248" s="416">
        <v>128</v>
      </c>
      <c r="AB248" s="416">
        <v>128</v>
      </c>
      <c r="AC248" s="416">
        <v>128</v>
      </c>
      <c r="AD248" s="416">
        <v>128</v>
      </c>
      <c r="AE248" s="416">
        <v>128</v>
      </c>
      <c r="AF248" s="416">
        <v>0</v>
      </c>
      <c r="AG248" s="416">
        <v>0</v>
      </c>
      <c r="AH248" s="416">
        <v>0</v>
      </c>
      <c r="AI248" s="416">
        <v>0</v>
      </c>
      <c r="AJ248" s="416">
        <v>0</v>
      </c>
      <c r="AK248" s="416">
        <v>0</v>
      </c>
      <c r="AL248" s="416">
        <v>0</v>
      </c>
      <c r="AM248" s="416">
        <v>0</v>
      </c>
      <c r="AN248" s="416">
        <v>0</v>
      </c>
      <c r="AO248" s="416">
        <v>0</v>
      </c>
      <c r="AP248" s="416">
        <v>0</v>
      </c>
      <c r="AQ248" s="416">
        <v>0</v>
      </c>
      <c r="AR248" s="416">
        <v>0</v>
      </c>
      <c r="AS248" s="416">
        <v>0</v>
      </c>
      <c r="AT248" s="416">
        <v>0</v>
      </c>
      <c r="AU248" s="416">
        <v>0</v>
      </c>
      <c r="AV248" s="416">
        <v>0</v>
      </c>
      <c r="AW248" s="416">
        <v>0</v>
      </c>
      <c r="AX248" s="416">
        <v>0</v>
      </c>
      <c r="AY248" s="416">
        <v>0</v>
      </c>
      <c r="AZ248" s="416">
        <v>0</v>
      </c>
    </row>
    <row r="249" spans="1:52" s="411" customFormat="1" x14ac:dyDescent="0.3">
      <c r="A249" s="415" t="str">
        <f t="shared" si="3"/>
        <v>SA-691 Gr.CM-65</v>
      </c>
      <c r="B249" s="415">
        <v>243</v>
      </c>
      <c r="C249" s="415" t="s">
        <v>2864</v>
      </c>
      <c r="D249" s="415" t="s">
        <v>2680</v>
      </c>
      <c r="E249" s="415" t="s">
        <v>2303</v>
      </c>
      <c r="F249" s="415" t="s">
        <v>2386</v>
      </c>
      <c r="G249" s="415" t="s">
        <v>2881</v>
      </c>
      <c r="H249" s="415">
        <v>0</v>
      </c>
      <c r="I249" s="415">
        <v>0</v>
      </c>
      <c r="J249" s="415">
        <v>3</v>
      </c>
      <c r="K249" s="415">
        <v>1</v>
      </c>
      <c r="L249" s="415">
        <v>450</v>
      </c>
      <c r="M249" s="415">
        <v>255</v>
      </c>
      <c r="N249" s="415" t="s">
        <v>2675</v>
      </c>
      <c r="O249" s="415" t="s">
        <v>2681</v>
      </c>
      <c r="P249" s="415" t="s">
        <v>2675</v>
      </c>
      <c r="Q249" s="415" t="s">
        <v>2675</v>
      </c>
      <c r="R249" s="415" t="s">
        <v>2699</v>
      </c>
      <c r="S249" s="415" t="s">
        <v>2883</v>
      </c>
      <c r="T249" s="416">
        <v>128</v>
      </c>
      <c r="U249" s="416">
        <v>128</v>
      </c>
      <c r="V249" s="416">
        <v>128</v>
      </c>
      <c r="W249" s="416">
        <v>128</v>
      </c>
      <c r="X249" s="416">
        <v>128</v>
      </c>
      <c r="Y249" s="416">
        <v>128</v>
      </c>
      <c r="Z249" s="416">
        <v>0</v>
      </c>
      <c r="AA249" s="416">
        <v>0</v>
      </c>
      <c r="AB249" s="416">
        <v>0</v>
      </c>
      <c r="AC249" s="416">
        <v>0</v>
      </c>
      <c r="AD249" s="416">
        <v>0</v>
      </c>
      <c r="AE249" s="416">
        <v>0</v>
      </c>
      <c r="AF249" s="416">
        <v>0</v>
      </c>
      <c r="AG249" s="416">
        <v>0</v>
      </c>
      <c r="AH249" s="416">
        <v>0</v>
      </c>
      <c r="AI249" s="416">
        <v>0</v>
      </c>
      <c r="AJ249" s="416">
        <v>0</v>
      </c>
      <c r="AK249" s="416">
        <v>0</v>
      </c>
      <c r="AL249" s="416">
        <v>0</v>
      </c>
      <c r="AM249" s="416">
        <v>0</v>
      </c>
      <c r="AN249" s="416">
        <v>0</v>
      </c>
      <c r="AO249" s="416">
        <v>0</v>
      </c>
      <c r="AP249" s="416">
        <v>0</v>
      </c>
      <c r="AQ249" s="416">
        <v>0</v>
      </c>
      <c r="AR249" s="416">
        <v>0</v>
      </c>
      <c r="AS249" s="416">
        <v>0</v>
      </c>
      <c r="AT249" s="416">
        <v>0</v>
      </c>
      <c r="AU249" s="416">
        <v>0</v>
      </c>
      <c r="AV249" s="416">
        <v>0</v>
      </c>
      <c r="AW249" s="416">
        <v>0</v>
      </c>
      <c r="AX249" s="416">
        <v>0</v>
      </c>
      <c r="AY249" s="416">
        <v>0</v>
      </c>
      <c r="AZ249" s="416">
        <v>0</v>
      </c>
    </row>
    <row r="250" spans="1:52" s="411" customFormat="1" x14ac:dyDescent="0.3">
      <c r="A250" s="415" t="str">
        <f t="shared" si="3"/>
        <v>SA-182 Gr.F1</v>
      </c>
      <c r="B250" s="415">
        <v>244</v>
      </c>
      <c r="C250" s="415" t="s">
        <v>2864</v>
      </c>
      <c r="D250" s="415" t="s">
        <v>2737</v>
      </c>
      <c r="E250" s="415" t="s">
        <v>2188</v>
      </c>
      <c r="F250" s="415" t="s">
        <v>2425</v>
      </c>
      <c r="G250" s="415" t="s">
        <v>2884</v>
      </c>
      <c r="H250" s="415">
        <v>0</v>
      </c>
      <c r="I250" s="415">
        <v>0</v>
      </c>
      <c r="J250" s="415">
        <v>3</v>
      </c>
      <c r="K250" s="415">
        <v>2</v>
      </c>
      <c r="L250" s="415">
        <v>485</v>
      </c>
      <c r="M250" s="415">
        <v>275</v>
      </c>
      <c r="N250" s="415">
        <v>538</v>
      </c>
      <c r="O250" s="415">
        <v>371</v>
      </c>
      <c r="P250" s="415">
        <v>538</v>
      </c>
      <c r="Q250" s="415">
        <v>343</v>
      </c>
      <c r="R250" s="415" t="s">
        <v>2699</v>
      </c>
      <c r="S250" s="415" t="s">
        <v>2875</v>
      </c>
      <c r="T250" s="416">
        <v>138</v>
      </c>
      <c r="U250" s="416">
        <v>138</v>
      </c>
      <c r="V250" s="416">
        <v>138</v>
      </c>
      <c r="W250" s="416">
        <v>138</v>
      </c>
      <c r="X250" s="416">
        <v>138</v>
      </c>
      <c r="Y250" s="416">
        <v>138</v>
      </c>
      <c r="Z250" s="416">
        <v>138</v>
      </c>
      <c r="AA250" s="416">
        <v>138</v>
      </c>
      <c r="AB250" s="416">
        <v>138</v>
      </c>
      <c r="AC250" s="416">
        <v>138</v>
      </c>
      <c r="AD250" s="416">
        <v>138</v>
      </c>
      <c r="AE250" s="416">
        <v>138</v>
      </c>
      <c r="AF250" s="416">
        <v>138</v>
      </c>
      <c r="AG250" s="416">
        <v>137</v>
      </c>
      <c r="AH250" s="416">
        <v>134</v>
      </c>
      <c r="AI250" s="416">
        <v>107</v>
      </c>
      <c r="AJ250" s="416">
        <v>68.099999999999994</v>
      </c>
      <c r="AK250" s="416">
        <v>43.1</v>
      </c>
      <c r="AL250" s="416">
        <v>23.1</v>
      </c>
      <c r="AM250" s="416">
        <v>0</v>
      </c>
      <c r="AN250" s="416">
        <v>0</v>
      </c>
      <c r="AO250" s="416">
        <v>0</v>
      </c>
      <c r="AP250" s="416">
        <v>0</v>
      </c>
      <c r="AQ250" s="416">
        <v>0</v>
      </c>
      <c r="AR250" s="416">
        <v>0</v>
      </c>
      <c r="AS250" s="416">
        <v>0</v>
      </c>
      <c r="AT250" s="416">
        <v>0</v>
      </c>
      <c r="AU250" s="416">
        <v>0</v>
      </c>
      <c r="AV250" s="416">
        <v>0</v>
      </c>
      <c r="AW250" s="416">
        <v>0</v>
      </c>
      <c r="AX250" s="416">
        <v>0</v>
      </c>
      <c r="AY250" s="416">
        <v>0</v>
      </c>
      <c r="AZ250" s="416">
        <v>0</v>
      </c>
    </row>
    <row r="251" spans="1:52" s="411" customFormat="1" x14ac:dyDescent="0.3">
      <c r="A251" s="415" t="str">
        <f t="shared" si="3"/>
        <v>SA-204 Gr.B</v>
      </c>
      <c r="B251" s="415">
        <v>245</v>
      </c>
      <c r="C251" s="415" t="s">
        <v>2864</v>
      </c>
      <c r="D251" s="415" t="s">
        <v>2684</v>
      </c>
      <c r="E251" s="415" t="s">
        <v>2192</v>
      </c>
      <c r="F251" s="415" t="s">
        <v>1864</v>
      </c>
      <c r="G251" s="415" t="s">
        <v>2885</v>
      </c>
      <c r="H251" s="415">
        <v>0</v>
      </c>
      <c r="I251" s="415">
        <v>0</v>
      </c>
      <c r="J251" s="415">
        <v>3</v>
      </c>
      <c r="K251" s="415">
        <v>2</v>
      </c>
      <c r="L251" s="415">
        <v>485</v>
      </c>
      <c r="M251" s="415">
        <v>275</v>
      </c>
      <c r="N251" s="415">
        <v>538</v>
      </c>
      <c r="O251" s="415">
        <v>371</v>
      </c>
      <c r="P251" s="415">
        <v>538</v>
      </c>
      <c r="Q251" s="415">
        <v>343</v>
      </c>
      <c r="R251" s="415" t="s">
        <v>2699</v>
      </c>
      <c r="S251" s="415" t="s">
        <v>2875</v>
      </c>
      <c r="T251" s="416">
        <v>138</v>
      </c>
      <c r="U251" s="416">
        <v>138</v>
      </c>
      <c r="V251" s="416">
        <v>138</v>
      </c>
      <c r="W251" s="416">
        <v>138</v>
      </c>
      <c r="X251" s="416">
        <v>138</v>
      </c>
      <c r="Y251" s="416">
        <v>138</v>
      </c>
      <c r="Z251" s="416">
        <v>138</v>
      </c>
      <c r="AA251" s="416">
        <v>138</v>
      </c>
      <c r="AB251" s="416">
        <v>138</v>
      </c>
      <c r="AC251" s="416">
        <v>138</v>
      </c>
      <c r="AD251" s="416">
        <v>138</v>
      </c>
      <c r="AE251" s="416">
        <v>138</v>
      </c>
      <c r="AF251" s="416">
        <v>138</v>
      </c>
      <c r="AG251" s="416">
        <v>137</v>
      </c>
      <c r="AH251" s="416">
        <v>134</v>
      </c>
      <c r="AI251" s="416">
        <v>107</v>
      </c>
      <c r="AJ251" s="416">
        <v>68.099999999999994</v>
      </c>
      <c r="AK251" s="416">
        <v>43.1</v>
      </c>
      <c r="AL251" s="416">
        <v>23.1</v>
      </c>
      <c r="AM251" s="416">
        <v>0</v>
      </c>
      <c r="AN251" s="416">
        <v>0</v>
      </c>
      <c r="AO251" s="416">
        <v>0</v>
      </c>
      <c r="AP251" s="416">
        <v>0</v>
      </c>
      <c r="AQ251" s="416">
        <v>0</v>
      </c>
      <c r="AR251" s="416">
        <v>0</v>
      </c>
      <c r="AS251" s="416">
        <v>0</v>
      </c>
      <c r="AT251" s="416">
        <v>0</v>
      </c>
      <c r="AU251" s="416">
        <v>0</v>
      </c>
      <c r="AV251" s="416">
        <v>0</v>
      </c>
      <c r="AW251" s="416">
        <v>0</v>
      </c>
      <c r="AX251" s="416">
        <v>0</v>
      </c>
      <c r="AY251" s="416">
        <v>0</v>
      </c>
      <c r="AZ251" s="416">
        <v>0</v>
      </c>
    </row>
    <row r="252" spans="1:52" s="411" customFormat="1" x14ac:dyDescent="0.3">
      <c r="A252" s="415" t="str">
        <f t="shared" si="3"/>
        <v>SA-336 Gr.F1</v>
      </c>
      <c r="B252" s="415">
        <v>246</v>
      </c>
      <c r="C252" s="415" t="s">
        <v>2864</v>
      </c>
      <c r="D252" s="415" t="s">
        <v>2737</v>
      </c>
      <c r="E252" s="415" t="s">
        <v>2211</v>
      </c>
      <c r="F252" s="415" t="s">
        <v>2425</v>
      </c>
      <c r="G252" s="415" t="s">
        <v>2886</v>
      </c>
      <c r="H252" s="415">
        <v>0</v>
      </c>
      <c r="I252" s="415">
        <v>0</v>
      </c>
      <c r="J252" s="415">
        <v>3</v>
      </c>
      <c r="K252" s="415">
        <v>2</v>
      </c>
      <c r="L252" s="415">
        <v>485</v>
      </c>
      <c r="M252" s="415">
        <v>275</v>
      </c>
      <c r="N252" s="415">
        <v>538</v>
      </c>
      <c r="O252" s="415">
        <v>371</v>
      </c>
      <c r="P252" s="415">
        <v>538</v>
      </c>
      <c r="Q252" s="415">
        <v>343</v>
      </c>
      <c r="R252" s="415" t="s">
        <v>2699</v>
      </c>
      <c r="S252" s="415" t="s">
        <v>2875</v>
      </c>
      <c r="T252" s="416">
        <v>138</v>
      </c>
      <c r="U252" s="416">
        <v>138</v>
      </c>
      <c r="V252" s="416">
        <v>138</v>
      </c>
      <c r="W252" s="416">
        <v>138</v>
      </c>
      <c r="X252" s="416">
        <v>138</v>
      </c>
      <c r="Y252" s="416">
        <v>138</v>
      </c>
      <c r="Z252" s="416">
        <v>138</v>
      </c>
      <c r="AA252" s="416">
        <v>138</v>
      </c>
      <c r="AB252" s="416">
        <v>138</v>
      </c>
      <c r="AC252" s="416">
        <v>138</v>
      </c>
      <c r="AD252" s="416">
        <v>138</v>
      </c>
      <c r="AE252" s="416">
        <v>138</v>
      </c>
      <c r="AF252" s="416">
        <v>138</v>
      </c>
      <c r="AG252" s="416">
        <v>137</v>
      </c>
      <c r="AH252" s="416">
        <v>134</v>
      </c>
      <c r="AI252" s="416">
        <v>107</v>
      </c>
      <c r="AJ252" s="416">
        <v>68.099999999999994</v>
      </c>
      <c r="AK252" s="416">
        <v>43.1</v>
      </c>
      <c r="AL252" s="416">
        <v>23.1</v>
      </c>
      <c r="AM252" s="416">
        <v>0</v>
      </c>
      <c r="AN252" s="416">
        <v>0</v>
      </c>
      <c r="AO252" s="416">
        <v>0</v>
      </c>
      <c r="AP252" s="416">
        <v>0</v>
      </c>
      <c r="AQ252" s="416">
        <v>0</v>
      </c>
      <c r="AR252" s="416">
        <v>0</v>
      </c>
      <c r="AS252" s="416">
        <v>0</v>
      </c>
      <c r="AT252" s="416">
        <v>0</v>
      </c>
      <c r="AU252" s="416">
        <v>0</v>
      </c>
      <c r="AV252" s="416">
        <v>0</v>
      </c>
      <c r="AW252" s="416">
        <v>0</v>
      </c>
      <c r="AX252" s="416">
        <v>0</v>
      </c>
      <c r="AY252" s="416">
        <v>0</v>
      </c>
      <c r="AZ252" s="416">
        <v>0</v>
      </c>
    </row>
    <row r="253" spans="1:52" s="411" customFormat="1" x14ac:dyDescent="0.3">
      <c r="A253" s="415" t="str">
        <f t="shared" si="3"/>
        <v>SA-672 Gr.L70</v>
      </c>
      <c r="B253" s="415">
        <v>247</v>
      </c>
      <c r="C253" s="415" t="s">
        <v>2864</v>
      </c>
      <c r="D253" s="415" t="s">
        <v>2680</v>
      </c>
      <c r="E253" s="415" t="s">
        <v>2297</v>
      </c>
      <c r="F253" s="415" t="s">
        <v>2493</v>
      </c>
      <c r="G253" s="415" t="s">
        <v>2885</v>
      </c>
      <c r="H253" s="415">
        <v>0</v>
      </c>
      <c r="I253" s="415">
        <v>0</v>
      </c>
      <c r="J253" s="415">
        <v>3</v>
      </c>
      <c r="K253" s="415">
        <v>2</v>
      </c>
      <c r="L253" s="415">
        <v>485</v>
      </c>
      <c r="M253" s="415">
        <v>275</v>
      </c>
      <c r="N253" s="415" t="s">
        <v>2675</v>
      </c>
      <c r="O253" s="415">
        <v>371</v>
      </c>
      <c r="P253" s="415" t="s">
        <v>2675</v>
      </c>
      <c r="Q253" s="415" t="s">
        <v>2675</v>
      </c>
      <c r="R253" s="415" t="s">
        <v>2699</v>
      </c>
      <c r="S253" s="415" t="s">
        <v>2882</v>
      </c>
      <c r="T253" s="416">
        <v>138</v>
      </c>
      <c r="U253" s="416">
        <v>138</v>
      </c>
      <c r="V253" s="416">
        <v>138</v>
      </c>
      <c r="W253" s="416">
        <v>138</v>
      </c>
      <c r="X253" s="416">
        <v>138</v>
      </c>
      <c r="Y253" s="416">
        <v>138</v>
      </c>
      <c r="Z253" s="416">
        <v>138</v>
      </c>
      <c r="AA253" s="416">
        <v>138</v>
      </c>
      <c r="AB253" s="416">
        <v>138</v>
      </c>
      <c r="AC253" s="416">
        <v>138</v>
      </c>
      <c r="AD253" s="416">
        <v>138</v>
      </c>
      <c r="AE253" s="416">
        <v>138</v>
      </c>
      <c r="AF253" s="416">
        <v>0</v>
      </c>
      <c r="AG253" s="416">
        <v>0</v>
      </c>
      <c r="AH253" s="416">
        <v>0</v>
      </c>
      <c r="AI253" s="416">
        <v>0</v>
      </c>
      <c r="AJ253" s="416">
        <v>0</v>
      </c>
      <c r="AK253" s="416">
        <v>0</v>
      </c>
      <c r="AL253" s="416">
        <v>0</v>
      </c>
      <c r="AM253" s="416">
        <v>0</v>
      </c>
      <c r="AN253" s="416">
        <v>0</v>
      </c>
      <c r="AO253" s="416">
        <v>0</v>
      </c>
      <c r="AP253" s="416">
        <v>0</v>
      </c>
      <c r="AQ253" s="416">
        <v>0</v>
      </c>
      <c r="AR253" s="416">
        <v>0</v>
      </c>
      <c r="AS253" s="416">
        <v>0</v>
      </c>
      <c r="AT253" s="416">
        <v>0</v>
      </c>
      <c r="AU253" s="416">
        <v>0</v>
      </c>
      <c r="AV253" s="416">
        <v>0</v>
      </c>
      <c r="AW253" s="416">
        <v>0</v>
      </c>
      <c r="AX253" s="416">
        <v>0</v>
      </c>
      <c r="AY253" s="416">
        <v>0</v>
      </c>
      <c r="AZ253" s="416">
        <v>0</v>
      </c>
    </row>
    <row r="254" spans="1:52" s="411" customFormat="1" x14ac:dyDescent="0.3">
      <c r="A254" s="415" t="str">
        <f t="shared" si="3"/>
        <v>SA-691 Gr.CM-70</v>
      </c>
      <c r="B254" s="415">
        <v>248</v>
      </c>
      <c r="C254" s="415" t="s">
        <v>2864</v>
      </c>
      <c r="D254" s="415" t="s">
        <v>2680</v>
      </c>
      <c r="E254" s="415" t="s">
        <v>2303</v>
      </c>
      <c r="F254" s="415" t="s">
        <v>2387</v>
      </c>
      <c r="G254" s="415" t="s">
        <v>2885</v>
      </c>
      <c r="H254" s="415">
        <v>0</v>
      </c>
      <c r="I254" s="415">
        <v>0</v>
      </c>
      <c r="J254" s="415">
        <v>3</v>
      </c>
      <c r="K254" s="415">
        <v>2</v>
      </c>
      <c r="L254" s="415">
        <v>485</v>
      </c>
      <c r="M254" s="415">
        <v>275</v>
      </c>
      <c r="N254" s="415" t="s">
        <v>2675</v>
      </c>
      <c r="O254" s="415">
        <v>371</v>
      </c>
      <c r="P254" s="415" t="s">
        <v>2675</v>
      </c>
      <c r="Q254" s="415" t="s">
        <v>2675</v>
      </c>
      <c r="R254" s="415" t="s">
        <v>2699</v>
      </c>
      <c r="S254" s="415" t="s">
        <v>2882</v>
      </c>
      <c r="T254" s="416">
        <v>138</v>
      </c>
      <c r="U254" s="416">
        <v>138</v>
      </c>
      <c r="V254" s="416">
        <v>138</v>
      </c>
      <c r="W254" s="416">
        <v>138</v>
      </c>
      <c r="X254" s="416">
        <v>138</v>
      </c>
      <c r="Y254" s="416">
        <v>138</v>
      </c>
      <c r="Z254" s="416">
        <v>138</v>
      </c>
      <c r="AA254" s="416">
        <v>138</v>
      </c>
      <c r="AB254" s="416">
        <v>138</v>
      </c>
      <c r="AC254" s="416">
        <v>138</v>
      </c>
      <c r="AD254" s="416">
        <v>138</v>
      </c>
      <c r="AE254" s="416">
        <v>138</v>
      </c>
      <c r="AF254" s="416">
        <v>0</v>
      </c>
      <c r="AG254" s="416">
        <v>0</v>
      </c>
      <c r="AH254" s="416">
        <v>0</v>
      </c>
      <c r="AI254" s="416">
        <v>0</v>
      </c>
      <c r="AJ254" s="416">
        <v>0</v>
      </c>
      <c r="AK254" s="416">
        <v>0</v>
      </c>
      <c r="AL254" s="416">
        <v>0</v>
      </c>
      <c r="AM254" s="416">
        <v>0</v>
      </c>
      <c r="AN254" s="416">
        <v>0</v>
      </c>
      <c r="AO254" s="416">
        <v>0</v>
      </c>
      <c r="AP254" s="416">
        <v>0</v>
      </c>
      <c r="AQ254" s="416">
        <v>0</v>
      </c>
      <c r="AR254" s="416">
        <v>0</v>
      </c>
      <c r="AS254" s="416">
        <v>0</v>
      </c>
      <c r="AT254" s="416">
        <v>0</v>
      </c>
      <c r="AU254" s="416">
        <v>0</v>
      </c>
      <c r="AV254" s="416">
        <v>0</v>
      </c>
      <c r="AW254" s="416">
        <v>0</v>
      </c>
      <c r="AX254" s="416">
        <v>0</v>
      </c>
      <c r="AY254" s="416">
        <v>0</v>
      </c>
      <c r="AZ254" s="416">
        <v>0</v>
      </c>
    </row>
    <row r="255" spans="1:52" s="411" customFormat="1" x14ac:dyDescent="0.3">
      <c r="A255" s="415" t="str">
        <f t="shared" si="3"/>
        <v>SA-691 Gr.CM-70</v>
      </c>
      <c r="B255" s="415">
        <v>249</v>
      </c>
      <c r="C255" s="415" t="s">
        <v>2864</v>
      </c>
      <c r="D255" s="415" t="s">
        <v>2680</v>
      </c>
      <c r="E255" s="415" t="s">
        <v>2303</v>
      </c>
      <c r="F255" s="415" t="s">
        <v>2387</v>
      </c>
      <c r="G255" s="415" t="s">
        <v>2885</v>
      </c>
      <c r="H255" s="415">
        <v>0</v>
      </c>
      <c r="I255" s="415">
        <v>0</v>
      </c>
      <c r="J255" s="415">
        <v>3</v>
      </c>
      <c r="K255" s="415">
        <v>2</v>
      </c>
      <c r="L255" s="415">
        <v>485</v>
      </c>
      <c r="M255" s="415">
        <v>275</v>
      </c>
      <c r="N255" s="415" t="s">
        <v>2675</v>
      </c>
      <c r="O255" s="415" t="s">
        <v>2681</v>
      </c>
      <c r="P255" s="415" t="s">
        <v>2675</v>
      </c>
      <c r="Q255" s="415" t="s">
        <v>2675</v>
      </c>
      <c r="R255" s="415" t="s">
        <v>2699</v>
      </c>
      <c r="S255" s="415" t="s">
        <v>2883</v>
      </c>
      <c r="T255" s="416">
        <v>138</v>
      </c>
      <c r="U255" s="416">
        <v>138</v>
      </c>
      <c r="V255" s="416">
        <v>138</v>
      </c>
      <c r="W255" s="416">
        <v>138</v>
      </c>
      <c r="X255" s="416">
        <v>138</v>
      </c>
      <c r="Y255" s="416">
        <v>138</v>
      </c>
      <c r="Z255" s="416">
        <v>0</v>
      </c>
      <c r="AA255" s="416">
        <v>0</v>
      </c>
      <c r="AB255" s="416">
        <v>0</v>
      </c>
      <c r="AC255" s="416">
        <v>0</v>
      </c>
      <c r="AD255" s="416">
        <v>0</v>
      </c>
      <c r="AE255" s="416">
        <v>0</v>
      </c>
      <c r="AF255" s="416">
        <v>0</v>
      </c>
      <c r="AG255" s="416">
        <v>0</v>
      </c>
      <c r="AH255" s="416">
        <v>0</v>
      </c>
      <c r="AI255" s="416">
        <v>0</v>
      </c>
      <c r="AJ255" s="416">
        <v>0</v>
      </c>
      <c r="AK255" s="416">
        <v>0</v>
      </c>
      <c r="AL255" s="416">
        <v>0</v>
      </c>
      <c r="AM255" s="416">
        <v>0</v>
      </c>
      <c r="AN255" s="416">
        <v>0</v>
      </c>
      <c r="AO255" s="416">
        <v>0</v>
      </c>
      <c r="AP255" s="416">
        <v>0</v>
      </c>
      <c r="AQ255" s="416">
        <v>0</v>
      </c>
      <c r="AR255" s="416">
        <v>0</v>
      </c>
      <c r="AS255" s="416">
        <v>0</v>
      </c>
      <c r="AT255" s="416">
        <v>0</v>
      </c>
      <c r="AU255" s="416">
        <v>0</v>
      </c>
      <c r="AV255" s="416">
        <v>0</v>
      </c>
      <c r="AW255" s="416">
        <v>0</v>
      </c>
      <c r="AX255" s="416">
        <v>0</v>
      </c>
      <c r="AY255" s="416">
        <v>0</v>
      </c>
      <c r="AZ255" s="416">
        <v>0</v>
      </c>
    </row>
    <row r="256" spans="1:52" s="411" customFormat="1" x14ac:dyDescent="0.3">
      <c r="A256" s="415" t="str">
        <f t="shared" si="3"/>
        <v>SA-204 Gr.C</v>
      </c>
      <c r="B256" s="415">
        <v>250</v>
      </c>
      <c r="C256" s="415" t="s">
        <v>2864</v>
      </c>
      <c r="D256" s="415" t="s">
        <v>2684</v>
      </c>
      <c r="E256" s="415" t="s">
        <v>2192</v>
      </c>
      <c r="F256" s="415" t="s">
        <v>2348</v>
      </c>
      <c r="G256" s="415" t="s">
        <v>2887</v>
      </c>
      <c r="H256" s="415">
        <v>0</v>
      </c>
      <c r="I256" s="415">
        <v>0</v>
      </c>
      <c r="J256" s="415">
        <v>3</v>
      </c>
      <c r="K256" s="415">
        <v>2</v>
      </c>
      <c r="L256" s="415">
        <v>515</v>
      </c>
      <c r="M256" s="415">
        <v>295</v>
      </c>
      <c r="N256" s="415">
        <v>538</v>
      </c>
      <c r="O256" s="415">
        <v>371</v>
      </c>
      <c r="P256" s="415">
        <v>538</v>
      </c>
      <c r="Q256" s="415">
        <v>343</v>
      </c>
      <c r="R256" s="415" t="s">
        <v>2699</v>
      </c>
      <c r="S256" s="415" t="s">
        <v>2888</v>
      </c>
      <c r="T256" s="416">
        <v>148</v>
      </c>
      <c r="U256" s="416">
        <v>148</v>
      </c>
      <c r="V256" s="416">
        <v>148</v>
      </c>
      <c r="W256" s="416">
        <v>148</v>
      </c>
      <c r="X256" s="416">
        <v>148</v>
      </c>
      <c r="Y256" s="416">
        <v>148</v>
      </c>
      <c r="Z256" s="416">
        <v>148</v>
      </c>
      <c r="AA256" s="416">
        <v>148</v>
      </c>
      <c r="AB256" s="416">
        <v>148</v>
      </c>
      <c r="AC256" s="416">
        <v>148</v>
      </c>
      <c r="AD256" s="416">
        <v>148</v>
      </c>
      <c r="AE256" s="416">
        <v>148</v>
      </c>
      <c r="AF256" s="416">
        <v>148</v>
      </c>
      <c r="AG256" s="416">
        <v>148</v>
      </c>
      <c r="AH256" s="416">
        <v>144</v>
      </c>
      <c r="AI256" s="416">
        <v>109</v>
      </c>
      <c r="AJ256" s="416">
        <v>67.2</v>
      </c>
      <c r="AK256" s="416">
        <v>43.3</v>
      </c>
      <c r="AL256" s="416">
        <v>23</v>
      </c>
      <c r="AM256" s="416">
        <v>0</v>
      </c>
      <c r="AN256" s="416">
        <v>0</v>
      </c>
      <c r="AO256" s="416">
        <v>0</v>
      </c>
      <c r="AP256" s="416">
        <v>0</v>
      </c>
      <c r="AQ256" s="416">
        <v>0</v>
      </c>
      <c r="AR256" s="416">
        <v>0</v>
      </c>
      <c r="AS256" s="416">
        <v>0</v>
      </c>
      <c r="AT256" s="416">
        <v>0</v>
      </c>
      <c r="AU256" s="416">
        <v>0</v>
      </c>
      <c r="AV256" s="416">
        <v>0</v>
      </c>
      <c r="AW256" s="416">
        <v>0</v>
      </c>
      <c r="AX256" s="416">
        <v>0</v>
      </c>
      <c r="AY256" s="416">
        <v>0</v>
      </c>
      <c r="AZ256" s="416">
        <v>0</v>
      </c>
    </row>
    <row r="257" spans="1:52" s="411" customFormat="1" x14ac:dyDescent="0.3">
      <c r="A257" s="415" t="str">
        <f t="shared" si="3"/>
        <v>SA-672 Gr.L75</v>
      </c>
      <c r="B257" s="415">
        <v>251</v>
      </c>
      <c r="C257" s="415" t="s">
        <v>2864</v>
      </c>
      <c r="D257" s="415" t="s">
        <v>2680</v>
      </c>
      <c r="E257" s="415" t="s">
        <v>2297</v>
      </c>
      <c r="F257" s="415" t="s">
        <v>2494</v>
      </c>
      <c r="G257" s="415" t="s">
        <v>2887</v>
      </c>
      <c r="H257" s="415">
        <v>0</v>
      </c>
      <c r="I257" s="415">
        <v>0</v>
      </c>
      <c r="J257" s="415">
        <v>3</v>
      </c>
      <c r="K257" s="415">
        <v>2</v>
      </c>
      <c r="L257" s="415">
        <v>515</v>
      </c>
      <c r="M257" s="415">
        <v>295</v>
      </c>
      <c r="N257" s="415" t="s">
        <v>2675</v>
      </c>
      <c r="O257" s="415">
        <v>371</v>
      </c>
      <c r="P257" s="415" t="s">
        <v>2675</v>
      </c>
      <c r="Q257" s="415" t="s">
        <v>2675</v>
      </c>
      <c r="R257" s="415" t="s">
        <v>2699</v>
      </c>
      <c r="S257" s="415" t="s">
        <v>2882</v>
      </c>
      <c r="T257" s="416">
        <v>148</v>
      </c>
      <c r="U257" s="416">
        <v>148</v>
      </c>
      <c r="V257" s="416">
        <v>148</v>
      </c>
      <c r="W257" s="416">
        <v>148</v>
      </c>
      <c r="X257" s="416">
        <v>148</v>
      </c>
      <c r="Y257" s="416">
        <v>148</v>
      </c>
      <c r="Z257" s="416">
        <v>148</v>
      </c>
      <c r="AA257" s="416">
        <v>148</v>
      </c>
      <c r="AB257" s="416">
        <v>148</v>
      </c>
      <c r="AC257" s="416">
        <v>148</v>
      </c>
      <c r="AD257" s="416">
        <v>148</v>
      </c>
      <c r="AE257" s="416">
        <v>148</v>
      </c>
      <c r="AF257" s="416">
        <v>0</v>
      </c>
      <c r="AG257" s="416">
        <v>0</v>
      </c>
      <c r="AH257" s="416">
        <v>0</v>
      </c>
      <c r="AI257" s="416">
        <v>0</v>
      </c>
      <c r="AJ257" s="416">
        <v>0</v>
      </c>
      <c r="AK257" s="416">
        <v>0</v>
      </c>
      <c r="AL257" s="416">
        <v>0</v>
      </c>
      <c r="AM257" s="416">
        <v>0</v>
      </c>
      <c r="AN257" s="416">
        <v>0</v>
      </c>
      <c r="AO257" s="416">
        <v>0</v>
      </c>
      <c r="AP257" s="416">
        <v>0</v>
      </c>
      <c r="AQ257" s="416">
        <v>0</v>
      </c>
      <c r="AR257" s="416">
        <v>0</v>
      </c>
      <c r="AS257" s="416">
        <v>0</v>
      </c>
      <c r="AT257" s="416">
        <v>0</v>
      </c>
      <c r="AU257" s="416">
        <v>0</v>
      </c>
      <c r="AV257" s="416">
        <v>0</v>
      </c>
      <c r="AW257" s="416">
        <v>0</v>
      </c>
      <c r="AX257" s="416">
        <v>0</v>
      </c>
      <c r="AY257" s="416">
        <v>0</v>
      </c>
      <c r="AZ257" s="416">
        <v>0</v>
      </c>
    </row>
    <row r="258" spans="1:52" s="411" customFormat="1" x14ac:dyDescent="0.3">
      <c r="A258" s="415" t="str">
        <f t="shared" si="3"/>
        <v>SA-691 Gr.CM-75</v>
      </c>
      <c r="B258" s="415">
        <v>252</v>
      </c>
      <c r="C258" s="415" t="s">
        <v>2864</v>
      </c>
      <c r="D258" s="415" t="s">
        <v>2680</v>
      </c>
      <c r="E258" s="415" t="s">
        <v>2303</v>
      </c>
      <c r="F258" s="415" t="s">
        <v>2388</v>
      </c>
      <c r="G258" s="415" t="s">
        <v>2887</v>
      </c>
      <c r="H258" s="415">
        <v>0</v>
      </c>
      <c r="I258" s="415">
        <v>0</v>
      </c>
      <c r="J258" s="415">
        <v>3</v>
      </c>
      <c r="K258" s="415">
        <v>2</v>
      </c>
      <c r="L258" s="415">
        <v>515</v>
      </c>
      <c r="M258" s="415">
        <v>295</v>
      </c>
      <c r="N258" s="415" t="s">
        <v>2675</v>
      </c>
      <c r="O258" s="415">
        <v>371</v>
      </c>
      <c r="P258" s="415" t="s">
        <v>2675</v>
      </c>
      <c r="Q258" s="415" t="s">
        <v>2675</v>
      </c>
      <c r="R258" s="415" t="s">
        <v>2699</v>
      </c>
      <c r="S258" s="415" t="s">
        <v>2882</v>
      </c>
      <c r="T258" s="416">
        <v>148</v>
      </c>
      <c r="U258" s="416">
        <v>148</v>
      </c>
      <c r="V258" s="416">
        <v>148</v>
      </c>
      <c r="W258" s="416">
        <v>148</v>
      </c>
      <c r="X258" s="416">
        <v>148</v>
      </c>
      <c r="Y258" s="416">
        <v>148</v>
      </c>
      <c r="Z258" s="416">
        <v>148</v>
      </c>
      <c r="AA258" s="416">
        <v>148</v>
      </c>
      <c r="AB258" s="416">
        <v>148</v>
      </c>
      <c r="AC258" s="416">
        <v>148</v>
      </c>
      <c r="AD258" s="416">
        <v>148</v>
      </c>
      <c r="AE258" s="416">
        <v>148</v>
      </c>
      <c r="AF258" s="416">
        <v>0</v>
      </c>
      <c r="AG258" s="416">
        <v>0</v>
      </c>
      <c r="AH258" s="416">
        <v>0</v>
      </c>
      <c r="AI258" s="416">
        <v>0</v>
      </c>
      <c r="AJ258" s="416">
        <v>0</v>
      </c>
      <c r="AK258" s="416">
        <v>0</v>
      </c>
      <c r="AL258" s="416">
        <v>0</v>
      </c>
      <c r="AM258" s="416">
        <v>0</v>
      </c>
      <c r="AN258" s="416">
        <v>0</v>
      </c>
      <c r="AO258" s="416">
        <v>0</v>
      </c>
      <c r="AP258" s="416">
        <v>0</v>
      </c>
      <c r="AQ258" s="416">
        <v>0</v>
      </c>
      <c r="AR258" s="416">
        <v>0</v>
      </c>
      <c r="AS258" s="416">
        <v>0</v>
      </c>
      <c r="AT258" s="416">
        <v>0</v>
      </c>
      <c r="AU258" s="416">
        <v>0</v>
      </c>
      <c r="AV258" s="416">
        <v>0</v>
      </c>
      <c r="AW258" s="416">
        <v>0</v>
      </c>
      <c r="AX258" s="416">
        <v>0</v>
      </c>
      <c r="AY258" s="416">
        <v>0</v>
      </c>
      <c r="AZ258" s="416">
        <v>0</v>
      </c>
    </row>
    <row r="259" spans="1:52" s="411" customFormat="1" x14ac:dyDescent="0.3">
      <c r="A259" s="415" t="str">
        <f t="shared" si="3"/>
        <v>SA-691 Gr.CM-75</v>
      </c>
      <c r="B259" s="415">
        <v>253</v>
      </c>
      <c r="C259" s="415" t="s">
        <v>2864</v>
      </c>
      <c r="D259" s="415" t="s">
        <v>2680</v>
      </c>
      <c r="E259" s="415" t="s">
        <v>2303</v>
      </c>
      <c r="F259" s="415" t="s">
        <v>2388</v>
      </c>
      <c r="G259" s="415" t="s">
        <v>2887</v>
      </c>
      <c r="H259" s="415">
        <v>0</v>
      </c>
      <c r="I259" s="415">
        <v>0</v>
      </c>
      <c r="J259" s="415">
        <v>3</v>
      </c>
      <c r="K259" s="415">
        <v>2</v>
      </c>
      <c r="L259" s="415">
        <v>515</v>
      </c>
      <c r="M259" s="415">
        <v>295</v>
      </c>
      <c r="N259" s="415" t="s">
        <v>2675</v>
      </c>
      <c r="O259" s="415" t="s">
        <v>2681</v>
      </c>
      <c r="P259" s="415" t="s">
        <v>2675</v>
      </c>
      <c r="Q259" s="415" t="s">
        <v>2675</v>
      </c>
      <c r="R259" s="415" t="s">
        <v>2699</v>
      </c>
      <c r="S259" s="415" t="s">
        <v>2883</v>
      </c>
      <c r="T259" s="416">
        <v>148</v>
      </c>
      <c r="U259" s="416">
        <v>148</v>
      </c>
      <c r="V259" s="416">
        <v>148</v>
      </c>
      <c r="W259" s="416">
        <v>148</v>
      </c>
      <c r="X259" s="416">
        <v>148</v>
      </c>
      <c r="Y259" s="416">
        <v>148</v>
      </c>
      <c r="Z259" s="416">
        <v>0</v>
      </c>
      <c r="AA259" s="416">
        <v>0</v>
      </c>
      <c r="AB259" s="416">
        <v>0</v>
      </c>
      <c r="AC259" s="416">
        <v>0</v>
      </c>
      <c r="AD259" s="416">
        <v>0</v>
      </c>
      <c r="AE259" s="416">
        <v>0</v>
      </c>
      <c r="AF259" s="416">
        <v>0</v>
      </c>
      <c r="AG259" s="416">
        <v>0</v>
      </c>
      <c r="AH259" s="416">
        <v>0</v>
      </c>
      <c r="AI259" s="416">
        <v>0</v>
      </c>
      <c r="AJ259" s="416">
        <v>0</v>
      </c>
      <c r="AK259" s="416">
        <v>0</v>
      </c>
      <c r="AL259" s="416">
        <v>0</v>
      </c>
      <c r="AM259" s="416">
        <v>0</v>
      </c>
      <c r="AN259" s="416">
        <v>0</v>
      </c>
      <c r="AO259" s="416">
        <v>0</v>
      </c>
      <c r="AP259" s="416">
        <v>0</v>
      </c>
      <c r="AQ259" s="416">
        <v>0</v>
      </c>
      <c r="AR259" s="416">
        <v>0</v>
      </c>
      <c r="AS259" s="416">
        <v>0</v>
      </c>
      <c r="AT259" s="416">
        <v>0</v>
      </c>
      <c r="AU259" s="416">
        <v>0</v>
      </c>
      <c r="AV259" s="416">
        <v>0</v>
      </c>
      <c r="AW259" s="416">
        <v>0</v>
      </c>
      <c r="AX259" s="416">
        <v>0</v>
      </c>
      <c r="AY259" s="416">
        <v>0</v>
      </c>
      <c r="AZ259" s="416">
        <v>0</v>
      </c>
    </row>
    <row r="260" spans="1:52" s="411" customFormat="1" x14ac:dyDescent="0.3">
      <c r="A260" s="415" t="str">
        <f t="shared" si="3"/>
        <v>SA-372 Gr.G</v>
      </c>
      <c r="B260" s="415">
        <v>254</v>
      </c>
      <c r="C260" s="415" t="s">
        <v>2889</v>
      </c>
      <c r="D260" s="415" t="s">
        <v>2737</v>
      </c>
      <c r="E260" s="415" t="s">
        <v>2223</v>
      </c>
      <c r="F260" s="415" t="s">
        <v>2479</v>
      </c>
      <c r="G260" s="415" t="s">
        <v>2890</v>
      </c>
      <c r="H260" s="415">
        <v>70</v>
      </c>
      <c r="I260" s="415">
        <v>0</v>
      </c>
      <c r="J260" s="415">
        <v>0</v>
      </c>
      <c r="K260" s="415">
        <v>0</v>
      </c>
      <c r="L260" s="415">
        <v>825</v>
      </c>
      <c r="M260" s="415">
        <v>485</v>
      </c>
      <c r="N260" s="415" t="s">
        <v>2675</v>
      </c>
      <c r="O260" s="415" t="s">
        <v>2675</v>
      </c>
      <c r="P260" s="415">
        <v>93</v>
      </c>
      <c r="Q260" s="415">
        <v>93</v>
      </c>
      <c r="R260" s="415" t="s">
        <v>2819</v>
      </c>
      <c r="S260" s="415" t="s">
        <v>2835</v>
      </c>
      <c r="T260" s="416">
        <v>236</v>
      </c>
      <c r="U260" s="416">
        <v>236</v>
      </c>
      <c r="V260" s="416">
        <v>236</v>
      </c>
      <c r="W260" s="416">
        <v>236</v>
      </c>
      <c r="X260" s="416">
        <v>0</v>
      </c>
      <c r="Y260" s="416">
        <v>0</v>
      </c>
      <c r="Z260" s="416">
        <v>0</v>
      </c>
      <c r="AA260" s="416">
        <v>0</v>
      </c>
      <c r="AB260" s="416">
        <v>0</v>
      </c>
      <c r="AC260" s="416">
        <v>0</v>
      </c>
      <c r="AD260" s="416">
        <v>0</v>
      </c>
      <c r="AE260" s="416">
        <v>0</v>
      </c>
      <c r="AF260" s="416">
        <v>0</v>
      </c>
      <c r="AG260" s="416">
        <v>0</v>
      </c>
      <c r="AH260" s="416">
        <v>0</v>
      </c>
      <c r="AI260" s="416">
        <v>0</v>
      </c>
      <c r="AJ260" s="416">
        <v>0</v>
      </c>
      <c r="AK260" s="416">
        <v>0</v>
      </c>
      <c r="AL260" s="416">
        <v>0</v>
      </c>
      <c r="AM260" s="416">
        <v>0</v>
      </c>
      <c r="AN260" s="416">
        <v>0</v>
      </c>
      <c r="AO260" s="416">
        <v>0</v>
      </c>
      <c r="AP260" s="416">
        <v>0</v>
      </c>
      <c r="AQ260" s="416">
        <v>0</v>
      </c>
      <c r="AR260" s="416">
        <v>0</v>
      </c>
      <c r="AS260" s="416">
        <v>0</v>
      </c>
      <c r="AT260" s="416">
        <v>0</v>
      </c>
      <c r="AU260" s="416">
        <v>0</v>
      </c>
      <c r="AV260" s="416">
        <v>0</v>
      </c>
      <c r="AW260" s="416">
        <v>0</v>
      </c>
      <c r="AX260" s="416">
        <v>0</v>
      </c>
      <c r="AY260" s="416">
        <v>0</v>
      </c>
      <c r="AZ260" s="416">
        <v>0</v>
      </c>
    </row>
    <row r="261" spans="1:52" s="411" customFormat="1" x14ac:dyDescent="0.3">
      <c r="A261" s="415" t="str">
        <f t="shared" si="3"/>
        <v>SA-372 Gr.H</v>
      </c>
      <c r="B261" s="415">
        <v>255</v>
      </c>
      <c r="C261" s="415" t="s">
        <v>2889</v>
      </c>
      <c r="D261" s="415" t="s">
        <v>2737</v>
      </c>
      <c r="E261" s="415" t="s">
        <v>2223</v>
      </c>
      <c r="F261" s="415" t="s">
        <v>2480</v>
      </c>
      <c r="G261" s="415" t="s">
        <v>2891</v>
      </c>
      <c r="H261" s="415">
        <v>70</v>
      </c>
      <c r="I261" s="415">
        <v>0</v>
      </c>
      <c r="J261" s="415">
        <v>0</v>
      </c>
      <c r="K261" s="415">
        <v>0</v>
      </c>
      <c r="L261" s="415">
        <v>825</v>
      </c>
      <c r="M261" s="415">
        <v>485</v>
      </c>
      <c r="N261" s="415" t="s">
        <v>2675</v>
      </c>
      <c r="O261" s="415" t="s">
        <v>2675</v>
      </c>
      <c r="P261" s="415">
        <v>93</v>
      </c>
      <c r="Q261" s="415">
        <v>93</v>
      </c>
      <c r="R261" s="415" t="s">
        <v>2819</v>
      </c>
      <c r="S261" s="415" t="s">
        <v>2835</v>
      </c>
      <c r="T261" s="416">
        <v>236</v>
      </c>
      <c r="U261" s="416">
        <v>236</v>
      </c>
      <c r="V261" s="416">
        <v>236</v>
      </c>
      <c r="W261" s="416">
        <v>236</v>
      </c>
      <c r="X261" s="416">
        <v>0</v>
      </c>
      <c r="Y261" s="416">
        <v>0</v>
      </c>
      <c r="Z261" s="416">
        <v>0</v>
      </c>
      <c r="AA261" s="416">
        <v>0</v>
      </c>
      <c r="AB261" s="416">
        <v>0</v>
      </c>
      <c r="AC261" s="416">
        <v>0</v>
      </c>
      <c r="AD261" s="416">
        <v>0</v>
      </c>
      <c r="AE261" s="416">
        <v>0</v>
      </c>
      <c r="AF261" s="416">
        <v>0</v>
      </c>
      <c r="AG261" s="416">
        <v>0</v>
      </c>
      <c r="AH261" s="416">
        <v>0</v>
      </c>
      <c r="AI261" s="416">
        <v>0</v>
      </c>
      <c r="AJ261" s="416">
        <v>0</v>
      </c>
      <c r="AK261" s="416">
        <v>0</v>
      </c>
      <c r="AL261" s="416">
        <v>0</v>
      </c>
      <c r="AM261" s="416">
        <v>0</v>
      </c>
      <c r="AN261" s="416">
        <v>0</v>
      </c>
      <c r="AO261" s="416">
        <v>0</v>
      </c>
      <c r="AP261" s="416">
        <v>0</v>
      </c>
      <c r="AQ261" s="416">
        <v>0</v>
      </c>
      <c r="AR261" s="416">
        <v>0</v>
      </c>
      <c r="AS261" s="416">
        <v>0</v>
      </c>
      <c r="AT261" s="416">
        <v>0</v>
      </c>
      <c r="AU261" s="416">
        <v>0</v>
      </c>
      <c r="AV261" s="416">
        <v>0</v>
      </c>
      <c r="AW261" s="416">
        <v>0</v>
      </c>
      <c r="AX261" s="416">
        <v>0</v>
      </c>
      <c r="AY261" s="416">
        <v>0</v>
      </c>
      <c r="AZ261" s="416">
        <v>0</v>
      </c>
    </row>
    <row r="262" spans="1:52" s="411" customFormat="1" x14ac:dyDescent="0.3">
      <c r="A262" s="415" t="str">
        <f t="shared" si="3"/>
        <v>SA-517 Gr.B</v>
      </c>
      <c r="B262" s="415">
        <v>256</v>
      </c>
      <c r="C262" s="415" t="s">
        <v>2892</v>
      </c>
      <c r="D262" s="415" t="s">
        <v>2684</v>
      </c>
      <c r="E262" s="415" t="s">
        <v>2254</v>
      </c>
      <c r="F262" s="415" t="s">
        <v>1864</v>
      </c>
      <c r="G262" s="415" t="s">
        <v>2893</v>
      </c>
      <c r="H262" s="415">
        <v>0</v>
      </c>
      <c r="I262" s="415" t="s">
        <v>2894</v>
      </c>
      <c r="J262" s="415" t="s">
        <v>2895</v>
      </c>
      <c r="K262" s="415">
        <v>4</v>
      </c>
      <c r="L262" s="415">
        <v>795</v>
      </c>
      <c r="M262" s="415">
        <v>690</v>
      </c>
      <c r="N262" s="415" t="s">
        <v>2675</v>
      </c>
      <c r="O262" s="415" t="s">
        <v>2732</v>
      </c>
      <c r="P262" s="415">
        <v>343</v>
      </c>
      <c r="Q262" s="415">
        <v>343</v>
      </c>
      <c r="R262" s="415" t="s">
        <v>2896</v>
      </c>
      <c r="S262" s="415">
        <v>0</v>
      </c>
      <c r="T262" s="416">
        <v>227</v>
      </c>
      <c r="U262" s="416">
        <v>227</v>
      </c>
      <c r="V262" s="416">
        <v>227</v>
      </c>
      <c r="W262" s="416">
        <v>227</v>
      </c>
      <c r="X262" s="416">
        <v>227</v>
      </c>
      <c r="Y262" s="416">
        <v>227</v>
      </c>
      <c r="Z262" s="416">
        <v>227</v>
      </c>
      <c r="AA262" s="416">
        <v>227</v>
      </c>
      <c r="AB262" s="416">
        <v>227</v>
      </c>
      <c r="AC262" s="416">
        <v>227</v>
      </c>
      <c r="AD262" s="416">
        <v>226</v>
      </c>
      <c r="AE262" s="416">
        <v>0</v>
      </c>
      <c r="AF262" s="416">
        <v>0</v>
      </c>
      <c r="AG262" s="416">
        <v>0</v>
      </c>
      <c r="AH262" s="416">
        <v>0</v>
      </c>
      <c r="AI262" s="416">
        <v>0</v>
      </c>
      <c r="AJ262" s="416">
        <v>0</v>
      </c>
      <c r="AK262" s="416">
        <v>0</v>
      </c>
      <c r="AL262" s="416">
        <v>0</v>
      </c>
      <c r="AM262" s="416">
        <v>0</v>
      </c>
      <c r="AN262" s="416">
        <v>0</v>
      </c>
      <c r="AO262" s="416">
        <v>0</v>
      </c>
      <c r="AP262" s="416">
        <v>0</v>
      </c>
      <c r="AQ262" s="416">
        <v>0</v>
      </c>
      <c r="AR262" s="416">
        <v>0</v>
      </c>
      <c r="AS262" s="416">
        <v>0</v>
      </c>
      <c r="AT262" s="416">
        <v>0</v>
      </c>
      <c r="AU262" s="416">
        <v>0</v>
      </c>
      <c r="AV262" s="416">
        <v>0</v>
      </c>
      <c r="AW262" s="416">
        <v>0</v>
      </c>
      <c r="AX262" s="416">
        <v>0</v>
      </c>
      <c r="AY262" s="416">
        <v>0</v>
      </c>
      <c r="AZ262" s="416">
        <v>0</v>
      </c>
    </row>
    <row r="263" spans="1:52" s="411" customFormat="1" x14ac:dyDescent="0.3">
      <c r="A263" s="415" t="str">
        <f t="shared" si="3"/>
        <v>SA-517 Gr.A</v>
      </c>
      <c r="B263" s="415">
        <v>257</v>
      </c>
      <c r="C263" s="415" t="s">
        <v>2897</v>
      </c>
      <c r="D263" s="415" t="s">
        <v>2684</v>
      </c>
      <c r="E263" s="415" t="s">
        <v>2254</v>
      </c>
      <c r="F263" s="415" t="s">
        <v>12</v>
      </c>
      <c r="G263" s="415" t="s">
        <v>2898</v>
      </c>
      <c r="H263" s="415">
        <v>0</v>
      </c>
      <c r="I263" s="415" t="s">
        <v>2894</v>
      </c>
      <c r="J263" s="415" t="s">
        <v>2895</v>
      </c>
      <c r="K263" s="415">
        <v>1</v>
      </c>
      <c r="L263" s="415">
        <v>795</v>
      </c>
      <c r="M263" s="415">
        <v>690</v>
      </c>
      <c r="N263" s="415" t="s">
        <v>2675</v>
      </c>
      <c r="O263" s="415" t="s">
        <v>2732</v>
      </c>
      <c r="P263" s="415">
        <v>343</v>
      </c>
      <c r="Q263" s="415">
        <v>343</v>
      </c>
      <c r="R263" s="415" t="s">
        <v>2896</v>
      </c>
      <c r="S263" s="415">
        <v>0</v>
      </c>
      <c r="T263" s="416">
        <v>227</v>
      </c>
      <c r="U263" s="416">
        <v>227</v>
      </c>
      <c r="V263" s="416">
        <v>227</v>
      </c>
      <c r="W263" s="416">
        <v>227</v>
      </c>
      <c r="X263" s="416">
        <v>227</v>
      </c>
      <c r="Y263" s="416">
        <v>227</v>
      </c>
      <c r="Z263" s="416">
        <v>227</v>
      </c>
      <c r="AA263" s="416">
        <v>227</v>
      </c>
      <c r="AB263" s="416">
        <v>227</v>
      </c>
      <c r="AC263" s="416">
        <v>227</v>
      </c>
      <c r="AD263" s="416">
        <v>226</v>
      </c>
      <c r="AE263" s="416">
        <v>0</v>
      </c>
      <c r="AF263" s="416">
        <v>0</v>
      </c>
      <c r="AG263" s="416">
        <v>0</v>
      </c>
      <c r="AH263" s="416">
        <v>0</v>
      </c>
      <c r="AI263" s="416">
        <v>0</v>
      </c>
      <c r="AJ263" s="416">
        <v>0</v>
      </c>
      <c r="AK263" s="416">
        <v>0</v>
      </c>
      <c r="AL263" s="416">
        <v>0</v>
      </c>
      <c r="AM263" s="416">
        <v>0</v>
      </c>
      <c r="AN263" s="416">
        <v>0</v>
      </c>
      <c r="AO263" s="416">
        <v>0</v>
      </c>
      <c r="AP263" s="416">
        <v>0</v>
      </c>
      <c r="AQ263" s="416">
        <v>0</v>
      </c>
      <c r="AR263" s="416">
        <v>0</v>
      </c>
      <c r="AS263" s="416">
        <v>0</v>
      </c>
      <c r="AT263" s="416">
        <v>0</v>
      </c>
      <c r="AU263" s="416">
        <v>0</v>
      </c>
      <c r="AV263" s="416">
        <v>0</v>
      </c>
      <c r="AW263" s="416">
        <v>0</v>
      </c>
      <c r="AX263" s="416">
        <v>0</v>
      </c>
      <c r="AY263" s="416">
        <v>0</v>
      </c>
      <c r="AZ263" s="416">
        <v>0</v>
      </c>
    </row>
    <row r="264" spans="1:52" s="411" customFormat="1" x14ac:dyDescent="0.3">
      <c r="A264" s="415" t="str">
        <f t="shared" ref="A264:A327" si="4">CONCATENATE(E264," Gr.",F264)</f>
        <v>SA-592 Gr.A</v>
      </c>
      <c r="B264" s="415">
        <v>258</v>
      </c>
      <c r="C264" s="415" t="s">
        <v>2897</v>
      </c>
      <c r="D264" s="415" t="s">
        <v>2737</v>
      </c>
      <c r="E264" s="415" t="s">
        <v>2279</v>
      </c>
      <c r="F264" s="415" t="s">
        <v>12</v>
      </c>
      <c r="G264" s="415" t="s">
        <v>2898</v>
      </c>
      <c r="H264" s="415">
        <v>0</v>
      </c>
      <c r="I264" s="415" t="s">
        <v>2822</v>
      </c>
      <c r="J264" s="415" t="s">
        <v>2895</v>
      </c>
      <c r="K264" s="415">
        <v>1</v>
      </c>
      <c r="L264" s="415">
        <v>795</v>
      </c>
      <c r="M264" s="415">
        <v>690</v>
      </c>
      <c r="N264" s="415" t="s">
        <v>2675</v>
      </c>
      <c r="O264" s="415" t="s">
        <v>2732</v>
      </c>
      <c r="P264" s="415">
        <v>343</v>
      </c>
      <c r="Q264" s="415">
        <v>343</v>
      </c>
      <c r="R264" s="415" t="s">
        <v>2896</v>
      </c>
      <c r="S264" s="415">
        <v>0</v>
      </c>
      <c r="T264" s="416">
        <v>227</v>
      </c>
      <c r="U264" s="416">
        <v>227</v>
      </c>
      <c r="V264" s="416">
        <v>227</v>
      </c>
      <c r="W264" s="416">
        <v>227</v>
      </c>
      <c r="X264" s="416">
        <v>227</v>
      </c>
      <c r="Y264" s="416">
        <v>227</v>
      </c>
      <c r="Z264" s="416">
        <v>227</v>
      </c>
      <c r="AA264" s="416">
        <v>227</v>
      </c>
      <c r="AB264" s="416">
        <v>227</v>
      </c>
      <c r="AC264" s="416">
        <v>227</v>
      </c>
      <c r="AD264" s="416">
        <v>226</v>
      </c>
      <c r="AE264" s="416">
        <v>0</v>
      </c>
      <c r="AF264" s="416">
        <v>0</v>
      </c>
      <c r="AG264" s="416">
        <v>0</v>
      </c>
      <c r="AH264" s="416">
        <v>0</v>
      </c>
      <c r="AI264" s="416">
        <v>0</v>
      </c>
      <c r="AJ264" s="416">
        <v>0</v>
      </c>
      <c r="AK264" s="416">
        <v>0</v>
      </c>
      <c r="AL264" s="416">
        <v>0</v>
      </c>
      <c r="AM264" s="416">
        <v>0</v>
      </c>
      <c r="AN264" s="416">
        <v>0</v>
      </c>
      <c r="AO264" s="416">
        <v>0</v>
      </c>
      <c r="AP264" s="416">
        <v>0</v>
      </c>
      <c r="AQ264" s="416">
        <v>0</v>
      </c>
      <c r="AR264" s="416">
        <v>0</v>
      </c>
      <c r="AS264" s="416">
        <v>0</v>
      </c>
      <c r="AT264" s="416">
        <v>0</v>
      </c>
      <c r="AU264" s="416">
        <v>0</v>
      </c>
      <c r="AV264" s="416">
        <v>0</v>
      </c>
      <c r="AW264" s="416">
        <v>0</v>
      </c>
      <c r="AX264" s="416">
        <v>0</v>
      </c>
      <c r="AY264" s="416">
        <v>0</v>
      </c>
      <c r="AZ264" s="416">
        <v>0</v>
      </c>
    </row>
    <row r="265" spans="1:52" s="411" customFormat="1" x14ac:dyDescent="0.3">
      <c r="A265" s="415" t="str">
        <f t="shared" si="4"/>
        <v>SA-335 Gr.P2</v>
      </c>
      <c r="B265" s="415">
        <v>259</v>
      </c>
      <c r="C265" s="415" t="s">
        <v>2899</v>
      </c>
      <c r="D265" s="415" t="s">
        <v>2703</v>
      </c>
      <c r="E265" s="415" t="s">
        <v>2210</v>
      </c>
      <c r="F265" s="415" t="s">
        <v>2513</v>
      </c>
      <c r="G265" s="415" t="s">
        <v>2900</v>
      </c>
      <c r="H265" s="415">
        <v>0</v>
      </c>
      <c r="I265" s="415">
        <v>0</v>
      </c>
      <c r="J265" s="415">
        <v>3</v>
      </c>
      <c r="K265" s="415">
        <v>1</v>
      </c>
      <c r="L265" s="415">
        <v>380</v>
      </c>
      <c r="M265" s="415">
        <v>205</v>
      </c>
      <c r="N265" s="415">
        <v>538</v>
      </c>
      <c r="O265" s="415">
        <v>371</v>
      </c>
      <c r="P265" s="415">
        <v>538</v>
      </c>
      <c r="Q265" s="415">
        <v>343</v>
      </c>
      <c r="R265" s="415" t="s">
        <v>2699</v>
      </c>
      <c r="S265" s="415" t="s">
        <v>2549</v>
      </c>
      <c r="T265" s="416">
        <v>108</v>
      </c>
      <c r="U265" s="416">
        <v>108</v>
      </c>
      <c r="V265" s="416">
        <v>108</v>
      </c>
      <c r="W265" s="416">
        <v>108</v>
      </c>
      <c r="X265" s="416">
        <v>108</v>
      </c>
      <c r="Y265" s="416">
        <v>108</v>
      </c>
      <c r="Z265" s="416">
        <v>108</v>
      </c>
      <c r="AA265" s="416">
        <v>108</v>
      </c>
      <c r="AB265" s="416">
        <v>108</v>
      </c>
      <c r="AC265" s="416">
        <v>108</v>
      </c>
      <c r="AD265" s="416">
        <v>108</v>
      </c>
      <c r="AE265" s="416">
        <v>108</v>
      </c>
      <c r="AF265" s="416">
        <v>106</v>
      </c>
      <c r="AG265" s="416">
        <v>103</v>
      </c>
      <c r="AH265" s="416">
        <v>100</v>
      </c>
      <c r="AI265" s="416">
        <v>97.1</v>
      </c>
      <c r="AJ265" s="416">
        <v>77</v>
      </c>
      <c r="AK265" s="416">
        <v>49.5</v>
      </c>
      <c r="AL265" s="416">
        <v>31.3</v>
      </c>
      <c r="AM265" s="416">
        <v>0</v>
      </c>
      <c r="AN265" s="416">
        <v>0</v>
      </c>
      <c r="AO265" s="416">
        <v>0</v>
      </c>
      <c r="AP265" s="416">
        <v>0</v>
      </c>
      <c r="AQ265" s="416">
        <v>0</v>
      </c>
      <c r="AR265" s="416">
        <v>0</v>
      </c>
      <c r="AS265" s="416">
        <v>0</v>
      </c>
      <c r="AT265" s="416">
        <v>0</v>
      </c>
      <c r="AU265" s="416">
        <v>0</v>
      </c>
      <c r="AV265" s="416">
        <v>0</v>
      </c>
      <c r="AW265" s="416">
        <v>0</v>
      </c>
      <c r="AX265" s="416">
        <v>0</v>
      </c>
      <c r="AY265" s="416">
        <v>0</v>
      </c>
      <c r="AZ265" s="416">
        <v>0</v>
      </c>
    </row>
    <row r="266" spans="1:52" s="411" customFormat="1" x14ac:dyDescent="0.3">
      <c r="A266" s="415" t="str">
        <f t="shared" si="4"/>
        <v>SA-369 Gr.FP2</v>
      </c>
      <c r="B266" s="415">
        <v>260</v>
      </c>
      <c r="C266" s="415" t="s">
        <v>2899</v>
      </c>
      <c r="D266" s="415" t="s">
        <v>2707</v>
      </c>
      <c r="E266" s="415" t="s">
        <v>2221</v>
      </c>
      <c r="F266" s="415" t="s">
        <v>2468</v>
      </c>
      <c r="G266" s="415" t="s">
        <v>2900</v>
      </c>
      <c r="H266" s="415">
        <v>0</v>
      </c>
      <c r="I266" s="415">
        <v>0</v>
      </c>
      <c r="J266" s="415">
        <v>3</v>
      </c>
      <c r="K266" s="415">
        <v>1</v>
      </c>
      <c r="L266" s="415">
        <v>380</v>
      </c>
      <c r="M266" s="415">
        <v>205</v>
      </c>
      <c r="N266" s="415">
        <v>538</v>
      </c>
      <c r="O266" s="415">
        <v>371</v>
      </c>
      <c r="P266" s="415">
        <v>538</v>
      </c>
      <c r="Q266" s="415">
        <v>343</v>
      </c>
      <c r="R266" s="415" t="s">
        <v>2699</v>
      </c>
      <c r="S266" s="415" t="s">
        <v>2549</v>
      </c>
      <c r="T266" s="416">
        <v>108</v>
      </c>
      <c r="U266" s="416">
        <v>108</v>
      </c>
      <c r="V266" s="416">
        <v>108</v>
      </c>
      <c r="W266" s="416">
        <v>108</v>
      </c>
      <c r="X266" s="416">
        <v>108</v>
      </c>
      <c r="Y266" s="416">
        <v>108</v>
      </c>
      <c r="Z266" s="416">
        <v>108</v>
      </c>
      <c r="AA266" s="416">
        <v>108</v>
      </c>
      <c r="AB266" s="416">
        <v>108</v>
      </c>
      <c r="AC266" s="416">
        <v>108</v>
      </c>
      <c r="AD266" s="416">
        <v>108</v>
      </c>
      <c r="AE266" s="416">
        <v>108</v>
      </c>
      <c r="AF266" s="416">
        <v>106</v>
      </c>
      <c r="AG266" s="416">
        <v>103</v>
      </c>
      <c r="AH266" s="416">
        <v>100</v>
      </c>
      <c r="AI266" s="416">
        <v>97.1</v>
      </c>
      <c r="AJ266" s="416">
        <v>77</v>
      </c>
      <c r="AK266" s="416">
        <v>49.5</v>
      </c>
      <c r="AL266" s="416">
        <v>31.3</v>
      </c>
      <c r="AM266" s="416">
        <v>0</v>
      </c>
      <c r="AN266" s="416">
        <v>0</v>
      </c>
      <c r="AO266" s="416">
        <v>0</v>
      </c>
      <c r="AP266" s="416">
        <v>0</v>
      </c>
      <c r="AQ266" s="416">
        <v>0</v>
      </c>
      <c r="AR266" s="416">
        <v>0</v>
      </c>
      <c r="AS266" s="416">
        <v>0</v>
      </c>
      <c r="AT266" s="416">
        <v>0</v>
      </c>
      <c r="AU266" s="416">
        <v>0</v>
      </c>
      <c r="AV266" s="416">
        <v>0</v>
      </c>
      <c r="AW266" s="416">
        <v>0</v>
      </c>
      <c r="AX266" s="416">
        <v>0</v>
      </c>
      <c r="AY266" s="416">
        <v>0</v>
      </c>
      <c r="AZ266" s="416">
        <v>0</v>
      </c>
    </row>
    <row r="267" spans="1:52" s="411" customFormat="1" x14ac:dyDescent="0.3">
      <c r="A267" s="415" t="str">
        <f t="shared" si="4"/>
        <v>SA-387 Gr.2</v>
      </c>
      <c r="B267" s="415">
        <v>261</v>
      </c>
      <c r="C267" s="415" t="s">
        <v>2899</v>
      </c>
      <c r="D267" s="415" t="s">
        <v>2684</v>
      </c>
      <c r="E267" s="415" t="s">
        <v>2227</v>
      </c>
      <c r="F267" s="415">
        <v>2</v>
      </c>
      <c r="G267" s="415" t="s">
        <v>2901</v>
      </c>
      <c r="H267" s="415">
        <v>1</v>
      </c>
      <c r="I267" s="415">
        <v>0</v>
      </c>
      <c r="J267" s="415">
        <v>3</v>
      </c>
      <c r="K267" s="415">
        <v>1</v>
      </c>
      <c r="L267" s="415">
        <v>380</v>
      </c>
      <c r="M267" s="415">
        <v>230</v>
      </c>
      <c r="N267" s="415">
        <v>538</v>
      </c>
      <c r="O267" s="415">
        <v>371</v>
      </c>
      <c r="P267" s="415">
        <v>538</v>
      </c>
      <c r="Q267" s="415">
        <v>343</v>
      </c>
      <c r="R267" s="415" t="s">
        <v>2699</v>
      </c>
      <c r="S267" s="415" t="s">
        <v>2549</v>
      </c>
      <c r="T267" s="416">
        <v>108</v>
      </c>
      <c r="U267" s="416">
        <v>108</v>
      </c>
      <c r="V267" s="416">
        <v>108</v>
      </c>
      <c r="W267" s="416">
        <v>108</v>
      </c>
      <c r="X267" s="416">
        <v>108</v>
      </c>
      <c r="Y267" s="416">
        <v>108</v>
      </c>
      <c r="Z267" s="416">
        <v>108</v>
      </c>
      <c r="AA267" s="416">
        <v>108</v>
      </c>
      <c r="AB267" s="416">
        <v>108</v>
      </c>
      <c r="AC267" s="416">
        <v>108</v>
      </c>
      <c r="AD267" s="416">
        <v>108</v>
      </c>
      <c r="AE267" s="416">
        <v>108</v>
      </c>
      <c r="AF267" s="416">
        <v>108</v>
      </c>
      <c r="AG267" s="416">
        <v>108</v>
      </c>
      <c r="AH267" s="416">
        <v>106</v>
      </c>
      <c r="AI267" s="416">
        <v>103</v>
      </c>
      <c r="AJ267" s="416">
        <v>76.7</v>
      </c>
      <c r="AK267" s="416">
        <v>49.6</v>
      </c>
      <c r="AL267" s="416">
        <v>31.2</v>
      </c>
      <c r="AM267" s="416">
        <v>0</v>
      </c>
      <c r="AN267" s="416">
        <v>0</v>
      </c>
      <c r="AO267" s="416">
        <v>0</v>
      </c>
      <c r="AP267" s="416">
        <v>0</v>
      </c>
      <c r="AQ267" s="416">
        <v>0</v>
      </c>
      <c r="AR267" s="416">
        <v>0</v>
      </c>
      <c r="AS267" s="416">
        <v>0</v>
      </c>
      <c r="AT267" s="416">
        <v>0</v>
      </c>
      <c r="AU267" s="416">
        <v>0</v>
      </c>
      <c r="AV267" s="416">
        <v>0</v>
      </c>
      <c r="AW267" s="416">
        <v>0</v>
      </c>
      <c r="AX267" s="416">
        <v>0</v>
      </c>
      <c r="AY267" s="416">
        <v>0</v>
      </c>
      <c r="AZ267" s="416">
        <v>0</v>
      </c>
    </row>
    <row r="268" spans="1:52" s="411" customFormat="1" x14ac:dyDescent="0.3">
      <c r="A268" s="415" t="str">
        <f t="shared" si="4"/>
        <v>SA-691 Gr.1⁄2CR</v>
      </c>
      <c r="B268" s="415">
        <v>262</v>
      </c>
      <c r="C268" s="415" t="s">
        <v>2899</v>
      </c>
      <c r="D268" s="415" t="s">
        <v>2680</v>
      </c>
      <c r="E268" s="415" t="s">
        <v>2303</v>
      </c>
      <c r="F268" s="415" t="s">
        <v>2902</v>
      </c>
      <c r="G268" s="415" t="s">
        <v>2901</v>
      </c>
      <c r="H268" s="415">
        <v>0</v>
      </c>
      <c r="I268" s="415">
        <v>0</v>
      </c>
      <c r="J268" s="415">
        <v>3</v>
      </c>
      <c r="K268" s="415">
        <v>1</v>
      </c>
      <c r="L268" s="415">
        <v>380</v>
      </c>
      <c r="M268" s="415">
        <v>230</v>
      </c>
      <c r="N268" s="415" t="s">
        <v>2675</v>
      </c>
      <c r="O268" s="415">
        <v>371</v>
      </c>
      <c r="P268" s="415" t="s">
        <v>2675</v>
      </c>
      <c r="Q268" s="415" t="s">
        <v>2675</v>
      </c>
      <c r="R268" s="415" t="s">
        <v>2699</v>
      </c>
      <c r="S268" s="415" t="s">
        <v>2882</v>
      </c>
      <c r="T268" s="416">
        <v>108</v>
      </c>
      <c r="U268" s="416">
        <v>108</v>
      </c>
      <c r="V268" s="416">
        <v>108</v>
      </c>
      <c r="W268" s="416">
        <v>108</v>
      </c>
      <c r="X268" s="416">
        <v>108</v>
      </c>
      <c r="Y268" s="416">
        <v>108</v>
      </c>
      <c r="Z268" s="416">
        <v>108</v>
      </c>
      <c r="AA268" s="416">
        <v>108</v>
      </c>
      <c r="AB268" s="416">
        <v>108</v>
      </c>
      <c r="AC268" s="416">
        <v>108</v>
      </c>
      <c r="AD268" s="416">
        <v>108</v>
      </c>
      <c r="AE268" s="416">
        <v>108</v>
      </c>
      <c r="AF268" s="416">
        <v>0</v>
      </c>
      <c r="AG268" s="416">
        <v>0</v>
      </c>
      <c r="AH268" s="416">
        <v>0</v>
      </c>
      <c r="AI268" s="416">
        <v>0</v>
      </c>
      <c r="AJ268" s="416">
        <v>0</v>
      </c>
      <c r="AK268" s="416">
        <v>0</v>
      </c>
      <c r="AL268" s="416">
        <v>0</v>
      </c>
      <c r="AM268" s="416">
        <v>0</v>
      </c>
      <c r="AN268" s="416">
        <v>0</v>
      </c>
      <c r="AO268" s="416">
        <v>0</v>
      </c>
      <c r="AP268" s="416">
        <v>0</v>
      </c>
      <c r="AQ268" s="416">
        <v>0</v>
      </c>
      <c r="AR268" s="416">
        <v>0</v>
      </c>
      <c r="AS268" s="416">
        <v>0</v>
      </c>
      <c r="AT268" s="416">
        <v>0</v>
      </c>
      <c r="AU268" s="416">
        <v>0</v>
      </c>
      <c r="AV268" s="416">
        <v>0</v>
      </c>
      <c r="AW268" s="416">
        <v>0</v>
      </c>
      <c r="AX268" s="416">
        <v>0</v>
      </c>
      <c r="AY268" s="416">
        <v>0</v>
      </c>
      <c r="AZ268" s="416">
        <v>0</v>
      </c>
    </row>
    <row r="269" spans="1:52" s="411" customFormat="1" x14ac:dyDescent="0.3">
      <c r="A269" s="415" t="str">
        <f t="shared" si="4"/>
        <v>SA-691 Gr.1⁄2CR</v>
      </c>
      <c r="B269" s="415">
        <v>263</v>
      </c>
      <c r="C269" s="415" t="s">
        <v>2899</v>
      </c>
      <c r="D269" s="415" t="s">
        <v>2680</v>
      </c>
      <c r="E269" s="415" t="s">
        <v>2303</v>
      </c>
      <c r="F269" s="415" t="s">
        <v>2902</v>
      </c>
      <c r="G269" s="415" t="s">
        <v>2901</v>
      </c>
      <c r="H269" s="415">
        <v>0</v>
      </c>
      <c r="I269" s="415">
        <v>0</v>
      </c>
      <c r="J269" s="415">
        <v>3</v>
      </c>
      <c r="K269" s="415">
        <v>1</v>
      </c>
      <c r="L269" s="415">
        <v>380</v>
      </c>
      <c r="M269" s="415">
        <v>230</v>
      </c>
      <c r="N269" s="415" t="s">
        <v>2675</v>
      </c>
      <c r="O269" s="415" t="s">
        <v>2681</v>
      </c>
      <c r="P269" s="415" t="s">
        <v>2675</v>
      </c>
      <c r="Q269" s="415" t="s">
        <v>2675</v>
      </c>
      <c r="R269" s="415" t="s">
        <v>2699</v>
      </c>
      <c r="S269" s="415" t="s">
        <v>2883</v>
      </c>
      <c r="T269" s="416">
        <v>108</v>
      </c>
      <c r="U269" s="416">
        <v>108</v>
      </c>
      <c r="V269" s="416">
        <v>108</v>
      </c>
      <c r="W269" s="416">
        <v>108</v>
      </c>
      <c r="X269" s="416">
        <v>108</v>
      </c>
      <c r="Y269" s="416">
        <v>108</v>
      </c>
      <c r="Z269" s="416">
        <v>0</v>
      </c>
      <c r="AA269" s="416">
        <v>0</v>
      </c>
      <c r="AB269" s="416">
        <v>0</v>
      </c>
      <c r="AC269" s="416">
        <v>0</v>
      </c>
      <c r="AD269" s="416">
        <v>0</v>
      </c>
      <c r="AE269" s="416">
        <v>0</v>
      </c>
      <c r="AF269" s="416">
        <v>0</v>
      </c>
      <c r="AG269" s="416">
        <v>0</v>
      </c>
      <c r="AH269" s="416">
        <v>0</v>
      </c>
      <c r="AI269" s="416">
        <v>0</v>
      </c>
      <c r="AJ269" s="416">
        <v>0</v>
      </c>
      <c r="AK269" s="416">
        <v>0</v>
      </c>
      <c r="AL269" s="416">
        <v>0</v>
      </c>
      <c r="AM269" s="416">
        <v>0</v>
      </c>
      <c r="AN269" s="416">
        <v>0</v>
      </c>
      <c r="AO269" s="416">
        <v>0</v>
      </c>
      <c r="AP269" s="416">
        <v>0</v>
      </c>
      <c r="AQ269" s="416">
        <v>0</v>
      </c>
      <c r="AR269" s="416">
        <v>0</v>
      </c>
      <c r="AS269" s="416">
        <v>0</v>
      </c>
      <c r="AT269" s="416">
        <v>0</v>
      </c>
      <c r="AU269" s="416">
        <v>0</v>
      </c>
      <c r="AV269" s="416">
        <v>0</v>
      </c>
      <c r="AW269" s="416">
        <v>0</v>
      </c>
      <c r="AX269" s="416">
        <v>0</v>
      </c>
      <c r="AY269" s="416">
        <v>0</v>
      </c>
      <c r="AZ269" s="416">
        <v>0</v>
      </c>
    </row>
    <row r="270" spans="1:52" s="411" customFormat="1" x14ac:dyDescent="0.3">
      <c r="A270" s="415" t="str">
        <f t="shared" si="4"/>
        <v>SA-213 Gr.T2</v>
      </c>
      <c r="B270" s="415">
        <v>264</v>
      </c>
      <c r="C270" s="415" t="s">
        <v>2899</v>
      </c>
      <c r="D270" s="415" t="s">
        <v>2693</v>
      </c>
      <c r="E270" s="415" t="s">
        <v>2195</v>
      </c>
      <c r="F270" s="415" t="s">
        <v>2543</v>
      </c>
      <c r="G270" s="415" t="s">
        <v>2900</v>
      </c>
      <c r="H270" s="415">
        <v>0</v>
      </c>
      <c r="I270" s="415">
        <v>0</v>
      </c>
      <c r="J270" s="415">
        <v>3</v>
      </c>
      <c r="K270" s="415">
        <v>1</v>
      </c>
      <c r="L270" s="415">
        <v>415</v>
      </c>
      <c r="M270" s="415">
        <v>205</v>
      </c>
      <c r="N270" s="415">
        <v>538</v>
      </c>
      <c r="O270" s="415">
        <v>371</v>
      </c>
      <c r="P270" s="415">
        <v>538</v>
      </c>
      <c r="Q270" s="415">
        <v>343</v>
      </c>
      <c r="R270" s="415" t="s">
        <v>2699</v>
      </c>
      <c r="S270" s="415" t="s">
        <v>2549</v>
      </c>
      <c r="T270" s="416">
        <v>118</v>
      </c>
      <c r="U270" s="416">
        <v>118</v>
      </c>
      <c r="V270" s="416">
        <v>118</v>
      </c>
      <c r="W270" s="416">
        <v>118</v>
      </c>
      <c r="X270" s="416">
        <v>118</v>
      </c>
      <c r="Y270" s="416">
        <v>118</v>
      </c>
      <c r="Z270" s="416">
        <v>118</v>
      </c>
      <c r="AA270" s="416">
        <v>117</v>
      </c>
      <c r="AB270" s="416">
        <v>114</v>
      </c>
      <c r="AC270" s="416">
        <v>112</v>
      </c>
      <c r="AD270" s="416">
        <v>110</v>
      </c>
      <c r="AE270" s="416">
        <v>108</v>
      </c>
      <c r="AF270" s="416">
        <v>106</v>
      </c>
      <c r="AG270" s="416">
        <v>103</v>
      </c>
      <c r="AH270" s="416">
        <v>100</v>
      </c>
      <c r="AI270" s="416">
        <v>97.1</v>
      </c>
      <c r="AJ270" s="416">
        <v>77</v>
      </c>
      <c r="AK270" s="416">
        <v>49.5</v>
      </c>
      <c r="AL270" s="416">
        <v>31.3</v>
      </c>
      <c r="AM270" s="416">
        <v>0</v>
      </c>
      <c r="AN270" s="416">
        <v>0</v>
      </c>
      <c r="AO270" s="416">
        <v>0</v>
      </c>
      <c r="AP270" s="416">
        <v>0</v>
      </c>
      <c r="AQ270" s="416">
        <v>0</v>
      </c>
      <c r="AR270" s="416">
        <v>0</v>
      </c>
      <c r="AS270" s="416">
        <v>0</v>
      </c>
      <c r="AT270" s="416">
        <v>0</v>
      </c>
      <c r="AU270" s="416">
        <v>0</v>
      </c>
      <c r="AV270" s="416">
        <v>0</v>
      </c>
      <c r="AW270" s="416">
        <v>0</v>
      </c>
      <c r="AX270" s="416">
        <v>0</v>
      </c>
      <c r="AY270" s="416">
        <v>0</v>
      </c>
      <c r="AZ270" s="416">
        <v>0</v>
      </c>
    </row>
    <row r="271" spans="1:52" s="411" customFormat="1" x14ac:dyDescent="0.3">
      <c r="A271" s="415" t="str">
        <f t="shared" si="4"/>
        <v>SA-250 Gr.T2</v>
      </c>
      <c r="B271" s="415">
        <v>265</v>
      </c>
      <c r="C271" s="415" t="s">
        <v>2899</v>
      </c>
      <c r="D271" s="415" t="s">
        <v>2689</v>
      </c>
      <c r="E271" s="415" t="s">
        <v>2201</v>
      </c>
      <c r="F271" s="415" t="s">
        <v>2543</v>
      </c>
      <c r="G271" s="415" t="s">
        <v>2900</v>
      </c>
      <c r="H271" s="415">
        <v>0</v>
      </c>
      <c r="I271" s="415">
        <v>0</v>
      </c>
      <c r="J271" s="415">
        <v>3</v>
      </c>
      <c r="K271" s="415">
        <v>1</v>
      </c>
      <c r="L271" s="415">
        <v>415</v>
      </c>
      <c r="M271" s="415">
        <v>205</v>
      </c>
      <c r="N271" s="415">
        <v>538</v>
      </c>
      <c r="O271" s="415" t="s">
        <v>2675</v>
      </c>
      <c r="P271" s="415" t="s">
        <v>2675</v>
      </c>
      <c r="Q271" s="415" t="s">
        <v>2675</v>
      </c>
      <c r="R271" s="415" t="s">
        <v>2699</v>
      </c>
      <c r="S271" s="415" t="s">
        <v>2903</v>
      </c>
      <c r="T271" s="416">
        <v>100</v>
      </c>
      <c r="U271" s="416">
        <v>100</v>
      </c>
      <c r="V271" s="416">
        <v>100</v>
      </c>
      <c r="W271" s="416">
        <v>100</v>
      </c>
      <c r="X271" s="416">
        <v>100</v>
      </c>
      <c r="Y271" s="416">
        <v>100</v>
      </c>
      <c r="Z271" s="416">
        <v>100</v>
      </c>
      <c r="AA271" s="416">
        <v>99.6</v>
      </c>
      <c r="AB271" s="416">
        <v>96.7</v>
      </c>
      <c r="AC271" s="416">
        <v>95.5</v>
      </c>
      <c r="AD271" s="416">
        <v>93.8</v>
      </c>
      <c r="AE271" s="416">
        <v>91.5</v>
      </c>
      <c r="AF271" s="416">
        <v>90.2</v>
      </c>
      <c r="AG271" s="416">
        <v>87.7</v>
      </c>
      <c r="AH271" s="416">
        <v>85.3</v>
      </c>
      <c r="AI271" s="416">
        <v>82.4</v>
      </c>
      <c r="AJ271" s="416">
        <v>65.3</v>
      </c>
      <c r="AK271" s="416">
        <v>42</v>
      </c>
      <c r="AL271" s="416">
        <v>26.5</v>
      </c>
      <c r="AM271" s="416">
        <v>0</v>
      </c>
      <c r="AN271" s="416">
        <v>0</v>
      </c>
      <c r="AO271" s="416">
        <v>0</v>
      </c>
      <c r="AP271" s="416">
        <v>0</v>
      </c>
      <c r="AQ271" s="416">
        <v>0</v>
      </c>
      <c r="AR271" s="416">
        <v>0</v>
      </c>
      <c r="AS271" s="416">
        <v>0</v>
      </c>
      <c r="AT271" s="416">
        <v>0</v>
      </c>
      <c r="AU271" s="416">
        <v>0</v>
      </c>
      <c r="AV271" s="416">
        <v>0</v>
      </c>
      <c r="AW271" s="416">
        <v>0</v>
      </c>
      <c r="AX271" s="416">
        <v>0</v>
      </c>
      <c r="AY271" s="416">
        <v>0</v>
      </c>
      <c r="AZ271" s="416">
        <v>0</v>
      </c>
    </row>
    <row r="272" spans="1:52" s="411" customFormat="1" x14ac:dyDescent="0.3">
      <c r="A272" s="415" t="str">
        <f t="shared" si="4"/>
        <v>SA-250 Gr.T2S1</v>
      </c>
      <c r="B272" s="415">
        <v>266</v>
      </c>
      <c r="C272" s="415" t="s">
        <v>2899</v>
      </c>
      <c r="D272" s="415" t="s">
        <v>2689</v>
      </c>
      <c r="E272" s="415" t="s">
        <v>2201</v>
      </c>
      <c r="F272" s="415" t="s">
        <v>2547</v>
      </c>
      <c r="G272" s="415" t="s">
        <v>2900</v>
      </c>
      <c r="H272" s="415">
        <v>0</v>
      </c>
      <c r="I272" s="415">
        <v>0</v>
      </c>
      <c r="J272" s="415">
        <v>3</v>
      </c>
      <c r="K272" s="415">
        <v>1</v>
      </c>
      <c r="L272" s="415">
        <v>415</v>
      </c>
      <c r="M272" s="415">
        <v>205</v>
      </c>
      <c r="N272" s="415">
        <v>538</v>
      </c>
      <c r="O272" s="415" t="s">
        <v>2675</v>
      </c>
      <c r="P272" s="415" t="s">
        <v>2675</v>
      </c>
      <c r="Q272" s="415" t="s">
        <v>2675</v>
      </c>
      <c r="R272" s="415" t="s">
        <v>2699</v>
      </c>
      <c r="S272" s="415" t="s">
        <v>2904</v>
      </c>
      <c r="T272" s="416">
        <v>118</v>
      </c>
      <c r="U272" s="416">
        <v>118</v>
      </c>
      <c r="V272" s="416">
        <v>118</v>
      </c>
      <c r="W272" s="416">
        <v>118</v>
      </c>
      <c r="X272" s="416">
        <v>118</v>
      </c>
      <c r="Y272" s="416">
        <v>118</v>
      </c>
      <c r="Z272" s="416">
        <v>118</v>
      </c>
      <c r="AA272" s="416">
        <v>117</v>
      </c>
      <c r="AB272" s="416">
        <v>114</v>
      </c>
      <c r="AC272" s="416">
        <v>112</v>
      </c>
      <c r="AD272" s="416">
        <v>110</v>
      </c>
      <c r="AE272" s="416">
        <v>108</v>
      </c>
      <c r="AF272" s="416">
        <v>106</v>
      </c>
      <c r="AG272" s="416">
        <v>103</v>
      </c>
      <c r="AH272" s="416">
        <v>100</v>
      </c>
      <c r="AI272" s="416">
        <v>97.1</v>
      </c>
      <c r="AJ272" s="416">
        <v>77</v>
      </c>
      <c r="AK272" s="416">
        <v>49.5</v>
      </c>
      <c r="AL272" s="416">
        <v>31.3</v>
      </c>
      <c r="AM272" s="416">
        <v>0</v>
      </c>
      <c r="AN272" s="416">
        <v>0</v>
      </c>
      <c r="AO272" s="416">
        <v>0</v>
      </c>
      <c r="AP272" s="416">
        <v>0</v>
      </c>
      <c r="AQ272" s="416">
        <v>0</v>
      </c>
      <c r="AR272" s="416">
        <v>0</v>
      </c>
      <c r="AS272" s="416">
        <v>0</v>
      </c>
      <c r="AT272" s="416">
        <v>0</v>
      </c>
      <c r="AU272" s="416">
        <v>0</v>
      </c>
      <c r="AV272" s="416">
        <v>0</v>
      </c>
      <c r="AW272" s="416">
        <v>0</v>
      </c>
      <c r="AX272" s="416">
        <v>0</v>
      </c>
      <c r="AY272" s="416">
        <v>0</v>
      </c>
      <c r="AZ272" s="416">
        <v>0</v>
      </c>
    </row>
    <row r="273" spans="1:52" s="411" customFormat="1" x14ac:dyDescent="0.3">
      <c r="A273" s="415" t="str">
        <f t="shared" si="4"/>
        <v>SA-426 Gr.CP2</v>
      </c>
      <c r="B273" s="415">
        <v>267</v>
      </c>
      <c r="C273" s="415" t="s">
        <v>2899</v>
      </c>
      <c r="D273" s="415" t="s">
        <v>2746</v>
      </c>
      <c r="E273" s="415" t="s">
        <v>2239</v>
      </c>
      <c r="F273" s="415" t="s">
        <v>2396</v>
      </c>
      <c r="G273" s="415" t="s">
        <v>2905</v>
      </c>
      <c r="H273" s="415">
        <v>0</v>
      </c>
      <c r="I273" s="415">
        <v>0</v>
      </c>
      <c r="J273" s="415">
        <v>3</v>
      </c>
      <c r="K273" s="415">
        <v>1</v>
      </c>
      <c r="L273" s="415">
        <v>415</v>
      </c>
      <c r="M273" s="415">
        <v>205</v>
      </c>
      <c r="N273" s="415" t="s">
        <v>2675</v>
      </c>
      <c r="O273" s="415">
        <v>371</v>
      </c>
      <c r="P273" s="415" t="s">
        <v>2675</v>
      </c>
      <c r="Q273" s="415" t="s">
        <v>2675</v>
      </c>
      <c r="R273" s="415" t="s">
        <v>2699</v>
      </c>
      <c r="S273" s="415" t="s">
        <v>2745</v>
      </c>
      <c r="T273" s="416">
        <v>118</v>
      </c>
      <c r="U273" s="416">
        <v>118</v>
      </c>
      <c r="V273" s="416">
        <v>118</v>
      </c>
      <c r="W273" s="416">
        <v>118</v>
      </c>
      <c r="X273" s="416">
        <v>118</v>
      </c>
      <c r="Y273" s="416">
        <v>118</v>
      </c>
      <c r="Z273" s="416">
        <v>118</v>
      </c>
      <c r="AA273" s="416">
        <v>117</v>
      </c>
      <c r="AB273" s="416">
        <v>114</v>
      </c>
      <c r="AC273" s="416">
        <v>112</v>
      </c>
      <c r="AD273" s="416">
        <v>110</v>
      </c>
      <c r="AE273" s="416">
        <v>108</v>
      </c>
      <c r="AF273" s="416">
        <v>0</v>
      </c>
      <c r="AG273" s="416">
        <v>0</v>
      </c>
      <c r="AH273" s="416">
        <v>0</v>
      </c>
      <c r="AI273" s="416">
        <v>0</v>
      </c>
      <c r="AJ273" s="416">
        <v>0</v>
      </c>
      <c r="AK273" s="416">
        <v>0</v>
      </c>
      <c r="AL273" s="416">
        <v>0</v>
      </c>
      <c r="AM273" s="416">
        <v>0</v>
      </c>
      <c r="AN273" s="416">
        <v>0</v>
      </c>
      <c r="AO273" s="416">
        <v>0</v>
      </c>
      <c r="AP273" s="416">
        <v>0</v>
      </c>
      <c r="AQ273" s="416">
        <v>0</v>
      </c>
      <c r="AR273" s="416">
        <v>0</v>
      </c>
      <c r="AS273" s="416">
        <v>0</v>
      </c>
      <c r="AT273" s="416">
        <v>0</v>
      </c>
      <c r="AU273" s="416">
        <v>0</v>
      </c>
      <c r="AV273" s="416">
        <v>0</v>
      </c>
      <c r="AW273" s="416">
        <v>0</v>
      </c>
      <c r="AX273" s="416">
        <v>0</v>
      </c>
      <c r="AY273" s="416">
        <v>0</v>
      </c>
      <c r="AZ273" s="416">
        <v>0</v>
      </c>
    </row>
    <row r="274" spans="1:52" s="411" customFormat="1" x14ac:dyDescent="0.3">
      <c r="A274" s="415" t="str">
        <f t="shared" si="4"/>
        <v>SA-182 Gr.F2</v>
      </c>
      <c r="B274" s="415">
        <v>268</v>
      </c>
      <c r="C274" s="415" t="s">
        <v>2899</v>
      </c>
      <c r="D274" s="415" t="s">
        <v>2737</v>
      </c>
      <c r="E274" s="415" t="s">
        <v>2188</v>
      </c>
      <c r="F274" s="415" t="s">
        <v>2428</v>
      </c>
      <c r="G274" s="415" t="s">
        <v>2906</v>
      </c>
      <c r="H274" s="415">
        <v>0</v>
      </c>
      <c r="I274" s="415">
        <v>0</v>
      </c>
      <c r="J274" s="415">
        <v>3</v>
      </c>
      <c r="K274" s="415">
        <v>2</v>
      </c>
      <c r="L274" s="415">
        <v>485</v>
      </c>
      <c r="M274" s="415">
        <v>275</v>
      </c>
      <c r="N274" s="415">
        <v>538</v>
      </c>
      <c r="O274" s="415" t="s">
        <v>2675</v>
      </c>
      <c r="P274" s="415">
        <v>538</v>
      </c>
      <c r="Q274" s="415">
        <v>343</v>
      </c>
      <c r="R274" s="415" t="s">
        <v>2699</v>
      </c>
      <c r="S274" s="415" t="s">
        <v>2549</v>
      </c>
      <c r="T274" s="416">
        <v>138</v>
      </c>
      <c r="U274" s="416">
        <v>138</v>
      </c>
      <c r="V274" s="416">
        <v>138</v>
      </c>
      <c r="W274" s="416">
        <v>138</v>
      </c>
      <c r="X274" s="416">
        <v>138</v>
      </c>
      <c r="Y274" s="416">
        <v>138</v>
      </c>
      <c r="Z274" s="416">
        <v>138</v>
      </c>
      <c r="AA274" s="416">
        <v>138</v>
      </c>
      <c r="AB274" s="416">
        <v>138</v>
      </c>
      <c r="AC274" s="416">
        <v>138</v>
      </c>
      <c r="AD274" s="416">
        <v>138</v>
      </c>
      <c r="AE274" s="416">
        <v>138</v>
      </c>
      <c r="AF274" s="416">
        <v>138</v>
      </c>
      <c r="AG274" s="416">
        <v>137</v>
      </c>
      <c r="AH274" s="416">
        <v>134</v>
      </c>
      <c r="AI274" s="416">
        <v>130</v>
      </c>
      <c r="AJ274" s="416">
        <v>89.1</v>
      </c>
      <c r="AK274" s="416">
        <v>46</v>
      </c>
      <c r="AL274" s="416">
        <v>32.5</v>
      </c>
      <c r="AM274" s="416">
        <v>0</v>
      </c>
      <c r="AN274" s="416">
        <v>0</v>
      </c>
      <c r="AO274" s="416">
        <v>0</v>
      </c>
      <c r="AP274" s="416">
        <v>0</v>
      </c>
      <c r="AQ274" s="416">
        <v>0</v>
      </c>
      <c r="AR274" s="416">
        <v>0</v>
      </c>
      <c r="AS274" s="416">
        <v>0</v>
      </c>
      <c r="AT274" s="416">
        <v>0</v>
      </c>
      <c r="AU274" s="416">
        <v>0</v>
      </c>
      <c r="AV274" s="416">
        <v>0</v>
      </c>
      <c r="AW274" s="416">
        <v>0</v>
      </c>
      <c r="AX274" s="416">
        <v>0</v>
      </c>
      <c r="AY274" s="416">
        <v>0</v>
      </c>
      <c r="AZ274" s="416">
        <v>0</v>
      </c>
    </row>
    <row r="275" spans="1:52" s="411" customFormat="1" x14ac:dyDescent="0.3">
      <c r="A275" s="415" t="str">
        <f t="shared" si="4"/>
        <v>SA-387 Gr.2</v>
      </c>
      <c r="B275" s="415">
        <v>269</v>
      </c>
      <c r="C275" s="415" t="s">
        <v>2899</v>
      </c>
      <c r="D275" s="415" t="s">
        <v>2684</v>
      </c>
      <c r="E275" s="415" t="s">
        <v>2227</v>
      </c>
      <c r="F275" s="415">
        <v>2</v>
      </c>
      <c r="G275" s="415" t="s">
        <v>2901</v>
      </c>
      <c r="H275" s="415">
        <v>2</v>
      </c>
      <c r="I275" s="415">
        <v>0</v>
      </c>
      <c r="J275" s="415">
        <v>3</v>
      </c>
      <c r="K275" s="415">
        <v>2</v>
      </c>
      <c r="L275" s="415">
        <v>485</v>
      </c>
      <c r="M275" s="415">
        <v>310</v>
      </c>
      <c r="N275" s="415" t="s">
        <v>2675</v>
      </c>
      <c r="O275" s="415">
        <v>371</v>
      </c>
      <c r="P275" s="415">
        <v>538</v>
      </c>
      <c r="Q275" s="415">
        <v>343</v>
      </c>
      <c r="R275" s="415" t="s">
        <v>2819</v>
      </c>
      <c r="S275" s="415" t="s">
        <v>2549</v>
      </c>
      <c r="T275" s="416">
        <v>138</v>
      </c>
      <c r="U275" s="416">
        <v>138</v>
      </c>
      <c r="V275" s="416">
        <v>138</v>
      </c>
      <c r="W275" s="416">
        <v>138</v>
      </c>
      <c r="X275" s="416">
        <v>138</v>
      </c>
      <c r="Y275" s="416">
        <v>138</v>
      </c>
      <c r="Z275" s="416">
        <v>138</v>
      </c>
      <c r="AA275" s="416">
        <v>138</v>
      </c>
      <c r="AB275" s="416">
        <v>138</v>
      </c>
      <c r="AC275" s="416">
        <v>138</v>
      </c>
      <c r="AD275" s="416">
        <v>138</v>
      </c>
      <c r="AE275" s="416">
        <v>138</v>
      </c>
      <c r="AF275" s="416">
        <v>138</v>
      </c>
      <c r="AG275" s="416">
        <v>138</v>
      </c>
      <c r="AH275" s="416">
        <v>135</v>
      </c>
      <c r="AI275" s="416">
        <v>130</v>
      </c>
      <c r="AJ275" s="416">
        <v>88.9</v>
      </c>
      <c r="AK275" s="416">
        <v>46</v>
      </c>
      <c r="AL275" s="416">
        <v>32.5</v>
      </c>
      <c r="AM275" s="416">
        <v>0</v>
      </c>
      <c r="AN275" s="416">
        <v>0</v>
      </c>
      <c r="AO275" s="416">
        <v>0</v>
      </c>
      <c r="AP275" s="416">
        <v>0</v>
      </c>
      <c r="AQ275" s="416">
        <v>0</v>
      </c>
      <c r="AR275" s="416">
        <v>0</v>
      </c>
      <c r="AS275" s="416">
        <v>0</v>
      </c>
      <c r="AT275" s="416">
        <v>0</v>
      </c>
      <c r="AU275" s="416">
        <v>0</v>
      </c>
      <c r="AV275" s="416">
        <v>0</v>
      </c>
      <c r="AW275" s="416">
        <v>0</v>
      </c>
      <c r="AX275" s="416">
        <v>0</v>
      </c>
      <c r="AY275" s="416">
        <v>0</v>
      </c>
      <c r="AZ275" s="416">
        <v>0</v>
      </c>
    </row>
    <row r="276" spans="1:52" s="411" customFormat="1" x14ac:dyDescent="0.3">
      <c r="A276" s="415" t="str">
        <f t="shared" si="4"/>
        <v>SA-691 Gr.1⁄2CR</v>
      </c>
      <c r="B276" s="415">
        <v>270</v>
      </c>
      <c r="C276" s="415" t="s">
        <v>2899</v>
      </c>
      <c r="D276" s="415" t="s">
        <v>2680</v>
      </c>
      <c r="E276" s="415" t="s">
        <v>2303</v>
      </c>
      <c r="F276" s="415" t="s">
        <v>2902</v>
      </c>
      <c r="G276" s="415" t="s">
        <v>2901</v>
      </c>
      <c r="H276" s="415">
        <v>0</v>
      </c>
      <c r="I276" s="415">
        <v>0</v>
      </c>
      <c r="J276" s="415">
        <v>3</v>
      </c>
      <c r="K276" s="415">
        <v>2</v>
      </c>
      <c r="L276" s="415">
        <v>485</v>
      </c>
      <c r="M276" s="415">
        <v>310</v>
      </c>
      <c r="N276" s="415" t="s">
        <v>2675</v>
      </c>
      <c r="O276" s="415">
        <v>371</v>
      </c>
      <c r="P276" s="415" t="s">
        <v>2675</v>
      </c>
      <c r="Q276" s="415" t="s">
        <v>2675</v>
      </c>
      <c r="R276" s="415" t="s">
        <v>2819</v>
      </c>
      <c r="S276" s="415" t="s">
        <v>2882</v>
      </c>
      <c r="T276" s="416">
        <v>138</v>
      </c>
      <c r="U276" s="416">
        <v>138</v>
      </c>
      <c r="V276" s="416">
        <v>138</v>
      </c>
      <c r="W276" s="416">
        <v>138</v>
      </c>
      <c r="X276" s="416">
        <v>138</v>
      </c>
      <c r="Y276" s="416">
        <v>138</v>
      </c>
      <c r="Z276" s="416">
        <v>138</v>
      </c>
      <c r="AA276" s="416">
        <v>138</v>
      </c>
      <c r="AB276" s="416">
        <v>138</v>
      </c>
      <c r="AC276" s="416">
        <v>138</v>
      </c>
      <c r="AD276" s="416">
        <v>138</v>
      </c>
      <c r="AE276" s="416">
        <v>138</v>
      </c>
      <c r="AF276" s="416">
        <v>0</v>
      </c>
      <c r="AG276" s="416">
        <v>0</v>
      </c>
      <c r="AH276" s="416">
        <v>0</v>
      </c>
      <c r="AI276" s="416">
        <v>0</v>
      </c>
      <c r="AJ276" s="416">
        <v>0</v>
      </c>
      <c r="AK276" s="416">
        <v>0</v>
      </c>
      <c r="AL276" s="416">
        <v>0</v>
      </c>
      <c r="AM276" s="416">
        <v>0</v>
      </c>
      <c r="AN276" s="416">
        <v>0</v>
      </c>
      <c r="AO276" s="416">
        <v>0</v>
      </c>
      <c r="AP276" s="416">
        <v>0</v>
      </c>
      <c r="AQ276" s="416">
        <v>0</v>
      </c>
      <c r="AR276" s="416">
        <v>0</v>
      </c>
      <c r="AS276" s="416">
        <v>0</v>
      </c>
      <c r="AT276" s="416">
        <v>0</v>
      </c>
      <c r="AU276" s="416">
        <v>0</v>
      </c>
      <c r="AV276" s="416">
        <v>0</v>
      </c>
      <c r="AW276" s="416">
        <v>0</v>
      </c>
      <c r="AX276" s="416">
        <v>0</v>
      </c>
      <c r="AY276" s="416">
        <v>0</v>
      </c>
      <c r="AZ276" s="416">
        <v>0</v>
      </c>
    </row>
    <row r="277" spans="1:52" s="411" customFormat="1" x14ac:dyDescent="0.3">
      <c r="A277" s="415" t="str">
        <f t="shared" si="4"/>
        <v>SA-202 Gr.A</v>
      </c>
      <c r="B277" s="415">
        <v>271</v>
      </c>
      <c r="C277" s="415" t="s">
        <v>2907</v>
      </c>
      <c r="D277" s="415" t="s">
        <v>2684</v>
      </c>
      <c r="E277" s="415" t="s">
        <v>2190</v>
      </c>
      <c r="F277" s="415" t="s">
        <v>12</v>
      </c>
      <c r="G277" s="415" t="s">
        <v>2908</v>
      </c>
      <c r="H277" s="415">
        <v>0</v>
      </c>
      <c r="I277" s="415">
        <v>0</v>
      </c>
      <c r="J277" s="415">
        <v>4</v>
      </c>
      <c r="K277" s="415">
        <v>1</v>
      </c>
      <c r="L277" s="415">
        <v>515</v>
      </c>
      <c r="M277" s="415">
        <v>310</v>
      </c>
      <c r="N277" s="415">
        <v>538</v>
      </c>
      <c r="O277" s="415" t="s">
        <v>2675</v>
      </c>
      <c r="P277" s="415">
        <v>538</v>
      </c>
      <c r="Q277" s="415" t="s">
        <v>2675</v>
      </c>
      <c r="R277" s="415" t="s">
        <v>2819</v>
      </c>
      <c r="S277" s="415" t="s">
        <v>2909</v>
      </c>
      <c r="T277" s="416">
        <v>148</v>
      </c>
      <c r="U277" s="416">
        <v>148</v>
      </c>
      <c r="V277" s="416">
        <v>148</v>
      </c>
      <c r="W277" s="416">
        <v>148</v>
      </c>
      <c r="X277" s="416">
        <v>148</v>
      </c>
      <c r="Y277" s="416">
        <v>148</v>
      </c>
      <c r="Z277" s="416">
        <v>148</v>
      </c>
      <c r="AA277" s="416">
        <v>148</v>
      </c>
      <c r="AB277" s="416">
        <v>148</v>
      </c>
      <c r="AC277" s="416">
        <v>148</v>
      </c>
      <c r="AD277" s="416">
        <v>147</v>
      </c>
      <c r="AE277" s="416">
        <v>136</v>
      </c>
      <c r="AF277" s="416">
        <v>107</v>
      </c>
      <c r="AG277" s="416">
        <v>84.3</v>
      </c>
      <c r="AH277" s="416">
        <v>58.1</v>
      </c>
      <c r="AI277" s="416">
        <v>38.6</v>
      </c>
      <c r="AJ277" s="416">
        <v>25.2</v>
      </c>
      <c r="AK277" s="416">
        <v>14.9</v>
      </c>
      <c r="AL277" s="416">
        <v>5.87</v>
      </c>
      <c r="AM277" s="416">
        <v>0</v>
      </c>
      <c r="AN277" s="416">
        <v>0</v>
      </c>
      <c r="AO277" s="416">
        <v>0</v>
      </c>
      <c r="AP277" s="416">
        <v>0</v>
      </c>
      <c r="AQ277" s="416">
        <v>0</v>
      </c>
      <c r="AR277" s="416">
        <v>0</v>
      </c>
      <c r="AS277" s="416">
        <v>0</v>
      </c>
      <c r="AT277" s="416">
        <v>0</v>
      </c>
      <c r="AU277" s="416">
        <v>0</v>
      </c>
      <c r="AV277" s="416">
        <v>0</v>
      </c>
      <c r="AW277" s="416">
        <v>0</v>
      </c>
      <c r="AX277" s="416">
        <v>0</v>
      </c>
      <c r="AY277" s="416">
        <v>0</v>
      </c>
      <c r="AZ277" s="416">
        <v>0</v>
      </c>
    </row>
    <row r="278" spans="1:52" s="411" customFormat="1" x14ac:dyDescent="0.3">
      <c r="A278" s="415" t="str">
        <f t="shared" si="4"/>
        <v>SA-202 Gr.B</v>
      </c>
      <c r="B278" s="415">
        <v>272</v>
      </c>
      <c r="C278" s="415" t="s">
        <v>2907</v>
      </c>
      <c r="D278" s="415" t="s">
        <v>2684</v>
      </c>
      <c r="E278" s="415" t="s">
        <v>2190</v>
      </c>
      <c r="F278" s="415" t="s">
        <v>1864</v>
      </c>
      <c r="G278" s="415" t="s">
        <v>2910</v>
      </c>
      <c r="H278" s="415">
        <v>0</v>
      </c>
      <c r="I278" s="415">
        <v>0</v>
      </c>
      <c r="J278" s="415">
        <v>4</v>
      </c>
      <c r="K278" s="415">
        <v>1</v>
      </c>
      <c r="L278" s="415">
        <v>585</v>
      </c>
      <c r="M278" s="415">
        <v>325</v>
      </c>
      <c r="N278" s="415">
        <v>538</v>
      </c>
      <c r="O278" s="415" t="s">
        <v>2675</v>
      </c>
      <c r="P278" s="415">
        <v>538</v>
      </c>
      <c r="Q278" s="415" t="s">
        <v>2675</v>
      </c>
      <c r="R278" s="415" t="s">
        <v>2819</v>
      </c>
      <c r="S278" s="415" t="s">
        <v>2909</v>
      </c>
      <c r="T278" s="416">
        <v>168</v>
      </c>
      <c r="U278" s="416">
        <v>168</v>
      </c>
      <c r="V278" s="416">
        <v>168</v>
      </c>
      <c r="W278" s="416">
        <v>168</v>
      </c>
      <c r="X278" s="416">
        <v>168</v>
      </c>
      <c r="Y278" s="416">
        <v>168</v>
      </c>
      <c r="Z278" s="416">
        <v>168</v>
      </c>
      <c r="AA278" s="416">
        <v>168</v>
      </c>
      <c r="AB278" s="416">
        <v>165</v>
      </c>
      <c r="AC278" s="416">
        <v>160</v>
      </c>
      <c r="AD278" s="416">
        <v>153</v>
      </c>
      <c r="AE278" s="416">
        <v>143</v>
      </c>
      <c r="AF278" s="416">
        <v>121</v>
      </c>
      <c r="AG278" s="416">
        <v>85</v>
      </c>
      <c r="AH278" s="416">
        <v>57.6</v>
      </c>
      <c r="AI278" s="416">
        <v>38.9</v>
      </c>
      <c r="AJ278" s="416">
        <v>25.1</v>
      </c>
      <c r="AK278" s="416">
        <v>14.9</v>
      </c>
      <c r="AL278" s="416">
        <v>5.86</v>
      </c>
      <c r="AM278" s="416">
        <v>0</v>
      </c>
      <c r="AN278" s="416">
        <v>0</v>
      </c>
      <c r="AO278" s="416">
        <v>0</v>
      </c>
      <c r="AP278" s="416">
        <v>0</v>
      </c>
      <c r="AQ278" s="416">
        <v>0</v>
      </c>
      <c r="AR278" s="416">
        <v>0</v>
      </c>
      <c r="AS278" s="416">
        <v>0</v>
      </c>
      <c r="AT278" s="416">
        <v>0</v>
      </c>
      <c r="AU278" s="416">
        <v>0</v>
      </c>
      <c r="AV278" s="416">
        <v>0</v>
      </c>
      <c r="AW278" s="416">
        <v>0</v>
      </c>
      <c r="AX278" s="416">
        <v>0</v>
      </c>
      <c r="AY278" s="416">
        <v>0</v>
      </c>
      <c r="AZ278" s="416">
        <v>0</v>
      </c>
    </row>
    <row r="279" spans="1:52" s="411" customFormat="1" x14ac:dyDescent="0.3">
      <c r="A279" s="415" t="str">
        <f t="shared" si="4"/>
        <v>SA-423 Gr.1</v>
      </c>
      <c r="B279" s="415">
        <v>273</v>
      </c>
      <c r="C279" s="415" t="s">
        <v>2911</v>
      </c>
      <c r="D279" s="415" t="s">
        <v>2723</v>
      </c>
      <c r="E279" s="415" t="s">
        <v>2237</v>
      </c>
      <c r="F279" s="415">
        <v>1</v>
      </c>
      <c r="G279" s="415" t="s">
        <v>2912</v>
      </c>
      <c r="H279" s="415">
        <v>0</v>
      </c>
      <c r="I279" s="415">
        <v>0</v>
      </c>
      <c r="J279" s="415">
        <v>4</v>
      </c>
      <c r="K279" s="415">
        <v>2</v>
      </c>
      <c r="L279" s="415">
        <v>415</v>
      </c>
      <c r="M279" s="415">
        <v>255</v>
      </c>
      <c r="N279" s="415">
        <v>371</v>
      </c>
      <c r="O279" s="415" t="s">
        <v>2675</v>
      </c>
      <c r="P279" s="415">
        <v>343</v>
      </c>
      <c r="Q279" s="415" t="s">
        <v>2675</v>
      </c>
      <c r="R279" s="415" t="s">
        <v>2699</v>
      </c>
      <c r="S279" s="415" t="s">
        <v>2913</v>
      </c>
      <c r="T279" s="416">
        <v>118</v>
      </c>
      <c r="U279" s="416">
        <v>118</v>
      </c>
      <c r="V279" s="416">
        <v>118</v>
      </c>
      <c r="W279" s="416">
        <v>118</v>
      </c>
      <c r="X279" s="416">
        <v>118</v>
      </c>
      <c r="Y279" s="416">
        <v>118</v>
      </c>
      <c r="Z279" s="416">
        <v>118</v>
      </c>
      <c r="AA279" s="416">
        <v>118</v>
      </c>
      <c r="AB279" s="416">
        <v>118</v>
      </c>
      <c r="AC279" s="416">
        <v>118</v>
      </c>
      <c r="AD279" s="416">
        <v>118</v>
      </c>
      <c r="AE279" s="416">
        <v>118</v>
      </c>
      <c r="AF279" s="416">
        <v>0</v>
      </c>
      <c r="AG279" s="416">
        <v>0</v>
      </c>
      <c r="AH279" s="416">
        <v>0</v>
      </c>
      <c r="AI279" s="416">
        <v>0</v>
      </c>
      <c r="AJ279" s="416">
        <v>0</v>
      </c>
      <c r="AK279" s="416">
        <v>0</v>
      </c>
      <c r="AL279" s="416">
        <v>0</v>
      </c>
      <c r="AM279" s="416">
        <v>0</v>
      </c>
      <c r="AN279" s="416">
        <v>0</v>
      </c>
      <c r="AO279" s="416">
        <v>0</v>
      </c>
      <c r="AP279" s="416">
        <v>0</v>
      </c>
      <c r="AQ279" s="416">
        <v>0</v>
      </c>
      <c r="AR279" s="416">
        <v>0</v>
      </c>
      <c r="AS279" s="416">
        <v>0</v>
      </c>
      <c r="AT279" s="416">
        <v>0</v>
      </c>
      <c r="AU279" s="416">
        <v>0</v>
      </c>
      <c r="AV279" s="416">
        <v>0</v>
      </c>
      <c r="AW279" s="416">
        <v>0</v>
      </c>
      <c r="AX279" s="416">
        <v>0</v>
      </c>
      <c r="AY279" s="416">
        <v>0</v>
      </c>
      <c r="AZ279" s="416">
        <v>0</v>
      </c>
    </row>
    <row r="280" spans="1:52" s="411" customFormat="1" x14ac:dyDescent="0.3">
      <c r="A280" s="415" t="str">
        <f t="shared" si="4"/>
        <v>SA-423 Gr.1</v>
      </c>
      <c r="B280" s="415">
        <v>274</v>
      </c>
      <c r="C280" s="415" t="s">
        <v>2911</v>
      </c>
      <c r="D280" s="415" t="s">
        <v>2689</v>
      </c>
      <c r="E280" s="415" t="s">
        <v>2237</v>
      </c>
      <c r="F280" s="415">
        <v>1</v>
      </c>
      <c r="G280" s="415" t="s">
        <v>2912</v>
      </c>
      <c r="H280" s="415">
        <v>0</v>
      </c>
      <c r="I280" s="415">
        <v>0</v>
      </c>
      <c r="J280" s="415">
        <v>4</v>
      </c>
      <c r="K280" s="415">
        <v>2</v>
      </c>
      <c r="L280" s="415">
        <v>415</v>
      </c>
      <c r="M280" s="415">
        <v>255</v>
      </c>
      <c r="N280" s="415">
        <v>371</v>
      </c>
      <c r="O280" s="415" t="s">
        <v>2675</v>
      </c>
      <c r="P280" s="415">
        <v>343</v>
      </c>
      <c r="Q280" s="415" t="s">
        <v>2675</v>
      </c>
      <c r="R280" s="415" t="s">
        <v>2699</v>
      </c>
      <c r="S280" s="415" t="s">
        <v>2914</v>
      </c>
      <c r="T280" s="416">
        <v>101</v>
      </c>
      <c r="U280" s="416">
        <v>101</v>
      </c>
      <c r="V280" s="416">
        <v>101</v>
      </c>
      <c r="W280" s="416">
        <v>101</v>
      </c>
      <c r="X280" s="416">
        <v>101</v>
      </c>
      <c r="Y280" s="416">
        <v>101</v>
      </c>
      <c r="Z280" s="416">
        <v>101</v>
      </c>
      <c r="AA280" s="416">
        <v>101</v>
      </c>
      <c r="AB280" s="416">
        <v>101</v>
      </c>
      <c r="AC280" s="416">
        <v>101</v>
      </c>
      <c r="AD280" s="416">
        <v>101</v>
      </c>
      <c r="AE280" s="416">
        <v>101</v>
      </c>
      <c r="AF280" s="416">
        <v>0</v>
      </c>
      <c r="AG280" s="416">
        <v>0</v>
      </c>
      <c r="AH280" s="416">
        <v>0</v>
      </c>
      <c r="AI280" s="416">
        <v>0</v>
      </c>
      <c r="AJ280" s="416">
        <v>0</v>
      </c>
      <c r="AK280" s="416">
        <v>0</v>
      </c>
      <c r="AL280" s="416">
        <v>0</v>
      </c>
      <c r="AM280" s="416">
        <v>0</v>
      </c>
      <c r="AN280" s="416">
        <v>0</v>
      </c>
      <c r="AO280" s="416">
        <v>0</v>
      </c>
      <c r="AP280" s="416">
        <v>0</v>
      </c>
      <c r="AQ280" s="416">
        <v>0</v>
      </c>
      <c r="AR280" s="416">
        <v>0</v>
      </c>
      <c r="AS280" s="416">
        <v>0</v>
      </c>
      <c r="AT280" s="416">
        <v>0</v>
      </c>
      <c r="AU280" s="416">
        <v>0</v>
      </c>
      <c r="AV280" s="416">
        <v>0</v>
      </c>
      <c r="AW280" s="416">
        <v>0</v>
      </c>
      <c r="AX280" s="416">
        <v>0</v>
      </c>
      <c r="AY280" s="416">
        <v>0</v>
      </c>
      <c r="AZ280" s="416">
        <v>0</v>
      </c>
    </row>
    <row r="281" spans="1:52" s="411" customFormat="1" x14ac:dyDescent="0.3">
      <c r="A281" s="415" t="str">
        <f t="shared" si="4"/>
        <v>SA-333 Gr.4</v>
      </c>
      <c r="B281" s="415">
        <v>275</v>
      </c>
      <c r="C281" s="415" t="s">
        <v>2915</v>
      </c>
      <c r="D281" s="415" t="s">
        <v>2916</v>
      </c>
      <c r="E281" s="415" t="s">
        <v>2172</v>
      </c>
      <c r="F281" s="415">
        <v>4</v>
      </c>
      <c r="G281" s="415" t="s">
        <v>2917</v>
      </c>
      <c r="H281" s="415">
        <v>0</v>
      </c>
      <c r="I281" s="415">
        <v>0</v>
      </c>
      <c r="J281" s="415">
        <v>4</v>
      </c>
      <c r="K281" s="415">
        <v>2</v>
      </c>
      <c r="L281" s="415">
        <v>415</v>
      </c>
      <c r="M281" s="415">
        <v>240</v>
      </c>
      <c r="N281" s="415" t="s">
        <v>2675</v>
      </c>
      <c r="O281" s="415">
        <v>371</v>
      </c>
      <c r="P281" s="415">
        <v>343</v>
      </c>
      <c r="Q281" s="415" t="s">
        <v>2675</v>
      </c>
      <c r="R281" s="415" t="s">
        <v>2699</v>
      </c>
      <c r="S281" s="415">
        <v>0</v>
      </c>
      <c r="T281" s="416">
        <v>118</v>
      </c>
      <c r="U281" s="416">
        <v>118</v>
      </c>
      <c r="V281" s="416">
        <v>118</v>
      </c>
      <c r="W281" s="416">
        <v>118</v>
      </c>
      <c r="X281" s="416">
        <v>118</v>
      </c>
      <c r="Y281" s="416">
        <v>118</v>
      </c>
      <c r="Z281" s="416">
        <v>118</v>
      </c>
      <c r="AA281" s="416">
        <v>118</v>
      </c>
      <c r="AB281" s="416">
        <v>118</v>
      </c>
      <c r="AC281" s="416">
        <v>118</v>
      </c>
      <c r="AD281" s="416">
        <v>118</v>
      </c>
      <c r="AE281" s="416">
        <v>118</v>
      </c>
      <c r="AF281" s="416">
        <v>0</v>
      </c>
      <c r="AG281" s="416">
        <v>0</v>
      </c>
      <c r="AH281" s="416">
        <v>0</v>
      </c>
      <c r="AI281" s="416">
        <v>0</v>
      </c>
      <c r="AJ281" s="416">
        <v>0</v>
      </c>
      <c r="AK281" s="416">
        <v>0</v>
      </c>
      <c r="AL281" s="416">
        <v>0</v>
      </c>
      <c r="AM281" s="416">
        <v>0</v>
      </c>
      <c r="AN281" s="416">
        <v>0</v>
      </c>
      <c r="AO281" s="416">
        <v>0</v>
      </c>
      <c r="AP281" s="416">
        <v>0</v>
      </c>
      <c r="AQ281" s="416">
        <v>0</v>
      </c>
      <c r="AR281" s="416">
        <v>0</v>
      </c>
      <c r="AS281" s="416">
        <v>0</v>
      </c>
      <c r="AT281" s="416">
        <v>0</v>
      </c>
      <c r="AU281" s="416">
        <v>0</v>
      </c>
      <c r="AV281" s="416">
        <v>0</v>
      </c>
      <c r="AW281" s="416">
        <v>0</v>
      </c>
      <c r="AX281" s="416">
        <v>0</v>
      </c>
      <c r="AY281" s="416">
        <v>0</v>
      </c>
      <c r="AZ281" s="416">
        <v>0</v>
      </c>
    </row>
    <row r="282" spans="1:52" s="411" customFormat="1" x14ac:dyDescent="0.3">
      <c r="A282" s="415" t="str">
        <f t="shared" si="4"/>
        <v>SA-372 Gr.E</v>
      </c>
      <c r="B282" s="415">
        <v>276</v>
      </c>
      <c r="C282" s="415" t="s">
        <v>2918</v>
      </c>
      <c r="D282" s="415" t="s">
        <v>2737</v>
      </c>
      <c r="E282" s="415" t="s">
        <v>2223</v>
      </c>
      <c r="F282" s="415" t="s">
        <v>2417</v>
      </c>
      <c r="G282" s="415" t="s">
        <v>2919</v>
      </c>
      <c r="H282" s="415">
        <v>65</v>
      </c>
      <c r="I282" s="415">
        <v>0</v>
      </c>
      <c r="J282" s="415">
        <v>0</v>
      </c>
      <c r="K282" s="415">
        <v>0</v>
      </c>
      <c r="L282" s="415">
        <v>725</v>
      </c>
      <c r="M282" s="415">
        <v>450</v>
      </c>
      <c r="N282" s="415" t="s">
        <v>2675</v>
      </c>
      <c r="O282" s="415" t="s">
        <v>2675</v>
      </c>
      <c r="P282" s="415">
        <v>343</v>
      </c>
      <c r="Q282" s="415">
        <v>343</v>
      </c>
      <c r="R282" s="415" t="s">
        <v>2699</v>
      </c>
      <c r="S282" s="415" t="s">
        <v>2835</v>
      </c>
      <c r="T282" s="416">
        <v>207</v>
      </c>
      <c r="U282" s="416">
        <v>207</v>
      </c>
      <c r="V282" s="416">
        <v>207</v>
      </c>
      <c r="W282" s="416">
        <v>207</v>
      </c>
      <c r="X282" s="416">
        <v>207</v>
      </c>
      <c r="Y282" s="416">
        <v>207</v>
      </c>
      <c r="Z282" s="416">
        <v>207</v>
      </c>
      <c r="AA282" s="416">
        <v>207</v>
      </c>
      <c r="AB282" s="416">
        <v>207</v>
      </c>
      <c r="AC282" s="416">
        <v>207</v>
      </c>
      <c r="AD282" s="416">
        <v>205</v>
      </c>
      <c r="AE282" s="416">
        <v>0</v>
      </c>
      <c r="AF282" s="416">
        <v>0</v>
      </c>
      <c r="AG282" s="416">
        <v>0</v>
      </c>
      <c r="AH282" s="416">
        <v>0</v>
      </c>
      <c r="AI282" s="416">
        <v>0</v>
      </c>
      <c r="AJ282" s="416">
        <v>0</v>
      </c>
      <c r="AK282" s="416">
        <v>0</v>
      </c>
      <c r="AL282" s="416">
        <v>0</v>
      </c>
      <c r="AM282" s="416">
        <v>0</v>
      </c>
      <c r="AN282" s="416">
        <v>0</v>
      </c>
      <c r="AO282" s="416">
        <v>0</v>
      </c>
      <c r="AP282" s="416">
        <v>0</v>
      </c>
      <c r="AQ282" s="416">
        <v>0</v>
      </c>
      <c r="AR282" s="416">
        <v>0</v>
      </c>
      <c r="AS282" s="416">
        <v>0</v>
      </c>
      <c r="AT282" s="416">
        <v>0</v>
      </c>
      <c r="AU282" s="416">
        <v>0</v>
      </c>
      <c r="AV282" s="416">
        <v>0</v>
      </c>
      <c r="AW282" s="416">
        <v>0</v>
      </c>
      <c r="AX282" s="416">
        <v>0</v>
      </c>
      <c r="AY282" s="416">
        <v>0</v>
      </c>
      <c r="AZ282" s="416">
        <v>0</v>
      </c>
    </row>
    <row r="283" spans="1:52" s="411" customFormat="1" x14ac:dyDescent="0.3">
      <c r="A283" s="415" t="str">
        <f t="shared" si="4"/>
        <v>SA-372 Gr.J</v>
      </c>
      <c r="B283" s="415">
        <v>277</v>
      </c>
      <c r="C283" s="415" t="s">
        <v>2918</v>
      </c>
      <c r="D283" s="415" t="s">
        <v>2737</v>
      </c>
      <c r="E283" s="415" t="s">
        <v>2223</v>
      </c>
      <c r="F283" s="415" t="s">
        <v>2487</v>
      </c>
      <c r="G283" s="415" t="s">
        <v>2920</v>
      </c>
      <c r="H283" s="415">
        <v>65</v>
      </c>
      <c r="I283" s="415">
        <v>0</v>
      </c>
      <c r="J283" s="415">
        <v>0</v>
      </c>
      <c r="K283" s="415">
        <v>0</v>
      </c>
      <c r="L283" s="415">
        <v>725</v>
      </c>
      <c r="M283" s="415">
        <v>450</v>
      </c>
      <c r="N283" s="415" t="s">
        <v>2675</v>
      </c>
      <c r="O283" s="415" t="s">
        <v>2675</v>
      </c>
      <c r="P283" s="415">
        <v>343</v>
      </c>
      <c r="Q283" s="415">
        <v>343</v>
      </c>
      <c r="R283" s="415" t="s">
        <v>2699</v>
      </c>
      <c r="S283" s="415" t="s">
        <v>2835</v>
      </c>
      <c r="T283" s="416">
        <v>207</v>
      </c>
      <c r="U283" s="416">
        <v>207</v>
      </c>
      <c r="V283" s="416">
        <v>207</v>
      </c>
      <c r="W283" s="416">
        <v>207</v>
      </c>
      <c r="X283" s="416">
        <v>207</v>
      </c>
      <c r="Y283" s="416">
        <v>207</v>
      </c>
      <c r="Z283" s="416">
        <v>207</v>
      </c>
      <c r="AA283" s="416">
        <v>207</v>
      </c>
      <c r="AB283" s="416">
        <v>207</v>
      </c>
      <c r="AC283" s="416">
        <v>207</v>
      </c>
      <c r="AD283" s="416">
        <v>205</v>
      </c>
      <c r="AE283" s="416">
        <v>0</v>
      </c>
      <c r="AF283" s="416">
        <v>0</v>
      </c>
      <c r="AG283" s="416">
        <v>0</v>
      </c>
      <c r="AH283" s="416">
        <v>0</v>
      </c>
      <c r="AI283" s="416">
        <v>0</v>
      </c>
      <c r="AJ283" s="416">
        <v>0</v>
      </c>
      <c r="AK283" s="416">
        <v>0</v>
      </c>
      <c r="AL283" s="416">
        <v>0</v>
      </c>
      <c r="AM283" s="416">
        <v>0</v>
      </c>
      <c r="AN283" s="416">
        <v>0</v>
      </c>
      <c r="AO283" s="416">
        <v>0</v>
      </c>
      <c r="AP283" s="416">
        <v>0</v>
      </c>
      <c r="AQ283" s="416">
        <v>0</v>
      </c>
      <c r="AR283" s="416">
        <v>0</v>
      </c>
      <c r="AS283" s="416">
        <v>0</v>
      </c>
      <c r="AT283" s="416">
        <v>0</v>
      </c>
      <c r="AU283" s="416">
        <v>0</v>
      </c>
      <c r="AV283" s="416">
        <v>0</v>
      </c>
      <c r="AW283" s="416">
        <v>0</v>
      </c>
      <c r="AX283" s="416">
        <v>0</v>
      </c>
      <c r="AY283" s="416">
        <v>0</v>
      </c>
      <c r="AZ283" s="416">
        <v>0</v>
      </c>
    </row>
    <row r="284" spans="1:52" s="411" customFormat="1" x14ac:dyDescent="0.3">
      <c r="A284" s="415" t="str">
        <f t="shared" si="4"/>
        <v>SA-372 Gr.E</v>
      </c>
      <c r="B284" s="415">
        <v>278</v>
      </c>
      <c r="C284" s="415" t="s">
        <v>2918</v>
      </c>
      <c r="D284" s="415" t="s">
        <v>2737</v>
      </c>
      <c r="E284" s="415" t="s">
        <v>2223</v>
      </c>
      <c r="F284" s="415" t="s">
        <v>2417</v>
      </c>
      <c r="G284" s="415" t="s">
        <v>2919</v>
      </c>
      <c r="H284" s="415">
        <v>70</v>
      </c>
      <c r="I284" s="415">
        <v>0</v>
      </c>
      <c r="J284" s="415">
        <v>0</v>
      </c>
      <c r="K284" s="415">
        <v>0</v>
      </c>
      <c r="L284" s="415">
        <v>825</v>
      </c>
      <c r="M284" s="415">
        <v>485</v>
      </c>
      <c r="N284" s="415" t="s">
        <v>2675</v>
      </c>
      <c r="O284" s="415" t="s">
        <v>2675</v>
      </c>
      <c r="P284" s="415">
        <v>343</v>
      </c>
      <c r="Q284" s="415">
        <v>343</v>
      </c>
      <c r="R284" s="415" t="s">
        <v>2838</v>
      </c>
      <c r="S284" s="415" t="s">
        <v>2835</v>
      </c>
      <c r="T284" s="416">
        <v>236</v>
      </c>
      <c r="U284" s="416">
        <v>236</v>
      </c>
      <c r="V284" s="416">
        <v>236</v>
      </c>
      <c r="W284" s="416">
        <v>236</v>
      </c>
      <c r="X284" s="416">
        <v>236</v>
      </c>
      <c r="Y284" s="416">
        <v>236</v>
      </c>
      <c r="Z284" s="416">
        <v>236</v>
      </c>
      <c r="AA284" s="416">
        <v>236</v>
      </c>
      <c r="AB284" s="416">
        <v>236</v>
      </c>
      <c r="AC284" s="416">
        <v>236</v>
      </c>
      <c r="AD284" s="416">
        <v>235</v>
      </c>
      <c r="AE284" s="416">
        <v>0</v>
      </c>
      <c r="AF284" s="416">
        <v>0</v>
      </c>
      <c r="AG284" s="416">
        <v>0</v>
      </c>
      <c r="AH284" s="416">
        <v>0</v>
      </c>
      <c r="AI284" s="416">
        <v>0</v>
      </c>
      <c r="AJ284" s="416">
        <v>0</v>
      </c>
      <c r="AK284" s="416">
        <v>0</v>
      </c>
      <c r="AL284" s="416">
        <v>0</v>
      </c>
      <c r="AM284" s="416">
        <v>0</v>
      </c>
      <c r="AN284" s="416">
        <v>0</v>
      </c>
      <c r="AO284" s="416">
        <v>0</v>
      </c>
      <c r="AP284" s="416">
        <v>0</v>
      </c>
      <c r="AQ284" s="416">
        <v>0</v>
      </c>
      <c r="AR284" s="416">
        <v>0</v>
      </c>
      <c r="AS284" s="416">
        <v>0</v>
      </c>
      <c r="AT284" s="416">
        <v>0</v>
      </c>
      <c r="AU284" s="416">
        <v>0</v>
      </c>
      <c r="AV284" s="416">
        <v>0</v>
      </c>
      <c r="AW284" s="416">
        <v>0</v>
      </c>
      <c r="AX284" s="416">
        <v>0</v>
      </c>
      <c r="AY284" s="416">
        <v>0</v>
      </c>
      <c r="AZ284" s="416">
        <v>0</v>
      </c>
    </row>
    <row r="285" spans="1:52" s="411" customFormat="1" x14ac:dyDescent="0.3">
      <c r="A285" s="415" t="str">
        <f t="shared" si="4"/>
        <v>SA-372 Gr.F</v>
      </c>
      <c r="B285" s="415">
        <v>279</v>
      </c>
      <c r="C285" s="415" t="s">
        <v>2918</v>
      </c>
      <c r="D285" s="415" t="s">
        <v>2737</v>
      </c>
      <c r="E285" s="415" t="s">
        <v>2223</v>
      </c>
      <c r="F285" s="415" t="s">
        <v>2423</v>
      </c>
      <c r="G285" s="415" t="s">
        <v>2921</v>
      </c>
      <c r="H285" s="415">
        <v>70</v>
      </c>
      <c r="I285" s="415">
        <v>0</v>
      </c>
      <c r="J285" s="415">
        <v>0</v>
      </c>
      <c r="K285" s="415">
        <v>0</v>
      </c>
      <c r="L285" s="415">
        <v>825</v>
      </c>
      <c r="M285" s="415">
        <v>485</v>
      </c>
      <c r="N285" s="415" t="s">
        <v>2675</v>
      </c>
      <c r="O285" s="415" t="s">
        <v>2675</v>
      </c>
      <c r="P285" s="415">
        <v>343</v>
      </c>
      <c r="Q285" s="415">
        <v>343</v>
      </c>
      <c r="R285" s="415" t="s">
        <v>2838</v>
      </c>
      <c r="S285" s="415" t="s">
        <v>2835</v>
      </c>
      <c r="T285" s="416">
        <v>236</v>
      </c>
      <c r="U285" s="416">
        <v>236</v>
      </c>
      <c r="V285" s="416">
        <v>233</v>
      </c>
      <c r="W285" s="416">
        <v>229</v>
      </c>
      <c r="X285" s="416">
        <v>227</v>
      </c>
      <c r="Y285" s="416">
        <v>225</v>
      </c>
      <c r="Z285" s="416">
        <v>223</v>
      </c>
      <c r="AA285" s="416">
        <v>222</v>
      </c>
      <c r="AB285" s="416">
        <v>220</v>
      </c>
      <c r="AC285" s="416">
        <v>217</v>
      </c>
      <c r="AD285" s="416">
        <v>209</v>
      </c>
      <c r="AE285" s="416">
        <v>0</v>
      </c>
      <c r="AF285" s="416">
        <v>0</v>
      </c>
      <c r="AG285" s="416">
        <v>0</v>
      </c>
      <c r="AH285" s="416">
        <v>0</v>
      </c>
      <c r="AI285" s="416">
        <v>0</v>
      </c>
      <c r="AJ285" s="416">
        <v>0</v>
      </c>
      <c r="AK285" s="416">
        <v>0</v>
      </c>
      <c r="AL285" s="416">
        <v>0</v>
      </c>
      <c r="AM285" s="416">
        <v>0</v>
      </c>
      <c r="AN285" s="416">
        <v>0</v>
      </c>
      <c r="AO285" s="416">
        <v>0</v>
      </c>
      <c r="AP285" s="416">
        <v>0</v>
      </c>
      <c r="AQ285" s="416">
        <v>0</v>
      </c>
      <c r="AR285" s="416">
        <v>0</v>
      </c>
      <c r="AS285" s="416">
        <v>0</v>
      </c>
      <c r="AT285" s="416">
        <v>0</v>
      </c>
      <c r="AU285" s="416">
        <v>0</v>
      </c>
      <c r="AV285" s="416">
        <v>0</v>
      </c>
      <c r="AW285" s="416">
        <v>0</v>
      </c>
      <c r="AX285" s="416">
        <v>0</v>
      </c>
      <c r="AY285" s="416">
        <v>0</v>
      </c>
      <c r="AZ285" s="416">
        <v>0</v>
      </c>
    </row>
    <row r="286" spans="1:52" s="411" customFormat="1" x14ac:dyDescent="0.3">
      <c r="A286" s="415" t="str">
        <f t="shared" si="4"/>
        <v>SA-372 Gr.J</v>
      </c>
      <c r="B286" s="415">
        <v>280</v>
      </c>
      <c r="C286" s="415" t="s">
        <v>2918</v>
      </c>
      <c r="D286" s="415" t="s">
        <v>2737</v>
      </c>
      <c r="E286" s="415" t="s">
        <v>2223</v>
      </c>
      <c r="F286" s="415" t="s">
        <v>2487</v>
      </c>
      <c r="G286" s="415" t="s">
        <v>2920</v>
      </c>
      <c r="H286" s="415">
        <v>70</v>
      </c>
      <c r="I286" s="415">
        <v>0</v>
      </c>
      <c r="J286" s="415">
        <v>0</v>
      </c>
      <c r="K286" s="415">
        <v>0</v>
      </c>
      <c r="L286" s="415">
        <v>825</v>
      </c>
      <c r="M286" s="415">
        <v>485</v>
      </c>
      <c r="N286" s="415" t="s">
        <v>2675</v>
      </c>
      <c r="O286" s="415" t="s">
        <v>2675</v>
      </c>
      <c r="P286" s="415">
        <v>343</v>
      </c>
      <c r="Q286" s="415">
        <v>343</v>
      </c>
      <c r="R286" s="415" t="s">
        <v>2838</v>
      </c>
      <c r="S286" s="415" t="s">
        <v>2835</v>
      </c>
      <c r="T286" s="416">
        <v>236</v>
      </c>
      <c r="U286" s="416">
        <v>236</v>
      </c>
      <c r="V286" s="416">
        <v>236</v>
      </c>
      <c r="W286" s="416">
        <v>236</v>
      </c>
      <c r="X286" s="416">
        <v>236</v>
      </c>
      <c r="Y286" s="416">
        <v>236</v>
      </c>
      <c r="Z286" s="416">
        <v>236</v>
      </c>
      <c r="AA286" s="416">
        <v>236</v>
      </c>
      <c r="AB286" s="416">
        <v>236</v>
      </c>
      <c r="AC286" s="416">
        <v>236</v>
      </c>
      <c r="AD286" s="416">
        <v>235</v>
      </c>
      <c r="AE286" s="416">
        <v>0</v>
      </c>
      <c r="AF286" s="416">
        <v>0</v>
      </c>
      <c r="AG286" s="416">
        <v>0</v>
      </c>
      <c r="AH286" s="416">
        <v>0</v>
      </c>
      <c r="AI286" s="416">
        <v>0</v>
      </c>
      <c r="AJ286" s="416">
        <v>0</v>
      </c>
      <c r="AK286" s="416">
        <v>0</v>
      </c>
      <c r="AL286" s="416">
        <v>0</v>
      </c>
      <c r="AM286" s="416">
        <v>0</v>
      </c>
      <c r="AN286" s="416">
        <v>0</v>
      </c>
      <c r="AO286" s="416">
        <v>0</v>
      </c>
      <c r="AP286" s="416">
        <v>0</v>
      </c>
      <c r="AQ286" s="416">
        <v>0</v>
      </c>
      <c r="AR286" s="416">
        <v>0</v>
      </c>
      <c r="AS286" s="416">
        <v>0</v>
      </c>
      <c r="AT286" s="416">
        <v>0</v>
      </c>
      <c r="AU286" s="416">
        <v>0</v>
      </c>
      <c r="AV286" s="416">
        <v>0</v>
      </c>
      <c r="AW286" s="416">
        <v>0</v>
      </c>
      <c r="AX286" s="416">
        <v>0</v>
      </c>
      <c r="AY286" s="416">
        <v>0</v>
      </c>
      <c r="AZ286" s="416">
        <v>0</v>
      </c>
    </row>
    <row r="287" spans="1:52" s="411" customFormat="1" x14ac:dyDescent="0.3">
      <c r="A287" s="415" t="str">
        <f t="shared" si="4"/>
        <v>SA-372 Gr.J</v>
      </c>
      <c r="B287" s="415">
        <v>281</v>
      </c>
      <c r="C287" s="415" t="s">
        <v>2918</v>
      </c>
      <c r="D287" s="415" t="s">
        <v>2737</v>
      </c>
      <c r="E287" s="415" t="s">
        <v>2223</v>
      </c>
      <c r="F287" s="415" t="s">
        <v>2487</v>
      </c>
      <c r="G287" s="415" t="s">
        <v>2922</v>
      </c>
      <c r="H287" s="415">
        <v>110</v>
      </c>
      <c r="I287" s="415">
        <v>0</v>
      </c>
      <c r="J287" s="415">
        <v>0</v>
      </c>
      <c r="K287" s="415">
        <v>0</v>
      </c>
      <c r="L287" s="415">
        <v>930</v>
      </c>
      <c r="M287" s="415">
        <v>760</v>
      </c>
      <c r="N287" s="415" t="s">
        <v>2675</v>
      </c>
      <c r="O287" s="415" t="s">
        <v>2675</v>
      </c>
      <c r="P287" s="415">
        <v>343</v>
      </c>
      <c r="Q287" s="415">
        <v>343</v>
      </c>
      <c r="R287" s="415" t="s">
        <v>2896</v>
      </c>
      <c r="S287" s="415" t="s">
        <v>2835</v>
      </c>
      <c r="T287" s="416">
        <v>265</v>
      </c>
      <c r="U287" s="416">
        <v>265</v>
      </c>
      <c r="V287" s="416">
        <v>260</v>
      </c>
      <c r="W287" s="416">
        <v>254</v>
      </c>
      <c r="X287" s="416">
        <v>254</v>
      </c>
      <c r="Y287" s="416">
        <v>253</v>
      </c>
      <c r="Z287" s="416">
        <v>252</v>
      </c>
      <c r="AA287" s="416">
        <v>249</v>
      </c>
      <c r="AB287" s="416">
        <v>248</v>
      </c>
      <c r="AC287" s="416">
        <v>245</v>
      </c>
      <c r="AD287" s="416">
        <v>234</v>
      </c>
      <c r="AE287" s="416">
        <v>0</v>
      </c>
      <c r="AF287" s="416">
        <v>0</v>
      </c>
      <c r="AG287" s="416">
        <v>0</v>
      </c>
      <c r="AH287" s="416">
        <v>0</v>
      </c>
      <c r="AI287" s="416">
        <v>0</v>
      </c>
      <c r="AJ287" s="416">
        <v>0</v>
      </c>
      <c r="AK287" s="416">
        <v>0</v>
      </c>
      <c r="AL287" s="416">
        <v>0</v>
      </c>
      <c r="AM287" s="416">
        <v>0</v>
      </c>
      <c r="AN287" s="416">
        <v>0</v>
      </c>
      <c r="AO287" s="416">
        <v>0</v>
      </c>
      <c r="AP287" s="416">
        <v>0</v>
      </c>
      <c r="AQ287" s="416">
        <v>0</v>
      </c>
      <c r="AR287" s="416">
        <v>0</v>
      </c>
      <c r="AS287" s="416">
        <v>0</v>
      </c>
      <c r="AT287" s="416">
        <v>0</v>
      </c>
      <c r="AU287" s="416">
        <v>0</v>
      </c>
      <c r="AV287" s="416">
        <v>0</v>
      </c>
      <c r="AW287" s="416">
        <v>0</v>
      </c>
      <c r="AX287" s="416">
        <v>0</v>
      </c>
      <c r="AY287" s="416">
        <v>0</v>
      </c>
      <c r="AZ287" s="416">
        <v>0</v>
      </c>
    </row>
    <row r="288" spans="1:52" s="411" customFormat="1" x14ac:dyDescent="0.3">
      <c r="A288" s="415" t="str">
        <f t="shared" si="4"/>
        <v>SA-387 Gr.12</v>
      </c>
      <c r="B288" s="415">
        <v>282</v>
      </c>
      <c r="C288" s="415" t="s">
        <v>2923</v>
      </c>
      <c r="D288" s="415" t="s">
        <v>2684</v>
      </c>
      <c r="E288" s="415" t="s">
        <v>2227</v>
      </c>
      <c r="F288" s="415">
        <v>12</v>
      </c>
      <c r="G288" s="415" t="s">
        <v>2924</v>
      </c>
      <c r="H288" s="415">
        <v>1</v>
      </c>
      <c r="I288" s="415">
        <v>0</v>
      </c>
      <c r="J288" s="415">
        <v>4</v>
      </c>
      <c r="K288" s="415">
        <v>1</v>
      </c>
      <c r="L288" s="415">
        <v>380</v>
      </c>
      <c r="M288" s="415">
        <v>230</v>
      </c>
      <c r="N288" s="415">
        <v>649</v>
      </c>
      <c r="O288" s="415">
        <v>371</v>
      </c>
      <c r="P288" s="415">
        <v>649</v>
      </c>
      <c r="Q288" s="415" t="s">
        <v>2675</v>
      </c>
      <c r="R288" s="415" t="s">
        <v>2699</v>
      </c>
      <c r="S288" s="415" t="s">
        <v>2925</v>
      </c>
      <c r="T288" s="416">
        <v>108</v>
      </c>
      <c r="U288" s="416">
        <v>108</v>
      </c>
      <c r="V288" s="416">
        <v>107</v>
      </c>
      <c r="W288" s="416">
        <v>106</v>
      </c>
      <c r="X288" s="416">
        <v>105</v>
      </c>
      <c r="Y288" s="416">
        <v>104</v>
      </c>
      <c r="Z288" s="416">
        <v>104</v>
      </c>
      <c r="AA288" s="416">
        <v>104</v>
      </c>
      <c r="AB288" s="416">
        <v>104</v>
      </c>
      <c r="AC288" s="416">
        <v>104</v>
      </c>
      <c r="AD288" s="416">
        <v>104</v>
      </c>
      <c r="AE288" s="416">
        <v>104</v>
      </c>
      <c r="AF288" s="416">
        <v>104</v>
      </c>
      <c r="AG288" s="416">
        <v>104</v>
      </c>
      <c r="AH288" s="416">
        <v>104</v>
      </c>
      <c r="AI288" s="416">
        <v>102</v>
      </c>
      <c r="AJ288" s="416">
        <v>88.8</v>
      </c>
      <c r="AK288" s="416">
        <v>61.7</v>
      </c>
      <c r="AL288" s="416">
        <v>40.299999999999997</v>
      </c>
      <c r="AM288" s="416">
        <v>26.4</v>
      </c>
      <c r="AN288" s="416">
        <v>17.3</v>
      </c>
      <c r="AO288" s="416">
        <v>11.7</v>
      </c>
      <c r="AP288" s="416">
        <v>7.4</v>
      </c>
      <c r="AQ288" s="416">
        <v>0</v>
      </c>
      <c r="AR288" s="416">
        <v>0</v>
      </c>
      <c r="AS288" s="416">
        <v>0</v>
      </c>
      <c r="AT288" s="416">
        <v>0</v>
      </c>
      <c r="AU288" s="416">
        <v>0</v>
      </c>
      <c r="AV288" s="416">
        <v>0</v>
      </c>
      <c r="AW288" s="416">
        <v>0</v>
      </c>
      <c r="AX288" s="416">
        <v>0</v>
      </c>
      <c r="AY288" s="416">
        <v>0</v>
      </c>
      <c r="AZ288" s="416">
        <v>0</v>
      </c>
    </row>
    <row r="289" spans="1:52" s="411" customFormat="1" x14ac:dyDescent="0.3">
      <c r="A289" s="415" t="str">
        <f t="shared" si="4"/>
        <v>SA-691 Gr.1CR</v>
      </c>
      <c r="B289" s="415">
        <v>283</v>
      </c>
      <c r="C289" s="415" t="s">
        <v>2923</v>
      </c>
      <c r="D289" s="415" t="s">
        <v>2680</v>
      </c>
      <c r="E289" s="415" t="s">
        <v>2303</v>
      </c>
      <c r="F289" s="415" t="s">
        <v>2226</v>
      </c>
      <c r="G289" s="415" t="s">
        <v>2924</v>
      </c>
      <c r="H289" s="415">
        <v>0</v>
      </c>
      <c r="I289" s="415">
        <v>0</v>
      </c>
      <c r="J289" s="415">
        <v>4</v>
      </c>
      <c r="K289" s="415">
        <v>1</v>
      </c>
      <c r="L289" s="415">
        <v>380</v>
      </c>
      <c r="M289" s="415">
        <v>230</v>
      </c>
      <c r="N289" s="415" t="s">
        <v>2675</v>
      </c>
      <c r="O289" s="415">
        <v>371</v>
      </c>
      <c r="P289" s="415" t="s">
        <v>2675</v>
      </c>
      <c r="Q289" s="415" t="s">
        <v>2675</v>
      </c>
      <c r="R289" s="415" t="s">
        <v>2699</v>
      </c>
      <c r="S289" s="415" t="s">
        <v>2882</v>
      </c>
      <c r="T289" s="416">
        <v>108</v>
      </c>
      <c r="U289" s="416">
        <v>108</v>
      </c>
      <c r="V289" s="416">
        <v>107</v>
      </c>
      <c r="W289" s="416">
        <v>106</v>
      </c>
      <c r="X289" s="416">
        <v>105</v>
      </c>
      <c r="Y289" s="416">
        <v>104</v>
      </c>
      <c r="Z289" s="416">
        <v>104</v>
      </c>
      <c r="AA289" s="416">
        <v>104</v>
      </c>
      <c r="AB289" s="416">
        <v>104</v>
      </c>
      <c r="AC289" s="416">
        <v>104</v>
      </c>
      <c r="AD289" s="416">
        <v>104</v>
      </c>
      <c r="AE289" s="416">
        <v>104</v>
      </c>
      <c r="AF289" s="416">
        <v>0</v>
      </c>
      <c r="AG289" s="416">
        <v>0</v>
      </c>
      <c r="AH289" s="416">
        <v>0</v>
      </c>
      <c r="AI289" s="416">
        <v>0</v>
      </c>
      <c r="AJ289" s="416">
        <v>0</v>
      </c>
      <c r="AK289" s="416">
        <v>0</v>
      </c>
      <c r="AL289" s="416">
        <v>0</v>
      </c>
      <c r="AM289" s="416">
        <v>0</v>
      </c>
      <c r="AN289" s="416">
        <v>0</v>
      </c>
      <c r="AO289" s="416">
        <v>0</v>
      </c>
      <c r="AP289" s="416">
        <v>0</v>
      </c>
      <c r="AQ289" s="416">
        <v>0</v>
      </c>
      <c r="AR289" s="416">
        <v>0</v>
      </c>
      <c r="AS289" s="416">
        <v>0</v>
      </c>
      <c r="AT289" s="416">
        <v>0</v>
      </c>
      <c r="AU289" s="416">
        <v>0</v>
      </c>
      <c r="AV289" s="416">
        <v>0</v>
      </c>
      <c r="AW289" s="416">
        <v>0</v>
      </c>
      <c r="AX289" s="416">
        <v>0</v>
      </c>
      <c r="AY289" s="416">
        <v>0</v>
      </c>
      <c r="AZ289" s="416">
        <v>0</v>
      </c>
    </row>
    <row r="290" spans="1:52" s="411" customFormat="1" x14ac:dyDescent="0.3">
      <c r="A290" s="415" t="str">
        <f t="shared" si="4"/>
        <v>SA-426 Gr.CP12</v>
      </c>
      <c r="B290" s="415">
        <v>284</v>
      </c>
      <c r="C290" s="415" t="s">
        <v>2923</v>
      </c>
      <c r="D290" s="415" t="s">
        <v>2746</v>
      </c>
      <c r="E290" s="415" t="s">
        <v>2239</v>
      </c>
      <c r="F290" s="415" t="s">
        <v>2395</v>
      </c>
      <c r="G290" s="415" t="s">
        <v>2926</v>
      </c>
      <c r="H290" s="415">
        <v>0</v>
      </c>
      <c r="I290" s="415">
        <v>0</v>
      </c>
      <c r="J290" s="415">
        <v>4</v>
      </c>
      <c r="K290" s="415">
        <v>1</v>
      </c>
      <c r="L290" s="415">
        <v>415</v>
      </c>
      <c r="M290" s="415">
        <v>205</v>
      </c>
      <c r="N290" s="415" t="s">
        <v>2675</v>
      </c>
      <c r="O290" s="415">
        <v>371</v>
      </c>
      <c r="P290" s="415" t="s">
        <v>2675</v>
      </c>
      <c r="Q290" s="415" t="s">
        <v>2675</v>
      </c>
      <c r="R290" s="415" t="s">
        <v>2699</v>
      </c>
      <c r="S290" s="415" t="s">
        <v>2745</v>
      </c>
      <c r="T290" s="416">
        <v>118</v>
      </c>
      <c r="U290" s="416">
        <v>118</v>
      </c>
      <c r="V290" s="416">
        <v>117</v>
      </c>
      <c r="W290" s="416">
        <v>116</v>
      </c>
      <c r="X290" s="416">
        <v>115</v>
      </c>
      <c r="Y290" s="416">
        <v>114</v>
      </c>
      <c r="Z290" s="416">
        <v>112</v>
      </c>
      <c r="AA290" s="416">
        <v>109</v>
      </c>
      <c r="AB290" s="416">
        <v>106</v>
      </c>
      <c r="AC290" s="416">
        <v>104</v>
      </c>
      <c r="AD290" s="416">
        <v>103</v>
      </c>
      <c r="AE290" s="416">
        <v>102</v>
      </c>
      <c r="AF290" s="416">
        <v>0</v>
      </c>
      <c r="AG290" s="416">
        <v>0</v>
      </c>
      <c r="AH290" s="416">
        <v>0</v>
      </c>
      <c r="AI290" s="416">
        <v>0</v>
      </c>
      <c r="AJ290" s="416">
        <v>0</v>
      </c>
      <c r="AK290" s="416">
        <v>0</v>
      </c>
      <c r="AL290" s="416">
        <v>0</v>
      </c>
      <c r="AM290" s="416">
        <v>0</v>
      </c>
      <c r="AN290" s="416">
        <v>0</v>
      </c>
      <c r="AO290" s="416">
        <v>0</v>
      </c>
      <c r="AP290" s="416">
        <v>0</v>
      </c>
      <c r="AQ290" s="416">
        <v>0</v>
      </c>
      <c r="AR290" s="416">
        <v>0</v>
      </c>
      <c r="AS290" s="416">
        <v>0</v>
      </c>
      <c r="AT290" s="416">
        <v>0</v>
      </c>
      <c r="AU290" s="416">
        <v>0</v>
      </c>
      <c r="AV290" s="416">
        <v>0</v>
      </c>
      <c r="AW290" s="416">
        <v>0</v>
      </c>
      <c r="AX290" s="416">
        <v>0</v>
      </c>
      <c r="AY290" s="416">
        <v>0</v>
      </c>
      <c r="AZ290" s="416">
        <v>0</v>
      </c>
    </row>
    <row r="291" spans="1:52" s="411" customFormat="1" x14ac:dyDescent="0.3">
      <c r="A291" s="415" t="str">
        <f t="shared" si="4"/>
        <v>SA-182 Gr.F12</v>
      </c>
      <c r="B291" s="415">
        <v>285</v>
      </c>
      <c r="C291" s="415" t="s">
        <v>2923</v>
      </c>
      <c r="D291" s="415" t="s">
        <v>2737</v>
      </c>
      <c r="E291" s="415" t="s">
        <v>2188</v>
      </c>
      <c r="F291" s="415" t="s">
        <v>2427</v>
      </c>
      <c r="G291" s="415" t="s">
        <v>2927</v>
      </c>
      <c r="H291" s="415">
        <v>1</v>
      </c>
      <c r="I291" s="415">
        <v>0</v>
      </c>
      <c r="J291" s="415">
        <v>4</v>
      </c>
      <c r="K291" s="415">
        <v>1</v>
      </c>
      <c r="L291" s="415">
        <v>415</v>
      </c>
      <c r="M291" s="415">
        <v>220</v>
      </c>
      <c r="N291" s="415">
        <v>649</v>
      </c>
      <c r="O291" s="415" t="s">
        <v>2675</v>
      </c>
      <c r="P291" s="415">
        <v>649</v>
      </c>
      <c r="Q291" s="415" t="s">
        <v>2675</v>
      </c>
      <c r="R291" s="415" t="s">
        <v>2699</v>
      </c>
      <c r="S291" s="415" t="s">
        <v>2549</v>
      </c>
      <c r="T291" s="416">
        <v>118</v>
      </c>
      <c r="U291" s="416">
        <v>118</v>
      </c>
      <c r="V291" s="416">
        <v>118</v>
      </c>
      <c r="W291" s="416">
        <v>115</v>
      </c>
      <c r="X291" s="416">
        <v>114</v>
      </c>
      <c r="Y291" s="416">
        <v>114</v>
      </c>
      <c r="Z291" s="416">
        <v>114</v>
      </c>
      <c r="AA291" s="416">
        <v>114</v>
      </c>
      <c r="AB291" s="416">
        <v>113</v>
      </c>
      <c r="AC291" s="416">
        <v>112</v>
      </c>
      <c r="AD291" s="416">
        <v>110</v>
      </c>
      <c r="AE291" s="416">
        <v>109</v>
      </c>
      <c r="AF291" s="416">
        <v>107</v>
      </c>
      <c r="AG291" s="416">
        <v>106</v>
      </c>
      <c r="AH291" s="416">
        <v>103</v>
      </c>
      <c r="AI291" s="416">
        <v>101</v>
      </c>
      <c r="AJ291" s="416">
        <v>88.3</v>
      </c>
      <c r="AK291" s="416">
        <v>61.9</v>
      </c>
      <c r="AL291" s="416">
        <v>40.299999999999997</v>
      </c>
      <c r="AM291" s="416">
        <v>26.4</v>
      </c>
      <c r="AN291" s="416">
        <v>17.3</v>
      </c>
      <c r="AO291" s="416">
        <v>11.7</v>
      </c>
      <c r="AP291" s="416">
        <v>7.4</v>
      </c>
      <c r="AQ291" s="416">
        <v>0</v>
      </c>
      <c r="AR291" s="416">
        <v>0</v>
      </c>
      <c r="AS291" s="416">
        <v>0</v>
      </c>
      <c r="AT291" s="416">
        <v>0</v>
      </c>
      <c r="AU291" s="416">
        <v>0</v>
      </c>
      <c r="AV291" s="416">
        <v>0</v>
      </c>
      <c r="AW291" s="416">
        <v>0</v>
      </c>
      <c r="AX291" s="416">
        <v>0</v>
      </c>
      <c r="AY291" s="416">
        <v>0</v>
      </c>
      <c r="AZ291" s="416">
        <v>0</v>
      </c>
    </row>
    <row r="292" spans="1:52" s="411" customFormat="1" x14ac:dyDescent="0.3">
      <c r="A292" s="415" t="str">
        <f t="shared" si="4"/>
        <v>SA-213 Gr.T12</v>
      </c>
      <c r="B292" s="415">
        <v>286</v>
      </c>
      <c r="C292" s="415" t="s">
        <v>2923</v>
      </c>
      <c r="D292" s="415" t="s">
        <v>2693</v>
      </c>
      <c r="E292" s="415" t="s">
        <v>2195</v>
      </c>
      <c r="F292" s="415" t="s">
        <v>2538</v>
      </c>
      <c r="G292" s="415" t="s">
        <v>2927</v>
      </c>
      <c r="H292" s="415">
        <v>0</v>
      </c>
      <c r="I292" s="415">
        <v>0</v>
      </c>
      <c r="J292" s="415">
        <v>4</v>
      </c>
      <c r="K292" s="415">
        <v>1</v>
      </c>
      <c r="L292" s="415">
        <v>415</v>
      </c>
      <c r="M292" s="415">
        <v>220</v>
      </c>
      <c r="N292" s="415">
        <v>649</v>
      </c>
      <c r="O292" s="415">
        <v>371</v>
      </c>
      <c r="P292" s="415">
        <v>649</v>
      </c>
      <c r="Q292" s="415" t="s">
        <v>2675</v>
      </c>
      <c r="R292" s="415" t="s">
        <v>2699</v>
      </c>
      <c r="S292" s="415" t="s">
        <v>2925</v>
      </c>
      <c r="T292" s="416">
        <v>118</v>
      </c>
      <c r="U292" s="416">
        <v>118</v>
      </c>
      <c r="V292" s="416">
        <v>117</v>
      </c>
      <c r="W292" s="416">
        <v>116</v>
      </c>
      <c r="X292" s="416">
        <v>114</v>
      </c>
      <c r="Y292" s="416">
        <v>114</v>
      </c>
      <c r="Z292" s="416">
        <v>114</v>
      </c>
      <c r="AA292" s="416">
        <v>114</v>
      </c>
      <c r="AB292" s="416">
        <v>113</v>
      </c>
      <c r="AC292" s="416">
        <v>112</v>
      </c>
      <c r="AD292" s="416">
        <v>110</v>
      </c>
      <c r="AE292" s="416">
        <v>109</v>
      </c>
      <c r="AF292" s="416">
        <v>107</v>
      </c>
      <c r="AG292" s="416">
        <v>106</v>
      </c>
      <c r="AH292" s="416">
        <v>103</v>
      </c>
      <c r="AI292" s="416">
        <v>101</v>
      </c>
      <c r="AJ292" s="416">
        <v>88.3</v>
      </c>
      <c r="AK292" s="416">
        <v>61.9</v>
      </c>
      <c r="AL292" s="416">
        <v>40.299999999999997</v>
      </c>
      <c r="AM292" s="416">
        <v>26.4</v>
      </c>
      <c r="AN292" s="416">
        <v>17.3</v>
      </c>
      <c r="AO292" s="416">
        <v>11.7</v>
      </c>
      <c r="AP292" s="416">
        <v>7.4</v>
      </c>
      <c r="AQ292" s="416">
        <v>0</v>
      </c>
      <c r="AR292" s="416">
        <v>0</v>
      </c>
      <c r="AS292" s="416">
        <v>0</v>
      </c>
      <c r="AT292" s="416">
        <v>0</v>
      </c>
      <c r="AU292" s="416">
        <v>0</v>
      </c>
      <c r="AV292" s="416">
        <v>0</v>
      </c>
      <c r="AW292" s="416">
        <v>0</v>
      </c>
      <c r="AX292" s="416">
        <v>0</v>
      </c>
      <c r="AY292" s="416">
        <v>0</v>
      </c>
      <c r="AZ292" s="416">
        <v>0</v>
      </c>
    </row>
    <row r="293" spans="1:52" s="411" customFormat="1" x14ac:dyDescent="0.3">
      <c r="A293" s="415" t="str">
        <f t="shared" si="4"/>
        <v>SA-234 Gr.WP12</v>
      </c>
      <c r="B293" s="415">
        <v>287</v>
      </c>
      <c r="C293" s="415" t="s">
        <v>2923</v>
      </c>
      <c r="D293" s="415" t="s">
        <v>2758</v>
      </c>
      <c r="E293" s="415" t="s">
        <v>2174</v>
      </c>
      <c r="F293" s="415" t="s">
        <v>2606</v>
      </c>
      <c r="G293" s="415" t="s">
        <v>2928</v>
      </c>
      <c r="H293" s="415">
        <v>1</v>
      </c>
      <c r="I293" s="415">
        <v>0</v>
      </c>
      <c r="J293" s="415">
        <v>4</v>
      </c>
      <c r="K293" s="415">
        <v>1</v>
      </c>
      <c r="L293" s="415">
        <v>415</v>
      </c>
      <c r="M293" s="415">
        <v>220</v>
      </c>
      <c r="N293" s="415">
        <v>649</v>
      </c>
      <c r="O293" s="415">
        <v>371</v>
      </c>
      <c r="P293" s="415">
        <v>649</v>
      </c>
      <c r="Q293" s="415" t="s">
        <v>2675</v>
      </c>
      <c r="R293" s="415" t="s">
        <v>2699</v>
      </c>
      <c r="S293" s="415" t="s">
        <v>2929</v>
      </c>
      <c r="T293" s="416">
        <v>118</v>
      </c>
      <c r="U293" s="416">
        <v>118</v>
      </c>
      <c r="V293" s="416">
        <v>117</v>
      </c>
      <c r="W293" s="416">
        <v>116</v>
      </c>
      <c r="X293" s="416">
        <v>114</v>
      </c>
      <c r="Y293" s="416">
        <v>114</v>
      </c>
      <c r="Z293" s="416">
        <v>114</v>
      </c>
      <c r="AA293" s="416">
        <v>114</v>
      </c>
      <c r="AB293" s="416">
        <v>113</v>
      </c>
      <c r="AC293" s="416">
        <v>112</v>
      </c>
      <c r="AD293" s="416">
        <v>110</v>
      </c>
      <c r="AE293" s="416">
        <v>109</v>
      </c>
      <c r="AF293" s="416">
        <v>107</v>
      </c>
      <c r="AG293" s="416">
        <v>106</v>
      </c>
      <c r="AH293" s="416">
        <v>103</v>
      </c>
      <c r="AI293" s="416">
        <v>101</v>
      </c>
      <c r="AJ293" s="416">
        <v>88.3</v>
      </c>
      <c r="AK293" s="416">
        <v>61.9</v>
      </c>
      <c r="AL293" s="416">
        <v>40.299999999999997</v>
      </c>
      <c r="AM293" s="416">
        <v>26.4</v>
      </c>
      <c r="AN293" s="416">
        <v>17.3</v>
      </c>
      <c r="AO293" s="416">
        <v>11.7</v>
      </c>
      <c r="AP293" s="416">
        <v>7.4</v>
      </c>
      <c r="AQ293" s="416">
        <v>0</v>
      </c>
      <c r="AR293" s="416">
        <v>0</v>
      </c>
      <c r="AS293" s="416">
        <v>0</v>
      </c>
      <c r="AT293" s="416">
        <v>0</v>
      </c>
      <c r="AU293" s="416">
        <v>0</v>
      </c>
      <c r="AV293" s="416">
        <v>0</v>
      </c>
      <c r="AW293" s="416">
        <v>0</v>
      </c>
      <c r="AX293" s="416">
        <v>0</v>
      </c>
      <c r="AY293" s="416">
        <v>0</v>
      </c>
      <c r="AZ293" s="416">
        <v>0</v>
      </c>
    </row>
    <row r="294" spans="1:52" s="411" customFormat="1" x14ac:dyDescent="0.3">
      <c r="A294" s="415" t="str">
        <f t="shared" si="4"/>
        <v>SA-250 Gr.T12</v>
      </c>
      <c r="B294" s="415">
        <v>288</v>
      </c>
      <c r="C294" s="415" t="s">
        <v>2923</v>
      </c>
      <c r="D294" s="415" t="s">
        <v>2689</v>
      </c>
      <c r="E294" s="415" t="s">
        <v>2201</v>
      </c>
      <c r="F294" s="415" t="s">
        <v>2538</v>
      </c>
      <c r="G294" s="415" t="s">
        <v>2927</v>
      </c>
      <c r="H294" s="415">
        <v>0</v>
      </c>
      <c r="I294" s="415">
        <v>0</v>
      </c>
      <c r="J294" s="415">
        <v>4</v>
      </c>
      <c r="K294" s="415">
        <v>1</v>
      </c>
      <c r="L294" s="415">
        <v>415</v>
      </c>
      <c r="M294" s="415">
        <v>220</v>
      </c>
      <c r="N294" s="415">
        <v>649</v>
      </c>
      <c r="O294" s="415" t="s">
        <v>2675</v>
      </c>
      <c r="P294" s="415" t="s">
        <v>2675</v>
      </c>
      <c r="Q294" s="415" t="s">
        <v>2675</v>
      </c>
      <c r="R294" s="415" t="s">
        <v>2699</v>
      </c>
      <c r="S294" s="415" t="s">
        <v>2930</v>
      </c>
      <c r="T294" s="416">
        <v>100</v>
      </c>
      <c r="U294" s="416">
        <v>100</v>
      </c>
      <c r="V294" s="416">
        <v>100</v>
      </c>
      <c r="W294" s="416">
        <v>98.2</v>
      </c>
      <c r="X294" s="416">
        <v>97</v>
      </c>
      <c r="Y294" s="416">
        <v>96.5</v>
      </c>
      <c r="Z294" s="416">
        <v>96.5</v>
      </c>
      <c r="AA294" s="416">
        <v>96.5</v>
      </c>
      <c r="AB294" s="416">
        <v>95.8</v>
      </c>
      <c r="AC294" s="416">
        <v>94.7</v>
      </c>
      <c r="AD294" s="416">
        <v>93.4</v>
      </c>
      <c r="AE294" s="416">
        <v>92.2</v>
      </c>
      <c r="AF294" s="416">
        <v>91</v>
      </c>
      <c r="AG294" s="416">
        <v>89.7</v>
      </c>
      <c r="AH294" s="416">
        <v>87.9</v>
      </c>
      <c r="AI294" s="416">
        <v>85.7</v>
      </c>
      <c r="AJ294" s="416">
        <v>72.900000000000006</v>
      </c>
      <c r="AK294" s="416">
        <v>53.2</v>
      </c>
      <c r="AL294" s="416">
        <v>33.700000000000003</v>
      </c>
      <c r="AM294" s="416">
        <v>22.5</v>
      </c>
      <c r="AN294" s="416">
        <v>14.8</v>
      </c>
      <c r="AO294" s="416">
        <v>9.7100000000000009</v>
      </c>
      <c r="AP294" s="416">
        <v>6.34</v>
      </c>
      <c r="AQ294" s="416">
        <v>0</v>
      </c>
      <c r="AR294" s="416">
        <v>0</v>
      </c>
      <c r="AS294" s="416">
        <v>0</v>
      </c>
      <c r="AT294" s="416">
        <v>0</v>
      </c>
      <c r="AU294" s="416">
        <v>0</v>
      </c>
      <c r="AV294" s="416">
        <v>0</v>
      </c>
      <c r="AW294" s="416">
        <v>0</v>
      </c>
      <c r="AX294" s="416">
        <v>0</v>
      </c>
      <c r="AY294" s="416">
        <v>0</v>
      </c>
      <c r="AZ294" s="416">
        <v>0</v>
      </c>
    </row>
    <row r="295" spans="1:52" s="411" customFormat="1" x14ac:dyDescent="0.3">
      <c r="A295" s="415" t="str">
        <f t="shared" si="4"/>
        <v>SA-250 Gr.T12S1</v>
      </c>
      <c r="B295" s="415">
        <v>289</v>
      </c>
      <c r="C295" s="415" t="s">
        <v>2923</v>
      </c>
      <c r="D295" s="415" t="s">
        <v>2689</v>
      </c>
      <c r="E295" s="415" t="s">
        <v>2201</v>
      </c>
      <c r="F295" s="415" t="s">
        <v>2539</v>
      </c>
      <c r="G295" s="415" t="s">
        <v>2927</v>
      </c>
      <c r="H295" s="415">
        <v>0</v>
      </c>
      <c r="I295" s="415">
        <v>0</v>
      </c>
      <c r="J295" s="415">
        <v>4</v>
      </c>
      <c r="K295" s="415">
        <v>1</v>
      </c>
      <c r="L295" s="415">
        <v>415</v>
      </c>
      <c r="M295" s="415">
        <v>220</v>
      </c>
      <c r="N295" s="415">
        <v>649</v>
      </c>
      <c r="O295" s="415" t="s">
        <v>2675</v>
      </c>
      <c r="P295" s="415" t="s">
        <v>2675</v>
      </c>
      <c r="Q295" s="415" t="s">
        <v>2675</v>
      </c>
      <c r="R295" s="415" t="s">
        <v>2699</v>
      </c>
      <c r="S295" s="415" t="s">
        <v>2931</v>
      </c>
      <c r="T295" s="416">
        <v>118</v>
      </c>
      <c r="U295" s="416">
        <v>118</v>
      </c>
      <c r="V295" s="416">
        <v>118</v>
      </c>
      <c r="W295" s="416">
        <v>115</v>
      </c>
      <c r="X295" s="416">
        <v>114</v>
      </c>
      <c r="Y295" s="416">
        <v>114</v>
      </c>
      <c r="Z295" s="416">
        <v>114</v>
      </c>
      <c r="AA295" s="416">
        <v>114</v>
      </c>
      <c r="AB295" s="416">
        <v>113</v>
      </c>
      <c r="AC295" s="416">
        <v>112</v>
      </c>
      <c r="AD295" s="416">
        <v>110</v>
      </c>
      <c r="AE295" s="416">
        <v>109</v>
      </c>
      <c r="AF295" s="416">
        <v>107</v>
      </c>
      <c r="AG295" s="416">
        <v>106</v>
      </c>
      <c r="AH295" s="416">
        <v>103</v>
      </c>
      <c r="AI295" s="416">
        <v>101</v>
      </c>
      <c r="AJ295" s="416">
        <v>88.3</v>
      </c>
      <c r="AK295" s="416">
        <v>61.9</v>
      </c>
      <c r="AL295" s="416">
        <v>40.299999999999997</v>
      </c>
      <c r="AM295" s="416">
        <v>26.4</v>
      </c>
      <c r="AN295" s="416">
        <v>17.3</v>
      </c>
      <c r="AO295" s="416">
        <v>11.7</v>
      </c>
      <c r="AP295" s="416">
        <v>7.4</v>
      </c>
      <c r="AQ295" s="416">
        <v>0</v>
      </c>
      <c r="AR295" s="416">
        <v>0</v>
      </c>
      <c r="AS295" s="416">
        <v>0</v>
      </c>
      <c r="AT295" s="416">
        <v>0</v>
      </c>
      <c r="AU295" s="416">
        <v>0</v>
      </c>
      <c r="AV295" s="416">
        <v>0</v>
      </c>
      <c r="AW295" s="416">
        <v>0</v>
      </c>
      <c r="AX295" s="416">
        <v>0</v>
      </c>
      <c r="AY295" s="416">
        <v>0</v>
      </c>
      <c r="AZ295" s="416">
        <v>0</v>
      </c>
    </row>
    <row r="296" spans="1:52" s="411" customFormat="1" x14ac:dyDescent="0.3">
      <c r="A296" s="415" t="str">
        <f t="shared" si="4"/>
        <v>SA-335 Gr.P12</v>
      </c>
      <c r="B296" s="415">
        <v>290</v>
      </c>
      <c r="C296" s="415" t="s">
        <v>2923</v>
      </c>
      <c r="D296" s="415" t="s">
        <v>2703</v>
      </c>
      <c r="E296" s="415" t="s">
        <v>2210</v>
      </c>
      <c r="F296" s="415" t="s">
        <v>2511</v>
      </c>
      <c r="G296" s="415" t="s">
        <v>2927</v>
      </c>
      <c r="H296" s="415">
        <v>0</v>
      </c>
      <c r="I296" s="415">
        <v>0</v>
      </c>
      <c r="J296" s="415">
        <v>4</v>
      </c>
      <c r="K296" s="415">
        <v>1</v>
      </c>
      <c r="L296" s="415">
        <v>415</v>
      </c>
      <c r="M296" s="415">
        <v>220</v>
      </c>
      <c r="N296" s="415">
        <v>649</v>
      </c>
      <c r="O296" s="415">
        <v>371</v>
      </c>
      <c r="P296" s="415">
        <v>649</v>
      </c>
      <c r="Q296" s="415" t="s">
        <v>2675</v>
      </c>
      <c r="R296" s="415" t="s">
        <v>2699</v>
      </c>
      <c r="S296" s="415" t="s">
        <v>2925</v>
      </c>
      <c r="T296" s="416">
        <v>118</v>
      </c>
      <c r="U296" s="416">
        <v>118</v>
      </c>
      <c r="V296" s="416">
        <v>117</v>
      </c>
      <c r="W296" s="416">
        <v>116</v>
      </c>
      <c r="X296" s="416">
        <v>114</v>
      </c>
      <c r="Y296" s="416">
        <v>114</v>
      </c>
      <c r="Z296" s="416">
        <v>114</v>
      </c>
      <c r="AA296" s="416">
        <v>114</v>
      </c>
      <c r="AB296" s="416">
        <v>113</v>
      </c>
      <c r="AC296" s="416">
        <v>112</v>
      </c>
      <c r="AD296" s="416">
        <v>110</v>
      </c>
      <c r="AE296" s="416">
        <v>109</v>
      </c>
      <c r="AF296" s="416">
        <v>107</v>
      </c>
      <c r="AG296" s="416">
        <v>106</v>
      </c>
      <c r="AH296" s="416">
        <v>103</v>
      </c>
      <c r="AI296" s="416">
        <v>101</v>
      </c>
      <c r="AJ296" s="416">
        <v>88.3</v>
      </c>
      <c r="AK296" s="416">
        <v>61.9</v>
      </c>
      <c r="AL296" s="416">
        <v>40.299999999999997</v>
      </c>
      <c r="AM296" s="416">
        <v>26.4</v>
      </c>
      <c r="AN296" s="416">
        <v>17.3</v>
      </c>
      <c r="AO296" s="416">
        <v>11.7</v>
      </c>
      <c r="AP296" s="416">
        <v>7.4</v>
      </c>
      <c r="AQ296" s="416">
        <v>0</v>
      </c>
      <c r="AR296" s="416">
        <v>0</v>
      </c>
      <c r="AS296" s="416">
        <v>0</v>
      </c>
      <c r="AT296" s="416">
        <v>0</v>
      </c>
      <c r="AU296" s="416">
        <v>0</v>
      </c>
      <c r="AV296" s="416">
        <v>0</v>
      </c>
      <c r="AW296" s="416">
        <v>0</v>
      </c>
      <c r="AX296" s="416">
        <v>0</v>
      </c>
      <c r="AY296" s="416">
        <v>0</v>
      </c>
      <c r="AZ296" s="416">
        <v>0</v>
      </c>
    </row>
    <row r="297" spans="1:52" s="411" customFormat="1" x14ac:dyDescent="0.3">
      <c r="A297" s="415" t="str">
        <f t="shared" si="4"/>
        <v>SA-369 Gr.FP12</v>
      </c>
      <c r="B297" s="415">
        <v>291</v>
      </c>
      <c r="C297" s="415" t="s">
        <v>2923</v>
      </c>
      <c r="D297" s="415" t="s">
        <v>2707</v>
      </c>
      <c r="E297" s="415" t="s">
        <v>2221</v>
      </c>
      <c r="F297" s="415" t="s">
        <v>2467</v>
      </c>
      <c r="G297" s="415" t="s">
        <v>2927</v>
      </c>
      <c r="H297" s="415">
        <v>0</v>
      </c>
      <c r="I297" s="415">
        <v>0</v>
      </c>
      <c r="J297" s="415">
        <v>4</v>
      </c>
      <c r="K297" s="415">
        <v>1</v>
      </c>
      <c r="L297" s="415">
        <v>415</v>
      </c>
      <c r="M297" s="415">
        <v>220</v>
      </c>
      <c r="N297" s="415">
        <v>649</v>
      </c>
      <c r="O297" s="415">
        <v>371</v>
      </c>
      <c r="P297" s="415">
        <v>649</v>
      </c>
      <c r="Q297" s="415" t="s">
        <v>2675</v>
      </c>
      <c r="R297" s="415" t="s">
        <v>2699</v>
      </c>
      <c r="S297" s="415" t="s">
        <v>2925</v>
      </c>
      <c r="T297" s="416">
        <v>118</v>
      </c>
      <c r="U297" s="416">
        <v>118</v>
      </c>
      <c r="V297" s="416">
        <v>117</v>
      </c>
      <c r="W297" s="416">
        <v>116</v>
      </c>
      <c r="X297" s="416">
        <v>114</v>
      </c>
      <c r="Y297" s="416">
        <v>114</v>
      </c>
      <c r="Z297" s="416">
        <v>114</v>
      </c>
      <c r="AA297" s="416">
        <v>114</v>
      </c>
      <c r="AB297" s="416">
        <v>113</v>
      </c>
      <c r="AC297" s="416">
        <v>112</v>
      </c>
      <c r="AD297" s="416">
        <v>110</v>
      </c>
      <c r="AE297" s="416">
        <v>109</v>
      </c>
      <c r="AF297" s="416">
        <v>107</v>
      </c>
      <c r="AG297" s="416">
        <v>106</v>
      </c>
      <c r="AH297" s="416">
        <v>103</v>
      </c>
      <c r="AI297" s="416">
        <v>101</v>
      </c>
      <c r="AJ297" s="416">
        <v>88.3</v>
      </c>
      <c r="AK297" s="416">
        <v>61.9</v>
      </c>
      <c r="AL297" s="416">
        <v>40.299999999999997</v>
      </c>
      <c r="AM297" s="416">
        <v>26.4</v>
      </c>
      <c r="AN297" s="416">
        <v>17.3</v>
      </c>
      <c r="AO297" s="416">
        <v>11.7</v>
      </c>
      <c r="AP297" s="416">
        <v>7.4</v>
      </c>
      <c r="AQ297" s="416">
        <v>0</v>
      </c>
      <c r="AR297" s="416">
        <v>0</v>
      </c>
      <c r="AS297" s="416">
        <v>0</v>
      </c>
      <c r="AT297" s="416">
        <v>0</v>
      </c>
      <c r="AU297" s="416">
        <v>0</v>
      </c>
      <c r="AV297" s="416">
        <v>0</v>
      </c>
      <c r="AW297" s="416">
        <v>0</v>
      </c>
      <c r="AX297" s="416">
        <v>0</v>
      </c>
      <c r="AY297" s="416">
        <v>0</v>
      </c>
      <c r="AZ297" s="416">
        <v>0</v>
      </c>
    </row>
    <row r="298" spans="1:52" s="411" customFormat="1" x14ac:dyDescent="0.3">
      <c r="A298" s="415" t="str">
        <f t="shared" si="4"/>
        <v>SA-387 Gr.12</v>
      </c>
      <c r="B298" s="415">
        <v>292</v>
      </c>
      <c r="C298" s="415" t="s">
        <v>2923</v>
      </c>
      <c r="D298" s="415" t="s">
        <v>2684</v>
      </c>
      <c r="E298" s="415" t="s">
        <v>2227</v>
      </c>
      <c r="F298" s="415">
        <v>12</v>
      </c>
      <c r="G298" s="415" t="s">
        <v>2924</v>
      </c>
      <c r="H298" s="415">
        <v>2</v>
      </c>
      <c r="I298" s="415">
        <v>0</v>
      </c>
      <c r="J298" s="415">
        <v>4</v>
      </c>
      <c r="K298" s="415">
        <v>1</v>
      </c>
      <c r="L298" s="415">
        <v>450</v>
      </c>
      <c r="M298" s="415">
        <v>275</v>
      </c>
      <c r="N298" s="415">
        <v>649</v>
      </c>
      <c r="O298" s="415">
        <v>371</v>
      </c>
      <c r="P298" s="415">
        <v>649</v>
      </c>
      <c r="Q298" s="415" t="s">
        <v>2675</v>
      </c>
      <c r="R298" s="415" t="s">
        <v>2699</v>
      </c>
      <c r="S298" s="415" t="s">
        <v>2925</v>
      </c>
      <c r="T298" s="416">
        <v>128</v>
      </c>
      <c r="U298" s="416">
        <v>128</v>
      </c>
      <c r="V298" s="416">
        <v>128</v>
      </c>
      <c r="W298" s="416">
        <v>125</v>
      </c>
      <c r="X298" s="416">
        <v>124</v>
      </c>
      <c r="Y298" s="416">
        <v>123</v>
      </c>
      <c r="Z298" s="416">
        <v>123</v>
      </c>
      <c r="AA298" s="416">
        <v>123</v>
      </c>
      <c r="AB298" s="416">
        <v>123</v>
      </c>
      <c r="AC298" s="416">
        <v>123</v>
      </c>
      <c r="AD298" s="416">
        <v>123</v>
      </c>
      <c r="AE298" s="416">
        <v>123</v>
      </c>
      <c r="AF298" s="416">
        <v>123</v>
      </c>
      <c r="AG298" s="416">
        <v>123</v>
      </c>
      <c r="AH298" s="416">
        <v>123</v>
      </c>
      <c r="AI298" s="416">
        <v>123</v>
      </c>
      <c r="AJ298" s="416">
        <v>94.4</v>
      </c>
      <c r="AK298" s="416">
        <v>60.2</v>
      </c>
      <c r="AL298" s="416">
        <v>40.799999999999997</v>
      </c>
      <c r="AM298" s="416">
        <v>26.3</v>
      </c>
      <c r="AN298" s="416">
        <v>17.3</v>
      </c>
      <c r="AO298" s="416">
        <v>11.7</v>
      </c>
      <c r="AP298" s="416">
        <v>7.4</v>
      </c>
      <c r="AQ298" s="416">
        <v>0</v>
      </c>
      <c r="AR298" s="416">
        <v>0</v>
      </c>
      <c r="AS298" s="416">
        <v>0</v>
      </c>
      <c r="AT298" s="416">
        <v>0</v>
      </c>
      <c r="AU298" s="416">
        <v>0</v>
      </c>
      <c r="AV298" s="416">
        <v>0</v>
      </c>
      <c r="AW298" s="416">
        <v>0</v>
      </c>
      <c r="AX298" s="416">
        <v>0</v>
      </c>
      <c r="AY298" s="416">
        <v>0</v>
      </c>
      <c r="AZ298" s="416">
        <v>0</v>
      </c>
    </row>
    <row r="299" spans="1:52" s="411" customFormat="1" x14ac:dyDescent="0.3">
      <c r="A299" s="415" t="str">
        <f t="shared" si="4"/>
        <v>SA-691 Gr.1CR</v>
      </c>
      <c r="B299" s="415">
        <v>293</v>
      </c>
      <c r="C299" s="415" t="s">
        <v>2923</v>
      </c>
      <c r="D299" s="415" t="s">
        <v>2680</v>
      </c>
      <c r="E299" s="415" t="s">
        <v>2303</v>
      </c>
      <c r="F299" s="415" t="s">
        <v>2226</v>
      </c>
      <c r="G299" s="415" t="s">
        <v>2924</v>
      </c>
      <c r="H299" s="415">
        <v>0</v>
      </c>
      <c r="I299" s="415">
        <v>0</v>
      </c>
      <c r="J299" s="415">
        <v>4</v>
      </c>
      <c r="K299" s="415">
        <v>1</v>
      </c>
      <c r="L299" s="415">
        <v>450</v>
      </c>
      <c r="M299" s="415">
        <v>275</v>
      </c>
      <c r="N299" s="415" t="s">
        <v>2675</v>
      </c>
      <c r="O299" s="415">
        <v>371</v>
      </c>
      <c r="P299" s="415" t="s">
        <v>2675</v>
      </c>
      <c r="Q299" s="415" t="s">
        <v>2675</v>
      </c>
      <c r="R299" s="415" t="s">
        <v>2699</v>
      </c>
      <c r="S299" s="415" t="s">
        <v>2882</v>
      </c>
      <c r="T299" s="416">
        <v>128</v>
      </c>
      <c r="U299" s="416">
        <v>128</v>
      </c>
      <c r="V299" s="416">
        <v>127</v>
      </c>
      <c r="W299" s="416">
        <v>125</v>
      </c>
      <c r="X299" s="416">
        <v>124</v>
      </c>
      <c r="Y299" s="416">
        <v>123</v>
      </c>
      <c r="Z299" s="416">
        <v>123</v>
      </c>
      <c r="AA299" s="416">
        <v>123</v>
      </c>
      <c r="AB299" s="416">
        <v>123</v>
      </c>
      <c r="AC299" s="416">
        <v>123</v>
      </c>
      <c r="AD299" s="416">
        <v>123</v>
      </c>
      <c r="AE299" s="416">
        <v>123</v>
      </c>
      <c r="AF299" s="416">
        <v>0</v>
      </c>
      <c r="AG299" s="416">
        <v>0</v>
      </c>
      <c r="AH299" s="416">
        <v>0</v>
      </c>
      <c r="AI299" s="416">
        <v>0</v>
      </c>
      <c r="AJ299" s="416">
        <v>0</v>
      </c>
      <c r="AK299" s="416">
        <v>0</v>
      </c>
      <c r="AL299" s="416">
        <v>0</v>
      </c>
      <c r="AM299" s="416">
        <v>0</v>
      </c>
      <c r="AN299" s="416">
        <v>0</v>
      </c>
      <c r="AO299" s="416">
        <v>0</v>
      </c>
      <c r="AP299" s="416">
        <v>0</v>
      </c>
      <c r="AQ299" s="416">
        <v>0</v>
      </c>
      <c r="AR299" s="416">
        <v>0</v>
      </c>
      <c r="AS299" s="416">
        <v>0</v>
      </c>
      <c r="AT299" s="416">
        <v>0</v>
      </c>
      <c r="AU299" s="416">
        <v>0</v>
      </c>
      <c r="AV299" s="416">
        <v>0</v>
      </c>
      <c r="AW299" s="416">
        <v>0</v>
      </c>
      <c r="AX299" s="416">
        <v>0</v>
      </c>
      <c r="AY299" s="416">
        <v>0</v>
      </c>
      <c r="AZ299" s="416">
        <v>0</v>
      </c>
    </row>
    <row r="300" spans="1:52" s="411" customFormat="1" x14ac:dyDescent="0.3">
      <c r="A300" s="415" t="str">
        <f t="shared" si="4"/>
        <v>SA-182 Gr.F12</v>
      </c>
      <c r="B300" s="415">
        <v>294</v>
      </c>
      <c r="C300" s="415" t="s">
        <v>2923</v>
      </c>
      <c r="D300" s="415" t="s">
        <v>2737</v>
      </c>
      <c r="E300" s="415" t="s">
        <v>2188</v>
      </c>
      <c r="F300" s="415" t="s">
        <v>2427</v>
      </c>
      <c r="G300" s="415" t="s">
        <v>2932</v>
      </c>
      <c r="H300" s="415">
        <v>2</v>
      </c>
      <c r="I300" s="415">
        <v>0</v>
      </c>
      <c r="J300" s="415">
        <v>4</v>
      </c>
      <c r="K300" s="415">
        <v>1</v>
      </c>
      <c r="L300" s="415">
        <v>485</v>
      </c>
      <c r="M300" s="415">
        <v>275</v>
      </c>
      <c r="N300" s="415">
        <v>649</v>
      </c>
      <c r="O300" s="415">
        <v>371</v>
      </c>
      <c r="P300" s="415">
        <v>649</v>
      </c>
      <c r="Q300" s="415" t="s">
        <v>2675</v>
      </c>
      <c r="R300" s="415" t="s">
        <v>2699</v>
      </c>
      <c r="S300" s="415" t="s">
        <v>2933</v>
      </c>
      <c r="T300" s="416">
        <v>138</v>
      </c>
      <c r="U300" s="416">
        <v>138</v>
      </c>
      <c r="V300" s="416">
        <v>137</v>
      </c>
      <c r="W300" s="416">
        <v>135</v>
      </c>
      <c r="X300" s="416">
        <v>133</v>
      </c>
      <c r="Y300" s="416">
        <v>132</v>
      </c>
      <c r="Z300" s="416">
        <v>132</v>
      </c>
      <c r="AA300" s="416">
        <v>132</v>
      </c>
      <c r="AB300" s="416">
        <v>132</v>
      </c>
      <c r="AC300" s="416">
        <v>132</v>
      </c>
      <c r="AD300" s="416">
        <v>132</v>
      </c>
      <c r="AE300" s="416">
        <v>132</v>
      </c>
      <c r="AF300" s="416">
        <v>132</v>
      </c>
      <c r="AG300" s="416">
        <v>132</v>
      </c>
      <c r="AH300" s="416">
        <v>129</v>
      </c>
      <c r="AI300" s="416">
        <v>125</v>
      </c>
      <c r="AJ300" s="416">
        <v>97.2</v>
      </c>
      <c r="AK300" s="416">
        <v>59.3</v>
      </c>
      <c r="AL300" s="416">
        <v>41</v>
      </c>
      <c r="AM300" s="416">
        <v>26.2</v>
      </c>
      <c r="AN300" s="416">
        <v>17.3</v>
      </c>
      <c r="AO300" s="416">
        <v>11.7</v>
      </c>
      <c r="AP300" s="416">
        <v>7.4</v>
      </c>
      <c r="AQ300" s="416">
        <v>0</v>
      </c>
      <c r="AR300" s="416">
        <v>0</v>
      </c>
      <c r="AS300" s="416">
        <v>0</v>
      </c>
      <c r="AT300" s="416">
        <v>0</v>
      </c>
      <c r="AU300" s="416">
        <v>0</v>
      </c>
      <c r="AV300" s="416">
        <v>0</v>
      </c>
      <c r="AW300" s="416">
        <v>0</v>
      </c>
      <c r="AX300" s="416">
        <v>0</v>
      </c>
      <c r="AY300" s="416">
        <v>0</v>
      </c>
      <c r="AZ300" s="416">
        <v>0</v>
      </c>
    </row>
    <row r="301" spans="1:52" s="411" customFormat="1" x14ac:dyDescent="0.3">
      <c r="A301" s="415" t="str">
        <f t="shared" si="4"/>
        <v>SA-336 Gr.F12</v>
      </c>
      <c r="B301" s="415">
        <v>295</v>
      </c>
      <c r="C301" s="415" t="s">
        <v>2923</v>
      </c>
      <c r="D301" s="415" t="s">
        <v>2737</v>
      </c>
      <c r="E301" s="415" t="s">
        <v>2211</v>
      </c>
      <c r="F301" s="415" t="s">
        <v>2427</v>
      </c>
      <c r="G301" s="415" t="s">
        <v>2932</v>
      </c>
      <c r="H301" s="415">
        <v>0</v>
      </c>
      <c r="I301" s="415">
        <v>0</v>
      </c>
      <c r="J301" s="415">
        <v>4</v>
      </c>
      <c r="K301" s="415">
        <v>1</v>
      </c>
      <c r="L301" s="415">
        <v>485</v>
      </c>
      <c r="M301" s="415">
        <v>275</v>
      </c>
      <c r="N301" s="415">
        <v>649</v>
      </c>
      <c r="O301" s="415">
        <v>371</v>
      </c>
      <c r="P301" s="415">
        <v>649</v>
      </c>
      <c r="Q301" s="415" t="s">
        <v>2675</v>
      </c>
      <c r="R301" s="415" t="s">
        <v>2699</v>
      </c>
      <c r="S301" s="415" t="s">
        <v>2933</v>
      </c>
      <c r="T301" s="416">
        <v>138</v>
      </c>
      <c r="U301" s="416">
        <v>138</v>
      </c>
      <c r="V301" s="416">
        <v>138</v>
      </c>
      <c r="W301" s="416">
        <v>134</v>
      </c>
      <c r="X301" s="416">
        <v>133</v>
      </c>
      <c r="Y301" s="416">
        <v>132</v>
      </c>
      <c r="Z301" s="416">
        <v>132</v>
      </c>
      <c r="AA301" s="416">
        <v>132</v>
      </c>
      <c r="AB301" s="416">
        <v>132</v>
      </c>
      <c r="AC301" s="416">
        <v>132</v>
      </c>
      <c r="AD301" s="416">
        <v>132</v>
      </c>
      <c r="AE301" s="416">
        <v>132</v>
      </c>
      <c r="AF301" s="416">
        <v>132</v>
      </c>
      <c r="AG301" s="416">
        <v>132</v>
      </c>
      <c r="AH301" s="416">
        <v>129</v>
      </c>
      <c r="AI301" s="416">
        <v>125</v>
      </c>
      <c r="AJ301" s="416">
        <v>97.2</v>
      </c>
      <c r="AK301" s="416">
        <v>59.3</v>
      </c>
      <c r="AL301" s="416">
        <v>41</v>
      </c>
      <c r="AM301" s="416">
        <v>26.2</v>
      </c>
      <c r="AN301" s="416">
        <v>17.3</v>
      </c>
      <c r="AO301" s="416">
        <v>11.7</v>
      </c>
      <c r="AP301" s="416">
        <v>7.4</v>
      </c>
      <c r="AQ301" s="416">
        <v>0</v>
      </c>
      <c r="AR301" s="416">
        <v>0</v>
      </c>
      <c r="AS301" s="416">
        <v>0</v>
      </c>
      <c r="AT301" s="416">
        <v>0</v>
      </c>
      <c r="AU301" s="416">
        <v>0</v>
      </c>
      <c r="AV301" s="416">
        <v>0</v>
      </c>
      <c r="AW301" s="416">
        <v>0</v>
      </c>
      <c r="AX301" s="416">
        <v>0</v>
      </c>
      <c r="AY301" s="416">
        <v>0</v>
      </c>
      <c r="AZ301" s="416">
        <v>0</v>
      </c>
    </row>
    <row r="302" spans="1:52" s="411" customFormat="1" x14ac:dyDescent="0.3">
      <c r="A302" s="415" t="str">
        <f t="shared" si="4"/>
        <v>SA-213 Gr.T17</v>
      </c>
      <c r="B302" s="415">
        <v>296</v>
      </c>
      <c r="C302" s="415" t="s">
        <v>2934</v>
      </c>
      <c r="D302" s="415" t="s">
        <v>2693</v>
      </c>
      <c r="E302" s="415" t="s">
        <v>2195</v>
      </c>
      <c r="F302" s="415" t="s">
        <v>2540</v>
      </c>
      <c r="G302" s="415" t="s">
        <v>2935</v>
      </c>
      <c r="H302" s="415">
        <v>0</v>
      </c>
      <c r="I302" s="415">
        <v>0</v>
      </c>
      <c r="J302" s="415" t="s">
        <v>2936</v>
      </c>
      <c r="K302" s="415">
        <v>1</v>
      </c>
      <c r="L302" s="415">
        <v>415</v>
      </c>
      <c r="M302" s="415">
        <v>205</v>
      </c>
      <c r="N302" s="415" t="s">
        <v>2675</v>
      </c>
      <c r="O302" s="415" t="s">
        <v>2675</v>
      </c>
      <c r="P302" s="415">
        <v>343</v>
      </c>
      <c r="Q302" s="415">
        <v>343</v>
      </c>
      <c r="R302" s="415" t="s">
        <v>2699</v>
      </c>
      <c r="S302" s="415">
        <v>0</v>
      </c>
      <c r="T302" s="416">
        <v>118</v>
      </c>
      <c r="U302" s="416">
        <v>118</v>
      </c>
      <c r="V302" s="416">
        <v>118</v>
      </c>
      <c r="W302" s="416">
        <v>118</v>
      </c>
      <c r="X302" s="416">
        <v>118</v>
      </c>
      <c r="Y302" s="416">
        <v>118</v>
      </c>
      <c r="Z302" s="416">
        <v>116</v>
      </c>
      <c r="AA302" s="416">
        <v>112</v>
      </c>
      <c r="AB302" s="416">
        <v>109</v>
      </c>
      <c r="AC302" s="416">
        <v>108</v>
      </c>
      <c r="AD302" s="416">
        <v>106</v>
      </c>
      <c r="AE302" s="416">
        <v>0</v>
      </c>
      <c r="AF302" s="416">
        <v>0</v>
      </c>
      <c r="AG302" s="416">
        <v>0</v>
      </c>
      <c r="AH302" s="416">
        <v>0</v>
      </c>
      <c r="AI302" s="416">
        <v>0</v>
      </c>
      <c r="AJ302" s="416">
        <v>0</v>
      </c>
      <c r="AK302" s="416">
        <v>0</v>
      </c>
      <c r="AL302" s="416">
        <v>0</v>
      </c>
      <c r="AM302" s="416">
        <v>0</v>
      </c>
      <c r="AN302" s="416">
        <v>0</v>
      </c>
      <c r="AO302" s="416">
        <v>0</v>
      </c>
      <c r="AP302" s="416">
        <v>0</v>
      </c>
      <c r="AQ302" s="416">
        <v>0</v>
      </c>
      <c r="AR302" s="416">
        <v>0</v>
      </c>
      <c r="AS302" s="416">
        <v>0</v>
      </c>
      <c r="AT302" s="416">
        <v>0</v>
      </c>
      <c r="AU302" s="416">
        <v>0</v>
      </c>
      <c r="AV302" s="416">
        <v>0</v>
      </c>
      <c r="AW302" s="416">
        <v>0</v>
      </c>
      <c r="AX302" s="416">
        <v>0</v>
      </c>
      <c r="AY302" s="416">
        <v>0</v>
      </c>
      <c r="AZ302" s="416">
        <v>0</v>
      </c>
    </row>
    <row r="303" spans="1:52" s="411" customFormat="1" x14ac:dyDescent="0.3">
      <c r="A303" s="415" t="str">
        <f t="shared" si="4"/>
        <v>SA-217 Gr.WC6</v>
      </c>
      <c r="B303" s="415">
        <v>297</v>
      </c>
      <c r="C303" s="415" t="s">
        <v>2937</v>
      </c>
      <c r="D303" s="415" t="s">
        <v>2739</v>
      </c>
      <c r="E303" s="415" t="s">
        <v>2198</v>
      </c>
      <c r="F303" s="415" t="s">
        <v>2599</v>
      </c>
      <c r="G303" s="415" t="s">
        <v>2938</v>
      </c>
      <c r="H303" s="415">
        <v>0</v>
      </c>
      <c r="I303" s="415">
        <v>0</v>
      </c>
      <c r="J303" s="415">
        <v>4</v>
      </c>
      <c r="K303" s="415">
        <v>1</v>
      </c>
      <c r="L303" s="415">
        <v>485</v>
      </c>
      <c r="M303" s="415">
        <v>275</v>
      </c>
      <c r="N303" s="415">
        <v>593</v>
      </c>
      <c r="O303" s="415">
        <v>371</v>
      </c>
      <c r="P303" s="415">
        <v>593</v>
      </c>
      <c r="Q303" s="415" t="s">
        <v>2675</v>
      </c>
      <c r="R303" s="415" t="s">
        <v>2699</v>
      </c>
      <c r="S303" s="415" t="s">
        <v>2939</v>
      </c>
      <c r="T303" s="416">
        <v>138</v>
      </c>
      <c r="U303" s="416">
        <v>138</v>
      </c>
      <c r="V303" s="416">
        <v>138</v>
      </c>
      <c r="W303" s="416">
        <v>138</v>
      </c>
      <c r="X303" s="416">
        <v>138</v>
      </c>
      <c r="Y303" s="416">
        <v>138</v>
      </c>
      <c r="Z303" s="416">
        <v>138</v>
      </c>
      <c r="AA303" s="416">
        <v>138</v>
      </c>
      <c r="AB303" s="416">
        <v>138</v>
      </c>
      <c r="AC303" s="416">
        <v>138</v>
      </c>
      <c r="AD303" s="416">
        <v>138</v>
      </c>
      <c r="AE303" s="416">
        <v>138</v>
      </c>
      <c r="AF303" s="416">
        <v>136</v>
      </c>
      <c r="AG303" s="416">
        <v>133</v>
      </c>
      <c r="AH303" s="416">
        <v>130</v>
      </c>
      <c r="AI303" s="416">
        <v>105</v>
      </c>
      <c r="AJ303" s="416">
        <v>73.3</v>
      </c>
      <c r="AK303" s="416">
        <v>52.1</v>
      </c>
      <c r="AL303" s="416">
        <v>36.4</v>
      </c>
      <c r="AM303" s="416">
        <v>25.2</v>
      </c>
      <c r="AN303" s="416">
        <v>17.600000000000001</v>
      </c>
      <c r="AO303" s="416">
        <v>0</v>
      </c>
      <c r="AP303" s="416">
        <v>0</v>
      </c>
      <c r="AQ303" s="416">
        <v>0</v>
      </c>
      <c r="AR303" s="416">
        <v>0</v>
      </c>
      <c r="AS303" s="416">
        <v>0</v>
      </c>
      <c r="AT303" s="416">
        <v>0</v>
      </c>
      <c r="AU303" s="416">
        <v>0</v>
      </c>
      <c r="AV303" s="416">
        <v>0</v>
      </c>
      <c r="AW303" s="416">
        <v>0</v>
      </c>
      <c r="AX303" s="416">
        <v>0</v>
      </c>
      <c r="AY303" s="416">
        <v>0</v>
      </c>
      <c r="AZ303" s="416">
        <v>0</v>
      </c>
    </row>
    <row r="304" spans="1:52" s="411" customFormat="1" x14ac:dyDescent="0.3">
      <c r="A304" s="415" t="str">
        <f t="shared" si="4"/>
        <v>SA-426 Gr.CP11</v>
      </c>
      <c r="B304" s="415">
        <v>298</v>
      </c>
      <c r="C304" s="415" t="s">
        <v>2937</v>
      </c>
      <c r="D304" s="415" t="s">
        <v>2746</v>
      </c>
      <c r="E304" s="415" t="s">
        <v>2239</v>
      </c>
      <c r="F304" s="415" t="s">
        <v>2394</v>
      </c>
      <c r="G304" s="415" t="s">
        <v>2938</v>
      </c>
      <c r="H304" s="415">
        <v>0</v>
      </c>
      <c r="I304" s="415">
        <v>0</v>
      </c>
      <c r="J304" s="415">
        <v>4</v>
      </c>
      <c r="K304" s="415">
        <v>1</v>
      </c>
      <c r="L304" s="415">
        <v>485</v>
      </c>
      <c r="M304" s="415">
        <v>275</v>
      </c>
      <c r="N304" s="415" t="s">
        <v>2675</v>
      </c>
      <c r="O304" s="415">
        <v>371</v>
      </c>
      <c r="P304" s="415" t="s">
        <v>2675</v>
      </c>
      <c r="Q304" s="415" t="s">
        <v>2675</v>
      </c>
      <c r="R304" s="415" t="s">
        <v>2699</v>
      </c>
      <c r="S304" s="415" t="s">
        <v>2745</v>
      </c>
      <c r="T304" s="416">
        <v>138</v>
      </c>
      <c r="U304" s="416">
        <v>138</v>
      </c>
      <c r="V304" s="416">
        <v>138</v>
      </c>
      <c r="W304" s="416">
        <v>138</v>
      </c>
      <c r="X304" s="416">
        <v>138</v>
      </c>
      <c r="Y304" s="416">
        <v>138</v>
      </c>
      <c r="Z304" s="416">
        <v>138</v>
      </c>
      <c r="AA304" s="416">
        <v>138</v>
      </c>
      <c r="AB304" s="416">
        <v>138</v>
      </c>
      <c r="AC304" s="416">
        <v>138</v>
      </c>
      <c r="AD304" s="416">
        <v>138</v>
      </c>
      <c r="AE304" s="416">
        <v>138</v>
      </c>
      <c r="AF304" s="416">
        <v>0</v>
      </c>
      <c r="AG304" s="416">
        <v>0</v>
      </c>
      <c r="AH304" s="416">
        <v>0</v>
      </c>
      <c r="AI304" s="416">
        <v>0</v>
      </c>
      <c r="AJ304" s="416">
        <v>0</v>
      </c>
      <c r="AK304" s="416">
        <v>0</v>
      </c>
      <c r="AL304" s="416">
        <v>0</v>
      </c>
      <c r="AM304" s="416">
        <v>0</v>
      </c>
      <c r="AN304" s="416">
        <v>0</v>
      </c>
      <c r="AO304" s="416">
        <v>0</v>
      </c>
      <c r="AP304" s="416">
        <v>0</v>
      </c>
      <c r="AQ304" s="416">
        <v>0</v>
      </c>
      <c r="AR304" s="416">
        <v>0</v>
      </c>
      <c r="AS304" s="416">
        <v>0</v>
      </c>
      <c r="AT304" s="416">
        <v>0</v>
      </c>
      <c r="AU304" s="416">
        <v>0</v>
      </c>
      <c r="AV304" s="416">
        <v>0</v>
      </c>
      <c r="AW304" s="416">
        <v>0</v>
      </c>
      <c r="AX304" s="416">
        <v>0</v>
      </c>
      <c r="AY304" s="416">
        <v>0</v>
      </c>
      <c r="AZ304" s="416">
        <v>0</v>
      </c>
    </row>
    <row r="305" spans="1:52" s="411" customFormat="1" x14ac:dyDescent="0.3">
      <c r="A305" s="415" t="str">
        <f t="shared" si="4"/>
        <v>SA-739 Gr.B11</v>
      </c>
      <c r="B305" s="415">
        <v>299</v>
      </c>
      <c r="C305" s="415" t="s">
        <v>2937</v>
      </c>
      <c r="D305" s="415" t="s">
        <v>2677</v>
      </c>
      <c r="E305" s="415" t="s">
        <v>2317</v>
      </c>
      <c r="F305" s="415" t="s">
        <v>2341</v>
      </c>
      <c r="G305" s="415" t="s">
        <v>2940</v>
      </c>
      <c r="H305" s="415">
        <v>0</v>
      </c>
      <c r="I305" s="415">
        <v>0</v>
      </c>
      <c r="J305" s="415">
        <v>4</v>
      </c>
      <c r="K305" s="415">
        <v>1</v>
      </c>
      <c r="L305" s="415">
        <v>485</v>
      </c>
      <c r="M305" s="415">
        <v>310</v>
      </c>
      <c r="N305" s="415" t="s">
        <v>2675</v>
      </c>
      <c r="O305" s="415">
        <v>371</v>
      </c>
      <c r="P305" s="415">
        <v>649</v>
      </c>
      <c r="Q305" s="415" t="s">
        <v>2675</v>
      </c>
      <c r="R305" s="415" t="s">
        <v>2819</v>
      </c>
      <c r="S305" s="415" t="s">
        <v>2941</v>
      </c>
      <c r="T305" s="416">
        <v>138</v>
      </c>
      <c r="U305" s="416">
        <v>138</v>
      </c>
      <c r="V305" s="416">
        <v>138</v>
      </c>
      <c r="W305" s="416">
        <v>138</v>
      </c>
      <c r="X305" s="416">
        <v>138</v>
      </c>
      <c r="Y305" s="416">
        <v>138</v>
      </c>
      <c r="Z305" s="416">
        <v>138</v>
      </c>
      <c r="AA305" s="416">
        <v>138</v>
      </c>
      <c r="AB305" s="416">
        <v>138</v>
      </c>
      <c r="AC305" s="416">
        <v>138</v>
      </c>
      <c r="AD305" s="416">
        <v>138</v>
      </c>
      <c r="AE305" s="416">
        <v>138</v>
      </c>
      <c r="AF305" s="416">
        <v>138</v>
      </c>
      <c r="AG305" s="416">
        <v>138</v>
      </c>
      <c r="AH305" s="416">
        <v>135</v>
      </c>
      <c r="AI305" s="416">
        <v>107</v>
      </c>
      <c r="AJ305" s="416">
        <v>72.900000000000006</v>
      </c>
      <c r="AK305" s="416">
        <v>52.3</v>
      </c>
      <c r="AL305" s="416">
        <v>36.299999999999997</v>
      </c>
      <c r="AM305" s="416">
        <v>25.2</v>
      </c>
      <c r="AN305" s="416">
        <v>17.600000000000001</v>
      </c>
      <c r="AO305" s="416">
        <v>12.4</v>
      </c>
      <c r="AP305" s="416">
        <v>8.08</v>
      </c>
      <c r="AQ305" s="416">
        <v>0</v>
      </c>
      <c r="AR305" s="416">
        <v>0</v>
      </c>
      <c r="AS305" s="416">
        <v>0</v>
      </c>
      <c r="AT305" s="416">
        <v>0</v>
      </c>
      <c r="AU305" s="416">
        <v>0</v>
      </c>
      <c r="AV305" s="416">
        <v>0</v>
      </c>
      <c r="AW305" s="416">
        <v>0</v>
      </c>
      <c r="AX305" s="416">
        <v>0</v>
      </c>
      <c r="AY305" s="416">
        <v>0</v>
      </c>
      <c r="AZ305" s="416">
        <v>0</v>
      </c>
    </row>
    <row r="306" spans="1:52" s="411" customFormat="1" x14ac:dyDescent="0.3">
      <c r="A306" s="415" t="str">
        <f t="shared" si="4"/>
        <v>SA-182 Gr.F11</v>
      </c>
      <c r="B306" s="415">
        <v>300</v>
      </c>
      <c r="C306" s="415" t="s">
        <v>2942</v>
      </c>
      <c r="D306" s="415" t="s">
        <v>2737</v>
      </c>
      <c r="E306" s="415" t="s">
        <v>2188</v>
      </c>
      <c r="F306" s="415" t="s">
        <v>2426</v>
      </c>
      <c r="G306" s="415" t="s">
        <v>2943</v>
      </c>
      <c r="H306" s="415">
        <v>1</v>
      </c>
      <c r="I306" s="415">
        <v>0</v>
      </c>
      <c r="J306" s="415">
        <v>4</v>
      </c>
      <c r="K306" s="415">
        <v>1</v>
      </c>
      <c r="L306" s="415">
        <v>415</v>
      </c>
      <c r="M306" s="415">
        <v>205</v>
      </c>
      <c r="N306" s="415">
        <v>649</v>
      </c>
      <c r="O306" s="415" t="s">
        <v>2675</v>
      </c>
      <c r="P306" s="415">
        <v>649</v>
      </c>
      <c r="Q306" s="415" t="s">
        <v>2675</v>
      </c>
      <c r="R306" s="415" t="s">
        <v>2699</v>
      </c>
      <c r="S306" s="415" t="s">
        <v>2925</v>
      </c>
      <c r="T306" s="416">
        <v>118</v>
      </c>
      <c r="U306" s="416">
        <v>118</v>
      </c>
      <c r="V306" s="416">
        <v>118</v>
      </c>
      <c r="W306" s="416">
        <v>118</v>
      </c>
      <c r="X306" s="416">
        <v>118</v>
      </c>
      <c r="Y306" s="416">
        <v>118</v>
      </c>
      <c r="Z306" s="416">
        <v>116</v>
      </c>
      <c r="AA306" s="416">
        <v>112</v>
      </c>
      <c r="AB306" s="416">
        <v>109</v>
      </c>
      <c r="AC306" s="416">
        <v>108</v>
      </c>
      <c r="AD306" s="416">
        <v>106</v>
      </c>
      <c r="AE306" s="416">
        <v>104</v>
      </c>
      <c r="AF306" s="416">
        <v>102</v>
      </c>
      <c r="AG306" s="416">
        <v>99.5</v>
      </c>
      <c r="AH306" s="416">
        <v>96.9</v>
      </c>
      <c r="AI306" s="416">
        <v>94.7</v>
      </c>
      <c r="AJ306" s="416">
        <v>76.7</v>
      </c>
      <c r="AK306" s="416">
        <v>51</v>
      </c>
      <c r="AL306" s="416">
        <v>36.700000000000003</v>
      </c>
      <c r="AM306" s="416">
        <v>25.1</v>
      </c>
      <c r="AN306" s="416">
        <v>17.600000000000001</v>
      </c>
      <c r="AO306" s="416">
        <v>12.4</v>
      </c>
      <c r="AP306" s="416">
        <v>8.08</v>
      </c>
      <c r="AQ306" s="416">
        <v>0</v>
      </c>
      <c r="AR306" s="416">
        <v>0</v>
      </c>
      <c r="AS306" s="416">
        <v>0</v>
      </c>
      <c r="AT306" s="416">
        <v>0</v>
      </c>
      <c r="AU306" s="416">
        <v>0</v>
      </c>
      <c r="AV306" s="416">
        <v>0</v>
      </c>
      <c r="AW306" s="416">
        <v>0</v>
      </c>
      <c r="AX306" s="416">
        <v>0</v>
      </c>
      <c r="AY306" s="416">
        <v>0</v>
      </c>
      <c r="AZ306" s="416">
        <v>0</v>
      </c>
    </row>
    <row r="307" spans="1:52" s="411" customFormat="1" x14ac:dyDescent="0.3">
      <c r="A307" s="415" t="str">
        <f t="shared" si="4"/>
        <v>SA-213 Gr.T11</v>
      </c>
      <c r="B307" s="415">
        <v>301</v>
      </c>
      <c r="C307" s="415" t="s">
        <v>2942</v>
      </c>
      <c r="D307" s="415" t="s">
        <v>2693</v>
      </c>
      <c r="E307" s="415" t="s">
        <v>2195</v>
      </c>
      <c r="F307" s="415" t="s">
        <v>2536</v>
      </c>
      <c r="G307" s="415" t="s">
        <v>2943</v>
      </c>
      <c r="H307" s="415">
        <v>0</v>
      </c>
      <c r="I307" s="415">
        <v>0</v>
      </c>
      <c r="J307" s="415">
        <v>4</v>
      </c>
      <c r="K307" s="415">
        <v>1</v>
      </c>
      <c r="L307" s="415">
        <v>415</v>
      </c>
      <c r="M307" s="415">
        <v>205</v>
      </c>
      <c r="N307" s="415">
        <v>649</v>
      </c>
      <c r="O307" s="415">
        <v>371</v>
      </c>
      <c r="P307" s="415">
        <v>649</v>
      </c>
      <c r="Q307" s="415" t="s">
        <v>2675</v>
      </c>
      <c r="R307" s="415" t="s">
        <v>2699</v>
      </c>
      <c r="S307" s="415" t="s">
        <v>2925</v>
      </c>
      <c r="T307" s="416">
        <v>118</v>
      </c>
      <c r="U307" s="416">
        <v>118</v>
      </c>
      <c r="V307" s="416">
        <v>118</v>
      </c>
      <c r="W307" s="416">
        <v>118</v>
      </c>
      <c r="X307" s="416">
        <v>118</v>
      </c>
      <c r="Y307" s="416">
        <v>118</v>
      </c>
      <c r="Z307" s="416">
        <v>116</v>
      </c>
      <c r="AA307" s="416">
        <v>112</v>
      </c>
      <c r="AB307" s="416">
        <v>109</v>
      </c>
      <c r="AC307" s="416">
        <v>108</v>
      </c>
      <c r="AD307" s="416">
        <v>106</v>
      </c>
      <c r="AE307" s="416">
        <v>104</v>
      </c>
      <c r="AF307" s="416">
        <v>102</v>
      </c>
      <c r="AG307" s="416">
        <v>99.5</v>
      </c>
      <c r="AH307" s="416">
        <v>96.9</v>
      </c>
      <c r="AI307" s="416">
        <v>94.7</v>
      </c>
      <c r="AJ307" s="416">
        <v>76.7</v>
      </c>
      <c r="AK307" s="416">
        <v>51</v>
      </c>
      <c r="AL307" s="416">
        <v>36.700000000000003</v>
      </c>
      <c r="AM307" s="416">
        <v>25.1</v>
      </c>
      <c r="AN307" s="416">
        <v>17.600000000000001</v>
      </c>
      <c r="AO307" s="416">
        <v>12.4</v>
      </c>
      <c r="AP307" s="416">
        <v>8.08</v>
      </c>
      <c r="AQ307" s="416">
        <v>0</v>
      </c>
      <c r="AR307" s="416">
        <v>0</v>
      </c>
      <c r="AS307" s="416">
        <v>0</v>
      </c>
      <c r="AT307" s="416">
        <v>0</v>
      </c>
      <c r="AU307" s="416">
        <v>0</v>
      </c>
      <c r="AV307" s="416">
        <v>0</v>
      </c>
      <c r="AW307" s="416">
        <v>0</v>
      </c>
      <c r="AX307" s="416">
        <v>0</v>
      </c>
      <c r="AY307" s="416">
        <v>0</v>
      </c>
      <c r="AZ307" s="416">
        <v>0</v>
      </c>
    </row>
    <row r="308" spans="1:52" s="411" customFormat="1" x14ac:dyDescent="0.3">
      <c r="A308" s="415" t="str">
        <f t="shared" si="4"/>
        <v>SA-234 Gr.WP11</v>
      </c>
      <c r="B308" s="415">
        <v>302</v>
      </c>
      <c r="C308" s="415" t="s">
        <v>2942</v>
      </c>
      <c r="D308" s="415" t="s">
        <v>2758</v>
      </c>
      <c r="E308" s="415" t="s">
        <v>2174</v>
      </c>
      <c r="F308" s="415" t="s">
        <v>2605</v>
      </c>
      <c r="G308" s="415">
        <v>0</v>
      </c>
      <c r="H308" s="415">
        <v>1</v>
      </c>
      <c r="I308" s="415">
        <v>0</v>
      </c>
      <c r="J308" s="415">
        <v>4</v>
      </c>
      <c r="K308" s="415">
        <v>1</v>
      </c>
      <c r="L308" s="415">
        <v>415</v>
      </c>
      <c r="M308" s="415">
        <v>205</v>
      </c>
      <c r="N308" s="415">
        <v>649</v>
      </c>
      <c r="O308" s="415">
        <v>371</v>
      </c>
      <c r="P308" s="415">
        <v>649</v>
      </c>
      <c r="Q308" s="415" t="s">
        <v>2675</v>
      </c>
      <c r="R308" s="415" t="s">
        <v>2699</v>
      </c>
      <c r="S308" s="415" t="s">
        <v>2929</v>
      </c>
      <c r="T308" s="416">
        <v>118</v>
      </c>
      <c r="U308" s="416">
        <v>118</v>
      </c>
      <c r="V308" s="416">
        <v>118</v>
      </c>
      <c r="W308" s="416">
        <v>118</v>
      </c>
      <c r="X308" s="416">
        <v>118</v>
      </c>
      <c r="Y308" s="416">
        <v>118</v>
      </c>
      <c r="Z308" s="416">
        <v>116</v>
      </c>
      <c r="AA308" s="416">
        <v>112</v>
      </c>
      <c r="AB308" s="416">
        <v>109</v>
      </c>
      <c r="AC308" s="416">
        <v>108</v>
      </c>
      <c r="AD308" s="416">
        <v>106</v>
      </c>
      <c r="AE308" s="416">
        <v>104</v>
      </c>
      <c r="AF308" s="416">
        <v>102</v>
      </c>
      <c r="AG308" s="416">
        <v>99.5</v>
      </c>
      <c r="AH308" s="416">
        <v>96.9</v>
      </c>
      <c r="AI308" s="416">
        <v>94.7</v>
      </c>
      <c r="AJ308" s="416">
        <v>76.7</v>
      </c>
      <c r="AK308" s="416">
        <v>51</v>
      </c>
      <c r="AL308" s="416">
        <v>36.700000000000003</v>
      </c>
      <c r="AM308" s="416">
        <v>25.1</v>
      </c>
      <c r="AN308" s="416">
        <v>17.600000000000001</v>
      </c>
      <c r="AO308" s="416">
        <v>12.4</v>
      </c>
      <c r="AP308" s="416">
        <v>8.08</v>
      </c>
      <c r="AQ308" s="416">
        <v>0</v>
      </c>
      <c r="AR308" s="416">
        <v>0</v>
      </c>
      <c r="AS308" s="416">
        <v>0</v>
      </c>
      <c r="AT308" s="416">
        <v>0</v>
      </c>
      <c r="AU308" s="416">
        <v>0</v>
      </c>
      <c r="AV308" s="416">
        <v>0</v>
      </c>
      <c r="AW308" s="416">
        <v>0</v>
      </c>
      <c r="AX308" s="416">
        <v>0</v>
      </c>
      <c r="AY308" s="416">
        <v>0</v>
      </c>
      <c r="AZ308" s="416">
        <v>0</v>
      </c>
    </row>
    <row r="309" spans="1:52" s="411" customFormat="1" x14ac:dyDescent="0.3">
      <c r="A309" s="415" t="str">
        <f t="shared" si="4"/>
        <v>SA-250 Gr.T11</v>
      </c>
      <c r="B309" s="415">
        <v>303</v>
      </c>
      <c r="C309" s="415" t="s">
        <v>2942</v>
      </c>
      <c r="D309" s="415" t="s">
        <v>2689</v>
      </c>
      <c r="E309" s="415" t="s">
        <v>2201</v>
      </c>
      <c r="F309" s="415" t="s">
        <v>2536</v>
      </c>
      <c r="G309" s="415" t="s">
        <v>2943</v>
      </c>
      <c r="H309" s="415">
        <v>0</v>
      </c>
      <c r="I309" s="415">
        <v>0</v>
      </c>
      <c r="J309" s="415">
        <v>4</v>
      </c>
      <c r="K309" s="415">
        <v>1</v>
      </c>
      <c r="L309" s="415">
        <v>415</v>
      </c>
      <c r="M309" s="415">
        <v>205</v>
      </c>
      <c r="N309" s="415">
        <v>649</v>
      </c>
      <c r="O309" s="415" t="s">
        <v>2675</v>
      </c>
      <c r="P309" s="415" t="s">
        <v>2675</v>
      </c>
      <c r="Q309" s="415" t="s">
        <v>2675</v>
      </c>
      <c r="R309" s="415" t="s">
        <v>2699</v>
      </c>
      <c r="S309" s="415" t="s">
        <v>2930</v>
      </c>
      <c r="T309" s="416">
        <v>100</v>
      </c>
      <c r="U309" s="416">
        <v>100</v>
      </c>
      <c r="V309" s="416">
        <v>100</v>
      </c>
      <c r="W309" s="416">
        <v>100</v>
      </c>
      <c r="X309" s="416">
        <v>100</v>
      </c>
      <c r="Y309" s="416">
        <v>100</v>
      </c>
      <c r="Z309" s="416">
        <v>98.8</v>
      </c>
      <c r="AA309" s="416">
        <v>95.8</v>
      </c>
      <c r="AB309" s="416">
        <v>92.5</v>
      </c>
      <c r="AC309" s="416">
        <v>91.3</v>
      </c>
      <c r="AD309" s="416">
        <v>89.8</v>
      </c>
      <c r="AE309" s="416">
        <v>88</v>
      </c>
      <c r="AF309" s="416">
        <v>86.8</v>
      </c>
      <c r="AG309" s="416">
        <v>84.3</v>
      </c>
      <c r="AH309" s="416">
        <v>82.3</v>
      </c>
      <c r="AI309" s="416">
        <v>80.7</v>
      </c>
      <c r="AJ309" s="416">
        <v>65.3</v>
      </c>
      <c r="AK309" s="416">
        <v>43.5</v>
      </c>
      <c r="AL309" s="416">
        <v>31.5</v>
      </c>
      <c r="AM309" s="416">
        <v>21.5</v>
      </c>
      <c r="AN309" s="416">
        <v>15</v>
      </c>
      <c r="AO309" s="416">
        <v>10.4</v>
      </c>
      <c r="AP309" s="416">
        <v>6.73</v>
      </c>
      <c r="AQ309" s="416">
        <v>0</v>
      </c>
      <c r="AR309" s="416">
        <v>0</v>
      </c>
      <c r="AS309" s="416">
        <v>0</v>
      </c>
      <c r="AT309" s="416">
        <v>0</v>
      </c>
      <c r="AU309" s="416">
        <v>0</v>
      </c>
      <c r="AV309" s="416">
        <v>0</v>
      </c>
      <c r="AW309" s="416">
        <v>0</v>
      </c>
      <c r="AX309" s="416">
        <v>0</v>
      </c>
      <c r="AY309" s="416">
        <v>0</v>
      </c>
      <c r="AZ309" s="416">
        <v>0</v>
      </c>
    </row>
    <row r="310" spans="1:52" s="411" customFormat="1" x14ac:dyDescent="0.3">
      <c r="A310" s="415" t="str">
        <f t="shared" si="4"/>
        <v>SA-250 Gr.T11S1</v>
      </c>
      <c r="B310" s="415">
        <v>304</v>
      </c>
      <c r="C310" s="415" t="s">
        <v>2942</v>
      </c>
      <c r="D310" s="415" t="s">
        <v>2689</v>
      </c>
      <c r="E310" s="415" t="s">
        <v>2201</v>
      </c>
      <c r="F310" s="415" t="s">
        <v>2537</v>
      </c>
      <c r="G310" s="415" t="s">
        <v>2943</v>
      </c>
      <c r="H310" s="415">
        <v>0</v>
      </c>
      <c r="I310" s="415">
        <v>0</v>
      </c>
      <c r="J310" s="415">
        <v>4</v>
      </c>
      <c r="K310" s="415">
        <v>1</v>
      </c>
      <c r="L310" s="415">
        <v>415</v>
      </c>
      <c r="M310" s="415">
        <v>205</v>
      </c>
      <c r="N310" s="415">
        <v>649</v>
      </c>
      <c r="O310" s="415" t="s">
        <v>2675</v>
      </c>
      <c r="P310" s="415" t="s">
        <v>2675</v>
      </c>
      <c r="Q310" s="415" t="s">
        <v>2675</v>
      </c>
      <c r="R310" s="415" t="s">
        <v>2699</v>
      </c>
      <c r="S310" s="415" t="s">
        <v>2931</v>
      </c>
      <c r="T310" s="416">
        <v>118</v>
      </c>
      <c r="U310" s="416">
        <v>118</v>
      </c>
      <c r="V310" s="416">
        <v>118</v>
      </c>
      <c r="W310" s="416">
        <v>118</v>
      </c>
      <c r="X310" s="416">
        <v>118</v>
      </c>
      <c r="Y310" s="416">
        <v>118</v>
      </c>
      <c r="Z310" s="416">
        <v>116</v>
      </c>
      <c r="AA310" s="416">
        <v>112</v>
      </c>
      <c r="AB310" s="416">
        <v>109</v>
      </c>
      <c r="AC310" s="416">
        <v>108</v>
      </c>
      <c r="AD310" s="416">
        <v>106</v>
      </c>
      <c r="AE310" s="416">
        <v>104</v>
      </c>
      <c r="AF310" s="416">
        <v>102</v>
      </c>
      <c r="AG310" s="416">
        <v>99.5</v>
      </c>
      <c r="AH310" s="416">
        <v>96.9</v>
      </c>
      <c r="AI310" s="416">
        <v>94.7</v>
      </c>
      <c r="AJ310" s="416">
        <v>76.7</v>
      </c>
      <c r="AK310" s="416">
        <v>51</v>
      </c>
      <c r="AL310" s="416">
        <v>36.700000000000003</v>
      </c>
      <c r="AM310" s="416">
        <v>25.1</v>
      </c>
      <c r="AN310" s="416">
        <v>17.600000000000001</v>
      </c>
      <c r="AO310" s="416">
        <v>12.4</v>
      </c>
      <c r="AP310" s="416">
        <v>8.08</v>
      </c>
      <c r="AQ310" s="416">
        <v>0</v>
      </c>
      <c r="AR310" s="416">
        <v>0</v>
      </c>
      <c r="AS310" s="416">
        <v>0</v>
      </c>
      <c r="AT310" s="416">
        <v>0</v>
      </c>
      <c r="AU310" s="416">
        <v>0</v>
      </c>
      <c r="AV310" s="416">
        <v>0</v>
      </c>
      <c r="AW310" s="416">
        <v>0</v>
      </c>
      <c r="AX310" s="416">
        <v>0</v>
      </c>
      <c r="AY310" s="416">
        <v>0</v>
      </c>
      <c r="AZ310" s="416">
        <v>0</v>
      </c>
    </row>
    <row r="311" spans="1:52" s="411" customFormat="1" x14ac:dyDescent="0.3">
      <c r="A311" s="415" t="str">
        <f t="shared" si="4"/>
        <v>SA-335 Gr.P11</v>
      </c>
      <c r="B311" s="415">
        <v>305</v>
      </c>
      <c r="C311" s="415" t="s">
        <v>2942</v>
      </c>
      <c r="D311" s="415" t="s">
        <v>2703</v>
      </c>
      <c r="E311" s="415" t="s">
        <v>2210</v>
      </c>
      <c r="F311" s="415" t="s">
        <v>2510</v>
      </c>
      <c r="G311" s="415" t="s">
        <v>2943</v>
      </c>
      <c r="H311" s="415">
        <v>0</v>
      </c>
      <c r="I311" s="415">
        <v>0</v>
      </c>
      <c r="J311" s="415">
        <v>4</v>
      </c>
      <c r="K311" s="415">
        <v>1</v>
      </c>
      <c r="L311" s="415">
        <v>415</v>
      </c>
      <c r="M311" s="415">
        <v>205</v>
      </c>
      <c r="N311" s="415">
        <v>649</v>
      </c>
      <c r="O311" s="415">
        <v>371</v>
      </c>
      <c r="P311" s="415">
        <v>649</v>
      </c>
      <c r="Q311" s="415" t="s">
        <v>2675</v>
      </c>
      <c r="R311" s="415" t="s">
        <v>2699</v>
      </c>
      <c r="S311" s="415" t="s">
        <v>2925</v>
      </c>
      <c r="T311" s="416">
        <v>118</v>
      </c>
      <c r="U311" s="416">
        <v>118</v>
      </c>
      <c r="V311" s="416">
        <v>118</v>
      </c>
      <c r="W311" s="416">
        <v>118</v>
      </c>
      <c r="X311" s="416">
        <v>118</v>
      </c>
      <c r="Y311" s="416">
        <v>118</v>
      </c>
      <c r="Z311" s="416">
        <v>116</v>
      </c>
      <c r="AA311" s="416">
        <v>112</v>
      </c>
      <c r="AB311" s="416">
        <v>109</v>
      </c>
      <c r="AC311" s="416">
        <v>108</v>
      </c>
      <c r="AD311" s="416">
        <v>106</v>
      </c>
      <c r="AE311" s="416">
        <v>104</v>
      </c>
      <c r="AF311" s="416">
        <v>102</v>
      </c>
      <c r="AG311" s="416">
        <v>99.5</v>
      </c>
      <c r="AH311" s="416">
        <v>96.9</v>
      </c>
      <c r="AI311" s="416">
        <v>94.7</v>
      </c>
      <c r="AJ311" s="416">
        <v>76.7</v>
      </c>
      <c r="AK311" s="416">
        <v>51</v>
      </c>
      <c r="AL311" s="416">
        <v>36.700000000000003</v>
      </c>
      <c r="AM311" s="416">
        <v>25.1</v>
      </c>
      <c r="AN311" s="416">
        <v>17.600000000000001</v>
      </c>
      <c r="AO311" s="416">
        <v>12.4</v>
      </c>
      <c r="AP311" s="416">
        <v>8.08</v>
      </c>
      <c r="AQ311" s="416">
        <v>0</v>
      </c>
      <c r="AR311" s="416">
        <v>0</v>
      </c>
      <c r="AS311" s="416">
        <v>0</v>
      </c>
      <c r="AT311" s="416">
        <v>0</v>
      </c>
      <c r="AU311" s="416">
        <v>0</v>
      </c>
      <c r="AV311" s="416">
        <v>0</v>
      </c>
      <c r="AW311" s="416">
        <v>0</v>
      </c>
      <c r="AX311" s="416">
        <v>0</v>
      </c>
      <c r="AY311" s="416">
        <v>0</v>
      </c>
      <c r="AZ311" s="416">
        <v>0</v>
      </c>
    </row>
    <row r="312" spans="1:52" s="411" customFormat="1" x14ac:dyDescent="0.3">
      <c r="A312" s="415" t="str">
        <f t="shared" si="4"/>
        <v>SA-336 Gr.F11</v>
      </c>
      <c r="B312" s="415">
        <v>306</v>
      </c>
      <c r="C312" s="415" t="s">
        <v>2942</v>
      </c>
      <c r="D312" s="415" t="s">
        <v>2737</v>
      </c>
      <c r="E312" s="415" t="s">
        <v>2211</v>
      </c>
      <c r="F312" s="415" t="s">
        <v>2426</v>
      </c>
      <c r="G312" s="415" t="s">
        <v>2943</v>
      </c>
      <c r="H312" s="415">
        <v>1</v>
      </c>
      <c r="I312" s="415">
        <v>0</v>
      </c>
      <c r="J312" s="415">
        <v>4</v>
      </c>
      <c r="K312" s="415">
        <v>1</v>
      </c>
      <c r="L312" s="415">
        <v>415</v>
      </c>
      <c r="M312" s="415">
        <v>205</v>
      </c>
      <c r="N312" s="415">
        <v>649</v>
      </c>
      <c r="O312" s="415" t="s">
        <v>2675</v>
      </c>
      <c r="P312" s="415" t="s">
        <v>2675</v>
      </c>
      <c r="Q312" s="415" t="s">
        <v>2675</v>
      </c>
      <c r="R312" s="415" t="s">
        <v>2699</v>
      </c>
      <c r="S312" s="415" t="s">
        <v>2925</v>
      </c>
      <c r="T312" s="416">
        <v>118</v>
      </c>
      <c r="U312" s="416">
        <v>118</v>
      </c>
      <c r="V312" s="416">
        <v>118</v>
      </c>
      <c r="W312" s="416">
        <v>118</v>
      </c>
      <c r="X312" s="416">
        <v>118</v>
      </c>
      <c r="Y312" s="416">
        <v>118</v>
      </c>
      <c r="Z312" s="416">
        <v>116</v>
      </c>
      <c r="AA312" s="416">
        <v>112</v>
      </c>
      <c r="AB312" s="416">
        <v>109</v>
      </c>
      <c r="AC312" s="416">
        <v>108</v>
      </c>
      <c r="AD312" s="416">
        <v>106</v>
      </c>
      <c r="AE312" s="416">
        <v>104</v>
      </c>
      <c r="AF312" s="416">
        <v>102</v>
      </c>
      <c r="AG312" s="416">
        <v>99.5</v>
      </c>
      <c r="AH312" s="416">
        <v>96.9</v>
      </c>
      <c r="AI312" s="416">
        <v>94.7</v>
      </c>
      <c r="AJ312" s="416">
        <v>76.7</v>
      </c>
      <c r="AK312" s="416">
        <v>51</v>
      </c>
      <c r="AL312" s="416">
        <v>36.700000000000003</v>
      </c>
      <c r="AM312" s="416">
        <v>25.1</v>
      </c>
      <c r="AN312" s="416">
        <v>17.600000000000001</v>
      </c>
      <c r="AO312" s="416">
        <v>12.4</v>
      </c>
      <c r="AP312" s="416">
        <v>8.08</v>
      </c>
      <c r="AQ312" s="416">
        <v>0</v>
      </c>
      <c r="AR312" s="416">
        <v>0</v>
      </c>
      <c r="AS312" s="416">
        <v>0</v>
      </c>
      <c r="AT312" s="416">
        <v>0</v>
      </c>
      <c r="AU312" s="416">
        <v>0</v>
      </c>
      <c r="AV312" s="416">
        <v>0</v>
      </c>
      <c r="AW312" s="416">
        <v>0</v>
      </c>
      <c r="AX312" s="416">
        <v>0</v>
      </c>
      <c r="AY312" s="416">
        <v>0</v>
      </c>
      <c r="AZ312" s="416">
        <v>0</v>
      </c>
    </row>
    <row r="313" spans="1:52" s="411" customFormat="1" x14ac:dyDescent="0.3">
      <c r="A313" s="415" t="str">
        <f t="shared" si="4"/>
        <v>SA-369 Gr.FP11</v>
      </c>
      <c r="B313" s="415">
        <v>307</v>
      </c>
      <c r="C313" s="415" t="s">
        <v>2942</v>
      </c>
      <c r="D313" s="415" t="s">
        <v>2707</v>
      </c>
      <c r="E313" s="415" t="s">
        <v>2221</v>
      </c>
      <c r="F313" s="415" t="s">
        <v>2466</v>
      </c>
      <c r="G313" s="415" t="s">
        <v>2943</v>
      </c>
      <c r="H313" s="415">
        <v>0</v>
      </c>
      <c r="I313" s="415">
        <v>0</v>
      </c>
      <c r="J313" s="415">
        <v>4</v>
      </c>
      <c r="K313" s="415">
        <v>1</v>
      </c>
      <c r="L313" s="415">
        <v>415</v>
      </c>
      <c r="M313" s="415">
        <v>205</v>
      </c>
      <c r="N313" s="415">
        <v>649</v>
      </c>
      <c r="O313" s="415">
        <v>371</v>
      </c>
      <c r="P313" s="415">
        <v>649</v>
      </c>
      <c r="Q313" s="415" t="s">
        <v>2675</v>
      </c>
      <c r="R313" s="415" t="s">
        <v>2699</v>
      </c>
      <c r="S313" s="415" t="s">
        <v>2925</v>
      </c>
      <c r="T313" s="416">
        <v>118</v>
      </c>
      <c r="U313" s="416">
        <v>118</v>
      </c>
      <c r="V313" s="416">
        <v>118</v>
      </c>
      <c r="W313" s="416">
        <v>118</v>
      </c>
      <c r="X313" s="416">
        <v>118</v>
      </c>
      <c r="Y313" s="416">
        <v>118</v>
      </c>
      <c r="Z313" s="416">
        <v>116</v>
      </c>
      <c r="AA313" s="416">
        <v>112</v>
      </c>
      <c r="AB313" s="416">
        <v>109</v>
      </c>
      <c r="AC313" s="416">
        <v>108</v>
      </c>
      <c r="AD313" s="416">
        <v>106</v>
      </c>
      <c r="AE313" s="416">
        <v>104</v>
      </c>
      <c r="AF313" s="416">
        <v>102</v>
      </c>
      <c r="AG313" s="416">
        <v>99.5</v>
      </c>
      <c r="AH313" s="416">
        <v>96.9</v>
      </c>
      <c r="AI313" s="416">
        <v>94.7</v>
      </c>
      <c r="AJ313" s="416">
        <v>76.7</v>
      </c>
      <c r="AK313" s="416">
        <v>51</v>
      </c>
      <c r="AL313" s="416">
        <v>36.700000000000003</v>
      </c>
      <c r="AM313" s="416">
        <v>25.1</v>
      </c>
      <c r="AN313" s="416">
        <v>17.600000000000001</v>
      </c>
      <c r="AO313" s="416">
        <v>12.4</v>
      </c>
      <c r="AP313" s="416">
        <v>8.08</v>
      </c>
      <c r="AQ313" s="416">
        <v>0</v>
      </c>
      <c r="AR313" s="416">
        <v>0</v>
      </c>
      <c r="AS313" s="416">
        <v>0</v>
      </c>
      <c r="AT313" s="416">
        <v>0</v>
      </c>
      <c r="AU313" s="416">
        <v>0</v>
      </c>
      <c r="AV313" s="416">
        <v>0</v>
      </c>
      <c r="AW313" s="416">
        <v>0</v>
      </c>
      <c r="AX313" s="416">
        <v>0</v>
      </c>
      <c r="AY313" s="416">
        <v>0</v>
      </c>
      <c r="AZ313" s="416">
        <v>0</v>
      </c>
    </row>
    <row r="314" spans="1:52" s="411" customFormat="1" x14ac:dyDescent="0.3">
      <c r="A314" s="415" t="str">
        <f t="shared" si="4"/>
        <v>SA-387 Gr.11</v>
      </c>
      <c r="B314" s="415">
        <v>308</v>
      </c>
      <c r="C314" s="415" t="s">
        <v>2942</v>
      </c>
      <c r="D314" s="415" t="s">
        <v>2684</v>
      </c>
      <c r="E314" s="415" t="s">
        <v>2227</v>
      </c>
      <c r="F314" s="415">
        <v>11</v>
      </c>
      <c r="G314" s="415" t="s">
        <v>2944</v>
      </c>
      <c r="H314" s="415">
        <v>1</v>
      </c>
      <c r="I314" s="415">
        <v>0</v>
      </c>
      <c r="J314" s="415">
        <v>4</v>
      </c>
      <c r="K314" s="415">
        <v>1</v>
      </c>
      <c r="L314" s="415">
        <v>415</v>
      </c>
      <c r="M314" s="415">
        <v>240</v>
      </c>
      <c r="N314" s="415">
        <v>649</v>
      </c>
      <c r="O314" s="415">
        <v>371</v>
      </c>
      <c r="P314" s="415">
        <v>649</v>
      </c>
      <c r="Q314" s="415" t="s">
        <v>2675</v>
      </c>
      <c r="R314" s="415" t="s">
        <v>2699</v>
      </c>
      <c r="S314" s="415" t="s">
        <v>2933</v>
      </c>
      <c r="T314" s="416">
        <v>118</v>
      </c>
      <c r="U314" s="416">
        <v>118</v>
      </c>
      <c r="V314" s="416">
        <v>118</v>
      </c>
      <c r="W314" s="416">
        <v>118</v>
      </c>
      <c r="X314" s="416">
        <v>118</v>
      </c>
      <c r="Y314" s="416">
        <v>118</v>
      </c>
      <c r="Z314" s="416">
        <v>118</v>
      </c>
      <c r="AA314" s="416">
        <v>118</v>
      </c>
      <c r="AB314" s="416">
        <v>118</v>
      </c>
      <c r="AC314" s="416">
        <v>118</v>
      </c>
      <c r="AD314" s="416">
        <v>118</v>
      </c>
      <c r="AE314" s="416">
        <v>118</v>
      </c>
      <c r="AF314" s="416">
        <v>118</v>
      </c>
      <c r="AG314" s="416">
        <v>116</v>
      </c>
      <c r="AH314" s="416">
        <v>114</v>
      </c>
      <c r="AI314" s="416">
        <v>101</v>
      </c>
      <c r="AJ314" s="416">
        <v>74.7</v>
      </c>
      <c r="AK314" s="416">
        <v>51.7</v>
      </c>
      <c r="AL314" s="416">
        <v>36.5</v>
      </c>
      <c r="AM314" s="416">
        <v>25.2</v>
      </c>
      <c r="AN314" s="416">
        <v>17.600000000000001</v>
      </c>
      <c r="AO314" s="416">
        <v>12.4</v>
      </c>
      <c r="AP314" s="416">
        <v>8.08</v>
      </c>
      <c r="AQ314" s="416">
        <v>0</v>
      </c>
      <c r="AR314" s="416">
        <v>0</v>
      </c>
      <c r="AS314" s="416">
        <v>0</v>
      </c>
      <c r="AT314" s="416">
        <v>0</v>
      </c>
      <c r="AU314" s="416">
        <v>0</v>
      </c>
      <c r="AV314" s="416">
        <v>0</v>
      </c>
      <c r="AW314" s="416">
        <v>0</v>
      </c>
      <c r="AX314" s="416">
        <v>0</v>
      </c>
      <c r="AY314" s="416">
        <v>0</v>
      </c>
      <c r="AZ314" s="416">
        <v>0</v>
      </c>
    </row>
    <row r="315" spans="1:52" s="411" customFormat="1" x14ac:dyDescent="0.3">
      <c r="A315" s="415" t="str">
        <f t="shared" si="4"/>
        <v>SA-691 Gr.11⁄4CR</v>
      </c>
      <c r="B315" s="415">
        <v>309</v>
      </c>
      <c r="C315" s="415" t="s">
        <v>2942</v>
      </c>
      <c r="D315" s="415" t="s">
        <v>2680</v>
      </c>
      <c r="E315" s="415" t="s">
        <v>2303</v>
      </c>
      <c r="F315" s="415" t="s">
        <v>2945</v>
      </c>
      <c r="G315" s="415" t="s">
        <v>2944</v>
      </c>
      <c r="H315" s="415">
        <v>0</v>
      </c>
      <c r="I315" s="415">
        <v>0</v>
      </c>
      <c r="J315" s="415">
        <v>4</v>
      </c>
      <c r="K315" s="415">
        <v>1</v>
      </c>
      <c r="L315" s="415">
        <v>415</v>
      </c>
      <c r="M315" s="415">
        <v>240</v>
      </c>
      <c r="N315" s="415" t="s">
        <v>2675</v>
      </c>
      <c r="O315" s="415" t="s">
        <v>2681</v>
      </c>
      <c r="P315" s="415" t="s">
        <v>2675</v>
      </c>
      <c r="Q315" s="415" t="s">
        <v>2675</v>
      </c>
      <c r="R315" s="415" t="s">
        <v>2699</v>
      </c>
      <c r="S315" s="415" t="s">
        <v>2883</v>
      </c>
      <c r="T315" s="416">
        <v>118</v>
      </c>
      <c r="U315" s="416">
        <v>118</v>
      </c>
      <c r="V315" s="416">
        <v>118</v>
      </c>
      <c r="W315" s="416">
        <v>118</v>
      </c>
      <c r="X315" s="416">
        <v>118</v>
      </c>
      <c r="Y315" s="416">
        <v>118</v>
      </c>
      <c r="Z315" s="416">
        <v>0</v>
      </c>
      <c r="AA315" s="416">
        <v>0</v>
      </c>
      <c r="AB315" s="416">
        <v>0</v>
      </c>
      <c r="AC315" s="416">
        <v>0</v>
      </c>
      <c r="AD315" s="416">
        <v>0</v>
      </c>
      <c r="AE315" s="416">
        <v>0</v>
      </c>
      <c r="AF315" s="416">
        <v>0</v>
      </c>
      <c r="AG315" s="416">
        <v>0</v>
      </c>
      <c r="AH315" s="416">
        <v>0</v>
      </c>
      <c r="AI315" s="416">
        <v>0</v>
      </c>
      <c r="AJ315" s="416">
        <v>0</v>
      </c>
      <c r="AK315" s="416">
        <v>0</v>
      </c>
      <c r="AL315" s="416">
        <v>0</v>
      </c>
      <c r="AM315" s="416">
        <v>0</v>
      </c>
      <c r="AN315" s="416">
        <v>0</v>
      </c>
      <c r="AO315" s="416">
        <v>0</v>
      </c>
      <c r="AP315" s="416">
        <v>0</v>
      </c>
      <c r="AQ315" s="416">
        <v>0</v>
      </c>
      <c r="AR315" s="416">
        <v>0</v>
      </c>
      <c r="AS315" s="416">
        <v>0</v>
      </c>
      <c r="AT315" s="416">
        <v>0</v>
      </c>
      <c r="AU315" s="416">
        <v>0</v>
      </c>
      <c r="AV315" s="416">
        <v>0</v>
      </c>
      <c r="AW315" s="416">
        <v>0</v>
      </c>
      <c r="AX315" s="416">
        <v>0</v>
      </c>
      <c r="AY315" s="416">
        <v>0</v>
      </c>
      <c r="AZ315" s="416">
        <v>0</v>
      </c>
    </row>
    <row r="316" spans="1:52" s="411" customFormat="1" x14ac:dyDescent="0.3">
      <c r="A316" s="415" t="str">
        <f t="shared" si="4"/>
        <v>SA-691 Gr.11⁄4CR</v>
      </c>
      <c r="B316" s="415">
        <v>310</v>
      </c>
      <c r="C316" s="415" t="s">
        <v>2942</v>
      </c>
      <c r="D316" s="415" t="s">
        <v>2680</v>
      </c>
      <c r="E316" s="415" t="s">
        <v>2303</v>
      </c>
      <c r="F316" s="415" t="s">
        <v>2945</v>
      </c>
      <c r="G316" s="415" t="s">
        <v>2944</v>
      </c>
      <c r="H316" s="415">
        <v>0</v>
      </c>
      <c r="I316" s="415">
        <v>0</v>
      </c>
      <c r="J316" s="415">
        <v>4</v>
      </c>
      <c r="K316" s="415">
        <v>1</v>
      </c>
      <c r="L316" s="415">
        <v>415</v>
      </c>
      <c r="M316" s="415">
        <v>240</v>
      </c>
      <c r="N316" s="415" t="s">
        <v>2675</v>
      </c>
      <c r="O316" s="415">
        <v>371</v>
      </c>
      <c r="P316" s="415" t="s">
        <v>2675</v>
      </c>
      <c r="Q316" s="415" t="s">
        <v>2675</v>
      </c>
      <c r="R316" s="415" t="s">
        <v>2699</v>
      </c>
      <c r="S316" s="415" t="s">
        <v>2882</v>
      </c>
      <c r="T316" s="416">
        <v>118</v>
      </c>
      <c r="U316" s="416">
        <v>118</v>
      </c>
      <c r="V316" s="416">
        <v>118</v>
      </c>
      <c r="W316" s="416">
        <v>118</v>
      </c>
      <c r="X316" s="416">
        <v>118</v>
      </c>
      <c r="Y316" s="416">
        <v>118</v>
      </c>
      <c r="Z316" s="416">
        <v>118</v>
      </c>
      <c r="AA316" s="416">
        <v>118</v>
      </c>
      <c r="AB316" s="416">
        <v>118</v>
      </c>
      <c r="AC316" s="416">
        <v>118</v>
      </c>
      <c r="AD316" s="416">
        <v>118</v>
      </c>
      <c r="AE316" s="416">
        <v>118</v>
      </c>
      <c r="AF316" s="416">
        <v>0</v>
      </c>
      <c r="AG316" s="416">
        <v>0</v>
      </c>
      <c r="AH316" s="416">
        <v>0</v>
      </c>
      <c r="AI316" s="416">
        <v>0</v>
      </c>
      <c r="AJ316" s="416">
        <v>0</v>
      </c>
      <c r="AK316" s="416">
        <v>0</v>
      </c>
      <c r="AL316" s="416">
        <v>0</v>
      </c>
      <c r="AM316" s="416">
        <v>0</v>
      </c>
      <c r="AN316" s="416">
        <v>0</v>
      </c>
      <c r="AO316" s="416">
        <v>0</v>
      </c>
      <c r="AP316" s="416">
        <v>0</v>
      </c>
      <c r="AQ316" s="416">
        <v>0</v>
      </c>
      <c r="AR316" s="416">
        <v>0</v>
      </c>
      <c r="AS316" s="416">
        <v>0</v>
      </c>
      <c r="AT316" s="416">
        <v>0</v>
      </c>
      <c r="AU316" s="416">
        <v>0</v>
      </c>
      <c r="AV316" s="416">
        <v>0</v>
      </c>
      <c r="AW316" s="416">
        <v>0</v>
      </c>
      <c r="AX316" s="416">
        <v>0</v>
      </c>
      <c r="AY316" s="416">
        <v>0</v>
      </c>
      <c r="AZ316" s="416">
        <v>0</v>
      </c>
    </row>
    <row r="317" spans="1:52" s="411" customFormat="1" x14ac:dyDescent="0.3">
      <c r="A317" s="415" t="str">
        <f t="shared" si="4"/>
        <v>SA-182 Gr.F11</v>
      </c>
      <c r="B317" s="415">
        <v>311</v>
      </c>
      <c r="C317" s="415" t="s">
        <v>2942</v>
      </c>
      <c r="D317" s="415" t="s">
        <v>2737</v>
      </c>
      <c r="E317" s="415" t="s">
        <v>2188</v>
      </c>
      <c r="F317" s="415" t="s">
        <v>2426</v>
      </c>
      <c r="G317" s="415" t="s">
        <v>2946</v>
      </c>
      <c r="H317" s="415">
        <v>2</v>
      </c>
      <c r="I317" s="415">
        <v>0</v>
      </c>
      <c r="J317" s="415">
        <v>4</v>
      </c>
      <c r="K317" s="415">
        <v>1</v>
      </c>
      <c r="L317" s="415">
        <v>485</v>
      </c>
      <c r="M317" s="415">
        <v>275</v>
      </c>
      <c r="N317" s="415">
        <v>649</v>
      </c>
      <c r="O317" s="415">
        <v>371</v>
      </c>
      <c r="P317" s="415">
        <v>649</v>
      </c>
      <c r="Q317" s="415" t="s">
        <v>2675</v>
      </c>
      <c r="R317" s="415" t="s">
        <v>2699</v>
      </c>
      <c r="S317" s="415" t="s">
        <v>2933</v>
      </c>
      <c r="T317" s="416">
        <v>138</v>
      </c>
      <c r="U317" s="416">
        <v>138</v>
      </c>
      <c r="V317" s="416">
        <v>138</v>
      </c>
      <c r="W317" s="416">
        <v>138</v>
      </c>
      <c r="X317" s="416">
        <v>138</v>
      </c>
      <c r="Y317" s="416">
        <v>138</v>
      </c>
      <c r="Z317" s="416">
        <v>138</v>
      </c>
      <c r="AA317" s="416">
        <v>138</v>
      </c>
      <c r="AB317" s="416">
        <v>138</v>
      </c>
      <c r="AC317" s="416">
        <v>138</v>
      </c>
      <c r="AD317" s="416">
        <v>138</v>
      </c>
      <c r="AE317" s="416">
        <v>138</v>
      </c>
      <c r="AF317" s="416">
        <v>136</v>
      </c>
      <c r="AG317" s="416">
        <v>133</v>
      </c>
      <c r="AH317" s="416">
        <v>130</v>
      </c>
      <c r="AI317" s="416">
        <v>105</v>
      </c>
      <c r="AJ317" s="416">
        <v>73.3</v>
      </c>
      <c r="AK317" s="416">
        <v>52.1</v>
      </c>
      <c r="AL317" s="416">
        <v>36.4</v>
      </c>
      <c r="AM317" s="416">
        <v>25.2</v>
      </c>
      <c r="AN317" s="416">
        <v>17.600000000000001</v>
      </c>
      <c r="AO317" s="416">
        <v>12.4</v>
      </c>
      <c r="AP317" s="416">
        <v>8.08</v>
      </c>
      <c r="AQ317" s="416">
        <v>0</v>
      </c>
      <c r="AR317" s="416">
        <v>0</v>
      </c>
      <c r="AS317" s="416">
        <v>0</v>
      </c>
      <c r="AT317" s="416">
        <v>0</v>
      </c>
      <c r="AU317" s="416">
        <v>0</v>
      </c>
      <c r="AV317" s="416">
        <v>0</v>
      </c>
      <c r="AW317" s="416">
        <v>0</v>
      </c>
      <c r="AX317" s="416">
        <v>0</v>
      </c>
      <c r="AY317" s="416">
        <v>0</v>
      </c>
      <c r="AZ317" s="416">
        <v>0</v>
      </c>
    </row>
    <row r="318" spans="1:52" s="411" customFormat="1" x14ac:dyDescent="0.3">
      <c r="A318" s="415" t="str">
        <f t="shared" si="4"/>
        <v>SA-336 Gr.F11</v>
      </c>
      <c r="B318" s="415">
        <v>312</v>
      </c>
      <c r="C318" s="415" t="s">
        <v>2942</v>
      </c>
      <c r="D318" s="415" t="s">
        <v>2737</v>
      </c>
      <c r="E318" s="415" t="s">
        <v>2211</v>
      </c>
      <c r="F318" s="415" t="s">
        <v>2426</v>
      </c>
      <c r="G318" s="415" t="s">
        <v>2946</v>
      </c>
      <c r="H318" s="415">
        <v>2</v>
      </c>
      <c r="I318" s="415">
        <v>0</v>
      </c>
      <c r="J318" s="415">
        <v>4</v>
      </c>
      <c r="K318" s="415">
        <v>1</v>
      </c>
      <c r="L318" s="415">
        <v>485</v>
      </c>
      <c r="M318" s="415">
        <v>275</v>
      </c>
      <c r="N318" s="415">
        <v>649</v>
      </c>
      <c r="O318" s="415" t="s">
        <v>2675</v>
      </c>
      <c r="P318" s="415">
        <v>649</v>
      </c>
      <c r="Q318" s="415" t="s">
        <v>2675</v>
      </c>
      <c r="R318" s="415" t="s">
        <v>2699</v>
      </c>
      <c r="S318" s="415" t="s">
        <v>2933</v>
      </c>
      <c r="T318" s="416">
        <v>138</v>
      </c>
      <c r="U318" s="416">
        <v>138</v>
      </c>
      <c r="V318" s="416">
        <v>138</v>
      </c>
      <c r="W318" s="416">
        <v>138</v>
      </c>
      <c r="X318" s="416">
        <v>138</v>
      </c>
      <c r="Y318" s="416">
        <v>138</v>
      </c>
      <c r="Z318" s="416">
        <v>138</v>
      </c>
      <c r="AA318" s="416">
        <v>138</v>
      </c>
      <c r="AB318" s="416">
        <v>138</v>
      </c>
      <c r="AC318" s="416">
        <v>138</v>
      </c>
      <c r="AD318" s="416">
        <v>138</v>
      </c>
      <c r="AE318" s="416">
        <v>138</v>
      </c>
      <c r="AF318" s="416">
        <v>136</v>
      </c>
      <c r="AG318" s="416">
        <v>133</v>
      </c>
      <c r="AH318" s="416">
        <v>130</v>
      </c>
      <c r="AI318" s="416">
        <v>105</v>
      </c>
      <c r="AJ318" s="416">
        <v>73.3</v>
      </c>
      <c r="AK318" s="416">
        <v>52.1</v>
      </c>
      <c r="AL318" s="416">
        <v>36.4</v>
      </c>
      <c r="AM318" s="416">
        <v>25.2</v>
      </c>
      <c r="AN318" s="416">
        <v>17.600000000000001</v>
      </c>
      <c r="AO318" s="416">
        <v>12.4</v>
      </c>
      <c r="AP318" s="416">
        <v>8.08</v>
      </c>
      <c r="AQ318" s="416">
        <v>0</v>
      </c>
      <c r="AR318" s="416">
        <v>0</v>
      </c>
      <c r="AS318" s="416">
        <v>0</v>
      </c>
      <c r="AT318" s="416">
        <v>0</v>
      </c>
      <c r="AU318" s="416">
        <v>0</v>
      </c>
      <c r="AV318" s="416">
        <v>0</v>
      </c>
      <c r="AW318" s="416">
        <v>0</v>
      </c>
      <c r="AX318" s="416">
        <v>0</v>
      </c>
      <c r="AY318" s="416">
        <v>0</v>
      </c>
      <c r="AZ318" s="416">
        <v>0</v>
      </c>
    </row>
    <row r="319" spans="1:52" s="411" customFormat="1" x14ac:dyDescent="0.3">
      <c r="A319" s="415" t="str">
        <f t="shared" si="4"/>
        <v>SA-336 Gr.F11</v>
      </c>
      <c r="B319" s="415">
        <v>313</v>
      </c>
      <c r="C319" s="415" t="s">
        <v>2942</v>
      </c>
      <c r="D319" s="415" t="s">
        <v>2737</v>
      </c>
      <c r="E319" s="415" t="s">
        <v>2211</v>
      </c>
      <c r="F319" s="415" t="s">
        <v>2426</v>
      </c>
      <c r="G319" s="415" t="s">
        <v>2946</v>
      </c>
      <c r="H319" s="415">
        <v>3</v>
      </c>
      <c r="I319" s="415">
        <v>0</v>
      </c>
      <c r="J319" s="415">
        <v>4</v>
      </c>
      <c r="K319" s="415">
        <v>1</v>
      </c>
      <c r="L319" s="415">
        <v>515</v>
      </c>
      <c r="M319" s="415">
        <v>310</v>
      </c>
      <c r="N319" s="415" t="s">
        <v>2675</v>
      </c>
      <c r="O319" s="415" t="s">
        <v>2675</v>
      </c>
      <c r="P319" s="415">
        <v>649</v>
      </c>
      <c r="Q319" s="415" t="s">
        <v>2675</v>
      </c>
      <c r="R319" s="415" t="s">
        <v>2819</v>
      </c>
      <c r="S319" s="415" t="s">
        <v>2548</v>
      </c>
      <c r="T319" s="416">
        <v>148</v>
      </c>
      <c r="U319" s="416">
        <v>148</v>
      </c>
      <c r="V319" s="416">
        <v>148</v>
      </c>
      <c r="W319" s="416">
        <v>148</v>
      </c>
      <c r="X319" s="416">
        <v>148</v>
      </c>
      <c r="Y319" s="416">
        <v>148</v>
      </c>
      <c r="Z319" s="416">
        <v>148</v>
      </c>
      <c r="AA319" s="416">
        <v>148</v>
      </c>
      <c r="AB319" s="416">
        <v>148</v>
      </c>
      <c r="AC319" s="416">
        <v>148</v>
      </c>
      <c r="AD319" s="416">
        <v>148</v>
      </c>
      <c r="AE319" s="416">
        <v>148</v>
      </c>
      <c r="AF319" s="416">
        <v>148</v>
      </c>
      <c r="AG319" s="416">
        <v>148</v>
      </c>
      <c r="AH319" s="416">
        <v>143</v>
      </c>
      <c r="AI319" s="416">
        <v>107</v>
      </c>
      <c r="AJ319" s="416">
        <v>72.900000000000006</v>
      </c>
      <c r="AK319" s="416">
        <v>52.3</v>
      </c>
      <c r="AL319" s="416">
        <v>36.299999999999997</v>
      </c>
      <c r="AM319" s="416">
        <v>25.2</v>
      </c>
      <c r="AN319" s="416">
        <v>17.600000000000001</v>
      </c>
      <c r="AO319" s="416">
        <v>12.4</v>
      </c>
      <c r="AP319" s="416">
        <v>8.08</v>
      </c>
      <c r="AQ319" s="416">
        <v>0</v>
      </c>
      <c r="AR319" s="416">
        <v>0</v>
      </c>
      <c r="AS319" s="416">
        <v>0</v>
      </c>
      <c r="AT319" s="416">
        <v>0</v>
      </c>
      <c r="AU319" s="416">
        <v>0</v>
      </c>
      <c r="AV319" s="416">
        <v>0</v>
      </c>
      <c r="AW319" s="416">
        <v>0</v>
      </c>
      <c r="AX319" s="416">
        <v>0</v>
      </c>
      <c r="AY319" s="416">
        <v>0</v>
      </c>
      <c r="AZ319" s="416">
        <v>0</v>
      </c>
    </row>
    <row r="320" spans="1:52" s="411" customFormat="1" x14ac:dyDescent="0.3">
      <c r="A320" s="415" t="str">
        <f t="shared" si="4"/>
        <v>SA-387 Gr.11</v>
      </c>
      <c r="B320" s="415">
        <v>314</v>
      </c>
      <c r="C320" s="415" t="s">
        <v>2942</v>
      </c>
      <c r="D320" s="415" t="s">
        <v>2684</v>
      </c>
      <c r="E320" s="415" t="s">
        <v>2227</v>
      </c>
      <c r="F320" s="415">
        <v>11</v>
      </c>
      <c r="G320" s="415" t="s">
        <v>2944</v>
      </c>
      <c r="H320" s="415">
        <v>2</v>
      </c>
      <c r="I320" s="415">
        <v>0</v>
      </c>
      <c r="J320" s="415">
        <v>4</v>
      </c>
      <c r="K320" s="415">
        <v>1</v>
      </c>
      <c r="L320" s="415">
        <v>515</v>
      </c>
      <c r="M320" s="415">
        <v>310</v>
      </c>
      <c r="N320" s="415">
        <v>649</v>
      </c>
      <c r="O320" s="415">
        <v>371</v>
      </c>
      <c r="P320" s="415">
        <v>649</v>
      </c>
      <c r="Q320" s="415" t="s">
        <v>2675</v>
      </c>
      <c r="R320" s="415" t="s">
        <v>2819</v>
      </c>
      <c r="S320" s="415" t="s">
        <v>2947</v>
      </c>
      <c r="T320" s="416">
        <v>148</v>
      </c>
      <c r="U320" s="416">
        <v>148</v>
      </c>
      <c r="V320" s="416">
        <v>148</v>
      </c>
      <c r="W320" s="416">
        <v>148</v>
      </c>
      <c r="X320" s="416">
        <v>148</v>
      </c>
      <c r="Y320" s="416">
        <v>148</v>
      </c>
      <c r="Z320" s="416">
        <v>148</v>
      </c>
      <c r="AA320" s="416">
        <v>148</v>
      </c>
      <c r="AB320" s="416">
        <v>148</v>
      </c>
      <c r="AC320" s="416">
        <v>148</v>
      </c>
      <c r="AD320" s="416">
        <v>148</v>
      </c>
      <c r="AE320" s="416">
        <v>148</v>
      </c>
      <c r="AF320" s="416">
        <v>148</v>
      </c>
      <c r="AG320" s="416">
        <v>148</v>
      </c>
      <c r="AH320" s="416">
        <v>143</v>
      </c>
      <c r="AI320" s="416">
        <v>107</v>
      </c>
      <c r="AJ320" s="416">
        <v>72.900000000000006</v>
      </c>
      <c r="AK320" s="416">
        <v>52.3</v>
      </c>
      <c r="AL320" s="416">
        <v>36.299999999999997</v>
      </c>
      <c r="AM320" s="416">
        <v>25.2</v>
      </c>
      <c r="AN320" s="416">
        <v>17.600000000000001</v>
      </c>
      <c r="AO320" s="416">
        <v>12.4</v>
      </c>
      <c r="AP320" s="416">
        <v>8.08</v>
      </c>
      <c r="AQ320" s="416">
        <v>0</v>
      </c>
      <c r="AR320" s="416">
        <v>0</v>
      </c>
      <c r="AS320" s="416">
        <v>0</v>
      </c>
      <c r="AT320" s="416">
        <v>0</v>
      </c>
      <c r="AU320" s="416">
        <v>0</v>
      </c>
      <c r="AV320" s="416">
        <v>0</v>
      </c>
      <c r="AW320" s="416">
        <v>0</v>
      </c>
      <c r="AX320" s="416">
        <v>0</v>
      </c>
      <c r="AY320" s="416">
        <v>0</v>
      </c>
      <c r="AZ320" s="416">
        <v>0</v>
      </c>
    </row>
    <row r="321" spans="1:52" s="411" customFormat="1" x14ac:dyDescent="0.3">
      <c r="A321" s="415" t="str">
        <f t="shared" si="4"/>
        <v>SA-691 Gr.11⁄4CR</v>
      </c>
      <c r="B321" s="415">
        <v>315</v>
      </c>
      <c r="C321" s="415" t="s">
        <v>2942</v>
      </c>
      <c r="D321" s="415" t="s">
        <v>2680</v>
      </c>
      <c r="E321" s="415" t="s">
        <v>2303</v>
      </c>
      <c r="F321" s="415" t="s">
        <v>2945</v>
      </c>
      <c r="G321" s="415" t="s">
        <v>2944</v>
      </c>
      <c r="H321" s="415">
        <v>0</v>
      </c>
      <c r="I321" s="415">
        <v>0</v>
      </c>
      <c r="J321" s="415">
        <v>4</v>
      </c>
      <c r="K321" s="415">
        <v>1</v>
      </c>
      <c r="L321" s="415">
        <v>515</v>
      </c>
      <c r="M321" s="415">
        <v>310</v>
      </c>
      <c r="N321" s="415" t="s">
        <v>2675</v>
      </c>
      <c r="O321" s="415">
        <v>371</v>
      </c>
      <c r="P321" s="415" t="s">
        <v>2675</v>
      </c>
      <c r="Q321" s="415" t="s">
        <v>2675</v>
      </c>
      <c r="R321" s="415" t="s">
        <v>2819</v>
      </c>
      <c r="S321" s="415" t="s">
        <v>2882</v>
      </c>
      <c r="T321" s="416">
        <v>148</v>
      </c>
      <c r="U321" s="416">
        <v>148</v>
      </c>
      <c r="V321" s="416">
        <v>148</v>
      </c>
      <c r="W321" s="416">
        <v>148</v>
      </c>
      <c r="X321" s="416">
        <v>148</v>
      </c>
      <c r="Y321" s="416">
        <v>148</v>
      </c>
      <c r="Z321" s="416">
        <v>148</v>
      </c>
      <c r="AA321" s="416">
        <v>148</v>
      </c>
      <c r="AB321" s="416">
        <v>148</v>
      </c>
      <c r="AC321" s="416">
        <v>148</v>
      </c>
      <c r="AD321" s="416">
        <v>148</v>
      </c>
      <c r="AE321" s="416">
        <v>148</v>
      </c>
      <c r="AF321" s="416">
        <v>0</v>
      </c>
      <c r="AG321" s="416">
        <v>0</v>
      </c>
      <c r="AH321" s="416">
        <v>0</v>
      </c>
      <c r="AI321" s="416">
        <v>0</v>
      </c>
      <c r="AJ321" s="416">
        <v>0</v>
      </c>
      <c r="AK321" s="416">
        <v>0</v>
      </c>
      <c r="AL321" s="416">
        <v>0</v>
      </c>
      <c r="AM321" s="416">
        <v>0</v>
      </c>
      <c r="AN321" s="416">
        <v>0</v>
      </c>
      <c r="AO321" s="416">
        <v>0</v>
      </c>
      <c r="AP321" s="416">
        <v>0</v>
      </c>
      <c r="AQ321" s="416">
        <v>0</v>
      </c>
      <c r="AR321" s="416">
        <v>0</v>
      </c>
      <c r="AS321" s="416">
        <v>0</v>
      </c>
      <c r="AT321" s="416">
        <v>0</v>
      </c>
      <c r="AU321" s="416">
        <v>0</v>
      </c>
      <c r="AV321" s="416">
        <v>0</v>
      </c>
      <c r="AW321" s="416">
        <v>0</v>
      </c>
      <c r="AX321" s="416">
        <v>0</v>
      </c>
      <c r="AY321" s="416">
        <v>0</v>
      </c>
      <c r="AZ321" s="416">
        <v>0</v>
      </c>
    </row>
    <row r="322" spans="1:52" s="411" customFormat="1" x14ac:dyDescent="0.3">
      <c r="A322" s="415" t="str">
        <f t="shared" si="4"/>
        <v>SA-592 Gr.E</v>
      </c>
      <c r="B322" s="415">
        <v>316</v>
      </c>
      <c r="C322" s="415" t="s">
        <v>2948</v>
      </c>
      <c r="D322" s="415" t="s">
        <v>2737</v>
      </c>
      <c r="E322" s="415" t="s">
        <v>2279</v>
      </c>
      <c r="F322" s="415" t="s">
        <v>2417</v>
      </c>
      <c r="G322" s="415" t="s">
        <v>2949</v>
      </c>
      <c r="H322" s="415">
        <v>0</v>
      </c>
      <c r="I322" s="415" t="s">
        <v>2792</v>
      </c>
      <c r="J322" s="415" t="s">
        <v>2895</v>
      </c>
      <c r="K322" s="415">
        <v>2</v>
      </c>
      <c r="L322" s="415">
        <v>725</v>
      </c>
      <c r="M322" s="415">
        <v>620</v>
      </c>
      <c r="N322" s="415" t="s">
        <v>2675</v>
      </c>
      <c r="O322" s="415" t="s">
        <v>2732</v>
      </c>
      <c r="P322" s="415">
        <v>343</v>
      </c>
      <c r="Q322" s="415">
        <v>343</v>
      </c>
      <c r="R322" s="415" t="s">
        <v>2838</v>
      </c>
      <c r="S322" s="415" t="s">
        <v>2950</v>
      </c>
      <c r="T322" s="416">
        <v>207</v>
      </c>
      <c r="U322" s="416">
        <v>207</v>
      </c>
      <c r="V322" s="416">
        <v>207</v>
      </c>
      <c r="W322" s="416">
        <v>207</v>
      </c>
      <c r="X322" s="416">
        <v>207</v>
      </c>
      <c r="Y322" s="416">
        <v>207</v>
      </c>
      <c r="Z322" s="416">
        <v>207</v>
      </c>
      <c r="AA322" s="416">
        <v>207</v>
      </c>
      <c r="AB322" s="416">
        <v>207</v>
      </c>
      <c r="AC322" s="416">
        <v>207</v>
      </c>
      <c r="AD322" s="416">
        <v>207</v>
      </c>
      <c r="AE322" s="416">
        <v>0</v>
      </c>
      <c r="AF322" s="416">
        <v>0</v>
      </c>
      <c r="AG322" s="416">
        <v>0</v>
      </c>
      <c r="AH322" s="416">
        <v>0</v>
      </c>
      <c r="AI322" s="416">
        <v>0</v>
      </c>
      <c r="AJ322" s="416">
        <v>0</v>
      </c>
      <c r="AK322" s="416">
        <v>0</v>
      </c>
      <c r="AL322" s="416">
        <v>0</v>
      </c>
      <c r="AM322" s="416">
        <v>0</v>
      </c>
      <c r="AN322" s="416">
        <v>0</v>
      </c>
      <c r="AO322" s="416">
        <v>0</v>
      </c>
      <c r="AP322" s="416">
        <v>0</v>
      </c>
      <c r="AQ322" s="416">
        <v>0</v>
      </c>
      <c r="AR322" s="416">
        <v>0</v>
      </c>
      <c r="AS322" s="416">
        <v>0</v>
      </c>
      <c r="AT322" s="416">
        <v>0</v>
      </c>
      <c r="AU322" s="416">
        <v>0</v>
      </c>
      <c r="AV322" s="416">
        <v>0</v>
      </c>
      <c r="AW322" s="416">
        <v>0</v>
      </c>
      <c r="AX322" s="416">
        <v>0</v>
      </c>
      <c r="AY322" s="416">
        <v>0</v>
      </c>
      <c r="AZ322" s="416">
        <v>0</v>
      </c>
    </row>
    <row r="323" spans="1:52" s="411" customFormat="1" x14ac:dyDescent="0.3">
      <c r="A323" s="415" t="str">
        <f t="shared" si="4"/>
        <v>SA-592 Gr.E</v>
      </c>
      <c r="B323" s="415">
        <v>317</v>
      </c>
      <c r="C323" s="415" t="s">
        <v>2948</v>
      </c>
      <c r="D323" s="415" t="s">
        <v>2737</v>
      </c>
      <c r="E323" s="415" t="s">
        <v>2279</v>
      </c>
      <c r="F323" s="415" t="s">
        <v>2417</v>
      </c>
      <c r="G323" s="415" t="s">
        <v>2949</v>
      </c>
      <c r="H323" s="415">
        <v>0</v>
      </c>
      <c r="I323" s="415" t="s">
        <v>2822</v>
      </c>
      <c r="J323" s="415" t="s">
        <v>2895</v>
      </c>
      <c r="K323" s="415">
        <v>2</v>
      </c>
      <c r="L323" s="415">
        <v>795</v>
      </c>
      <c r="M323" s="415">
        <v>690</v>
      </c>
      <c r="N323" s="415" t="s">
        <v>2675</v>
      </c>
      <c r="O323" s="415" t="s">
        <v>2675</v>
      </c>
      <c r="P323" s="415">
        <v>343</v>
      </c>
      <c r="Q323" s="415">
        <v>343</v>
      </c>
      <c r="R323" s="415" t="s">
        <v>2896</v>
      </c>
      <c r="S323" s="415">
        <v>0</v>
      </c>
      <c r="T323" s="416">
        <v>227</v>
      </c>
      <c r="U323" s="416">
        <v>227</v>
      </c>
      <c r="V323" s="416">
        <v>227</v>
      </c>
      <c r="W323" s="416">
        <v>227</v>
      </c>
      <c r="X323" s="416">
        <v>227</v>
      </c>
      <c r="Y323" s="416">
        <v>227</v>
      </c>
      <c r="Z323" s="416">
        <v>227</v>
      </c>
      <c r="AA323" s="416">
        <v>227</v>
      </c>
      <c r="AB323" s="416">
        <v>227</v>
      </c>
      <c r="AC323" s="416">
        <v>227</v>
      </c>
      <c r="AD323" s="416">
        <v>227</v>
      </c>
      <c r="AE323" s="416">
        <v>0</v>
      </c>
      <c r="AF323" s="416">
        <v>0</v>
      </c>
      <c r="AG323" s="416">
        <v>0</v>
      </c>
      <c r="AH323" s="416">
        <v>0</v>
      </c>
      <c r="AI323" s="416">
        <v>0</v>
      </c>
      <c r="AJ323" s="416">
        <v>0</v>
      </c>
      <c r="AK323" s="416">
        <v>0</v>
      </c>
      <c r="AL323" s="416">
        <v>0</v>
      </c>
      <c r="AM323" s="416">
        <v>0</v>
      </c>
      <c r="AN323" s="416">
        <v>0</v>
      </c>
      <c r="AO323" s="416">
        <v>0</v>
      </c>
      <c r="AP323" s="416">
        <v>0</v>
      </c>
      <c r="AQ323" s="416">
        <v>0</v>
      </c>
      <c r="AR323" s="416">
        <v>0</v>
      </c>
      <c r="AS323" s="416">
        <v>0</v>
      </c>
      <c r="AT323" s="416">
        <v>0</v>
      </c>
      <c r="AU323" s="416">
        <v>0</v>
      </c>
      <c r="AV323" s="416">
        <v>0</v>
      </c>
      <c r="AW323" s="416">
        <v>0</v>
      </c>
      <c r="AX323" s="416">
        <v>0</v>
      </c>
      <c r="AY323" s="416">
        <v>0</v>
      </c>
      <c r="AZ323" s="416">
        <v>0</v>
      </c>
    </row>
    <row r="324" spans="1:52" s="411" customFormat="1" x14ac:dyDescent="0.3">
      <c r="A324" s="415" t="str">
        <f t="shared" si="4"/>
        <v>SA-517 Gr.E</v>
      </c>
      <c r="B324" s="415">
        <v>318</v>
      </c>
      <c r="C324" s="415" t="s">
        <v>2951</v>
      </c>
      <c r="D324" s="415" t="s">
        <v>2684</v>
      </c>
      <c r="E324" s="415" t="s">
        <v>2254</v>
      </c>
      <c r="F324" s="415" t="s">
        <v>2417</v>
      </c>
      <c r="G324" s="415" t="s">
        <v>2952</v>
      </c>
      <c r="H324" s="415">
        <v>0</v>
      </c>
      <c r="I324" s="415" t="s">
        <v>2953</v>
      </c>
      <c r="J324" s="415" t="s">
        <v>2895</v>
      </c>
      <c r="K324" s="415">
        <v>2</v>
      </c>
      <c r="L324" s="415">
        <v>725</v>
      </c>
      <c r="M324" s="415">
        <v>620</v>
      </c>
      <c r="N324" s="415" t="s">
        <v>2675</v>
      </c>
      <c r="O324" s="415" t="s">
        <v>2704</v>
      </c>
      <c r="P324" s="415">
        <v>343</v>
      </c>
      <c r="Q324" s="415">
        <v>343</v>
      </c>
      <c r="R324" s="415" t="s">
        <v>2838</v>
      </c>
      <c r="S324" s="415">
        <v>0</v>
      </c>
      <c r="T324" s="416">
        <v>207</v>
      </c>
      <c r="U324" s="416">
        <v>207</v>
      </c>
      <c r="V324" s="416">
        <v>207</v>
      </c>
      <c r="W324" s="416">
        <v>207</v>
      </c>
      <c r="X324" s="416">
        <v>207</v>
      </c>
      <c r="Y324" s="416">
        <v>207</v>
      </c>
      <c r="Z324" s="416">
        <v>207</v>
      </c>
      <c r="AA324" s="416">
        <v>207</v>
      </c>
      <c r="AB324" s="416">
        <v>207</v>
      </c>
      <c r="AC324" s="416">
        <v>207</v>
      </c>
      <c r="AD324" s="416">
        <v>207</v>
      </c>
      <c r="AE324" s="416">
        <v>206</v>
      </c>
      <c r="AF324" s="416">
        <v>0</v>
      </c>
      <c r="AG324" s="416">
        <v>0</v>
      </c>
      <c r="AH324" s="416">
        <v>0</v>
      </c>
      <c r="AI324" s="416">
        <v>0</v>
      </c>
      <c r="AJ324" s="416">
        <v>0</v>
      </c>
      <c r="AK324" s="416">
        <v>0</v>
      </c>
      <c r="AL324" s="416">
        <v>0</v>
      </c>
      <c r="AM324" s="416">
        <v>0</v>
      </c>
      <c r="AN324" s="416">
        <v>0</v>
      </c>
      <c r="AO324" s="416">
        <v>0</v>
      </c>
      <c r="AP324" s="416">
        <v>0</v>
      </c>
      <c r="AQ324" s="416">
        <v>0</v>
      </c>
      <c r="AR324" s="416">
        <v>0</v>
      </c>
      <c r="AS324" s="416">
        <v>0</v>
      </c>
      <c r="AT324" s="416">
        <v>0</v>
      </c>
      <c r="AU324" s="416">
        <v>0</v>
      </c>
      <c r="AV324" s="416">
        <v>0</v>
      </c>
      <c r="AW324" s="416">
        <v>0</v>
      </c>
      <c r="AX324" s="416">
        <v>0</v>
      </c>
      <c r="AY324" s="416">
        <v>0</v>
      </c>
      <c r="AZ324" s="416">
        <v>0</v>
      </c>
    </row>
    <row r="325" spans="1:52" s="411" customFormat="1" x14ac:dyDescent="0.3">
      <c r="A325" s="415" t="str">
        <f t="shared" si="4"/>
        <v>SA-517 Gr.E</v>
      </c>
      <c r="B325" s="415">
        <v>319</v>
      </c>
      <c r="C325" s="415" t="s">
        <v>2951</v>
      </c>
      <c r="D325" s="415" t="s">
        <v>2684</v>
      </c>
      <c r="E325" s="415" t="s">
        <v>2254</v>
      </c>
      <c r="F325" s="415" t="s">
        <v>2417</v>
      </c>
      <c r="G325" s="415" t="s">
        <v>2952</v>
      </c>
      <c r="H325" s="415">
        <v>0</v>
      </c>
      <c r="I325" s="415" t="s">
        <v>2822</v>
      </c>
      <c r="J325" s="415" t="s">
        <v>2895</v>
      </c>
      <c r="K325" s="415">
        <v>2</v>
      </c>
      <c r="L325" s="415">
        <v>795</v>
      </c>
      <c r="M325" s="415">
        <v>690</v>
      </c>
      <c r="N325" s="415" t="s">
        <v>2675</v>
      </c>
      <c r="O325" s="415" t="s">
        <v>2732</v>
      </c>
      <c r="P325" s="415">
        <v>343</v>
      </c>
      <c r="Q325" s="415">
        <v>343</v>
      </c>
      <c r="R325" s="415" t="s">
        <v>2896</v>
      </c>
      <c r="S325" s="415">
        <v>0</v>
      </c>
      <c r="T325" s="416">
        <v>227</v>
      </c>
      <c r="U325" s="416">
        <v>227</v>
      </c>
      <c r="V325" s="416">
        <v>227</v>
      </c>
      <c r="W325" s="416">
        <v>227</v>
      </c>
      <c r="X325" s="416">
        <v>227</v>
      </c>
      <c r="Y325" s="416">
        <v>227</v>
      </c>
      <c r="Z325" s="416">
        <v>227</v>
      </c>
      <c r="AA325" s="416">
        <v>227</v>
      </c>
      <c r="AB325" s="416">
        <v>227</v>
      </c>
      <c r="AC325" s="416">
        <v>227</v>
      </c>
      <c r="AD325" s="416">
        <v>227</v>
      </c>
      <c r="AE325" s="416">
        <v>0</v>
      </c>
      <c r="AF325" s="416">
        <v>0</v>
      </c>
      <c r="AG325" s="416">
        <v>0</v>
      </c>
      <c r="AH325" s="416">
        <v>0</v>
      </c>
      <c r="AI325" s="416">
        <v>0</v>
      </c>
      <c r="AJ325" s="416">
        <v>0</v>
      </c>
      <c r="AK325" s="416">
        <v>0</v>
      </c>
      <c r="AL325" s="416">
        <v>0</v>
      </c>
      <c r="AM325" s="416">
        <v>0</v>
      </c>
      <c r="AN325" s="416">
        <v>0</v>
      </c>
      <c r="AO325" s="416">
        <v>0</v>
      </c>
      <c r="AP325" s="416">
        <v>0</v>
      </c>
      <c r="AQ325" s="416">
        <v>0</v>
      </c>
      <c r="AR325" s="416">
        <v>0</v>
      </c>
      <c r="AS325" s="416">
        <v>0</v>
      </c>
      <c r="AT325" s="416">
        <v>0</v>
      </c>
      <c r="AU325" s="416">
        <v>0</v>
      </c>
      <c r="AV325" s="416">
        <v>0</v>
      </c>
      <c r="AW325" s="416">
        <v>0</v>
      </c>
      <c r="AX325" s="416">
        <v>0</v>
      </c>
      <c r="AY325" s="416">
        <v>0</v>
      </c>
      <c r="AZ325" s="416">
        <v>0</v>
      </c>
    </row>
    <row r="326" spans="1:52" s="411" customFormat="1" x14ac:dyDescent="0.3">
      <c r="A326" s="415" t="str">
        <f t="shared" si="4"/>
        <v>SA-182 Gr.F22</v>
      </c>
      <c r="B326" s="415">
        <v>320</v>
      </c>
      <c r="C326" s="415" t="s">
        <v>2954</v>
      </c>
      <c r="D326" s="415" t="s">
        <v>2737</v>
      </c>
      <c r="E326" s="415" t="s">
        <v>2188</v>
      </c>
      <c r="F326" s="415" t="s">
        <v>2430</v>
      </c>
      <c r="G326" s="415" t="s">
        <v>2955</v>
      </c>
      <c r="H326" s="415">
        <v>1</v>
      </c>
      <c r="I326" s="415">
        <v>0</v>
      </c>
      <c r="J326" s="415" t="s">
        <v>2956</v>
      </c>
      <c r="K326" s="415">
        <v>1</v>
      </c>
      <c r="L326" s="415">
        <v>415</v>
      </c>
      <c r="M326" s="415">
        <v>205</v>
      </c>
      <c r="N326" s="415">
        <v>649</v>
      </c>
      <c r="O326" s="415">
        <v>371</v>
      </c>
      <c r="P326" s="415">
        <v>649</v>
      </c>
      <c r="Q326" s="415" t="s">
        <v>2675</v>
      </c>
      <c r="R326" s="415" t="s">
        <v>2699</v>
      </c>
      <c r="S326" s="415" t="s">
        <v>2957</v>
      </c>
      <c r="T326" s="416">
        <v>118</v>
      </c>
      <c r="U326" s="416">
        <v>118</v>
      </c>
      <c r="V326" s="416">
        <v>118</v>
      </c>
      <c r="W326" s="416">
        <v>118</v>
      </c>
      <c r="X326" s="416">
        <v>116</v>
      </c>
      <c r="Y326" s="416">
        <v>114</v>
      </c>
      <c r="Z326" s="416">
        <v>114</v>
      </c>
      <c r="AA326" s="416">
        <v>114</v>
      </c>
      <c r="AB326" s="416">
        <v>114</v>
      </c>
      <c r="AC326" s="416">
        <v>114</v>
      </c>
      <c r="AD326" s="416">
        <v>114</v>
      </c>
      <c r="AE326" s="416">
        <v>114</v>
      </c>
      <c r="AF326" s="416">
        <v>114</v>
      </c>
      <c r="AG326" s="416">
        <v>114</v>
      </c>
      <c r="AH326" s="416">
        <v>114</v>
      </c>
      <c r="AI326" s="416">
        <v>100</v>
      </c>
      <c r="AJ326" s="416">
        <v>80.900000000000006</v>
      </c>
      <c r="AK326" s="416">
        <v>64</v>
      </c>
      <c r="AL326" s="416">
        <v>47.7</v>
      </c>
      <c r="AM326" s="416">
        <v>34.5</v>
      </c>
      <c r="AN326" s="416">
        <v>23.5</v>
      </c>
      <c r="AO326" s="416">
        <v>15.5</v>
      </c>
      <c r="AP326" s="416">
        <v>9.39</v>
      </c>
      <c r="AQ326" s="416">
        <v>0</v>
      </c>
      <c r="AR326" s="416">
        <v>0</v>
      </c>
      <c r="AS326" s="416">
        <v>0</v>
      </c>
      <c r="AT326" s="416">
        <v>0</v>
      </c>
      <c r="AU326" s="416">
        <v>0</v>
      </c>
      <c r="AV326" s="416">
        <v>0</v>
      </c>
      <c r="AW326" s="416">
        <v>0</v>
      </c>
      <c r="AX326" s="416">
        <v>0</v>
      </c>
      <c r="AY326" s="416">
        <v>0</v>
      </c>
      <c r="AZ326" s="416">
        <v>0</v>
      </c>
    </row>
    <row r="327" spans="1:52" s="411" customFormat="1" x14ac:dyDescent="0.3">
      <c r="A327" s="415" t="str">
        <f t="shared" si="4"/>
        <v>SA-213 Gr.T22</v>
      </c>
      <c r="B327" s="415">
        <v>321</v>
      </c>
      <c r="C327" s="415" t="s">
        <v>2954</v>
      </c>
      <c r="D327" s="415" t="s">
        <v>2693</v>
      </c>
      <c r="E327" s="415" t="s">
        <v>2195</v>
      </c>
      <c r="F327" s="415" t="s">
        <v>2545</v>
      </c>
      <c r="G327" s="415" t="s">
        <v>2955</v>
      </c>
      <c r="H327" s="415">
        <v>0</v>
      </c>
      <c r="I327" s="415">
        <v>0</v>
      </c>
      <c r="J327" s="415" t="s">
        <v>2956</v>
      </c>
      <c r="K327" s="415">
        <v>1</v>
      </c>
      <c r="L327" s="415">
        <v>415</v>
      </c>
      <c r="M327" s="415">
        <v>205</v>
      </c>
      <c r="N327" s="415">
        <v>649</v>
      </c>
      <c r="O327" s="415">
        <v>371</v>
      </c>
      <c r="P327" s="415">
        <v>649</v>
      </c>
      <c r="Q327" s="415" t="s">
        <v>2675</v>
      </c>
      <c r="R327" s="415" t="s">
        <v>2699</v>
      </c>
      <c r="S327" s="415" t="s">
        <v>2957</v>
      </c>
      <c r="T327" s="416">
        <v>118</v>
      </c>
      <c r="U327" s="416">
        <v>118</v>
      </c>
      <c r="V327" s="416">
        <v>118</v>
      </c>
      <c r="W327" s="416">
        <v>118</v>
      </c>
      <c r="X327" s="416">
        <v>116</v>
      </c>
      <c r="Y327" s="416">
        <v>114</v>
      </c>
      <c r="Z327" s="416">
        <v>114</v>
      </c>
      <c r="AA327" s="416">
        <v>114</v>
      </c>
      <c r="AB327" s="416">
        <v>114</v>
      </c>
      <c r="AC327" s="416">
        <v>114</v>
      </c>
      <c r="AD327" s="416">
        <v>114</v>
      </c>
      <c r="AE327" s="416">
        <v>114</v>
      </c>
      <c r="AF327" s="416">
        <v>114</v>
      </c>
      <c r="AG327" s="416">
        <v>114</v>
      </c>
      <c r="AH327" s="416">
        <v>114</v>
      </c>
      <c r="AI327" s="416">
        <v>100</v>
      </c>
      <c r="AJ327" s="416">
        <v>80.900000000000006</v>
      </c>
      <c r="AK327" s="416">
        <v>64</v>
      </c>
      <c r="AL327" s="416">
        <v>47.7</v>
      </c>
      <c r="AM327" s="416">
        <v>34.5</v>
      </c>
      <c r="AN327" s="416">
        <v>23.5</v>
      </c>
      <c r="AO327" s="416">
        <v>15.5</v>
      </c>
      <c r="AP327" s="416">
        <v>9.39</v>
      </c>
      <c r="AQ327" s="416">
        <v>0</v>
      </c>
      <c r="AR327" s="416">
        <v>0</v>
      </c>
      <c r="AS327" s="416">
        <v>0</v>
      </c>
      <c r="AT327" s="416">
        <v>0</v>
      </c>
      <c r="AU327" s="416">
        <v>0</v>
      </c>
      <c r="AV327" s="416">
        <v>0</v>
      </c>
      <c r="AW327" s="416">
        <v>0</v>
      </c>
      <c r="AX327" s="416">
        <v>0</v>
      </c>
      <c r="AY327" s="416">
        <v>0</v>
      </c>
      <c r="AZ327" s="416">
        <v>0</v>
      </c>
    </row>
    <row r="328" spans="1:52" s="411" customFormat="1" x14ac:dyDescent="0.3">
      <c r="A328" s="415" t="str">
        <f t="shared" ref="A328:A391" si="5">CONCATENATE(E328," Gr.",F328)</f>
        <v>SA-234 Gr.WP22</v>
      </c>
      <c r="B328" s="415">
        <v>322</v>
      </c>
      <c r="C328" s="415" t="s">
        <v>2954</v>
      </c>
      <c r="D328" s="415" t="s">
        <v>2758</v>
      </c>
      <c r="E328" s="415" t="s">
        <v>2174</v>
      </c>
      <c r="F328" s="415" t="s">
        <v>2607</v>
      </c>
      <c r="G328" s="415" t="s">
        <v>2955</v>
      </c>
      <c r="H328" s="415">
        <v>1</v>
      </c>
      <c r="I328" s="415">
        <v>0</v>
      </c>
      <c r="J328" s="415" t="s">
        <v>2956</v>
      </c>
      <c r="K328" s="415">
        <v>1</v>
      </c>
      <c r="L328" s="415">
        <v>415</v>
      </c>
      <c r="M328" s="415">
        <v>205</v>
      </c>
      <c r="N328" s="415">
        <v>649</v>
      </c>
      <c r="O328" s="415">
        <v>371</v>
      </c>
      <c r="P328" s="415">
        <v>649</v>
      </c>
      <c r="Q328" s="415" t="s">
        <v>2675</v>
      </c>
      <c r="R328" s="415" t="s">
        <v>2699</v>
      </c>
      <c r="S328" s="415" t="s">
        <v>2958</v>
      </c>
      <c r="T328" s="416">
        <v>118</v>
      </c>
      <c r="U328" s="416">
        <v>118</v>
      </c>
      <c r="V328" s="416">
        <v>118</v>
      </c>
      <c r="W328" s="416">
        <v>118</v>
      </c>
      <c r="X328" s="416">
        <v>116</v>
      </c>
      <c r="Y328" s="416">
        <v>114</v>
      </c>
      <c r="Z328" s="416">
        <v>114</v>
      </c>
      <c r="AA328" s="416">
        <v>114</v>
      </c>
      <c r="AB328" s="416">
        <v>114</v>
      </c>
      <c r="AC328" s="416">
        <v>114</v>
      </c>
      <c r="AD328" s="416">
        <v>114</v>
      </c>
      <c r="AE328" s="416">
        <v>114</v>
      </c>
      <c r="AF328" s="416">
        <v>114</v>
      </c>
      <c r="AG328" s="416">
        <v>114</v>
      </c>
      <c r="AH328" s="416">
        <v>114</v>
      </c>
      <c r="AI328" s="416">
        <v>100</v>
      </c>
      <c r="AJ328" s="416">
        <v>80.900000000000006</v>
      </c>
      <c r="AK328" s="416">
        <v>64</v>
      </c>
      <c r="AL328" s="416">
        <v>47.7</v>
      </c>
      <c r="AM328" s="416">
        <v>34.5</v>
      </c>
      <c r="AN328" s="416">
        <v>23.5</v>
      </c>
      <c r="AO328" s="416">
        <v>15.5</v>
      </c>
      <c r="AP328" s="416">
        <v>9.39</v>
      </c>
      <c r="AQ328" s="416">
        <v>0</v>
      </c>
      <c r="AR328" s="416">
        <v>0</v>
      </c>
      <c r="AS328" s="416">
        <v>0</v>
      </c>
      <c r="AT328" s="416">
        <v>0</v>
      </c>
      <c r="AU328" s="416">
        <v>0</v>
      </c>
      <c r="AV328" s="416">
        <v>0</v>
      </c>
      <c r="AW328" s="416">
        <v>0</v>
      </c>
      <c r="AX328" s="416">
        <v>0</v>
      </c>
      <c r="AY328" s="416">
        <v>0</v>
      </c>
      <c r="AZ328" s="416">
        <v>0</v>
      </c>
    </row>
    <row r="329" spans="1:52" s="411" customFormat="1" x14ac:dyDescent="0.3">
      <c r="A329" s="415" t="str">
        <f t="shared" si="5"/>
        <v>SA-250 Gr.T22</v>
      </c>
      <c r="B329" s="415">
        <v>323</v>
      </c>
      <c r="C329" s="415" t="s">
        <v>2954</v>
      </c>
      <c r="D329" s="415" t="s">
        <v>2689</v>
      </c>
      <c r="E329" s="415" t="s">
        <v>2201</v>
      </c>
      <c r="F329" s="415" t="s">
        <v>2545</v>
      </c>
      <c r="G329" s="415" t="s">
        <v>2955</v>
      </c>
      <c r="H329" s="415">
        <v>0</v>
      </c>
      <c r="I329" s="415">
        <v>0</v>
      </c>
      <c r="J329" s="415" t="s">
        <v>2956</v>
      </c>
      <c r="K329" s="415">
        <v>1</v>
      </c>
      <c r="L329" s="415">
        <v>415</v>
      </c>
      <c r="M329" s="415">
        <v>205</v>
      </c>
      <c r="N329" s="415">
        <v>649</v>
      </c>
      <c r="O329" s="415" t="s">
        <v>2675</v>
      </c>
      <c r="P329" s="415" t="s">
        <v>2675</v>
      </c>
      <c r="Q329" s="415" t="s">
        <v>2675</v>
      </c>
      <c r="R329" s="415" t="s">
        <v>2699</v>
      </c>
      <c r="S329" s="415" t="s">
        <v>2959</v>
      </c>
      <c r="T329" s="416">
        <v>100</v>
      </c>
      <c r="U329" s="416">
        <v>100</v>
      </c>
      <c r="V329" s="416">
        <v>100</v>
      </c>
      <c r="W329" s="416">
        <v>99.8</v>
      </c>
      <c r="X329" s="416">
        <v>98.3</v>
      </c>
      <c r="Y329" s="416">
        <v>97.2</v>
      </c>
      <c r="Z329" s="416">
        <v>97.2</v>
      </c>
      <c r="AA329" s="416">
        <v>97.2</v>
      </c>
      <c r="AB329" s="416">
        <v>97.2</v>
      </c>
      <c r="AC329" s="416">
        <v>97.2</v>
      </c>
      <c r="AD329" s="416">
        <v>97.2</v>
      </c>
      <c r="AE329" s="416">
        <v>97.2</v>
      </c>
      <c r="AF329" s="416">
        <v>97.2</v>
      </c>
      <c r="AG329" s="416">
        <v>97.2</v>
      </c>
      <c r="AH329" s="416">
        <v>97.2</v>
      </c>
      <c r="AI329" s="416">
        <v>85.5</v>
      </c>
      <c r="AJ329" s="416">
        <v>69</v>
      </c>
      <c r="AK329" s="416">
        <v>54.5</v>
      </c>
      <c r="AL329" s="416">
        <v>40.4</v>
      </c>
      <c r="AM329" s="416">
        <v>29.1</v>
      </c>
      <c r="AN329" s="416">
        <v>19.8</v>
      </c>
      <c r="AO329" s="416">
        <v>12.9</v>
      </c>
      <c r="AP329" s="416">
        <v>8.06</v>
      </c>
      <c r="AQ329" s="416">
        <v>0</v>
      </c>
      <c r="AR329" s="416">
        <v>0</v>
      </c>
      <c r="AS329" s="416">
        <v>0</v>
      </c>
      <c r="AT329" s="416">
        <v>0</v>
      </c>
      <c r="AU329" s="416">
        <v>0</v>
      </c>
      <c r="AV329" s="416">
        <v>0</v>
      </c>
      <c r="AW329" s="416">
        <v>0</v>
      </c>
      <c r="AX329" s="416">
        <v>0</v>
      </c>
      <c r="AY329" s="416">
        <v>0</v>
      </c>
      <c r="AZ329" s="416">
        <v>0</v>
      </c>
    </row>
    <row r="330" spans="1:52" s="411" customFormat="1" x14ac:dyDescent="0.3">
      <c r="A330" s="415" t="str">
        <f t="shared" si="5"/>
        <v>SA-250 Gr.T22S1</v>
      </c>
      <c r="B330" s="415">
        <v>324</v>
      </c>
      <c r="C330" s="415" t="s">
        <v>2954</v>
      </c>
      <c r="D330" s="415" t="s">
        <v>2689</v>
      </c>
      <c r="E330" s="415" t="s">
        <v>2201</v>
      </c>
      <c r="F330" s="415" t="s">
        <v>2546</v>
      </c>
      <c r="G330" s="415" t="s">
        <v>2955</v>
      </c>
      <c r="H330" s="415">
        <v>0</v>
      </c>
      <c r="I330" s="415">
        <v>0</v>
      </c>
      <c r="J330" s="415" t="s">
        <v>2956</v>
      </c>
      <c r="K330" s="415">
        <v>1</v>
      </c>
      <c r="L330" s="415">
        <v>415</v>
      </c>
      <c r="M330" s="415">
        <v>205</v>
      </c>
      <c r="N330" s="415">
        <v>649</v>
      </c>
      <c r="O330" s="415" t="s">
        <v>2675</v>
      </c>
      <c r="P330" s="415" t="s">
        <v>2675</v>
      </c>
      <c r="Q330" s="415" t="s">
        <v>2675</v>
      </c>
      <c r="R330" s="415" t="s">
        <v>2699</v>
      </c>
      <c r="S330" s="415" t="s">
        <v>2960</v>
      </c>
      <c r="T330" s="416">
        <v>118</v>
      </c>
      <c r="U330" s="416">
        <v>118</v>
      </c>
      <c r="V330" s="416">
        <v>118</v>
      </c>
      <c r="W330" s="416">
        <v>118</v>
      </c>
      <c r="X330" s="416">
        <v>116</v>
      </c>
      <c r="Y330" s="416">
        <v>114</v>
      </c>
      <c r="Z330" s="416">
        <v>114</v>
      </c>
      <c r="AA330" s="416">
        <v>114</v>
      </c>
      <c r="AB330" s="416">
        <v>114</v>
      </c>
      <c r="AC330" s="416">
        <v>114</v>
      </c>
      <c r="AD330" s="416">
        <v>114</v>
      </c>
      <c r="AE330" s="416">
        <v>114</v>
      </c>
      <c r="AF330" s="416">
        <v>114</v>
      </c>
      <c r="AG330" s="416">
        <v>114</v>
      </c>
      <c r="AH330" s="416">
        <v>114</v>
      </c>
      <c r="AI330" s="416">
        <v>100</v>
      </c>
      <c r="AJ330" s="416">
        <v>80.900000000000006</v>
      </c>
      <c r="AK330" s="416">
        <v>64</v>
      </c>
      <c r="AL330" s="416">
        <v>47.7</v>
      </c>
      <c r="AM330" s="416">
        <v>34.5</v>
      </c>
      <c r="AN330" s="416">
        <v>23.5</v>
      </c>
      <c r="AO330" s="416">
        <v>15.5</v>
      </c>
      <c r="AP330" s="416">
        <v>9.39</v>
      </c>
      <c r="AQ330" s="416">
        <v>0</v>
      </c>
      <c r="AR330" s="416">
        <v>0</v>
      </c>
      <c r="AS330" s="416">
        <v>0</v>
      </c>
      <c r="AT330" s="416">
        <v>0</v>
      </c>
      <c r="AU330" s="416">
        <v>0</v>
      </c>
      <c r="AV330" s="416">
        <v>0</v>
      </c>
      <c r="AW330" s="416">
        <v>0</v>
      </c>
      <c r="AX330" s="416">
        <v>0</v>
      </c>
      <c r="AY330" s="416">
        <v>0</v>
      </c>
      <c r="AZ330" s="416">
        <v>0</v>
      </c>
    </row>
    <row r="331" spans="1:52" s="411" customFormat="1" x14ac:dyDescent="0.3">
      <c r="A331" s="415" t="str">
        <f t="shared" si="5"/>
        <v>SA-335 Gr.P22</v>
      </c>
      <c r="B331" s="415">
        <v>325</v>
      </c>
      <c r="C331" s="415" t="s">
        <v>2954</v>
      </c>
      <c r="D331" s="415" t="s">
        <v>2703</v>
      </c>
      <c r="E331" s="415" t="s">
        <v>2210</v>
      </c>
      <c r="F331" s="415" t="s">
        <v>2515</v>
      </c>
      <c r="G331" s="415" t="s">
        <v>2955</v>
      </c>
      <c r="H331" s="415">
        <v>0</v>
      </c>
      <c r="I331" s="415">
        <v>0</v>
      </c>
      <c r="J331" s="415" t="s">
        <v>2956</v>
      </c>
      <c r="K331" s="415">
        <v>1</v>
      </c>
      <c r="L331" s="415">
        <v>415</v>
      </c>
      <c r="M331" s="415">
        <v>205</v>
      </c>
      <c r="N331" s="415">
        <v>649</v>
      </c>
      <c r="O331" s="415">
        <v>371</v>
      </c>
      <c r="P331" s="415">
        <v>649</v>
      </c>
      <c r="Q331" s="415" t="s">
        <v>2675</v>
      </c>
      <c r="R331" s="415" t="s">
        <v>2699</v>
      </c>
      <c r="S331" s="415" t="s">
        <v>2957</v>
      </c>
      <c r="T331" s="416">
        <v>118</v>
      </c>
      <c r="U331" s="416">
        <v>118</v>
      </c>
      <c r="V331" s="416">
        <v>118</v>
      </c>
      <c r="W331" s="416">
        <v>118</v>
      </c>
      <c r="X331" s="416">
        <v>116</v>
      </c>
      <c r="Y331" s="416">
        <v>114</v>
      </c>
      <c r="Z331" s="416">
        <v>114</v>
      </c>
      <c r="AA331" s="416">
        <v>114</v>
      </c>
      <c r="AB331" s="416">
        <v>114</v>
      </c>
      <c r="AC331" s="416">
        <v>114</v>
      </c>
      <c r="AD331" s="416">
        <v>114</v>
      </c>
      <c r="AE331" s="416">
        <v>114</v>
      </c>
      <c r="AF331" s="416">
        <v>114</v>
      </c>
      <c r="AG331" s="416">
        <v>114</v>
      </c>
      <c r="AH331" s="416">
        <v>114</v>
      </c>
      <c r="AI331" s="416">
        <v>100</v>
      </c>
      <c r="AJ331" s="416">
        <v>80.900000000000006</v>
      </c>
      <c r="AK331" s="416">
        <v>64</v>
      </c>
      <c r="AL331" s="416">
        <v>47.7</v>
      </c>
      <c r="AM331" s="416">
        <v>34.5</v>
      </c>
      <c r="AN331" s="416">
        <v>23.5</v>
      </c>
      <c r="AO331" s="416">
        <v>15.5</v>
      </c>
      <c r="AP331" s="416">
        <v>9.39</v>
      </c>
      <c r="AQ331" s="416">
        <v>0</v>
      </c>
      <c r="AR331" s="416">
        <v>0</v>
      </c>
      <c r="AS331" s="416">
        <v>0</v>
      </c>
      <c r="AT331" s="416">
        <v>0</v>
      </c>
      <c r="AU331" s="416">
        <v>0</v>
      </c>
      <c r="AV331" s="416">
        <v>0</v>
      </c>
      <c r="AW331" s="416">
        <v>0</v>
      </c>
      <c r="AX331" s="416">
        <v>0</v>
      </c>
      <c r="AY331" s="416">
        <v>0</v>
      </c>
      <c r="AZ331" s="416">
        <v>0</v>
      </c>
    </row>
    <row r="332" spans="1:52" s="411" customFormat="1" x14ac:dyDescent="0.3">
      <c r="A332" s="415" t="str">
        <f t="shared" si="5"/>
        <v>SA-336 Gr.F22</v>
      </c>
      <c r="B332" s="415">
        <v>326</v>
      </c>
      <c r="C332" s="415" t="s">
        <v>2954</v>
      </c>
      <c r="D332" s="415" t="s">
        <v>2737</v>
      </c>
      <c r="E332" s="415" t="s">
        <v>2211</v>
      </c>
      <c r="F332" s="415" t="s">
        <v>2430</v>
      </c>
      <c r="G332" s="415" t="s">
        <v>2955</v>
      </c>
      <c r="H332" s="415">
        <v>1</v>
      </c>
      <c r="I332" s="415">
        <v>0</v>
      </c>
      <c r="J332" s="415" t="s">
        <v>2956</v>
      </c>
      <c r="K332" s="415">
        <v>1</v>
      </c>
      <c r="L332" s="415">
        <v>415</v>
      </c>
      <c r="M332" s="415">
        <v>205</v>
      </c>
      <c r="N332" s="415">
        <v>649</v>
      </c>
      <c r="O332" s="415">
        <v>371</v>
      </c>
      <c r="P332" s="415">
        <v>649</v>
      </c>
      <c r="Q332" s="415" t="s">
        <v>2675</v>
      </c>
      <c r="R332" s="415" t="s">
        <v>2699</v>
      </c>
      <c r="S332" s="415" t="s">
        <v>2957</v>
      </c>
      <c r="T332" s="416">
        <v>118</v>
      </c>
      <c r="U332" s="416">
        <v>118</v>
      </c>
      <c r="V332" s="416">
        <v>118</v>
      </c>
      <c r="W332" s="416">
        <v>118</v>
      </c>
      <c r="X332" s="416">
        <v>116</v>
      </c>
      <c r="Y332" s="416">
        <v>114</v>
      </c>
      <c r="Z332" s="416">
        <v>114</v>
      </c>
      <c r="AA332" s="416">
        <v>114</v>
      </c>
      <c r="AB332" s="416">
        <v>114</v>
      </c>
      <c r="AC332" s="416">
        <v>114</v>
      </c>
      <c r="AD332" s="416">
        <v>114</v>
      </c>
      <c r="AE332" s="416">
        <v>114</v>
      </c>
      <c r="AF332" s="416">
        <v>114</v>
      </c>
      <c r="AG332" s="416">
        <v>114</v>
      </c>
      <c r="AH332" s="416">
        <v>114</v>
      </c>
      <c r="AI332" s="416">
        <v>100</v>
      </c>
      <c r="AJ332" s="416">
        <v>80.900000000000006</v>
      </c>
      <c r="AK332" s="416">
        <v>64</v>
      </c>
      <c r="AL332" s="416">
        <v>47.7</v>
      </c>
      <c r="AM332" s="416">
        <v>34.5</v>
      </c>
      <c r="AN332" s="416">
        <v>23.5</v>
      </c>
      <c r="AO332" s="416">
        <v>15.5</v>
      </c>
      <c r="AP332" s="416">
        <v>9.39</v>
      </c>
      <c r="AQ332" s="416">
        <v>0</v>
      </c>
      <c r="AR332" s="416">
        <v>0</v>
      </c>
      <c r="AS332" s="416">
        <v>0</v>
      </c>
      <c r="AT332" s="416">
        <v>0</v>
      </c>
      <c r="AU332" s="416">
        <v>0</v>
      </c>
      <c r="AV332" s="416">
        <v>0</v>
      </c>
      <c r="AW332" s="416">
        <v>0</v>
      </c>
      <c r="AX332" s="416">
        <v>0</v>
      </c>
      <c r="AY332" s="416">
        <v>0</v>
      </c>
      <c r="AZ332" s="416">
        <v>0</v>
      </c>
    </row>
    <row r="333" spans="1:52" s="411" customFormat="1" x14ac:dyDescent="0.3">
      <c r="A333" s="415" t="str">
        <f t="shared" si="5"/>
        <v>SA-369 Gr.FP22</v>
      </c>
      <c r="B333" s="415">
        <v>327</v>
      </c>
      <c r="C333" s="415" t="s">
        <v>2954</v>
      </c>
      <c r="D333" s="415" t="s">
        <v>2707</v>
      </c>
      <c r="E333" s="415" t="s">
        <v>2221</v>
      </c>
      <c r="F333" s="415" t="s">
        <v>2470</v>
      </c>
      <c r="G333" s="415" t="s">
        <v>2955</v>
      </c>
      <c r="H333" s="415">
        <v>0</v>
      </c>
      <c r="I333" s="415">
        <v>0</v>
      </c>
      <c r="J333" s="415" t="s">
        <v>2956</v>
      </c>
      <c r="K333" s="415">
        <v>1</v>
      </c>
      <c r="L333" s="415">
        <v>415</v>
      </c>
      <c r="M333" s="415">
        <v>205</v>
      </c>
      <c r="N333" s="415">
        <v>649</v>
      </c>
      <c r="O333" s="415">
        <v>371</v>
      </c>
      <c r="P333" s="415">
        <v>649</v>
      </c>
      <c r="Q333" s="415" t="s">
        <v>2675</v>
      </c>
      <c r="R333" s="415" t="s">
        <v>2699</v>
      </c>
      <c r="S333" s="415" t="s">
        <v>2957</v>
      </c>
      <c r="T333" s="416">
        <v>118</v>
      </c>
      <c r="U333" s="416">
        <v>118</v>
      </c>
      <c r="V333" s="416">
        <v>118</v>
      </c>
      <c r="W333" s="416">
        <v>118</v>
      </c>
      <c r="X333" s="416">
        <v>116</v>
      </c>
      <c r="Y333" s="416">
        <v>114</v>
      </c>
      <c r="Z333" s="416">
        <v>114</v>
      </c>
      <c r="AA333" s="416">
        <v>114</v>
      </c>
      <c r="AB333" s="416">
        <v>114</v>
      </c>
      <c r="AC333" s="416">
        <v>114</v>
      </c>
      <c r="AD333" s="416">
        <v>114</v>
      </c>
      <c r="AE333" s="416">
        <v>114</v>
      </c>
      <c r="AF333" s="416">
        <v>114</v>
      </c>
      <c r="AG333" s="416">
        <v>114</v>
      </c>
      <c r="AH333" s="416">
        <v>114</v>
      </c>
      <c r="AI333" s="416">
        <v>100</v>
      </c>
      <c r="AJ333" s="416">
        <v>80.900000000000006</v>
      </c>
      <c r="AK333" s="416">
        <v>64</v>
      </c>
      <c r="AL333" s="416">
        <v>47.7</v>
      </c>
      <c r="AM333" s="416">
        <v>34.5</v>
      </c>
      <c r="AN333" s="416">
        <v>23.5</v>
      </c>
      <c r="AO333" s="416">
        <v>15.5</v>
      </c>
      <c r="AP333" s="416">
        <v>9.39</v>
      </c>
      <c r="AQ333" s="416">
        <v>0</v>
      </c>
      <c r="AR333" s="416">
        <v>0</v>
      </c>
      <c r="AS333" s="416">
        <v>0</v>
      </c>
      <c r="AT333" s="416">
        <v>0</v>
      </c>
      <c r="AU333" s="416">
        <v>0</v>
      </c>
      <c r="AV333" s="416">
        <v>0</v>
      </c>
      <c r="AW333" s="416">
        <v>0</v>
      </c>
      <c r="AX333" s="416">
        <v>0</v>
      </c>
      <c r="AY333" s="416">
        <v>0</v>
      </c>
      <c r="AZ333" s="416">
        <v>0</v>
      </c>
    </row>
    <row r="334" spans="1:52" s="411" customFormat="1" x14ac:dyDescent="0.3">
      <c r="A334" s="415" t="str">
        <f t="shared" si="5"/>
        <v>SA-387 Gr.22</v>
      </c>
      <c r="B334" s="415">
        <v>328</v>
      </c>
      <c r="C334" s="415" t="s">
        <v>2954</v>
      </c>
      <c r="D334" s="415" t="s">
        <v>2684</v>
      </c>
      <c r="E334" s="415" t="s">
        <v>2227</v>
      </c>
      <c r="F334" s="415">
        <v>22</v>
      </c>
      <c r="G334" s="415" t="s">
        <v>2955</v>
      </c>
      <c r="H334" s="415">
        <v>1</v>
      </c>
      <c r="I334" s="415">
        <v>0</v>
      </c>
      <c r="J334" s="415" t="s">
        <v>2956</v>
      </c>
      <c r="K334" s="415">
        <v>1</v>
      </c>
      <c r="L334" s="415">
        <v>415</v>
      </c>
      <c r="M334" s="415">
        <v>205</v>
      </c>
      <c r="N334" s="415">
        <v>649</v>
      </c>
      <c r="O334" s="415">
        <v>371</v>
      </c>
      <c r="P334" s="415">
        <v>649</v>
      </c>
      <c r="Q334" s="415" t="s">
        <v>2675</v>
      </c>
      <c r="R334" s="415" t="s">
        <v>2699</v>
      </c>
      <c r="S334" s="415" t="s">
        <v>2957</v>
      </c>
      <c r="T334" s="416">
        <v>118</v>
      </c>
      <c r="U334" s="416">
        <v>118</v>
      </c>
      <c r="V334" s="416">
        <v>118</v>
      </c>
      <c r="W334" s="416">
        <v>118</v>
      </c>
      <c r="X334" s="416">
        <v>116</v>
      </c>
      <c r="Y334" s="416">
        <v>114</v>
      </c>
      <c r="Z334" s="416">
        <v>114</v>
      </c>
      <c r="AA334" s="416">
        <v>114</v>
      </c>
      <c r="AB334" s="416">
        <v>114</v>
      </c>
      <c r="AC334" s="416">
        <v>114</v>
      </c>
      <c r="AD334" s="416">
        <v>114</v>
      </c>
      <c r="AE334" s="416">
        <v>114</v>
      </c>
      <c r="AF334" s="416">
        <v>114</v>
      </c>
      <c r="AG334" s="416">
        <v>114</v>
      </c>
      <c r="AH334" s="416">
        <v>114</v>
      </c>
      <c r="AI334" s="416">
        <v>100</v>
      </c>
      <c r="AJ334" s="416">
        <v>80.900000000000006</v>
      </c>
      <c r="AK334" s="416">
        <v>64</v>
      </c>
      <c r="AL334" s="416">
        <v>47.7</v>
      </c>
      <c r="AM334" s="416">
        <v>34.5</v>
      </c>
      <c r="AN334" s="416">
        <v>23.5</v>
      </c>
      <c r="AO334" s="416">
        <v>15.5</v>
      </c>
      <c r="AP334" s="416">
        <v>9.39</v>
      </c>
      <c r="AQ334" s="416">
        <v>0</v>
      </c>
      <c r="AR334" s="416">
        <v>0</v>
      </c>
      <c r="AS334" s="416">
        <v>0</v>
      </c>
      <c r="AT334" s="416">
        <v>0</v>
      </c>
      <c r="AU334" s="416">
        <v>0</v>
      </c>
      <c r="AV334" s="416">
        <v>0</v>
      </c>
      <c r="AW334" s="416">
        <v>0</v>
      </c>
      <c r="AX334" s="416">
        <v>0</v>
      </c>
      <c r="AY334" s="416">
        <v>0</v>
      </c>
      <c r="AZ334" s="416">
        <v>0</v>
      </c>
    </row>
    <row r="335" spans="1:52" s="411" customFormat="1" x14ac:dyDescent="0.3">
      <c r="A335" s="415" t="str">
        <f t="shared" si="5"/>
        <v>SA-691 Gr.21⁄4CR</v>
      </c>
      <c r="B335" s="415">
        <v>329</v>
      </c>
      <c r="C335" s="415" t="s">
        <v>2954</v>
      </c>
      <c r="D335" s="415" t="s">
        <v>2680</v>
      </c>
      <c r="E335" s="415" t="s">
        <v>2303</v>
      </c>
      <c r="F335" s="415" t="s">
        <v>2961</v>
      </c>
      <c r="G335" s="415" t="s">
        <v>2955</v>
      </c>
      <c r="H335" s="415">
        <v>0</v>
      </c>
      <c r="I335" s="415">
        <v>0</v>
      </c>
      <c r="J335" s="415" t="s">
        <v>2956</v>
      </c>
      <c r="K335" s="415">
        <v>1</v>
      </c>
      <c r="L335" s="415">
        <v>415</v>
      </c>
      <c r="M335" s="415">
        <v>205</v>
      </c>
      <c r="N335" s="415" t="s">
        <v>2675</v>
      </c>
      <c r="O335" s="415">
        <v>371</v>
      </c>
      <c r="P335" s="415" t="s">
        <v>2675</v>
      </c>
      <c r="Q335" s="415" t="s">
        <v>2675</v>
      </c>
      <c r="R335" s="415" t="s">
        <v>2699</v>
      </c>
      <c r="S335" s="415" t="s">
        <v>2882</v>
      </c>
      <c r="T335" s="416">
        <v>118</v>
      </c>
      <c r="U335" s="416">
        <v>118</v>
      </c>
      <c r="V335" s="416">
        <v>118</v>
      </c>
      <c r="W335" s="416">
        <v>118</v>
      </c>
      <c r="X335" s="416">
        <v>116</v>
      </c>
      <c r="Y335" s="416">
        <v>114</v>
      </c>
      <c r="Z335" s="416">
        <v>114</v>
      </c>
      <c r="AA335" s="416">
        <v>114</v>
      </c>
      <c r="AB335" s="416">
        <v>114</v>
      </c>
      <c r="AC335" s="416">
        <v>114</v>
      </c>
      <c r="AD335" s="416">
        <v>114</v>
      </c>
      <c r="AE335" s="416">
        <v>114</v>
      </c>
      <c r="AF335" s="416">
        <v>0</v>
      </c>
      <c r="AG335" s="416">
        <v>0</v>
      </c>
      <c r="AH335" s="416">
        <v>0</v>
      </c>
      <c r="AI335" s="416">
        <v>0</v>
      </c>
      <c r="AJ335" s="416">
        <v>0</v>
      </c>
      <c r="AK335" s="416">
        <v>0</v>
      </c>
      <c r="AL335" s="416">
        <v>0</v>
      </c>
      <c r="AM335" s="416">
        <v>0</v>
      </c>
      <c r="AN335" s="416">
        <v>0</v>
      </c>
      <c r="AO335" s="416">
        <v>0</v>
      </c>
      <c r="AP335" s="416">
        <v>0</v>
      </c>
      <c r="AQ335" s="416">
        <v>0</v>
      </c>
      <c r="AR335" s="416">
        <v>0</v>
      </c>
      <c r="AS335" s="416">
        <v>0</v>
      </c>
      <c r="AT335" s="416">
        <v>0</v>
      </c>
      <c r="AU335" s="416">
        <v>0</v>
      </c>
      <c r="AV335" s="416">
        <v>0</v>
      </c>
      <c r="AW335" s="416">
        <v>0</v>
      </c>
      <c r="AX335" s="416">
        <v>0</v>
      </c>
      <c r="AY335" s="416">
        <v>0</v>
      </c>
      <c r="AZ335" s="416">
        <v>0</v>
      </c>
    </row>
    <row r="336" spans="1:52" s="411" customFormat="1" x14ac:dyDescent="0.3">
      <c r="A336" s="415" t="str">
        <f t="shared" si="5"/>
        <v>SA-217 Gr.WC9</v>
      </c>
      <c r="B336" s="415">
        <v>330</v>
      </c>
      <c r="C336" s="415" t="s">
        <v>2954</v>
      </c>
      <c r="D336" s="415" t="s">
        <v>2739</v>
      </c>
      <c r="E336" s="415" t="s">
        <v>2198</v>
      </c>
      <c r="F336" s="415" t="s">
        <v>2600</v>
      </c>
      <c r="G336" s="415" t="s">
        <v>2962</v>
      </c>
      <c r="H336" s="415">
        <v>0</v>
      </c>
      <c r="I336" s="415">
        <v>0</v>
      </c>
      <c r="J336" s="415" t="s">
        <v>2956</v>
      </c>
      <c r="K336" s="415">
        <v>1</v>
      </c>
      <c r="L336" s="415">
        <v>485</v>
      </c>
      <c r="M336" s="415">
        <v>275</v>
      </c>
      <c r="N336" s="415">
        <v>649</v>
      </c>
      <c r="O336" s="415">
        <v>371</v>
      </c>
      <c r="P336" s="415">
        <v>649</v>
      </c>
      <c r="Q336" s="415" t="s">
        <v>2675</v>
      </c>
      <c r="R336" s="415" t="s">
        <v>2699</v>
      </c>
      <c r="S336" s="415" t="s">
        <v>2963</v>
      </c>
      <c r="T336" s="416">
        <v>138</v>
      </c>
      <c r="U336" s="416">
        <v>138</v>
      </c>
      <c r="V336" s="416">
        <v>138</v>
      </c>
      <c r="W336" s="416">
        <v>138</v>
      </c>
      <c r="X336" s="416">
        <v>137</v>
      </c>
      <c r="Y336" s="416">
        <v>136</v>
      </c>
      <c r="Z336" s="416">
        <v>134</v>
      </c>
      <c r="AA336" s="416">
        <v>133</v>
      </c>
      <c r="AB336" s="416">
        <v>133</v>
      </c>
      <c r="AC336" s="416">
        <v>132</v>
      </c>
      <c r="AD336" s="416">
        <v>131</v>
      </c>
      <c r="AE336" s="416">
        <v>129</v>
      </c>
      <c r="AF336" s="416">
        <v>127</v>
      </c>
      <c r="AG336" s="416">
        <v>124</v>
      </c>
      <c r="AH336" s="416">
        <v>119</v>
      </c>
      <c r="AI336" s="416">
        <v>113</v>
      </c>
      <c r="AJ336" s="416">
        <v>90.4</v>
      </c>
      <c r="AK336" s="416">
        <v>64</v>
      </c>
      <c r="AL336" s="416">
        <v>45</v>
      </c>
      <c r="AM336" s="416">
        <v>30.1</v>
      </c>
      <c r="AN336" s="416">
        <v>19.7</v>
      </c>
      <c r="AO336" s="416">
        <v>12.9</v>
      </c>
      <c r="AP336" s="416">
        <v>8.06</v>
      </c>
      <c r="AQ336" s="416">
        <v>0</v>
      </c>
      <c r="AR336" s="416">
        <v>0</v>
      </c>
      <c r="AS336" s="416">
        <v>0</v>
      </c>
      <c r="AT336" s="416">
        <v>0</v>
      </c>
      <c r="AU336" s="416">
        <v>0</v>
      </c>
      <c r="AV336" s="416">
        <v>0</v>
      </c>
      <c r="AW336" s="416">
        <v>0</v>
      </c>
      <c r="AX336" s="416">
        <v>0</v>
      </c>
      <c r="AY336" s="416">
        <v>0</v>
      </c>
      <c r="AZ336" s="416">
        <v>0</v>
      </c>
    </row>
    <row r="337" spans="1:52" s="411" customFormat="1" x14ac:dyDescent="0.3">
      <c r="A337" s="415" t="str">
        <f t="shared" si="5"/>
        <v>SA-426 Gr.CP22</v>
      </c>
      <c r="B337" s="415">
        <v>331</v>
      </c>
      <c r="C337" s="415" t="s">
        <v>2954</v>
      </c>
      <c r="D337" s="415" t="s">
        <v>2746</v>
      </c>
      <c r="E337" s="415" t="s">
        <v>2239</v>
      </c>
      <c r="F337" s="415" t="s">
        <v>2398</v>
      </c>
      <c r="G337" s="415" t="s">
        <v>2962</v>
      </c>
      <c r="H337" s="415">
        <v>0</v>
      </c>
      <c r="I337" s="415">
        <v>0</v>
      </c>
      <c r="J337" s="415" t="s">
        <v>2956</v>
      </c>
      <c r="K337" s="415">
        <v>1</v>
      </c>
      <c r="L337" s="415">
        <v>485</v>
      </c>
      <c r="M337" s="415">
        <v>275</v>
      </c>
      <c r="N337" s="415" t="s">
        <v>2675</v>
      </c>
      <c r="O337" s="415">
        <v>371</v>
      </c>
      <c r="P337" s="415" t="s">
        <v>2675</v>
      </c>
      <c r="Q337" s="415" t="s">
        <v>2675</v>
      </c>
      <c r="R337" s="415" t="s">
        <v>2699</v>
      </c>
      <c r="S337" s="415" t="s">
        <v>2745</v>
      </c>
      <c r="T337" s="416">
        <v>138</v>
      </c>
      <c r="U337" s="416">
        <v>138</v>
      </c>
      <c r="V337" s="416">
        <v>138</v>
      </c>
      <c r="W337" s="416">
        <v>138</v>
      </c>
      <c r="X337" s="416">
        <v>137</v>
      </c>
      <c r="Y337" s="416">
        <v>136</v>
      </c>
      <c r="Z337" s="416">
        <v>134</v>
      </c>
      <c r="AA337" s="416">
        <v>133</v>
      </c>
      <c r="AB337" s="416">
        <v>133</v>
      </c>
      <c r="AC337" s="416">
        <v>132</v>
      </c>
      <c r="AD337" s="416">
        <v>131</v>
      </c>
      <c r="AE337" s="416">
        <v>129</v>
      </c>
      <c r="AF337" s="416">
        <v>0</v>
      </c>
      <c r="AG337" s="416">
        <v>0</v>
      </c>
      <c r="AH337" s="416">
        <v>0</v>
      </c>
      <c r="AI337" s="416">
        <v>0</v>
      </c>
      <c r="AJ337" s="416">
        <v>0</v>
      </c>
      <c r="AK337" s="416">
        <v>0</v>
      </c>
      <c r="AL337" s="416">
        <v>0</v>
      </c>
      <c r="AM337" s="416">
        <v>0</v>
      </c>
      <c r="AN337" s="416">
        <v>0</v>
      </c>
      <c r="AO337" s="416">
        <v>0</v>
      </c>
      <c r="AP337" s="416">
        <v>0</v>
      </c>
      <c r="AQ337" s="416">
        <v>0</v>
      </c>
      <c r="AR337" s="416">
        <v>0</v>
      </c>
      <c r="AS337" s="416">
        <v>0</v>
      </c>
      <c r="AT337" s="416">
        <v>0</v>
      </c>
      <c r="AU337" s="416">
        <v>0</v>
      </c>
      <c r="AV337" s="416">
        <v>0</v>
      </c>
      <c r="AW337" s="416">
        <v>0</v>
      </c>
      <c r="AX337" s="416">
        <v>0</v>
      </c>
      <c r="AY337" s="416">
        <v>0</v>
      </c>
      <c r="AZ337" s="416">
        <v>0</v>
      </c>
    </row>
    <row r="338" spans="1:52" s="411" customFormat="1" x14ac:dyDescent="0.3">
      <c r="A338" s="415" t="str">
        <f t="shared" si="5"/>
        <v>SA-182 Gr.F22</v>
      </c>
      <c r="B338" s="415">
        <v>332</v>
      </c>
      <c r="C338" s="415" t="s">
        <v>2954</v>
      </c>
      <c r="D338" s="415" t="s">
        <v>2737</v>
      </c>
      <c r="E338" s="415" t="s">
        <v>2188</v>
      </c>
      <c r="F338" s="415" t="s">
        <v>2430</v>
      </c>
      <c r="G338" s="415" t="s">
        <v>2955</v>
      </c>
      <c r="H338" s="415">
        <v>3</v>
      </c>
      <c r="I338" s="415">
        <v>0</v>
      </c>
      <c r="J338" s="415" t="s">
        <v>2956</v>
      </c>
      <c r="K338" s="415">
        <v>1</v>
      </c>
      <c r="L338" s="415">
        <v>515</v>
      </c>
      <c r="M338" s="415">
        <v>310</v>
      </c>
      <c r="N338" s="415">
        <v>649</v>
      </c>
      <c r="O338" s="415">
        <v>371</v>
      </c>
      <c r="P338" s="415">
        <v>649</v>
      </c>
      <c r="Q338" s="415" t="s">
        <v>2675</v>
      </c>
      <c r="R338" s="415" t="s">
        <v>2819</v>
      </c>
      <c r="S338" s="415" t="s">
        <v>2957</v>
      </c>
      <c r="T338" s="416">
        <v>148</v>
      </c>
      <c r="U338" s="416">
        <v>148</v>
      </c>
      <c r="V338" s="416">
        <v>148</v>
      </c>
      <c r="W338" s="416">
        <v>147</v>
      </c>
      <c r="X338" s="416">
        <v>146</v>
      </c>
      <c r="Y338" s="416">
        <v>144</v>
      </c>
      <c r="Z338" s="416">
        <v>142</v>
      </c>
      <c r="AA338" s="416">
        <v>141</v>
      </c>
      <c r="AB338" s="416">
        <v>141</v>
      </c>
      <c r="AC338" s="416">
        <v>140</v>
      </c>
      <c r="AD338" s="416">
        <v>139</v>
      </c>
      <c r="AE338" s="416">
        <v>138</v>
      </c>
      <c r="AF338" s="416">
        <v>136</v>
      </c>
      <c r="AG338" s="416">
        <v>133</v>
      </c>
      <c r="AH338" s="416">
        <v>130</v>
      </c>
      <c r="AI338" s="416">
        <v>116</v>
      </c>
      <c r="AJ338" s="416">
        <v>89.4</v>
      </c>
      <c r="AK338" s="416">
        <v>64.3</v>
      </c>
      <c r="AL338" s="416">
        <v>44.9</v>
      </c>
      <c r="AM338" s="416">
        <v>30.1</v>
      </c>
      <c r="AN338" s="416">
        <v>19.7</v>
      </c>
      <c r="AO338" s="416">
        <v>12.9</v>
      </c>
      <c r="AP338" s="416">
        <v>8.06</v>
      </c>
      <c r="AQ338" s="416">
        <v>0</v>
      </c>
      <c r="AR338" s="416">
        <v>0</v>
      </c>
      <c r="AS338" s="416">
        <v>0</v>
      </c>
      <c r="AT338" s="416">
        <v>0</v>
      </c>
      <c r="AU338" s="416">
        <v>0</v>
      </c>
      <c r="AV338" s="416">
        <v>0</v>
      </c>
      <c r="AW338" s="416">
        <v>0</v>
      </c>
      <c r="AX338" s="416">
        <v>0</v>
      </c>
      <c r="AY338" s="416">
        <v>0</v>
      </c>
      <c r="AZ338" s="416">
        <v>0</v>
      </c>
    </row>
    <row r="339" spans="1:52" s="411" customFormat="1" x14ac:dyDescent="0.3">
      <c r="A339" s="415" t="str">
        <f t="shared" si="5"/>
        <v>SA-336 Gr.F22</v>
      </c>
      <c r="B339" s="415">
        <v>333</v>
      </c>
      <c r="C339" s="415" t="s">
        <v>2954</v>
      </c>
      <c r="D339" s="415" t="s">
        <v>2737</v>
      </c>
      <c r="E339" s="415" t="s">
        <v>2211</v>
      </c>
      <c r="F339" s="415" t="s">
        <v>2430</v>
      </c>
      <c r="G339" s="415" t="s">
        <v>2955</v>
      </c>
      <c r="H339" s="415">
        <v>3</v>
      </c>
      <c r="I339" s="415">
        <v>0</v>
      </c>
      <c r="J339" s="415" t="s">
        <v>2956</v>
      </c>
      <c r="K339" s="415">
        <v>1</v>
      </c>
      <c r="L339" s="415">
        <v>515</v>
      </c>
      <c r="M339" s="415">
        <v>310</v>
      </c>
      <c r="N339" s="415">
        <v>649</v>
      </c>
      <c r="O339" s="415">
        <v>371</v>
      </c>
      <c r="P339" s="415">
        <v>649</v>
      </c>
      <c r="Q339" s="415" t="s">
        <v>2675</v>
      </c>
      <c r="R339" s="415" t="s">
        <v>2819</v>
      </c>
      <c r="S339" s="415" t="s">
        <v>2957</v>
      </c>
      <c r="T339" s="416">
        <v>148</v>
      </c>
      <c r="U339" s="416">
        <v>148</v>
      </c>
      <c r="V339" s="416">
        <v>148</v>
      </c>
      <c r="W339" s="416">
        <v>147</v>
      </c>
      <c r="X339" s="416">
        <v>146</v>
      </c>
      <c r="Y339" s="416">
        <v>144</v>
      </c>
      <c r="Z339" s="416">
        <v>142</v>
      </c>
      <c r="AA339" s="416">
        <v>141</v>
      </c>
      <c r="AB339" s="416">
        <v>141</v>
      </c>
      <c r="AC339" s="416">
        <v>140</v>
      </c>
      <c r="AD339" s="416">
        <v>139</v>
      </c>
      <c r="AE339" s="416">
        <v>138</v>
      </c>
      <c r="AF339" s="416">
        <v>136</v>
      </c>
      <c r="AG339" s="416">
        <v>133</v>
      </c>
      <c r="AH339" s="416">
        <v>130</v>
      </c>
      <c r="AI339" s="416">
        <v>116</v>
      </c>
      <c r="AJ339" s="416">
        <v>89.4</v>
      </c>
      <c r="AK339" s="416">
        <v>64.3</v>
      </c>
      <c r="AL339" s="416">
        <v>44.9</v>
      </c>
      <c r="AM339" s="416">
        <v>30.1</v>
      </c>
      <c r="AN339" s="416">
        <v>19.7</v>
      </c>
      <c r="AO339" s="416">
        <v>12.9</v>
      </c>
      <c r="AP339" s="416">
        <v>8.06</v>
      </c>
      <c r="AQ339" s="416">
        <v>0</v>
      </c>
      <c r="AR339" s="416">
        <v>0</v>
      </c>
      <c r="AS339" s="416">
        <v>0</v>
      </c>
      <c r="AT339" s="416">
        <v>0</v>
      </c>
      <c r="AU339" s="416">
        <v>0</v>
      </c>
      <c r="AV339" s="416">
        <v>0</v>
      </c>
      <c r="AW339" s="416">
        <v>0</v>
      </c>
      <c r="AX339" s="416">
        <v>0</v>
      </c>
      <c r="AY339" s="416">
        <v>0</v>
      </c>
      <c r="AZ339" s="416">
        <v>0</v>
      </c>
    </row>
    <row r="340" spans="1:52" s="411" customFormat="1" x14ac:dyDescent="0.3">
      <c r="A340" s="415" t="str">
        <f t="shared" si="5"/>
        <v>SA-387 Gr.22</v>
      </c>
      <c r="B340" s="415">
        <v>334</v>
      </c>
      <c r="C340" s="415" t="s">
        <v>2954</v>
      </c>
      <c r="D340" s="415" t="s">
        <v>2684</v>
      </c>
      <c r="E340" s="415" t="s">
        <v>2227</v>
      </c>
      <c r="F340" s="415">
        <v>22</v>
      </c>
      <c r="G340" s="415" t="s">
        <v>2955</v>
      </c>
      <c r="H340" s="415">
        <v>2</v>
      </c>
      <c r="I340" s="415">
        <v>0</v>
      </c>
      <c r="J340" s="415" t="s">
        <v>2956</v>
      </c>
      <c r="K340" s="415">
        <v>1</v>
      </c>
      <c r="L340" s="415">
        <v>515</v>
      </c>
      <c r="M340" s="415">
        <v>310</v>
      </c>
      <c r="N340" s="415">
        <v>649</v>
      </c>
      <c r="O340" s="415">
        <v>371</v>
      </c>
      <c r="P340" s="415">
        <v>649</v>
      </c>
      <c r="Q340" s="415" t="s">
        <v>2675</v>
      </c>
      <c r="R340" s="415" t="s">
        <v>2819</v>
      </c>
      <c r="S340" s="415" t="s">
        <v>2957</v>
      </c>
      <c r="T340" s="416">
        <v>148</v>
      </c>
      <c r="U340" s="416">
        <v>148</v>
      </c>
      <c r="V340" s="416">
        <v>148</v>
      </c>
      <c r="W340" s="416">
        <v>147</v>
      </c>
      <c r="X340" s="416">
        <v>146</v>
      </c>
      <c r="Y340" s="416">
        <v>144</v>
      </c>
      <c r="Z340" s="416">
        <v>142</v>
      </c>
      <c r="AA340" s="416">
        <v>141</v>
      </c>
      <c r="AB340" s="416">
        <v>141</v>
      </c>
      <c r="AC340" s="416">
        <v>140</v>
      </c>
      <c r="AD340" s="416">
        <v>139</v>
      </c>
      <c r="AE340" s="416">
        <v>138</v>
      </c>
      <c r="AF340" s="416">
        <v>136</v>
      </c>
      <c r="AG340" s="416">
        <v>133</v>
      </c>
      <c r="AH340" s="416">
        <v>130</v>
      </c>
      <c r="AI340" s="416">
        <v>116</v>
      </c>
      <c r="AJ340" s="416">
        <v>89.4</v>
      </c>
      <c r="AK340" s="416">
        <v>64.3</v>
      </c>
      <c r="AL340" s="416">
        <v>44.9</v>
      </c>
      <c r="AM340" s="416">
        <v>30.1</v>
      </c>
      <c r="AN340" s="416">
        <v>19.7</v>
      </c>
      <c r="AO340" s="416">
        <v>12.9</v>
      </c>
      <c r="AP340" s="416">
        <v>8.06</v>
      </c>
      <c r="AQ340" s="416">
        <v>0</v>
      </c>
      <c r="AR340" s="416">
        <v>0</v>
      </c>
      <c r="AS340" s="416">
        <v>0</v>
      </c>
      <c r="AT340" s="416">
        <v>0</v>
      </c>
      <c r="AU340" s="416">
        <v>0</v>
      </c>
      <c r="AV340" s="416">
        <v>0</v>
      </c>
      <c r="AW340" s="416">
        <v>0</v>
      </c>
      <c r="AX340" s="416">
        <v>0</v>
      </c>
      <c r="AY340" s="416">
        <v>0</v>
      </c>
      <c r="AZ340" s="416">
        <v>0</v>
      </c>
    </row>
    <row r="341" spans="1:52" s="411" customFormat="1" x14ac:dyDescent="0.3">
      <c r="A341" s="415" t="str">
        <f t="shared" si="5"/>
        <v>SA-691 Gr.21⁄4CR</v>
      </c>
      <c r="B341" s="415">
        <v>335</v>
      </c>
      <c r="C341" s="415" t="s">
        <v>2954</v>
      </c>
      <c r="D341" s="415" t="s">
        <v>2680</v>
      </c>
      <c r="E341" s="415" t="s">
        <v>2303</v>
      </c>
      <c r="F341" s="415" t="s">
        <v>2961</v>
      </c>
      <c r="G341" s="415" t="s">
        <v>2955</v>
      </c>
      <c r="H341" s="415">
        <v>0</v>
      </c>
      <c r="I341" s="415">
        <v>0</v>
      </c>
      <c r="J341" s="415" t="s">
        <v>2956</v>
      </c>
      <c r="K341" s="415">
        <v>1</v>
      </c>
      <c r="L341" s="415">
        <v>515</v>
      </c>
      <c r="M341" s="415">
        <v>310</v>
      </c>
      <c r="N341" s="415" t="s">
        <v>2675</v>
      </c>
      <c r="O341" s="415">
        <v>371</v>
      </c>
      <c r="P341" s="415" t="s">
        <v>2675</v>
      </c>
      <c r="Q341" s="415" t="s">
        <v>2675</v>
      </c>
      <c r="R341" s="415" t="s">
        <v>2819</v>
      </c>
      <c r="S341" s="415" t="s">
        <v>2882</v>
      </c>
      <c r="T341" s="416">
        <v>148</v>
      </c>
      <c r="U341" s="416">
        <v>148</v>
      </c>
      <c r="V341" s="416">
        <v>148</v>
      </c>
      <c r="W341" s="416">
        <v>147</v>
      </c>
      <c r="X341" s="416">
        <v>146</v>
      </c>
      <c r="Y341" s="416">
        <v>144</v>
      </c>
      <c r="Z341" s="416">
        <v>142</v>
      </c>
      <c r="AA341" s="416">
        <v>141</v>
      </c>
      <c r="AB341" s="416">
        <v>141</v>
      </c>
      <c r="AC341" s="416">
        <v>140</v>
      </c>
      <c r="AD341" s="416">
        <v>139</v>
      </c>
      <c r="AE341" s="416">
        <v>138</v>
      </c>
      <c r="AF341" s="416">
        <v>0</v>
      </c>
      <c r="AG341" s="416">
        <v>0</v>
      </c>
      <c r="AH341" s="416">
        <v>0</v>
      </c>
      <c r="AI341" s="416">
        <v>0</v>
      </c>
      <c r="AJ341" s="416">
        <v>0</v>
      </c>
      <c r="AK341" s="416">
        <v>0</v>
      </c>
      <c r="AL341" s="416">
        <v>0</v>
      </c>
      <c r="AM341" s="416">
        <v>0</v>
      </c>
      <c r="AN341" s="416">
        <v>0</v>
      </c>
      <c r="AO341" s="416">
        <v>0</v>
      </c>
      <c r="AP341" s="416">
        <v>0</v>
      </c>
      <c r="AQ341" s="416">
        <v>0</v>
      </c>
      <c r="AR341" s="416">
        <v>0</v>
      </c>
      <c r="AS341" s="416">
        <v>0</v>
      </c>
      <c r="AT341" s="416">
        <v>0</v>
      </c>
      <c r="AU341" s="416">
        <v>0</v>
      </c>
      <c r="AV341" s="416">
        <v>0</v>
      </c>
      <c r="AW341" s="416">
        <v>0</v>
      </c>
      <c r="AX341" s="416">
        <v>0</v>
      </c>
      <c r="AY341" s="416">
        <v>0</v>
      </c>
      <c r="AZ341" s="416">
        <v>0</v>
      </c>
    </row>
    <row r="342" spans="1:52" s="411" customFormat="1" x14ac:dyDescent="0.3">
      <c r="A342" s="415" t="str">
        <f t="shared" si="5"/>
        <v>SA-739 Gr.B22</v>
      </c>
      <c r="B342" s="415">
        <v>336</v>
      </c>
      <c r="C342" s="415" t="s">
        <v>2954</v>
      </c>
      <c r="D342" s="415" t="s">
        <v>2677</v>
      </c>
      <c r="E342" s="415" t="s">
        <v>2317</v>
      </c>
      <c r="F342" s="415" t="s">
        <v>2343</v>
      </c>
      <c r="G342" s="415" t="s">
        <v>2964</v>
      </c>
      <c r="H342" s="415">
        <v>0</v>
      </c>
      <c r="I342" s="415">
        <v>0</v>
      </c>
      <c r="J342" s="415" t="s">
        <v>2956</v>
      </c>
      <c r="K342" s="415">
        <v>1</v>
      </c>
      <c r="L342" s="415">
        <v>515</v>
      </c>
      <c r="M342" s="415">
        <v>310</v>
      </c>
      <c r="N342" s="415" t="s">
        <v>2675</v>
      </c>
      <c r="O342" s="415">
        <v>371</v>
      </c>
      <c r="P342" s="415">
        <v>649</v>
      </c>
      <c r="Q342" s="415" t="s">
        <v>2675</v>
      </c>
      <c r="R342" s="415" t="s">
        <v>2819</v>
      </c>
      <c r="S342" s="415" t="s">
        <v>2965</v>
      </c>
      <c r="T342" s="416">
        <v>148</v>
      </c>
      <c r="U342" s="416">
        <v>148</v>
      </c>
      <c r="V342" s="416">
        <v>148</v>
      </c>
      <c r="W342" s="416">
        <v>147</v>
      </c>
      <c r="X342" s="416">
        <v>146</v>
      </c>
      <c r="Y342" s="416">
        <v>144</v>
      </c>
      <c r="Z342" s="416">
        <v>142</v>
      </c>
      <c r="AA342" s="416">
        <v>141</v>
      </c>
      <c r="AB342" s="416">
        <v>141</v>
      </c>
      <c r="AC342" s="416">
        <v>140</v>
      </c>
      <c r="AD342" s="416">
        <v>139</v>
      </c>
      <c r="AE342" s="416">
        <v>138</v>
      </c>
      <c r="AF342" s="416">
        <v>136</v>
      </c>
      <c r="AG342" s="416">
        <v>133</v>
      </c>
      <c r="AH342" s="416">
        <v>130</v>
      </c>
      <c r="AI342" s="416">
        <v>116</v>
      </c>
      <c r="AJ342" s="416">
        <v>89.4</v>
      </c>
      <c r="AK342" s="416">
        <v>64.3</v>
      </c>
      <c r="AL342" s="416">
        <v>44.9</v>
      </c>
      <c r="AM342" s="416">
        <v>30.1</v>
      </c>
      <c r="AN342" s="416">
        <v>19.7</v>
      </c>
      <c r="AO342" s="416">
        <v>12.9</v>
      </c>
      <c r="AP342" s="416">
        <v>8.06</v>
      </c>
      <c r="AQ342" s="416">
        <v>0</v>
      </c>
      <c r="AR342" s="416">
        <v>0</v>
      </c>
      <c r="AS342" s="416">
        <v>0</v>
      </c>
      <c r="AT342" s="416">
        <v>0</v>
      </c>
      <c r="AU342" s="416">
        <v>0</v>
      </c>
      <c r="AV342" s="416">
        <v>0</v>
      </c>
      <c r="AW342" s="416">
        <v>0</v>
      </c>
      <c r="AX342" s="416">
        <v>0</v>
      </c>
      <c r="AY342" s="416">
        <v>0</v>
      </c>
      <c r="AZ342" s="416">
        <v>0</v>
      </c>
    </row>
    <row r="343" spans="1:52" s="411" customFormat="1" x14ac:dyDescent="0.3">
      <c r="A343" s="415" t="str">
        <f t="shared" si="5"/>
        <v>SA-487 Gr.8</v>
      </c>
      <c r="B343" s="415">
        <v>337</v>
      </c>
      <c r="C343" s="415" t="s">
        <v>2954</v>
      </c>
      <c r="D343" s="415" t="s">
        <v>2739</v>
      </c>
      <c r="E343" s="415" t="s">
        <v>2247</v>
      </c>
      <c r="F343" s="415">
        <v>8</v>
      </c>
      <c r="G343" s="415" t="s">
        <v>2966</v>
      </c>
      <c r="H343" s="415" t="s">
        <v>12</v>
      </c>
      <c r="I343" s="415">
        <v>0</v>
      </c>
      <c r="J343" s="415" t="s">
        <v>2967</v>
      </c>
      <c r="K343" s="415">
        <v>1</v>
      </c>
      <c r="L343" s="415">
        <v>585</v>
      </c>
      <c r="M343" s="415">
        <v>380</v>
      </c>
      <c r="N343" s="415" t="s">
        <v>2675</v>
      </c>
      <c r="O343" s="415" t="s">
        <v>2675</v>
      </c>
      <c r="P343" s="415">
        <v>538</v>
      </c>
      <c r="Q343" s="415" t="s">
        <v>2675</v>
      </c>
      <c r="R343" s="415" t="s">
        <v>2819</v>
      </c>
      <c r="S343" s="415" t="s">
        <v>2968</v>
      </c>
      <c r="T343" s="416">
        <v>168</v>
      </c>
      <c r="U343" s="416">
        <v>168</v>
      </c>
      <c r="V343" s="416">
        <v>168</v>
      </c>
      <c r="W343" s="416">
        <v>167</v>
      </c>
      <c r="X343" s="416">
        <v>165</v>
      </c>
      <c r="Y343" s="416">
        <v>163</v>
      </c>
      <c r="Z343" s="416">
        <v>162</v>
      </c>
      <c r="AA343" s="416">
        <v>162</v>
      </c>
      <c r="AB343" s="416">
        <v>161</v>
      </c>
      <c r="AC343" s="416">
        <v>160</v>
      </c>
      <c r="AD343" s="416">
        <v>160</v>
      </c>
      <c r="AE343" s="416">
        <v>157</v>
      </c>
      <c r="AF343" s="416">
        <v>154</v>
      </c>
      <c r="AG343" s="416">
        <v>150</v>
      </c>
      <c r="AH343" s="416">
        <v>145</v>
      </c>
      <c r="AI343" s="416">
        <v>120</v>
      </c>
      <c r="AJ343" s="416">
        <v>88.1</v>
      </c>
      <c r="AK343" s="416">
        <v>65.099999999999994</v>
      </c>
      <c r="AL343" s="416">
        <v>42.9</v>
      </c>
      <c r="AM343" s="416">
        <v>0</v>
      </c>
      <c r="AN343" s="416">
        <v>0</v>
      </c>
      <c r="AO343" s="416">
        <v>0</v>
      </c>
      <c r="AP343" s="416">
        <v>0</v>
      </c>
      <c r="AQ343" s="416">
        <v>0</v>
      </c>
      <c r="AR343" s="416">
        <v>0</v>
      </c>
      <c r="AS343" s="416">
        <v>0</v>
      </c>
      <c r="AT343" s="416">
        <v>0</v>
      </c>
      <c r="AU343" s="416">
        <v>0</v>
      </c>
      <c r="AV343" s="416">
        <v>0</v>
      </c>
      <c r="AW343" s="416">
        <v>0</v>
      </c>
      <c r="AX343" s="416">
        <v>0</v>
      </c>
      <c r="AY343" s="416">
        <v>0</v>
      </c>
      <c r="AZ343" s="416">
        <v>0</v>
      </c>
    </row>
    <row r="344" spans="1:52" s="411" customFormat="1" x14ac:dyDescent="0.3">
      <c r="A344" s="415" t="str">
        <f t="shared" si="5"/>
        <v>SA-508 Gr.22</v>
      </c>
      <c r="B344" s="415">
        <v>338</v>
      </c>
      <c r="C344" s="415" t="s">
        <v>2954</v>
      </c>
      <c r="D344" s="415" t="s">
        <v>2737</v>
      </c>
      <c r="E344" s="415" t="s">
        <v>2249</v>
      </c>
      <c r="F344" s="415">
        <v>22</v>
      </c>
      <c r="G344" s="415" t="s">
        <v>2955</v>
      </c>
      <c r="H344" s="415">
        <v>3</v>
      </c>
      <c r="I344" s="415">
        <v>0</v>
      </c>
      <c r="J344" s="415" t="s">
        <v>2967</v>
      </c>
      <c r="K344" s="415">
        <v>1</v>
      </c>
      <c r="L344" s="415">
        <v>585</v>
      </c>
      <c r="M344" s="415">
        <v>380</v>
      </c>
      <c r="N344" s="415" t="s">
        <v>2675</v>
      </c>
      <c r="O344" s="415" t="s">
        <v>2675</v>
      </c>
      <c r="P344" s="415">
        <v>454</v>
      </c>
      <c r="Q344" s="415" t="s">
        <v>2675</v>
      </c>
      <c r="R344" s="415" t="s">
        <v>2699</v>
      </c>
      <c r="S344" s="415">
        <v>0</v>
      </c>
      <c r="T344" s="416">
        <v>168</v>
      </c>
      <c r="U344" s="416">
        <v>168</v>
      </c>
      <c r="V344" s="416">
        <v>168</v>
      </c>
      <c r="W344" s="416">
        <v>168</v>
      </c>
      <c r="X344" s="416">
        <v>168</v>
      </c>
      <c r="Y344" s="416">
        <v>168</v>
      </c>
      <c r="Z344" s="416">
        <v>168</v>
      </c>
      <c r="AA344" s="416">
        <v>165</v>
      </c>
      <c r="AB344" s="416">
        <v>161</v>
      </c>
      <c r="AC344" s="416">
        <v>160</v>
      </c>
      <c r="AD344" s="416">
        <v>159</v>
      </c>
      <c r="AE344" s="416">
        <v>158</v>
      </c>
      <c r="AF344" s="416">
        <v>156</v>
      </c>
      <c r="AG344" s="416">
        <v>151</v>
      </c>
      <c r="AH344" s="416">
        <v>142</v>
      </c>
      <c r="AI344" s="416">
        <v>133</v>
      </c>
      <c r="AJ344" s="416">
        <v>0</v>
      </c>
      <c r="AK344" s="416">
        <v>0</v>
      </c>
      <c r="AL344" s="416">
        <v>0</v>
      </c>
      <c r="AM344" s="416">
        <v>0</v>
      </c>
      <c r="AN344" s="416">
        <v>0</v>
      </c>
      <c r="AO344" s="416">
        <v>0</v>
      </c>
      <c r="AP344" s="416">
        <v>0</v>
      </c>
      <c r="AQ344" s="416">
        <v>0</v>
      </c>
      <c r="AR344" s="416">
        <v>0</v>
      </c>
      <c r="AS344" s="416">
        <v>0</v>
      </c>
      <c r="AT344" s="416">
        <v>0</v>
      </c>
      <c r="AU344" s="416">
        <v>0</v>
      </c>
      <c r="AV344" s="416">
        <v>0</v>
      </c>
      <c r="AW344" s="416">
        <v>0</v>
      </c>
      <c r="AX344" s="416">
        <v>0</v>
      </c>
      <c r="AY344" s="416">
        <v>0</v>
      </c>
      <c r="AZ344" s="416">
        <v>0</v>
      </c>
    </row>
    <row r="345" spans="1:52" s="411" customFormat="1" x14ac:dyDescent="0.3">
      <c r="A345" s="415" t="str">
        <f t="shared" si="5"/>
        <v>SA-541 Gr.22</v>
      </c>
      <c r="B345" s="415">
        <v>339</v>
      </c>
      <c r="C345" s="415" t="s">
        <v>2954</v>
      </c>
      <c r="D345" s="415" t="s">
        <v>2737</v>
      </c>
      <c r="E345" s="415" t="s">
        <v>2263</v>
      </c>
      <c r="F345" s="415">
        <v>22</v>
      </c>
      <c r="G345" s="415" t="s">
        <v>2964</v>
      </c>
      <c r="H345" s="415">
        <v>3</v>
      </c>
      <c r="I345" s="415">
        <v>0</v>
      </c>
      <c r="J345" s="415" t="s">
        <v>2967</v>
      </c>
      <c r="K345" s="415">
        <v>1</v>
      </c>
      <c r="L345" s="415">
        <v>585</v>
      </c>
      <c r="M345" s="415">
        <v>380</v>
      </c>
      <c r="N345" s="415" t="s">
        <v>2675</v>
      </c>
      <c r="O345" s="415" t="s">
        <v>2675</v>
      </c>
      <c r="P345" s="415">
        <v>454</v>
      </c>
      <c r="Q345" s="415" t="s">
        <v>2675</v>
      </c>
      <c r="R345" s="415" t="s">
        <v>2699</v>
      </c>
      <c r="S345" s="415">
        <v>0</v>
      </c>
      <c r="T345" s="416">
        <v>168</v>
      </c>
      <c r="U345" s="416">
        <v>168</v>
      </c>
      <c r="V345" s="416">
        <v>168</v>
      </c>
      <c r="W345" s="416">
        <v>168</v>
      </c>
      <c r="X345" s="416">
        <v>168</v>
      </c>
      <c r="Y345" s="416">
        <v>168</v>
      </c>
      <c r="Z345" s="416">
        <v>168</v>
      </c>
      <c r="AA345" s="416">
        <v>165</v>
      </c>
      <c r="AB345" s="416">
        <v>161</v>
      </c>
      <c r="AC345" s="416">
        <v>160</v>
      </c>
      <c r="AD345" s="416">
        <v>159</v>
      </c>
      <c r="AE345" s="416">
        <v>158</v>
      </c>
      <c r="AF345" s="416">
        <v>156</v>
      </c>
      <c r="AG345" s="416">
        <v>151</v>
      </c>
      <c r="AH345" s="416">
        <v>142</v>
      </c>
      <c r="AI345" s="416">
        <v>133</v>
      </c>
      <c r="AJ345" s="416">
        <v>0</v>
      </c>
      <c r="AK345" s="416">
        <v>0</v>
      </c>
      <c r="AL345" s="416">
        <v>0</v>
      </c>
      <c r="AM345" s="416">
        <v>0</v>
      </c>
      <c r="AN345" s="416">
        <v>0</v>
      </c>
      <c r="AO345" s="416">
        <v>0</v>
      </c>
      <c r="AP345" s="416">
        <v>0</v>
      </c>
      <c r="AQ345" s="416">
        <v>0</v>
      </c>
      <c r="AR345" s="416">
        <v>0</v>
      </c>
      <c r="AS345" s="416">
        <v>0</v>
      </c>
      <c r="AT345" s="416">
        <v>0</v>
      </c>
      <c r="AU345" s="416">
        <v>0</v>
      </c>
      <c r="AV345" s="416">
        <v>0</v>
      </c>
      <c r="AW345" s="416">
        <v>0</v>
      </c>
      <c r="AX345" s="416">
        <v>0</v>
      </c>
      <c r="AY345" s="416">
        <v>0</v>
      </c>
      <c r="AZ345" s="416">
        <v>0</v>
      </c>
    </row>
    <row r="346" spans="1:52" s="411" customFormat="1" x14ac:dyDescent="0.3">
      <c r="A346" s="415" t="str">
        <f t="shared" si="5"/>
        <v>SA-542 Gr.B</v>
      </c>
      <c r="B346" s="415">
        <v>340</v>
      </c>
      <c r="C346" s="415" t="s">
        <v>2954</v>
      </c>
      <c r="D346" s="415" t="s">
        <v>2684</v>
      </c>
      <c r="E346" s="415" t="s">
        <v>2265</v>
      </c>
      <c r="F346" s="415" t="s">
        <v>1864</v>
      </c>
      <c r="G346" s="415" t="s">
        <v>2955</v>
      </c>
      <c r="H346" s="415">
        <v>4</v>
      </c>
      <c r="I346" s="415">
        <v>0</v>
      </c>
      <c r="J346" s="415" t="s">
        <v>2967</v>
      </c>
      <c r="K346" s="415">
        <v>1</v>
      </c>
      <c r="L346" s="415">
        <v>585</v>
      </c>
      <c r="M346" s="415">
        <v>380</v>
      </c>
      <c r="N346" s="415" t="s">
        <v>2675</v>
      </c>
      <c r="O346" s="415" t="s">
        <v>2675</v>
      </c>
      <c r="P346" s="415">
        <v>454</v>
      </c>
      <c r="Q346" s="415" t="s">
        <v>2675</v>
      </c>
      <c r="R346" s="415" t="s">
        <v>2699</v>
      </c>
      <c r="S346" s="415">
        <v>0</v>
      </c>
      <c r="T346" s="416">
        <v>168</v>
      </c>
      <c r="U346" s="416">
        <v>168</v>
      </c>
      <c r="V346" s="416">
        <v>168</v>
      </c>
      <c r="W346" s="416">
        <v>168</v>
      </c>
      <c r="X346" s="416">
        <v>168</v>
      </c>
      <c r="Y346" s="416">
        <v>168</v>
      </c>
      <c r="Z346" s="416">
        <v>168</v>
      </c>
      <c r="AA346" s="416">
        <v>165</v>
      </c>
      <c r="AB346" s="416">
        <v>161</v>
      </c>
      <c r="AC346" s="416">
        <v>160</v>
      </c>
      <c r="AD346" s="416">
        <v>159</v>
      </c>
      <c r="AE346" s="416">
        <v>158</v>
      </c>
      <c r="AF346" s="416">
        <v>156</v>
      </c>
      <c r="AG346" s="416">
        <v>151</v>
      </c>
      <c r="AH346" s="416">
        <v>142</v>
      </c>
      <c r="AI346" s="416">
        <v>133</v>
      </c>
      <c r="AJ346" s="416">
        <v>0</v>
      </c>
      <c r="AK346" s="416">
        <v>0</v>
      </c>
      <c r="AL346" s="416">
        <v>0</v>
      </c>
      <c r="AM346" s="416">
        <v>0</v>
      </c>
      <c r="AN346" s="416">
        <v>0</v>
      </c>
      <c r="AO346" s="416">
        <v>0</v>
      </c>
      <c r="AP346" s="416">
        <v>0</v>
      </c>
      <c r="AQ346" s="416">
        <v>0</v>
      </c>
      <c r="AR346" s="416">
        <v>0</v>
      </c>
      <c r="AS346" s="416">
        <v>0</v>
      </c>
      <c r="AT346" s="416">
        <v>0</v>
      </c>
      <c r="AU346" s="416">
        <v>0</v>
      </c>
      <c r="AV346" s="416">
        <v>0</v>
      </c>
      <c r="AW346" s="416">
        <v>0</v>
      </c>
      <c r="AX346" s="416">
        <v>0</v>
      </c>
      <c r="AY346" s="416">
        <v>0</v>
      </c>
      <c r="AZ346" s="416">
        <v>0</v>
      </c>
    </row>
    <row r="347" spans="1:52" s="411" customFormat="1" x14ac:dyDescent="0.3">
      <c r="A347" s="415" t="str">
        <f t="shared" si="5"/>
        <v>SA-182 Gr.F22V</v>
      </c>
      <c r="B347" s="415">
        <v>341</v>
      </c>
      <c r="C347" s="415" t="s">
        <v>2969</v>
      </c>
      <c r="D347" s="415" t="s">
        <v>2737</v>
      </c>
      <c r="E347" s="415" t="s">
        <v>2188</v>
      </c>
      <c r="F347" s="415" t="s">
        <v>2431</v>
      </c>
      <c r="G347" s="415" t="s">
        <v>2970</v>
      </c>
      <c r="H347" s="415">
        <v>0</v>
      </c>
      <c r="I347" s="415">
        <v>0</v>
      </c>
      <c r="J347" s="415" t="s">
        <v>2967</v>
      </c>
      <c r="K347" s="415">
        <v>1</v>
      </c>
      <c r="L347" s="415">
        <v>585</v>
      </c>
      <c r="M347" s="415">
        <v>415</v>
      </c>
      <c r="N347" s="415" t="s">
        <v>2675</v>
      </c>
      <c r="O347" s="415" t="s">
        <v>2675</v>
      </c>
      <c r="P347" s="415">
        <v>482</v>
      </c>
      <c r="Q347" s="415" t="s">
        <v>2675</v>
      </c>
      <c r="R347" s="415" t="s">
        <v>2699</v>
      </c>
      <c r="S347" s="415">
        <v>0</v>
      </c>
      <c r="T347" s="416">
        <v>168</v>
      </c>
      <c r="U347" s="416">
        <v>168</v>
      </c>
      <c r="V347" s="416">
        <v>168</v>
      </c>
      <c r="W347" s="416">
        <v>168</v>
      </c>
      <c r="X347" s="416">
        <v>168</v>
      </c>
      <c r="Y347" s="416">
        <v>168</v>
      </c>
      <c r="Z347" s="416">
        <v>168</v>
      </c>
      <c r="AA347" s="416">
        <v>168</v>
      </c>
      <c r="AB347" s="416">
        <v>165</v>
      </c>
      <c r="AC347" s="416">
        <v>162</v>
      </c>
      <c r="AD347" s="416">
        <v>159</v>
      </c>
      <c r="AE347" s="416">
        <v>157</v>
      </c>
      <c r="AF347" s="416">
        <v>153</v>
      </c>
      <c r="AG347" s="416">
        <v>149</v>
      </c>
      <c r="AH347" s="416">
        <v>145</v>
      </c>
      <c r="AI347" s="416">
        <v>141</v>
      </c>
      <c r="AJ347" s="416">
        <v>137</v>
      </c>
      <c r="AK347" s="416">
        <v>0</v>
      </c>
      <c r="AL347" s="416">
        <v>0</v>
      </c>
      <c r="AM347" s="416">
        <v>0</v>
      </c>
      <c r="AN347" s="416">
        <v>0</v>
      </c>
      <c r="AO347" s="416">
        <v>0</v>
      </c>
      <c r="AP347" s="416">
        <v>0</v>
      </c>
      <c r="AQ347" s="416">
        <v>0</v>
      </c>
      <c r="AR347" s="416">
        <v>0</v>
      </c>
      <c r="AS347" s="416">
        <v>0</v>
      </c>
      <c r="AT347" s="416">
        <v>0</v>
      </c>
      <c r="AU347" s="416">
        <v>0</v>
      </c>
      <c r="AV347" s="416">
        <v>0</v>
      </c>
      <c r="AW347" s="416">
        <v>0</v>
      </c>
      <c r="AX347" s="416">
        <v>0</v>
      </c>
      <c r="AY347" s="416">
        <v>0</v>
      </c>
      <c r="AZ347" s="416">
        <v>0</v>
      </c>
    </row>
    <row r="348" spans="1:52" s="411" customFormat="1" x14ac:dyDescent="0.3">
      <c r="A348" s="415" t="str">
        <f t="shared" si="5"/>
        <v>SA-336 Gr.F22V</v>
      </c>
      <c r="B348" s="415">
        <v>342</v>
      </c>
      <c r="C348" s="415" t="s">
        <v>2969</v>
      </c>
      <c r="D348" s="415" t="s">
        <v>2737</v>
      </c>
      <c r="E348" s="415" t="s">
        <v>2211</v>
      </c>
      <c r="F348" s="415" t="s">
        <v>2431</v>
      </c>
      <c r="G348" s="415" t="s">
        <v>2970</v>
      </c>
      <c r="H348" s="415">
        <v>0</v>
      </c>
      <c r="I348" s="415">
        <v>0</v>
      </c>
      <c r="J348" s="415" t="s">
        <v>2967</v>
      </c>
      <c r="K348" s="415">
        <v>1</v>
      </c>
      <c r="L348" s="415">
        <v>585</v>
      </c>
      <c r="M348" s="415">
        <v>415</v>
      </c>
      <c r="N348" s="415" t="s">
        <v>2675</v>
      </c>
      <c r="O348" s="415" t="s">
        <v>2675</v>
      </c>
      <c r="P348" s="415">
        <v>482</v>
      </c>
      <c r="Q348" s="415" t="s">
        <v>2675</v>
      </c>
      <c r="R348" s="415" t="s">
        <v>2699</v>
      </c>
      <c r="S348" s="415">
        <v>0</v>
      </c>
      <c r="T348" s="416">
        <v>168</v>
      </c>
      <c r="U348" s="416">
        <v>168</v>
      </c>
      <c r="V348" s="416">
        <v>168</v>
      </c>
      <c r="W348" s="416">
        <v>168</v>
      </c>
      <c r="X348" s="416">
        <v>168</v>
      </c>
      <c r="Y348" s="416">
        <v>168</v>
      </c>
      <c r="Z348" s="416">
        <v>168</v>
      </c>
      <c r="AA348" s="416">
        <v>168</v>
      </c>
      <c r="AB348" s="416">
        <v>165</v>
      </c>
      <c r="AC348" s="416">
        <v>162</v>
      </c>
      <c r="AD348" s="416">
        <v>159</v>
      </c>
      <c r="AE348" s="416">
        <v>157</v>
      </c>
      <c r="AF348" s="416">
        <v>153</v>
      </c>
      <c r="AG348" s="416">
        <v>149</v>
      </c>
      <c r="AH348" s="416">
        <v>145</v>
      </c>
      <c r="AI348" s="416">
        <v>141</v>
      </c>
      <c r="AJ348" s="416">
        <v>137</v>
      </c>
      <c r="AK348" s="416">
        <v>0</v>
      </c>
      <c r="AL348" s="416">
        <v>0</v>
      </c>
      <c r="AM348" s="416">
        <v>0</v>
      </c>
      <c r="AN348" s="416">
        <v>0</v>
      </c>
      <c r="AO348" s="416">
        <v>0</v>
      </c>
      <c r="AP348" s="416">
        <v>0</v>
      </c>
      <c r="AQ348" s="416">
        <v>0</v>
      </c>
      <c r="AR348" s="416">
        <v>0</v>
      </c>
      <c r="AS348" s="416">
        <v>0</v>
      </c>
      <c r="AT348" s="416">
        <v>0</v>
      </c>
      <c r="AU348" s="416">
        <v>0</v>
      </c>
      <c r="AV348" s="416">
        <v>0</v>
      </c>
      <c r="AW348" s="416">
        <v>0</v>
      </c>
      <c r="AX348" s="416">
        <v>0</v>
      </c>
      <c r="AY348" s="416">
        <v>0</v>
      </c>
      <c r="AZ348" s="416">
        <v>0</v>
      </c>
    </row>
    <row r="349" spans="1:52" s="411" customFormat="1" x14ac:dyDescent="0.3">
      <c r="A349" s="415" t="str">
        <f t="shared" si="5"/>
        <v>SA-541 Gr.22V</v>
      </c>
      <c r="B349" s="415">
        <v>343</v>
      </c>
      <c r="C349" s="415" t="s">
        <v>2969</v>
      </c>
      <c r="D349" s="415" t="s">
        <v>2737</v>
      </c>
      <c r="E349" s="415" t="s">
        <v>2263</v>
      </c>
      <c r="F349" s="415" t="s">
        <v>2238</v>
      </c>
      <c r="G349" s="415" t="s">
        <v>2970</v>
      </c>
      <c r="H349" s="415">
        <v>0</v>
      </c>
      <c r="I349" s="415">
        <v>0</v>
      </c>
      <c r="J349" s="415" t="s">
        <v>2967</v>
      </c>
      <c r="K349" s="415">
        <v>1</v>
      </c>
      <c r="L349" s="415">
        <v>585</v>
      </c>
      <c r="M349" s="415">
        <v>415</v>
      </c>
      <c r="N349" s="415" t="s">
        <v>2675</v>
      </c>
      <c r="O349" s="415" t="s">
        <v>2675</v>
      </c>
      <c r="P349" s="415">
        <v>482</v>
      </c>
      <c r="Q349" s="415" t="s">
        <v>2675</v>
      </c>
      <c r="R349" s="415" t="s">
        <v>2699</v>
      </c>
      <c r="S349" s="415">
        <v>0</v>
      </c>
      <c r="T349" s="416">
        <v>168</v>
      </c>
      <c r="U349" s="416">
        <v>168</v>
      </c>
      <c r="V349" s="416">
        <v>168</v>
      </c>
      <c r="W349" s="416">
        <v>168</v>
      </c>
      <c r="X349" s="416">
        <v>168</v>
      </c>
      <c r="Y349" s="416">
        <v>168</v>
      </c>
      <c r="Z349" s="416">
        <v>168</v>
      </c>
      <c r="AA349" s="416">
        <v>168</v>
      </c>
      <c r="AB349" s="416">
        <v>165</v>
      </c>
      <c r="AC349" s="416">
        <v>162</v>
      </c>
      <c r="AD349" s="416">
        <v>159</v>
      </c>
      <c r="AE349" s="416">
        <v>157</v>
      </c>
      <c r="AF349" s="416">
        <v>153</v>
      </c>
      <c r="AG349" s="416">
        <v>149</v>
      </c>
      <c r="AH349" s="416">
        <v>145</v>
      </c>
      <c r="AI349" s="416">
        <v>141</v>
      </c>
      <c r="AJ349" s="416">
        <v>137</v>
      </c>
      <c r="AK349" s="416">
        <v>0</v>
      </c>
      <c r="AL349" s="416">
        <v>0</v>
      </c>
      <c r="AM349" s="416">
        <v>0</v>
      </c>
      <c r="AN349" s="416">
        <v>0</v>
      </c>
      <c r="AO349" s="416">
        <v>0</v>
      </c>
      <c r="AP349" s="416">
        <v>0</v>
      </c>
      <c r="AQ349" s="416">
        <v>0</v>
      </c>
      <c r="AR349" s="416">
        <v>0</v>
      </c>
      <c r="AS349" s="416">
        <v>0</v>
      </c>
      <c r="AT349" s="416">
        <v>0</v>
      </c>
      <c r="AU349" s="416">
        <v>0</v>
      </c>
      <c r="AV349" s="416">
        <v>0</v>
      </c>
      <c r="AW349" s="416">
        <v>0</v>
      </c>
      <c r="AX349" s="416">
        <v>0</v>
      </c>
      <c r="AY349" s="416">
        <v>0</v>
      </c>
      <c r="AZ349" s="416">
        <v>0</v>
      </c>
    </row>
    <row r="350" spans="1:52" s="411" customFormat="1" x14ac:dyDescent="0.3">
      <c r="A350" s="415" t="str">
        <f t="shared" si="5"/>
        <v>SA-542 Gr.D</v>
      </c>
      <c r="B350" s="415">
        <v>344</v>
      </c>
      <c r="C350" s="415" t="s">
        <v>2969</v>
      </c>
      <c r="D350" s="415" t="s">
        <v>2684</v>
      </c>
      <c r="E350" s="415" t="s">
        <v>2265</v>
      </c>
      <c r="F350" s="415" t="s">
        <v>2414</v>
      </c>
      <c r="G350" s="415" t="s">
        <v>2970</v>
      </c>
      <c r="H350" s="415" t="s">
        <v>2971</v>
      </c>
      <c r="I350" s="415">
        <v>0</v>
      </c>
      <c r="J350" s="415" t="s">
        <v>2967</v>
      </c>
      <c r="K350" s="415">
        <v>1</v>
      </c>
      <c r="L350" s="415">
        <v>585</v>
      </c>
      <c r="M350" s="415">
        <v>415</v>
      </c>
      <c r="N350" s="415" t="s">
        <v>2675</v>
      </c>
      <c r="O350" s="415" t="s">
        <v>2675</v>
      </c>
      <c r="P350" s="415">
        <v>482</v>
      </c>
      <c r="Q350" s="415" t="s">
        <v>2675</v>
      </c>
      <c r="R350" s="415" t="s">
        <v>2699</v>
      </c>
      <c r="S350" s="415">
        <v>0</v>
      </c>
      <c r="T350" s="416">
        <v>168</v>
      </c>
      <c r="U350" s="416">
        <v>168</v>
      </c>
      <c r="V350" s="416">
        <v>168</v>
      </c>
      <c r="W350" s="416">
        <v>168</v>
      </c>
      <c r="X350" s="416">
        <v>168</v>
      </c>
      <c r="Y350" s="416">
        <v>168</v>
      </c>
      <c r="Z350" s="416">
        <v>168</v>
      </c>
      <c r="AA350" s="416">
        <v>168</v>
      </c>
      <c r="AB350" s="416">
        <v>165</v>
      </c>
      <c r="AC350" s="416">
        <v>162</v>
      </c>
      <c r="AD350" s="416">
        <v>159</v>
      </c>
      <c r="AE350" s="416">
        <v>157</v>
      </c>
      <c r="AF350" s="416">
        <v>153</v>
      </c>
      <c r="AG350" s="416">
        <v>149</v>
      </c>
      <c r="AH350" s="416">
        <v>145</v>
      </c>
      <c r="AI350" s="416">
        <v>141</v>
      </c>
      <c r="AJ350" s="416">
        <v>137</v>
      </c>
      <c r="AK350" s="416">
        <v>0</v>
      </c>
      <c r="AL350" s="416">
        <v>0</v>
      </c>
      <c r="AM350" s="416">
        <v>0</v>
      </c>
      <c r="AN350" s="416">
        <v>0</v>
      </c>
      <c r="AO350" s="416">
        <v>0</v>
      </c>
      <c r="AP350" s="416">
        <v>0</v>
      </c>
      <c r="AQ350" s="416">
        <v>0</v>
      </c>
      <c r="AR350" s="416">
        <v>0</v>
      </c>
      <c r="AS350" s="416">
        <v>0</v>
      </c>
      <c r="AT350" s="416">
        <v>0</v>
      </c>
      <c r="AU350" s="416">
        <v>0</v>
      </c>
      <c r="AV350" s="416">
        <v>0</v>
      </c>
      <c r="AW350" s="416">
        <v>0</v>
      </c>
      <c r="AX350" s="416">
        <v>0</v>
      </c>
      <c r="AY350" s="416">
        <v>0</v>
      </c>
      <c r="AZ350" s="416">
        <v>0</v>
      </c>
    </row>
    <row r="351" spans="1:52" s="411" customFormat="1" x14ac:dyDescent="0.3">
      <c r="A351" s="415" t="str">
        <f t="shared" si="5"/>
        <v>SA-832 Gr.22V</v>
      </c>
      <c r="B351" s="415">
        <v>345</v>
      </c>
      <c r="C351" s="415" t="s">
        <v>2969</v>
      </c>
      <c r="D351" s="415" t="s">
        <v>2684</v>
      </c>
      <c r="E351" s="415" t="s">
        <v>2334</v>
      </c>
      <c r="F351" s="415" t="s">
        <v>2238</v>
      </c>
      <c r="G351" s="415" t="s">
        <v>2970</v>
      </c>
      <c r="H351" s="415">
        <v>0</v>
      </c>
      <c r="I351" s="415">
        <v>0</v>
      </c>
      <c r="J351" s="415" t="s">
        <v>2967</v>
      </c>
      <c r="K351" s="415">
        <v>1</v>
      </c>
      <c r="L351" s="415">
        <v>585</v>
      </c>
      <c r="M351" s="415">
        <v>415</v>
      </c>
      <c r="N351" s="415" t="s">
        <v>2675</v>
      </c>
      <c r="O351" s="415" t="s">
        <v>2675</v>
      </c>
      <c r="P351" s="415">
        <v>482</v>
      </c>
      <c r="Q351" s="415" t="s">
        <v>2675</v>
      </c>
      <c r="R351" s="415" t="s">
        <v>2699</v>
      </c>
      <c r="S351" s="415">
        <v>0</v>
      </c>
      <c r="T351" s="416">
        <v>168</v>
      </c>
      <c r="U351" s="416">
        <v>168</v>
      </c>
      <c r="V351" s="416">
        <v>168</v>
      </c>
      <c r="W351" s="416">
        <v>168</v>
      </c>
      <c r="X351" s="416">
        <v>168</v>
      </c>
      <c r="Y351" s="416">
        <v>168</v>
      </c>
      <c r="Z351" s="416">
        <v>168</v>
      </c>
      <c r="AA351" s="416">
        <v>168</v>
      </c>
      <c r="AB351" s="416">
        <v>165</v>
      </c>
      <c r="AC351" s="416">
        <v>162</v>
      </c>
      <c r="AD351" s="416">
        <v>159</v>
      </c>
      <c r="AE351" s="416">
        <v>157</v>
      </c>
      <c r="AF351" s="416">
        <v>153</v>
      </c>
      <c r="AG351" s="416">
        <v>149</v>
      </c>
      <c r="AH351" s="416">
        <v>145</v>
      </c>
      <c r="AI351" s="416">
        <v>141</v>
      </c>
      <c r="AJ351" s="416">
        <v>137</v>
      </c>
      <c r="AK351" s="416">
        <v>0</v>
      </c>
      <c r="AL351" s="416">
        <v>0</v>
      </c>
      <c r="AM351" s="416">
        <v>0</v>
      </c>
      <c r="AN351" s="416">
        <v>0</v>
      </c>
      <c r="AO351" s="416">
        <v>0</v>
      </c>
      <c r="AP351" s="416">
        <v>0</v>
      </c>
      <c r="AQ351" s="416">
        <v>0</v>
      </c>
      <c r="AR351" s="416">
        <v>0</v>
      </c>
      <c r="AS351" s="416">
        <v>0</v>
      </c>
      <c r="AT351" s="416">
        <v>0</v>
      </c>
      <c r="AU351" s="416">
        <v>0</v>
      </c>
      <c r="AV351" s="416">
        <v>0</v>
      </c>
      <c r="AW351" s="416">
        <v>0</v>
      </c>
      <c r="AX351" s="416">
        <v>0</v>
      </c>
      <c r="AY351" s="416">
        <v>0</v>
      </c>
      <c r="AZ351" s="416">
        <v>0</v>
      </c>
    </row>
    <row r="352" spans="1:52" s="411" customFormat="1" x14ac:dyDescent="0.3">
      <c r="A352" s="415" t="str">
        <f t="shared" si="5"/>
        <v>SA-213 Gr.T21</v>
      </c>
      <c r="B352" s="415">
        <v>346</v>
      </c>
      <c r="C352" s="415" t="s">
        <v>2972</v>
      </c>
      <c r="D352" s="415" t="s">
        <v>2693</v>
      </c>
      <c r="E352" s="415" t="s">
        <v>2195</v>
      </c>
      <c r="F352" s="415" t="s">
        <v>2544</v>
      </c>
      <c r="G352" s="415" t="s">
        <v>2973</v>
      </c>
      <c r="H352" s="415">
        <v>0</v>
      </c>
      <c r="I352" s="415">
        <v>0</v>
      </c>
      <c r="J352" s="415" t="s">
        <v>2956</v>
      </c>
      <c r="K352" s="415">
        <v>1</v>
      </c>
      <c r="L352" s="415">
        <v>415</v>
      </c>
      <c r="M352" s="415">
        <v>205</v>
      </c>
      <c r="N352" s="415">
        <v>649</v>
      </c>
      <c r="O352" s="415">
        <v>371</v>
      </c>
      <c r="P352" s="415">
        <v>649</v>
      </c>
      <c r="Q352" s="415" t="s">
        <v>2675</v>
      </c>
      <c r="R352" s="415" t="s">
        <v>2699</v>
      </c>
      <c r="S352" s="415" t="s">
        <v>2947</v>
      </c>
      <c r="T352" s="416">
        <v>118</v>
      </c>
      <c r="U352" s="416">
        <v>118</v>
      </c>
      <c r="V352" s="416">
        <v>118</v>
      </c>
      <c r="W352" s="416">
        <v>118</v>
      </c>
      <c r="X352" s="416">
        <v>116</v>
      </c>
      <c r="Y352" s="416">
        <v>114</v>
      </c>
      <c r="Z352" s="416">
        <v>114</v>
      </c>
      <c r="AA352" s="416">
        <v>114</v>
      </c>
      <c r="AB352" s="416">
        <v>114</v>
      </c>
      <c r="AC352" s="416">
        <v>114</v>
      </c>
      <c r="AD352" s="416">
        <v>114</v>
      </c>
      <c r="AE352" s="416">
        <v>114</v>
      </c>
      <c r="AF352" s="416">
        <v>114</v>
      </c>
      <c r="AG352" s="416">
        <v>114</v>
      </c>
      <c r="AH352" s="416">
        <v>113</v>
      </c>
      <c r="AI352" s="416">
        <v>90.5</v>
      </c>
      <c r="AJ352" s="416">
        <v>68.2</v>
      </c>
      <c r="AK352" s="416">
        <v>54.1</v>
      </c>
      <c r="AL352" s="416">
        <v>43.5</v>
      </c>
      <c r="AM352" s="416">
        <v>34.4</v>
      </c>
      <c r="AN352" s="416">
        <v>25.3</v>
      </c>
      <c r="AO352" s="416">
        <v>17.399999999999999</v>
      </c>
      <c r="AP352" s="416">
        <v>10</v>
      </c>
      <c r="AQ352" s="416">
        <v>0</v>
      </c>
      <c r="AR352" s="416">
        <v>0</v>
      </c>
      <c r="AS352" s="416">
        <v>0</v>
      </c>
      <c r="AT352" s="416">
        <v>0</v>
      </c>
      <c r="AU352" s="416">
        <v>0</v>
      </c>
      <c r="AV352" s="416">
        <v>0</v>
      </c>
      <c r="AW352" s="416">
        <v>0</v>
      </c>
      <c r="AX352" s="416">
        <v>0</v>
      </c>
      <c r="AY352" s="416">
        <v>0</v>
      </c>
      <c r="AZ352" s="416">
        <v>0</v>
      </c>
    </row>
    <row r="353" spans="1:52" s="411" customFormat="1" x14ac:dyDescent="0.3">
      <c r="A353" s="415" t="str">
        <f t="shared" si="5"/>
        <v>SA-335 Gr.P21</v>
      </c>
      <c r="B353" s="415">
        <v>347</v>
      </c>
      <c r="C353" s="415" t="s">
        <v>2972</v>
      </c>
      <c r="D353" s="415" t="s">
        <v>2703</v>
      </c>
      <c r="E353" s="415" t="s">
        <v>2210</v>
      </c>
      <c r="F353" s="415" t="s">
        <v>2514</v>
      </c>
      <c r="G353" s="415" t="s">
        <v>2973</v>
      </c>
      <c r="H353" s="415">
        <v>0</v>
      </c>
      <c r="I353" s="415">
        <v>0</v>
      </c>
      <c r="J353" s="415" t="s">
        <v>2956</v>
      </c>
      <c r="K353" s="415">
        <v>1</v>
      </c>
      <c r="L353" s="415">
        <v>415</v>
      </c>
      <c r="M353" s="415">
        <v>205</v>
      </c>
      <c r="N353" s="415">
        <v>649</v>
      </c>
      <c r="O353" s="415">
        <v>371</v>
      </c>
      <c r="P353" s="415">
        <v>649</v>
      </c>
      <c r="Q353" s="415" t="s">
        <v>2675</v>
      </c>
      <c r="R353" s="415" t="s">
        <v>2699</v>
      </c>
      <c r="S353" s="415" t="s">
        <v>2947</v>
      </c>
      <c r="T353" s="416">
        <v>118</v>
      </c>
      <c r="U353" s="416">
        <v>118</v>
      </c>
      <c r="V353" s="416">
        <v>118</v>
      </c>
      <c r="W353" s="416">
        <v>118</v>
      </c>
      <c r="X353" s="416">
        <v>116</v>
      </c>
      <c r="Y353" s="416">
        <v>114</v>
      </c>
      <c r="Z353" s="416">
        <v>114</v>
      </c>
      <c r="AA353" s="416">
        <v>114</v>
      </c>
      <c r="AB353" s="416">
        <v>114</v>
      </c>
      <c r="AC353" s="416">
        <v>114</v>
      </c>
      <c r="AD353" s="416">
        <v>114</v>
      </c>
      <c r="AE353" s="416">
        <v>114</v>
      </c>
      <c r="AF353" s="416">
        <v>114</v>
      </c>
      <c r="AG353" s="416">
        <v>114</v>
      </c>
      <c r="AH353" s="416">
        <v>113</v>
      </c>
      <c r="AI353" s="416">
        <v>90.5</v>
      </c>
      <c r="AJ353" s="416">
        <v>68.2</v>
      </c>
      <c r="AK353" s="416">
        <v>54.1</v>
      </c>
      <c r="AL353" s="416">
        <v>43.5</v>
      </c>
      <c r="AM353" s="416">
        <v>34.4</v>
      </c>
      <c r="AN353" s="416">
        <v>25.3</v>
      </c>
      <c r="AO353" s="416">
        <v>17.399999999999999</v>
      </c>
      <c r="AP353" s="416">
        <v>10</v>
      </c>
      <c r="AQ353" s="416">
        <v>0</v>
      </c>
      <c r="AR353" s="416">
        <v>0</v>
      </c>
      <c r="AS353" s="416">
        <v>0</v>
      </c>
      <c r="AT353" s="416">
        <v>0</v>
      </c>
      <c r="AU353" s="416">
        <v>0</v>
      </c>
      <c r="AV353" s="416">
        <v>0</v>
      </c>
      <c r="AW353" s="416">
        <v>0</v>
      </c>
      <c r="AX353" s="416">
        <v>0</v>
      </c>
      <c r="AY353" s="416">
        <v>0</v>
      </c>
      <c r="AZ353" s="416">
        <v>0</v>
      </c>
    </row>
    <row r="354" spans="1:52" s="411" customFormat="1" x14ac:dyDescent="0.3">
      <c r="A354" s="415" t="str">
        <f t="shared" si="5"/>
        <v>SA-336 Gr.F21</v>
      </c>
      <c r="B354" s="415">
        <v>348</v>
      </c>
      <c r="C354" s="415" t="s">
        <v>2972</v>
      </c>
      <c r="D354" s="415" t="s">
        <v>2737</v>
      </c>
      <c r="E354" s="415" t="s">
        <v>2211</v>
      </c>
      <c r="F354" s="415" t="s">
        <v>2429</v>
      </c>
      <c r="G354" s="415" t="s">
        <v>2973</v>
      </c>
      <c r="H354" s="415">
        <v>1</v>
      </c>
      <c r="I354" s="415">
        <v>0</v>
      </c>
      <c r="J354" s="415" t="s">
        <v>2956</v>
      </c>
      <c r="K354" s="415">
        <v>1</v>
      </c>
      <c r="L354" s="415">
        <v>415</v>
      </c>
      <c r="M354" s="415">
        <v>205</v>
      </c>
      <c r="N354" s="415">
        <v>649</v>
      </c>
      <c r="O354" s="415">
        <v>371</v>
      </c>
      <c r="P354" s="415">
        <v>649</v>
      </c>
      <c r="Q354" s="415" t="s">
        <v>2675</v>
      </c>
      <c r="R354" s="415" t="s">
        <v>2699</v>
      </c>
      <c r="S354" s="415" t="s">
        <v>2947</v>
      </c>
      <c r="T354" s="416">
        <v>118</v>
      </c>
      <c r="U354" s="416">
        <v>118</v>
      </c>
      <c r="V354" s="416">
        <v>118</v>
      </c>
      <c r="W354" s="416">
        <v>118</v>
      </c>
      <c r="X354" s="416">
        <v>116</v>
      </c>
      <c r="Y354" s="416">
        <v>114</v>
      </c>
      <c r="Z354" s="416">
        <v>114</v>
      </c>
      <c r="AA354" s="416">
        <v>114</v>
      </c>
      <c r="AB354" s="416">
        <v>114</v>
      </c>
      <c r="AC354" s="416">
        <v>114</v>
      </c>
      <c r="AD354" s="416">
        <v>114</v>
      </c>
      <c r="AE354" s="416">
        <v>114</v>
      </c>
      <c r="AF354" s="416">
        <v>114</v>
      </c>
      <c r="AG354" s="416">
        <v>114</v>
      </c>
      <c r="AH354" s="416">
        <v>113</v>
      </c>
      <c r="AI354" s="416">
        <v>90.5</v>
      </c>
      <c r="AJ354" s="416">
        <v>68.2</v>
      </c>
      <c r="AK354" s="416">
        <v>54.1</v>
      </c>
      <c r="AL354" s="416">
        <v>43.5</v>
      </c>
      <c r="AM354" s="416">
        <v>34.4</v>
      </c>
      <c r="AN354" s="416">
        <v>25.3</v>
      </c>
      <c r="AO354" s="416">
        <v>17.399999999999999</v>
      </c>
      <c r="AP354" s="416">
        <v>10</v>
      </c>
      <c r="AQ354" s="416">
        <v>0</v>
      </c>
      <c r="AR354" s="416">
        <v>0</v>
      </c>
      <c r="AS354" s="416">
        <v>0</v>
      </c>
      <c r="AT354" s="416">
        <v>0</v>
      </c>
      <c r="AU354" s="416">
        <v>0</v>
      </c>
      <c r="AV354" s="416">
        <v>0</v>
      </c>
      <c r="AW354" s="416">
        <v>0</v>
      </c>
      <c r="AX354" s="416">
        <v>0</v>
      </c>
      <c r="AY354" s="416">
        <v>0</v>
      </c>
      <c r="AZ354" s="416">
        <v>0</v>
      </c>
    </row>
    <row r="355" spans="1:52" s="411" customFormat="1" x14ac:dyDescent="0.3">
      <c r="A355" s="415" t="str">
        <f t="shared" si="5"/>
        <v>SA-369 Gr.FP21</v>
      </c>
      <c r="B355" s="415">
        <v>349</v>
      </c>
      <c r="C355" s="415" t="s">
        <v>2972</v>
      </c>
      <c r="D355" s="415" t="s">
        <v>2707</v>
      </c>
      <c r="E355" s="415" t="s">
        <v>2221</v>
      </c>
      <c r="F355" s="415" t="s">
        <v>2469</v>
      </c>
      <c r="G355" s="415" t="s">
        <v>2973</v>
      </c>
      <c r="H355" s="415">
        <v>0</v>
      </c>
      <c r="I355" s="415">
        <v>0</v>
      </c>
      <c r="J355" s="415" t="s">
        <v>2956</v>
      </c>
      <c r="K355" s="415">
        <v>1</v>
      </c>
      <c r="L355" s="415">
        <v>415</v>
      </c>
      <c r="M355" s="415">
        <v>205</v>
      </c>
      <c r="N355" s="415">
        <v>649</v>
      </c>
      <c r="O355" s="415">
        <v>371</v>
      </c>
      <c r="P355" s="415">
        <v>649</v>
      </c>
      <c r="Q355" s="415" t="s">
        <v>2675</v>
      </c>
      <c r="R355" s="415" t="s">
        <v>2699</v>
      </c>
      <c r="S355" s="415" t="s">
        <v>2947</v>
      </c>
      <c r="T355" s="416">
        <v>118</v>
      </c>
      <c r="U355" s="416">
        <v>118</v>
      </c>
      <c r="V355" s="416">
        <v>118</v>
      </c>
      <c r="W355" s="416">
        <v>118</v>
      </c>
      <c r="X355" s="416">
        <v>116</v>
      </c>
      <c r="Y355" s="416">
        <v>114</v>
      </c>
      <c r="Z355" s="416">
        <v>114</v>
      </c>
      <c r="AA355" s="416">
        <v>114</v>
      </c>
      <c r="AB355" s="416">
        <v>114</v>
      </c>
      <c r="AC355" s="416">
        <v>114</v>
      </c>
      <c r="AD355" s="416">
        <v>114</v>
      </c>
      <c r="AE355" s="416">
        <v>114</v>
      </c>
      <c r="AF355" s="416">
        <v>114</v>
      </c>
      <c r="AG355" s="416">
        <v>114</v>
      </c>
      <c r="AH355" s="416">
        <v>113</v>
      </c>
      <c r="AI355" s="416">
        <v>90.5</v>
      </c>
      <c r="AJ355" s="416">
        <v>68.2</v>
      </c>
      <c r="AK355" s="416">
        <v>54.1</v>
      </c>
      <c r="AL355" s="416">
        <v>43.5</v>
      </c>
      <c r="AM355" s="416">
        <v>34.4</v>
      </c>
      <c r="AN355" s="416">
        <v>25.3</v>
      </c>
      <c r="AO355" s="416">
        <v>17.399999999999999</v>
      </c>
      <c r="AP355" s="416">
        <v>10</v>
      </c>
      <c r="AQ355" s="416">
        <v>0</v>
      </c>
      <c r="AR355" s="416">
        <v>0</v>
      </c>
      <c r="AS355" s="416">
        <v>0</v>
      </c>
      <c r="AT355" s="416">
        <v>0</v>
      </c>
      <c r="AU355" s="416">
        <v>0</v>
      </c>
      <c r="AV355" s="416">
        <v>0</v>
      </c>
      <c r="AW355" s="416">
        <v>0</v>
      </c>
      <c r="AX355" s="416">
        <v>0</v>
      </c>
      <c r="AY355" s="416">
        <v>0</v>
      </c>
      <c r="AZ355" s="416">
        <v>0</v>
      </c>
    </row>
    <row r="356" spans="1:52" s="411" customFormat="1" x14ac:dyDescent="0.3">
      <c r="A356" s="415" t="str">
        <f t="shared" si="5"/>
        <v>SA-387 Gr.21</v>
      </c>
      <c r="B356" s="415">
        <v>350</v>
      </c>
      <c r="C356" s="415" t="s">
        <v>2972</v>
      </c>
      <c r="D356" s="415" t="s">
        <v>2684</v>
      </c>
      <c r="E356" s="415" t="s">
        <v>2227</v>
      </c>
      <c r="F356" s="415">
        <v>21</v>
      </c>
      <c r="G356" s="415" t="s">
        <v>2973</v>
      </c>
      <c r="H356" s="415">
        <v>1</v>
      </c>
      <c r="I356" s="415">
        <v>0</v>
      </c>
      <c r="J356" s="415" t="s">
        <v>2956</v>
      </c>
      <c r="K356" s="415">
        <v>1</v>
      </c>
      <c r="L356" s="415">
        <v>415</v>
      </c>
      <c r="M356" s="415">
        <v>205</v>
      </c>
      <c r="N356" s="415">
        <v>649</v>
      </c>
      <c r="O356" s="415">
        <v>371</v>
      </c>
      <c r="P356" s="415">
        <v>649</v>
      </c>
      <c r="Q356" s="415" t="s">
        <v>2675</v>
      </c>
      <c r="R356" s="415" t="s">
        <v>2699</v>
      </c>
      <c r="S356" s="415" t="s">
        <v>2947</v>
      </c>
      <c r="T356" s="416">
        <v>118</v>
      </c>
      <c r="U356" s="416">
        <v>118</v>
      </c>
      <c r="V356" s="416">
        <v>118</v>
      </c>
      <c r="W356" s="416">
        <v>118</v>
      </c>
      <c r="X356" s="416">
        <v>116</v>
      </c>
      <c r="Y356" s="416">
        <v>114</v>
      </c>
      <c r="Z356" s="416">
        <v>114</v>
      </c>
      <c r="AA356" s="416">
        <v>114</v>
      </c>
      <c r="AB356" s="416">
        <v>114</v>
      </c>
      <c r="AC356" s="416">
        <v>114</v>
      </c>
      <c r="AD356" s="416">
        <v>114</v>
      </c>
      <c r="AE356" s="416">
        <v>114</v>
      </c>
      <c r="AF356" s="416">
        <v>114</v>
      </c>
      <c r="AG356" s="416">
        <v>114</v>
      </c>
      <c r="AH356" s="416">
        <v>113</v>
      </c>
      <c r="AI356" s="416">
        <v>90.5</v>
      </c>
      <c r="AJ356" s="416">
        <v>68.2</v>
      </c>
      <c r="AK356" s="416">
        <v>54.1</v>
      </c>
      <c r="AL356" s="416">
        <v>43.5</v>
      </c>
      <c r="AM356" s="416">
        <v>34.4</v>
      </c>
      <c r="AN356" s="416">
        <v>25.3</v>
      </c>
      <c r="AO356" s="416">
        <v>17.399999999999999</v>
      </c>
      <c r="AP356" s="416">
        <v>10</v>
      </c>
      <c r="AQ356" s="416">
        <v>0</v>
      </c>
      <c r="AR356" s="416">
        <v>0</v>
      </c>
      <c r="AS356" s="416">
        <v>0</v>
      </c>
      <c r="AT356" s="416">
        <v>0</v>
      </c>
      <c r="AU356" s="416">
        <v>0</v>
      </c>
      <c r="AV356" s="416">
        <v>0</v>
      </c>
      <c r="AW356" s="416">
        <v>0</v>
      </c>
      <c r="AX356" s="416">
        <v>0</v>
      </c>
      <c r="AY356" s="416">
        <v>0</v>
      </c>
      <c r="AZ356" s="416">
        <v>0</v>
      </c>
    </row>
    <row r="357" spans="1:52" s="411" customFormat="1" x14ac:dyDescent="0.3">
      <c r="A357" s="415" t="str">
        <f t="shared" si="5"/>
        <v>SA-426 Gr.CP21</v>
      </c>
      <c r="B357" s="415">
        <v>351</v>
      </c>
      <c r="C357" s="415" t="s">
        <v>2972</v>
      </c>
      <c r="D357" s="415" t="s">
        <v>2746</v>
      </c>
      <c r="E357" s="415" t="s">
        <v>2239</v>
      </c>
      <c r="F357" s="415" t="s">
        <v>2397</v>
      </c>
      <c r="G357" s="415" t="s">
        <v>2974</v>
      </c>
      <c r="H357" s="415">
        <v>0</v>
      </c>
      <c r="I357" s="415">
        <v>0</v>
      </c>
      <c r="J357" s="415" t="s">
        <v>2956</v>
      </c>
      <c r="K357" s="415">
        <v>1</v>
      </c>
      <c r="L357" s="415">
        <v>415</v>
      </c>
      <c r="M357" s="415">
        <v>205</v>
      </c>
      <c r="N357" s="415" t="s">
        <v>2675</v>
      </c>
      <c r="O357" s="415">
        <v>371</v>
      </c>
      <c r="P357" s="415" t="s">
        <v>2675</v>
      </c>
      <c r="Q357" s="415" t="s">
        <v>2675</v>
      </c>
      <c r="R357" s="415" t="s">
        <v>2699</v>
      </c>
      <c r="S357" s="415" t="s">
        <v>2745</v>
      </c>
      <c r="T357" s="416">
        <v>118</v>
      </c>
      <c r="U357" s="416">
        <v>118</v>
      </c>
      <c r="V357" s="416">
        <v>118</v>
      </c>
      <c r="W357" s="416">
        <v>118</v>
      </c>
      <c r="X357" s="416">
        <v>116</v>
      </c>
      <c r="Y357" s="416">
        <v>114</v>
      </c>
      <c r="Z357" s="416">
        <v>114</v>
      </c>
      <c r="AA357" s="416">
        <v>114</v>
      </c>
      <c r="AB357" s="416">
        <v>114</v>
      </c>
      <c r="AC357" s="416">
        <v>114</v>
      </c>
      <c r="AD357" s="416">
        <v>114</v>
      </c>
      <c r="AE357" s="416">
        <v>114</v>
      </c>
      <c r="AF357" s="416">
        <v>0</v>
      </c>
      <c r="AG357" s="416">
        <v>0</v>
      </c>
      <c r="AH357" s="416">
        <v>0</v>
      </c>
      <c r="AI357" s="416">
        <v>0</v>
      </c>
      <c r="AJ357" s="416">
        <v>0</v>
      </c>
      <c r="AK357" s="416">
        <v>0</v>
      </c>
      <c r="AL357" s="416">
        <v>0</v>
      </c>
      <c r="AM357" s="416">
        <v>0</v>
      </c>
      <c r="AN357" s="416">
        <v>0</v>
      </c>
      <c r="AO357" s="416">
        <v>0</v>
      </c>
      <c r="AP357" s="416">
        <v>0</v>
      </c>
      <c r="AQ357" s="416">
        <v>0</v>
      </c>
      <c r="AR357" s="416">
        <v>0</v>
      </c>
      <c r="AS357" s="416">
        <v>0</v>
      </c>
      <c r="AT357" s="416">
        <v>0</v>
      </c>
      <c r="AU357" s="416">
        <v>0</v>
      </c>
      <c r="AV357" s="416">
        <v>0</v>
      </c>
      <c r="AW357" s="416">
        <v>0</v>
      </c>
      <c r="AX357" s="416">
        <v>0</v>
      </c>
      <c r="AY357" s="416">
        <v>0</v>
      </c>
      <c r="AZ357" s="416">
        <v>0</v>
      </c>
    </row>
    <row r="358" spans="1:52" s="411" customFormat="1" x14ac:dyDescent="0.3">
      <c r="A358" s="415" t="str">
        <f t="shared" si="5"/>
        <v>SA-182 Gr.F21</v>
      </c>
      <c r="B358" s="415">
        <v>352</v>
      </c>
      <c r="C358" s="415" t="s">
        <v>2972</v>
      </c>
      <c r="D358" s="415" t="s">
        <v>2737</v>
      </c>
      <c r="E358" s="415" t="s">
        <v>2188</v>
      </c>
      <c r="F358" s="415" t="s">
        <v>2429</v>
      </c>
      <c r="G358" s="415" t="s">
        <v>2973</v>
      </c>
      <c r="H358" s="415">
        <v>0</v>
      </c>
      <c r="I358" s="415">
        <v>0</v>
      </c>
      <c r="J358" s="415" t="s">
        <v>2956</v>
      </c>
      <c r="K358" s="415">
        <v>1</v>
      </c>
      <c r="L358" s="415">
        <v>515</v>
      </c>
      <c r="M358" s="415">
        <v>310</v>
      </c>
      <c r="N358" s="415">
        <v>649</v>
      </c>
      <c r="O358" s="415">
        <v>371</v>
      </c>
      <c r="P358" s="415">
        <v>649</v>
      </c>
      <c r="Q358" s="415" t="s">
        <v>2675</v>
      </c>
      <c r="R358" s="415" t="s">
        <v>2819</v>
      </c>
      <c r="S358" s="415" t="s">
        <v>2947</v>
      </c>
      <c r="T358" s="416">
        <v>148</v>
      </c>
      <c r="U358" s="416">
        <v>148</v>
      </c>
      <c r="V358" s="416">
        <v>148</v>
      </c>
      <c r="W358" s="416">
        <v>147</v>
      </c>
      <c r="X358" s="416">
        <v>146</v>
      </c>
      <c r="Y358" s="416">
        <v>144</v>
      </c>
      <c r="Z358" s="416">
        <v>142</v>
      </c>
      <c r="AA358" s="416">
        <v>141</v>
      </c>
      <c r="AB358" s="416">
        <v>141</v>
      </c>
      <c r="AC358" s="416">
        <v>140</v>
      </c>
      <c r="AD358" s="416">
        <v>139</v>
      </c>
      <c r="AE358" s="416">
        <v>138</v>
      </c>
      <c r="AF358" s="416">
        <v>136</v>
      </c>
      <c r="AG358" s="416">
        <v>133</v>
      </c>
      <c r="AH358" s="416">
        <v>127</v>
      </c>
      <c r="AI358" s="416">
        <v>100</v>
      </c>
      <c r="AJ358" s="416">
        <v>72.8</v>
      </c>
      <c r="AK358" s="416">
        <v>54.9</v>
      </c>
      <c r="AL358" s="416">
        <v>40.700000000000003</v>
      </c>
      <c r="AM358" s="416">
        <v>29.4</v>
      </c>
      <c r="AN358" s="416">
        <v>20.399999999999999</v>
      </c>
      <c r="AO358" s="416">
        <v>15.7</v>
      </c>
      <c r="AP358" s="416">
        <v>8.64</v>
      </c>
      <c r="AQ358" s="416">
        <v>0</v>
      </c>
      <c r="AR358" s="416">
        <v>0</v>
      </c>
      <c r="AS358" s="416">
        <v>0</v>
      </c>
      <c r="AT358" s="416">
        <v>0</v>
      </c>
      <c r="AU358" s="416">
        <v>0</v>
      </c>
      <c r="AV358" s="416">
        <v>0</v>
      </c>
      <c r="AW358" s="416">
        <v>0</v>
      </c>
      <c r="AX358" s="416">
        <v>0</v>
      </c>
      <c r="AY358" s="416">
        <v>0</v>
      </c>
      <c r="AZ358" s="416">
        <v>0</v>
      </c>
    </row>
    <row r="359" spans="1:52" s="411" customFormat="1" x14ac:dyDescent="0.3">
      <c r="A359" s="415" t="str">
        <f t="shared" si="5"/>
        <v>SA-336 Gr.F21</v>
      </c>
      <c r="B359" s="415">
        <v>353</v>
      </c>
      <c r="C359" s="415" t="s">
        <v>2972</v>
      </c>
      <c r="D359" s="415" t="s">
        <v>2737</v>
      </c>
      <c r="E359" s="415" t="s">
        <v>2211</v>
      </c>
      <c r="F359" s="415" t="s">
        <v>2429</v>
      </c>
      <c r="G359" s="415" t="s">
        <v>2973</v>
      </c>
      <c r="H359" s="415">
        <v>3</v>
      </c>
      <c r="I359" s="415">
        <v>0</v>
      </c>
      <c r="J359" s="415" t="s">
        <v>2956</v>
      </c>
      <c r="K359" s="415">
        <v>1</v>
      </c>
      <c r="L359" s="415">
        <v>515</v>
      </c>
      <c r="M359" s="415">
        <v>310</v>
      </c>
      <c r="N359" s="415">
        <v>649</v>
      </c>
      <c r="O359" s="415">
        <v>371</v>
      </c>
      <c r="P359" s="415">
        <v>649</v>
      </c>
      <c r="Q359" s="415" t="s">
        <v>2675</v>
      </c>
      <c r="R359" s="415" t="s">
        <v>2819</v>
      </c>
      <c r="S359" s="415" t="s">
        <v>2947</v>
      </c>
      <c r="T359" s="416">
        <v>148</v>
      </c>
      <c r="U359" s="416">
        <v>148</v>
      </c>
      <c r="V359" s="416">
        <v>148</v>
      </c>
      <c r="W359" s="416">
        <v>147</v>
      </c>
      <c r="X359" s="416">
        <v>146</v>
      </c>
      <c r="Y359" s="416">
        <v>144</v>
      </c>
      <c r="Z359" s="416">
        <v>142</v>
      </c>
      <c r="AA359" s="416">
        <v>141</v>
      </c>
      <c r="AB359" s="416">
        <v>141</v>
      </c>
      <c r="AC359" s="416">
        <v>140</v>
      </c>
      <c r="AD359" s="416">
        <v>139</v>
      </c>
      <c r="AE359" s="416">
        <v>138</v>
      </c>
      <c r="AF359" s="416">
        <v>136</v>
      </c>
      <c r="AG359" s="416">
        <v>133</v>
      </c>
      <c r="AH359" s="416">
        <v>127</v>
      </c>
      <c r="AI359" s="416">
        <v>100</v>
      </c>
      <c r="AJ359" s="416">
        <v>72.8</v>
      </c>
      <c r="AK359" s="416">
        <v>54.9</v>
      </c>
      <c r="AL359" s="416">
        <v>40.700000000000003</v>
      </c>
      <c r="AM359" s="416">
        <v>29.4</v>
      </c>
      <c r="AN359" s="416">
        <v>20.399999999999999</v>
      </c>
      <c r="AO359" s="416">
        <v>15.7</v>
      </c>
      <c r="AP359" s="416">
        <v>8.64</v>
      </c>
      <c r="AQ359" s="416">
        <v>0</v>
      </c>
      <c r="AR359" s="416">
        <v>0</v>
      </c>
      <c r="AS359" s="416">
        <v>0</v>
      </c>
      <c r="AT359" s="416">
        <v>0</v>
      </c>
      <c r="AU359" s="416">
        <v>0</v>
      </c>
      <c r="AV359" s="416">
        <v>0</v>
      </c>
      <c r="AW359" s="416">
        <v>0</v>
      </c>
      <c r="AX359" s="416">
        <v>0</v>
      </c>
      <c r="AY359" s="416">
        <v>0</v>
      </c>
      <c r="AZ359" s="416">
        <v>0</v>
      </c>
    </row>
    <row r="360" spans="1:52" s="411" customFormat="1" x14ac:dyDescent="0.3">
      <c r="A360" s="415" t="str">
        <f t="shared" si="5"/>
        <v>SA-387 Gr.21</v>
      </c>
      <c r="B360" s="415">
        <v>354</v>
      </c>
      <c r="C360" s="415" t="s">
        <v>2972</v>
      </c>
      <c r="D360" s="415" t="s">
        <v>2684</v>
      </c>
      <c r="E360" s="415" t="s">
        <v>2227</v>
      </c>
      <c r="F360" s="415">
        <v>21</v>
      </c>
      <c r="G360" s="415" t="s">
        <v>2973</v>
      </c>
      <c r="H360" s="415">
        <v>2</v>
      </c>
      <c r="I360" s="415">
        <v>0</v>
      </c>
      <c r="J360" s="415" t="s">
        <v>2956</v>
      </c>
      <c r="K360" s="415">
        <v>1</v>
      </c>
      <c r="L360" s="415">
        <v>515</v>
      </c>
      <c r="M360" s="415">
        <v>310</v>
      </c>
      <c r="N360" s="415">
        <v>649</v>
      </c>
      <c r="O360" s="415">
        <v>371</v>
      </c>
      <c r="P360" s="415">
        <v>649</v>
      </c>
      <c r="Q360" s="415" t="s">
        <v>2675</v>
      </c>
      <c r="R360" s="415" t="s">
        <v>2819</v>
      </c>
      <c r="S360" s="415" t="s">
        <v>2947</v>
      </c>
      <c r="T360" s="416">
        <v>148</v>
      </c>
      <c r="U360" s="416">
        <v>148</v>
      </c>
      <c r="V360" s="416">
        <v>148</v>
      </c>
      <c r="W360" s="416">
        <v>147</v>
      </c>
      <c r="X360" s="416">
        <v>146</v>
      </c>
      <c r="Y360" s="416">
        <v>144</v>
      </c>
      <c r="Z360" s="416">
        <v>142</v>
      </c>
      <c r="AA360" s="416">
        <v>141</v>
      </c>
      <c r="AB360" s="416">
        <v>141</v>
      </c>
      <c r="AC360" s="416">
        <v>140</v>
      </c>
      <c r="AD360" s="416">
        <v>139</v>
      </c>
      <c r="AE360" s="416">
        <v>138</v>
      </c>
      <c r="AF360" s="416">
        <v>136</v>
      </c>
      <c r="AG360" s="416">
        <v>133</v>
      </c>
      <c r="AH360" s="416">
        <v>127</v>
      </c>
      <c r="AI360" s="416">
        <v>100</v>
      </c>
      <c r="AJ360" s="416">
        <v>72.8</v>
      </c>
      <c r="AK360" s="416">
        <v>54.9</v>
      </c>
      <c r="AL360" s="416">
        <v>40.700000000000003</v>
      </c>
      <c r="AM360" s="416">
        <v>29.4</v>
      </c>
      <c r="AN360" s="416">
        <v>20.399999999999999</v>
      </c>
      <c r="AO360" s="416">
        <v>15.7</v>
      </c>
      <c r="AP360" s="416">
        <v>8.64</v>
      </c>
      <c r="AQ360" s="416">
        <v>0</v>
      </c>
      <c r="AR360" s="416">
        <v>0</v>
      </c>
      <c r="AS360" s="416">
        <v>0</v>
      </c>
      <c r="AT360" s="416">
        <v>0</v>
      </c>
      <c r="AU360" s="416">
        <v>0</v>
      </c>
      <c r="AV360" s="416">
        <v>0</v>
      </c>
      <c r="AW360" s="416">
        <v>0</v>
      </c>
      <c r="AX360" s="416">
        <v>0</v>
      </c>
      <c r="AY360" s="416">
        <v>0</v>
      </c>
      <c r="AZ360" s="416">
        <v>0</v>
      </c>
    </row>
    <row r="361" spans="1:52" s="411" customFormat="1" x14ac:dyDescent="0.3">
      <c r="A361" s="415" t="str">
        <f t="shared" si="5"/>
        <v>SA-182 Gr.F3V</v>
      </c>
      <c r="B361" s="415">
        <v>355</v>
      </c>
      <c r="C361" s="415" t="s">
        <v>2975</v>
      </c>
      <c r="D361" s="415" t="s">
        <v>2737</v>
      </c>
      <c r="E361" s="415" t="s">
        <v>2188</v>
      </c>
      <c r="F361" s="415" t="s">
        <v>2451</v>
      </c>
      <c r="G361" s="415" t="s">
        <v>2976</v>
      </c>
      <c r="H361" s="415">
        <v>0</v>
      </c>
      <c r="I361" s="415">
        <v>0</v>
      </c>
      <c r="J361" s="415" t="s">
        <v>2967</v>
      </c>
      <c r="K361" s="415">
        <v>1</v>
      </c>
      <c r="L361" s="415">
        <v>585</v>
      </c>
      <c r="M361" s="415">
        <v>415</v>
      </c>
      <c r="N361" s="415" t="s">
        <v>2675</v>
      </c>
      <c r="O361" s="415" t="s">
        <v>2675</v>
      </c>
      <c r="P361" s="415">
        <v>482</v>
      </c>
      <c r="Q361" s="415" t="s">
        <v>2675</v>
      </c>
      <c r="R361" s="415" t="s">
        <v>2819</v>
      </c>
      <c r="S361" s="415">
        <v>0</v>
      </c>
      <c r="T361" s="416">
        <v>168</v>
      </c>
      <c r="U361" s="416">
        <v>168</v>
      </c>
      <c r="V361" s="416">
        <v>168</v>
      </c>
      <c r="W361" s="416">
        <v>167</v>
      </c>
      <c r="X361" s="416">
        <v>164</v>
      </c>
      <c r="Y361" s="416">
        <v>161</v>
      </c>
      <c r="Z361" s="416">
        <v>156</v>
      </c>
      <c r="AA361" s="416">
        <v>154</v>
      </c>
      <c r="AB361" s="416">
        <v>151</v>
      </c>
      <c r="AC361" s="416">
        <v>150</v>
      </c>
      <c r="AD361" s="416">
        <v>149</v>
      </c>
      <c r="AE361" s="416">
        <v>147</v>
      </c>
      <c r="AF361" s="416">
        <v>145</v>
      </c>
      <c r="AG361" s="416">
        <v>144</v>
      </c>
      <c r="AH361" s="416">
        <v>141</v>
      </c>
      <c r="AI361" s="416">
        <v>139</v>
      </c>
      <c r="AJ361" s="416">
        <v>136</v>
      </c>
      <c r="AK361" s="416">
        <v>0</v>
      </c>
      <c r="AL361" s="416">
        <v>0</v>
      </c>
      <c r="AM361" s="416">
        <v>0</v>
      </c>
      <c r="AN361" s="416">
        <v>0</v>
      </c>
      <c r="AO361" s="416">
        <v>0</v>
      </c>
      <c r="AP361" s="416">
        <v>0</v>
      </c>
      <c r="AQ361" s="416">
        <v>0</v>
      </c>
      <c r="AR361" s="416">
        <v>0</v>
      </c>
      <c r="AS361" s="416">
        <v>0</v>
      </c>
      <c r="AT361" s="416">
        <v>0</v>
      </c>
      <c r="AU361" s="416">
        <v>0</v>
      </c>
      <c r="AV361" s="416">
        <v>0</v>
      </c>
      <c r="AW361" s="416">
        <v>0</v>
      </c>
      <c r="AX361" s="416">
        <v>0</v>
      </c>
      <c r="AY361" s="416">
        <v>0</v>
      </c>
      <c r="AZ361" s="416">
        <v>0</v>
      </c>
    </row>
    <row r="362" spans="1:52" s="411" customFormat="1" x14ac:dyDescent="0.3">
      <c r="A362" s="415" t="str">
        <f t="shared" si="5"/>
        <v>SA-336 Gr.F3V</v>
      </c>
      <c r="B362" s="415">
        <v>356</v>
      </c>
      <c r="C362" s="415" t="s">
        <v>2975</v>
      </c>
      <c r="D362" s="415" t="s">
        <v>2737</v>
      </c>
      <c r="E362" s="415" t="s">
        <v>2211</v>
      </c>
      <c r="F362" s="415" t="s">
        <v>2451</v>
      </c>
      <c r="G362" s="415" t="s">
        <v>2976</v>
      </c>
      <c r="H362" s="415">
        <v>0</v>
      </c>
      <c r="I362" s="415">
        <v>0</v>
      </c>
      <c r="J362" s="415" t="s">
        <v>2967</v>
      </c>
      <c r="K362" s="415">
        <v>1</v>
      </c>
      <c r="L362" s="415">
        <v>585</v>
      </c>
      <c r="M362" s="415">
        <v>415</v>
      </c>
      <c r="N362" s="415" t="s">
        <v>2675</v>
      </c>
      <c r="O362" s="415" t="s">
        <v>2675</v>
      </c>
      <c r="P362" s="415">
        <v>482</v>
      </c>
      <c r="Q362" s="415" t="s">
        <v>2675</v>
      </c>
      <c r="R362" s="415" t="s">
        <v>2819</v>
      </c>
      <c r="S362" s="415">
        <v>0</v>
      </c>
      <c r="T362" s="416">
        <v>168</v>
      </c>
      <c r="U362" s="416">
        <v>168</v>
      </c>
      <c r="V362" s="416">
        <v>168</v>
      </c>
      <c r="W362" s="416">
        <v>167</v>
      </c>
      <c r="X362" s="416">
        <v>164</v>
      </c>
      <c r="Y362" s="416">
        <v>161</v>
      </c>
      <c r="Z362" s="416">
        <v>156</v>
      </c>
      <c r="AA362" s="416">
        <v>154</v>
      </c>
      <c r="AB362" s="416">
        <v>151</v>
      </c>
      <c r="AC362" s="416">
        <v>150</v>
      </c>
      <c r="AD362" s="416">
        <v>149</v>
      </c>
      <c r="AE362" s="416">
        <v>147</v>
      </c>
      <c r="AF362" s="416">
        <v>145</v>
      </c>
      <c r="AG362" s="416">
        <v>144</v>
      </c>
      <c r="AH362" s="416">
        <v>141</v>
      </c>
      <c r="AI362" s="416">
        <v>139</v>
      </c>
      <c r="AJ362" s="416">
        <v>136</v>
      </c>
      <c r="AK362" s="416">
        <v>0</v>
      </c>
      <c r="AL362" s="416">
        <v>0</v>
      </c>
      <c r="AM362" s="416">
        <v>0</v>
      </c>
      <c r="AN362" s="416">
        <v>0</v>
      </c>
      <c r="AO362" s="416">
        <v>0</v>
      </c>
      <c r="AP362" s="416">
        <v>0</v>
      </c>
      <c r="AQ362" s="416">
        <v>0</v>
      </c>
      <c r="AR362" s="416">
        <v>0</v>
      </c>
      <c r="AS362" s="416">
        <v>0</v>
      </c>
      <c r="AT362" s="416">
        <v>0</v>
      </c>
      <c r="AU362" s="416">
        <v>0</v>
      </c>
      <c r="AV362" s="416">
        <v>0</v>
      </c>
      <c r="AW362" s="416">
        <v>0</v>
      </c>
      <c r="AX362" s="416">
        <v>0</v>
      </c>
      <c r="AY362" s="416">
        <v>0</v>
      </c>
      <c r="AZ362" s="416">
        <v>0</v>
      </c>
    </row>
    <row r="363" spans="1:52" s="411" customFormat="1" x14ac:dyDescent="0.3">
      <c r="A363" s="415" t="str">
        <f t="shared" si="5"/>
        <v>SA-508 Gr.3V</v>
      </c>
      <c r="B363" s="415">
        <v>357</v>
      </c>
      <c r="C363" s="415" t="s">
        <v>2975</v>
      </c>
      <c r="D363" s="415" t="s">
        <v>2737</v>
      </c>
      <c r="E363" s="415" t="s">
        <v>2249</v>
      </c>
      <c r="F363" s="415" t="s">
        <v>2286</v>
      </c>
      <c r="G363" s="415" t="s">
        <v>2976</v>
      </c>
      <c r="H363" s="415">
        <v>0</v>
      </c>
      <c r="I363" s="415">
        <v>0</v>
      </c>
      <c r="J363" s="415" t="s">
        <v>2967</v>
      </c>
      <c r="K363" s="415">
        <v>1</v>
      </c>
      <c r="L363" s="415">
        <v>585</v>
      </c>
      <c r="M363" s="415">
        <v>415</v>
      </c>
      <c r="N363" s="415" t="s">
        <v>2675</v>
      </c>
      <c r="O363" s="415" t="s">
        <v>2675</v>
      </c>
      <c r="P363" s="415">
        <v>482</v>
      </c>
      <c r="Q363" s="415" t="s">
        <v>2675</v>
      </c>
      <c r="R363" s="415" t="s">
        <v>2819</v>
      </c>
      <c r="S363" s="415">
        <v>0</v>
      </c>
      <c r="T363" s="416">
        <v>168</v>
      </c>
      <c r="U363" s="416">
        <v>168</v>
      </c>
      <c r="V363" s="416">
        <v>168</v>
      </c>
      <c r="W363" s="416">
        <v>167</v>
      </c>
      <c r="X363" s="416">
        <v>164</v>
      </c>
      <c r="Y363" s="416">
        <v>161</v>
      </c>
      <c r="Z363" s="416">
        <v>156</v>
      </c>
      <c r="AA363" s="416">
        <v>154</v>
      </c>
      <c r="AB363" s="416">
        <v>151</v>
      </c>
      <c r="AC363" s="416">
        <v>150</v>
      </c>
      <c r="AD363" s="416">
        <v>149</v>
      </c>
      <c r="AE363" s="416">
        <v>147</v>
      </c>
      <c r="AF363" s="416">
        <v>145</v>
      </c>
      <c r="AG363" s="416">
        <v>144</v>
      </c>
      <c r="AH363" s="416">
        <v>141</v>
      </c>
      <c r="AI363" s="416">
        <v>139</v>
      </c>
      <c r="AJ363" s="416">
        <v>136</v>
      </c>
      <c r="AK363" s="416">
        <v>0</v>
      </c>
      <c r="AL363" s="416">
        <v>0</v>
      </c>
      <c r="AM363" s="416">
        <v>0</v>
      </c>
      <c r="AN363" s="416">
        <v>0</v>
      </c>
      <c r="AO363" s="416">
        <v>0</v>
      </c>
      <c r="AP363" s="416">
        <v>0</v>
      </c>
      <c r="AQ363" s="416">
        <v>0</v>
      </c>
      <c r="AR363" s="416">
        <v>0</v>
      </c>
      <c r="AS363" s="416">
        <v>0</v>
      </c>
      <c r="AT363" s="416">
        <v>0</v>
      </c>
      <c r="AU363" s="416">
        <v>0</v>
      </c>
      <c r="AV363" s="416">
        <v>0</v>
      </c>
      <c r="AW363" s="416">
        <v>0</v>
      </c>
      <c r="AX363" s="416">
        <v>0</v>
      </c>
      <c r="AY363" s="416">
        <v>0</v>
      </c>
      <c r="AZ363" s="416">
        <v>0</v>
      </c>
    </row>
    <row r="364" spans="1:52" s="411" customFormat="1" x14ac:dyDescent="0.3">
      <c r="A364" s="415" t="str">
        <f t="shared" si="5"/>
        <v>SA-541 Gr.3V</v>
      </c>
      <c r="B364" s="415">
        <v>358</v>
      </c>
      <c r="C364" s="415" t="s">
        <v>2975</v>
      </c>
      <c r="D364" s="415" t="s">
        <v>2737</v>
      </c>
      <c r="E364" s="415" t="s">
        <v>2263</v>
      </c>
      <c r="F364" s="415" t="s">
        <v>2286</v>
      </c>
      <c r="G364" s="415" t="s">
        <v>2976</v>
      </c>
      <c r="H364" s="415">
        <v>0</v>
      </c>
      <c r="I364" s="415">
        <v>0</v>
      </c>
      <c r="J364" s="415" t="s">
        <v>2967</v>
      </c>
      <c r="K364" s="415">
        <v>1</v>
      </c>
      <c r="L364" s="415">
        <v>585</v>
      </c>
      <c r="M364" s="415">
        <v>415</v>
      </c>
      <c r="N364" s="415" t="s">
        <v>2675</v>
      </c>
      <c r="O364" s="415" t="s">
        <v>2675</v>
      </c>
      <c r="P364" s="415">
        <v>482</v>
      </c>
      <c r="Q364" s="415" t="s">
        <v>2675</v>
      </c>
      <c r="R364" s="415" t="s">
        <v>2819</v>
      </c>
      <c r="S364" s="415">
        <v>0</v>
      </c>
      <c r="T364" s="416">
        <v>168</v>
      </c>
      <c r="U364" s="416">
        <v>168</v>
      </c>
      <c r="V364" s="416">
        <v>168</v>
      </c>
      <c r="W364" s="416">
        <v>167</v>
      </c>
      <c r="X364" s="416">
        <v>164</v>
      </c>
      <c r="Y364" s="416">
        <v>161</v>
      </c>
      <c r="Z364" s="416">
        <v>156</v>
      </c>
      <c r="AA364" s="416">
        <v>154</v>
      </c>
      <c r="AB364" s="416">
        <v>151</v>
      </c>
      <c r="AC364" s="416">
        <v>150</v>
      </c>
      <c r="AD364" s="416">
        <v>149</v>
      </c>
      <c r="AE364" s="416">
        <v>147</v>
      </c>
      <c r="AF364" s="416">
        <v>145</v>
      </c>
      <c r="AG364" s="416">
        <v>144</v>
      </c>
      <c r="AH364" s="416">
        <v>141</v>
      </c>
      <c r="AI364" s="416">
        <v>139</v>
      </c>
      <c r="AJ364" s="416">
        <v>136</v>
      </c>
      <c r="AK364" s="416">
        <v>0</v>
      </c>
      <c r="AL364" s="416">
        <v>0</v>
      </c>
      <c r="AM364" s="416">
        <v>0</v>
      </c>
      <c r="AN364" s="416">
        <v>0</v>
      </c>
      <c r="AO364" s="416">
        <v>0</v>
      </c>
      <c r="AP364" s="416">
        <v>0</v>
      </c>
      <c r="AQ364" s="416">
        <v>0</v>
      </c>
      <c r="AR364" s="416">
        <v>0</v>
      </c>
      <c r="AS364" s="416">
        <v>0</v>
      </c>
      <c r="AT364" s="416">
        <v>0</v>
      </c>
      <c r="AU364" s="416">
        <v>0</v>
      </c>
      <c r="AV364" s="416">
        <v>0</v>
      </c>
      <c r="AW364" s="416">
        <v>0</v>
      </c>
      <c r="AX364" s="416">
        <v>0</v>
      </c>
      <c r="AY364" s="416">
        <v>0</v>
      </c>
      <c r="AZ364" s="416">
        <v>0</v>
      </c>
    </row>
    <row r="365" spans="1:52" s="411" customFormat="1" x14ac:dyDescent="0.3">
      <c r="A365" s="415" t="str">
        <f t="shared" si="5"/>
        <v>SA-542 Gr.C</v>
      </c>
      <c r="B365" s="415">
        <v>359</v>
      </c>
      <c r="C365" s="415" t="s">
        <v>2975</v>
      </c>
      <c r="D365" s="415" t="s">
        <v>2684</v>
      </c>
      <c r="E365" s="415" t="s">
        <v>2265</v>
      </c>
      <c r="F365" s="415" t="s">
        <v>2348</v>
      </c>
      <c r="G365" s="415" t="s">
        <v>2976</v>
      </c>
      <c r="H365" s="415" t="s">
        <v>2971</v>
      </c>
      <c r="I365" s="415">
        <v>0</v>
      </c>
      <c r="J365" s="415" t="s">
        <v>2967</v>
      </c>
      <c r="K365" s="415">
        <v>1</v>
      </c>
      <c r="L365" s="415">
        <v>585</v>
      </c>
      <c r="M365" s="415">
        <v>415</v>
      </c>
      <c r="N365" s="415" t="s">
        <v>2675</v>
      </c>
      <c r="O365" s="415" t="s">
        <v>2675</v>
      </c>
      <c r="P365" s="415">
        <v>482</v>
      </c>
      <c r="Q365" s="415" t="s">
        <v>2675</v>
      </c>
      <c r="R365" s="415" t="s">
        <v>2819</v>
      </c>
      <c r="S365" s="415">
        <v>0</v>
      </c>
      <c r="T365" s="416">
        <v>168</v>
      </c>
      <c r="U365" s="416">
        <v>168</v>
      </c>
      <c r="V365" s="416">
        <v>168</v>
      </c>
      <c r="W365" s="416">
        <v>167</v>
      </c>
      <c r="X365" s="416">
        <v>164</v>
      </c>
      <c r="Y365" s="416">
        <v>161</v>
      </c>
      <c r="Z365" s="416">
        <v>156</v>
      </c>
      <c r="AA365" s="416">
        <v>154</v>
      </c>
      <c r="AB365" s="416">
        <v>151</v>
      </c>
      <c r="AC365" s="416">
        <v>150</v>
      </c>
      <c r="AD365" s="416">
        <v>149</v>
      </c>
      <c r="AE365" s="416">
        <v>147</v>
      </c>
      <c r="AF365" s="416">
        <v>145</v>
      </c>
      <c r="AG365" s="416">
        <v>144</v>
      </c>
      <c r="AH365" s="416">
        <v>141</v>
      </c>
      <c r="AI365" s="416">
        <v>139</v>
      </c>
      <c r="AJ365" s="416">
        <v>136</v>
      </c>
      <c r="AK365" s="416">
        <v>0</v>
      </c>
      <c r="AL365" s="416">
        <v>0</v>
      </c>
      <c r="AM365" s="416">
        <v>0</v>
      </c>
      <c r="AN365" s="416">
        <v>0</v>
      </c>
      <c r="AO365" s="416">
        <v>0</v>
      </c>
      <c r="AP365" s="416">
        <v>0</v>
      </c>
      <c r="AQ365" s="416">
        <v>0</v>
      </c>
      <c r="AR365" s="416">
        <v>0</v>
      </c>
      <c r="AS365" s="416">
        <v>0</v>
      </c>
      <c r="AT365" s="416">
        <v>0</v>
      </c>
      <c r="AU365" s="416">
        <v>0</v>
      </c>
      <c r="AV365" s="416">
        <v>0</v>
      </c>
      <c r="AW365" s="416">
        <v>0</v>
      </c>
      <c r="AX365" s="416">
        <v>0</v>
      </c>
      <c r="AY365" s="416">
        <v>0</v>
      </c>
      <c r="AZ365" s="416">
        <v>0</v>
      </c>
    </row>
    <row r="366" spans="1:52" s="411" customFormat="1" x14ac:dyDescent="0.3">
      <c r="A366" s="415" t="str">
        <f t="shared" si="5"/>
        <v>SA-832 Gr.21V</v>
      </c>
      <c r="B366" s="415">
        <v>360</v>
      </c>
      <c r="C366" s="415" t="s">
        <v>2975</v>
      </c>
      <c r="D366" s="415" t="s">
        <v>2684</v>
      </c>
      <c r="E366" s="415" t="s">
        <v>2334</v>
      </c>
      <c r="F366" s="415" t="s">
        <v>2236</v>
      </c>
      <c r="G366" s="415" t="s">
        <v>2976</v>
      </c>
      <c r="H366" s="415">
        <v>0</v>
      </c>
      <c r="I366" s="415">
        <v>0</v>
      </c>
      <c r="J366" s="415" t="s">
        <v>2967</v>
      </c>
      <c r="K366" s="415">
        <v>1</v>
      </c>
      <c r="L366" s="415">
        <v>585</v>
      </c>
      <c r="M366" s="415">
        <v>415</v>
      </c>
      <c r="N366" s="415" t="s">
        <v>2675</v>
      </c>
      <c r="O366" s="415" t="s">
        <v>2675</v>
      </c>
      <c r="P366" s="415">
        <v>482</v>
      </c>
      <c r="Q366" s="415" t="s">
        <v>2675</v>
      </c>
      <c r="R366" s="415" t="s">
        <v>2819</v>
      </c>
      <c r="S366" s="415">
        <v>0</v>
      </c>
      <c r="T366" s="416">
        <v>168</v>
      </c>
      <c r="U366" s="416">
        <v>168</v>
      </c>
      <c r="V366" s="416">
        <v>168</v>
      </c>
      <c r="W366" s="416">
        <v>167</v>
      </c>
      <c r="X366" s="416">
        <v>164</v>
      </c>
      <c r="Y366" s="416">
        <v>161</v>
      </c>
      <c r="Z366" s="416">
        <v>156</v>
      </c>
      <c r="AA366" s="416">
        <v>154</v>
      </c>
      <c r="AB366" s="416">
        <v>151</v>
      </c>
      <c r="AC366" s="416">
        <v>150</v>
      </c>
      <c r="AD366" s="416">
        <v>149</v>
      </c>
      <c r="AE366" s="416">
        <v>147</v>
      </c>
      <c r="AF366" s="416">
        <v>145</v>
      </c>
      <c r="AG366" s="416">
        <v>144</v>
      </c>
      <c r="AH366" s="416">
        <v>141</v>
      </c>
      <c r="AI366" s="416">
        <v>139</v>
      </c>
      <c r="AJ366" s="416">
        <v>136</v>
      </c>
      <c r="AK366" s="416">
        <v>0</v>
      </c>
      <c r="AL366" s="416">
        <v>0</v>
      </c>
      <c r="AM366" s="416">
        <v>0</v>
      </c>
      <c r="AN366" s="416">
        <v>0</v>
      </c>
      <c r="AO366" s="416">
        <v>0</v>
      </c>
      <c r="AP366" s="416">
        <v>0</v>
      </c>
      <c r="AQ366" s="416">
        <v>0</v>
      </c>
      <c r="AR366" s="416">
        <v>0</v>
      </c>
      <c r="AS366" s="416">
        <v>0</v>
      </c>
      <c r="AT366" s="416">
        <v>0</v>
      </c>
      <c r="AU366" s="416">
        <v>0</v>
      </c>
      <c r="AV366" s="416">
        <v>0</v>
      </c>
      <c r="AW366" s="416">
        <v>0</v>
      </c>
      <c r="AX366" s="416">
        <v>0</v>
      </c>
      <c r="AY366" s="416">
        <v>0</v>
      </c>
      <c r="AZ366" s="416">
        <v>0</v>
      </c>
    </row>
    <row r="367" spans="1:52" s="411" customFormat="1" x14ac:dyDescent="0.3">
      <c r="A367" s="415" t="str">
        <f t="shared" si="5"/>
        <v>SA-182 Gr.F3VCb</v>
      </c>
      <c r="B367" s="415">
        <v>361</v>
      </c>
      <c r="C367" s="415" t="s">
        <v>2977</v>
      </c>
      <c r="D367" s="415" t="s">
        <v>2737</v>
      </c>
      <c r="E367" s="415" t="s">
        <v>2188</v>
      </c>
      <c r="F367" s="415" t="s">
        <v>2452</v>
      </c>
      <c r="G367" s="415">
        <v>0</v>
      </c>
      <c r="H367" s="415">
        <v>0</v>
      </c>
      <c r="I367" s="415">
        <v>0</v>
      </c>
      <c r="J367" s="415" t="s">
        <v>2967</v>
      </c>
      <c r="K367" s="415">
        <v>1</v>
      </c>
      <c r="L367" s="415">
        <v>585</v>
      </c>
      <c r="M367" s="415">
        <v>415</v>
      </c>
      <c r="N367" s="415" t="s">
        <v>2675</v>
      </c>
      <c r="O367" s="415" t="s">
        <v>2675</v>
      </c>
      <c r="P367" s="415">
        <v>482</v>
      </c>
      <c r="Q367" s="415" t="s">
        <v>2675</v>
      </c>
      <c r="R367" s="415" t="s">
        <v>2819</v>
      </c>
      <c r="S367" s="415">
        <v>0</v>
      </c>
      <c r="T367" s="416">
        <v>168</v>
      </c>
      <c r="U367" s="416">
        <v>168</v>
      </c>
      <c r="V367" s="416">
        <v>168</v>
      </c>
      <c r="W367" s="416">
        <v>167</v>
      </c>
      <c r="X367" s="416">
        <v>164</v>
      </c>
      <c r="Y367" s="416">
        <v>161</v>
      </c>
      <c r="Z367" s="416">
        <v>156</v>
      </c>
      <c r="AA367" s="416">
        <v>154</v>
      </c>
      <c r="AB367" s="416">
        <v>151</v>
      </c>
      <c r="AC367" s="416">
        <v>150</v>
      </c>
      <c r="AD367" s="416">
        <v>149</v>
      </c>
      <c r="AE367" s="416">
        <v>147</v>
      </c>
      <c r="AF367" s="416">
        <v>145</v>
      </c>
      <c r="AG367" s="416">
        <v>144</v>
      </c>
      <c r="AH367" s="416">
        <v>141</v>
      </c>
      <c r="AI367" s="416">
        <v>139</v>
      </c>
      <c r="AJ367" s="416">
        <v>136</v>
      </c>
      <c r="AK367" s="416">
        <v>0</v>
      </c>
      <c r="AL367" s="416">
        <v>0</v>
      </c>
      <c r="AM367" s="416">
        <v>0</v>
      </c>
      <c r="AN367" s="416">
        <v>0</v>
      </c>
      <c r="AO367" s="416">
        <v>0</v>
      </c>
      <c r="AP367" s="416">
        <v>0</v>
      </c>
      <c r="AQ367" s="416">
        <v>0</v>
      </c>
      <c r="AR367" s="416">
        <v>0</v>
      </c>
      <c r="AS367" s="416">
        <v>0</v>
      </c>
      <c r="AT367" s="416">
        <v>0</v>
      </c>
      <c r="AU367" s="416">
        <v>0</v>
      </c>
      <c r="AV367" s="416">
        <v>0</v>
      </c>
      <c r="AW367" s="416">
        <v>0</v>
      </c>
      <c r="AX367" s="416">
        <v>0</v>
      </c>
      <c r="AY367" s="416">
        <v>0</v>
      </c>
      <c r="AZ367" s="416">
        <v>0</v>
      </c>
    </row>
    <row r="368" spans="1:52" s="411" customFormat="1" x14ac:dyDescent="0.3">
      <c r="A368" s="415" t="str">
        <f t="shared" si="5"/>
        <v>SA-336 Gr.F3VCb</v>
      </c>
      <c r="B368" s="415">
        <v>362</v>
      </c>
      <c r="C368" s="415" t="s">
        <v>2977</v>
      </c>
      <c r="D368" s="415" t="s">
        <v>2737</v>
      </c>
      <c r="E368" s="415" t="s">
        <v>2211</v>
      </c>
      <c r="F368" s="415" t="s">
        <v>2452</v>
      </c>
      <c r="G368" s="415">
        <v>0</v>
      </c>
      <c r="H368" s="415">
        <v>0</v>
      </c>
      <c r="I368" s="415">
        <v>0</v>
      </c>
      <c r="J368" s="415" t="s">
        <v>2967</v>
      </c>
      <c r="K368" s="415">
        <v>1</v>
      </c>
      <c r="L368" s="415">
        <v>585</v>
      </c>
      <c r="M368" s="415">
        <v>415</v>
      </c>
      <c r="N368" s="415" t="s">
        <v>2675</v>
      </c>
      <c r="O368" s="415" t="s">
        <v>2675</v>
      </c>
      <c r="P368" s="415">
        <v>482</v>
      </c>
      <c r="Q368" s="415" t="s">
        <v>2675</v>
      </c>
      <c r="R368" s="415" t="s">
        <v>2819</v>
      </c>
      <c r="S368" s="415">
        <v>0</v>
      </c>
      <c r="T368" s="416">
        <v>168</v>
      </c>
      <c r="U368" s="416">
        <v>168</v>
      </c>
      <c r="V368" s="416">
        <v>168</v>
      </c>
      <c r="W368" s="416">
        <v>167</v>
      </c>
      <c r="X368" s="416">
        <v>164</v>
      </c>
      <c r="Y368" s="416">
        <v>161</v>
      </c>
      <c r="Z368" s="416">
        <v>156</v>
      </c>
      <c r="AA368" s="416">
        <v>154</v>
      </c>
      <c r="AB368" s="416">
        <v>151</v>
      </c>
      <c r="AC368" s="416">
        <v>150</v>
      </c>
      <c r="AD368" s="416">
        <v>149</v>
      </c>
      <c r="AE368" s="416">
        <v>147</v>
      </c>
      <c r="AF368" s="416">
        <v>145</v>
      </c>
      <c r="AG368" s="416">
        <v>144</v>
      </c>
      <c r="AH368" s="416">
        <v>141</v>
      </c>
      <c r="AI368" s="416">
        <v>139</v>
      </c>
      <c r="AJ368" s="416">
        <v>136</v>
      </c>
      <c r="AK368" s="416">
        <v>0</v>
      </c>
      <c r="AL368" s="416">
        <v>0</v>
      </c>
      <c r="AM368" s="416">
        <v>0</v>
      </c>
      <c r="AN368" s="416">
        <v>0</v>
      </c>
      <c r="AO368" s="416">
        <v>0</v>
      </c>
      <c r="AP368" s="416">
        <v>0</v>
      </c>
      <c r="AQ368" s="416">
        <v>0</v>
      </c>
      <c r="AR368" s="416">
        <v>0</v>
      </c>
      <c r="AS368" s="416">
        <v>0</v>
      </c>
      <c r="AT368" s="416">
        <v>0</v>
      </c>
      <c r="AU368" s="416">
        <v>0</v>
      </c>
      <c r="AV368" s="416">
        <v>0</v>
      </c>
      <c r="AW368" s="416">
        <v>0</v>
      </c>
      <c r="AX368" s="416">
        <v>0</v>
      </c>
      <c r="AY368" s="416">
        <v>0</v>
      </c>
      <c r="AZ368" s="416">
        <v>0</v>
      </c>
    </row>
    <row r="369" spans="1:52" s="411" customFormat="1" x14ac:dyDescent="0.3">
      <c r="A369" s="415" t="str">
        <f t="shared" si="5"/>
        <v>SA-508 Gr.3VCb</v>
      </c>
      <c r="B369" s="415">
        <v>363</v>
      </c>
      <c r="C369" s="415" t="s">
        <v>2977</v>
      </c>
      <c r="D369" s="415" t="s">
        <v>2737</v>
      </c>
      <c r="E369" s="415" t="s">
        <v>2249</v>
      </c>
      <c r="F369" s="415" t="s">
        <v>2288</v>
      </c>
      <c r="G369" s="415">
        <v>0</v>
      </c>
      <c r="H369" s="415">
        <v>0</v>
      </c>
      <c r="I369" s="415">
        <v>0</v>
      </c>
      <c r="J369" s="415" t="s">
        <v>2967</v>
      </c>
      <c r="K369" s="415">
        <v>1</v>
      </c>
      <c r="L369" s="415">
        <v>585</v>
      </c>
      <c r="M369" s="415">
        <v>415</v>
      </c>
      <c r="N369" s="415" t="s">
        <v>2675</v>
      </c>
      <c r="O369" s="415" t="s">
        <v>2675</v>
      </c>
      <c r="P369" s="415">
        <v>482</v>
      </c>
      <c r="Q369" s="415" t="s">
        <v>2675</v>
      </c>
      <c r="R369" s="415" t="s">
        <v>2819</v>
      </c>
      <c r="S369" s="415">
        <v>0</v>
      </c>
      <c r="T369" s="416">
        <v>168</v>
      </c>
      <c r="U369" s="416">
        <v>168</v>
      </c>
      <c r="V369" s="416">
        <v>168</v>
      </c>
      <c r="W369" s="416">
        <v>167</v>
      </c>
      <c r="X369" s="416">
        <v>164</v>
      </c>
      <c r="Y369" s="416">
        <v>161</v>
      </c>
      <c r="Z369" s="416">
        <v>156</v>
      </c>
      <c r="AA369" s="416">
        <v>154</v>
      </c>
      <c r="AB369" s="416">
        <v>151</v>
      </c>
      <c r="AC369" s="416">
        <v>150</v>
      </c>
      <c r="AD369" s="416">
        <v>149</v>
      </c>
      <c r="AE369" s="416">
        <v>147</v>
      </c>
      <c r="AF369" s="416">
        <v>145</v>
      </c>
      <c r="AG369" s="416">
        <v>144</v>
      </c>
      <c r="AH369" s="416">
        <v>141</v>
      </c>
      <c r="AI369" s="416">
        <v>139</v>
      </c>
      <c r="AJ369" s="416">
        <v>136</v>
      </c>
      <c r="AK369" s="416">
        <v>0</v>
      </c>
      <c r="AL369" s="416">
        <v>0</v>
      </c>
      <c r="AM369" s="416">
        <v>0</v>
      </c>
      <c r="AN369" s="416">
        <v>0</v>
      </c>
      <c r="AO369" s="416">
        <v>0</v>
      </c>
      <c r="AP369" s="416">
        <v>0</v>
      </c>
      <c r="AQ369" s="416">
        <v>0</v>
      </c>
      <c r="AR369" s="416">
        <v>0</v>
      </c>
      <c r="AS369" s="416">
        <v>0</v>
      </c>
      <c r="AT369" s="416">
        <v>0</v>
      </c>
      <c r="AU369" s="416">
        <v>0</v>
      </c>
      <c r="AV369" s="416">
        <v>0</v>
      </c>
      <c r="AW369" s="416">
        <v>0</v>
      </c>
      <c r="AX369" s="416">
        <v>0</v>
      </c>
      <c r="AY369" s="416">
        <v>0</v>
      </c>
      <c r="AZ369" s="416">
        <v>0</v>
      </c>
    </row>
    <row r="370" spans="1:52" s="411" customFormat="1" x14ac:dyDescent="0.3">
      <c r="A370" s="415" t="str">
        <f t="shared" si="5"/>
        <v>SA-541 Gr.3VCb</v>
      </c>
      <c r="B370" s="415">
        <v>364</v>
      </c>
      <c r="C370" s="415" t="s">
        <v>2977</v>
      </c>
      <c r="D370" s="415" t="s">
        <v>2737</v>
      </c>
      <c r="E370" s="415" t="s">
        <v>2263</v>
      </c>
      <c r="F370" s="415" t="s">
        <v>2288</v>
      </c>
      <c r="G370" s="415">
        <v>0</v>
      </c>
      <c r="H370" s="415">
        <v>0</v>
      </c>
      <c r="I370" s="415">
        <v>0</v>
      </c>
      <c r="J370" s="415" t="s">
        <v>2967</v>
      </c>
      <c r="K370" s="415">
        <v>1</v>
      </c>
      <c r="L370" s="415">
        <v>585</v>
      </c>
      <c r="M370" s="415">
        <v>415</v>
      </c>
      <c r="N370" s="415" t="s">
        <v>2675</v>
      </c>
      <c r="O370" s="415" t="s">
        <v>2675</v>
      </c>
      <c r="P370" s="415">
        <v>482</v>
      </c>
      <c r="Q370" s="415" t="s">
        <v>2675</v>
      </c>
      <c r="R370" s="415" t="s">
        <v>2819</v>
      </c>
      <c r="S370" s="415">
        <v>0</v>
      </c>
      <c r="T370" s="416">
        <v>168</v>
      </c>
      <c r="U370" s="416">
        <v>168</v>
      </c>
      <c r="V370" s="416">
        <v>168</v>
      </c>
      <c r="W370" s="416">
        <v>167</v>
      </c>
      <c r="X370" s="416">
        <v>164</v>
      </c>
      <c r="Y370" s="416">
        <v>161</v>
      </c>
      <c r="Z370" s="416">
        <v>156</v>
      </c>
      <c r="AA370" s="416">
        <v>154</v>
      </c>
      <c r="AB370" s="416">
        <v>151</v>
      </c>
      <c r="AC370" s="416">
        <v>150</v>
      </c>
      <c r="AD370" s="416">
        <v>149</v>
      </c>
      <c r="AE370" s="416">
        <v>147</v>
      </c>
      <c r="AF370" s="416">
        <v>145</v>
      </c>
      <c r="AG370" s="416">
        <v>144</v>
      </c>
      <c r="AH370" s="416">
        <v>141</v>
      </c>
      <c r="AI370" s="416">
        <v>139</v>
      </c>
      <c r="AJ370" s="416">
        <v>136</v>
      </c>
      <c r="AK370" s="416">
        <v>0</v>
      </c>
      <c r="AL370" s="416">
        <v>0</v>
      </c>
      <c r="AM370" s="416">
        <v>0</v>
      </c>
      <c r="AN370" s="416">
        <v>0</v>
      </c>
      <c r="AO370" s="416">
        <v>0</v>
      </c>
      <c r="AP370" s="416">
        <v>0</v>
      </c>
      <c r="AQ370" s="416">
        <v>0</v>
      </c>
      <c r="AR370" s="416">
        <v>0</v>
      </c>
      <c r="AS370" s="416">
        <v>0</v>
      </c>
      <c r="AT370" s="416">
        <v>0</v>
      </c>
      <c r="AU370" s="416">
        <v>0</v>
      </c>
      <c r="AV370" s="416">
        <v>0</v>
      </c>
      <c r="AW370" s="416">
        <v>0</v>
      </c>
      <c r="AX370" s="416">
        <v>0</v>
      </c>
      <c r="AY370" s="416">
        <v>0</v>
      </c>
      <c r="AZ370" s="416">
        <v>0</v>
      </c>
    </row>
    <row r="371" spans="1:52" s="411" customFormat="1" x14ac:dyDescent="0.3">
      <c r="A371" s="415" t="str">
        <f t="shared" si="5"/>
        <v>SA-542 Gr.E</v>
      </c>
      <c r="B371" s="415">
        <v>365</v>
      </c>
      <c r="C371" s="415" t="s">
        <v>2977</v>
      </c>
      <c r="D371" s="415" t="s">
        <v>2684</v>
      </c>
      <c r="E371" s="415" t="s">
        <v>2265</v>
      </c>
      <c r="F371" s="415" t="s">
        <v>2417</v>
      </c>
      <c r="G371" s="415">
        <v>0</v>
      </c>
      <c r="H371" s="415" t="s">
        <v>2971</v>
      </c>
      <c r="I371" s="415">
        <v>0</v>
      </c>
      <c r="J371" s="415" t="s">
        <v>2967</v>
      </c>
      <c r="K371" s="415">
        <v>1</v>
      </c>
      <c r="L371" s="415">
        <v>585</v>
      </c>
      <c r="M371" s="415">
        <v>415</v>
      </c>
      <c r="N371" s="415" t="s">
        <v>2675</v>
      </c>
      <c r="O371" s="415" t="s">
        <v>2675</v>
      </c>
      <c r="P371" s="415">
        <v>482</v>
      </c>
      <c r="Q371" s="415" t="s">
        <v>2675</v>
      </c>
      <c r="R371" s="415" t="s">
        <v>2819</v>
      </c>
      <c r="S371" s="415">
        <v>0</v>
      </c>
      <c r="T371" s="416">
        <v>168</v>
      </c>
      <c r="U371" s="416">
        <v>168</v>
      </c>
      <c r="V371" s="416">
        <v>168</v>
      </c>
      <c r="W371" s="416">
        <v>167</v>
      </c>
      <c r="X371" s="416">
        <v>164</v>
      </c>
      <c r="Y371" s="416">
        <v>161</v>
      </c>
      <c r="Z371" s="416">
        <v>156</v>
      </c>
      <c r="AA371" s="416">
        <v>154</v>
      </c>
      <c r="AB371" s="416">
        <v>151</v>
      </c>
      <c r="AC371" s="416">
        <v>150</v>
      </c>
      <c r="AD371" s="416">
        <v>149</v>
      </c>
      <c r="AE371" s="416">
        <v>147</v>
      </c>
      <c r="AF371" s="416">
        <v>145</v>
      </c>
      <c r="AG371" s="416">
        <v>144</v>
      </c>
      <c r="AH371" s="416">
        <v>141</v>
      </c>
      <c r="AI371" s="416">
        <v>139</v>
      </c>
      <c r="AJ371" s="416">
        <v>136</v>
      </c>
      <c r="AK371" s="416">
        <v>0</v>
      </c>
      <c r="AL371" s="416">
        <v>0</v>
      </c>
      <c r="AM371" s="416">
        <v>0</v>
      </c>
      <c r="AN371" s="416">
        <v>0</v>
      </c>
      <c r="AO371" s="416">
        <v>0</v>
      </c>
      <c r="AP371" s="416">
        <v>0</v>
      </c>
      <c r="AQ371" s="416">
        <v>0</v>
      </c>
      <c r="AR371" s="416">
        <v>0</v>
      </c>
      <c r="AS371" s="416">
        <v>0</v>
      </c>
      <c r="AT371" s="416">
        <v>0</v>
      </c>
      <c r="AU371" s="416">
        <v>0</v>
      </c>
      <c r="AV371" s="416">
        <v>0</v>
      </c>
      <c r="AW371" s="416">
        <v>0</v>
      </c>
      <c r="AX371" s="416">
        <v>0</v>
      </c>
      <c r="AY371" s="416">
        <v>0</v>
      </c>
      <c r="AZ371" s="416">
        <v>0</v>
      </c>
    </row>
    <row r="372" spans="1:52" s="411" customFormat="1" x14ac:dyDescent="0.3">
      <c r="A372" s="415" t="str">
        <f t="shared" si="5"/>
        <v>SA-832 Gr.23V</v>
      </c>
      <c r="B372" s="415">
        <v>366</v>
      </c>
      <c r="C372" s="415" t="s">
        <v>2977</v>
      </c>
      <c r="D372" s="415" t="s">
        <v>2684</v>
      </c>
      <c r="E372" s="415" t="s">
        <v>2334</v>
      </c>
      <c r="F372" s="415" t="s">
        <v>2240</v>
      </c>
      <c r="G372" s="415">
        <v>0</v>
      </c>
      <c r="H372" s="415">
        <v>0</v>
      </c>
      <c r="I372" s="415">
        <v>0</v>
      </c>
      <c r="J372" s="415" t="s">
        <v>2967</v>
      </c>
      <c r="K372" s="415">
        <v>1</v>
      </c>
      <c r="L372" s="415">
        <v>585</v>
      </c>
      <c r="M372" s="415">
        <v>415</v>
      </c>
      <c r="N372" s="415" t="s">
        <v>2675</v>
      </c>
      <c r="O372" s="415" t="s">
        <v>2675</v>
      </c>
      <c r="P372" s="415">
        <v>482</v>
      </c>
      <c r="Q372" s="415" t="s">
        <v>2675</v>
      </c>
      <c r="R372" s="415" t="s">
        <v>2819</v>
      </c>
      <c r="S372" s="415">
        <v>0</v>
      </c>
      <c r="T372" s="416">
        <v>168</v>
      </c>
      <c r="U372" s="416">
        <v>168</v>
      </c>
      <c r="V372" s="416">
        <v>168</v>
      </c>
      <c r="W372" s="416">
        <v>167</v>
      </c>
      <c r="X372" s="416">
        <v>164</v>
      </c>
      <c r="Y372" s="416">
        <v>161</v>
      </c>
      <c r="Z372" s="416">
        <v>156</v>
      </c>
      <c r="AA372" s="416">
        <v>154</v>
      </c>
      <c r="AB372" s="416">
        <v>151</v>
      </c>
      <c r="AC372" s="416">
        <v>150</v>
      </c>
      <c r="AD372" s="416">
        <v>149</v>
      </c>
      <c r="AE372" s="416">
        <v>147</v>
      </c>
      <c r="AF372" s="416">
        <v>145</v>
      </c>
      <c r="AG372" s="416">
        <v>144</v>
      </c>
      <c r="AH372" s="416">
        <v>141</v>
      </c>
      <c r="AI372" s="416">
        <v>139</v>
      </c>
      <c r="AJ372" s="416">
        <v>136</v>
      </c>
      <c r="AK372" s="416">
        <v>0</v>
      </c>
      <c r="AL372" s="416">
        <v>0</v>
      </c>
      <c r="AM372" s="416">
        <v>0</v>
      </c>
      <c r="AN372" s="416">
        <v>0</v>
      </c>
      <c r="AO372" s="416">
        <v>0</v>
      </c>
      <c r="AP372" s="416">
        <v>0</v>
      </c>
      <c r="AQ372" s="416">
        <v>0</v>
      </c>
      <c r="AR372" s="416">
        <v>0</v>
      </c>
      <c r="AS372" s="416">
        <v>0</v>
      </c>
      <c r="AT372" s="416">
        <v>0</v>
      </c>
      <c r="AU372" s="416">
        <v>0</v>
      </c>
      <c r="AV372" s="416">
        <v>0</v>
      </c>
      <c r="AW372" s="416">
        <v>0</v>
      </c>
      <c r="AX372" s="416">
        <v>0</v>
      </c>
      <c r="AY372" s="416">
        <v>0</v>
      </c>
      <c r="AZ372" s="416">
        <v>0</v>
      </c>
    </row>
    <row r="373" spans="1:52" s="411" customFormat="1" x14ac:dyDescent="0.3">
      <c r="A373" s="415" t="str">
        <f t="shared" si="5"/>
        <v>SA-213 Gr.T5</v>
      </c>
      <c r="B373" s="415">
        <v>367</v>
      </c>
      <c r="C373" s="415" t="s">
        <v>2978</v>
      </c>
      <c r="D373" s="415" t="s">
        <v>2693</v>
      </c>
      <c r="E373" s="415" t="s">
        <v>2195</v>
      </c>
      <c r="F373" s="415" t="s">
        <v>2549</v>
      </c>
      <c r="G373" s="415" t="s">
        <v>2979</v>
      </c>
      <c r="H373" s="415">
        <v>0</v>
      </c>
      <c r="I373" s="415">
        <v>0</v>
      </c>
      <c r="J373" s="415" t="s">
        <v>2980</v>
      </c>
      <c r="K373" s="415">
        <v>1</v>
      </c>
      <c r="L373" s="415">
        <v>415</v>
      </c>
      <c r="M373" s="415">
        <v>205</v>
      </c>
      <c r="N373" s="415">
        <v>649</v>
      </c>
      <c r="O373" s="415">
        <v>371</v>
      </c>
      <c r="P373" s="415">
        <v>649</v>
      </c>
      <c r="Q373" s="415" t="s">
        <v>2675</v>
      </c>
      <c r="R373" s="415" t="s">
        <v>2699</v>
      </c>
      <c r="S373" s="415" t="s">
        <v>2941</v>
      </c>
      <c r="T373" s="416">
        <v>118</v>
      </c>
      <c r="U373" s="416">
        <v>118</v>
      </c>
      <c r="V373" s="416">
        <v>118</v>
      </c>
      <c r="W373" s="416">
        <v>118</v>
      </c>
      <c r="X373" s="416">
        <v>116</v>
      </c>
      <c r="Y373" s="416">
        <v>114</v>
      </c>
      <c r="Z373" s="416">
        <v>114</v>
      </c>
      <c r="AA373" s="416">
        <v>113</v>
      </c>
      <c r="AB373" s="416">
        <v>112</v>
      </c>
      <c r="AC373" s="416">
        <v>111</v>
      </c>
      <c r="AD373" s="416">
        <v>109</v>
      </c>
      <c r="AE373" s="416">
        <v>107</v>
      </c>
      <c r="AF373" s="416">
        <v>104</v>
      </c>
      <c r="AG373" s="416">
        <v>100</v>
      </c>
      <c r="AH373" s="416">
        <v>96.1</v>
      </c>
      <c r="AI373" s="416">
        <v>81.400000000000006</v>
      </c>
      <c r="AJ373" s="416">
        <v>61.7</v>
      </c>
      <c r="AK373" s="416">
        <v>46.4</v>
      </c>
      <c r="AL373" s="416">
        <v>34.700000000000003</v>
      </c>
      <c r="AM373" s="416">
        <v>25.8</v>
      </c>
      <c r="AN373" s="416">
        <v>18</v>
      </c>
      <c r="AO373" s="416">
        <v>11.5</v>
      </c>
      <c r="AP373" s="416">
        <v>6.68</v>
      </c>
      <c r="AQ373" s="416">
        <v>0</v>
      </c>
      <c r="AR373" s="416">
        <v>0</v>
      </c>
      <c r="AS373" s="416">
        <v>0</v>
      </c>
      <c r="AT373" s="416">
        <v>0</v>
      </c>
      <c r="AU373" s="416">
        <v>0</v>
      </c>
      <c r="AV373" s="416">
        <v>0</v>
      </c>
      <c r="AW373" s="416">
        <v>0</v>
      </c>
      <c r="AX373" s="416">
        <v>0</v>
      </c>
      <c r="AY373" s="416">
        <v>0</v>
      </c>
      <c r="AZ373" s="416">
        <v>0</v>
      </c>
    </row>
    <row r="374" spans="1:52" s="411" customFormat="1" x14ac:dyDescent="0.3">
      <c r="A374" s="415" t="str">
        <f t="shared" si="5"/>
        <v>SA-234 Gr.WP5</v>
      </c>
      <c r="B374" s="415">
        <v>368</v>
      </c>
      <c r="C374" s="415" t="s">
        <v>2978</v>
      </c>
      <c r="D374" s="415" t="s">
        <v>2758</v>
      </c>
      <c r="E374" s="415" t="s">
        <v>2174</v>
      </c>
      <c r="F374" s="415" t="s">
        <v>2608</v>
      </c>
      <c r="G374" s="415" t="s">
        <v>2979</v>
      </c>
      <c r="H374" s="415">
        <v>0</v>
      </c>
      <c r="I374" s="415">
        <v>0</v>
      </c>
      <c r="J374" s="415" t="s">
        <v>2980</v>
      </c>
      <c r="K374" s="415">
        <v>1</v>
      </c>
      <c r="L374" s="415">
        <v>415</v>
      </c>
      <c r="M374" s="415">
        <v>205</v>
      </c>
      <c r="N374" s="415">
        <v>649</v>
      </c>
      <c r="O374" s="415">
        <v>371</v>
      </c>
      <c r="P374" s="415">
        <v>649</v>
      </c>
      <c r="Q374" s="415" t="s">
        <v>2675</v>
      </c>
      <c r="R374" s="415" t="s">
        <v>2699</v>
      </c>
      <c r="S374" s="415" t="s">
        <v>2981</v>
      </c>
      <c r="T374" s="416">
        <v>118</v>
      </c>
      <c r="U374" s="416">
        <v>118</v>
      </c>
      <c r="V374" s="416">
        <v>118</v>
      </c>
      <c r="W374" s="416">
        <v>118</v>
      </c>
      <c r="X374" s="416">
        <v>116</v>
      </c>
      <c r="Y374" s="416">
        <v>114</v>
      </c>
      <c r="Z374" s="416">
        <v>114</v>
      </c>
      <c r="AA374" s="416">
        <v>113</v>
      </c>
      <c r="AB374" s="416">
        <v>112</v>
      </c>
      <c r="AC374" s="416">
        <v>111</v>
      </c>
      <c r="AD374" s="416">
        <v>109</v>
      </c>
      <c r="AE374" s="416">
        <v>107</v>
      </c>
      <c r="AF374" s="416">
        <v>104</v>
      </c>
      <c r="AG374" s="416">
        <v>100</v>
      </c>
      <c r="AH374" s="416">
        <v>96.1</v>
      </c>
      <c r="AI374" s="416">
        <v>81.400000000000006</v>
      </c>
      <c r="AJ374" s="416">
        <v>61.7</v>
      </c>
      <c r="AK374" s="416">
        <v>46.4</v>
      </c>
      <c r="AL374" s="416">
        <v>34.700000000000003</v>
      </c>
      <c r="AM374" s="416">
        <v>25.8</v>
      </c>
      <c r="AN374" s="416">
        <v>18</v>
      </c>
      <c r="AO374" s="416">
        <v>11.5</v>
      </c>
      <c r="AP374" s="416">
        <v>6.68</v>
      </c>
      <c r="AQ374" s="416">
        <v>0</v>
      </c>
      <c r="AR374" s="416">
        <v>0</v>
      </c>
      <c r="AS374" s="416">
        <v>0</v>
      </c>
      <c r="AT374" s="416">
        <v>0</v>
      </c>
      <c r="AU374" s="416">
        <v>0</v>
      </c>
      <c r="AV374" s="416">
        <v>0</v>
      </c>
      <c r="AW374" s="416">
        <v>0</v>
      </c>
      <c r="AX374" s="416">
        <v>0</v>
      </c>
      <c r="AY374" s="416">
        <v>0</v>
      </c>
      <c r="AZ374" s="416">
        <v>0</v>
      </c>
    </row>
    <row r="375" spans="1:52" s="411" customFormat="1" x14ac:dyDescent="0.3">
      <c r="A375" s="415" t="str">
        <f t="shared" si="5"/>
        <v>SA-335 Gr.P5</v>
      </c>
      <c r="B375" s="415">
        <v>369</v>
      </c>
      <c r="C375" s="415" t="s">
        <v>2978</v>
      </c>
      <c r="D375" s="415" t="s">
        <v>2703</v>
      </c>
      <c r="E375" s="415" t="s">
        <v>2210</v>
      </c>
      <c r="F375" s="415" t="s">
        <v>2518</v>
      </c>
      <c r="G375" s="415" t="s">
        <v>2979</v>
      </c>
      <c r="H375" s="415">
        <v>0</v>
      </c>
      <c r="I375" s="415">
        <v>0</v>
      </c>
      <c r="J375" s="415" t="s">
        <v>2980</v>
      </c>
      <c r="K375" s="415">
        <v>1</v>
      </c>
      <c r="L375" s="415">
        <v>415</v>
      </c>
      <c r="M375" s="415">
        <v>205</v>
      </c>
      <c r="N375" s="415">
        <v>649</v>
      </c>
      <c r="O375" s="415">
        <v>371</v>
      </c>
      <c r="P375" s="415">
        <v>649</v>
      </c>
      <c r="Q375" s="415" t="s">
        <v>2675</v>
      </c>
      <c r="R375" s="415" t="s">
        <v>2699</v>
      </c>
      <c r="S375" s="415" t="s">
        <v>2941</v>
      </c>
      <c r="T375" s="416">
        <v>118</v>
      </c>
      <c r="U375" s="416">
        <v>118</v>
      </c>
      <c r="V375" s="416">
        <v>118</v>
      </c>
      <c r="W375" s="416">
        <v>118</v>
      </c>
      <c r="X375" s="416">
        <v>116</v>
      </c>
      <c r="Y375" s="416">
        <v>114</v>
      </c>
      <c r="Z375" s="416">
        <v>114</v>
      </c>
      <c r="AA375" s="416">
        <v>113</v>
      </c>
      <c r="AB375" s="416">
        <v>112</v>
      </c>
      <c r="AC375" s="416">
        <v>111</v>
      </c>
      <c r="AD375" s="416">
        <v>109</v>
      </c>
      <c r="AE375" s="416">
        <v>107</v>
      </c>
      <c r="AF375" s="416">
        <v>104</v>
      </c>
      <c r="AG375" s="416">
        <v>100</v>
      </c>
      <c r="AH375" s="416">
        <v>96.1</v>
      </c>
      <c r="AI375" s="416">
        <v>81.400000000000006</v>
      </c>
      <c r="AJ375" s="416">
        <v>61.7</v>
      </c>
      <c r="AK375" s="416">
        <v>46.4</v>
      </c>
      <c r="AL375" s="416">
        <v>34.700000000000003</v>
      </c>
      <c r="AM375" s="416">
        <v>25.8</v>
      </c>
      <c r="AN375" s="416">
        <v>18</v>
      </c>
      <c r="AO375" s="416">
        <v>11.5</v>
      </c>
      <c r="AP375" s="416">
        <v>6.68</v>
      </c>
      <c r="AQ375" s="416">
        <v>0</v>
      </c>
      <c r="AR375" s="416">
        <v>0</v>
      </c>
      <c r="AS375" s="416">
        <v>0</v>
      </c>
      <c r="AT375" s="416">
        <v>0</v>
      </c>
      <c r="AU375" s="416">
        <v>0</v>
      </c>
      <c r="AV375" s="416">
        <v>0</v>
      </c>
      <c r="AW375" s="416">
        <v>0</v>
      </c>
      <c r="AX375" s="416">
        <v>0</v>
      </c>
      <c r="AY375" s="416">
        <v>0</v>
      </c>
      <c r="AZ375" s="416">
        <v>0</v>
      </c>
    </row>
    <row r="376" spans="1:52" s="411" customFormat="1" x14ac:dyDescent="0.3">
      <c r="A376" s="415" t="str">
        <f t="shared" si="5"/>
        <v>SA-369 Gr.FP5</v>
      </c>
      <c r="B376" s="415">
        <v>370</v>
      </c>
      <c r="C376" s="415" t="s">
        <v>2978</v>
      </c>
      <c r="D376" s="415" t="s">
        <v>2707</v>
      </c>
      <c r="E376" s="415" t="s">
        <v>2221</v>
      </c>
      <c r="F376" s="415" t="s">
        <v>2471</v>
      </c>
      <c r="G376" s="415" t="s">
        <v>2979</v>
      </c>
      <c r="H376" s="415">
        <v>0</v>
      </c>
      <c r="I376" s="415">
        <v>0</v>
      </c>
      <c r="J376" s="415" t="s">
        <v>2980</v>
      </c>
      <c r="K376" s="415">
        <v>1</v>
      </c>
      <c r="L376" s="415">
        <v>415</v>
      </c>
      <c r="M376" s="415">
        <v>205</v>
      </c>
      <c r="N376" s="415">
        <v>649</v>
      </c>
      <c r="O376" s="415">
        <v>371</v>
      </c>
      <c r="P376" s="415">
        <v>649</v>
      </c>
      <c r="Q376" s="415" t="s">
        <v>2675</v>
      </c>
      <c r="R376" s="415" t="s">
        <v>2699</v>
      </c>
      <c r="S376" s="415" t="s">
        <v>2941</v>
      </c>
      <c r="T376" s="416">
        <v>118</v>
      </c>
      <c r="U376" s="416">
        <v>118</v>
      </c>
      <c r="V376" s="416">
        <v>118</v>
      </c>
      <c r="W376" s="416">
        <v>118</v>
      </c>
      <c r="X376" s="416">
        <v>116</v>
      </c>
      <c r="Y376" s="416">
        <v>114</v>
      </c>
      <c r="Z376" s="416">
        <v>114</v>
      </c>
      <c r="AA376" s="416">
        <v>113</v>
      </c>
      <c r="AB376" s="416">
        <v>112</v>
      </c>
      <c r="AC376" s="416">
        <v>111</v>
      </c>
      <c r="AD376" s="416">
        <v>109</v>
      </c>
      <c r="AE376" s="416">
        <v>107</v>
      </c>
      <c r="AF376" s="416">
        <v>104</v>
      </c>
      <c r="AG376" s="416">
        <v>100</v>
      </c>
      <c r="AH376" s="416">
        <v>96.1</v>
      </c>
      <c r="AI376" s="416">
        <v>81.400000000000006</v>
      </c>
      <c r="AJ376" s="416">
        <v>61.7</v>
      </c>
      <c r="AK376" s="416">
        <v>46.4</v>
      </c>
      <c r="AL376" s="416">
        <v>34.700000000000003</v>
      </c>
      <c r="AM376" s="416">
        <v>25.8</v>
      </c>
      <c r="AN376" s="416">
        <v>18</v>
      </c>
      <c r="AO376" s="416">
        <v>11.5</v>
      </c>
      <c r="AP376" s="416">
        <v>6.68</v>
      </c>
      <c r="AQ376" s="416">
        <v>0</v>
      </c>
      <c r="AR376" s="416">
        <v>0</v>
      </c>
      <c r="AS376" s="416">
        <v>0</v>
      </c>
      <c r="AT376" s="416">
        <v>0</v>
      </c>
      <c r="AU376" s="416">
        <v>0</v>
      </c>
      <c r="AV376" s="416">
        <v>0</v>
      </c>
      <c r="AW376" s="416">
        <v>0</v>
      </c>
      <c r="AX376" s="416">
        <v>0</v>
      </c>
      <c r="AY376" s="416">
        <v>0</v>
      </c>
      <c r="AZ376" s="416">
        <v>0</v>
      </c>
    </row>
    <row r="377" spans="1:52" s="411" customFormat="1" x14ac:dyDescent="0.3">
      <c r="A377" s="415" t="str">
        <f t="shared" si="5"/>
        <v>SA-387 Gr.5</v>
      </c>
      <c r="B377" s="415">
        <v>371</v>
      </c>
      <c r="C377" s="415" t="s">
        <v>2978</v>
      </c>
      <c r="D377" s="415" t="s">
        <v>2684</v>
      </c>
      <c r="E377" s="415" t="s">
        <v>2227</v>
      </c>
      <c r="F377" s="415">
        <v>5</v>
      </c>
      <c r="G377" s="415" t="s">
        <v>2979</v>
      </c>
      <c r="H377" s="415">
        <v>1</v>
      </c>
      <c r="I377" s="415">
        <v>0</v>
      </c>
      <c r="J377" s="415" t="s">
        <v>2980</v>
      </c>
      <c r="K377" s="415">
        <v>1</v>
      </c>
      <c r="L377" s="415">
        <v>415</v>
      </c>
      <c r="M377" s="415">
        <v>205</v>
      </c>
      <c r="N377" s="415">
        <v>649</v>
      </c>
      <c r="O377" s="415">
        <v>371</v>
      </c>
      <c r="P377" s="415">
        <v>649</v>
      </c>
      <c r="Q377" s="415" t="s">
        <v>2675</v>
      </c>
      <c r="R377" s="415" t="s">
        <v>2699</v>
      </c>
      <c r="S377" s="415" t="s">
        <v>2941</v>
      </c>
      <c r="T377" s="416">
        <v>118</v>
      </c>
      <c r="U377" s="416">
        <v>118</v>
      </c>
      <c r="V377" s="416">
        <v>118</v>
      </c>
      <c r="W377" s="416">
        <v>118</v>
      </c>
      <c r="X377" s="416">
        <v>116</v>
      </c>
      <c r="Y377" s="416">
        <v>114</v>
      </c>
      <c r="Z377" s="416">
        <v>114</v>
      </c>
      <c r="AA377" s="416">
        <v>113</v>
      </c>
      <c r="AB377" s="416">
        <v>112</v>
      </c>
      <c r="AC377" s="416">
        <v>111</v>
      </c>
      <c r="AD377" s="416">
        <v>109</v>
      </c>
      <c r="AE377" s="416">
        <v>107</v>
      </c>
      <c r="AF377" s="416">
        <v>104</v>
      </c>
      <c r="AG377" s="416">
        <v>100</v>
      </c>
      <c r="AH377" s="416">
        <v>96.1</v>
      </c>
      <c r="AI377" s="416">
        <v>81.400000000000006</v>
      </c>
      <c r="AJ377" s="416">
        <v>61.7</v>
      </c>
      <c r="AK377" s="416">
        <v>46.4</v>
      </c>
      <c r="AL377" s="416">
        <v>34.700000000000003</v>
      </c>
      <c r="AM377" s="416">
        <v>25.8</v>
      </c>
      <c r="AN377" s="416">
        <v>18</v>
      </c>
      <c r="AO377" s="416">
        <v>11.5</v>
      </c>
      <c r="AP377" s="416">
        <v>6.68</v>
      </c>
      <c r="AQ377" s="416">
        <v>0</v>
      </c>
      <c r="AR377" s="416">
        <v>0</v>
      </c>
      <c r="AS377" s="416">
        <v>0</v>
      </c>
      <c r="AT377" s="416">
        <v>0</v>
      </c>
      <c r="AU377" s="416">
        <v>0</v>
      </c>
      <c r="AV377" s="416">
        <v>0</v>
      </c>
      <c r="AW377" s="416">
        <v>0</v>
      </c>
      <c r="AX377" s="416">
        <v>0</v>
      </c>
      <c r="AY377" s="416">
        <v>0</v>
      </c>
      <c r="AZ377" s="416">
        <v>0</v>
      </c>
    </row>
    <row r="378" spans="1:52" s="411" customFormat="1" x14ac:dyDescent="0.3">
      <c r="A378" s="415" t="str">
        <f t="shared" si="5"/>
        <v>SA-691 Gr.5CR</v>
      </c>
      <c r="B378" s="415">
        <v>372</v>
      </c>
      <c r="C378" s="415" t="s">
        <v>2978</v>
      </c>
      <c r="D378" s="415" t="s">
        <v>2680</v>
      </c>
      <c r="E378" s="415" t="s">
        <v>2303</v>
      </c>
      <c r="F378" s="415" t="s">
        <v>2298</v>
      </c>
      <c r="G378" s="415" t="s">
        <v>2979</v>
      </c>
      <c r="H378" s="415">
        <v>0</v>
      </c>
      <c r="I378" s="415">
        <v>0</v>
      </c>
      <c r="J378" s="415" t="s">
        <v>2980</v>
      </c>
      <c r="K378" s="415">
        <v>1</v>
      </c>
      <c r="L378" s="415">
        <v>415</v>
      </c>
      <c r="M378" s="415">
        <v>205</v>
      </c>
      <c r="N378" s="415" t="s">
        <v>2675</v>
      </c>
      <c r="O378" s="415">
        <v>371</v>
      </c>
      <c r="P378" s="415" t="s">
        <v>2675</v>
      </c>
      <c r="Q378" s="415" t="s">
        <v>2675</v>
      </c>
      <c r="R378" s="415" t="s">
        <v>2699</v>
      </c>
      <c r="S378" s="415" t="s">
        <v>2882</v>
      </c>
      <c r="T378" s="416">
        <v>118</v>
      </c>
      <c r="U378" s="416">
        <v>118</v>
      </c>
      <c r="V378" s="416">
        <v>118</v>
      </c>
      <c r="W378" s="416">
        <v>118</v>
      </c>
      <c r="X378" s="416">
        <v>116</v>
      </c>
      <c r="Y378" s="416">
        <v>114</v>
      </c>
      <c r="Z378" s="416">
        <v>114</v>
      </c>
      <c r="AA378" s="416">
        <v>113</v>
      </c>
      <c r="AB378" s="416">
        <v>112</v>
      </c>
      <c r="AC378" s="416">
        <v>111</v>
      </c>
      <c r="AD378" s="416">
        <v>109</v>
      </c>
      <c r="AE378" s="416">
        <v>107</v>
      </c>
      <c r="AF378" s="416">
        <v>0</v>
      </c>
      <c r="AG378" s="416">
        <v>0</v>
      </c>
      <c r="AH378" s="416">
        <v>0</v>
      </c>
      <c r="AI378" s="416">
        <v>0</v>
      </c>
      <c r="AJ378" s="416">
        <v>0</v>
      </c>
      <c r="AK378" s="416">
        <v>0</v>
      </c>
      <c r="AL378" s="416">
        <v>0</v>
      </c>
      <c r="AM378" s="416">
        <v>0</v>
      </c>
      <c r="AN378" s="416">
        <v>0</v>
      </c>
      <c r="AO378" s="416">
        <v>0</v>
      </c>
      <c r="AP378" s="416">
        <v>0</v>
      </c>
      <c r="AQ378" s="416">
        <v>0</v>
      </c>
      <c r="AR378" s="416">
        <v>0</v>
      </c>
      <c r="AS378" s="416">
        <v>0</v>
      </c>
      <c r="AT378" s="416">
        <v>0</v>
      </c>
      <c r="AU378" s="416">
        <v>0</v>
      </c>
      <c r="AV378" s="416">
        <v>0</v>
      </c>
      <c r="AW378" s="416">
        <v>0</v>
      </c>
      <c r="AX378" s="416">
        <v>0</v>
      </c>
      <c r="AY378" s="416">
        <v>0</v>
      </c>
      <c r="AZ378" s="416">
        <v>0</v>
      </c>
    </row>
    <row r="379" spans="1:52" s="411" customFormat="1" x14ac:dyDescent="0.3">
      <c r="A379" s="415" t="str">
        <f t="shared" si="5"/>
        <v>SA-336 Gr.F5</v>
      </c>
      <c r="B379" s="415">
        <v>373</v>
      </c>
      <c r="C379" s="415" t="s">
        <v>2978</v>
      </c>
      <c r="D379" s="415" t="s">
        <v>2737</v>
      </c>
      <c r="E379" s="415" t="s">
        <v>2211</v>
      </c>
      <c r="F379" s="415" t="s">
        <v>2455</v>
      </c>
      <c r="G379" s="415" t="s">
        <v>2979</v>
      </c>
      <c r="H379" s="415">
        <v>0</v>
      </c>
      <c r="I379" s="415">
        <v>0</v>
      </c>
      <c r="J379" s="415" t="s">
        <v>2980</v>
      </c>
      <c r="K379" s="415">
        <v>1</v>
      </c>
      <c r="L379" s="415">
        <v>415</v>
      </c>
      <c r="M379" s="415">
        <v>250</v>
      </c>
      <c r="N379" s="415">
        <v>649</v>
      </c>
      <c r="O379" s="415" t="s">
        <v>2675</v>
      </c>
      <c r="P379" s="415">
        <v>649</v>
      </c>
      <c r="Q379" s="415" t="s">
        <v>2675</v>
      </c>
      <c r="R379" s="415" t="s">
        <v>2699</v>
      </c>
      <c r="S379" s="415" t="s">
        <v>2941</v>
      </c>
      <c r="T379" s="416">
        <v>118</v>
      </c>
      <c r="U379" s="416">
        <v>118</v>
      </c>
      <c r="V379" s="416">
        <v>118</v>
      </c>
      <c r="W379" s="416">
        <v>118</v>
      </c>
      <c r="X379" s="416">
        <v>116</v>
      </c>
      <c r="Y379" s="416">
        <v>114</v>
      </c>
      <c r="Z379" s="416">
        <v>114</v>
      </c>
      <c r="AA379" s="416">
        <v>113</v>
      </c>
      <c r="AB379" s="416">
        <v>112</v>
      </c>
      <c r="AC379" s="416">
        <v>111</v>
      </c>
      <c r="AD379" s="416">
        <v>109</v>
      </c>
      <c r="AE379" s="416">
        <v>107</v>
      </c>
      <c r="AF379" s="416">
        <v>104</v>
      </c>
      <c r="AG379" s="416">
        <v>100</v>
      </c>
      <c r="AH379" s="416">
        <v>96.1</v>
      </c>
      <c r="AI379" s="416">
        <v>81.400000000000006</v>
      </c>
      <c r="AJ379" s="416">
        <v>61.7</v>
      </c>
      <c r="AK379" s="416">
        <v>46.4</v>
      </c>
      <c r="AL379" s="416">
        <v>34.700000000000003</v>
      </c>
      <c r="AM379" s="416">
        <v>25.8</v>
      </c>
      <c r="AN379" s="416">
        <v>18</v>
      </c>
      <c r="AO379" s="416">
        <v>11.5</v>
      </c>
      <c r="AP379" s="416">
        <v>6.68</v>
      </c>
      <c r="AQ379" s="416">
        <v>0</v>
      </c>
      <c r="AR379" s="416">
        <v>0</v>
      </c>
      <c r="AS379" s="416">
        <v>0</v>
      </c>
      <c r="AT379" s="416">
        <v>0</v>
      </c>
      <c r="AU379" s="416">
        <v>0</v>
      </c>
      <c r="AV379" s="416">
        <v>0</v>
      </c>
      <c r="AW379" s="416">
        <v>0</v>
      </c>
      <c r="AX379" s="416">
        <v>0</v>
      </c>
      <c r="AY379" s="416">
        <v>0</v>
      </c>
      <c r="AZ379" s="416">
        <v>0</v>
      </c>
    </row>
    <row r="380" spans="1:52" s="411" customFormat="1" x14ac:dyDescent="0.3">
      <c r="A380" s="415" t="str">
        <f t="shared" si="5"/>
        <v>SA-182 Gr.F5</v>
      </c>
      <c r="B380" s="415">
        <v>374</v>
      </c>
      <c r="C380" s="415" t="s">
        <v>2978</v>
      </c>
      <c r="D380" s="415" t="s">
        <v>2737</v>
      </c>
      <c r="E380" s="415" t="s">
        <v>2188</v>
      </c>
      <c r="F380" s="415" t="s">
        <v>2455</v>
      </c>
      <c r="G380" s="415" t="s">
        <v>2979</v>
      </c>
      <c r="H380" s="415">
        <v>0</v>
      </c>
      <c r="I380" s="415">
        <v>0</v>
      </c>
      <c r="J380" s="415" t="s">
        <v>2980</v>
      </c>
      <c r="K380" s="415">
        <v>1</v>
      </c>
      <c r="L380" s="415">
        <v>485</v>
      </c>
      <c r="M380" s="415">
        <v>275</v>
      </c>
      <c r="N380" s="415">
        <v>649</v>
      </c>
      <c r="O380" s="415">
        <v>371</v>
      </c>
      <c r="P380" s="415">
        <v>649</v>
      </c>
      <c r="Q380" s="415" t="s">
        <v>2675</v>
      </c>
      <c r="R380" s="415" t="s">
        <v>2699</v>
      </c>
      <c r="S380" s="415" t="s">
        <v>2548</v>
      </c>
      <c r="T380" s="416">
        <v>138</v>
      </c>
      <c r="U380" s="416">
        <v>138</v>
      </c>
      <c r="V380" s="416">
        <v>138</v>
      </c>
      <c r="W380" s="416">
        <v>138</v>
      </c>
      <c r="X380" s="416">
        <v>136</v>
      </c>
      <c r="Y380" s="416">
        <v>134</v>
      </c>
      <c r="Z380" s="416">
        <v>132</v>
      </c>
      <c r="AA380" s="416">
        <v>132</v>
      </c>
      <c r="AB380" s="416">
        <v>131</v>
      </c>
      <c r="AC380" s="416">
        <v>130</v>
      </c>
      <c r="AD380" s="416">
        <v>128</v>
      </c>
      <c r="AE380" s="416">
        <v>125</v>
      </c>
      <c r="AF380" s="416">
        <v>121</v>
      </c>
      <c r="AG380" s="416">
        <v>118</v>
      </c>
      <c r="AH380" s="416">
        <v>102</v>
      </c>
      <c r="AI380" s="416">
        <v>81.099999999999994</v>
      </c>
      <c r="AJ380" s="416">
        <v>61.8</v>
      </c>
      <c r="AK380" s="416">
        <v>46.4</v>
      </c>
      <c r="AL380" s="416">
        <v>34.700000000000003</v>
      </c>
      <c r="AM380" s="416">
        <v>25.8</v>
      </c>
      <c r="AN380" s="416">
        <v>18</v>
      </c>
      <c r="AO380" s="416">
        <v>11.5</v>
      </c>
      <c r="AP380" s="416">
        <v>6.68</v>
      </c>
      <c r="AQ380" s="416">
        <v>0</v>
      </c>
      <c r="AR380" s="416">
        <v>0</v>
      </c>
      <c r="AS380" s="416">
        <v>0</v>
      </c>
      <c r="AT380" s="416">
        <v>0</v>
      </c>
      <c r="AU380" s="416">
        <v>0</v>
      </c>
      <c r="AV380" s="416">
        <v>0</v>
      </c>
      <c r="AW380" s="416">
        <v>0</v>
      </c>
      <c r="AX380" s="416">
        <v>0</v>
      </c>
      <c r="AY380" s="416">
        <v>0</v>
      </c>
      <c r="AZ380" s="416">
        <v>0</v>
      </c>
    </row>
    <row r="381" spans="1:52" s="411" customFormat="1" x14ac:dyDescent="0.3">
      <c r="A381" s="415" t="str">
        <f t="shared" si="5"/>
        <v>SA-387 Gr.5</v>
      </c>
      <c r="B381" s="415">
        <v>375</v>
      </c>
      <c r="C381" s="415" t="s">
        <v>2978</v>
      </c>
      <c r="D381" s="415" t="s">
        <v>2684</v>
      </c>
      <c r="E381" s="415" t="s">
        <v>2227</v>
      </c>
      <c r="F381" s="415">
        <v>5</v>
      </c>
      <c r="G381" s="415" t="s">
        <v>2979</v>
      </c>
      <c r="H381" s="415">
        <v>2</v>
      </c>
      <c r="I381" s="415">
        <v>0</v>
      </c>
      <c r="J381" s="415" t="s">
        <v>2980</v>
      </c>
      <c r="K381" s="415">
        <v>1</v>
      </c>
      <c r="L381" s="415">
        <v>515</v>
      </c>
      <c r="M381" s="415">
        <v>310</v>
      </c>
      <c r="N381" s="415" t="s">
        <v>2675</v>
      </c>
      <c r="O381" s="415">
        <v>371</v>
      </c>
      <c r="P381" s="415">
        <v>649</v>
      </c>
      <c r="Q381" s="415" t="s">
        <v>2675</v>
      </c>
      <c r="R381" s="415" t="s">
        <v>2819</v>
      </c>
      <c r="S381" s="415" t="s">
        <v>2548</v>
      </c>
      <c r="T381" s="416">
        <v>148</v>
      </c>
      <c r="U381" s="416">
        <v>148</v>
      </c>
      <c r="V381" s="416">
        <v>148</v>
      </c>
      <c r="W381" s="416">
        <v>147</v>
      </c>
      <c r="X381" s="416">
        <v>146</v>
      </c>
      <c r="Y381" s="416">
        <v>143</v>
      </c>
      <c r="Z381" s="416">
        <v>142</v>
      </c>
      <c r="AA381" s="416">
        <v>142</v>
      </c>
      <c r="AB381" s="416">
        <v>140</v>
      </c>
      <c r="AC381" s="416">
        <v>139</v>
      </c>
      <c r="AD381" s="416">
        <v>137</v>
      </c>
      <c r="AE381" s="416">
        <v>134</v>
      </c>
      <c r="AF381" s="416">
        <v>130</v>
      </c>
      <c r="AG381" s="416">
        <v>126</v>
      </c>
      <c r="AH381" s="416">
        <v>104</v>
      </c>
      <c r="AI381" s="416">
        <v>80.5</v>
      </c>
      <c r="AJ381" s="416">
        <v>62</v>
      </c>
      <c r="AK381" s="416">
        <v>46.3</v>
      </c>
      <c r="AL381" s="416">
        <v>34.799999999999997</v>
      </c>
      <c r="AM381" s="416">
        <v>25.8</v>
      </c>
      <c r="AN381" s="416">
        <v>18</v>
      </c>
      <c r="AO381" s="416">
        <v>11.5</v>
      </c>
      <c r="AP381" s="416">
        <v>6.68</v>
      </c>
      <c r="AQ381" s="416">
        <v>0</v>
      </c>
      <c r="AR381" s="416">
        <v>0</v>
      </c>
      <c r="AS381" s="416">
        <v>0</v>
      </c>
      <c r="AT381" s="416">
        <v>0</v>
      </c>
      <c r="AU381" s="416">
        <v>0</v>
      </c>
      <c r="AV381" s="416">
        <v>0</v>
      </c>
      <c r="AW381" s="416">
        <v>0</v>
      </c>
      <c r="AX381" s="416">
        <v>0</v>
      </c>
      <c r="AY381" s="416">
        <v>0</v>
      </c>
      <c r="AZ381" s="416">
        <v>0</v>
      </c>
    </row>
    <row r="382" spans="1:52" s="411" customFormat="1" x14ac:dyDescent="0.3">
      <c r="A382" s="415" t="str">
        <f t="shared" si="5"/>
        <v>SA-336 Gr.F5A</v>
      </c>
      <c r="B382" s="415">
        <v>376</v>
      </c>
      <c r="C382" s="415" t="s">
        <v>2978</v>
      </c>
      <c r="D382" s="415" t="s">
        <v>2737</v>
      </c>
      <c r="E382" s="415" t="s">
        <v>2211</v>
      </c>
      <c r="F382" s="415" t="s">
        <v>2459</v>
      </c>
      <c r="G382" s="415" t="s">
        <v>2982</v>
      </c>
      <c r="H382" s="415">
        <v>0</v>
      </c>
      <c r="I382" s="415">
        <v>0</v>
      </c>
      <c r="J382" s="415" t="s">
        <v>2980</v>
      </c>
      <c r="K382" s="415">
        <v>1</v>
      </c>
      <c r="L382" s="415">
        <v>550</v>
      </c>
      <c r="M382" s="415">
        <v>345</v>
      </c>
      <c r="N382" s="415">
        <v>649</v>
      </c>
      <c r="O382" s="415" t="s">
        <v>2675</v>
      </c>
      <c r="P382" s="415">
        <v>649</v>
      </c>
      <c r="Q382" s="415" t="s">
        <v>2675</v>
      </c>
      <c r="R382" s="415" t="s">
        <v>2819</v>
      </c>
      <c r="S382" s="415" t="s">
        <v>2548</v>
      </c>
      <c r="T382" s="416">
        <v>158</v>
      </c>
      <c r="U382" s="416">
        <v>158</v>
      </c>
      <c r="V382" s="416">
        <v>158</v>
      </c>
      <c r="W382" s="416">
        <v>157</v>
      </c>
      <c r="X382" s="416">
        <v>154</v>
      </c>
      <c r="Y382" s="416">
        <v>152</v>
      </c>
      <c r="Z382" s="416">
        <v>152</v>
      </c>
      <c r="AA382" s="416">
        <v>151</v>
      </c>
      <c r="AB382" s="416">
        <v>150</v>
      </c>
      <c r="AC382" s="416">
        <v>148</v>
      </c>
      <c r="AD382" s="416">
        <v>146</v>
      </c>
      <c r="AE382" s="416">
        <v>143</v>
      </c>
      <c r="AF382" s="416">
        <v>139</v>
      </c>
      <c r="AG382" s="416">
        <v>133</v>
      </c>
      <c r="AH382" s="416">
        <v>104</v>
      </c>
      <c r="AI382" s="416">
        <v>80.3</v>
      </c>
      <c r="AJ382" s="416">
        <v>62.1</v>
      </c>
      <c r="AK382" s="416">
        <v>46.3</v>
      </c>
      <c r="AL382" s="416">
        <v>34.799999999999997</v>
      </c>
      <c r="AM382" s="416">
        <v>25.8</v>
      </c>
      <c r="AN382" s="416">
        <v>18</v>
      </c>
      <c r="AO382" s="416">
        <v>11.5</v>
      </c>
      <c r="AP382" s="416">
        <v>6.68</v>
      </c>
      <c r="AQ382" s="416">
        <v>0</v>
      </c>
      <c r="AR382" s="416">
        <v>0</v>
      </c>
      <c r="AS382" s="416">
        <v>0</v>
      </c>
      <c r="AT382" s="416">
        <v>0</v>
      </c>
      <c r="AU382" s="416">
        <v>0</v>
      </c>
      <c r="AV382" s="416">
        <v>0</v>
      </c>
      <c r="AW382" s="416">
        <v>0</v>
      </c>
      <c r="AX382" s="416">
        <v>0</v>
      </c>
      <c r="AY382" s="416">
        <v>0</v>
      </c>
      <c r="AZ382" s="416">
        <v>0</v>
      </c>
    </row>
    <row r="383" spans="1:52" s="411" customFormat="1" x14ac:dyDescent="0.3">
      <c r="A383" s="415" t="str">
        <f t="shared" si="5"/>
        <v>SA-217 Gr.C5</v>
      </c>
      <c r="B383" s="415">
        <v>377</v>
      </c>
      <c r="C383" s="415" t="s">
        <v>2978</v>
      </c>
      <c r="D383" s="415" t="s">
        <v>2739</v>
      </c>
      <c r="E383" s="415" t="s">
        <v>2198</v>
      </c>
      <c r="F383" s="415" t="s">
        <v>2351</v>
      </c>
      <c r="G383" s="415" t="s">
        <v>2983</v>
      </c>
      <c r="H383" s="415">
        <v>0</v>
      </c>
      <c r="I383" s="415">
        <v>0</v>
      </c>
      <c r="J383" s="415" t="s">
        <v>2980</v>
      </c>
      <c r="K383" s="415">
        <v>1</v>
      </c>
      <c r="L383" s="415">
        <v>620</v>
      </c>
      <c r="M383" s="415">
        <v>415</v>
      </c>
      <c r="N383" s="415">
        <v>649</v>
      </c>
      <c r="O383" s="415">
        <v>371</v>
      </c>
      <c r="P383" s="415">
        <v>649</v>
      </c>
      <c r="Q383" s="415" t="s">
        <v>2675</v>
      </c>
      <c r="R383" s="415" t="s">
        <v>2819</v>
      </c>
      <c r="S383" s="415" t="s">
        <v>2984</v>
      </c>
      <c r="T383" s="416">
        <v>177</v>
      </c>
      <c r="U383" s="416">
        <v>177</v>
      </c>
      <c r="V383" s="416">
        <v>177</v>
      </c>
      <c r="W383" s="416">
        <v>177</v>
      </c>
      <c r="X383" s="416">
        <v>174</v>
      </c>
      <c r="Y383" s="416">
        <v>172</v>
      </c>
      <c r="Z383" s="416">
        <v>170</v>
      </c>
      <c r="AA383" s="416">
        <v>170</v>
      </c>
      <c r="AB383" s="416">
        <v>169</v>
      </c>
      <c r="AC383" s="416">
        <v>167</v>
      </c>
      <c r="AD383" s="416">
        <v>164</v>
      </c>
      <c r="AE383" s="416">
        <v>161</v>
      </c>
      <c r="AF383" s="416">
        <v>156</v>
      </c>
      <c r="AG383" s="416">
        <v>134</v>
      </c>
      <c r="AH383" s="416">
        <v>103</v>
      </c>
      <c r="AI383" s="416">
        <v>80.599999999999994</v>
      </c>
      <c r="AJ383" s="416">
        <v>62</v>
      </c>
      <c r="AK383" s="416">
        <v>46.3</v>
      </c>
      <c r="AL383" s="416">
        <v>34.799999999999997</v>
      </c>
      <c r="AM383" s="416">
        <v>25.8</v>
      </c>
      <c r="AN383" s="416">
        <v>18</v>
      </c>
      <c r="AO383" s="416">
        <v>11.5</v>
      </c>
      <c r="AP383" s="416">
        <v>6.68</v>
      </c>
      <c r="AQ383" s="416">
        <v>0</v>
      </c>
      <c r="AR383" s="416">
        <v>0</v>
      </c>
      <c r="AS383" s="416">
        <v>0</v>
      </c>
      <c r="AT383" s="416">
        <v>0</v>
      </c>
      <c r="AU383" s="416">
        <v>0</v>
      </c>
      <c r="AV383" s="416">
        <v>0</v>
      </c>
      <c r="AW383" s="416">
        <v>0</v>
      </c>
      <c r="AX383" s="416">
        <v>0</v>
      </c>
      <c r="AY383" s="416">
        <v>0</v>
      </c>
      <c r="AZ383" s="416">
        <v>0</v>
      </c>
    </row>
    <row r="384" spans="1:52" s="411" customFormat="1" x14ac:dyDescent="0.3">
      <c r="A384" s="415" t="str">
        <f t="shared" si="5"/>
        <v>SA-426 Gr.CP5</v>
      </c>
      <c r="B384" s="415">
        <v>378</v>
      </c>
      <c r="C384" s="415" t="s">
        <v>2978</v>
      </c>
      <c r="D384" s="415" t="s">
        <v>2746</v>
      </c>
      <c r="E384" s="415" t="s">
        <v>2239</v>
      </c>
      <c r="F384" s="415" t="s">
        <v>2399</v>
      </c>
      <c r="G384" s="415" t="s">
        <v>2983</v>
      </c>
      <c r="H384" s="415">
        <v>0</v>
      </c>
      <c r="I384" s="415">
        <v>0</v>
      </c>
      <c r="J384" s="415" t="s">
        <v>2980</v>
      </c>
      <c r="K384" s="415">
        <v>1</v>
      </c>
      <c r="L384" s="415">
        <v>620</v>
      </c>
      <c r="M384" s="415">
        <v>415</v>
      </c>
      <c r="N384" s="415" t="s">
        <v>2675</v>
      </c>
      <c r="O384" s="415">
        <v>371</v>
      </c>
      <c r="P384" s="415" t="s">
        <v>2675</v>
      </c>
      <c r="Q384" s="415" t="s">
        <v>2675</v>
      </c>
      <c r="R384" s="415" t="s">
        <v>2819</v>
      </c>
      <c r="S384" s="415" t="s">
        <v>2745</v>
      </c>
      <c r="T384" s="416">
        <v>177</v>
      </c>
      <c r="U384" s="416">
        <v>177</v>
      </c>
      <c r="V384" s="416">
        <v>177</v>
      </c>
      <c r="W384" s="416">
        <v>177</v>
      </c>
      <c r="X384" s="416">
        <v>174</v>
      </c>
      <c r="Y384" s="416">
        <v>172</v>
      </c>
      <c r="Z384" s="416">
        <v>170</v>
      </c>
      <c r="AA384" s="416">
        <v>170</v>
      </c>
      <c r="AB384" s="416">
        <v>169</v>
      </c>
      <c r="AC384" s="416">
        <v>167</v>
      </c>
      <c r="AD384" s="416">
        <v>164</v>
      </c>
      <c r="AE384" s="416">
        <v>161</v>
      </c>
      <c r="AF384" s="416">
        <v>0</v>
      </c>
      <c r="AG384" s="416">
        <v>0</v>
      </c>
      <c r="AH384" s="416">
        <v>0</v>
      </c>
      <c r="AI384" s="416">
        <v>0</v>
      </c>
      <c r="AJ384" s="416">
        <v>0</v>
      </c>
      <c r="AK384" s="416">
        <v>0</v>
      </c>
      <c r="AL384" s="416">
        <v>0</v>
      </c>
      <c r="AM384" s="416">
        <v>0</v>
      </c>
      <c r="AN384" s="416">
        <v>0</v>
      </c>
      <c r="AO384" s="416">
        <v>0</v>
      </c>
      <c r="AP384" s="416">
        <v>0</v>
      </c>
      <c r="AQ384" s="416">
        <v>0</v>
      </c>
      <c r="AR384" s="416">
        <v>0</v>
      </c>
      <c r="AS384" s="416">
        <v>0</v>
      </c>
      <c r="AT384" s="416">
        <v>0</v>
      </c>
      <c r="AU384" s="416">
        <v>0</v>
      </c>
      <c r="AV384" s="416">
        <v>0</v>
      </c>
      <c r="AW384" s="416">
        <v>0</v>
      </c>
      <c r="AX384" s="416">
        <v>0</v>
      </c>
      <c r="AY384" s="416">
        <v>0</v>
      </c>
      <c r="AZ384" s="416">
        <v>0</v>
      </c>
    </row>
    <row r="385" spans="1:52" s="411" customFormat="1" x14ac:dyDescent="0.3">
      <c r="A385" s="415" t="str">
        <f t="shared" si="5"/>
        <v>SA-182 Gr.F5a</v>
      </c>
      <c r="B385" s="415">
        <v>379</v>
      </c>
      <c r="C385" s="415" t="s">
        <v>2978</v>
      </c>
      <c r="D385" s="415" t="s">
        <v>2737</v>
      </c>
      <c r="E385" s="415" t="s">
        <v>2188</v>
      </c>
      <c r="F385" s="415" t="s">
        <v>2985</v>
      </c>
      <c r="G385" s="415" t="s">
        <v>2982</v>
      </c>
      <c r="H385" s="415">
        <v>0</v>
      </c>
      <c r="I385" s="415">
        <v>0</v>
      </c>
      <c r="J385" s="415" t="s">
        <v>2980</v>
      </c>
      <c r="K385" s="415">
        <v>1</v>
      </c>
      <c r="L385" s="415">
        <v>620</v>
      </c>
      <c r="M385" s="415">
        <v>450</v>
      </c>
      <c r="N385" s="415">
        <v>649</v>
      </c>
      <c r="O385" s="415" t="s">
        <v>2675</v>
      </c>
      <c r="P385" s="415">
        <v>649</v>
      </c>
      <c r="Q385" s="415" t="s">
        <v>2675</v>
      </c>
      <c r="R385" s="415" t="s">
        <v>2838</v>
      </c>
      <c r="S385" s="415" t="s">
        <v>2548</v>
      </c>
      <c r="T385" s="416">
        <v>177</v>
      </c>
      <c r="U385" s="416">
        <v>177</v>
      </c>
      <c r="V385" s="416">
        <v>177</v>
      </c>
      <c r="W385" s="416">
        <v>177</v>
      </c>
      <c r="X385" s="416">
        <v>174</v>
      </c>
      <c r="Y385" s="416">
        <v>172</v>
      </c>
      <c r="Z385" s="416">
        <v>170</v>
      </c>
      <c r="AA385" s="416">
        <v>170</v>
      </c>
      <c r="AB385" s="416">
        <v>169</v>
      </c>
      <c r="AC385" s="416">
        <v>167</v>
      </c>
      <c r="AD385" s="416">
        <v>164</v>
      </c>
      <c r="AE385" s="416">
        <v>161</v>
      </c>
      <c r="AF385" s="416">
        <v>156</v>
      </c>
      <c r="AG385" s="416">
        <v>134</v>
      </c>
      <c r="AH385" s="416">
        <v>103</v>
      </c>
      <c r="AI385" s="416">
        <v>80.599999999999994</v>
      </c>
      <c r="AJ385" s="416">
        <v>62</v>
      </c>
      <c r="AK385" s="416">
        <v>46.3</v>
      </c>
      <c r="AL385" s="416">
        <v>34.799999999999997</v>
      </c>
      <c r="AM385" s="416">
        <v>25.8</v>
      </c>
      <c r="AN385" s="416">
        <v>18</v>
      </c>
      <c r="AO385" s="416">
        <v>11.5</v>
      </c>
      <c r="AP385" s="416">
        <v>6.68</v>
      </c>
      <c r="AQ385" s="416">
        <v>0</v>
      </c>
      <c r="AR385" s="416">
        <v>0</v>
      </c>
      <c r="AS385" s="416">
        <v>0</v>
      </c>
      <c r="AT385" s="416">
        <v>0</v>
      </c>
      <c r="AU385" s="416">
        <v>0</v>
      </c>
      <c r="AV385" s="416">
        <v>0</v>
      </c>
      <c r="AW385" s="416">
        <v>0</v>
      </c>
      <c r="AX385" s="416">
        <v>0</v>
      </c>
      <c r="AY385" s="416">
        <v>0</v>
      </c>
      <c r="AZ385" s="416">
        <v>0</v>
      </c>
    </row>
    <row r="386" spans="1:52" s="411" customFormat="1" x14ac:dyDescent="0.3">
      <c r="A386" s="415" t="str">
        <f t="shared" si="5"/>
        <v>SA-213 Gr.T5b</v>
      </c>
      <c r="B386" s="415">
        <v>380</v>
      </c>
      <c r="C386" s="415" t="s">
        <v>2986</v>
      </c>
      <c r="D386" s="415" t="s">
        <v>2693</v>
      </c>
      <c r="E386" s="415" t="s">
        <v>2195</v>
      </c>
      <c r="F386" s="415" t="s">
        <v>2550</v>
      </c>
      <c r="G386" s="415" t="s">
        <v>2987</v>
      </c>
      <c r="H386" s="415">
        <v>0</v>
      </c>
      <c r="I386" s="415">
        <v>0</v>
      </c>
      <c r="J386" s="415" t="s">
        <v>2980</v>
      </c>
      <c r="K386" s="415">
        <v>1</v>
      </c>
      <c r="L386" s="415">
        <v>415</v>
      </c>
      <c r="M386" s="415">
        <v>205</v>
      </c>
      <c r="N386" s="415">
        <v>649</v>
      </c>
      <c r="O386" s="415" t="s">
        <v>2675</v>
      </c>
      <c r="P386" s="415">
        <v>649</v>
      </c>
      <c r="Q386" s="415" t="s">
        <v>2675</v>
      </c>
      <c r="R386" s="415" t="s">
        <v>2699</v>
      </c>
      <c r="S386" s="415" t="s">
        <v>2941</v>
      </c>
      <c r="T386" s="416">
        <v>118</v>
      </c>
      <c r="U386" s="416">
        <v>118</v>
      </c>
      <c r="V386" s="416">
        <v>118</v>
      </c>
      <c r="W386" s="416">
        <v>118</v>
      </c>
      <c r="X386" s="416">
        <v>116</v>
      </c>
      <c r="Y386" s="416">
        <v>114</v>
      </c>
      <c r="Z386" s="416">
        <v>114</v>
      </c>
      <c r="AA386" s="416">
        <v>113</v>
      </c>
      <c r="AB386" s="416">
        <v>112</v>
      </c>
      <c r="AC386" s="416">
        <v>111</v>
      </c>
      <c r="AD386" s="416">
        <v>109</v>
      </c>
      <c r="AE386" s="416">
        <v>107</v>
      </c>
      <c r="AF386" s="416">
        <v>104</v>
      </c>
      <c r="AG386" s="416">
        <v>100</v>
      </c>
      <c r="AH386" s="416">
        <v>96.1</v>
      </c>
      <c r="AI386" s="416">
        <v>81.400000000000006</v>
      </c>
      <c r="AJ386" s="416">
        <v>61.7</v>
      </c>
      <c r="AK386" s="416">
        <v>46.4</v>
      </c>
      <c r="AL386" s="416">
        <v>34.700000000000003</v>
      </c>
      <c r="AM386" s="416">
        <v>25.8</v>
      </c>
      <c r="AN386" s="416">
        <v>18</v>
      </c>
      <c r="AO386" s="416">
        <v>11.5</v>
      </c>
      <c r="AP386" s="416">
        <v>6.68</v>
      </c>
      <c r="AQ386" s="416">
        <v>0</v>
      </c>
      <c r="AR386" s="416">
        <v>0</v>
      </c>
      <c r="AS386" s="416">
        <v>0</v>
      </c>
      <c r="AT386" s="416">
        <v>0</v>
      </c>
      <c r="AU386" s="416">
        <v>0</v>
      </c>
      <c r="AV386" s="416">
        <v>0</v>
      </c>
      <c r="AW386" s="416">
        <v>0</v>
      </c>
      <c r="AX386" s="416">
        <v>0</v>
      </c>
      <c r="AY386" s="416">
        <v>0</v>
      </c>
      <c r="AZ386" s="416">
        <v>0</v>
      </c>
    </row>
    <row r="387" spans="1:52" s="411" customFormat="1" x14ac:dyDescent="0.3">
      <c r="A387" s="415" t="str">
        <f t="shared" si="5"/>
        <v>SA-335 Gr.P5b</v>
      </c>
      <c r="B387" s="415">
        <v>381</v>
      </c>
      <c r="C387" s="415" t="s">
        <v>2986</v>
      </c>
      <c r="D387" s="415" t="s">
        <v>2703</v>
      </c>
      <c r="E387" s="415" t="s">
        <v>2210</v>
      </c>
      <c r="F387" s="415" t="s">
        <v>2519</v>
      </c>
      <c r="G387" s="415" t="s">
        <v>2987</v>
      </c>
      <c r="H387" s="415">
        <v>0</v>
      </c>
      <c r="I387" s="415">
        <v>0</v>
      </c>
      <c r="J387" s="415" t="s">
        <v>2980</v>
      </c>
      <c r="K387" s="415">
        <v>1</v>
      </c>
      <c r="L387" s="415">
        <v>415</v>
      </c>
      <c r="M387" s="415">
        <v>205</v>
      </c>
      <c r="N387" s="415">
        <v>649</v>
      </c>
      <c r="O387" s="415" t="s">
        <v>2675</v>
      </c>
      <c r="P387" s="415">
        <v>649</v>
      </c>
      <c r="Q387" s="415" t="s">
        <v>2675</v>
      </c>
      <c r="R387" s="415" t="s">
        <v>2699</v>
      </c>
      <c r="S387" s="415" t="s">
        <v>2941</v>
      </c>
      <c r="T387" s="416">
        <v>118</v>
      </c>
      <c r="U387" s="416">
        <v>118</v>
      </c>
      <c r="V387" s="416">
        <v>118</v>
      </c>
      <c r="W387" s="416">
        <v>118</v>
      </c>
      <c r="X387" s="416">
        <v>116</v>
      </c>
      <c r="Y387" s="416">
        <v>114</v>
      </c>
      <c r="Z387" s="416">
        <v>114</v>
      </c>
      <c r="AA387" s="416">
        <v>113</v>
      </c>
      <c r="AB387" s="416">
        <v>112</v>
      </c>
      <c r="AC387" s="416">
        <v>111</v>
      </c>
      <c r="AD387" s="416">
        <v>109</v>
      </c>
      <c r="AE387" s="416">
        <v>107</v>
      </c>
      <c r="AF387" s="416">
        <v>104</v>
      </c>
      <c r="AG387" s="416">
        <v>100</v>
      </c>
      <c r="AH387" s="416">
        <v>96.1</v>
      </c>
      <c r="AI387" s="416">
        <v>81.400000000000006</v>
      </c>
      <c r="AJ387" s="416">
        <v>61.7</v>
      </c>
      <c r="AK387" s="416">
        <v>46.4</v>
      </c>
      <c r="AL387" s="416">
        <v>34.700000000000003</v>
      </c>
      <c r="AM387" s="416">
        <v>25.8</v>
      </c>
      <c r="AN387" s="416">
        <v>18</v>
      </c>
      <c r="AO387" s="416">
        <v>11.5</v>
      </c>
      <c r="AP387" s="416">
        <v>6.68</v>
      </c>
      <c r="AQ387" s="416">
        <v>0</v>
      </c>
      <c r="AR387" s="416">
        <v>0</v>
      </c>
      <c r="AS387" s="416">
        <v>0</v>
      </c>
      <c r="AT387" s="416">
        <v>0</v>
      </c>
      <c r="AU387" s="416">
        <v>0</v>
      </c>
      <c r="AV387" s="416">
        <v>0</v>
      </c>
      <c r="AW387" s="416">
        <v>0</v>
      </c>
      <c r="AX387" s="416">
        <v>0</v>
      </c>
      <c r="AY387" s="416">
        <v>0</v>
      </c>
      <c r="AZ387" s="416">
        <v>0</v>
      </c>
    </row>
    <row r="388" spans="1:52" s="411" customFormat="1" x14ac:dyDescent="0.3">
      <c r="A388" s="415" t="str">
        <f t="shared" si="5"/>
        <v>SA-213 Gr.T5c</v>
      </c>
      <c r="B388" s="415">
        <v>382</v>
      </c>
      <c r="C388" s="415" t="s">
        <v>2988</v>
      </c>
      <c r="D388" s="415" t="s">
        <v>2693</v>
      </c>
      <c r="E388" s="415" t="s">
        <v>2195</v>
      </c>
      <c r="F388" s="415" t="s">
        <v>2551</v>
      </c>
      <c r="G388" s="415" t="s">
        <v>2989</v>
      </c>
      <c r="H388" s="415">
        <v>0</v>
      </c>
      <c r="I388" s="415">
        <v>0</v>
      </c>
      <c r="J388" s="415" t="s">
        <v>2980</v>
      </c>
      <c r="K388" s="415">
        <v>1</v>
      </c>
      <c r="L388" s="415">
        <v>415</v>
      </c>
      <c r="M388" s="415">
        <v>205</v>
      </c>
      <c r="N388" s="415">
        <v>649</v>
      </c>
      <c r="O388" s="415" t="s">
        <v>2675</v>
      </c>
      <c r="P388" s="415">
        <v>649</v>
      </c>
      <c r="Q388" s="415" t="s">
        <v>2675</v>
      </c>
      <c r="R388" s="415" t="s">
        <v>2699</v>
      </c>
      <c r="S388" s="415" t="s">
        <v>2941</v>
      </c>
      <c r="T388" s="416">
        <v>118</v>
      </c>
      <c r="U388" s="416">
        <v>118</v>
      </c>
      <c r="V388" s="416">
        <v>118</v>
      </c>
      <c r="W388" s="416">
        <v>118</v>
      </c>
      <c r="X388" s="416">
        <v>116</v>
      </c>
      <c r="Y388" s="416">
        <v>114</v>
      </c>
      <c r="Z388" s="416">
        <v>114</v>
      </c>
      <c r="AA388" s="416">
        <v>113</v>
      </c>
      <c r="AB388" s="416">
        <v>112</v>
      </c>
      <c r="AC388" s="416">
        <v>111</v>
      </c>
      <c r="AD388" s="416">
        <v>109</v>
      </c>
      <c r="AE388" s="416">
        <v>107</v>
      </c>
      <c r="AF388" s="416">
        <v>104</v>
      </c>
      <c r="AG388" s="416">
        <v>100</v>
      </c>
      <c r="AH388" s="416">
        <v>96.1</v>
      </c>
      <c r="AI388" s="416">
        <v>81.400000000000006</v>
      </c>
      <c r="AJ388" s="416">
        <v>61.7</v>
      </c>
      <c r="AK388" s="416">
        <v>46.4</v>
      </c>
      <c r="AL388" s="416">
        <v>34.700000000000003</v>
      </c>
      <c r="AM388" s="416">
        <v>25.8</v>
      </c>
      <c r="AN388" s="416">
        <v>18</v>
      </c>
      <c r="AO388" s="416">
        <v>11.5</v>
      </c>
      <c r="AP388" s="416">
        <v>6.68</v>
      </c>
      <c r="AQ388" s="416">
        <v>0</v>
      </c>
      <c r="AR388" s="416">
        <v>0</v>
      </c>
      <c r="AS388" s="416">
        <v>0</v>
      </c>
      <c r="AT388" s="416">
        <v>0</v>
      </c>
      <c r="AU388" s="416">
        <v>0</v>
      </c>
      <c r="AV388" s="416">
        <v>0</v>
      </c>
      <c r="AW388" s="416">
        <v>0</v>
      </c>
      <c r="AX388" s="416">
        <v>0</v>
      </c>
      <c r="AY388" s="416">
        <v>0</v>
      </c>
      <c r="AZ388" s="416">
        <v>0</v>
      </c>
    </row>
    <row r="389" spans="1:52" s="411" customFormat="1" x14ac:dyDescent="0.3">
      <c r="A389" s="415" t="str">
        <f t="shared" si="5"/>
        <v>SA-335 Gr.P5c</v>
      </c>
      <c r="B389" s="415">
        <v>383</v>
      </c>
      <c r="C389" s="415" t="s">
        <v>2988</v>
      </c>
      <c r="D389" s="415" t="s">
        <v>2703</v>
      </c>
      <c r="E389" s="415" t="s">
        <v>2210</v>
      </c>
      <c r="F389" s="415" t="s">
        <v>2520</v>
      </c>
      <c r="G389" s="415" t="s">
        <v>2989</v>
      </c>
      <c r="H389" s="415">
        <v>0</v>
      </c>
      <c r="I389" s="415">
        <v>0</v>
      </c>
      <c r="J389" s="415" t="s">
        <v>2980</v>
      </c>
      <c r="K389" s="415">
        <v>1</v>
      </c>
      <c r="L389" s="415">
        <v>415</v>
      </c>
      <c r="M389" s="415">
        <v>205</v>
      </c>
      <c r="N389" s="415">
        <v>649</v>
      </c>
      <c r="O389" s="415" t="s">
        <v>2675</v>
      </c>
      <c r="P389" s="415">
        <v>649</v>
      </c>
      <c r="Q389" s="415" t="s">
        <v>2675</v>
      </c>
      <c r="R389" s="415" t="s">
        <v>2699</v>
      </c>
      <c r="S389" s="415" t="s">
        <v>2941</v>
      </c>
      <c r="T389" s="416">
        <v>118</v>
      </c>
      <c r="U389" s="416">
        <v>118</v>
      </c>
      <c r="V389" s="416">
        <v>118</v>
      </c>
      <c r="W389" s="416">
        <v>118</v>
      </c>
      <c r="X389" s="416">
        <v>116</v>
      </c>
      <c r="Y389" s="416">
        <v>114</v>
      </c>
      <c r="Z389" s="416">
        <v>114</v>
      </c>
      <c r="AA389" s="416">
        <v>113</v>
      </c>
      <c r="AB389" s="416">
        <v>112</v>
      </c>
      <c r="AC389" s="416">
        <v>111</v>
      </c>
      <c r="AD389" s="416">
        <v>109</v>
      </c>
      <c r="AE389" s="416">
        <v>107</v>
      </c>
      <c r="AF389" s="416">
        <v>104</v>
      </c>
      <c r="AG389" s="416">
        <v>100</v>
      </c>
      <c r="AH389" s="416">
        <v>96.1</v>
      </c>
      <c r="AI389" s="416">
        <v>81.400000000000006</v>
      </c>
      <c r="AJ389" s="416">
        <v>61.7</v>
      </c>
      <c r="AK389" s="416">
        <v>46.4</v>
      </c>
      <c r="AL389" s="416">
        <v>34.700000000000003</v>
      </c>
      <c r="AM389" s="416">
        <v>25.8</v>
      </c>
      <c r="AN389" s="416">
        <v>18</v>
      </c>
      <c r="AO389" s="416">
        <v>11.5</v>
      </c>
      <c r="AP389" s="416">
        <v>6.68</v>
      </c>
      <c r="AQ389" s="416">
        <v>0</v>
      </c>
      <c r="AR389" s="416">
        <v>0</v>
      </c>
      <c r="AS389" s="416">
        <v>0</v>
      </c>
      <c r="AT389" s="416">
        <v>0</v>
      </c>
      <c r="AU389" s="416">
        <v>0</v>
      </c>
      <c r="AV389" s="416">
        <v>0</v>
      </c>
      <c r="AW389" s="416">
        <v>0</v>
      </c>
      <c r="AX389" s="416">
        <v>0</v>
      </c>
      <c r="AY389" s="416">
        <v>0</v>
      </c>
      <c r="AZ389" s="416">
        <v>0</v>
      </c>
    </row>
    <row r="390" spans="1:52" s="411" customFormat="1" x14ac:dyDescent="0.3">
      <c r="A390" s="415" t="str">
        <f t="shared" si="5"/>
        <v>SA-213 Gr.T9</v>
      </c>
      <c r="B390" s="415">
        <v>384</v>
      </c>
      <c r="C390" s="415" t="s">
        <v>2990</v>
      </c>
      <c r="D390" s="415" t="s">
        <v>2693</v>
      </c>
      <c r="E390" s="415" t="s">
        <v>2195</v>
      </c>
      <c r="F390" s="415" t="s">
        <v>2553</v>
      </c>
      <c r="G390" s="415" t="s">
        <v>2991</v>
      </c>
      <c r="H390" s="415">
        <v>0</v>
      </c>
      <c r="I390" s="415">
        <v>0</v>
      </c>
      <c r="J390" s="415" t="s">
        <v>2980</v>
      </c>
      <c r="K390" s="415">
        <v>1</v>
      </c>
      <c r="L390" s="415">
        <v>415</v>
      </c>
      <c r="M390" s="415">
        <v>205</v>
      </c>
      <c r="N390" s="415">
        <v>649</v>
      </c>
      <c r="O390" s="415">
        <v>371</v>
      </c>
      <c r="P390" s="415">
        <v>649</v>
      </c>
      <c r="Q390" s="415" t="s">
        <v>2675</v>
      </c>
      <c r="R390" s="415" t="s">
        <v>2699</v>
      </c>
      <c r="S390" s="415" t="s">
        <v>2549</v>
      </c>
      <c r="T390" s="416">
        <v>118</v>
      </c>
      <c r="U390" s="416">
        <v>118</v>
      </c>
      <c r="V390" s="416">
        <v>118</v>
      </c>
      <c r="W390" s="416">
        <v>118</v>
      </c>
      <c r="X390" s="416">
        <v>116</v>
      </c>
      <c r="Y390" s="416">
        <v>114</v>
      </c>
      <c r="Z390" s="416">
        <v>114</v>
      </c>
      <c r="AA390" s="416">
        <v>113</v>
      </c>
      <c r="AB390" s="416">
        <v>112</v>
      </c>
      <c r="AC390" s="416">
        <v>111</v>
      </c>
      <c r="AD390" s="416">
        <v>109</v>
      </c>
      <c r="AE390" s="416">
        <v>107</v>
      </c>
      <c r="AF390" s="416">
        <v>104</v>
      </c>
      <c r="AG390" s="416">
        <v>100</v>
      </c>
      <c r="AH390" s="416">
        <v>95.8</v>
      </c>
      <c r="AI390" s="416">
        <v>91.8</v>
      </c>
      <c r="AJ390" s="416">
        <v>80.3</v>
      </c>
      <c r="AK390" s="416">
        <v>61</v>
      </c>
      <c r="AL390" s="416">
        <v>42.9</v>
      </c>
      <c r="AM390" s="416">
        <v>30</v>
      </c>
      <c r="AN390" s="416">
        <v>20.6</v>
      </c>
      <c r="AO390" s="416">
        <v>14.4</v>
      </c>
      <c r="AP390" s="416">
        <v>10.199999999999999</v>
      </c>
      <c r="AQ390" s="416">
        <v>0</v>
      </c>
      <c r="AR390" s="416">
        <v>0</v>
      </c>
      <c r="AS390" s="416">
        <v>0</v>
      </c>
      <c r="AT390" s="416">
        <v>0</v>
      </c>
      <c r="AU390" s="416">
        <v>0</v>
      </c>
      <c r="AV390" s="416">
        <v>0</v>
      </c>
      <c r="AW390" s="416">
        <v>0</v>
      </c>
      <c r="AX390" s="416">
        <v>0</v>
      </c>
      <c r="AY390" s="416">
        <v>0</v>
      </c>
      <c r="AZ390" s="416">
        <v>0</v>
      </c>
    </row>
    <row r="391" spans="1:52" s="411" customFormat="1" x14ac:dyDescent="0.3">
      <c r="A391" s="415" t="str">
        <f t="shared" si="5"/>
        <v>SA-234 Gr.WP9</v>
      </c>
      <c r="B391" s="415">
        <v>385</v>
      </c>
      <c r="C391" s="415" t="s">
        <v>2990</v>
      </c>
      <c r="D391" s="415" t="s">
        <v>913</v>
      </c>
      <c r="E391" s="415" t="s">
        <v>2174</v>
      </c>
      <c r="F391" s="415" t="s">
        <v>2609</v>
      </c>
      <c r="G391" s="415" t="s">
        <v>2991</v>
      </c>
      <c r="H391" s="415">
        <v>0</v>
      </c>
      <c r="I391" s="415">
        <v>0</v>
      </c>
      <c r="J391" s="415" t="s">
        <v>2980</v>
      </c>
      <c r="K391" s="415">
        <v>1</v>
      </c>
      <c r="L391" s="415">
        <v>415</v>
      </c>
      <c r="M391" s="415">
        <v>205</v>
      </c>
      <c r="N391" s="415">
        <v>649</v>
      </c>
      <c r="O391" s="415" t="s">
        <v>2675</v>
      </c>
      <c r="P391" s="415">
        <v>649</v>
      </c>
      <c r="Q391" s="415" t="s">
        <v>2675</v>
      </c>
      <c r="R391" s="415" t="s">
        <v>2699</v>
      </c>
      <c r="S391" s="415" t="s">
        <v>2549</v>
      </c>
      <c r="T391" s="416">
        <v>118</v>
      </c>
      <c r="U391" s="416">
        <v>118</v>
      </c>
      <c r="V391" s="416">
        <v>118</v>
      </c>
      <c r="W391" s="416">
        <v>118</v>
      </c>
      <c r="X391" s="416">
        <v>116</v>
      </c>
      <c r="Y391" s="416">
        <v>114</v>
      </c>
      <c r="Z391" s="416">
        <v>114</v>
      </c>
      <c r="AA391" s="416">
        <v>113</v>
      </c>
      <c r="AB391" s="416">
        <v>112</v>
      </c>
      <c r="AC391" s="416">
        <v>111</v>
      </c>
      <c r="AD391" s="416">
        <v>109</v>
      </c>
      <c r="AE391" s="416">
        <v>107</v>
      </c>
      <c r="AF391" s="416">
        <v>104</v>
      </c>
      <c r="AG391" s="416">
        <v>100</v>
      </c>
      <c r="AH391" s="416">
        <v>95.8</v>
      </c>
      <c r="AI391" s="416">
        <v>91.8</v>
      </c>
      <c r="AJ391" s="416">
        <v>80.3</v>
      </c>
      <c r="AK391" s="416">
        <v>61</v>
      </c>
      <c r="AL391" s="416">
        <v>42.9</v>
      </c>
      <c r="AM391" s="416">
        <v>30</v>
      </c>
      <c r="AN391" s="416">
        <v>20.6</v>
      </c>
      <c r="AO391" s="416">
        <v>14.4</v>
      </c>
      <c r="AP391" s="416">
        <v>10.199999999999999</v>
      </c>
      <c r="AQ391" s="416">
        <v>0</v>
      </c>
      <c r="AR391" s="416">
        <v>0</v>
      </c>
      <c r="AS391" s="416">
        <v>0</v>
      </c>
      <c r="AT391" s="416">
        <v>0</v>
      </c>
      <c r="AU391" s="416">
        <v>0</v>
      </c>
      <c r="AV391" s="416">
        <v>0</v>
      </c>
      <c r="AW391" s="416">
        <v>0</v>
      </c>
      <c r="AX391" s="416">
        <v>0</v>
      </c>
      <c r="AY391" s="416">
        <v>0</v>
      </c>
      <c r="AZ391" s="416">
        <v>0</v>
      </c>
    </row>
    <row r="392" spans="1:52" s="411" customFormat="1" x14ac:dyDescent="0.3">
      <c r="A392" s="415" t="str">
        <f t="shared" ref="A392:A455" si="6">CONCATENATE(E392," Gr.",F392)</f>
        <v>SA-335 Gr.P9</v>
      </c>
      <c r="B392" s="415">
        <v>386</v>
      </c>
      <c r="C392" s="415" t="s">
        <v>2990</v>
      </c>
      <c r="D392" s="415" t="s">
        <v>2703</v>
      </c>
      <c r="E392" s="415" t="s">
        <v>2210</v>
      </c>
      <c r="F392" s="415" t="s">
        <v>2521</v>
      </c>
      <c r="G392" s="415" t="s">
        <v>2991</v>
      </c>
      <c r="H392" s="415">
        <v>0</v>
      </c>
      <c r="I392" s="415">
        <v>0</v>
      </c>
      <c r="J392" s="415" t="s">
        <v>2980</v>
      </c>
      <c r="K392" s="415">
        <v>1</v>
      </c>
      <c r="L392" s="415">
        <v>415</v>
      </c>
      <c r="M392" s="415">
        <v>205</v>
      </c>
      <c r="N392" s="415">
        <v>649</v>
      </c>
      <c r="O392" s="415">
        <v>371</v>
      </c>
      <c r="P392" s="415">
        <v>649</v>
      </c>
      <c r="Q392" s="415" t="s">
        <v>2675</v>
      </c>
      <c r="R392" s="415" t="s">
        <v>2699</v>
      </c>
      <c r="S392" s="415" t="s">
        <v>2549</v>
      </c>
      <c r="T392" s="416">
        <v>118</v>
      </c>
      <c r="U392" s="416">
        <v>118</v>
      </c>
      <c r="V392" s="416">
        <v>118</v>
      </c>
      <c r="W392" s="416">
        <v>118</v>
      </c>
      <c r="X392" s="416">
        <v>116</v>
      </c>
      <c r="Y392" s="416">
        <v>114</v>
      </c>
      <c r="Z392" s="416">
        <v>114</v>
      </c>
      <c r="AA392" s="416">
        <v>113</v>
      </c>
      <c r="AB392" s="416">
        <v>112</v>
      </c>
      <c r="AC392" s="416">
        <v>111</v>
      </c>
      <c r="AD392" s="416">
        <v>109</v>
      </c>
      <c r="AE392" s="416">
        <v>107</v>
      </c>
      <c r="AF392" s="416">
        <v>104</v>
      </c>
      <c r="AG392" s="416">
        <v>100</v>
      </c>
      <c r="AH392" s="416">
        <v>95.8</v>
      </c>
      <c r="AI392" s="416">
        <v>91.8</v>
      </c>
      <c r="AJ392" s="416">
        <v>80.3</v>
      </c>
      <c r="AK392" s="416">
        <v>61</v>
      </c>
      <c r="AL392" s="416">
        <v>42.9</v>
      </c>
      <c r="AM392" s="416">
        <v>30</v>
      </c>
      <c r="AN392" s="416">
        <v>20.6</v>
      </c>
      <c r="AO392" s="416">
        <v>14.4</v>
      </c>
      <c r="AP392" s="416">
        <v>10.199999999999999</v>
      </c>
      <c r="AQ392" s="416">
        <v>0</v>
      </c>
      <c r="AR392" s="416">
        <v>0</v>
      </c>
      <c r="AS392" s="416">
        <v>0</v>
      </c>
      <c r="AT392" s="416">
        <v>0</v>
      </c>
      <c r="AU392" s="416">
        <v>0</v>
      </c>
      <c r="AV392" s="416">
        <v>0</v>
      </c>
      <c r="AW392" s="416">
        <v>0</v>
      </c>
      <c r="AX392" s="416">
        <v>0</v>
      </c>
      <c r="AY392" s="416">
        <v>0</v>
      </c>
      <c r="AZ392" s="416">
        <v>0</v>
      </c>
    </row>
    <row r="393" spans="1:52" s="411" customFormat="1" x14ac:dyDescent="0.3">
      <c r="A393" s="415" t="str">
        <f t="shared" si="6"/>
        <v>SA-369 Gr.FP9</v>
      </c>
      <c r="B393" s="415">
        <v>387</v>
      </c>
      <c r="C393" s="415" t="s">
        <v>2990</v>
      </c>
      <c r="D393" s="415" t="s">
        <v>2707</v>
      </c>
      <c r="E393" s="415" t="s">
        <v>2221</v>
      </c>
      <c r="F393" s="415" t="s">
        <v>2472</v>
      </c>
      <c r="G393" s="415" t="s">
        <v>2991</v>
      </c>
      <c r="H393" s="415">
        <v>0</v>
      </c>
      <c r="I393" s="415">
        <v>0</v>
      </c>
      <c r="J393" s="415" t="s">
        <v>2980</v>
      </c>
      <c r="K393" s="415">
        <v>1</v>
      </c>
      <c r="L393" s="415">
        <v>415</v>
      </c>
      <c r="M393" s="415">
        <v>205</v>
      </c>
      <c r="N393" s="415">
        <v>649</v>
      </c>
      <c r="O393" s="415">
        <v>371</v>
      </c>
      <c r="P393" s="415">
        <v>649</v>
      </c>
      <c r="Q393" s="415" t="s">
        <v>2675</v>
      </c>
      <c r="R393" s="415" t="s">
        <v>2699</v>
      </c>
      <c r="S393" s="415" t="s">
        <v>2549</v>
      </c>
      <c r="T393" s="416">
        <v>118</v>
      </c>
      <c r="U393" s="416">
        <v>118</v>
      </c>
      <c r="V393" s="416">
        <v>118</v>
      </c>
      <c r="W393" s="416">
        <v>118</v>
      </c>
      <c r="X393" s="416">
        <v>116</v>
      </c>
      <c r="Y393" s="416">
        <v>114</v>
      </c>
      <c r="Z393" s="416">
        <v>114</v>
      </c>
      <c r="AA393" s="416">
        <v>113</v>
      </c>
      <c r="AB393" s="416">
        <v>112</v>
      </c>
      <c r="AC393" s="416">
        <v>111</v>
      </c>
      <c r="AD393" s="416">
        <v>109</v>
      </c>
      <c r="AE393" s="416">
        <v>107</v>
      </c>
      <c r="AF393" s="416">
        <v>104</v>
      </c>
      <c r="AG393" s="416">
        <v>100</v>
      </c>
      <c r="AH393" s="416">
        <v>95.8</v>
      </c>
      <c r="AI393" s="416">
        <v>91.8</v>
      </c>
      <c r="AJ393" s="416">
        <v>80.3</v>
      </c>
      <c r="AK393" s="416">
        <v>61</v>
      </c>
      <c r="AL393" s="416">
        <v>42.9</v>
      </c>
      <c r="AM393" s="416">
        <v>30</v>
      </c>
      <c r="AN393" s="416">
        <v>20.6</v>
      </c>
      <c r="AO393" s="416">
        <v>14.4</v>
      </c>
      <c r="AP393" s="416">
        <v>10.199999999999999</v>
      </c>
      <c r="AQ393" s="416">
        <v>0</v>
      </c>
      <c r="AR393" s="416">
        <v>0</v>
      </c>
      <c r="AS393" s="416">
        <v>0</v>
      </c>
      <c r="AT393" s="416">
        <v>0</v>
      </c>
      <c r="AU393" s="416">
        <v>0</v>
      </c>
      <c r="AV393" s="416">
        <v>0</v>
      </c>
      <c r="AW393" s="416">
        <v>0</v>
      </c>
      <c r="AX393" s="416">
        <v>0</v>
      </c>
      <c r="AY393" s="416">
        <v>0</v>
      </c>
      <c r="AZ393" s="416">
        <v>0</v>
      </c>
    </row>
    <row r="394" spans="1:52" s="411" customFormat="1" x14ac:dyDescent="0.3">
      <c r="A394" s="415" t="str">
        <f t="shared" si="6"/>
        <v>SA-182 Gr.F9</v>
      </c>
      <c r="B394" s="415">
        <v>388</v>
      </c>
      <c r="C394" s="415" t="s">
        <v>2990</v>
      </c>
      <c r="D394" s="415" t="s">
        <v>2737</v>
      </c>
      <c r="E394" s="415" t="s">
        <v>2188</v>
      </c>
      <c r="F394" s="415" t="s">
        <v>2463</v>
      </c>
      <c r="G394" s="415" t="s">
        <v>2991</v>
      </c>
      <c r="H394" s="415">
        <v>0</v>
      </c>
      <c r="I394" s="415">
        <v>0</v>
      </c>
      <c r="J394" s="415" t="s">
        <v>2980</v>
      </c>
      <c r="K394" s="415">
        <v>1</v>
      </c>
      <c r="L394" s="415">
        <v>585</v>
      </c>
      <c r="M394" s="415">
        <v>380</v>
      </c>
      <c r="N394" s="415">
        <v>649</v>
      </c>
      <c r="O394" s="415" t="s">
        <v>2675</v>
      </c>
      <c r="P394" s="415">
        <v>649</v>
      </c>
      <c r="Q394" s="415" t="s">
        <v>2675</v>
      </c>
      <c r="R394" s="415" t="s">
        <v>2819</v>
      </c>
      <c r="S394" s="415" t="s">
        <v>2941</v>
      </c>
      <c r="T394" s="416">
        <v>168</v>
      </c>
      <c r="U394" s="416">
        <v>168</v>
      </c>
      <c r="V394" s="416">
        <v>167</v>
      </c>
      <c r="W394" s="416">
        <v>166</v>
      </c>
      <c r="X394" s="416">
        <v>164</v>
      </c>
      <c r="Y394" s="416">
        <v>162</v>
      </c>
      <c r="Z394" s="416">
        <v>161</v>
      </c>
      <c r="AA394" s="416">
        <v>161</v>
      </c>
      <c r="AB394" s="416">
        <v>159</v>
      </c>
      <c r="AC394" s="416">
        <v>157</v>
      </c>
      <c r="AD394" s="416">
        <v>155</v>
      </c>
      <c r="AE394" s="416">
        <v>152</v>
      </c>
      <c r="AF394" s="416">
        <v>147</v>
      </c>
      <c r="AG394" s="416">
        <v>142</v>
      </c>
      <c r="AH394" s="416">
        <v>137</v>
      </c>
      <c r="AI394" s="416">
        <v>121</v>
      </c>
      <c r="AJ394" s="416">
        <v>89</v>
      </c>
      <c r="AK394" s="416">
        <v>60.7</v>
      </c>
      <c r="AL394" s="416">
        <v>43.1</v>
      </c>
      <c r="AM394" s="416">
        <v>30</v>
      </c>
      <c r="AN394" s="416">
        <v>20.6</v>
      </c>
      <c r="AO394" s="416">
        <v>14.4</v>
      </c>
      <c r="AP394" s="416">
        <v>10.199999999999999</v>
      </c>
      <c r="AQ394" s="416">
        <v>0</v>
      </c>
      <c r="AR394" s="416">
        <v>0</v>
      </c>
      <c r="AS394" s="416">
        <v>0</v>
      </c>
      <c r="AT394" s="416">
        <v>0</v>
      </c>
      <c r="AU394" s="416">
        <v>0</v>
      </c>
      <c r="AV394" s="416">
        <v>0</v>
      </c>
      <c r="AW394" s="416">
        <v>0</v>
      </c>
      <c r="AX394" s="416">
        <v>0</v>
      </c>
      <c r="AY394" s="416">
        <v>0</v>
      </c>
      <c r="AZ394" s="416">
        <v>0</v>
      </c>
    </row>
    <row r="395" spans="1:52" s="411" customFormat="1" x14ac:dyDescent="0.3">
      <c r="A395" s="415" t="str">
        <f t="shared" si="6"/>
        <v>SA-336 Gr.F9</v>
      </c>
      <c r="B395" s="415">
        <v>389</v>
      </c>
      <c r="C395" s="415" t="s">
        <v>2990</v>
      </c>
      <c r="D395" s="415" t="s">
        <v>2737</v>
      </c>
      <c r="E395" s="415" t="s">
        <v>2211</v>
      </c>
      <c r="F395" s="415" t="s">
        <v>2463</v>
      </c>
      <c r="G395" s="415" t="s">
        <v>2991</v>
      </c>
      <c r="H395" s="415">
        <v>0</v>
      </c>
      <c r="I395" s="415">
        <v>0</v>
      </c>
      <c r="J395" s="415" t="s">
        <v>2980</v>
      </c>
      <c r="K395" s="415">
        <v>1</v>
      </c>
      <c r="L395" s="415">
        <v>585</v>
      </c>
      <c r="M395" s="415">
        <v>380</v>
      </c>
      <c r="N395" s="415" t="s">
        <v>2675</v>
      </c>
      <c r="O395" s="415" t="s">
        <v>2675</v>
      </c>
      <c r="P395" s="415">
        <v>649</v>
      </c>
      <c r="Q395" s="415" t="s">
        <v>2675</v>
      </c>
      <c r="R395" s="415" t="s">
        <v>2819</v>
      </c>
      <c r="S395" s="415" t="s">
        <v>2941</v>
      </c>
      <c r="T395" s="416">
        <v>168</v>
      </c>
      <c r="U395" s="416">
        <v>168</v>
      </c>
      <c r="V395" s="416">
        <v>167</v>
      </c>
      <c r="W395" s="416">
        <v>166</v>
      </c>
      <c r="X395" s="416">
        <v>164</v>
      </c>
      <c r="Y395" s="416">
        <v>162</v>
      </c>
      <c r="Z395" s="416">
        <v>161</v>
      </c>
      <c r="AA395" s="416">
        <v>161</v>
      </c>
      <c r="AB395" s="416">
        <v>159</v>
      </c>
      <c r="AC395" s="416">
        <v>157</v>
      </c>
      <c r="AD395" s="416">
        <v>155</v>
      </c>
      <c r="AE395" s="416">
        <v>152</v>
      </c>
      <c r="AF395" s="416">
        <v>147</v>
      </c>
      <c r="AG395" s="416">
        <v>142</v>
      </c>
      <c r="AH395" s="416">
        <v>137</v>
      </c>
      <c r="AI395" s="416">
        <v>121</v>
      </c>
      <c r="AJ395" s="416">
        <v>89</v>
      </c>
      <c r="AK395" s="416">
        <v>60.7</v>
      </c>
      <c r="AL395" s="416">
        <v>43.1</v>
      </c>
      <c r="AM395" s="416">
        <v>30</v>
      </c>
      <c r="AN395" s="416">
        <v>20.6</v>
      </c>
      <c r="AO395" s="416">
        <v>14.4</v>
      </c>
      <c r="AP395" s="416">
        <v>10.199999999999999</v>
      </c>
      <c r="AQ395" s="416">
        <v>0</v>
      </c>
      <c r="AR395" s="416">
        <v>0</v>
      </c>
      <c r="AS395" s="416">
        <v>0</v>
      </c>
      <c r="AT395" s="416">
        <v>0</v>
      </c>
      <c r="AU395" s="416">
        <v>0</v>
      </c>
      <c r="AV395" s="416">
        <v>0</v>
      </c>
      <c r="AW395" s="416">
        <v>0</v>
      </c>
      <c r="AX395" s="416">
        <v>0</v>
      </c>
      <c r="AY395" s="416">
        <v>0</v>
      </c>
      <c r="AZ395" s="416">
        <v>0</v>
      </c>
    </row>
    <row r="396" spans="1:52" s="411" customFormat="1" x14ac:dyDescent="0.3">
      <c r="A396" s="415" t="str">
        <f t="shared" si="6"/>
        <v>SA-217 Gr.C12</v>
      </c>
      <c r="B396" s="415">
        <v>390</v>
      </c>
      <c r="C396" s="415" t="s">
        <v>2990</v>
      </c>
      <c r="D396" s="415" t="s">
        <v>2739</v>
      </c>
      <c r="E396" s="415" t="s">
        <v>2198</v>
      </c>
      <c r="F396" s="415" t="s">
        <v>2349</v>
      </c>
      <c r="G396" s="415" t="s">
        <v>2992</v>
      </c>
      <c r="H396" s="415">
        <v>0</v>
      </c>
      <c r="I396" s="415">
        <v>0</v>
      </c>
      <c r="J396" s="415" t="s">
        <v>2980</v>
      </c>
      <c r="K396" s="415">
        <v>1</v>
      </c>
      <c r="L396" s="415">
        <v>620</v>
      </c>
      <c r="M396" s="415">
        <v>415</v>
      </c>
      <c r="N396" s="415">
        <v>649</v>
      </c>
      <c r="O396" s="415" t="s">
        <v>2704</v>
      </c>
      <c r="P396" s="415">
        <v>649</v>
      </c>
      <c r="Q396" s="415" t="s">
        <v>2675</v>
      </c>
      <c r="R396" s="415" t="s">
        <v>2819</v>
      </c>
      <c r="S396" s="415" t="s">
        <v>2993</v>
      </c>
      <c r="T396" s="416">
        <v>177</v>
      </c>
      <c r="U396" s="416">
        <v>177</v>
      </c>
      <c r="V396" s="416">
        <v>177</v>
      </c>
      <c r="W396" s="416">
        <v>177</v>
      </c>
      <c r="X396" s="416">
        <v>174</v>
      </c>
      <c r="Y396" s="416">
        <v>172</v>
      </c>
      <c r="Z396" s="416">
        <v>170</v>
      </c>
      <c r="AA396" s="416">
        <v>170</v>
      </c>
      <c r="AB396" s="416">
        <v>169</v>
      </c>
      <c r="AC396" s="416">
        <v>167</v>
      </c>
      <c r="AD396" s="416">
        <v>164</v>
      </c>
      <c r="AE396" s="416">
        <v>161</v>
      </c>
      <c r="AF396" s="416">
        <v>156</v>
      </c>
      <c r="AG396" s="416">
        <v>151</v>
      </c>
      <c r="AH396" s="416">
        <v>145</v>
      </c>
      <c r="AI396" s="416">
        <v>123</v>
      </c>
      <c r="AJ396" s="416">
        <v>88.2</v>
      </c>
      <c r="AK396" s="416">
        <v>61</v>
      </c>
      <c r="AL396" s="416">
        <v>43</v>
      </c>
      <c r="AM396" s="416">
        <v>30</v>
      </c>
      <c r="AN396" s="416">
        <v>20.6</v>
      </c>
      <c r="AO396" s="416">
        <v>14.4</v>
      </c>
      <c r="AP396" s="416">
        <v>10.199999999999999</v>
      </c>
      <c r="AQ396" s="416">
        <v>0</v>
      </c>
      <c r="AR396" s="416">
        <v>0</v>
      </c>
      <c r="AS396" s="416">
        <v>0</v>
      </c>
      <c r="AT396" s="416">
        <v>0</v>
      </c>
      <c r="AU396" s="416">
        <v>0</v>
      </c>
      <c r="AV396" s="416">
        <v>0</v>
      </c>
      <c r="AW396" s="416">
        <v>0</v>
      </c>
      <c r="AX396" s="416">
        <v>0</v>
      </c>
      <c r="AY396" s="416">
        <v>0</v>
      </c>
      <c r="AZ396" s="416">
        <v>0</v>
      </c>
    </row>
    <row r="397" spans="1:52" s="411" customFormat="1" x14ac:dyDescent="0.3">
      <c r="A397" s="415" t="str">
        <f t="shared" si="6"/>
        <v>SA-426 Gr.CP9</v>
      </c>
      <c r="B397" s="415">
        <v>391</v>
      </c>
      <c r="C397" s="415" t="s">
        <v>2990</v>
      </c>
      <c r="D397" s="415" t="s">
        <v>2746</v>
      </c>
      <c r="E397" s="415" t="s">
        <v>2239</v>
      </c>
      <c r="F397" s="415" t="s">
        <v>2400</v>
      </c>
      <c r="G397" s="415" t="s">
        <v>2992</v>
      </c>
      <c r="H397" s="415">
        <v>0</v>
      </c>
      <c r="I397" s="415">
        <v>0</v>
      </c>
      <c r="J397" s="415" t="s">
        <v>2980</v>
      </c>
      <c r="K397" s="415">
        <v>1</v>
      </c>
      <c r="L397" s="415">
        <v>620</v>
      </c>
      <c r="M397" s="415">
        <v>415</v>
      </c>
      <c r="N397" s="415" t="s">
        <v>2675</v>
      </c>
      <c r="O397" s="415">
        <v>371</v>
      </c>
      <c r="P397" s="415" t="s">
        <v>2675</v>
      </c>
      <c r="Q397" s="415" t="s">
        <v>2675</v>
      </c>
      <c r="R397" s="415" t="s">
        <v>2819</v>
      </c>
      <c r="S397" s="415" t="s">
        <v>2745</v>
      </c>
      <c r="T397" s="416">
        <v>177</v>
      </c>
      <c r="U397" s="416">
        <v>177</v>
      </c>
      <c r="V397" s="416">
        <v>177</v>
      </c>
      <c r="W397" s="416">
        <v>177</v>
      </c>
      <c r="X397" s="416">
        <v>174</v>
      </c>
      <c r="Y397" s="416">
        <v>172</v>
      </c>
      <c r="Z397" s="416">
        <v>170</v>
      </c>
      <c r="AA397" s="416">
        <v>170</v>
      </c>
      <c r="AB397" s="416">
        <v>169</v>
      </c>
      <c r="AC397" s="416">
        <v>167</v>
      </c>
      <c r="AD397" s="416">
        <v>164</v>
      </c>
      <c r="AE397" s="416">
        <v>161</v>
      </c>
      <c r="AF397" s="416">
        <v>0</v>
      </c>
      <c r="AG397" s="416">
        <v>0</v>
      </c>
      <c r="AH397" s="416">
        <v>0</v>
      </c>
      <c r="AI397" s="416">
        <v>0</v>
      </c>
      <c r="AJ397" s="416">
        <v>0</v>
      </c>
      <c r="AK397" s="416">
        <v>0</v>
      </c>
      <c r="AL397" s="416">
        <v>0</v>
      </c>
      <c r="AM397" s="416">
        <v>0</v>
      </c>
      <c r="AN397" s="416">
        <v>0</v>
      </c>
      <c r="AO397" s="416">
        <v>0</v>
      </c>
      <c r="AP397" s="416">
        <v>0</v>
      </c>
      <c r="AQ397" s="416">
        <v>0</v>
      </c>
      <c r="AR397" s="416">
        <v>0</v>
      </c>
      <c r="AS397" s="416">
        <v>0</v>
      </c>
      <c r="AT397" s="416">
        <v>0</v>
      </c>
      <c r="AU397" s="416">
        <v>0</v>
      </c>
      <c r="AV397" s="416">
        <v>0</v>
      </c>
      <c r="AW397" s="416">
        <v>0</v>
      </c>
      <c r="AX397" s="416">
        <v>0</v>
      </c>
      <c r="AY397" s="416">
        <v>0</v>
      </c>
      <c r="AZ397" s="416">
        <v>0</v>
      </c>
    </row>
    <row r="398" spans="1:52" s="411" customFormat="1" x14ac:dyDescent="0.3">
      <c r="A398" s="415" t="str">
        <f t="shared" si="6"/>
        <v>SA-182 Gr.F91</v>
      </c>
      <c r="B398" s="415">
        <v>392</v>
      </c>
      <c r="C398" s="415" t="s">
        <v>2994</v>
      </c>
      <c r="D398" s="415" t="s">
        <v>2737</v>
      </c>
      <c r="E398" s="415" t="s">
        <v>2188</v>
      </c>
      <c r="F398" s="415" t="s">
        <v>2464</v>
      </c>
      <c r="G398" s="415" t="s">
        <v>2995</v>
      </c>
      <c r="H398" s="415">
        <v>0</v>
      </c>
      <c r="I398" s="415" t="s">
        <v>2996</v>
      </c>
      <c r="J398" s="415" t="s">
        <v>2997</v>
      </c>
      <c r="K398" s="415">
        <v>1</v>
      </c>
      <c r="L398" s="415">
        <v>585</v>
      </c>
      <c r="M398" s="415">
        <v>415</v>
      </c>
      <c r="N398" s="415">
        <v>649</v>
      </c>
      <c r="O398" s="415">
        <v>371</v>
      </c>
      <c r="P398" s="415">
        <v>649</v>
      </c>
      <c r="Q398" s="415" t="s">
        <v>2675</v>
      </c>
      <c r="R398" s="415" t="s">
        <v>2819</v>
      </c>
      <c r="S398" s="415" t="s">
        <v>2552</v>
      </c>
      <c r="T398" s="416">
        <v>168</v>
      </c>
      <c r="U398" s="416">
        <v>168</v>
      </c>
      <c r="V398" s="416">
        <v>168</v>
      </c>
      <c r="W398" s="416">
        <v>168</v>
      </c>
      <c r="X398" s="416">
        <v>168</v>
      </c>
      <c r="Y398" s="416">
        <v>168</v>
      </c>
      <c r="Z398" s="416">
        <v>167</v>
      </c>
      <c r="AA398" s="416">
        <v>166</v>
      </c>
      <c r="AB398" s="416">
        <v>164</v>
      </c>
      <c r="AC398" s="416">
        <v>163</v>
      </c>
      <c r="AD398" s="416">
        <v>161</v>
      </c>
      <c r="AE398" s="416">
        <v>157</v>
      </c>
      <c r="AF398" s="416">
        <v>153</v>
      </c>
      <c r="AG398" s="416">
        <v>147</v>
      </c>
      <c r="AH398" s="416">
        <v>141</v>
      </c>
      <c r="AI398" s="416">
        <v>134</v>
      </c>
      <c r="AJ398" s="416">
        <v>126</v>
      </c>
      <c r="AK398" s="416">
        <v>117</v>
      </c>
      <c r="AL398" s="416">
        <v>107</v>
      </c>
      <c r="AM398" s="416">
        <v>88.5</v>
      </c>
      <c r="AN398" s="416">
        <v>65</v>
      </c>
      <c r="AO398" s="416">
        <v>45.5</v>
      </c>
      <c r="AP398" s="416">
        <v>28.9</v>
      </c>
      <c r="AQ398" s="416">
        <v>0</v>
      </c>
      <c r="AR398" s="416">
        <v>0</v>
      </c>
      <c r="AS398" s="416">
        <v>0</v>
      </c>
      <c r="AT398" s="416">
        <v>0</v>
      </c>
      <c r="AU398" s="416">
        <v>0</v>
      </c>
      <c r="AV398" s="416">
        <v>0</v>
      </c>
      <c r="AW398" s="416">
        <v>0</v>
      </c>
      <c r="AX398" s="416">
        <v>0</v>
      </c>
      <c r="AY398" s="416">
        <v>0</v>
      </c>
      <c r="AZ398" s="416">
        <v>0</v>
      </c>
    </row>
    <row r="399" spans="1:52" s="411" customFormat="1" x14ac:dyDescent="0.3">
      <c r="A399" s="415" t="str">
        <f t="shared" si="6"/>
        <v>SA-182 Gr.F91</v>
      </c>
      <c r="B399" s="415">
        <v>393</v>
      </c>
      <c r="C399" s="415" t="s">
        <v>2994</v>
      </c>
      <c r="D399" s="415" t="s">
        <v>2737</v>
      </c>
      <c r="E399" s="415" t="s">
        <v>2188</v>
      </c>
      <c r="F399" s="415" t="s">
        <v>2464</v>
      </c>
      <c r="G399" s="415" t="s">
        <v>2995</v>
      </c>
      <c r="H399" s="415">
        <v>0</v>
      </c>
      <c r="I399" s="415" t="s">
        <v>2998</v>
      </c>
      <c r="J399" s="415" t="s">
        <v>2997</v>
      </c>
      <c r="K399" s="415">
        <v>1</v>
      </c>
      <c r="L399" s="415">
        <v>585</v>
      </c>
      <c r="M399" s="415">
        <v>415</v>
      </c>
      <c r="N399" s="415">
        <v>649</v>
      </c>
      <c r="O399" s="415" t="s">
        <v>2675</v>
      </c>
      <c r="P399" s="415">
        <v>649</v>
      </c>
      <c r="Q399" s="415" t="s">
        <v>2675</v>
      </c>
      <c r="R399" s="415" t="s">
        <v>2819</v>
      </c>
      <c r="S399" s="415" t="s">
        <v>2552</v>
      </c>
      <c r="T399" s="416">
        <v>168</v>
      </c>
      <c r="U399" s="416">
        <v>168</v>
      </c>
      <c r="V399" s="416">
        <v>168</v>
      </c>
      <c r="W399" s="416">
        <v>168</v>
      </c>
      <c r="X399" s="416">
        <v>168</v>
      </c>
      <c r="Y399" s="416">
        <v>168</v>
      </c>
      <c r="Z399" s="416">
        <v>167</v>
      </c>
      <c r="AA399" s="416">
        <v>166</v>
      </c>
      <c r="AB399" s="416">
        <v>164</v>
      </c>
      <c r="AC399" s="416">
        <v>163</v>
      </c>
      <c r="AD399" s="416">
        <v>161</v>
      </c>
      <c r="AE399" s="416">
        <v>157</v>
      </c>
      <c r="AF399" s="416">
        <v>153</v>
      </c>
      <c r="AG399" s="416">
        <v>147</v>
      </c>
      <c r="AH399" s="416">
        <v>141</v>
      </c>
      <c r="AI399" s="416">
        <v>134</v>
      </c>
      <c r="AJ399" s="416">
        <v>126</v>
      </c>
      <c r="AK399" s="416">
        <v>118</v>
      </c>
      <c r="AL399" s="416">
        <v>103</v>
      </c>
      <c r="AM399" s="416">
        <v>80.599999999999994</v>
      </c>
      <c r="AN399" s="416">
        <v>61.6</v>
      </c>
      <c r="AO399" s="416">
        <v>45.7</v>
      </c>
      <c r="AP399" s="416">
        <v>28.9</v>
      </c>
      <c r="AQ399" s="416">
        <v>0</v>
      </c>
      <c r="AR399" s="416">
        <v>0</v>
      </c>
      <c r="AS399" s="416">
        <v>0</v>
      </c>
      <c r="AT399" s="416">
        <v>0</v>
      </c>
      <c r="AU399" s="416">
        <v>0</v>
      </c>
      <c r="AV399" s="416">
        <v>0</v>
      </c>
      <c r="AW399" s="416">
        <v>0</v>
      </c>
      <c r="AX399" s="416">
        <v>0</v>
      </c>
      <c r="AY399" s="416">
        <v>0</v>
      </c>
      <c r="AZ399" s="416">
        <v>0</v>
      </c>
    </row>
    <row r="400" spans="1:52" s="411" customFormat="1" x14ac:dyDescent="0.3">
      <c r="A400" s="415" t="str">
        <f t="shared" si="6"/>
        <v>SA-213 Gr.T91</v>
      </c>
      <c r="B400" s="415">
        <v>394</v>
      </c>
      <c r="C400" s="415" t="s">
        <v>2994</v>
      </c>
      <c r="D400" s="415" t="s">
        <v>2693</v>
      </c>
      <c r="E400" s="415" t="s">
        <v>2195</v>
      </c>
      <c r="F400" s="415" t="s">
        <v>2554</v>
      </c>
      <c r="G400" s="415" t="s">
        <v>2995</v>
      </c>
      <c r="H400" s="415">
        <v>0</v>
      </c>
      <c r="I400" s="415" t="s">
        <v>2996</v>
      </c>
      <c r="J400" s="415" t="s">
        <v>2997</v>
      </c>
      <c r="K400" s="415">
        <v>1</v>
      </c>
      <c r="L400" s="415">
        <v>585</v>
      </c>
      <c r="M400" s="415">
        <v>415</v>
      </c>
      <c r="N400" s="415">
        <v>649</v>
      </c>
      <c r="O400" s="415">
        <v>371</v>
      </c>
      <c r="P400" s="415">
        <v>649</v>
      </c>
      <c r="Q400" s="415" t="s">
        <v>2675</v>
      </c>
      <c r="R400" s="415" t="s">
        <v>2819</v>
      </c>
      <c r="S400" s="415" t="s">
        <v>2552</v>
      </c>
      <c r="T400" s="416">
        <v>168</v>
      </c>
      <c r="U400" s="416">
        <v>168</v>
      </c>
      <c r="V400" s="416">
        <v>168</v>
      </c>
      <c r="W400" s="416">
        <v>168</v>
      </c>
      <c r="X400" s="416">
        <v>168</v>
      </c>
      <c r="Y400" s="416">
        <v>168</v>
      </c>
      <c r="Z400" s="416">
        <v>167</v>
      </c>
      <c r="AA400" s="416">
        <v>166</v>
      </c>
      <c r="AB400" s="416">
        <v>164</v>
      </c>
      <c r="AC400" s="416">
        <v>163</v>
      </c>
      <c r="AD400" s="416">
        <v>161</v>
      </c>
      <c r="AE400" s="416">
        <v>157</v>
      </c>
      <c r="AF400" s="416">
        <v>153</v>
      </c>
      <c r="AG400" s="416">
        <v>147</v>
      </c>
      <c r="AH400" s="416">
        <v>141</v>
      </c>
      <c r="AI400" s="416">
        <v>134</v>
      </c>
      <c r="AJ400" s="416">
        <v>126</v>
      </c>
      <c r="AK400" s="416">
        <v>117</v>
      </c>
      <c r="AL400" s="416">
        <v>107</v>
      </c>
      <c r="AM400" s="416">
        <v>88.5</v>
      </c>
      <c r="AN400" s="416">
        <v>65</v>
      </c>
      <c r="AO400" s="416">
        <v>45.5</v>
      </c>
      <c r="AP400" s="416">
        <v>28.9</v>
      </c>
      <c r="AQ400" s="416">
        <v>0</v>
      </c>
      <c r="AR400" s="416">
        <v>0</v>
      </c>
      <c r="AS400" s="416">
        <v>0</v>
      </c>
      <c r="AT400" s="416">
        <v>0</v>
      </c>
      <c r="AU400" s="416">
        <v>0</v>
      </c>
      <c r="AV400" s="416">
        <v>0</v>
      </c>
      <c r="AW400" s="416">
        <v>0</v>
      </c>
      <c r="AX400" s="416">
        <v>0</v>
      </c>
      <c r="AY400" s="416">
        <v>0</v>
      </c>
      <c r="AZ400" s="416">
        <v>0</v>
      </c>
    </row>
    <row r="401" spans="1:52" s="411" customFormat="1" x14ac:dyDescent="0.3">
      <c r="A401" s="415" t="str">
        <f t="shared" si="6"/>
        <v>SA-213 Gr.T91</v>
      </c>
      <c r="B401" s="415">
        <v>395</v>
      </c>
      <c r="C401" s="415" t="s">
        <v>2994</v>
      </c>
      <c r="D401" s="415" t="s">
        <v>2693</v>
      </c>
      <c r="E401" s="415" t="s">
        <v>2195</v>
      </c>
      <c r="F401" s="415" t="s">
        <v>2554</v>
      </c>
      <c r="G401" s="415" t="s">
        <v>2995</v>
      </c>
      <c r="H401" s="415">
        <v>0</v>
      </c>
      <c r="I401" s="415" t="s">
        <v>2998</v>
      </c>
      <c r="J401" s="415" t="s">
        <v>2997</v>
      </c>
      <c r="K401" s="415">
        <v>1</v>
      </c>
      <c r="L401" s="415">
        <v>585</v>
      </c>
      <c r="M401" s="415">
        <v>415</v>
      </c>
      <c r="N401" s="415">
        <v>649</v>
      </c>
      <c r="O401" s="415">
        <v>371</v>
      </c>
      <c r="P401" s="415">
        <v>649</v>
      </c>
      <c r="Q401" s="415" t="s">
        <v>2675</v>
      </c>
      <c r="R401" s="415" t="s">
        <v>2819</v>
      </c>
      <c r="S401" s="415" t="s">
        <v>2552</v>
      </c>
      <c r="T401" s="416">
        <v>168</v>
      </c>
      <c r="U401" s="416">
        <v>168</v>
      </c>
      <c r="V401" s="416">
        <v>168</v>
      </c>
      <c r="W401" s="416">
        <v>168</v>
      </c>
      <c r="X401" s="416">
        <v>168</v>
      </c>
      <c r="Y401" s="416">
        <v>168</v>
      </c>
      <c r="Z401" s="416">
        <v>167</v>
      </c>
      <c r="AA401" s="416">
        <v>166</v>
      </c>
      <c r="AB401" s="416">
        <v>164</v>
      </c>
      <c r="AC401" s="416">
        <v>163</v>
      </c>
      <c r="AD401" s="416">
        <v>161</v>
      </c>
      <c r="AE401" s="416">
        <v>157</v>
      </c>
      <c r="AF401" s="416">
        <v>153</v>
      </c>
      <c r="AG401" s="416">
        <v>147</v>
      </c>
      <c r="AH401" s="416">
        <v>141</v>
      </c>
      <c r="AI401" s="416">
        <v>134</v>
      </c>
      <c r="AJ401" s="416">
        <v>126</v>
      </c>
      <c r="AK401" s="416">
        <v>118</v>
      </c>
      <c r="AL401" s="416">
        <v>103</v>
      </c>
      <c r="AM401" s="416">
        <v>80.599999999999994</v>
      </c>
      <c r="AN401" s="416">
        <v>61.6</v>
      </c>
      <c r="AO401" s="416">
        <v>45.7</v>
      </c>
      <c r="AP401" s="416">
        <v>28.9</v>
      </c>
      <c r="AQ401" s="416">
        <v>0</v>
      </c>
      <c r="AR401" s="416">
        <v>0</v>
      </c>
      <c r="AS401" s="416">
        <v>0</v>
      </c>
      <c r="AT401" s="416">
        <v>0</v>
      </c>
      <c r="AU401" s="416">
        <v>0</v>
      </c>
      <c r="AV401" s="416">
        <v>0</v>
      </c>
      <c r="AW401" s="416">
        <v>0</v>
      </c>
      <c r="AX401" s="416">
        <v>0</v>
      </c>
      <c r="AY401" s="416">
        <v>0</v>
      </c>
      <c r="AZ401" s="416">
        <v>0</v>
      </c>
    </row>
    <row r="402" spans="1:52" s="411" customFormat="1" x14ac:dyDescent="0.3">
      <c r="A402" s="415" t="str">
        <f t="shared" si="6"/>
        <v>SA-234 Gr.WP91</v>
      </c>
      <c r="B402" s="415">
        <v>396</v>
      </c>
      <c r="C402" s="415" t="s">
        <v>2994</v>
      </c>
      <c r="D402" s="415" t="s">
        <v>913</v>
      </c>
      <c r="E402" s="415" t="s">
        <v>2174</v>
      </c>
      <c r="F402" s="415" t="s">
        <v>2610</v>
      </c>
      <c r="G402" s="415" t="s">
        <v>2995</v>
      </c>
      <c r="H402" s="415">
        <v>0</v>
      </c>
      <c r="I402" s="415" t="s">
        <v>2996</v>
      </c>
      <c r="J402" s="415" t="s">
        <v>2997</v>
      </c>
      <c r="K402" s="415">
        <v>1</v>
      </c>
      <c r="L402" s="415">
        <v>585</v>
      </c>
      <c r="M402" s="415">
        <v>415</v>
      </c>
      <c r="N402" s="415">
        <v>649</v>
      </c>
      <c r="O402" s="415" t="s">
        <v>2675</v>
      </c>
      <c r="P402" s="415" t="s">
        <v>2675</v>
      </c>
      <c r="Q402" s="415" t="s">
        <v>2675</v>
      </c>
      <c r="R402" s="415" t="s">
        <v>2819</v>
      </c>
      <c r="S402" s="415" t="s">
        <v>2552</v>
      </c>
      <c r="T402" s="416">
        <v>168</v>
      </c>
      <c r="U402" s="416">
        <v>168</v>
      </c>
      <c r="V402" s="416">
        <v>168</v>
      </c>
      <c r="W402" s="416">
        <v>168</v>
      </c>
      <c r="X402" s="416">
        <v>168</v>
      </c>
      <c r="Y402" s="416">
        <v>168</v>
      </c>
      <c r="Z402" s="416">
        <v>167</v>
      </c>
      <c r="AA402" s="416">
        <v>166</v>
      </c>
      <c r="AB402" s="416">
        <v>164</v>
      </c>
      <c r="AC402" s="416">
        <v>163</v>
      </c>
      <c r="AD402" s="416">
        <v>161</v>
      </c>
      <c r="AE402" s="416">
        <v>157</v>
      </c>
      <c r="AF402" s="416">
        <v>153</v>
      </c>
      <c r="AG402" s="416">
        <v>147</v>
      </c>
      <c r="AH402" s="416">
        <v>141</v>
      </c>
      <c r="AI402" s="416">
        <v>134</v>
      </c>
      <c r="AJ402" s="416">
        <v>126</v>
      </c>
      <c r="AK402" s="416">
        <v>117</v>
      </c>
      <c r="AL402" s="416">
        <v>107</v>
      </c>
      <c r="AM402" s="416">
        <v>88.5</v>
      </c>
      <c r="AN402" s="416">
        <v>65</v>
      </c>
      <c r="AO402" s="416">
        <v>45.5</v>
      </c>
      <c r="AP402" s="416">
        <v>28.9</v>
      </c>
      <c r="AQ402" s="416">
        <v>0</v>
      </c>
      <c r="AR402" s="416">
        <v>0</v>
      </c>
      <c r="AS402" s="416">
        <v>0</v>
      </c>
      <c r="AT402" s="416">
        <v>0</v>
      </c>
      <c r="AU402" s="416">
        <v>0</v>
      </c>
      <c r="AV402" s="416">
        <v>0</v>
      </c>
      <c r="AW402" s="416">
        <v>0</v>
      </c>
      <c r="AX402" s="416">
        <v>0</v>
      </c>
      <c r="AY402" s="416">
        <v>0</v>
      </c>
      <c r="AZ402" s="416">
        <v>0</v>
      </c>
    </row>
    <row r="403" spans="1:52" s="411" customFormat="1" x14ac:dyDescent="0.3">
      <c r="A403" s="415" t="str">
        <f t="shared" si="6"/>
        <v>SA-234 Gr.WP91</v>
      </c>
      <c r="B403" s="415">
        <v>397</v>
      </c>
      <c r="C403" s="415" t="s">
        <v>2994</v>
      </c>
      <c r="D403" s="415" t="s">
        <v>913</v>
      </c>
      <c r="E403" s="415" t="s">
        <v>2174</v>
      </c>
      <c r="F403" s="415" t="s">
        <v>2610</v>
      </c>
      <c r="G403" s="415" t="s">
        <v>2995</v>
      </c>
      <c r="H403" s="415">
        <v>0</v>
      </c>
      <c r="I403" s="415" t="s">
        <v>2998</v>
      </c>
      <c r="J403" s="415" t="s">
        <v>2997</v>
      </c>
      <c r="K403" s="415">
        <v>1</v>
      </c>
      <c r="L403" s="415">
        <v>585</v>
      </c>
      <c r="M403" s="415">
        <v>415</v>
      </c>
      <c r="N403" s="415">
        <v>649</v>
      </c>
      <c r="O403" s="415" t="s">
        <v>2675</v>
      </c>
      <c r="P403" s="415" t="s">
        <v>2675</v>
      </c>
      <c r="Q403" s="415" t="s">
        <v>2675</v>
      </c>
      <c r="R403" s="415" t="s">
        <v>2819</v>
      </c>
      <c r="S403" s="415" t="s">
        <v>2552</v>
      </c>
      <c r="T403" s="416">
        <v>168</v>
      </c>
      <c r="U403" s="416">
        <v>168</v>
      </c>
      <c r="V403" s="416">
        <v>168</v>
      </c>
      <c r="W403" s="416">
        <v>168</v>
      </c>
      <c r="X403" s="416">
        <v>168</v>
      </c>
      <c r="Y403" s="416">
        <v>168</v>
      </c>
      <c r="Z403" s="416">
        <v>167</v>
      </c>
      <c r="AA403" s="416">
        <v>166</v>
      </c>
      <c r="AB403" s="416">
        <v>164</v>
      </c>
      <c r="AC403" s="416">
        <v>163</v>
      </c>
      <c r="AD403" s="416">
        <v>161</v>
      </c>
      <c r="AE403" s="416">
        <v>157</v>
      </c>
      <c r="AF403" s="416">
        <v>153</v>
      </c>
      <c r="AG403" s="416">
        <v>147</v>
      </c>
      <c r="AH403" s="416">
        <v>141</v>
      </c>
      <c r="AI403" s="416">
        <v>134</v>
      </c>
      <c r="AJ403" s="416">
        <v>126</v>
      </c>
      <c r="AK403" s="416">
        <v>118</v>
      </c>
      <c r="AL403" s="416">
        <v>103</v>
      </c>
      <c r="AM403" s="416">
        <v>80.599999999999994</v>
      </c>
      <c r="AN403" s="416">
        <v>61.6</v>
      </c>
      <c r="AO403" s="416">
        <v>45.7</v>
      </c>
      <c r="AP403" s="416">
        <v>28.9</v>
      </c>
      <c r="AQ403" s="416">
        <v>0</v>
      </c>
      <c r="AR403" s="416">
        <v>0</v>
      </c>
      <c r="AS403" s="416">
        <v>0</v>
      </c>
      <c r="AT403" s="416">
        <v>0</v>
      </c>
      <c r="AU403" s="416">
        <v>0</v>
      </c>
      <c r="AV403" s="416">
        <v>0</v>
      </c>
      <c r="AW403" s="416">
        <v>0</v>
      </c>
      <c r="AX403" s="416">
        <v>0</v>
      </c>
      <c r="AY403" s="416">
        <v>0</v>
      </c>
      <c r="AZ403" s="416">
        <v>0</v>
      </c>
    </row>
    <row r="404" spans="1:52" s="411" customFormat="1" x14ac:dyDescent="0.3">
      <c r="A404" s="415" t="str">
        <f t="shared" si="6"/>
        <v>SA-335 Gr.P91</v>
      </c>
      <c r="B404" s="415">
        <v>398</v>
      </c>
      <c r="C404" s="415" t="s">
        <v>2994</v>
      </c>
      <c r="D404" s="415" t="s">
        <v>2703</v>
      </c>
      <c r="E404" s="415" t="s">
        <v>2210</v>
      </c>
      <c r="F404" s="415" t="s">
        <v>2522</v>
      </c>
      <c r="G404" s="415" t="s">
        <v>2995</v>
      </c>
      <c r="H404" s="415">
        <v>0</v>
      </c>
      <c r="I404" s="415" t="s">
        <v>2996</v>
      </c>
      <c r="J404" s="415" t="s">
        <v>2997</v>
      </c>
      <c r="K404" s="415">
        <v>1</v>
      </c>
      <c r="L404" s="415">
        <v>585</v>
      </c>
      <c r="M404" s="415">
        <v>415</v>
      </c>
      <c r="N404" s="415">
        <v>649</v>
      </c>
      <c r="O404" s="415">
        <v>371</v>
      </c>
      <c r="P404" s="415">
        <v>649</v>
      </c>
      <c r="Q404" s="415" t="s">
        <v>2675</v>
      </c>
      <c r="R404" s="415" t="s">
        <v>2819</v>
      </c>
      <c r="S404" s="415" t="s">
        <v>2552</v>
      </c>
      <c r="T404" s="416">
        <v>168</v>
      </c>
      <c r="U404" s="416">
        <v>168</v>
      </c>
      <c r="V404" s="416">
        <v>168</v>
      </c>
      <c r="W404" s="416">
        <v>168</v>
      </c>
      <c r="X404" s="416">
        <v>168</v>
      </c>
      <c r="Y404" s="416">
        <v>168</v>
      </c>
      <c r="Z404" s="416">
        <v>167</v>
      </c>
      <c r="AA404" s="416">
        <v>166</v>
      </c>
      <c r="AB404" s="416">
        <v>164</v>
      </c>
      <c r="AC404" s="416">
        <v>163</v>
      </c>
      <c r="AD404" s="416">
        <v>161</v>
      </c>
      <c r="AE404" s="416">
        <v>157</v>
      </c>
      <c r="AF404" s="416">
        <v>153</v>
      </c>
      <c r="AG404" s="416">
        <v>147</v>
      </c>
      <c r="AH404" s="416">
        <v>141</v>
      </c>
      <c r="AI404" s="416">
        <v>134</v>
      </c>
      <c r="AJ404" s="416">
        <v>126</v>
      </c>
      <c r="AK404" s="416">
        <v>117</v>
      </c>
      <c r="AL404" s="416">
        <v>107</v>
      </c>
      <c r="AM404" s="416">
        <v>88.5</v>
      </c>
      <c r="AN404" s="416">
        <v>65</v>
      </c>
      <c r="AO404" s="416">
        <v>45.5</v>
      </c>
      <c r="AP404" s="416">
        <v>28.9</v>
      </c>
      <c r="AQ404" s="416">
        <v>0</v>
      </c>
      <c r="AR404" s="416">
        <v>0</v>
      </c>
      <c r="AS404" s="416">
        <v>0</v>
      </c>
      <c r="AT404" s="416">
        <v>0</v>
      </c>
      <c r="AU404" s="416">
        <v>0</v>
      </c>
      <c r="AV404" s="416">
        <v>0</v>
      </c>
      <c r="AW404" s="416">
        <v>0</v>
      </c>
      <c r="AX404" s="416">
        <v>0</v>
      </c>
      <c r="AY404" s="416">
        <v>0</v>
      </c>
      <c r="AZ404" s="416">
        <v>0</v>
      </c>
    </row>
    <row r="405" spans="1:52" s="411" customFormat="1" x14ac:dyDescent="0.3">
      <c r="A405" s="415" t="str">
        <f t="shared" si="6"/>
        <v>SA-335 Gr.P91</v>
      </c>
      <c r="B405" s="415">
        <v>399</v>
      </c>
      <c r="C405" s="415" t="s">
        <v>2994</v>
      </c>
      <c r="D405" s="415" t="s">
        <v>2703</v>
      </c>
      <c r="E405" s="415" t="s">
        <v>2210</v>
      </c>
      <c r="F405" s="415" t="s">
        <v>2522</v>
      </c>
      <c r="G405" s="415" t="s">
        <v>2995</v>
      </c>
      <c r="H405" s="415">
        <v>0</v>
      </c>
      <c r="I405" s="415" t="s">
        <v>2998</v>
      </c>
      <c r="J405" s="415" t="s">
        <v>2997</v>
      </c>
      <c r="K405" s="415">
        <v>1</v>
      </c>
      <c r="L405" s="415">
        <v>585</v>
      </c>
      <c r="M405" s="415">
        <v>415</v>
      </c>
      <c r="N405" s="415">
        <v>649</v>
      </c>
      <c r="O405" s="415" t="s">
        <v>2675</v>
      </c>
      <c r="P405" s="415">
        <v>649</v>
      </c>
      <c r="Q405" s="415" t="s">
        <v>2675</v>
      </c>
      <c r="R405" s="415" t="s">
        <v>2819</v>
      </c>
      <c r="S405" s="415" t="s">
        <v>2552</v>
      </c>
      <c r="T405" s="416">
        <v>168</v>
      </c>
      <c r="U405" s="416">
        <v>168</v>
      </c>
      <c r="V405" s="416">
        <v>168</v>
      </c>
      <c r="W405" s="416">
        <v>168</v>
      </c>
      <c r="X405" s="416">
        <v>168</v>
      </c>
      <c r="Y405" s="416">
        <v>168</v>
      </c>
      <c r="Z405" s="416">
        <v>167</v>
      </c>
      <c r="AA405" s="416">
        <v>166</v>
      </c>
      <c r="AB405" s="416">
        <v>164</v>
      </c>
      <c r="AC405" s="416">
        <v>163</v>
      </c>
      <c r="AD405" s="416">
        <v>161</v>
      </c>
      <c r="AE405" s="416">
        <v>157</v>
      </c>
      <c r="AF405" s="416">
        <v>153</v>
      </c>
      <c r="AG405" s="416">
        <v>147</v>
      </c>
      <c r="AH405" s="416">
        <v>141</v>
      </c>
      <c r="AI405" s="416">
        <v>134</v>
      </c>
      <c r="AJ405" s="416">
        <v>126</v>
      </c>
      <c r="AK405" s="416">
        <v>118</v>
      </c>
      <c r="AL405" s="416">
        <v>103</v>
      </c>
      <c r="AM405" s="416">
        <v>80.599999999999994</v>
      </c>
      <c r="AN405" s="416">
        <v>61.6</v>
      </c>
      <c r="AO405" s="416">
        <v>45.7</v>
      </c>
      <c r="AP405" s="416">
        <v>28.9</v>
      </c>
      <c r="AQ405" s="416">
        <v>0</v>
      </c>
      <c r="AR405" s="416">
        <v>0</v>
      </c>
      <c r="AS405" s="416">
        <v>0</v>
      </c>
      <c r="AT405" s="416">
        <v>0</v>
      </c>
      <c r="AU405" s="416">
        <v>0</v>
      </c>
      <c r="AV405" s="416">
        <v>0</v>
      </c>
      <c r="AW405" s="416">
        <v>0</v>
      </c>
      <c r="AX405" s="416">
        <v>0</v>
      </c>
      <c r="AY405" s="416">
        <v>0</v>
      </c>
      <c r="AZ405" s="416">
        <v>0</v>
      </c>
    </row>
    <row r="406" spans="1:52" s="411" customFormat="1" x14ac:dyDescent="0.3">
      <c r="A406" s="415" t="str">
        <f t="shared" si="6"/>
        <v>SA-336 Gr.F91</v>
      </c>
      <c r="B406" s="415">
        <v>400</v>
      </c>
      <c r="C406" s="415" t="s">
        <v>2994</v>
      </c>
      <c r="D406" s="415" t="s">
        <v>2737</v>
      </c>
      <c r="E406" s="415" t="s">
        <v>2211</v>
      </c>
      <c r="F406" s="415" t="s">
        <v>2464</v>
      </c>
      <c r="G406" s="415" t="s">
        <v>2995</v>
      </c>
      <c r="H406" s="415">
        <v>0</v>
      </c>
      <c r="I406" s="415" t="s">
        <v>2996</v>
      </c>
      <c r="J406" s="415" t="s">
        <v>2997</v>
      </c>
      <c r="K406" s="415">
        <v>1</v>
      </c>
      <c r="L406" s="415">
        <v>585</v>
      </c>
      <c r="M406" s="415">
        <v>415</v>
      </c>
      <c r="N406" s="415">
        <v>649</v>
      </c>
      <c r="O406" s="415" t="s">
        <v>2675</v>
      </c>
      <c r="P406" s="415">
        <v>649</v>
      </c>
      <c r="Q406" s="415" t="s">
        <v>2675</v>
      </c>
      <c r="R406" s="415" t="s">
        <v>2819</v>
      </c>
      <c r="S406" s="415" t="s">
        <v>2552</v>
      </c>
      <c r="T406" s="416">
        <v>168</v>
      </c>
      <c r="U406" s="416">
        <v>168</v>
      </c>
      <c r="V406" s="416">
        <v>168</v>
      </c>
      <c r="W406" s="416">
        <v>168</v>
      </c>
      <c r="X406" s="416">
        <v>168</v>
      </c>
      <c r="Y406" s="416">
        <v>168</v>
      </c>
      <c r="Z406" s="416">
        <v>167</v>
      </c>
      <c r="AA406" s="416">
        <v>166</v>
      </c>
      <c r="AB406" s="416">
        <v>164</v>
      </c>
      <c r="AC406" s="416">
        <v>163</v>
      </c>
      <c r="AD406" s="416">
        <v>161</v>
      </c>
      <c r="AE406" s="416">
        <v>157</v>
      </c>
      <c r="AF406" s="416">
        <v>153</v>
      </c>
      <c r="AG406" s="416">
        <v>147</v>
      </c>
      <c r="AH406" s="416">
        <v>141</v>
      </c>
      <c r="AI406" s="416">
        <v>134</v>
      </c>
      <c r="AJ406" s="416">
        <v>126</v>
      </c>
      <c r="AK406" s="416">
        <v>117</v>
      </c>
      <c r="AL406" s="416">
        <v>107</v>
      </c>
      <c r="AM406" s="416">
        <v>88.5</v>
      </c>
      <c r="AN406" s="416">
        <v>65</v>
      </c>
      <c r="AO406" s="416">
        <v>45.5</v>
      </c>
      <c r="AP406" s="416">
        <v>28.9</v>
      </c>
      <c r="AQ406" s="416">
        <v>0</v>
      </c>
      <c r="AR406" s="416">
        <v>0</v>
      </c>
      <c r="AS406" s="416">
        <v>0</v>
      </c>
      <c r="AT406" s="416">
        <v>0</v>
      </c>
      <c r="AU406" s="416">
        <v>0</v>
      </c>
      <c r="AV406" s="416">
        <v>0</v>
      </c>
      <c r="AW406" s="416">
        <v>0</v>
      </c>
      <c r="AX406" s="416">
        <v>0</v>
      </c>
      <c r="AY406" s="416">
        <v>0</v>
      </c>
      <c r="AZ406" s="416">
        <v>0</v>
      </c>
    </row>
    <row r="407" spans="1:52" s="411" customFormat="1" x14ac:dyDescent="0.3">
      <c r="A407" s="415" t="str">
        <f t="shared" si="6"/>
        <v>SA-336 Gr.F91</v>
      </c>
      <c r="B407" s="415">
        <v>401</v>
      </c>
      <c r="C407" s="415" t="s">
        <v>2994</v>
      </c>
      <c r="D407" s="415" t="s">
        <v>2737</v>
      </c>
      <c r="E407" s="415" t="s">
        <v>2211</v>
      </c>
      <c r="F407" s="415" t="s">
        <v>2464</v>
      </c>
      <c r="G407" s="415" t="s">
        <v>2995</v>
      </c>
      <c r="H407" s="415">
        <v>0</v>
      </c>
      <c r="I407" s="415" t="s">
        <v>2998</v>
      </c>
      <c r="J407" s="415" t="s">
        <v>2997</v>
      </c>
      <c r="K407" s="415">
        <v>1</v>
      </c>
      <c r="L407" s="415">
        <v>585</v>
      </c>
      <c r="M407" s="415">
        <v>415</v>
      </c>
      <c r="N407" s="415">
        <v>649</v>
      </c>
      <c r="O407" s="415" t="s">
        <v>2675</v>
      </c>
      <c r="P407" s="415">
        <v>649</v>
      </c>
      <c r="Q407" s="415" t="s">
        <v>2675</v>
      </c>
      <c r="R407" s="415" t="s">
        <v>2819</v>
      </c>
      <c r="S407" s="415" t="s">
        <v>2552</v>
      </c>
      <c r="T407" s="416">
        <v>168</v>
      </c>
      <c r="U407" s="416">
        <v>168</v>
      </c>
      <c r="V407" s="416">
        <v>168</v>
      </c>
      <c r="W407" s="416">
        <v>168</v>
      </c>
      <c r="X407" s="416">
        <v>168</v>
      </c>
      <c r="Y407" s="416">
        <v>168</v>
      </c>
      <c r="Z407" s="416">
        <v>167</v>
      </c>
      <c r="AA407" s="416">
        <v>166</v>
      </c>
      <c r="AB407" s="416">
        <v>164</v>
      </c>
      <c r="AC407" s="416">
        <v>163</v>
      </c>
      <c r="AD407" s="416">
        <v>161</v>
      </c>
      <c r="AE407" s="416">
        <v>157</v>
      </c>
      <c r="AF407" s="416">
        <v>153</v>
      </c>
      <c r="AG407" s="416">
        <v>147</v>
      </c>
      <c r="AH407" s="416">
        <v>141</v>
      </c>
      <c r="AI407" s="416">
        <v>134</v>
      </c>
      <c r="AJ407" s="416">
        <v>126</v>
      </c>
      <c r="AK407" s="416">
        <v>118</v>
      </c>
      <c r="AL407" s="416">
        <v>103</v>
      </c>
      <c r="AM407" s="416">
        <v>80.599999999999994</v>
      </c>
      <c r="AN407" s="416">
        <v>61.6</v>
      </c>
      <c r="AO407" s="416">
        <v>45.7</v>
      </c>
      <c r="AP407" s="416">
        <v>28.9</v>
      </c>
      <c r="AQ407" s="416">
        <v>0</v>
      </c>
      <c r="AR407" s="416">
        <v>0</v>
      </c>
      <c r="AS407" s="416">
        <v>0</v>
      </c>
      <c r="AT407" s="416">
        <v>0</v>
      </c>
      <c r="AU407" s="416">
        <v>0</v>
      </c>
      <c r="AV407" s="416">
        <v>0</v>
      </c>
      <c r="AW407" s="416">
        <v>0</v>
      </c>
      <c r="AX407" s="416">
        <v>0</v>
      </c>
      <c r="AY407" s="416">
        <v>0</v>
      </c>
      <c r="AZ407" s="416">
        <v>0</v>
      </c>
    </row>
    <row r="408" spans="1:52" s="411" customFormat="1" x14ac:dyDescent="0.3">
      <c r="A408" s="415" t="str">
        <f t="shared" si="6"/>
        <v>SA-369 Gr.FP91</v>
      </c>
      <c r="B408" s="415">
        <v>402</v>
      </c>
      <c r="C408" s="415" t="s">
        <v>2994</v>
      </c>
      <c r="D408" s="415" t="s">
        <v>2707</v>
      </c>
      <c r="E408" s="415" t="s">
        <v>2221</v>
      </c>
      <c r="F408" s="415" t="s">
        <v>2473</v>
      </c>
      <c r="G408" s="415" t="s">
        <v>2995</v>
      </c>
      <c r="H408" s="415">
        <v>0</v>
      </c>
      <c r="I408" s="415" t="s">
        <v>2996</v>
      </c>
      <c r="J408" s="415" t="s">
        <v>2997</v>
      </c>
      <c r="K408" s="415">
        <v>1</v>
      </c>
      <c r="L408" s="415">
        <v>585</v>
      </c>
      <c r="M408" s="415">
        <v>415</v>
      </c>
      <c r="N408" s="415">
        <v>649</v>
      </c>
      <c r="O408" s="415" t="s">
        <v>2675</v>
      </c>
      <c r="P408" s="415" t="s">
        <v>2675</v>
      </c>
      <c r="Q408" s="415" t="s">
        <v>2675</v>
      </c>
      <c r="R408" s="415" t="s">
        <v>2819</v>
      </c>
      <c r="S408" s="415" t="s">
        <v>2552</v>
      </c>
      <c r="T408" s="416">
        <v>168</v>
      </c>
      <c r="U408" s="416">
        <v>168</v>
      </c>
      <c r="V408" s="416">
        <v>168</v>
      </c>
      <c r="W408" s="416">
        <v>168</v>
      </c>
      <c r="X408" s="416">
        <v>168</v>
      </c>
      <c r="Y408" s="416">
        <v>168</v>
      </c>
      <c r="Z408" s="416">
        <v>167</v>
      </c>
      <c r="AA408" s="416">
        <v>166</v>
      </c>
      <c r="AB408" s="416">
        <v>164</v>
      </c>
      <c r="AC408" s="416">
        <v>163</v>
      </c>
      <c r="AD408" s="416">
        <v>161</v>
      </c>
      <c r="AE408" s="416">
        <v>157</v>
      </c>
      <c r="AF408" s="416">
        <v>153</v>
      </c>
      <c r="AG408" s="416">
        <v>147</v>
      </c>
      <c r="AH408" s="416">
        <v>141</v>
      </c>
      <c r="AI408" s="416">
        <v>134</v>
      </c>
      <c r="AJ408" s="416">
        <v>126</v>
      </c>
      <c r="AK408" s="416">
        <v>117</v>
      </c>
      <c r="AL408" s="416">
        <v>107</v>
      </c>
      <c r="AM408" s="416">
        <v>88.5</v>
      </c>
      <c r="AN408" s="416">
        <v>65</v>
      </c>
      <c r="AO408" s="416">
        <v>45.5</v>
      </c>
      <c r="AP408" s="416">
        <v>28.9</v>
      </c>
      <c r="AQ408" s="416">
        <v>0</v>
      </c>
      <c r="AR408" s="416">
        <v>0</v>
      </c>
      <c r="AS408" s="416">
        <v>0</v>
      </c>
      <c r="AT408" s="416">
        <v>0</v>
      </c>
      <c r="AU408" s="416">
        <v>0</v>
      </c>
      <c r="AV408" s="416">
        <v>0</v>
      </c>
      <c r="AW408" s="416">
        <v>0</v>
      </c>
      <c r="AX408" s="416">
        <v>0</v>
      </c>
      <c r="AY408" s="416">
        <v>0</v>
      </c>
      <c r="AZ408" s="416">
        <v>0</v>
      </c>
    </row>
    <row r="409" spans="1:52" s="411" customFormat="1" x14ac:dyDescent="0.3">
      <c r="A409" s="415" t="str">
        <f t="shared" si="6"/>
        <v>SA-369 Gr.FP91</v>
      </c>
      <c r="B409" s="415">
        <v>403</v>
      </c>
      <c r="C409" s="415" t="s">
        <v>2994</v>
      </c>
      <c r="D409" s="415" t="s">
        <v>2707</v>
      </c>
      <c r="E409" s="415" t="s">
        <v>2221</v>
      </c>
      <c r="F409" s="415" t="s">
        <v>2473</v>
      </c>
      <c r="G409" s="415" t="s">
        <v>2995</v>
      </c>
      <c r="H409" s="415">
        <v>0</v>
      </c>
      <c r="I409" s="415" t="s">
        <v>2998</v>
      </c>
      <c r="J409" s="415" t="s">
        <v>2997</v>
      </c>
      <c r="K409" s="415">
        <v>1</v>
      </c>
      <c r="L409" s="415">
        <v>585</v>
      </c>
      <c r="M409" s="415">
        <v>415</v>
      </c>
      <c r="N409" s="415">
        <v>649</v>
      </c>
      <c r="O409" s="415" t="s">
        <v>2675</v>
      </c>
      <c r="P409" s="415" t="s">
        <v>2675</v>
      </c>
      <c r="Q409" s="415" t="s">
        <v>2675</v>
      </c>
      <c r="R409" s="415" t="s">
        <v>2819</v>
      </c>
      <c r="S409" s="415" t="s">
        <v>2552</v>
      </c>
      <c r="T409" s="416">
        <v>168</v>
      </c>
      <c r="U409" s="416">
        <v>168</v>
      </c>
      <c r="V409" s="416">
        <v>168</v>
      </c>
      <c r="W409" s="416">
        <v>168</v>
      </c>
      <c r="X409" s="416">
        <v>168</v>
      </c>
      <c r="Y409" s="416">
        <v>168</v>
      </c>
      <c r="Z409" s="416">
        <v>167</v>
      </c>
      <c r="AA409" s="416">
        <v>166</v>
      </c>
      <c r="AB409" s="416">
        <v>164</v>
      </c>
      <c r="AC409" s="416">
        <v>163</v>
      </c>
      <c r="AD409" s="416">
        <v>161</v>
      </c>
      <c r="AE409" s="416">
        <v>157</v>
      </c>
      <c r="AF409" s="416">
        <v>153</v>
      </c>
      <c r="AG409" s="416">
        <v>147</v>
      </c>
      <c r="AH409" s="416">
        <v>141</v>
      </c>
      <c r="AI409" s="416">
        <v>134</v>
      </c>
      <c r="AJ409" s="416">
        <v>126</v>
      </c>
      <c r="AK409" s="416">
        <v>118</v>
      </c>
      <c r="AL409" s="416">
        <v>103</v>
      </c>
      <c r="AM409" s="416">
        <v>80.599999999999994</v>
      </c>
      <c r="AN409" s="416">
        <v>61.6</v>
      </c>
      <c r="AO409" s="416">
        <v>45.7</v>
      </c>
      <c r="AP409" s="416">
        <v>28.9</v>
      </c>
      <c r="AQ409" s="416">
        <v>0</v>
      </c>
      <c r="AR409" s="416">
        <v>0</v>
      </c>
      <c r="AS409" s="416">
        <v>0</v>
      </c>
      <c r="AT409" s="416">
        <v>0</v>
      </c>
      <c r="AU409" s="416">
        <v>0</v>
      </c>
      <c r="AV409" s="416">
        <v>0</v>
      </c>
      <c r="AW409" s="416">
        <v>0</v>
      </c>
      <c r="AX409" s="416">
        <v>0</v>
      </c>
      <c r="AY409" s="416">
        <v>0</v>
      </c>
      <c r="AZ409" s="416">
        <v>0</v>
      </c>
    </row>
    <row r="410" spans="1:52" s="411" customFormat="1" x14ac:dyDescent="0.3">
      <c r="A410" s="415" t="str">
        <f t="shared" si="6"/>
        <v>SA-387 Gr.91</v>
      </c>
      <c r="B410" s="415">
        <v>404</v>
      </c>
      <c r="C410" s="415" t="s">
        <v>2994</v>
      </c>
      <c r="D410" s="415" t="s">
        <v>2684</v>
      </c>
      <c r="E410" s="415" t="s">
        <v>2227</v>
      </c>
      <c r="F410" s="415">
        <v>91</v>
      </c>
      <c r="G410" s="415" t="s">
        <v>2995</v>
      </c>
      <c r="H410" s="415">
        <v>2</v>
      </c>
      <c r="I410" s="415" t="s">
        <v>2996</v>
      </c>
      <c r="J410" s="415" t="s">
        <v>2997</v>
      </c>
      <c r="K410" s="415">
        <v>1</v>
      </c>
      <c r="L410" s="415">
        <v>585</v>
      </c>
      <c r="M410" s="415">
        <v>415</v>
      </c>
      <c r="N410" s="415">
        <v>649</v>
      </c>
      <c r="O410" s="415">
        <v>371</v>
      </c>
      <c r="P410" s="415">
        <v>649</v>
      </c>
      <c r="Q410" s="415" t="s">
        <v>2675</v>
      </c>
      <c r="R410" s="415" t="s">
        <v>2819</v>
      </c>
      <c r="S410" s="415" t="s">
        <v>2552</v>
      </c>
      <c r="T410" s="416">
        <v>168</v>
      </c>
      <c r="U410" s="416">
        <v>168</v>
      </c>
      <c r="V410" s="416">
        <v>168</v>
      </c>
      <c r="W410" s="416">
        <v>168</v>
      </c>
      <c r="X410" s="416">
        <v>168</v>
      </c>
      <c r="Y410" s="416">
        <v>168</v>
      </c>
      <c r="Z410" s="416">
        <v>167</v>
      </c>
      <c r="AA410" s="416">
        <v>166</v>
      </c>
      <c r="AB410" s="416">
        <v>164</v>
      </c>
      <c r="AC410" s="416">
        <v>163</v>
      </c>
      <c r="AD410" s="416">
        <v>161</v>
      </c>
      <c r="AE410" s="416">
        <v>157</v>
      </c>
      <c r="AF410" s="416">
        <v>153</v>
      </c>
      <c r="AG410" s="416">
        <v>147</v>
      </c>
      <c r="AH410" s="416">
        <v>141</v>
      </c>
      <c r="AI410" s="416">
        <v>134</v>
      </c>
      <c r="AJ410" s="416">
        <v>126</v>
      </c>
      <c r="AK410" s="416">
        <v>117</v>
      </c>
      <c r="AL410" s="416">
        <v>107</v>
      </c>
      <c r="AM410" s="416">
        <v>88.5</v>
      </c>
      <c r="AN410" s="416">
        <v>65</v>
      </c>
      <c r="AO410" s="416">
        <v>45.5</v>
      </c>
      <c r="AP410" s="416">
        <v>28.9</v>
      </c>
      <c r="AQ410" s="416">
        <v>0</v>
      </c>
      <c r="AR410" s="416">
        <v>0</v>
      </c>
      <c r="AS410" s="416">
        <v>0</v>
      </c>
      <c r="AT410" s="416">
        <v>0</v>
      </c>
      <c r="AU410" s="416">
        <v>0</v>
      </c>
      <c r="AV410" s="416">
        <v>0</v>
      </c>
      <c r="AW410" s="416">
        <v>0</v>
      </c>
      <c r="AX410" s="416">
        <v>0</v>
      </c>
      <c r="AY410" s="416">
        <v>0</v>
      </c>
      <c r="AZ410" s="416">
        <v>0</v>
      </c>
    </row>
    <row r="411" spans="1:52" s="411" customFormat="1" x14ac:dyDescent="0.3">
      <c r="A411" s="415" t="str">
        <f t="shared" si="6"/>
        <v>SA-387 Gr.91</v>
      </c>
      <c r="B411" s="415">
        <v>405</v>
      </c>
      <c r="C411" s="415" t="s">
        <v>2994</v>
      </c>
      <c r="D411" s="415" t="s">
        <v>2684</v>
      </c>
      <c r="E411" s="415" t="s">
        <v>2227</v>
      </c>
      <c r="F411" s="415">
        <v>91</v>
      </c>
      <c r="G411" s="415" t="s">
        <v>2995</v>
      </c>
      <c r="H411" s="415">
        <v>2</v>
      </c>
      <c r="I411" s="415" t="s">
        <v>2998</v>
      </c>
      <c r="J411" s="415" t="s">
        <v>2997</v>
      </c>
      <c r="K411" s="415">
        <v>1</v>
      </c>
      <c r="L411" s="415">
        <v>585</v>
      </c>
      <c r="M411" s="415">
        <v>415</v>
      </c>
      <c r="N411" s="415">
        <v>649</v>
      </c>
      <c r="O411" s="415" t="s">
        <v>2675</v>
      </c>
      <c r="P411" s="415">
        <v>649</v>
      </c>
      <c r="Q411" s="415" t="s">
        <v>2675</v>
      </c>
      <c r="R411" s="415" t="s">
        <v>2819</v>
      </c>
      <c r="S411" s="415" t="s">
        <v>2552</v>
      </c>
      <c r="T411" s="416">
        <v>168</v>
      </c>
      <c r="U411" s="416">
        <v>168</v>
      </c>
      <c r="V411" s="416">
        <v>168</v>
      </c>
      <c r="W411" s="416">
        <v>168</v>
      </c>
      <c r="X411" s="416">
        <v>168</v>
      </c>
      <c r="Y411" s="416">
        <v>168</v>
      </c>
      <c r="Z411" s="416">
        <v>167</v>
      </c>
      <c r="AA411" s="416">
        <v>166</v>
      </c>
      <c r="AB411" s="416">
        <v>164</v>
      </c>
      <c r="AC411" s="416">
        <v>163</v>
      </c>
      <c r="AD411" s="416">
        <v>161</v>
      </c>
      <c r="AE411" s="416">
        <v>157</v>
      </c>
      <c r="AF411" s="416">
        <v>153</v>
      </c>
      <c r="AG411" s="416">
        <v>147</v>
      </c>
      <c r="AH411" s="416">
        <v>141</v>
      </c>
      <c r="AI411" s="416">
        <v>134</v>
      </c>
      <c r="AJ411" s="416">
        <v>126</v>
      </c>
      <c r="AK411" s="416">
        <v>118</v>
      </c>
      <c r="AL411" s="416">
        <v>103</v>
      </c>
      <c r="AM411" s="416">
        <v>80.599999999999994</v>
      </c>
      <c r="AN411" s="416">
        <v>61.6</v>
      </c>
      <c r="AO411" s="416">
        <v>45.7</v>
      </c>
      <c r="AP411" s="416">
        <v>28.9</v>
      </c>
      <c r="AQ411" s="416">
        <v>0</v>
      </c>
      <c r="AR411" s="416">
        <v>0</v>
      </c>
      <c r="AS411" s="416">
        <v>0</v>
      </c>
      <c r="AT411" s="416">
        <v>0</v>
      </c>
      <c r="AU411" s="416">
        <v>0</v>
      </c>
      <c r="AV411" s="416">
        <v>0</v>
      </c>
      <c r="AW411" s="416">
        <v>0</v>
      </c>
      <c r="AX411" s="416">
        <v>0</v>
      </c>
      <c r="AY411" s="416">
        <v>0</v>
      </c>
      <c r="AZ411" s="416">
        <v>0</v>
      </c>
    </row>
    <row r="412" spans="1:52" s="411" customFormat="1" x14ac:dyDescent="0.3">
      <c r="A412" s="415" t="str">
        <f t="shared" si="6"/>
        <v>SA-240 Gr.0</v>
      </c>
      <c r="B412" s="415">
        <v>406</v>
      </c>
      <c r="C412" s="415" t="s">
        <v>2999</v>
      </c>
      <c r="D412" s="415" t="s">
        <v>2684</v>
      </c>
      <c r="E412" s="415" t="s">
        <v>2165</v>
      </c>
      <c r="F412" s="415">
        <v>0</v>
      </c>
      <c r="G412" s="415" t="s">
        <v>3000</v>
      </c>
      <c r="H412" s="415">
        <v>0</v>
      </c>
      <c r="I412" s="415">
        <v>0</v>
      </c>
      <c r="J412" s="415">
        <v>7</v>
      </c>
      <c r="K412" s="415">
        <v>1</v>
      </c>
      <c r="L412" s="415">
        <v>380</v>
      </c>
      <c r="M412" s="415">
        <v>170</v>
      </c>
      <c r="N412" s="415" t="s">
        <v>2675</v>
      </c>
      <c r="O412" s="415" t="s">
        <v>2675</v>
      </c>
      <c r="P412" s="415">
        <v>427</v>
      </c>
      <c r="Q412" s="415" t="s">
        <v>2675</v>
      </c>
      <c r="R412" s="415" t="s">
        <v>2682</v>
      </c>
      <c r="S412" s="415">
        <v>0</v>
      </c>
      <c r="T412" s="416">
        <v>108</v>
      </c>
      <c r="U412" s="416">
        <v>108</v>
      </c>
      <c r="V412" s="416">
        <v>104</v>
      </c>
      <c r="W412" s="416">
        <v>98.8</v>
      </c>
      <c r="X412" s="416">
        <v>94.4</v>
      </c>
      <c r="Y412" s="416">
        <v>90.1</v>
      </c>
      <c r="Z412" s="416">
        <v>83.8</v>
      </c>
      <c r="AA412" s="416">
        <v>80.5</v>
      </c>
      <c r="AB412" s="416">
        <v>78.2</v>
      </c>
      <c r="AC412" s="416">
        <v>77.900000000000006</v>
      </c>
      <c r="AD412" s="416">
        <v>77.900000000000006</v>
      </c>
      <c r="AE412" s="416">
        <v>77.900000000000006</v>
      </c>
      <c r="AF412" s="416">
        <v>77.2</v>
      </c>
      <c r="AG412" s="416">
        <v>76.599999999999994</v>
      </c>
      <c r="AH412" s="416">
        <v>76</v>
      </c>
      <c r="AI412" s="416">
        <v>0</v>
      </c>
      <c r="AJ412" s="416">
        <v>0</v>
      </c>
      <c r="AK412" s="416">
        <v>0</v>
      </c>
      <c r="AL412" s="416">
        <v>0</v>
      </c>
      <c r="AM412" s="416">
        <v>0</v>
      </c>
      <c r="AN412" s="416">
        <v>0</v>
      </c>
      <c r="AO412" s="416">
        <v>0</v>
      </c>
      <c r="AP412" s="416">
        <v>0</v>
      </c>
      <c r="AQ412" s="416">
        <v>0</v>
      </c>
      <c r="AR412" s="416">
        <v>0</v>
      </c>
      <c r="AS412" s="416">
        <v>0</v>
      </c>
      <c r="AT412" s="416">
        <v>0</v>
      </c>
      <c r="AU412" s="416">
        <v>0</v>
      </c>
      <c r="AV412" s="416">
        <v>0</v>
      </c>
      <c r="AW412" s="416">
        <v>0</v>
      </c>
      <c r="AX412" s="416">
        <v>0</v>
      </c>
      <c r="AY412" s="416">
        <v>0</v>
      </c>
      <c r="AZ412" s="416">
        <v>0</v>
      </c>
    </row>
    <row r="413" spans="1:52" s="411" customFormat="1" x14ac:dyDescent="0.3">
      <c r="A413" s="415" t="str">
        <f t="shared" si="6"/>
        <v>SA-240 Gr.0</v>
      </c>
      <c r="B413" s="415">
        <v>407</v>
      </c>
      <c r="C413" s="415" t="s">
        <v>2999</v>
      </c>
      <c r="D413" s="415" t="s">
        <v>2684</v>
      </c>
      <c r="E413" s="415" t="s">
        <v>2165</v>
      </c>
      <c r="F413" s="415">
        <v>0</v>
      </c>
      <c r="G413" s="415" t="s">
        <v>3001</v>
      </c>
      <c r="H413" s="415">
        <v>0</v>
      </c>
      <c r="I413" s="415">
        <v>0</v>
      </c>
      <c r="J413" s="415">
        <v>7</v>
      </c>
      <c r="K413" s="415">
        <v>1</v>
      </c>
      <c r="L413" s="415">
        <v>380</v>
      </c>
      <c r="M413" s="415">
        <v>170</v>
      </c>
      <c r="N413" s="415" t="s">
        <v>2675</v>
      </c>
      <c r="O413" s="415" t="s">
        <v>2675</v>
      </c>
      <c r="P413" s="415">
        <v>427</v>
      </c>
      <c r="Q413" s="415" t="s">
        <v>2675</v>
      </c>
      <c r="R413" s="415" t="s">
        <v>2682</v>
      </c>
      <c r="S413" s="415">
        <v>0</v>
      </c>
      <c r="T413" s="416">
        <v>108</v>
      </c>
      <c r="U413" s="416">
        <v>108</v>
      </c>
      <c r="V413" s="416">
        <v>104</v>
      </c>
      <c r="W413" s="416">
        <v>98.8</v>
      </c>
      <c r="X413" s="416">
        <v>94.4</v>
      </c>
      <c r="Y413" s="416">
        <v>90.1</v>
      </c>
      <c r="Z413" s="416">
        <v>83.8</v>
      </c>
      <c r="AA413" s="416">
        <v>80.5</v>
      </c>
      <c r="AB413" s="416">
        <v>78.2</v>
      </c>
      <c r="AC413" s="416">
        <v>77.900000000000006</v>
      </c>
      <c r="AD413" s="416">
        <v>77.900000000000006</v>
      </c>
      <c r="AE413" s="416">
        <v>77.900000000000006</v>
      </c>
      <c r="AF413" s="416">
        <v>77.2</v>
      </c>
      <c r="AG413" s="416">
        <v>76.599999999999994</v>
      </c>
      <c r="AH413" s="416">
        <v>76</v>
      </c>
      <c r="AI413" s="416">
        <v>0</v>
      </c>
      <c r="AJ413" s="416">
        <v>0</v>
      </c>
      <c r="AK413" s="416">
        <v>0</v>
      </c>
      <c r="AL413" s="416">
        <v>0</v>
      </c>
      <c r="AM413" s="416">
        <v>0</v>
      </c>
      <c r="AN413" s="416">
        <v>0</v>
      </c>
      <c r="AO413" s="416">
        <v>0</v>
      </c>
      <c r="AP413" s="416">
        <v>0</v>
      </c>
      <c r="AQ413" s="416">
        <v>0</v>
      </c>
      <c r="AR413" s="416">
        <v>0</v>
      </c>
      <c r="AS413" s="416">
        <v>0</v>
      </c>
      <c r="AT413" s="416">
        <v>0</v>
      </c>
      <c r="AU413" s="416">
        <v>0</v>
      </c>
      <c r="AV413" s="416">
        <v>0</v>
      </c>
      <c r="AW413" s="416">
        <v>0</v>
      </c>
      <c r="AX413" s="416">
        <v>0</v>
      </c>
      <c r="AY413" s="416">
        <v>0</v>
      </c>
      <c r="AZ413" s="416">
        <v>0</v>
      </c>
    </row>
    <row r="414" spans="1:52" s="411" customFormat="1" x14ac:dyDescent="0.3">
      <c r="A414" s="415" t="str">
        <f t="shared" si="6"/>
        <v>SA-240 Gr.0</v>
      </c>
      <c r="B414" s="415">
        <v>408</v>
      </c>
      <c r="C414" s="415" t="s">
        <v>2999</v>
      </c>
      <c r="D414" s="415" t="s">
        <v>2684</v>
      </c>
      <c r="E414" s="415" t="s">
        <v>2165</v>
      </c>
      <c r="F414" s="415">
        <v>0</v>
      </c>
      <c r="G414" s="415" t="s">
        <v>3002</v>
      </c>
      <c r="H414" s="415">
        <v>0</v>
      </c>
      <c r="I414" s="415">
        <v>0</v>
      </c>
      <c r="J414" s="415">
        <v>7</v>
      </c>
      <c r="K414" s="415">
        <v>1</v>
      </c>
      <c r="L414" s="415">
        <v>380</v>
      </c>
      <c r="M414" s="415">
        <v>170</v>
      </c>
      <c r="N414" s="415" t="s">
        <v>2675</v>
      </c>
      <c r="O414" s="415" t="s">
        <v>2675</v>
      </c>
      <c r="P414" s="415">
        <v>427</v>
      </c>
      <c r="Q414" s="415" t="s">
        <v>2675</v>
      </c>
      <c r="R414" s="415" t="s">
        <v>2682</v>
      </c>
      <c r="S414" s="415">
        <v>0</v>
      </c>
      <c r="T414" s="416">
        <v>108</v>
      </c>
      <c r="U414" s="416">
        <v>108</v>
      </c>
      <c r="V414" s="416">
        <v>104</v>
      </c>
      <c r="W414" s="416">
        <v>98.8</v>
      </c>
      <c r="X414" s="416">
        <v>94.4</v>
      </c>
      <c r="Y414" s="416">
        <v>90.1</v>
      </c>
      <c r="Z414" s="416">
        <v>83.8</v>
      </c>
      <c r="AA414" s="416">
        <v>80.5</v>
      </c>
      <c r="AB414" s="416">
        <v>78.2</v>
      </c>
      <c r="AC414" s="416">
        <v>77.900000000000006</v>
      </c>
      <c r="AD414" s="416">
        <v>77.900000000000006</v>
      </c>
      <c r="AE414" s="416">
        <v>77.900000000000006</v>
      </c>
      <c r="AF414" s="416">
        <v>77.2</v>
      </c>
      <c r="AG414" s="416">
        <v>76.599999999999994</v>
      </c>
      <c r="AH414" s="416">
        <v>76</v>
      </c>
      <c r="AI414" s="416">
        <v>0</v>
      </c>
      <c r="AJ414" s="416">
        <v>0</v>
      </c>
      <c r="AK414" s="416">
        <v>0</v>
      </c>
      <c r="AL414" s="416">
        <v>0</v>
      </c>
      <c r="AM414" s="416">
        <v>0</v>
      </c>
      <c r="AN414" s="416">
        <v>0</v>
      </c>
      <c r="AO414" s="416">
        <v>0</v>
      </c>
      <c r="AP414" s="416">
        <v>0</v>
      </c>
      <c r="AQ414" s="416">
        <v>0</v>
      </c>
      <c r="AR414" s="416">
        <v>0</v>
      </c>
      <c r="AS414" s="416">
        <v>0</v>
      </c>
      <c r="AT414" s="416">
        <v>0</v>
      </c>
      <c r="AU414" s="416">
        <v>0</v>
      </c>
      <c r="AV414" s="416">
        <v>0</v>
      </c>
      <c r="AW414" s="416">
        <v>0</v>
      </c>
      <c r="AX414" s="416">
        <v>0</v>
      </c>
      <c r="AY414" s="416">
        <v>0</v>
      </c>
      <c r="AZ414" s="416">
        <v>0</v>
      </c>
    </row>
    <row r="415" spans="1:52" s="411" customFormat="1" x14ac:dyDescent="0.3">
      <c r="A415" s="415" t="str">
        <f t="shared" si="6"/>
        <v>SA-268 Gr.TP409</v>
      </c>
      <c r="B415" s="415">
        <v>409</v>
      </c>
      <c r="C415" s="415" t="s">
        <v>2999</v>
      </c>
      <c r="D415" s="415" t="s">
        <v>2689</v>
      </c>
      <c r="E415" s="415" t="s">
        <v>2203</v>
      </c>
      <c r="F415" s="415" t="s">
        <v>2583</v>
      </c>
      <c r="G415" s="415" t="s">
        <v>3003</v>
      </c>
      <c r="H415" s="415">
        <v>0</v>
      </c>
      <c r="I415" s="415">
        <v>0</v>
      </c>
      <c r="J415" s="415">
        <v>7</v>
      </c>
      <c r="K415" s="415">
        <v>1</v>
      </c>
      <c r="L415" s="415">
        <v>380</v>
      </c>
      <c r="M415" s="415">
        <v>170</v>
      </c>
      <c r="N415" s="415" t="s">
        <v>2675</v>
      </c>
      <c r="O415" s="415" t="s">
        <v>2675</v>
      </c>
      <c r="P415" s="415">
        <v>427</v>
      </c>
      <c r="Q415" s="415">
        <v>343</v>
      </c>
      <c r="R415" s="415" t="s">
        <v>2682</v>
      </c>
      <c r="S415" s="415" t="s">
        <v>3004</v>
      </c>
      <c r="T415" s="416">
        <v>92.4</v>
      </c>
      <c r="U415" s="416">
        <v>92.4</v>
      </c>
      <c r="V415" s="416">
        <v>88.4</v>
      </c>
      <c r="W415" s="416">
        <v>82.3</v>
      </c>
      <c r="X415" s="416">
        <v>84.1</v>
      </c>
      <c r="Y415" s="416">
        <v>76.599999999999994</v>
      </c>
      <c r="Z415" s="416">
        <v>71.2</v>
      </c>
      <c r="AA415" s="416">
        <v>68.400000000000006</v>
      </c>
      <c r="AB415" s="416">
        <v>66.5</v>
      </c>
      <c r="AC415" s="416">
        <v>66.2</v>
      </c>
      <c r="AD415" s="416">
        <v>66.2</v>
      </c>
      <c r="AE415" s="416">
        <v>66.2</v>
      </c>
      <c r="AF415" s="416">
        <v>65.599999999999994</v>
      </c>
      <c r="AG415" s="416">
        <v>65.099999999999994</v>
      </c>
      <c r="AH415" s="416">
        <v>64.599999999999994</v>
      </c>
      <c r="AI415" s="416">
        <v>0</v>
      </c>
      <c r="AJ415" s="416">
        <v>0</v>
      </c>
      <c r="AK415" s="416">
        <v>0</v>
      </c>
      <c r="AL415" s="416">
        <v>0</v>
      </c>
      <c r="AM415" s="416">
        <v>0</v>
      </c>
      <c r="AN415" s="416">
        <v>0</v>
      </c>
      <c r="AO415" s="416">
        <v>0</v>
      </c>
      <c r="AP415" s="416">
        <v>0</v>
      </c>
      <c r="AQ415" s="416">
        <v>0</v>
      </c>
      <c r="AR415" s="416">
        <v>0</v>
      </c>
      <c r="AS415" s="416">
        <v>0</v>
      </c>
      <c r="AT415" s="416">
        <v>0</v>
      </c>
      <c r="AU415" s="416">
        <v>0</v>
      </c>
      <c r="AV415" s="416">
        <v>0</v>
      </c>
      <c r="AW415" s="416">
        <v>0</v>
      </c>
      <c r="AX415" s="416">
        <v>0</v>
      </c>
      <c r="AY415" s="416">
        <v>0</v>
      </c>
      <c r="AZ415" s="416">
        <v>0</v>
      </c>
    </row>
    <row r="416" spans="1:52" s="411" customFormat="1" x14ac:dyDescent="0.3">
      <c r="A416" s="415" t="str">
        <f t="shared" si="6"/>
        <v>SA-268 Gr.TP409</v>
      </c>
      <c r="B416" s="415">
        <v>410</v>
      </c>
      <c r="C416" s="415" t="s">
        <v>2999</v>
      </c>
      <c r="D416" s="415" t="s">
        <v>2693</v>
      </c>
      <c r="E416" s="415" t="s">
        <v>2203</v>
      </c>
      <c r="F416" s="415" t="s">
        <v>2583</v>
      </c>
      <c r="G416" s="415" t="s">
        <v>3003</v>
      </c>
      <c r="H416" s="415">
        <v>0</v>
      </c>
      <c r="I416" s="415">
        <v>0</v>
      </c>
      <c r="J416" s="415">
        <v>7</v>
      </c>
      <c r="K416" s="415">
        <v>1</v>
      </c>
      <c r="L416" s="415">
        <v>380</v>
      </c>
      <c r="M416" s="415">
        <v>170</v>
      </c>
      <c r="N416" s="415" t="s">
        <v>2675</v>
      </c>
      <c r="O416" s="415" t="s">
        <v>2675</v>
      </c>
      <c r="P416" s="415">
        <v>427</v>
      </c>
      <c r="Q416" s="415">
        <v>343</v>
      </c>
      <c r="R416" s="415" t="s">
        <v>2682</v>
      </c>
      <c r="S416" s="415">
        <v>0</v>
      </c>
      <c r="T416" s="416">
        <v>108</v>
      </c>
      <c r="U416" s="416">
        <v>108</v>
      </c>
      <c r="V416" s="416">
        <v>104</v>
      </c>
      <c r="W416" s="416">
        <v>98.8</v>
      </c>
      <c r="X416" s="416">
        <v>94.4</v>
      </c>
      <c r="Y416" s="416">
        <v>90.1</v>
      </c>
      <c r="Z416" s="416">
        <v>83.8</v>
      </c>
      <c r="AA416" s="416">
        <v>80.5</v>
      </c>
      <c r="AB416" s="416">
        <v>78.2</v>
      </c>
      <c r="AC416" s="416">
        <v>77.900000000000006</v>
      </c>
      <c r="AD416" s="416">
        <v>77.900000000000006</v>
      </c>
      <c r="AE416" s="416">
        <v>77.900000000000006</v>
      </c>
      <c r="AF416" s="416">
        <v>77.2</v>
      </c>
      <c r="AG416" s="416">
        <v>76.599999999999994</v>
      </c>
      <c r="AH416" s="416">
        <v>76</v>
      </c>
      <c r="AI416" s="416">
        <v>0</v>
      </c>
      <c r="AJ416" s="416">
        <v>0</v>
      </c>
      <c r="AK416" s="416">
        <v>0</v>
      </c>
      <c r="AL416" s="416">
        <v>0</v>
      </c>
      <c r="AM416" s="416">
        <v>0</v>
      </c>
      <c r="AN416" s="416">
        <v>0</v>
      </c>
      <c r="AO416" s="416">
        <v>0</v>
      </c>
      <c r="AP416" s="416">
        <v>0</v>
      </c>
      <c r="AQ416" s="416">
        <v>0</v>
      </c>
      <c r="AR416" s="416">
        <v>0</v>
      </c>
      <c r="AS416" s="416">
        <v>0</v>
      </c>
      <c r="AT416" s="416">
        <v>0</v>
      </c>
      <c r="AU416" s="416">
        <v>0</v>
      </c>
      <c r="AV416" s="416">
        <v>0</v>
      </c>
      <c r="AW416" s="416">
        <v>0</v>
      </c>
      <c r="AX416" s="416">
        <v>0</v>
      </c>
      <c r="AY416" s="416">
        <v>0</v>
      </c>
      <c r="AZ416" s="416">
        <v>0</v>
      </c>
    </row>
    <row r="417" spans="1:52" s="411" customFormat="1" x14ac:dyDescent="0.3">
      <c r="A417" s="415" t="str">
        <f t="shared" si="6"/>
        <v>SA-1010 Gr.40</v>
      </c>
      <c r="B417" s="415">
        <v>411</v>
      </c>
      <c r="C417" s="415" t="s">
        <v>3005</v>
      </c>
      <c r="D417" s="415" t="s">
        <v>2684</v>
      </c>
      <c r="E417" s="415" t="s">
        <v>2179</v>
      </c>
      <c r="F417" s="415">
        <v>40</v>
      </c>
      <c r="G417" s="415" t="s">
        <v>3006</v>
      </c>
      <c r="H417" s="415">
        <v>0</v>
      </c>
      <c r="I417" s="415" t="s">
        <v>3007</v>
      </c>
      <c r="J417" s="415">
        <v>7</v>
      </c>
      <c r="K417" s="415">
        <v>1</v>
      </c>
      <c r="L417" s="415">
        <v>455</v>
      </c>
      <c r="M417" s="415">
        <v>275</v>
      </c>
      <c r="N417" s="415" t="s">
        <v>2675</v>
      </c>
      <c r="O417" s="415" t="s">
        <v>2675</v>
      </c>
      <c r="P417" s="415">
        <v>316</v>
      </c>
      <c r="Q417" s="415">
        <v>316</v>
      </c>
      <c r="R417" s="415" t="s">
        <v>2699</v>
      </c>
      <c r="S417" s="415">
        <v>0</v>
      </c>
      <c r="T417" s="416">
        <v>130</v>
      </c>
      <c r="U417" s="416">
        <v>130</v>
      </c>
      <c r="V417" s="416">
        <v>130</v>
      </c>
      <c r="W417" s="416">
        <v>130</v>
      </c>
      <c r="X417" s="416">
        <v>130</v>
      </c>
      <c r="Y417" s="416">
        <v>130</v>
      </c>
      <c r="Z417" s="416">
        <v>127</v>
      </c>
      <c r="AA417" s="416">
        <v>123</v>
      </c>
      <c r="AB417" s="416">
        <v>119</v>
      </c>
      <c r="AC417" s="416">
        <v>117</v>
      </c>
      <c r="AD417" s="416">
        <v>0</v>
      </c>
      <c r="AE417" s="416">
        <v>0</v>
      </c>
      <c r="AF417" s="416">
        <v>0</v>
      </c>
      <c r="AG417" s="416">
        <v>0</v>
      </c>
      <c r="AH417" s="416">
        <v>0</v>
      </c>
      <c r="AI417" s="416">
        <v>0</v>
      </c>
      <c r="AJ417" s="416">
        <v>0</v>
      </c>
      <c r="AK417" s="416">
        <v>0</v>
      </c>
      <c r="AL417" s="416">
        <v>0</v>
      </c>
      <c r="AM417" s="416">
        <v>0</v>
      </c>
      <c r="AN417" s="416">
        <v>0</v>
      </c>
      <c r="AO417" s="416">
        <v>0</v>
      </c>
      <c r="AP417" s="416">
        <v>0</v>
      </c>
      <c r="AQ417" s="416">
        <v>0</v>
      </c>
      <c r="AR417" s="416">
        <v>0</v>
      </c>
      <c r="AS417" s="416">
        <v>0</v>
      </c>
      <c r="AT417" s="416">
        <v>0</v>
      </c>
      <c r="AU417" s="416">
        <v>0</v>
      </c>
      <c r="AV417" s="416">
        <v>0</v>
      </c>
      <c r="AW417" s="416">
        <v>0</v>
      </c>
      <c r="AX417" s="416">
        <v>0</v>
      </c>
      <c r="AY417" s="416">
        <v>0</v>
      </c>
      <c r="AZ417" s="416">
        <v>0</v>
      </c>
    </row>
    <row r="418" spans="1:52" s="411" customFormat="1" x14ac:dyDescent="0.3">
      <c r="A418" s="415" t="str">
        <f t="shared" si="6"/>
        <v>SA-479 Gr.403</v>
      </c>
      <c r="B418" s="415">
        <v>412</v>
      </c>
      <c r="C418" s="415" t="s">
        <v>3005</v>
      </c>
      <c r="D418" s="415" t="s">
        <v>2677</v>
      </c>
      <c r="E418" s="415" t="s">
        <v>2245</v>
      </c>
      <c r="F418" s="415">
        <v>403</v>
      </c>
      <c r="G418" s="415" t="s">
        <v>3008</v>
      </c>
      <c r="H418" s="415" t="s">
        <v>12</v>
      </c>
      <c r="I418" s="415">
        <v>0</v>
      </c>
      <c r="J418" s="415">
        <v>6</v>
      </c>
      <c r="K418" s="415">
        <v>1</v>
      </c>
      <c r="L418" s="415">
        <v>485</v>
      </c>
      <c r="M418" s="415">
        <v>275</v>
      </c>
      <c r="N418" s="415" t="s">
        <v>2675</v>
      </c>
      <c r="O418" s="415">
        <v>371</v>
      </c>
      <c r="P418" s="415" t="s">
        <v>2675</v>
      </c>
      <c r="Q418" s="415" t="s">
        <v>2675</v>
      </c>
      <c r="R418" s="415">
        <v>0</v>
      </c>
      <c r="S418" s="415">
        <v>0</v>
      </c>
      <c r="T418" s="416">
        <v>138</v>
      </c>
      <c r="U418" s="416">
        <v>138</v>
      </c>
      <c r="V418" s="416">
        <v>138</v>
      </c>
      <c r="W418" s="416">
        <v>138</v>
      </c>
      <c r="X418" s="416">
        <v>137</v>
      </c>
      <c r="Y418" s="416">
        <v>135</v>
      </c>
      <c r="Z418" s="416">
        <v>133</v>
      </c>
      <c r="AA418" s="416">
        <v>131</v>
      </c>
      <c r="AB418" s="416">
        <v>129</v>
      </c>
      <c r="AC418" s="416">
        <v>127</v>
      </c>
      <c r="AD418" s="416">
        <v>124</v>
      </c>
      <c r="AE418" s="416">
        <v>122</v>
      </c>
      <c r="AF418" s="416">
        <v>0</v>
      </c>
      <c r="AG418" s="416">
        <v>0</v>
      </c>
      <c r="AH418" s="416">
        <v>0</v>
      </c>
      <c r="AI418" s="416">
        <v>0</v>
      </c>
      <c r="AJ418" s="416">
        <v>0</v>
      </c>
      <c r="AK418" s="416">
        <v>0</v>
      </c>
      <c r="AL418" s="416">
        <v>0</v>
      </c>
      <c r="AM418" s="416">
        <v>0</v>
      </c>
      <c r="AN418" s="416">
        <v>0</v>
      </c>
      <c r="AO418" s="416">
        <v>0</v>
      </c>
      <c r="AP418" s="416">
        <v>0</v>
      </c>
      <c r="AQ418" s="416">
        <v>0</v>
      </c>
      <c r="AR418" s="416">
        <v>0</v>
      </c>
      <c r="AS418" s="416">
        <v>0</v>
      </c>
      <c r="AT418" s="416">
        <v>0</v>
      </c>
      <c r="AU418" s="416">
        <v>0</v>
      </c>
      <c r="AV418" s="416">
        <v>0</v>
      </c>
      <c r="AW418" s="416">
        <v>0</v>
      </c>
      <c r="AX418" s="416">
        <v>0</v>
      </c>
      <c r="AY418" s="416">
        <v>0</v>
      </c>
      <c r="AZ418" s="416">
        <v>0</v>
      </c>
    </row>
    <row r="419" spans="1:52" s="411" customFormat="1" x14ac:dyDescent="0.3">
      <c r="A419" s="415" t="str">
        <f t="shared" si="6"/>
        <v>SA-479 Gr.403</v>
      </c>
      <c r="B419" s="415">
        <v>413</v>
      </c>
      <c r="C419" s="415" t="s">
        <v>3005</v>
      </c>
      <c r="D419" s="415" t="s">
        <v>2677</v>
      </c>
      <c r="E419" s="415" t="s">
        <v>2245</v>
      </c>
      <c r="F419" s="415">
        <v>403</v>
      </c>
      <c r="G419" s="415" t="s">
        <v>3008</v>
      </c>
      <c r="H419" s="415">
        <v>1</v>
      </c>
      <c r="I419" s="415">
        <v>0</v>
      </c>
      <c r="J419" s="415">
        <v>6</v>
      </c>
      <c r="K419" s="415">
        <v>1</v>
      </c>
      <c r="L419" s="415">
        <v>485</v>
      </c>
      <c r="M419" s="415">
        <v>275</v>
      </c>
      <c r="N419" s="415" t="s">
        <v>2675</v>
      </c>
      <c r="O419" s="415">
        <v>371</v>
      </c>
      <c r="P419" s="415" t="s">
        <v>2675</v>
      </c>
      <c r="Q419" s="415" t="s">
        <v>2675</v>
      </c>
      <c r="R419" s="415">
        <v>0</v>
      </c>
      <c r="S419" s="415">
        <v>0</v>
      </c>
      <c r="T419" s="416">
        <v>138</v>
      </c>
      <c r="U419" s="416">
        <v>138</v>
      </c>
      <c r="V419" s="416">
        <v>138</v>
      </c>
      <c r="W419" s="416">
        <v>138</v>
      </c>
      <c r="X419" s="416">
        <v>137</v>
      </c>
      <c r="Y419" s="416">
        <v>135</v>
      </c>
      <c r="Z419" s="416">
        <v>133</v>
      </c>
      <c r="AA419" s="416">
        <v>131</v>
      </c>
      <c r="AB419" s="416">
        <v>129</v>
      </c>
      <c r="AC419" s="416">
        <v>127</v>
      </c>
      <c r="AD419" s="416">
        <v>124</v>
      </c>
      <c r="AE419" s="416">
        <v>122</v>
      </c>
      <c r="AF419" s="416">
        <v>0</v>
      </c>
      <c r="AG419" s="416">
        <v>0</v>
      </c>
      <c r="AH419" s="416">
        <v>0</v>
      </c>
      <c r="AI419" s="416">
        <v>0</v>
      </c>
      <c r="AJ419" s="416">
        <v>0</v>
      </c>
      <c r="AK419" s="416">
        <v>0</v>
      </c>
      <c r="AL419" s="416">
        <v>0</v>
      </c>
      <c r="AM419" s="416">
        <v>0</v>
      </c>
      <c r="AN419" s="416">
        <v>0</v>
      </c>
      <c r="AO419" s="416">
        <v>0</v>
      </c>
      <c r="AP419" s="416">
        <v>0</v>
      </c>
      <c r="AQ419" s="416">
        <v>0</v>
      </c>
      <c r="AR419" s="416">
        <v>0</v>
      </c>
      <c r="AS419" s="416">
        <v>0</v>
      </c>
      <c r="AT419" s="416">
        <v>0</v>
      </c>
      <c r="AU419" s="416">
        <v>0</v>
      </c>
      <c r="AV419" s="416">
        <v>0</v>
      </c>
      <c r="AW419" s="416">
        <v>0</v>
      </c>
      <c r="AX419" s="416">
        <v>0</v>
      </c>
      <c r="AY419" s="416">
        <v>0</v>
      </c>
      <c r="AZ419" s="416">
        <v>0</v>
      </c>
    </row>
    <row r="420" spans="1:52" s="411" customFormat="1" x14ac:dyDescent="0.3">
      <c r="A420" s="415" t="str">
        <f t="shared" si="6"/>
        <v>SA-1010 Gr.50</v>
      </c>
      <c r="B420" s="415">
        <v>414</v>
      </c>
      <c r="C420" s="415" t="s">
        <v>3005</v>
      </c>
      <c r="D420" s="415" t="s">
        <v>2684</v>
      </c>
      <c r="E420" s="415" t="s">
        <v>2179</v>
      </c>
      <c r="F420" s="415">
        <v>50</v>
      </c>
      <c r="G420" s="415" t="s">
        <v>3006</v>
      </c>
      <c r="H420" s="415">
        <v>0</v>
      </c>
      <c r="I420" s="415" t="s">
        <v>3007</v>
      </c>
      <c r="J420" s="415">
        <v>7</v>
      </c>
      <c r="K420" s="415">
        <v>1</v>
      </c>
      <c r="L420" s="415">
        <v>485</v>
      </c>
      <c r="M420" s="415">
        <v>345</v>
      </c>
      <c r="N420" s="415" t="s">
        <v>2675</v>
      </c>
      <c r="O420" s="415" t="s">
        <v>2675</v>
      </c>
      <c r="P420" s="415">
        <v>316</v>
      </c>
      <c r="Q420" s="415">
        <v>316</v>
      </c>
      <c r="R420" s="415" t="s">
        <v>2819</v>
      </c>
      <c r="S420" s="415">
        <v>0</v>
      </c>
      <c r="T420" s="416">
        <v>138</v>
      </c>
      <c r="U420" s="416">
        <v>138</v>
      </c>
      <c r="V420" s="416">
        <v>138</v>
      </c>
      <c r="W420" s="416">
        <v>138</v>
      </c>
      <c r="X420" s="416">
        <v>138</v>
      </c>
      <c r="Y420" s="416">
        <v>138</v>
      </c>
      <c r="Z420" s="416">
        <v>135</v>
      </c>
      <c r="AA420" s="416">
        <v>131</v>
      </c>
      <c r="AB420" s="416">
        <v>126</v>
      </c>
      <c r="AC420" s="416">
        <v>124</v>
      </c>
      <c r="AD420" s="416">
        <v>0</v>
      </c>
      <c r="AE420" s="416">
        <v>0</v>
      </c>
      <c r="AF420" s="416">
        <v>0</v>
      </c>
      <c r="AG420" s="416">
        <v>0</v>
      </c>
      <c r="AH420" s="416">
        <v>0</v>
      </c>
      <c r="AI420" s="416">
        <v>0</v>
      </c>
      <c r="AJ420" s="416">
        <v>0</v>
      </c>
      <c r="AK420" s="416">
        <v>0</v>
      </c>
      <c r="AL420" s="416">
        <v>0</v>
      </c>
      <c r="AM420" s="416">
        <v>0</v>
      </c>
      <c r="AN420" s="416">
        <v>0</v>
      </c>
      <c r="AO420" s="416">
        <v>0</v>
      </c>
      <c r="AP420" s="416">
        <v>0</v>
      </c>
      <c r="AQ420" s="416">
        <v>0</v>
      </c>
      <c r="AR420" s="416">
        <v>0</v>
      </c>
      <c r="AS420" s="416">
        <v>0</v>
      </c>
      <c r="AT420" s="416">
        <v>0</v>
      </c>
      <c r="AU420" s="416">
        <v>0</v>
      </c>
      <c r="AV420" s="416">
        <v>0</v>
      </c>
      <c r="AW420" s="416">
        <v>0</v>
      </c>
      <c r="AX420" s="416">
        <v>0</v>
      </c>
      <c r="AY420" s="416">
        <v>0</v>
      </c>
      <c r="AZ420" s="416">
        <v>0</v>
      </c>
    </row>
    <row r="421" spans="1:52" s="411" customFormat="1" ht="28.8" x14ac:dyDescent="0.3">
      <c r="A421" s="415" t="str">
        <f t="shared" si="6"/>
        <v>SA/JIS G4303 Gr.SUS405</v>
      </c>
      <c r="B421" s="415">
        <v>415</v>
      </c>
      <c r="C421" s="415" t="s">
        <v>3009</v>
      </c>
      <c r="D421" s="415" t="s">
        <v>2677</v>
      </c>
      <c r="E421" s="415" t="s">
        <v>2176</v>
      </c>
      <c r="F421" s="415" t="s">
        <v>2534</v>
      </c>
      <c r="G421" s="415">
        <v>0</v>
      </c>
      <c r="H421" s="415">
        <v>0</v>
      </c>
      <c r="I421" s="415">
        <v>0</v>
      </c>
      <c r="J421" s="415">
        <v>7</v>
      </c>
      <c r="K421" s="415">
        <v>1</v>
      </c>
      <c r="L421" s="415">
        <v>410</v>
      </c>
      <c r="M421" s="415">
        <v>174</v>
      </c>
      <c r="N421" s="415" t="s">
        <v>2675</v>
      </c>
      <c r="O421" s="415">
        <v>371</v>
      </c>
      <c r="P421" s="415">
        <v>538</v>
      </c>
      <c r="Q421" s="415" t="s">
        <v>2675</v>
      </c>
      <c r="R421" s="415" t="s">
        <v>2682</v>
      </c>
      <c r="S421" s="415" t="s">
        <v>3010</v>
      </c>
      <c r="T421" s="416">
        <v>115</v>
      </c>
      <c r="U421" s="416">
        <v>115</v>
      </c>
      <c r="V421" s="416">
        <v>110</v>
      </c>
      <c r="W421" s="416">
        <v>105</v>
      </c>
      <c r="X421" s="416">
        <v>103</v>
      </c>
      <c r="Y421" s="416">
        <v>102</v>
      </c>
      <c r="Z421" s="416">
        <v>100</v>
      </c>
      <c r="AA421" s="416">
        <v>98.9</v>
      </c>
      <c r="AB421" s="416">
        <v>97.2</v>
      </c>
      <c r="AC421" s="416">
        <v>96.1</v>
      </c>
      <c r="AD421" s="416">
        <v>94.7</v>
      </c>
      <c r="AE421" s="416">
        <v>92.7</v>
      </c>
      <c r="AF421" s="416">
        <v>90.2</v>
      </c>
      <c r="AG421" s="416">
        <v>87.1</v>
      </c>
      <c r="AH421" s="416">
        <v>83.5</v>
      </c>
      <c r="AI421" s="416">
        <v>79.2</v>
      </c>
      <c r="AJ421" s="416">
        <v>67.3</v>
      </c>
      <c r="AK421" s="416">
        <v>41.9</v>
      </c>
      <c r="AL421" s="416">
        <v>14.1</v>
      </c>
      <c r="AM421" s="416">
        <v>0</v>
      </c>
      <c r="AN421" s="416">
        <v>0</v>
      </c>
      <c r="AO421" s="416">
        <v>0</v>
      </c>
      <c r="AP421" s="416">
        <v>0</v>
      </c>
      <c r="AQ421" s="416">
        <v>0</v>
      </c>
      <c r="AR421" s="416">
        <v>0</v>
      </c>
      <c r="AS421" s="416">
        <v>0</v>
      </c>
      <c r="AT421" s="416">
        <v>0</v>
      </c>
      <c r="AU421" s="416">
        <v>0</v>
      </c>
      <c r="AV421" s="416">
        <v>0</v>
      </c>
      <c r="AW421" s="416">
        <v>0</v>
      </c>
      <c r="AX421" s="416">
        <v>0</v>
      </c>
      <c r="AY421" s="416">
        <v>0</v>
      </c>
      <c r="AZ421" s="416">
        <v>0</v>
      </c>
    </row>
    <row r="422" spans="1:52" s="411" customFormat="1" x14ac:dyDescent="0.3">
      <c r="A422" s="415" t="str">
        <f t="shared" si="6"/>
        <v>SA-240 Gr.405</v>
      </c>
      <c r="B422" s="415">
        <v>416</v>
      </c>
      <c r="C422" s="415" t="s">
        <v>3009</v>
      </c>
      <c r="D422" s="415" t="s">
        <v>2684</v>
      </c>
      <c r="E422" s="415" t="s">
        <v>2165</v>
      </c>
      <c r="F422" s="415">
        <v>405</v>
      </c>
      <c r="G422" s="415" t="s">
        <v>3011</v>
      </c>
      <c r="H422" s="415">
        <v>0</v>
      </c>
      <c r="I422" s="415">
        <v>0</v>
      </c>
      <c r="J422" s="415">
        <v>7</v>
      </c>
      <c r="K422" s="415">
        <v>1</v>
      </c>
      <c r="L422" s="415">
        <v>415</v>
      </c>
      <c r="M422" s="415">
        <v>170</v>
      </c>
      <c r="N422" s="415">
        <v>371</v>
      </c>
      <c r="O422" s="415" t="s">
        <v>2675</v>
      </c>
      <c r="P422" s="415">
        <v>538</v>
      </c>
      <c r="Q422" s="415">
        <v>343</v>
      </c>
      <c r="R422" s="415" t="s">
        <v>2682</v>
      </c>
      <c r="S422" s="415" t="s">
        <v>3010</v>
      </c>
      <c r="T422" s="416">
        <v>115</v>
      </c>
      <c r="U422" s="416">
        <v>115</v>
      </c>
      <c r="V422" s="416">
        <v>110</v>
      </c>
      <c r="W422" s="416">
        <v>105</v>
      </c>
      <c r="X422" s="416">
        <v>103</v>
      </c>
      <c r="Y422" s="416">
        <v>102</v>
      </c>
      <c r="Z422" s="416">
        <v>100</v>
      </c>
      <c r="AA422" s="416">
        <v>98.9</v>
      </c>
      <c r="AB422" s="416">
        <v>97.2</v>
      </c>
      <c r="AC422" s="416">
        <v>96.1</v>
      </c>
      <c r="AD422" s="416">
        <v>94.7</v>
      </c>
      <c r="AE422" s="416">
        <v>92.7</v>
      </c>
      <c r="AF422" s="416">
        <v>90.2</v>
      </c>
      <c r="AG422" s="416">
        <v>87.1</v>
      </c>
      <c r="AH422" s="416">
        <v>83.5</v>
      </c>
      <c r="AI422" s="416">
        <v>79.2</v>
      </c>
      <c r="AJ422" s="416">
        <v>67.3</v>
      </c>
      <c r="AK422" s="416">
        <v>41.9</v>
      </c>
      <c r="AL422" s="416">
        <v>14.1</v>
      </c>
      <c r="AM422" s="416">
        <v>0</v>
      </c>
      <c r="AN422" s="416">
        <v>0</v>
      </c>
      <c r="AO422" s="416">
        <v>0</v>
      </c>
      <c r="AP422" s="416">
        <v>0</v>
      </c>
      <c r="AQ422" s="416">
        <v>0</v>
      </c>
      <c r="AR422" s="416">
        <v>0</v>
      </c>
      <c r="AS422" s="416">
        <v>0</v>
      </c>
      <c r="AT422" s="416">
        <v>0</v>
      </c>
      <c r="AU422" s="416">
        <v>0</v>
      </c>
      <c r="AV422" s="416">
        <v>0</v>
      </c>
      <c r="AW422" s="416">
        <v>0</v>
      </c>
      <c r="AX422" s="416">
        <v>0</v>
      </c>
      <c r="AY422" s="416">
        <v>0</v>
      </c>
      <c r="AZ422" s="416">
        <v>0</v>
      </c>
    </row>
    <row r="423" spans="1:52" s="411" customFormat="1" x14ac:dyDescent="0.3">
      <c r="A423" s="415" t="str">
        <f t="shared" si="6"/>
        <v>SA-240 Gr.405</v>
      </c>
      <c r="B423" s="415">
        <v>417</v>
      </c>
      <c r="C423" s="415" t="s">
        <v>3009</v>
      </c>
      <c r="D423" s="415" t="s">
        <v>2684</v>
      </c>
      <c r="E423" s="415" t="s">
        <v>2165</v>
      </c>
      <c r="F423" s="415">
        <v>405</v>
      </c>
      <c r="G423" s="415" t="s">
        <v>3011</v>
      </c>
      <c r="H423" s="415">
        <v>0</v>
      </c>
      <c r="I423" s="415">
        <v>0</v>
      </c>
      <c r="J423" s="415">
        <v>7</v>
      </c>
      <c r="K423" s="415">
        <v>1</v>
      </c>
      <c r="L423" s="415">
        <v>415</v>
      </c>
      <c r="M423" s="415">
        <v>170</v>
      </c>
      <c r="N423" s="415" t="s">
        <v>2675</v>
      </c>
      <c r="O423" s="415">
        <v>371</v>
      </c>
      <c r="P423" s="415" t="s">
        <v>2675</v>
      </c>
      <c r="Q423" s="415" t="s">
        <v>2675</v>
      </c>
      <c r="R423" s="415" t="s">
        <v>2682</v>
      </c>
      <c r="S423" s="415" t="s">
        <v>3012</v>
      </c>
      <c r="T423" s="416">
        <v>115</v>
      </c>
      <c r="U423" s="416">
        <v>115</v>
      </c>
      <c r="V423" s="416">
        <v>110</v>
      </c>
      <c r="W423" s="416">
        <v>105</v>
      </c>
      <c r="X423" s="416">
        <v>103</v>
      </c>
      <c r="Y423" s="416">
        <v>102</v>
      </c>
      <c r="Z423" s="416">
        <v>100</v>
      </c>
      <c r="AA423" s="416">
        <v>98.9</v>
      </c>
      <c r="AB423" s="416">
        <v>97.2</v>
      </c>
      <c r="AC423" s="416">
        <v>96.1</v>
      </c>
      <c r="AD423" s="416">
        <v>94.7</v>
      </c>
      <c r="AE423" s="416">
        <v>92.7</v>
      </c>
      <c r="AF423" s="416">
        <v>0</v>
      </c>
      <c r="AG423" s="416">
        <v>0</v>
      </c>
      <c r="AH423" s="416">
        <v>0</v>
      </c>
      <c r="AI423" s="416">
        <v>0</v>
      </c>
      <c r="AJ423" s="416">
        <v>0</v>
      </c>
      <c r="AK423" s="416">
        <v>0</v>
      </c>
      <c r="AL423" s="416">
        <v>0</v>
      </c>
      <c r="AM423" s="416">
        <v>0</v>
      </c>
      <c r="AN423" s="416">
        <v>0</v>
      </c>
      <c r="AO423" s="416">
        <v>0</v>
      </c>
      <c r="AP423" s="416">
        <v>0</v>
      </c>
      <c r="AQ423" s="416">
        <v>0</v>
      </c>
      <c r="AR423" s="416">
        <v>0</v>
      </c>
      <c r="AS423" s="416">
        <v>0</v>
      </c>
      <c r="AT423" s="416">
        <v>0</v>
      </c>
      <c r="AU423" s="416">
        <v>0</v>
      </c>
      <c r="AV423" s="416">
        <v>0</v>
      </c>
      <c r="AW423" s="416">
        <v>0</v>
      </c>
      <c r="AX423" s="416">
        <v>0</v>
      </c>
      <c r="AY423" s="416">
        <v>0</v>
      </c>
      <c r="AZ423" s="416">
        <v>0</v>
      </c>
    </row>
    <row r="424" spans="1:52" s="411" customFormat="1" x14ac:dyDescent="0.3">
      <c r="A424" s="415" t="str">
        <f t="shared" si="6"/>
        <v>SA-479 Gr.405</v>
      </c>
      <c r="B424" s="415">
        <v>418</v>
      </c>
      <c r="C424" s="415" t="s">
        <v>3009</v>
      </c>
      <c r="D424" s="415" t="s">
        <v>2677</v>
      </c>
      <c r="E424" s="415" t="s">
        <v>2245</v>
      </c>
      <c r="F424" s="415">
        <v>405</v>
      </c>
      <c r="G424" s="415" t="s">
        <v>3011</v>
      </c>
      <c r="H424" s="415">
        <v>0</v>
      </c>
      <c r="I424" s="415">
        <v>0</v>
      </c>
      <c r="J424" s="415">
        <v>7</v>
      </c>
      <c r="K424" s="415">
        <v>1</v>
      </c>
      <c r="L424" s="415">
        <v>415</v>
      </c>
      <c r="M424" s="415">
        <v>170</v>
      </c>
      <c r="N424" s="415" t="s">
        <v>2675</v>
      </c>
      <c r="O424" s="415">
        <v>371</v>
      </c>
      <c r="P424" s="415">
        <v>538</v>
      </c>
      <c r="Q424" s="415">
        <v>343</v>
      </c>
      <c r="R424" s="415" t="s">
        <v>2682</v>
      </c>
      <c r="S424" s="415" t="s">
        <v>3010</v>
      </c>
      <c r="T424" s="416">
        <v>115</v>
      </c>
      <c r="U424" s="416">
        <v>115</v>
      </c>
      <c r="V424" s="416">
        <v>110</v>
      </c>
      <c r="W424" s="416">
        <v>105</v>
      </c>
      <c r="X424" s="416">
        <v>103</v>
      </c>
      <c r="Y424" s="416">
        <v>102</v>
      </c>
      <c r="Z424" s="416">
        <v>100</v>
      </c>
      <c r="AA424" s="416">
        <v>98.9</v>
      </c>
      <c r="AB424" s="416">
        <v>97.2</v>
      </c>
      <c r="AC424" s="416">
        <v>96.1</v>
      </c>
      <c r="AD424" s="416">
        <v>94.7</v>
      </c>
      <c r="AE424" s="416">
        <v>92.7</v>
      </c>
      <c r="AF424" s="416">
        <v>90.2</v>
      </c>
      <c r="AG424" s="416">
        <v>87.1</v>
      </c>
      <c r="AH424" s="416">
        <v>83.5</v>
      </c>
      <c r="AI424" s="416">
        <v>79.2</v>
      </c>
      <c r="AJ424" s="416">
        <v>67.3</v>
      </c>
      <c r="AK424" s="416">
        <v>41.9</v>
      </c>
      <c r="AL424" s="416">
        <v>14.1</v>
      </c>
      <c r="AM424" s="416">
        <v>0</v>
      </c>
      <c r="AN424" s="416">
        <v>0</v>
      </c>
      <c r="AO424" s="416">
        <v>0</v>
      </c>
      <c r="AP424" s="416">
        <v>0</v>
      </c>
      <c r="AQ424" s="416">
        <v>0</v>
      </c>
      <c r="AR424" s="416">
        <v>0</v>
      </c>
      <c r="AS424" s="416">
        <v>0</v>
      </c>
      <c r="AT424" s="416">
        <v>0</v>
      </c>
      <c r="AU424" s="416">
        <v>0</v>
      </c>
      <c r="AV424" s="416">
        <v>0</v>
      </c>
      <c r="AW424" s="416">
        <v>0</v>
      </c>
      <c r="AX424" s="416">
        <v>0</v>
      </c>
      <c r="AY424" s="416">
        <v>0</v>
      </c>
      <c r="AZ424" s="416">
        <v>0</v>
      </c>
    </row>
    <row r="425" spans="1:52" s="411" customFormat="1" x14ac:dyDescent="0.3">
      <c r="A425" s="415" t="str">
        <f t="shared" si="6"/>
        <v>SA-268 Gr.TP405</v>
      </c>
      <c r="B425" s="415">
        <v>419</v>
      </c>
      <c r="C425" s="415" t="s">
        <v>3009</v>
      </c>
      <c r="D425" s="415" t="s">
        <v>2723</v>
      </c>
      <c r="E425" s="415" t="s">
        <v>2203</v>
      </c>
      <c r="F425" s="415" t="s">
        <v>2582</v>
      </c>
      <c r="G425" s="415" t="s">
        <v>3011</v>
      </c>
      <c r="H425" s="415">
        <v>0</v>
      </c>
      <c r="I425" s="415">
        <v>0</v>
      </c>
      <c r="J425" s="415">
        <v>7</v>
      </c>
      <c r="K425" s="415">
        <v>1</v>
      </c>
      <c r="L425" s="415">
        <v>415</v>
      </c>
      <c r="M425" s="415">
        <v>205</v>
      </c>
      <c r="N425" s="415">
        <v>371</v>
      </c>
      <c r="O425" s="415" t="s">
        <v>2675</v>
      </c>
      <c r="P425" s="415">
        <v>538</v>
      </c>
      <c r="Q425" s="415">
        <v>343</v>
      </c>
      <c r="R425" s="415" t="s">
        <v>2699</v>
      </c>
      <c r="S425" s="415" t="s">
        <v>3013</v>
      </c>
      <c r="T425" s="416">
        <v>118</v>
      </c>
      <c r="U425" s="416">
        <v>118</v>
      </c>
      <c r="V425" s="416">
        <v>118</v>
      </c>
      <c r="W425" s="416">
        <v>118</v>
      </c>
      <c r="X425" s="416">
        <v>117</v>
      </c>
      <c r="Y425" s="416">
        <v>116</v>
      </c>
      <c r="Z425" s="416">
        <v>114</v>
      </c>
      <c r="AA425" s="416">
        <v>113</v>
      </c>
      <c r="AB425" s="416">
        <v>111</v>
      </c>
      <c r="AC425" s="416">
        <v>109</v>
      </c>
      <c r="AD425" s="416">
        <v>107</v>
      </c>
      <c r="AE425" s="416">
        <v>104</v>
      </c>
      <c r="AF425" s="416">
        <v>101</v>
      </c>
      <c r="AG425" s="416">
        <v>97.5</v>
      </c>
      <c r="AH425" s="416">
        <v>93.2</v>
      </c>
      <c r="AI425" s="416">
        <v>88.4</v>
      </c>
      <c r="AJ425" s="416">
        <v>70.599999999999994</v>
      </c>
      <c r="AK425" s="416">
        <v>40.9</v>
      </c>
      <c r="AL425" s="416">
        <v>14.5</v>
      </c>
      <c r="AM425" s="416">
        <v>0</v>
      </c>
      <c r="AN425" s="416">
        <v>0</v>
      </c>
      <c r="AO425" s="416">
        <v>0</v>
      </c>
      <c r="AP425" s="416">
        <v>0</v>
      </c>
      <c r="AQ425" s="416">
        <v>0</v>
      </c>
      <c r="AR425" s="416">
        <v>0</v>
      </c>
      <c r="AS425" s="416">
        <v>0</v>
      </c>
      <c r="AT425" s="416">
        <v>0</v>
      </c>
      <c r="AU425" s="416">
        <v>0</v>
      </c>
      <c r="AV425" s="416">
        <v>0</v>
      </c>
      <c r="AW425" s="416">
        <v>0</v>
      </c>
      <c r="AX425" s="416">
        <v>0</v>
      </c>
      <c r="AY425" s="416">
        <v>0</v>
      </c>
      <c r="AZ425" s="416">
        <v>0</v>
      </c>
    </row>
    <row r="426" spans="1:52" s="411" customFormat="1" x14ac:dyDescent="0.3">
      <c r="A426" s="415" t="str">
        <f t="shared" si="6"/>
        <v>SA-268 Gr.TP405</v>
      </c>
      <c r="B426" s="415">
        <v>420</v>
      </c>
      <c r="C426" s="415" t="s">
        <v>3009</v>
      </c>
      <c r="D426" s="415" t="s">
        <v>2689</v>
      </c>
      <c r="E426" s="415" t="s">
        <v>2203</v>
      </c>
      <c r="F426" s="415" t="s">
        <v>2582</v>
      </c>
      <c r="G426" s="415" t="s">
        <v>3011</v>
      </c>
      <c r="H426" s="415">
        <v>0</v>
      </c>
      <c r="I426" s="415">
        <v>0</v>
      </c>
      <c r="J426" s="415">
        <v>7</v>
      </c>
      <c r="K426" s="415">
        <v>1</v>
      </c>
      <c r="L426" s="415">
        <v>415</v>
      </c>
      <c r="M426" s="415">
        <v>205</v>
      </c>
      <c r="N426" s="415">
        <v>371</v>
      </c>
      <c r="O426" s="415" t="s">
        <v>2675</v>
      </c>
      <c r="P426" s="415">
        <v>538</v>
      </c>
      <c r="Q426" s="415">
        <v>343</v>
      </c>
      <c r="R426" s="415" t="s">
        <v>2699</v>
      </c>
      <c r="S426" s="415" t="s">
        <v>3014</v>
      </c>
      <c r="T426" s="416">
        <v>101</v>
      </c>
      <c r="U426" s="416">
        <v>101</v>
      </c>
      <c r="V426" s="416">
        <v>101</v>
      </c>
      <c r="W426" s="416">
        <v>101</v>
      </c>
      <c r="X426" s="416">
        <v>99.7</v>
      </c>
      <c r="Y426" s="416">
        <v>98.5</v>
      </c>
      <c r="Z426" s="416">
        <v>96.7</v>
      </c>
      <c r="AA426" s="416">
        <v>95.4</v>
      </c>
      <c r="AB426" s="416">
        <v>93.9</v>
      </c>
      <c r="AC426" s="416">
        <v>92.4</v>
      </c>
      <c r="AD426" s="416">
        <v>90.5</v>
      </c>
      <c r="AE426" s="416">
        <v>88.6</v>
      </c>
      <c r="AF426" s="416">
        <v>86.1</v>
      </c>
      <c r="AG426" s="416">
        <v>83</v>
      </c>
      <c r="AH426" s="416">
        <v>79.3</v>
      </c>
      <c r="AI426" s="416">
        <v>75.2</v>
      </c>
      <c r="AJ426" s="416">
        <v>59.8</v>
      </c>
      <c r="AK426" s="416">
        <v>34.6</v>
      </c>
      <c r="AL426" s="416">
        <v>12.4</v>
      </c>
      <c r="AM426" s="416">
        <v>0</v>
      </c>
      <c r="AN426" s="416">
        <v>0</v>
      </c>
      <c r="AO426" s="416">
        <v>0</v>
      </c>
      <c r="AP426" s="416">
        <v>0</v>
      </c>
      <c r="AQ426" s="416">
        <v>0</v>
      </c>
      <c r="AR426" s="416">
        <v>0</v>
      </c>
      <c r="AS426" s="416">
        <v>0</v>
      </c>
      <c r="AT426" s="416">
        <v>0</v>
      </c>
      <c r="AU426" s="416">
        <v>0</v>
      </c>
      <c r="AV426" s="416">
        <v>0</v>
      </c>
      <c r="AW426" s="416">
        <v>0</v>
      </c>
      <c r="AX426" s="416">
        <v>0</v>
      </c>
      <c r="AY426" s="416">
        <v>0</v>
      </c>
      <c r="AZ426" s="416">
        <v>0</v>
      </c>
    </row>
    <row r="427" spans="1:52" s="411" customFormat="1" x14ac:dyDescent="0.3">
      <c r="A427" s="415" t="str">
        <f t="shared" si="6"/>
        <v>SA-268 Gr.0</v>
      </c>
      <c r="B427" s="415">
        <v>421</v>
      </c>
      <c r="C427" s="415" t="s">
        <v>3015</v>
      </c>
      <c r="D427" s="415" t="s">
        <v>2689</v>
      </c>
      <c r="E427" s="415" t="s">
        <v>2203</v>
      </c>
      <c r="F427" s="415">
        <v>0</v>
      </c>
      <c r="G427" s="415" t="s">
        <v>3016</v>
      </c>
      <c r="H427" s="415">
        <v>0</v>
      </c>
      <c r="I427" s="415">
        <v>0</v>
      </c>
      <c r="J427" s="415">
        <v>7</v>
      </c>
      <c r="K427" s="415">
        <v>1</v>
      </c>
      <c r="L427" s="415">
        <v>380</v>
      </c>
      <c r="M427" s="415">
        <v>205</v>
      </c>
      <c r="N427" s="415" t="s">
        <v>2675</v>
      </c>
      <c r="O427" s="415" t="s">
        <v>2675</v>
      </c>
      <c r="P427" s="415">
        <v>427</v>
      </c>
      <c r="Q427" s="415">
        <v>343</v>
      </c>
      <c r="R427" s="415" t="s">
        <v>2699</v>
      </c>
      <c r="S427" s="415" t="s">
        <v>3017</v>
      </c>
      <c r="T427" s="416">
        <v>92.4</v>
      </c>
      <c r="U427" s="416">
        <v>92.4</v>
      </c>
      <c r="V427" s="416">
        <v>92.4</v>
      </c>
      <c r="W427" s="416">
        <v>92.3</v>
      </c>
      <c r="X427" s="416">
        <v>91.4</v>
      </c>
      <c r="Y427" s="416">
        <v>90.3</v>
      </c>
      <c r="Z427" s="416">
        <v>89</v>
      </c>
      <c r="AA427" s="416">
        <v>87.8</v>
      </c>
      <c r="AB427" s="416">
        <v>86.3</v>
      </c>
      <c r="AC427" s="416">
        <v>84.8</v>
      </c>
      <c r="AD427" s="416">
        <v>82.9</v>
      </c>
      <c r="AE427" s="416">
        <v>81</v>
      </c>
      <c r="AF427" s="416">
        <v>78.5</v>
      </c>
      <c r="AG427" s="416">
        <v>76</v>
      </c>
      <c r="AH427" s="416">
        <v>73.5</v>
      </c>
      <c r="AI427" s="416">
        <v>0</v>
      </c>
      <c r="AJ427" s="416">
        <v>0</v>
      </c>
      <c r="AK427" s="416">
        <v>0</v>
      </c>
      <c r="AL427" s="416">
        <v>0</v>
      </c>
      <c r="AM427" s="416">
        <v>0</v>
      </c>
      <c r="AN427" s="416">
        <v>0</v>
      </c>
      <c r="AO427" s="416">
        <v>0</v>
      </c>
      <c r="AP427" s="416">
        <v>0</v>
      </c>
      <c r="AQ427" s="416">
        <v>0</v>
      </c>
      <c r="AR427" s="416">
        <v>0</v>
      </c>
      <c r="AS427" s="416">
        <v>0</v>
      </c>
      <c r="AT427" s="416">
        <v>0</v>
      </c>
      <c r="AU427" s="416">
        <v>0</v>
      </c>
      <c r="AV427" s="416">
        <v>0</v>
      </c>
      <c r="AW427" s="416">
        <v>0</v>
      </c>
      <c r="AX427" s="416">
        <v>0</v>
      </c>
      <c r="AY427" s="416">
        <v>0</v>
      </c>
      <c r="AZ427" s="416">
        <v>0</v>
      </c>
    </row>
    <row r="428" spans="1:52" s="411" customFormat="1" x14ac:dyDescent="0.3">
      <c r="A428" s="415" t="str">
        <f t="shared" si="6"/>
        <v>SA-268 Gr.0</v>
      </c>
      <c r="B428" s="415">
        <v>422</v>
      </c>
      <c r="C428" s="415" t="s">
        <v>3015</v>
      </c>
      <c r="D428" s="415" t="s">
        <v>2693</v>
      </c>
      <c r="E428" s="415" t="s">
        <v>2203</v>
      </c>
      <c r="F428" s="415">
        <v>0</v>
      </c>
      <c r="G428" s="415" t="s">
        <v>3016</v>
      </c>
      <c r="H428" s="415">
        <v>0</v>
      </c>
      <c r="I428" s="415">
        <v>0</v>
      </c>
      <c r="J428" s="415">
        <v>7</v>
      </c>
      <c r="K428" s="415">
        <v>1</v>
      </c>
      <c r="L428" s="415">
        <v>380</v>
      </c>
      <c r="M428" s="415">
        <v>205</v>
      </c>
      <c r="N428" s="415" t="s">
        <v>2675</v>
      </c>
      <c r="O428" s="415" t="s">
        <v>2675</v>
      </c>
      <c r="P428" s="415">
        <v>427</v>
      </c>
      <c r="Q428" s="415">
        <v>343</v>
      </c>
      <c r="R428" s="415" t="s">
        <v>2699</v>
      </c>
      <c r="S428" s="415" t="s">
        <v>3012</v>
      </c>
      <c r="T428" s="416">
        <v>108</v>
      </c>
      <c r="U428" s="416">
        <v>108</v>
      </c>
      <c r="V428" s="416">
        <v>108</v>
      </c>
      <c r="W428" s="416">
        <v>108</v>
      </c>
      <c r="X428" s="416">
        <v>107</v>
      </c>
      <c r="Y428" s="416">
        <v>106</v>
      </c>
      <c r="Z428" s="416">
        <v>104</v>
      </c>
      <c r="AA428" s="416">
        <v>103</v>
      </c>
      <c r="AB428" s="416">
        <v>101</v>
      </c>
      <c r="AC428" s="416">
        <v>99.6</v>
      </c>
      <c r="AD428" s="416">
        <v>98</v>
      </c>
      <c r="AE428" s="416">
        <v>95.5</v>
      </c>
      <c r="AF428" s="416">
        <v>92.9</v>
      </c>
      <c r="AG428" s="416">
        <v>89.2</v>
      </c>
      <c r="AH428" s="416">
        <v>85.5</v>
      </c>
      <c r="AI428" s="416">
        <v>0</v>
      </c>
      <c r="AJ428" s="416">
        <v>0</v>
      </c>
      <c r="AK428" s="416">
        <v>0</v>
      </c>
      <c r="AL428" s="416">
        <v>0</v>
      </c>
      <c r="AM428" s="416">
        <v>0</v>
      </c>
      <c r="AN428" s="416">
        <v>0</v>
      </c>
      <c r="AO428" s="416">
        <v>0</v>
      </c>
      <c r="AP428" s="416">
        <v>0</v>
      </c>
      <c r="AQ428" s="416">
        <v>0</v>
      </c>
      <c r="AR428" s="416">
        <v>0</v>
      </c>
      <c r="AS428" s="416">
        <v>0</v>
      </c>
      <c r="AT428" s="416">
        <v>0</v>
      </c>
      <c r="AU428" s="416">
        <v>0</v>
      </c>
      <c r="AV428" s="416">
        <v>0</v>
      </c>
      <c r="AW428" s="416">
        <v>0</v>
      </c>
      <c r="AX428" s="416">
        <v>0</v>
      </c>
      <c r="AY428" s="416">
        <v>0</v>
      </c>
      <c r="AZ428" s="416">
        <v>0</v>
      </c>
    </row>
    <row r="429" spans="1:52" s="411" customFormat="1" x14ac:dyDescent="0.3">
      <c r="A429" s="415" t="str">
        <f t="shared" si="6"/>
        <v>SA-240 Gr.410S</v>
      </c>
      <c r="B429" s="415">
        <v>423</v>
      </c>
      <c r="C429" s="415" t="s">
        <v>3018</v>
      </c>
      <c r="D429" s="415" t="s">
        <v>2684</v>
      </c>
      <c r="E429" s="415" t="s">
        <v>2165</v>
      </c>
      <c r="F429" s="415" t="s">
        <v>2290</v>
      </c>
      <c r="G429" s="415" t="s">
        <v>3019</v>
      </c>
      <c r="H429" s="415">
        <v>0</v>
      </c>
      <c r="I429" s="415">
        <v>0</v>
      </c>
      <c r="J429" s="415">
        <v>7</v>
      </c>
      <c r="K429" s="415">
        <v>1</v>
      </c>
      <c r="L429" s="415">
        <v>415</v>
      </c>
      <c r="M429" s="415">
        <v>205</v>
      </c>
      <c r="N429" s="415" t="s">
        <v>2675</v>
      </c>
      <c r="O429" s="415">
        <v>371</v>
      </c>
      <c r="P429" s="415">
        <v>649</v>
      </c>
      <c r="Q429" s="415">
        <v>343</v>
      </c>
      <c r="R429" s="415" t="s">
        <v>2699</v>
      </c>
      <c r="S429" s="415" t="s">
        <v>2941</v>
      </c>
      <c r="T429" s="416">
        <v>118</v>
      </c>
      <c r="U429" s="416">
        <v>118</v>
      </c>
      <c r="V429" s="416">
        <v>118</v>
      </c>
      <c r="W429" s="416">
        <v>118</v>
      </c>
      <c r="X429" s="416">
        <v>117</v>
      </c>
      <c r="Y429" s="416">
        <v>116</v>
      </c>
      <c r="Z429" s="416">
        <v>114</v>
      </c>
      <c r="AA429" s="416">
        <v>113</v>
      </c>
      <c r="AB429" s="416">
        <v>111</v>
      </c>
      <c r="AC429" s="416">
        <v>109</v>
      </c>
      <c r="AD429" s="416">
        <v>107</v>
      </c>
      <c r="AE429" s="416">
        <v>104</v>
      </c>
      <c r="AF429" s="416">
        <v>101</v>
      </c>
      <c r="AG429" s="416">
        <v>97.5</v>
      </c>
      <c r="AH429" s="416">
        <v>93</v>
      </c>
      <c r="AI429" s="416">
        <v>88.3</v>
      </c>
      <c r="AJ429" s="416">
        <v>69.7</v>
      </c>
      <c r="AK429" s="416">
        <v>50.7</v>
      </c>
      <c r="AL429" s="416">
        <v>37.9</v>
      </c>
      <c r="AM429" s="416">
        <v>26.4</v>
      </c>
      <c r="AN429" s="416">
        <v>18</v>
      </c>
      <c r="AO429" s="416">
        <v>11.6</v>
      </c>
      <c r="AP429" s="416">
        <v>6.68</v>
      </c>
      <c r="AQ429" s="416">
        <v>0</v>
      </c>
      <c r="AR429" s="416">
        <v>0</v>
      </c>
      <c r="AS429" s="416">
        <v>0</v>
      </c>
      <c r="AT429" s="416">
        <v>0</v>
      </c>
      <c r="AU429" s="416">
        <v>0</v>
      </c>
      <c r="AV429" s="416">
        <v>0</v>
      </c>
      <c r="AW429" s="416">
        <v>0</v>
      </c>
      <c r="AX429" s="416">
        <v>0</v>
      </c>
      <c r="AY429" s="416">
        <v>0</v>
      </c>
      <c r="AZ429" s="416">
        <v>0</v>
      </c>
    </row>
    <row r="430" spans="1:52" s="411" customFormat="1" x14ac:dyDescent="0.3">
      <c r="A430" s="415" t="str">
        <f t="shared" si="6"/>
        <v>SA-268 Gr.TP410</v>
      </c>
      <c r="B430" s="415">
        <v>424</v>
      </c>
      <c r="C430" s="415" t="s">
        <v>3018</v>
      </c>
      <c r="D430" s="415" t="s">
        <v>2723</v>
      </c>
      <c r="E430" s="415" t="s">
        <v>2203</v>
      </c>
      <c r="F430" s="415" t="s">
        <v>2584</v>
      </c>
      <c r="G430" s="415" t="s">
        <v>3020</v>
      </c>
      <c r="H430" s="415">
        <v>0</v>
      </c>
      <c r="I430" s="415">
        <v>0</v>
      </c>
      <c r="J430" s="415">
        <v>6</v>
      </c>
      <c r="K430" s="415">
        <v>1</v>
      </c>
      <c r="L430" s="415">
        <v>415</v>
      </c>
      <c r="M430" s="415">
        <v>205</v>
      </c>
      <c r="N430" s="415">
        <v>371</v>
      </c>
      <c r="O430" s="415" t="s">
        <v>2675</v>
      </c>
      <c r="P430" s="415">
        <v>649</v>
      </c>
      <c r="Q430" s="415">
        <v>343</v>
      </c>
      <c r="R430" s="415" t="s">
        <v>2699</v>
      </c>
      <c r="S430" s="415" t="s">
        <v>3021</v>
      </c>
      <c r="T430" s="416">
        <v>118</v>
      </c>
      <c r="U430" s="416">
        <v>118</v>
      </c>
      <c r="V430" s="416">
        <v>118</v>
      </c>
      <c r="W430" s="416">
        <v>118</v>
      </c>
      <c r="X430" s="416">
        <v>117</v>
      </c>
      <c r="Y430" s="416">
        <v>116</v>
      </c>
      <c r="Z430" s="416">
        <v>114</v>
      </c>
      <c r="AA430" s="416">
        <v>113</v>
      </c>
      <c r="AB430" s="416">
        <v>111</v>
      </c>
      <c r="AC430" s="416">
        <v>109</v>
      </c>
      <c r="AD430" s="416">
        <v>107</v>
      </c>
      <c r="AE430" s="416">
        <v>104</v>
      </c>
      <c r="AF430" s="416">
        <v>101</v>
      </c>
      <c r="AG430" s="416">
        <v>97.5</v>
      </c>
      <c r="AH430" s="416">
        <v>93</v>
      </c>
      <c r="AI430" s="416">
        <v>88.3</v>
      </c>
      <c r="AJ430" s="416">
        <v>69.7</v>
      </c>
      <c r="AK430" s="416">
        <v>50.7</v>
      </c>
      <c r="AL430" s="416">
        <v>37.9</v>
      </c>
      <c r="AM430" s="416">
        <v>26.4</v>
      </c>
      <c r="AN430" s="416">
        <v>18</v>
      </c>
      <c r="AO430" s="416">
        <v>11.6</v>
      </c>
      <c r="AP430" s="416">
        <v>6.68</v>
      </c>
      <c r="AQ430" s="416">
        <v>0</v>
      </c>
      <c r="AR430" s="416">
        <v>0</v>
      </c>
      <c r="AS430" s="416">
        <v>0</v>
      </c>
      <c r="AT430" s="416">
        <v>0</v>
      </c>
      <c r="AU430" s="416">
        <v>0</v>
      </c>
      <c r="AV430" s="416">
        <v>0</v>
      </c>
      <c r="AW430" s="416">
        <v>0</v>
      </c>
      <c r="AX430" s="416">
        <v>0</v>
      </c>
      <c r="AY430" s="416">
        <v>0</v>
      </c>
      <c r="AZ430" s="416">
        <v>0</v>
      </c>
    </row>
    <row r="431" spans="1:52" s="411" customFormat="1" x14ac:dyDescent="0.3">
      <c r="A431" s="415" t="str">
        <f t="shared" si="6"/>
        <v>SA-268 Gr.TP410</v>
      </c>
      <c r="B431" s="415">
        <v>425</v>
      </c>
      <c r="C431" s="415" t="s">
        <v>3018</v>
      </c>
      <c r="D431" s="415" t="s">
        <v>2689</v>
      </c>
      <c r="E431" s="415" t="s">
        <v>2203</v>
      </c>
      <c r="F431" s="415" t="s">
        <v>2584</v>
      </c>
      <c r="G431" s="415" t="s">
        <v>3020</v>
      </c>
      <c r="H431" s="415">
        <v>0</v>
      </c>
      <c r="I431" s="415">
        <v>0</v>
      </c>
      <c r="J431" s="415">
        <v>6</v>
      </c>
      <c r="K431" s="415">
        <v>1</v>
      </c>
      <c r="L431" s="415">
        <v>415</v>
      </c>
      <c r="M431" s="415">
        <v>205</v>
      </c>
      <c r="N431" s="415">
        <v>371</v>
      </c>
      <c r="O431" s="415" t="s">
        <v>2675</v>
      </c>
      <c r="P431" s="415">
        <v>649</v>
      </c>
      <c r="Q431" s="415">
        <v>343</v>
      </c>
      <c r="R431" s="415" t="s">
        <v>2699</v>
      </c>
      <c r="S431" s="415" t="s">
        <v>3022</v>
      </c>
      <c r="T431" s="416">
        <v>101</v>
      </c>
      <c r="U431" s="416">
        <v>101</v>
      </c>
      <c r="V431" s="416">
        <v>101</v>
      </c>
      <c r="W431" s="416">
        <v>101</v>
      </c>
      <c r="X431" s="416">
        <v>99.7</v>
      </c>
      <c r="Y431" s="416">
        <v>98.5</v>
      </c>
      <c r="Z431" s="416">
        <v>96.7</v>
      </c>
      <c r="AA431" s="416">
        <v>95.4</v>
      </c>
      <c r="AB431" s="416">
        <v>93.9</v>
      </c>
      <c r="AC431" s="416">
        <v>92.4</v>
      </c>
      <c r="AD431" s="416">
        <v>90.5</v>
      </c>
      <c r="AE431" s="416">
        <v>88.6</v>
      </c>
      <c r="AF431" s="416">
        <v>86.1</v>
      </c>
      <c r="AG431" s="416">
        <v>82.9</v>
      </c>
      <c r="AH431" s="416">
        <v>79.400000000000006</v>
      </c>
      <c r="AI431" s="416">
        <v>74.099999999999994</v>
      </c>
      <c r="AJ431" s="416">
        <v>60</v>
      </c>
      <c r="AK431" s="416">
        <v>42.8</v>
      </c>
      <c r="AL431" s="416">
        <v>31.9</v>
      </c>
      <c r="AM431" s="416">
        <v>22.4</v>
      </c>
      <c r="AN431" s="416">
        <v>15.5</v>
      </c>
      <c r="AO431" s="416">
        <v>9.59</v>
      </c>
      <c r="AP431" s="416">
        <v>5.69</v>
      </c>
      <c r="AQ431" s="416">
        <v>0</v>
      </c>
      <c r="AR431" s="416">
        <v>0</v>
      </c>
      <c r="AS431" s="416">
        <v>0</v>
      </c>
      <c r="AT431" s="416">
        <v>0</v>
      </c>
      <c r="AU431" s="416">
        <v>0</v>
      </c>
      <c r="AV431" s="416">
        <v>0</v>
      </c>
      <c r="AW431" s="416">
        <v>0</v>
      </c>
      <c r="AX431" s="416">
        <v>0</v>
      </c>
      <c r="AY431" s="416">
        <v>0</v>
      </c>
      <c r="AZ431" s="416">
        <v>0</v>
      </c>
    </row>
    <row r="432" spans="1:52" s="411" customFormat="1" x14ac:dyDescent="0.3">
      <c r="A432" s="415" t="str">
        <f t="shared" si="6"/>
        <v>SA-240 Gr.410</v>
      </c>
      <c r="B432" s="415">
        <v>426</v>
      </c>
      <c r="C432" s="415" t="s">
        <v>3018</v>
      </c>
      <c r="D432" s="415" t="s">
        <v>2684</v>
      </c>
      <c r="E432" s="415" t="s">
        <v>2165</v>
      </c>
      <c r="F432" s="415">
        <v>410</v>
      </c>
      <c r="G432" s="415" t="s">
        <v>3020</v>
      </c>
      <c r="H432" s="415">
        <v>0</v>
      </c>
      <c r="I432" s="415">
        <v>0</v>
      </c>
      <c r="J432" s="415">
        <v>6</v>
      </c>
      <c r="K432" s="415">
        <v>1</v>
      </c>
      <c r="L432" s="415">
        <v>450</v>
      </c>
      <c r="M432" s="415">
        <v>205</v>
      </c>
      <c r="N432" s="415" t="s">
        <v>2675</v>
      </c>
      <c r="O432" s="415" t="s">
        <v>2675</v>
      </c>
      <c r="P432" s="415">
        <v>649</v>
      </c>
      <c r="Q432" s="415">
        <v>343</v>
      </c>
      <c r="R432" s="415" t="s">
        <v>2699</v>
      </c>
      <c r="S432" s="415" t="s">
        <v>2941</v>
      </c>
      <c r="T432" s="416">
        <v>128</v>
      </c>
      <c r="U432" s="416">
        <v>128</v>
      </c>
      <c r="V432" s="416">
        <v>128</v>
      </c>
      <c r="W432" s="416">
        <v>126</v>
      </c>
      <c r="X432" s="416">
        <v>125</v>
      </c>
      <c r="Y432" s="416">
        <v>123</v>
      </c>
      <c r="Z432" s="416">
        <v>120</v>
      </c>
      <c r="AA432" s="416">
        <v>119</v>
      </c>
      <c r="AB432" s="416">
        <v>117</v>
      </c>
      <c r="AC432" s="416">
        <v>115</v>
      </c>
      <c r="AD432" s="416">
        <v>114</v>
      </c>
      <c r="AE432" s="416">
        <v>111</v>
      </c>
      <c r="AF432" s="416">
        <v>108</v>
      </c>
      <c r="AG432" s="416">
        <v>104</v>
      </c>
      <c r="AH432" s="416">
        <v>100</v>
      </c>
      <c r="AI432" s="416">
        <v>89.9</v>
      </c>
      <c r="AJ432" s="416">
        <v>69.2</v>
      </c>
      <c r="AK432" s="416">
        <v>50.9</v>
      </c>
      <c r="AL432" s="416">
        <v>37.799999999999997</v>
      </c>
      <c r="AM432" s="416">
        <v>26.4</v>
      </c>
      <c r="AN432" s="416">
        <v>18</v>
      </c>
      <c r="AO432" s="416">
        <v>11.6</v>
      </c>
      <c r="AP432" s="416">
        <v>6.68</v>
      </c>
      <c r="AQ432" s="416">
        <v>0</v>
      </c>
      <c r="AR432" s="416">
        <v>0</v>
      </c>
      <c r="AS432" s="416">
        <v>0</v>
      </c>
      <c r="AT432" s="416">
        <v>0</v>
      </c>
      <c r="AU432" s="416">
        <v>0</v>
      </c>
      <c r="AV432" s="416">
        <v>0</v>
      </c>
      <c r="AW432" s="416">
        <v>0</v>
      </c>
      <c r="AX432" s="416">
        <v>0</v>
      </c>
      <c r="AY432" s="416">
        <v>0</v>
      </c>
      <c r="AZ432" s="416">
        <v>0</v>
      </c>
    </row>
    <row r="433" spans="1:52" s="411" customFormat="1" x14ac:dyDescent="0.3">
      <c r="A433" s="415" t="str">
        <f t="shared" si="6"/>
        <v>SA-182 Gr.F6a</v>
      </c>
      <c r="B433" s="415">
        <v>427</v>
      </c>
      <c r="C433" s="415" t="s">
        <v>3018</v>
      </c>
      <c r="D433" s="415" t="s">
        <v>2737</v>
      </c>
      <c r="E433" s="415" t="s">
        <v>2188</v>
      </c>
      <c r="F433" s="415" t="s">
        <v>2461</v>
      </c>
      <c r="G433" s="415" t="s">
        <v>3020</v>
      </c>
      <c r="H433" s="415">
        <v>1</v>
      </c>
      <c r="I433" s="415">
        <v>0</v>
      </c>
      <c r="J433" s="415">
        <v>6</v>
      </c>
      <c r="K433" s="415">
        <v>1</v>
      </c>
      <c r="L433" s="415">
        <v>485</v>
      </c>
      <c r="M433" s="415">
        <v>275</v>
      </c>
      <c r="N433" s="415" t="s">
        <v>2675</v>
      </c>
      <c r="O433" s="415">
        <v>371</v>
      </c>
      <c r="P433" s="415">
        <v>538</v>
      </c>
      <c r="Q433" s="415">
        <v>343</v>
      </c>
      <c r="R433" s="415" t="s">
        <v>2699</v>
      </c>
      <c r="S433" s="415" t="s">
        <v>2941</v>
      </c>
      <c r="T433" s="416">
        <v>138</v>
      </c>
      <c r="U433" s="416">
        <v>138</v>
      </c>
      <c r="V433" s="416">
        <v>138</v>
      </c>
      <c r="W433" s="416">
        <v>138</v>
      </c>
      <c r="X433" s="416">
        <v>137</v>
      </c>
      <c r="Y433" s="416">
        <v>135</v>
      </c>
      <c r="Z433" s="416">
        <v>133</v>
      </c>
      <c r="AA433" s="416">
        <v>131</v>
      </c>
      <c r="AB433" s="416">
        <v>129</v>
      </c>
      <c r="AC433" s="416">
        <v>127</v>
      </c>
      <c r="AD433" s="416">
        <v>124</v>
      </c>
      <c r="AE433" s="416">
        <v>122</v>
      </c>
      <c r="AF433" s="416">
        <v>118</v>
      </c>
      <c r="AG433" s="416">
        <v>113</v>
      </c>
      <c r="AH433" s="416">
        <v>109</v>
      </c>
      <c r="AI433" s="416">
        <v>92.1</v>
      </c>
      <c r="AJ433" s="416">
        <v>68.400000000000006</v>
      </c>
      <c r="AK433" s="416">
        <v>51.3</v>
      </c>
      <c r="AL433" s="416">
        <v>37</v>
      </c>
      <c r="AM433" s="416">
        <v>0</v>
      </c>
      <c r="AN433" s="416">
        <v>0</v>
      </c>
      <c r="AO433" s="416">
        <v>0</v>
      </c>
      <c r="AP433" s="416">
        <v>0</v>
      </c>
      <c r="AQ433" s="416">
        <v>0</v>
      </c>
      <c r="AR433" s="416">
        <v>0</v>
      </c>
      <c r="AS433" s="416">
        <v>0</v>
      </c>
      <c r="AT433" s="416">
        <v>0</v>
      </c>
      <c r="AU433" s="416">
        <v>0</v>
      </c>
      <c r="AV433" s="416">
        <v>0</v>
      </c>
      <c r="AW433" s="416">
        <v>0</v>
      </c>
      <c r="AX433" s="416">
        <v>0</v>
      </c>
      <c r="AY433" s="416">
        <v>0</v>
      </c>
      <c r="AZ433" s="416">
        <v>0</v>
      </c>
    </row>
    <row r="434" spans="1:52" s="411" customFormat="1" x14ac:dyDescent="0.3">
      <c r="A434" s="415" t="str">
        <f t="shared" si="6"/>
        <v>SA-479 Gr.410</v>
      </c>
      <c r="B434" s="415">
        <v>428</v>
      </c>
      <c r="C434" s="415" t="s">
        <v>3018</v>
      </c>
      <c r="D434" s="415" t="s">
        <v>2677</v>
      </c>
      <c r="E434" s="415" t="s">
        <v>2245</v>
      </c>
      <c r="F434" s="415">
        <v>410</v>
      </c>
      <c r="G434" s="415" t="s">
        <v>3020</v>
      </c>
      <c r="H434" s="415">
        <v>0</v>
      </c>
      <c r="I434" s="415">
        <v>0</v>
      </c>
      <c r="J434" s="415">
        <v>6</v>
      </c>
      <c r="K434" s="415">
        <v>1</v>
      </c>
      <c r="L434" s="415">
        <v>485</v>
      </c>
      <c r="M434" s="415">
        <v>275</v>
      </c>
      <c r="N434" s="415" t="s">
        <v>2675</v>
      </c>
      <c r="O434" s="415" t="s">
        <v>2675</v>
      </c>
      <c r="P434" s="415">
        <v>538</v>
      </c>
      <c r="Q434" s="415">
        <v>343</v>
      </c>
      <c r="R434" s="415" t="s">
        <v>2699</v>
      </c>
      <c r="S434" s="415" t="s">
        <v>3023</v>
      </c>
      <c r="T434" s="416">
        <v>138</v>
      </c>
      <c r="U434" s="416">
        <v>138</v>
      </c>
      <c r="V434" s="416">
        <v>138</v>
      </c>
      <c r="W434" s="416">
        <v>138</v>
      </c>
      <c r="X434" s="416">
        <v>137</v>
      </c>
      <c r="Y434" s="416">
        <v>135</v>
      </c>
      <c r="Z434" s="416">
        <v>133</v>
      </c>
      <c r="AA434" s="416">
        <v>131</v>
      </c>
      <c r="AB434" s="416">
        <v>129</v>
      </c>
      <c r="AC434" s="416">
        <v>127</v>
      </c>
      <c r="AD434" s="416">
        <v>124</v>
      </c>
      <c r="AE434" s="416">
        <v>122</v>
      </c>
      <c r="AF434" s="416">
        <v>118</v>
      </c>
      <c r="AG434" s="416">
        <v>113</v>
      </c>
      <c r="AH434" s="416">
        <v>109</v>
      </c>
      <c r="AI434" s="416">
        <v>92.1</v>
      </c>
      <c r="AJ434" s="416">
        <v>68.400000000000006</v>
      </c>
      <c r="AK434" s="416">
        <v>51.3</v>
      </c>
      <c r="AL434" s="416">
        <v>37</v>
      </c>
      <c r="AM434" s="416">
        <v>0</v>
      </c>
      <c r="AN434" s="416">
        <v>0</v>
      </c>
      <c r="AO434" s="416">
        <v>0</v>
      </c>
      <c r="AP434" s="416">
        <v>0</v>
      </c>
      <c r="AQ434" s="416">
        <v>0</v>
      </c>
      <c r="AR434" s="416">
        <v>0</v>
      </c>
      <c r="AS434" s="416">
        <v>0</v>
      </c>
      <c r="AT434" s="416">
        <v>0</v>
      </c>
      <c r="AU434" s="416">
        <v>0</v>
      </c>
      <c r="AV434" s="416">
        <v>0</v>
      </c>
      <c r="AW434" s="416">
        <v>0</v>
      </c>
      <c r="AX434" s="416">
        <v>0</v>
      </c>
      <c r="AY434" s="416">
        <v>0</v>
      </c>
      <c r="AZ434" s="416">
        <v>0</v>
      </c>
    </row>
    <row r="435" spans="1:52" s="411" customFormat="1" x14ac:dyDescent="0.3">
      <c r="A435" s="415" t="str">
        <f t="shared" si="6"/>
        <v>SA-479 Gr.410</v>
      </c>
      <c r="B435" s="415">
        <v>429</v>
      </c>
      <c r="C435" s="415" t="s">
        <v>3018</v>
      </c>
      <c r="D435" s="415" t="s">
        <v>2677</v>
      </c>
      <c r="E435" s="415" t="s">
        <v>2245</v>
      </c>
      <c r="F435" s="415">
        <v>410</v>
      </c>
      <c r="G435" s="415" t="s">
        <v>3020</v>
      </c>
      <c r="H435" s="415" t="s">
        <v>12</v>
      </c>
      <c r="I435" s="415">
        <v>0</v>
      </c>
      <c r="J435" s="415">
        <v>6</v>
      </c>
      <c r="K435" s="415">
        <v>1</v>
      </c>
      <c r="L435" s="415">
        <v>485</v>
      </c>
      <c r="M435" s="415">
        <v>275</v>
      </c>
      <c r="N435" s="415" t="s">
        <v>2675</v>
      </c>
      <c r="O435" s="415">
        <v>371</v>
      </c>
      <c r="P435" s="415" t="s">
        <v>2675</v>
      </c>
      <c r="Q435" s="415" t="s">
        <v>2675</v>
      </c>
      <c r="R435" s="415" t="s">
        <v>2699</v>
      </c>
      <c r="S435" s="415">
        <v>0</v>
      </c>
      <c r="T435" s="416">
        <v>138</v>
      </c>
      <c r="U435" s="416">
        <v>138</v>
      </c>
      <c r="V435" s="416">
        <v>138</v>
      </c>
      <c r="W435" s="416">
        <v>138</v>
      </c>
      <c r="X435" s="416">
        <v>137</v>
      </c>
      <c r="Y435" s="416">
        <v>135</v>
      </c>
      <c r="Z435" s="416">
        <v>133</v>
      </c>
      <c r="AA435" s="416">
        <v>131</v>
      </c>
      <c r="AB435" s="416">
        <v>129</v>
      </c>
      <c r="AC435" s="416">
        <v>127</v>
      </c>
      <c r="AD435" s="416">
        <v>124</v>
      </c>
      <c r="AE435" s="416">
        <v>122</v>
      </c>
      <c r="AF435" s="416">
        <v>0</v>
      </c>
      <c r="AG435" s="416">
        <v>0</v>
      </c>
      <c r="AH435" s="416">
        <v>0</v>
      </c>
      <c r="AI435" s="416">
        <v>0</v>
      </c>
      <c r="AJ435" s="416">
        <v>0</v>
      </c>
      <c r="AK435" s="416">
        <v>0</v>
      </c>
      <c r="AL435" s="416">
        <v>0</v>
      </c>
      <c r="AM435" s="416">
        <v>0</v>
      </c>
      <c r="AN435" s="416">
        <v>0</v>
      </c>
      <c r="AO435" s="416">
        <v>0</v>
      </c>
      <c r="AP435" s="416">
        <v>0</v>
      </c>
      <c r="AQ435" s="416">
        <v>0</v>
      </c>
      <c r="AR435" s="416">
        <v>0</v>
      </c>
      <c r="AS435" s="416">
        <v>0</v>
      </c>
      <c r="AT435" s="416">
        <v>0</v>
      </c>
      <c r="AU435" s="416">
        <v>0</v>
      </c>
      <c r="AV435" s="416">
        <v>0</v>
      </c>
      <c r="AW435" s="416">
        <v>0</v>
      </c>
      <c r="AX435" s="416">
        <v>0</v>
      </c>
      <c r="AY435" s="416">
        <v>0</v>
      </c>
      <c r="AZ435" s="416">
        <v>0</v>
      </c>
    </row>
    <row r="436" spans="1:52" s="411" customFormat="1" x14ac:dyDescent="0.3">
      <c r="A436" s="415" t="str">
        <f t="shared" si="6"/>
        <v>SA-479 Gr.410</v>
      </c>
      <c r="B436" s="415">
        <v>430</v>
      </c>
      <c r="C436" s="415" t="s">
        <v>3018</v>
      </c>
      <c r="D436" s="415" t="s">
        <v>2677</v>
      </c>
      <c r="E436" s="415" t="s">
        <v>2245</v>
      </c>
      <c r="F436" s="415">
        <v>410</v>
      </c>
      <c r="G436" s="415" t="s">
        <v>3020</v>
      </c>
      <c r="H436" s="415">
        <v>1</v>
      </c>
      <c r="I436" s="415">
        <v>0</v>
      </c>
      <c r="J436" s="415">
        <v>6</v>
      </c>
      <c r="K436" s="415">
        <v>1</v>
      </c>
      <c r="L436" s="415">
        <v>485</v>
      </c>
      <c r="M436" s="415">
        <v>275</v>
      </c>
      <c r="N436" s="415">
        <v>371</v>
      </c>
      <c r="O436" s="415">
        <v>371</v>
      </c>
      <c r="P436" s="415" t="s">
        <v>2675</v>
      </c>
      <c r="Q436" s="415" t="s">
        <v>2675</v>
      </c>
      <c r="R436" s="415" t="s">
        <v>2699</v>
      </c>
      <c r="S436" s="415">
        <v>0</v>
      </c>
      <c r="T436" s="416">
        <v>138</v>
      </c>
      <c r="U436" s="416">
        <v>138</v>
      </c>
      <c r="V436" s="416">
        <v>138</v>
      </c>
      <c r="W436" s="416">
        <v>138</v>
      </c>
      <c r="X436" s="416">
        <v>137</v>
      </c>
      <c r="Y436" s="416">
        <v>135</v>
      </c>
      <c r="Z436" s="416">
        <v>133</v>
      </c>
      <c r="AA436" s="416">
        <v>131</v>
      </c>
      <c r="AB436" s="416">
        <v>129</v>
      </c>
      <c r="AC436" s="416">
        <v>127</v>
      </c>
      <c r="AD436" s="416">
        <v>124</v>
      </c>
      <c r="AE436" s="416">
        <v>122</v>
      </c>
      <c r="AF436" s="416">
        <v>0</v>
      </c>
      <c r="AG436" s="416">
        <v>0</v>
      </c>
      <c r="AH436" s="416">
        <v>0</v>
      </c>
      <c r="AI436" s="416">
        <v>0</v>
      </c>
      <c r="AJ436" s="416">
        <v>0</v>
      </c>
      <c r="AK436" s="416">
        <v>0</v>
      </c>
      <c r="AL436" s="416">
        <v>0</v>
      </c>
      <c r="AM436" s="416">
        <v>0</v>
      </c>
      <c r="AN436" s="416">
        <v>0</v>
      </c>
      <c r="AO436" s="416">
        <v>0</v>
      </c>
      <c r="AP436" s="416">
        <v>0</v>
      </c>
      <c r="AQ436" s="416">
        <v>0</v>
      </c>
      <c r="AR436" s="416">
        <v>0</v>
      </c>
      <c r="AS436" s="416">
        <v>0</v>
      </c>
      <c r="AT436" s="416">
        <v>0</v>
      </c>
      <c r="AU436" s="416">
        <v>0</v>
      </c>
      <c r="AV436" s="416">
        <v>0</v>
      </c>
      <c r="AW436" s="416">
        <v>0</v>
      </c>
      <c r="AX436" s="416">
        <v>0</v>
      </c>
      <c r="AY436" s="416">
        <v>0</v>
      </c>
      <c r="AZ436" s="416">
        <v>0</v>
      </c>
    </row>
    <row r="437" spans="1:52" s="411" customFormat="1" x14ac:dyDescent="0.3">
      <c r="A437" s="415" t="str">
        <f t="shared" si="6"/>
        <v>SA-182 Gr.F6a</v>
      </c>
      <c r="B437" s="415">
        <v>431</v>
      </c>
      <c r="C437" s="415" t="s">
        <v>3018</v>
      </c>
      <c r="D437" s="415" t="s">
        <v>2737</v>
      </c>
      <c r="E437" s="415" t="s">
        <v>2188</v>
      </c>
      <c r="F437" s="415" t="s">
        <v>2461</v>
      </c>
      <c r="G437" s="415" t="s">
        <v>3020</v>
      </c>
      <c r="H437" s="415">
        <v>2</v>
      </c>
      <c r="I437" s="415">
        <v>0</v>
      </c>
      <c r="J437" s="415">
        <v>6</v>
      </c>
      <c r="K437" s="415">
        <v>3</v>
      </c>
      <c r="L437" s="415">
        <v>585</v>
      </c>
      <c r="M437" s="415">
        <v>380</v>
      </c>
      <c r="N437" s="415" t="s">
        <v>2675</v>
      </c>
      <c r="O437" s="415">
        <v>371</v>
      </c>
      <c r="P437" s="415">
        <v>649</v>
      </c>
      <c r="Q437" s="415">
        <v>343</v>
      </c>
      <c r="R437" s="415" t="s">
        <v>2819</v>
      </c>
      <c r="S437" s="415" t="s">
        <v>2548</v>
      </c>
      <c r="T437" s="416">
        <v>168</v>
      </c>
      <c r="U437" s="416">
        <v>168</v>
      </c>
      <c r="V437" s="416">
        <v>168</v>
      </c>
      <c r="W437" s="416">
        <v>167</v>
      </c>
      <c r="X437" s="416">
        <v>166</v>
      </c>
      <c r="Y437" s="416">
        <v>164</v>
      </c>
      <c r="Z437" s="416">
        <v>162</v>
      </c>
      <c r="AA437" s="416">
        <v>159</v>
      </c>
      <c r="AB437" s="416">
        <v>157</v>
      </c>
      <c r="AC437" s="416">
        <v>154</v>
      </c>
      <c r="AD437" s="416">
        <v>151</v>
      </c>
      <c r="AE437" s="416">
        <v>148</v>
      </c>
      <c r="AF437" s="416">
        <v>143</v>
      </c>
      <c r="AG437" s="416">
        <v>138</v>
      </c>
      <c r="AH437" s="416">
        <v>123</v>
      </c>
      <c r="AI437" s="416">
        <v>93.5</v>
      </c>
      <c r="AJ437" s="416">
        <v>68</v>
      </c>
      <c r="AK437" s="416">
        <v>51.3</v>
      </c>
      <c r="AL437" s="416">
        <v>37.700000000000003</v>
      </c>
      <c r="AM437" s="416">
        <v>26.4</v>
      </c>
      <c r="AN437" s="416">
        <v>17.899999999999999</v>
      </c>
      <c r="AO437" s="416">
        <v>11.6</v>
      </c>
      <c r="AP437" s="416">
        <v>6.68</v>
      </c>
      <c r="AQ437" s="416">
        <v>0</v>
      </c>
      <c r="AR437" s="416">
        <v>0</v>
      </c>
      <c r="AS437" s="416">
        <v>0</v>
      </c>
      <c r="AT437" s="416">
        <v>0</v>
      </c>
      <c r="AU437" s="416">
        <v>0</v>
      </c>
      <c r="AV437" s="416">
        <v>0</v>
      </c>
      <c r="AW437" s="416">
        <v>0</v>
      </c>
      <c r="AX437" s="416">
        <v>0</v>
      </c>
      <c r="AY437" s="416">
        <v>0</v>
      </c>
      <c r="AZ437" s="416">
        <v>0</v>
      </c>
    </row>
    <row r="438" spans="1:52" s="411" customFormat="1" x14ac:dyDescent="0.3">
      <c r="A438" s="415" t="str">
        <f t="shared" si="6"/>
        <v>SA-217 Gr.CA15</v>
      </c>
      <c r="B438" s="415">
        <v>432</v>
      </c>
      <c r="C438" s="415" t="s">
        <v>3018</v>
      </c>
      <c r="D438" s="415" t="s">
        <v>2739</v>
      </c>
      <c r="E438" s="415" t="s">
        <v>2198</v>
      </c>
      <c r="F438" s="415" t="s">
        <v>2356</v>
      </c>
      <c r="G438" s="415" t="s">
        <v>3024</v>
      </c>
      <c r="H438" s="415">
        <v>0</v>
      </c>
      <c r="I438" s="415">
        <v>0</v>
      </c>
      <c r="J438" s="415">
        <v>6</v>
      </c>
      <c r="K438" s="415">
        <v>3</v>
      </c>
      <c r="L438" s="415">
        <v>620</v>
      </c>
      <c r="M438" s="415">
        <v>450</v>
      </c>
      <c r="N438" s="415" t="s">
        <v>2675</v>
      </c>
      <c r="O438" s="415">
        <v>371</v>
      </c>
      <c r="P438" s="415">
        <v>649</v>
      </c>
      <c r="Q438" s="415">
        <v>343</v>
      </c>
      <c r="R438" s="415" t="s">
        <v>2838</v>
      </c>
      <c r="S438" s="415" t="s">
        <v>2984</v>
      </c>
      <c r="T438" s="416">
        <v>177</v>
      </c>
      <c r="U438" s="416">
        <v>177</v>
      </c>
      <c r="V438" s="416">
        <v>177</v>
      </c>
      <c r="W438" s="416">
        <v>177</v>
      </c>
      <c r="X438" s="416">
        <v>176</v>
      </c>
      <c r="Y438" s="416">
        <v>174</v>
      </c>
      <c r="Z438" s="416">
        <v>171</v>
      </c>
      <c r="AA438" s="416">
        <v>169</v>
      </c>
      <c r="AB438" s="416">
        <v>166</v>
      </c>
      <c r="AC438" s="416">
        <v>163</v>
      </c>
      <c r="AD438" s="416">
        <v>160</v>
      </c>
      <c r="AE438" s="416">
        <v>156</v>
      </c>
      <c r="AF438" s="416">
        <v>151</v>
      </c>
      <c r="AG438" s="416">
        <v>146</v>
      </c>
      <c r="AH438" s="416">
        <v>117</v>
      </c>
      <c r="AI438" s="416">
        <v>83.3</v>
      </c>
      <c r="AJ438" s="416">
        <v>60.1</v>
      </c>
      <c r="AK438" s="416">
        <v>42</v>
      </c>
      <c r="AL438" s="416">
        <v>28.6</v>
      </c>
      <c r="AM438" s="416">
        <v>19.8</v>
      </c>
      <c r="AN438" s="416">
        <v>13.8</v>
      </c>
      <c r="AO438" s="416">
        <v>9.81</v>
      </c>
      <c r="AP438" s="416">
        <v>6.76</v>
      </c>
      <c r="AQ438" s="416">
        <v>0</v>
      </c>
      <c r="AR438" s="416">
        <v>0</v>
      </c>
      <c r="AS438" s="416">
        <v>0</v>
      </c>
      <c r="AT438" s="416">
        <v>0</v>
      </c>
      <c r="AU438" s="416">
        <v>0</v>
      </c>
      <c r="AV438" s="416">
        <v>0</v>
      </c>
      <c r="AW438" s="416">
        <v>0</v>
      </c>
      <c r="AX438" s="416">
        <v>0</v>
      </c>
      <c r="AY438" s="416">
        <v>0</v>
      </c>
      <c r="AZ438" s="416">
        <v>0</v>
      </c>
    </row>
    <row r="439" spans="1:52" s="411" customFormat="1" x14ac:dyDescent="0.3">
      <c r="A439" s="415" t="str">
        <f t="shared" si="6"/>
        <v>SA-426 Gr.CPCA15</v>
      </c>
      <c r="B439" s="415">
        <v>433</v>
      </c>
      <c r="C439" s="415" t="s">
        <v>3018</v>
      </c>
      <c r="D439" s="415" t="s">
        <v>2746</v>
      </c>
      <c r="E439" s="415" t="s">
        <v>2239</v>
      </c>
      <c r="F439" s="415" t="s">
        <v>2401</v>
      </c>
      <c r="G439" s="415" t="s">
        <v>3024</v>
      </c>
      <c r="H439" s="415">
        <v>0</v>
      </c>
      <c r="I439" s="415">
        <v>0</v>
      </c>
      <c r="J439" s="415">
        <v>6</v>
      </c>
      <c r="K439" s="415">
        <v>3</v>
      </c>
      <c r="L439" s="415">
        <v>620</v>
      </c>
      <c r="M439" s="415">
        <v>450</v>
      </c>
      <c r="N439" s="415" t="s">
        <v>2675</v>
      </c>
      <c r="O439" s="415">
        <v>371</v>
      </c>
      <c r="P439" s="415" t="s">
        <v>2675</v>
      </c>
      <c r="Q439" s="415" t="s">
        <v>2675</v>
      </c>
      <c r="R439" s="415" t="s">
        <v>2838</v>
      </c>
      <c r="S439" s="415" t="s">
        <v>2745</v>
      </c>
      <c r="T439" s="416">
        <v>177</v>
      </c>
      <c r="U439" s="416">
        <v>177</v>
      </c>
      <c r="V439" s="416">
        <v>177</v>
      </c>
      <c r="W439" s="416">
        <v>177</v>
      </c>
      <c r="X439" s="416">
        <v>176</v>
      </c>
      <c r="Y439" s="416">
        <v>174</v>
      </c>
      <c r="Z439" s="416">
        <v>171</v>
      </c>
      <c r="AA439" s="416">
        <v>169</v>
      </c>
      <c r="AB439" s="416">
        <v>166</v>
      </c>
      <c r="AC439" s="416">
        <v>163</v>
      </c>
      <c r="AD439" s="416">
        <v>160</v>
      </c>
      <c r="AE439" s="416">
        <v>156</v>
      </c>
      <c r="AF439" s="416">
        <v>0</v>
      </c>
      <c r="AG439" s="416">
        <v>0</v>
      </c>
      <c r="AH439" s="416">
        <v>0</v>
      </c>
      <c r="AI439" s="416">
        <v>0</v>
      </c>
      <c r="AJ439" s="416">
        <v>0</v>
      </c>
      <c r="AK439" s="416">
        <v>0</v>
      </c>
      <c r="AL439" s="416">
        <v>0</v>
      </c>
      <c r="AM439" s="416">
        <v>0</v>
      </c>
      <c r="AN439" s="416">
        <v>0</v>
      </c>
      <c r="AO439" s="416">
        <v>0</v>
      </c>
      <c r="AP439" s="416">
        <v>0</v>
      </c>
      <c r="AQ439" s="416">
        <v>0</v>
      </c>
      <c r="AR439" s="416">
        <v>0</v>
      </c>
      <c r="AS439" s="416">
        <v>0</v>
      </c>
      <c r="AT439" s="416">
        <v>0</v>
      </c>
      <c r="AU439" s="416">
        <v>0</v>
      </c>
      <c r="AV439" s="416">
        <v>0</v>
      </c>
      <c r="AW439" s="416">
        <v>0</v>
      </c>
      <c r="AX439" s="416">
        <v>0</v>
      </c>
      <c r="AY439" s="416">
        <v>0</v>
      </c>
      <c r="AZ439" s="416">
        <v>0</v>
      </c>
    </row>
    <row r="440" spans="1:52" s="411" customFormat="1" x14ac:dyDescent="0.3">
      <c r="A440" s="415" t="str">
        <f t="shared" si="6"/>
        <v>SA-487 Gr.CA6NM</v>
      </c>
      <c r="B440" s="415">
        <v>434</v>
      </c>
      <c r="C440" s="415" t="s">
        <v>3025</v>
      </c>
      <c r="D440" s="415" t="s">
        <v>2739</v>
      </c>
      <c r="E440" s="415" t="s">
        <v>2247</v>
      </c>
      <c r="F440" s="415" t="s">
        <v>2358</v>
      </c>
      <c r="G440" s="415" t="s">
        <v>3026</v>
      </c>
      <c r="H440" s="415" t="s">
        <v>12</v>
      </c>
      <c r="I440" s="415">
        <v>0</v>
      </c>
      <c r="J440" s="415">
        <v>6</v>
      </c>
      <c r="K440" s="415">
        <v>4</v>
      </c>
      <c r="L440" s="415">
        <v>760</v>
      </c>
      <c r="M440" s="415">
        <v>550</v>
      </c>
      <c r="N440" s="415" t="s">
        <v>2675</v>
      </c>
      <c r="O440" s="415">
        <v>371</v>
      </c>
      <c r="P440" s="415">
        <v>427</v>
      </c>
      <c r="Q440" s="415">
        <v>343</v>
      </c>
      <c r="R440" s="415" t="s">
        <v>2838</v>
      </c>
      <c r="S440" s="415" t="s">
        <v>2785</v>
      </c>
      <c r="T440" s="416">
        <v>216</v>
      </c>
      <c r="U440" s="416">
        <v>216</v>
      </c>
      <c r="V440" s="416">
        <v>216</v>
      </c>
      <c r="W440" s="416">
        <v>216</v>
      </c>
      <c r="X440" s="416">
        <v>215</v>
      </c>
      <c r="Y440" s="416">
        <v>212</v>
      </c>
      <c r="Z440" s="416">
        <v>208</v>
      </c>
      <c r="AA440" s="416">
        <v>204</v>
      </c>
      <c r="AB440" s="416">
        <v>200</v>
      </c>
      <c r="AC440" s="416">
        <v>198</v>
      </c>
      <c r="AD440" s="416">
        <v>195</v>
      </c>
      <c r="AE440" s="416">
        <v>192</v>
      </c>
      <c r="AF440" s="416">
        <v>189</v>
      </c>
      <c r="AG440" s="416">
        <v>184</v>
      </c>
      <c r="AH440" s="416">
        <v>180</v>
      </c>
      <c r="AI440" s="416">
        <v>0</v>
      </c>
      <c r="AJ440" s="416">
        <v>0</v>
      </c>
      <c r="AK440" s="416">
        <v>0</v>
      </c>
      <c r="AL440" s="416">
        <v>0</v>
      </c>
      <c r="AM440" s="416">
        <v>0</v>
      </c>
      <c r="AN440" s="416">
        <v>0</v>
      </c>
      <c r="AO440" s="416">
        <v>0</v>
      </c>
      <c r="AP440" s="416">
        <v>0</v>
      </c>
      <c r="AQ440" s="416">
        <v>0</v>
      </c>
      <c r="AR440" s="416">
        <v>0</v>
      </c>
      <c r="AS440" s="416">
        <v>0</v>
      </c>
      <c r="AT440" s="416">
        <v>0</v>
      </c>
      <c r="AU440" s="416">
        <v>0</v>
      </c>
      <c r="AV440" s="416">
        <v>0</v>
      </c>
      <c r="AW440" s="416">
        <v>0</v>
      </c>
      <c r="AX440" s="416">
        <v>0</v>
      </c>
      <c r="AY440" s="416">
        <v>0</v>
      </c>
      <c r="AZ440" s="416">
        <v>0</v>
      </c>
    </row>
    <row r="441" spans="1:52" s="411" customFormat="1" x14ac:dyDescent="0.3">
      <c r="A441" s="415" t="str">
        <f t="shared" si="6"/>
        <v>SA-182 Gr.F6NM</v>
      </c>
      <c r="B441" s="415">
        <v>435</v>
      </c>
      <c r="C441" s="415" t="s">
        <v>3025</v>
      </c>
      <c r="D441" s="415" t="s">
        <v>2737</v>
      </c>
      <c r="E441" s="415" t="s">
        <v>2188</v>
      </c>
      <c r="F441" s="415" t="s">
        <v>2462</v>
      </c>
      <c r="G441" s="415" t="s">
        <v>3027</v>
      </c>
      <c r="H441" s="415">
        <v>0</v>
      </c>
      <c r="I441" s="415">
        <v>0</v>
      </c>
      <c r="J441" s="415">
        <v>6</v>
      </c>
      <c r="K441" s="415">
        <v>4</v>
      </c>
      <c r="L441" s="415">
        <v>795</v>
      </c>
      <c r="M441" s="415">
        <v>620</v>
      </c>
      <c r="N441" s="415" t="s">
        <v>2675</v>
      </c>
      <c r="O441" s="415">
        <v>371</v>
      </c>
      <c r="P441" s="415" t="s">
        <v>2675</v>
      </c>
      <c r="Q441" s="415" t="s">
        <v>2675</v>
      </c>
      <c r="R441" s="415" t="s">
        <v>2819</v>
      </c>
      <c r="S441" s="415" t="s">
        <v>2745</v>
      </c>
      <c r="T441" s="416">
        <v>227</v>
      </c>
      <c r="U441" s="416">
        <v>227</v>
      </c>
      <c r="V441" s="416">
        <v>227</v>
      </c>
      <c r="W441" s="416">
        <v>227</v>
      </c>
      <c r="X441" s="416">
        <v>227</v>
      </c>
      <c r="Y441" s="416">
        <v>227</v>
      </c>
      <c r="Z441" s="416">
        <v>225</v>
      </c>
      <c r="AA441" s="416">
        <v>217</v>
      </c>
      <c r="AB441" s="416">
        <v>209</v>
      </c>
      <c r="AC441" s="416">
        <v>205</v>
      </c>
      <c r="AD441" s="416">
        <v>202</v>
      </c>
      <c r="AE441" s="416">
        <v>197</v>
      </c>
      <c r="AF441" s="416">
        <v>0</v>
      </c>
      <c r="AG441" s="416">
        <v>0</v>
      </c>
      <c r="AH441" s="416">
        <v>0</v>
      </c>
      <c r="AI441" s="416">
        <v>0</v>
      </c>
      <c r="AJ441" s="416">
        <v>0</v>
      </c>
      <c r="AK441" s="416">
        <v>0</v>
      </c>
      <c r="AL441" s="416">
        <v>0</v>
      </c>
      <c r="AM441" s="416">
        <v>0</v>
      </c>
      <c r="AN441" s="416">
        <v>0</v>
      </c>
      <c r="AO441" s="416">
        <v>0</v>
      </c>
      <c r="AP441" s="416">
        <v>0</v>
      </c>
      <c r="AQ441" s="416">
        <v>0</v>
      </c>
      <c r="AR441" s="416">
        <v>0</v>
      </c>
      <c r="AS441" s="416">
        <v>0</v>
      </c>
      <c r="AT441" s="416">
        <v>0</v>
      </c>
      <c r="AU441" s="416">
        <v>0</v>
      </c>
      <c r="AV441" s="416">
        <v>0</v>
      </c>
      <c r="AW441" s="416">
        <v>0</v>
      </c>
      <c r="AX441" s="416">
        <v>0</v>
      </c>
      <c r="AY441" s="416">
        <v>0</v>
      </c>
      <c r="AZ441" s="416">
        <v>0</v>
      </c>
    </row>
    <row r="442" spans="1:52" s="411" customFormat="1" x14ac:dyDescent="0.3">
      <c r="A442" s="415" t="str">
        <f t="shared" si="6"/>
        <v>SA-268 Gr.TP429</v>
      </c>
      <c r="B442" s="415">
        <v>436</v>
      </c>
      <c r="C442" s="415" t="s">
        <v>3028</v>
      </c>
      <c r="D442" s="415" t="s">
        <v>2689</v>
      </c>
      <c r="E442" s="415" t="s">
        <v>2203</v>
      </c>
      <c r="F442" s="415" t="s">
        <v>2585</v>
      </c>
      <c r="G442" s="415" t="s">
        <v>3029</v>
      </c>
      <c r="H442" s="415">
        <v>0</v>
      </c>
      <c r="I442" s="415">
        <v>0</v>
      </c>
      <c r="J442" s="415">
        <v>6</v>
      </c>
      <c r="K442" s="415">
        <v>2</v>
      </c>
      <c r="L442" s="415">
        <v>415</v>
      </c>
      <c r="M442" s="415">
        <v>240</v>
      </c>
      <c r="N442" s="415">
        <v>371</v>
      </c>
      <c r="O442" s="415" t="s">
        <v>2675</v>
      </c>
      <c r="P442" s="415">
        <v>371</v>
      </c>
      <c r="Q442" s="415">
        <v>343</v>
      </c>
      <c r="R442" s="415" t="s">
        <v>2699</v>
      </c>
      <c r="S442" s="415" t="s">
        <v>3030</v>
      </c>
      <c r="T442" s="416">
        <v>101</v>
      </c>
      <c r="U442" s="416">
        <v>101</v>
      </c>
      <c r="V442" s="416">
        <v>101</v>
      </c>
      <c r="W442" s="416">
        <v>101</v>
      </c>
      <c r="X442" s="416">
        <v>99.7</v>
      </c>
      <c r="Y442" s="416">
        <v>98.5</v>
      </c>
      <c r="Z442" s="416">
        <v>96.7</v>
      </c>
      <c r="AA442" s="416">
        <v>95.4</v>
      </c>
      <c r="AB442" s="416">
        <v>93.9</v>
      </c>
      <c r="AC442" s="416">
        <v>92.4</v>
      </c>
      <c r="AD442" s="416">
        <v>90.5</v>
      </c>
      <c r="AE442" s="416">
        <v>88.6</v>
      </c>
      <c r="AF442" s="416">
        <v>0</v>
      </c>
      <c r="AG442" s="416">
        <v>0</v>
      </c>
      <c r="AH442" s="416">
        <v>0</v>
      </c>
      <c r="AI442" s="416">
        <v>0</v>
      </c>
      <c r="AJ442" s="416">
        <v>0</v>
      </c>
      <c r="AK442" s="416">
        <v>0</v>
      </c>
      <c r="AL442" s="416">
        <v>0</v>
      </c>
      <c r="AM442" s="416">
        <v>0</v>
      </c>
      <c r="AN442" s="416">
        <v>0</v>
      </c>
      <c r="AO442" s="416">
        <v>0</v>
      </c>
      <c r="AP442" s="416">
        <v>0</v>
      </c>
      <c r="AQ442" s="416">
        <v>0</v>
      </c>
      <c r="AR442" s="416">
        <v>0</v>
      </c>
      <c r="AS442" s="416">
        <v>0</v>
      </c>
      <c r="AT442" s="416">
        <v>0</v>
      </c>
      <c r="AU442" s="416">
        <v>0</v>
      </c>
      <c r="AV442" s="416">
        <v>0</v>
      </c>
      <c r="AW442" s="416">
        <v>0</v>
      </c>
      <c r="AX442" s="416">
        <v>0</v>
      </c>
      <c r="AY442" s="416">
        <v>0</v>
      </c>
      <c r="AZ442" s="416">
        <v>0</v>
      </c>
    </row>
    <row r="443" spans="1:52" s="411" customFormat="1" x14ac:dyDescent="0.3">
      <c r="A443" s="415" t="str">
        <f t="shared" si="6"/>
        <v>SA-268 Gr.TP429</v>
      </c>
      <c r="B443" s="415">
        <v>437</v>
      </c>
      <c r="C443" s="415" t="s">
        <v>3028</v>
      </c>
      <c r="D443" s="415" t="s">
        <v>2723</v>
      </c>
      <c r="E443" s="415" t="s">
        <v>2203</v>
      </c>
      <c r="F443" s="415" t="s">
        <v>2585</v>
      </c>
      <c r="G443" s="415" t="s">
        <v>3029</v>
      </c>
      <c r="H443" s="415">
        <v>0</v>
      </c>
      <c r="I443" s="415">
        <v>0</v>
      </c>
      <c r="J443" s="415">
        <v>6</v>
      </c>
      <c r="K443" s="415">
        <v>2</v>
      </c>
      <c r="L443" s="415">
        <v>415</v>
      </c>
      <c r="M443" s="415">
        <v>240</v>
      </c>
      <c r="N443" s="415">
        <v>371</v>
      </c>
      <c r="O443" s="415" t="s">
        <v>2675</v>
      </c>
      <c r="P443" s="415">
        <v>649</v>
      </c>
      <c r="Q443" s="415">
        <v>343</v>
      </c>
      <c r="R443" s="415" t="s">
        <v>2699</v>
      </c>
      <c r="S443" s="415" t="s">
        <v>3031</v>
      </c>
      <c r="T443" s="416">
        <v>118</v>
      </c>
      <c r="U443" s="416">
        <v>118</v>
      </c>
      <c r="V443" s="416">
        <v>118</v>
      </c>
      <c r="W443" s="416">
        <v>118</v>
      </c>
      <c r="X443" s="416">
        <v>117</v>
      </c>
      <c r="Y443" s="416">
        <v>116</v>
      </c>
      <c r="Z443" s="416">
        <v>114</v>
      </c>
      <c r="AA443" s="416">
        <v>113</v>
      </c>
      <c r="AB443" s="416">
        <v>111</v>
      </c>
      <c r="AC443" s="416">
        <v>109</v>
      </c>
      <c r="AD443" s="416">
        <v>107</v>
      </c>
      <c r="AE443" s="416">
        <v>104</v>
      </c>
      <c r="AF443" s="416">
        <v>101</v>
      </c>
      <c r="AG443" s="416">
        <v>97.5</v>
      </c>
      <c r="AH443" s="416">
        <v>93.3</v>
      </c>
      <c r="AI443" s="416">
        <v>86.2</v>
      </c>
      <c r="AJ443" s="416">
        <v>70.900000000000006</v>
      </c>
      <c r="AK443" s="416">
        <v>52.8</v>
      </c>
      <c r="AL443" s="416">
        <v>38.1</v>
      </c>
      <c r="AM443" s="416">
        <v>27.5</v>
      </c>
      <c r="AN443" s="416">
        <v>20.5</v>
      </c>
      <c r="AO443" s="416">
        <v>15.9</v>
      </c>
      <c r="AP443" s="416">
        <v>12.2</v>
      </c>
      <c r="AQ443" s="416">
        <v>0</v>
      </c>
      <c r="AR443" s="416">
        <v>0</v>
      </c>
      <c r="AS443" s="416">
        <v>0</v>
      </c>
      <c r="AT443" s="416">
        <v>0</v>
      </c>
      <c r="AU443" s="416">
        <v>0</v>
      </c>
      <c r="AV443" s="416">
        <v>0</v>
      </c>
      <c r="AW443" s="416">
        <v>0</v>
      </c>
      <c r="AX443" s="416">
        <v>0</v>
      </c>
      <c r="AY443" s="416">
        <v>0</v>
      </c>
      <c r="AZ443" s="416">
        <v>0</v>
      </c>
    </row>
    <row r="444" spans="1:52" s="411" customFormat="1" x14ac:dyDescent="0.3">
      <c r="A444" s="415" t="str">
        <f t="shared" si="6"/>
        <v>SA-240 Gr.429</v>
      </c>
      <c r="B444" s="415">
        <v>438</v>
      </c>
      <c r="C444" s="415" t="s">
        <v>3028</v>
      </c>
      <c r="D444" s="415" t="s">
        <v>2684</v>
      </c>
      <c r="E444" s="415" t="s">
        <v>2165</v>
      </c>
      <c r="F444" s="415">
        <v>429</v>
      </c>
      <c r="G444" s="415" t="s">
        <v>3029</v>
      </c>
      <c r="H444" s="415">
        <v>0</v>
      </c>
      <c r="I444" s="415">
        <v>0</v>
      </c>
      <c r="J444" s="415">
        <v>6</v>
      </c>
      <c r="K444" s="415">
        <v>2</v>
      </c>
      <c r="L444" s="415">
        <v>450</v>
      </c>
      <c r="M444" s="415">
        <v>205</v>
      </c>
      <c r="N444" s="415" t="s">
        <v>2675</v>
      </c>
      <c r="O444" s="415" t="s">
        <v>2675</v>
      </c>
      <c r="P444" s="415">
        <v>649</v>
      </c>
      <c r="Q444" s="415">
        <v>343</v>
      </c>
      <c r="R444" s="415" t="s">
        <v>2699</v>
      </c>
      <c r="S444" s="415" t="s">
        <v>3032</v>
      </c>
      <c r="T444" s="416">
        <v>128</v>
      </c>
      <c r="U444" s="416">
        <v>128</v>
      </c>
      <c r="V444" s="416">
        <v>128</v>
      </c>
      <c r="W444" s="416">
        <v>126</v>
      </c>
      <c r="X444" s="416">
        <v>125</v>
      </c>
      <c r="Y444" s="416">
        <v>123</v>
      </c>
      <c r="Z444" s="416">
        <v>120</v>
      </c>
      <c r="AA444" s="416">
        <v>119</v>
      </c>
      <c r="AB444" s="416">
        <v>117</v>
      </c>
      <c r="AC444" s="416">
        <v>115</v>
      </c>
      <c r="AD444" s="416">
        <v>114</v>
      </c>
      <c r="AE444" s="416">
        <v>111</v>
      </c>
      <c r="AF444" s="416">
        <v>108</v>
      </c>
      <c r="AG444" s="416">
        <v>104</v>
      </c>
      <c r="AH444" s="416">
        <v>101</v>
      </c>
      <c r="AI444" s="416">
        <v>87.8</v>
      </c>
      <c r="AJ444" s="416">
        <v>70.400000000000006</v>
      </c>
      <c r="AK444" s="416">
        <v>53</v>
      </c>
      <c r="AL444" s="416">
        <v>38.1</v>
      </c>
      <c r="AM444" s="416">
        <v>27.5</v>
      </c>
      <c r="AN444" s="416">
        <v>20.5</v>
      </c>
      <c r="AO444" s="416">
        <v>15.9</v>
      </c>
      <c r="AP444" s="416">
        <v>12.2</v>
      </c>
      <c r="AQ444" s="416">
        <v>0</v>
      </c>
      <c r="AR444" s="416">
        <v>0</v>
      </c>
      <c r="AS444" s="416">
        <v>0</v>
      </c>
      <c r="AT444" s="416">
        <v>0</v>
      </c>
      <c r="AU444" s="416">
        <v>0</v>
      </c>
      <c r="AV444" s="416">
        <v>0</v>
      </c>
      <c r="AW444" s="416">
        <v>0</v>
      </c>
      <c r="AX444" s="416">
        <v>0</v>
      </c>
      <c r="AY444" s="416">
        <v>0</v>
      </c>
      <c r="AZ444" s="416">
        <v>0</v>
      </c>
    </row>
    <row r="445" spans="1:52" s="411" customFormat="1" x14ac:dyDescent="0.3">
      <c r="A445" s="415" t="str">
        <f t="shared" si="6"/>
        <v>SA-268 Gr.TP430</v>
      </c>
      <c r="B445" s="415">
        <v>439</v>
      </c>
      <c r="C445" s="415" t="s">
        <v>3033</v>
      </c>
      <c r="D445" s="415" t="s">
        <v>2689</v>
      </c>
      <c r="E445" s="415" t="s">
        <v>2203</v>
      </c>
      <c r="F445" s="415" t="s">
        <v>2586</v>
      </c>
      <c r="G445" s="415" t="s">
        <v>3034</v>
      </c>
      <c r="H445" s="415">
        <v>0</v>
      </c>
      <c r="I445" s="415">
        <v>0</v>
      </c>
      <c r="J445" s="415">
        <v>7</v>
      </c>
      <c r="K445" s="415">
        <v>2</v>
      </c>
      <c r="L445" s="415">
        <v>415</v>
      </c>
      <c r="M445" s="415">
        <v>240</v>
      </c>
      <c r="N445" s="415">
        <v>371</v>
      </c>
      <c r="O445" s="415" t="s">
        <v>2675</v>
      </c>
      <c r="P445" s="415">
        <v>649</v>
      </c>
      <c r="Q445" s="415">
        <v>343</v>
      </c>
      <c r="R445" s="415" t="s">
        <v>2699</v>
      </c>
      <c r="S445" s="415" t="s">
        <v>3035</v>
      </c>
      <c r="T445" s="416">
        <v>101</v>
      </c>
      <c r="U445" s="416">
        <v>101</v>
      </c>
      <c r="V445" s="416">
        <v>101</v>
      </c>
      <c r="W445" s="416">
        <v>101</v>
      </c>
      <c r="X445" s="416">
        <v>99.7</v>
      </c>
      <c r="Y445" s="416">
        <v>98.5</v>
      </c>
      <c r="Z445" s="416">
        <v>96.7</v>
      </c>
      <c r="AA445" s="416">
        <v>95.4</v>
      </c>
      <c r="AB445" s="416">
        <v>93.9</v>
      </c>
      <c r="AC445" s="416">
        <v>92.4</v>
      </c>
      <c r="AD445" s="416">
        <v>90.5</v>
      </c>
      <c r="AE445" s="416">
        <v>88.6</v>
      </c>
      <c r="AF445" s="416">
        <v>86.1</v>
      </c>
      <c r="AG445" s="416">
        <v>83</v>
      </c>
      <c r="AH445" s="416">
        <v>79.400000000000006</v>
      </c>
      <c r="AI445" s="416">
        <v>73.3</v>
      </c>
      <c r="AJ445" s="416">
        <v>60.2</v>
      </c>
      <c r="AK445" s="416">
        <v>44.8</v>
      </c>
      <c r="AL445" s="416">
        <v>32.200000000000003</v>
      </c>
      <c r="AM445" s="416">
        <v>23.2</v>
      </c>
      <c r="AN445" s="416">
        <v>17.3</v>
      </c>
      <c r="AO445" s="416">
        <v>13.3</v>
      </c>
      <c r="AP445" s="416">
        <v>10.199999999999999</v>
      </c>
      <c r="AQ445" s="416">
        <v>0</v>
      </c>
      <c r="AR445" s="416">
        <v>0</v>
      </c>
      <c r="AS445" s="416">
        <v>0</v>
      </c>
      <c r="AT445" s="416">
        <v>0</v>
      </c>
      <c r="AU445" s="416">
        <v>0</v>
      </c>
      <c r="AV445" s="416">
        <v>0</v>
      </c>
      <c r="AW445" s="416">
        <v>0</v>
      </c>
      <c r="AX445" s="416">
        <v>0</v>
      </c>
      <c r="AY445" s="416">
        <v>0</v>
      </c>
      <c r="AZ445" s="416">
        <v>0</v>
      </c>
    </row>
    <row r="446" spans="1:52" s="411" customFormat="1" x14ac:dyDescent="0.3">
      <c r="A446" s="415" t="str">
        <f t="shared" si="6"/>
        <v>SA-268 Gr.TP430</v>
      </c>
      <c r="B446" s="415">
        <v>440</v>
      </c>
      <c r="C446" s="415" t="s">
        <v>3033</v>
      </c>
      <c r="D446" s="415" t="s">
        <v>2723</v>
      </c>
      <c r="E446" s="415" t="s">
        <v>2203</v>
      </c>
      <c r="F446" s="415" t="s">
        <v>2586</v>
      </c>
      <c r="G446" s="415" t="s">
        <v>3034</v>
      </c>
      <c r="H446" s="415">
        <v>0</v>
      </c>
      <c r="I446" s="415">
        <v>0</v>
      </c>
      <c r="J446" s="415">
        <v>7</v>
      </c>
      <c r="K446" s="415">
        <v>2</v>
      </c>
      <c r="L446" s="415">
        <v>415</v>
      </c>
      <c r="M446" s="415">
        <v>240</v>
      </c>
      <c r="N446" s="415">
        <v>371</v>
      </c>
      <c r="O446" s="415">
        <v>371</v>
      </c>
      <c r="P446" s="415">
        <v>649</v>
      </c>
      <c r="Q446" s="415">
        <v>343</v>
      </c>
      <c r="R446" s="415" t="s">
        <v>2699</v>
      </c>
      <c r="S446" s="415" t="s">
        <v>3036</v>
      </c>
      <c r="T446" s="416">
        <v>118</v>
      </c>
      <c r="U446" s="416">
        <v>118</v>
      </c>
      <c r="V446" s="416">
        <v>118</v>
      </c>
      <c r="W446" s="416">
        <v>118</v>
      </c>
      <c r="X446" s="416">
        <v>117</v>
      </c>
      <c r="Y446" s="416">
        <v>116</v>
      </c>
      <c r="Z446" s="416">
        <v>114</v>
      </c>
      <c r="AA446" s="416">
        <v>113</v>
      </c>
      <c r="AB446" s="416">
        <v>111</v>
      </c>
      <c r="AC446" s="416">
        <v>109</v>
      </c>
      <c r="AD446" s="416">
        <v>107</v>
      </c>
      <c r="AE446" s="416">
        <v>104</v>
      </c>
      <c r="AF446" s="416">
        <v>101</v>
      </c>
      <c r="AG446" s="416">
        <v>97.5</v>
      </c>
      <c r="AH446" s="416">
        <v>93.3</v>
      </c>
      <c r="AI446" s="416">
        <v>86.2</v>
      </c>
      <c r="AJ446" s="416">
        <v>70.900000000000006</v>
      </c>
      <c r="AK446" s="416">
        <v>52.8</v>
      </c>
      <c r="AL446" s="416">
        <v>38.1</v>
      </c>
      <c r="AM446" s="416">
        <v>27.5</v>
      </c>
      <c r="AN446" s="416">
        <v>20.5</v>
      </c>
      <c r="AO446" s="416">
        <v>15.9</v>
      </c>
      <c r="AP446" s="416">
        <v>12.2</v>
      </c>
      <c r="AQ446" s="416">
        <v>0</v>
      </c>
      <c r="AR446" s="416">
        <v>0</v>
      </c>
      <c r="AS446" s="416">
        <v>0</v>
      </c>
      <c r="AT446" s="416">
        <v>0</v>
      </c>
      <c r="AU446" s="416">
        <v>0</v>
      </c>
      <c r="AV446" s="416">
        <v>0</v>
      </c>
      <c r="AW446" s="416">
        <v>0</v>
      </c>
      <c r="AX446" s="416">
        <v>0</v>
      </c>
      <c r="AY446" s="416">
        <v>0</v>
      </c>
      <c r="AZ446" s="416">
        <v>0</v>
      </c>
    </row>
    <row r="447" spans="1:52" s="411" customFormat="1" x14ac:dyDescent="0.3">
      <c r="A447" s="415" t="str">
        <f t="shared" si="6"/>
        <v>SA-240 Gr.430</v>
      </c>
      <c r="B447" s="415">
        <v>441</v>
      </c>
      <c r="C447" s="415" t="s">
        <v>3033</v>
      </c>
      <c r="D447" s="415" t="s">
        <v>2684</v>
      </c>
      <c r="E447" s="415" t="s">
        <v>2165</v>
      </c>
      <c r="F447" s="415">
        <v>430</v>
      </c>
      <c r="G447" s="415" t="s">
        <v>3034</v>
      </c>
      <c r="H447" s="415">
        <v>0</v>
      </c>
      <c r="I447" s="415">
        <v>0</v>
      </c>
      <c r="J447" s="415">
        <v>7</v>
      </c>
      <c r="K447" s="415">
        <v>2</v>
      </c>
      <c r="L447" s="415">
        <v>450</v>
      </c>
      <c r="M447" s="415">
        <v>205</v>
      </c>
      <c r="N447" s="415" t="s">
        <v>2675</v>
      </c>
      <c r="O447" s="415" t="s">
        <v>2675</v>
      </c>
      <c r="P447" s="415">
        <v>649</v>
      </c>
      <c r="Q447" s="415">
        <v>343</v>
      </c>
      <c r="R447" s="415" t="s">
        <v>2699</v>
      </c>
      <c r="S447" s="415" t="s">
        <v>3032</v>
      </c>
      <c r="T447" s="416">
        <v>128</v>
      </c>
      <c r="U447" s="416">
        <v>128</v>
      </c>
      <c r="V447" s="416">
        <v>128</v>
      </c>
      <c r="W447" s="416">
        <v>126</v>
      </c>
      <c r="X447" s="416">
        <v>125</v>
      </c>
      <c r="Y447" s="416">
        <v>123</v>
      </c>
      <c r="Z447" s="416">
        <v>120</v>
      </c>
      <c r="AA447" s="416">
        <v>119</v>
      </c>
      <c r="AB447" s="416">
        <v>117</v>
      </c>
      <c r="AC447" s="416">
        <v>115</v>
      </c>
      <c r="AD447" s="416">
        <v>114</v>
      </c>
      <c r="AE447" s="416">
        <v>111</v>
      </c>
      <c r="AF447" s="416">
        <v>108</v>
      </c>
      <c r="AG447" s="416">
        <v>104</v>
      </c>
      <c r="AH447" s="416">
        <v>101</v>
      </c>
      <c r="AI447" s="416">
        <v>87.8</v>
      </c>
      <c r="AJ447" s="416">
        <v>70.400000000000006</v>
      </c>
      <c r="AK447" s="416">
        <v>53</v>
      </c>
      <c r="AL447" s="416">
        <v>38.1</v>
      </c>
      <c r="AM447" s="416">
        <v>27.5</v>
      </c>
      <c r="AN447" s="416">
        <v>20.5</v>
      </c>
      <c r="AO447" s="416">
        <v>15.9</v>
      </c>
      <c r="AP447" s="416">
        <v>12.2</v>
      </c>
      <c r="AQ447" s="416">
        <v>0</v>
      </c>
      <c r="AR447" s="416">
        <v>0</v>
      </c>
      <c r="AS447" s="416">
        <v>0</v>
      </c>
      <c r="AT447" s="416">
        <v>0</v>
      </c>
      <c r="AU447" s="416">
        <v>0</v>
      </c>
      <c r="AV447" s="416">
        <v>0</v>
      </c>
      <c r="AW447" s="416">
        <v>0</v>
      </c>
      <c r="AX447" s="416">
        <v>0</v>
      </c>
      <c r="AY447" s="416">
        <v>0</v>
      </c>
      <c r="AZ447" s="416">
        <v>0</v>
      </c>
    </row>
    <row r="448" spans="1:52" s="411" customFormat="1" x14ac:dyDescent="0.3">
      <c r="A448" s="415" t="str">
        <f t="shared" si="6"/>
        <v>SA-479 Gr.430</v>
      </c>
      <c r="B448" s="415">
        <v>442</v>
      </c>
      <c r="C448" s="415" t="s">
        <v>3033</v>
      </c>
      <c r="D448" s="415" t="s">
        <v>2677</v>
      </c>
      <c r="E448" s="415" t="s">
        <v>2245</v>
      </c>
      <c r="F448" s="415">
        <v>430</v>
      </c>
      <c r="G448" s="415" t="s">
        <v>3034</v>
      </c>
      <c r="H448" s="415">
        <v>0</v>
      </c>
      <c r="I448" s="415">
        <v>0</v>
      </c>
      <c r="J448" s="415">
        <v>7</v>
      </c>
      <c r="K448" s="415">
        <v>2</v>
      </c>
      <c r="L448" s="415">
        <v>485</v>
      </c>
      <c r="M448" s="415">
        <v>275</v>
      </c>
      <c r="N448" s="415">
        <v>371</v>
      </c>
      <c r="O448" s="415">
        <v>371</v>
      </c>
      <c r="P448" s="415">
        <v>538</v>
      </c>
      <c r="Q448" s="415">
        <v>343</v>
      </c>
      <c r="R448" s="415" t="s">
        <v>2699</v>
      </c>
      <c r="S448" s="415" t="s">
        <v>3037</v>
      </c>
      <c r="T448" s="416">
        <v>138</v>
      </c>
      <c r="U448" s="416">
        <v>138</v>
      </c>
      <c r="V448" s="416">
        <v>138</v>
      </c>
      <c r="W448" s="416">
        <v>138</v>
      </c>
      <c r="X448" s="416">
        <v>137</v>
      </c>
      <c r="Y448" s="416">
        <v>135</v>
      </c>
      <c r="Z448" s="416">
        <v>133</v>
      </c>
      <c r="AA448" s="416">
        <v>131</v>
      </c>
      <c r="AB448" s="416">
        <v>129</v>
      </c>
      <c r="AC448" s="416">
        <v>127</v>
      </c>
      <c r="AD448" s="416">
        <v>124</v>
      </c>
      <c r="AE448" s="416">
        <v>122</v>
      </c>
      <c r="AF448" s="416">
        <v>118</v>
      </c>
      <c r="AG448" s="416">
        <v>113</v>
      </c>
      <c r="AH448" s="416">
        <v>109</v>
      </c>
      <c r="AI448" s="416">
        <v>90.1</v>
      </c>
      <c r="AJ448" s="416">
        <v>69.5</v>
      </c>
      <c r="AK448" s="416">
        <v>53.6</v>
      </c>
      <c r="AL448" s="416">
        <v>36.5</v>
      </c>
      <c r="AM448" s="416">
        <v>0</v>
      </c>
      <c r="AN448" s="416">
        <v>0</v>
      </c>
      <c r="AO448" s="416">
        <v>0</v>
      </c>
      <c r="AP448" s="416">
        <v>0</v>
      </c>
      <c r="AQ448" s="416">
        <v>0</v>
      </c>
      <c r="AR448" s="416">
        <v>0</v>
      </c>
      <c r="AS448" s="416">
        <v>0</v>
      </c>
      <c r="AT448" s="416">
        <v>0</v>
      </c>
      <c r="AU448" s="416">
        <v>0</v>
      </c>
      <c r="AV448" s="416">
        <v>0</v>
      </c>
      <c r="AW448" s="416">
        <v>0</v>
      </c>
      <c r="AX448" s="416">
        <v>0</v>
      </c>
      <c r="AY448" s="416">
        <v>0</v>
      </c>
      <c r="AZ448" s="416">
        <v>0</v>
      </c>
    </row>
    <row r="449" spans="1:52" s="411" customFormat="1" x14ac:dyDescent="0.3">
      <c r="A449" s="415" t="str">
        <f t="shared" si="6"/>
        <v>SA-747 Gr.CB7Cu-1</v>
      </c>
      <c r="B449" s="415">
        <v>443</v>
      </c>
      <c r="C449" s="415" t="s">
        <v>3038</v>
      </c>
      <c r="D449" s="415" t="s">
        <v>2739</v>
      </c>
      <c r="E449" s="415" t="s">
        <v>2318</v>
      </c>
      <c r="F449" s="415" t="s">
        <v>2362</v>
      </c>
      <c r="G449" s="415" t="s">
        <v>3039</v>
      </c>
      <c r="H449" s="415">
        <v>0</v>
      </c>
      <c r="I449" s="415">
        <v>0</v>
      </c>
      <c r="J449" s="415">
        <v>0</v>
      </c>
      <c r="K449" s="415">
        <v>0</v>
      </c>
      <c r="L449" s="415">
        <v>1035</v>
      </c>
      <c r="M449" s="415">
        <v>965</v>
      </c>
      <c r="N449" s="415" t="s">
        <v>2675</v>
      </c>
      <c r="O449" s="415" t="s">
        <v>2675</v>
      </c>
      <c r="P449" s="415">
        <v>93</v>
      </c>
      <c r="Q449" s="415" t="s">
        <v>2675</v>
      </c>
      <c r="R449" s="415" t="s">
        <v>3040</v>
      </c>
      <c r="S449" s="415" t="s">
        <v>3041</v>
      </c>
      <c r="T449" s="416">
        <v>221</v>
      </c>
      <c r="U449" s="416">
        <v>221</v>
      </c>
      <c r="V449" s="416">
        <v>221</v>
      </c>
      <c r="W449" s="416">
        <v>221</v>
      </c>
      <c r="X449" s="416">
        <v>0</v>
      </c>
      <c r="Y449" s="416">
        <v>0</v>
      </c>
      <c r="Z449" s="416">
        <v>0</v>
      </c>
      <c r="AA449" s="416">
        <v>0</v>
      </c>
      <c r="AB449" s="416">
        <v>0</v>
      </c>
      <c r="AC449" s="416">
        <v>0</v>
      </c>
      <c r="AD449" s="416">
        <v>0</v>
      </c>
      <c r="AE449" s="416">
        <v>0</v>
      </c>
      <c r="AF449" s="416">
        <v>0</v>
      </c>
      <c r="AG449" s="416">
        <v>0</v>
      </c>
      <c r="AH449" s="416">
        <v>0</v>
      </c>
      <c r="AI449" s="416">
        <v>0</v>
      </c>
      <c r="AJ449" s="416">
        <v>0</v>
      </c>
      <c r="AK449" s="416">
        <v>0</v>
      </c>
      <c r="AL449" s="416">
        <v>0</v>
      </c>
      <c r="AM449" s="416">
        <v>0</v>
      </c>
      <c r="AN449" s="416">
        <v>0</v>
      </c>
      <c r="AO449" s="416">
        <v>0</v>
      </c>
      <c r="AP449" s="416">
        <v>0</v>
      </c>
      <c r="AQ449" s="416">
        <v>0</v>
      </c>
      <c r="AR449" s="416">
        <v>0</v>
      </c>
      <c r="AS449" s="416">
        <v>0</v>
      </c>
      <c r="AT449" s="416">
        <v>0</v>
      </c>
      <c r="AU449" s="416">
        <v>0</v>
      </c>
      <c r="AV449" s="416">
        <v>0</v>
      </c>
      <c r="AW449" s="416">
        <v>0</v>
      </c>
      <c r="AX449" s="416">
        <v>0</v>
      </c>
      <c r="AY449" s="416">
        <v>0</v>
      </c>
      <c r="AZ449" s="416">
        <v>0</v>
      </c>
    </row>
    <row r="450" spans="1:52" s="411" customFormat="1" x14ac:dyDescent="0.3">
      <c r="A450" s="415" t="str">
        <f t="shared" si="6"/>
        <v>SA-564 Gr.630</v>
      </c>
      <c r="B450" s="415">
        <v>444</v>
      </c>
      <c r="C450" s="415" t="s">
        <v>3042</v>
      </c>
      <c r="D450" s="415" t="s">
        <v>2677</v>
      </c>
      <c r="E450" s="415" t="s">
        <v>2275</v>
      </c>
      <c r="F450" s="415">
        <v>630</v>
      </c>
      <c r="G450" s="415" t="s">
        <v>3043</v>
      </c>
      <c r="H450" s="415" t="s">
        <v>3044</v>
      </c>
      <c r="I450" s="415">
        <v>0</v>
      </c>
      <c r="J450" s="415">
        <v>0</v>
      </c>
      <c r="K450" s="415">
        <v>0</v>
      </c>
      <c r="L450" s="415">
        <v>930</v>
      </c>
      <c r="M450" s="415">
        <v>725</v>
      </c>
      <c r="N450" s="415" t="s">
        <v>2675</v>
      </c>
      <c r="O450" s="415">
        <v>343</v>
      </c>
      <c r="P450" s="415">
        <v>343</v>
      </c>
      <c r="Q450" s="415" t="s">
        <v>2675</v>
      </c>
      <c r="R450" s="415" t="s">
        <v>3040</v>
      </c>
      <c r="S450" s="415" t="s">
        <v>3045</v>
      </c>
      <c r="T450" s="416">
        <v>266</v>
      </c>
      <c r="U450" s="416">
        <v>266</v>
      </c>
      <c r="V450" s="416">
        <v>266</v>
      </c>
      <c r="W450" s="416">
        <v>266</v>
      </c>
      <c r="X450" s="416">
        <v>266</v>
      </c>
      <c r="Y450" s="416">
        <v>266</v>
      </c>
      <c r="Z450" s="416">
        <v>259</v>
      </c>
      <c r="AA450" s="416">
        <v>254</v>
      </c>
      <c r="AB450" s="416">
        <v>251</v>
      </c>
      <c r="AC450" s="416">
        <v>249</v>
      </c>
      <c r="AD450" s="416">
        <v>247</v>
      </c>
      <c r="AE450" s="416">
        <v>0</v>
      </c>
      <c r="AF450" s="416">
        <v>0</v>
      </c>
      <c r="AG450" s="416">
        <v>0</v>
      </c>
      <c r="AH450" s="416">
        <v>0</v>
      </c>
      <c r="AI450" s="416">
        <v>0</v>
      </c>
      <c r="AJ450" s="416">
        <v>0</v>
      </c>
      <c r="AK450" s="416">
        <v>0</v>
      </c>
      <c r="AL450" s="416">
        <v>0</v>
      </c>
      <c r="AM450" s="416">
        <v>0</v>
      </c>
      <c r="AN450" s="416">
        <v>0</v>
      </c>
      <c r="AO450" s="416">
        <v>0</v>
      </c>
      <c r="AP450" s="416">
        <v>0</v>
      </c>
      <c r="AQ450" s="416">
        <v>0</v>
      </c>
      <c r="AR450" s="416">
        <v>0</v>
      </c>
      <c r="AS450" s="416">
        <v>0</v>
      </c>
      <c r="AT450" s="416">
        <v>0</v>
      </c>
      <c r="AU450" s="416">
        <v>0</v>
      </c>
      <c r="AV450" s="416">
        <v>0</v>
      </c>
      <c r="AW450" s="416">
        <v>0</v>
      </c>
      <c r="AX450" s="416">
        <v>0</v>
      </c>
      <c r="AY450" s="416">
        <v>0</v>
      </c>
      <c r="AZ450" s="416">
        <v>0</v>
      </c>
    </row>
    <row r="451" spans="1:52" s="411" customFormat="1" x14ac:dyDescent="0.3">
      <c r="A451" s="415" t="str">
        <f t="shared" si="6"/>
        <v>SA-693 Gr.630</v>
      </c>
      <c r="B451" s="415">
        <v>445</v>
      </c>
      <c r="C451" s="415" t="s">
        <v>3042</v>
      </c>
      <c r="D451" s="415" t="s">
        <v>2684</v>
      </c>
      <c r="E451" s="415" t="s">
        <v>3046</v>
      </c>
      <c r="F451" s="415">
        <v>630</v>
      </c>
      <c r="G451" s="415" t="s">
        <v>3043</v>
      </c>
      <c r="H451" s="415" t="s">
        <v>3044</v>
      </c>
      <c r="I451" s="415">
        <v>0</v>
      </c>
      <c r="J451" s="415">
        <v>0</v>
      </c>
      <c r="K451" s="415">
        <v>0</v>
      </c>
      <c r="L451" s="415">
        <v>930</v>
      </c>
      <c r="M451" s="415">
        <v>725</v>
      </c>
      <c r="N451" s="415" t="s">
        <v>2675</v>
      </c>
      <c r="O451" s="415">
        <v>343</v>
      </c>
      <c r="P451" s="415" t="s">
        <v>2675</v>
      </c>
      <c r="Q451" s="415" t="s">
        <v>2675</v>
      </c>
      <c r="R451" s="415" t="s">
        <v>3040</v>
      </c>
      <c r="S451" s="415" t="s">
        <v>3047</v>
      </c>
      <c r="T451" s="416">
        <v>266</v>
      </c>
      <c r="U451" s="416">
        <v>266</v>
      </c>
      <c r="V451" s="416">
        <v>266</v>
      </c>
      <c r="W451" s="416">
        <v>266</v>
      </c>
      <c r="X451" s="416">
        <v>266</v>
      </c>
      <c r="Y451" s="416">
        <v>266</v>
      </c>
      <c r="Z451" s="416">
        <v>259</v>
      </c>
      <c r="AA451" s="416">
        <v>254</v>
      </c>
      <c r="AB451" s="416">
        <v>251</v>
      </c>
      <c r="AC451" s="416">
        <v>249</v>
      </c>
      <c r="AD451" s="416">
        <v>247</v>
      </c>
      <c r="AE451" s="416">
        <v>0</v>
      </c>
      <c r="AF451" s="416">
        <v>0</v>
      </c>
      <c r="AG451" s="416">
        <v>0</v>
      </c>
      <c r="AH451" s="416">
        <v>0</v>
      </c>
      <c r="AI451" s="416">
        <v>0</v>
      </c>
      <c r="AJ451" s="416">
        <v>0</v>
      </c>
      <c r="AK451" s="416">
        <v>0</v>
      </c>
      <c r="AL451" s="416">
        <v>0</v>
      </c>
      <c r="AM451" s="416">
        <v>0</v>
      </c>
      <c r="AN451" s="416">
        <v>0</v>
      </c>
      <c r="AO451" s="416">
        <v>0</v>
      </c>
      <c r="AP451" s="416">
        <v>0</v>
      </c>
      <c r="AQ451" s="416">
        <v>0</v>
      </c>
      <c r="AR451" s="416">
        <v>0</v>
      </c>
      <c r="AS451" s="416">
        <v>0</v>
      </c>
      <c r="AT451" s="416">
        <v>0</v>
      </c>
      <c r="AU451" s="416">
        <v>0</v>
      </c>
      <c r="AV451" s="416">
        <v>0</v>
      </c>
      <c r="AW451" s="416">
        <v>0</v>
      </c>
      <c r="AX451" s="416">
        <v>0</v>
      </c>
      <c r="AY451" s="416">
        <v>0</v>
      </c>
      <c r="AZ451" s="416">
        <v>0</v>
      </c>
    </row>
    <row r="452" spans="1:52" s="411" customFormat="1" x14ac:dyDescent="0.3">
      <c r="A452" s="415" t="str">
        <f t="shared" si="6"/>
        <v>SA-705 Gr.630</v>
      </c>
      <c r="B452" s="415">
        <v>446</v>
      </c>
      <c r="C452" s="415" t="s">
        <v>3042</v>
      </c>
      <c r="D452" s="415" t="s">
        <v>2737</v>
      </c>
      <c r="E452" s="415" t="s">
        <v>3048</v>
      </c>
      <c r="F452" s="415">
        <v>630</v>
      </c>
      <c r="G452" s="415" t="s">
        <v>3043</v>
      </c>
      <c r="H452" s="415" t="s">
        <v>3044</v>
      </c>
      <c r="I452" s="415">
        <v>0</v>
      </c>
      <c r="J452" s="415">
        <v>0</v>
      </c>
      <c r="K452" s="415">
        <v>0</v>
      </c>
      <c r="L452" s="415">
        <v>930</v>
      </c>
      <c r="M452" s="415">
        <v>725</v>
      </c>
      <c r="N452" s="415" t="s">
        <v>2675</v>
      </c>
      <c r="O452" s="415">
        <v>343</v>
      </c>
      <c r="P452" s="415" t="s">
        <v>2675</v>
      </c>
      <c r="Q452" s="415" t="s">
        <v>2675</v>
      </c>
      <c r="R452" s="415" t="s">
        <v>3040</v>
      </c>
      <c r="S452" s="415" t="s">
        <v>3047</v>
      </c>
      <c r="T452" s="416">
        <v>266</v>
      </c>
      <c r="U452" s="416">
        <v>266</v>
      </c>
      <c r="V452" s="416">
        <v>266</v>
      </c>
      <c r="W452" s="416">
        <v>266</v>
      </c>
      <c r="X452" s="416">
        <v>266</v>
      </c>
      <c r="Y452" s="416">
        <v>266</v>
      </c>
      <c r="Z452" s="416">
        <v>259</v>
      </c>
      <c r="AA452" s="416">
        <v>254</v>
      </c>
      <c r="AB452" s="416">
        <v>251</v>
      </c>
      <c r="AC452" s="416">
        <v>249</v>
      </c>
      <c r="AD452" s="416">
        <v>247</v>
      </c>
      <c r="AE452" s="416">
        <v>0</v>
      </c>
      <c r="AF452" s="416">
        <v>0</v>
      </c>
      <c r="AG452" s="416">
        <v>0</v>
      </c>
      <c r="AH452" s="416">
        <v>0</v>
      </c>
      <c r="AI452" s="416">
        <v>0</v>
      </c>
      <c r="AJ452" s="416">
        <v>0</v>
      </c>
      <c r="AK452" s="416">
        <v>0</v>
      </c>
      <c r="AL452" s="416">
        <v>0</v>
      </c>
      <c r="AM452" s="416">
        <v>0</v>
      </c>
      <c r="AN452" s="416">
        <v>0</v>
      </c>
      <c r="AO452" s="416">
        <v>0</v>
      </c>
      <c r="AP452" s="416">
        <v>0</v>
      </c>
      <c r="AQ452" s="416">
        <v>0</v>
      </c>
      <c r="AR452" s="416">
        <v>0</v>
      </c>
      <c r="AS452" s="416">
        <v>0</v>
      </c>
      <c r="AT452" s="416">
        <v>0</v>
      </c>
      <c r="AU452" s="416">
        <v>0</v>
      </c>
      <c r="AV452" s="416">
        <v>0</v>
      </c>
      <c r="AW452" s="416">
        <v>0</v>
      </c>
      <c r="AX452" s="416">
        <v>0</v>
      </c>
      <c r="AY452" s="416">
        <v>0</v>
      </c>
      <c r="AZ452" s="416">
        <v>0</v>
      </c>
    </row>
    <row r="453" spans="1:52" s="411" customFormat="1" x14ac:dyDescent="0.3">
      <c r="A453" s="415" t="str">
        <f t="shared" si="6"/>
        <v>SA-564 Gr.630</v>
      </c>
      <c r="B453" s="415">
        <v>447</v>
      </c>
      <c r="C453" s="415" t="s">
        <v>3042</v>
      </c>
      <c r="D453" s="415" t="s">
        <v>2677</v>
      </c>
      <c r="E453" s="415" t="s">
        <v>2275</v>
      </c>
      <c r="F453" s="415">
        <v>630</v>
      </c>
      <c r="G453" s="415" t="s">
        <v>3043</v>
      </c>
      <c r="H453" s="415" t="s">
        <v>3049</v>
      </c>
      <c r="I453" s="415">
        <v>0</v>
      </c>
      <c r="J453" s="415">
        <v>0</v>
      </c>
      <c r="K453" s="415">
        <v>0</v>
      </c>
      <c r="L453" s="415">
        <v>965</v>
      </c>
      <c r="M453" s="415">
        <v>795</v>
      </c>
      <c r="N453" s="415" t="s">
        <v>2675</v>
      </c>
      <c r="O453" s="415">
        <v>343</v>
      </c>
      <c r="P453" s="415">
        <v>343</v>
      </c>
      <c r="Q453" s="415" t="s">
        <v>2675</v>
      </c>
      <c r="R453" s="415" t="s">
        <v>3040</v>
      </c>
      <c r="S453" s="415" t="s">
        <v>3045</v>
      </c>
      <c r="T453" s="416">
        <v>276</v>
      </c>
      <c r="U453" s="416">
        <v>276</v>
      </c>
      <c r="V453" s="416">
        <v>276</v>
      </c>
      <c r="W453" s="416">
        <v>276</v>
      </c>
      <c r="X453" s="416">
        <v>276</v>
      </c>
      <c r="Y453" s="416">
        <v>276</v>
      </c>
      <c r="Z453" s="416">
        <v>269</v>
      </c>
      <c r="AA453" s="416">
        <v>263</v>
      </c>
      <c r="AB453" s="416">
        <v>260</v>
      </c>
      <c r="AC453" s="416">
        <v>258</v>
      </c>
      <c r="AD453" s="416">
        <v>256</v>
      </c>
      <c r="AE453" s="416">
        <v>0</v>
      </c>
      <c r="AF453" s="416">
        <v>0</v>
      </c>
      <c r="AG453" s="416">
        <v>0</v>
      </c>
      <c r="AH453" s="416">
        <v>0</v>
      </c>
      <c r="AI453" s="416">
        <v>0</v>
      </c>
      <c r="AJ453" s="416">
        <v>0</v>
      </c>
      <c r="AK453" s="416">
        <v>0</v>
      </c>
      <c r="AL453" s="416">
        <v>0</v>
      </c>
      <c r="AM453" s="416">
        <v>0</v>
      </c>
      <c r="AN453" s="416">
        <v>0</v>
      </c>
      <c r="AO453" s="416">
        <v>0</v>
      </c>
      <c r="AP453" s="416">
        <v>0</v>
      </c>
      <c r="AQ453" s="416">
        <v>0</v>
      </c>
      <c r="AR453" s="416">
        <v>0</v>
      </c>
      <c r="AS453" s="416">
        <v>0</v>
      </c>
      <c r="AT453" s="416">
        <v>0</v>
      </c>
      <c r="AU453" s="416">
        <v>0</v>
      </c>
      <c r="AV453" s="416">
        <v>0</v>
      </c>
      <c r="AW453" s="416">
        <v>0</v>
      </c>
      <c r="AX453" s="416">
        <v>0</v>
      </c>
      <c r="AY453" s="416">
        <v>0</v>
      </c>
      <c r="AZ453" s="416">
        <v>0</v>
      </c>
    </row>
    <row r="454" spans="1:52" s="411" customFormat="1" x14ac:dyDescent="0.3">
      <c r="A454" s="415" t="str">
        <f t="shared" si="6"/>
        <v>SA-693 Gr.630</v>
      </c>
      <c r="B454" s="415">
        <v>448</v>
      </c>
      <c r="C454" s="415" t="s">
        <v>3042</v>
      </c>
      <c r="D454" s="415" t="s">
        <v>2684</v>
      </c>
      <c r="E454" s="415" t="s">
        <v>3046</v>
      </c>
      <c r="F454" s="415">
        <v>630</v>
      </c>
      <c r="G454" s="415" t="s">
        <v>3043</v>
      </c>
      <c r="H454" s="415" t="s">
        <v>3049</v>
      </c>
      <c r="I454" s="415">
        <v>0</v>
      </c>
      <c r="J454" s="415">
        <v>0</v>
      </c>
      <c r="K454" s="415">
        <v>0</v>
      </c>
      <c r="L454" s="415">
        <v>965</v>
      </c>
      <c r="M454" s="415">
        <v>795</v>
      </c>
      <c r="N454" s="415" t="s">
        <v>2675</v>
      </c>
      <c r="O454" s="415">
        <v>343</v>
      </c>
      <c r="P454" s="415" t="s">
        <v>2675</v>
      </c>
      <c r="Q454" s="415" t="s">
        <v>2675</v>
      </c>
      <c r="R454" s="415" t="s">
        <v>3040</v>
      </c>
      <c r="S454" s="415" t="s">
        <v>3047</v>
      </c>
      <c r="T454" s="416">
        <v>276</v>
      </c>
      <c r="U454" s="416">
        <v>276</v>
      </c>
      <c r="V454" s="416">
        <v>276</v>
      </c>
      <c r="W454" s="416">
        <v>276</v>
      </c>
      <c r="X454" s="416">
        <v>276</v>
      </c>
      <c r="Y454" s="416">
        <v>276</v>
      </c>
      <c r="Z454" s="416">
        <v>269</v>
      </c>
      <c r="AA454" s="416">
        <v>263</v>
      </c>
      <c r="AB454" s="416">
        <v>260</v>
      </c>
      <c r="AC454" s="416">
        <v>258</v>
      </c>
      <c r="AD454" s="416">
        <v>256</v>
      </c>
      <c r="AE454" s="416">
        <v>0</v>
      </c>
      <c r="AF454" s="416">
        <v>0</v>
      </c>
      <c r="AG454" s="416">
        <v>0</v>
      </c>
      <c r="AH454" s="416">
        <v>0</v>
      </c>
      <c r="AI454" s="416">
        <v>0</v>
      </c>
      <c r="AJ454" s="416">
        <v>0</v>
      </c>
      <c r="AK454" s="416">
        <v>0</v>
      </c>
      <c r="AL454" s="416">
        <v>0</v>
      </c>
      <c r="AM454" s="416">
        <v>0</v>
      </c>
      <c r="AN454" s="416">
        <v>0</v>
      </c>
      <c r="AO454" s="416">
        <v>0</v>
      </c>
      <c r="AP454" s="416">
        <v>0</v>
      </c>
      <c r="AQ454" s="416">
        <v>0</v>
      </c>
      <c r="AR454" s="416">
        <v>0</v>
      </c>
      <c r="AS454" s="416">
        <v>0</v>
      </c>
      <c r="AT454" s="416">
        <v>0</v>
      </c>
      <c r="AU454" s="416">
        <v>0</v>
      </c>
      <c r="AV454" s="416">
        <v>0</v>
      </c>
      <c r="AW454" s="416">
        <v>0</v>
      </c>
      <c r="AX454" s="416">
        <v>0</v>
      </c>
      <c r="AY454" s="416">
        <v>0</v>
      </c>
      <c r="AZ454" s="416">
        <v>0</v>
      </c>
    </row>
    <row r="455" spans="1:52" s="411" customFormat="1" x14ac:dyDescent="0.3">
      <c r="A455" s="415" t="str">
        <f t="shared" si="6"/>
        <v>SA-705 Gr.630</v>
      </c>
      <c r="B455" s="415">
        <v>449</v>
      </c>
      <c r="C455" s="415" t="s">
        <v>3042</v>
      </c>
      <c r="D455" s="415" t="s">
        <v>2737</v>
      </c>
      <c r="E455" s="415" t="s">
        <v>3048</v>
      </c>
      <c r="F455" s="415">
        <v>630</v>
      </c>
      <c r="G455" s="415" t="s">
        <v>3043</v>
      </c>
      <c r="H455" s="415" t="s">
        <v>3049</v>
      </c>
      <c r="I455" s="415">
        <v>0</v>
      </c>
      <c r="J455" s="415">
        <v>0</v>
      </c>
      <c r="K455" s="415">
        <v>0</v>
      </c>
      <c r="L455" s="415">
        <v>965</v>
      </c>
      <c r="M455" s="415">
        <v>795</v>
      </c>
      <c r="N455" s="415" t="s">
        <v>2675</v>
      </c>
      <c r="O455" s="415">
        <v>343</v>
      </c>
      <c r="P455" s="415" t="s">
        <v>2675</v>
      </c>
      <c r="Q455" s="415" t="s">
        <v>2675</v>
      </c>
      <c r="R455" s="415" t="s">
        <v>3040</v>
      </c>
      <c r="S455" s="415" t="s">
        <v>3047</v>
      </c>
      <c r="T455" s="416">
        <v>276</v>
      </c>
      <c r="U455" s="416">
        <v>276</v>
      </c>
      <c r="V455" s="416">
        <v>276</v>
      </c>
      <c r="W455" s="416">
        <v>276</v>
      </c>
      <c r="X455" s="416">
        <v>276</v>
      </c>
      <c r="Y455" s="416">
        <v>276</v>
      </c>
      <c r="Z455" s="416">
        <v>269</v>
      </c>
      <c r="AA455" s="416">
        <v>263</v>
      </c>
      <c r="AB455" s="416">
        <v>260</v>
      </c>
      <c r="AC455" s="416">
        <v>258</v>
      </c>
      <c r="AD455" s="416">
        <v>256</v>
      </c>
      <c r="AE455" s="416">
        <v>0</v>
      </c>
      <c r="AF455" s="416">
        <v>0</v>
      </c>
      <c r="AG455" s="416">
        <v>0</v>
      </c>
      <c r="AH455" s="416">
        <v>0</v>
      </c>
      <c r="AI455" s="416">
        <v>0</v>
      </c>
      <c r="AJ455" s="416">
        <v>0</v>
      </c>
      <c r="AK455" s="416">
        <v>0</v>
      </c>
      <c r="AL455" s="416">
        <v>0</v>
      </c>
      <c r="AM455" s="416">
        <v>0</v>
      </c>
      <c r="AN455" s="416">
        <v>0</v>
      </c>
      <c r="AO455" s="416">
        <v>0</v>
      </c>
      <c r="AP455" s="416">
        <v>0</v>
      </c>
      <c r="AQ455" s="416">
        <v>0</v>
      </c>
      <c r="AR455" s="416">
        <v>0</v>
      </c>
      <c r="AS455" s="416">
        <v>0</v>
      </c>
      <c r="AT455" s="416">
        <v>0</v>
      </c>
      <c r="AU455" s="416">
        <v>0</v>
      </c>
      <c r="AV455" s="416">
        <v>0</v>
      </c>
      <c r="AW455" s="416">
        <v>0</v>
      </c>
      <c r="AX455" s="416">
        <v>0</v>
      </c>
      <c r="AY455" s="416">
        <v>0</v>
      </c>
      <c r="AZ455" s="416">
        <v>0</v>
      </c>
    </row>
    <row r="456" spans="1:52" s="411" customFormat="1" x14ac:dyDescent="0.3">
      <c r="A456" s="415" t="str">
        <f t="shared" ref="A456:A519" si="7">CONCATENATE(E456," Gr.",F456)</f>
        <v>SA-564 Gr.630</v>
      </c>
      <c r="B456" s="415">
        <v>450</v>
      </c>
      <c r="C456" s="415" t="s">
        <v>3042</v>
      </c>
      <c r="D456" s="415" t="s">
        <v>2677</v>
      </c>
      <c r="E456" s="415" t="s">
        <v>2275</v>
      </c>
      <c r="F456" s="415">
        <v>630</v>
      </c>
      <c r="G456" s="415" t="s">
        <v>3043</v>
      </c>
      <c r="H456" s="415" t="s">
        <v>3050</v>
      </c>
      <c r="I456" s="415">
        <v>0</v>
      </c>
      <c r="J456" s="415">
        <v>0</v>
      </c>
      <c r="K456" s="415">
        <v>0</v>
      </c>
      <c r="L456" s="415">
        <v>1000</v>
      </c>
      <c r="M456" s="415">
        <v>860</v>
      </c>
      <c r="N456" s="415" t="s">
        <v>2675</v>
      </c>
      <c r="O456" s="415">
        <v>343</v>
      </c>
      <c r="P456" s="415" t="s">
        <v>2675</v>
      </c>
      <c r="Q456" s="415" t="s">
        <v>2675</v>
      </c>
      <c r="R456" s="415" t="s">
        <v>3040</v>
      </c>
      <c r="S456" s="415" t="s">
        <v>3047</v>
      </c>
      <c r="T456" s="416">
        <v>285</v>
      </c>
      <c r="U456" s="416">
        <v>285</v>
      </c>
      <c r="V456" s="416">
        <v>285</v>
      </c>
      <c r="W456" s="416">
        <v>285</v>
      </c>
      <c r="X456" s="416">
        <v>285</v>
      </c>
      <c r="Y456" s="416">
        <v>285</v>
      </c>
      <c r="Z456" s="416">
        <v>279</v>
      </c>
      <c r="AA456" s="416">
        <v>273</v>
      </c>
      <c r="AB456" s="416">
        <v>270</v>
      </c>
      <c r="AC456" s="416">
        <v>267</v>
      </c>
      <c r="AD456" s="416">
        <v>265</v>
      </c>
      <c r="AE456" s="416">
        <v>0</v>
      </c>
      <c r="AF456" s="416">
        <v>0</v>
      </c>
      <c r="AG456" s="416">
        <v>0</v>
      </c>
      <c r="AH456" s="416">
        <v>0</v>
      </c>
      <c r="AI456" s="416">
        <v>0</v>
      </c>
      <c r="AJ456" s="416">
        <v>0</v>
      </c>
      <c r="AK456" s="416">
        <v>0</v>
      </c>
      <c r="AL456" s="416">
        <v>0</v>
      </c>
      <c r="AM456" s="416">
        <v>0</v>
      </c>
      <c r="AN456" s="416">
        <v>0</v>
      </c>
      <c r="AO456" s="416">
        <v>0</v>
      </c>
      <c r="AP456" s="416">
        <v>0</v>
      </c>
      <c r="AQ456" s="416">
        <v>0</v>
      </c>
      <c r="AR456" s="416">
        <v>0</v>
      </c>
      <c r="AS456" s="416">
        <v>0</v>
      </c>
      <c r="AT456" s="416">
        <v>0</v>
      </c>
      <c r="AU456" s="416">
        <v>0</v>
      </c>
      <c r="AV456" s="416">
        <v>0</v>
      </c>
      <c r="AW456" s="416">
        <v>0</v>
      </c>
      <c r="AX456" s="416">
        <v>0</v>
      </c>
      <c r="AY456" s="416">
        <v>0</v>
      </c>
      <c r="AZ456" s="416">
        <v>0</v>
      </c>
    </row>
    <row r="457" spans="1:52" s="411" customFormat="1" x14ac:dyDescent="0.3">
      <c r="A457" s="415" t="str">
        <f t="shared" si="7"/>
        <v>SA-693 Gr.630</v>
      </c>
      <c r="B457" s="415">
        <v>451</v>
      </c>
      <c r="C457" s="415" t="s">
        <v>3042</v>
      </c>
      <c r="D457" s="415" t="s">
        <v>2684</v>
      </c>
      <c r="E457" s="415" t="s">
        <v>3046</v>
      </c>
      <c r="F457" s="415">
        <v>630</v>
      </c>
      <c r="G457" s="415" t="s">
        <v>3043</v>
      </c>
      <c r="H457" s="415" t="s">
        <v>3050</v>
      </c>
      <c r="I457" s="415">
        <v>0</v>
      </c>
      <c r="J457" s="415">
        <v>0</v>
      </c>
      <c r="K457" s="415">
        <v>0</v>
      </c>
      <c r="L457" s="415">
        <v>1000</v>
      </c>
      <c r="M457" s="415">
        <v>860</v>
      </c>
      <c r="N457" s="415" t="s">
        <v>2675</v>
      </c>
      <c r="O457" s="415">
        <v>343</v>
      </c>
      <c r="P457" s="415" t="s">
        <v>2675</v>
      </c>
      <c r="Q457" s="415" t="s">
        <v>2675</v>
      </c>
      <c r="R457" s="415" t="s">
        <v>3040</v>
      </c>
      <c r="S457" s="415" t="s">
        <v>3047</v>
      </c>
      <c r="T457" s="416">
        <v>285</v>
      </c>
      <c r="U457" s="416">
        <v>285</v>
      </c>
      <c r="V457" s="416">
        <v>285</v>
      </c>
      <c r="W457" s="416">
        <v>285</v>
      </c>
      <c r="X457" s="416">
        <v>285</v>
      </c>
      <c r="Y457" s="416">
        <v>285</v>
      </c>
      <c r="Z457" s="416">
        <v>279</v>
      </c>
      <c r="AA457" s="416">
        <v>273</v>
      </c>
      <c r="AB457" s="416">
        <v>270</v>
      </c>
      <c r="AC457" s="416">
        <v>267</v>
      </c>
      <c r="AD457" s="416">
        <v>265</v>
      </c>
      <c r="AE457" s="416">
        <v>0</v>
      </c>
      <c r="AF457" s="416">
        <v>0</v>
      </c>
      <c r="AG457" s="416">
        <v>0</v>
      </c>
      <c r="AH457" s="416">
        <v>0</v>
      </c>
      <c r="AI457" s="416">
        <v>0</v>
      </c>
      <c r="AJ457" s="416">
        <v>0</v>
      </c>
      <c r="AK457" s="416">
        <v>0</v>
      </c>
      <c r="AL457" s="416">
        <v>0</v>
      </c>
      <c r="AM457" s="416">
        <v>0</v>
      </c>
      <c r="AN457" s="416">
        <v>0</v>
      </c>
      <c r="AO457" s="416">
        <v>0</v>
      </c>
      <c r="AP457" s="416">
        <v>0</v>
      </c>
      <c r="AQ457" s="416">
        <v>0</v>
      </c>
      <c r="AR457" s="416">
        <v>0</v>
      </c>
      <c r="AS457" s="416">
        <v>0</v>
      </c>
      <c r="AT457" s="416">
        <v>0</v>
      </c>
      <c r="AU457" s="416">
        <v>0</v>
      </c>
      <c r="AV457" s="416">
        <v>0</v>
      </c>
      <c r="AW457" s="416">
        <v>0</v>
      </c>
      <c r="AX457" s="416">
        <v>0</v>
      </c>
      <c r="AY457" s="416">
        <v>0</v>
      </c>
      <c r="AZ457" s="416">
        <v>0</v>
      </c>
    </row>
    <row r="458" spans="1:52" s="411" customFormat="1" x14ac:dyDescent="0.3">
      <c r="A458" s="415" t="str">
        <f t="shared" si="7"/>
        <v>SA-705 Gr.630</v>
      </c>
      <c r="B458" s="415">
        <v>452</v>
      </c>
      <c r="C458" s="415" t="s">
        <v>3042</v>
      </c>
      <c r="D458" s="415" t="s">
        <v>2737</v>
      </c>
      <c r="E458" s="415" t="s">
        <v>3048</v>
      </c>
      <c r="F458" s="415">
        <v>630</v>
      </c>
      <c r="G458" s="415" t="s">
        <v>3043</v>
      </c>
      <c r="H458" s="415" t="s">
        <v>3050</v>
      </c>
      <c r="I458" s="415">
        <v>0</v>
      </c>
      <c r="J458" s="415">
        <v>0</v>
      </c>
      <c r="K458" s="415">
        <v>0</v>
      </c>
      <c r="L458" s="415">
        <v>1000</v>
      </c>
      <c r="M458" s="415">
        <v>860</v>
      </c>
      <c r="N458" s="415" t="s">
        <v>2675</v>
      </c>
      <c r="O458" s="415">
        <v>343</v>
      </c>
      <c r="P458" s="415" t="s">
        <v>2675</v>
      </c>
      <c r="Q458" s="415" t="s">
        <v>2675</v>
      </c>
      <c r="R458" s="415" t="s">
        <v>3040</v>
      </c>
      <c r="S458" s="415" t="s">
        <v>3047</v>
      </c>
      <c r="T458" s="416">
        <v>285</v>
      </c>
      <c r="U458" s="416">
        <v>285</v>
      </c>
      <c r="V458" s="416">
        <v>285</v>
      </c>
      <c r="W458" s="416">
        <v>285</v>
      </c>
      <c r="X458" s="416">
        <v>285</v>
      </c>
      <c r="Y458" s="416">
        <v>285</v>
      </c>
      <c r="Z458" s="416">
        <v>279</v>
      </c>
      <c r="AA458" s="416">
        <v>273</v>
      </c>
      <c r="AB458" s="416">
        <v>270</v>
      </c>
      <c r="AC458" s="416">
        <v>267</v>
      </c>
      <c r="AD458" s="416">
        <v>265</v>
      </c>
      <c r="AE458" s="416">
        <v>0</v>
      </c>
      <c r="AF458" s="416">
        <v>0</v>
      </c>
      <c r="AG458" s="416">
        <v>0</v>
      </c>
      <c r="AH458" s="416">
        <v>0</v>
      </c>
      <c r="AI458" s="416">
        <v>0</v>
      </c>
      <c r="AJ458" s="416">
        <v>0</v>
      </c>
      <c r="AK458" s="416">
        <v>0</v>
      </c>
      <c r="AL458" s="416">
        <v>0</v>
      </c>
      <c r="AM458" s="416">
        <v>0</v>
      </c>
      <c r="AN458" s="416">
        <v>0</v>
      </c>
      <c r="AO458" s="416">
        <v>0</v>
      </c>
      <c r="AP458" s="416">
        <v>0</v>
      </c>
      <c r="AQ458" s="416">
        <v>0</v>
      </c>
      <c r="AR458" s="416">
        <v>0</v>
      </c>
      <c r="AS458" s="416">
        <v>0</v>
      </c>
      <c r="AT458" s="416">
        <v>0</v>
      </c>
      <c r="AU458" s="416">
        <v>0</v>
      </c>
      <c r="AV458" s="416">
        <v>0</v>
      </c>
      <c r="AW458" s="416">
        <v>0</v>
      </c>
      <c r="AX458" s="416">
        <v>0</v>
      </c>
      <c r="AY458" s="416">
        <v>0</v>
      </c>
      <c r="AZ458" s="416">
        <v>0</v>
      </c>
    </row>
    <row r="459" spans="1:52" s="411" customFormat="1" x14ac:dyDescent="0.3">
      <c r="A459" s="415" t="str">
        <f t="shared" si="7"/>
        <v>SA-240 Gr.0</v>
      </c>
      <c r="B459" s="415">
        <v>453</v>
      </c>
      <c r="C459" s="415" t="s">
        <v>3051</v>
      </c>
      <c r="D459" s="415" t="s">
        <v>2684</v>
      </c>
      <c r="E459" s="415" t="s">
        <v>2165</v>
      </c>
      <c r="F459" s="415">
        <v>0</v>
      </c>
      <c r="G459" s="415" t="s">
        <v>3052</v>
      </c>
      <c r="H459" s="415">
        <v>0</v>
      </c>
      <c r="I459" s="415">
        <v>0</v>
      </c>
      <c r="J459" s="415">
        <v>7</v>
      </c>
      <c r="K459" s="415">
        <v>2</v>
      </c>
      <c r="L459" s="415">
        <v>415</v>
      </c>
      <c r="M459" s="415">
        <v>275</v>
      </c>
      <c r="N459" s="415" t="s">
        <v>2675</v>
      </c>
      <c r="O459" s="415" t="s">
        <v>2675</v>
      </c>
      <c r="P459" s="415">
        <v>343</v>
      </c>
      <c r="Q459" s="415">
        <v>343</v>
      </c>
      <c r="R459" s="415" t="s">
        <v>2699</v>
      </c>
      <c r="S459" s="415" t="s">
        <v>3012</v>
      </c>
      <c r="T459" s="416">
        <v>118</v>
      </c>
      <c r="U459" s="416">
        <v>118</v>
      </c>
      <c r="V459" s="416">
        <v>118</v>
      </c>
      <c r="W459" s="416">
        <v>118</v>
      </c>
      <c r="X459" s="416">
        <v>116</v>
      </c>
      <c r="Y459" s="416">
        <v>114</v>
      </c>
      <c r="Z459" s="416">
        <v>112</v>
      </c>
      <c r="AA459" s="416">
        <v>110</v>
      </c>
      <c r="AB459" s="416">
        <v>107</v>
      </c>
      <c r="AC459" s="416">
        <v>105</v>
      </c>
      <c r="AD459" s="416">
        <v>104</v>
      </c>
      <c r="AE459" s="416">
        <v>0</v>
      </c>
      <c r="AF459" s="416">
        <v>0</v>
      </c>
      <c r="AG459" s="416">
        <v>0</v>
      </c>
      <c r="AH459" s="416">
        <v>0</v>
      </c>
      <c r="AI459" s="416">
        <v>0</v>
      </c>
      <c r="AJ459" s="416">
        <v>0</v>
      </c>
      <c r="AK459" s="416">
        <v>0</v>
      </c>
      <c r="AL459" s="416">
        <v>0</v>
      </c>
      <c r="AM459" s="416">
        <v>0</v>
      </c>
      <c r="AN459" s="416">
        <v>0</v>
      </c>
      <c r="AO459" s="416">
        <v>0</v>
      </c>
      <c r="AP459" s="416">
        <v>0</v>
      </c>
      <c r="AQ459" s="416">
        <v>0</v>
      </c>
      <c r="AR459" s="416">
        <v>0</v>
      </c>
      <c r="AS459" s="416">
        <v>0</v>
      </c>
      <c r="AT459" s="416">
        <v>0</v>
      </c>
      <c r="AU459" s="416">
        <v>0</v>
      </c>
      <c r="AV459" s="416">
        <v>0</v>
      </c>
      <c r="AW459" s="416">
        <v>0</v>
      </c>
      <c r="AX459" s="416">
        <v>0</v>
      </c>
      <c r="AY459" s="416">
        <v>0</v>
      </c>
      <c r="AZ459" s="416">
        <v>0</v>
      </c>
    </row>
    <row r="460" spans="1:52" s="411" customFormat="1" x14ac:dyDescent="0.3">
      <c r="A460" s="415" t="str">
        <f t="shared" si="7"/>
        <v>SA-268 Gr.0</v>
      </c>
      <c r="B460" s="415">
        <v>454</v>
      </c>
      <c r="C460" s="415" t="s">
        <v>3051</v>
      </c>
      <c r="D460" s="415" t="s">
        <v>2689</v>
      </c>
      <c r="E460" s="415" t="s">
        <v>2203</v>
      </c>
      <c r="F460" s="415">
        <v>0</v>
      </c>
      <c r="G460" s="415" t="s">
        <v>3052</v>
      </c>
      <c r="H460" s="415">
        <v>0</v>
      </c>
      <c r="I460" s="415">
        <v>0</v>
      </c>
      <c r="J460" s="415">
        <v>7</v>
      </c>
      <c r="K460" s="415">
        <v>2</v>
      </c>
      <c r="L460" s="415">
        <v>415</v>
      </c>
      <c r="M460" s="415">
        <v>275</v>
      </c>
      <c r="N460" s="415" t="s">
        <v>2675</v>
      </c>
      <c r="O460" s="415" t="s">
        <v>2675</v>
      </c>
      <c r="P460" s="415">
        <v>343</v>
      </c>
      <c r="Q460" s="415">
        <v>343</v>
      </c>
      <c r="R460" s="415" t="s">
        <v>2699</v>
      </c>
      <c r="S460" s="415" t="s">
        <v>3053</v>
      </c>
      <c r="T460" s="416">
        <v>101</v>
      </c>
      <c r="U460" s="416">
        <v>101</v>
      </c>
      <c r="V460" s="416">
        <v>101</v>
      </c>
      <c r="W460" s="416">
        <v>101</v>
      </c>
      <c r="X460" s="416">
        <v>99</v>
      </c>
      <c r="Y460" s="416">
        <v>97.1</v>
      </c>
      <c r="Z460" s="416">
        <v>95.3</v>
      </c>
      <c r="AA460" s="416">
        <v>93.5</v>
      </c>
      <c r="AB460" s="416">
        <v>91.3</v>
      </c>
      <c r="AC460" s="416">
        <v>89.7</v>
      </c>
      <c r="AD460" s="416">
        <v>87.7</v>
      </c>
      <c r="AE460" s="416">
        <v>0</v>
      </c>
      <c r="AF460" s="416">
        <v>0</v>
      </c>
      <c r="AG460" s="416">
        <v>0</v>
      </c>
      <c r="AH460" s="416">
        <v>0</v>
      </c>
      <c r="AI460" s="416">
        <v>0</v>
      </c>
      <c r="AJ460" s="416">
        <v>0</v>
      </c>
      <c r="AK460" s="416">
        <v>0</v>
      </c>
      <c r="AL460" s="416">
        <v>0</v>
      </c>
      <c r="AM460" s="416">
        <v>0</v>
      </c>
      <c r="AN460" s="416">
        <v>0</v>
      </c>
      <c r="AO460" s="416">
        <v>0</v>
      </c>
      <c r="AP460" s="416">
        <v>0</v>
      </c>
      <c r="AQ460" s="416">
        <v>0</v>
      </c>
      <c r="AR460" s="416">
        <v>0</v>
      </c>
      <c r="AS460" s="416">
        <v>0</v>
      </c>
      <c r="AT460" s="416">
        <v>0</v>
      </c>
      <c r="AU460" s="416">
        <v>0</v>
      </c>
      <c r="AV460" s="416">
        <v>0</v>
      </c>
      <c r="AW460" s="416">
        <v>0</v>
      </c>
      <c r="AX460" s="416">
        <v>0</v>
      </c>
      <c r="AY460" s="416">
        <v>0</v>
      </c>
      <c r="AZ460" s="416">
        <v>0</v>
      </c>
    </row>
    <row r="461" spans="1:52" s="411" customFormat="1" x14ac:dyDescent="0.3">
      <c r="A461" s="415" t="str">
        <f t="shared" si="7"/>
        <v>SA-268 Gr.0</v>
      </c>
      <c r="B461" s="415">
        <v>455</v>
      </c>
      <c r="C461" s="415" t="s">
        <v>3051</v>
      </c>
      <c r="D461" s="415" t="s">
        <v>2693</v>
      </c>
      <c r="E461" s="415" t="s">
        <v>2203</v>
      </c>
      <c r="F461" s="415">
        <v>0</v>
      </c>
      <c r="G461" s="415" t="s">
        <v>3052</v>
      </c>
      <c r="H461" s="415">
        <v>0</v>
      </c>
      <c r="I461" s="415">
        <v>0</v>
      </c>
      <c r="J461" s="415">
        <v>7</v>
      </c>
      <c r="K461" s="415">
        <v>2</v>
      </c>
      <c r="L461" s="415">
        <v>415</v>
      </c>
      <c r="M461" s="415">
        <v>275</v>
      </c>
      <c r="N461" s="415" t="s">
        <v>2675</v>
      </c>
      <c r="O461" s="415" t="s">
        <v>2675</v>
      </c>
      <c r="P461" s="415">
        <v>343</v>
      </c>
      <c r="Q461" s="415">
        <v>343</v>
      </c>
      <c r="R461" s="415" t="s">
        <v>2699</v>
      </c>
      <c r="S461" s="415" t="s">
        <v>3012</v>
      </c>
      <c r="T461" s="416">
        <v>118</v>
      </c>
      <c r="U461" s="416">
        <v>118</v>
      </c>
      <c r="V461" s="416">
        <v>118</v>
      </c>
      <c r="W461" s="416">
        <v>118</v>
      </c>
      <c r="X461" s="416">
        <v>116</v>
      </c>
      <c r="Y461" s="416">
        <v>114</v>
      </c>
      <c r="Z461" s="416">
        <v>112</v>
      </c>
      <c r="AA461" s="416">
        <v>110</v>
      </c>
      <c r="AB461" s="416">
        <v>107</v>
      </c>
      <c r="AC461" s="416">
        <v>105</v>
      </c>
      <c r="AD461" s="416">
        <v>104</v>
      </c>
      <c r="AE461" s="416">
        <v>0</v>
      </c>
      <c r="AF461" s="416">
        <v>0</v>
      </c>
      <c r="AG461" s="416">
        <v>0</v>
      </c>
      <c r="AH461" s="416">
        <v>0</v>
      </c>
      <c r="AI461" s="416">
        <v>0</v>
      </c>
      <c r="AJ461" s="416">
        <v>0</v>
      </c>
      <c r="AK461" s="416">
        <v>0</v>
      </c>
      <c r="AL461" s="416">
        <v>0</v>
      </c>
      <c r="AM461" s="416">
        <v>0</v>
      </c>
      <c r="AN461" s="416">
        <v>0</v>
      </c>
      <c r="AO461" s="416">
        <v>0</v>
      </c>
      <c r="AP461" s="416">
        <v>0</v>
      </c>
      <c r="AQ461" s="416">
        <v>0</v>
      </c>
      <c r="AR461" s="416">
        <v>0</v>
      </c>
      <c r="AS461" s="416">
        <v>0</v>
      </c>
      <c r="AT461" s="416">
        <v>0</v>
      </c>
      <c r="AU461" s="416">
        <v>0</v>
      </c>
      <c r="AV461" s="416">
        <v>0</v>
      </c>
      <c r="AW461" s="416">
        <v>0</v>
      </c>
      <c r="AX461" s="416">
        <v>0</v>
      </c>
      <c r="AY461" s="416">
        <v>0</v>
      </c>
      <c r="AZ461" s="416">
        <v>0</v>
      </c>
    </row>
    <row r="462" spans="1:52" s="411" customFormat="1" x14ac:dyDescent="0.3">
      <c r="A462" s="415" t="str">
        <f t="shared" si="7"/>
        <v>SA-268 Gr.TP439</v>
      </c>
      <c r="B462" s="415">
        <v>456</v>
      </c>
      <c r="C462" s="415" t="s">
        <v>3054</v>
      </c>
      <c r="D462" s="415" t="s">
        <v>2689</v>
      </c>
      <c r="E462" s="415" t="s">
        <v>2203</v>
      </c>
      <c r="F462" s="415" t="s">
        <v>2588</v>
      </c>
      <c r="G462" s="415" t="s">
        <v>3055</v>
      </c>
      <c r="H462" s="415">
        <v>0</v>
      </c>
      <c r="I462" s="415">
        <v>0</v>
      </c>
      <c r="J462" s="415">
        <v>7</v>
      </c>
      <c r="K462" s="415">
        <v>2</v>
      </c>
      <c r="L462" s="415">
        <v>415</v>
      </c>
      <c r="M462" s="415">
        <v>205</v>
      </c>
      <c r="N462" s="415">
        <v>427</v>
      </c>
      <c r="O462" s="415" t="s">
        <v>2675</v>
      </c>
      <c r="P462" s="415">
        <v>427</v>
      </c>
      <c r="Q462" s="415">
        <v>343</v>
      </c>
      <c r="R462" s="415" t="s">
        <v>2699</v>
      </c>
      <c r="S462" s="415" t="s">
        <v>3053</v>
      </c>
      <c r="T462" s="416">
        <v>101</v>
      </c>
      <c r="U462" s="416">
        <v>101</v>
      </c>
      <c r="V462" s="416">
        <v>101</v>
      </c>
      <c r="W462" s="416">
        <v>100</v>
      </c>
      <c r="X462" s="416">
        <v>96.5</v>
      </c>
      <c r="Y462" s="416">
        <v>91.5</v>
      </c>
      <c r="Z462" s="416">
        <v>85.9</v>
      </c>
      <c r="AA462" s="416">
        <v>81.900000000000006</v>
      </c>
      <c r="AB462" s="416">
        <v>80.3</v>
      </c>
      <c r="AC462" s="416">
        <v>79.7</v>
      </c>
      <c r="AD462" s="416">
        <v>79.3</v>
      </c>
      <c r="AE462" s="416">
        <v>79.2</v>
      </c>
      <c r="AF462" s="416">
        <v>78.599999999999994</v>
      </c>
      <c r="AG462" s="416">
        <v>77.3</v>
      </c>
      <c r="AH462" s="416">
        <v>76.099999999999994</v>
      </c>
      <c r="AI462" s="416">
        <v>0</v>
      </c>
      <c r="AJ462" s="416">
        <v>0</v>
      </c>
      <c r="AK462" s="416">
        <v>0</v>
      </c>
      <c r="AL462" s="416">
        <v>0</v>
      </c>
      <c r="AM462" s="416">
        <v>0</v>
      </c>
      <c r="AN462" s="416">
        <v>0</v>
      </c>
      <c r="AO462" s="416">
        <v>0</v>
      </c>
      <c r="AP462" s="416">
        <v>0</v>
      </c>
      <c r="AQ462" s="416">
        <v>0</v>
      </c>
      <c r="AR462" s="416">
        <v>0</v>
      </c>
      <c r="AS462" s="416">
        <v>0</v>
      </c>
      <c r="AT462" s="416">
        <v>0</v>
      </c>
      <c r="AU462" s="416">
        <v>0</v>
      </c>
      <c r="AV462" s="416">
        <v>0</v>
      </c>
      <c r="AW462" s="416">
        <v>0</v>
      </c>
      <c r="AX462" s="416">
        <v>0</v>
      </c>
      <c r="AY462" s="416">
        <v>0</v>
      </c>
      <c r="AZ462" s="416">
        <v>0</v>
      </c>
    </row>
    <row r="463" spans="1:52" s="411" customFormat="1" x14ac:dyDescent="0.3">
      <c r="A463" s="415" t="str">
        <f t="shared" si="7"/>
        <v>SA-268 Gr.TP439</v>
      </c>
      <c r="B463" s="415">
        <v>457</v>
      </c>
      <c r="C463" s="415" t="s">
        <v>3054</v>
      </c>
      <c r="D463" s="415" t="s">
        <v>2693</v>
      </c>
      <c r="E463" s="415" t="s">
        <v>2203</v>
      </c>
      <c r="F463" s="415" t="s">
        <v>2588</v>
      </c>
      <c r="G463" s="415" t="s">
        <v>3055</v>
      </c>
      <c r="H463" s="415">
        <v>0</v>
      </c>
      <c r="I463" s="415">
        <v>0</v>
      </c>
      <c r="J463" s="415">
        <v>7</v>
      </c>
      <c r="K463" s="415">
        <v>2</v>
      </c>
      <c r="L463" s="415">
        <v>415</v>
      </c>
      <c r="M463" s="415">
        <v>205</v>
      </c>
      <c r="N463" s="415">
        <v>427</v>
      </c>
      <c r="O463" s="415" t="s">
        <v>2675</v>
      </c>
      <c r="P463" s="415">
        <v>427</v>
      </c>
      <c r="Q463" s="415">
        <v>343</v>
      </c>
      <c r="R463" s="415" t="s">
        <v>2699</v>
      </c>
      <c r="S463" s="415" t="s">
        <v>3012</v>
      </c>
      <c r="T463" s="416">
        <v>118</v>
      </c>
      <c r="U463" s="416">
        <v>118</v>
      </c>
      <c r="V463" s="416">
        <v>118</v>
      </c>
      <c r="W463" s="416">
        <v>118</v>
      </c>
      <c r="X463" s="416">
        <v>113</v>
      </c>
      <c r="Y463" s="416">
        <v>108</v>
      </c>
      <c r="Z463" s="416">
        <v>101</v>
      </c>
      <c r="AA463" s="416">
        <v>96.6</v>
      </c>
      <c r="AB463" s="416">
        <v>94</v>
      </c>
      <c r="AC463" s="416">
        <v>93.8</v>
      </c>
      <c r="AD463" s="416">
        <v>93.7</v>
      </c>
      <c r="AE463" s="416">
        <v>93</v>
      </c>
      <c r="AF463" s="416">
        <v>92.3</v>
      </c>
      <c r="AG463" s="416">
        <v>91.1</v>
      </c>
      <c r="AH463" s="416">
        <v>89.8</v>
      </c>
      <c r="AI463" s="416">
        <v>0</v>
      </c>
      <c r="AJ463" s="416">
        <v>0</v>
      </c>
      <c r="AK463" s="416">
        <v>0</v>
      </c>
      <c r="AL463" s="416">
        <v>0</v>
      </c>
      <c r="AM463" s="416">
        <v>0</v>
      </c>
      <c r="AN463" s="416">
        <v>0</v>
      </c>
      <c r="AO463" s="416">
        <v>0</v>
      </c>
      <c r="AP463" s="416">
        <v>0</v>
      </c>
      <c r="AQ463" s="416">
        <v>0</v>
      </c>
      <c r="AR463" s="416">
        <v>0</v>
      </c>
      <c r="AS463" s="416">
        <v>0</v>
      </c>
      <c r="AT463" s="416">
        <v>0</v>
      </c>
      <c r="AU463" s="416">
        <v>0</v>
      </c>
      <c r="AV463" s="416">
        <v>0</v>
      </c>
      <c r="AW463" s="416">
        <v>0</v>
      </c>
      <c r="AX463" s="416">
        <v>0</v>
      </c>
      <c r="AY463" s="416">
        <v>0</v>
      </c>
      <c r="AZ463" s="416">
        <v>0</v>
      </c>
    </row>
    <row r="464" spans="1:52" s="411" customFormat="1" x14ac:dyDescent="0.3">
      <c r="A464" s="415" t="str">
        <f t="shared" si="7"/>
        <v>SA-803 Gr.TP439</v>
      </c>
      <c r="B464" s="415">
        <v>458</v>
      </c>
      <c r="C464" s="415" t="s">
        <v>3054</v>
      </c>
      <c r="D464" s="415" t="s">
        <v>2689</v>
      </c>
      <c r="E464" s="415" t="s">
        <v>2326</v>
      </c>
      <c r="F464" s="415" t="s">
        <v>2588</v>
      </c>
      <c r="G464" s="415" t="s">
        <v>3055</v>
      </c>
      <c r="H464" s="415">
        <v>0</v>
      </c>
      <c r="I464" s="415">
        <v>0</v>
      </c>
      <c r="J464" s="415">
        <v>7</v>
      </c>
      <c r="K464" s="415">
        <v>2</v>
      </c>
      <c r="L464" s="415">
        <v>415</v>
      </c>
      <c r="M464" s="415">
        <v>205</v>
      </c>
      <c r="N464" s="415" t="s">
        <v>2675</v>
      </c>
      <c r="O464" s="415" t="s">
        <v>2675</v>
      </c>
      <c r="P464" s="415">
        <v>316</v>
      </c>
      <c r="Q464" s="415">
        <v>316</v>
      </c>
      <c r="R464" s="415" t="s">
        <v>2699</v>
      </c>
      <c r="S464" s="415" t="s">
        <v>3053</v>
      </c>
      <c r="T464" s="416">
        <v>101</v>
      </c>
      <c r="U464" s="416">
        <v>101</v>
      </c>
      <c r="V464" s="416">
        <v>101</v>
      </c>
      <c r="W464" s="416">
        <v>100</v>
      </c>
      <c r="X464" s="416">
        <v>96.5</v>
      </c>
      <c r="Y464" s="416">
        <v>91.5</v>
      </c>
      <c r="Z464" s="416">
        <v>85.9</v>
      </c>
      <c r="AA464" s="416">
        <v>81.900000000000006</v>
      </c>
      <c r="AB464" s="416">
        <v>80.3</v>
      </c>
      <c r="AC464" s="416">
        <v>79.7</v>
      </c>
      <c r="AD464" s="416">
        <v>0</v>
      </c>
      <c r="AE464" s="416">
        <v>0</v>
      </c>
      <c r="AF464" s="416">
        <v>0</v>
      </c>
      <c r="AG464" s="416">
        <v>0</v>
      </c>
      <c r="AH464" s="416">
        <v>0</v>
      </c>
      <c r="AI464" s="416">
        <v>0</v>
      </c>
      <c r="AJ464" s="416">
        <v>0</v>
      </c>
      <c r="AK464" s="416">
        <v>0</v>
      </c>
      <c r="AL464" s="416">
        <v>0</v>
      </c>
      <c r="AM464" s="416">
        <v>0</v>
      </c>
      <c r="AN464" s="416">
        <v>0</v>
      </c>
      <c r="AO464" s="416">
        <v>0</v>
      </c>
      <c r="AP464" s="416">
        <v>0</v>
      </c>
      <c r="AQ464" s="416">
        <v>0</v>
      </c>
      <c r="AR464" s="416">
        <v>0</v>
      </c>
      <c r="AS464" s="416">
        <v>0</v>
      </c>
      <c r="AT464" s="416">
        <v>0</v>
      </c>
      <c r="AU464" s="416">
        <v>0</v>
      </c>
      <c r="AV464" s="416">
        <v>0</v>
      </c>
      <c r="AW464" s="416">
        <v>0</v>
      </c>
      <c r="AX464" s="416">
        <v>0</v>
      </c>
      <c r="AY464" s="416">
        <v>0</v>
      </c>
      <c r="AZ464" s="416">
        <v>0</v>
      </c>
    </row>
    <row r="465" spans="1:52" s="411" customFormat="1" x14ac:dyDescent="0.3">
      <c r="A465" s="415" t="str">
        <f t="shared" si="7"/>
        <v>SA-731 Gr.TP439</v>
      </c>
      <c r="B465" s="415">
        <v>459</v>
      </c>
      <c r="C465" s="415" t="s">
        <v>3054</v>
      </c>
      <c r="D465" s="415" t="s">
        <v>2680</v>
      </c>
      <c r="E465" s="415" t="s">
        <v>2311</v>
      </c>
      <c r="F465" s="415" t="s">
        <v>2588</v>
      </c>
      <c r="G465" s="415" t="s">
        <v>3055</v>
      </c>
      <c r="H465" s="415">
        <v>0</v>
      </c>
      <c r="I465" s="415">
        <v>0</v>
      </c>
      <c r="J465" s="415">
        <v>7</v>
      </c>
      <c r="K465" s="415">
        <v>2</v>
      </c>
      <c r="L465" s="415">
        <v>415</v>
      </c>
      <c r="M465" s="415">
        <v>205</v>
      </c>
      <c r="N465" s="415">
        <v>427</v>
      </c>
      <c r="O465" s="415" t="s">
        <v>2675</v>
      </c>
      <c r="P465" s="415" t="s">
        <v>2675</v>
      </c>
      <c r="Q465" s="415" t="s">
        <v>2675</v>
      </c>
      <c r="R465" s="415" t="s">
        <v>2699</v>
      </c>
      <c r="S465" s="415" t="s">
        <v>3053</v>
      </c>
      <c r="T465" s="416">
        <v>101</v>
      </c>
      <c r="U465" s="416">
        <v>101</v>
      </c>
      <c r="V465" s="416">
        <v>101</v>
      </c>
      <c r="W465" s="416">
        <v>100</v>
      </c>
      <c r="X465" s="416">
        <v>96.5</v>
      </c>
      <c r="Y465" s="416">
        <v>91.5</v>
      </c>
      <c r="Z465" s="416">
        <v>85.9</v>
      </c>
      <c r="AA465" s="416">
        <v>81.900000000000006</v>
      </c>
      <c r="AB465" s="416">
        <v>80.3</v>
      </c>
      <c r="AC465" s="416">
        <v>79.7</v>
      </c>
      <c r="AD465" s="416">
        <v>79.3</v>
      </c>
      <c r="AE465" s="416">
        <v>79.2</v>
      </c>
      <c r="AF465" s="416">
        <v>78.599999999999994</v>
      </c>
      <c r="AG465" s="416">
        <v>77.3</v>
      </c>
      <c r="AH465" s="416">
        <v>76.099999999999994</v>
      </c>
      <c r="AI465" s="416">
        <v>0</v>
      </c>
      <c r="AJ465" s="416">
        <v>0</v>
      </c>
      <c r="AK465" s="416">
        <v>0</v>
      </c>
      <c r="AL465" s="416">
        <v>0</v>
      </c>
      <c r="AM465" s="416">
        <v>0</v>
      </c>
      <c r="AN465" s="416">
        <v>0</v>
      </c>
      <c r="AO465" s="416">
        <v>0</v>
      </c>
      <c r="AP465" s="416">
        <v>0</v>
      </c>
      <c r="AQ465" s="416">
        <v>0</v>
      </c>
      <c r="AR465" s="416">
        <v>0</v>
      </c>
      <c r="AS465" s="416">
        <v>0</v>
      </c>
      <c r="AT465" s="416">
        <v>0</v>
      </c>
      <c r="AU465" s="416">
        <v>0</v>
      </c>
      <c r="AV465" s="416">
        <v>0</v>
      </c>
      <c r="AW465" s="416">
        <v>0</v>
      </c>
      <c r="AX465" s="416">
        <v>0</v>
      </c>
      <c r="AY465" s="416">
        <v>0</v>
      </c>
      <c r="AZ465" s="416">
        <v>0</v>
      </c>
    </row>
    <row r="466" spans="1:52" s="411" customFormat="1" x14ac:dyDescent="0.3">
      <c r="A466" s="415" t="str">
        <f t="shared" si="7"/>
        <v>SA-731 Gr.TP439</v>
      </c>
      <c r="B466" s="415">
        <v>460</v>
      </c>
      <c r="C466" s="415" t="s">
        <v>3054</v>
      </c>
      <c r="D466" s="415" t="s">
        <v>2703</v>
      </c>
      <c r="E466" s="415" t="s">
        <v>2311</v>
      </c>
      <c r="F466" s="415" t="s">
        <v>2588</v>
      </c>
      <c r="G466" s="415" t="s">
        <v>3055</v>
      </c>
      <c r="H466" s="415">
        <v>0</v>
      </c>
      <c r="I466" s="415">
        <v>0</v>
      </c>
      <c r="J466" s="415">
        <v>7</v>
      </c>
      <c r="K466" s="415">
        <v>2</v>
      </c>
      <c r="L466" s="415">
        <v>415</v>
      </c>
      <c r="M466" s="415">
        <v>205</v>
      </c>
      <c r="N466" s="415">
        <v>427</v>
      </c>
      <c r="O466" s="415" t="s">
        <v>2675</v>
      </c>
      <c r="P466" s="415" t="s">
        <v>2675</v>
      </c>
      <c r="Q466" s="415" t="s">
        <v>2675</v>
      </c>
      <c r="R466" s="415" t="s">
        <v>2699</v>
      </c>
      <c r="S466" s="415" t="s">
        <v>3012</v>
      </c>
      <c r="T466" s="416">
        <v>118</v>
      </c>
      <c r="U466" s="416">
        <v>118</v>
      </c>
      <c r="V466" s="416">
        <v>118</v>
      </c>
      <c r="W466" s="416">
        <v>118</v>
      </c>
      <c r="X466" s="416">
        <v>113</v>
      </c>
      <c r="Y466" s="416">
        <v>108</v>
      </c>
      <c r="Z466" s="416">
        <v>101</v>
      </c>
      <c r="AA466" s="416">
        <v>96.6</v>
      </c>
      <c r="AB466" s="416">
        <v>94</v>
      </c>
      <c r="AC466" s="416">
        <v>93.8</v>
      </c>
      <c r="AD466" s="416">
        <v>93.7</v>
      </c>
      <c r="AE466" s="416">
        <v>93</v>
      </c>
      <c r="AF466" s="416">
        <v>92.3</v>
      </c>
      <c r="AG466" s="416">
        <v>91.1</v>
      </c>
      <c r="AH466" s="416">
        <v>89.8</v>
      </c>
      <c r="AI466" s="416">
        <v>0</v>
      </c>
      <c r="AJ466" s="416">
        <v>0</v>
      </c>
      <c r="AK466" s="416">
        <v>0</v>
      </c>
      <c r="AL466" s="416">
        <v>0</v>
      </c>
      <c r="AM466" s="416">
        <v>0</v>
      </c>
      <c r="AN466" s="416">
        <v>0</v>
      </c>
      <c r="AO466" s="416">
        <v>0</v>
      </c>
      <c r="AP466" s="416">
        <v>0</v>
      </c>
      <c r="AQ466" s="416">
        <v>0</v>
      </c>
      <c r="AR466" s="416">
        <v>0</v>
      </c>
      <c r="AS466" s="416">
        <v>0</v>
      </c>
      <c r="AT466" s="416">
        <v>0</v>
      </c>
      <c r="AU466" s="416">
        <v>0</v>
      </c>
      <c r="AV466" s="416">
        <v>0</v>
      </c>
      <c r="AW466" s="416">
        <v>0</v>
      </c>
      <c r="AX466" s="416">
        <v>0</v>
      </c>
      <c r="AY466" s="416">
        <v>0</v>
      </c>
      <c r="AZ466" s="416">
        <v>0</v>
      </c>
    </row>
    <row r="467" spans="1:52" s="411" customFormat="1" x14ac:dyDescent="0.3">
      <c r="A467" s="415" t="str">
        <f t="shared" si="7"/>
        <v>SA-268 Gr.TP430 Ti</v>
      </c>
      <c r="B467" s="415">
        <v>461</v>
      </c>
      <c r="C467" s="415" t="s">
        <v>3054</v>
      </c>
      <c r="D467" s="415" t="s">
        <v>2693</v>
      </c>
      <c r="E467" s="415" t="s">
        <v>2203</v>
      </c>
      <c r="F467" s="415" t="s">
        <v>2587</v>
      </c>
      <c r="G467" s="415" t="s">
        <v>3056</v>
      </c>
      <c r="H467" s="415">
        <v>0</v>
      </c>
      <c r="I467" s="415">
        <v>0</v>
      </c>
      <c r="J467" s="415">
        <v>7</v>
      </c>
      <c r="K467" s="415">
        <v>2</v>
      </c>
      <c r="L467" s="415">
        <v>415</v>
      </c>
      <c r="M467" s="415">
        <v>240</v>
      </c>
      <c r="N467" s="415" t="s">
        <v>2675</v>
      </c>
      <c r="O467" s="415" t="s">
        <v>2675</v>
      </c>
      <c r="P467" s="415">
        <v>427</v>
      </c>
      <c r="Q467" s="415" t="s">
        <v>2675</v>
      </c>
      <c r="R467" s="415" t="s">
        <v>2699</v>
      </c>
      <c r="S467" s="415" t="s">
        <v>3012</v>
      </c>
      <c r="T467" s="416">
        <v>118</v>
      </c>
      <c r="U467" s="416">
        <v>118</v>
      </c>
      <c r="V467" s="416">
        <v>118</v>
      </c>
      <c r="W467" s="416">
        <v>118</v>
      </c>
      <c r="X467" s="416">
        <v>116</v>
      </c>
      <c r="Y467" s="416">
        <v>114</v>
      </c>
      <c r="Z467" s="416">
        <v>111</v>
      </c>
      <c r="AA467" s="416">
        <v>109</v>
      </c>
      <c r="AB467" s="416">
        <v>107</v>
      </c>
      <c r="AC467" s="416">
        <v>105</v>
      </c>
      <c r="AD467" s="416">
        <v>104</v>
      </c>
      <c r="AE467" s="416">
        <v>102</v>
      </c>
      <c r="AF467" s="416">
        <v>99.7</v>
      </c>
      <c r="AG467" s="416">
        <v>97</v>
      </c>
      <c r="AH467" s="416">
        <v>93.8</v>
      </c>
      <c r="AI467" s="416">
        <v>0</v>
      </c>
      <c r="AJ467" s="416">
        <v>0</v>
      </c>
      <c r="AK467" s="416">
        <v>0</v>
      </c>
      <c r="AL467" s="416">
        <v>0</v>
      </c>
      <c r="AM467" s="416">
        <v>0</v>
      </c>
      <c r="AN467" s="416">
        <v>0</v>
      </c>
      <c r="AO467" s="416">
        <v>0</v>
      </c>
      <c r="AP467" s="416">
        <v>0</v>
      </c>
      <c r="AQ467" s="416">
        <v>0</v>
      </c>
      <c r="AR467" s="416">
        <v>0</v>
      </c>
      <c r="AS467" s="416">
        <v>0</v>
      </c>
      <c r="AT467" s="416">
        <v>0</v>
      </c>
      <c r="AU467" s="416">
        <v>0</v>
      </c>
      <c r="AV467" s="416">
        <v>0</v>
      </c>
      <c r="AW467" s="416">
        <v>0</v>
      </c>
      <c r="AX467" s="416">
        <v>0</v>
      </c>
      <c r="AY467" s="416">
        <v>0</v>
      </c>
      <c r="AZ467" s="416">
        <v>0</v>
      </c>
    </row>
    <row r="468" spans="1:52" s="411" customFormat="1" x14ac:dyDescent="0.3">
      <c r="A468" s="415" t="str">
        <f t="shared" si="7"/>
        <v>SA-268 Gr.TP430 Ti</v>
      </c>
      <c r="B468" s="415">
        <v>462</v>
      </c>
      <c r="C468" s="415" t="s">
        <v>3054</v>
      </c>
      <c r="D468" s="415" t="s">
        <v>2689</v>
      </c>
      <c r="E468" s="415" t="s">
        <v>2203</v>
      </c>
      <c r="F468" s="415" t="s">
        <v>2587</v>
      </c>
      <c r="G468" s="415" t="s">
        <v>3056</v>
      </c>
      <c r="H468" s="415">
        <v>0</v>
      </c>
      <c r="I468" s="415">
        <v>0</v>
      </c>
      <c r="J468" s="415">
        <v>7</v>
      </c>
      <c r="K468" s="415">
        <v>2</v>
      </c>
      <c r="L468" s="415">
        <v>415</v>
      </c>
      <c r="M468" s="415">
        <v>240</v>
      </c>
      <c r="N468" s="415" t="s">
        <v>2675</v>
      </c>
      <c r="O468" s="415" t="s">
        <v>2675</v>
      </c>
      <c r="P468" s="415">
        <v>427</v>
      </c>
      <c r="Q468" s="415" t="s">
        <v>2675</v>
      </c>
      <c r="R468" s="415" t="s">
        <v>2699</v>
      </c>
      <c r="S468" s="415" t="s">
        <v>3053</v>
      </c>
      <c r="T468" s="416">
        <v>100</v>
      </c>
      <c r="U468" s="416">
        <v>100</v>
      </c>
      <c r="V468" s="416">
        <v>100</v>
      </c>
      <c r="W468" s="416">
        <v>100</v>
      </c>
      <c r="X468" s="416">
        <v>98.5</v>
      </c>
      <c r="Y468" s="416">
        <v>97</v>
      </c>
      <c r="Z468" s="416">
        <v>94.6</v>
      </c>
      <c r="AA468" s="416">
        <v>92.8</v>
      </c>
      <c r="AB468" s="416">
        <v>90.8</v>
      </c>
      <c r="AC468" s="416">
        <v>89.7</v>
      </c>
      <c r="AD468" s="416">
        <v>88.3</v>
      </c>
      <c r="AE468" s="416">
        <v>86.7</v>
      </c>
      <c r="AF468" s="416">
        <v>84.8</v>
      </c>
      <c r="AG468" s="416">
        <v>82.5</v>
      </c>
      <c r="AH468" s="416">
        <v>79.7</v>
      </c>
      <c r="AI468" s="416">
        <v>0</v>
      </c>
      <c r="AJ468" s="416">
        <v>0</v>
      </c>
      <c r="AK468" s="416">
        <v>0</v>
      </c>
      <c r="AL468" s="416">
        <v>0</v>
      </c>
      <c r="AM468" s="416">
        <v>0</v>
      </c>
      <c r="AN468" s="416">
        <v>0</v>
      </c>
      <c r="AO468" s="416">
        <v>0</v>
      </c>
      <c r="AP468" s="416">
        <v>0</v>
      </c>
      <c r="AQ468" s="416">
        <v>0</v>
      </c>
      <c r="AR468" s="416">
        <v>0</v>
      </c>
      <c r="AS468" s="416">
        <v>0</v>
      </c>
      <c r="AT468" s="416">
        <v>0</v>
      </c>
      <c r="AU468" s="416">
        <v>0</v>
      </c>
      <c r="AV468" s="416">
        <v>0</v>
      </c>
      <c r="AW468" s="416">
        <v>0</v>
      </c>
      <c r="AX468" s="416">
        <v>0</v>
      </c>
      <c r="AY468" s="416">
        <v>0</v>
      </c>
      <c r="AZ468" s="416">
        <v>0</v>
      </c>
    </row>
    <row r="469" spans="1:52" s="411" customFormat="1" x14ac:dyDescent="0.3">
      <c r="A469" s="415" t="str">
        <f t="shared" si="7"/>
        <v>SA-479 Gr.439</v>
      </c>
      <c r="B469" s="415">
        <v>463</v>
      </c>
      <c r="C469" s="415" t="s">
        <v>3054</v>
      </c>
      <c r="D469" s="415" t="s">
        <v>2677</v>
      </c>
      <c r="E469" s="415" t="s">
        <v>2245</v>
      </c>
      <c r="F469" s="415">
        <v>439</v>
      </c>
      <c r="G469" s="415" t="s">
        <v>3055</v>
      </c>
      <c r="H469" s="415">
        <v>0</v>
      </c>
      <c r="I469" s="415">
        <v>0</v>
      </c>
      <c r="J469" s="415">
        <v>7</v>
      </c>
      <c r="K469" s="415">
        <v>2</v>
      </c>
      <c r="L469" s="415">
        <v>485</v>
      </c>
      <c r="M469" s="415">
        <v>275</v>
      </c>
      <c r="N469" s="415" t="s">
        <v>2675</v>
      </c>
      <c r="O469" s="415" t="s">
        <v>2675</v>
      </c>
      <c r="P469" s="415">
        <v>538</v>
      </c>
      <c r="Q469" s="415">
        <v>343</v>
      </c>
      <c r="R469" s="415" t="s">
        <v>2699</v>
      </c>
      <c r="S469" s="415" t="s">
        <v>3037</v>
      </c>
      <c r="T469" s="416">
        <v>138</v>
      </c>
      <c r="U469" s="416">
        <v>138</v>
      </c>
      <c r="V469" s="416">
        <v>138</v>
      </c>
      <c r="W469" s="416">
        <v>138</v>
      </c>
      <c r="X469" s="416">
        <v>136</v>
      </c>
      <c r="Y469" s="416">
        <v>133</v>
      </c>
      <c r="Z469" s="416">
        <v>130</v>
      </c>
      <c r="AA469" s="416">
        <v>127</v>
      </c>
      <c r="AB469" s="416">
        <v>124</v>
      </c>
      <c r="AC469" s="416">
        <v>123</v>
      </c>
      <c r="AD469" s="416">
        <v>121</v>
      </c>
      <c r="AE469" s="416">
        <v>119</v>
      </c>
      <c r="AF469" s="416">
        <v>116</v>
      </c>
      <c r="AG469" s="416">
        <v>113</v>
      </c>
      <c r="AH469" s="416">
        <v>110</v>
      </c>
      <c r="AI469" s="416">
        <v>91.7</v>
      </c>
      <c r="AJ469" s="416">
        <v>69.900000000000006</v>
      </c>
      <c r="AK469" s="416">
        <v>53.5</v>
      </c>
      <c r="AL469" s="416">
        <v>36.6</v>
      </c>
      <c r="AM469" s="416">
        <v>0</v>
      </c>
      <c r="AN469" s="416">
        <v>0</v>
      </c>
      <c r="AO469" s="416">
        <v>0</v>
      </c>
      <c r="AP469" s="416">
        <v>0</v>
      </c>
      <c r="AQ469" s="416">
        <v>0</v>
      </c>
      <c r="AR469" s="416">
        <v>0</v>
      </c>
      <c r="AS469" s="416">
        <v>0</v>
      </c>
      <c r="AT469" s="416">
        <v>0</v>
      </c>
      <c r="AU469" s="416">
        <v>0</v>
      </c>
      <c r="AV469" s="416">
        <v>0</v>
      </c>
      <c r="AW469" s="416">
        <v>0</v>
      </c>
      <c r="AX469" s="416">
        <v>0</v>
      </c>
      <c r="AY469" s="416">
        <v>0</v>
      </c>
      <c r="AZ469" s="416">
        <v>0</v>
      </c>
    </row>
    <row r="470" spans="1:52" s="411" customFormat="1" x14ac:dyDescent="0.3">
      <c r="A470" s="415" t="str">
        <f t="shared" si="7"/>
        <v>SA-240 Gr.37706</v>
      </c>
      <c r="B470" s="415">
        <v>464</v>
      </c>
      <c r="C470" s="415" t="s">
        <v>3057</v>
      </c>
      <c r="D470" s="415" t="s">
        <v>2684</v>
      </c>
      <c r="E470" s="415" t="s">
        <v>2165</v>
      </c>
      <c r="F470" s="415">
        <v>37706</v>
      </c>
      <c r="G470" s="415" t="s">
        <v>3058</v>
      </c>
      <c r="H470" s="415">
        <v>0</v>
      </c>
      <c r="I470" s="415" t="s">
        <v>3059</v>
      </c>
      <c r="J470" s="415" t="s">
        <v>3060</v>
      </c>
      <c r="K470" s="415">
        <v>1</v>
      </c>
      <c r="L470" s="415">
        <v>585</v>
      </c>
      <c r="M470" s="415">
        <v>450</v>
      </c>
      <c r="N470" s="415" t="s">
        <v>2675</v>
      </c>
      <c r="O470" s="415" t="s">
        <v>2675</v>
      </c>
      <c r="P470" s="415">
        <v>371</v>
      </c>
      <c r="Q470" s="415">
        <v>343</v>
      </c>
      <c r="R470" s="415" t="s">
        <v>3061</v>
      </c>
      <c r="S470" s="415" t="s">
        <v>3012</v>
      </c>
      <c r="T470" s="416">
        <v>168</v>
      </c>
      <c r="U470" s="416">
        <v>168</v>
      </c>
      <c r="V470" s="416">
        <v>168</v>
      </c>
      <c r="W470" s="416">
        <v>168</v>
      </c>
      <c r="X470" s="416">
        <v>167</v>
      </c>
      <c r="Y470" s="416">
        <v>167</v>
      </c>
      <c r="Z470" s="416">
        <v>165</v>
      </c>
      <c r="AA470" s="416">
        <v>164</v>
      </c>
      <c r="AB470" s="416">
        <v>163</v>
      </c>
      <c r="AC470" s="416">
        <v>162</v>
      </c>
      <c r="AD470" s="416">
        <v>162</v>
      </c>
      <c r="AE470" s="416">
        <v>161</v>
      </c>
      <c r="AF470" s="416">
        <v>0</v>
      </c>
      <c r="AG470" s="416">
        <v>0</v>
      </c>
      <c r="AH470" s="416">
        <v>0</v>
      </c>
      <c r="AI470" s="416">
        <v>0</v>
      </c>
      <c r="AJ470" s="416">
        <v>0</v>
      </c>
      <c r="AK470" s="416">
        <v>0</v>
      </c>
      <c r="AL470" s="416">
        <v>0</v>
      </c>
      <c r="AM470" s="416">
        <v>0</v>
      </c>
      <c r="AN470" s="416">
        <v>0</v>
      </c>
      <c r="AO470" s="416">
        <v>0</v>
      </c>
      <c r="AP470" s="416">
        <v>0</v>
      </c>
      <c r="AQ470" s="416">
        <v>0</v>
      </c>
      <c r="AR470" s="416">
        <v>0</v>
      </c>
      <c r="AS470" s="416">
        <v>0</v>
      </c>
      <c r="AT470" s="416">
        <v>0</v>
      </c>
      <c r="AU470" s="416">
        <v>0</v>
      </c>
      <c r="AV470" s="416">
        <v>0</v>
      </c>
      <c r="AW470" s="416">
        <v>0</v>
      </c>
      <c r="AX470" s="416">
        <v>0</v>
      </c>
      <c r="AY470" s="416">
        <v>0</v>
      </c>
      <c r="AZ470" s="416">
        <v>0</v>
      </c>
    </row>
    <row r="471" spans="1:52" s="411" customFormat="1" x14ac:dyDescent="0.3">
      <c r="A471" s="415" t="str">
        <f t="shared" si="7"/>
        <v>SA-268 Gr.37706</v>
      </c>
      <c r="B471" s="415">
        <v>465</v>
      </c>
      <c r="C471" s="415" t="s">
        <v>3057</v>
      </c>
      <c r="D471" s="415" t="s">
        <v>2693</v>
      </c>
      <c r="E471" s="415" t="s">
        <v>2203</v>
      </c>
      <c r="F471" s="415">
        <v>37706</v>
      </c>
      <c r="G471" s="415" t="s">
        <v>3058</v>
      </c>
      <c r="H471" s="415">
        <v>0</v>
      </c>
      <c r="I471" s="415" t="s">
        <v>3059</v>
      </c>
      <c r="J471" s="415" t="s">
        <v>3060</v>
      </c>
      <c r="K471" s="415">
        <v>1</v>
      </c>
      <c r="L471" s="415">
        <v>585</v>
      </c>
      <c r="M471" s="415">
        <v>450</v>
      </c>
      <c r="N471" s="415" t="s">
        <v>2675</v>
      </c>
      <c r="O471" s="415">
        <v>371</v>
      </c>
      <c r="P471" s="415">
        <v>371</v>
      </c>
      <c r="Q471" s="415">
        <v>343</v>
      </c>
      <c r="R471" s="415" t="s">
        <v>3061</v>
      </c>
      <c r="S471" s="415" t="s">
        <v>3062</v>
      </c>
      <c r="T471" s="416">
        <v>168</v>
      </c>
      <c r="U471" s="416">
        <v>168</v>
      </c>
      <c r="V471" s="416">
        <v>168</v>
      </c>
      <c r="W471" s="416">
        <v>168</v>
      </c>
      <c r="X471" s="416">
        <v>167</v>
      </c>
      <c r="Y471" s="416">
        <v>167</v>
      </c>
      <c r="Z471" s="416">
        <v>165</v>
      </c>
      <c r="AA471" s="416">
        <v>164</v>
      </c>
      <c r="AB471" s="416">
        <v>163</v>
      </c>
      <c r="AC471" s="416">
        <v>162</v>
      </c>
      <c r="AD471" s="416">
        <v>162</v>
      </c>
      <c r="AE471" s="416">
        <v>161</v>
      </c>
      <c r="AF471" s="416">
        <v>0</v>
      </c>
      <c r="AG471" s="416">
        <v>0</v>
      </c>
      <c r="AH471" s="416">
        <v>0</v>
      </c>
      <c r="AI471" s="416">
        <v>0</v>
      </c>
      <c r="AJ471" s="416">
        <v>0</v>
      </c>
      <c r="AK471" s="416">
        <v>0</v>
      </c>
      <c r="AL471" s="416">
        <v>0</v>
      </c>
      <c r="AM471" s="416">
        <v>0</v>
      </c>
      <c r="AN471" s="416">
        <v>0</v>
      </c>
      <c r="AO471" s="416">
        <v>0</v>
      </c>
      <c r="AP471" s="416">
        <v>0</v>
      </c>
      <c r="AQ471" s="416">
        <v>0</v>
      </c>
      <c r="AR471" s="416">
        <v>0</v>
      </c>
      <c r="AS471" s="416">
        <v>0</v>
      </c>
      <c r="AT471" s="416">
        <v>0</v>
      </c>
      <c r="AU471" s="416">
        <v>0</v>
      </c>
      <c r="AV471" s="416">
        <v>0</v>
      </c>
      <c r="AW471" s="416">
        <v>0</v>
      </c>
      <c r="AX471" s="416">
        <v>0</v>
      </c>
      <c r="AY471" s="416">
        <v>0</v>
      </c>
      <c r="AZ471" s="416">
        <v>0</v>
      </c>
    </row>
    <row r="472" spans="1:52" s="411" customFormat="1" x14ac:dyDescent="0.3">
      <c r="A472" s="415" t="str">
        <f t="shared" si="7"/>
        <v>SA-268 Gr.37706</v>
      </c>
      <c r="B472" s="415">
        <v>466</v>
      </c>
      <c r="C472" s="415" t="s">
        <v>3057</v>
      </c>
      <c r="D472" s="415" t="s">
        <v>2689</v>
      </c>
      <c r="E472" s="415" t="s">
        <v>2203</v>
      </c>
      <c r="F472" s="415">
        <v>37706</v>
      </c>
      <c r="G472" s="415" t="s">
        <v>3058</v>
      </c>
      <c r="H472" s="415">
        <v>0</v>
      </c>
      <c r="I472" s="415" t="s">
        <v>3059</v>
      </c>
      <c r="J472" s="415" t="s">
        <v>3060</v>
      </c>
      <c r="K472" s="415">
        <v>1</v>
      </c>
      <c r="L472" s="415">
        <v>585</v>
      </c>
      <c r="M472" s="415">
        <v>450</v>
      </c>
      <c r="N472" s="415" t="s">
        <v>2675</v>
      </c>
      <c r="O472" s="415">
        <v>371</v>
      </c>
      <c r="P472" s="415" t="s">
        <v>2675</v>
      </c>
      <c r="Q472" s="415" t="s">
        <v>2675</v>
      </c>
      <c r="R472" s="415" t="s">
        <v>3061</v>
      </c>
      <c r="S472" s="415" t="s">
        <v>3063</v>
      </c>
      <c r="T472" s="416">
        <v>168</v>
      </c>
      <c r="U472" s="416">
        <v>168</v>
      </c>
      <c r="V472" s="416">
        <v>168</v>
      </c>
      <c r="W472" s="416">
        <v>168</v>
      </c>
      <c r="X472" s="416">
        <v>167</v>
      </c>
      <c r="Y472" s="416">
        <v>167</v>
      </c>
      <c r="Z472" s="416">
        <v>165</v>
      </c>
      <c r="AA472" s="416">
        <v>164</v>
      </c>
      <c r="AB472" s="416">
        <v>163</v>
      </c>
      <c r="AC472" s="416">
        <v>162</v>
      </c>
      <c r="AD472" s="416">
        <v>162</v>
      </c>
      <c r="AE472" s="416">
        <v>161</v>
      </c>
      <c r="AF472" s="416">
        <v>0</v>
      </c>
      <c r="AG472" s="416">
        <v>0</v>
      </c>
      <c r="AH472" s="416">
        <v>0</v>
      </c>
      <c r="AI472" s="416">
        <v>0</v>
      </c>
      <c r="AJ472" s="416">
        <v>0</v>
      </c>
      <c r="AK472" s="416">
        <v>0</v>
      </c>
      <c r="AL472" s="416">
        <v>0</v>
      </c>
      <c r="AM472" s="416">
        <v>0</v>
      </c>
      <c r="AN472" s="416">
        <v>0</v>
      </c>
      <c r="AO472" s="416">
        <v>0</v>
      </c>
      <c r="AP472" s="416">
        <v>0</v>
      </c>
      <c r="AQ472" s="416">
        <v>0</v>
      </c>
      <c r="AR472" s="416">
        <v>0</v>
      </c>
      <c r="AS472" s="416">
        <v>0</v>
      </c>
      <c r="AT472" s="416">
        <v>0</v>
      </c>
      <c r="AU472" s="416">
        <v>0</v>
      </c>
      <c r="AV472" s="416">
        <v>0</v>
      </c>
      <c r="AW472" s="416">
        <v>0</v>
      </c>
      <c r="AX472" s="416">
        <v>0</v>
      </c>
      <c r="AY472" s="416">
        <v>0</v>
      </c>
      <c r="AZ472" s="416">
        <v>0</v>
      </c>
    </row>
    <row r="473" spans="1:52" s="411" customFormat="1" x14ac:dyDescent="0.3">
      <c r="A473" s="415" t="str">
        <f t="shared" si="7"/>
        <v>SA-268 Gr.37706</v>
      </c>
      <c r="B473" s="415">
        <v>467</v>
      </c>
      <c r="C473" s="415" t="s">
        <v>3057</v>
      </c>
      <c r="D473" s="415" t="s">
        <v>2689</v>
      </c>
      <c r="E473" s="415" t="s">
        <v>2203</v>
      </c>
      <c r="F473" s="415">
        <v>37706</v>
      </c>
      <c r="G473" s="415" t="s">
        <v>3058</v>
      </c>
      <c r="H473" s="415">
        <v>0</v>
      </c>
      <c r="I473" s="415" t="s">
        <v>3059</v>
      </c>
      <c r="J473" s="415" t="s">
        <v>3060</v>
      </c>
      <c r="K473" s="415">
        <v>1</v>
      </c>
      <c r="L473" s="415">
        <v>585</v>
      </c>
      <c r="M473" s="415">
        <v>450</v>
      </c>
      <c r="N473" s="415" t="s">
        <v>2675</v>
      </c>
      <c r="O473" s="415" t="s">
        <v>2675</v>
      </c>
      <c r="P473" s="415">
        <v>371</v>
      </c>
      <c r="Q473" s="415">
        <v>343</v>
      </c>
      <c r="R473" s="415" t="s">
        <v>3061</v>
      </c>
      <c r="S473" s="415" t="s">
        <v>3053</v>
      </c>
      <c r="T473" s="416">
        <v>142</v>
      </c>
      <c r="U473" s="416">
        <v>142</v>
      </c>
      <c r="V473" s="416">
        <v>142</v>
      </c>
      <c r="W473" s="416">
        <v>142</v>
      </c>
      <c r="X473" s="416">
        <v>142</v>
      </c>
      <c r="Y473" s="416">
        <v>142</v>
      </c>
      <c r="Z473" s="416">
        <v>140</v>
      </c>
      <c r="AA473" s="416">
        <v>139</v>
      </c>
      <c r="AB473" s="416">
        <v>139</v>
      </c>
      <c r="AC473" s="416">
        <v>138</v>
      </c>
      <c r="AD473" s="416">
        <v>138</v>
      </c>
      <c r="AE473" s="416">
        <v>137</v>
      </c>
      <c r="AF473" s="416">
        <v>0</v>
      </c>
      <c r="AG473" s="416">
        <v>0</v>
      </c>
      <c r="AH473" s="416">
        <v>0</v>
      </c>
      <c r="AI473" s="416">
        <v>0</v>
      </c>
      <c r="AJ473" s="416">
        <v>0</v>
      </c>
      <c r="AK473" s="416">
        <v>0</v>
      </c>
      <c r="AL473" s="416">
        <v>0</v>
      </c>
      <c r="AM473" s="416">
        <v>0</v>
      </c>
      <c r="AN473" s="416">
        <v>0</v>
      </c>
      <c r="AO473" s="416">
        <v>0</v>
      </c>
      <c r="AP473" s="416">
        <v>0</v>
      </c>
      <c r="AQ473" s="416">
        <v>0</v>
      </c>
      <c r="AR473" s="416">
        <v>0</v>
      </c>
      <c r="AS473" s="416">
        <v>0</v>
      </c>
      <c r="AT473" s="416">
        <v>0</v>
      </c>
      <c r="AU473" s="416">
        <v>0</v>
      </c>
      <c r="AV473" s="416">
        <v>0</v>
      </c>
      <c r="AW473" s="416">
        <v>0</v>
      </c>
      <c r="AX473" s="416">
        <v>0</v>
      </c>
      <c r="AY473" s="416">
        <v>0</v>
      </c>
      <c r="AZ473" s="416">
        <v>0</v>
      </c>
    </row>
    <row r="474" spans="1:52" s="411" customFormat="1" x14ac:dyDescent="0.3">
      <c r="A474" s="415" t="str">
        <f t="shared" si="7"/>
        <v>SA-803 Gr.37706</v>
      </c>
      <c r="B474" s="415">
        <v>468</v>
      </c>
      <c r="C474" s="415" t="s">
        <v>3057</v>
      </c>
      <c r="D474" s="415" t="s">
        <v>2689</v>
      </c>
      <c r="E474" s="415" t="s">
        <v>2326</v>
      </c>
      <c r="F474" s="415">
        <v>37706</v>
      </c>
      <c r="G474" s="415" t="s">
        <v>3058</v>
      </c>
      <c r="H474" s="415">
        <v>0</v>
      </c>
      <c r="I474" s="415" t="s">
        <v>3059</v>
      </c>
      <c r="J474" s="415" t="s">
        <v>3060</v>
      </c>
      <c r="K474" s="415">
        <v>1</v>
      </c>
      <c r="L474" s="415">
        <v>585</v>
      </c>
      <c r="M474" s="415">
        <v>450</v>
      </c>
      <c r="N474" s="415" t="s">
        <v>2675</v>
      </c>
      <c r="O474" s="415" t="s">
        <v>2675</v>
      </c>
      <c r="P474" s="415">
        <v>316</v>
      </c>
      <c r="Q474" s="415">
        <v>316</v>
      </c>
      <c r="R474" s="415" t="s">
        <v>3061</v>
      </c>
      <c r="S474" s="415" t="s">
        <v>3053</v>
      </c>
      <c r="T474" s="416">
        <v>142</v>
      </c>
      <c r="U474" s="416">
        <v>142</v>
      </c>
      <c r="V474" s="416">
        <v>142</v>
      </c>
      <c r="W474" s="416">
        <v>142</v>
      </c>
      <c r="X474" s="416">
        <v>142</v>
      </c>
      <c r="Y474" s="416">
        <v>142</v>
      </c>
      <c r="Z474" s="416">
        <v>140</v>
      </c>
      <c r="AA474" s="416">
        <v>139</v>
      </c>
      <c r="AB474" s="416">
        <v>139</v>
      </c>
      <c r="AC474" s="416">
        <v>138</v>
      </c>
      <c r="AD474" s="416">
        <v>0</v>
      </c>
      <c r="AE474" s="416">
        <v>0</v>
      </c>
      <c r="AF474" s="416">
        <v>0</v>
      </c>
      <c r="AG474" s="416">
        <v>0</v>
      </c>
      <c r="AH474" s="416">
        <v>0</v>
      </c>
      <c r="AI474" s="416">
        <v>0</v>
      </c>
      <c r="AJ474" s="416">
        <v>0</v>
      </c>
      <c r="AK474" s="416">
        <v>0</v>
      </c>
      <c r="AL474" s="416">
        <v>0</v>
      </c>
      <c r="AM474" s="416">
        <v>0</v>
      </c>
      <c r="AN474" s="416">
        <v>0</v>
      </c>
      <c r="AO474" s="416">
        <v>0</v>
      </c>
      <c r="AP474" s="416">
        <v>0</v>
      </c>
      <c r="AQ474" s="416">
        <v>0</v>
      </c>
      <c r="AR474" s="416">
        <v>0</v>
      </c>
      <c r="AS474" s="416">
        <v>0</v>
      </c>
      <c r="AT474" s="416">
        <v>0</v>
      </c>
      <c r="AU474" s="416">
        <v>0</v>
      </c>
      <c r="AV474" s="416">
        <v>0</v>
      </c>
      <c r="AW474" s="416">
        <v>0</v>
      </c>
      <c r="AX474" s="416">
        <v>0</v>
      </c>
      <c r="AY474" s="416">
        <v>0</v>
      </c>
      <c r="AZ474" s="416">
        <v>0</v>
      </c>
    </row>
    <row r="475" spans="1:52" s="411" customFormat="1" x14ac:dyDescent="0.3">
      <c r="A475" s="415" t="str">
        <f t="shared" si="7"/>
        <v>SA-268 Gr.TP446-1</v>
      </c>
      <c r="B475" s="415">
        <v>469</v>
      </c>
      <c r="C475" s="415" t="s">
        <v>3064</v>
      </c>
      <c r="D475" s="415" t="s">
        <v>2693</v>
      </c>
      <c r="E475" s="415" t="s">
        <v>2203</v>
      </c>
      <c r="F475" s="415" t="s">
        <v>2589</v>
      </c>
      <c r="G475" s="415" t="s">
        <v>3065</v>
      </c>
      <c r="H475" s="415">
        <v>0</v>
      </c>
      <c r="I475" s="415">
        <v>0</v>
      </c>
      <c r="J475" s="415" t="s">
        <v>3066</v>
      </c>
      <c r="K475" s="415">
        <v>1</v>
      </c>
      <c r="L475" s="415">
        <v>485</v>
      </c>
      <c r="M475" s="415">
        <v>275</v>
      </c>
      <c r="N475" s="415">
        <v>371</v>
      </c>
      <c r="O475" s="415" t="s">
        <v>2675</v>
      </c>
      <c r="P475" s="415">
        <v>343</v>
      </c>
      <c r="Q475" s="415">
        <v>343</v>
      </c>
      <c r="R475" s="415" t="s">
        <v>2699</v>
      </c>
      <c r="S475" s="415" t="s">
        <v>3012</v>
      </c>
      <c r="T475" s="416">
        <v>138</v>
      </c>
      <c r="U475" s="416">
        <v>138</v>
      </c>
      <c r="V475" s="416">
        <v>138</v>
      </c>
      <c r="W475" s="416">
        <v>138</v>
      </c>
      <c r="X475" s="416">
        <v>136</v>
      </c>
      <c r="Y475" s="416">
        <v>133</v>
      </c>
      <c r="Z475" s="416">
        <v>130</v>
      </c>
      <c r="AA475" s="416">
        <v>127</v>
      </c>
      <c r="AB475" s="416">
        <v>124</v>
      </c>
      <c r="AC475" s="416">
        <v>123</v>
      </c>
      <c r="AD475" s="416">
        <v>121</v>
      </c>
      <c r="AE475" s="416">
        <v>119</v>
      </c>
      <c r="AF475" s="416">
        <v>0</v>
      </c>
      <c r="AG475" s="416">
        <v>0</v>
      </c>
      <c r="AH475" s="416">
        <v>0</v>
      </c>
      <c r="AI475" s="416">
        <v>0</v>
      </c>
      <c r="AJ475" s="416">
        <v>0</v>
      </c>
      <c r="AK475" s="416">
        <v>0</v>
      </c>
      <c r="AL475" s="416">
        <v>0</v>
      </c>
      <c r="AM475" s="416">
        <v>0</v>
      </c>
      <c r="AN475" s="416">
        <v>0</v>
      </c>
      <c r="AO475" s="416">
        <v>0</v>
      </c>
      <c r="AP475" s="416">
        <v>0</v>
      </c>
      <c r="AQ475" s="416">
        <v>0</v>
      </c>
      <c r="AR475" s="416">
        <v>0</v>
      </c>
      <c r="AS475" s="416">
        <v>0</v>
      </c>
      <c r="AT475" s="416">
        <v>0</v>
      </c>
      <c r="AU475" s="416">
        <v>0</v>
      </c>
      <c r="AV475" s="416">
        <v>0</v>
      </c>
      <c r="AW475" s="416">
        <v>0</v>
      </c>
      <c r="AX475" s="416">
        <v>0</v>
      </c>
      <c r="AY475" s="416">
        <v>0</v>
      </c>
      <c r="AZ475" s="416">
        <v>0</v>
      </c>
    </row>
    <row r="476" spans="1:52" s="411" customFormat="1" x14ac:dyDescent="0.3">
      <c r="A476" s="415" t="str">
        <f t="shared" si="7"/>
        <v>SA-182 Gr.FXM-27Cb</v>
      </c>
      <c r="B476" s="415">
        <v>470</v>
      </c>
      <c r="C476" s="415" t="s">
        <v>3067</v>
      </c>
      <c r="D476" s="415" t="s">
        <v>2737</v>
      </c>
      <c r="E476" s="415" t="s">
        <v>2188</v>
      </c>
      <c r="F476" s="415" t="s">
        <v>2478</v>
      </c>
      <c r="G476" s="415" t="s">
        <v>3068</v>
      </c>
      <c r="H476" s="415">
        <v>0</v>
      </c>
      <c r="I476" s="415">
        <v>0</v>
      </c>
      <c r="J476" s="415" t="s">
        <v>3066</v>
      </c>
      <c r="K476" s="415">
        <v>1</v>
      </c>
      <c r="L476" s="415">
        <v>415</v>
      </c>
      <c r="M476" s="415">
        <v>240</v>
      </c>
      <c r="N476" s="415" t="s">
        <v>2675</v>
      </c>
      <c r="O476" s="415" t="s">
        <v>2675</v>
      </c>
      <c r="P476" s="415">
        <v>343</v>
      </c>
      <c r="Q476" s="415">
        <v>343</v>
      </c>
      <c r="R476" s="415" t="s">
        <v>3069</v>
      </c>
      <c r="S476" s="415" t="s">
        <v>3012</v>
      </c>
      <c r="T476" s="416">
        <v>118</v>
      </c>
      <c r="U476" s="416">
        <v>118</v>
      </c>
      <c r="V476" s="416">
        <v>118</v>
      </c>
      <c r="W476" s="416">
        <v>118</v>
      </c>
      <c r="X476" s="416">
        <v>116</v>
      </c>
      <c r="Y476" s="416">
        <v>114</v>
      </c>
      <c r="Z476" s="416">
        <v>111</v>
      </c>
      <c r="AA476" s="416">
        <v>111</v>
      </c>
      <c r="AB476" s="416">
        <v>111</v>
      </c>
      <c r="AC476" s="416">
        <v>111</v>
      </c>
      <c r="AD476" s="416">
        <v>111</v>
      </c>
      <c r="AE476" s="416">
        <v>0</v>
      </c>
      <c r="AF476" s="416">
        <v>0</v>
      </c>
      <c r="AG476" s="416">
        <v>0</v>
      </c>
      <c r="AH476" s="416">
        <v>0</v>
      </c>
      <c r="AI476" s="416">
        <v>0</v>
      </c>
      <c r="AJ476" s="416">
        <v>0</v>
      </c>
      <c r="AK476" s="416">
        <v>0</v>
      </c>
      <c r="AL476" s="416">
        <v>0</v>
      </c>
      <c r="AM476" s="416">
        <v>0</v>
      </c>
      <c r="AN476" s="416">
        <v>0</v>
      </c>
      <c r="AO476" s="416">
        <v>0</v>
      </c>
      <c r="AP476" s="416">
        <v>0</v>
      </c>
      <c r="AQ476" s="416">
        <v>0</v>
      </c>
      <c r="AR476" s="416">
        <v>0</v>
      </c>
      <c r="AS476" s="416">
        <v>0</v>
      </c>
      <c r="AT476" s="416">
        <v>0</v>
      </c>
      <c r="AU476" s="416">
        <v>0</v>
      </c>
      <c r="AV476" s="416">
        <v>0</v>
      </c>
      <c r="AW476" s="416">
        <v>0</v>
      </c>
      <c r="AX476" s="416">
        <v>0</v>
      </c>
      <c r="AY476" s="416">
        <v>0</v>
      </c>
      <c r="AZ476" s="416">
        <v>0</v>
      </c>
    </row>
    <row r="477" spans="1:52" s="411" customFormat="1" x14ac:dyDescent="0.3">
      <c r="A477" s="415" t="str">
        <f t="shared" si="7"/>
        <v>SA-240 Gr.XM-27</v>
      </c>
      <c r="B477" s="415">
        <v>471</v>
      </c>
      <c r="C477" s="415" t="s">
        <v>3067</v>
      </c>
      <c r="D477" s="415" t="s">
        <v>2684</v>
      </c>
      <c r="E477" s="415" t="s">
        <v>2165</v>
      </c>
      <c r="F477" s="415" t="s">
        <v>2622</v>
      </c>
      <c r="G477" s="415" t="s">
        <v>3068</v>
      </c>
      <c r="H477" s="415">
        <v>0</v>
      </c>
      <c r="I477" s="415">
        <v>0</v>
      </c>
      <c r="J477" s="415" t="s">
        <v>3066</v>
      </c>
      <c r="K477" s="415">
        <v>1</v>
      </c>
      <c r="L477" s="415">
        <v>450</v>
      </c>
      <c r="M477" s="415">
        <v>275</v>
      </c>
      <c r="N477" s="415" t="s">
        <v>2675</v>
      </c>
      <c r="O477" s="415">
        <v>343</v>
      </c>
      <c r="P477" s="415">
        <v>343</v>
      </c>
      <c r="Q477" s="415">
        <v>343</v>
      </c>
      <c r="R477" s="415" t="s">
        <v>3069</v>
      </c>
      <c r="S477" s="415" t="s">
        <v>3012</v>
      </c>
      <c r="T477" s="416">
        <v>128</v>
      </c>
      <c r="U477" s="416">
        <v>128</v>
      </c>
      <c r="V477" s="416">
        <v>128</v>
      </c>
      <c r="W477" s="416">
        <v>128</v>
      </c>
      <c r="X477" s="416">
        <v>127</v>
      </c>
      <c r="Y477" s="416">
        <v>126</v>
      </c>
      <c r="Z477" s="416">
        <v>125</v>
      </c>
      <c r="AA477" s="416">
        <v>125</v>
      </c>
      <c r="AB477" s="416">
        <v>125</v>
      </c>
      <c r="AC477" s="416">
        <v>125</v>
      </c>
      <c r="AD477" s="416">
        <v>125</v>
      </c>
      <c r="AE477" s="416">
        <v>0</v>
      </c>
      <c r="AF477" s="416">
        <v>0</v>
      </c>
      <c r="AG477" s="416">
        <v>0</v>
      </c>
      <c r="AH477" s="416">
        <v>0</v>
      </c>
      <c r="AI477" s="416">
        <v>0</v>
      </c>
      <c r="AJ477" s="416">
        <v>0</v>
      </c>
      <c r="AK477" s="416">
        <v>0</v>
      </c>
      <c r="AL477" s="416">
        <v>0</v>
      </c>
      <c r="AM477" s="416">
        <v>0</v>
      </c>
      <c r="AN477" s="416">
        <v>0</v>
      </c>
      <c r="AO477" s="416">
        <v>0</v>
      </c>
      <c r="AP477" s="416">
        <v>0</v>
      </c>
      <c r="AQ477" s="416">
        <v>0</v>
      </c>
      <c r="AR477" s="416">
        <v>0</v>
      </c>
      <c r="AS477" s="416">
        <v>0</v>
      </c>
      <c r="AT477" s="416">
        <v>0</v>
      </c>
      <c r="AU477" s="416">
        <v>0</v>
      </c>
      <c r="AV477" s="416">
        <v>0</v>
      </c>
      <c r="AW477" s="416">
        <v>0</v>
      </c>
      <c r="AX477" s="416">
        <v>0</v>
      </c>
      <c r="AY477" s="416">
        <v>0</v>
      </c>
      <c r="AZ477" s="416">
        <v>0</v>
      </c>
    </row>
    <row r="478" spans="1:52" s="411" customFormat="1" x14ac:dyDescent="0.3">
      <c r="A478" s="415" t="str">
        <f t="shared" si="7"/>
        <v>SA-268 Gr.TPXM-27</v>
      </c>
      <c r="B478" s="415">
        <v>472</v>
      </c>
      <c r="C478" s="415" t="s">
        <v>3067</v>
      </c>
      <c r="D478" s="415" t="s">
        <v>2689</v>
      </c>
      <c r="E478" s="415" t="s">
        <v>2203</v>
      </c>
      <c r="F478" s="415" t="s">
        <v>2593</v>
      </c>
      <c r="G478" s="415" t="s">
        <v>3068</v>
      </c>
      <c r="H478" s="415">
        <v>0</v>
      </c>
      <c r="I478" s="415">
        <v>0</v>
      </c>
      <c r="J478" s="415" t="s">
        <v>3066</v>
      </c>
      <c r="K478" s="415">
        <v>1</v>
      </c>
      <c r="L478" s="415">
        <v>450</v>
      </c>
      <c r="M478" s="415">
        <v>275</v>
      </c>
      <c r="N478" s="415" t="s">
        <v>2675</v>
      </c>
      <c r="O478" s="415" t="s">
        <v>2675</v>
      </c>
      <c r="P478" s="415">
        <v>343</v>
      </c>
      <c r="Q478" s="415">
        <v>343</v>
      </c>
      <c r="R478" s="415" t="s">
        <v>3069</v>
      </c>
      <c r="S478" s="415" t="s">
        <v>3053</v>
      </c>
      <c r="T478" s="416">
        <v>109</v>
      </c>
      <c r="U478" s="416">
        <v>109</v>
      </c>
      <c r="V478" s="416">
        <v>109</v>
      </c>
      <c r="W478" s="416">
        <v>109</v>
      </c>
      <c r="X478" s="416">
        <v>108</v>
      </c>
      <c r="Y478" s="416">
        <v>107</v>
      </c>
      <c r="Z478" s="416">
        <v>106</v>
      </c>
      <c r="AA478" s="416">
        <v>106</v>
      </c>
      <c r="AB478" s="416">
        <v>106</v>
      </c>
      <c r="AC478" s="416">
        <v>106</v>
      </c>
      <c r="AD478" s="416">
        <v>106</v>
      </c>
      <c r="AE478" s="416">
        <v>0</v>
      </c>
      <c r="AF478" s="416">
        <v>0</v>
      </c>
      <c r="AG478" s="416">
        <v>0</v>
      </c>
      <c r="AH478" s="416">
        <v>0</v>
      </c>
      <c r="AI478" s="416">
        <v>0</v>
      </c>
      <c r="AJ478" s="416">
        <v>0</v>
      </c>
      <c r="AK478" s="416">
        <v>0</v>
      </c>
      <c r="AL478" s="416">
        <v>0</v>
      </c>
      <c r="AM478" s="416">
        <v>0</v>
      </c>
      <c r="AN478" s="416">
        <v>0</v>
      </c>
      <c r="AO478" s="416">
        <v>0</v>
      </c>
      <c r="AP478" s="416">
        <v>0</v>
      </c>
      <c r="AQ478" s="416">
        <v>0</v>
      </c>
      <c r="AR478" s="416">
        <v>0</v>
      </c>
      <c r="AS478" s="416">
        <v>0</v>
      </c>
      <c r="AT478" s="416">
        <v>0</v>
      </c>
      <c r="AU478" s="416">
        <v>0</v>
      </c>
      <c r="AV478" s="416">
        <v>0</v>
      </c>
      <c r="AW478" s="416">
        <v>0</v>
      </c>
      <c r="AX478" s="416">
        <v>0</v>
      </c>
      <c r="AY478" s="416">
        <v>0</v>
      </c>
      <c r="AZ478" s="416">
        <v>0</v>
      </c>
    </row>
    <row r="479" spans="1:52" s="411" customFormat="1" x14ac:dyDescent="0.3">
      <c r="A479" s="415" t="str">
        <f t="shared" si="7"/>
        <v>SA-268 Gr.TPXM-27</v>
      </c>
      <c r="B479" s="415">
        <v>473</v>
      </c>
      <c r="C479" s="415" t="s">
        <v>3067</v>
      </c>
      <c r="D479" s="415" t="s">
        <v>2693</v>
      </c>
      <c r="E479" s="415" t="s">
        <v>2203</v>
      </c>
      <c r="F479" s="415" t="s">
        <v>2593</v>
      </c>
      <c r="G479" s="415" t="s">
        <v>3068</v>
      </c>
      <c r="H479" s="415">
        <v>0</v>
      </c>
      <c r="I479" s="415">
        <v>0</v>
      </c>
      <c r="J479" s="415" t="s">
        <v>3066</v>
      </c>
      <c r="K479" s="415">
        <v>1</v>
      </c>
      <c r="L479" s="415">
        <v>450</v>
      </c>
      <c r="M479" s="415">
        <v>275</v>
      </c>
      <c r="N479" s="415" t="s">
        <v>2675</v>
      </c>
      <c r="O479" s="415">
        <v>343</v>
      </c>
      <c r="P479" s="415">
        <v>343</v>
      </c>
      <c r="Q479" s="415">
        <v>343</v>
      </c>
      <c r="R479" s="415" t="s">
        <v>3069</v>
      </c>
      <c r="S479" s="415" t="s">
        <v>3012</v>
      </c>
      <c r="T479" s="416">
        <v>128</v>
      </c>
      <c r="U479" s="416">
        <v>128</v>
      </c>
      <c r="V479" s="416">
        <v>128</v>
      </c>
      <c r="W479" s="416">
        <v>128</v>
      </c>
      <c r="X479" s="416">
        <v>127</v>
      </c>
      <c r="Y479" s="416">
        <v>126</v>
      </c>
      <c r="Z479" s="416">
        <v>125</v>
      </c>
      <c r="AA479" s="416">
        <v>125</v>
      </c>
      <c r="AB479" s="416">
        <v>125</v>
      </c>
      <c r="AC479" s="416">
        <v>125</v>
      </c>
      <c r="AD479" s="416">
        <v>125</v>
      </c>
      <c r="AE479" s="416">
        <v>0</v>
      </c>
      <c r="AF479" s="416">
        <v>0</v>
      </c>
      <c r="AG479" s="416">
        <v>0</v>
      </c>
      <c r="AH479" s="416">
        <v>0</v>
      </c>
      <c r="AI479" s="416">
        <v>0</v>
      </c>
      <c r="AJ479" s="416">
        <v>0</v>
      </c>
      <c r="AK479" s="416">
        <v>0</v>
      </c>
      <c r="AL479" s="416">
        <v>0</v>
      </c>
      <c r="AM479" s="416">
        <v>0</v>
      </c>
      <c r="AN479" s="416">
        <v>0</v>
      </c>
      <c r="AO479" s="416">
        <v>0</v>
      </c>
      <c r="AP479" s="416">
        <v>0</v>
      </c>
      <c r="AQ479" s="416">
        <v>0</v>
      </c>
      <c r="AR479" s="416">
        <v>0</v>
      </c>
      <c r="AS479" s="416">
        <v>0</v>
      </c>
      <c r="AT479" s="416">
        <v>0</v>
      </c>
      <c r="AU479" s="416">
        <v>0</v>
      </c>
      <c r="AV479" s="416">
        <v>0</v>
      </c>
      <c r="AW479" s="416">
        <v>0</v>
      </c>
      <c r="AX479" s="416">
        <v>0</v>
      </c>
      <c r="AY479" s="416">
        <v>0</v>
      </c>
      <c r="AZ479" s="416">
        <v>0</v>
      </c>
    </row>
    <row r="480" spans="1:52" s="411" customFormat="1" x14ac:dyDescent="0.3">
      <c r="A480" s="415" t="str">
        <f t="shared" si="7"/>
        <v>SA-479 Gr.XM-27</v>
      </c>
      <c r="B480" s="415">
        <v>474</v>
      </c>
      <c r="C480" s="415" t="s">
        <v>3067</v>
      </c>
      <c r="D480" s="415" t="s">
        <v>2677</v>
      </c>
      <c r="E480" s="415" t="s">
        <v>2245</v>
      </c>
      <c r="F480" s="415" t="s">
        <v>2622</v>
      </c>
      <c r="G480" s="415" t="s">
        <v>3068</v>
      </c>
      <c r="H480" s="415">
        <v>0</v>
      </c>
      <c r="I480" s="415">
        <v>0</v>
      </c>
      <c r="J480" s="415" t="s">
        <v>3066</v>
      </c>
      <c r="K480" s="415">
        <v>1</v>
      </c>
      <c r="L480" s="415">
        <v>450</v>
      </c>
      <c r="M480" s="415">
        <v>275</v>
      </c>
      <c r="N480" s="415" t="s">
        <v>2675</v>
      </c>
      <c r="O480" s="415">
        <v>371</v>
      </c>
      <c r="P480" s="415">
        <v>343</v>
      </c>
      <c r="Q480" s="415">
        <v>343</v>
      </c>
      <c r="R480" s="415" t="s">
        <v>3069</v>
      </c>
      <c r="S480" s="415" t="s">
        <v>3070</v>
      </c>
      <c r="T480" s="416">
        <v>128</v>
      </c>
      <c r="U480" s="416">
        <v>128</v>
      </c>
      <c r="V480" s="416">
        <v>128</v>
      </c>
      <c r="W480" s="416">
        <v>128</v>
      </c>
      <c r="X480" s="416">
        <v>127</v>
      </c>
      <c r="Y480" s="416">
        <v>126</v>
      </c>
      <c r="Z480" s="416">
        <v>125</v>
      </c>
      <c r="AA480" s="416">
        <v>125</v>
      </c>
      <c r="AB480" s="416">
        <v>125</v>
      </c>
      <c r="AC480" s="416">
        <v>125</v>
      </c>
      <c r="AD480" s="416">
        <v>125</v>
      </c>
      <c r="AE480" s="416">
        <v>125</v>
      </c>
      <c r="AF480" s="416">
        <v>0</v>
      </c>
      <c r="AG480" s="416">
        <v>0</v>
      </c>
      <c r="AH480" s="416">
        <v>0</v>
      </c>
      <c r="AI480" s="416">
        <v>0</v>
      </c>
      <c r="AJ480" s="416">
        <v>0</v>
      </c>
      <c r="AK480" s="416">
        <v>0</v>
      </c>
      <c r="AL480" s="416">
        <v>0</v>
      </c>
      <c r="AM480" s="416">
        <v>0</v>
      </c>
      <c r="AN480" s="416">
        <v>0</v>
      </c>
      <c r="AO480" s="416">
        <v>0</v>
      </c>
      <c r="AP480" s="416">
        <v>0</v>
      </c>
      <c r="AQ480" s="416">
        <v>0</v>
      </c>
      <c r="AR480" s="416">
        <v>0</v>
      </c>
      <c r="AS480" s="416">
        <v>0</v>
      </c>
      <c r="AT480" s="416">
        <v>0</v>
      </c>
      <c r="AU480" s="416">
        <v>0</v>
      </c>
      <c r="AV480" s="416">
        <v>0</v>
      </c>
      <c r="AW480" s="416">
        <v>0</v>
      </c>
      <c r="AX480" s="416">
        <v>0</v>
      </c>
      <c r="AY480" s="416">
        <v>0</v>
      </c>
      <c r="AZ480" s="416">
        <v>0</v>
      </c>
    </row>
    <row r="481" spans="1:52" s="411" customFormat="1" x14ac:dyDescent="0.3">
      <c r="A481" s="415" t="str">
        <f t="shared" si="7"/>
        <v>SA-731 Gr.TPXM-27</v>
      </c>
      <c r="B481" s="415">
        <v>475</v>
      </c>
      <c r="C481" s="415" t="s">
        <v>3067</v>
      </c>
      <c r="D481" s="415" t="s">
        <v>2703</v>
      </c>
      <c r="E481" s="415" t="s">
        <v>2311</v>
      </c>
      <c r="F481" s="415" t="s">
        <v>2593</v>
      </c>
      <c r="G481" s="415" t="s">
        <v>3068</v>
      </c>
      <c r="H481" s="415">
        <v>0</v>
      </c>
      <c r="I481" s="415">
        <v>0</v>
      </c>
      <c r="J481" s="415" t="s">
        <v>3066</v>
      </c>
      <c r="K481" s="415">
        <v>1</v>
      </c>
      <c r="L481" s="415">
        <v>450</v>
      </c>
      <c r="M481" s="415">
        <v>275</v>
      </c>
      <c r="N481" s="415" t="s">
        <v>2675</v>
      </c>
      <c r="O481" s="415" t="s">
        <v>2675</v>
      </c>
      <c r="P481" s="415">
        <v>343</v>
      </c>
      <c r="Q481" s="415">
        <v>343</v>
      </c>
      <c r="R481" s="415" t="s">
        <v>3069</v>
      </c>
      <c r="S481" s="415" t="s">
        <v>3012</v>
      </c>
      <c r="T481" s="416">
        <v>128</v>
      </c>
      <c r="U481" s="416">
        <v>128</v>
      </c>
      <c r="V481" s="416">
        <v>128</v>
      </c>
      <c r="W481" s="416">
        <v>128</v>
      </c>
      <c r="X481" s="416">
        <v>127</v>
      </c>
      <c r="Y481" s="416">
        <v>126</v>
      </c>
      <c r="Z481" s="416">
        <v>125</v>
      </c>
      <c r="AA481" s="416">
        <v>125</v>
      </c>
      <c r="AB481" s="416">
        <v>125</v>
      </c>
      <c r="AC481" s="416">
        <v>125</v>
      </c>
      <c r="AD481" s="416">
        <v>125</v>
      </c>
      <c r="AE481" s="416">
        <v>0</v>
      </c>
      <c r="AF481" s="416">
        <v>0</v>
      </c>
      <c r="AG481" s="416">
        <v>0</v>
      </c>
      <c r="AH481" s="416">
        <v>0</v>
      </c>
      <c r="AI481" s="416">
        <v>0</v>
      </c>
      <c r="AJ481" s="416">
        <v>0</v>
      </c>
      <c r="AK481" s="416">
        <v>0</v>
      </c>
      <c r="AL481" s="416">
        <v>0</v>
      </c>
      <c r="AM481" s="416">
        <v>0</v>
      </c>
      <c r="AN481" s="416">
        <v>0</v>
      </c>
      <c r="AO481" s="416">
        <v>0</v>
      </c>
      <c r="AP481" s="416">
        <v>0</v>
      </c>
      <c r="AQ481" s="416">
        <v>0</v>
      </c>
      <c r="AR481" s="416">
        <v>0</v>
      </c>
      <c r="AS481" s="416">
        <v>0</v>
      </c>
      <c r="AT481" s="416">
        <v>0</v>
      </c>
      <c r="AU481" s="416">
        <v>0</v>
      </c>
      <c r="AV481" s="416">
        <v>0</v>
      </c>
      <c r="AW481" s="416">
        <v>0</v>
      </c>
      <c r="AX481" s="416">
        <v>0</v>
      </c>
      <c r="AY481" s="416">
        <v>0</v>
      </c>
      <c r="AZ481" s="416">
        <v>0</v>
      </c>
    </row>
    <row r="482" spans="1:52" s="411" customFormat="1" x14ac:dyDescent="0.3">
      <c r="A482" s="415" t="str">
        <f t="shared" si="7"/>
        <v>SA-731 Gr.TPXM-27</v>
      </c>
      <c r="B482" s="415">
        <v>476</v>
      </c>
      <c r="C482" s="415" t="s">
        <v>3067</v>
      </c>
      <c r="D482" s="415" t="s">
        <v>2680</v>
      </c>
      <c r="E482" s="415" t="s">
        <v>2311</v>
      </c>
      <c r="F482" s="415" t="s">
        <v>2593</v>
      </c>
      <c r="G482" s="415" t="s">
        <v>3068</v>
      </c>
      <c r="H482" s="415">
        <v>0</v>
      </c>
      <c r="I482" s="415">
        <v>0</v>
      </c>
      <c r="J482" s="415" t="s">
        <v>3066</v>
      </c>
      <c r="K482" s="415">
        <v>1</v>
      </c>
      <c r="L482" s="415">
        <v>450</v>
      </c>
      <c r="M482" s="415">
        <v>275</v>
      </c>
      <c r="N482" s="415" t="s">
        <v>2675</v>
      </c>
      <c r="O482" s="415" t="s">
        <v>2675</v>
      </c>
      <c r="P482" s="415">
        <v>343</v>
      </c>
      <c r="Q482" s="415">
        <v>343</v>
      </c>
      <c r="R482" s="415" t="s">
        <v>3069</v>
      </c>
      <c r="S482" s="415" t="s">
        <v>3053</v>
      </c>
      <c r="T482" s="416">
        <v>109</v>
      </c>
      <c r="U482" s="416">
        <v>109</v>
      </c>
      <c r="V482" s="416">
        <v>109</v>
      </c>
      <c r="W482" s="416">
        <v>109</v>
      </c>
      <c r="X482" s="416">
        <v>108</v>
      </c>
      <c r="Y482" s="416">
        <v>107</v>
      </c>
      <c r="Z482" s="416">
        <v>106</v>
      </c>
      <c r="AA482" s="416">
        <v>106</v>
      </c>
      <c r="AB482" s="416">
        <v>106</v>
      </c>
      <c r="AC482" s="416">
        <v>106</v>
      </c>
      <c r="AD482" s="416">
        <v>106</v>
      </c>
      <c r="AE482" s="416">
        <v>0</v>
      </c>
      <c r="AF482" s="416">
        <v>0</v>
      </c>
      <c r="AG482" s="416">
        <v>0</v>
      </c>
      <c r="AH482" s="416">
        <v>0</v>
      </c>
      <c r="AI482" s="416">
        <v>0</v>
      </c>
      <c r="AJ482" s="416">
        <v>0</v>
      </c>
      <c r="AK482" s="416">
        <v>0</v>
      </c>
      <c r="AL482" s="416">
        <v>0</v>
      </c>
      <c r="AM482" s="416">
        <v>0</v>
      </c>
      <c r="AN482" s="416">
        <v>0</v>
      </c>
      <c r="AO482" s="416">
        <v>0</v>
      </c>
      <c r="AP482" s="416">
        <v>0</v>
      </c>
      <c r="AQ482" s="416">
        <v>0</v>
      </c>
      <c r="AR482" s="416">
        <v>0</v>
      </c>
      <c r="AS482" s="416">
        <v>0</v>
      </c>
      <c r="AT482" s="416">
        <v>0</v>
      </c>
      <c r="AU482" s="416">
        <v>0</v>
      </c>
      <c r="AV482" s="416">
        <v>0</v>
      </c>
      <c r="AW482" s="416">
        <v>0</v>
      </c>
      <c r="AX482" s="416">
        <v>0</v>
      </c>
      <c r="AY482" s="416">
        <v>0</v>
      </c>
      <c r="AZ482" s="416">
        <v>0</v>
      </c>
    </row>
    <row r="483" spans="1:52" s="411" customFormat="1" x14ac:dyDescent="0.3">
      <c r="A483" s="415" t="str">
        <f t="shared" si="7"/>
        <v>SA-731 Gr.TPXM-33</v>
      </c>
      <c r="B483" s="415">
        <v>477</v>
      </c>
      <c r="C483" s="415" t="s">
        <v>3071</v>
      </c>
      <c r="D483" s="415" t="s">
        <v>2703</v>
      </c>
      <c r="E483" s="415" t="s">
        <v>2311</v>
      </c>
      <c r="F483" s="415" t="s">
        <v>2595</v>
      </c>
      <c r="G483" s="415" t="s">
        <v>3072</v>
      </c>
      <c r="H483" s="415">
        <v>0</v>
      </c>
      <c r="I483" s="415">
        <v>0</v>
      </c>
      <c r="J483" s="415" t="s">
        <v>3066</v>
      </c>
      <c r="K483" s="415">
        <v>1</v>
      </c>
      <c r="L483" s="415">
        <v>450</v>
      </c>
      <c r="M483" s="415">
        <v>275</v>
      </c>
      <c r="N483" s="415" t="s">
        <v>2675</v>
      </c>
      <c r="O483" s="415" t="s">
        <v>2675</v>
      </c>
      <c r="P483" s="415">
        <v>343</v>
      </c>
      <c r="Q483" s="415">
        <v>343</v>
      </c>
      <c r="R483" s="415" t="s">
        <v>3069</v>
      </c>
      <c r="S483" s="415" t="s">
        <v>3012</v>
      </c>
      <c r="T483" s="416">
        <v>128</v>
      </c>
      <c r="U483" s="416">
        <v>128</v>
      </c>
      <c r="V483" s="416">
        <v>128</v>
      </c>
      <c r="W483" s="416">
        <v>128</v>
      </c>
      <c r="X483" s="416">
        <v>128</v>
      </c>
      <c r="Y483" s="416">
        <v>127</v>
      </c>
      <c r="Z483" s="416">
        <v>126</v>
      </c>
      <c r="AA483" s="416">
        <v>124</v>
      </c>
      <c r="AB483" s="416">
        <v>122</v>
      </c>
      <c r="AC483" s="416">
        <v>121</v>
      </c>
      <c r="AD483" s="416">
        <v>119</v>
      </c>
      <c r="AE483" s="416">
        <v>0</v>
      </c>
      <c r="AF483" s="416">
        <v>0</v>
      </c>
      <c r="AG483" s="416">
        <v>0</v>
      </c>
      <c r="AH483" s="416">
        <v>0</v>
      </c>
      <c r="AI483" s="416">
        <v>0</v>
      </c>
      <c r="AJ483" s="416">
        <v>0</v>
      </c>
      <c r="AK483" s="416">
        <v>0</v>
      </c>
      <c r="AL483" s="416">
        <v>0</v>
      </c>
      <c r="AM483" s="416">
        <v>0</v>
      </c>
      <c r="AN483" s="416">
        <v>0</v>
      </c>
      <c r="AO483" s="416">
        <v>0</v>
      </c>
      <c r="AP483" s="416">
        <v>0</v>
      </c>
      <c r="AQ483" s="416">
        <v>0</v>
      </c>
      <c r="AR483" s="416">
        <v>0</v>
      </c>
      <c r="AS483" s="416">
        <v>0</v>
      </c>
      <c r="AT483" s="416">
        <v>0</v>
      </c>
      <c r="AU483" s="416">
        <v>0</v>
      </c>
      <c r="AV483" s="416">
        <v>0</v>
      </c>
      <c r="AW483" s="416">
        <v>0</v>
      </c>
      <c r="AX483" s="416">
        <v>0</v>
      </c>
      <c r="AY483" s="416">
        <v>0</v>
      </c>
      <c r="AZ483" s="416">
        <v>0</v>
      </c>
    </row>
    <row r="484" spans="1:52" s="411" customFormat="1" x14ac:dyDescent="0.3">
      <c r="A484" s="415" t="str">
        <f t="shared" si="7"/>
        <v>SA-731 Gr.TPXM-33</v>
      </c>
      <c r="B484" s="415">
        <v>478</v>
      </c>
      <c r="C484" s="415" t="s">
        <v>3071</v>
      </c>
      <c r="D484" s="415" t="s">
        <v>2680</v>
      </c>
      <c r="E484" s="415" t="s">
        <v>2311</v>
      </c>
      <c r="F484" s="415" t="s">
        <v>2595</v>
      </c>
      <c r="G484" s="415" t="s">
        <v>3072</v>
      </c>
      <c r="H484" s="415">
        <v>0</v>
      </c>
      <c r="I484" s="415">
        <v>0</v>
      </c>
      <c r="J484" s="415" t="s">
        <v>3066</v>
      </c>
      <c r="K484" s="415">
        <v>1</v>
      </c>
      <c r="L484" s="415">
        <v>450</v>
      </c>
      <c r="M484" s="415">
        <v>275</v>
      </c>
      <c r="N484" s="415" t="s">
        <v>2675</v>
      </c>
      <c r="O484" s="415" t="s">
        <v>2675</v>
      </c>
      <c r="P484" s="415">
        <v>343</v>
      </c>
      <c r="Q484" s="415">
        <v>343</v>
      </c>
      <c r="R484" s="415" t="s">
        <v>3069</v>
      </c>
      <c r="S484" s="415" t="s">
        <v>3053</v>
      </c>
      <c r="T484" s="416">
        <v>109</v>
      </c>
      <c r="U484" s="416">
        <v>109</v>
      </c>
      <c r="V484" s="416">
        <v>109</v>
      </c>
      <c r="W484" s="416">
        <v>109</v>
      </c>
      <c r="X484" s="416">
        <v>109</v>
      </c>
      <c r="Y484" s="416">
        <v>108</v>
      </c>
      <c r="Z484" s="416">
        <v>106</v>
      </c>
      <c r="AA484" s="416">
        <v>106</v>
      </c>
      <c r="AB484" s="416">
        <v>104</v>
      </c>
      <c r="AC484" s="416">
        <v>103</v>
      </c>
      <c r="AD484" s="416">
        <v>101</v>
      </c>
      <c r="AE484" s="416">
        <v>0</v>
      </c>
      <c r="AF484" s="416">
        <v>0</v>
      </c>
      <c r="AG484" s="416">
        <v>0</v>
      </c>
      <c r="AH484" s="416">
        <v>0</v>
      </c>
      <c r="AI484" s="416">
        <v>0</v>
      </c>
      <c r="AJ484" s="416">
        <v>0</v>
      </c>
      <c r="AK484" s="416">
        <v>0</v>
      </c>
      <c r="AL484" s="416">
        <v>0</v>
      </c>
      <c r="AM484" s="416">
        <v>0</v>
      </c>
      <c r="AN484" s="416">
        <v>0</v>
      </c>
      <c r="AO484" s="416">
        <v>0</v>
      </c>
      <c r="AP484" s="416">
        <v>0</v>
      </c>
      <c r="AQ484" s="416">
        <v>0</v>
      </c>
      <c r="AR484" s="416">
        <v>0</v>
      </c>
      <c r="AS484" s="416">
        <v>0</v>
      </c>
      <c r="AT484" s="416">
        <v>0</v>
      </c>
      <c r="AU484" s="416">
        <v>0</v>
      </c>
      <c r="AV484" s="416">
        <v>0</v>
      </c>
      <c r="AW484" s="416">
        <v>0</v>
      </c>
      <c r="AX484" s="416">
        <v>0</v>
      </c>
      <c r="AY484" s="416">
        <v>0</v>
      </c>
      <c r="AZ484" s="416">
        <v>0</v>
      </c>
    </row>
    <row r="485" spans="1:52" s="411" customFormat="1" x14ac:dyDescent="0.3">
      <c r="A485" s="415" t="str">
        <f t="shared" si="7"/>
        <v>SA-240 Gr.XM-33</v>
      </c>
      <c r="B485" s="415">
        <v>479</v>
      </c>
      <c r="C485" s="415" t="s">
        <v>3071</v>
      </c>
      <c r="D485" s="415" t="s">
        <v>2684</v>
      </c>
      <c r="E485" s="415" t="s">
        <v>2165</v>
      </c>
      <c r="F485" s="415" t="s">
        <v>2624</v>
      </c>
      <c r="G485" s="415" t="s">
        <v>3072</v>
      </c>
      <c r="H485" s="415">
        <v>0</v>
      </c>
      <c r="I485" s="415">
        <v>0</v>
      </c>
      <c r="J485" s="415" t="s">
        <v>3066</v>
      </c>
      <c r="K485" s="415">
        <v>1</v>
      </c>
      <c r="L485" s="415">
        <v>470</v>
      </c>
      <c r="M485" s="415">
        <v>310</v>
      </c>
      <c r="N485" s="415" t="s">
        <v>2675</v>
      </c>
      <c r="O485" s="415" t="s">
        <v>2675</v>
      </c>
      <c r="P485" s="415">
        <v>343</v>
      </c>
      <c r="Q485" s="415">
        <v>343</v>
      </c>
      <c r="R485" s="415" t="s">
        <v>3073</v>
      </c>
      <c r="S485" s="415" t="s">
        <v>3012</v>
      </c>
      <c r="T485" s="416">
        <v>134</v>
      </c>
      <c r="U485" s="416">
        <v>134</v>
      </c>
      <c r="V485" s="416">
        <v>134</v>
      </c>
      <c r="W485" s="416">
        <v>134</v>
      </c>
      <c r="X485" s="416">
        <v>134</v>
      </c>
      <c r="Y485" s="416">
        <v>133</v>
      </c>
      <c r="Z485" s="416">
        <v>131</v>
      </c>
      <c r="AA485" s="416">
        <v>130</v>
      </c>
      <c r="AB485" s="416">
        <v>128</v>
      </c>
      <c r="AC485" s="416">
        <v>126</v>
      </c>
      <c r="AD485" s="416">
        <v>124</v>
      </c>
      <c r="AE485" s="416">
        <v>0</v>
      </c>
      <c r="AF485" s="416">
        <v>0</v>
      </c>
      <c r="AG485" s="416">
        <v>0</v>
      </c>
      <c r="AH485" s="416">
        <v>0</v>
      </c>
      <c r="AI485" s="416">
        <v>0</v>
      </c>
      <c r="AJ485" s="416">
        <v>0</v>
      </c>
      <c r="AK485" s="416">
        <v>0</v>
      </c>
      <c r="AL485" s="416">
        <v>0</v>
      </c>
      <c r="AM485" s="416">
        <v>0</v>
      </c>
      <c r="AN485" s="416">
        <v>0</v>
      </c>
      <c r="AO485" s="416">
        <v>0</v>
      </c>
      <c r="AP485" s="416">
        <v>0</v>
      </c>
      <c r="AQ485" s="416">
        <v>0</v>
      </c>
      <c r="AR485" s="416">
        <v>0</v>
      </c>
      <c r="AS485" s="416">
        <v>0</v>
      </c>
      <c r="AT485" s="416">
        <v>0</v>
      </c>
      <c r="AU485" s="416">
        <v>0</v>
      </c>
      <c r="AV485" s="416">
        <v>0</v>
      </c>
      <c r="AW485" s="416">
        <v>0</v>
      </c>
      <c r="AX485" s="416">
        <v>0</v>
      </c>
      <c r="AY485" s="416">
        <v>0</v>
      </c>
      <c r="AZ485" s="416">
        <v>0</v>
      </c>
    </row>
    <row r="486" spans="1:52" s="411" customFormat="1" x14ac:dyDescent="0.3">
      <c r="A486" s="415" t="str">
        <f t="shared" si="7"/>
        <v>SA-268 Gr.TPXM-33</v>
      </c>
      <c r="B486" s="415">
        <v>480</v>
      </c>
      <c r="C486" s="415" t="s">
        <v>3071</v>
      </c>
      <c r="D486" s="415" t="s">
        <v>2693</v>
      </c>
      <c r="E486" s="415" t="s">
        <v>2203</v>
      </c>
      <c r="F486" s="415" t="s">
        <v>2595</v>
      </c>
      <c r="G486" s="415" t="s">
        <v>3072</v>
      </c>
      <c r="H486" s="415">
        <v>0</v>
      </c>
      <c r="I486" s="415">
        <v>0</v>
      </c>
      <c r="J486" s="415" t="s">
        <v>3066</v>
      </c>
      <c r="K486" s="415">
        <v>1</v>
      </c>
      <c r="L486" s="415">
        <v>470</v>
      </c>
      <c r="M486" s="415">
        <v>310</v>
      </c>
      <c r="N486" s="415" t="s">
        <v>2675</v>
      </c>
      <c r="O486" s="415" t="s">
        <v>2675</v>
      </c>
      <c r="P486" s="415">
        <v>343</v>
      </c>
      <c r="Q486" s="415">
        <v>343</v>
      </c>
      <c r="R486" s="415" t="s">
        <v>3073</v>
      </c>
      <c r="S486" s="415" t="s">
        <v>3012</v>
      </c>
      <c r="T486" s="416">
        <v>134</v>
      </c>
      <c r="U486" s="416">
        <v>134</v>
      </c>
      <c r="V486" s="416">
        <v>134</v>
      </c>
      <c r="W486" s="416">
        <v>134</v>
      </c>
      <c r="X486" s="416">
        <v>134</v>
      </c>
      <c r="Y486" s="416">
        <v>133</v>
      </c>
      <c r="Z486" s="416">
        <v>131</v>
      </c>
      <c r="AA486" s="416">
        <v>130</v>
      </c>
      <c r="AB486" s="416">
        <v>128</v>
      </c>
      <c r="AC486" s="416">
        <v>126</v>
      </c>
      <c r="AD486" s="416">
        <v>124</v>
      </c>
      <c r="AE486" s="416">
        <v>0</v>
      </c>
      <c r="AF486" s="416">
        <v>0</v>
      </c>
      <c r="AG486" s="416">
        <v>0</v>
      </c>
      <c r="AH486" s="416">
        <v>0</v>
      </c>
      <c r="AI486" s="416">
        <v>0</v>
      </c>
      <c r="AJ486" s="416">
        <v>0</v>
      </c>
      <c r="AK486" s="416">
        <v>0</v>
      </c>
      <c r="AL486" s="416">
        <v>0</v>
      </c>
      <c r="AM486" s="416">
        <v>0</v>
      </c>
      <c r="AN486" s="416">
        <v>0</v>
      </c>
      <c r="AO486" s="416">
        <v>0</v>
      </c>
      <c r="AP486" s="416">
        <v>0</v>
      </c>
      <c r="AQ486" s="416">
        <v>0</v>
      </c>
      <c r="AR486" s="416">
        <v>0</v>
      </c>
      <c r="AS486" s="416">
        <v>0</v>
      </c>
      <c r="AT486" s="416">
        <v>0</v>
      </c>
      <c r="AU486" s="416">
        <v>0</v>
      </c>
      <c r="AV486" s="416">
        <v>0</v>
      </c>
      <c r="AW486" s="416">
        <v>0</v>
      </c>
      <c r="AX486" s="416">
        <v>0</v>
      </c>
      <c r="AY486" s="416">
        <v>0</v>
      </c>
      <c r="AZ486" s="416">
        <v>0</v>
      </c>
    </row>
    <row r="487" spans="1:52" s="411" customFormat="1" x14ac:dyDescent="0.3">
      <c r="A487" s="415" t="str">
        <f t="shared" si="7"/>
        <v>SA-268 Gr.TPXM-33</v>
      </c>
      <c r="B487" s="415">
        <v>481</v>
      </c>
      <c r="C487" s="415" t="s">
        <v>3071</v>
      </c>
      <c r="D487" s="415" t="s">
        <v>2689</v>
      </c>
      <c r="E487" s="415" t="s">
        <v>2203</v>
      </c>
      <c r="F487" s="415" t="s">
        <v>2595</v>
      </c>
      <c r="G487" s="415" t="s">
        <v>3072</v>
      </c>
      <c r="H487" s="415">
        <v>0</v>
      </c>
      <c r="I487" s="415">
        <v>0</v>
      </c>
      <c r="J487" s="415" t="s">
        <v>3066</v>
      </c>
      <c r="K487" s="415">
        <v>1</v>
      </c>
      <c r="L487" s="415">
        <v>470</v>
      </c>
      <c r="M487" s="415">
        <v>310</v>
      </c>
      <c r="N487" s="415" t="s">
        <v>2675</v>
      </c>
      <c r="O487" s="415" t="s">
        <v>2675</v>
      </c>
      <c r="P487" s="415">
        <v>343</v>
      </c>
      <c r="Q487" s="415">
        <v>343</v>
      </c>
      <c r="R487" s="415" t="s">
        <v>3073</v>
      </c>
      <c r="S487" s="415" t="s">
        <v>3053</v>
      </c>
      <c r="T487" s="416">
        <v>114</v>
      </c>
      <c r="U487" s="416">
        <v>114</v>
      </c>
      <c r="V487" s="416">
        <v>114</v>
      </c>
      <c r="W487" s="416">
        <v>114</v>
      </c>
      <c r="X487" s="416">
        <v>113</v>
      </c>
      <c r="Y487" s="416">
        <v>113</v>
      </c>
      <c r="Z487" s="416">
        <v>112</v>
      </c>
      <c r="AA487" s="416">
        <v>111</v>
      </c>
      <c r="AB487" s="416">
        <v>109</v>
      </c>
      <c r="AC487" s="416">
        <v>108</v>
      </c>
      <c r="AD487" s="416">
        <v>106</v>
      </c>
      <c r="AE487" s="416">
        <v>0</v>
      </c>
      <c r="AF487" s="416">
        <v>0</v>
      </c>
      <c r="AG487" s="416">
        <v>0</v>
      </c>
      <c r="AH487" s="416">
        <v>0</v>
      </c>
      <c r="AI487" s="416">
        <v>0</v>
      </c>
      <c r="AJ487" s="416">
        <v>0</v>
      </c>
      <c r="AK487" s="416">
        <v>0</v>
      </c>
      <c r="AL487" s="416">
        <v>0</v>
      </c>
      <c r="AM487" s="416">
        <v>0</v>
      </c>
      <c r="AN487" s="416">
        <v>0</v>
      </c>
      <c r="AO487" s="416">
        <v>0</v>
      </c>
      <c r="AP487" s="416">
        <v>0</v>
      </c>
      <c r="AQ487" s="416">
        <v>0</v>
      </c>
      <c r="AR487" s="416">
        <v>0</v>
      </c>
      <c r="AS487" s="416">
        <v>0</v>
      </c>
      <c r="AT487" s="416">
        <v>0</v>
      </c>
      <c r="AU487" s="416">
        <v>0</v>
      </c>
      <c r="AV487" s="416">
        <v>0</v>
      </c>
      <c r="AW487" s="416">
        <v>0</v>
      </c>
      <c r="AX487" s="416">
        <v>0</v>
      </c>
      <c r="AY487" s="416">
        <v>0</v>
      </c>
      <c r="AZ487" s="416">
        <v>0</v>
      </c>
    </row>
    <row r="488" spans="1:52" s="411" customFormat="1" x14ac:dyDescent="0.3">
      <c r="A488" s="415" t="str">
        <f t="shared" si="7"/>
        <v>SA-479 Gr.0</v>
      </c>
      <c r="B488" s="415">
        <v>482</v>
      </c>
      <c r="C488" s="415" t="s">
        <v>3074</v>
      </c>
      <c r="D488" s="415" t="s">
        <v>2677</v>
      </c>
      <c r="E488" s="415" t="s">
        <v>2245</v>
      </c>
      <c r="F488" s="415">
        <v>0</v>
      </c>
      <c r="G488" s="415" t="s">
        <v>3075</v>
      </c>
      <c r="H488" s="415">
        <v>0</v>
      </c>
      <c r="I488" s="415">
        <v>0</v>
      </c>
      <c r="J488" s="415" t="s">
        <v>3076</v>
      </c>
      <c r="K488" s="415">
        <v>1</v>
      </c>
      <c r="L488" s="415">
        <v>485</v>
      </c>
      <c r="M488" s="415">
        <v>380</v>
      </c>
      <c r="N488" s="415" t="s">
        <v>2675</v>
      </c>
      <c r="O488" s="415" t="s">
        <v>2675</v>
      </c>
      <c r="P488" s="415">
        <v>316</v>
      </c>
      <c r="Q488" s="415">
        <v>316</v>
      </c>
      <c r="R488" s="415" t="s">
        <v>3073</v>
      </c>
      <c r="S488" s="415" t="s">
        <v>3070</v>
      </c>
      <c r="T488" s="416">
        <v>138</v>
      </c>
      <c r="U488" s="416">
        <v>138</v>
      </c>
      <c r="V488" s="416">
        <v>138</v>
      </c>
      <c r="W488" s="416">
        <v>138</v>
      </c>
      <c r="X488" s="416">
        <v>135</v>
      </c>
      <c r="Y488" s="416">
        <v>133</v>
      </c>
      <c r="Z488" s="416">
        <v>132</v>
      </c>
      <c r="AA488" s="416">
        <v>132</v>
      </c>
      <c r="AB488" s="416">
        <v>132</v>
      </c>
      <c r="AC488" s="416">
        <v>132</v>
      </c>
      <c r="AD488" s="416">
        <v>0</v>
      </c>
      <c r="AE488" s="416">
        <v>0</v>
      </c>
      <c r="AF488" s="416">
        <v>0</v>
      </c>
      <c r="AG488" s="416">
        <v>0</v>
      </c>
      <c r="AH488" s="416">
        <v>0</v>
      </c>
      <c r="AI488" s="416">
        <v>0</v>
      </c>
      <c r="AJ488" s="416">
        <v>0</v>
      </c>
      <c r="AK488" s="416">
        <v>0</v>
      </c>
      <c r="AL488" s="416">
        <v>0</v>
      </c>
      <c r="AM488" s="416">
        <v>0</v>
      </c>
      <c r="AN488" s="416">
        <v>0</v>
      </c>
      <c r="AO488" s="416">
        <v>0</v>
      </c>
      <c r="AP488" s="416">
        <v>0</v>
      </c>
      <c r="AQ488" s="416">
        <v>0</v>
      </c>
      <c r="AR488" s="416">
        <v>0</v>
      </c>
      <c r="AS488" s="416">
        <v>0</v>
      </c>
      <c r="AT488" s="416">
        <v>0</v>
      </c>
      <c r="AU488" s="416">
        <v>0</v>
      </c>
      <c r="AV488" s="416">
        <v>0</v>
      </c>
      <c r="AW488" s="416">
        <v>0</v>
      </c>
      <c r="AX488" s="416">
        <v>0</v>
      </c>
      <c r="AY488" s="416">
        <v>0</v>
      </c>
      <c r="AZ488" s="416">
        <v>0</v>
      </c>
    </row>
    <row r="489" spans="1:52" s="411" customFormat="1" x14ac:dyDescent="0.3">
      <c r="A489" s="415" t="str">
        <f t="shared" si="7"/>
        <v>SA-240 Gr.0</v>
      </c>
      <c r="B489" s="415">
        <v>483</v>
      </c>
      <c r="C489" s="415" t="s">
        <v>3074</v>
      </c>
      <c r="D489" s="415" t="s">
        <v>2684</v>
      </c>
      <c r="E489" s="415" t="s">
        <v>2165</v>
      </c>
      <c r="F489" s="415">
        <v>0</v>
      </c>
      <c r="G489" s="415" t="s">
        <v>3075</v>
      </c>
      <c r="H489" s="415">
        <v>0</v>
      </c>
      <c r="I489" s="415">
        <v>0</v>
      </c>
      <c r="J489" s="415" t="s">
        <v>3076</v>
      </c>
      <c r="K489" s="415">
        <v>1</v>
      </c>
      <c r="L489" s="415">
        <v>550</v>
      </c>
      <c r="M489" s="415">
        <v>415</v>
      </c>
      <c r="N489" s="415" t="s">
        <v>2675</v>
      </c>
      <c r="O489" s="415" t="s">
        <v>2675</v>
      </c>
      <c r="P489" s="415">
        <v>316</v>
      </c>
      <c r="Q489" s="415">
        <v>316</v>
      </c>
      <c r="R489" s="415" t="s">
        <v>3073</v>
      </c>
      <c r="S489" s="415" t="s">
        <v>3012</v>
      </c>
      <c r="T489" s="416">
        <v>158</v>
      </c>
      <c r="U489" s="416">
        <v>158</v>
      </c>
      <c r="V489" s="416">
        <v>158</v>
      </c>
      <c r="W489" s="416">
        <v>157</v>
      </c>
      <c r="X489" s="416">
        <v>155</v>
      </c>
      <c r="Y489" s="416">
        <v>152</v>
      </c>
      <c r="Z489" s="416">
        <v>151</v>
      </c>
      <c r="AA489" s="416">
        <v>151</v>
      </c>
      <c r="AB489" s="416">
        <v>151</v>
      </c>
      <c r="AC489" s="416">
        <v>151</v>
      </c>
      <c r="AD489" s="416">
        <v>0</v>
      </c>
      <c r="AE489" s="416">
        <v>0</v>
      </c>
      <c r="AF489" s="416">
        <v>0</v>
      </c>
      <c r="AG489" s="416">
        <v>0</v>
      </c>
      <c r="AH489" s="416">
        <v>0</v>
      </c>
      <c r="AI489" s="416">
        <v>0</v>
      </c>
      <c r="AJ489" s="416">
        <v>0</v>
      </c>
      <c r="AK489" s="416">
        <v>0</v>
      </c>
      <c r="AL489" s="416">
        <v>0</v>
      </c>
      <c r="AM489" s="416">
        <v>0</v>
      </c>
      <c r="AN489" s="416">
        <v>0</v>
      </c>
      <c r="AO489" s="416">
        <v>0</v>
      </c>
      <c r="AP489" s="416">
        <v>0</v>
      </c>
      <c r="AQ489" s="416">
        <v>0</v>
      </c>
      <c r="AR489" s="416">
        <v>0</v>
      </c>
      <c r="AS489" s="416">
        <v>0</v>
      </c>
      <c r="AT489" s="416">
        <v>0</v>
      </c>
      <c r="AU489" s="416">
        <v>0</v>
      </c>
      <c r="AV489" s="416">
        <v>0</v>
      </c>
      <c r="AW489" s="416">
        <v>0</v>
      </c>
      <c r="AX489" s="416">
        <v>0</v>
      </c>
      <c r="AY489" s="416">
        <v>0</v>
      </c>
      <c r="AZ489" s="416">
        <v>0</v>
      </c>
    </row>
    <row r="490" spans="1:52" s="411" customFormat="1" x14ac:dyDescent="0.3">
      <c r="A490" s="415" t="str">
        <f t="shared" si="7"/>
        <v>SA-268 Gr.42123</v>
      </c>
      <c r="B490" s="415">
        <v>484</v>
      </c>
      <c r="C490" s="415" t="s">
        <v>3074</v>
      </c>
      <c r="D490" s="415" t="s">
        <v>2693</v>
      </c>
      <c r="E490" s="415" t="s">
        <v>2203</v>
      </c>
      <c r="F490" s="415">
        <v>42123</v>
      </c>
      <c r="G490" s="415" t="s">
        <v>3075</v>
      </c>
      <c r="H490" s="415">
        <v>0</v>
      </c>
      <c r="I490" s="415">
        <v>0</v>
      </c>
      <c r="J490" s="415" t="s">
        <v>3076</v>
      </c>
      <c r="K490" s="415">
        <v>1</v>
      </c>
      <c r="L490" s="415">
        <v>550</v>
      </c>
      <c r="M490" s="415">
        <v>415</v>
      </c>
      <c r="N490" s="415" t="s">
        <v>2675</v>
      </c>
      <c r="O490" s="415" t="s">
        <v>2675</v>
      </c>
      <c r="P490" s="415">
        <v>316</v>
      </c>
      <c r="Q490" s="415">
        <v>316</v>
      </c>
      <c r="R490" s="415" t="s">
        <v>3073</v>
      </c>
      <c r="S490" s="415" t="s">
        <v>3012</v>
      </c>
      <c r="T490" s="416">
        <v>158</v>
      </c>
      <c r="U490" s="416">
        <v>158</v>
      </c>
      <c r="V490" s="416">
        <v>158</v>
      </c>
      <c r="W490" s="416">
        <v>157</v>
      </c>
      <c r="X490" s="416">
        <v>155</v>
      </c>
      <c r="Y490" s="416">
        <v>152</v>
      </c>
      <c r="Z490" s="416">
        <v>151</v>
      </c>
      <c r="AA490" s="416">
        <v>151</v>
      </c>
      <c r="AB490" s="416">
        <v>151</v>
      </c>
      <c r="AC490" s="416">
        <v>151</v>
      </c>
      <c r="AD490" s="416">
        <v>0</v>
      </c>
      <c r="AE490" s="416">
        <v>0</v>
      </c>
      <c r="AF490" s="416">
        <v>0</v>
      </c>
      <c r="AG490" s="416">
        <v>0</v>
      </c>
      <c r="AH490" s="416">
        <v>0</v>
      </c>
      <c r="AI490" s="416">
        <v>0</v>
      </c>
      <c r="AJ490" s="416">
        <v>0</v>
      </c>
      <c r="AK490" s="416">
        <v>0</v>
      </c>
      <c r="AL490" s="416">
        <v>0</v>
      </c>
      <c r="AM490" s="416">
        <v>0</v>
      </c>
      <c r="AN490" s="416">
        <v>0</v>
      </c>
      <c r="AO490" s="416">
        <v>0</v>
      </c>
      <c r="AP490" s="416">
        <v>0</v>
      </c>
      <c r="AQ490" s="416">
        <v>0</v>
      </c>
      <c r="AR490" s="416">
        <v>0</v>
      </c>
      <c r="AS490" s="416">
        <v>0</v>
      </c>
      <c r="AT490" s="416">
        <v>0</v>
      </c>
      <c r="AU490" s="416">
        <v>0</v>
      </c>
      <c r="AV490" s="416">
        <v>0</v>
      </c>
      <c r="AW490" s="416">
        <v>0</v>
      </c>
      <c r="AX490" s="416">
        <v>0</v>
      </c>
      <c r="AY490" s="416">
        <v>0</v>
      </c>
      <c r="AZ490" s="416">
        <v>0</v>
      </c>
    </row>
    <row r="491" spans="1:52" s="411" customFormat="1" x14ac:dyDescent="0.3">
      <c r="A491" s="415" t="str">
        <f t="shared" si="7"/>
        <v>SA-268 Gr.42123</v>
      </c>
      <c r="B491" s="415">
        <v>485</v>
      </c>
      <c r="C491" s="415" t="s">
        <v>3074</v>
      </c>
      <c r="D491" s="415" t="s">
        <v>2689</v>
      </c>
      <c r="E491" s="415" t="s">
        <v>2203</v>
      </c>
      <c r="F491" s="415">
        <v>42123</v>
      </c>
      <c r="G491" s="415" t="s">
        <v>3075</v>
      </c>
      <c r="H491" s="415">
        <v>0</v>
      </c>
      <c r="I491" s="415">
        <v>0</v>
      </c>
      <c r="J491" s="415" t="s">
        <v>3076</v>
      </c>
      <c r="K491" s="415">
        <v>1</v>
      </c>
      <c r="L491" s="415">
        <v>550</v>
      </c>
      <c r="M491" s="415">
        <v>415</v>
      </c>
      <c r="N491" s="415" t="s">
        <v>2675</v>
      </c>
      <c r="O491" s="415" t="s">
        <v>2675</v>
      </c>
      <c r="P491" s="415">
        <v>316</v>
      </c>
      <c r="Q491" s="415">
        <v>316</v>
      </c>
      <c r="R491" s="415" t="s">
        <v>3073</v>
      </c>
      <c r="S491" s="415" t="s">
        <v>3053</v>
      </c>
      <c r="T491" s="416">
        <v>134</v>
      </c>
      <c r="U491" s="416">
        <v>134</v>
      </c>
      <c r="V491" s="416">
        <v>134</v>
      </c>
      <c r="W491" s="416">
        <v>134</v>
      </c>
      <c r="X491" s="416">
        <v>132</v>
      </c>
      <c r="Y491" s="416">
        <v>130</v>
      </c>
      <c r="Z491" s="416">
        <v>128</v>
      </c>
      <c r="AA491" s="416">
        <v>128</v>
      </c>
      <c r="AB491" s="416">
        <v>128</v>
      </c>
      <c r="AC491" s="416">
        <v>128</v>
      </c>
      <c r="AD491" s="416">
        <v>0</v>
      </c>
      <c r="AE491" s="416">
        <v>0</v>
      </c>
      <c r="AF491" s="416">
        <v>0</v>
      </c>
      <c r="AG491" s="416">
        <v>0</v>
      </c>
      <c r="AH491" s="416">
        <v>0</v>
      </c>
      <c r="AI491" s="416">
        <v>0</v>
      </c>
      <c r="AJ491" s="416">
        <v>0</v>
      </c>
      <c r="AK491" s="416">
        <v>0</v>
      </c>
      <c r="AL491" s="416">
        <v>0</v>
      </c>
      <c r="AM491" s="416">
        <v>0</v>
      </c>
      <c r="AN491" s="416">
        <v>0</v>
      </c>
      <c r="AO491" s="416">
        <v>0</v>
      </c>
      <c r="AP491" s="416">
        <v>0</v>
      </c>
      <c r="AQ491" s="416">
        <v>0</v>
      </c>
      <c r="AR491" s="416">
        <v>0</v>
      </c>
      <c r="AS491" s="416">
        <v>0</v>
      </c>
      <c r="AT491" s="416">
        <v>0</v>
      </c>
      <c r="AU491" s="416">
        <v>0</v>
      </c>
      <c r="AV491" s="416">
        <v>0</v>
      </c>
      <c r="AW491" s="416">
        <v>0</v>
      </c>
      <c r="AX491" s="416">
        <v>0</v>
      </c>
      <c r="AY491" s="416">
        <v>0</v>
      </c>
      <c r="AZ491" s="416">
        <v>0</v>
      </c>
    </row>
    <row r="492" spans="1:52" s="411" customFormat="1" x14ac:dyDescent="0.3">
      <c r="A492" s="415" t="str">
        <f t="shared" si="7"/>
        <v>SA-479 Gr.0</v>
      </c>
      <c r="B492" s="415">
        <v>486</v>
      </c>
      <c r="C492" s="415" t="s">
        <v>3077</v>
      </c>
      <c r="D492" s="415" t="s">
        <v>2677</v>
      </c>
      <c r="E492" s="415" t="s">
        <v>2245</v>
      </c>
      <c r="F492" s="415">
        <v>0</v>
      </c>
      <c r="G492" s="415" t="s">
        <v>3078</v>
      </c>
      <c r="H492" s="415">
        <v>0</v>
      </c>
      <c r="I492" s="415">
        <v>0</v>
      </c>
      <c r="J492" s="415" t="s">
        <v>3060</v>
      </c>
      <c r="K492" s="415">
        <v>1</v>
      </c>
      <c r="L492" s="415">
        <v>485</v>
      </c>
      <c r="M492" s="415">
        <v>380</v>
      </c>
      <c r="N492" s="415" t="s">
        <v>2675</v>
      </c>
      <c r="O492" s="415" t="s">
        <v>2675</v>
      </c>
      <c r="P492" s="415">
        <v>316</v>
      </c>
      <c r="Q492" s="415">
        <v>316</v>
      </c>
      <c r="R492" s="415" t="s">
        <v>3073</v>
      </c>
      <c r="S492" s="415" t="s">
        <v>3070</v>
      </c>
      <c r="T492" s="416">
        <v>138</v>
      </c>
      <c r="U492" s="416">
        <v>138</v>
      </c>
      <c r="V492" s="416">
        <v>137</v>
      </c>
      <c r="W492" s="416">
        <v>135</v>
      </c>
      <c r="X492" s="416">
        <v>134</v>
      </c>
      <c r="Y492" s="416">
        <v>133</v>
      </c>
      <c r="Z492" s="416">
        <v>132</v>
      </c>
      <c r="AA492" s="416">
        <v>131</v>
      </c>
      <c r="AB492" s="416">
        <v>129</v>
      </c>
      <c r="AC492" s="416">
        <v>128</v>
      </c>
      <c r="AD492" s="416">
        <v>0</v>
      </c>
      <c r="AE492" s="416">
        <v>0</v>
      </c>
      <c r="AF492" s="416">
        <v>0</v>
      </c>
      <c r="AG492" s="416">
        <v>0</v>
      </c>
      <c r="AH492" s="416">
        <v>0</v>
      </c>
      <c r="AI492" s="416">
        <v>0</v>
      </c>
      <c r="AJ492" s="416">
        <v>0</v>
      </c>
      <c r="AK492" s="416">
        <v>0</v>
      </c>
      <c r="AL492" s="416">
        <v>0</v>
      </c>
      <c r="AM492" s="416">
        <v>0</v>
      </c>
      <c r="AN492" s="416">
        <v>0</v>
      </c>
      <c r="AO492" s="416">
        <v>0</v>
      </c>
      <c r="AP492" s="416">
        <v>0</v>
      </c>
      <c r="AQ492" s="416">
        <v>0</v>
      </c>
      <c r="AR492" s="416">
        <v>0</v>
      </c>
      <c r="AS492" s="416">
        <v>0</v>
      </c>
      <c r="AT492" s="416">
        <v>0</v>
      </c>
      <c r="AU492" s="416">
        <v>0</v>
      </c>
      <c r="AV492" s="416">
        <v>0</v>
      </c>
      <c r="AW492" s="416">
        <v>0</v>
      </c>
      <c r="AX492" s="416">
        <v>0</v>
      </c>
      <c r="AY492" s="416">
        <v>0</v>
      </c>
      <c r="AZ492" s="416">
        <v>0</v>
      </c>
    </row>
    <row r="493" spans="1:52" s="411" customFormat="1" x14ac:dyDescent="0.3">
      <c r="A493" s="415" t="str">
        <f t="shared" si="7"/>
        <v>SA-240 Gr.0</v>
      </c>
      <c r="B493" s="415">
        <v>487</v>
      </c>
      <c r="C493" s="415" t="s">
        <v>3077</v>
      </c>
      <c r="D493" s="415" t="s">
        <v>2684</v>
      </c>
      <c r="E493" s="415" t="s">
        <v>2165</v>
      </c>
      <c r="F493" s="415">
        <v>0</v>
      </c>
      <c r="G493" s="415" t="s">
        <v>3078</v>
      </c>
      <c r="H493" s="415">
        <v>0</v>
      </c>
      <c r="I493" s="415">
        <v>0</v>
      </c>
      <c r="J493" s="415" t="s">
        <v>3060</v>
      </c>
      <c r="K493" s="415">
        <v>1</v>
      </c>
      <c r="L493" s="415">
        <v>550</v>
      </c>
      <c r="M493" s="415">
        <v>415</v>
      </c>
      <c r="N493" s="415" t="s">
        <v>2675</v>
      </c>
      <c r="O493" s="415" t="s">
        <v>2675</v>
      </c>
      <c r="P493" s="415">
        <v>316</v>
      </c>
      <c r="Q493" s="415">
        <v>316</v>
      </c>
      <c r="R493" s="415" t="s">
        <v>3073</v>
      </c>
      <c r="S493" s="415" t="s">
        <v>3012</v>
      </c>
      <c r="T493" s="416">
        <v>158</v>
      </c>
      <c r="U493" s="416">
        <v>158</v>
      </c>
      <c r="V493" s="416">
        <v>156</v>
      </c>
      <c r="W493" s="416">
        <v>154</v>
      </c>
      <c r="X493" s="416">
        <v>153</v>
      </c>
      <c r="Y493" s="416">
        <v>152</v>
      </c>
      <c r="Z493" s="416">
        <v>151</v>
      </c>
      <c r="AA493" s="416">
        <v>149</v>
      </c>
      <c r="AB493" s="416">
        <v>147</v>
      </c>
      <c r="AC493" s="416">
        <v>147</v>
      </c>
      <c r="AD493" s="416">
        <v>0</v>
      </c>
      <c r="AE493" s="416">
        <v>0</v>
      </c>
      <c r="AF493" s="416">
        <v>0</v>
      </c>
      <c r="AG493" s="416">
        <v>0</v>
      </c>
      <c r="AH493" s="416">
        <v>0</v>
      </c>
      <c r="AI493" s="416">
        <v>0</v>
      </c>
      <c r="AJ493" s="416">
        <v>0</v>
      </c>
      <c r="AK493" s="416">
        <v>0</v>
      </c>
      <c r="AL493" s="416">
        <v>0</v>
      </c>
      <c r="AM493" s="416">
        <v>0</v>
      </c>
      <c r="AN493" s="416">
        <v>0</v>
      </c>
      <c r="AO493" s="416">
        <v>0</v>
      </c>
      <c r="AP493" s="416">
        <v>0</v>
      </c>
      <c r="AQ493" s="416">
        <v>0</v>
      </c>
      <c r="AR493" s="416">
        <v>0</v>
      </c>
      <c r="AS493" s="416">
        <v>0</v>
      </c>
      <c r="AT493" s="416">
        <v>0</v>
      </c>
      <c r="AU493" s="416">
        <v>0</v>
      </c>
      <c r="AV493" s="416">
        <v>0</v>
      </c>
      <c r="AW493" s="416">
        <v>0</v>
      </c>
      <c r="AX493" s="416">
        <v>0</v>
      </c>
      <c r="AY493" s="416">
        <v>0</v>
      </c>
      <c r="AZ493" s="416">
        <v>0</v>
      </c>
    </row>
    <row r="494" spans="1:52" s="411" customFormat="1" x14ac:dyDescent="0.3">
      <c r="A494" s="415" t="str">
        <f t="shared" si="7"/>
        <v>SA-268 Gr.37375</v>
      </c>
      <c r="B494" s="415">
        <v>488</v>
      </c>
      <c r="C494" s="415" t="s">
        <v>3077</v>
      </c>
      <c r="D494" s="415" t="s">
        <v>2693</v>
      </c>
      <c r="E494" s="415" t="s">
        <v>2203</v>
      </c>
      <c r="F494" s="415">
        <v>37375</v>
      </c>
      <c r="G494" s="415" t="s">
        <v>3078</v>
      </c>
      <c r="H494" s="415">
        <v>0</v>
      </c>
      <c r="I494" s="415">
        <v>0</v>
      </c>
      <c r="J494" s="415" t="s">
        <v>3060</v>
      </c>
      <c r="K494" s="415">
        <v>1</v>
      </c>
      <c r="L494" s="415">
        <v>550</v>
      </c>
      <c r="M494" s="415">
        <v>415</v>
      </c>
      <c r="N494" s="415" t="s">
        <v>2675</v>
      </c>
      <c r="O494" s="415" t="s">
        <v>2675</v>
      </c>
      <c r="P494" s="415">
        <v>316</v>
      </c>
      <c r="Q494" s="415">
        <v>316</v>
      </c>
      <c r="R494" s="415" t="s">
        <v>3073</v>
      </c>
      <c r="S494" s="415" t="s">
        <v>3012</v>
      </c>
      <c r="T494" s="416">
        <v>158</v>
      </c>
      <c r="U494" s="416">
        <v>158</v>
      </c>
      <c r="V494" s="416">
        <v>156</v>
      </c>
      <c r="W494" s="416">
        <v>154</v>
      </c>
      <c r="X494" s="416">
        <v>153</v>
      </c>
      <c r="Y494" s="416">
        <v>152</v>
      </c>
      <c r="Z494" s="416">
        <v>151</v>
      </c>
      <c r="AA494" s="416">
        <v>149</v>
      </c>
      <c r="AB494" s="416">
        <v>147</v>
      </c>
      <c r="AC494" s="416">
        <v>147</v>
      </c>
      <c r="AD494" s="416">
        <v>0</v>
      </c>
      <c r="AE494" s="416">
        <v>0</v>
      </c>
      <c r="AF494" s="416">
        <v>0</v>
      </c>
      <c r="AG494" s="416">
        <v>0</v>
      </c>
      <c r="AH494" s="416">
        <v>0</v>
      </c>
      <c r="AI494" s="416">
        <v>0</v>
      </c>
      <c r="AJ494" s="416">
        <v>0</v>
      </c>
      <c r="AK494" s="416">
        <v>0</v>
      </c>
      <c r="AL494" s="416">
        <v>0</v>
      </c>
      <c r="AM494" s="416">
        <v>0</v>
      </c>
      <c r="AN494" s="416">
        <v>0</v>
      </c>
      <c r="AO494" s="416">
        <v>0</v>
      </c>
      <c r="AP494" s="416">
        <v>0</v>
      </c>
      <c r="AQ494" s="416">
        <v>0</v>
      </c>
      <c r="AR494" s="416">
        <v>0</v>
      </c>
      <c r="AS494" s="416">
        <v>0</v>
      </c>
      <c r="AT494" s="416">
        <v>0</v>
      </c>
      <c r="AU494" s="416">
        <v>0</v>
      </c>
      <c r="AV494" s="416">
        <v>0</v>
      </c>
      <c r="AW494" s="416">
        <v>0</v>
      </c>
      <c r="AX494" s="416">
        <v>0</v>
      </c>
      <c r="AY494" s="416">
        <v>0</v>
      </c>
      <c r="AZ494" s="416">
        <v>0</v>
      </c>
    </row>
    <row r="495" spans="1:52" s="411" customFormat="1" x14ac:dyDescent="0.3">
      <c r="A495" s="415" t="str">
        <f t="shared" si="7"/>
        <v>SA-268 Gr.37375</v>
      </c>
      <c r="B495" s="415">
        <v>489</v>
      </c>
      <c r="C495" s="415" t="s">
        <v>3077</v>
      </c>
      <c r="D495" s="415" t="s">
        <v>2689</v>
      </c>
      <c r="E495" s="415" t="s">
        <v>2203</v>
      </c>
      <c r="F495" s="415">
        <v>37375</v>
      </c>
      <c r="G495" s="415" t="s">
        <v>3078</v>
      </c>
      <c r="H495" s="415">
        <v>0</v>
      </c>
      <c r="I495" s="415">
        <v>0</v>
      </c>
      <c r="J495" s="415" t="s">
        <v>3060</v>
      </c>
      <c r="K495" s="415">
        <v>1</v>
      </c>
      <c r="L495" s="415">
        <v>550</v>
      </c>
      <c r="M495" s="415">
        <v>415</v>
      </c>
      <c r="N495" s="415" t="s">
        <v>2675</v>
      </c>
      <c r="O495" s="415" t="s">
        <v>2675</v>
      </c>
      <c r="P495" s="415">
        <v>316</v>
      </c>
      <c r="Q495" s="415">
        <v>316</v>
      </c>
      <c r="R495" s="415" t="s">
        <v>3073</v>
      </c>
      <c r="S495" s="415" t="s">
        <v>3053</v>
      </c>
      <c r="T495" s="416">
        <v>134</v>
      </c>
      <c r="U495" s="416">
        <v>134</v>
      </c>
      <c r="V495" s="416">
        <v>133</v>
      </c>
      <c r="W495" s="416">
        <v>131</v>
      </c>
      <c r="X495" s="416">
        <v>130</v>
      </c>
      <c r="Y495" s="416">
        <v>130</v>
      </c>
      <c r="Z495" s="416">
        <v>128</v>
      </c>
      <c r="AA495" s="416">
        <v>127</v>
      </c>
      <c r="AB495" s="416">
        <v>125</v>
      </c>
      <c r="AC495" s="416">
        <v>124</v>
      </c>
      <c r="AD495" s="416">
        <v>0</v>
      </c>
      <c r="AE495" s="416">
        <v>0</v>
      </c>
      <c r="AF495" s="416">
        <v>0</v>
      </c>
      <c r="AG495" s="416">
        <v>0</v>
      </c>
      <c r="AH495" s="416">
        <v>0</v>
      </c>
      <c r="AI495" s="416">
        <v>0</v>
      </c>
      <c r="AJ495" s="416">
        <v>0</v>
      </c>
      <c r="AK495" s="416">
        <v>0</v>
      </c>
      <c r="AL495" s="416">
        <v>0</v>
      </c>
      <c r="AM495" s="416">
        <v>0</v>
      </c>
      <c r="AN495" s="416">
        <v>0</v>
      </c>
      <c r="AO495" s="416">
        <v>0</v>
      </c>
      <c r="AP495" s="416">
        <v>0</v>
      </c>
      <c r="AQ495" s="416">
        <v>0</v>
      </c>
      <c r="AR495" s="416">
        <v>0</v>
      </c>
      <c r="AS495" s="416">
        <v>0</v>
      </c>
      <c r="AT495" s="416">
        <v>0</v>
      </c>
      <c r="AU495" s="416">
        <v>0</v>
      </c>
      <c r="AV495" s="416">
        <v>0</v>
      </c>
      <c r="AW495" s="416">
        <v>0</v>
      </c>
      <c r="AX495" s="416">
        <v>0</v>
      </c>
      <c r="AY495" s="416">
        <v>0</v>
      </c>
      <c r="AZ495" s="416">
        <v>0</v>
      </c>
    </row>
    <row r="496" spans="1:52" s="411" customFormat="1" x14ac:dyDescent="0.3">
      <c r="A496" s="415" t="str">
        <f t="shared" si="7"/>
        <v>SA-268 Gr.0</v>
      </c>
      <c r="B496" s="415">
        <v>490</v>
      </c>
      <c r="C496" s="415" t="s">
        <v>3079</v>
      </c>
      <c r="D496" s="415" t="s">
        <v>2693</v>
      </c>
      <c r="E496" s="415" t="s">
        <v>2203</v>
      </c>
      <c r="F496" s="415">
        <v>0</v>
      </c>
      <c r="G496" s="415" t="s">
        <v>3080</v>
      </c>
      <c r="H496" s="415">
        <v>0</v>
      </c>
      <c r="I496" s="415">
        <v>0</v>
      </c>
      <c r="J496" s="415" t="s">
        <v>3076</v>
      </c>
      <c r="K496" s="415">
        <v>1</v>
      </c>
      <c r="L496" s="415">
        <v>515</v>
      </c>
      <c r="M496" s="415">
        <v>415</v>
      </c>
      <c r="N496" s="415" t="s">
        <v>2675</v>
      </c>
      <c r="O496" s="415" t="s">
        <v>2675</v>
      </c>
      <c r="P496" s="415">
        <v>316</v>
      </c>
      <c r="Q496" s="415">
        <v>316</v>
      </c>
      <c r="R496" s="415" t="s">
        <v>3073</v>
      </c>
      <c r="S496" s="415" t="s">
        <v>3012</v>
      </c>
      <c r="T496" s="416">
        <v>148</v>
      </c>
      <c r="U496" s="416">
        <v>148</v>
      </c>
      <c r="V496" s="416">
        <v>146</v>
      </c>
      <c r="W496" s="416">
        <v>144</v>
      </c>
      <c r="X496" s="416">
        <v>144</v>
      </c>
      <c r="Y496" s="416">
        <v>143</v>
      </c>
      <c r="Z496" s="416">
        <v>141</v>
      </c>
      <c r="AA496" s="416">
        <v>140</v>
      </c>
      <c r="AB496" s="416">
        <v>139</v>
      </c>
      <c r="AC496" s="416">
        <v>138</v>
      </c>
      <c r="AD496" s="416">
        <v>0</v>
      </c>
      <c r="AE496" s="416">
        <v>0</v>
      </c>
      <c r="AF496" s="416">
        <v>0</v>
      </c>
      <c r="AG496" s="416">
        <v>0</v>
      </c>
      <c r="AH496" s="416">
        <v>0</v>
      </c>
      <c r="AI496" s="416">
        <v>0</v>
      </c>
      <c r="AJ496" s="416">
        <v>0</v>
      </c>
      <c r="AK496" s="416">
        <v>0</v>
      </c>
      <c r="AL496" s="416">
        <v>0</v>
      </c>
      <c r="AM496" s="416">
        <v>0</v>
      </c>
      <c r="AN496" s="416">
        <v>0</v>
      </c>
      <c r="AO496" s="416">
        <v>0</v>
      </c>
      <c r="AP496" s="416">
        <v>0</v>
      </c>
      <c r="AQ496" s="416">
        <v>0</v>
      </c>
      <c r="AR496" s="416">
        <v>0</v>
      </c>
      <c r="AS496" s="416">
        <v>0</v>
      </c>
      <c r="AT496" s="416">
        <v>0</v>
      </c>
      <c r="AU496" s="416">
        <v>0</v>
      </c>
      <c r="AV496" s="416">
        <v>0</v>
      </c>
      <c r="AW496" s="416">
        <v>0</v>
      </c>
      <c r="AX496" s="416">
        <v>0</v>
      </c>
      <c r="AY496" s="416">
        <v>0</v>
      </c>
      <c r="AZ496" s="416">
        <v>0</v>
      </c>
    </row>
    <row r="497" spans="1:52" s="411" customFormat="1" x14ac:dyDescent="0.3">
      <c r="A497" s="415" t="str">
        <f t="shared" si="7"/>
        <v>SA-268 Gr.0</v>
      </c>
      <c r="B497" s="415">
        <v>491</v>
      </c>
      <c r="C497" s="415" t="s">
        <v>3079</v>
      </c>
      <c r="D497" s="415" t="s">
        <v>2689</v>
      </c>
      <c r="E497" s="415" t="s">
        <v>2203</v>
      </c>
      <c r="F497" s="415">
        <v>0</v>
      </c>
      <c r="G497" s="415" t="s">
        <v>3080</v>
      </c>
      <c r="H497" s="415">
        <v>0</v>
      </c>
      <c r="I497" s="415">
        <v>0</v>
      </c>
      <c r="J497" s="415" t="s">
        <v>3076</v>
      </c>
      <c r="K497" s="415">
        <v>1</v>
      </c>
      <c r="L497" s="415">
        <v>515</v>
      </c>
      <c r="M497" s="415">
        <v>415</v>
      </c>
      <c r="N497" s="415" t="s">
        <v>2675</v>
      </c>
      <c r="O497" s="415" t="s">
        <v>2675</v>
      </c>
      <c r="P497" s="415">
        <v>316</v>
      </c>
      <c r="Q497" s="415">
        <v>316</v>
      </c>
      <c r="R497" s="415" t="s">
        <v>3073</v>
      </c>
      <c r="S497" s="415" t="s">
        <v>3053</v>
      </c>
      <c r="T497" s="416">
        <v>125</v>
      </c>
      <c r="U497" s="416">
        <v>125</v>
      </c>
      <c r="V497" s="416">
        <v>125</v>
      </c>
      <c r="W497" s="416">
        <v>123</v>
      </c>
      <c r="X497" s="416">
        <v>122</v>
      </c>
      <c r="Y497" s="416">
        <v>121</v>
      </c>
      <c r="Z497" s="416">
        <v>121</v>
      </c>
      <c r="AA497" s="416">
        <v>119</v>
      </c>
      <c r="AB497" s="416">
        <v>118</v>
      </c>
      <c r="AC497" s="416">
        <v>117</v>
      </c>
      <c r="AD497" s="416">
        <v>0</v>
      </c>
      <c r="AE497" s="416">
        <v>0</v>
      </c>
      <c r="AF497" s="416">
        <v>0</v>
      </c>
      <c r="AG497" s="416">
        <v>0</v>
      </c>
      <c r="AH497" s="416">
        <v>0</v>
      </c>
      <c r="AI497" s="416">
        <v>0</v>
      </c>
      <c r="AJ497" s="416">
        <v>0</v>
      </c>
      <c r="AK497" s="416">
        <v>0</v>
      </c>
      <c r="AL497" s="416">
        <v>0</v>
      </c>
      <c r="AM497" s="416">
        <v>0</v>
      </c>
      <c r="AN497" s="416">
        <v>0</v>
      </c>
      <c r="AO497" s="416">
        <v>0</v>
      </c>
      <c r="AP497" s="416">
        <v>0</v>
      </c>
      <c r="AQ497" s="416">
        <v>0</v>
      </c>
      <c r="AR497" s="416">
        <v>0</v>
      </c>
      <c r="AS497" s="416">
        <v>0</v>
      </c>
      <c r="AT497" s="416">
        <v>0</v>
      </c>
      <c r="AU497" s="416">
        <v>0</v>
      </c>
      <c r="AV497" s="416">
        <v>0</v>
      </c>
      <c r="AW497" s="416">
        <v>0</v>
      </c>
      <c r="AX497" s="416">
        <v>0</v>
      </c>
      <c r="AY497" s="416">
        <v>0</v>
      </c>
      <c r="AZ497" s="416">
        <v>0</v>
      </c>
    </row>
    <row r="498" spans="1:52" s="411" customFormat="1" x14ac:dyDescent="0.3">
      <c r="A498" s="415" t="str">
        <f t="shared" si="7"/>
        <v>SA-372 Gr.D</v>
      </c>
      <c r="B498" s="415">
        <v>492</v>
      </c>
      <c r="C498" s="415" t="s">
        <v>3081</v>
      </c>
      <c r="D498" s="415" t="s">
        <v>2737</v>
      </c>
      <c r="E498" s="415" t="s">
        <v>2223</v>
      </c>
      <c r="F498" s="415" t="s">
        <v>2414</v>
      </c>
      <c r="G498" s="415" t="s">
        <v>3082</v>
      </c>
      <c r="H498" s="415">
        <v>0</v>
      </c>
      <c r="I498" s="415">
        <v>0</v>
      </c>
      <c r="J498" s="415">
        <v>0</v>
      </c>
      <c r="K498" s="415">
        <v>0</v>
      </c>
      <c r="L498" s="415">
        <v>725</v>
      </c>
      <c r="M498" s="415">
        <v>450</v>
      </c>
      <c r="N498" s="415" t="s">
        <v>2675</v>
      </c>
      <c r="O498" s="415">
        <v>343</v>
      </c>
      <c r="P498" s="415">
        <v>343</v>
      </c>
      <c r="Q498" s="415">
        <v>343</v>
      </c>
      <c r="R498" s="415" t="s">
        <v>2838</v>
      </c>
      <c r="S498" s="415" t="s">
        <v>3083</v>
      </c>
      <c r="T498" s="416">
        <v>207</v>
      </c>
      <c r="U498" s="416">
        <v>207</v>
      </c>
      <c r="V498" s="416">
        <v>207</v>
      </c>
      <c r="W498" s="416">
        <v>207</v>
      </c>
      <c r="X498" s="416">
        <v>207</v>
      </c>
      <c r="Y498" s="416">
        <v>207</v>
      </c>
      <c r="Z498" s="416">
        <v>207</v>
      </c>
      <c r="AA498" s="416">
        <v>207</v>
      </c>
      <c r="AB498" s="416">
        <v>207</v>
      </c>
      <c r="AC498" s="416">
        <v>207</v>
      </c>
      <c r="AD498" s="416">
        <v>207</v>
      </c>
      <c r="AE498" s="416">
        <v>0</v>
      </c>
      <c r="AF498" s="416">
        <v>0</v>
      </c>
      <c r="AG498" s="416">
        <v>0</v>
      </c>
      <c r="AH498" s="416">
        <v>0</v>
      </c>
      <c r="AI498" s="416">
        <v>0</v>
      </c>
      <c r="AJ498" s="416">
        <v>0</v>
      </c>
      <c r="AK498" s="416">
        <v>0</v>
      </c>
      <c r="AL498" s="416">
        <v>0</v>
      </c>
      <c r="AM498" s="416">
        <v>0</v>
      </c>
      <c r="AN498" s="416">
        <v>0</v>
      </c>
      <c r="AO498" s="416">
        <v>0</v>
      </c>
      <c r="AP498" s="416">
        <v>0</v>
      </c>
      <c r="AQ498" s="416">
        <v>0</v>
      </c>
      <c r="AR498" s="416">
        <v>0</v>
      </c>
      <c r="AS498" s="416">
        <v>0</v>
      </c>
      <c r="AT498" s="416">
        <v>0</v>
      </c>
      <c r="AU498" s="416">
        <v>0</v>
      </c>
      <c r="AV498" s="416">
        <v>0</v>
      </c>
      <c r="AW498" s="416">
        <v>0</v>
      </c>
      <c r="AX498" s="416">
        <v>0</v>
      </c>
      <c r="AY498" s="416">
        <v>0</v>
      </c>
      <c r="AZ498" s="416">
        <v>0</v>
      </c>
    </row>
    <row r="499" spans="1:52" s="411" customFormat="1" x14ac:dyDescent="0.3">
      <c r="A499" s="415" t="str">
        <f t="shared" si="7"/>
        <v>SA-487 Gr.2</v>
      </c>
      <c r="B499" s="415">
        <v>493</v>
      </c>
      <c r="C499" s="415" t="s">
        <v>3084</v>
      </c>
      <c r="D499" s="415" t="s">
        <v>2739</v>
      </c>
      <c r="E499" s="415" t="s">
        <v>2247</v>
      </c>
      <c r="F499" s="415">
        <v>2</v>
      </c>
      <c r="G499" s="415" t="s">
        <v>3085</v>
      </c>
      <c r="H499" s="415" t="s">
        <v>12</v>
      </c>
      <c r="I499" s="415">
        <v>0</v>
      </c>
      <c r="J499" s="415">
        <v>3</v>
      </c>
      <c r="K499" s="415">
        <v>3</v>
      </c>
      <c r="L499" s="415">
        <v>585</v>
      </c>
      <c r="M499" s="415">
        <v>365</v>
      </c>
      <c r="N499" s="415" t="s">
        <v>2675</v>
      </c>
      <c r="O499" s="415" t="s">
        <v>2704</v>
      </c>
      <c r="P499" s="415">
        <v>343</v>
      </c>
      <c r="Q499" s="415">
        <v>343</v>
      </c>
      <c r="R499" s="415" t="s">
        <v>2819</v>
      </c>
      <c r="S499" s="415" t="s">
        <v>3086</v>
      </c>
      <c r="T499" s="416">
        <v>168</v>
      </c>
      <c r="U499" s="416">
        <v>168</v>
      </c>
      <c r="V499" s="416">
        <v>168</v>
      </c>
      <c r="W499" s="416">
        <v>168</v>
      </c>
      <c r="X499" s="416">
        <v>168</v>
      </c>
      <c r="Y499" s="416">
        <v>168</v>
      </c>
      <c r="Z499" s="416">
        <v>167</v>
      </c>
      <c r="AA499" s="416">
        <v>167</v>
      </c>
      <c r="AB499" s="416">
        <v>167</v>
      </c>
      <c r="AC499" s="416">
        <v>167</v>
      </c>
      <c r="AD499" s="416">
        <v>166</v>
      </c>
      <c r="AE499" s="416">
        <v>166</v>
      </c>
      <c r="AF499" s="416">
        <v>0</v>
      </c>
      <c r="AG499" s="416">
        <v>0</v>
      </c>
      <c r="AH499" s="416">
        <v>0</v>
      </c>
      <c r="AI499" s="416">
        <v>0</v>
      </c>
      <c r="AJ499" s="416">
        <v>0</v>
      </c>
      <c r="AK499" s="416">
        <v>0</v>
      </c>
      <c r="AL499" s="416">
        <v>0</v>
      </c>
      <c r="AM499" s="416">
        <v>0</v>
      </c>
      <c r="AN499" s="416">
        <v>0</v>
      </c>
      <c r="AO499" s="416">
        <v>0</v>
      </c>
      <c r="AP499" s="416">
        <v>0</v>
      </c>
      <c r="AQ499" s="416">
        <v>0</v>
      </c>
      <c r="AR499" s="416">
        <v>0</v>
      </c>
      <c r="AS499" s="416">
        <v>0</v>
      </c>
      <c r="AT499" s="416">
        <v>0</v>
      </c>
      <c r="AU499" s="416">
        <v>0</v>
      </c>
      <c r="AV499" s="416">
        <v>0</v>
      </c>
      <c r="AW499" s="416">
        <v>0</v>
      </c>
      <c r="AX499" s="416">
        <v>0</v>
      </c>
      <c r="AY499" s="416">
        <v>0</v>
      </c>
      <c r="AZ499" s="416">
        <v>0</v>
      </c>
    </row>
    <row r="500" spans="1:52" s="411" customFormat="1" x14ac:dyDescent="0.3">
      <c r="A500" s="415" t="str">
        <f t="shared" si="7"/>
        <v>SA-487 Gr.2</v>
      </c>
      <c r="B500" s="415">
        <v>494</v>
      </c>
      <c r="C500" s="415" t="s">
        <v>3084</v>
      </c>
      <c r="D500" s="415" t="s">
        <v>2739</v>
      </c>
      <c r="E500" s="415" t="s">
        <v>2247</v>
      </c>
      <c r="F500" s="415">
        <v>2</v>
      </c>
      <c r="G500" s="415" t="s">
        <v>3085</v>
      </c>
      <c r="H500" s="415" t="s">
        <v>1864</v>
      </c>
      <c r="I500" s="415">
        <v>0</v>
      </c>
      <c r="J500" s="415">
        <v>3</v>
      </c>
      <c r="K500" s="415">
        <v>3</v>
      </c>
      <c r="L500" s="415">
        <v>620</v>
      </c>
      <c r="M500" s="415">
        <v>450</v>
      </c>
      <c r="N500" s="415" t="s">
        <v>2675</v>
      </c>
      <c r="O500" s="415" t="s">
        <v>2675</v>
      </c>
      <c r="P500" s="415">
        <v>343</v>
      </c>
      <c r="Q500" s="415">
        <v>343</v>
      </c>
      <c r="R500" s="415" t="s">
        <v>2838</v>
      </c>
      <c r="S500" s="415" t="s">
        <v>3086</v>
      </c>
      <c r="T500" s="416">
        <v>177</v>
      </c>
      <c r="U500" s="416">
        <v>177</v>
      </c>
      <c r="V500" s="416">
        <v>177</v>
      </c>
      <c r="W500" s="416">
        <v>177</v>
      </c>
      <c r="X500" s="416">
        <v>177</v>
      </c>
      <c r="Y500" s="416">
        <v>177</v>
      </c>
      <c r="Z500" s="416">
        <v>177</v>
      </c>
      <c r="AA500" s="416">
        <v>177</v>
      </c>
      <c r="AB500" s="416">
        <v>177</v>
      </c>
      <c r="AC500" s="416">
        <v>177</v>
      </c>
      <c r="AD500" s="416">
        <v>177</v>
      </c>
      <c r="AE500" s="416">
        <v>0</v>
      </c>
      <c r="AF500" s="416">
        <v>0</v>
      </c>
      <c r="AG500" s="416">
        <v>0</v>
      </c>
      <c r="AH500" s="416">
        <v>0</v>
      </c>
      <c r="AI500" s="416">
        <v>0</v>
      </c>
      <c r="AJ500" s="416">
        <v>0</v>
      </c>
      <c r="AK500" s="416">
        <v>0</v>
      </c>
      <c r="AL500" s="416">
        <v>0</v>
      </c>
      <c r="AM500" s="416">
        <v>0</v>
      </c>
      <c r="AN500" s="416">
        <v>0</v>
      </c>
      <c r="AO500" s="416">
        <v>0</v>
      </c>
      <c r="AP500" s="416">
        <v>0</v>
      </c>
      <c r="AQ500" s="416">
        <v>0</v>
      </c>
      <c r="AR500" s="416">
        <v>0</v>
      </c>
      <c r="AS500" s="416">
        <v>0</v>
      </c>
      <c r="AT500" s="416">
        <v>0</v>
      </c>
      <c r="AU500" s="416">
        <v>0</v>
      </c>
      <c r="AV500" s="416">
        <v>0</v>
      </c>
      <c r="AW500" s="416">
        <v>0</v>
      </c>
      <c r="AX500" s="416">
        <v>0</v>
      </c>
      <c r="AY500" s="416">
        <v>0</v>
      </c>
      <c r="AZ500" s="416">
        <v>0</v>
      </c>
    </row>
    <row r="501" spans="1:52" s="411" customFormat="1" x14ac:dyDescent="0.3">
      <c r="A501" s="415" t="str">
        <f t="shared" si="7"/>
        <v>SA-302 Gr.A</v>
      </c>
      <c r="B501" s="415">
        <v>495</v>
      </c>
      <c r="C501" s="415" t="s">
        <v>3087</v>
      </c>
      <c r="D501" s="415" t="s">
        <v>2684</v>
      </c>
      <c r="E501" s="415" t="s">
        <v>2207</v>
      </c>
      <c r="F501" s="415" t="s">
        <v>12</v>
      </c>
      <c r="G501" s="415" t="s">
        <v>3088</v>
      </c>
      <c r="H501" s="415">
        <v>0</v>
      </c>
      <c r="I501" s="415">
        <v>0</v>
      </c>
      <c r="J501" s="415">
        <v>3</v>
      </c>
      <c r="K501" s="415">
        <v>2</v>
      </c>
      <c r="L501" s="415">
        <v>515</v>
      </c>
      <c r="M501" s="415">
        <v>310</v>
      </c>
      <c r="N501" s="415">
        <v>538</v>
      </c>
      <c r="O501" s="415">
        <v>371</v>
      </c>
      <c r="P501" s="415">
        <v>538</v>
      </c>
      <c r="Q501" s="415">
        <v>343</v>
      </c>
      <c r="R501" s="415" t="s">
        <v>2819</v>
      </c>
      <c r="S501" s="415" t="s">
        <v>3089</v>
      </c>
      <c r="T501" s="416">
        <v>148</v>
      </c>
      <c r="U501" s="416">
        <v>148</v>
      </c>
      <c r="V501" s="416">
        <v>148</v>
      </c>
      <c r="W501" s="416">
        <v>148</v>
      </c>
      <c r="X501" s="416">
        <v>148</v>
      </c>
      <c r="Y501" s="416">
        <v>148</v>
      </c>
      <c r="Z501" s="416">
        <v>148</v>
      </c>
      <c r="AA501" s="416">
        <v>148</v>
      </c>
      <c r="AB501" s="416">
        <v>148</v>
      </c>
      <c r="AC501" s="416">
        <v>148</v>
      </c>
      <c r="AD501" s="416">
        <v>148</v>
      </c>
      <c r="AE501" s="416">
        <v>148</v>
      </c>
      <c r="AF501" s="416">
        <v>148</v>
      </c>
      <c r="AG501" s="416">
        <v>148</v>
      </c>
      <c r="AH501" s="416">
        <v>142</v>
      </c>
      <c r="AI501" s="416">
        <v>107</v>
      </c>
      <c r="AJ501" s="416">
        <v>68.099999999999994</v>
      </c>
      <c r="AK501" s="416">
        <v>43.1</v>
      </c>
      <c r="AL501" s="416">
        <v>23.1</v>
      </c>
      <c r="AM501" s="416">
        <v>0</v>
      </c>
      <c r="AN501" s="416">
        <v>0</v>
      </c>
      <c r="AO501" s="416">
        <v>0</v>
      </c>
      <c r="AP501" s="416">
        <v>0</v>
      </c>
      <c r="AQ501" s="416">
        <v>0</v>
      </c>
      <c r="AR501" s="416">
        <v>0</v>
      </c>
      <c r="AS501" s="416">
        <v>0</v>
      </c>
      <c r="AT501" s="416">
        <v>0</v>
      </c>
      <c r="AU501" s="416">
        <v>0</v>
      </c>
      <c r="AV501" s="416">
        <v>0</v>
      </c>
      <c r="AW501" s="416">
        <v>0</v>
      </c>
      <c r="AX501" s="416">
        <v>0</v>
      </c>
      <c r="AY501" s="416">
        <v>0</v>
      </c>
      <c r="AZ501" s="416">
        <v>0</v>
      </c>
    </row>
    <row r="502" spans="1:52" s="411" customFormat="1" x14ac:dyDescent="0.3">
      <c r="A502" s="415" t="str">
        <f t="shared" si="7"/>
        <v>SA-672 Gr.H75</v>
      </c>
      <c r="B502" s="415">
        <v>496</v>
      </c>
      <c r="C502" s="415" t="s">
        <v>3087</v>
      </c>
      <c r="D502" s="415" t="s">
        <v>2680</v>
      </c>
      <c r="E502" s="415" t="s">
        <v>2297</v>
      </c>
      <c r="F502" s="415" t="s">
        <v>2481</v>
      </c>
      <c r="G502" s="415" t="s">
        <v>3088</v>
      </c>
      <c r="H502" s="415">
        <v>0</v>
      </c>
      <c r="I502" s="415">
        <v>0</v>
      </c>
      <c r="J502" s="415">
        <v>3</v>
      </c>
      <c r="K502" s="415">
        <v>2</v>
      </c>
      <c r="L502" s="415">
        <v>515</v>
      </c>
      <c r="M502" s="415">
        <v>310</v>
      </c>
      <c r="N502" s="415" t="s">
        <v>2675</v>
      </c>
      <c r="O502" s="415">
        <v>371</v>
      </c>
      <c r="P502" s="415" t="s">
        <v>2675</v>
      </c>
      <c r="Q502" s="415" t="s">
        <v>2675</v>
      </c>
      <c r="R502" s="415" t="s">
        <v>2819</v>
      </c>
      <c r="S502" s="415" t="s">
        <v>2687</v>
      </c>
      <c r="T502" s="416">
        <v>148</v>
      </c>
      <c r="U502" s="416">
        <v>148</v>
      </c>
      <c r="V502" s="416">
        <v>148</v>
      </c>
      <c r="W502" s="416">
        <v>148</v>
      </c>
      <c r="X502" s="416">
        <v>148</v>
      </c>
      <c r="Y502" s="416">
        <v>148</v>
      </c>
      <c r="Z502" s="416">
        <v>148</v>
      </c>
      <c r="AA502" s="416">
        <v>148</v>
      </c>
      <c r="AB502" s="416">
        <v>148</v>
      </c>
      <c r="AC502" s="416">
        <v>148</v>
      </c>
      <c r="AD502" s="416">
        <v>148</v>
      </c>
      <c r="AE502" s="416">
        <v>148</v>
      </c>
      <c r="AF502" s="416">
        <v>0</v>
      </c>
      <c r="AG502" s="416">
        <v>0</v>
      </c>
      <c r="AH502" s="416">
        <v>0</v>
      </c>
      <c r="AI502" s="416">
        <v>0</v>
      </c>
      <c r="AJ502" s="416">
        <v>0</v>
      </c>
      <c r="AK502" s="416">
        <v>0</v>
      </c>
      <c r="AL502" s="416">
        <v>0</v>
      </c>
      <c r="AM502" s="416">
        <v>0</v>
      </c>
      <c r="AN502" s="416">
        <v>0</v>
      </c>
      <c r="AO502" s="416">
        <v>0</v>
      </c>
      <c r="AP502" s="416">
        <v>0</v>
      </c>
      <c r="AQ502" s="416">
        <v>0</v>
      </c>
      <c r="AR502" s="416">
        <v>0</v>
      </c>
      <c r="AS502" s="416">
        <v>0</v>
      </c>
      <c r="AT502" s="416">
        <v>0</v>
      </c>
      <c r="AU502" s="416">
        <v>0</v>
      </c>
      <c r="AV502" s="416">
        <v>0</v>
      </c>
      <c r="AW502" s="416">
        <v>0</v>
      </c>
      <c r="AX502" s="416">
        <v>0</v>
      </c>
      <c r="AY502" s="416">
        <v>0</v>
      </c>
      <c r="AZ502" s="416">
        <v>0</v>
      </c>
    </row>
    <row r="503" spans="1:52" s="411" customFormat="1" x14ac:dyDescent="0.3">
      <c r="A503" s="415" t="str">
        <f t="shared" si="7"/>
        <v>SA-302 Gr.B</v>
      </c>
      <c r="B503" s="415">
        <v>497</v>
      </c>
      <c r="C503" s="415" t="s">
        <v>3087</v>
      </c>
      <c r="D503" s="415" t="s">
        <v>2684</v>
      </c>
      <c r="E503" s="415" t="s">
        <v>2207</v>
      </c>
      <c r="F503" s="415" t="s">
        <v>1864</v>
      </c>
      <c r="G503" s="415" t="s">
        <v>3090</v>
      </c>
      <c r="H503" s="415">
        <v>0</v>
      </c>
      <c r="I503" s="415">
        <v>0</v>
      </c>
      <c r="J503" s="415">
        <v>3</v>
      </c>
      <c r="K503" s="415">
        <v>3</v>
      </c>
      <c r="L503" s="415">
        <v>550</v>
      </c>
      <c r="M503" s="415">
        <v>345</v>
      </c>
      <c r="N503" s="415">
        <v>538</v>
      </c>
      <c r="O503" s="415">
        <v>371</v>
      </c>
      <c r="P503" s="415">
        <v>538</v>
      </c>
      <c r="Q503" s="415">
        <v>343</v>
      </c>
      <c r="R503" s="415" t="s">
        <v>2819</v>
      </c>
      <c r="S503" s="415" t="s">
        <v>3089</v>
      </c>
      <c r="T503" s="416">
        <v>158</v>
      </c>
      <c r="U503" s="416">
        <v>158</v>
      </c>
      <c r="V503" s="416">
        <v>158</v>
      </c>
      <c r="W503" s="416">
        <v>158</v>
      </c>
      <c r="X503" s="416">
        <v>158</v>
      </c>
      <c r="Y503" s="416">
        <v>158</v>
      </c>
      <c r="Z503" s="416">
        <v>158</v>
      </c>
      <c r="AA503" s="416">
        <v>158</v>
      </c>
      <c r="AB503" s="416">
        <v>158</v>
      </c>
      <c r="AC503" s="416">
        <v>158</v>
      </c>
      <c r="AD503" s="416">
        <v>158</v>
      </c>
      <c r="AE503" s="416">
        <v>158</v>
      </c>
      <c r="AF503" s="416">
        <v>158</v>
      </c>
      <c r="AG503" s="416">
        <v>158</v>
      </c>
      <c r="AH503" s="416">
        <v>143</v>
      </c>
      <c r="AI503" s="416">
        <v>106</v>
      </c>
      <c r="AJ503" s="416">
        <v>68.400000000000006</v>
      </c>
      <c r="AK503" s="416">
        <v>43</v>
      </c>
      <c r="AL503" s="416">
        <v>23.1</v>
      </c>
      <c r="AM503" s="416">
        <v>0</v>
      </c>
      <c r="AN503" s="416">
        <v>0</v>
      </c>
      <c r="AO503" s="416">
        <v>0</v>
      </c>
      <c r="AP503" s="416">
        <v>0</v>
      </c>
      <c r="AQ503" s="416">
        <v>0</v>
      </c>
      <c r="AR503" s="416">
        <v>0</v>
      </c>
      <c r="AS503" s="416">
        <v>0</v>
      </c>
      <c r="AT503" s="416">
        <v>0</v>
      </c>
      <c r="AU503" s="416">
        <v>0</v>
      </c>
      <c r="AV503" s="416">
        <v>0</v>
      </c>
      <c r="AW503" s="416">
        <v>0</v>
      </c>
      <c r="AX503" s="416">
        <v>0</v>
      </c>
      <c r="AY503" s="416">
        <v>0</v>
      </c>
      <c r="AZ503" s="416">
        <v>0</v>
      </c>
    </row>
    <row r="504" spans="1:52" s="411" customFormat="1" x14ac:dyDescent="0.3">
      <c r="A504" s="415" t="str">
        <f t="shared" si="7"/>
        <v>SA-533 Gr.A</v>
      </c>
      <c r="B504" s="415">
        <v>498</v>
      </c>
      <c r="C504" s="415" t="s">
        <v>3087</v>
      </c>
      <c r="D504" s="415" t="s">
        <v>2684</v>
      </c>
      <c r="E504" s="415" t="s">
        <v>2177</v>
      </c>
      <c r="F504" s="415" t="s">
        <v>12</v>
      </c>
      <c r="G504" s="415" t="s">
        <v>3091</v>
      </c>
      <c r="H504" s="415">
        <v>1</v>
      </c>
      <c r="I504" s="415">
        <v>0</v>
      </c>
      <c r="J504" s="415">
        <v>3</v>
      </c>
      <c r="K504" s="415">
        <v>3</v>
      </c>
      <c r="L504" s="415">
        <v>550</v>
      </c>
      <c r="M504" s="415">
        <v>345</v>
      </c>
      <c r="N504" s="415" t="s">
        <v>2675</v>
      </c>
      <c r="O504" s="415">
        <v>371</v>
      </c>
      <c r="P504" s="415">
        <v>538</v>
      </c>
      <c r="Q504" s="415" t="s">
        <v>2675</v>
      </c>
      <c r="R504" s="415" t="s">
        <v>2838</v>
      </c>
      <c r="S504" s="415" t="s">
        <v>3092</v>
      </c>
      <c r="T504" s="416">
        <v>158</v>
      </c>
      <c r="U504" s="416">
        <v>158</v>
      </c>
      <c r="V504" s="416">
        <v>158</v>
      </c>
      <c r="W504" s="416">
        <v>158</v>
      </c>
      <c r="X504" s="416">
        <v>158</v>
      </c>
      <c r="Y504" s="416">
        <v>158</v>
      </c>
      <c r="Z504" s="416">
        <v>158</v>
      </c>
      <c r="AA504" s="416">
        <v>158</v>
      </c>
      <c r="AB504" s="416">
        <v>158</v>
      </c>
      <c r="AC504" s="416">
        <v>158</v>
      </c>
      <c r="AD504" s="416">
        <v>158</v>
      </c>
      <c r="AE504" s="416">
        <v>158</v>
      </c>
      <c r="AF504" s="416">
        <v>158</v>
      </c>
      <c r="AG504" s="416">
        <v>158</v>
      </c>
      <c r="AH504" s="416">
        <v>154</v>
      </c>
      <c r="AI504" s="416">
        <v>106</v>
      </c>
      <c r="AJ504" s="416">
        <v>77.2</v>
      </c>
      <c r="AK504" s="416">
        <v>55.6</v>
      </c>
      <c r="AL504" s="416">
        <v>32.1</v>
      </c>
      <c r="AM504" s="416">
        <v>0</v>
      </c>
      <c r="AN504" s="416">
        <v>0</v>
      </c>
      <c r="AO504" s="416">
        <v>0</v>
      </c>
      <c r="AP504" s="416">
        <v>0</v>
      </c>
      <c r="AQ504" s="416">
        <v>0</v>
      </c>
      <c r="AR504" s="416">
        <v>0</v>
      </c>
      <c r="AS504" s="416">
        <v>0</v>
      </c>
      <c r="AT504" s="416">
        <v>0</v>
      </c>
      <c r="AU504" s="416">
        <v>0</v>
      </c>
      <c r="AV504" s="416">
        <v>0</v>
      </c>
      <c r="AW504" s="416">
        <v>0</v>
      </c>
      <c r="AX504" s="416">
        <v>0</v>
      </c>
      <c r="AY504" s="416">
        <v>0</v>
      </c>
      <c r="AZ504" s="416">
        <v>0</v>
      </c>
    </row>
    <row r="505" spans="1:52" s="411" customFormat="1" x14ac:dyDescent="0.3">
      <c r="A505" s="415" t="str">
        <f t="shared" si="7"/>
        <v>SA-533 Gr.A</v>
      </c>
      <c r="B505" s="415">
        <v>499</v>
      </c>
      <c r="C505" s="415" t="s">
        <v>3087</v>
      </c>
      <c r="D505" s="415" t="s">
        <v>2684</v>
      </c>
      <c r="E505" s="415" t="s">
        <v>2177</v>
      </c>
      <c r="F505" s="415" t="s">
        <v>12</v>
      </c>
      <c r="G505" s="415" t="s">
        <v>3091</v>
      </c>
      <c r="H505" s="415">
        <v>2</v>
      </c>
      <c r="I505" s="415">
        <v>0</v>
      </c>
      <c r="J505" s="415">
        <v>3</v>
      </c>
      <c r="K505" s="415">
        <v>3</v>
      </c>
      <c r="L505" s="415">
        <v>620</v>
      </c>
      <c r="M505" s="415">
        <v>485</v>
      </c>
      <c r="N505" s="415" t="s">
        <v>2675</v>
      </c>
      <c r="O505" s="415">
        <v>371</v>
      </c>
      <c r="P505" s="415">
        <v>427</v>
      </c>
      <c r="Q505" s="415" t="s">
        <v>2675</v>
      </c>
      <c r="R505" s="415" t="s">
        <v>2838</v>
      </c>
      <c r="S505" s="415">
        <v>0</v>
      </c>
      <c r="T505" s="416">
        <v>177</v>
      </c>
      <c r="U505" s="416">
        <v>177</v>
      </c>
      <c r="V505" s="416">
        <v>177</v>
      </c>
      <c r="W505" s="416">
        <v>177</v>
      </c>
      <c r="X505" s="416">
        <v>177</v>
      </c>
      <c r="Y505" s="416">
        <v>177</v>
      </c>
      <c r="Z505" s="416">
        <v>177</v>
      </c>
      <c r="AA505" s="416">
        <v>177</v>
      </c>
      <c r="AB505" s="416">
        <v>177</v>
      </c>
      <c r="AC505" s="416">
        <v>177</v>
      </c>
      <c r="AD505" s="416">
        <v>177</v>
      </c>
      <c r="AE505" s="416">
        <v>177</v>
      </c>
      <c r="AF505" s="416">
        <v>177</v>
      </c>
      <c r="AG505" s="416">
        <v>177</v>
      </c>
      <c r="AH505" s="416">
        <v>177</v>
      </c>
      <c r="AI505" s="416">
        <v>0</v>
      </c>
      <c r="AJ505" s="416">
        <v>0</v>
      </c>
      <c r="AK505" s="416">
        <v>0</v>
      </c>
      <c r="AL505" s="416">
        <v>0</v>
      </c>
      <c r="AM505" s="416">
        <v>0</v>
      </c>
      <c r="AN505" s="416">
        <v>0</v>
      </c>
      <c r="AO505" s="416">
        <v>0</v>
      </c>
      <c r="AP505" s="416">
        <v>0</v>
      </c>
      <c r="AQ505" s="416">
        <v>0</v>
      </c>
      <c r="AR505" s="416">
        <v>0</v>
      </c>
      <c r="AS505" s="416">
        <v>0</v>
      </c>
      <c r="AT505" s="416">
        <v>0</v>
      </c>
      <c r="AU505" s="416">
        <v>0</v>
      </c>
      <c r="AV505" s="416">
        <v>0</v>
      </c>
      <c r="AW505" s="416">
        <v>0</v>
      </c>
      <c r="AX505" s="416">
        <v>0</v>
      </c>
      <c r="AY505" s="416">
        <v>0</v>
      </c>
      <c r="AZ505" s="416">
        <v>0</v>
      </c>
    </row>
    <row r="506" spans="1:52" s="411" customFormat="1" x14ac:dyDescent="0.3">
      <c r="A506" s="415" t="str">
        <f t="shared" si="7"/>
        <v>SA-533 Gr.A</v>
      </c>
      <c r="B506" s="415">
        <v>500</v>
      </c>
      <c r="C506" s="415" t="s">
        <v>3087</v>
      </c>
      <c r="D506" s="415" t="s">
        <v>2684</v>
      </c>
      <c r="E506" s="415" t="s">
        <v>2177</v>
      </c>
      <c r="F506" s="415" t="s">
        <v>12</v>
      </c>
      <c r="G506" s="415" t="s">
        <v>3091</v>
      </c>
      <c r="H506" s="415">
        <v>3</v>
      </c>
      <c r="I506" s="415">
        <v>0</v>
      </c>
      <c r="J506" s="415" t="s">
        <v>3093</v>
      </c>
      <c r="K506" s="415">
        <v>4</v>
      </c>
      <c r="L506" s="415">
        <v>690</v>
      </c>
      <c r="M506" s="415">
        <v>570</v>
      </c>
      <c r="N506" s="415" t="s">
        <v>2675</v>
      </c>
      <c r="O506" s="415">
        <v>371</v>
      </c>
      <c r="P506" s="415" t="s">
        <v>2675</v>
      </c>
      <c r="Q506" s="415" t="s">
        <v>2675</v>
      </c>
      <c r="R506" s="415" t="s">
        <v>2838</v>
      </c>
      <c r="S506" s="415">
        <v>0</v>
      </c>
      <c r="T506" s="416">
        <v>197</v>
      </c>
      <c r="U506" s="416">
        <v>197</v>
      </c>
      <c r="V506" s="416">
        <v>197</v>
      </c>
      <c r="W506" s="416">
        <v>197</v>
      </c>
      <c r="X506" s="416">
        <v>197</v>
      </c>
      <c r="Y506" s="416">
        <v>197</v>
      </c>
      <c r="Z506" s="416">
        <v>197</v>
      </c>
      <c r="AA506" s="416">
        <v>197</v>
      </c>
      <c r="AB506" s="416">
        <v>197</v>
      </c>
      <c r="AC506" s="416">
        <v>197</v>
      </c>
      <c r="AD506" s="416">
        <v>197</v>
      </c>
      <c r="AE506" s="416">
        <v>197</v>
      </c>
      <c r="AF506" s="416">
        <v>0</v>
      </c>
      <c r="AG506" s="416">
        <v>0</v>
      </c>
      <c r="AH506" s="416">
        <v>0</v>
      </c>
      <c r="AI506" s="416">
        <v>0</v>
      </c>
      <c r="AJ506" s="416">
        <v>0</v>
      </c>
      <c r="AK506" s="416">
        <v>0</v>
      </c>
      <c r="AL506" s="416">
        <v>0</v>
      </c>
      <c r="AM506" s="416">
        <v>0</v>
      </c>
      <c r="AN506" s="416">
        <v>0</v>
      </c>
      <c r="AO506" s="416">
        <v>0</v>
      </c>
      <c r="AP506" s="416">
        <v>0</v>
      </c>
      <c r="AQ506" s="416">
        <v>0</v>
      </c>
      <c r="AR506" s="416">
        <v>0</v>
      </c>
      <c r="AS506" s="416">
        <v>0</v>
      </c>
      <c r="AT506" s="416">
        <v>0</v>
      </c>
      <c r="AU506" s="416">
        <v>0</v>
      </c>
      <c r="AV506" s="416">
        <v>0</v>
      </c>
      <c r="AW506" s="416">
        <v>0</v>
      </c>
      <c r="AX506" s="416">
        <v>0</v>
      </c>
      <c r="AY506" s="416">
        <v>0</v>
      </c>
      <c r="AZ506" s="416">
        <v>0</v>
      </c>
    </row>
    <row r="507" spans="1:52" s="411" customFormat="1" x14ac:dyDescent="0.3">
      <c r="A507" s="415" t="str">
        <f t="shared" si="7"/>
        <v>SA-533 Gr.D</v>
      </c>
      <c r="B507" s="415">
        <v>501</v>
      </c>
      <c r="C507" s="415" t="s">
        <v>3094</v>
      </c>
      <c r="D507" s="415" t="s">
        <v>2684</v>
      </c>
      <c r="E507" s="415" t="s">
        <v>2177</v>
      </c>
      <c r="F507" s="415" t="s">
        <v>2414</v>
      </c>
      <c r="G507" s="415" t="s">
        <v>3095</v>
      </c>
      <c r="H507" s="415">
        <v>1</v>
      </c>
      <c r="I507" s="415">
        <v>0</v>
      </c>
      <c r="J507" s="415">
        <v>3</v>
      </c>
      <c r="K507" s="415">
        <v>3</v>
      </c>
      <c r="L507" s="415">
        <v>550</v>
      </c>
      <c r="M507" s="415">
        <v>345</v>
      </c>
      <c r="N507" s="415" t="s">
        <v>2675</v>
      </c>
      <c r="O507" s="415">
        <v>371</v>
      </c>
      <c r="P507" s="415" t="s">
        <v>2675</v>
      </c>
      <c r="Q507" s="415" t="s">
        <v>2675</v>
      </c>
      <c r="R507" s="415" t="s">
        <v>2838</v>
      </c>
      <c r="S507" s="415">
        <v>0</v>
      </c>
      <c r="T507" s="416">
        <v>158</v>
      </c>
      <c r="U507" s="416">
        <v>158</v>
      </c>
      <c r="V507" s="416">
        <v>158</v>
      </c>
      <c r="W507" s="416">
        <v>158</v>
      </c>
      <c r="X507" s="416">
        <v>158</v>
      </c>
      <c r="Y507" s="416">
        <v>158</v>
      </c>
      <c r="Z507" s="416">
        <v>158</v>
      </c>
      <c r="AA507" s="416">
        <v>158</v>
      </c>
      <c r="AB507" s="416">
        <v>158</v>
      </c>
      <c r="AC507" s="416">
        <v>158</v>
      </c>
      <c r="AD507" s="416">
        <v>158</v>
      </c>
      <c r="AE507" s="416">
        <v>158</v>
      </c>
      <c r="AF507" s="416">
        <v>0</v>
      </c>
      <c r="AG507" s="416">
        <v>0</v>
      </c>
      <c r="AH507" s="416">
        <v>0</v>
      </c>
      <c r="AI507" s="416">
        <v>0</v>
      </c>
      <c r="AJ507" s="416">
        <v>0</v>
      </c>
      <c r="AK507" s="416">
        <v>0</v>
      </c>
      <c r="AL507" s="416">
        <v>0</v>
      </c>
      <c r="AM507" s="416">
        <v>0</v>
      </c>
      <c r="AN507" s="416">
        <v>0</v>
      </c>
      <c r="AO507" s="416">
        <v>0</v>
      </c>
      <c r="AP507" s="416">
        <v>0</v>
      </c>
      <c r="AQ507" s="416">
        <v>0</v>
      </c>
      <c r="AR507" s="416">
        <v>0</v>
      </c>
      <c r="AS507" s="416">
        <v>0</v>
      </c>
      <c r="AT507" s="416">
        <v>0</v>
      </c>
      <c r="AU507" s="416">
        <v>0</v>
      </c>
      <c r="AV507" s="416">
        <v>0</v>
      </c>
      <c r="AW507" s="416">
        <v>0</v>
      </c>
      <c r="AX507" s="416">
        <v>0</v>
      </c>
      <c r="AY507" s="416">
        <v>0</v>
      </c>
      <c r="AZ507" s="416">
        <v>0</v>
      </c>
    </row>
    <row r="508" spans="1:52" s="411" customFormat="1" x14ac:dyDescent="0.3">
      <c r="A508" s="415" t="str">
        <f t="shared" si="7"/>
        <v>SA-533 Gr.D</v>
      </c>
      <c r="B508" s="415">
        <v>502</v>
      </c>
      <c r="C508" s="415" t="s">
        <v>3094</v>
      </c>
      <c r="D508" s="415" t="s">
        <v>2684</v>
      </c>
      <c r="E508" s="415" t="s">
        <v>2177</v>
      </c>
      <c r="F508" s="415" t="s">
        <v>2414</v>
      </c>
      <c r="G508" s="415" t="s">
        <v>3095</v>
      </c>
      <c r="H508" s="415">
        <v>2</v>
      </c>
      <c r="I508" s="415">
        <v>0</v>
      </c>
      <c r="J508" s="415">
        <v>3</v>
      </c>
      <c r="K508" s="415">
        <v>3</v>
      </c>
      <c r="L508" s="415">
        <v>620</v>
      </c>
      <c r="M508" s="415">
        <v>485</v>
      </c>
      <c r="N508" s="415" t="s">
        <v>2675</v>
      </c>
      <c r="O508" s="415">
        <v>371</v>
      </c>
      <c r="P508" s="415">
        <v>427</v>
      </c>
      <c r="Q508" s="415" t="s">
        <v>2675</v>
      </c>
      <c r="R508" s="415" t="s">
        <v>2838</v>
      </c>
      <c r="S508" s="415">
        <v>0</v>
      </c>
      <c r="T508" s="416">
        <v>177</v>
      </c>
      <c r="U508" s="416">
        <v>177</v>
      </c>
      <c r="V508" s="416">
        <v>177</v>
      </c>
      <c r="W508" s="416">
        <v>177</v>
      </c>
      <c r="X508" s="416">
        <v>177</v>
      </c>
      <c r="Y508" s="416">
        <v>177</v>
      </c>
      <c r="Z508" s="416">
        <v>177</v>
      </c>
      <c r="AA508" s="416">
        <v>177</v>
      </c>
      <c r="AB508" s="416">
        <v>177</v>
      </c>
      <c r="AC508" s="416">
        <v>177</v>
      </c>
      <c r="AD508" s="416">
        <v>177</v>
      </c>
      <c r="AE508" s="416">
        <v>177</v>
      </c>
      <c r="AF508" s="416">
        <v>177</v>
      </c>
      <c r="AG508" s="416">
        <v>177</v>
      </c>
      <c r="AH508" s="416">
        <v>177</v>
      </c>
      <c r="AI508" s="416">
        <v>0</v>
      </c>
      <c r="AJ508" s="416">
        <v>0</v>
      </c>
      <c r="AK508" s="416">
        <v>0</v>
      </c>
      <c r="AL508" s="416">
        <v>0</v>
      </c>
      <c r="AM508" s="416">
        <v>0</v>
      </c>
      <c r="AN508" s="416">
        <v>0</v>
      </c>
      <c r="AO508" s="416">
        <v>0</v>
      </c>
      <c r="AP508" s="416">
        <v>0</v>
      </c>
      <c r="AQ508" s="416">
        <v>0</v>
      </c>
      <c r="AR508" s="416">
        <v>0</v>
      </c>
      <c r="AS508" s="416">
        <v>0</v>
      </c>
      <c r="AT508" s="416">
        <v>0</v>
      </c>
      <c r="AU508" s="416">
        <v>0</v>
      </c>
      <c r="AV508" s="416">
        <v>0</v>
      </c>
      <c r="AW508" s="416">
        <v>0</v>
      </c>
      <c r="AX508" s="416">
        <v>0</v>
      </c>
      <c r="AY508" s="416">
        <v>0</v>
      </c>
      <c r="AZ508" s="416">
        <v>0</v>
      </c>
    </row>
    <row r="509" spans="1:52" s="411" customFormat="1" x14ac:dyDescent="0.3">
      <c r="A509" s="415" t="str">
        <f t="shared" si="7"/>
        <v>SA-533 Gr.D</v>
      </c>
      <c r="B509" s="415">
        <v>503</v>
      </c>
      <c r="C509" s="415" t="s">
        <v>3094</v>
      </c>
      <c r="D509" s="415" t="s">
        <v>2684</v>
      </c>
      <c r="E509" s="415" t="s">
        <v>2177</v>
      </c>
      <c r="F509" s="415" t="s">
        <v>2414</v>
      </c>
      <c r="G509" s="415" t="s">
        <v>3095</v>
      </c>
      <c r="H509" s="415">
        <v>3</v>
      </c>
      <c r="I509" s="415">
        <v>0</v>
      </c>
      <c r="J509" s="415" t="s">
        <v>3093</v>
      </c>
      <c r="K509" s="415">
        <v>4</v>
      </c>
      <c r="L509" s="415">
        <v>690</v>
      </c>
      <c r="M509" s="415">
        <v>570</v>
      </c>
      <c r="N509" s="415" t="s">
        <v>2675</v>
      </c>
      <c r="O509" s="415">
        <v>371</v>
      </c>
      <c r="P509" s="415">
        <v>399</v>
      </c>
      <c r="Q509" s="415">
        <v>343</v>
      </c>
      <c r="R509" s="415" t="s">
        <v>2838</v>
      </c>
      <c r="S509" s="415">
        <v>0</v>
      </c>
      <c r="T509" s="416">
        <v>197</v>
      </c>
      <c r="U509" s="416">
        <v>197</v>
      </c>
      <c r="V509" s="416">
        <v>197</v>
      </c>
      <c r="W509" s="416">
        <v>197</v>
      </c>
      <c r="X509" s="416">
        <v>197</v>
      </c>
      <c r="Y509" s="416">
        <v>197</v>
      </c>
      <c r="Z509" s="416">
        <v>197</v>
      </c>
      <c r="AA509" s="416">
        <v>197</v>
      </c>
      <c r="AB509" s="416">
        <v>197</v>
      </c>
      <c r="AC509" s="416">
        <v>197</v>
      </c>
      <c r="AD509" s="416">
        <v>197</v>
      </c>
      <c r="AE509" s="416">
        <v>197</v>
      </c>
      <c r="AF509" s="416">
        <v>197</v>
      </c>
      <c r="AG509" s="416">
        <v>0</v>
      </c>
      <c r="AH509" s="416">
        <v>0</v>
      </c>
      <c r="AI509" s="416">
        <v>0</v>
      </c>
      <c r="AJ509" s="416">
        <v>0</v>
      </c>
      <c r="AK509" s="416">
        <v>0</v>
      </c>
      <c r="AL509" s="416">
        <v>0</v>
      </c>
      <c r="AM509" s="416">
        <v>0</v>
      </c>
      <c r="AN509" s="416">
        <v>0</v>
      </c>
      <c r="AO509" s="416">
        <v>0</v>
      </c>
      <c r="AP509" s="416">
        <v>0</v>
      </c>
      <c r="AQ509" s="416">
        <v>0</v>
      </c>
      <c r="AR509" s="416">
        <v>0</v>
      </c>
      <c r="AS509" s="416">
        <v>0</v>
      </c>
      <c r="AT509" s="416">
        <v>0</v>
      </c>
      <c r="AU509" s="416">
        <v>0</v>
      </c>
      <c r="AV509" s="416">
        <v>0</v>
      </c>
      <c r="AW509" s="416">
        <v>0</v>
      </c>
      <c r="AX509" s="416">
        <v>0</v>
      </c>
      <c r="AY509" s="416">
        <v>0</v>
      </c>
      <c r="AZ509" s="416">
        <v>0</v>
      </c>
    </row>
    <row r="510" spans="1:52" s="411" customFormat="1" x14ac:dyDescent="0.3">
      <c r="A510" s="415" t="str">
        <f t="shared" si="7"/>
        <v>SA-302 Gr.C</v>
      </c>
      <c r="B510" s="415">
        <v>504</v>
      </c>
      <c r="C510" s="415" t="s">
        <v>3096</v>
      </c>
      <c r="D510" s="415" t="s">
        <v>2684</v>
      </c>
      <c r="E510" s="415" t="s">
        <v>2207</v>
      </c>
      <c r="F510" s="415" t="s">
        <v>2348</v>
      </c>
      <c r="G510" s="415" t="s">
        <v>3097</v>
      </c>
      <c r="H510" s="415">
        <v>0</v>
      </c>
      <c r="I510" s="415">
        <v>0</v>
      </c>
      <c r="J510" s="415">
        <v>3</v>
      </c>
      <c r="K510" s="415">
        <v>3</v>
      </c>
      <c r="L510" s="415">
        <v>550</v>
      </c>
      <c r="M510" s="415">
        <v>345</v>
      </c>
      <c r="N510" s="415">
        <v>538</v>
      </c>
      <c r="O510" s="415">
        <v>371</v>
      </c>
      <c r="P510" s="415">
        <v>538</v>
      </c>
      <c r="Q510" s="415">
        <v>343</v>
      </c>
      <c r="R510" s="415" t="s">
        <v>2819</v>
      </c>
      <c r="S510" s="415" t="s">
        <v>3089</v>
      </c>
      <c r="T510" s="416">
        <v>158</v>
      </c>
      <c r="U510" s="416">
        <v>158</v>
      </c>
      <c r="V510" s="416">
        <v>158</v>
      </c>
      <c r="W510" s="416">
        <v>158</v>
      </c>
      <c r="X510" s="416">
        <v>158</v>
      </c>
      <c r="Y510" s="416">
        <v>158</v>
      </c>
      <c r="Z510" s="416">
        <v>158</v>
      </c>
      <c r="AA510" s="416">
        <v>158</v>
      </c>
      <c r="AB510" s="416">
        <v>158</v>
      </c>
      <c r="AC510" s="416">
        <v>158</v>
      </c>
      <c r="AD510" s="416">
        <v>158</v>
      </c>
      <c r="AE510" s="416">
        <v>158</v>
      </c>
      <c r="AF510" s="416">
        <v>158</v>
      </c>
      <c r="AG510" s="416">
        <v>158</v>
      </c>
      <c r="AH510" s="416">
        <v>143</v>
      </c>
      <c r="AI510" s="416">
        <v>106</v>
      </c>
      <c r="AJ510" s="416">
        <v>68.400000000000006</v>
      </c>
      <c r="AK510" s="416">
        <v>43</v>
      </c>
      <c r="AL510" s="416">
        <v>23.1</v>
      </c>
      <c r="AM510" s="416">
        <v>0</v>
      </c>
      <c r="AN510" s="416">
        <v>0</v>
      </c>
      <c r="AO510" s="416">
        <v>0</v>
      </c>
      <c r="AP510" s="416">
        <v>0</v>
      </c>
      <c r="AQ510" s="416">
        <v>0</v>
      </c>
      <c r="AR510" s="416">
        <v>0</v>
      </c>
      <c r="AS510" s="416">
        <v>0</v>
      </c>
      <c r="AT510" s="416">
        <v>0</v>
      </c>
      <c r="AU510" s="416">
        <v>0</v>
      </c>
      <c r="AV510" s="416">
        <v>0</v>
      </c>
      <c r="AW510" s="416">
        <v>0</v>
      </c>
      <c r="AX510" s="416">
        <v>0</v>
      </c>
      <c r="AY510" s="416">
        <v>0</v>
      </c>
      <c r="AZ510" s="416">
        <v>0</v>
      </c>
    </row>
    <row r="511" spans="1:52" s="411" customFormat="1" x14ac:dyDescent="0.3">
      <c r="A511" s="415" t="str">
        <f t="shared" si="7"/>
        <v>SA-533 Gr.B</v>
      </c>
      <c r="B511" s="415">
        <v>505</v>
      </c>
      <c r="C511" s="415" t="s">
        <v>3096</v>
      </c>
      <c r="D511" s="415" t="s">
        <v>2684</v>
      </c>
      <c r="E511" s="415" t="s">
        <v>2177</v>
      </c>
      <c r="F511" s="415" t="s">
        <v>1864</v>
      </c>
      <c r="G511" s="415" t="s">
        <v>3098</v>
      </c>
      <c r="H511" s="415">
        <v>1</v>
      </c>
      <c r="I511" s="415">
        <v>0</v>
      </c>
      <c r="J511" s="415">
        <v>3</v>
      </c>
      <c r="K511" s="415">
        <v>3</v>
      </c>
      <c r="L511" s="415">
        <v>550</v>
      </c>
      <c r="M511" s="415">
        <v>345</v>
      </c>
      <c r="N511" s="415" t="s">
        <v>2675</v>
      </c>
      <c r="O511" s="415">
        <v>371</v>
      </c>
      <c r="P511" s="415">
        <v>427</v>
      </c>
      <c r="Q511" s="415" t="s">
        <v>2675</v>
      </c>
      <c r="R511" s="415" t="s">
        <v>2838</v>
      </c>
      <c r="S511" s="415" t="s">
        <v>3099</v>
      </c>
      <c r="T511" s="416">
        <v>158</v>
      </c>
      <c r="U511" s="416">
        <v>158</v>
      </c>
      <c r="V511" s="416">
        <v>158</v>
      </c>
      <c r="W511" s="416">
        <v>158</v>
      </c>
      <c r="X511" s="416">
        <v>158</v>
      </c>
      <c r="Y511" s="416">
        <v>158</v>
      </c>
      <c r="Z511" s="416">
        <v>158</v>
      </c>
      <c r="AA511" s="416">
        <v>158</v>
      </c>
      <c r="AB511" s="416">
        <v>158</v>
      </c>
      <c r="AC511" s="416">
        <v>158</v>
      </c>
      <c r="AD511" s="416">
        <v>158</v>
      </c>
      <c r="AE511" s="416">
        <v>158</v>
      </c>
      <c r="AF511" s="416">
        <v>158</v>
      </c>
      <c r="AG511" s="416">
        <v>158</v>
      </c>
      <c r="AH511" s="416">
        <v>158</v>
      </c>
      <c r="AI511" s="416">
        <v>0</v>
      </c>
      <c r="AJ511" s="416">
        <v>0</v>
      </c>
      <c r="AK511" s="416">
        <v>0</v>
      </c>
      <c r="AL511" s="416">
        <v>0</v>
      </c>
      <c r="AM511" s="416">
        <v>0</v>
      </c>
      <c r="AN511" s="416">
        <v>0</v>
      </c>
      <c r="AO511" s="416">
        <v>0</v>
      </c>
      <c r="AP511" s="416">
        <v>0</v>
      </c>
      <c r="AQ511" s="416">
        <v>0</v>
      </c>
      <c r="AR511" s="416">
        <v>0</v>
      </c>
      <c r="AS511" s="416">
        <v>0</v>
      </c>
      <c r="AT511" s="416">
        <v>0</v>
      </c>
      <c r="AU511" s="416">
        <v>0</v>
      </c>
      <c r="AV511" s="416">
        <v>0</v>
      </c>
      <c r="AW511" s="416">
        <v>0</v>
      </c>
      <c r="AX511" s="416">
        <v>0</v>
      </c>
      <c r="AY511" s="416">
        <v>0</v>
      </c>
      <c r="AZ511" s="416">
        <v>0</v>
      </c>
    </row>
    <row r="512" spans="1:52" s="411" customFormat="1" x14ac:dyDescent="0.3">
      <c r="A512" s="415" t="str">
        <f t="shared" si="7"/>
        <v>SA-672 Gr.H80</v>
      </c>
      <c r="B512" s="415">
        <v>506</v>
      </c>
      <c r="C512" s="415" t="s">
        <v>3096</v>
      </c>
      <c r="D512" s="415" t="s">
        <v>2680</v>
      </c>
      <c r="E512" s="415" t="s">
        <v>2297</v>
      </c>
      <c r="F512" s="415" t="s">
        <v>2482</v>
      </c>
      <c r="G512" s="415" t="s">
        <v>3097</v>
      </c>
      <c r="H512" s="415">
        <v>0</v>
      </c>
      <c r="I512" s="415">
        <v>0</v>
      </c>
      <c r="J512" s="415">
        <v>3</v>
      </c>
      <c r="K512" s="415">
        <v>3</v>
      </c>
      <c r="L512" s="415">
        <v>550</v>
      </c>
      <c r="M512" s="415">
        <v>345</v>
      </c>
      <c r="N512" s="415" t="s">
        <v>2675</v>
      </c>
      <c r="O512" s="415">
        <v>371</v>
      </c>
      <c r="P512" s="415" t="s">
        <v>2675</v>
      </c>
      <c r="Q512" s="415" t="s">
        <v>2675</v>
      </c>
      <c r="R512" s="415" t="s">
        <v>2819</v>
      </c>
      <c r="S512" s="415" t="s">
        <v>2882</v>
      </c>
      <c r="T512" s="416">
        <v>158</v>
      </c>
      <c r="U512" s="416">
        <v>158</v>
      </c>
      <c r="V512" s="416">
        <v>158</v>
      </c>
      <c r="W512" s="416">
        <v>158</v>
      </c>
      <c r="X512" s="416">
        <v>158</v>
      </c>
      <c r="Y512" s="416">
        <v>158</v>
      </c>
      <c r="Z512" s="416">
        <v>158</v>
      </c>
      <c r="AA512" s="416">
        <v>158</v>
      </c>
      <c r="AB512" s="416">
        <v>158</v>
      </c>
      <c r="AC512" s="416">
        <v>158</v>
      </c>
      <c r="AD512" s="416">
        <v>158</v>
      </c>
      <c r="AE512" s="416">
        <v>158</v>
      </c>
      <c r="AF512" s="416">
        <v>0</v>
      </c>
      <c r="AG512" s="416">
        <v>0</v>
      </c>
      <c r="AH512" s="416">
        <v>0</v>
      </c>
      <c r="AI512" s="416">
        <v>0</v>
      </c>
      <c r="AJ512" s="416">
        <v>0</v>
      </c>
      <c r="AK512" s="416">
        <v>0</v>
      </c>
      <c r="AL512" s="416">
        <v>0</v>
      </c>
      <c r="AM512" s="416">
        <v>0</v>
      </c>
      <c r="AN512" s="416">
        <v>0</v>
      </c>
      <c r="AO512" s="416">
        <v>0</v>
      </c>
      <c r="AP512" s="416">
        <v>0</v>
      </c>
      <c r="AQ512" s="416">
        <v>0</v>
      </c>
      <c r="AR512" s="416">
        <v>0</v>
      </c>
      <c r="AS512" s="416">
        <v>0</v>
      </c>
      <c r="AT512" s="416">
        <v>0</v>
      </c>
      <c r="AU512" s="416">
        <v>0</v>
      </c>
      <c r="AV512" s="416">
        <v>0</v>
      </c>
      <c r="AW512" s="416">
        <v>0</v>
      </c>
      <c r="AX512" s="416">
        <v>0</v>
      </c>
      <c r="AY512" s="416">
        <v>0</v>
      </c>
      <c r="AZ512" s="416">
        <v>0</v>
      </c>
    </row>
    <row r="513" spans="1:52" s="411" customFormat="1" x14ac:dyDescent="0.3">
      <c r="A513" s="415" t="str">
        <f t="shared" si="7"/>
        <v>SA-672 Gr.J80</v>
      </c>
      <c r="B513" s="415">
        <v>507</v>
      </c>
      <c r="C513" s="415" t="s">
        <v>3096</v>
      </c>
      <c r="D513" s="415" t="s">
        <v>2680</v>
      </c>
      <c r="E513" s="415" t="s">
        <v>2297</v>
      </c>
      <c r="F513" s="415" t="s">
        <v>2489</v>
      </c>
      <c r="G513" s="415" t="s">
        <v>3098</v>
      </c>
      <c r="H513" s="415">
        <v>0</v>
      </c>
      <c r="I513" s="415">
        <v>0</v>
      </c>
      <c r="J513" s="415">
        <v>3</v>
      </c>
      <c r="K513" s="415">
        <v>3</v>
      </c>
      <c r="L513" s="415">
        <v>550</v>
      </c>
      <c r="M513" s="415">
        <v>345</v>
      </c>
      <c r="N513" s="415" t="s">
        <v>2675</v>
      </c>
      <c r="O513" s="415">
        <v>371</v>
      </c>
      <c r="P513" s="415" t="s">
        <v>2675</v>
      </c>
      <c r="Q513" s="415" t="s">
        <v>2675</v>
      </c>
      <c r="R513" s="415" t="s">
        <v>2838</v>
      </c>
      <c r="S513" s="415" t="s">
        <v>2882</v>
      </c>
      <c r="T513" s="416">
        <v>158</v>
      </c>
      <c r="U513" s="416">
        <v>158</v>
      </c>
      <c r="V513" s="416">
        <v>158</v>
      </c>
      <c r="W513" s="416">
        <v>158</v>
      </c>
      <c r="X513" s="416">
        <v>158</v>
      </c>
      <c r="Y513" s="416">
        <v>158</v>
      </c>
      <c r="Z513" s="416">
        <v>158</v>
      </c>
      <c r="AA513" s="416">
        <v>158</v>
      </c>
      <c r="AB513" s="416">
        <v>158</v>
      </c>
      <c r="AC513" s="416">
        <v>158</v>
      </c>
      <c r="AD513" s="416">
        <v>158</v>
      </c>
      <c r="AE513" s="416">
        <v>158</v>
      </c>
      <c r="AF513" s="416">
        <v>0</v>
      </c>
      <c r="AG513" s="416">
        <v>0</v>
      </c>
      <c r="AH513" s="416">
        <v>0</v>
      </c>
      <c r="AI513" s="416">
        <v>0</v>
      </c>
      <c r="AJ513" s="416">
        <v>0</v>
      </c>
      <c r="AK513" s="416">
        <v>0</v>
      </c>
      <c r="AL513" s="416">
        <v>0</v>
      </c>
      <c r="AM513" s="416">
        <v>0</v>
      </c>
      <c r="AN513" s="416">
        <v>0</v>
      </c>
      <c r="AO513" s="416">
        <v>0</v>
      </c>
      <c r="AP513" s="416">
        <v>0</v>
      </c>
      <c r="AQ513" s="416">
        <v>0</v>
      </c>
      <c r="AR513" s="416">
        <v>0</v>
      </c>
      <c r="AS513" s="416">
        <v>0</v>
      </c>
      <c r="AT513" s="416">
        <v>0</v>
      </c>
      <c r="AU513" s="416">
        <v>0</v>
      </c>
      <c r="AV513" s="416">
        <v>0</v>
      </c>
      <c r="AW513" s="416">
        <v>0</v>
      </c>
      <c r="AX513" s="416">
        <v>0</v>
      </c>
      <c r="AY513" s="416">
        <v>0</v>
      </c>
      <c r="AZ513" s="416">
        <v>0</v>
      </c>
    </row>
    <row r="514" spans="1:52" s="411" customFormat="1" x14ac:dyDescent="0.3">
      <c r="A514" s="415" t="str">
        <f t="shared" si="7"/>
        <v>SA-533 Gr.B</v>
      </c>
      <c r="B514" s="415">
        <v>508</v>
      </c>
      <c r="C514" s="415" t="s">
        <v>3096</v>
      </c>
      <c r="D514" s="415" t="s">
        <v>2684</v>
      </c>
      <c r="E514" s="415" t="s">
        <v>2177</v>
      </c>
      <c r="F514" s="415" t="s">
        <v>1864</v>
      </c>
      <c r="G514" s="415" t="s">
        <v>3098</v>
      </c>
      <c r="H514" s="415">
        <v>2</v>
      </c>
      <c r="I514" s="415">
        <v>0</v>
      </c>
      <c r="J514" s="415">
        <v>3</v>
      </c>
      <c r="K514" s="415">
        <v>3</v>
      </c>
      <c r="L514" s="415">
        <v>620</v>
      </c>
      <c r="M514" s="415">
        <v>485</v>
      </c>
      <c r="N514" s="415" t="s">
        <v>2675</v>
      </c>
      <c r="O514" s="415">
        <v>371</v>
      </c>
      <c r="P514" s="415">
        <v>427</v>
      </c>
      <c r="Q514" s="415" t="s">
        <v>2675</v>
      </c>
      <c r="R514" s="415" t="s">
        <v>2838</v>
      </c>
      <c r="S514" s="415">
        <v>0</v>
      </c>
      <c r="T514" s="416">
        <v>177</v>
      </c>
      <c r="U514" s="416">
        <v>177</v>
      </c>
      <c r="V514" s="416">
        <v>177</v>
      </c>
      <c r="W514" s="416">
        <v>177</v>
      </c>
      <c r="X514" s="416">
        <v>177</v>
      </c>
      <c r="Y514" s="416">
        <v>177</v>
      </c>
      <c r="Z514" s="416">
        <v>177</v>
      </c>
      <c r="AA514" s="416">
        <v>177</v>
      </c>
      <c r="AB514" s="416">
        <v>177</v>
      </c>
      <c r="AC514" s="416">
        <v>177</v>
      </c>
      <c r="AD514" s="416">
        <v>177</v>
      </c>
      <c r="AE514" s="416">
        <v>177</v>
      </c>
      <c r="AF514" s="416">
        <v>177</v>
      </c>
      <c r="AG514" s="416">
        <v>177</v>
      </c>
      <c r="AH514" s="416">
        <v>177</v>
      </c>
      <c r="AI514" s="416">
        <v>0</v>
      </c>
      <c r="AJ514" s="416">
        <v>0</v>
      </c>
      <c r="AK514" s="416">
        <v>0</v>
      </c>
      <c r="AL514" s="416">
        <v>0</v>
      </c>
      <c r="AM514" s="416">
        <v>0</v>
      </c>
      <c r="AN514" s="416">
        <v>0</v>
      </c>
      <c r="AO514" s="416">
        <v>0</v>
      </c>
      <c r="AP514" s="416">
        <v>0</v>
      </c>
      <c r="AQ514" s="416">
        <v>0</v>
      </c>
      <c r="AR514" s="416">
        <v>0</v>
      </c>
      <c r="AS514" s="416">
        <v>0</v>
      </c>
      <c r="AT514" s="416">
        <v>0</v>
      </c>
      <c r="AU514" s="416">
        <v>0</v>
      </c>
      <c r="AV514" s="416">
        <v>0</v>
      </c>
      <c r="AW514" s="416">
        <v>0</v>
      </c>
      <c r="AX514" s="416">
        <v>0</v>
      </c>
      <c r="AY514" s="416">
        <v>0</v>
      </c>
      <c r="AZ514" s="416">
        <v>0</v>
      </c>
    </row>
    <row r="515" spans="1:52" s="411" customFormat="1" x14ac:dyDescent="0.3">
      <c r="A515" s="415" t="str">
        <f t="shared" si="7"/>
        <v>SA-672 Gr.J90</v>
      </c>
      <c r="B515" s="415">
        <v>509</v>
      </c>
      <c r="C515" s="415" t="s">
        <v>3096</v>
      </c>
      <c r="D515" s="415" t="s">
        <v>2680</v>
      </c>
      <c r="E515" s="415" t="s">
        <v>2297</v>
      </c>
      <c r="F515" s="415" t="s">
        <v>2490</v>
      </c>
      <c r="G515" s="415" t="s">
        <v>3098</v>
      </c>
      <c r="H515" s="415">
        <v>0</v>
      </c>
      <c r="I515" s="415">
        <v>0</v>
      </c>
      <c r="J515" s="415">
        <v>3</v>
      </c>
      <c r="K515" s="415">
        <v>3</v>
      </c>
      <c r="L515" s="415">
        <v>620</v>
      </c>
      <c r="M515" s="415">
        <v>485</v>
      </c>
      <c r="N515" s="415" t="s">
        <v>2675</v>
      </c>
      <c r="O515" s="415">
        <v>371</v>
      </c>
      <c r="P515" s="415" t="s">
        <v>2675</v>
      </c>
      <c r="Q515" s="415" t="s">
        <v>2675</v>
      </c>
      <c r="R515" s="415" t="s">
        <v>2838</v>
      </c>
      <c r="S515" s="415" t="s">
        <v>2882</v>
      </c>
      <c r="T515" s="416">
        <v>177</v>
      </c>
      <c r="U515" s="416">
        <v>177</v>
      </c>
      <c r="V515" s="416">
        <v>177</v>
      </c>
      <c r="W515" s="416">
        <v>177</v>
      </c>
      <c r="X515" s="416">
        <v>177</v>
      </c>
      <c r="Y515" s="416">
        <v>177</v>
      </c>
      <c r="Z515" s="416">
        <v>177</v>
      </c>
      <c r="AA515" s="416">
        <v>177</v>
      </c>
      <c r="AB515" s="416">
        <v>177</v>
      </c>
      <c r="AC515" s="416">
        <v>177</v>
      </c>
      <c r="AD515" s="416">
        <v>177</v>
      </c>
      <c r="AE515" s="416">
        <v>177</v>
      </c>
      <c r="AF515" s="416">
        <v>0</v>
      </c>
      <c r="AG515" s="416">
        <v>0</v>
      </c>
      <c r="AH515" s="416">
        <v>0</v>
      </c>
      <c r="AI515" s="416">
        <v>0</v>
      </c>
      <c r="AJ515" s="416">
        <v>0</v>
      </c>
      <c r="AK515" s="416">
        <v>0</v>
      </c>
      <c r="AL515" s="416">
        <v>0</v>
      </c>
      <c r="AM515" s="416">
        <v>0</v>
      </c>
      <c r="AN515" s="416">
        <v>0</v>
      </c>
      <c r="AO515" s="416">
        <v>0</v>
      </c>
      <c r="AP515" s="416">
        <v>0</v>
      </c>
      <c r="AQ515" s="416">
        <v>0</v>
      </c>
      <c r="AR515" s="416">
        <v>0</v>
      </c>
      <c r="AS515" s="416">
        <v>0</v>
      </c>
      <c r="AT515" s="416">
        <v>0</v>
      </c>
      <c r="AU515" s="416">
        <v>0</v>
      </c>
      <c r="AV515" s="416">
        <v>0</v>
      </c>
      <c r="AW515" s="416">
        <v>0</v>
      </c>
      <c r="AX515" s="416">
        <v>0</v>
      </c>
      <c r="AY515" s="416">
        <v>0</v>
      </c>
      <c r="AZ515" s="416">
        <v>0</v>
      </c>
    </row>
    <row r="516" spans="1:52" s="411" customFormat="1" x14ac:dyDescent="0.3">
      <c r="A516" s="415" t="str">
        <f t="shared" si="7"/>
        <v>SA-533 Gr.B</v>
      </c>
      <c r="B516" s="415">
        <v>510</v>
      </c>
      <c r="C516" s="415" t="s">
        <v>3096</v>
      </c>
      <c r="D516" s="415" t="s">
        <v>2684</v>
      </c>
      <c r="E516" s="415" t="s">
        <v>2177</v>
      </c>
      <c r="F516" s="415" t="s">
        <v>1864</v>
      </c>
      <c r="G516" s="415" t="s">
        <v>3098</v>
      </c>
      <c r="H516" s="415">
        <v>3</v>
      </c>
      <c r="I516" s="415">
        <v>0</v>
      </c>
      <c r="J516" s="415" t="s">
        <v>3093</v>
      </c>
      <c r="K516" s="415">
        <v>4</v>
      </c>
      <c r="L516" s="415">
        <v>690</v>
      </c>
      <c r="M516" s="415">
        <v>570</v>
      </c>
      <c r="N516" s="415" t="s">
        <v>2675</v>
      </c>
      <c r="O516" s="415">
        <v>371</v>
      </c>
      <c r="P516" s="415">
        <v>399</v>
      </c>
      <c r="Q516" s="415">
        <v>343</v>
      </c>
      <c r="R516" s="415" t="s">
        <v>2838</v>
      </c>
      <c r="S516" s="415">
        <v>0</v>
      </c>
      <c r="T516" s="416">
        <v>197</v>
      </c>
      <c r="U516" s="416">
        <v>197</v>
      </c>
      <c r="V516" s="416">
        <v>197</v>
      </c>
      <c r="W516" s="416">
        <v>197</v>
      </c>
      <c r="X516" s="416">
        <v>197</v>
      </c>
      <c r="Y516" s="416">
        <v>197</v>
      </c>
      <c r="Z516" s="416">
        <v>197</v>
      </c>
      <c r="AA516" s="416">
        <v>197</v>
      </c>
      <c r="AB516" s="416">
        <v>197</v>
      </c>
      <c r="AC516" s="416">
        <v>197</v>
      </c>
      <c r="AD516" s="416">
        <v>197</v>
      </c>
      <c r="AE516" s="416">
        <v>197</v>
      </c>
      <c r="AF516" s="416">
        <v>197</v>
      </c>
      <c r="AG516" s="416">
        <v>0</v>
      </c>
      <c r="AH516" s="416">
        <v>0</v>
      </c>
      <c r="AI516" s="416">
        <v>0</v>
      </c>
      <c r="AJ516" s="416">
        <v>0</v>
      </c>
      <c r="AK516" s="416">
        <v>0</v>
      </c>
      <c r="AL516" s="416">
        <v>0</v>
      </c>
      <c r="AM516" s="416">
        <v>0</v>
      </c>
      <c r="AN516" s="416">
        <v>0</v>
      </c>
      <c r="AO516" s="416">
        <v>0</v>
      </c>
      <c r="AP516" s="416">
        <v>0</v>
      </c>
      <c r="AQ516" s="416">
        <v>0</v>
      </c>
      <c r="AR516" s="416">
        <v>0</v>
      </c>
      <c r="AS516" s="416">
        <v>0</v>
      </c>
      <c r="AT516" s="416">
        <v>0</v>
      </c>
      <c r="AU516" s="416">
        <v>0</v>
      </c>
      <c r="AV516" s="416">
        <v>0</v>
      </c>
      <c r="AW516" s="416">
        <v>0</v>
      </c>
      <c r="AX516" s="416">
        <v>0</v>
      </c>
      <c r="AY516" s="416">
        <v>0</v>
      </c>
      <c r="AZ516" s="416">
        <v>0</v>
      </c>
    </row>
    <row r="517" spans="1:52" s="411" customFormat="1" x14ac:dyDescent="0.3">
      <c r="A517" s="415" t="str">
        <f t="shared" si="7"/>
        <v>SA-672 Gr.J100</v>
      </c>
      <c r="B517" s="415">
        <v>511</v>
      </c>
      <c r="C517" s="415" t="s">
        <v>3096</v>
      </c>
      <c r="D517" s="415" t="s">
        <v>2680</v>
      </c>
      <c r="E517" s="415" t="s">
        <v>2297</v>
      </c>
      <c r="F517" s="415" t="s">
        <v>2488</v>
      </c>
      <c r="G517" s="415" t="s">
        <v>3098</v>
      </c>
      <c r="H517" s="415">
        <v>0</v>
      </c>
      <c r="I517" s="415">
        <v>0</v>
      </c>
      <c r="J517" s="415" t="s">
        <v>3093</v>
      </c>
      <c r="K517" s="415">
        <v>4</v>
      </c>
      <c r="L517" s="415">
        <v>690</v>
      </c>
      <c r="M517" s="415">
        <v>570</v>
      </c>
      <c r="N517" s="415" t="s">
        <v>2675</v>
      </c>
      <c r="O517" s="415">
        <v>371</v>
      </c>
      <c r="P517" s="415" t="s">
        <v>2675</v>
      </c>
      <c r="Q517" s="415" t="s">
        <v>2675</v>
      </c>
      <c r="R517" s="415" t="s">
        <v>2838</v>
      </c>
      <c r="S517" s="415" t="s">
        <v>2882</v>
      </c>
      <c r="T517" s="416">
        <v>197</v>
      </c>
      <c r="U517" s="416">
        <v>197</v>
      </c>
      <c r="V517" s="416">
        <v>197</v>
      </c>
      <c r="W517" s="416">
        <v>197</v>
      </c>
      <c r="X517" s="416">
        <v>197</v>
      </c>
      <c r="Y517" s="416">
        <v>197</v>
      </c>
      <c r="Z517" s="416">
        <v>197</v>
      </c>
      <c r="AA517" s="416">
        <v>197</v>
      </c>
      <c r="AB517" s="416">
        <v>197</v>
      </c>
      <c r="AC517" s="416">
        <v>197</v>
      </c>
      <c r="AD517" s="416">
        <v>197</v>
      </c>
      <c r="AE517" s="416">
        <v>197</v>
      </c>
      <c r="AF517" s="416">
        <v>0</v>
      </c>
      <c r="AG517" s="416">
        <v>0</v>
      </c>
      <c r="AH517" s="416">
        <v>0</v>
      </c>
      <c r="AI517" s="416">
        <v>0</v>
      </c>
      <c r="AJ517" s="416">
        <v>0</v>
      </c>
      <c r="AK517" s="416">
        <v>0</v>
      </c>
      <c r="AL517" s="416">
        <v>0</v>
      </c>
      <c r="AM517" s="416">
        <v>0</v>
      </c>
      <c r="AN517" s="416">
        <v>0</v>
      </c>
      <c r="AO517" s="416">
        <v>0</v>
      </c>
      <c r="AP517" s="416">
        <v>0</v>
      </c>
      <c r="AQ517" s="416">
        <v>0</v>
      </c>
      <c r="AR517" s="416">
        <v>0</v>
      </c>
      <c r="AS517" s="416">
        <v>0</v>
      </c>
      <c r="AT517" s="416">
        <v>0</v>
      </c>
      <c r="AU517" s="416">
        <v>0</v>
      </c>
      <c r="AV517" s="416">
        <v>0</v>
      </c>
      <c r="AW517" s="416">
        <v>0</v>
      </c>
      <c r="AX517" s="416">
        <v>0</v>
      </c>
      <c r="AY517" s="416">
        <v>0</v>
      </c>
      <c r="AZ517" s="416">
        <v>0</v>
      </c>
    </row>
    <row r="518" spans="1:52" s="411" customFormat="1" x14ac:dyDescent="0.3">
      <c r="A518" s="415" t="str">
        <f t="shared" si="7"/>
        <v>SA-302 Gr.D</v>
      </c>
      <c r="B518" s="415">
        <v>512</v>
      </c>
      <c r="C518" s="415" t="s">
        <v>3100</v>
      </c>
      <c r="D518" s="415" t="s">
        <v>2684</v>
      </c>
      <c r="E518" s="415" t="s">
        <v>2207</v>
      </c>
      <c r="F518" s="415" t="s">
        <v>2414</v>
      </c>
      <c r="G518" s="415" t="s">
        <v>3101</v>
      </c>
      <c r="H518" s="415">
        <v>0</v>
      </c>
      <c r="I518" s="415">
        <v>0</v>
      </c>
      <c r="J518" s="415">
        <v>3</v>
      </c>
      <c r="K518" s="415">
        <v>3</v>
      </c>
      <c r="L518" s="415">
        <v>550</v>
      </c>
      <c r="M518" s="415">
        <v>345</v>
      </c>
      <c r="N518" s="415">
        <v>538</v>
      </c>
      <c r="O518" s="415">
        <v>371</v>
      </c>
      <c r="P518" s="415">
        <v>538</v>
      </c>
      <c r="Q518" s="415">
        <v>343</v>
      </c>
      <c r="R518" s="415" t="s">
        <v>2819</v>
      </c>
      <c r="S518" s="415" t="s">
        <v>3089</v>
      </c>
      <c r="T518" s="416">
        <v>158</v>
      </c>
      <c r="U518" s="416">
        <v>158</v>
      </c>
      <c r="V518" s="416">
        <v>158</v>
      </c>
      <c r="W518" s="416">
        <v>158</v>
      </c>
      <c r="X518" s="416">
        <v>158</v>
      </c>
      <c r="Y518" s="416">
        <v>158</v>
      </c>
      <c r="Z518" s="416">
        <v>158</v>
      </c>
      <c r="AA518" s="416">
        <v>158</v>
      </c>
      <c r="AB518" s="416">
        <v>158</v>
      </c>
      <c r="AC518" s="416">
        <v>158</v>
      </c>
      <c r="AD518" s="416">
        <v>158</v>
      </c>
      <c r="AE518" s="416">
        <v>158</v>
      </c>
      <c r="AF518" s="416">
        <v>158</v>
      </c>
      <c r="AG518" s="416">
        <v>158</v>
      </c>
      <c r="AH518" s="416">
        <v>143</v>
      </c>
      <c r="AI518" s="416">
        <v>106</v>
      </c>
      <c r="AJ518" s="416">
        <v>68.400000000000006</v>
      </c>
      <c r="AK518" s="416">
        <v>43</v>
      </c>
      <c r="AL518" s="416">
        <v>23.1</v>
      </c>
      <c r="AM518" s="416">
        <v>0</v>
      </c>
      <c r="AN518" s="416">
        <v>0</v>
      </c>
      <c r="AO518" s="416">
        <v>0</v>
      </c>
      <c r="AP518" s="416">
        <v>0</v>
      </c>
      <c r="AQ518" s="416">
        <v>0</v>
      </c>
      <c r="AR518" s="416">
        <v>0</v>
      </c>
      <c r="AS518" s="416">
        <v>0</v>
      </c>
      <c r="AT518" s="416">
        <v>0</v>
      </c>
      <c r="AU518" s="416">
        <v>0</v>
      </c>
      <c r="AV518" s="416">
        <v>0</v>
      </c>
      <c r="AW518" s="416">
        <v>0</v>
      </c>
      <c r="AX518" s="416">
        <v>0</v>
      </c>
      <c r="AY518" s="416">
        <v>0</v>
      </c>
      <c r="AZ518" s="416">
        <v>0</v>
      </c>
    </row>
    <row r="519" spans="1:52" s="411" customFormat="1" x14ac:dyDescent="0.3">
      <c r="A519" s="415" t="str">
        <f t="shared" si="7"/>
        <v>SA-533 Gr.C</v>
      </c>
      <c r="B519" s="415">
        <v>513</v>
      </c>
      <c r="C519" s="415" t="s">
        <v>3100</v>
      </c>
      <c r="D519" s="415" t="s">
        <v>2684</v>
      </c>
      <c r="E519" s="415" t="s">
        <v>2177</v>
      </c>
      <c r="F519" s="415" t="s">
        <v>2348</v>
      </c>
      <c r="G519" s="415" t="s">
        <v>3102</v>
      </c>
      <c r="H519" s="415">
        <v>1</v>
      </c>
      <c r="I519" s="415">
        <v>0</v>
      </c>
      <c r="J519" s="415">
        <v>3</v>
      </c>
      <c r="K519" s="415">
        <v>3</v>
      </c>
      <c r="L519" s="415">
        <v>550</v>
      </c>
      <c r="M519" s="415">
        <v>345</v>
      </c>
      <c r="N519" s="415" t="s">
        <v>2675</v>
      </c>
      <c r="O519" s="415">
        <v>371</v>
      </c>
      <c r="P519" s="415">
        <v>427</v>
      </c>
      <c r="Q519" s="415" t="s">
        <v>2675</v>
      </c>
      <c r="R519" s="415" t="s">
        <v>2838</v>
      </c>
      <c r="S519" s="415" t="s">
        <v>3099</v>
      </c>
      <c r="T519" s="416">
        <v>158</v>
      </c>
      <c r="U519" s="416">
        <v>158</v>
      </c>
      <c r="V519" s="416">
        <v>158</v>
      </c>
      <c r="W519" s="416">
        <v>158</v>
      </c>
      <c r="X519" s="416">
        <v>158</v>
      </c>
      <c r="Y519" s="416">
        <v>158</v>
      </c>
      <c r="Z519" s="416">
        <v>158</v>
      </c>
      <c r="AA519" s="416">
        <v>158</v>
      </c>
      <c r="AB519" s="416">
        <v>158</v>
      </c>
      <c r="AC519" s="416">
        <v>158</v>
      </c>
      <c r="AD519" s="416">
        <v>158</v>
      </c>
      <c r="AE519" s="416">
        <v>158</v>
      </c>
      <c r="AF519" s="416">
        <v>158</v>
      </c>
      <c r="AG519" s="416">
        <v>158</v>
      </c>
      <c r="AH519" s="416">
        <v>158</v>
      </c>
      <c r="AI519" s="416">
        <v>0</v>
      </c>
      <c r="AJ519" s="416">
        <v>0</v>
      </c>
      <c r="AK519" s="416">
        <v>0</v>
      </c>
      <c r="AL519" s="416">
        <v>0</v>
      </c>
      <c r="AM519" s="416">
        <v>0</v>
      </c>
      <c r="AN519" s="416">
        <v>0</v>
      </c>
      <c r="AO519" s="416">
        <v>0</v>
      </c>
      <c r="AP519" s="416">
        <v>0</v>
      </c>
      <c r="AQ519" s="416">
        <v>0</v>
      </c>
      <c r="AR519" s="416">
        <v>0</v>
      </c>
      <c r="AS519" s="416">
        <v>0</v>
      </c>
      <c r="AT519" s="416">
        <v>0</v>
      </c>
      <c r="AU519" s="416">
        <v>0</v>
      </c>
      <c r="AV519" s="416">
        <v>0</v>
      </c>
      <c r="AW519" s="416">
        <v>0</v>
      </c>
      <c r="AX519" s="416">
        <v>0</v>
      </c>
      <c r="AY519" s="416">
        <v>0</v>
      </c>
      <c r="AZ519" s="416">
        <v>0</v>
      </c>
    </row>
    <row r="520" spans="1:52" s="411" customFormat="1" x14ac:dyDescent="0.3">
      <c r="A520" s="415" t="str">
        <f t="shared" ref="A520:A583" si="8">CONCATENATE(E520," Gr.",F520)</f>
        <v>SA-533 Gr.C</v>
      </c>
      <c r="B520" s="415">
        <v>514</v>
      </c>
      <c r="C520" s="415" t="s">
        <v>3100</v>
      </c>
      <c r="D520" s="415" t="s">
        <v>2684</v>
      </c>
      <c r="E520" s="415" t="s">
        <v>2177</v>
      </c>
      <c r="F520" s="415" t="s">
        <v>2348</v>
      </c>
      <c r="G520" s="415" t="s">
        <v>3102</v>
      </c>
      <c r="H520" s="415">
        <v>2</v>
      </c>
      <c r="I520" s="415">
        <v>0</v>
      </c>
      <c r="J520" s="415">
        <v>3</v>
      </c>
      <c r="K520" s="415">
        <v>3</v>
      </c>
      <c r="L520" s="415">
        <v>620</v>
      </c>
      <c r="M520" s="415">
        <v>485</v>
      </c>
      <c r="N520" s="415" t="s">
        <v>2675</v>
      </c>
      <c r="O520" s="415">
        <v>371</v>
      </c>
      <c r="P520" s="415">
        <v>427</v>
      </c>
      <c r="Q520" s="415" t="s">
        <v>2675</v>
      </c>
      <c r="R520" s="415" t="s">
        <v>2838</v>
      </c>
      <c r="S520" s="415">
        <v>0</v>
      </c>
      <c r="T520" s="416">
        <v>177</v>
      </c>
      <c r="U520" s="416">
        <v>177</v>
      </c>
      <c r="V520" s="416">
        <v>177</v>
      </c>
      <c r="W520" s="416">
        <v>177</v>
      </c>
      <c r="X520" s="416">
        <v>177</v>
      </c>
      <c r="Y520" s="416">
        <v>177</v>
      </c>
      <c r="Z520" s="416">
        <v>177</v>
      </c>
      <c r="AA520" s="416">
        <v>177</v>
      </c>
      <c r="AB520" s="416">
        <v>177</v>
      </c>
      <c r="AC520" s="416">
        <v>177</v>
      </c>
      <c r="AD520" s="416">
        <v>177</v>
      </c>
      <c r="AE520" s="416">
        <v>177</v>
      </c>
      <c r="AF520" s="416">
        <v>177</v>
      </c>
      <c r="AG520" s="416">
        <v>177</v>
      </c>
      <c r="AH520" s="416">
        <v>177</v>
      </c>
      <c r="AI520" s="416">
        <v>0</v>
      </c>
      <c r="AJ520" s="416">
        <v>0</v>
      </c>
      <c r="AK520" s="416">
        <v>0</v>
      </c>
      <c r="AL520" s="416">
        <v>0</v>
      </c>
      <c r="AM520" s="416">
        <v>0</v>
      </c>
      <c r="AN520" s="416">
        <v>0</v>
      </c>
      <c r="AO520" s="416">
        <v>0</v>
      </c>
      <c r="AP520" s="416">
        <v>0</v>
      </c>
      <c r="AQ520" s="416">
        <v>0</v>
      </c>
      <c r="AR520" s="416">
        <v>0</v>
      </c>
      <c r="AS520" s="416">
        <v>0</v>
      </c>
      <c r="AT520" s="416">
        <v>0</v>
      </c>
      <c r="AU520" s="416">
        <v>0</v>
      </c>
      <c r="AV520" s="416">
        <v>0</v>
      </c>
      <c r="AW520" s="416">
        <v>0</v>
      </c>
      <c r="AX520" s="416">
        <v>0</v>
      </c>
      <c r="AY520" s="416">
        <v>0</v>
      </c>
      <c r="AZ520" s="416">
        <v>0</v>
      </c>
    </row>
    <row r="521" spans="1:52" s="411" customFormat="1" x14ac:dyDescent="0.3">
      <c r="A521" s="415" t="str">
        <f t="shared" si="8"/>
        <v>SA-533 Gr.C</v>
      </c>
      <c r="B521" s="415">
        <v>515</v>
      </c>
      <c r="C521" s="415" t="s">
        <v>3100</v>
      </c>
      <c r="D521" s="415" t="s">
        <v>2684</v>
      </c>
      <c r="E521" s="415" t="s">
        <v>2177</v>
      </c>
      <c r="F521" s="415" t="s">
        <v>2348</v>
      </c>
      <c r="G521" s="415" t="s">
        <v>3102</v>
      </c>
      <c r="H521" s="415">
        <v>3</v>
      </c>
      <c r="I521" s="415">
        <v>0</v>
      </c>
      <c r="J521" s="415" t="s">
        <v>3093</v>
      </c>
      <c r="K521" s="415">
        <v>4</v>
      </c>
      <c r="L521" s="415">
        <v>690</v>
      </c>
      <c r="M521" s="415">
        <v>570</v>
      </c>
      <c r="N521" s="415" t="s">
        <v>2675</v>
      </c>
      <c r="O521" s="415">
        <v>371</v>
      </c>
      <c r="P521" s="415" t="s">
        <v>2675</v>
      </c>
      <c r="Q521" s="415" t="s">
        <v>2675</v>
      </c>
      <c r="R521" s="415" t="s">
        <v>2838</v>
      </c>
      <c r="S521" s="415">
        <v>0</v>
      </c>
      <c r="T521" s="416">
        <v>197</v>
      </c>
      <c r="U521" s="416">
        <v>197</v>
      </c>
      <c r="V521" s="416">
        <v>197</v>
      </c>
      <c r="W521" s="416">
        <v>197</v>
      </c>
      <c r="X521" s="416">
        <v>197</v>
      </c>
      <c r="Y521" s="416">
        <v>197</v>
      </c>
      <c r="Z521" s="416">
        <v>197</v>
      </c>
      <c r="AA521" s="416">
        <v>197</v>
      </c>
      <c r="AB521" s="416">
        <v>197</v>
      </c>
      <c r="AC521" s="416">
        <v>197</v>
      </c>
      <c r="AD521" s="416">
        <v>197</v>
      </c>
      <c r="AE521" s="416">
        <v>197</v>
      </c>
      <c r="AF521" s="416">
        <v>0</v>
      </c>
      <c r="AG521" s="416">
        <v>0</v>
      </c>
      <c r="AH521" s="416">
        <v>0</v>
      </c>
      <c r="AI521" s="416">
        <v>0</v>
      </c>
      <c r="AJ521" s="416">
        <v>0</v>
      </c>
      <c r="AK521" s="416">
        <v>0</v>
      </c>
      <c r="AL521" s="416">
        <v>0</v>
      </c>
      <c r="AM521" s="416">
        <v>0</v>
      </c>
      <c r="AN521" s="416">
        <v>0</v>
      </c>
      <c r="AO521" s="416">
        <v>0</v>
      </c>
      <c r="AP521" s="416">
        <v>0</v>
      </c>
      <c r="AQ521" s="416">
        <v>0</v>
      </c>
      <c r="AR521" s="416">
        <v>0</v>
      </c>
      <c r="AS521" s="416">
        <v>0</v>
      </c>
      <c r="AT521" s="416">
        <v>0</v>
      </c>
      <c r="AU521" s="416">
        <v>0</v>
      </c>
      <c r="AV521" s="416">
        <v>0</v>
      </c>
      <c r="AW521" s="416">
        <v>0</v>
      </c>
      <c r="AX521" s="416">
        <v>0</v>
      </c>
      <c r="AY521" s="416">
        <v>0</v>
      </c>
      <c r="AZ521" s="416">
        <v>0</v>
      </c>
    </row>
    <row r="522" spans="1:52" s="411" customFormat="1" x14ac:dyDescent="0.3">
      <c r="A522" s="415" t="str">
        <f t="shared" si="8"/>
        <v>SA-225 Gr.C</v>
      </c>
      <c r="B522" s="415">
        <v>516</v>
      </c>
      <c r="C522" s="415" t="s">
        <v>3103</v>
      </c>
      <c r="D522" s="415" t="s">
        <v>2684</v>
      </c>
      <c r="E522" s="415" t="s">
        <v>2199</v>
      </c>
      <c r="F522" s="415" t="s">
        <v>2348</v>
      </c>
      <c r="G522" s="415" t="s">
        <v>3104</v>
      </c>
      <c r="H522" s="415">
        <v>0</v>
      </c>
      <c r="I522" s="415">
        <v>0</v>
      </c>
      <c r="J522" s="415" t="s">
        <v>3105</v>
      </c>
      <c r="K522" s="415">
        <v>1</v>
      </c>
      <c r="L522" s="415">
        <v>725</v>
      </c>
      <c r="M522" s="415">
        <v>485</v>
      </c>
      <c r="N522" s="415" t="s">
        <v>2675</v>
      </c>
      <c r="O522" s="415" t="s">
        <v>2675</v>
      </c>
      <c r="P522" s="415">
        <v>371</v>
      </c>
      <c r="Q522" s="415">
        <v>343</v>
      </c>
      <c r="R522" s="415" t="s">
        <v>2838</v>
      </c>
      <c r="S522" s="415">
        <v>0</v>
      </c>
      <c r="T522" s="416">
        <v>207</v>
      </c>
      <c r="U522" s="416">
        <v>207</v>
      </c>
      <c r="V522" s="416">
        <v>207</v>
      </c>
      <c r="W522" s="416">
        <v>207</v>
      </c>
      <c r="X522" s="416">
        <v>207</v>
      </c>
      <c r="Y522" s="416">
        <v>207</v>
      </c>
      <c r="Z522" s="416">
        <v>207</v>
      </c>
      <c r="AA522" s="416">
        <v>207</v>
      </c>
      <c r="AB522" s="416">
        <v>207</v>
      </c>
      <c r="AC522" s="416">
        <v>207</v>
      </c>
      <c r="AD522" s="416">
        <v>207</v>
      </c>
      <c r="AE522" s="416">
        <v>207</v>
      </c>
      <c r="AF522" s="416">
        <v>0</v>
      </c>
      <c r="AG522" s="416">
        <v>0</v>
      </c>
      <c r="AH522" s="416">
        <v>0</v>
      </c>
      <c r="AI522" s="416">
        <v>0</v>
      </c>
      <c r="AJ522" s="416">
        <v>0</v>
      </c>
      <c r="AK522" s="416">
        <v>0</v>
      </c>
      <c r="AL522" s="416">
        <v>0</v>
      </c>
      <c r="AM522" s="416">
        <v>0</v>
      </c>
      <c r="AN522" s="416">
        <v>0</v>
      </c>
      <c r="AO522" s="416">
        <v>0</v>
      </c>
      <c r="AP522" s="416">
        <v>0</v>
      </c>
      <c r="AQ522" s="416">
        <v>0</v>
      </c>
      <c r="AR522" s="416">
        <v>0</v>
      </c>
      <c r="AS522" s="416">
        <v>0</v>
      </c>
      <c r="AT522" s="416">
        <v>0</v>
      </c>
      <c r="AU522" s="416">
        <v>0</v>
      </c>
      <c r="AV522" s="416">
        <v>0</v>
      </c>
      <c r="AW522" s="416">
        <v>0</v>
      </c>
      <c r="AX522" s="416">
        <v>0</v>
      </c>
      <c r="AY522" s="416">
        <v>0</v>
      </c>
      <c r="AZ522" s="416">
        <v>0</v>
      </c>
    </row>
    <row r="523" spans="1:52" s="411" customFormat="1" x14ac:dyDescent="0.3">
      <c r="A523" s="415" t="str">
        <f t="shared" si="8"/>
        <v>SA-487 Gr.1</v>
      </c>
      <c r="B523" s="415">
        <v>517</v>
      </c>
      <c r="C523" s="415" t="s">
        <v>3106</v>
      </c>
      <c r="D523" s="415" t="s">
        <v>2739</v>
      </c>
      <c r="E523" s="415" t="s">
        <v>2247</v>
      </c>
      <c r="F523" s="415">
        <v>1</v>
      </c>
      <c r="G523" s="415" t="s">
        <v>3107</v>
      </c>
      <c r="H523" s="415" t="s">
        <v>12</v>
      </c>
      <c r="I523" s="415">
        <v>0</v>
      </c>
      <c r="J523" s="415" t="s">
        <v>3105</v>
      </c>
      <c r="K523" s="415">
        <v>1</v>
      </c>
      <c r="L523" s="415">
        <v>585</v>
      </c>
      <c r="M523" s="415">
        <v>380</v>
      </c>
      <c r="N523" s="415" t="s">
        <v>2675</v>
      </c>
      <c r="O523" s="415" t="s">
        <v>2704</v>
      </c>
      <c r="P523" s="415" t="s">
        <v>2675</v>
      </c>
      <c r="Q523" s="415" t="s">
        <v>2675</v>
      </c>
      <c r="R523" s="415" t="s">
        <v>2819</v>
      </c>
      <c r="S523" s="415">
        <v>0</v>
      </c>
      <c r="T523" s="416">
        <v>168</v>
      </c>
      <c r="U523" s="416">
        <v>168</v>
      </c>
      <c r="V523" s="416">
        <v>163</v>
      </c>
      <c r="W523" s="416">
        <v>158</v>
      </c>
      <c r="X523" s="416">
        <v>155</v>
      </c>
      <c r="Y523" s="416">
        <v>154</v>
      </c>
      <c r="Z523" s="416">
        <v>154</v>
      </c>
      <c r="AA523" s="416">
        <v>154</v>
      </c>
      <c r="AB523" s="416">
        <v>152</v>
      </c>
      <c r="AC523" s="416">
        <v>150</v>
      </c>
      <c r="AD523" s="416">
        <v>147</v>
      </c>
      <c r="AE523" s="416">
        <v>143</v>
      </c>
      <c r="AF523" s="416">
        <v>0</v>
      </c>
      <c r="AG523" s="416">
        <v>0</v>
      </c>
      <c r="AH523" s="416">
        <v>0</v>
      </c>
      <c r="AI523" s="416">
        <v>0</v>
      </c>
      <c r="AJ523" s="416">
        <v>0</v>
      </c>
      <c r="AK523" s="416">
        <v>0</v>
      </c>
      <c r="AL523" s="416">
        <v>0</v>
      </c>
      <c r="AM523" s="416">
        <v>0</v>
      </c>
      <c r="AN523" s="416">
        <v>0</v>
      </c>
      <c r="AO523" s="416">
        <v>0</v>
      </c>
      <c r="AP523" s="416">
        <v>0</v>
      </c>
      <c r="AQ523" s="416">
        <v>0</v>
      </c>
      <c r="AR523" s="416">
        <v>0</v>
      </c>
      <c r="AS523" s="416">
        <v>0</v>
      </c>
      <c r="AT523" s="416">
        <v>0</v>
      </c>
      <c r="AU523" s="416">
        <v>0</v>
      </c>
      <c r="AV523" s="416">
        <v>0</v>
      </c>
      <c r="AW523" s="416">
        <v>0</v>
      </c>
      <c r="AX523" s="416">
        <v>0</v>
      </c>
      <c r="AY523" s="416">
        <v>0</v>
      </c>
      <c r="AZ523" s="416">
        <v>0</v>
      </c>
    </row>
    <row r="524" spans="1:52" s="411" customFormat="1" x14ac:dyDescent="0.3">
      <c r="A524" s="415" t="str">
        <f t="shared" si="8"/>
        <v>SA-487 Gr.1</v>
      </c>
      <c r="B524" s="415">
        <v>518</v>
      </c>
      <c r="C524" s="415" t="s">
        <v>3106</v>
      </c>
      <c r="D524" s="415" t="s">
        <v>2739</v>
      </c>
      <c r="E524" s="415" t="s">
        <v>2247</v>
      </c>
      <c r="F524" s="415">
        <v>1</v>
      </c>
      <c r="G524" s="415" t="s">
        <v>3107</v>
      </c>
      <c r="H524" s="415" t="s">
        <v>12</v>
      </c>
      <c r="I524" s="415">
        <v>0</v>
      </c>
      <c r="J524" s="415" t="s">
        <v>3105</v>
      </c>
      <c r="K524" s="415">
        <v>1</v>
      </c>
      <c r="L524" s="415">
        <v>585</v>
      </c>
      <c r="M524" s="415">
        <v>380</v>
      </c>
      <c r="N524" s="415" t="s">
        <v>2675</v>
      </c>
      <c r="O524" s="415" t="s">
        <v>2675</v>
      </c>
      <c r="P524" s="415">
        <v>343</v>
      </c>
      <c r="Q524" s="415">
        <v>343</v>
      </c>
      <c r="R524" s="415" t="s">
        <v>2819</v>
      </c>
      <c r="S524" s="415" t="s">
        <v>3086</v>
      </c>
      <c r="T524" s="416">
        <v>168</v>
      </c>
      <c r="U524" s="416">
        <v>168</v>
      </c>
      <c r="V524" s="416">
        <v>163</v>
      </c>
      <c r="W524" s="416">
        <v>158</v>
      </c>
      <c r="X524" s="416">
        <v>156</v>
      </c>
      <c r="Y524" s="416">
        <v>155</v>
      </c>
      <c r="Z524" s="416">
        <v>155</v>
      </c>
      <c r="AA524" s="416">
        <v>155</v>
      </c>
      <c r="AB524" s="416">
        <v>153</v>
      </c>
      <c r="AC524" s="416">
        <v>150</v>
      </c>
      <c r="AD524" s="416">
        <v>148</v>
      </c>
      <c r="AE524" s="416">
        <v>0</v>
      </c>
      <c r="AF524" s="416">
        <v>0</v>
      </c>
      <c r="AG524" s="416">
        <v>0</v>
      </c>
      <c r="AH524" s="416">
        <v>0</v>
      </c>
      <c r="AI524" s="416">
        <v>0</v>
      </c>
      <c r="AJ524" s="416">
        <v>0</v>
      </c>
      <c r="AK524" s="416">
        <v>0</v>
      </c>
      <c r="AL524" s="416">
        <v>0</v>
      </c>
      <c r="AM524" s="416">
        <v>0</v>
      </c>
      <c r="AN524" s="416">
        <v>0</v>
      </c>
      <c r="AO524" s="416">
        <v>0</v>
      </c>
      <c r="AP524" s="416">
        <v>0</v>
      </c>
      <c r="AQ524" s="416">
        <v>0</v>
      </c>
      <c r="AR524" s="416">
        <v>0</v>
      </c>
      <c r="AS524" s="416">
        <v>0</v>
      </c>
      <c r="AT524" s="416">
        <v>0</v>
      </c>
      <c r="AU524" s="416">
        <v>0</v>
      </c>
      <c r="AV524" s="416">
        <v>0</v>
      </c>
      <c r="AW524" s="416">
        <v>0</v>
      </c>
      <c r="AX524" s="416">
        <v>0</v>
      </c>
      <c r="AY524" s="416">
        <v>0</v>
      </c>
      <c r="AZ524" s="416">
        <v>0</v>
      </c>
    </row>
    <row r="525" spans="1:52" s="411" customFormat="1" x14ac:dyDescent="0.3">
      <c r="A525" s="415" t="str">
        <f t="shared" si="8"/>
        <v>SA-487 Gr.1</v>
      </c>
      <c r="B525" s="415">
        <v>519</v>
      </c>
      <c r="C525" s="415" t="s">
        <v>3106</v>
      </c>
      <c r="D525" s="415" t="s">
        <v>2739</v>
      </c>
      <c r="E525" s="415" t="s">
        <v>2247</v>
      </c>
      <c r="F525" s="415">
        <v>1</v>
      </c>
      <c r="G525" s="415" t="s">
        <v>3107</v>
      </c>
      <c r="H525" s="415" t="s">
        <v>1864</v>
      </c>
      <c r="I525" s="415">
        <v>0</v>
      </c>
      <c r="J525" s="415" t="s">
        <v>3105</v>
      </c>
      <c r="K525" s="415">
        <v>1</v>
      </c>
      <c r="L525" s="415">
        <v>620</v>
      </c>
      <c r="M525" s="415">
        <v>450</v>
      </c>
      <c r="N525" s="415" t="s">
        <v>2675</v>
      </c>
      <c r="O525" s="415" t="s">
        <v>2675</v>
      </c>
      <c r="P525" s="415">
        <v>343</v>
      </c>
      <c r="Q525" s="415">
        <v>343</v>
      </c>
      <c r="R525" s="415" t="s">
        <v>2838</v>
      </c>
      <c r="S525" s="415" t="s">
        <v>3086</v>
      </c>
      <c r="T525" s="416">
        <v>177</v>
      </c>
      <c r="U525" s="416">
        <v>177</v>
      </c>
      <c r="V525" s="416">
        <v>173</v>
      </c>
      <c r="W525" s="416">
        <v>169</v>
      </c>
      <c r="X525" s="416">
        <v>168</v>
      </c>
      <c r="Y525" s="416">
        <v>167</v>
      </c>
      <c r="Z525" s="416">
        <v>166</v>
      </c>
      <c r="AA525" s="416">
        <v>166</v>
      </c>
      <c r="AB525" s="416">
        <v>166</v>
      </c>
      <c r="AC525" s="416">
        <v>164</v>
      </c>
      <c r="AD525" s="416">
        <v>160</v>
      </c>
      <c r="AE525" s="416">
        <v>0</v>
      </c>
      <c r="AF525" s="416">
        <v>0</v>
      </c>
      <c r="AG525" s="416">
        <v>0</v>
      </c>
      <c r="AH525" s="416">
        <v>0</v>
      </c>
      <c r="AI525" s="416">
        <v>0</v>
      </c>
      <c r="AJ525" s="416">
        <v>0</v>
      </c>
      <c r="AK525" s="416">
        <v>0</v>
      </c>
      <c r="AL525" s="416">
        <v>0</v>
      </c>
      <c r="AM525" s="416">
        <v>0</v>
      </c>
      <c r="AN525" s="416">
        <v>0</v>
      </c>
      <c r="AO525" s="416">
        <v>0</v>
      </c>
      <c r="AP525" s="416">
        <v>0</v>
      </c>
      <c r="AQ525" s="416">
        <v>0</v>
      </c>
      <c r="AR525" s="416">
        <v>0</v>
      </c>
      <c r="AS525" s="416">
        <v>0</v>
      </c>
      <c r="AT525" s="416">
        <v>0</v>
      </c>
      <c r="AU525" s="416">
        <v>0</v>
      </c>
      <c r="AV525" s="416">
        <v>0</v>
      </c>
      <c r="AW525" s="416">
        <v>0</v>
      </c>
      <c r="AX525" s="416">
        <v>0</v>
      </c>
      <c r="AY525" s="416">
        <v>0</v>
      </c>
      <c r="AZ525" s="416">
        <v>0</v>
      </c>
    </row>
    <row r="526" spans="1:52" s="411" customFormat="1" x14ac:dyDescent="0.3">
      <c r="A526" s="415" t="str">
        <f t="shared" si="8"/>
        <v>SA-335 Gr.P15</v>
      </c>
      <c r="B526" s="415">
        <v>520</v>
      </c>
      <c r="C526" s="415" t="s">
        <v>3108</v>
      </c>
      <c r="D526" s="415" t="s">
        <v>2703</v>
      </c>
      <c r="E526" s="415" t="s">
        <v>2210</v>
      </c>
      <c r="F526" s="415" t="s">
        <v>2512</v>
      </c>
      <c r="G526" s="415" t="s">
        <v>3109</v>
      </c>
      <c r="H526" s="415">
        <v>0</v>
      </c>
      <c r="I526" s="415">
        <v>0</v>
      </c>
      <c r="J526" s="415">
        <v>3</v>
      </c>
      <c r="K526" s="415">
        <v>1</v>
      </c>
      <c r="L526" s="415">
        <v>415</v>
      </c>
      <c r="M526" s="415">
        <v>205</v>
      </c>
      <c r="N526" s="415" t="s">
        <v>2675</v>
      </c>
      <c r="O526" s="415" t="s">
        <v>2675</v>
      </c>
      <c r="P526" s="415">
        <v>538</v>
      </c>
      <c r="Q526" s="415">
        <v>343</v>
      </c>
      <c r="R526" s="415" t="s">
        <v>2699</v>
      </c>
      <c r="S526" s="415" t="s">
        <v>2548</v>
      </c>
      <c r="T526" s="416">
        <v>118</v>
      </c>
      <c r="U526" s="416">
        <v>118</v>
      </c>
      <c r="V526" s="416">
        <v>118</v>
      </c>
      <c r="W526" s="416">
        <v>118</v>
      </c>
      <c r="X526" s="416">
        <v>118</v>
      </c>
      <c r="Y526" s="416">
        <v>118</v>
      </c>
      <c r="Z526" s="416">
        <v>118</v>
      </c>
      <c r="AA526" s="416">
        <v>118</v>
      </c>
      <c r="AB526" s="416">
        <v>117</v>
      </c>
      <c r="AC526" s="416">
        <v>115</v>
      </c>
      <c r="AD526" s="416">
        <v>114</v>
      </c>
      <c r="AE526" s="416">
        <v>112</v>
      </c>
      <c r="AF526" s="416">
        <v>110</v>
      </c>
      <c r="AG526" s="416">
        <v>107</v>
      </c>
      <c r="AH526" s="416">
        <v>96.9</v>
      </c>
      <c r="AI526" s="416">
        <v>88.8</v>
      </c>
      <c r="AJ526" s="416">
        <v>76.400000000000006</v>
      </c>
      <c r="AK526" s="416">
        <v>55.6</v>
      </c>
      <c r="AL526" s="416">
        <v>32.1</v>
      </c>
      <c r="AM526" s="416">
        <v>0</v>
      </c>
      <c r="AN526" s="416">
        <v>0</v>
      </c>
      <c r="AO526" s="416">
        <v>0</v>
      </c>
      <c r="AP526" s="416">
        <v>0</v>
      </c>
      <c r="AQ526" s="416">
        <v>0</v>
      </c>
      <c r="AR526" s="416">
        <v>0</v>
      </c>
      <c r="AS526" s="416">
        <v>0</v>
      </c>
      <c r="AT526" s="416">
        <v>0</v>
      </c>
      <c r="AU526" s="416">
        <v>0</v>
      </c>
      <c r="AV526" s="416">
        <v>0</v>
      </c>
      <c r="AW526" s="416">
        <v>0</v>
      </c>
      <c r="AX526" s="416">
        <v>0</v>
      </c>
      <c r="AY526" s="416">
        <v>0</v>
      </c>
      <c r="AZ526" s="416">
        <v>0</v>
      </c>
    </row>
    <row r="527" spans="1:52" s="411" customFormat="1" x14ac:dyDescent="0.3">
      <c r="A527" s="415" t="str">
        <f t="shared" si="8"/>
        <v>SA-487 Gr.4</v>
      </c>
      <c r="B527" s="415">
        <v>521</v>
      </c>
      <c r="C527" s="415" t="s">
        <v>3110</v>
      </c>
      <c r="D527" s="415" t="s">
        <v>2739</v>
      </c>
      <c r="E527" s="415" t="s">
        <v>2247</v>
      </c>
      <c r="F527" s="415">
        <v>4</v>
      </c>
      <c r="G527" s="415" t="s">
        <v>3111</v>
      </c>
      <c r="H527" s="415" t="s">
        <v>12</v>
      </c>
      <c r="I527" s="415">
        <v>0</v>
      </c>
      <c r="J527" s="415">
        <v>3</v>
      </c>
      <c r="K527" s="415">
        <v>3</v>
      </c>
      <c r="L527" s="415">
        <v>620</v>
      </c>
      <c r="M527" s="415">
        <v>415</v>
      </c>
      <c r="N527" s="415" t="s">
        <v>2675</v>
      </c>
      <c r="O527" s="415">
        <v>343</v>
      </c>
      <c r="P527" s="415">
        <v>343</v>
      </c>
      <c r="Q527" s="415">
        <v>343</v>
      </c>
      <c r="R527" s="415" t="s">
        <v>2819</v>
      </c>
      <c r="S527" s="415" t="s">
        <v>3086</v>
      </c>
      <c r="T527" s="416">
        <v>177</v>
      </c>
      <c r="U527" s="416">
        <v>177</v>
      </c>
      <c r="V527" s="416">
        <v>177</v>
      </c>
      <c r="W527" s="416">
        <v>177</v>
      </c>
      <c r="X527" s="416">
        <v>177</v>
      </c>
      <c r="Y527" s="416">
        <v>177</v>
      </c>
      <c r="Z527" s="416">
        <v>177</v>
      </c>
      <c r="AA527" s="416">
        <v>177</v>
      </c>
      <c r="AB527" s="416">
        <v>177</v>
      </c>
      <c r="AC527" s="416">
        <v>177</v>
      </c>
      <c r="AD527" s="416">
        <v>177</v>
      </c>
      <c r="AE527" s="416">
        <v>0</v>
      </c>
      <c r="AF527" s="416">
        <v>0</v>
      </c>
      <c r="AG527" s="416">
        <v>0</v>
      </c>
      <c r="AH527" s="416">
        <v>0</v>
      </c>
      <c r="AI527" s="416">
        <v>0</v>
      </c>
      <c r="AJ527" s="416">
        <v>0</v>
      </c>
      <c r="AK527" s="416">
        <v>0</v>
      </c>
      <c r="AL527" s="416">
        <v>0</v>
      </c>
      <c r="AM527" s="416">
        <v>0</v>
      </c>
      <c r="AN527" s="416">
        <v>0</v>
      </c>
      <c r="AO527" s="416">
        <v>0</v>
      </c>
      <c r="AP527" s="416">
        <v>0</v>
      </c>
      <c r="AQ527" s="416">
        <v>0</v>
      </c>
      <c r="AR527" s="416">
        <v>0</v>
      </c>
      <c r="AS527" s="416">
        <v>0</v>
      </c>
      <c r="AT527" s="416">
        <v>0</v>
      </c>
      <c r="AU527" s="416">
        <v>0</v>
      </c>
      <c r="AV527" s="416">
        <v>0</v>
      </c>
      <c r="AW527" s="416">
        <v>0</v>
      </c>
      <c r="AX527" s="416">
        <v>0</v>
      </c>
      <c r="AY527" s="416">
        <v>0</v>
      </c>
      <c r="AZ527" s="416">
        <v>0</v>
      </c>
    </row>
    <row r="528" spans="1:52" s="411" customFormat="1" x14ac:dyDescent="0.3">
      <c r="A528" s="415" t="str">
        <f t="shared" si="8"/>
        <v>SA-487 Gr.4</v>
      </c>
      <c r="B528" s="415">
        <v>522</v>
      </c>
      <c r="C528" s="415" t="s">
        <v>3110</v>
      </c>
      <c r="D528" s="415" t="s">
        <v>2739</v>
      </c>
      <c r="E528" s="415" t="s">
        <v>2247</v>
      </c>
      <c r="F528" s="415">
        <v>4</v>
      </c>
      <c r="G528" s="415" t="s">
        <v>3111</v>
      </c>
      <c r="H528" s="415" t="s">
        <v>1864</v>
      </c>
      <c r="I528" s="415">
        <v>0</v>
      </c>
      <c r="J528" s="415" t="s">
        <v>3093</v>
      </c>
      <c r="K528" s="415">
        <v>3</v>
      </c>
      <c r="L528" s="415">
        <v>725</v>
      </c>
      <c r="M528" s="415">
        <v>585</v>
      </c>
      <c r="N528" s="415" t="s">
        <v>2675</v>
      </c>
      <c r="O528" s="415" t="s">
        <v>2675</v>
      </c>
      <c r="P528" s="415">
        <v>371</v>
      </c>
      <c r="Q528" s="415">
        <v>343</v>
      </c>
      <c r="R528" s="415" t="s">
        <v>2838</v>
      </c>
      <c r="S528" s="415" t="s">
        <v>3086</v>
      </c>
      <c r="T528" s="416">
        <v>207</v>
      </c>
      <c r="U528" s="416">
        <v>207</v>
      </c>
      <c r="V528" s="416">
        <v>207</v>
      </c>
      <c r="W528" s="416">
        <v>207</v>
      </c>
      <c r="X528" s="416">
        <v>207</v>
      </c>
      <c r="Y528" s="416">
        <v>207</v>
      </c>
      <c r="Z528" s="416">
        <v>207</v>
      </c>
      <c r="AA528" s="416">
        <v>207</v>
      </c>
      <c r="AB528" s="416">
        <v>207</v>
      </c>
      <c r="AC528" s="416">
        <v>207</v>
      </c>
      <c r="AD528" s="416">
        <v>207</v>
      </c>
      <c r="AE528" s="416">
        <v>207</v>
      </c>
      <c r="AF528" s="416">
        <v>0</v>
      </c>
      <c r="AG528" s="416">
        <v>0</v>
      </c>
      <c r="AH528" s="416">
        <v>0</v>
      </c>
      <c r="AI528" s="416">
        <v>0</v>
      </c>
      <c r="AJ528" s="416">
        <v>0</v>
      </c>
      <c r="AK528" s="416">
        <v>0</v>
      </c>
      <c r="AL528" s="416">
        <v>0</v>
      </c>
      <c r="AM528" s="416">
        <v>0</v>
      </c>
      <c r="AN528" s="416">
        <v>0</v>
      </c>
      <c r="AO528" s="416">
        <v>0</v>
      </c>
      <c r="AP528" s="416">
        <v>0</v>
      </c>
      <c r="AQ528" s="416">
        <v>0</v>
      </c>
      <c r="AR528" s="416">
        <v>0</v>
      </c>
      <c r="AS528" s="416">
        <v>0</v>
      </c>
      <c r="AT528" s="416">
        <v>0</v>
      </c>
      <c r="AU528" s="416">
        <v>0</v>
      </c>
      <c r="AV528" s="416">
        <v>0</v>
      </c>
      <c r="AW528" s="416">
        <v>0</v>
      </c>
      <c r="AX528" s="416">
        <v>0</v>
      </c>
      <c r="AY528" s="416">
        <v>0</v>
      </c>
      <c r="AZ528" s="416">
        <v>0</v>
      </c>
    </row>
    <row r="529" spans="1:52" s="411" customFormat="1" x14ac:dyDescent="0.3">
      <c r="A529" s="415" t="str">
        <f t="shared" si="8"/>
        <v>SA-487 Gr.4</v>
      </c>
      <c r="B529" s="415">
        <v>523</v>
      </c>
      <c r="C529" s="415" t="s">
        <v>3110</v>
      </c>
      <c r="D529" s="415" t="s">
        <v>2739</v>
      </c>
      <c r="E529" s="415" t="s">
        <v>2247</v>
      </c>
      <c r="F529" s="415">
        <v>4</v>
      </c>
      <c r="G529" s="415" t="s">
        <v>3111</v>
      </c>
      <c r="H529" s="415" t="s">
        <v>2417</v>
      </c>
      <c r="I529" s="415">
        <v>0</v>
      </c>
      <c r="J529" s="415" t="s">
        <v>3093</v>
      </c>
      <c r="K529" s="415">
        <v>3</v>
      </c>
      <c r="L529" s="415">
        <v>795</v>
      </c>
      <c r="M529" s="415">
        <v>655</v>
      </c>
      <c r="N529" s="415" t="s">
        <v>2675</v>
      </c>
      <c r="O529" s="415" t="s">
        <v>2675</v>
      </c>
      <c r="P529" s="415">
        <v>371</v>
      </c>
      <c r="Q529" s="415">
        <v>343</v>
      </c>
      <c r="R529" s="415" t="s">
        <v>2838</v>
      </c>
      <c r="S529" s="415" t="s">
        <v>3086</v>
      </c>
      <c r="T529" s="416">
        <v>227</v>
      </c>
      <c r="U529" s="416">
        <v>227</v>
      </c>
      <c r="V529" s="416">
        <v>227</v>
      </c>
      <c r="W529" s="416">
        <v>227</v>
      </c>
      <c r="X529" s="416">
        <v>227</v>
      </c>
      <c r="Y529" s="416">
        <v>227</v>
      </c>
      <c r="Z529" s="416">
        <v>227</v>
      </c>
      <c r="AA529" s="416">
        <v>227</v>
      </c>
      <c r="AB529" s="416">
        <v>227</v>
      </c>
      <c r="AC529" s="416">
        <v>227</v>
      </c>
      <c r="AD529" s="416">
        <v>227</v>
      </c>
      <c r="AE529" s="416">
        <v>227</v>
      </c>
      <c r="AF529" s="416">
        <v>0</v>
      </c>
      <c r="AG529" s="416">
        <v>0</v>
      </c>
      <c r="AH529" s="416">
        <v>0</v>
      </c>
      <c r="AI529" s="416">
        <v>0</v>
      </c>
      <c r="AJ529" s="416">
        <v>0</v>
      </c>
      <c r="AK529" s="416">
        <v>0</v>
      </c>
      <c r="AL529" s="416">
        <v>0</v>
      </c>
      <c r="AM529" s="416">
        <v>0</v>
      </c>
      <c r="AN529" s="416">
        <v>0</v>
      </c>
      <c r="AO529" s="416">
        <v>0</v>
      </c>
      <c r="AP529" s="416">
        <v>0</v>
      </c>
      <c r="AQ529" s="416">
        <v>0</v>
      </c>
      <c r="AR529" s="416">
        <v>0</v>
      </c>
      <c r="AS529" s="416">
        <v>0</v>
      </c>
      <c r="AT529" s="416">
        <v>0</v>
      </c>
      <c r="AU529" s="416">
        <v>0</v>
      </c>
      <c r="AV529" s="416">
        <v>0</v>
      </c>
      <c r="AW529" s="416">
        <v>0</v>
      </c>
      <c r="AX529" s="416">
        <v>0</v>
      </c>
      <c r="AY529" s="416">
        <v>0</v>
      </c>
      <c r="AZ529" s="416">
        <v>0</v>
      </c>
    </row>
    <row r="530" spans="1:52" s="411" customFormat="1" x14ac:dyDescent="0.3">
      <c r="A530" s="415" t="str">
        <f t="shared" si="8"/>
        <v>SA-541 Gr.3</v>
      </c>
      <c r="B530" s="415">
        <v>524</v>
      </c>
      <c r="C530" s="415" t="s">
        <v>3112</v>
      </c>
      <c r="D530" s="415" t="s">
        <v>2737</v>
      </c>
      <c r="E530" s="415" t="s">
        <v>2263</v>
      </c>
      <c r="F530" s="415">
        <v>3</v>
      </c>
      <c r="G530" s="415" t="s">
        <v>3113</v>
      </c>
      <c r="H530" s="415">
        <v>1</v>
      </c>
      <c r="I530" s="415">
        <v>0</v>
      </c>
      <c r="J530" s="415">
        <v>3</v>
      </c>
      <c r="K530" s="415">
        <v>3</v>
      </c>
      <c r="L530" s="415">
        <v>550</v>
      </c>
      <c r="M530" s="415">
        <v>345</v>
      </c>
      <c r="N530" s="415" t="s">
        <v>2675</v>
      </c>
      <c r="O530" s="415">
        <v>371</v>
      </c>
      <c r="P530" s="415">
        <v>427</v>
      </c>
      <c r="Q530" s="415">
        <v>343</v>
      </c>
      <c r="R530" s="415" t="s">
        <v>2838</v>
      </c>
      <c r="S530" s="415" t="s">
        <v>3099</v>
      </c>
      <c r="T530" s="416">
        <v>158</v>
      </c>
      <c r="U530" s="416">
        <v>158</v>
      </c>
      <c r="V530" s="416">
        <v>158</v>
      </c>
      <c r="W530" s="416">
        <v>158</v>
      </c>
      <c r="X530" s="416">
        <v>158</v>
      </c>
      <c r="Y530" s="416">
        <v>158</v>
      </c>
      <c r="Z530" s="416">
        <v>158</v>
      </c>
      <c r="AA530" s="416">
        <v>158</v>
      </c>
      <c r="AB530" s="416">
        <v>158</v>
      </c>
      <c r="AC530" s="416">
        <v>158</v>
      </c>
      <c r="AD530" s="416">
        <v>158</v>
      </c>
      <c r="AE530" s="416">
        <v>158</v>
      </c>
      <c r="AF530" s="416">
        <v>158</v>
      </c>
      <c r="AG530" s="416">
        <v>158</v>
      </c>
      <c r="AH530" s="416">
        <v>158</v>
      </c>
      <c r="AI530" s="416">
        <v>0</v>
      </c>
      <c r="AJ530" s="416">
        <v>0</v>
      </c>
      <c r="AK530" s="416">
        <v>0</v>
      </c>
      <c r="AL530" s="416">
        <v>0</v>
      </c>
      <c r="AM530" s="416">
        <v>0</v>
      </c>
      <c r="AN530" s="416">
        <v>0</v>
      </c>
      <c r="AO530" s="416">
        <v>0</v>
      </c>
      <c r="AP530" s="416">
        <v>0</v>
      </c>
      <c r="AQ530" s="416">
        <v>0</v>
      </c>
      <c r="AR530" s="416">
        <v>0</v>
      </c>
      <c r="AS530" s="416">
        <v>0</v>
      </c>
      <c r="AT530" s="416">
        <v>0</v>
      </c>
      <c r="AU530" s="416">
        <v>0</v>
      </c>
      <c r="AV530" s="416">
        <v>0</v>
      </c>
      <c r="AW530" s="416">
        <v>0</v>
      </c>
      <c r="AX530" s="416">
        <v>0</v>
      </c>
      <c r="AY530" s="416">
        <v>0</v>
      </c>
      <c r="AZ530" s="416">
        <v>0</v>
      </c>
    </row>
    <row r="531" spans="1:52" s="411" customFormat="1" x14ac:dyDescent="0.3">
      <c r="A531" s="415" t="str">
        <f t="shared" si="8"/>
        <v>SA-541 Gr.3</v>
      </c>
      <c r="B531" s="415">
        <v>525</v>
      </c>
      <c r="C531" s="415" t="s">
        <v>3112</v>
      </c>
      <c r="D531" s="415" t="s">
        <v>2737</v>
      </c>
      <c r="E531" s="415" t="s">
        <v>2263</v>
      </c>
      <c r="F531" s="415">
        <v>3</v>
      </c>
      <c r="G531" s="415" t="s">
        <v>3113</v>
      </c>
      <c r="H531" s="415">
        <v>2</v>
      </c>
      <c r="I531" s="415">
        <v>0</v>
      </c>
      <c r="J531" s="415">
        <v>3</v>
      </c>
      <c r="K531" s="415">
        <v>3</v>
      </c>
      <c r="L531" s="415">
        <v>620</v>
      </c>
      <c r="M531" s="415">
        <v>450</v>
      </c>
      <c r="N531" s="415" t="s">
        <v>2675</v>
      </c>
      <c r="O531" s="415">
        <v>371</v>
      </c>
      <c r="P531" s="415">
        <v>371</v>
      </c>
      <c r="Q531" s="415" t="s">
        <v>2675</v>
      </c>
      <c r="R531" s="415" t="s">
        <v>2838</v>
      </c>
      <c r="S531" s="415">
        <v>0</v>
      </c>
      <c r="T531" s="416">
        <v>177</v>
      </c>
      <c r="U531" s="416">
        <v>177</v>
      </c>
      <c r="V531" s="416">
        <v>177</v>
      </c>
      <c r="W531" s="416">
        <v>177</v>
      </c>
      <c r="X531" s="416">
        <v>177</v>
      </c>
      <c r="Y531" s="416">
        <v>177</v>
      </c>
      <c r="Z531" s="416">
        <v>177</v>
      </c>
      <c r="AA531" s="416">
        <v>177</v>
      </c>
      <c r="AB531" s="416">
        <v>177</v>
      </c>
      <c r="AC531" s="416">
        <v>177</v>
      </c>
      <c r="AD531" s="416">
        <v>177</v>
      </c>
      <c r="AE531" s="416">
        <v>177</v>
      </c>
      <c r="AF531" s="416">
        <v>0</v>
      </c>
      <c r="AG531" s="416">
        <v>0</v>
      </c>
      <c r="AH531" s="416">
        <v>0</v>
      </c>
      <c r="AI531" s="416">
        <v>0</v>
      </c>
      <c r="AJ531" s="416">
        <v>0</v>
      </c>
      <c r="AK531" s="416">
        <v>0</v>
      </c>
      <c r="AL531" s="416">
        <v>0</v>
      </c>
      <c r="AM531" s="416">
        <v>0</v>
      </c>
      <c r="AN531" s="416">
        <v>0</v>
      </c>
      <c r="AO531" s="416">
        <v>0</v>
      </c>
      <c r="AP531" s="416">
        <v>0</v>
      </c>
      <c r="AQ531" s="416">
        <v>0</v>
      </c>
      <c r="AR531" s="416">
        <v>0</v>
      </c>
      <c r="AS531" s="416">
        <v>0</v>
      </c>
      <c r="AT531" s="416">
        <v>0</v>
      </c>
      <c r="AU531" s="416">
        <v>0</v>
      </c>
      <c r="AV531" s="416">
        <v>0</v>
      </c>
      <c r="AW531" s="416">
        <v>0</v>
      </c>
      <c r="AX531" s="416">
        <v>0</v>
      </c>
      <c r="AY531" s="416">
        <v>0</v>
      </c>
      <c r="AZ531" s="416">
        <v>0</v>
      </c>
    </row>
    <row r="532" spans="1:52" s="411" customFormat="1" x14ac:dyDescent="0.3">
      <c r="A532" s="415" t="str">
        <f t="shared" si="8"/>
        <v>SA-592 Gr.F</v>
      </c>
      <c r="B532" s="415">
        <v>526</v>
      </c>
      <c r="C532" s="415" t="s">
        <v>3114</v>
      </c>
      <c r="D532" s="415" t="s">
        <v>2737</v>
      </c>
      <c r="E532" s="415" t="s">
        <v>2279</v>
      </c>
      <c r="F532" s="415" t="s">
        <v>2423</v>
      </c>
      <c r="G532" s="415" t="s">
        <v>3115</v>
      </c>
      <c r="H532" s="415">
        <v>0</v>
      </c>
      <c r="I532" s="415" t="s">
        <v>2792</v>
      </c>
      <c r="J532" s="415" t="s">
        <v>2895</v>
      </c>
      <c r="K532" s="415">
        <v>3</v>
      </c>
      <c r="L532" s="415">
        <v>725</v>
      </c>
      <c r="M532" s="415">
        <v>620</v>
      </c>
      <c r="N532" s="415" t="s">
        <v>2675</v>
      </c>
      <c r="O532" s="415" t="s">
        <v>2732</v>
      </c>
      <c r="P532" s="415">
        <v>343</v>
      </c>
      <c r="Q532" s="415">
        <v>343</v>
      </c>
      <c r="R532" s="415" t="s">
        <v>2838</v>
      </c>
      <c r="S532" s="415" t="s">
        <v>2950</v>
      </c>
      <c r="T532" s="416">
        <v>207</v>
      </c>
      <c r="U532" s="416">
        <v>207</v>
      </c>
      <c r="V532" s="416">
        <v>207</v>
      </c>
      <c r="W532" s="416">
        <v>207</v>
      </c>
      <c r="X532" s="416">
        <v>207</v>
      </c>
      <c r="Y532" s="416">
        <v>207</v>
      </c>
      <c r="Z532" s="416">
        <v>207</v>
      </c>
      <c r="AA532" s="416">
        <v>207</v>
      </c>
      <c r="AB532" s="416">
        <v>207</v>
      </c>
      <c r="AC532" s="416">
        <v>207</v>
      </c>
      <c r="AD532" s="416">
        <v>207</v>
      </c>
      <c r="AE532" s="416">
        <v>0</v>
      </c>
      <c r="AF532" s="416">
        <v>0</v>
      </c>
      <c r="AG532" s="416">
        <v>0</v>
      </c>
      <c r="AH532" s="416">
        <v>0</v>
      </c>
      <c r="AI532" s="416">
        <v>0</v>
      </c>
      <c r="AJ532" s="416">
        <v>0</v>
      </c>
      <c r="AK532" s="416">
        <v>0</v>
      </c>
      <c r="AL532" s="416">
        <v>0</v>
      </c>
      <c r="AM532" s="416">
        <v>0</v>
      </c>
      <c r="AN532" s="416">
        <v>0</v>
      </c>
      <c r="AO532" s="416">
        <v>0</v>
      </c>
      <c r="AP532" s="416">
        <v>0</v>
      </c>
      <c r="AQ532" s="416">
        <v>0</v>
      </c>
      <c r="AR532" s="416">
        <v>0</v>
      </c>
      <c r="AS532" s="416">
        <v>0</v>
      </c>
      <c r="AT532" s="416">
        <v>0</v>
      </c>
      <c r="AU532" s="416">
        <v>0</v>
      </c>
      <c r="AV532" s="416">
        <v>0</v>
      </c>
      <c r="AW532" s="416">
        <v>0</v>
      </c>
      <c r="AX532" s="416">
        <v>0</v>
      </c>
      <c r="AY532" s="416">
        <v>0</v>
      </c>
      <c r="AZ532" s="416">
        <v>0</v>
      </c>
    </row>
    <row r="533" spans="1:52" s="411" customFormat="1" x14ac:dyDescent="0.3">
      <c r="A533" s="415" t="str">
        <f t="shared" si="8"/>
        <v>SA-517 Gr.F</v>
      </c>
      <c r="B533" s="415">
        <v>527</v>
      </c>
      <c r="C533" s="415" t="s">
        <v>3114</v>
      </c>
      <c r="D533" s="415" t="s">
        <v>2684</v>
      </c>
      <c r="E533" s="415" t="s">
        <v>2254</v>
      </c>
      <c r="F533" s="415" t="s">
        <v>2423</v>
      </c>
      <c r="G533" s="415" t="s">
        <v>3115</v>
      </c>
      <c r="H533" s="415">
        <v>0</v>
      </c>
      <c r="I533" s="415" t="s">
        <v>2822</v>
      </c>
      <c r="J533" s="415" t="s">
        <v>2895</v>
      </c>
      <c r="K533" s="415">
        <v>3</v>
      </c>
      <c r="L533" s="415">
        <v>795</v>
      </c>
      <c r="M533" s="415">
        <v>690</v>
      </c>
      <c r="N533" s="415" t="s">
        <v>2675</v>
      </c>
      <c r="O533" s="415" t="s">
        <v>2732</v>
      </c>
      <c r="P533" s="415">
        <v>343</v>
      </c>
      <c r="Q533" s="415">
        <v>343</v>
      </c>
      <c r="R533" s="415" t="s">
        <v>2896</v>
      </c>
      <c r="S533" s="415">
        <v>0</v>
      </c>
      <c r="T533" s="416">
        <v>227</v>
      </c>
      <c r="U533" s="416">
        <v>227</v>
      </c>
      <c r="V533" s="416">
        <v>227</v>
      </c>
      <c r="W533" s="416">
        <v>227</v>
      </c>
      <c r="X533" s="416">
        <v>227</v>
      </c>
      <c r="Y533" s="416">
        <v>227</v>
      </c>
      <c r="Z533" s="416">
        <v>227</v>
      </c>
      <c r="AA533" s="416">
        <v>227</v>
      </c>
      <c r="AB533" s="416">
        <v>227</v>
      </c>
      <c r="AC533" s="416">
        <v>227</v>
      </c>
      <c r="AD533" s="416">
        <v>226</v>
      </c>
      <c r="AE533" s="416">
        <v>0</v>
      </c>
      <c r="AF533" s="416">
        <v>0</v>
      </c>
      <c r="AG533" s="416">
        <v>0</v>
      </c>
      <c r="AH533" s="416">
        <v>0</v>
      </c>
      <c r="AI533" s="416">
        <v>0</v>
      </c>
      <c r="AJ533" s="416">
        <v>0</v>
      </c>
      <c r="AK533" s="416">
        <v>0</v>
      </c>
      <c r="AL533" s="416">
        <v>0</v>
      </c>
      <c r="AM533" s="416">
        <v>0</v>
      </c>
      <c r="AN533" s="416">
        <v>0</v>
      </c>
      <c r="AO533" s="416">
        <v>0</v>
      </c>
      <c r="AP533" s="416">
        <v>0</v>
      </c>
      <c r="AQ533" s="416">
        <v>0</v>
      </c>
      <c r="AR533" s="416">
        <v>0</v>
      </c>
      <c r="AS533" s="416">
        <v>0</v>
      </c>
      <c r="AT533" s="416">
        <v>0</v>
      </c>
      <c r="AU533" s="416">
        <v>0</v>
      </c>
      <c r="AV533" s="416">
        <v>0</v>
      </c>
      <c r="AW533" s="416">
        <v>0</v>
      </c>
      <c r="AX533" s="416">
        <v>0</v>
      </c>
      <c r="AY533" s="416">
        <v>0</v>
      </c>
      <c r="AZ533" s="416">
        <v>0</v>
      </c>
    </row>
    <row r="534" spans="1:52" s="411" customFormat="1" x14ac:dyDescent="0.3">
      <c r="A534" s="415" t="str">
        <f t="shared" si="8"/>
        <v>SA-592 Gr.F</v>
      </c>
      <c r="B534" s="415">
        <v>528</v>
      </c>
      <c r="C534" s="415" t="s">
        <v>3114</v>
      </c>
      <c r="D534" s="415" t="s">
        <v>2737</v>
      </c>
      <c r="E534" s="415" t="s">
        <v>2279</v>
      </c>
      <c r="F534" s="415" t="s">
        <v>2423</v>
      </c>
      <c r="G534" s="415" t="s">
        <v>3115</v>
      </c>
      <c r="H534" s="415">
        <v>0</v>
      </c>
      <c r="I534" s="415" t="s">
        <v>2822</v>
      </c>
      <c r="J534" s="415" t="s">
        <v>2895</v>
      </c>
      <c r="K534" s="415">
        <v>3</v>
      </c>
      <c r="L534" s="415">
        <v>795</v>
      </c>
      <c r="M534" s="415">
        <v>690</v>
      </c>
      <c r="N534" s="415" t="s">
        <v>2675</v>
      </c>
      <c r="O534" s="415" t="s">
        <v>2675</v>
      </c>
      <c r="P534" s="415">
        <v>343</v>
      </c>
      <c r="Q534" s="415">
        <v>343</v>
      </c>
      <c r="R534" s="415" t="s">
        <v>2896</v>
      </c>
      <c r="S534" s="415">
        <v>0</v>
      </c>
      <c r="T534" s="416">
        <v>227</v>
      </c>
      <c r="U534" s="416">
        <v>227</v>
      </c>
      <c r="V534" s="416">
        <v>227</v>
      </c>
      <c r="W534" s="416">
        <v>227</v>
      </c>
      <c r="X534" s="416">
        <v>227</v>
      </c>
      <c r="Y534" s="416">
        <v>227</v>
      </c>
      <c r="Z534" s="416">
        <v>227</v>
      </c>
      <c r="AA534" s="416">
        <v>227</v>
      </c>
      <c r="AB534" s="416">
        <v>227</v>
      </c>
      <c r="AC534" s="416">
        <v>227</v>
      </c>
      <c r="AD534" s="416">
        <v>226</v>
      </c>
      <c r="AE534" s="416">
        <v>0</v>
      </c>
      <c r="AF534" s="416">
        <v>0</v>
      </c>
      <c r="AG534" s="416">
        <v>0</v>
      </c>
      <c r="AH534" s="416">
        <v>0</v>
      </c>
      <c r="AI534" s="416">
        <v>0</v>
      </c>
      <c r="AJ534" s="416">
        <v>0</v>
      </c>
      <c r="AK534" s="416">
        <v>0</v>
      </c>
      <c r="AL534" s="416">
        <v>0</v>
      </c>
      <c r="AM534" s="416">
        <v>0</v>
      </c>
      <c r="AN534" s="416">
        <v>0</v>
      </c>
      <c r="AO534" s="416">
        <v>0</v>
      </c>
      <c r="AP534" s="416">
        <v>0</v>
      </c>
      <c r="AQ534" s="416">
        <v>0</v>
      </c>
      <c r="AR534" s="416">
        <v>0</v>
      </c>
      <c r="AS534" s="416">
        <v>0</v>
      </c>
      <c r="AT534" s="416">
        <v>0</v>
      </c>
      <c r="AU534" s="416">
        <v>0</v>
      </c>
      <c r="AV534" s="416">
        <v>0</v>
      </c>
      <c r="AW534" s="416">
        <v>0</v>
      </c>
      <c r="AX534" s="416">
        <v>0</v>
      </c>
      <c r="AY534" s="416">
        <v>0</v>
      </c>
      <c r="AZ534" s="416">
        <v>0</v>
      </c>
    </row>
    <row r="535" spans="1:52" s="411" customFormat="1" x14ac:dyDescent="0.3">
      <c r="A535" s="415" t="str">
        <f t="shared" si="8"/>
        <v>SA-423 Gr.2</v>
      </c>
      <c r="B535" s="415">
        <v>529</v>
      </c>
      <c r="C535" s="415" t="s">
        <v>3116</v>
      </c>
      <c r="D535" s="415" t="s">
        <v>2723</v>
      </c>
      <c r="E535" s="415" t="s">
        <v>2237</v>
      </c>
      <c r="F535" s="415">
        <v>2</v>
      </c>
      <c r="G535" s="415" t="s">
        <v>3117</v>
      </c>
      <c r="H535" s="415">
        <v>0</v>
      </c>
      <c r="I535" s="415">
        <v>0</v>
      </c>
      <c r="J535" s="415">
        <v>4</v>
      </c>
      <c r="K535" s="415">
        <v>2</v>
      </c>
      <c r="L535" s="415">
        <v>415</v>
      </c>
      <c r="M535" s="415">
        <v>255</v>
      </c>
      <c r="N535" s="415">
        <v>343</v>
      </c>
      <c r="O535" s="415" t="s">
        <v>2675</v>
      </c>
      <c r="P535" s="415">
        <v>343</v>
      </c>
      <c r="Q535" s="415" t="s">
        <v>2675</v>
      </c>
      <c r="R535" s="415" t="s">
        <v>2699</v>
      </c>
      <c r="S535" s="415" t="s">
        <v>2913</v>
      </c>
      <c r="T535" s="416">
        <v>118</v>
      </c>
      <c r="U535" s="416">
        <v>118</v>
      </c>
      <c r="V535" s="416">
        <v>118</v>
      </c>
      <c r="W535" s="416">
        <v>118</v>
      </c>
      <c r="X535" s="416">
        <v>118</v>
      </c>
      <c r="Y535" s="416">
        <v>118</v>
      </c>
      <c r="Z535" s="416">
        <v>118</v>
      </c>
      <c r="AA535" s="416">
        <v>118</v>
      </c>
      <c r="AB535" s="416">
        <v>118</v>
      </c>
      <c r="AC535" s="416">
        <v>118</v>
      </c>
      <c r="AD535" s="416">
        <v>118</v>
      </c>
      <c r="AE535" s="416">
        <v>0</v>
      </c>
      <c r="AF535" s="416">
        <v>0</v>
      </c>
      <c r="AG535" s="416">
        <v>0</v>
      </c>
      <c r="AH535" s="416">
        <v>0</v>
      </c>
      <c r="AI535" s="416">
        <v>0</v>
      </c>
      <c r="AJ535" s="416">
        <v>0</v>
      </c>
      <c r="AK535" s="416">
        <v>0</v>
      </c>
      <c r="AL535" s="416">
        <v>0</v>
      </c>
      <c r="AM535" s="416">
        <v>0</v>
      </c>
      <c r="AN535" s="416">
        <v>0</v>
      </c>
      <c r="AO535" s="416">
        <v>0</v>
      </c>
      <c r="AP535" s="416">
        <v>0</v>
      </c>
      <c r="AQ535" s="416">
        <v>0</v>
      </c>
      <c r="AR535" s="416">
        <v>0</v>
      </c>
      <c r="AS535" s="416">
        <v>0</v>
      </c>
      <c r="AT535" s="416">
        <v>0</v>
      </c>
      <c r="AU535" s="416">
        <v>0</v>
      </c>
      <c r="AV535" s="416">
        <v>0</v>
      </c>
      <c r="AW535" s="416">
        <v>0</v>
      </c>
      <c r="AX535" s="416">
        <v>0</v>
      </c>
      <c r="AY535" s="416">
        <v>0</v>
      </c>
      <c r="AZ535" s="416">
        <v>0</v>
      </c>
    </row>
    <row r="536" spans="1:52" s="411" customFormat="1" x14ac:dyDescent="0.3">
      <c r="A536" s="415" t="str">
        <f t="shared" si="8"/>
        <v>SA-423 Gr.2</v>
      </c>
      <c r="B536" s="415">
        <v>530</v>
      </c>
      <c r="C536" s="415" t="s">
        <v>3116</v>
      </c>
      <c r="D536" s="415" t="s">
        <v>2689</v>
      </c>
      <c r="E536" s="415" t="s">
        <v>2237</v>
      </c>
      <c r="F536" s="415">
        <v>2</v>
      </c>
      <c r="G536" s="415" t="s">
        <v>3117</v>
      </c>
      <c r="H536" s="415">
        <v>0</v>
      </c>
      <c r="I536" s="415">
        <v>0</v>
      </c>
      <c r="J536" s="415">
        <v>4</v>
      </c>
      <c r="K536" s="415">
        <v>2</v>
      </c>
      <c r="L536" s="415">
        <v>415</v>
      </c>
      <c r="M536" s="415">
        <v>255</v>
      </c>
      <c r="N536" s="415">
        <v>343</v>
      </c>
      <c r="O536" s="415" t="s">
        <v>2675</v>
      </c>
      <c r="P536" s="415">
        <v>343</v>
      </c>
      <c r="Q536" s="415" t="s">
        <v>2675</v>
      </c>
      <c r="R536" s="415" t="s">
        <v>2699</v>
      </c>
      <c r="S536" s="415" t="s">
        <v>2914</v>
      </c>
      <c r="T536" s="416">
        <v>101</v>
      </c>
      <c r="U536" s="416">
        <v>101</v>
      </c>
      <c r="V536" s="416">
        <v>101</v>
      </c>
      <c r="W536" s="416">
        <v>101</v>
      </c>
      <c r="X536" s="416">
        <v>101</v>
      </c>
      <c r="Y536" s="416">
        <v>101</v>
      </c>
      <c r="Z536" s="416">
        <v>101</v>
      </c>
      <c r="AA536" s="416">
        <v>101</v>
      </c>
      <c r="AB536" s="416">
        <v>101</v>
      </c>
      <c r="AC536" s="416">
        <v>101</v>
      </c>
      <c r="AD536" s="416">
        <v>101</v>
      </c>
      <c r="AE536" s="416">
        <v>0</v>
      </c>
      <c r="AF536" s="416">
        <v>0</v>
      </c>
      <c r="AG536" s="416">
        <v>0</v>
      </c>
      <c r="AH536" s="416">
        <v>0</v>
      </c>
      <c r="AI536" s="416">
        <v>0</v>
      </c>
      <c r="AJ536" s="416">
        <v>0</v>
      </c>
      <c r="AK536" s="416">
        <v>0</v>
      </c>
      <c r="AL536" s="416">
        <v>0</v>
      </c>
      <c r="AM536" s="416">
        <v>0</v>
      </c>
      <c r="AN536" s="416">
        <v>0</v>
      </c>
      <c r="AO536" s="416">
        <v>0</v>
      </c>
      <c r="AP536" s="416">
        <v>0</v>
      </c>
      <c r="AQ536" s="416">
        <v>0</v>
      </c>
      <c r="AR536" s="416">
        <v>0</v>
      </c>
      <c r="AS536" s="416">
        <v>0</v>
      </c>
      <c r="AT536" s="416">
        <v>0</v>
      </c>
      <c r="AU536" s="416">
        <v>0</v>
      </c>
      <c r="AV536" s="416">
        <v>0</v>
      </c>
      <c r="AW536" s="416">
        <v>0</v>
      </c>
      <c r="AX536" s="416">
        <v>0</v>
      </c>
      <c r="AY536" s="416">
        <v>0</v>
      </c>
      <c r="AZ536" s="416">
        <v>0</v>
      </c>
    </row>
    <row r="537" spans="1:52" s="411" customFormat="1" x14ac:dyDescent="0.3">
      <c r="A537" s="415" t="str">
        <f t="shared" si="8"/>
        <v>SA-508 Gr.2</v>
      </c>
      <c r="B537" s="415">
        <v>531</v>
      </c>
      <c r="C537" s="415" t="s">
        <v>3118</v>
      </c>
      <c r="D537" s="415" t="s">
        <v>2737</v>
      </c>
      <c r="E537" s="415" t="s">
        <v>2249</v>
      </c>
      <c r="F537" s="415">
        <v>2</v>
      </c>
      <c r="G537" s="415" t="s">
        <v>3119</v>
      </c>
      <c r="H537" s="415">
        <v>1</v>
      </c>
      <c r="I537" s="415">
        <v>0</v>
      </c>
      <c r="J537" s="415">
        <v>3</v>
      </c>
      <c r="K537" s="415">
        <v>3</v>
      </c>
      <c r="L537" s="415">
        <v>550</v>
      </c>
      <c r="M537" s="415">
        <v>345</v>
      </c>
      <c r="N537" s="415" t="s">
        <v>2675</v>
      </c>
      <c r="O537" s="415">
        <v>371</v>
      </c>
      <c r="P537" s="415">
        <v>427</v>
      </c>
      <c r="Q537" s="415">
        <v>343</v>
      </c>
      <c r="R537" s="415" t="s">
        <v>2838</v>
      </c>
      <c r="S537" s="415" t="s">
        <v>3099</v>
      </c>
      <c r="T537" s="416">
        <v>158</v>
      </c>
      <c r="U537" s="416">
        <v>158</v>
      </c>
      <c r="V537" s="416">
        <v>158</v>
      </c>
      <c r="W537" s="416">
        <v>158</v>
      </c>
      <c r="X537" s="416">
        <v>158</v>
      </c>
      <c r="Y537" s="416">
        <v>158</v>
      </c>
      <c r="Z537" s="416">
        <v>158</v>
      </c>
      <c r="AA537" s="416">
        <v>158</v>
      </c>
      <c r="AB537" s="416">
        <v>158</v>
      </c>
      <c r="AC537" s="416">
        <v>158</v>
      </c>
      <c r="AD537" s="416">
        <v>158</v>
      </c>
      <c r="AE537" s="416">
        <v>158</v>
      </c>
      <c r="AF537" s="416">
        <v>158</v>
      </c>
      <c r="AG537" s="416">
        <v>158</v>
      </c>
      <c r="AH537" s="416">
        <v>158</v>
      </c>
      <c r="AI537" s="416">
        <v>0</v>
      </c>
      <c r="AJ537" s="416">
        <v>0</v>
      </c>
      <c r="AK537" s="416">
        <v>0</v>
      </c>
      <c r="AL537" s="416">
        <v>0</v>
      </c>
      <c r="AM537" s="416">
        <v>0</v>
      </c>
      <c r="AN537" s="416">
        <v>0</v>
      </c>
      <c r="AO537" s="416">
        <v>0</v>
      </c>
      <c r="AP537" s="416">
        <v>0</v>
      </c>
      <c r="AQ537" s="416">
        <v>0</v>
      </c>
      <c r="AR537" s="416">
        <v>0</v>
      </c>
      <c r="AS537" s="416">
        <v>0</v>
      </c>
      <c r="AT537" s="416">
        <v>0</v>
      </c>
      <c r="AU537" s="416">
        <v>0</v>
      </c>
      <c r="AV537" s="416">
        <v>0</v>
      </c>
      <c r="AW537" s="416">
        <v>0</v>
      </c>
      <c r="AX537" s="416">
        <v>0</v>
      </c>
      <c r="AY537" s="416">
        <v>0</v>
      </c>
      <c r="AZ537" s="416">
        <v>0</v>
      </c>
    </row>
    <row r="538" spans="1:52" s="411" customFormat="1" x14ac:dyDescent="0.3">
      <c r="A538" s="415" t="str">
        <f t="shared" si="8"/>
        <v>SA-541 Gr.2</v>
      </c>
      <c r="B538" s="415">
        <v>532</v>
      </c>
      <c r="C538" s="415" t="s">
        <v>3118</v>
      </c>
      <c r="D538" s="415" t="s">
        <v>2737</v>
      </c>
      <c r="E538" s="415" t="s">
        <v>2263</v>
      </c>
      <c r="F538" s="415">
        <v>2</v>
      </c>
      <c r="G538" s="415" t="s">
        <v>3120</v>
      </c>
      <c r="H538" s="415">
        <v>1</v>
      </c>
      <c r="I538" s="415">
        <v>0</v>
      </c>
      <c r="J538" s="415">
        <v>3</v>
      </c>
      <c r="K538" s="415">
        <v>3</v>
      </c>
      <c r="L538" s="415">
        <v>550</v>
      </c>
      <c r="M538" s="415">
        <v>345</v>
      </c>
      <c r="N538" s="415" t="s">
        <v>2675</v>
      </c>
      <c r="O538" s="415">
        <v>371</v>
      </c>
      <c r="P538" s="415">
        <v>427</v>
      </c>
      <c r="Q538" s="415">
        <v>343</v>
      </c>
      <c r="R538" s="415" t="s">
        <v>2838</v>
      </c>
      <c r="S538" s="415" t="s">
        <v>3099</v>
      </c>
      <c r="T538" s="416">
        <v>158</v>
      </c>
      <c r="U538" s="416">
        <v>158</v>
      </c>
      <c r="V538" s="416">
        <v>158</v>
      </c>
      <c r="W538" s="416">
        <v>158</v>
      </c>
      <c r="X538" s="416">
        <v>158</v>
      </c>
      <c r="Y538" s="416">
        <v>158</v>
      </c>
      <c r="Z538" s="416">
        <v>158</v>
      </c>
      <c r="AA538" s="416">
        <v>158</v>
      </c>
      <c r="AB538" s="416">
        <v>158</v>
      </c>
      <c r="AC538" s="416">
        <v>158</v>
      </c>
      <c r="AD538" s="416">
        <v>158</v>
      </c>
      <c r="AE538" s="416">
        <v>158</v>
      </c>
      <c r="AF538" s="416">
        <v>158</v>
      </c>
      <c r="AG538" s="416">
        <v>158</v>
      </c>
      <c r="AH538" s="416">
        <v>158</v>
      </c>
      <c r="AI538" s="416">
        <v>0</v>
      </c>
      <c r="AJ538" s="416">
        <v>0</v>
      </c>
      <c r="AK538" s="416">
        <v>0</v>
      </c>
      <c r="AL538" s="416">
        <v>0</v>
      </c>
      <c r="AM538" s="416">
        <v>0</v>
      </c>
      <c r="AN538" s="416">
        <v>0</v>
      </c>
      <c r="AO538" s="416">
        <v>0</v>
      </c>
      <c r="AP538" s="416">
        <v>0</v>
      </c>
      <c r="AQ538" s="416">
        <v>0</v>
      </c>
      <c r="AR538" s="416">
        <v>0</v>
      </c>
      <c r="AS538" s="416">
        <v>0</v>
      </c>
      <c r="AT538" s="416">
        <v>0</v>
      </c>
      <c r="AU538" s="416">
        <v>0</v>
      </c>
      <c r="AV538" s="416">
        <v>0</v>
      </c>
      <c r="AW538" s="416">
        <v>0</v>
      </c>
      <c r="AX538" s="416">
        <v>0</v>
      </c>
      <c r="AY538" s="416">
        <v>0</v>
      </c>
      <c r="AZ538" s="416">
        <v>0</v>
      </c>
    </row>
    <row r="539" spans="1:52" s="411" customFormat="1" x14ac:dyDescent="0.3">
      <c r="A539" s="415" t="str">
        <f t="shared" si="8"/>
        <v>SA-508 Gr.2</v>
      </c>
      <c r="B539" s="415">
        <v>533</v>
      </c>
      <c r="C539" s="415" t="s">
        <v>3118</v>
      </c>
      <c r="D539" s="415" t="s">
        <v>2737</v>
      </c>
      <c r="E539" s="415" t="s">
        <v>2249</v>
      </c>
      <c r="F539" s="415">
        <v>2</v>
      </c>
      <c r="G539" s="415" t="s">
        <v>3119</v>
      </c>
      <c r="H539" s="415">
        <v>2</v>
      </c>
      <c r="I539" s="415">
        <v>0</v>
      </c>
      <c r="J539" s="415">
        <v>3</v>
      </c>
      <c r="K539" s="415">
        <v>3</v>
      </c>
      <c r="L539" s="415">
        <v>620</v>
      </c>
      <c r="M539" s="415">
        <v>450</v>
      </c>
      <c r="N539" s="415" t="s">
        <v>2675</v>
      </c>
      <c r="O539" s="415">
        <v>371</v>
      </c>
      <c r="P539" s="415">
        <v>371</v>
      </c>
      <c r="Q539" s="415" t="s">
        <v>2675</v>
      </c>
      <c r="R539" s="415" t="s">
        <v>2838</v>
      </c>
      <c r="S539" s="415">
        <v>0</v>
      </c>
      <c r="T539" s="416">
        <v>177</v>
      </c>
      <c r="U539" s="416">
        <v>177</v>
      </c>
      <c r="V539" s="416">
        <v>177</v>
      </c>
      <c r="W539" s="416">
        <v>177</v>
      </c>
      <c r="X539" s="416">
        <v>177</v>
      </c>
      <c r="Y539" s="416">
        <v>177</v>
      </c>
      <c r="Z539" s="416">
        <v>177</v>
      </c>
      <c r="AA539" s="416">
        <v>177</v>
      </c>
      <c r="AB539" s="416">
        <v>177</v>
      </c>
      <c r="AC539" s="416">
        <v>177</v>
      </c>
      <c r="AD539" s="416">
        <v>177</v>
      </c>
      <c r="AE539" s="416">
        <v>177</v>
      </c>
      <c r="AF539" s="416">
        <v>0</v>
      </c>
      <c r="AG539" s="416">
        <v>0</v>
      </c>
      <c r="AH539" s="416">
        <v>0</v>
      </c>
      <c r="AI539" s="416">
        <v>0</v>
      </c>
      <c r="AJ539" s="416">
        <v>0</v>
      </c>
      <c r="AK539" s="416">
        <v>0</v>
      </c>
      <c r="AL539" s="416">
        <v>0</v>
      </c>
      <c r="AM539" s="416">
        <v>0</v>
      </c>
      <c r="AN539" s="416">
        <v>0</v>
      </c>
      <c r="AO539" s="416">
        <v>0</v>
      </c>
      <c r="AP539" s="416">
        <v>0</v>
      </c>
      <c r="AQ539" s="416">
        <v>0</v>
      </c>
      <c r="AR539" s="416">
        <v>0</v>
      </c>
      <c r="AS539" s="416">
        <v>0</v>
      </c>
      <c r="AT539" s="416">
        <v>0</v>
      </c>
      <c r="AU539" s="416">
        <v>0</v>
      </c>
      <c r="AV539" s="416">
        <v>0</v>
      </c>
      <c r="AW539" s="416">
        <v>0</v>
      </c>
      <c r="AX539" s="416">
        <v>0</v>
      </c>
      <c r="AY539" s="416">
        <v>0</v>
      </c>
      <c r="AZ539" s="416">
        <v>0</v>
      </c>
    </row>
    <row r="540" spans="1:52" s="411" customFormat="1" x14ac:dyDescent="0.3">
      <c r="A540" s="415" t="str">
        <f t="shared" si="8"/>
        <v>SA-541 Gr.2</v>
      </c>
      <c r="B540" s="415">
        <v>534</v>
      </c>
      <c r="C540" s="415" t="s">
        <v>3118</v>
      </c>
      <c r="D540" s="415" t="s">
        <v>2737</v>
      </c>
      <c r="E540" s="415" t="s">
        <v>2263</v>
      </c>
      <c r="F540" s="415">
        <v>2</v>
      </c>
      <c r="G540" s="415" t="s">
        <v>3120</v>
      </c>
      <c r="H540" s="415">
        <v>2</v>
      </c>
      <c r="I540" s="415">
        <v>0</v>
      </c>
      <c r="J540" s="415">
        <v>3</v>
      </c>
      <c r="K540" s="415">
        <v>3</v>
      </c>
      <c r="L540" s="415">
        <v>620</v>
      </c>
      <c r="M540" s="415">
        <v>450</v>
      </c>
      <c r="N540" s="415" t="s">
        <v>2675</v>
      </c>
      <c r="O540" s="415">
        <v>371</v>
      </c>
      <c r="P540" s="415">
        <v>371</v>
      </c>
      <c r="Q540" s="415" t="s">
        <v>2675</v>
      </c>
      <c r="R540" s="415" t="s">
        <v>2838</v>
      </c>
      <c r="S540" s="415">
        <v>0</v>
      </c>
      <c r="T540" s="416">
        <v>177</v>
      </c>
      <c r="U540" s="416">
        <v>177</v>
      </c>
      <c r="V540" s="416">
        <v>177</v>
      </c>
      <c r="W540" s="416">
        <v>177</v>
      </c>
      <c r="X540" s="416">
        <v>177</v>
      </c>
      <c r="Y540" s="416">
        <v>177</v>
      </c>
      <c r="Z540" s="416">
        <v>177</v>
      </c>
      <c r="AA540" s="416">
        <v>177</v>
      </c>
      <c r="AB540" s="416">
        <v>177</v>
      </c>
      <c r="AC540" s="416">
        <v>177</v>
      </c>
      <c r="AD540" s="416">
        <v>177</v>
      </c>
      <c r="AE540" s="416">
        <v>177</v>
      </c>
      <c r="AF540" s="416">
        <v>0</v>
      </c>
      <c r="AG540" s="416">
        <v>0</v>
      </c>
      <c r="AH540" s="416">
        <v>0</v>
      </c>
      <c r="AI540" s="416">
        <v>0</v>
      </c>
      <c r="AJ540" s="416">
        <v>0</v>
      </c>
      <c r="AK540" s="416">
        <v>0</v>
      </c>
      <c r="AL540" s="416">
        <v>0</v>
      </c>
      <c r="AM540" s="416">
        <v>0</v>
      </c>
      <c r="AN540" s="416">
        <v>0</v>
      </c>
      <c r="AO540" s="416">
        <v>0</v>
      </c>
      <c r="AP540" s="416">
        <v>0</v>
      </c>
      <c r="AQ540" s="416">
        <v>0</v>
      </c>
      <c r="AR540" s="416">
        <v>0</v>
      </c>
      <c r="AS540" s="416">
        <v>0</v>
      </c>
      <c r="AT540" s="416">
        <v>0</v>
      </c>
      <c r="AU540" s="416">
        <v>0</v>
      </c>
      <c r="AV540" s="416">
        <v>0</v>
      </c>
      <c r="AW540" s="416">
        <v>0</v>
      </c>
      <c r="AX540" s="416">
        <v>0</v>
      </c>
      <c r="AY540" s="416">
        <v>0</v>
      </c>
      <c r="AZ540" s="416">
        <v>0</v>
      </c>
    </row>
    <row r="541" spans="1:52" s="411" customFormat="1" x14ac:dyDescent="0.3">
      <c r="A541" s="415" t="str">
        <f t="shared" si="8"/>
        <v>SA-508 Gr.3</v>
      </c>
      <c r="B541" s="415">
        <v>535</v>
      </c>
      <c r="C541" s="415" t="s">
        <v>3121</v>
      </c>
      <c r="D541" s="415" t="s">
        <v>2737</v>
      </c>
      <c r="E541" s="415" t="s">
        <v>2249</v>
      </c>
      <c r="F541" s="415">
        <v>3</v>
      </c>
      <c r="G541" s="415" t="s">
        <v>3122</v>
      </c>
      <c r="H541" s="415">
        <v>1</v>
      </c>
      <c r="I541" s="415">
        <v>0</v>
      </c>
      <c r="J541" s="415">
        <v>3</v>
      </c>
      <c r="K541" s="415">
        <v>3</v>
      </c>
      <c r="L541" s="415">
        <v>550</v>
      </c>
      <c r="M541" s="415">
        <v>345</v>
      </c>
      <c r="N541" s="415" t="s">
        <v>2675</v>
      </c>
      <c r="O541" s="415">
        <v>371</v>
      </c>
      <c r="P541" s="415">
        <v>427</v>
      </c>
      <c r="Q541" s="415">
        <v>343</v>
      </c>
      <c r="R541" s="415" t="s">
        <v>2838</v>
      </c>
      <c r="S541" s="415" t="s">
        <v>3099</v>
      </c>
      <c r="T541" s="416">
        <v>158</v>
      </c>
      <c r="U541" s="416">
        <v>158</v>
      </c>
      <c r="V541" s="416">
        <v>158</v>
      </c>
      <c r="W541" s="416">
        <v>158</v>
      </c>
      <c r="X541" s="416">
        <v>158</v>
      </c>
      <c r="Y541" s="416">
        <v>158</v>
      </c>
      <c r="Z541" s="416">
        <v>158</v>
      </c>
      <c r="AA541" s="416">
        <v>158</v>
      </c>
      <c r="AB541" s="416">
        <v>158</v>
      </c>
      <c r="AC541" s="416">
        <v>158</v>
      </c>
      <c r="AD541" s="416">
        <v>158</v>
      </c>
      <c r="AE541" s="416">
        <v>158</v>
      </c>
      <c r="AF541" s="416">
        <v>158</v>
      </c>
      <c r="AG541" s="416">
        <v>158</v>
      </c>
      <c r="AH541" s="416">
        <v>158</v>
      </c>
      <c r="AI541" s="416">
        <v>0</v>
      </c>
      <c r="AJ541" s="416">
        <v>0</v>
      </c>
      <c r="AK541" s="416">
        <v>0</v>
      </c>
      <c r="AL541" s="416">
        <v>0</v>
      </c>
      <c r="AM541" s="416">
        <v>0</v>
      </c>
      <c r="AN541" s="416">
        <v>0</v>
      </c>
      <c r="AO541" s="416">
        <v>0</v>
      </c>
      <c r="AP541" s="416">
        <v>0</v>
      </c>
      <c r="AQ541" s="416">
        <v>0</v>
      </c>
      <c r="AR541" s="416">
        <v>0</v>
      </c>
      <c r="AS541" s="416">
        <v>0</v>
      </c>
      <c r="AT541" s="416">
        <v>0</v>
      </c>
      <c r="AU541" s="416">
        <v>0</v>
      </c>
      <c r="AV541" s="416">
        <v>0</v>
      </c>
      <c r="AW541" s="416">
        <v>0</v>
      </c>
      <c r="AX541" s="416">
        <v>0</v>
      </c>
      <c r="AY541" s="416">
        <v>0</v>
      </c>
      <c r="AZ541" s="416">
        <v>0</v>
      </c>
    </row>
    <row r="542" spans="1:52" s="411" customFormat="1" x14ac:dyDescent="0.3">
      <c r="A542" s="415" t="str">
        <f t="shared" si="8"/>
        <v>SA-508 Gr.3</v>
      </c>
      <c r="B542" s="415">
        <v>536</v>
      </c>
      <c r="C542" s="415" t="s">
        <v>3121</v>
      </c>
      <c r="D542" s="415" t="s">
        <v>2737</v>
      </c>
      <c r="E542" s="415" t="s">
        <v>2249</v>
      </c>
      <c r="F542" s="415">
        <v>3</v>
      </c>
      <c r="G542" s="415" t="s">
        <v>3122</v>
      </c>
      <c r="H542" s="415">
        <v>2</v>
      </c>
      <c r="I542" s="415">
        <v>0</v>
      </c>
      <c r="J542" s="415">
        <v>3</v>
      </c>
      <c r="K542" s="415">
        <v>3</v>
      </c>
      <c r="L542" s="415">
        <v>620</v>
      </c>
      <c r="M542" s="415">
        <v>450</v>
      </c>
      <c r="N542" s="415" t="s">
        <v>2675</v>
      </c>
      <c r="O542" s="415">
        <v>371</v>
      </c>
      <c r="P542" s="415">
        <v>371</v>
      </c>
      <c r="Q542" s="415" t="s">
        <v>2675</v>
      </c>
      <c r="R542" s="415" t="s">
        <v>2838</v>
      </c>
      <c r="S542" s="415">
        <v>0</v>
      </c>
      <c r="T542" s="416">
        <v>177</v>
      </c>
      <c r="U542" s="416">
        <v>177</v>
      </c>
      <c r="V542" s="416">
        <v>177</v>
      </c>
      <c r="W542" s="416">
        <v>177</v>
      </c>
      <c r="X542" s="416">
        <v>177</v>
      </c>
      <c r="Y542" s="416">
        <v>177</v>
      </c>
      <c r="Z542" s="416">
        <v>177</v>
      </c>
      <c r="AA542" s="416">
        <v>177</v>
      </c>
      <c r="AB542" s="416">
        <v>177</v>
      </c>
      <c r="AC542" s="416">
        <v>177</v>
      </c>
      <c r="AD542" s="416">
        <v>177</v>
      </c>
      <c r="AE542" s="416">
        <v>177</v>
      </c>
      <c r="AF542" s="416">
        <v>0</v>
      </c>
      <c r="AG542" s="416">
        <v>0</v>
      </c>
      <c r="AH542" s="416">
        <v>0</v>
      </c>
      <c r="AI542" s="416">
        <v>0</v>
      </c>
      <c r="AJ542" s="416">
        <v>0</v>
      </c>
      <c r="AK542" s="416">
        <v>0</v>
      </c>
      <c r="AL542" s="416">
        <v>0</v>
      </c>
      <c r="AM542" s="416">
        <v>0</v>
      </c>
      <c r="AN542" s="416">
        <v>0</v>
      </c>
      <c r="AO542" s="416">
        <v>0</v>
      </c>
      <c r="AP542" s="416">
        <v>0</v>
      </c>
      <c r="AQ542" s="416">
        <v>0</v>
      </c>
      <c r="AR542" s="416">
        <v>0</v>
      </c>
      <c r="AS542" s="416">
        <v>0</v>
      </c>
      <c r="AT542" s="416">
        <v>0</v>
      </c>
      <c r="AU542" s="416">
        <v>0</v>
      </c>
      <c r="AV542" s="416">
        <v>0</v>
      </c>
      <c r="AW542" s="416">
        <v>0</v>
      </c>
      <c r="AX542" s="416">
        <v>0</v>
      </c>
      <c r="AY542" s="416">
        <v>0</v>
      </c>
      <c r="AZ542" s="416">
        <v>0</v>
      </c>
    </row>
    <row r="543" spans="1:52" s="411" customFormat="1" x14ac:dyDescent="0.3">
      <c r="A543" s="415" t="str">
        <f t="shared" si="8"/>
        <v>SA-217 Gr.WC5</v>
      </c>
      <c r="B543" s="415">
        <v>537</v>
      </c>
      <c r="C543" s="415" t="s">
        <v>3123</v>
      </c>
      <c r="D543" s="415" t="s">
        <v>2739</v>
      </c>
      <c r="E543" s="415" t="s">
        <v>2198</v>
      </c>
      <c r="F543" s="415" t="s">
        <v>2598</v>
      </c>
      <c r="G543" s="415" t="s">
        <v>3124</v>
      </c>
      <c r="H543" s="415">
        <v>0</v>
      </c>
      <c r="I543" s="415">
        <v>0</v>
      </c>
      <c r="J543" s="415">
        <v>4</v>
      </c>
      <c r="K543" s="415">
        <v>1</v>
      </c>
      <c r="L543" s="415">
        <v>485</v>
      </c>
      <c r="M543" s="415">
        <v>275</v>
      </c>
      <c r="N543" s="415">
        <v>593</v>
      </c>
      <c r="O543" s="415">
        <v>371</v>
      </c>
      <c r="P543" s="415">
        <v>593</v>
      </c>
      <c r="Q543" s="415" t="s">
        <v>2675</v>
      </c>
      <c r="R543" s="415" t="s">
        <v>2699</v>
      </c>
      <c r="S543" s="415" t="s">
        <v>2939</v>
      </c>
      <c r="T543" s="416">
        <v>138</v>
      </c>
      <c r="U543" s="416">
        <v>138</v>
      </c>
      <c r="V543" s="416">
        <v>138</v>
      </c>
      <c r="W543" s="416">
        <v>138</v>
      </c>
      <c r="X543" s="416">
        <v>138</v>
      </c>
      <c r="Y543" s="416">
        <v>138</v>
      </c>
      <c r="Z543" s="416">
        <v>138</v>
      </c>
      <c r="AA543" s="416">
        <v>138</v>
      </c>
      <c r="AB543" s="416">
        <v>138</v>
      </c>
      <c r="AC543" s="416">
        <v>138</v>
      </c>
      <c r="AD543" s="416">
        <v>138</v>
      </c>
      <c r="AE543" s="416">
        <v>138</v>
      </c>
      <c r="AF543" s="416">
        <v>138</v>
      </c>
      <c r="AG543" s="416">
        <v>138</v>
      </c>
      <c r="AH543" s="416">
        <v>135</v>
      </c>
      <c r="AI543" s="416">
        <v>120</v>
      </c>
      <c r="AJ543" s="416">
        <v>89.3</v>
      </c>
      <c r="AK543" s="416">
        <v>58.8</v>
      </c>
      <c r="AL543" s="416">
        <v>39.6</v>
      </c>
      <c r="AM543" s="416">
        <v>27.4</v>
      </c>
      <c r="AN543" s="416">
        <v>16.3</v>
      </c>
      <c r="AO543" s="416">
        <v>0</v>
      </c>
      <c r="AP543" s="416">
        <v>0</v>
      </c>
      <c r="AQ543" s="416">
        <v>0</v>
      </c>
      <c r="AR543" s="416">
        <v>0</v>
      </c>
      <c r="AS543" s="416">
        <v>0</v>
      </c>
      <c r="AT543" s="416">
        <v>0</v>
      </c>
      <c r="AU543" s="416">
        <v>0</v>
      </c>
      <c r="AV543" s="416">
        <v>0</v>
      </c>
      <c r="AW543" s="416">
        <v>0</v>
      </c>
      <c r="AX543" s="416">
        <v>0</v>
      </c>
      <c r="AY543" s="416">
        <v>0</v>
      </c>
      <c r="AZ543" s="416">
        <v>0</v>
      </c>
    </row>
    <row r="544" spans="1:52" s="411" customFormat="1" x14ac:dyDescent="0.3">
      <c r="A544" s="415" t="str">
        <f t="shared" si="8"/>
        <v>SA-217 Gr.WC4</v>
      </c>
      <c r="B544" s="415">
        <v>538</v>
      </c>
      <c r="C544" s="415" t="s">
        <v>3125</v>
      </c>
      <c r="D544" s="415" t="s">
        <v>2739</v>
      </c>
      <c r="E544" s="415" t="s">
        <v>2198</v>
      </c>
      <c r="F544" s="415" t="s">
        <v>2597</v>
      </c>
      <c r="G544" s="415" t="s">
        <v>3126</v>
      </c>
      <c r="H544" s="415">
        <v>0</v>
      </c>
      <c r="I544" s="415">
        <v>0</v>
      </c>
      <c r="J544" s="415">
        <v>4</v>
      </c>
      <c r="K544" s="415">
        <v>1</v>
      </c>
      <c r="L544" s="415">
        <v>485</v>
      </c>
      <c r="M544" s="415">
        <v>275</v>
      </c>
      <c r="N544" s="415">
        <v>538</v>
      </c>
      <c r="O544" s="415">
        <v>371</v>
      </c>
      <c r="P544" s="415">
        <v>538</v>
      </c>
      <c r="Q544" s="415" t="s">
        <v>2675</v>
      </c>
      <c r="R544" s="415" t="s">
        <v>2699</v>
      </c>
      <c r="S544" s="415" t="s">
        <v>2939</v>
      </c>
      <c r="T544" s="416">
        <v>138</v>
      </c>
      <c r="U544" s="416">
        <v>138</v>
      </c>
      <c r="V544" s="416">
        <v>138</v>
      </c>
      <c r="W544" s="416">
        <v>138</v>
      </c>
      <c r="X544" s="416">
        <v>138</v>
      </c>
      <c r="Y544" s="416">
        <v>138</v>
      </c>
      <c r="Z544" s="416">
        <v>138</v>
      </c>
      <c r="AA544" s="416">
        <v>138</v>
      </c>
      <c r="AB544" s="416">
        <v>138</v>
      </c>
      <c r="AC544" s="416">
        <v>138</v>
      </c>
      <c r="AD544" s="416">
        <v>138</v>
      </c>
      <c r="AE544" s="416">
        <v>138</v>
      </c>
      <c r="AF544" s="416">
        <v>138</v>
      </c>
      <c r="AG544" s="416">
        <v>138</v>
      </c>
      <c r="AH544" s="416">
        <v>135</v>
      </c>
      <c r="AI544" s="416">
        <v>113</v>
      </c>
      <c r="AJ544" s="416">
        <v>76.599999999999994</v>
      </c>
      <c r="AK544" s="416">
        <v>49.7</v>
      </c>
      <c r="AL544" s="416">
        <v>31.2</v>
      </c>
      <c r="AM544" s="416">
        <v>0</v>
      </c>
      <c r="AN544" s="416">
        <v>0</v>
      </c>
      <c r="AO544" s="416">
        <v>0</v>
      </c>
      <c r="AP544" s="416">
        <v>0</v>
      </c>
      <c r="AQ544" s="416">
        <v>0</v>
      </c>
      <c r="AR544" s="416">
        <v>0</v>
      </c>
      <c r="AS544" s="416">
        <v>0</v>
      </c>
      <c r="AT544" s="416">
        <v>0</v>
      </c>
      <c r="AU544" s="416">
        <v>0</v>
      </c>
      <c r="AV544" s="416">
        <v>0</v>
      </c>
      <c r="AW544" s="416">
        <v>0</v>
      </c>
      <c r="AX544" s="416">
        <v>0</v>
      </c>
      <c r="AY544" s="416">
        <v>0</v>
      </c>
      <c r="AZ544" s="416">
        <v>0</v>
      </c>
    </row>
    <row r="545" spans="1:52" s="411" customFormat="1" x14ac:dyDescent="0.3">
      <c r="A545" s="415" t="str">
        <f t="shared" si="8"/>
        <v>SA-517 Gr.P</v>
      </c>
      <c r="B545" s="415">
        <v>539</v>
      </c>
      <c r="C545" s="415" t="s">
        <v>3127</v>
      </c>
      <c r="D545" s="415" t="s">
        <v>2684</v>
      </c>
      <c r="E545" s="415" t="s">
        <v>2254</v>
      </c>
      <c r="F545" s="415" t="s">
        <v>2508</v>
      </c>
      <c r="G545" s="415" t="s">
        <v>3128</v>
      </c>
      <c r="H545" s="415">
        <v>0</v>
      </c>
      <c r="I545" s="415" t="s">
        <v>2792</v>
      </c>
      <c r="J545" s="415" t="s">
        <v>2895</v>
      </c>
      <c r="K545" s="415">
        <v>8</v>
      </c>
      <c r="L545" s="415">
        <v>725</v>
      </c>
      <c r="M545" s="415">
        <v>620</v>
      </c>
      <c r="N545" s="415" t="s">
        <v>2675</v>
      </c>
      <c r="O545" s="415" t="s">
        <v>2704</v>
      </c>
      <c r="P545" s="415">
        <v>343</v>
      </c>
      <c r="Q545" s="415">
        <v>343</v>
      </c>
      <c r="R545" s="415" t="s">
        <v>2838</v>
      </c>
      <c r="S545" s="415">
        <v>0</v>
      </c>
      <c r="T545" s="416">
        <v>207</v>
      </c>
      <c r="U545" s="416">
        <v>207</v>
      </c>
      <c r="V545" s="416">
        <v>207</v>
      </c>
      <c r="W545" s="416">
        <v>207</v>
      </c>
      <c r="X545" s="416">
        <v>207</v>
      </c>
      <c r="Y545" s="416">
        <v>207</v>
      </c>
      <c r="Z545" s="416">
        <v>207</v>
      </c>
      <c r="AA545" s="416">
        <v>207</v>
      </c>
      <c r="AB545" s="416">
        <v>207</v>
      </c>
      <c r="AC545" s="416">
        <v>207</v>
      </c>
      <c r="AD545" s="416">
        <v>206</v>
      </c>
      <c r="AE545" s="416">
        <v>202</v>
      </c>
      <c r="AF545" s="416">
        <v>0</v>
      </c>
      <c r="AG545" s="416">
        <v>0</v>
      </c>
      <c r="AH545" s="416">
        <v>0</v>
      </c>
      <c r="AI545" s="416">
        <v>0</v>
      </c>
      <c r="AJ545" s="416">
        <v>0</v>
      </c>
      <c r="AK545" s="416">
        <v>0</v>
      </c>
      <c r="AL545" s="416">
        <v>0</v>
      </c>
      <c r="AM545" s="416">
        <v>0</v>
      </c>
      <c r="AN545" s="416">
        <v>0</v>
      </c>
      <c r="AO545" s="416">
        <v>0</v>
      </c>
      <c r="AP545" s="416">
        <v>0</v>
      </c>
      <c r="AQ545" s="416">
        <v>0</v>
      </c>
      <c r="AR545" s="416">
        <v>0</v>
      </c>
      <c r="AS545" s="416">
        <v>0</v>
      </c>
      <c r="AT545" s="416">
        <v>0</v>
      </c>
      <c r="AU545" s="416">
        <v>0</v>
      </c>
      <c r="AV545" s="416">
        <v>0</v>
      </c>
      <c r="AW545" s="416">
        <v>0</v>
      </c>
      <c r="AX545" s="416">
        <v>0</v>
      </c>
      <c r="AY545" s="416">
        <v>0</v>
      </c>
      <c r="AZ545" s="416">
        <v>0</v>
      </c>
    </row>
    <row r="546" spans="1:52" s="411" customFormat="1" x14ac:dyDescent="0.3">
      <c r="A546" s="415" t="str">
        <f t="shared" si="8"/>
        <v>SA-517 Gr.P</v>
      </c>
      <c r="B546" s="415">
        <v>540</v>
      </c>
      <c r="C546" s="415" t="s">
        <v>3127</v>
      </c>
      <c r="D546" s="415" t="s">
        <v>2684</v>
      </c>
      <c r="E546" s="415" t="s">
        <v>2254</v>
      </c>
      <c r="F546" s="415" t="s">
        <v>2508</v>
      </c>
      <c r="G546" s="415" t="s">
        <v>3128</v>
      </c>
      <c r="H546" s="415">
        <v>0</v>
      </c>
      <c r="I546" s="415" t="s">
        <v>2822</v>
      </c>
      <c r="J546" s="415" t="s">
        <v>2895</v>
      </c>
      <c r="K546" s="415">
        <v>8</v>
      </c>
      <c r="L546" s="415">
        <v>795</v>
      </c>
      <c r="M546" s="415">
        <v>690</v>
      </c>
      <c r="N546" s="415" t="s">
        <v>2675</v>
      </c>
      <c r="O546" s="415" t="s">
        <v>2732</v>
      </c>
      <c r="P546" s="415">
        <v>343</v>
      </c>
      <c r="Q546" s="415">
        <v>343</v>
      </c>
      <c r="R546" s="415" t="s">
        <v>2896</v>
      </c>
      <c r="S546" s="415">
        <v>0</v>
      </c>
      <c r="T546" s="416">
        <v>227</v>
      </c>
      <c r="U546" s="416">
        <v>227</v>
      </c>
      <c r="V546" s="416">
        <v>227</v>
      </c>
      <c r="W546" s="416">
        <v>227</v>
      </c>
      <c r="X546" s="416">
        <v>227</v>
      </c>
      <c r="Y546" s="416">
        <v>227</v>
      </c>
      <c r="Z546" s="416">
        <v>227</v>
      </c>
      <c r="AA546" s="416">
        <v>227</v>
      </c>
      <c r="AB546" s="416">
        <v>227</v>
      </c>
      <c r="AC546" s="416">
        <v>227</v>
      </c>
      <c r="AD546" s="416">
        <v>226</v>
      </c>
      <c r="AE546" s="416">
        <v>0</v>
      </c>
      <c r="AF546" s="416">
        <v>0</v>
      </c>
      <c r="AG546" s="416">
        <v>0</v>
      </c>
      <c r="AH546" s="416">
        <v>0</v>
      </c>
      <c r="AI546" s="416">
        <v>0</v>
      </c>
      <c r="AJ546" s="416">
        <v>0</v>
      </c>
      <c r="AK546" s="416">
        <v>0</v>
      </c>
      <c r="AL546" s="416">
        <v>0</v>
      </c>
      <c r="AM546" s="416">
        <v>0</v>
      </c>
      <c r="AN546" s="416">
        <v>0</v>
      </c>
      <c r="AO546" s="416">
        <v>0</v>
      </c>
      <c r="AP546" s="416">
        <v>0</v>
      </c>
      <c r="AQ546" s="416">
        <v>0</v>
      </c>
      <c r="AR546" s="416">
        <v>0</v>
      </c>
      <c r="AS546" s="416">
        <v>0</v>
      </c>
      <c r="AT546" s="416">
        <v>0</v>
      </c>
      <c r="AU546" s="416">
        <v>0</v>
      </c>
      <c r="AV546" s="416">
        <v>0</v>
      </c>
      <c r="AW546" s="416">
        <v>0</v>
      </c>
      <c r="AX546" s="416">
        <v>0</v>
      </c>
      <c r="AY546" s="416">
        <v>0</v>
      </c>
      <c r="AZ546" s="416">
        <v>0</v>
      </c>
    </row>
    <row r="547" spans="1:52" s="411" customFormat="1" x14ac:dyDescent="0.3">
      <c r="A547" s="415" t="str">
        <f t="shared" si="8"/>
        <v>SA-350 Gr.LF5</v>
      </c>
      <c r="B547" s="415">
        <v>541</v>
      </c>
      <c r="C547" s="415" t="s">
        <v>3129</v>
      </c>
      <c r="D547" s="415" t="s">
        <v>2737</v>
      </c>
      <c r="E547" s="415" t="s">
        <v>2212</v>
      </c>
      <c r="F547" s="415" t="s">
        <v>2504</v>
      </c>
      <c r="G547" s="415" t="s">
        <v>3130</v>
      </c>
      <c r="H547" s="415">
        <v>1</v>
      </c>
      <c r="I547" s="415">
        <v>0</v>
      </c>
      <c r="J547" s="415" t="s">
        <v>3131</v>
      </c>
      <c r="K547" s="415">
        <v>1</v>
      </c>
      <c r="L547" s="415">
        <v>415</v>
      </c>
      <c r="M547" s="415">
        <v>205</v>
      </c>
      <c r="N547" s="415" t="s">
        <v>2675</v>
      </c>
      <c r="O547" s="415" t="s">
        <v>2675</v>
      </c>
      <c r="P547" s="415">
        <v>260</v>
      </c>
      <c r="Q547" s="415">
        <v>260</v>
      </c>
      <c r="R547" s="415" t="s">
        <v>2699</v>
      </c>
      <c r="S547" s="415">
        <v>0</v>
      </c>
      <c r="T547" s="416">
        <v>118</v>
      </c>
      <c r="U547" s="416">
        <v>118</v>
      </c>
      <c r="V547" s="416">
        <v>116</v>
      </c>
      <c r="W547" s="416">
        <v>113</v>
      </c>
      <c r="X547" s="416">
        <v>111</v>
      </c>
      <c r="Y547" s="416">
        <v>108</v>
      </c>
      <c r="Z547" s="416">
        <v>106</v>
      </c>
      <c r="AA547" s="416">
        <v>105</v>
      </c>
      <c r="AB547" s="416">
        <v>0</v>
      </c>
      <c r="AC547" s="416">
        <v>0</v>
      </c>
      <c r="AD547" s="416">
        <v>0</v>
      </c>
      <c r="AE547" s="416">
        <v>0</v>
      </c>
      <c r="AF547" s="416">
        <v>0</v>
      </c>
      <c r="AG547" s="416">
        <v>0</v>
      </c>
      <c r="AH547" s="416">
        <v>0</v>
      </c>
      <c r="AI547" s="416">
        <v>0</v>
      </c>
      <c r="AJ547" s="416">
        <v>0</v>
      </c>
      <c r="AK547" s="416">
        <v>0</v>
      </c>
      <c r="AL547" s="416">
        <v>0</v>
      </c>
      <c r="AM547" s="416">
        <v>0</v>
      </c>
      <c r="AN547" s="416">
        <v>0</v>
      </c>
      <c r="AO547" s="416">
        <v>0</v>
      </c>
      <c r="AP547" s="416">
        <v>0</v>
      </c>
      <c r="AQ547" s="416">
        <v>0</v>
      </c>
      <c r="AR547" s="416">
        <v>0</v>
      </c>
      <c r="AS547" s="416">
        <v>0</v>
      </c>
      <c r="AT547" s="416">
        <v>0</v>
      </c>
      <c r="AU547" s="416">
        <v>0</v>
      </c>
      <c r="AV547" s="416">
        <v>0</v>
      </c>
      <c r="AW547" s="416">
        <v>0</v>
      </c>
      <c r="AX547" s="416">
        <v>0</v>
      </c>
      <c r="AY547" s="416">
        <v>0</v>
      </c>
      <c r="AZ547" s="416">
        <v>0</v>
      </c>
    </row>
    <row r="548" spans="1:52" s="411" customFormat="1" x14ac:dyDescent="0.3">
      <c r="A548" s="415" t="str">
        <f t="shared" si="8"/>
        <v>SA-350 Gr.LF5</v>
      </c>
      <c r="B548" s="415">
        <v>542</v>
      </c>
      <c r="C548" s="415" t="s">
        <v>3129</v>
      </c>
      <c r="D548" s="415" t="s">
        <v>2737</v>
      </c>
      <c r="E548" s="415" t="s">
        <v>2212</v>
      </c>
      <c r="F548" s="415" t="s">
        <v>2504</v>
      </c>
      <c r="G548" s="415" t="s">
        <v>3130</v>
      </c>
      <c r="H548" s="415">
        <v>2</v>
      </c>
      <c r="I548" s="415">
        <v>0</v>
      </c>
      <c r="J548" s="415" t="s">
        <v>3131</v>
      </c>
      <c r="K548" s="415">
        <v>1</v>
      </c>
      <c r="L548" s="415">
        <v>485</v>
      </c>
      <c r="M548" s="415">
        <v>260</v>
      </c>
      <c r="N548" s="415" t="s">
        <v>2675</v>
      </c>
      <c r="O548" s="415" t="s">
        <v>2675</v>
      </c>
      <c r="P548" s="415">
        <v>260</v>
      </c>
      <c r="Q548" s="415">
        <v>260</v>
      </c>
      <c r="R548" s="415" t="s">
        <v>2699</v>
      </c>
      <c r="S548" s="415">
        <v>0</v>
      </c>
      <c r="T548" s="416">
        <v>138</v>
      </c>
      <c r="U548" s="416">
        <v>138</v>
      </c>
      <c r="V548" s="416">
        <v>135</v>
      </c>
      <c r="W548" s="416">
        <v>132</v>
      </c>
      <c r="X548" s="416">
        <v>129</v>
      </c>
      <c r="Y548" s="416">
        <v>126</v>
      </c>
      <c r="Z548" s="416">
        <v>123</v>
      </c>
      <c r="AA548" s="416">
        <v>123</v>
      </c>
      <c r="AB548" s="416">
        <v>0</v>
      </c>
      <c r="AC548" s="416">
        <v>0</v>
      </c>
      <c r="AD548" s="416">
        <v>0</v>
      </c>
      <c r="AE548" s="416">
        <v>0</v>
      </c>
      <c r="AF548" s="416">
        <v>0</v>
      </c>
      <c r="AG548" s="416">
        <v>0</v>
      </c>
      <c r="AH548" s="416">
        <v>0</v>
      </c>
      <c r="AI548" s="416">
        <v>0</v>
      </c>
      <c r="AJ548" s="416">
        <v>0</v>
      </c>
      <c r="AK548" s="416">
        <v>0</v>
      </c>
      <c r="AL548" s="416">
        <v>0</v>
      </c>
      <c r="AM548" s="416">
        <v>0</v>
      </c>
      <c r="AN548" s="416">
        <v>0</v>
      </c>
      <c r="AO548" s="416">
        <v>0</v>
      </c>
      <c r="AP548" s="416">
        <v>0</v>
      </c>
      <c r="AQ548" s="416">
        <v>0</v>
      </c>
      <c r="AR548" s="416">
        <v>0</v>
      </c>
      <c r="AS548" s="416">
        <v>0</v>
      </c>
      <c r="AT548" s="416">
        <v>0</v>
      </c>
      <c r="AU548" s="416">
        <v>0</v>
      </c>
      <c r="AV548" s="416">
        <v>0</v>
      </c>
      <c r="AW548" s="416">
        <v>0</v>
      </c>
      <c r="AX548" s="416">
        <v>0</v>
      </c>
      <c r="AY548" s="416">
        <v>0</v>
      </c>
      <c r="AZ548" s="416">
        <v>0</v>
      </c>
    </row>
    <row r="549" spans="1:52" s="411" customFormat="1" x14ac:dyDescent="0.3">
      <c r="A549" s="415" t="str">
        <f t="shared" si="8"/>
        <v>SA-372 Gr.L</v>
      </c>
      <c r="B549" s="415">
        <v>543</v>
      </c>
      <c r="C549" s="415" t="s">
        <v>3132</v>
      </c>
      <c r="D549" s="415" t="s">
        <v>2737</v>
      </c>
      <c r="E549" s="415" t="s">
        <v>2223</v>
      </c>
      <c r="F549" s="415" t="s">
        <v>2491</v>
      </c>
      <c r="G549" s="415" t="s">
        <v>3133</v>
      </c>
      <c r="H549" s="415">
        <v>0</v>
      </c>
      <c r="I549" s="415">
        <v>0</v>
      </c>
      <c r="J549" s="415">
        <v>0</v>
      </c>
      <c r="K549" s="415">
        <v>0</v>
      </c>
      <c r="L549" s="415">
        <v>1070</v>
      </c>
      <c r="M549" s="415">
        <v>930</v>
      </c>
      <c r="N549" s="415" t="s">
        <v>2675</v>
      </c>
      <c r="O549" s="415" t="s">
        <v>2675</v>
      </c>
      <c r="P549" s="415">
        <v>343</v>
      </c>
      <c r="Q549" s="415">
        <v>343</v>
      </c>
      <c r="R549" s="415">
        <v>0</v>
      </c>
      <c r="S549" s="415" t="s">
        <v>2835</v>
      </c>
      <c r="T549" s="416">
        <v>305</v>
      </c>
      <c r="U549" s="416">
        <v>305</v>
      </c>
      <c r="V549" s="416">
        <v>305</v>
      </c>
      <c r="W549" s="416">
        <v>305</v>
      </c>
      <c r="X549" s="416">
        <v>305</v>
      </c>
      <c r="Y549" s="416">
        <v>305</v>
      </c>
      <c r="Z549" s="416">
        <v>305</v>
      </c>
      <c r="AA549" s="416">
        <v>305</v>
      </c>
      <c r="AB549" s="416">
        <v>305</v>
      </c>
      <c r="AC549" s="416">
        <v>302</v>
      </c>
      <c r="AD549" s="416">
        <v>294</v>
      </c>
      <c r="AE549" s="416">
        <v>0</v>
      </c>
      <c r="AF549" s="416">
        <v>0</v>
      </c>
      <c r="AG549" s="416">
        <v>0</v>
      </c>
      <c r="AH549" s="416">
        <v>0</v>
      </c>
      <c r="AI549" s="416">
        <v>0</v>
      </c>
      <c r="AJ549" s="416">
        <v>0</v>
      </c>
      <c r="AK549" s="416">
        <v>0</v>
      </c>
      <c r="AL549" s="416">
        <v>0</v>
      </c>
      <c r="AM549" s="416">
        <v>0</v>
      </c>
      <c r="AN549" s="416">
        <v>0</v>
      </c>
      <c r="AO549" s="416">
        <v>0</v>
      </c>
      <c r="AP549" s="416">
        <v>0</v>
      </c>
      <c r="AQ549" s="416">
        <v>0</v>
      </c>
      <c r="AR549" s="416">
        <v>0</v>
      </c>
      <c r="AS549" s="416">
        <v>0</v>
      </c>
      <c r="AT549" s="416">
        <v>0</v>
      </c>
      <c r="AU549" s="416">
        <v>0</v>
      </c>
      <c r="AV549" s="416">
        <v>0</v>
      </c>
      <c r="AW549" s="416">
        <v>0</v>
      </c>
      <c r="AX549" s="416">
        <v>0</v>
      </c>
      <c r="AY549" s="416">
        <v>0</v>
      </c>
      <c r="AZ549" s="416">
        <v>0</v>
      </c>
    </row>
    <row r="550" spans="1:52" s="411" customFormat="1" x14ac:dyDescent="0.3">
      <c r="A550" s="415" t="str">
        <f t="shared" si="8"/>
        <v>SA-182 Gr.FR</v>
      </c>
      <c r="B550" s="415">
        <v>544</v>
      </c>
      <c r="C550" s="415" t="s">
        <v>3134</v>
      </c>
      <c r="D550" s="415" t="s">
        <v>2737</v>
      </c>
      <c r="E550" s="415" t="s">
        <v>2188</v>
      </c>
      <c r="F550" s="415" t="s">
        <v>14</v>
      </c>
      <c r="G550" s="415" t="s">
        <v>3135</v>
      </c>
      <c r="H550" s="415">
        <v>0</v>
      </c>
      <c r="I550" s="415">
        <v>0</v>
      </c>
      <c r="J550" s="415" t="s">
        <v>3131</v>
      </c>
      <c r="K550" s="415">
        <v>1</v>
      </c>
      <c r="L550" s="415">
        <v>435</v>
      </c>
      <c r="M550" s="415">
        <v>315</v>
      </c>
      <c r="N550" s="415" t="s">
        <v>2675</v>
      </c>
      <c r="O550" s="415" t="s">
        <v>2675</v>
      </c>
      <c r="P550" s="415">
        <v>38</v>
      </c>
      <c r="Q550" s="415">
        <v>38</v>
      </c>
      <c r="R550" s="415" t="s">
        <v>2819</v>
      </c>
      <c r="S550" s="415">
        <v>0</v>
      </c>
      <c r="T550" s="416">
        <v>125</v>
      </c>
      <c r="U550" s="416">
        <v>125</v>
      </c>
      <c r="V550" s="416">
        <v>0</v>
      </c>
      <c r="W550" s="416">
        <v>0</v>
      </c>
      <c r="X550" s="416">
        <v>0</v>
      </c>
      <c r="Y550" s="416">
        <v>0</v>
      </c>
      <c r="Z550" s="416">
        <v>0</v>
      </c>
      <c r="AA550" s="416">
        <v>0</v>
      </c>
      <c r="AB550" s="416">
        <v>0</v>
      </c>
      <c r="AC550" s="416">
        <v>0</v>
      </c>
      <c r="AD550" s="416">
        <v>0</v>
      </c>
      <c r="AE550" s="416">
        <v>0</v>
      </c>
      <c r="AF550" s="416">
        <v>0</v>
      </c>
      <c r="AG550" s="416">
        <v>0</v>
      </c>
      <c r="AH550" s="416">
        <v>0</v>
      </c>
      <c r="AI550" s="416">
        <v>0</v>
      </c>
      <c r="AJ550" s="416">
        <v>0</v>
      </c>
      <c r="AK550" s="416">
        <v>0</v>
      </c>
      <c r="AL550" s="416">
        <v>0</v>
      </c>
      <c r="AM550" s="416">
        <v>0</v>
      </c>
      <c r="AN550" s="416">
        <v>0</v>
      </c>
      <c r="AO550" s="416">
        <v>0</v>
      </c>
      <c r="AP550" s="416">
        <v>0</v>
      </c>
      <c r="AQ550" s="416">
        <v>0</v>
      </c>
      <c r="AR550" s="416">
        <v>0</v>
      </c>
      <c r="AS550" s="416">
        <v>0</v>
      </c>
      <c r="AT550" s="416">
        <v>0</v>
      </c>
      <c r="AU550" s="416">
        <v>0</v>
      </c>
      <c r="AV550" s="416">
        <v>0</v>
      </c>
      <c r="AW550" s="416">
        <v>0</v>
      </c>
      <c r="AX550" s="416">
        <v>0</v>
      </c>
      <c r="AY550" s="416">
        <v>0</v>
      </c>
      <c r="AZ550" s="416">
        <v>0</v>
      </c>
    </row>
    <row r="551" spans="1:52" s="411" customFormat="1" x14ac:dyDescent="0.3">
      <c r="A551" s="415" t="str">
        <f t="shared" si="8"/>
        <v>SA-234 Gr.WPR</v>
      </c>
      <c r="B551" s="415">
        <v>545</v>
      </c>
      <c r="C551" s="415" t="s">
        <v>3134</v>
      </c>
      <c r="D551" s="415" t="s">
        <v>913</v>
      </c>
      <c r="E551" s="415" t="s">
        <v>2174</v>
      </c>
      <c r="F551" s="415" t="s">
        <v>2616</v>
      </c>
      <c r="G551" s="415" t="s">
        <v>3135</v>
      </c>
      <c r="H551" s="415">
        <v>0</v>
      </c>
      <c r="I551" s="415">
        <v>0</v>
      </c>
      <c r="J551" s="415" t="s">
        <v>3131</v>
      </c>
      <c r="K551" s="415">
        <v>1</v>
      </c>
      <c r="L551" s="415">
        <v>435</v>
      </c>
      <c r="M551" s="415">
        <v>315</v>
      </c>
      <c r="N551" s="415" t="s">
        <v>2675</v>
      </c>
      <c r="O551" s="415" t="s">
        <v>2675</v>
      </c>
      <c r="P551" s="415">
        <v>38</v>
      </c>
      <c r="Q551" s="415" t="s">
        <v>2675</v>
      </c>
      <c r="R551" s="415" t="s">
        <v>2819</v>
      </c>
      <c r="S551" s="415">
        <v>0</v>
      </c>
      <c r="T551" s="416">
        <v>125</v>
      </c>
      <c r="U551" s="416">
        <v>125</v>
      </c>
      <c r="V551" s="416">
        <v>0</v>
      </c>
      <c r="W551" s="416">
        <v>0</v>
      </c>
      <c r="X551" s="416">
        <v>0</v>
      </c>
      <c r="Y551" s="416">
        <v>0</v>
      </c>
      <c r="Z551" s="416">
        <v>0</v>
      </c>
      <c r="AA551" s="416">
        <v>0</v>
      </c>
      <c r="AB551" s="416">
        <v>0</v>
      </c>
      <c r="AC551" s="416">
        <v>0</v>
      </c>
      <c r="AD551" s="416">
        <v>0</v>
      </c>
      <c r="AE551" s="416">
        <v>0</v>
      </c>
      <c r="AF551" s="416">
        <v>0</v>
      </c>
      <c r="AG551" s="416">
        <v>0</v>
      </c>
      <c r="AH551" s="416">
        <v>0</v>
      </c>
      <c r="AI551" s="416">
        <v>0</v>
      </c>
      <c r="AJ551" s="416">
        <v>0</v>
      </c>
      <c r="AK551" s="416">
        <v>0</v>
      </c>
      <c r="AL551" s="416">
        <v>0</v>
      </c>
      <c r="AM551" s="416">
        <v>0</v>
      </c>
      <c r="AN551" s="416">
        <v>0</v>
      </c>
      <c r="AO551" s="416">
        <v>0</v>
      </c>
      <c r="AP551" s="416">
        <v>0</v>
      </c>
      <c r="AQ551" s="416">
        <v>0</v>
      </c>
      <c r="AR551" s="416">
        <v>0</v>
      </c>
      <c r="AS551" s="416">
        <v>0</v>
      </c>
      <c r="AT551" s="416">
        <v>0</v>
      </c>
      <c r="AU551" s="416">
        <v>0</v>
      </c>
      <c r="AV551" s="416">
        <v>0</v>
      </c>
      <c r="AW551" s="416">
        <v>0</v>
      </c>
      <c r="AX551" s="416">
        <v>0</v>
      </c>
      <c r="AY551" s="416">
        <v>0</v>
      </c>
      <c r="AZ551" s="416">
        <v>0</v>
      </c>
    </row>
    <row r="552" spans="1:52" s="411" customFormat="1" x14ac:dyDescent="0.3">
      <c r="A552" s="415" t="str">
        <f t="shared" si="8"/>
        <v>SA-333 Gr.9</v>
      </c>
      <c r="B552" s="415">
        <v>546</v>
      </c>
      <c r="C552" s="415" t="s">
        <v>3134</v>
      </c>
      <c r="D552" s="415" t="s">
        <v>2916</v>
      </c>
      <c r="E552" s="415" t="s">
        <v>2172</v>
      </c>
      <c r="F552" s="415">
        <v>9</v>
      </c>
      <c r="G552" s="415" t="s">
        <v>3135</v>
      </c>
      <c r="H552" s="415">
        <v>0</v>
      </c>
      <c r="I552" s="415">
        <v>0</v>
      </c>
      <c r="J552" s="415" t="s">
        <v>3131</v>
      </c>
      <c r="K552" s="415">
        <v>1</v>
      </c>
      <c r="L552" s="415">
        <v>435</v>
      </c>
      <c r="M552" s="415">
        <v>315</v>
      </c>
      <c r="N552" s="415" t="s">
        <v>2675</v>
      </c>
      <c r="O552" s="415" t="s">
        <v>2675</v>
      </c>
      <c r="P552" s="415">
        <v>38</v>
      </c>
      <c r="Q552" s="415">
        <v>38</v>
      </c>
      <c r="R552" s="415" t="s">
        <v>2819</v>
      </c>
      <c r="S552" s="415">
        <v>0</v>
      </c>
      <c r="T552" s="416">
        <v>125</v>
      </c>
      <c r="U552" s="416">
        <v>125</v>
      </c>
      <c r="V552" s="416">
        <v>0</v>
      </c>
      <c r="W552" s="416">
        <v>0</v>
      </c>
      <c r="X552" s="416">
        <v>0</v>
      </c>
      <c r="Y552" s="416">
        <v>0</v>
      </c>
      <c r="Z552" s="416">
        <v>0</v>
      </c>
      <c r="AA552" s="416">
        <v>0</v>
      </c>
      <c r="AB552" s="416">
        <v>0</v>
      </c>
      <c r="AC552" s="416">
        <v>0</v>
      </c>
      <c r="AD552" s="416">
        <v>0</v>
      </c>
      <c r="AE552" s="416">
        <v>0</v>
      </c>
      <c r="AF552" s="416">
        <v>0</v>
      </c>
      <c r="AG552" s="416">
        <v>0</v>
      </c>
      <c r="AH552" s="416">
        <v>0</v>
      </c>
      <c r="AI552" s="416">
        <v>0</v>
      </c>
      <c r="AJ552" s="416">
        <v>0</v>
      </c>
      <c r="AK552" s="416">
        <v>0</v>
      </c>
      <c r="AL552" s="416">
        <v>0</v>
      </c>
      <c r="AM552" s="416">
        <v>0</v>
      </c>
      <c r="AN552" s="416">
        <v>0</v>
      </c>
      <c r="AO552" s="416">
        <v>0</v>
      </c>
      <c r="AP552" s="416">
        <v>0</v>
      </c>
      <c r="AQ552" s="416">
        <v>0</v>
      </c>
      <c r="AR552" s="416">
        <v>0</v>
      </c>
      <c r="AS552" s="416">
        <v>0</v>
      </c>
      <c r="AT552" s="416">
        <v>0</v>
      </c>
      <c r="AU552" s="416">
        <v>0</v>
      </c>
      <c r="AV552" s="416">
        <v>0</v>
      </c>
      <c r="AW552" s="416">
        <v>0</v>
      </c>
      <c r="AX552" s="416">
        <v>0</v>
      </c>
      <c r="AY552" s="416">
        <v>0</v>
      </c>
      <c r="AZ552" s="416">
        <v>0</v>
      </c>
    </row>
    <row r="553" spans="1:52" s="411" customFormat="1" x14ac:dyDescent="0.3">
      <c r="A553" s="415" t="str">
        <f t="shared" si="8"/>
        <v>SA-333 Gr.9</v>
      </c>
      <c r="B553" s="415">
        <v>547</v>
      </c>
      <c r="C553" s="415" t="s">
        <v>3134</v>
      </c>
      <c r="D553" s="415" t="s">
        <v>2703</v>
      </c>
      <c r="E553" s="415" t="s">
        <v>2172</v>
      </c>
      <c r="F553" s="415">
        <v>9</v>
      </c>
      <c r="G553" s="415" t="s">
        <v>3135</v>
      </c>
      <c r="H553" s="415">
        <v>0</v>
      </c>
      <c r="I553" s="415">
        <v>0</v>
      </c>
      <c r="J553" s="415" t="s">
        <v>3131</v>
      </c>
      <c r="K553" s="415">
        <v>1</v>
      </c>
      <c r="L553" s="415">
        <v>435</v>
      </c>
      <c r="M553" s="415">
        <v>315</v>
      </c>
      <c r="N553" s="415" t="s">
        <v>2675</v>
      </c>
      <c r="O553" s="415">
        <v>38</v>
      </c>
      <c r="P553" s="415" t="s">
        <v>2675</v>
      </c>
      <c r="Q553" s="415" t="s">
        <v>2675</v>
      </c>
      <c r="R553" s="415" t="s">
        <v>2819</v>
      </c>
      <c r="S553" s="415">
        <v>0</v>
      </c>
      <c r="T553" s="416">
        <v>123</v>
      </c>
      <c r="U553" s="416">
        <v>123</v>
      </c>
      <c r="V553" s="416">
        <v>0</v>
      </c>
      <c r="W553" s="416">
        <v>0</v>
      </c>
      <c r="X553" s="416">
        <v>0</v>
      </c>
      <c r="Y553" s="416">
        <v>0</v>
      </c>
      <c r="Z553" s="416">
        <v>0</v>
      </c>
      <c r="AA553" s="416">
        <v>0</v>
      </c>
      <c r="AB553" s="416">
        <v>0</v>
      </c>
      <c r="AC553" s="416">
        <v>0</v>
      </c>
      <c r="AD553" s="416">
        <v>0</v>
      </c>
      <c r="AE553" s="416">
        <v>0</v>
      </c>
      <c r="AF553" s="416">
        <v>0</v>
      </c>
      <c r="AG553" s="416">
        <v>0</v>
      </c>
      <c r="AH553" s="416">
        <v>0</v>
      </c>
      <c r="AI553" s="416">
        <v>0</v>
      </c>
      <c r="AJ553" s="416">
        <v>0</v>
      </c>
      <c r="AK553" s="416">
        <v>0</v>
      </c>
      <c r="AL553" s="416">
        <v>0</v>
      </c>
      <c r="AM553" s="416">
        <v>0</v>
      </c>
      <c r="AN553" s="416">
        <v>0</v>
      </c>
      <c r="AO553" s="416">
        <v>0</v>
      </c>
      <c r="AP553" s="416">
        <v>0</v>
      </c>
      <c r="AQ553" s="416">
        <v>0</v>
      </c>
      <c r="AR553" s="416">
        <v>0</v>
      </c>
      <c r="AS553" s="416">
        <v>0</v>
      </c>
      <c r="AT553" s="416">
        <v>0</v>
      </c>
      <c r="AU553" s="416">
        <v>0</v>
      </c>
      <c r="AV553" s="416">
        <v>0</v>
      </c>
      <c r="AW553" s="416">
        <v>0</v>
      </c>
      <c r="AX553" s="416">
        <v>0</v>
      </c>
      <c r="AY553" s="416">
        <v>0</v>
      </c>
      <c r="AZ553" s="416">
        <v>0</v>
      </c>
    </row>
    <row r="554" spans="1:52" s="411" customFormat="1" x14ac:dyDescent="0.3">
      <c r="A554" s="415" t="str">
        <f t="shared" si="8"/>
        <v>SA-333 Gr.9</v>
      </c>
      <c r="B554" s="415">
        <v>548</v>
      </c>
      <c r="C554" s="415" t="s">
        <v>3134</v>
      </c>
      <c r="D554" s="415" t="s">
        <v>2680</v>
      </c>
      <c r="E554" s="415" t="s">
        <v>2172</v>
      </c>
      <c r="F554" s="415">
        <v>9</v>
      </c>
      <c r="G554" s="415" t="s">
        <v>3135</v>
      </c>
      <c r="H554" s="415">
        <v>0</v>
      </c>
      <c r="I554" s="415">
        <v>0</v>
      </c>
      <c r="J554" s="415" t="s">
        <v>3131</v>
      </c>
      <c r="K554" s="415">
        <v>1</v>
      </c>
      <c r="L554" s="415">
        <v>435</v>
      </c>
      <c r="M554" s="415">
        <v>315</v>
      </c>
      <c r="N554" s="415" t="s">
        <v>2675</v>
      </c>
      <c r="O554" s="415" t="s">
        <v>2675</v>
      </c>
      <c r="P554" s="415">
        <v>38</v>
      </c>
      <c r="Q554" s="415">
        <v>38</v>
      </c>
      <c r="R554" s="415" t="s">
        <v>2819</v>
      </c>
      <c r="S554" s="415" t="s">
        <v>3004</v>
      </c>
      <c r="T554" s="416">
        <v>105</v>
      </c>
      <c r="U554" s="416">
        <v>105</v>
      </c>
      <c r="V554" s="416">
        <v>0</v>
      </c>
      <c r="W554" s="416">
        <v>0</v>
      </c>
      <c r="X554" s="416">
        <v>0</v>
      </c>
      <c r="Y554" s="416">
        <v>0</v>
      </c>
      <c r="Z554" s="416">
        <v>0</v>
      </c>
      <c r="AA554" s="416">
        <v>0</v>
      </c>
      <c r="AB554" s="416">
        <v>0</v>
      </c>
      <c r="AC554" s="416">
        <v>0</v>
      </c>
      <c r="AD554" s="416">
        <v>0</v>
      </c>
      <c r="AE554" s="416">
        <v>0</v>
      </c>
      <c r="AF554" s="416">
        <v>0</v>
      </c>
      <c r="AG554" s="416">
        <v>0</v>
      </c>
      <c r="AH554" s="416">
        <v>0</v>
      </c>
      <c r="AI554" s="416">
        <v>0</v>
      </c>
      <c r="AJ554" s="416">
        <v>0</v>
      </c>
      <c r="AK554" s="416">
        <v>0</v>
      </c>
      <c r="AL554" s="416">
        <v>0</v>
      </c>
      <c r="AM554" s="416">
        <v>0</v>
      </c>
      <c r="AN554" s="416">
        <v>0</v>
      </c>
      <c r="AO554" s="416">
        <v>0</v>
      </c>
      <c r="AP554" s="416">
        <v>0</v>
      </c>
      <c r="AQ554" s="416">
        <v>0</v>
      </c>
      <c r="AR554" s="416">
        <v>0</v>
      </c>
      <c r="AS554" s="416">
        <v>0</v>
      </c>
      <c r="AT554" s="416">
        <v>0</v>
      </c>
      <c r="AU554" s="416">
        <v>0</v>
      </c>
      <c r="AV554" s="416">
        <v>0</v>
      </c>
      <c r="AW554" s="416">
        <v>0</v>
      </c>
      <c r="AX554" s="416">
        <v>0</v>
      </c>
      <c r="AY554" s="416">
        <v>0</v>
      </c>
      <c r="AZ554" s="416">
        <v>0</v>
      </c>
    </row>
    <row r="555" spans="1:52" s="411" customFormat="1" x14ac:dyDescent="0.3">
      <c r="A555" s="415" t="str">
        <f t="shared" si="8"/>
        <v>SA-334 Gr.9</v>
      </c>
      <c r="B555" s="415">
        <v>549</v>
      </c>
      <c r="C555" s="415" t="s">
        <v>3134</v>
      </c>
      <c r="D555" s="415" t="s">
        <v>3136</v>
      </c>
      <c r="E555" s="415" t="s">
        <v>2209</v>
      </c>
      <c r="F555" s="415">
        <v>9</v>
      </c>
      <c r="G555" s="415" t="s">
        <v>3135</v>
      </c>
      <c r="H555" s="415">
        <v>0</v>
      </c>
      <c r="I555" s="415">
        <v>0</v>
      </c>
      <c r="J555" s="415" t="s">
        <v>3131</v>
      </c>
      <c r="K555" s="415">
        <v>1</v>
      </c>
      <c r="L555" s="415">
        <v>435</v>
      </c>
      <c r="M555" s="415">
        <v>315</v>
      </c>
      <c r="N555" s="415" t="s">
        <v>2675</v>
      </c>
      <c r="O555" s="415" t="s">
        <v>2675</v>
      </c>
      <c r="P555" s="415">
        <v>38</v>
      </c>
      <c r="Q555" s="415">
        <v>38</v>
      </c>
      <c r="R555" s="415" t="s">
        <v>2819</v>
      </c>
      <c r="S555" s="415">
        <v>0</v>
      </c>
      <c r="T555" s="416">
        <v>125</v>
      </c>
      <c r="U555" s="416">
        <v>125</v>
      </c>
      <c r="V555" s="416">
        <v>0</v>
      </c>
      <c r="W555" s="416">
        <v>0</v>
      </c>
      <c r="X555" s="416">
        <v>0</v>
      </c>
      <c r="Y555" s="416">
        <v>0</v>
      </c>
      <c r="Z555" s="416">
        <v>0</v>
      </c>
      <c r="AA555" s="416">
        <v>0</v>
      </c>
      <c r="AB555" s="416">
        <v>0</v>
      </c>
      <c r="AC555" s="416">
        <v>0</v>
      </c>
      <c r="AD555" s="416">
        <v>0</v>
      </c>
      <c r="AE555" s="416">
        <v>0</v>
      </c>
      <c r="AF555" s="416">
        <v>0</v>
      </c>
      <c r="AG555" s="416">
        <v>0</v>
      </c>
      <c r="AH555" s="416">
        <v>0</v>
      </c>
      <c r="AI555" s="416">
        <v>0</v>
      </c>
      <c r="AJ555" s="416">
        <v>0</v>
      </c>
      <c r="AK555" s="416">
        <v>0</v>
      </c>
      <c r="AL555" s="416">
        <v>0</v>
      </c>
      <c r="AM555" s="416">
        <v>0</v>
      </c>
      <c r="AN555" s="416">
        <v>0</v>
      </c>
      <c r="AO555" s="416">
        <v>0</v>
      </c>
      <c r="AP555" s="416">
        <v>0</v>
      </c>
      <c r="AQ555" s="416">
        <v>0</v>
      </c>
      <c r="AR555" s="416">
        <v>0</v>
      </c>
      <c r="AS555" s="416">
        <v>0</v>
      </c>
      <c r="AT555" s="416">
        <v>0</v>
      </c>
      <c r="AU555" s="416">
        <v>0</v>
      </c>
      <c r="AV555" s="416">
        <v>0</v>
      </c>
      <c r="AW555" s="416">
        <v>0</v>
      </c>
      <c r="AX555" s="416">
        <v>0</v>
      </c>
      <c r="AY555" s="416">
        <v>0</v>
      </c>
      <c r="AZ555" s="416">
        <v>0</v>
      </c>
    </row>
    <row r="556" spans="1:52" s="411" customFormat="1" x14ac:dyDescent="0.3">
      <c r="A556" s="415" t="str">
        <f t="shared" si="8"/>
        <v>SA-350 Gr.LF9</v>
      </c>
      <c r="B556" s="415">
        <v>550</v>
      </c>
      <c r="C556" s="415" t="s">
        <v>3134</v>
      </c>
      <c r="D556" s="415" t="s">
        <v>2737</v>
      </c>
      <c r="E556" s="415" t="s">
        <v>2212</v>
      </c>
      <c r="F556" s="415" t="s">
        <v>2505</v>
      </c>
      <c r="G556" s="415" t="s">
        <v>3137</v>
      </c>
      <c r="H556" s="415">
        <v>0</v>
      </c>
      <c r="I556" s="415">
        <v>0</v>
      </c>
      <c r="J556" s="415" t="s">
        <v>3131</v>
      </c>
      <c r="K556" s="415">
        <v>1</v>
      </c>
      <c r="L556" s="415">
        <v>435</v>
      </c>
      <c r="M556" s="415">
        <v>315</v>
      </c>
      <c r="N556" s="415" t="s">
        <v>2675</v>
      </c>
      <c r="O556" s="415" t="s">
        <v>2675</v>
      </c>
      <c r="P556" s="415">
        <v>38</v>
      </c>
      <c r="Q556" s="415">
        <v>38</v>
      </c>
      <c r="R556" s="415" t="s">
        <v>2819</v>
      </c>
      <c r="S556" s="415">
        <v>0</v>
      </c>
      <c r="T556" s="416">
        <v>125</v>
      </c>
      <c r="U556" s="416">
        <v>125</v>
      </c>
      <c r="V556" s="416">
        <v>0</v>
      </c>
      <c r="W556" s="416">
        <v>0</v>
      </c>
      <c r="X556" s="416">
        <v>0</v>
      </c>
      <c r="Y556" s="416">
        <v>0</v>
      </c>
      <c r="Z556" s="416">
        <v>0</v>
      </c>
      <c r="AA556" s="416">
        <v>0</v>
      </c>
      <c r="AB556" s="416">
        <v>0</v>
      </c>
      <c r="AC556" s="416">
        <v>0</v>
      </c>
      <c r="AD556" s="416">
        <v>0</v>
      </c>
      <c r="AE556" s="416">
        <v>0</v>
      </c>
      <c r="AF556" s="416">
        <v>0</v>
      </c>
      <c r="AG556" s="416">
        <v>0</v>
      </c>
      <c r="AH556" s="416">
        <v>0</v>
      </c>
      <c r="AI556" s="416">
        <v>0</v>
      </c>
      <c r="AJ556" s="416">
        <v>0</v>
      </c>
      <c r="AK556" s="416">
        <v>0</v>
      </c>
      <c r="AL556" s="416">
        <v>0</v>
      </c>
      <c r="AM556" s="416">
        <v>0</v>
      </c>
      <c r="AN556" s="416">
        <v>0</v>
      </c>
      <c r="AO556" s="416">
        <v>0</v>
      </c>
      <c r="AP556" s="416">
        <v>0</v>
      </c>
      <c r="AQ556" s="416">
        <v>0</v>
      </c>
      <c r="AR556" s="416">
        <v>0</v>
      </c>
      <c r="AS556" s="416">
        <v>0</v>
      </c>
      <c r="AT556" s="416">
        <v>0</v>
      </c>
      <c r="AU556" s="416">
        <v>0</v>
      </c>
      <c r="AV556" s="416">
        <v>0</v>
      </c>
      <c r="AW556" s="416">
        <v>0</v>
      </c>
      <c r="AX556" s="416">
        <v>0</v>
      </c>
      <c r="AY556" s="416">
        <v>0</v>
      </c>
      <c r="AZ556" s="416">
        <v>0</v>
      </c>
    </row>
    <row r="557" spans="1:52" s="411" customFormat="1" x14ac:dyDescent="0.3">
      <c r="A557" s="415" t="str">
        <f t="shared" si="8"/>
        <v>SA-420 Gr.WPL9</v>
      </c>
      <c r="B557" s="415">
        <v>551</v>
      </c>
      <c r="C557" s="415" t="s">
        <v>3134</v>
      </c>
      <c r="D557" s="415" t="s">
        <v>2758</v>
      </c>
      <c r="E557" s="415" t="s">
        <v>2235</v>
      </c>
      <c r="F557" s="415" t="s">
        <v>2615</v>
      </c>
      <c r="G557" s="415" t="s">
        <v>3135</v>
      </c>
      <c r="H557" s="415">
        <v>0</v>
      </c>
      <c r="I557" s="415">
        <v>0</v>
      </c>
      <c r="J557" s="415" t="s">
        <v>3131</v>
      </c>
      <c r="K557" s="415">
        <v>1</v>
      </c>
      <c r="L557" s="415">
        <v>435</v>
      </c>
      <c r="M557" s="415">
        <v>315</v>
      </c>
      <c r="N557" s="415" t="s">
        <v>2675</v>
      </c>
      <c r="O557" s="415">
        <v>38</v>
      </c>
      <c r="P557" s="415">
        <v>38</v>
      </c>
      <c r="Q557" s="415">
        <v>38</v>
      </c>
      <c r="R557" s="415" t="s">
        <v>2819</v>
      </c>
      <c r="S557" s="415" t="s">
        <v>3138</v>
      </c>
      <c r="T557" s="416">
        <v>125</v>
      </c>
      <c r="U557" s="416">
        <v>125</v>
      </c>
      <c r="V557" s="416">
        <v>0</v>
      </c>
      <c r="W557" s="416">
        <v>0</v>
      </c>
      <c r="X557" s="416">
        <v>0</v>
      </c>
      <c r="Y557" s="416">
        <v>0</v>
      </c>
      <c r="Z557" s="416">
        <v>0</v>
      </c>
      <c r="AA557" s="416">
        <v>0</v>
      </c>
      <c r="AB557" s="416">
        <v>0</v>
      </c>
      <c r="AC557" s="416">
        <v>0</v>
      </c>
      <c r="AD557" s="416">
        <v>0</v>
      </c>
      <c r="AE557" s="416">
        <v>0</v>
      </c>
      <c r="AF557" s="416">
        <v>0</v>
      </c>
      <c r="AG557" s="416">
        <v>0</v>
      </c>
      <c r="AH557" s="416">
        <v>0</v>
      </c>
      <c r="AI557" s="416">
        <v>0</v>
      </c>
      <c r="AJ557" s="416">
        <v>0</v>
      </c>
      <c r="AK557" s="416">
        <v>0</v>
      </c>
      <c r="AL557" s="416">
        <v>0</v>
      </c>
      <c r="AM557" s="416">
        <v>0</v>
      </c>
      <c r="AN557" s="416">
        <v>0</v>
      </c>
      <c r="AO557" s="416">
        <v>0</v>
      </c>
      <c r="AP557" s="416">
        <v>0</v>
      </c>
      <c r="AQ557" s="416">
        <v>0</v>
      </c>
      <c r="AR557" s="416">
        <v>0</v>
      </c>
      <c r="AS557" s="416">
        <v>0</v>
      </c>
      <c r="AT557" s="416">
        <v>0</v>
      </c>
      <c r="AU557" s="416">
        <v>0</v>
      </c>
      <c r="AV557" s="416">
        <v>0</v>
      </c>
      <c r="AW557" s="416">
        <v>0</v>
      </c>
      <c r="AX557" s="416">
        <v>0</v>
      </c>
      <c r="AY557" s="416">
        <v>0</v>
      </c>
      <c r="AZ557" s="416">
        <v>0</v>
      </c>
    </row>
    <row r="558" spans="1:52" s="411" customFormat="1" x14ac:dyDescent="0.3">
      <c r="A558" s="415" t="str">
        <f t="shared" si="8"/>
        <v>SA-723 Gr.1</v>
      </c>
      <c r="B558" s="415">
        <v>552</v>
      </c>
      <c r="C558" s="415" t="s">
        <v>3139</v>
      </c>
      <c r="D558" s="415" t="s">
        <v>2737</v>
      </c>
      <c r="E558" s="415" t="s">
        <v>2305</v>
      </c>
      <c r="F558" s="415">
        <v>1</v>
      </c>
      <c r="G558" s="415" t="s">
        <v>3140</v>
      </c>
      <c r="H558" s="415">
        <v>1</v>
      </c>
      <c r="I558" s="415">
        <v>0</v>
      </c>
      <c r="J558" s="415">
        <v>0</v>
      </c>
      <c r="K558" s="415">
        <v>0</v>
      </c>
      <c r="L558" s="415">
        <v>795</v>
      </c>
      <c r="M558" s="415">
        <v>690</v>
      </c>
      <c r="N558" s="415" t="s">
        <v>2675</v>
      </c>
      <c r="O558" s="415" t="s">
        <v>2704</v>
      </c>
      <c r="P558" s="415" t="s">
        <v>2675</v>
      </c>
      <c r="Q558" s="415" t="s">
        <v>2675</v>
      </c>
      <c r="R558" s="415" t="s">
        <v>2896</v>
      </c>
      <c r="S558" s="415" t="s">
        <v>3141</v>
      </c>
      <c r="T558" s="416">
        <v>227</v>
      </c>
      <c r="U558" s="416">
        <v>227</v>
      </c>
      <c r="V558" s="416">
        <v>227</v>
      </c>
      <c r="W558" s="416">
        <v>227</v>
      </c>
      <c r="X558" s="416">
        <v>227</v>
      </c>
      <c r="Y558" s="416">
        <v>227</v>
      </c>
      <c r="Z558" s="416">
        <v>227</v>
      </c>
      <c r="AA558" s="416">
        <v>227</v>
      </c>
      <c r="AB558" s="416">
        <v>227</v>
      </c>
      <c r="AC558" s="416">
        <v>226</v>
      </c>
      <c r="AD558" s="416">
        <v>222</v>
      </c>
      <c r="AE558" s="416">
        <v>217</v>
      </c>
      <c r="AF558" s="416">
        <v>0</v>
      </c>
      <c r="AG558" s="416">
        <v>0</v>
      </c>
      <c r="AH558" s="416">
        <v>0</v>
      </c>
      <c r="AI558" s="416">
        <v>0</v>
      </c>
      <c r="AJ558" s="416">
        <v>0</v>
      </c>
      <c r="AK558" s="416">
        <v>0</v>
      </c>
      <c r="AL558" s="416">
        <v>0</v>
      </c>
      <c r="AM558" s="416">
        <v>0</v>
      </c>
      <c r="AN558" s="416">
        <v>0</v>
      </c>
      <c r="AO558" s="416">
        <v>0</v>
      </c>
      <c r="AP558" s="416">
        <v>0</v>
      </c>
      <c r="AQ558" s="416">
        <v>0</v>
      </c>
      <c r="AR558" s="416">
        <v>0</v>
      </c>
      <c r="AS558" s="416">
        <v>0</v>
      </c>
      <c r="AT558" s="416">
        <v>0</v>
      </c>
      <c r="AU558" s="416">
        <v>0</v>
      </c>
      <c r="AV558" s="416">
        <v>0</v>
      </c>
      <c r="AW558" s="416">
        <v>0</v>
      </c>
      <c r="AX558" s="416">
        <v>0</v>
      </c>
      <c r="AY558" s="416">
        <v>0</v>
      </c>
      <c r="AZ558" s="416">
        <v>0</v>
      </c>
    </row>
    <row r="559" spans="1:52" s="411" customFormat="1" x14ac:dyDescent="0.3">
      <c r="A559" s="415" t="str">
        <f t="shared" si="8"/>
        <v>SA-723 Gr.1</v>
      </c>
      <c r="B559" s="415">
        <v>553</v>
      </c>
      <c r="C559" s="415" t="s">
        <v>3139</v>
      </c>
      <c r="D559" s="415" t="s">
        <v>2737</v>
      </c>
      <c r="E559" s="415" t="s">
        <v>2305</v>
      </c>
      <c r="F559" s="415">
        <v>1</v>
      </c>
      <c r="G559" s="415" t="s">
        <v>3140</v>
      </c>
      <c r="H559" s="415">
        <v>2</v>
      </c>
      <c r="I559" s="415">
        <v>0</v>
      </c>
      <c r="J559" s="415">
        <v>0</v>
      </c>
      <c r="K559" s="415">
        <v>0</v>
      </c>
      <c r="L559" s="415">
        <v>930</v>
      </c>
      <c r="M559" s="415">
        <v>825</v>
      </c>
      <c r="N559" s="415" t="s">
        <v>2675</v>
      </c>
      <c r="O559" s="415" t="s">
        <v>2704</v>
      </c>
      <c r="P559" s="415" t="s">
        <v>2675</v>
      </c>
      <c r="Q559" s="415" t="s">
        <v>2675</v>
      </c>
      <c r="R559" s="415" t="s">
        <v>2896</v>
      </c>
      <c r="S559" s="415" t="s">
        <v>3141</v>
      </c>
      <c r="T559" s="416">
        <v>266</v>
      </c>
      <c r="U559" s="416">
        <v>266</v>
      </c>
      <c r="V559" s="416">
        <v>266</v>
      </c>
      <c r="W559" s="416">
        <v>266</v>
      </c>
      <c r="X559" s="416">
        <v>266</v>
      </c>
      <c r="Y559" s="416">
        <v>266</v>
      </c>
      <c r="Z559" s="416">
        <v>266</v>
      </c>
      <c r="AA559" s="416">
        <v>266</v>
      </c>
      <c r="AB559" s="416">
        <v>266</v>
      </c>
      <c r="AC559" s="416">
        <v>265</v>
      </c>
      <c r="AD559" s="416">
        <v>261</v>
      </c>
      <c r="AE559" s="416">
        <v>255</v>
      </c>
      <c r="AF559" s="416">
        <v>0</v>
      </c>
      <c r="AG559" s="416">
        <v>0</v>
      </c>
      <c r="AH559" s="416">
        <v>0</v>
      </c>
      <c r="AI559" s="416">
        <v>0</v>
      </c>
      <c r="AJ559" s="416">
        <v>0</v>
      </c>
      <c r="AK559" s="416">
        <v>0</v>
      </c>
      <c r="AL559" s="416">
        <v>0</v>
      </c>
      <c r="AM559" s="416">
        <v>0</v>
      </c>
      <c r="AN559" s="416">
        <v>0</v>
      </c>
      <c r="AO559" s="416">
        <v>0</v>
      </c>
      <c r="AP559" s="416">
        <v>0</v>
      </c>
      <c r="AQ559" s="416">
        <v>0</v>
      </c>
      <c r="AR559" s="416">
        <v>0</v>
      </c>
      <c r="AS559" s="416">
        <v>0</v>
      </c>
      <c r="AT559" s="416">
        <v>0</v>
      </c>
      <c r="AU559" s="416">
        <v>0</v>
      </c>
      <c r="AV559" s="416">
        <v>0</v>
      </c>
      <c r="AW559" s="416">
        <v>0</v>
      </c>
      <c r="AX559" s="416">
        <v>0</v>
      </c>
      <c r="AY559" s="416">
        <v>0</v>
      </c>
      <c r="AZ559" s="416">
        <v>0</v>
      </c>
    </row>
    <row r="560" spans="1:52" s="411" customFormat="1" x14ac:dyDescent="0.3">
      <c r="A560" s="415" t="str">
        <f t="shared" si="8"/>
        <v>SA-723 Gr.1</v>
      </c>
      <c r="B560" s="415">
        <v>554</v>
      </c>
      <c r="C560" s="415" t="s">
        <v>3139</v>
      </c>
      <c r="D560" s="415" t="s">
        <v>2737</v>
      </c>
      <c r="E560" s="415" t="s">
        <v>2305</v>
      </c>
      <c r="F560" s="415">
        <v>1</v>
      </c>
      <c r="G560" s="415" t="s">
        <v>3140</v>
      </c>
      <c r="H560" s="415">
        <v>3</v>
      </c>
      <c r="I560" s="415">
        <v>0</v>
      </c>
      <c r="J560" s="415">
        <v>0</v>
      </c>
      <c r="K560" s="415">
        <v>0</v>
      </c>
      <c r="L560" s="415">
        <v>1070</v>
      </c>
      <c r="M560" s="415">
        <v>965</v>
      </c>
      <c r="N560" s="415" t="s">
        <v>2675</v>
      </c>
      <c r="O560" s="415" t="s">
        <v>2704</v>
      </c>
      <c r="P560" s="415" t="s">
        <v>2675</v>
      </c>
      <c r="Q560" s="415" t="s">
        <v>2675</v>
      </c>
      <c r="R560" s="415" t="s">
        <v>2896</v>
      </c>
      <c r="S560" s="415" t="s">
        <v>3141</v>
      </c>
      <c r="T560" s="416">
        <v>305</v>
      </c>
      <c r="U560" s="416">
        <v>305</v>
      </c>
      <c r="V560" s="416">
        <v>305</v>
      </c>
      <c r="W560" s="416">
        <v>305</v>
      </c>
      <c r="X560" s="416">
        <v>305</v>
      </c>
      <c r="Y560" s="416">
        <v>305</v>
      </c>
      <c r="Z560" s="416">
        <v>305</v>
      </c>
      <c r="AA560" s="416">
        <v>305</v>
      </c>
      <c r="AB560" s="416">
        <v>305</v>
      </c>
      <c r="AC560" s="416">
        <v>305</v>
      </c>
      <c r="AD560" s="416">
        <v>299</v>
      </c>
      <c r="AE560" s="416">
        <v>293</v>
      </c>
      <c r="AF560" s="416">
        <v>0</v>
      </c>
      <c r="AG560" s="416">
        <v>0</v>
      </c>
      <c r="AH560" s="416">
        <v>0</v>
      </c>
      <c r="AI560" s="416">
        <v>0</v>
      </c>
      <c r="AJ560" s="416">
        <v>0</v>
      </c>
      <c r="AK560" s="416">
        <v>0</v>
      </c>
      <c r="AL560" s="416">
        <v>0</v>
      </c>
      <c r="AM560" s="416">
        <v>0</v>
      </c>
      <c r="AN560" s="416">
        <v>0</v>
      </c>
      <c r="AO560" s="416">
        <v>0</v>
      </c>
      <c r="AP560" s="416">
        <v>0</v>
      </c>
      <c r="AQ560" s="416">
        <v>0</v>
      </c>
      <c r="AR560" s="416">
        <v>0</v>
      </c>
      <c r="AS560" s="416">
        <v>0</v>
      </c>
      <c r="AT560" s="416">
        <v>0</v>
      </c>
      <c r="AU560" s="416">
        <v>0</v>
      </c>
      <c r="AV560" s="416">
        <v>0</v>
      </c>
      <c r="AW560" s="416">
        <v>0</v>
      </c>
      <c r="AX560" s="416">
        <v>0</v>
      </c>
      <c r="AY560" s="416">
        <v>0</v>
      </c>
      <c r="AZ560" s="416">
        <v>0</v>
      </c>
    </row>
    <row r="561" spans="1:52" s="411" customFormat="1" x14ac:dyDescent="0.3">
      <c r="A561" s="415" t="str">
        <f t="shared" si="8"/>
        <v>SA-723 Gr.1</v>
      </c>
      <c r="B561" s="415">
        <v>555</v>
      </c>
      <c r="C561" s="415" t="s">
        <v>3139</v>
      </c>
      <c r="D561" s="415" t="s">
        <v>2737</v>
      </c>
      <c r="E561" s="415" t="s">
        <v>2305</v>
      </c>
      <c r="F561" s="415">
        <v>1</v>
      </c>
      <c r="G561" s="415" t="s">
        <v>3140</v>
      </c>
      <c r="H561" s="415">
        <v>4</v>
      </c>
      <c r="I561" s="415">
        <v>0</v>
      </c>
      <c r="J561" s="415">
        <v>0</v>
      </c>
      <c r="K561" s="415">
        <v>0</v>
      </c>
      <c r="L561" s="415">
        <v>1205</v>
      </c>
      <c r="M561" s="415">
        <v>1105</v>
      </c>
      <c r="N561" s="415" t="s">
        <v>2675</v>
      </c>
      <c r="O561" s="415" t="s">
        <v>2704</v>
      </c>
      <c r="P561" s="415" t="s">
        <v>2675</v>
      </c>
      <c r="Q561" s="415" t="s">
        <v>2675</v>
      </c>
      <c r="R561" s="415" t="s">
        <v>2896</v>
      </c>
      <c r="S561" s="415" t="s">
        <v>3141</v>
      </c>
      <c r="T561" s="416">
        <v>345</v>
      </c>
      <c r="U561" s="416">
        <v>345</v>
      </c>
      <c r="V561" s="416">
        <v>345</v>
      </c>
      <c r="W561" s="416">
        <v>345</v>
      </c>
      <c r="X561" s="416">
        <v>345</v>
      </c>
      <c r="Y561" s="416">
        <v>345</v>
      </c>
      <c r="Z561" s="416">
        <v>345</v>
      </c>
      <c r="AA561" s="416">
        <v>345</v>
      </c>
      <c r="AB561" s="416">
        <v>345</v>
      </c>
      <c r="AC561" s="416">
        <v>343</v>
      </c>
      <c r="AD561" s="416">
        <v>337</v>
      </c>
      <c r="AE561" s="416">
        <v>330</v>
      </c>
      <c r="AF561" s="416">
        <v>0</v>
      </c>
      <c r="AG561" s="416">
        <v>0</v>
      </c>
      <c r="AH561" s="416">
        <v>0</v>
      </c>
      <c r="AI561" s="416">
        <v>0</v>
      </c>
      <c r="AJ561" s="416">
        <v>0</v>
      </c>
      <c r="AK561" s="416">
        <v>0</v>
      </c>
      <c r="AL561" s="416">
        <v>0</v>
      </c>
      <c r="AM561" s="416">
        <v>0</v>
      </c>
      <c r="AN561" s="416">
        <v>0</v>
      </c>
      <c r="AO561" s="416">
        <v>0</v>
      </c>
      <c r="AP561" s="416">
        <v>0</v>
      </c>
      <c r="AQ561" s="416">
        <v>0</v>
      </c>
      <c r="AR561" s="416">
        <v>0</v>
      </c>
      <c r="AS561" s="416">
        <v>0</v>
      </c>
      <c r="AT561" s="416">
        <v>0</v>
      </c>
      <c r="AU561" s="416">
        <v>0</v>
      </c>
      <c r="AV561" s="416">
        <v>0</v>
      </c>
      <c r="AW561" s="416">
        <v>0</v>
      </c>
      <c r="AX561" s="416">
        <v>0</v>
      </c>
      <c r="AY561" s="416">
        <v>0</v>
      </c>
      <c r="AZ561" s="416">
        <v>0</v>
      </c>
    </row>
    <row r="562" spans="1:52" s="411" customFormat="1" x14ac:dyDescent="0.3">
      <c r="A562" s="415" t="str">
        <f t="shared" si="8"/>
        <v>SA-723 Gr.1</v>
      </c>
      <c r="B562" s="415">
        <v>556</v>
      </c>
      <c r="C562" s="415" t="s">
        <v>3139</v>
      </c>
      <c r="D562" s="415" t="s">
        <v>2737</v>
      </c>
      <c r="E562" s="415" t="s">
        <v>2305</v>
      </c>
      <c r="F562" s="415">
        <v>1</v>
      </c>
      <c r="G562" s="415" t="s">
        <v>3140</v>
      </c>
      <c r="H562" s="415">
        <v>5</v>
      </c>
      <c r="I562" s="415">
        <v>0</v>
      </c>
      <c r="J562" s="415">
        <v>0</v>
      </c>
      <c r="K562" s="415">
        <v>0</v>
      </c>
      <c r="L562" s="415">
        <v>1310</v>
      </c>
      <c r="M562" s="415">
        <v>1240</v>
      </c>
      <c r="N562" s="415" t="s">
        <v>2675</v>
      </c>
      <c r="O562" s="415" t="s">
        <v>2704</v>
      </c>
      <c r="P562" s="415" t="s">
        <v>2675</v>
      </c>
      <c r="Q562" s="415" t="s">
        <v>2675</v>
      </c>
      <c r="R562" s="415" t="s">
        <v>2896</v>
      </c>
      <c r="S562" s="415" t="s">
        <v>3141</v>
      </c>
      <c r="T562" s="416">
        <v>374</v>
      </c>
      <c r="U562" s="416">
        <v>374</v>
      </c>
      <c r="V562" s="416">
        <v>374</v>
      </c>
      <c r="W562" s="416">
        <v>374</v>
      </c>
      <c r="X562" s="416">
        <v>374</v>
      </c>
      <c r="Y562" s="416">
        <v>374</v>
      </c>
      <c r="Z562" s="416">
        <v>374</v>
      </c>
      <c r="AA562" s="416">
        <v>374</v>
      </c>
      <c r="AB562" s="416">
        <v>374</v>
      </c>
      <c r="AC562" s="416">
        <v>373</v>
      </c>
      <c r="AD562" s="416">
        <v>367</v>
      </c>
      <c r="AE562" s="416">
        <v>359</v>
      </c>
      <c r="AF562" s="416">
        <v>0</v>
      </c>
      <c r="AG562" s="416">
        <v>0</v>
      </c>
      <c r="AH562" s="416">
        <v>0</v>
      </c>
      <c r="AI562" s="416">
        <v>0</v>
      </c>
      <c r="AJ562" s="416">
        <v>0</v>
      </c>
      <c r="AK562" s="416">
        <v>0</v>
      </c>
      <c r="AL562" s="416">
        <v>0</v>
      </c>
      <c r="AM562" s="416">
        <v>0</v>
      </c>
      <c r="AN562" s="416">
        <v>0</v>
      </c>
      <c r="AO562" s="416">
        <v>0</v>
      </c>
      <c r="AP562" s="416">
        <v>0</v>
      </c>
      <c r="AQ562" s="416">
        <v>0</v>
      </c>
      <c r="AR562" s="416">
        <v>0</v>
      </c>
      <c r="AS562" s="416">
        <v>0</v>
      </c>
      <c r="AT562" s="416">
        <v>0</v>
      </c>
      <c r="AU562" s="416">
        <v>0</v>
      </c>
      <c r="AV562" s="416">
        <v>0</v>
      </c>
      <c r="AW562" s="416">
        <v>0</v>
      </c>
      <c r="AX562" s="416">
        <v>0</v>
      </c>
      <c r="AY562" s="416">
        <v>0</v>
      </c>
      <c r="AZ562" s="416">
        <v>0</v>
      </c>
    </row>
    <row r="563" spans="1:52" s="411" customFormat="1" x14ac:dyDescent="0.3">
      <c r="A563" s="415" t="str">
        <f t="shared" si="8"/>
        <v>SA-333 Gr.7</v>
      </c>
      <c r="B563" s="415">
        <v>557</v>
      </c>
      <c r="C563" s="415" t="s">
        <v>3142</v>
      </c>
      <c r="D563" s="415" t="s">
        <v>2916</v>
      </c>
      <c r="E563" s="415" t="s">
        <v>2172</v>
      </c>
      <c r="F563" s="415">
        <v>7</v>
      </c>
      <c r="G563" s="415" t="s">
        <v>3143</v>
      </c>
      <c r="H563" s="415">
        <v>0</v>
      </c>
      <c r="I563" s="415">
        <v>0</v>
      </c>
      <c r="J563" s="415" t="s">
        <v>3131</v>
      </c>
      <c r="K563" s="415">
        <v>1</v>
      </c>
      <c r="L563" s="415">
        <v>450</v>
      </c>
      <c r="M563" s="415">
        <v>240</v>
      </c>
      <c r="N563" s="415" t="s">
        <v>2675</v>
      </c>
      <c r="O563" s="415" t="s">
        <v>2675</v>
      </c>
      <c r="P563" s="415">
        <v>343</v>
      </c>
      <c r="Q563" s="415">
        <v>343</v>
      </c>
      <c r="R563" s="415" t="s">
        <v>2699</v>
      </c>
      <c r="S563" s="415">
        <v>0</v>
      </c>
      <c r="T563" s="416">
        <v>128</v>
      </c>
      <c r="U563" s="416">
        <v>128</v>
      </c>
      <c r="V563" s="416">
        <v>128</v>
      </c>
      <c r="W563" s="416">
        <v>128</v>
      </c>
      <c r="X563" s="416">
        <v>128</v>
      </c>
      <c r="Y563" s="416">
        <v>128</v>
      </c>
      <c r="Z563" s="416">
        <v>128</v>
      </c>
      <c r="AA563" s="416">
        <v>128</v>
      </c>
      <c r="AB563" s="416">
        <v>124</v>
      </c>
      <c r="AC563" s="416">
        <v>119</v>
      </c>
      <c r="AD563" s="416">
        <v>114</v>
      </c>
      <c r="AE563" s="416">
        <v>0</v>
      </c>
      <c r="AF563" s="416">
        <v>0</v>
      </c>
      <c r="AG563" s="416">
        <v>0</v>
      </c>
      <c r="AH563" s="416">
        <v>0</v>
      </c>
      <c r="AI563" s="416">
        <v>0</v>
      </c>
      <c r="AJ563" s="416">
        <v>0</v>
      </c>
      <c r="AK563" s="416">
        <v>0</v>
      </c>
      <c r="AL563" s="416">
        <v>0</v>
      </c>
      <c r="AM563" s="416">
        <v>0</v>
      </c>
      <c r="AN563" s="416">
        <v>0</v>
      </c>
      <c r="AO563" s="416">
        <v>0</v>
      </c>
      <c r="AP563" s="416">
        <v>0</v>
      </c>
      <c r="AQ563" s="416">
        <v>0</v>
      </c>
      <c r="AR563" s="416">
        <v>0</v>
      </c>
      <c r="AS563" s="416">
        <v>0</v>
      </c>
      <c r="AT563" s="416">
        <v>0</v>
      </c>
      <c r="AU563" s="416">
        <v>0</v>
      </c>
      <c r="AV563" s="416">
        <v>0</v>
      </c>
      <c r="AW563" s="416">
        <v>0</v>
      </c>
      <c r="AX563" s="416">
        <v>0</v>
      </c>
      <c r="AY563" s="416">
        <v>0</v>
      </c>
      <c r="AZ563" s="416">
        <v>0</v>
      </c>
    </row>
    <row r="564" spans="1:52" s="411" customFormat="1" x14ac:dyDescent="0.3">
      <c r="A564" s="415" t="str">
        <f t="shared" si="8"/>
        <v>SA-333 Gr.7</v>
      </c>
      <c r="B564" s="415">
        <v>558</v>
      </c>
      <c r="C564" s="415" t="s">
        <v>3142</v>
      </c>
      <c r="D564" s="415" t="s">
        <v>2680</v>
      </c>
      <c r="E564" s="415" t="s">
        <v>2172</v>
      </c>
      <c r="F564" s="415">
        <v>7</v>
      </c>
      <c r="G564" s="415" t="s">
        <v>3143</v>
      </c>
      <c r="H564" s="415">
        <v>0</v>
      </c>
      <c r="I564" s="415">
        <v>0</v>
      </c>
      <c r="J564" s="415" t="s">
        <v>3131</v>
      </c>
      <c r="K564" s="415">
        <v>1</v>
      </c>
      <c r="L564" s="415">
        <v>450</v>
      </c>
      <c r="M564" s="415">
        <v>240</v>
      </c>
      <c r="N564" s="415" t="s">
        <v>2675</v>
      </c>
      <c r="O564" s="415" t="s">
        <v>2675</v>
      </c>
      <c r="P564" s="415">
        <v>343</v>
      </c>
      <c r="Q564" s="415">
        <v>343</v>
      </c>
      <c r="R564" s="415" t="s">
        <v>2699</v>
      </c>
      <c r="S564" s="415" t="s">
        <v>3004</v>
      </c>
      <c r="T564" s="416">
        <v>109</v>
      </c>
      <c r="U564" s="416">
        <v>109</v>
      </c>
      <c r="V564" s="416">
        <v>109</v>
      </c>
      <c r="W564" s="416">
        <v>109</v>
      </c>
      <c r="X564" s="416">
        <v>109</v>
      </c>
      <c r="Y564" s="416">
        <v>109</v>
      </c>
      <c r="Z564" s="416">
        <v>109</v>
      </c>
      <c r="AA564" s="416">
        <v>109</v>
      </c>
      <c r="AB564" s="416">
        <v>105</v>
      </c>
      <c r="AC564" s="416">
        <v>101</v>
      </c>
      <c r="AD564" s="416">
        <v>96.7</v>
      </c>
      <c r="AE564" s="416">
        <v>0</v>
      </c>
      <c r="AF564" s="416">
        <v>0</v>
      </c>
      <c r="AG564" s="416">
        <v>0</v>
      </c>
      <c r="AH564" s="416">
        <v>0</v>
      </c>
      <c r="AI564" s="416">
        <v>0</v>
      </c>
      <c r="AJ564" s="416">
        <v>0</v>
      </c>
      <c r="AK564" s="416">
        <v>0</v>
      </c>
      <c r="AL564" s="416">
        <v>0</v>
      </c>
      <c r="AM564" s="416">
        <v>0</v>
      </c>
      <c r="AN564" s="416">
        <v>0</v>
      </c>
      <c r="AO564" s="416">
        <v>0</v>
      </c>
      <c r="AP564" s="416">
        <v>0</v>
      </c>
      <c r="AQ564" s="416">
        <v>0</v>
      </c>
      <c r="AR564" s="416">
        <v>0</v>
      </c>
      <c r="AS564" s="416">
        <v>0</v>
      </c>
      <c r="AT564" s="416">
        <v>0</v>
      </c>
      <c r="AU564" s="416">
        <v>0</v>
      </c>
      <c r="AV564" s="416">
        <v>0</v>
      </c>
      <c r="AW564" s="416">
        <v>0</v>
      </c>
      <c r="AX564" s="416">
        <v>0</v>
      </c>
      <c r="AY564" s="416">
        <v>0</v>
      </c>
      <c r="AZ564" s="416">
        <v>0</v>
      </c>
    </row>
    <row r="565" spans="1:52" s="411" customFormat="1" x14ac:dyDescent="0.3">
      <c r="A565" s="415" t="str">
        <f t="shared" si="8"/>
        <v>SA-334 Gr.7</v>
      </c>
      <c r="B565" s="415">
        <v>559</v>
      </c>
      <c r="C565" s="415" t="s">
        <v>3142</v>
      </c>
      <c r="D565" s="415" t="s">
        <v>3136</v>
      </c>
      <c r="E565" s="415" t="s">
        <v>2209</v>
      </c>
      <c r="F565" s="415">
        <v>7</v>
      </c>
      <c r="G565" s="415" t="s">
        <v>3143</v>
      </c>
      <c r="H565" s="415">
        <v>0</v>
      </c>
      <c r="I565" s="415">
        <v>0</v>
      </c>
      <c r="J565" s="415" t="s">
        <v>3131</v>
      </c>
      <c r="K565" s="415">
        <v>1</v>
      </c>
      <c r="L565" s="415">
        <v>450</v>
      </c>
      <c r="M565" s="415">
        <v>240</v>
      </c>
      <c r="N565" s="415" t="s">
        <v>2675</v>
      </c>
      <c r="O565" s="415" t="s">
        <v>2675</v>
      </c>
      <c r="P565" s="415">
        <v>343</v>
      </c>
      <c r="Q565" s="415">
        <v>343</v>
      </c>
      <c r="R565" s="415" t="s">
        <v>2699</v>
      </c>
      <c r="S565" s="415">
        <v>0</v>
      </c>
      <c r="T565" s="416">
        <v>128</v>
      </c>
      <c r="U565" s="416">
        <v>128</v>
      </c>
      <c r="V565" s="416">
        <v>128</v>
      </c>
      <c r="W565" s="416">
        <v>128</v>
      </c>
      <c r="X565" s="416">
        <v>128</v>
      </c>
      <c r="Y565" s="416">
        <v>128</v>
      </c>
      <c r="Z565" s="416">
        <v>128</v>
      </c>
      <c r="AA565" s="416">
        <v>128</v>
      </c>
      <c r="AB565" s="416">
        <v>124</v>
      </c>
      <c r="AC565" s="416">
        <v>119</v>
      </c>
      <c r="AD565" s="416">
        <v>114</v>
      </c>
      <c r="AE565" s="416">
        <v>0</v>
      </c>
      <c r="AF565" s="416">
        <v>0</v>
      </c>
      <c r="AG565" s="416">
        <v>0</v>
      </c>
      <c r="AH565" s="416">
        <v>0</v>
      </c>
      <c r="AI565" s="416">
        <v>0</v>
      </c>
      <c r="AJ565" s="416">
        <v>0</v>
      </c>
      <c r="AK565" s="416">
        <v>0</v>
      </c>
      <c r="AL565" s="416">
        <v>0</v>
      </c>
      <c r="AM565" s="416">
        <v>0</v>
      </c>
      <c r="AN565" s="416">
        <v>0</v>
      </c>
      <c r="AO565" s="416">
        <v>0</v>
      </c>
      <c r="AP565" s="416">
        <v>0</v>
      </c>
      <c r="AQ565" s="416">
        <v>0</v>
      </c>
      <c r="AR565" s="416">
        <v>0</v>
      </c>
      <c r="AS565" s="416">
        <v>0</v>
      </c>
      <c r="AT565" s="416">
        <v>0</v>
      </c>
      <c r="AU565" s="416">
        <v>0</v>
      </c>
      <c r="AV565" s="416">
        <v>0</v>
      </c>
      <c r="AW565" s="416">
        <v>0</v>
      </c>
      <c r="AX565" s="416">
        <v>0</v>
      </c>
      <c r="AY565" s="416">
        <v>0</v>
      </c>
      <c r="AZ565" s="416">
        <v>0</v>
      </c>
    </row>
    <row r="566" spans="1:52" s="411" customFormat="1" x14ac:dyDescent="0.3">
      <c r="A566" s="415" t="str">
        <f t="shared" si="8"/>
        <v>SA-334 Gr.7</v>
      </c>
      <c r="B566" s="415">
        <v>560</v>
      </c>
      <c r="C566" s="415" t="s">
        <v>3142</v>
      </c>
      <c r="D566" s="415" t="s">
        <v>2689</v>
      </c>
      <c r="E566" s="415" t="s">
        <v>2209</v>
      </c>
      <c r="F566" s="415">
        <v>7</v>
      </c>
      <c r="G566" s="415" t="s">
        <v>3143</v>
      </c>
      <c r="H566" s="415">
        <v>0</v>
      </c>
      <c r="I566" s="415">
        <v>0</v>
      </c>
      <c r="J566" s="415" t="s">
        <v>3131</v>
      </c>
      <c r="K566" s="415">
        <v>1</v>
      </c>
      <c r="L566" s="415">
        <v>450</v>
      </c>
      <c r="M566" s="415">
        <v>240</v>
      </c>
      <c r="N566" s="415" t="s">
        <v>2675</v>
      </c>
      <c r="O566" s="415" t="s">
        <v>2675</v>
      </c>
      <c r="P566" s="415">
        <v>343</v>
      </c>
      <c r="Q566" s="415">
        <v>343</v>
      </c>
      <c r="R566" s="415" t="s">
        <v>2699</v>
      </c>
      <c r="S566" s="415" t="s">
        <v>3004</v>
      </c>
      <c r="T566" s="416">
        <v>109</v>
      </c>
      <c r="U566" s="416">
        <v>109</v>
      </c>
      <c r="V566" s="416">
        <v>109</v>
      </c>
      <c r="W566" s="416">
        <v>109</v>
      </c>
      <c r="X566" s="416">
        <v>109</v>
      </c>
      <c r="Y566" s="416">
        <v>109</v>
      </c>
      <c r="Z566" s="416">
        <v>109</v>
      </c>
      <c r="AA566" s="416">
        <v>109</v>
      </c>
      <c r="AB566" s="416">
        <v>105</v>
      </c>
      <c r="AC566" s="416">
        <v>101</v>
      </c>
      <c r="AD566" s="416">
        <v>96.7</v>
      </c>
      <c r="AE566" s="416">
        <v>0</v>
      </c>
      <c r="AF566" s="416">
        <v>0</v>
      </c>
      <c r="AG566" s="416">
        <v>0</v>
      </c>
      <c r="AH566" s="416">
        <v>0</v>
      </c>
      <c r="AI566" s="416">
        <v>0</v>
      </c>
      <c r="AJ566" s="416">
        <v>0</v>
      </c>
      <c r="AK566" s="416">
        <v>0</v>
      </c>
      <c r="AL566" s="416">
        <v>0</v>
      </c>
      <c r="AM566" s="416">
        <v>0</v>
      </c>
      <c r="AN566" s="416">
        <v>0</v>
      </c>
      <c r="AO566" s="416">
        <v>0</v>
      </c>
      <c r="AP566" s="416">
        <v>0</v>
      </c>
      <c r="AQ566" s="416">
        <v>0</v>
      </c>
      <c r="AR566" s="416">
        <v>0</v>
      </c>
      <c r="AS566" s="416">
        <v>0</v>
      </c>
      <c r="AT566" s="416">
        <v>0</v>
      </c>
      <c r="AU566" s="416">
        <v>0</v>
      </c>
      <c r="AV566" s="416">
        <v>0</v>
      </c>
      <c r="AW566" s="416">
        <v>0</v>
      </c>
      <c r="AX566" s="416">
        <v>0</v>
      </c>
      <c r="AY566" s="416">
        <v>0</v>
      </c>
      <c r="AZ566" s="416">
        <v>0</v>
      </c>
    </row>
    <row r="567" spans="1:52" s="411" customFormat="1" x14ac:dyDescent="0.3">
      <c r="A567" s="415" t="str">
        <f t="shared" si="8"/>
        <v>SA-203 Gr.A</v>
      </c>
      <c r="B567" s="415">
        <v>561</v>
      </c>
      <c r="C567" s="415" t="s">
        <v>3142</v>
      </c>
      <c r="D567" s="415" t="s">
        <v>2684</v>
      </c>
      <c r="E567" s="415" t="s">
        <v>2191</v>
      </c>
      <c r="F567" s="415" t="s">
        <v>12</v>
      </c>
      <c r="G567" s="415" t="s">
        <v>3144</v>
      </c>
      <c r="H567" s="415">
        <v>0</v>
      </c>
      <c r="I567" s="415">
        <v>0</v>
      </c>
      <c r="J567" s="415" t="s">
        <v>3131</v>
      </c>
      <c r="K567" s="415">
        <v>1</v>
      </c>
      <c r="L567" s="415">
        <v>450</v>
      </c>
      <c r="M567" s="415">
        <v>255</v>
      </c>
      <c r="N567" s="415" t="s">
        <v>2675</v>
      </c>
      <c r="O567" s="415">
        <v>371</v>
      </c>
      <c r="P567" s="415">
        <v>538</v>
      </c>
      <c r="Q567" s="415">
        <v>343</v>
      </c>
      <c r="R567" s="415" t="s">
        <v>2699</v>
      </c>
      <c r="S567" s="415" t="s">
        <v>2543</v>
      </c>
      <c r="T567" s="416">
        <v>128</v>
      </c>
      <c r="U567" s="416">
        <v>128</v>
      </c>
      <c r="V567" s="416">
        <v>128</v>
      </c>
      <c r="W567" s="416">
        <v>128</v>
      </c>
      <c r="X567" s="416">
        <v>128</v>
      </c>
      <c r="Y567" s="416">
        <v>128</v>
      </c>
      <c r="Z567" s="416">
        <v>128</v>
      </c>
      <c r="AA567" s="416">
        <v>128</v>
      </c>
      <c r="AB567" s="416">
        <v>128</v>
      </c>
      <c r="AC567" s="416">
        <v>126</v>
      </c>
      <c r="AD567" s="416">
        <v>120</v>
      </c>
      <c r="AE567" s="416">
        <v>112</v>
      </c>
      <c r="AF567" s="416">
        <v>95.1</v>
      </c>
      <c r="AG567" s="416">
        <v>79.599999999999994</v>
      </c>
      <c r="AH567" s="416">
        <v>64.8</v>
      </c>
      <c r="AI567" s="416">
        <v>49.1</v>
      </c>
      <c r="AJ567" s="416">
        <v>35.799999999999997</v>
      </c>
      <c r="AK567" s="416">
        <v>23.7</v>
      </c>
      <c r="AL567" s="416">
        <v>11.1</v>
      </c>
      <c r="AM567" s="416">
        <v>0</v>
      </c>
      <c r="AN567" s="416">
        <v>0</v>
      </c>
      <c r="AO567" s="416">
        <v>0</v>
      </c>
      <c r="AP567" s="416">
        <v>0</v>
      </c>
      <c r="AQ567" s="416">
        <v>0</v>
      </c>
      <c r="AR567" s="416">
        <v>0</v>
      </c>
      <c r="AS567" s="416">
        <v>0</v>
      </c>
      <c r="AT567" s="416">
        <v>0</v>
      </c>
      <c r="AU567" s="416">
        <v>0</v>
      </c>
      <c r="AV567" s="416">
        <v>0</v>
      </c>
      <c r="AW567" s="416">
        <v>0</v>
      </c>
      <c r="AX567" s="416">
        <v>0</v>
      </c>
      <c r="AY567" s="416">
        <v>0</v>
      </c>
      <c r="AZ567" s="416">
        <v>0</v>
      </c>
    </row>
    <row r="568" spans="1:52" s="411" customFormat="1" x14ac:dyDescent="0.3">
      <c r="A568" s="415" t="str">
        <f t="shared" si="8"/>
        <v>SA-203 Gr.B</v>
      </c>
      <c r="B568" s="415">
        <v>562</v>
      </c>
      <c r="C568" s="415" t="s">
        <v>3142</v>
      </c>
      <c r="D568" s="415" t="s">
        <v>2684</v>
      </c>
      <c r="E568" s="415" t="s">
        <v>2191</v>
      </c>
      <c r="F568" s="415" t="s">
        <v>1864</v>
      </c>
      <c r="G568" s="415" t="s">
        <v>3145</v>
      </c>
      <c r="H568" s="415">
        <v>0</v>
      </c>
      <c r="I568" s="415">
        <v>0</v>
      </c>
      <c r="J568" s="415" t="s">
        <v>3131</v>
      </c>
      <c r="K568" s="415">
        <v>1</v>
      </c>
      <c r="L568" s="415">
        <v>485</v>
      </c>
      <c r="M568" s="415">
        <v>275</v>
      </c>
      <c r="N568" s="415" t="s">
        <v>2675</v>
      </c>
      <c r="O568" s="415">
        <v>343</v>
      </c>
      <c r="P568" s="415">
        <v>538</v>
      </c>
      <c r="Q568" s="415">
        <v>343</v>
      </c>
      <c r="R568" s="415" t="s">
        <v>2699</v>
      </c>
      <c r="S568" s="415" t="s">
        <v>2909</v>
      </c>
      <c r="T568" s="416">
        <v>138</v>
      </c>
      <c r="U568" s="416">
        <v>138</v>
      </c>
      <c r="V568" s="416">
        <v>138</v>
      </c>
      <c r="W568" s="416">
        <v>138</v>
      </c>
      <c r="X568" s="416">
        <v>138</v>
      </c>
      <c r="Y568" s="416">
        <v>138</v>
      </c>
      <c r="Z568" s="416">
        <v>138</v>
      </c>
      <c r="AA568" s="416">
        <v>138</v>
      </c>
      <c r="AB568" s="416">
        <v>138</v>
      </c>
      <c r="AC568" s="416">
        <v>136</v>
      </c>
      <c r="AD568" s="416">
        <v>129</v>
      </c>
      <c r="AE568" s="416">
        <v>122</v>
      </c>
      <c r="AF568" s="416">
        <v>101</v>
      </c>
      <c r="AG568" s="416">
        <v>83.8</v>
      </c>
      <c r="AH568" s="416">
        <v>67.3</v>
      </c>
      <c r="AI568" s="416">
        <v>49.4</v>
      </c>
      <c r="AJ568" s="416">
        <v>35.6</v>
      </c>
      <c r="AK568" s="416">
        <v>23.7</v>
      </c>
      <c r="AL568" s="416">
        <v>11.1</v>
      </c>
      <c r="AM568" s="416">
        <v>0</v>
      </c>
      <c r="AN568" s="416">
        <v>0</v>
      </c>
      <c r="AO568" s="416">
        <v>0</v>
      </c>
      <c r="AP568" s="416">
        <v>0</v>
      </c>
      <c r="AQ568" s="416">
        <v>0</v>
      </c>
      <c r="AR568" s="416">
        <v>0</v>
      </c>
      <c r="AS568" s="416">
        <v>0</v>
      </c>
      <c r="AT568" s="416">
        <v>0</v>
      </c>
      <c r="AU568" s="416">
        <v>0</v>
      </c>
      <c r="AV568" s="416">
        <v>0</v>
      </c>
      <c r="AW568" s="416">
        <v>0</v>
      </c>
      <c r="AX568" s="416">
        <v>0</v>
      </c>
      <c r="AY568" s="416">
        <v>0</v>
      </c>
      <c r="AZ568" s="416">
        <v>0</v>
      </c>
    </row>
    <row r="569" spans="1:52" s="411" customFormat="1" x14ac:dyDescent="0.3">
      <c r="A569" s="415" t="str">
        <f t="shared" si="8"/>
        <v>SA-352 Gr.LC2</v>
      </c>
      <c r="B569" s="415">
        <v>563</v>
      </c>
      <c r="C569" s="415" t="s">
        <v>3142</v>
      </c>
      <c r="D569" s="415" t="s">
        <v>2739</v>
      </c>
      <c r="E569" s="415" t="s">
        <v>2214</v>
      </c>
      <c r="F569" s="415" t="s">
        <v>2496</v>
      </c>
      <c r="G569" s="415" t="s">
        <v>3146</v>
      </c>
      <c r="H569" s="415">
        <v>0</v>
      </c>
      <c r="I569" s="415">
        <v>0</v>
      </c>
      <c r="J569" s="415" t="s">
        <v>3131</v>
      </c>
      <c r="K569" s="415">
        <v>1</v>
      </c>
      <c r="L569" s="415">
        <v>485</v>
      </c>
      <c r="M569" s="415">
        <v>275</v>
      </c>
      <c r="N569" s="415" t="s">
        <v>2675</v>
      </c>
      <c r="O569" s="415">
        <v>38</v>
      </c>
      <c r="P569" s="415">
        <v>343</v>
      </c>
      <c r="Q569" s="415">
        <v>343</v>
      </c>
      <c r="R569" s="415" t="s">
        <v>2699</v>
      </c>
      <c r="S569" s="415" t="s">
        <v>3086</v>
      </c>
      <c r="T569" s="416">
        <v>138</v>
      </c>
      <c r="U569" s="416">
        <v>138</v>
      </c>
      <c r="V569" s="416">
        <v>138</v>
      </c>
      <c r="W569" s="416">
        <v>138</v>
      </c>
      <c r="X569" s="416">
        <v>138</v>
      </c>
      <c r="Y569" s="416">
        <v>138</v>
      </c>
      <c r="Z569" s="416">
        <v>138</v>
      </c>
      <c r="AA569" s="416">
        <v>138</v>
      </c>
      <c r="AB569" s="416">
        <v>138</v>
      </c>
      <c r="AC569" s="416">
        <v>136</v>
      </c>
      <c r="AD569" s="416">
        <v>129</v>
      </c>
      <c r="AE569" s="416">
        <v>0</v>
      </c>
      <c r="AF569" s="416">
        <v>0</v>
      </c>
      <c r="AG569" s="416">
        <v>0</v>
      </c>
      <c r="AH569" s="416">
        <v>0</v>
      </c>
      <c r="AI569" s="416">
        <v>0</v>
      </c>
      <c r="AJ569" s="416">
        <v>0</v>
      </c>
      <c r="AK569" s="416">
        <v>0</v>
      </c>
      <c r="AL569" s="416">
        <v>0</v>
      </c>
      <c r="AM569" s="416">
        <v>0</v>
      </c>
      <c r="AN569" s="416">
        <v>0</v>
      </c>
      <c r="AO569" s="416">
        <v>0</v>
      </c>
      <c r="AP569" s="416">
        <v>0</v>
      </c>
      <c r="AQ569" s="416">
        <v>0</v>
      </c>
      <c r="AR569" s="416">
        <v>0</v>
      </c>
      <c r="AS569" s="416">
        <v>0</v>
      </c>
      <c r="AT569" s="416">
        <v>0</v>
      </c>
      <c r="AU569" s="416">
        <v>0</v>
      </c>
      <c r="AV569" s="416">
        <v>0</v>
      </c>
      <c r="AW569" s="416">
        <v>0</v>
      </c>
      <c r="AX569" s="416">
        <v>0</v>
      </c>
      <c r="AY569" s="416">
        <v>0</v>
      </c>
      <c r="AZ569" s="416">
        <v>0</v>
      </c>
    </row>
    <row r="570" spans="1:52" s="411" customFormat="1" x14ac:dyDescent="0.3">
      <c r="A570" s="415" t="str">
        <f t="shared" si="8"/>
        <v>SA-543 Gr.C</v>
      </c>
      <c r="B570" s="415">
        <v>564</v>
      </c>
      <c r="C570" s="415" t="s">
        <v>3147</v>
      </c>
      <c r="D570" s="415" t="s">
        <v>2684</v>
      </c>
      <c r="E570" s="415" t="s">
        <v>2267</v>
      </c>
      <c r="F570" s="415" t="s">
        <v>2348</v>
      </c>
      <c r="G570" s="415">
        <v>0</v>
      </c>
      <c r="H570" s="415">
        <v>3</v>
      </c>
      <c r="I570" s="415">
        <v>0</v>
      </c>
      <c r="J570" s="415">
        <v>3</v>
      </c>
      <c r="K570" s="415">
        <v>3</v>
      </c>
      <c r="L570" s="415">
        <v>620</v>
      </c>
      <c r="M570" s="415">
        <v>485</v>
      </c>
      <c r="N570" s="415" t="s">
        <v>2675</v>
      </c>
      <c r="O570" s="415" t="s">
        <v>2675</v>
      </c>
      <c r="P570" s="415">
        <v>343</v>
      </c>
      <c r="Q570" s="415" t="s">
        <v>2675</v>
      </c>
      <c r="R570" s="415" t="s">
        <v>2838</v>
      </c>
      <c r="S570" s="415">
        <v>0</v>
      </c>
      <c r="T570" s="416">
        <v>177</v>
      </c>
      <c r="U570" s="416">
        <v>177</v>
      </c>
      <c r="V570" s="416">
        <v>177</v>
      </c>
      <c r="W570" s="416">
        <v>177</v>
      </c>
      <c r="X570" s="416">
        <v>177</v>
      </c>
      <c r="Y570" s="416">
        <v>177</v>
      </c>
      <c r="Z570" s="416">
        <v>176</v>
      </c>
      <c r="AA570" s="416">
        <v>175</v>
      </c>
      <c r="AB570" s="416">
        <v>173</v>
      </c>
      <c r="AC570" s="416">
        <v>172</v>
      </c>
      <c r="AD570" s="416">
        <v>169</v>
      </c>
      <c r="AE570" s="416">
        <v>0</v>
      </c>
      <c r="AF570" s="416">
        <v>0</v>
      </c>
      <c r="AG570" s="416">
        <v>0</v>
      </c>
      <c r="AH570" s="416">
        <v>0</v>
      </c>
      <c r="AI570" s="416">
        <v>0</v>
      </c>
      <c r="AJ570" s="416">
        <v>0</v>
      </c>
      <c r="AK570" s="416">
        <v>0</v>
      </c>
      <c r="AL570" s="416">
        <v>0</v>
      </c>
      <c r="AM570" s="416">
        <v>0</v>
      </c>
      <c r="AN570" s="416">
        <v>0</v>
      </c>
      <c r="AO570" s="416">
        <v>0</v>
      </c>
      <c r="AP570" s="416">
        <v>0</v>
      </c>
      <c r="AQ570" s="416">
        <v>0</v>
      </c>
      <c r="AR570" s="416">
        <v>0</v>
      </c>
      <c r="AS570" s="416">
        <v>0</v>
      </c>
      <c r="AT570" s="416">
        <v>0</v>
      </c>
      <c r="AU570" s="416">
        <v>0</v>
      </c>
      <c r="AV570" s="416">
        <v>0</v>
      </c>
      <c r="AW570" s="416">
        <v>0</v>
      </c>
      <c r="AX570" s="416">
        <v>0</v>
      </c>
      <c r="AY570" s="416">
        <v>0</v>
      </c>
      <c r="AZ570" s="416">
        <v>0</v>
      </c>
    </row>
    <row r="571" spans="1:52" s="411" customFormat="1" x14ac:dyDescent="0.3">
      <c r="A571" s="415" t="str">
        <f t="shared" si="8"/>
        <v>SA-543 Gr.C</v>
      </c>
      <c r="B571" s="415">
        <v>565</v>
      </c>
      <c r="C571" s="415" t="s">
        <v>3147</v>
      </c>
      <c r="D571" s="415" t="s">
        <v>2684</v>
      </c>
      <c r="E571" s="415" t="s">
        <v>2267</v>
      </c>
      <c r="F571" s="415" t="s">
        <v>2348</v>
      </c>
      <c r="G571" s="415">
        <v>0</v>
      </c>
      <c r="H571" s="415">
        <v>1</v>
      </c>
      <c r="I571" s="415">
        <v>0</v>
      </c>
      <c r="J571" s="415" t="s">
        <v>3093</v>
      </c>
      <c r="K571" s="415">
        <v>5</v>
      </c>
      <c r="L571" s="415">
        <v>725</v>
      </c>
      <c r="M571" s="415">
        <v>585</v>
      </c>
      <c r="N571" s="415" t="s">
        <v>2675</v>
      </c>
      <c r="O571" s="415" t="s">
        <v>2675</v>
      </c>
      <c r="P571" s="415">
        <v>343</v>
      </c>
      <c r="Q571" s="415" t="s">
        <v>2675</v>
      </c>
      <c r="R571" s="415" t="s">
        <v>2838</v>
      </c>
      <c r="S571" s="415">
        <v>0</v>
      </c>
      <c r="T571" s="416">
        <v>207</v>
      </c>
      <c r="U571" s="416">
        <v>207</v>
      </c>
      <c r="V571" s="416">
        <v>207</v>
      </c>
      <c r="W571" s="416">
        <v>207</v>
      </c>
      <c r="X571" s="416">
        <v>207</v>
      </c>
      <c r="Y571" s="416">
        <v>207</v>
      </c>
      <c r="Z571" s="416">
        <v>205</v>
      </c>
      <c r="AA571" s="416">
        <v>204</v>
      </c>
      <c r="AB571" s="416">
        <v>202</v>
      </c>
      <c r="AC571" s="416">
        <v>200</v>
      </c>
      <c r="AD571" s="416">
        <v>197</v>
      </c>
      <c r="AE571" s="416">
        <v>0</v>
      </c>
      <c r="AF571" s="416">
        <v>0</v>
      </c>
      <c r="AG571" s="416">
        <v>0</v>
      </c>
      <c r="AH571" s="416">
        <v>0</v>
      </c>
      <c r="AI571" s="416">
        <v>0</v>
      </c>
      <c r="AJ571" s="416">
        <v>0</v>
      </c>
      <c r="AK571" s="416">
        <v>0</v>
      </c>
      <c r="AL571" s="416">
        <v>0</v>
      </c>
      <c r="AM571" s="416">
        <v>0</v>
      </c>
      <c r="AN571" s="416">
        <v>0</v>
      </c>
      <c r="AO571" s="416">
        <v>0</v>
      </c>
      <c r="AP571" s="416">
        <v>0</v>
      </c>
      <c r="AQ571" s="416">
        <v>0</v>
      </c>
      <c r="AR571" s="416">
        <v>0</v>
      </c>
      <c r="AS571" s="416">
        <v>0</v>
      </c>
      <c r="AT571" s="416">
        <v>0</v>
      </c>
      <c r="AU571" s="416">
        <v>0</v>
      </c>
      <c r="AV571" s="416">
        <v>0</v>
      </c>
      <c r="AW571" s="416">
        <v>0</v>
      </c>
      <c r="AX571" s="416">
        <v>0</v>
      </c>
      <c r="AY571" s="416">
        <v>0</v>
      </c>
      <c r="AZ571" s="416">
        <v>0</v>
      </c>
    </row>
    <row r="572" spans="1:52" s="411" customFormat="1" x14ac:dyDescent="0.3">
      <c r="A572" s="415" t="str">
        <f t="shared" si="8"/>
        <v>SA-543 Gr.C</v>
      </c>
      <c r="B572" s="415">
        <v>566</v>
      </c>
      <c r="C572" s="415" t="s">
        <v>3147</v>
      </c>
      <c r="D572" s="415" t="s">
        <v>2684</v>
      </c>
      <c r="E572" s="415" t="s">
        <v>2267</v>
      </c>
      <c r="F572" s="415" t="s">
        <v>2348</v>
      </c>
      <c r="G572" s="415">
        <v>0</v>
      </c>
      <c r="H572" s="415">
        <v>2</v>
      </c>
      <c r="I572" s="415">
        <v>0</v>
      </c>
      <c r="J572" s="415" t="s">
        <v>2895</v>
      </c>
      <c r="K572" s="415">
        <v>10</v>
      </c>
      <c r="L572" s="415">
        <v>795</v>
      </c>
      <c r="M572" s="415">
        <v>690</v>
      </c>
      <c r="N572" s="415" t="s">
        <v>2675</v>
      </c>
      <c r="O572" s="415" t="s">
        <v>2675</v>
      </c>
      <c r="P572" s="415">
        <v>343</v>
      </c>
      <c r="Q572" s="415" t="s">
        <v>2675</v>
      </c>
      <c r="R572" s="415" t="s">
        <v>2896</v>
      </c>
      <c r="S572" s="415">
        <v>0</v>
      </c>
      <c r="T572" s="416">
        <v>227</v>
      </c>
      <c r="U572" s="416">
        <v>227</v>
      </c>
      <c r="V572" s="416">
        <v>227</v>
      </c>
      <c r="W572" s="416">
        <v>227</v>
      </c>
      <c r="X572" s="416">
        <v>227</v>
      </c>
      <c r="Y572" s="416">
        <v>227</v>
      </c>
      <c r="Z572" s="416">
        <v>224</v>
      </c>
      <c r="AA572" s="416">
        <v>223</v>
      </c>
      <c r="AB572" s="416">
        <v>221</v>
      </c>
      <c r="AC572" s="416">
        <v>219</v>
      </c>
      <c r="AD572" s="416">
        <v>217</v>
      </c>
      <c r="AE572" s="416">
        <v>0</v>
      </c>
      <c r="AF572" s="416">
        <v>0</v>
      </c>
      <c r="AG572" s="416">
        <v>0</v>
      </c>
      <c r="AH572" s="416">
        <v>0</v>
      </c>
      <c r="AI572" s="416">
        <v>0</v>
      </c>
      <c r="AJ572" s="416">
        <v>0</v>
      </c>
      <c r="AK572" s="416">
        <v>0</v>
      </c>
      <c r="AL572" s="416">
        <v>0</v>
      </c>
      <c r="AM572" s="416">
        <v>0</v>
      </c>
      <c r="AN572" s="416">
        <v>0</v>
      </c>
      <c r="AO572" s="416">
        <v>0</v>
      </c>
      <c r="AP572" s="416">
        <v>0</v>
      </c>
      <c r="AQ572" s="416">
        <v>0</v>
      </c>
      <c r="AR572" s="416">
        <v>0</v>
      </c>
      <c r="AS572" s="416">
        <v>0</v>
      </c>
      <c r="AT572" s="416">
        <v>0</v>
      </c>
      <c r="AU572" s="416">
        <v>0</v>
      </c>
      <c r="AV572" s="416">
        <v>0</v>
      </c>
      <c r="AW572" s="416">
        <v>0</v>
      </c>
      <c r="AX572" s="416">
        <v>0</v>
      </c>
      <c r="AY572" s="416">
        <v>0</v>
      </c>
      <c r="AZ572" s="416">
        <v>0</v>
      </c>
    </row>
    <row r="573" spans="1:52" s="411" customFormat="1" x14ac:dyDescent="0.3">
      <c r="A573" s="415" t="str">
        <f t="shared" si="8"/>
        <v>SA-723 Gr.2</v>
      </c>
      <c r="B573" s="415">
        <v>567</v>
      </c>
      <c r="C573" s="415" t="s">
        <v>3148</v>
      </c>
      <c r="D573" s="415" t="s">
        <v>2737</v>
      </c>
      <c r="E573" s="415" t="s">
        <v>2305</v>
      </c>
      <c r="F573" s="415">
        <v>2</v>
      </c>
      <c r="G573" s="415" t="s">
        <v>3149</v>
      </c>
      <c r="H573" s="415">
        <v>1</v>
      </c>
      <c r="I573" s="415">
        <v>0</v>
      </c>
      <c r="J573" s="415">
        <v>0</v>
      </c>
      <c r="K573" s="415">
        <v>0</v>
      </c>
      <c r="L573" s="415">
        <v>795</v>
      </c>
      <c r="M573" s="415">
        <v>690</v>
      </c>
      <c r="N573" s="415" t="s">
        <v>2675</v>
      </c>
      <c r="O573" s="415" t="s">
        <v>2704</v>
      </c>
      <c r="P573" s="415" t="s">
        <v>2675</v>
      </c>
      <c r="Q573" s="415" t="s">
        <v>2675</v>
      </c>
      <c r="R573" s="415" t="s">
        <v>2896</v>
      </c>
      <c r="S573" s="415" t="s">
        <v>3141</v>
      </c>
      <c r="T573" s="416">
        <v>227</v>
      </c>
      <c r="U573" s="416">
        <v>227</v>
      </c>
      <c r="V573" s="416">
        <v>227</v>
      </c>
      <c r="W573" s="416">
        <v>227</v>
      </c>
      <c r="X573" s="416">
        <v>227</v>
      </c>
      <c r="Y573" s="416">
        <v>227</v>
      </c>
      <c r="Z573" s="416">
        <v>227</v>
      </c>
      <c r="AA573" s="416">
        <v>227</v>
      </c>
      <c r="AB573" s="416">
        <v>227</v>
      </c>
      <c r="AC573" s="416">
        <v>226</v>
      </c>
      <c r="AD573" s="416">
        <v>222</v>
      </c>
      <c r="AE573" s="416">
        <v>217</v>
      </c>
      <c r="AF573" s="416">
        <v>0</v>
      </c>
      <c r="AG573" s="416">
        <v>0</v>
      </c>
      <c r="AH573" s="416">
        <v>0</v>
      </c>
      <c r="AI573" s="416">
        <v>0</v>
      </c>
      <c r="AJ573" s="416">
        <v>0</v>
      </c>
      <c r="AK573" s="416">
        <v>0</v>
      </c>
      <c r="AL573" s="416">
        <v>0</v>
      </c>
      <c r="AM573" s="416">
        <v>0</v>
      </c>
      <c r="AN573" s="416">
        <v>0</v>
      </c>
      <c r="AO573" s="416">
        <v>0</v>
      </c>
      <c r="AP573" s="416">
        <v>0</v>
      </c>
      <c r="AQ573" s="416">
        <v>0</v>
      </c>
      <c r="AR573" s="416">
        <v>0</v>
      </c>
      <c r="AS573" s="416">
        <v>0</v>
      </c>
      <c r="AT573" s="416">
        <v>0</v>
      </c>
      <c r="AU573" s="416">
        <v>0</v>
      </c>
      <c r="AV573" s="416">
        <v>0</v>
      </c>
      <c r="AW573" s="416">
        <v>0</v>
      </c>
      <c r="AX573" s="416">
        <v>0</v>
      </c>
      <c r="AY573" s="416">
        <v>0</v>
      </c>
      <c r="AZ573" s="416">
        <v>0</v>
      </c>
    </row>
    <row r="574" spans="1:52" s="411" customFormat="1" x14ac:dyDescent="0.3">
      <c r="A574" s="415" t="str">
        <f t="shared" si="8"/>
        <v>SA-723 Gr.2</v>
      </c>
      <c r="B574" s="415">
        <v>568</v>
      </c>
      <c r="C574" s="415" t="s">
        <v>3148</v>
      </c>
      <c r="D574" s="415" t="s">
        <v>2737</v>
      </c>
      <c r="E574" s="415" t="s">
        <v>2305</v>
      </c>
      <c r="F574" s="415">
        <v>2</v>
      </c>
      <c r="G574" s="415" t="s">
        <v>3149</v>
      </c>
      <c r="H574" s="415">
        <v>2</v>
      </c>
      <c r="I574" s="415">
        <v>0</v>
      </c>
      <c r="J574" s="415">
        <v>0</v>
      </c>
      <c r="K574" s="415">
        <v>0</v>
      </c>
      <c r="L574" s="415">
        <v>930</v>
      </c>
      <c r="M574" s="415">
        <v>825</v>
      </c>
      <c r="N574" s="415" t="s">
        <v>2675</v>
      </c>
      <c r="O574" s="415" t="s">
        <v>2704</v>
      </c>
      <c r="P574" s="415" t="s">
        <v>2675</v>
      </c>
      <c r="Q574" s="415" t="s">
        <v>2675</v>
      </c>
      <c r="R574" s="415" t="s">
        <v>2896</v>
      </c>
      <c r="S574" s="415" t="s">
        <v>3141</v>
      </c>
      <c r="T574" s="416">
        <v>266</v>
      </c>
      <c r="U574" s="416">
        <v>266</v>
      </c>
      <c r="V574" s="416">
        <v>266</v>
      </c>
      <c r="W574" s="416">
        <v>266</v>
      </c>
      <c r="X574" s="416">
        <v>266</v>
      </c>
      <c r="Y574" s="416">
        <v>266</v>
      </c>
      <c r="Z574" s="416">
        <v>266</v>
      </c>
      <c r="AA574" s="416">
        <v>266</v>
      </c>
      <c r="AB574" s="416">
        <v>266</v>
      </c>
      <c r="AC574" s="416">
        <v>265</v>
      </c>
      <c r="AD574" s="416">
        <v>261</v>
      </c>
      <c r="AE574" s="416">
        <v>255</v>
      </c>
      <c r="AF574" s="416">
        <v>0</v>
      </c>
      <c r="AG574" s="416">
        <v>0</v>
      </c>
      <c r="AH574" s="416">
        <v>0</v>
      </c>
      <c r="AI574" s="416">
        <v>0</v>
      </c>
      <c r="AJ574" s="416">
        <v>0</v>
      </c>
      <c r="AK574" s="416">
        <v>0</v>
      </c>
      <c r="AL574" s="416">
        <v>0</v>
      </c>
      <c r="AM574" s="416">
        <v>0</v>
      </c>
      <c r="AN574" s="416">
        <v>0</v>
      </c>
      <c r="AO574" s="416">
        <v>0</v>
      </c>
      <c r="AP574" s="416">
        <v>0</v>
      </c>
      <c r="AQ574" s="416">
        <v>0</v>
      </c>
      <c r="AR574" s="416">
        <v>0</v>
      </c>
      <c r="AS574" s="416">
        <v>0</v>
      </c>
      <c r="AT574" s="416">
        <v>0</v>
      </c>
      <c r="AU574" s="416">
        <v>0</v>
      </c>
      <c r="AV574" s="416">
        <v>0</v>
      </c>
      <c r="AW574" s="416">
        <v>0</v>
      </c>
      <c r="AX574" s="416">
        <v>0</v>
      </c>
      <c r="AY574" s="416">
        <v>0</v>
      </c>
      <c r="AZ574" s="416">
        <v>0</v>
      </c>
    </row>
    <row r="575" spans="1:52" s="411" customFormat="1" x14ac:dyDescent="0.3">
      <c r="A575" s="415" t="str">
        <f t="shared" si="8"/>
        <v>SA-723 Gr.2</v>
      </c>
      <c r="B575" s="415">
        <v>569</v>
      </c>
      <c r="C575" s="415" t="s">
        <v>3148</v>
      </c>
      <c r="D575" s="415" t="s">
        <v>2737</v>
      </c>
      <c r="E575" s="415" t="s">
        <v>2305</v>
      </c>
      <c r="F575" s="415">
        <v>2</v>
      </c>
      <c r="G575" s="415" t="s">
        <v>3149</v>
      </c>
      <c r="H575" s="415">
        <v>3</v>
      </c>
      <c r="I575" s="415">
        <v>0</v>
      </c>
      <c r="J575" s="415">
        <v>0</v>
      </c>
      <c r="K575" s="415">
        <v>0</v>
      </c>
      <c r="L575" s="415">
        <v>1070</v>
      </c>
      <c r="M575" s="415">
        <v>965</v>
      </c>
      <c r="N575" s="415" t="s">
        <v>2675</v>
      </c>
      <c r="O575" s="415" t="s">
        <v>2704</v>
      </c>
      <c r="P575" s="415" t="s">
        <v>2675</v>
      </c>
      <c r="Q575" s="415" t="s">
        <v>2675</v>
      </c>
      <c r="R575" s="415" t="s">
        <v>2896</v>
      </c>
      <c r="S575" s="415" t="s">
        <v>3141</v>
      </c>
      <c r="T575" s="416">
        <v>305</v>
      </c>
      <c r="U575" s="416">
        <v>305</v>
      </c>
      <c r="V575" s="416">
        <v>305</v>
      </c>
      <c r="W575" s="416">
        <v>305</v>
      </c>
      <c r="X575" s="416">
        <v>305</v>
      </c>
      <c r="Y575" s="416">
        <v>305</v>
      </c>
      <c r="Z575" s="416">
        <v>305</v>
      </c>
      <c r="AA575" s="416">
        <v>305</v>
      </c>
      <c r="AB575" s="416">
        <v>305</v>
      </c>
      <c r="AC575" s="416">
        <v>305</v>
      </c>
      <c r="AD575" s="416">
        <v>299</v>
      </c>
      <c r="AE575" s="416">
        <v>293</v>
      </c>
      <c r="AF575" s="416">
        <v>0</v>
      </c>
      <c r="AG575" s="416">
        <v>0</v>
      </c>
      <c r="AH575" s="416">
        <v>0</v>
      </c>
      <c r="AI575" s="416">
        <v>0</v>
      </c>
      <c r="AJ575" s="416">
        <v>0</v>
      </c>
      <c r="AK575" s="416">
        <v>0</v>
      </c>
      <c r="AL575" s="416">
        <v>0</v>
      </c>
      <c r="AM575" s="416">
        <v>0</v>
      </c>
      <c r="AN575" s="416">
        <v>0</v>
      </c>
      <c r="AO575" s="416">
        <v>0</v>
      </c>
      <c r="AP575" s="416">
        <v>0</v>
      </c>
      <c r="AQ575" s="416">
        <v>0</v>
      </c>
      <c r="AR575" s="416">
        <v>0</v>
      </c>
      <c r="AS575" s="416">
        <v>0</v>
      </c>
      <c r="AT575" s="416">
        <v>0</v>
      </c>
      <c r="AU575" s="416">
        <v>0</v>
      </c>
      <c r="AV575" s="416">
        <v>0</v>
      </c>
      <c r="AW575" s="416">
        <v>0</v>
      </c>
      <c r="AX575" s="416">
        <v>0</v>
      </c>
      <c r="AY575" s="416">
        <v>0</v>
      </c>
      <c r="AZ575" s="416">
        <v>0</v>
      </c>
    </row>
    <row r="576" spans="1:52" s="411" customFormat="1" x14ac:dyDescent="0.3">
      <c r="A576" s="415" t="str">
        <f t="shared" si="8"/>
        <v>SA-723 Gr.2</v>
      </c>
      <c r="B576" s="415">
        <v>570</v>
      </c>
      <c r="C576" s="415" t="s">
        <v>3148</v>
      </c>
      <c r="D576" s="415" t="s">
        <v>2737</v>
      </c>
      <c r="E576" s="415" t="s">
        <v>2305</v>
      </c>
      <c r="F576" s="415">
        <v>2</v>
      </c>
      <c r="G576" s="415" t="s">
        <v>3149</v>
      </c>
      <c r="H576" s="415">
        <v>4</v>
      </c>
      <c r="I576" s="415">
        <v>0</v>
      </c>
      <c r="J576" s="415">
        <v>0</v>
      </c>
      <c r="K576" s="415">
        <v>0</v>
      </c>
      <c r="L576" s="415">
        <v>1205</v>
      </c>
      <c r="M576" s="415">
        <v>1105</v>
      </c>
      <c r="N576" s="415" t="s">
        <v>2675</v>
      </c>
      <c r="O576" s="415" t="s">
        <v>2704</v>
      </c>
      <c r="P576" s="415" t="s">
        <v>2675</v>
      </c>
      <c r="Q576" s="415" t="s">
        <v>2675</v>
      </c>
      <c r="R576" s="415" t="s">
        <v>2896</v>
      </c>
      <c r="S576" s="415" t="s">
        <v>3141</v>
      </c>
      <c r="T576" s="416">
        <v>345</v>
      </c>
      <c r="U576" s="416">
        <v>345</v>
      </c>
      <c r="V576" s="416">
        <v>345</v>
      </c>
      <c r="W576" s="416">
        <v>345</v>
      </c>
      <c r="X576" s="416">
        <v>345</v>
      </c>
      <c r="Y576" s="416">
        <v>345</v>
      </c>
      <c r="Z576" s="416">
        <v>345</v>
      </c>
      <c r="AA576" s="416">
        <v>345</v>
      </c>
      <c r="AB576" s="416">
        <v>345</v>
      </c>
      <c r="AC576" s="416">
        <v>343</v>
      </c>
      <c r="AD576" s="416">
        <v>337</v>
      </c>
      <c r="AE576" s="416">
        <v>330</v>
      </c>
      <c r="AF576" s="416">
        <v>0</v>
      </c>
      <c r="AG576" s="416">
        <v>0</v>
      </c>
      <c r="AH576" s="416">
        <v>0</v>
      </c>
      <c r="AI576" s="416">
        <v>0</v>
      </c>
      <c r="AJ576" s="416">
        <v>0</v>
      </c>
      <c r="AK576" s="416">
        <v>0</v>
      </c>
      <c r="AL576" s="416">
        <v>0</v>
      </c>
      <c r="AM576" s="416">
        <v>0</v>
      </c>
      <c r="AN576" s="416">
        <v>0</v>
      </c>
      <c r="AO576" s="416">
        <v>0</v>
      </c>
      <c r="AP576" s="416">
        <v>0</v>
      </c>
      <c r="AQ576" s="416">
        <v>0</v>
      </c>
      <c r="AR576" s="416">
        <v>0</v>
      </c>
      <c r="AS576" s="416">
        <v>0</v>
      </c>
      <c r="AT576" s="416">
        <v>0</v>
      </c>
      <c r="AU576" s="416">
        <v>0</v>
      </c>
      <c r="AV576" s="416">
        <v>0</v>
      </c>
      <c r="AW576" s="416">
        <v>0</v>
      </c>
      <c r="AX576" s="416">
        <v>0</v>
      </c>
      <c r="AY576" s="416">
        <v>0</v>
      </c>
      <c r="AZ576" s="416">
        <v>0</v>
      </c>
    </row>
    <row r="577" spans="1:52" s="411" customFormat="1" x14ac:dyDescent="0.3">
      <c r="A577" s="415" t="str">
        <f t="shared" si="8"/>
        <v>SA-723 Gr.2</v>
      </c>
      <c r="B577" s="415">
        <v>571</v>
      </c>
      <c r="C577" s="415" t="s">
        <v>3148</v>
      </c>
      <c r="D577" s="415" t="s">
        <v>2737</v>
      </c>
      <c r="E577" s="415" t="s">
        <v>2305</v>
      </c>
      <c r="F577" s="415">
        <v>2</v>
      </c>
      <c r="G577" s="415" t="s">
        <v>3149</v>
      </c>
      <c r="H577" s="415">
        <v>5</v>
      </c>
      <c r="I577" s="415">
        <v>0</v>
      </c>
      <c r="J577" s="415">
        <v>0</v>
      </c>
      <c r="K577" s="415">
        <v>0</v>
      </c>
      <c r="L577" s="415">
        <v>1310</v>
      </c>
      <c r="M577" s="415">
        <v>1240</v>
      </c>
      <c r="N577" s="415" t="s">
        <v>2675</v>
      </c>
      <c r="O577" s="415" t="s">
        <v>2704</v>
      </c>
      <c r="P577" s="415" t="s">
        <v>2675</v>
      </c>
      <c r="Q577" s="415" t="s">
        <v>2675</v>
      </c>
      <c r="R577" s="415" t="s">
        <v>2896</v>
      </c>
      <c r="S577" s="415" t="s">
        <v>3141</v>
      </c>
      <c r="T577" s="416">
        <v>374</v>
      </c>
      <c r="U577" s="416">
        <v>374</v>
      </c>
      <c r="V577" s="416">
        <v>374</v>
      </c>
      <c r="W577" s="416">
        <v>374</v>
      </c>
      <c r="X577" s="416">
        <v>374</v>
      </c>
      <c r="Y577" s="416">
        <v>374</v>
      </c>
      <c r="Z577" s="416">
        <v>374</v>
      </c>
      <c r="AA577" s="416">
        <v>374</v>
      </c>
      <c r="AB577" s="416">
        <v>374</v>
      </c>
      <c r="AC577" s="416">
        <v>373</v>
      </c>
      <c r="AD577" s="416">
        <v>367</v>
      </c>
      <c r="AE577" s="416">
        <v>359</v>
      </c>
      <c r="AF577" s="416">
        <v>0</v>
      </c>
      <c r="AG577" s="416">
        <v>0</v>
      </c>
      <c r="AH577" s="416">
        <v>0</v>
      </c>
      <c r="AI577" s="416">
        <v>0</v>
      </c>
      <c r="AJ577" s="416">
        <v>0</v>
      </c>
      <c r="AK577" s="416">
        <v>0</v>
      </c>
      <c r="AL577" s="416">
        <v>0</v>
      </c>
      <c r="AM577" s="416">
        <v>0</v>
      </c>
      <c r="AN577" s="416">
        <v>0</v>
      </c>
      <c r="AO577" s="416">
        <v>0</v>
      </c>
      <c r="AP577" s="416">
        <v>0</v>
      </c>
      <c r="AQ577" s="416">
        <v>0</v>
      </c>
      <c r="AR577" s="416">
        <v>0</v>
      </c>
      <c r="AS577" s="416">
        <v>0</v>
      </c>
      <c r="AT577" s="416">
        <v>0</v>
      </c>
      <c r="AU577" s="416">
        <v>0</v>
      </c>
      <c r="AV577" s="416">
        <v>0</v>
      </c>
      <c r="AW577" s="416">
        <v>0</v>
      </c>
      <c r="AX577" s="416">
        <v>0</v>
      </c>
      <c r="AY577" s="416">
        <v>0</v>
      </c>
      <c r="AZ577" s="416">
        <v>0</v>
      </c>
    </row>
    <row r="578" spans="1:52" s="411" customFormat="1" x14ac:dyDescent="0.3">
      <c r="A578" s="415" t="str">
        <f t="shared" si="8"/>
        <v>SA-543 Gr.B</v>
      </c>
      <c r="B578" s="415">
        <v>572</v>
      </c>
      <c r="C578" s="415" t="s">
        <v>3150</v>
      </c>
      <c r="D578" s="415" t="s">
        <v>2684</v>
      </c>
      <c r="E578" s="415" t="s">
        <v>2267</v>
      </c>
      <c r="F578" s="415" t="s">
        <v>1864</v>
      </c>
      <c r="G578" s="415" t="s">
        <v>3151</v>
      </c>
      <c r="H578" s="415">
        <v>3</v>
      </c>
      <c r="I578" s="415">
        <v>0</v>
      </c>
      <c r="J578" s="415">
        <v>3</v>
      </c>
      <c r="K578" s="415">
        <v>3</v>
      </c>
      <c r="L578" s="415">
        <v>620</v>
      </c>
      <c r="M578" s="415">
        <v>485</v>
      </c>
      <c r="N578" s="415" t="s">
        <v>2675</v>
      </c>
      <c r="O578" s="415" t="s">
        <v>2675</v>
      </c>
      <c r="P578" s="415">
        <v>343</v>
      </c>
      <c r="Q578" s="415" t="s">
        <v>2675</v>
      </c>
      <c r="R578" s="415" t="s">
        <v>2838</v>
      </c>
      <c r="S578" s="415">
        <v>0</v>
      </c>
      <c r="T578" s="416">
        <v>177</v>
      </c>
      <c r="U578" s="416">
        <v>177</v>
      </c>
      <c r="V578" s="416">
        <v>177</v>
      </c>
      <c r="W578" s="416">
        <v>177</v>
      </c>
      <c r="X578" s="416">
        <v>177</v>
      </c>
      <c r="Y578" s="416">
        <v>177</v>
      </c>
      <c r="Z578" s="416">
        <v>176</v>
      </c>
      <c r="AA578" s="416">
        <v>175</v>
      </c>
      <c r="AB578" s="416">
        <v>173</v>
      </c>
      <c r="AC578" s="416">
        <v>172</v>
      </c>
      <c r="AD578" s="416">
        <v>169</v>
      </c>
      <c r="AE578" s="416">
        <v>0</v>
      </c>
      <c r="AF578" s="416">
        <v>0</v>
      </c>
      <c r="AG578" s="416">
        <v>0</v>
      </c>
      <c r="AH578" s="416">
        <v>0</v>
      </c>
      <c r="AI578" s="416">
        <v>0</v>
      </c>
      <c r="AJ578" s="416">
        <v>0</v>
      </c>
      <c r="AK578" s="416">
        <v>0</v>
      </c>
      <c r="AL578" s="416">
        <v>0</v>
      </c>
      <c r="AM578" s="416">
        <v>0</v>
      </c>
      <c r="AN578" s="416">
        <v>0</v>
      </c>
      <c r="AO578" s="416">
        <v>0</v>
      </c>
      <c r="AP578" s="416">
        <v>0</v>
      </c>
      <c r="AQ578" s="416">
        <v>0</v>
      </c>
      <c r="AR578" s="416">
        <v>0</v>
      </c>
      <c r="AS578" s="416">
        <v>0</v>
      </c>
      <c r="AT578" s="416">
        <v>0</v>
      </c>
      <c r="AU578" s="416">
        <v>0</v>
      </c>
      <c r="AV578" s="416">
        <v>0</v>
      </c>
      <c r="AW578" s="416">
        <v>0</v>
      </c>
      <c r="AX578" s="416">
        <v>0</v>
      </c>
      <c r="AY578" s="416">
        <v>0</v>
      </c>
      <c r="AZ578" s="416">
        <v>0</v>
      </c>
    </row>
    <row r="579" spans="1:52" s="411" customFormat="1" x14ac:dyDescent="0.3">
      <c r="A579" s="415" t="str">
        <f t="shared" si="8"/>
        <v>SA-372 Gr.M</v>
      </c>
      <c r="B579" s="415">
        <v>573</v>
      </c>
      <c r="C579" s="415" t="s">
        <v>3150</v>
      </c>
      <c r="D579" s="415" t="s">
        <v>2737</v>
      </c>
      <c r="E579" s="415" t="s">
        <v>2223</v>
      </c>
      <c r="F579" s="415" t="s">
        <v>2506</v>
      </c>
      <c r="G579" s="415" t="s">
        <v>3152</v>
      </c>
      <c r="H579" s="415">
        <v>85</v>
      </c>
      <c r="I579" s="415">
        <v>0</v>
      </c>
      <c r="J579" s="415">
        <v>0</v>
      </c>
      <c r="K579" s="415">
        <v>0</v>
      </c>
      <c r="L579" s="415">
        <v>725</v>
      </c>
      <c r="M579" s="415">
        <v>585</v>
      </c>
      <c r="N579" s="415" t="s">
        <v>2675</v>
      </c>
      <c r="O579" s="415" t="s">
        <v>2675</v>
      </c>
      <c r="P579" s="415">
        <v>343</v>
      </c>
      <c r="Q579" s="415">
        <v>343</v>
      </c>
      <c r="R579" s="415">
        <v>0</v>
      </c>
      <c r="S579" s="415" t="s">
        <v>2835</v>
      </c>
      <c r="T579" s="416">
        <v>207</v>
      </c>
      <c r="U579" s="416">
        <v>207</v>
      </c>
      <c r="V579" s="416">
        <v>207</v>
      </c>
      <c r="W579" s="416">
        <v>207</v>
      </c>
      <c r="X579" s="416">
        <v>207</v>
      </c>
      <c r="Y579" s="416">
        <v>207</v>
      </c>
      <c r="Z579" s="416">
        <v>205</v>
      </c>
      <c r="AA579" s="416">
        <v>204</v>
      </c>
      <c r="AB579" s="416">
        <v>202</v>
      </c>
      <c r="AC579" s="416">
        <v>200</v>
      </c>
      <c r="AD579" s="416">
        <v>197</v>
      </c>
      <c r="AE579" s="416">
        <v>0</v>
      </c>
      <c r="AF579" s="416">
        <v>0</v>
      </c>
      <c r="AG579" s="416">
        <v>0</v>
      </c>
      <c r="AH579" s="416">
        <v>0</v>
      </c>
      <c r="AI579" s="416">
        <v>0</v>
      </c>
      <c r="AJ579" s="416">
        <v>0</v>
      </c>
      <c r="AK579" s="416">
        <v>0</v>
      </c>
      <c r="AL579" s="416">
        <v>0</v>
      </c>
      <c r="AM579" s="416">
        <v>0</v>
      </c>
      <c r="AN579" s="416">
        <v>0</v>
      </c>
      <c r="AO579" s="416">
        <v>0</v>
      </c>
      <c r="AP579" s="416">
        <v>0</v>
      </c>
      <c r="AQ579" s="416">
        <v>0</v>
      </c>
      <c r="AR579" s="416">
        <v>0</v>
      </c>
      <c r="AS579" s="416">
        <v>0</v>
      </c>
      <c r="AT579" s="416">
        <v>0</v>
      </c>
      <c r="AU579" s="416">
        <v>0</v>
      </c>
      <c r="AV579" s="416">
        <v>0</v>
      </c>
      <c r="AW579" s="416">
        <v>0</v>
      </c>
      <c r="AX579" s="416">
        <v>0</v>
      </c>
      <c r="AY579" s="416">
        <v>0</v>
      </c>
      <c r="AZ579" s="416">
        <v>0</v>
      </c>
    </row>
    <row r="580" spans="1:52" s="411" customFormat="1" x14ac:dyDescent="0.3">
      <c r="A580" s="415" t="str">
        <f t="shared" si="8"/>
        <v>SA-543 Gr.B</v>
      </c>
      <c r="B580" s="415">
        <v>574</v>
      </c>
      <c r="C580" s="415" t="s">
        <v>3150</v>
      </c>
      <c r="D580" s="415" t="s">
        <v>2684</v>
      </c>
      <c r="E580" s="415" t="s">
        <v>2267</v>
      </c>
      <c r="F580" s="415" t="s">
        <v>1864</v>
      </c>
      <c r="G580" s="415" t="s">
        <v>3151</v>
      </c>
      <c r="H580" s="415">
        <v>1</v>
      </c>
      <c r="I580" s="415">
        <v>0</v>
      </c>
      <c r="J580" s="415" t="s">
        <v>3093</v>
      </c>
      <c r="K580" s="415">
        <v>5</v>
      </c>
      <c r="L580" s="415">
        <v>725</v>
      </c>
      <c r="M580" s="415">
        <v>585</v>
      </c>
      <c r="N580" s="415" t="s">
        <v>2675</v>
      </c>
      <c r="O580" s="415" t="s">
        <v>2675</v>
      </c>
      <c r="P580" s="415">
        <v>343</v>
      </c>
      <c r="Q580" s="415" t="s">
        <v>2675</v>
      </c>
      <c r="R580" s="415" t="s">
        <v>2838</v>
      </c>
      <c r="S580" s="415">
        <v>0</v>
      </c>
      <c r="T580" s="416">
        <v>207</v>
      </c>
      <c r="U580" s="416">
        <v>207</v>
      </c>
      <c r="V580" s="416">
        <v>207</v>
      </c>
      <c r="W580" s="416">
        <v>207</v>
      </c>
      <c r="X580" s="416">
        <v>207</v>
      </c>
      <c r="Y580" s="416">
        <v>207</v>
      </c>
      <c r="Z580" s="416">
        <v>205</v>
      </c>
      <c r="AA580" s="416">
        <v>204</v>
      </c>
      <c r="AB580" s="416">
        <v>202</v>
      </c>
      <c r="AC580" s="416">
        <v>200</v>
      </c>
      <c r="AD580" s="416">
        <v>197</v>
      </c>
      <c r="AE580" s="416">
        <v>0</v>
      </c>
      <c r="AF580" s="416">
        <v>0</v>
      </c>
      <c r="AG580" s="416">
        <v>0</v>
      </c>
      <c r="AH580" s="416">
        <v>0</v>
      </c>
      <c r="AI580" s="416">
        <v>0</v>
      </c>
      <c r="AJ580" s="416">
        <v>0</v>
      </c>
      <c r="AK580" s="416">
        <v>0</v>
      </c>
      <c r="AL580" s="416">
        <v>0</v>
      </c>
      <c r="AM580" s="416">
        <v>0</v>
      </c>
      <c r="AN580" s="416">
        <v>0</v>
      </c>
      <c r="AO580" s="416">
        <v>0</v>
      </c>
      <c r="AP580" s="416">
        <v>0</v>
      </c>
      <c r="AQ580" s="416">
        <v>0</v>
      </c>
      <c r="AR580" s="416">
        <v>0</v>
      </c>
      <c r="AS580" s="416">
        <v>0</v>
      </c>
      <c r="AT580" s="416">
        <v>0</v>
      </c>
      <c r="AU580" s="416">
        <v>0</v>
      </c>
      <c r="AV580" s="416">
        <v>0</v>
      </c>
      <c r="AW580" s="416">
        <v>0</v>
      </c>
      <c r="AX580" s="416">
        <v>0</v>
      </c>
      <c r="AY580" s="416">
        <v>0</v>
      </c>
      <c r="AZ580" s="416">
        <v>0</v>
      </c>
    </row>
    <row r="581" spans="1:52" s="411" customFormat="1" x14ac:dyDescent="0.3">
      <c r="A581" s="415" t="str">
        <f t="shared" si="8"/>
        <v>SA-543 Gr.B</v>
      </c>
      <c r="B581" s="415">
        <v>575</v>
      </c>
      <c r="C581" s="415" t="s">
        <v>3150</v>
      </c>
      <c r="D581" s="415" t="s">
        <v>2684</v>
      </c>
      <c r="E581" s="415" t="s">
        <v>2267</v>
      </c>
      <c r="F581" s="415" t="s">
        <v>1864</v>
      </c>
      <c r="G581" s="415" t="s">
        <v>3151</v>
      </c>
      <c r="H581" s="415">
        <v>2</v>
      </c>
      <c r="I581" s="415">
        <v>0</v>
      </c>
      <c r="J581" s="415" t="s">
        <v>2895</v>
      </c>
      <c r="K581" s="415">
        <v>10</v>
      </c>
      <c r="L581" s="415">
        <v>795</v>
      </c>
      <c r="M581" s="415">
        <v>690</v>
      </c>
      <c r="N581" s="415" t="s">
        <v>2675</v>
      </c>
      <c r="O581" s="415" t="s">
        <v>2675</v>
      </c>
      <c r="P581" s="415">
        <v>343</v>
      </c>
      <c r="Q581" s="415" t="s">
        <v>2675</v>
      </c>
      <c r="R581" s="415" t="s">
        <v>2896</v>
      </c>
      <c r="S581" s="415">
        <v>0</v>
      </c>
      <c r="T581" s="416">
        <v>227</v>
      </c>
      <c r="U581" s="416">
        <v>227</v>
      </c>
      <c r="V581" s="416">
        <v>227</v>
      </c>
      <c r="W581" s="416">
        <v>227</v>
      </c>
      <c r="X581" s="416">
        <v>227</v>
      </c>
      <c r="Y581" s="416">
        <v>227</v>
      </c>
      <c r="Z581" s="416">
        <v>224</v>
      </c>
      <c r="AA581" s="416">
        <v>223</v>
      </c>
      <c r="AB581" s="416">
        <v>221</v>
      </c>
      <c r="AC581" s="416">
        <v>219</v>
      </c>
      <c r="AD581" s="416">
        <v>217</v>
      </c>
      <c r="AE581" s="416">
        <v>0</v>
      </c>
      <c r="AF581" s="416">
        <v>0</v>
      </c>
      <c r="AG581" s="416">
        <v>0</v>
      </c>
      <c r="AH581" s="416">
        <v>0</v>
      </c>
      <c r="AI581" s="416">
        <v>0</v>
      </c>
      <c r="AJ581" s="416">
        <v>0</v>
      </c>
      <c r="AK581" s="416">
        <v>0</v>
      </c>
      <c r="AL581" s="416">
        <v>0</v>
      </c>
      <c r="AM581" s="416">
        <v>0</v>
      </c>
      <c r="AN581" s="416">
        <v>0</v>
      </c>
      <c r="AO581" s="416">
        <v>0</v>
      </c>
      <c r="AP581" s="416">
        <v>0</v>
      </c>
      <c r="AQ581" s="416">
        <v>0</v>
      </c>
      <c r="AR581" s="416">
        <v>0</v>
      </c>
      <c r="AS581" s="416">
        <v>0</v>
      </c>
      <c r="AT581" s="416">
        <v>0</v>
      </c>
      <c r="AU581" s="416">
        <v>0</v>
      </c>
      <c r="AV581" s="416">
        <v>0</v>
      </c>
      <c r="AW581" s="416">
        <v>0</v>
      </c>
      <c r="AX581" s="416">
        <v>0</v>
      </c>
      <c r="AY581" s="416">
        <v>0</v>
      </c>
      <c r="AZ581" s="416">
        <v>0</v>
      </c>
    </row>
    <row r="582" spans="1:52" s="411" customFormat="1" x14ac:dyDescent="0.3">
      <c r="A582" s="415" t="str">
        <f t="shared" si="8"/>
        <v>SA-372 Gr.M</v>
      </c>
      <c r="B582" s="415">
        <v>576</v>
      </c>
      <c r="C582" s="415" t="s">
        <v>3150</v>
      </c>
      <c r="D582" s="415" t="s">
        <v>2737</v>
      </c>
      <c r="E582" s="415" t="s">
        <v>2223</v>
      </c>
      <c r="F582" s="415" t="s">
        <v>2506</v>
      </c>
      <c r="G582" s="415" t="s">
        <v>3152</v>
      </c>
      <c r="H582" s="415">
        <v>100</v>
      </c>
      <c r="I582" s="415">
        <v>0</v>
      </c>
      <c r="J582" s="415">
        <v>0</v>
      </c>
      <c r="K582" s="415">
        <v>0</v>
      </c>
      <c r="L582" s="415">
        <v>825</v>
      </c>
      <c r="M582" s="415">
        <v>690</v>
      </c>
      <c r="N582" s="415" t="s">
        <v>2675</v>
      </c>
      <c r="O582" s="415" t="s">
        <v>2675</v>
      </c>
      <c r="P582" s="415">
        <v>343</v>
      </c>
      <c r="Q582" s="415">
        <v>343</v>
      </c>
      <c r="R582" s="415">
        <v>0</v>
      </c>
      <c r="S582" s="415" t="s">
        <v>2835</v>
      </c>
      <c r="T582" s="416">
        <v>236</v>
      </c>
      <c r="U582" s="416">
        <v>236</v>
      </c>
      <c r="V582" s="416">
        <v>236</v>
      </c>
      <c r="W582" s="416">
        <v>236</v>
      </c>
      <c r="X582" s="416">
        <v>236</v>
      </c>
      <c r="Y582" s="416">
        <v>236</v>
      </c>
      <c r="Z582" s="416">
        <v>234</v>
      </c>
      <c r="AA582" s="416">
        <v>233</v>
      </c>
      <c r="AB582" s="416">
        <v>231</v>
      </c>
      <c r="AC582" s="416">
        <v>229</v>
      </c>
      <c r="AD582" s="416">
        <v>226</v>
      </c>
      <c r="AE582" s="416">
        <v>0</v>
      </c>
      <c r="AF582" s="416">
        <v>0</v>
      </c>
      <c r="AG582" s="416">
        <v>0</v>
      </c>
      <c r="AH582" s="416">
        <v>0</v>
      </c>
      <c r="AI582" s="416">
        <v>0</v>
      </c>
      <c r="AJ582" s="416">
        <v>0</v>
      </c>
      <c r="AK582" s="416">
        <v>0</v>
      </c>
      <c r="AL582" s="416">
        <v>0</v>
      </c>
      <c r="AM582" s="416">
        <v>0</v>
      </c>
      <c r="AN582" s="416">
        <v>0</v>
      </c>
      <c r="AO582" s="416">
        <v>0</v>
      </c>
      <c r="AP582" s="416">
        <v>0</v>
      </c>
      <c r="AQ582" s="416">
        <v>0</v>
      </c>
      <c r="AR582" s="416">
        <v>0</v>
      </c>
      <c r="AS582" s="416">
        <v>0</v>
      </c>
      <c r="AT582" s="416">
        <v>0</v>
      </c>
      <c r="AU582" s="416">
        <v>0</v>
      </c>
      <c r="AV582" s="416">
        <v>0</v>
      </c>
      <c r="AW582" s="416">
        <v>0</v>
      </c>
      <c r="AX582" s="416">
        <v>0</v>
      </c>
      <c r="AY582" s="416">
        <v>0</v>
      </c>
      <c r="AZ582" s="416">
        <v>0</v>
      </c>
    </row>
    <row r="583" spans="1:52" s="411" customFormat="1" x14ac:dyDescent="0.3">
      <c r="A583" s="415" t="str">
        <f t="shared" si="8"/>
        <v>SA-333 Gr.3</v>
      </c>
      <c r="B583" s="415">
        <v>577</v>
      </c>
      <c r="C583" s="415" t="s">
        <v>3153</v>
      </c>
      <c r="D583" s="415" t="s">
        <v>2916</v>
      </c>
      <c r="E583" s="415" t="s">
        <v>2172</v>
      </c>
      <c r="F583" s="415">
        <v>3</v>
      </c>
      <c r="G583" s="415" t="s">
        <v>3154</v>
      </c>
      <c r="H583" s="415">
        <v>0</v>
      </c>
      <c r="I583" s="415">
        <v>0</v>
      </c>
      <c r="J583" s="415" t="s">
        <v>3155</v>
      </c>
      <c r="K583" s="415">
        <v>1</v>
      </c>
      <c r="L583" s="415">
        <v>450</v>
      </c>
      <c r="M583" s="415">
        <v>240</v>
      </c>
      <c r="N583" s="415" t="s">
        <v>2675</v>
      </c>
      <c r="O583" s="415" t="s">
        <v>2675</v>
      </c>
      <c r="P583" s="415">
        <v>343</v>
      </c>
      <c r="Q583" s="415">
        <v>343</v>
      </c>
      <c r="R583" s="415" t="s">
        <v>2699</v>
      </c>
      <c r="S583" s="415">
        <v>0</v>
      </c>
      <c r="T583" s="416">
        <v>128</v>
      </c>
      <c r="U583" s="416">
        <v>128</v>
      </c>
      <c r="V583" s="416">
        <v>128</v>
      </c>
      <c r="W583" s="416">
        <v>128</v>
      </c>
      <c r="X583" s="416">
        <v>128</v>
      </c>
      <c r="Y583" s="416">
        <v>128</v>
      </c>
      <c r="Z583" s="416">
        <v>128</v>
      </c>
      <c r="AA583" s="416">
        <v>128</v>
      </c>
      <c r="AB583" s="416">
        <v>124</v>
      </c>
      <c r="AC583" s="416">
        <v>119</v>
      </c>
      <c r="AD583" s="416">
        <v>114</v>
      </c>
      <c r="AE583" s="416">
        <v>0</v>
      </c>
      <c r="AF583" s="416">
        <v>0</v>
      </c>
      <c r="AG583" s="416">
        <v>0</v>
      </c>
      <c r="AH583" s="416">
        <v>0</v>
      </c>
      <c r="AI583" s="416">
        <v>0</v>
      </c>
      <c r="AJ583" s="416">
        <v>0</v>
      </c>
      <c r="AK583" s="416">
        <v>0</v>
      </c>
      <c r="AL583" s="416">
        <v>0</v>
      </c>
      <c r="AM583" s="416">
        <v>0</v>
      </c>
      <c r="AN583" s="416">
        <v>0</v>
      </c>
      <c r="AO583" s="416">
        <v>0</v>
      </c>
      <c r="AP583" s="416">
        <v>0</v>
      </c>
      <c r="AQ583" s="416">
        <v>0</v>
      </c>
      <c r="AR583" s="416">
        <v>0</v>
      </c>
      <c r="AS583" s="416">
        <v>0</v>
      </c>
      <c r="AT583" s="416">
        <v>0</v>
      </c>
      <c r="AU583" s="416">
        <v>0</v>
      </c>
      <c r="AV583" s="416">
        <v>0</v>
      </c>
      <c r="AW583" s="416">
        <v>0</v>
      </c>
      <c r="AX583" s="416">
        <v>0</v>
      </c>
      <c r="AY583" s="416">
        <v>0</v>
      </c>
      <c r="AZ583" s="416">
        <v>0</v>
      </c>
    </row>
    <row r="584" spans="1:52" s="411" customFormat="1" x14ac:dyDescent="0.3">
      <c r="A584" s="415" t="str">
        <f t="shared" ref="A584:A647" si="9">CONCATENATE(E584," Gr.",F584)</f>
        <v>SA-333 Gr.3</v>
      </c>
      <c r="B584" s="415">
        <v>578</v>
      </c>
      <c r="C584" s="415" t="s">
        <v>3153</v>
      </c>
      <c r="D584" s="415" t="s">
        <v>2680</v>
      </c>
      <c r="E584" s="415" t="s">
        <v>2172</v>
      </c>
      <c r="F584" s="415">
        <v>3</v>
      </c>
      <c r="G584" s="415" t="s">
        <v>3154</v>
      </c>
      <c r="H584" s="415">
        <v>0</v>
      </c>
      <c r="I584" s="415">
        <v>0</v>
      </c>
      <c r="J584" s="415" t="s">
        <v>3155</v>
      </c>
      <c r="K584" s="415">
        <v>1</v>
      </c>
      <c r="L584" s="415">
        <v>450</v>
      </c>
      <c r="M584" s="415">
        <v>240</v>
      </c>
      <c r="N584" s="415" t="s">
        <v>2675</v>
      </c>
      <c r="O584" s="415" t="s">
        <v>2675</v>
      </c>
      <c r="P584" s="415">
        <v>343</v>
      </c>
      <c r="Q584" s="415">
        <v>343</v>
      </c>
      <c r="R584" s="415" t="s">
        <v>2699</v>
      </c>
      <c r="S584" s="415" t="s">
        <v>3004</v>
      </c>
      <c r="T584" s="416">
        <v>109</v>
      </c>
      <c r="U584" s="416">
        <v>109</v>
      </c>
      <c r="V584" s="416">
        <v>109</v>
      </c>
      <c r="W584" s="416">
        <v>109</v>
      </c>
      <c r="X584" s="416">
        <v>109</v>
      </c>
      <c r="Y584" s="416">
        <v>109</v>
      </c>
      <c r="Z584" s="416">
        <v>109</v>
      </c>
      <c r="AA584" s="416">
        <v>109</v>
      </c>
      <c r="AB584" s="416">
        <v>105</v>
      </c>
      <c r="AC584" s="416">
        <v>101</v>
      </c>
      <c r="AD584" s="416">
        <v>96.7</v>
      </c>
      <c r="AE584" s="416">
        <v>0</v>
      </c>
      <c r="AF584" s="416">
        <v>0</v>
      </c>
      <c r="AG584" s="416">
        <v>0</v>
      </c>
      <c r="AH584" s="416">
        <v>0</v>
      </c>
      <c r="AI584" s="416">
        <v>0</v>
      </c>
      <c r="AJ584" s="416">
        <v>0</v>
      </c>
      <c r="AK584" s="416">
        <v>0</v>
      </c>
      <c r="AL584" s="416">
        <v>0</v>
      </c>
      <c r="AM584" s="416">
        <v>0</v>
      </c>
      <c r="AN584" s="416">
        <v>0</v>
      </c>
      <c r="AO584" s="416">
        <v>0</v>
      </c>
      <c r="AP584" s="416">
        <v>0</v>
      </c>
      <c r="AQ584" s="416">
        <v>0</v>
      </c>
      <c r="AR584" s="416">
        <v>0</v>
      </c>
      <c r="AS584" s="416">
        <v>0</v>
      </c>
      <c r="AT584" s="416">
        <v>0</v>
      </c>
      <c r="AU584" s="416">
        <v>0</v>
      </c>
      <c r="AV584" s="416">
        <v>0</v>
      </c>
      <c r="AW584" s="416">
        <v>0</v>
      </c>
      <c r="AX584" s="416">
        <v>0</v>
      </c>
      <c r="AY584" s="416">
        <v>0</v>
      </c>
      <c r="AZ584" s="416">
        <v>0</v>
      </c>
    </row>
    <row r="585" spans="1:52" s="411" customFormat="1" x14ac:dyDescent="0.3">
      <c r="A585" s="415" t="str">
        <f t="shared" si="9"/>
        <v>SA-334 Gr.3</v>
      </c>
      <c r="B585" s="415">
        <v>579</v>
      </c>
      <c r="C585" s="415" t="s">
        <v>3153</v>
      </c>
      <c r="D585" s="415" t="s">
        <v>3136</v>
      </c>
      <c r="E585" s="415" t="s">
        <v>2209</v>
      </c>
      <c r="F585" s="415">
        <v>3</v>
      </c>
      <c r="G585" s="415" t="s">
        <v>3154</v>
      </c>
      <c r="H585" s="415">
        <v>0</v>
      </c>
      <c r="I585" s="415">
        <v>0</v>
      </c>
      <c r="J585" s="415" t="s">
        <v>3155</v>
      </c>
      <c r="K585" s="415">
        <v>1</v>
      </c>
      <c r="L585" s="415">
        <v>450</v>
      </c>
      <c r="M585" s="415">
        <v>240</v>
      </c>
      <c r="N585" s="415" t="s">
        <v>2675</v>
      </c>
      <c r="O585" s="415" t="s">
        <v>2675</v>
      </c>
      <c r="P585" s="415">
        <v>343</v>
      </c>
      <c r="Q585" s="415">
        <v>343</v>
      </c>
      <c r="R585" s="415" t="s">
        <v>2699</v>
      </c>
      <c r="S585" s="415">
        <v>0</v>
      </c>
      <c r="T585" s="416">
        <v>128</v>
      </c>
      <c r="U585" s="416">
        <v>128</v>
      </c>
      <c r="V585" s="416">
        <v>128</v>
      </c>
      <c r="W585" s="416">
        <v>128</v>
      </c>
      <c r="X585" s="416">
        <v>128</v>
      </c>
      <c r="Y585" s="416">
        <v>128</v>
      </c>
      <c r="Z585" s="416">
        <v>128</v>
      </c>
      <c r="AA585" s="416">
        <v>128</v>
      </c>
      <c r="AB585" s="416">
        <v>124</v>
      </c>
      <c r="AC585" s="416">
        <v>119</v>
      </c>
      <c r="AD585" s="416">
        <v>114</v>
      </c>
      <c r="AE585" s="416">
        <v>0</v>
      </c>
      <c r="AF585" s="416">
        <v>0</v>
      </c>
      <c r="AG585" s="416">
        <v>0</v>
      </c>
      <c r="AH585" s="416">
        <v>0</v>
      </c>
      <c r="AI585" s="416">
        <v>0</v>
      </c>
      <c r="AJ585" s="416">
        <v>0</v>
      </c>
      <c r="AK585" s="416">
        <v>0</v>
      </c>
      <c r="AL585" s="416">
        <v>0</v>
      </c>
      <c r="AM585" s="416">
        <v>0</v>
      </c>
      <c r="AN585" s="416">
        <v>0</v>
      </c>
      <c r="AO585" s="416">
        <v>0</v>
      </c>
      <c r="AP585" s="416">
        <v>0</v>
      </c>
      <c r="AQ585" s="416">
        <v>0</v>
      </c>
      <c r="AR585" s="416">
        <v>0</v>
      </c>
      <c r="AS585" s="416">
        <v>0</v>
      </c>
      <c r="AT585" s="416">
        <v>0</v>
      </c>
      <c r="AU585" s="416">
        <v>0</v>
      </c>
      <c r="AV585" s="416">
        <v>0</v>
      </c>
      <c r="AW585" s="416">
        <v>0</v>
      </c>
      <c r="AX585" s="416">
        <v>0</v>
      </c>
      <c r="AY585" s="416">
        <v>0</v>
      </c>
      <c r="AZ585" s="416">
        <v>0</v>
      </c>
    </row>
    <row r="586" spans="1:52" s="411" customFormat="1" x14ac:dyDescent="0.3">
      <c r="A586" s="415" t="str">
        <f t="shared" si="9"/>
        <v>SA-334 Gr.3</v>
      </c>
      <c r="B586" s="415">
        <v>580</v>
      </c>
      <c r="C586" s="415" t="s">
        <v>3153</v>
      </c>
      <c r="D586" s="415" t="s">
        <v>2689</v>
      </c>
      <c r="E586" s="415" t="s">
        <v>2209</v>
      </c>
      <c r="F586" s="415">
        <v>3</v>
      </c>
      <c r="G586" s="415" t="s">
        <v>3154</v>
      </c>
      <c r="H586" s="415">
        <v>0</v>
      </c>
      <c r="I586" s="415">
        <v>0</v>
      </c>
      <c r="J586" s="415" t="s">
        <v>3155</v>
      </c>
      <c r="K586" s="415">
        <v>1</v>
      </c>
      <c r="L586" s="415">
        <v>450</v>
      </c>
      <c r="M586" s="415">
        <v>240</v>
      </c>
      <c r="N586" s="415" t="s">
        <v>2675</v>
      </c>
      <c r="O586" s="415" t="s">
        <v>2675</v>
      </c>
      <c r="P586" s="415">
        <v>343</v>
      </c>
      <c r="Q586" s="415">
        <v>343</v>
      </c>
      <c r="R586" s="415" t="s">
        <v>2699</v>
      </c>
      <c r="S586" s="415" t="s">
        <v>3004</v>
      </c>
      <c r="T586" s="416">
        <v>109</v>
      </c>
      <c r="U586" s="416">
        <v>109</v>
      </c>
      <c r="V586" s="416">
        <v>109</v>
      </c>
      <c r="W586" s="416">
        <v>109</v>
      </c>
      <c r="X586" s="416">
        <v>109</v>
      </c>
      <c r="Y586" s="416">
        <v>109</v>
      </c>
      <c r="Z586" s="416">
        <v>109</v>
      </c>
      <c r="AA586" s="416">
        <v>109</v>
      </c>
      <c r="AB586" s="416">
        <v>105</v>
      </c>
      <c r="AC586" s="416">
        <v>101</v>
      </c>
      <c r="AD586" s="416">
        <v>96.7</v>
      </c>
      <c r="AE586" s="416">
        <v>0</v>
      </c>
      <c r="AF586" s="416">
        <v>0</v>
      </c>
      <c r="AG586" s="416">
        <v>0</v>
      </c>
      <c r="AH586" s="416">
        <v>0</v>
      </c>
      <c r="AI586" s="416">
        <v>0</v>
      </c>
      <c r="AJ586" s="416">
        <v>0</v>
      </c>
      <c r="AK586" s="416">
        <v>0</v>
      </c>
      <c r="AL586" s="416">
        <v>0</v>
      </c>
      <c r="AM586" s="416">
        <v>0</v>
      </c>
      <c r="AN586" s="416">
        <v>0</v>
      </c>
      <c r="AO586" s="416">
        <v>0</v>
      </c>
      <c r="AP586" s="416">
        <v>0</v>
      </c>
      <c r="AQ586" s="416">
        <v>0</v>
      </c>
      <c r="AR586" s="416">
        <v>0</v>
      </c>
      <c r="AS586" s="416">
        <v>0</v>
      </c>
      <c r="AT586" s="416">
        <v>0</v>
      </c>
      <c r="AU586" s="416">
        <v>0</v>
      </c>
      <c r="AV586" s="416">
        <v>0</v>
      </c>
      <c r="AW586" s="416">
        <v>0</v>
      </c>
      <c r="AX586" s="416">
        <v>0</v>
      </c>
      <c r="AY586" s="416">
        <v>0</v>
      </c>
      <c r="AZ586" s="416">
        <v>0</v>
      </c>
    </row>
    <row r="587" spans="1:52" s="411" customFormat="1" x14ac:dyDescent="0.3">
      <c r="A587" s="415" t="str">
        <f t="shared" si="9"/>
        <v>SA-420 Gr.WPL3</v>
      </c>
      <c r="B587" s="415">
        <v>581</v>
      </c>
      <c r="C587" s="415" t="s">
        <v>3153</v>
      </c>
      <c r="D587" s="415" t="s">
        <v>913</v>
      </c>
      <c r="E587" s="415" t="s">
        <v>2235</v>
      </c>
      <c r="F587" s="415" t="s">
        <v>2612</v>
      </c>
      <c r="G587" s="415">
        <v>0</v>
      </c>
      <c r="H587" s="415">
        <v>0</v>
      </c>
      <c r="I587" s="415">
        <v>0</v>
      </c>
      <c r="J587" s="415" t="s">
        <v>3155</v>
      </c>
      <c r="K587" s="415">
        <v>1</v>
      </c>
      <c r="L587" s="415">
        <v>450</v>
      </c>
      <c r="M587" s="415">
        <v>240</v>
      </c>
      <c r="N587" s="415" t="s">
        <v>2675</v>
      </c>
      <c r="O587" s="415" t="s">
        <v>2675</v>
      </c>
      <c r="P587" s="415">
        <v>343</v>
      </c>
      <c r="Q587" s="415">
        <v>343</v>
      </c>
      <c r="R587" s="415" t="s">
        <v>2699</v>
      </c>
      <c r="S587" s="415">
        <v>0</v>
      </c>
      <c r="T587" s="416">
        <v>128</v>
      </c>
      <c r="U587" s="416">
        <v>128</v>
      </c>
      <c r="V587" s="416">
        <v>128</v>
      </c>
      <c r="W587" s="416">
        <v>128</v>
      </c>
      <c r="X587" s="416">
        <v>128</v>
      </c>
      <c r="Y587" s="416">
        <v>128</v>
      </c>
      <c r="Z587" s="416">
        <v>128</v>
      </c>
      <c r="AA587" s="416">
        <v>128</v>
      </c>
      <c r="AB587" s="416">
        <v>124</v>
      </c>
      <c r="AC587" s="416">
        <v>119</v>
      </c>
      <c r="AD587" s="416">
        <v>114</v>
      </c>
      <c r="AE587" s="416">
        <v>0</v>
      </c>
      <c r="AF587" s="416">
        <v>0</v>
      </c>
      <c r="AG587" s="416">
        <v>0</v>
      </c>
      <c r="AH587" s="416">
        <v>0</v>
      </c>
      <c r="AI587" s="416">
        <v>0</v>
      </c>
      <c r="AJ587" s="416">
        <v>0</v>
      </c>
      <c r="AK587" s="416">
        <v>0</v>
      </c>
      <c r="AL587" s="416">
        <v>0</v>
      </c>
      <c r="AM587" s="416">
        <v>0</v>
      </c>
      <c r="AN587" s="416">
        <v>0</v>
      </c>
      <c r="AO587" s="416">
        <v>0</v>
      </c>
      <c r="AP587" s="416">
        <v>0</v>
      </c>
      <c r="AQ587" s="416">
        <v>0</v>
      </c>
      <c r="AR587" s="416">
        <v>0</v>
      </c>
      <c r="AS587" s="416">
        <v>0</v>
      </c>
      <c r="AT587" s="416">
        <v>0</v>
      </c>
      <c r="AU587" s="416">
        <v>0</v>
      </c>
      <c r="AV587" s="416">
        <v>0</v>
      </c>
      <c r="AW587" s="416">
        <v>0</v>
      </c>
      <c r="AX587" s="416">
        <v>0</v>
      </c>
      <c r="AY587" s="416">
        <v>0</v>
      </c>
      <c r="AZ587" s="416">
        <v>0</v>
      </c>
    </row>
    <row r="588" spans="1:52" s="411" customFormat="1" x14ac:dyDescent="0.3">
      <c r="A588" s="415" t="str">
        <f t="shared" si="9"/>
        <v>SA-203 Gr.D</v>
      </c>
      <c r="B588" s="415">
        <v>582</v>
      </c>
      <c r="C588" s="415" t="s">
        <v>3153</v>
      </c>
      <c r="D588" s="415" t="s">
        <v>2684</v>
      </c>
      <c r="E588" s="415" t="s">
        <v>2191</v>
      </c>
      <c r="F588" s="415" t="s">
        <v>2414</v>
      </c>
      <c r="G588" s="415" t="s">
        <v>3156</v>
      </c>
      <c r="H588" s="415">
        <v>0</v>
      </c>
      <c r="I588" s="415">
        <v>0</v>
      </c>
      <c r="J588" s="415" t="s">
        <v>3155</v>
      </c>
      <c r="K588" s="415">
        <v>1</v>
      </c>
      <c r="L588" s="415">
        <v>450</v>
      </c>
      <c r="M588" s="415">
        <v>255</v>
      </c>
      <c r="N588" s="415" t="s">
        <v>2675</v>
      </c>
      <c r="O588" s="415">
        <v>371</v>
      </c>
      <c r="P588" s="415">
        <v>538</v>
      </c>
      <c r="Q588" s="415">
        <v>343</v>
      </c>
      <c r="R588" s="415" t="s">
        <v>2699</v>
      </c>
      <c r="S588" s="415" t="s">
        <v>2543</v>
      </c>
      <c r="T588" s="416">
        <v>128</v>
      </c>
      <c r="U588" s="416">
        <v>128</v>
      </c>
      <c r="V588" s="416">
        <v>128</v>
      </c>
      <c r="W588" s="416">
        <v>128</v>
      </c>
      <c r="X588" s="416">
        <v>128</v>
      </c>
      <c r="Y588" s="416">
        <v>128</v>
      </c>
      <c r="Z588" s="416">
        <v>128</v>
      </c>
      <c r="AA588" s="416">
        <v>128</v>
      </c>
      <c r="AB588" s="416">
        <v>128</v>
      </c>
      <c r="AC588" s="416">
        <v>126</v>
      </c>
      <c r="AD588" s="416">
        <v>120</v>
      </c>
      <c r="AE588" s="416">
        <v>112</v>
      </c>
      <c r="AF588" s="416">
        <v>95.1</v>
      </c>
      <c r="AG588" s="416">
        <v>79.599999999999994</v>
      </c>
      <c r="AH588" s="416">
        <v>64.8</v>
      </c>
      <c r="AI588" s="416">
        <v>49.1</v>
      </c>
      <c r="AJ588" s="416">
        <v>35.799999999999997</v>
      </c>
      <c r="AK588" s="416">
        <v>23.7</v>
      </c>
      <c r="AL588" s="416">
        <v>11.1</v>
      </c>
      <c r="AM588" s="416">
        <v>0</v>
      </c>
      <c r="AN588" s="416">
        <v>0</v>
      </c>
      <c r="AO588" s="416">
        <v>0</v>
      </c>
      <c r="AP588" s="416">
        <v>0</v>
      </c>
      <c r="AQ588" s="416">
        <v>0</v>
      </c>
      <c r="AR588" s="416">
        <v>0</v>
      </c>
      <c r="AS588" s="416">
        <v>0</v>
      </c>
      <c r="AT588" s="416">
        <v>0</v>
      </c>
      <c r="AU588" s="416">
        <v>0</v>
      </c>
      <c r="AV588" s="416">
        <v>0</v>
      </c>
      <c r="AW588" s="416">
        <v>0</v>
      </c>
      <c r="AX588" s="416">
        <v>0</v>
      </c>
      <c r="AY588" s="416">
        <v>0</v>
      </c>
      <c r="AZ588" s="416">
        <v>0</v>
      </c>
    </row>
    <row r="589" spans="1:52" s="411" customFormat="1" x14ac:dyDescent="0.3">
      <c r="A589" s="415" t="str">
        <f t="shared" si="9"/>
        <v>SA-350 Gr.LF3</v>
      </c>
      <c r="B589" s="415">
        <v>583</v>
      </c>
      <c r="C589" s="415" t="s">
        <v>3153</v>
      </c>
      <c r="D589" s="415" t="s">
        <v>2737</v>
      </c>
      <c r="E589" s="415" t="s">
        <v>2212</v>
      </c>
      <c r="F589" s="415" t="s">
        <v>2503</v>
      </c>
      <c r="G589" s="415" t="s">
        <v>3157</v>
      </c>
      <c r="H589" s="415">
        <v>1</v>
      </c>
      <c r="I589" s="415">
        <v>0</v>
      </c>
      <c r="J589" s="415" t="s">
        <v>3155</v>
      </c>
      <c r="K589" s="415">
        <v>1</v>
      </c>
      <c r="L589" s="415">
        <v>485</v>
      </c>
      <c r="M589" s="415">
        <v>260</v>
      </c>
      <c r="N589" s="415" t="s">
        <v>2675</v>
      </c>
      <c r="O589" s="415">
        <v>343</v>
      </c>
      <c r="P589" s="415">
        <v>343</v>
      </c>
      <c r="Q589" s="415">
        <v>343</v>
      </c>
      <c r="R589" s="415" t="s">
        <v>2699</v>
      </c>
      <c r="S589" s="415">
        <v>0</v>
      </c>
      <c r="T589" s="416">
        <v>138</v>
      </c>
      <c r="U589" s="416">
        <v>138</v>
      </c>
      <c r="V589" s="416">
        <v>138</v>
      </c>
      <c r="W589" s="416">
        <v>138</v>
      </c>
      <c r="X589" s="416">
        <v>138</v>
      </c>
      <c r="Y589" s="416">
        <v>138</v>
      </c>
      <c r="Z589" s="416">
        <v>138</v>
      </c>
      <c r="AA589" s="416">
        <v>138</v>
      </c>
      <c r="AB589" s="416">
        <v>133</v>
      </c>
      <c r="AC589" s="416">
        <v>128</v>
      </c>
      <c r="AD589" s="416">
        <v>122</v>
      </c>
      <c r="AE589" s="416">
        <v>0</v>
      </c>
      <c r="AF589" s="416">
        <v>0</v>
      </c>
      <c r="AG589" s="416">
        <v>0</v>
      </c>
      <c r="AH589" s="416">
        <v>0</v>
      </c>
      <c r="AI589" s="416">
        <v>0</v>
      </c>
      <c r="AJ589" s="416">
        <v>0</v>
      </c>
      <c r="AK589" s="416">
        <v>0</v>
      </c>
      <c r="AL589" s="416">
        <v>0</v>
      </c>
      <c r="AM589" s="416">
        <v>0</v>
      </c>
      <c r="AN589" s="416">
        <v>0</v>
      </c>
      <c r="AO589" s="416">
        <v>0</v>
      </c>
      <c r="AP589" s="416">
        <v>0</v>
      </c>
      <c r="AQ589" s="416">
        <v>0</v>
      </c>
      <c r="AR589" s="416">
        <v>0</v>
      </c>
      <c r="AS589" s="416">
        <v>0</v>
      </c>
      <c r="AT589" s="416">
        <v>0</v>
      </c>
      <c r="AU589" s="416">
        <v>0</v>
      </c>
      <c r="AV589" s="416">
        <v>0</v>
      </c>
      <c r="AW589" s="416">
        <v>0</v>
      </c>
      <c r="AX589" s="416">
        <v>0</v>
      </c>
      <c r="AY589" s="416">
        <v>0</v>
      </c>
      <c r="AZ589" s="416">
        <v>0</v>
      </c>
    </row>
    <row r="590" spans="1:52" s="411" customFormat="1" x14ac:dyDescent="0.3">
      <c r="A590" s="415" t="str">
        <f t="shared" si="9"/>
        <v>SA-350 Gr.LF3</v>
      </c>
      <c r="B590" s="415">
        <v>584</v>
      </c>
      <c r="C590" s="415" t="s">
        <v>3153</v>
      </c>
      <c r="D590" s="415" t="s">
        <v>2737</v>
      </c>
      <c r="E590" s="415" t="s">
        <v>2212</v>
      </c>
      <c r="F590" s="415" t="s">
        <v>2503</v>
      </c>
      <c r="G590" s="415" t="s">
        <v>3157</v>
      </c>
      <c r="H590" s="415">
        <v>2</v>
      </c>
      <c r="I590" s="415">
        <v>0</v>
      </c>
      <c r="J590" s="415" t="s">
        <v>3155</v>
      </c>
      <c r="K590" s="415">
        <v>1</v>
      </c>
      <c r="L590" s="415">
        <v>485</v>
      </c>
      <c r="M590" s="415">
        <v>260</v>
      </c>
      <c r="N590" s="415" t="s">
        <v>2675</v>
      </c>
      <c r="O590" s="415">
        <v>343</v>
      </c>
      <c r="P590" s="415">
        <v>343</v>
      </c>
      <c r="Q590" s="415">
        <v>343</v>
      </c>
      <c r="R590" s="415" t="s">
        <v>2699</v>
      </c>
      <c r="S590" s="415">
        <v>0</v>
      </c>
      <c r="T590" s="416">
        <v>138</v>
      </c>
      <c r="U590" s="416">
        <v>138</v>
      </c>
      <c r="V590" s="416">
        <v>138</v>
      </c>
      <c r="W590" s="416">
        <v>138</v>
      </c>
      <c r="X590" s="416">
        <v>138</v>
      </c>
      <c r="Y590" s="416">
        <v>138</v>
      </c>
      <c r="Z590" s="416">
        <v>138</v>
      </c>
      <c r="AA590" s="416">
        <v>138</v>
      </c>
      <c r="AB590" s="416">
        <v>133</v>
      </c>
      <c r="AC590" s="416">
        <v>128</v>
      </c>
      <c r="AD590" s="416">
        <v>122</v>
      </c>
      <c r="AE590" s="416">
        <v>0</v>
      </c>
      <c r="AF590" s="416">
        <v>0</v>
      </c>
      <c r="AG590" s="416">
        <v>0</v>
      </c>
      <c r="AH590" s="416">
        <v>0</v>
      </c>
      <c r="AI590" s="416">
        <v>0</v>
      </c>
      <c r="AJ590" s="416">
        <v>0</v>
      </c>
      <c r="AK590" s="416">
        <v>0</v>
      </c>
      <c r="AL590" s="416">
        <v>0</v>
      </c>
      <c r="AM590" s="416">
        <v>0</v>
      </c>
      <c r="AN590" s="416">
        <v>0</v>
      </c>
      <c r="AO590" s="416">
        <v>0</v>
      </c>
      <c r="AP590" s="416">
        <v>0</v>
      </c>
      <c r="AQ590" s="416">
        <v>0</v>
      </c>
      <c r="AR590" s="416">
        <v>0</v>
      </c>
      <c r="AS590" s="416">
        <v>0</v>
      </c>
      <c r="AT590" s="416">
        <v>0</v>
      </c>
      <c r="AU590" s="416">
        <v>0</v>
      </c>
      <c r="AV590" s="416">
        <v>0</v>
      </c>
      <c r="AW590" s="416">
        <v>0</v>
      </c>
      <c r="AX590" s="416">
        <v>0</v>
      </c>
      <c r="AY590" s="416">
        <v>0</v>
      </c>
      <c r="AZ590" s="416">
        <v>0</v>
      </c>
    </row>
    <row r="591" spans="1:52" s="411" customFormat="1" x14ac:dyDescent="0.3">
      <c r="A591" s="415" t="str">
        <f t="shared" si="9"/>
        <v>SA-765 Gr.III</v>
      </c>
      <c r="B591" s="415">
        <v>585</v>
      </c>
      <c r="C591" s="415" t="s">
        <v>3153</v>
      </c>
      <c r="D591" s="415" t="s">
        <v>2737</v>
      </c>
      <c r="E591" s="415" t="s">
        <v>2320</v>
      </c>
      <c r="F591" s="415" t="s">
        <v>2485</v>
      </c>
      <c r="G591" s="415" t="s">
        <v>3158</v>
      </c>
      <c r="H591" s="415">
        <v>0</v>
      </c>
      <c r="I591" s="415">
        <v>0</v>
      </c>
      <c r="J591" s="415" t="s">
        <v>3155</v>
      </c>
      <c r="K591" s="415">
        <v>1</v>
      </c>
      <c r="L591" s="415">
        <v>485</v>
      </c>
      <c r="M591" s="415">
        <v>260</v>
      </c>
      <c r="N591" s="415" t="s">
        <v>2675</v>
      </c>
      <c r="O591" s="415" t="s">
        <v>2675</v>
      </c>
      <c r="P591" s="415">
        <v>343</v>
      </c>
      <c r="Q591" s="415">
        <v>343</v>
      </c>
      <c r="R591" s="415" t="s">
        <v>2699</v>
      </c>
      <c r="S591" s="415">
        <v>0</v>
      </c>
      <c r="T591" s="416">
        <v>138</v>
      </c>
      <c r="U591" s="416">
        <v>138</v>
      </c>
      <c r="V591" s="416">
        <v>138</v>
      </c>
      <c r="W591" s="416">
        <v>138</v>
      </c>
      <c r="X591" s="416">
        <v>138</v>
      </c>
      <c r="Y591" s="416">
        <v>138</v>
      </c>
      <c r="Z591" s="416">
        <v>138</v>
      </c>
      <c r="AA591" s="416">
        <v>138</v>
      </c>
      <c r="AB591" s="416">
        <v>133</v>
      </c>
      <c r="AC591" s="416">
        <v>128</v>
      </c>
      <c r="AD591" s="416">
        <v>122</v>
      </c>
      <c r="AE591" s="416">
        <v>0</v>
      </c>
      <c r="AF591" s="416">
        <v>0</v>
      </c>
      <c r="AG591" s="416">
        <v>0</v>
      </c>
      <c r="AH591" s="416">
        <v>0</v>
      </c>
      <c r="AI591" s="416">
        <v>0</v>
      </c>
      <c r="AJ591" s="416">
        <v>0</v>
      </c>
      <c r="AK591" s="416">
        <v>0</v>
      </c>
      <c r="AL591" s="416">
        <v>0</v>
      </c>
      <c r="AM591" s="416">
        <v>0</v>
      </c>
      <c r="AN591" s="416">
        <v>0</v>
      </c>
      <c r="AO591" s="416">
        <v>0</v>
      </c>
      <c r="AP591" s="416">
        <v>0</v>
      </c>
      <c r="AQ591" s="416">
        <v>0</v>
      </c>
      <c r="AR591" s="416">
        <v>0</v>
      </c>
      <c r="AS591" s="416">
        <v>0</v>
      </c>
      <c r="AT591" s="416">
        <v>0</v>
      </c>
      <c r="AU591" s="416">
        <v>0</v>
      </c>
      <c r="AV591" s="416">
        <v>0</v>
      </c>
      <c r="AW591" s="416">
        <v>0</v>
      </c>
      <c r="AX591" s="416">
        <v>0</v>
      </c>
      <c r="AY591" s="416">
        <v>0</v>
      </c>
      <c r="AZ591" s="416">
        <v>0</v>
      </c>
    </row>
    <row r="592" spans="1:52" s="411" customFormat="1" x14ac:dyDescent="0.3">
      <c r="A592" s="415" t="str">
        <f t="shared" si="9"/>
        <v>SA-203 Gr.E</v>
      </c>
      <c r="B592" s="415">
        <v>586</v>
      </c>
      <c r="C592" s="415" t="s">
        <v>3153</v>
      </c>
      <c r="D592" s="415" t="s">
        <v>2684</v>
      </c>
      <c r="E592" s="415" t="s">
        <v>2191</v>
      </c>
      <c r="F592" s="415" t="s">
        <v>2417</v>
      </c>
      <c r="G592" s="415" t="s">
        <v>3159</v>
      </c>
      <c r="H592" s="415">
        <v>0</v>
      </c>
      <c r="I592" s="415">
        <v>0</v>
      </c>
      <c r="J592" s="415" t="s">
        <v>3155</v>
      </c>
      <c r="K592" s="415">
        <v>1</v>
      </c>
      <c r="L592" s="415">
        <v>485</v>
      </c>
      <c r="M592" s="415">
        <v>275</v>
      </c>
      <c r="N592" s="415" t="s">
        <v>2675</v>
      </c>
      <c r="O592" s="415" t="s">
        <v>3160</v>
      </c>
      <c r="P592" s="415" t="s">
        <v>2675</v>
      </c>
      <c r="Q592" s="415" t="s">
        <v>2675</v>
      </c>
      <c r="R592" s="415" t="s">
        <v>2699</v>
      </c>
      <c r="S592" s="415" t="s">
        <v>3161</v>
      </c>
      <c r="T592" s="416">
        <v>138</v>
      </c>
      <c r="U592" s="416">
        <v>138</v>
      </c>
      <c r="V592" s="416">
        <v>138</v>
      </c>
      <c r="W592" s="416">
        <v>138</v>
      </c>
      <c r="X592" s="416">
        <v>138</v>
      </c>
      <c r="Y592" s="416">
        <v>138</v>
      </c>
      <c r="Z592" s="416">
        <v>0</v>
      </c>
      <c r="AA592" s="416">
        <v>0</v>
      </c>
      <c r="AB592" s="416">
        <v>0</v>
      </c>
      <c r="AC592" s="416">
        <v>0</v>
      </c>
      <c r="AD592" s="416">
        <v>0</v>
      </c>
      <c r="AE592" s="416">
        <v>0</v>
      </c>
      <c r="AF592" s="416">
        <v>0</v>
      </c>
      <c r="AG592" s="416">
        <v>0</v>
      </c>
      <c r="AH592" s="416">
        <v>0</v>
      </c>
      <c r="AI592" s="416">
        <v>0</v>
      </c>
      <c r="AJ592" s="416">
        <v>0</v>
      </c>
      <c r="AK592" s="416">
        <v>0</v>
      </c>
      <c r="AL592" s="416">
        <v>0</v>
      </c>
      <c r="AM592" s="416">
        <v>0</v>
      </c>
      <c r="AN592" s="416">
        <v>0</v>
      </c>
      <c r="AO592" s="416">
        <v>0</v>
      </c>
      <c r="AP592" s="416">
        <v>0</v>
      </c>
      <c r="AQ592" s="416">
        <v>0</v>
      </c>
      <c r="AR592" s="416">
        <v>0</v>
      </c>
      <c r="AS592" s="416">
        <v>0</v>
      </c>
      <c r="AT592" s="416">
        <v>0</v>
      </c>
      <c r="AU592" s="416">
        <v>0</v>
      </c>
      <c r="AV592" s="416">
        <v>0</v>
      </c>
      <c r="AW592" s="416">
        <v>0</v>
      </c>
      <c r="AX592" s="416">
        <v>0</v>
      </c>
      <c r="AY592" s="416">
        <v>0</v>
      </c>
      <c r="AZ592" s="416">
        <v>0</v>
      </c>
    </row>
    <row r="593" spans="1:52" s="411" customFormat="1" x14ac:dyDescent="0.3">
      <c r="A593" s="415" t="str">
        <f t="shared" si="9"/>
        <v>SA-203 Gr.E</v>
      </c>
      <c r="B593" s="415">
        <v>587</v>
      </c>
      <c r="C593" s="415" t="s">
        <v>3153</v>
      </c>
      <c r="D593" s="415" t="s">
        <v>2684</v>
      </c>
      <c r="E593" s="415" t="s">
        <v>2191</v>
      </c>
      <c r="F593" s="415" t="s">
        <v>2417</v>
      </c>
      <c r="G593" s="415" t="s">
        <v>3159</v>
      </c>
      <c r="H593" s="415">
        <v>0</v>
      </c>
      <c r="I593" s="415">
        <v>0</v>
      </c>
      <c r="J593" s="415" t="s">
        <v>3155</v>
      </c>
      <c r="K593" s="415">
        <v>1</v>
      </c>
      <c r="L593" s="415">
        <v>485</v>
      </c>
      <c r="M593" s="415">
        <v>275</v>
      </c>
      <c r="N593" s="415" t="s">
        <v>2675</v>
      </c>
      <c r="O593" s="415">
        <v>343</v>
      </c>
      <c r="P593" s="415">
        <v>538</v>
      </c>
      <c r="Q593" s="415">
        <v>343</v>
      </c>
      <c r="R593" s="415" t="s">
        <v>2699</v>
      </c>
      <c r="S593" s="415" t="s">
        <v>2543</v>
      </c>
      <c r="T593" s="416">
        <v>138</v>
      </c>
      <c r="U593" s="416">
        <v>138</v>
      </c>
      <c r="V593" s="416">
        <v>138</v>
      </c>
      <c r="W593" s="416">
        <v>138</v>
      </c>
      <c r="X593" s="416">
        <v>138</v>
      </c>
      <c r="Y593" s="416">
        <v>138</v>
      </c>
      <c r="Z593" s="416">
        <v>138</v>
      </c>
      <c r="AA593" s="416">
        <v>138</v>
      </c>
      <c r="AB593" s="416">
        <v>138</v>
      </c>
      <c r="AC593" s="416">
        <v>136</v>
      </c>
      <c r="AD593" s="416">
        <v>129</v>
      </c>
      <c r="AE593" s="416">
        <v>122</v>
      </c>
      <c r="AF593" s="416">
        <v>101</v>
      </c>
      <c r="AG593" s="416">
        <v>83.8</v>
      </c>
      <c r="AH593" s="416">
        <v>67.3</v>
      </c>
      <c r="AI593" s="416">
        <v>49.4</v>
      </c>
      <c r="AJ593" s="416">
        <v>35.6</v>
      </c>
      <c r="AK593" s="416">
        <v>23.7</v>
      </c>
      <c r="AL593" s="416">
        <v>11.1</v>
      </c>
      <c r="AM593" s="416">
        <v>0</v>
      </c>
      <c r="AN593" s="416">
        <v>0</v>
      </c>
      <c r="AO593" s="416">
        <v>0</v>
      </c>
      <c r="AP593" s="416">
        <v>0</v>
      </c>
      <c r="AQ593" s="416">
        <v>0</v>
      </c>
      <c r="AR593" s="416">
        <v>0</v>
      </c>
      <c r="AS593" s="416">
        <v>0</v>
      </c>
      <c r="AT593" s="416">
        <v>0</v>
      </c>
      <c r="AU593" s="416">
        <v>0</v>
      </c>
      <c r="AV593" s="416">
        <v>0</v>
      </c>
      <c r="AW593" s="416">
        <v>0</v>
      </c>
      <c r="AX593" s="416">
        <v>0</v>
      </c>
      <c r="AY593" s="416">
        <v>0</v>
      </c>
      <c r="AZ593" s="416">
        <v>0</v>
      </c>
    </row>
    <row r="594" spans="1:52" s="411" customFormat="1" x14ac:dyDescent="0.3">
      <c r="A594" s="415" t="str">
        <f t="shared" si="9"/>
        <v>SA-352 Gr.LC3</v>
      </c>
      <c r="B594" s="415">
        <v>588</v>
      </c>
      <c r="C594" s="415" t="s">
        <v>3153</v>
      </c>
      <c r="D594" s="415" t="s">
        <v>2739</v>
      </c>
      <c r="E594" s="415" t="s">
        <v>2214</v>
      </c>
      <c r="F594" s="415" t="s">
        <v>2497</v>
      </c>
      <c r="G594" s="415" t="s">
        <v>3162</v>
      </c>
      <c r="H594" s="415">
        <v>0</v>
      </c>
      <c r="I594" s="415">
        <v>0</v>
      </c>
      <c r="J594" s="415" t="s">
        <v>3155</v>
      </c>
      <c r="K594" s="415">
        <v>1</v>
      </c>
      <c r="L594" s="415">
        <v>485</v>
      </c>
      <c r="M594" s="415">
        <v>275</v>
      </c>
      <c r="N594" s="415" t="s">
        <v>2675</v>
      </c>
      <c r="O594" s="415">
        <v>38</v>
      </c>
      <c r="P594" s="415">
        <v>343</v>
      </c>
      <c r="Q594" s="415">
        <v>343</v>
      </c>
      <c r="R594" s="415" t="s">
        <v>2699</v>
      </c>
      <c r="S594" s="415" t="s">
        <v>3086</v>
      </c>
      <c r="T594" s="416">
        <v>138</v>
      </c>
      <c r="U594" s="416">
        <v>138</v>
      </c>
      <c r="V594" s="416">
        <v>138</v>
      </c>
      <c r="W594" s="416">
        <v>138</v>
      </c>
      <c r="X594" s="416">
        <v>138</v>
      </c>
      <c r="Y594" s="416">
        <v>138</v>
      </c>
      <c r="Z594" s="416">
        <v>138</v>
      </c>
      <c r="AA594" s="416">
        <v>138</v>
      </c>
      <c r="AB594" s="416">
        <v>138</v>
      </c>
      <c r="AC594" s="416">
        <v>136</v>
      </c>
      <c r="AD594" s="416">
        <v>129</v>
      </c>
      <c r="AE594" s="416">
        <v>0</v>
      </c>
      <c r="AF594" s="416">
        <v>0</v>
      </c>
      <c r="AG594" s="416">
        <v>0</v>
      </c>
      <c r="AH594" s="416">
        <v>0</v>
      </c>
      <c r="AI594" s="416">
        <v>0</v>
      </c>
      <c r="AJ594" s="416">
        <v>0</v>
      </c>
      <c r="AK594" s="416">
        <v>0</v>
      </c>
      <c r="AL594" s="416">
        <v>0</v>
      </c>
      <c r="AM594" s="416">
        <v>0</v>
      </c>
      <c r="AN594" s="416">
        <v>0</v>
      </c>
      <c r="AO594" s="416">
        <v>0</v>
      </c>
      <c r="AP594" s="416">
        <v>0</v>
      </c>
      <c r="AQ594" s="416">
        <v>0</v>
      </c>
      <c r="AR594" s="416">
        <v>0</v>
      </c>
      <c r="AS594" s="416">
        <v>0</v>
      </c>
      <c r="AT594" s="416">
        <v>0</v>
      </c>
      <c r="AU594" s="416">
        <v>0</v>
      </c>
      <c r="AV594" s="416">
        <v>0</v>
      </c>
      <c r="AW594" s="416">
        <v>0</v>
      </c>
      <c r="AX594" s="416">
        <v>0</v>
      </c>
      <c r="AY594" s="416">
        <v>0</v>
      </c>
      <c r="AZ594" s="416">
        <v>0</v>
      </c>
    </row>
    <row r="595" spans="1:52" s="411" customFormat="1" x14ac:dyDescent="0.3">
      <c r="A595" s="415" t="str">
        <f t="shared" si="9"/>
        <v>SA-203 Gr.F</v>
      </c>
      <c r="B595" s="415">
        <v>589</v>
      </c>
      <c r="C595" s="415" t="s">
        <v>3153</v>
      </c>
      <c r="D595" s="415" t="s">
        <v>2684</v>
      </c>
      <c r="E595" s="415" t="s">
        <v>2191</v>
      </c>
      <c r="F595" s="415" t="s">
        <v>2423</v>
      </c>
      <c r="G595" s="415">
        <v>0</v>
      </c>
      <c r="H595" s="415">
        <v>0</v>
      </c>
      <c r="I595" s="415" t="s">
        <v>3163</v>
      </c>
      <c r="J595" s="415" t="s">
        <v>3155</v>
      </c>
      <c r="K595" s="415">
        <v>1</v>
      </c>
      <c r="L595" s="415">
        <v>515</v>
      </c>
      <c r="M595" s="415">
        <v>345</v>
      </c>
      <c r="N595" s="415" t="s">
        <v>2675</v>
      </c>
      <c r="O595" s="415" t="s">
        <v>2675</v>
      </c>
      <c r="P595" s="415">
        <v>343</v>
      </c>
      <c r="Q595" s="415">
        <v>343</v>
      </c>
      <c r="R595" s="415" t="s">
        <v>2819</v>
      </c>
      <c r="S595" s="415">
        <v>0</v>
      </c>
      <c r="T595" s="416">
        <v>148</v>
      </c>
      <c r="U595" s="416">
        <v>148</v>
      </c>
      <c r="V595" s="416">
        <v>148</v>
      </c>
      <c r="W595" s="416">
        <v>148</v>
      </c>
      <c r="X595" s="416">
        <v>148</v>
      </c>
      <c r="Y595" s="416">
        <v>148</v>
      </c>
      <c r="Z595" s="416">
        <v>148</v>
      </c>
      <c r="AA595" s="416">
        <v>148</v>
      </c>
      <c r="AB595" s="416">
        <v>148</v>
      </c>
      <c r="AC595" s="416">
        <v>146</v>
      </c>
      <c r="AD595" s="416">
        <v>140</v>
      </c>
      <c r="AE595" s="416">
        <v>0</v>
      </c>
      <c r="AF595" s="416">
        <v>0</v>
      </c>
      <c r="AG595" s="416">
        <v>0</v>
      </c>
      <c r="AH595" s="416">
        <v>0</v>
      </c>
      <c r="AI595" s="416">
        <v>0</v>
      </c>
      <c r="AJ595" s="416">
        <v>0</v>
      </c>
      <c r="AK595" s="416">
        <v>0</v>
      </c>
      <c r="AL595" s="416">
        <v>0</v>
      </c>
      <c r="AM595" s="416">
        <v>0</v>
      </c>
      <c r="AN595" s="416">
        <v>0</v>
      </c>
      <c r="AO595" s="416">
        <v>0</v>
      </c>
      <c r="AP595" s="416">
        <v>0</v>
      </c>
      <c r="AQ595" s="416">
        <v>0</v>
      </c>
      <c r="AR595" s="416">
        <v>0</v>
      </c>
      <c r="AS595" s="416">
        <v>0</v>
      </c>
      <c r="AT595" s="416">
        <v>0</v>
      </c>
      <c r="AU595" s="416">
        <v>0</v>
      </c>
      <c r="AV595" s="416">
        <v>0</v>
      </c>
      <c r="AW595" s="416">
        <v>0</v>
      </c>
      <c r="AX595" s="416">
        <v>0</v>
      </c>
      <c r="AY595" s="416">
        <v>0</v>
      </c>
      <c r="AZ595" s="416">
        <v>0</v>
      </c>
    </row>
    <row r="596" spans="1:52" s="411" customFormat="1" x14ac:dyDescent="0.3">
      <c r="A596" s="415" t="str">
        <f t="shared" si="9"/>
        <v>SA-203 Gr.F</v>
      </c>
      <c r="B596" s="415">
        <v>590</v>
      </c>
      <c r="C596" s="415" t="s">
        <v>3153</v>
      </c>
      <c r="D596" s="415" t="s">
        <v>2684</v>
      </c>
      <c r="E596" s="415" t="s">
        <v>2191</v>
      </c>
      <c r="F596" s="415" t="s">
        <v>2423</v>
      </c>
      <c r="G596" s="415">
        <v>0</v>
      </c>
      <c r="H596" s="415">
        <v>0</v>
      </c>
      <c r="I596" s="415" t="s">
        <v>2730</v>
      </c>
      <c r="J596" s="415" t="s">
        <v>3155</v>
      </c>
      <c r="K596" s="415">
        <v>1</v>
      </c>
      <c r="L596" s="415">
        <v>550</v>
      </c>
      <c r="M596" s="415">
        <v>380</v>
      </c>
      <c r="N596" s="415" t="s">
        <v>2675</v>
      </c>
      <c r="O596" s="415" t="s">
        <v>2675</v>
      </c>
      <c r="P596" s="415">
        <v>343</v>
      </c>
      <c r="Q596" s="415">
        <v>343</v>
      </c>
      <c r="R596" s="415" t="s">
        <v>2819</v>
      </c>
      <c r="S596" s="415">
        <v>0</v>
      </c>
      <c r="T596" s="416">
        <v>158</v>
      </c>
      <c r="U596" s="416">
        <v>158</v>
      </c>
      <c r="V596" s="416">
        <v>158</v>
      </c>
      <c r="W596" s="416">
        <v>158</v>
      </c>
      <c r="X596" s="416">
        <v>158</v>
      </c>
      <c r="Y596" s="416">
        <v>158</v>
      </c>
      <c r="Z596" s="416">
        <v>158</v>
      </c>
      <c r="AA596" s="416">
        <v>158</v>
      </c>
      <c r="AB596" s="416">
        <v>158</v>
      </c>
      <c r="AC596" s="416">
        <v>152</v>
      </c>
      <c r="AD596" s="416">
        <v>137</v>
      </c>
      <c r="AE596" s="416">
        <v>0</v>
      </c>
      <c r="AF596" s="416">
        <v>0</v>
      </c>
      <c r="AG596" s="416">
        <v>0</v>
      </c>
      <c r="AH596" s="416">
        <v>0</v>
      </c>
      <c r="AI596" s="416">
        <v>0</v>
      </c>
      <c r="AJ596" s="416">
        <v>0</v>
      </c>
      <c r="AK596" s="416">
        <v>0</v>
      </c>
      <c r="AL596" s="416">
        <v>0</v>
      </c>
      <c r="AM596" s="416">
        <v>0</v>
      </c>
      <c r="AN596" s="416">
        <v>0</v>
      </c>
      <c r="AO596" s="416">
        <v>0</v>
      </c>
      <c r="AP596" s="416">
        <v>0</v>
      </c>
      <c r="AQ596" s="416">
        <v>0</v>
      </c>
      <c r="AR596" s="416">
        <v>0</v>
      </c>
      <c r="AS596" s="416">
        <v>0</v>
      </c>
      <c r="AT596" s="416">
        <v>0</v>
      </c>
      <c r="AU596" s="416">
        <v>0</v>
      </c>
      <c r="AV596" s="416">
        <v>0</v>
      </c>
      <c r="AW596" s="416">
        <v>0</v>
      </c>
      <c r="AX596" s="416">
        <v>0</v>
      </c>
      <c r="AY596" s="416">
        <v>0</v>
      </c>
      <c r="AZ596" s="416">
        <v>0</v>
      </c>
    </row>
    <row r="597" spans="1:52" s="411" customFormat="1" x14ac:dyDescent="0.3">
      <c r="A597" s="415" t="str">
        <f t="shared" si="9"/>
        <v>SA-508 Gr.4N</v>
      </c>
      <c r="B597" s="415">
        <v>591</v>
      </c>
      <c r="C597" s="415" t="s">
        <v>3164</v>
      </c>
      <c r="D597" s="415" t="s">
        <v>2737</v>
      </c>
      <c r="E597" s="415" t="s">
        <v>2249</v>
      </c>
      <c r="F597" s="415" t="s">
        <v>2292</v>
      </c>
      <c r="G597" s="415" t="s">
        <v>3165</v>
      </c>
      <c r="H597" s="415">
        <v>3</v>
      </c>
      <c r="I597" s="415">
        <v>0</v>
      </c>
      <c r="J597" s="415">
        <v>3</v>
      </c>
      <c r="K597" s="415">
        <v>3</v>
      </c>
      <c r="L597" s="415">
        <v>620</v>
      </c>
      <c r="M597" s="415">
        <v>485</v>
      </c>
      <c r="N597" s="415" t="s">
        <v>2675</v>
      </c>
      <c r="O597" s="415" t="s">
        <v>2675</v>
      </c>
      <c r="P597" s="415">
        <v>343</v>
      </c>
      <c r="Q597" s="415">
        <v>343</v>
      </c>
      <c r="R597" s="415" t="s">
        <v>2838</v>
      </c>
      <c r="S597" s="415">
        <v>0</v>
      </c>
      <c r="T597" s="416">
        <v>177</v>
      </c>
      <c r="U597" s="416">
        <v>177</v>
      </c>
      <c r="V597" s="416">
        <v>177</v>
      </c>
      <c r="W597" s="416">
        <v>177</v>
      </c>
      <c r="X597" s="416">
        <v>177</v>
      </c>
      <c r="Y597" s="416">
        <v>177</v>
      </c>
      <c r="Z597" s="416">
        <v>176</v>
      </c>
      <c r="AA597" s="416">
        <v>175</v>
      </c>
      <c r="AB597" s="416">
        <v>173</v>
      </c>
      <c r="AC597" s="416">
        <v>172</v>
      </c>
      <c r="AD597" s="416">
        <v>169</v>
      </c>
      <c r="AE597" s="416">
        <v>0</v>
      </c>
      <c r="AF597" s="416">
        <v>0</v>
      </c>
      <c r="AG597" s="416">
        <v>0</v>
      </c>
      <c r="AH597" s="416">
        <v>0</v>
      </c>
      <c r="AI597" s="416">
        <v>0</v>
      </c>
      <c r="AJ597" s="416">
        <v>0</v>
      </c>
      <c r="AK597" s="416">
        <v>0</v>
      </c>
      <c r="AL597" s="416">
        <v>0</v>
      </c>
      <c r="AM597" s="416">
        <v>0</v>
      </c>
      <c r="AN597" s="416">
        <v>0</v>
      </c>
      <c r="AO597" s="416">
        <v>0</v>
      </c>
      <c r="AP597" s="416">
        <v>0</v>
      </c>
      <c r="AQ597" s="416">
        <v>0</v>
      </c>
      <c r="AR597" s="416">
        <v>0</v>
      </c>
      <c r="AS597" s="416">
        <v>0</v>
      </c>
      <c r="AT597" s="416">
        <v>0</v>
      </c>
      <c r="AU597" s="416">
        <v>0</v>
      </c>
      <c r="AV597" s="416">
        <v>0</v>
      </c>
      <c r="AW597" s="416">
        <v>0</v>
      </c>
      <c r="AX597" s="416">
        <v>0</v>
      </c>
      <c r="AY597" s="416">
        <v>0</v>
      </c>
      <c r="AZ597" s="416">
        <v>0</v>
      </c>
    </row>
    <row r="598" spans="1:52" s="411" customFormat="1" x14ac:dyDescent="0.3">
      <c r="A598" s="415" t="str">
        <f t="shared" si="9"/>
        <v>SA-508 Gr.4N</v>
      </c>
      <c r="B598" s="415">
        <v>592</v>
      </c>
      <c r="C598" s="415" t="s">
        <v>3164</v>
      </c>
      <c r="D598" s="415" t="s">
        <v>2737</v>
      </c>
      <c r="E598" s="415" t="s">
        <v>2249</v>
      </c>
      <c r="F598" s="415" t="s">
        <v>2292</v>
      </c>
      <c r="G598" s="415" t="s">
        <v>3165</v>
      </c>
      <c r="H598" s="415">
        <v>1</v>
      </c>
      <c r="I598" s="415">
        <v>0</v>
      </c>
      <c r="J598" s="415" t="s">
        <v>3093</v>
      </c>
      <c r="K598" s="415">
        <v>5</v>
      </c>
      <c r="L598" s="415">
        <v>725</v>
      </c>
      <c r="M598" s="415">
        <v>585</v>
      </c>
      <c r="N598" s="415" t="s">
        <v>2675</v>
      </c>
      <c r="O598" s="415" t="s">
        <v>3166</v>
      </c>
      <c r="P598" s="415">
        <v>343</v>
      </c>
      <c r="Q598" s="415" t="s">
        <v>2675</v>
      </c>
      <c r="R598" s="415" t="s">
        <v>2838</v>
      </c>
      <c r="S598" s="415">
        <v>0</v>
      </c>
      <c r="T598" s="416">
        <v>207</v>
      </c>
      <c r="U598" s="416">
        <v>207</v>
      </c>
      <c r="V598" s="416">
        <v>207</v>
      </c>
      <c r="W598" s="416">
        <v>207</v>
      </c>
      <c r="X598" s="416">
        <v>207</v>
      </c>
      <c r="Y598" s="416">
        <v>207</v>
      </c>
      <c r="Z598" s="416">
        <v>205</v>
      </c>
      <c r="AA598" s="416">
        <v>204</v>
      </c>
      <c r="AB598" s="416">
        <v>202</v>
      </c>
      <c r="AC598" s="416">
        <v>200</v>
      </c>
      <c r="AD598" s="416">
        <v>197</v>
      </c>
      <c r="AE598" s="416">
        <v>0</v>
      </c>
      <c r="AF598" s="416">
        <v>0</v>
      </c>
      <c r="AG598" s="416">
        <v>0</v>
      </c>
      <c r="AH598" s="416">
        <v>0</v>
      </c>
      <c r="AI598" s="416">
        <v>0</v>
      </c>
      <c r="AJ598" s="416">
        <v>0</v>
      </c>
      <c r="AK598" s="416">
        <v>0</v>
      </c>
      <c r="AL598" s="416">
        <v>0</v>
      </c>
      <c r="AM598" s="416">
        <v>0</v>
      </c>
      <c r="AN598" s="416">
        <v>0</v>
      </c>
      <c r="AO598" s="416">
        <v>0</v>
      </c>
      <c r="AP598" s="416">
        <v>0</v>
      </c>
      <c r="AQ598" s="416">
        <v>0</v>
      </c>
      <c r="AR598" s="416">
        <v>0</v>
      </c>
      <c r="AS598" s="416">
        <v>0</v>
      </c>
      <c r="AT598" s="416">
        <v>0</v>
      </c>
      <c r="AU598" s="416">
        <v>0</v>
      </c>
      <c r="AV598" s="416">
        <v>0</v>
      </c>
      <c r="AW598" s="416">
        <v>0</v>
      </c>
      <c r="AX598" s="416">
        <v>0</v>
      </c>
      <c r="AY598" s="416">
        <v>0</v>
      </c>
      <c r="AZ598" s="416">
        <v>0</v>
      </c>
    </row>
    <row r="599" spans="1:52" s="411" customFormat="1" x14ac:dyDescent="0.3">
      <c r="A599" s="415" t="str">
        <f t="shared" si="9"/>
        <v>SA-508 Gr.4N</v>
      </c>
      <c r="B599" s="415">
        <v>593</v>
      </c>
      <c r="C599" s="415" t="s">
        <v>3164</v>
      </c>
      <c r="D599" s="415" t="s">
        <v>2737</v>
      </c>
      <c r="E599" s="415" t="s">
        <v>2249</v>
      </c>
      <c r="F599" s="415" t="s">
        <v>2292</v>
      </c>
      <c r="G599" s="415" t="s">
        <v>3165</v>
      </c>
      <c r="H599" s="415">
        <v>2</v>
      </c>
      <c r="I599" s="415">
        <v>0</v>
      </c>
      <c r="J599" s="415" t="s">
        <v>2895</v>
      </c>
      <c r="K599" s="415">
        <v>10</v>
      </c>
      <c r="L599" s="415">
        <v>795</v>
      </c>
      <c r="M599" s="415">
        <v>690</v>
      </c>
      <c r="N599" s="415" t="s">
        <v>2675</v>
      </c>
      <c r="O599" s="415" t="s">
        <v>2675</v>
      </c>
      <c r="P599" s="415">
        <v>343</v>
      </c>
      <c r="Q599" s="415" t="s">
        <v>2675</v>
      </c>
      <c r="R599" s="415" t="s">
        <v>2896</v>
      </c>
      <c r="S599" s="415">
        <v>0</v>
      </c>
      <c r="T599" s="416">
        <v>227</v>
      </c>
      <c r="U599" s="416">
        <v>227</v>
      </c>
      <c r="V599" s="416">
        <v>227</v>
      </c>
      <c r="W599" s="416">
        <v>227</v>
      </c>
      <c r="X599" s="416">
        <v>227</v>
      </c>
      <c r="Y599" s="416">
        <v>227</v>
      </c>
      <c r="Z599" s="416">
        <v>224</v>
      </c>
      <c r="AA599" s="416">
        <v>223</v>
      </c>
      <c r="AB599" s="416">
        <v>221</v>
      </c>
      <c r="AC599" s="416">
        <v>219</v>
      </c>
      <c r="AD599" s="416">
        <v>217</v>
      </c>
      <c r="AE599" s="416">
        <v>0</v>
      </c>
      <c r="AF599" s="416">
        <v>0</v>
      </c>
      <c r="AG599" s="416">
        <v>0</v>
      </c>
      <c r="AH599" s="416">
        <v>0</v>
      </c>
      <c r="AI599" s="416">
        <v>0</v>
      </c>
      <c r="AJ599" s="416">
        <v>0</v>
      </c>
      <c r="AK599" s="416">
        <v>0</v>
      </c>
      <c r="AL599" s="416">
        <v>0</v>
      </c>
      <c r="AM599" s="416">
        <v>0</v>
      </c>
      <c r="AN599" s="416">
        <v>0</v>
      </c>
      <c r="AO599" s="416">
        <v>0</v>
      </c>
      <c r="AP599" s="416">
        <v>0</v>
      </c>
      <c r="AQ599" s="416">
        <v>0</v>
      </c>
      <c r="AR599" s="416">
        <v>0</v>
      </c>
      <c r="AS599" s="416">
        <v>0</v>
      </c>
      <c r="AT599" s="416">
        <v>0</v>
      </c>
      <c r="AU599" s="416">
        <v>0</v>
      </c>
      <c r="AV599" s="416">
        <v>0</v>
      </c>
      <c r="AW599" s="416">
        <v>0</v>
      </c>
      <c r="AX599" s="416">
        <v>0</v>
      </c>
      <c r="AY599" s="416">
        <v>0</v>
      </c>
      <c r="AZ599" s="416">
        <v>0</v>
      </c>
    </row>
    <row r="600" spans="1:52" s="411" customFormat="1" x14ac:dyDescent="0.3">
      <c r="A600" s="415" t="str">
        <f t="shared" si="9"/>
        <v>SA-723 Gr.3</v>
      </c>
      <c r="B600" s="415">
        <v>594</v>
      </c>
      <c r="C600" s="415" t="s">
        <v>3167</v>
      </c>
      <c r="D600" s="415" t="s">
        <v>2737</v>
      </c>
      <c r="E600" s="415" t="s">
        <v>2305</v>
      </c>
      <c r="F600" s="415">
        <v>3</v>
      </c>
      <c r="G600" s="415" t="s">
        <v>3168</v>
      </c>
      <c r="H600" s="415">
        <v>1</v>
      </c>
      <c r="I600" s="415">
        <v>0</v>
      </c>
      <c r="J600" s="415">
        <v>0</v>
      </c>
      <c r="K600" s="415">
        <v>0</v>
      </c>
      <c r="L600" s="415">
        <v>795</v>
      </c>
      <c r="M600" s="415">
        <v>690</v>
      </c>
      <c r="N600" s="415" t="s">
        <v>2675</v>
      </c>
      <c r="O600" s="415" t="s">
        <v>2704</v>
      </c>
      <c r="P600" s="415" t="s">
        <v>2675</v>
      </c>
      <c r="Q600" s="415" t="s">
        <v>2675</v>
      </c>
      <c r="R600" s="415" t="s">
        <v>2896</v>
      </c>
      <c r="S600" s="415" t="s">
        <v>3141</v>
      </c>
      <c r="T600" s="416">
        <v>227</v>
      </c>
      <c r="U600" s="416">
        <v>227</v>
      </c>
      <c r="V600" s="416">
        <v>227</v>
      </c>
      <c r="W600" s="416">
        <v>227</v>
      </c>
      <c r="X600" s="416">
        <v>227</v>
      </c>
      <c r="Y600" s="416">
        <v>227</v>
      </c>
      <c r="Z600" s="416">
        <v>227</v>
      </c>
      <c r="AA600" s="416">
        <v>227</v>
      </c>
      <c r="AB600" s="416">
        <v>227</v>
      </c>
      <c r="AC600" s="416">
        <v>226</v>
      </c>
      <c r="AD600" s="416">
        <v>222</v>
      </c>
      <c r="AE600" s="416">
        <v>217</v>
      </c>
      <c r="AF600" s="416">
        <v>0</v>
      </c>
      <c r="AG600" s="416">
        <v>0</v>
      </c>
      <c r="AH600" s="416">
        <v>0</v>
      </c>
      <c r="AI600" s="416">
        <v>0</v>
      </c>
      <c r="AJ600" s="416">
        <v>0</v>
      </c>
      <c r="AK600" s="416">
        <v>0</v>
      </c>
      <c r="AL600" s="416">
        <v>0</v>
      </c>
      <c r="AM600" s="416">
        <v>0</v>
      </c>
      <c r="AN600" s="416">
        <v>0</v>
      </c>
      <c r="AO600" s="416">
        <v>0</v>
      </c>
      <c r="AP600" s="416">
        <v>0</v>
      </c>
      <c r="AQ600" s="416">
        <v>0</v>
      </c>
      <c r="AR600" s="416">
        <v>0</v>
      </c>
      <c r="AS600" s="416">
        <v>0</v>
      </c>
      <c r="AT600" s="416">
        <v>0</v>
      </c>
      <c r="AU600" s="416">
        <v>0</v>
      </c>
      <c r="AV600" s="416">
        <v>0</v>
      </c>
      <c r="AW600" s="416">
        <v>0</v>
      </c>
      <c r="AX600" s="416">
        <v>0</v>
      </c>
      <c r="AY600" s="416">
        <v>0</v>
      </c>
      <c r="AZ600" s="416">
        <v>0</v>
      </c>
    </row>
    <row r="601" spans="1:52" s="411" customFormat="1" x14ac:dyDescent="0.3">
      <c r="A601" s="415" t="str">
        <f t="shared" si="9"/>
        <v>SA-723 Gr.3</v>
      </c>
      <c r="B601" s="415">
        <v>595</v>
      </c>
      <c r="C601" s="415" t="s">
        <v>3167</v>
      </c>
      <c r="D601" s="415" t="s">
        <v>2737</v>
      </c>
      <c r="E601" s="415" t="s">
        <v>2305</v>
      </c>
      <c r="F601" s="415">
        <v>3</v>
      </c>
      <c r="G601" s="415" t="s">
        <v>3168</v>
      </c>
      <c r="H601" s="415">
        <v>2</v>
      </c>
      <c r="I601" s="415">
        <v>0</v>
      </c>
      <c r="J601" s="415">
        <v>0</v>
      </c>
      <c r="K601" s="415">
        <v>0</v>
      </c>
      <c r="L601" s="415">
        <v>930</v>
      </c>
      <c r="M601" s="415">
        <v>825</v>
      </c>
      <c r="N601" s="415" t="s">
        <v>2675</v>
      </c>
      <c r="O601" s="415" t="s">
        <v>2704</v>
      </c>
      <c r="P601" s="415" t="s">
        <v>2675</v>
      </c>
      <c r="Q601" s="415" t="s">
        <v>2675</v>
      </c>
      <c r="R601" s="415" t="s">
        <v>2896</v>
      </c>
      <c r="S601" s="415" t="s">
        <v>3141</v>
      </c>
      <c r="T601" s="416">
        <v>266</v>
      </c>
      <c r="U601" s="416">
        <v>266</v>
      </c>
      <c r="V601" s="416">
        <v>266</v>
      </c>
      <c r="W601" s="416">
        <v>266</v>
      </c>
      <c r="X601" s="416">
        <v>266</v>
      </c>
      <c r="Y601" s="416">
        <v>266</v>
      </c>
      <c r="Z601" s="416">
        <v>266</v>
      </c>
      <c r="AA601" s="416">
        <v>266</v>
      </c>
      <c r="AB601" s="416">
        <v>266</v>
      </c>
      <c r="AC601" s="416">
        <v>265</v>
      </c>
      <c r="AD601" s="416">
        <v>261</v>
      </c>
      <c r="AE601" s="416">
        <v>255</v>
      </c>
      <c r="AF601" s="416">
        <v>0</v>
      </c>
      <c r="AG601" s="416">
        <v>0</v>
      </c>
      <c r="AH601" s="416">
        <v>0</v>
      </c>
      <c r="AI601" s="416">
        <v>0</v>
      </c>
      <c r="AJ601" s="416">
        <v>0</v>
      </c>
      <c r="AK601" s="416">
        <v>0</v>
      </c>
      <c r="AL601" s="416">
        <v>0</v>
      </c>
      <c r="AM601" s="416">
        <v>0</v>
      </c>
      <c r="AN601" s="416">
        <v>0</v>
      </c>
      <c r="AO601" s="416">
        <v>0</v>
      </c>
      <c r="AP601" s="416">
        <v>0</v>
      </c>
      <c r="AQ601" s="416">
        <v>0</v>
      </c>
      <c r="AR601" s="416">
        <v>0</v>
      </c>
      <c r="AS601" s="416">
        <v>0</v>
      </c>
      <c r="AT601" s="416">
        <v>0</v>
      </c>
      <c r="AU601" s="416">
        <v>0</v>
      </c>
      <c r="AV601" s="416">
        <v>0</v>
      </c>
      <c r="AW601" s="416">
        <v>0</v>
      </c>
      <c r="AX601" s="416">
        <v>0</v>
      </c>
      <c r="AY601" s="416">
        <v>0</v>
      </c>
      <c r="AZ601" s="416">
        <v>0</v>
      </c>
    </row>
    <row r="602" spans="1:52" s="411" customFormat="1" x14ac:dyDescent="0.3">
      <c r="A602" s="415" t="str">
        <f t="shared" si="9"/>
        <v>SA-723 Gr.3</v>
      </c>
      <c r="B602" s="415">
        <v>596</v>
      </c>
      <c r="C602" s="415" t="s">
        <v>3167</v>
      </c>
      <c r="D602" s="415" t="s">
        <v>2737</v>
      </c>
      <c r="E602" s="415" t="s">
        <v>2305</v>
      </c>
      <c r="F602" s="415">
        <v>3</v>
      </c>
      <c r="G602" s="415" t="s">
        <v>3168</v>
      </c>
      <c r="H602" s="415">
        <v>3</v>
      </c>
      <c r="I602" s="415">
        <v>0</v>
      </c>
      <c r="J602" s="415">
        <v>0</v>
      </c>
      <c r="K602" s="415">
        <v>0</v>
      </c>
      <c r="L602" s="415">
        <v>1070</v>
      </c>
      <c r="M602" s="415">
        <v>965</v>
      </c>
      <c r="N602" s="415" t="s">
        <v>2675</v>
      </c>
      <c r="O602" s="415" t="s">
        <v>2704</v>
      </c>
      <c r="P602" s="415" t="s">
        <v>2675</v>
      </c>
      <c r="Q602" s="415" t="s">
        <v>2675</v>
      </c>
      <c r="R602" s="415" t="s">
        <v>2896</v>
      </c>
      <c r="S602" s="415" t="s">
        <v>3141</v>
      </c>
      <c r="T602" s="416">
        <v>305</v>
      </c>
      <c r="U602" s="416">
        <v>305</v>
      </c>
      <c r="V602" s="416">
        <v>305</v>
      </c>
      <c r="W602" s="416">
        <v>305</v>
      </c>
      <c r="X602" s="416">
        <v>305</v>
      </c>
      <c r="Y602" s="416">
        <v>305</v>
      </c>
      <c r="Z602" s="416">
        <v>305</v>
      </c>
      <c r="AA602" s="416">
        <v>305</v>
      </c>
      <c r="AB602" s="416">
        <v>305</v>
      </c>
      <c r="AC602" s="416">
        <v>305</v>
      </c>
      <c r="AD602" s="416">
        <v>299</v>
      </c>
      <c r="AE602" s="416">
        <v>293</v>
      </c>
      <c r="AF602" s="416">
        <v>0</v>
      </c>
      <c r="AG602" s="416">
        <v>0</v>
      </c>
      <c r="AH602" s="416">
        <v>0</v>
      </c>
      <c r="AI602" s="416">
        <v>0</v>
      </c>
      <c r="AJ602" s="416">
        <v>0</v>
      </c>
      <c r="AK602" s="416">
        <v>0</v>
      </c>
      <c r="AL602" s="416">
        <v>0</v>
      </c>
      <c r="AM602" s="416">
        <v>0</v>
      </c>
      <c r="AN602" s="416">
        <v>0</v>
      </c>
      <c r="AO602" s="416">
        <v>0</v>
      </c>
      <c r="AP602" s="416">
        <v>0</v>
      </c>
      <c r="AQ602" s="416">
        <v>0</v>
      </c>
      <c r="AR602" s="416">
        <v>0</v>
      </c>
      <c r="AS602" s="416">
        <v>0</v>
      </c>
      <c r="AT602" s="416">
        <v>0</v>
      </c>
      <c r="AU602" s="416">
        <v>0</v>
      </c>
      <c r="AV602" s="416">
        <v>0</v>
      </c>
      <c r="AW602" s="416">
        <v>0</v>
      </c>
      <c r="AX602" s="416">
        <v>0</v>
      </c>
      <c r="AY602" s="416">
        <v>0</v>
      </c>
      <c r="AZ602" s="416">
        <v>0</v>
      </c>
    </row>
    <row r="603" spans="1:52" s="411" customFormat="1" x14ac:dyDescent="0.3">
      <c r="A603" s="415" t="str">
        <f t="shared" si="9"/>
        <v>SA-723 Gr.3</v>
      </c>
      <c r="B603" s="415">
        <v>597</v>
      </c>
      <c r="C603" s="415" t="s">
        <v>3167</v>
      </c>
      <c r="D603" s="415" t="s">
        <v>2737</v>
      </c>
      <c r="E603" s="415" t="s">
        <v>2305</v>
      </c>
      <c r="F603" s="415">
        <v>3</v>
      </c>
      <c r="G603" s="415" t="s">
        <v>3168</v>
      </c>
      <c r="H603" s="415">
        <v>4</v>
      </c>
      <c r="I603" s="415">
        <v>0</v>
      </c>
      <c r="J603" s="415">
        <v>0</v>
      </c>
      <c r="K603" s="415">
        <v>0</v>
      </c>
      <c r="L603" s="415">
        <v>1205</v>
      </c>
      <c r="M603" s="415">
        <v>1105</v>
      </c>
      <c r="N603" s="415" t="s">
        <v>2675</v>
      </c>
      <c r="O603" s="415" t="s">
        <v>2704</v>
      </c>
      <c r="P603" s="415" t="s">
        <v>2675</v>
      </c>
      <c r="Q603" s="415" t="s">
        <v>2675</v>
      </c>
      <c r="R603" s="415" t="s">
        <v>2896</v>
      </c>
      <c r="S603" s="415" t="s">
        <v>3141</v>
      </c>
      <c r="T603" s="416">
        <v>345</v>
      </c>
      <c r="U603" s="416">
        <v>345</v>
      </c>
      <c r="V603" s="416">
        <v>345</v>
      </c>
      <c r="W603" s="416">
        <v>345</v>
      </c>
      <c r="X603" s="416">
        <v>345</v>
      </c>
      <c r="Y603" s="416">
        <v>345</v>
      </c>
      <c r="Z603" s="416">
        <v>345</v>
      </c>
      <c r="AA603" s="416">
        <v>345</v>
      </c>
      <c r="AB603" s="416">
        <v>345</v>
      </c>
      <c r="AC603" s="416">
        <v>343</v>
      </c>
      <c r="AD603" s="416">
        <v>337</v>
      </c>
      <c r="AE603" s="416">
        <v>330</v>
      </c>
      <c r="AF603" s="416">
        <v>0</v>
      </c>
      <c r="AG603" s="416">
        <v>0</v>
      </c>
      <c r="AH603" s="416">
        <v>0</v>
      </c>
      <c r="AI603" s="416">
        <v>0</v>
      </c>
      <c r="AJ603" s="416">
        <v>0</v>
      </c>
      <c r="AK603" s="416">
        <v>0</v>
      </c>
      <c r="AL603" s="416">
        <v>0</v>
      </c>
      <c r="AM603" s="416">
        <v>0</v>
      </c>
      <c r="AN603" s="416">
        <v>0</v>
      </c>
      <c r="AO603" s="416">
        <v>0</v>
      </c>
      <c r="AP603" s="416">
        <v>0</v>
      </c>
      <c r="AQ603" s="416">
        <v>0</v>
      </c>
      <c r="AR603" s="416">
        <v>0</v>
      </c>
      <c r="AS603" s="416">
        <v>0</v>
      </c>
      <c r="AT603" s="416">
        <v>0</v>
      </c>
      <c r="AU603" s="416">
        <v>0</v>
      </c>
      <c r="AV603" s="416">
        <v>0</v>
      </c>
      <c r="AW603" s="416">
        <v>0</v>
      </c>
      <c r="AX603" s="416">
        <v>0</v>
      </c>
      <c r="AY603" s="416">
        <v>0</v>
      </c>
      <c r="AZ603" s="416">
        <v>0</v>
      </c>
    </row>
    <row r="604" spans="1:52" s="411" customFormat="1" x14ac:dyDescent="0.3">
      <c r="A604" s="415" t="str">
        <f t="shared" si="9"/>
        <v>SA-723 Gr.3</v>
      </c>
      <c r="B604" s="415">
        <v>598</v>
      </c>
      <c r="C604" s="415" t="s">
        <v>3167</v>
      </c>
      <c r="D604" s="415" t="s">
        <v>2737</v>
      </c>
      <c r="E604" s="415" t="s">
        <v>2305</v>
      </c>
      <c r="F604" s="415">
        <v>3</v>
      </c>
      <c r="G604" s="415" t="s">
        <v>3168</v>
      </c>
      <c r="H604" s="415">
        <v>5</v>
      </c>
      <c r="I604" s="415">
        <v>0</v>
      </c>
      <c r="J604" s="415">
        <v>0</v>
      </c>
      <c r="K604" s="415">
        <v>0</v>
      </c>
      <c r="L604" s="415">
        <v>1310</v>
      </c>
      <c r="M604" s="415">
        <v>1240</v>
      </c>
      <c r="N604" s="415" t="s">
        <v>2675</v>
      </c>
      <c r="O604" s="415" t="s">
        <v>2704</v>
      </c>
      <c r="P604" s="415" t="s">
        <v>2675</v>
      </c>
      <c r="Q604" s="415" t="s">
        <v>2675</v>
      </c>
      <c r="R604" s="415" t="s">
        <v>2896</v>
      </c>
      <c r="S604" s="415" t="s">
        <v>3141</v>
      </c>
      <c r="T604" s="416">
        <v>374</v>
      </c>
      <c r="U604" s="416">
        <v>374</v>
      </c>
      <c r="V604" s="416">
        <v>374</v>
      </c>
      <c r="W604" s="416">
        <v>374</v>
      </c>
      <c r="X604" s="416">
        <v>374</v>
      </c>
      <c r="Y604" s="416">
        <v>374</v>
      </c>
      <c r="Z604" s="416">
        <v>374</v>
      </c>
      <c r="AA604" s="416">
        <v>374</v>
      </c>
      <c r="AB604" s="416">
        <v>374</v>
      </c>
      <c r="AC604" s="416">
        <v>373</v>
      </c>
      <c r="AD604" s="416">
        <v>367</v>
      </c>
      <c r="AE604" s="416">
        <v>359</v>
      </c>
      <c r="AF604" s="416">
        <v>0</v>
      </c>
      <c r="AG604" s="416">
        <v>0</v>
      </c>
      <c r="AH604" s="416">
        <v>0</v>
      </c>
      <c r="AI604" s="416">
        <v>0</v>
      </c>
      <c r="AJ604" s="416">
        <v>0</v>
      </c>
      <c r="AK604" s="416">
        <v>0</v>
      </c>
      <c r="AL604" s="416">
        <v>0</v>
      </c>
      <c r="AM604" s="416">
        <v>0</v>
      </c>
      <c r="AN604" s="416">
        <v>0</v>
      </c>
      <c r="AO604" s="416">
        <v>0</v>
      </c>
      <c r="AP604" s="416">
        <v>0</v>
      </c>
      <c r="AQ604" s="416">
        <v>0</v>
      </c>
      <c r="AR604" s="416">
        <v>0</v>
      </c>
      <c r="AS604" s="416">
        <v>0</v>
      </c>
      <c r="AT604" s="416">
        <v>0</v>
      </c>
      <c r="AU604" s="416">
        <v>0</v>
      </c>
      <c r="AV604" s="416">
        <v>0</v>
      </c>
      <c r="AW604" s="416">
        <v>0</v>
      </c>
      <c r="AX604" s="416">
        <v>0</v>
      </c>
      <c r="AY604" s="416">
        <v>0</v>
      </c>
      <c r="AZ604" s="416">
        <v>0</v>
      </c>
    </row>
    <row r="605" spans="1:52" s="411" customFormat="1" x14ac:dyDescent="0.3">
      <c r="A605" s="415" t="str">
        <f t="shared" si="9"/>
        <v>SA-645 Gr.A</v>
      </c>
      <c r="B605" s="415">
        <v>599</v>
      </c>
      <c r="C605" s="415" t="s">
        <v>3169</v>
      </c>
      <c r="D605" s="415" t="s">
        <v>2684</v>
      </c>
      <c r="E605" s="415" t="s">
        <v>2285</v>
      </c>
      <c r="F605" s="415" t="s">
        <v>12</v>
      </c>
      <c r="G605" s="415" t="s">
        <v>3170</v>
      </c>
      <c r="H605" s="415">
        <v>0</v>
      </c>
      <c r="I605" s="415">
        <v>0</v>
      </c>
      <c r="J605" s="415" t="s">
        <v>3093</v>
      </c>
      <c r="K605" s="415">
        <v>2</v>
      </c>
      <c r="L605" s="415">
        <v>655</v>
      </c>
      <c r="M605" s="415">
        <v>450</v>
      </c>
      <c r="N605" s="415" t="s">
        <v>2675</v>
      </c>
      <c r="O605" s="415" t="s">
        <v>2675</v>
      </c>
      <c r="P605" s="415">
        <v>121</v>
      </c>
      <c r="Q605" s="415">
        <v>121</v>
      </c>
      <c r="R605" s="415" t="s">
        <v>2819</v>
      </c>
      <c r="S605" s="415">
        <v>0</v>
      </c>
      <c r="T605" s="416">
        <v>187</v>
      </c>
      <c r="U605" s="416">
        <v>187</v>
      </c>
      <c r="V605" s="416">
        <v>187</v>
      </c>
      <c r="W605" s="416">
        <v>186</v>
      </c>
      <c r="X605" s="416">
        <v>183</v>
      </c>
      <c r="Y605" s="416">
        <v>0</v>
      </c>
      <c r="Z605" s="416">
        <v>0</v>
      </c>
      <c r="AA605" s="416">
        <v>0</v>
      </c>
      <c r="AB605" s="416">
        <v>0</v>
      </c>
      <c r="AC605" s="416">
        <v>0</v>
      </c>
      <c r="AD605" s="416">
        <v>0</v>
      </c>
      <c r="AE605" s="416">
        <v>0</v>
      </c>
      <c r="AF605" s="416">
        <v>0</v>
      </c>
      <c r="AG605" s="416">
        <v>0</v>
      </c>
      <c r="AH605" s="416">
        <v>0</v>
      </c>
      <c r="AI605" s="416">
        <v>0</v>
      </c>
      <c r="AJ605" s="416">
        <v>0</v>
      </c>
      <c r="AK605" s="416">
        <v>0</v>
      </c>
      <c r="AL605" s="416">
        <v>0</v>
      </c>
      <c r="AM605" s="416">
        <v>0</v>
      </c>
      <c r="AN605" s="416">
        <v>0</v>
      </c>
      <c r="AO605" s="416">
        <v>0</v>
      </c>
      <c r="AP605" s="416">
        <v>0</v>
      </c>
      <c r="AQ605" s="416">
        <v>0</v>
      </c>
      <c r="AR605" s="416">
        <v>0</v>
      </c>
      <c r="AS605" s="416">
        <v>0</v>
      </c>
      <c r="AT605" s="416">
        <v>0</v>
      </c>
      <c r="AU605" s="416">
        <v>0</v>
      </c>
      <c r="AV605" s="416">
        <v>0</v>
      </c>
      <c r="AW605" s="416">
        <v>0</v>
      </c>
      <c r="AX605" s="416">
        <v>0</v>
      </c>
      <c r="AY605" s="416">
        <v>0</v>
      </c>
      <c r="AZ605" s="416">
        <v>0</v>
      </c>
    </row>
    <row r="606" spans="1:52" s="411" customFormat="1" x14ac:dyDescent="0.3">
      <c r="A606" s="415" t="str">
        <f t="shared" si="9"/>
        <v>SA-522 Gr.II</v>
      </c>
      <c r="B606" s="415">
        <v>600</v>
      </c>
      <c r="C606" s="415" t="s">
        <v>3171</v>
      </c>
      <c r="D606" s="415" t="s">
        <v>2737</v>
      </c>
      <c r="E606" s="415" t="s">
        <v>2256</v>
      </c>
      <c r="F606" s="415" t="s">
        <v>2484</v>
      </c>
      <c r="G606" s="415" t="s">
        <v>3172</v>
      </c>
      <c r="H606" s="415">
        <v>0</v>
      </c>
      <c r="I606" s="415">
        <v>0</v>
      </c>
      <c r="J606" s="415" t="s">
        <v>3093</v>
      </c>
      <c r="K606" s="415">
        <v>1</v>
      </c>
      <c r="L606" s="415">
        <v>690</v>
      </c>
      <c r="M606" s="415">
        <v>515</v>
      </c>
      <c r="N606" s="415" t="s">
        <v>2675</v>
      </c>
      <c r="O606" s="415" t="s">
        <v>3173</v>
      </c>
      <c r="P606" s="415" t="s">
        <v>2675</v>
      </c>
      <c r="Q606" s="415" t="s">
        <v>2675</v>
      </c>
      <c r="R606" s="415" t="s">
        <v>2819</v>
      </c>
      <c r="S606" s="415" t="s">
        <v>3174</v>
      </c>
      <c r="T606" s="416">
        <v>187</v>
      </c>
      <c r="U606" s="416">
        <v>187</v>
      </c>
      <c r="V606" s="416">
        <v>187</v>
      </c>
      <c r="W606" s="416">
        <v>173</v>
      </c>
      <c r="X606" s="416">
        <v>0</v>
      </c>
      <c r="Y606" s="416">
        <v>0</v>
      </c>
      <c r="Z606" s="416">
        <v>0</v>
      </c>
      <c r="AA606" s="416">
        <v>0</v>
      </c>
      <c r="AB606" s="416">
        <v>0</v>
      </c>
      <c r="AC606" s="416">
        <v>0</v>
      </c>
      <c r="AD606" s="416">
        <v>0</v>
      </c>
      <c r="AE606" s="416">
        <v>0</v>
      </c>
      <c r="AF606" s="416">
        <v>0</v>
      </c>
      <c r="AG606" s="416">
        <v>0</v>
      </c>
      <c r="AH606" s="416">
        <v>0</v>
      </c>
      <c r="AI606" s="416">
        <v>0</v>
      </c>
      <c r="AJ606" s="416">
        <v>0</v>
      </c>
      <c r="AK606" s="416">
        <v>0</v>
      </c>
      <c r="AL606" s="416">
        <v>0</v>
      </c>
      <c r="AM606" s="416">
        <v>0</v>
      </c>
      <c r="AN606" s="416">
        <v>0</v>
      </c>
      <c r="AO606" s="416">
        <v>0</v>
      </c>
      <c r="AP606" s="416">
        <v>0</v>
      </c>
      <c r="AQ606" s="416">
        <v>0</v>
      </c>
      <c r="AR606" s="416">
        <v>0</v>
      </c>
      <c r="AS606" s="416">
        <v>0</v>
      </c>
      <c r="AT606" s="416">
        <v>0</v>
      </c>
      <c r="AU606" s="416">
        <v>0</v>
      </c>
      <c r="AV606" s="416">
        <v>0</v>
      </c>
      <c r="AW606" s="416">
        <v>0</v>
      </c>
      <c r="AX606" s="416">
        <v>0</v>
      </c>
      <c r="AY606" s="416">
        <v>0</v>
      </c>
      <c r="AZ606" s="416">
        <v>0</v>
      </c>
    </row>
    <row r="607" spans="1:52" s="411" customFormat="1" x14ac:dyDescent="0.3">
      <c r="A607" s="415" t="str">
        <f t="shared" si="9"/>
        <v>SA-553 Gr.II</v>
      </c>
      <c r="B607" s="415">
        <v>601</v>
      </c>
      <c r="C607" s="415" t="s">
        <v>3171</v>
      </c>
      <c r="D607" s="415" t="s">
        <v>2684</v>
      </c>
      <c r="E607" s="415" t="s">
        <v>2269</v>
      </c>
      <c r="F607" s="415" t="s">
        <v>2484</v>
      </c>
      <c r="G607" s="415" t="s">
        <v>3172</v>
      </c>
      <c r="H607" s="415">
        <v>0</v>
      </c>
      <c r="I607" s="415">
        <v>0</v>
      </c>
      <c r="J607" s="415" t="s">
        <v>3093</v>
      </c>
      <c r="K607" s="415">
        <v>1</v>
      </c>
      <c r="L607" s="415">
        <v>690</v>
      </c>
      <c r="M607" s="415">
        <v>585</v>
      </c>
      <c r="N607" s="415" t="s">
        <v>2675</v>
      </c>
      <c r="O607" s="415" t="s">
        <v>3173</v>
      </c>
      <c r="P607" s="415">
        <v>121</v>
      </c>
      <c r="Q607" s="415">
        <v>121</v>
      </c>
      <c r="R607" s="415" t="s">
        <v>2819</v>
      </c>
      <c r="S607" s="415" t="s">
        <v>3174</v>
      </c>
      <c r="T607" s="416">
        <v>187</v>
      </c>
      <c r="U607" s="416">
        <v>187</v>
      </c>
      <c r="V607" s="416">
        <v>187</v>
      </c>
      <c r="W607" s="416">
        <v>173</v>
      </c>
      <c r="X607" s="416">
        <v>169</v>
      </c>
      <c r="Y607" s="416">
        <v>0</v>
      </c>
      <c r="Z607" s="416">
        <v>0</v>
      </c>
      <c r="AA607" s="416">
        <v>0</v>
      </c>
      <c r="AB607" s="416">
        <v>0</v>
      </c>
      <c r="AC607" s="416">
        <v>0</v>
      </c>
      <c r="AD607" s="416">
        <v>0</v>
      </c>
      <c r="AE607" s="416">
        <v>0</v>
      </c>
      <c r="AF607" s="416">
        <v>0</v>
      </c>
      <c r="AG607" s="416">
        <v>0</v>
      </c>
      <c r="AH607" s="416">
        <v>0</v>
      </c>
      <c r="AI607" s="416">
        <v>0</v>
      </c>
      <c r="AJ607" s="416">
        <v>0</v>
      </c>
      <c r="AK607" s="416">
        <v>0</v>
      </c>
      <c r="AL607" s="416">
        <v>0</v>
      </c>
      <c r="AM607" s="416">
        <v>0</v>
      </c>
      <c r="AN607" s="416">
        <v>0</v>
      </c>
      <c r="AO607" s="416">
        <v>0</v>
      </c>
      <c r="AP607" s="416">
        <v>0</v>
      </c>
      <c r="AQ607" s="416">
        <v>0</v>
      </c>
      <c r="AR607" s="416">
        <v>0</v>
      </c>
      <c r="AS607" s="416">
        <v>0</v>
      </c>
      <c r="AT607" s="416">
        <v>0</v>
      </c>
      <c r="AU607" s="416">
        <v>0</v>
      </c>
      <c r="AV607" s="416">
        <v>0</v>
      </c>
      <c r="AW607" s="416">
        <v>0</v>
      </c>
      <c r="AX607" s="416">
        <v>0</v>
      </c>
      <c r="AY607" s="416">
        <v>0</v>
      </c>
      <c r="AZ607" s="416">
        <v>0</v>
      </c>
    </row>
    <row r="608" spans="1:52" s="411" customFormat="1" x14ac:dyDescent="0.3">
      <c r="A608" s="415" t="str">
        <f t="shared" si="9"/>
        <v>SA-553 Gr.II</v>
      </c>
      <c r="B608" s="415">
        <v>602</v>
      </c>
      <c r="C608" s="415" t="s">
        <v>3171</v>
      </c>
      <c r="D608" s="415" t="s">
        <v>2684</v>
      </c>
      <c r="E608" s="415" t="s">
        <v>2269</v>
      </c>
      <c r="F608" s="415" t="s">
        <v>2484</v>
      </c>
      <c r="G608" s="415" t="s">
        <v>3172</v>
      </c>
      <c r="H608" s="415">
        <v>0</v>
      </c>
      <c r="I608" s="415">
        <v>0</v>
      </c>
      <c r="J608" s="415" t="s">
        <v>3093</v>
      </c>
      <c r="K608" s="415">
        <v>1</v>
      </c>
      <c r="L608" s="415">
        <v>690</v>
      </c>
      <c r="M608" s="415">
        <v>585</v>
      </c>
      <c r="N608" s="415" t="s">
        <v>2675</v>
      </c>
      <c r="O608" s="415" t="s">
        <v>3173</v>
      </c>
      <c r="P608" s="415">
        <v>121</v>
      </c>
      <c r="Q608" s="415">
        <v>121</v>
      </c>
      <c r="R608" s="415" t="s">
        <v>2819</v>
      </c>
      <c r="S608" s="415" t="s">
        <v>3175</v>
      </c>
      <c r="T608" s="416">
        <v>197</v>
      </c>
      <c r="U608" s="416">
        <v>197</v>
      </c>
      <c r="V608" s="416">
        <v>197</v>
      </c>
      <c r="W608" s="416">
        <v>182</v>
      </c>
      <c r="X608" s="416">
        <v>178</v>
      </c>
      <c r="Y608" s="416">
        <v>0</v>
      </c>
      <c r="Z608" s="416">
        <v>0</v>
      </c>
      <c r="AA608" s="416">
        <v>0</v>
      </c>
      <c r="AB608" s="416">
        <v>0</v>
      </c>
      <c r="AC608" s="416">
        <v>0</v>
      </c>
      <c r="AD608" s="416">
        <v>0</v>
      </c>
      <c r="AE608" s="416">
        <v>0</v>
      </c>
      <c r="AF608" s="416">
        <v>0</v>
      </c>
      <c r="AG608" s="416">
        <v>0</v>
      </c>
      <c r="AH608" s="416">
        <v>0</v>
      </c>
      <c r="AI608" s="416">
        <v>0</v>
      </c>
      <c r="AJ608" s="416">
        <v>0</v>
      </c>
      <c r="AK608" s="416">
        <v>0</v>
      </c>
      <c r="AL608" s="416">
        <v>0</v>
      </c>
      <c r="AM608" s="416">
        <v>0</v>
      </c>
      <c r="AN608" s="416">
        <v>0</v>
      </c>
      <c r="AO608" s="416">
        <v>0</v>
      </c>
      <c r="AP608" s="416">
        <v>0</v>
      </c>
      <c r="AQ608" s="416">
        <v>0</v>
      </c>
      <c r="AR608" s="416">
        <v>0</v>
      </c>
      <c r="AS608" s="416">
        <v>0</v>
      </c>
      <c r="AT608" s="416">
        <v>0</v>
      </c>
      <c r="AU608" s="416">
        <v>0</v>
      </c>
      <c r="AV608" s="416">
        <v>0</v>
      </c>
      <c r="AW608" s="416">
        <v>0</v>
      </c>
      <c r="AX608" s="416">
        <v>0</v>
      </c>
      <c r="AY608" s="416">
        <v>0</v>
      </c>
      <c r="AZ608" s="416">
        <v>0</v>
      </c>
    </row>
    <row r="609" spans="1:52" s="411" customFormat="1" x14ac:dyDescent="0.3">
      <c r="A609" s="415" t="str">
        <f t="shared" si="9"/>
        <v>SA-333 Gr.8</v>
      </c>
      <c r="B609" s="415">
        <v>603</v>
      </c>
      <c r="C609" s="415" t="s">
        <v>3176</v>
      </c>
      <c r="D609" s="415" t="s">
        <v>2720</v>
      </c>
      <c r="E609" s="415" t="s">
        <v>2172</v>
      </c>
      <c r="F609" s="415">
        <v>8</v>
      </c>
      <c r="G609" s="415" t="s">
        <v>3177</v>
      </c>
      <c r="H609" s="415">
        <v>0</v>
      </c>
      <c r="I609" s="415">
        <v>0</v>
      </c>
      <c r="J609" s="415" t="s">
        <v>3093</v>
      </c>
      <c r="K609" s="415">
        <v>1</v>
      </c>
      <c r="L609" s="415">
        <v>690</v>
      </c>
      <c r="M609" s="415">
        <v>515</v>
      </c>
      <c r="N609" s="415" t="s">
        <v>2675</v>
      </c>
      <c r="O609" s="415" t="s">
        <v>3173</v>
      </c>
      <c r="P609" s="415" t="s">
        <v>2675</v>
      </c>
      <c r="Q609" s="415" t="s">
        <v>2675</v>
      </c>
      <c r="R609" s="415" t="s">
        <v>2819</v>
      </c>
      <c r="S609" s="415" t="s">
        <v>3178</v>
      </c>
      <c r="T609" s="416">
        <v>197</v>
      </c>
      <c r="U609" s="416">
        <v>197</v>
      </c>
      <c r="V609" s="416">
        <v>197</v>
      </c>
      <c r="W609" s="416">
        <v>182</v>
      </c>
      <c r="X609" s="416">
        <v>0</v>
      </c>
      <c r="Y609" s="416">
        <v>0</v>
      </c>
      <c r="Z609" s="416">
        <v>0</v>
      </c>
      <c r="AA609" s="416">
        <v>0</v>
      </c>
      <c r="AB609" s="416">
        <v>0</v>
      </c>
      <c r="AC609" s="416">
        <v>0</v>
      </c>
      <c r="AD609" s="416">
        <v>0</v>
      </c>
      <c r="AE609" s="416">
        <v>0</v>
      </c>
      <c r="AF609" s="416">
        <v>0</v>
      </c>
      <c r="AG609" s="416">
        <v>0</v>
      </c>
      <c r="AH609" s="416">
        <v>0</v>
      </c>
      <c r="AI609" s="416">
        <v>0</v>
      </c>
      <c r="AJ609" s="416">
        <v>0</v>
      </c>
      <c r="AK609" s="416">
        <v>0</v>
      </c>
      <c r="AL609" s="416">
        <v>0</v>
      </c>
      <c r="AM609" s="416">
        <v>0</v>
      </c>
      <c r="AN609" s="416">
        <v>0</v>
      </c>
      <c r="AO609" s="416">
        <v>0</v>
      </c>
      <c r="AP609" s="416">
        <v>0</v>
      </c>
      <c r="AQ609" s="416">
        <v>0</v>
      </c>
      <c r="AR609" s="416">
        <v>0</v>
      </c>
      <c r="AS609" s="416">
        <v>0</v>
      </c>
      <c r="AT609" s="416">
        <v>0</v>
      </c>
      <c r="AU609" s="416">
        <v>0</v>
      </c>
      <c r="AV609" s="416">
        <v>0</v>
      </c>
      <c r="AW609" s="416">
        <v>0</v>
      </c>
      <c r="AX609" s="416">
        <v>0</v>
      </c>
      <c r="AY609" s="416">
        <v>0</v>
      </c>
      <c r="AZ609" s="416">
        <v>0</v>
      </c>
    </row>
    <row r="610" spans="1:52" s="411" customFormat="1" x14ac:dyDescent="0.3">
      <c r="A610" s="415" t="str">
        <f t="shared" si="9"/>
        <v>SA-333 Gr.8</v>
      </c>
      <c r="B610" s="415">
        <v>604</v>
      </c>
      <c r="C610" s="415" t="s">
        <v>3176</v>
      </c>
      <c r="D610" s="415" t="s">
        <v>2720</v>
      </c>
      <c r="E610" s="415" t="s">
        <v>2172</v>
      </c>
      <c r="F610" s="415">
        <v>8</v>
      </c>
      <c r="G610" s="415" t="s">
        <v>3177</v>
      </c>
      <c r="H610" s="415">
        <v>0</v>
      </c>
      <c r="I610" s="415">
        <v>0</v>
      </c>
      <c r="J610" s="415" t="s">
        <v>3093</v>
      </c>
      <c r="K610" s="415">
        <v>1</v>
      </c>
      <c r="L610" s="415">
        <v>690</v>
      </c>
      <c r="M610" s="415">
        <v>515</v>
      </c>
      <c r="N610" s="415" t="s">
        <v>2675</v>
      </c>
      <c r="O610" s="415" t="s">
        <v>3173</v>
      </c>
      <c r="P610" s="415" t="s">
        <v>2675</v>
      </c>
      <c r="Q610" s="415" t="s">
        <v>2675</v>
      </c>
      <c r="R610" s="415" t="s">
        <v>2819</v>
      </c>
      <c r="S610" s="415" t="s">
        <v>3179</v>
      </c>
      <c r="T610" s="416">
        <v>187</v>
      </c>
      <c r="U610" s="416">
        <v>187</v>
      </c>
      <c r="V610" s="416">
        <v>187</v>
      </c>
      <c r="W610" s="416">
        <v>173</v>
      </c>
      <c r="X610" s="416">
        <v>0</v>
      </c>
      <c r="Y610" s="416">
        <v>0</v>
      </c>
      <c r="Z610" s="416">
        <v>0</v>
      </c>
      <c r="AA610" s="416">
        <v>0</v>
      </c>
      <c r="AB610" s="416">
        <v>0</v>
      </c>
      <c r="AC610" s="416">
        <v>0</v>
      </c>
      <c r="AD610" s="416">
        <v>0</v>
      </c>
      <c r="AE610" s="416">
        <v>0</v>
      </c>
      <c r="AF610" s="416">
        <v>0</v>
      </c>
      <c r="AG610" s="416">
        <v>0</v>
      </c>
      <c r="AH610" s="416">
        <v>0</v>
      </c>
      <c r="AI610" s="416">
        <v>0</v>
      </c>
      <c r="AJ610" s="416">
        <v>0</v>
      </c>
      <c r="AK610" s="416">
        <v>0</v>
      </c>
      <c r="AL610" s="416">
        <v>0</v>
      </c>
      <c r="AM610" s="416">
        <v>0</v>
      </c>
      <c r="AN610" s="416">
        <v>0</v>
      </c>
      <c r="AO610" s="416">
        <v>0</v>
      </c>
      <c r="AP610" s="416">
        <v>0</v>
      </c>
      <c r="AQ610" s="416">
        <v>0</v>
      </c>
      <c r="AR610" s="416">
        <v>0</v>
      </c>
      <c r="AS610" s="416">
        <v>0</v>
      </c>
      <c r="AT610" s="416">
        <v>0</v>
      </c>
      <c r="AU610" s="416">
        <v>0</v>
      </c>
      <c r="AV610" s="416">
        <v>0</v>
      </c>
      <c r="AW610" s="416">
        <v>0</v>
      </c>
      <c r="AX610" s="416">
        <v>0</v>
      </c>
      <c r="AY610" s="416">
        <v>0</v>
      </c>
      <c r="AZ610" s="416">
        <v>0</v>
      </c>
    </row>
    <row r="611" spans="1:52" s="411" customFormat="1" x14ac:dyDescent="0.3">
      <c r="A611" s="415" t="str">
        <f t="shared" si="9"/>
        <v>SA-333 Gr.8</v>
      </c>
      <c r="B611" s="415">
        <v>605</v>
      </c>
      <c r="C611" s="415" t="s">
        <v>3176</v>
      </c>
      <c r="D611" s="415" t="s">
        <v>2703</v>
      </c>
      <c r="E611" s="415" t="s">
        <v>2172</v>
      </c>
      <c r="F611" s="415">
        <v>8</v>
      </c>
      <c r="G611" s="415" t="s">
        <v>3177</v>
      </c>
      <c r="H611" s="415">
        <v>0</v>
      </c>
      <c r="I611" s="415">
        <v>0</v>
      </c>
      <c r="J611" s="415" t="s">
        <v>3093</v>
      </c>
      <c r="K611" s="415">
        <v>1</v>
      </c>
      <c r="L611" s="415">
        <v>690</v>
      </c>
      <c r="M611" s="415">
        <v>515</v>
      </c>
      <c r="N611" s="415" t="s">
        <v>2675</v>
      </c>
      <c r="O611" s="415" t="s">
        <v>2675</v>
      </c>
      <c r="P611" s="415">
        <v>121</v>
      </c>
      <c r="Q611" s="415">
        <v>121</v>
      </c>
      <c r="R611" s="415" t="s">
        <v>2819</v>
      </c>
      <c r="S611" s="415" t="s">
        <v>3175</v>
      </c>
      <c r="T611" s="416">
        <v>197</v>
      </c>
      <c r="U611" s="416">
        <v>197</v>
      </c>
      <c r="V611" s="416">
        <v>197</v>
      </c>
      <c r="W611" s="416">
        <v>182</v>
      </c>
      <c r="X611" s="416">
        <v>178</v>
      </c>
      <c r="Y611" s="416">
        <v>0</v>
      </c>
      <c r="Z611" s="416">
        <v>0</v>
      </c>
      <c r="AA611" s="416">
        <v>0</v>
      </c>
      <c r="AB611" s="416">
        <v>0</v>
      </c>
      <c r="AC611" s="416">
        <v>0</v>
      </c>
      <c r="AD611" s="416">
        <v>0</v>
      </c>
      <c r="AE611" s="416">
        <v>0</v>
      </c>
      <c r="AF611" s="416">
        <v>0</v>
      </c>
      <c r="AG611" s="416">
        <v>0</v>
      </c>
      <c r="AH611" s="416">
        <v>0</v>
      </c>
      <c r="AI611" s="416">
        <v>0</v>
      </c>
      <c r="AJ611" s="416">
        <v>0</v>
      </c>
      <c r="AK611" s="416">
        <v>0</v>
      </c>
      <c r="AL611" s="416">
        <v>0</v>
      </c>
      <c r="AM611" s="416">
        <v>0</v>
      </c>
      <c r="AN611" s="416">
        <v>0</v>
      </c>
      <c r="AO611" s="416">
        <v>0</v>
      </c>
      <c r="AP611" s="416">
        <v>0</v>
      </c>
      <c r="AQ611" s="416">
        <v>0</v>
      </c>
      <c r="AR611" s="416">
        <v>0</v>
      </c>
      <c r="AS611" s="416">
        <v>0</v>
      </c>
      <c r="AT611" s="416">
        <v>0</v>
      </c>
      <c r="AU611" s="416">
        <v>0</v>
      </c>
      <c r="AV611" s="416">
        <v>0</v>
      </c>
      <c r="AW611" s="416">
        <v>0</v>
      </c>
      <c r="AX611" s="416">
        <v>0</v>
      </c>
      <c r="AY611" s="416">
        <v>0</v>
      </c>
      <c r="AZ611" s="416">
        <v>0</v>
      </c>
    </row>
    <row r="612" spans="1:52" s="411" customFormat="1" x14ac:dyDescent="0.3">
      <c r="A612" s="415" t="str">
        <f t="shared" si="9"/>
        <v>SA-333 Gr.8</v>
      </c>
      <c r="B612" s="415">
        <v>606</v>
      </c>
      <c r="C612" s="415" t="s">
        <v>3176</v>
      </c>
      <c r="D612" s="415" t="s">
        <v>2703</v>
      </c>
      <c r="E612" s="415" t="s">
        <v>2172</v>
      </c>
      <c r="F612" s="415">
        <v>8</v>
      </c>
      <c r="G612" s="415" t="s">
        <v>3177</v>
      </c>
      <c r="H612" s="415">
        <v>0</v>
      </c>
      <c r="I612" s="415">
        <v>0</v>
      </c>
      <c r="J612" s="415" t="s">
        <v>3093</v>
      </c>
      <c r="K612" s="415">
        <v>1</v>
      </c>
      <c r="L612" s="415">
        <v>690</v>
      </c>
      <c r="M612" s="415">
        <v>515</v>
      </c>
      <c r="N612" s="415" t="s">
        <v>2675</v>
      </c>
      <c r="O612" s="415" t="s">
        <v>2675</v>
      </c>
      <c r="P612" s="415">
        <v>121</v>
      </c>
      <c r="Q612" s="415">
        <v>121</v>
      </c>
      <c r="R612" s="415" t="s">
        <v>2819</v>
      </c>
      <c r="S612" s="415" t="s">
        <v>3174</v>
      </c>
      <c r="T612" s="416">
        <v>187</v>
      </c>
      <c r="U612" s="416">
        <v>187</v>
      </c>
      <c r="V612" s="416">
        <v>187</v>
      </c>
      <c r="W612" s="416">
        <v>173</v>
      </c>
      <c r="X612" s="416">
        <v>169</v>
      </c>
      <c r="Y612" s="416">
        <v>0</v>
      </c>
      <c r="Z612" s="416">
        <v>0</v>
      </c>
      <c r="AA612" s="416">
        <v>0</v>
      </c>
      <c r="AB612" s="416">
        <v>0</v>
      </c>
      <c r="AC612" s="416">
        <v>0</v>
      </c>
      <c r="AD612" s="416">
        <v>0</v>
      </c>
      <c r="AE612" s="416">
        <v>0</v>
      </c>
      <c r="AF612" s="416">
        <v>0</v>
      </c>
      <c r="AG612" s="416">
        <v>0</v>
      </c>
      <c r="AH612" s="416">
        <v>0</v>
      </c>
      <c r="AI612" s="416">
        <v>0</v>
      </c>
      <c r="AJ612" s="416">
        <v>0</v>
      </c>
      <c r="AK612" s="416">
        <v>0</v>
      </c>
      <c r="AL612" s="416">
        <v>0</v>
      </c>
      <c r="AM612" s="416">
        <v>0</v>
      </c>
      <c r="AN612" s="416">
        <v>0</v>
      </c>
      <c r="AO612" s="416">
        <v>0</v>
      </c>
      <c r="AP612" s="416">
        <v>0</v>
      </c>
      <c r="AQ612" s="416">
        <v>0</v>
      </c>
      <c r="AR612" s="416">
        <v>0</v>
      </c>
      <c r="AS612" s="416">
        <v>0</v>
      </c>
      <c r="AT612" s="416">
        <v>0</v>
      </c>
      <c r="AU612" s="416">
        <v>0</v>
      </c>
      <c r="AV612" s="416">
        <v>0</v>
      </c>
      <c r="AW612" s="416">
        <v>0</v>
      </c>
      <c r="AX612" s="416">
        <v>0</v>
      </c>
      <c r="AY612" s="416">
        <v>0</v>
      </c>
      <c r="AZ612" s="416">
        <v>0</v>
      </c>
    </row>
    <row r="613" spans="1:52" s="411" customFormat="1" x14ac:dyDescent="0.3">
      <c r="A613" s="415" t="str">
        <f t="shared" si="9"/>
        <v>SA-333 Gr.8</v>
      </c>
      <c r="B613" s="415">
        <v>607</v>
      </c>
      <c r="C613" s="415" t="s">
        <v>3176</v>
      </c>
      <c r="D613" s="415" t="s">
        <v>2680</v>
      </c>
      <c r="E613" s="415" t="s">
        <v>2172</v>
      </c>
      <c r="F613" s="415">
        <v>8</v>
      </c>
      <c r="G613" s="415" t="s">
        <v>3177</v>
      </c>
      <c r="H613" s="415">
        <v>0</v>
      </c>
      <c r="I613" s="415">
        <v>0</v>
      </c>
      <c r="J613" s="415" t="s">
        <v>3093</v>
      </c>
      <c r="K613" s="415">
        <v>1</v>
      </c>
      <c r="L613" s="415">
        <v>690</v>
      </c>
      <c r="M613" s="415">
        <v>515</v>
      </c>
      <c r="N613" s="415" t="s">
        <v>2675</v>
      </c>
      <c r="O613" s="415" t="s">
        <v>2675</v>
      </c>
      <c r="P613" s="415">
        <v>121</v>
      </c>
      <c r="Q613" s="415">
        <v>121</v>
      </c>
      <c r="R613" s="415" t="s">
        <v>2819</v>
      </c>
      <c r="S613" s="415" t="s">
        <v>3180</v>
      </c>
      <c r="T613" s="416">
        <v>168</v>
      </c>
      <c r="U613" s="416">
        <v>168</v>
      </c>
      <c r="V613" s="416">
        <v>168</v>
      </c>
      <c r="W613" s="416">
        <v>155</v>
      </c>
      <c r="X613" s="416">
        <v>152</v>
      </c>
      <c r="Y613" s="416">
        <v>0</v>
      </c>
      <c r="Z613" s="416">
        <v>0</v>
      </c>
      <c r="AA613" s="416">
        <v>0</v>
      </c>
      <c r="AB613" s="416">
        <v>0</v>
      </c>
      <c r="AC613" s="416">
        <v>0</v>
      </c>
      <c r="AD613" s="416">
        <v>0</v>
      </c>
      <c r="AE613" s="416">
        <v>0</v>
      </c>
      <c r="AF613" s="416">
        <v>0</v>
      </c>
      <c r="AG613" s="416">
        <v>0</v>
      </c>
      <c r="AH613" s="416">
        <v>0</v>
      </c>
      <c r="AI613" s="416">
        <v>0</v>
      </c>
      <c r="AJ613" s="416">
        <v>0</v>
      </c>
      <c r="AK613" s="416">
        <v>0</v>
      </c>
      <c r="AL613" s="416">
        <v>0</v>
      </c>
      <c r="AM613" s="416">
        <v>0</v>
      </c>
      <c r="AN613" s="416">
        <v>0</v>
      </c>
      <c r="AO613" s="416">
        <v>0</v>
      </c>
      <c r="AP613" s="416">
        <v>0</v>
      </c>
      <c r="AQ613" s="416">
        <v>0</v>
      </c>
      <c r="AR613" s="416">
        <v>0</v>
      </c>
      <c r="AS613" s="416">
        <v>0</v>
      </c>
      <c r="AT613" s="416">
        <v>0</v>
      </c>
      <c r="AU613" s="416">
        <v>0</v>
      </c>
      <c r="AV613" s="416">
        <v>0</v>
      </c>
      <c r="AW613" s="416">
        <v>0</v>
      </c>
      <c r="AX613" s="416">
        <v>0</v>
      </c>
      <c r="AY613" s="416">
        <v>0</v>
      </c>
      <c r="AZ613" s="416">
        <v>0</v>
      </c>
    </row>
    <row r="614" spans="1:52" s="411" customFormat="1" x14ac:dyDescent="0.3">
      <c r="A614" s="415" t="str">
        <f t="shared" si="9"/>
        <v>SA-334 Gr.8</v>
      </c>
      <c r="B614" s="415">
        <v>608</v>
      </c>
      <c r="C614" s="415" t="s">
        <v>3176</v>
      </c>
      <c r="D614" s="415" t="s">
        <v>2689</v>
      </c>
      <c r="E614" s="415" t="s">
        <v>2209</v>
      </c>
      <c r="F614" s="415">
        <v>8</v>
      </c>
      <c r="G614" s="415" t="s">
        <v>3177</v>
      </c>
      <c r="H614" s="415">
        <v>0</v>
      </c>
      <c r="I614" s="415">
        <v>0</v>
      </c>
      <c r="J614" s="415" t="s">
        <v>3093</v>
      </c>
      <c r="K614" s="415">
        <v>1</v>
      </c>
      <c r="L614" s="415">
        <v>690</v>
      </c>
      <c r="M614" s="415">
        <v>515</v>
      </c>
      <c r="N614" s="415" t="s">
        <v>2675</v>
      </c>
      <c r="O614" s="415" t="s">
        <v>3173</v>
      </c>
      <c r="P614" s="415" t="s">
        <v>2675</v>
      </c>
      <c r="Q614" s="415" t="s">
        <v>2675</v>
      </c>
      <c r="R614" s="415" t="s">
        <v>2819</v>
      </c>
      <c r="S614" s="415" t="s">
        <v>3178</v>
      </c>
      <c r="T614" s="416">
        <v>197</v>
      </c>
      <c r="U614" s="416">
        <v>197</v>
      </c>
      <c r="V614" s="416">
        <v>197</v>
      </c>
      <c r="W614" s="416">
        <v>182</v>
      </c>
      <c r="X614" s="416">
        <v>0</v>
      </c>
      <c r="Y614" s="416">
        <v>0</v>
      </c>
      <c r="Z614" s="416">
        <v>0</v>
      </c>
      <c r="AA614" s="416">
        <v>0</v>
      </c>
      <c r="AB614" s="416">
        <v>0</v>
      </c>
      <c r="AC614" s="416">
        <v>0</v>
      </c>
      <c r="AD614" s="416">
        <v>0</v>
      </c>
      <c r="AE614" s="416">
        <v>0</v>
      </c>
      <c r="AF614" s="416">
        <v>0</v>
      </c>
      <c r="AG614" s="416">
        <v>0</v>
      </c>
      <c r="AH614" s="416">
        <v>0</v>
      </c>
      <c r="AI614" s="416">
        <v>0</v>
      </c>
      <c r="AJ614" s="416">
        <v>0</v>
      </c>
      <c r="AK614" s="416">
        <v>0</v>
      </c>
      <c r="AL614" s="416">
        <v>0</v>
      </c>
      <c r="AM614" s="416">
        <v>0</v>
      </c>
      <c r="AN614" s="416">
        <v>0</v>
      </c>
      <c r="AO614" s="416">
        <v>0</v>
      </c>
      <c r="AP614" s="416">
        <v>0</v>
      </c>
      <c r="AQ614" s="416">
        <v>0</v>
      </c>
      <c r="AR614" s="416">
        <v>0</v>
      </c>
      <c r="AS614" s="416">
        <v>0</v>
      </c>
      <c r="AT614" s="416">
        <v>0</v>
      </c>
      <c r="AU614" s="416">
        <v>0</v>
      </c>
      <c r="AV614" s="416">
        <v>0</v>
      </c>
      <c r="AW614" s="416">
        <v>0</v>
      </c>
      <c r="AX614" s="416">
        <v>0</v>
      </c>
      <c r="AY614" s="416">
        <v>0</v>
      </c>
      <c r="AZ614" s="416">
        <v>0</v>
      </c>
    </row>
    <row r="615" spans="1:52" s="411" customFormat="1" x14ac:dyDescent="0.3">
      <c r="A615" s="415" t="str">
        <f t="shared" si="9"/>
        <v>SA-334 Gr.8</v>
      </c>
      <c r="B615" s="415">
        <v>609</v>
      </c>
      <c r="C615" s="415" t="s">
        <v>3176</v>
      </c>
      <c r="D615" s="415" t="s">
        <v>2723</v>
      </c>
      <c r="E615" s="415" t="s">
        <v>2209</v>
      </c>
      <c r="F615" s="415">
        <v>8</v>
      </c>
      <c r="G615" s="415" t="s">
        <v>3177</v>
      </c>
      <c r="H615" s="415">
        <v>0</v>
      </c>
      <c r="I615" s="415">
        <v>0</v>
      </c>
      <c r="J615" s="415" t="s">
        <v>3093</v>
      </c>
      <c r="K615" s="415">
        <v>1</v>
      </c>
      <c r="L615" s="415">
        <v>690</v>
      </c>
      <c r="M615" s="415">
        <v>515</v>
      </c>
      <c r="N615" s="415" t="s">
        <v>2675</v>
      </c>
      <c r="O615" s="415" t="s">
        <v>3173</v>
      </c>
      <c r="P615" s="415" t="s">
        <v>2675</v>
      </c>
      <c r="Q615" s="415" t="s">
        <v>2675</v>
      </c>
      <c r="R615" s="415" t="s">
        <v>2819</v>
      </c>
      <c r="S615" s="415" t="s">
        <v>3179</v>
      </c>
      <c r="T615" s="416">
        <v>187</v>
      </c>
      <c r="U615" s="416">
        <v>187</v>
      </c>
      <c r="V615" s="416">
        <v>187</v>
      </c>
      <c r="W615" s="416">
        <v>173</v>
      </c>
      <c r="X615" s="416">
        <v>0</v>
      </c>
      <c r="Y615" s="416">
        <v>0</v>
      </c>
      <c r="Z615" s="416">
        <v>0</v>
      </c>
      <c r="AA615" s="416">
        <v>0</v>
      </c>
      <c r="AB615" s="416">
        <v>0</v>
      </c>
      <c r="AC615" s="416">
        <v>0</v>
      </c>
      <c r="AD615" s="416">
        <v>0</v>
      </c>
      <c r="AE615" s="416">
        <v>0</v>
      </c>
      <c r="AF615" s="416">
        <v>0</v>
      </c>
      <c r="AG615" s="416">
        <v>0</v>
      </c>
      <c r="AH615" s="416">
        <v>0</v>
      </c>
      <c r="AI615" s="416">
        <v>0</v>
      </c>
      <c r="AJ615" s="416">
        <v>0</v>
      </c>
      <c r="AK615" s="416">
        <v>0</v>
      </c>
      <c r="AL615" s="416">
        <v>0</v>
      </c>
      <c r="AM615" s="416">
        <v>0</v>
      </c>
      <c r="AN615" s="416">
        <v>0</v>
      </c>
      <c r="AO615" s="416">
        <v>0</v>
      </c>
      <c r="AP615" s="416">
        <v>0</v>
      </c>
      <c r="AQ615" s="416">
        <v>0</v>
      </c>
      <c r="AR615" s="416">
        <v>0</v>
      </c>
      <c r="AS615" s="416">
        <v>0</v>
      </c>
      <c r="AT615" s="416">
        <v>0</v>
      </c>
      <c r="AU615" s="416">
        <v>0</v>
      </c>
      <c r="AV615" s="416">
        <v>0</v>
      </c>
      <c r="AW615" s="416">
        <v>0</v>
      </c>
      <c r="AX615" s="416">
        <v>0</v>
      </c>
      <c r="AY615" s="416">
        <v>0</v>
      </c>
      <c r="AZ615" s="416">
        <v>0</v>
      </c>
    </row>
    <row r="616" spans="1:52" s="411" customFormat="1" x14ac:dyDescent="0.3">
      <c r="A616" s="415" t="str">
        <f t="shared" si="9"/>
        <v>SA-334 Gr.8</v>
      </c>
      <c r="B616" s="415">
        <v>610</v>
      </c>
      <c r="C616" s="415" t="s">
        <v>3176</v>
      </c>
      <c r="D616" s="415" t="s">
        <v>2693</v>
      </c>
      <c r="E616" s="415" t="s">
        <v>2209</v>
      </c>
      <c r="F616" s="415">
        <v>8</v>
      </c>
      <c r="G616" s="415" t="s">
        <v>3177</v>
      </c>
      <c r="H616" s="415">
        <v>0</v>
      </c>
      <c r="I616" s="415">
        <v>0</v>
      </c>
      <c r="J616" s="415" t="s">
        <v>3093</v>
      </c>
      <c r="K616" s="415">
        <v>1</v>
      </c>
      <c r="L616" s="415">
        <v>690</v>
      </c>
      <c r="M616" s="415">
        <v>515</v>
      </c>
      <c r="N616" s="415" t="s">
        <v>2675</v>
      </c>
      <c r="O616" s="415" t="s">
        <v>2675</v>
      </c>
      <c r="P616" s="415">
        <v>121</v>
      </c>
      <c r="Q616" s="415">
        <v>121</v>
      </c>
      <c r="R616" s="415" t="s">
        <v>2819</v>
      </c>
      <c r="S616" s="415" t="s">
        <v>3175</v>
      </c>
      <c r="T616" s="416">
        <v>197</v>
      </c>
      <c r="U616" s="416">
        <v>197</v>
      </c>
      <c r="V616" s="416">
        <v>197</v>
      </c>
      <c r="W616" s="416">
        <v>182</v>
      </c>
      <c r="X616" s="416">
        <v>178</v>
      </c>
      <c r="Y616" s="416">
        <v>0</v>
      </c>
      <c r="Z616" s="416">
        <v>0</v>
      </c>
      <c r="AA616" s="416">
        <v>0</v>
      </c>
      <c r="AB616" s="416">
        <v>0</v>
      </c>
      <c r="AC616" s="416">
        <v>0</v>
      </c>
      <c r="AD616" s="416">
        <v>0</v>
      </c>
      <c r="AE616" s="416">
        <v>0</v>
      </c>
      <c r="AF616" s="416">
        <v>0</v>
      </c>
      <c r="AG616" s="416">
        <v>0</v>
      </c>
      <c r="AH616" s="416">
        <v>0</v>
      </c>
      <c r="AI616" s="416">
        <v>0</v>
      </c>
      <c r="AJ616" s="416">
        <v>0</v>
      </c>
      <c r="AK616" s="416">
        <v>0</v>
      </c>
      <c r="AL616" s="416">
        <v>0</v>
      </c>
      <c r="AM616" s="416">
        <v>0</v>
      </c>
      <c r="AN616" s="416">
        <v>0</v>
      </c>
      <c r="AO616" s="416">
        <v>0</v>
      </c>
      <c r="AP616" s="416">
        <v>0</v>
      </c>
      <c r="AQ616" s="416">
        <v>0</v>
      </c>
      <c r="AR616" s="416">
        <v>0</v>
      </c>
      <c r="AS616" s="416">
        <v>0</v>
      </c>
      <c r="AT616" s="416">
        <v>0</v>
      </c>
      <c r="AU616" s="416">
        <v>0</v>
      </c>
      <c r="AV616" s="416">
        <v>0</v>
      </c>
      <c r="AW616" s="416">
        <v>0</v>
      </c>
      <c r="AX616" s="416">
        <v>0</v>
      </c>
      <c r="AY616" s="416">
        <v>0</v>
      </c>
      <c r="AZ616" s="416">
        <v>0</v>
      </c>
    </row>
    <row r="617" spans="1:52" s="411" customFormat="1" x14ac:dyDescent="0.3">
      <c r="A617" s="415" t="str">
        <f t="shared" si="9"/>
        <v>SA-334 Gr.8</v>
      </c>
      <c r="B617" s="415">
        <v>611</v>
      </c>
      <c r="C617" s="415" t="s">
        <v>3176</v>
      </c>
      <c r="D617" s="415" t="s">
        <v>2693</v>
      </c>
      <c r="E617" s="415" t="s">
        <v>2209</v>
      </c>
      <c r="F617" s="415">
        <v>8</v>
      </c>
      <c r="G617" s="415" t="s">
        <v>3177</v>
      </c>
      <c r="H617" s="415">
        <v>0</v>
      </c>
      <c r="I617" s="415">
        <v>0</v>
      </c>
      <c r="J617" s="415" t="s">
        <v>3093</v>
      </c>
      <c r="K617" s="415">
        <v>1</v>
      </c>
      <c r="L617" s="415">
        <v>690</v>
      </c>
      <c r="M617" s="415">
        <v>515</v>
      </c>
      <c r="N617" s="415" t="s">
        <v>2675</v>
      </c>
      <c r="O617" s="415" t="s">
        <v>2675</v>
      </c>
      <c r="P617" s="415">
        <v>121</v>
      </c>
      <c r="Q617" s="415">
        <v>121</v>
      </c>
      <c r="R617" s="415" t="s">
        <v>2819</v>
      </c>
      <c r="S617" s="415" t="s">
        <v>3174</v>
      </c>
      <c r="T617" s="416">
        <v>187</v>
      </c>
      <c r="U617" s="416">
        <v>187</v>
      </c>
      <c r="V617" s="416">
        <v>187</v>
      </c>
      <c r="W617" s="416">
        <v>173</v>
      </c>
      <c r="X617" s="416">
        <v>169</v>
      </c>
      <c r="Y617" s="416">
        <v>0</v>
      </c>
      <c r="Z617" s="416">
        <v>0</v>
      </c>
      <c r="AA617" s="416">
        <v>0</v>
      </c>
      <c r="AB617" s="416">
        <v>0</v>
      </c>
      <c r="AC617" s="416">
        <v>0</v>
      </c>
      <c r="AD617" s="416">
        <v>0</v>
      </c>
      <c r="AE617" s="416">
        <v>0</v>
      </c>
      <c r="AF617" s="416">
        <v>0</v>
      </c>
      <c r="AG617" s="416">
        <v>0</v>
      </c>
      <c r="AH617" s="416">
        <v>0</v>
      </c>
      <c r="AI617" s="416">
        <v>0</v>
      </c>
      <c r="AJ617" s="416">
        <v>0</v>
      </c>
      <c r="AK617" s="416">
        <v>0</v>
      </c>
      <c r="AL617" s="416">
        <v>0</v>
      </c>
      <c r="AM617" s="416">
        <v>0</v>
      </c>
      <c r="AN617" s="416">
        <v>0</v>
      </c>
      <c r="AO617" s="416">
        <v>0</v>
      </c>
      <c r="AP617" s="416">
        <v>0</v>
      </c>
      <c r="AQ617" s="416">
        <v>0</v>
      </c>
      <c r="AR617" s="416">
        <v>0</v>
      </c>
      <c r="AS617" s="416">
        <v>0</v>
      </c>
      <c r="AT617" s="416">
        <v>0</v>
      </c>
      <c r="AU617" s="416">
        <v>0</v>
      </c>
      <c r="AV617" s="416">
        <v>0</v>
      </c>
      <c r="AW617" s="416">
        <v>0</v>
      </c>
      <c r="AX617" s="416">
        <v>0</v>
      </c>
      <c r="AY617" s="416">
        <v>0</v>
      </c>
      <c r="AZ617" s="416">
        <v>0</v>
      </c>
    </row>
    <row r="618" spans="1:52" s="411" customFormat="1" x14ac:dyDescent="0.3">
      <c r="A618" s="415" t="str">
        <f t="shared" si="9"/>
        <v>SA-334 Gr.8</v>
      </c>
      <c r="B618" s="415">
        <v>612</v>
      </c>
      <c r="C618" s="415" t="s">
        <v>3176</v>
      </c>
      <c r="D618" s="415" t="s">
        <v>2689</v>
      </c>
      <c r="E618" s="415" t="s">
        <v>2209</v>
      </c>
      <c r="F618" s="415">
        <v>8</v>
      </c>
      <c r="G618" s="415" t="s">
        <v>3177</v>
      </c>
      <c r="H618" s="415">
        <v>0</v>
      </c>
      <c r="I618" s="415">
        <v>0</v>
      </c>
      <c r="J618" s="415" t="s">
        <v>3093</v>
      </c>
      <c r="K618" s="415">
        <v>1</v>
      </c>
      <c r="L618" s="415">
        <v>690</v>
      </c>
      <c r="M618" s="415">
        <v>515</v>
      </c>
      <c r="N618" s="415" t="s">
        <v>2675</v>
      </c>
      <c r="O618" s="415" t="s">
        <v>2675</v>
      </c>
      <c r="P618" s="415">
        <v>121</v>
      </c>
      <c r="Q618" s="415">
        <v>121</v>
      </c>
      <c r="R618" s="415" t="s">
        <v>2819</v>
      </c>
      <c r="S618" s="415" t="s">
        <v>3180</v>
      </c>
      <c r="T618" s="416">
        <v>168</v>
      </c>
      <c r="U618" s="416">
        <v>168</v>
      </c>
      <c r="V618" s="416">
        <v>168</v>
      </c>
      <c r="W618" s="416">
        <v>155</v>
      </c>
      <c r="X618" s="416">
        <v>152</v>
      </c>
      <c r="Y618" s="416">
        <v>0</v>
      </c>
      <c r="Z618" s="416">
        <v>0</v>
      </c>
      <c r="AA618" s="416">
        <v>0</v>
      </c>
      <c r="AB618" s="416">
        <v>0</v>
      </c>
      <c r="AC618" s="416">
        <v>0</v>
      </c>
      <c r="AD618" s="416">
        <v>0</v>
      </c>
      <c r="AE618" s="416">
        <v>0</v>
      </c>
      <c r="AF618" s="416">
        <v>0</v>
      </c>
      <c r="AG618" s="416">
        <v>0</v>
      </c>
      <c r="AH618" s="416">
        <v>0</v>
      </c>
      <c r="AI618" s="416">
        <v>0</v>
      </c>
      <c r="AJ618" s="416">
        <v>0</v>
      </c>
      <c r="AK618" s="416">
        <v>0</v>
      </c>
      <c r="AL618" s="416">
        <v>0</v>
      </c>
      <c r="AM618" s="416">
        <v>0</v>
      </c>
      <c r="AN618" s="416">
        <v>0</v>
      </c>
      <c r="AO618" s="416">
        <v>0</v>
      </c>
      <c r="AP618" s="416">
        <v>0</v>
      </c>
      <c r="AQ618" s="416">
        <v>0</v>
      </c>
      <c r="AR618" s="416">
        <v>0</v>
      </c>
      <c r="AS618" s="416">
        <v>0</v>
      </c>
      <c r="AT618" s="416">
        <v>0</v>
      </c>
      <c r="AU618" s="416">
        <v>0</v>
      </c>
      <c r="AV618" s="416">
        <v>0</v>
      </c>
      <c r="AW618" s="416">
        <v>0</v>
      </c>
      <c r="AX618" s="416">
        <v>0</v>
      </c>
      <c r="AY618" s="416">
        <v>0</v>
      </c>
      <c r="AZ618" s="416">
        <v>0</v>
      </c>
    </row>
    <row r="619" spans="1:52" s="411" customFormat="1" x14ac:dyDescent="0.3">
      <c r="A619" s="415" t="str">
        <f t="shared" si="9"/>
        <v>SA-353 Gr.0</v>
      </c>
      <c r="B619" s="415">
        <v>613</v>
      </c>
      <c r="C619" s="415" t="s">
        <v>3176</v>
      </c>
      <c r="D619" s="415" t="s">
        <v>2684</v>
      </c>
      <c r="E619" s="415" t="s">
        <v>2215</v>
      </c>
      <c r="F619" s="415">
        <v>0</v>
      </c>
      <c r="G619" s="415" t="s">
        <v>3177</v>
      </c>
      <c r="H619" s="415">
        <v>0</v>
      </c>
      <c r="I619" s="415">
        <v>0</v>
      </c>
      <c r="J619" s="415" t="s">
        <v>3093</v>
      </c>
      <c r="K619" s="415">
        <v>1</v>
      </c>
      <c r="L619" s="415">
        <v>690</v>
      </c>
      <c r="M619" s="415">
        <v>515</v>
      </c>
      <c r="N619" s="415" t="s">
        <v>2675</v>
      </c>
      <c r="O619" s="415" t="s">
        <v>3173</v>
      </c>
      <c r="P619" s="415">
        <v>121</v>
      </c>
      <c r="Q619" s="415">
        <v>121</v>
      </c>
      <c r="R619" s="415" t="s">
        <v>2819</v>
      </c>
      <c r="S619" s="415" t="s">
        <v>3175</v>
      </c>
      <c r="T619" s="416">
        <v>197</v>
      </c>
      <c r="U619" s="416">
        <v>197</v>
      </c>
      <c r="V619" s="416">
        <v>197</v>
      </c>
      <c r="W619" s="416">
        <v>182</v>
      </c>
      <c r="X619" s="416">
        <v>178</v>
      </c>
      <c r="Y619" s="416">
        <v>0</v>
      </c>
      <c r="Z619" s="416">
        <v>0</v>
      </c>
      <c r="AA619" s="416">
        <v>0</v>
      </c>
      <c r="AB619" s="416">
        <v>0</v>
      </c>
      <c r="AC619" s="416">
        <v>0</v>
      </c>
      <c r="AD619" s="416">
        <v>0</v>
      </c>
      <c r="AE619" s="416">
        <v>0</v>
      </c>
      <c r="AF619" s="416">
        <v>0</v>
      </c>
      <c r="AG619" s="416">
        <v>0</v>
      </c>
      <c r="AH619" s="416">
        <v>0</v>
      </c>
      <c r="AI619" s="416">
        <v>0</v>
      </c>
      <c r="AJ619" s="416">
        <v>0</v>
      </c>
      <c r="AK619" s="416">
        <v>0</v>
      </c>
      <c r="AL619" s="416">
        <v>0</v>
      </c>
      <c r="AM619" s="416">
        <v>0</v>
      </c>
      <c r="AN619" s="416">
        <v>0</v>
      </c>
      <c r="AO619" s="416">
        <v>0</v>
      </c>
      <c r="AP619" s="416">
        <v>0</v>
      </c>
      <c r="AQ619" s="416">
        <v>0</v>
      </c>
      <c r="AR619" s="416">
        <v>0</v>
      </c>
      <c r="AS619" s="416">
        <v>0</v>
      </c>
      <c r="AT619" s="416">
        <v>0</v>
      </c>
      <c r="AU619" s="416">
        <v>0</v>
      </c>
      <c r="AV619" s="416">
        <v>0</v>
      </c>
      <c r="AW619" s="416">
        <v>0</v>
      </c>
      <c r="AX619" s="416">
        <v>0</v>
      </c>
      <c r="AY619" s="416">
        <v>0</v>
      </c>
      <c r="AZ619" s="416">
        <v>0</v>
      </c>
    </row>
    <row r="620" spans="1:52" s="411" customFormat="1" x14ac:dyDescent="0.3">
      <c r="A620" s="415" t="str">
        <f t="shared" si="9"/>
        <v>SA-353 Gr.0</v>
      </c>
      <c r="B620" s="415">
        <v>614</v>
      </c>
      <c r="C620" s="415" t="s">
        <v>3176</v>
      </c>
      <c r="D620" s="415" t="s">
        <v>2684</v>
      </c>
      <c r="E620" s="415" t="s">
        <v>2215</v>
      </c>
      <c r="F620" s="415">
        <v>0</v>
      </c>
      <c r="G620" s="415" t="s">
        <v>3177</v>
      </c>
      <c r="H620" s="415">
        <v>0</v>
      </c>
      <c r="I620" s="415">
        <v>0</v>
      </c>
      <c r="J620" s="415" t="s">
        <v>3093</v>
      </c>
      <c r="K620" s="415">
        <v>1</v>
      </c>
      <c r="L620" s="415">
        <v>690</v>
      </c>
      <c r="M620" s="415">
        <v>515</v>
      </c>
      <c r="N620" s="415" t="s">
        <v>2675</v>
      </c>
      <c r="O620" s="415" t="s">
        <v>2675</v>
      </c>
      <c r="P620" s="415">
        <v>121</v>
      </c>
      <c r="Q620" s="415">
        <v>121</v>
      </c>
      <c r="R620" s="415" t="s">
        <v>2819</v>
      </c>
      <c r="S620" s="415" t="s">
        <v>3174</v>
      </c>
      <c r="T620" s="416">
        <v>187</v>
      </c>
      <c r="U620" s="416">
        <v>187</v>
      </c>
      <c r="V620" s="416">
        <v>187</v>
      </c>
      <c r="W620" s="416">
        <v>173</v>
      </c>
      <c r="X620" s="416">
        <v>169</v>
      </c>
      <c r="Y620" s="416">
        <v>0</v>
      </c>
      <c r="Z620" s="416">
        <v>0</v>
      </c>
      <c r="AA620" s="416">
        <v>0</v>
      </c>
      <c r="AB620" s="416">
        <v>0</v>
      </c>
      <c r="AC620" s="416">
        <v>0</v>
      </c>
      <c r="AD620" s="416">
        <v>0</v>
      </c>
      <c r="AE620" s="416">
        <v>0</v>
      </c>
      <c r="AF620" s="416">
        <v>0</v>
      </c>
      <c r="AG620" s="416">
        <v>0</v>
      </c>
      <c r="AH620" s="416">
        <v>0</v>
      </c>
      <c r="AI620" s="416">
        <v>0</v>
      </c>
      <c r="AJ620" s="416">
        <v>0</v>
      </c>
      <c r="AK620" s="416">
        <v>0</v>
      </c>
      <c r="AL620" s="416">
        <v>0</v>
      </c>
      <c r="AM620" s="416">
        <v>0</v>
      </c>
      <c r="AN620" s="416">
        <v>0</v>
      </c>
      <c r="AO620" s="416">
        <v>0</v>
      </c>
      <c r="AP620" s="416">
        <v>0</v>
      </c>
      <c r="AQ620" s="416">
        <v>0</v>
      </c>
      <c r="AR620" s="416">
        <v>0</v>
      </c>
      <c r="AS620" s="416">
        <v>0</v>
      </c>
      <c r="AT620" s="416">
        <v>0</v>
      </c>
      <c r="AU620" s="416">
        <v>0</v>
      </c>
      <c r="AV620" s="416">
        <v>0</v>
      </c>
      <c r="AW620" s="416">
        <v>0</v>
      </c>
      <c r="AX620" s="416">
        <v>0</v>
      </c>
      <c r="AY620" s="416">
        <v>0</v>
      </c>
      <c r="AZ620" s="416">
        <v>0</v>
      </c>
    </row>
    <row r="621" spans="1:52" s="411" customFormat="1" x14ac:dyDescent="0.3">
      <c r="A621" s="415" t="str">
        <f t="shared" si="9"/>
        <v>SA-353 Gr.0</v>
      </c>
      <c r="B621" s="415">
        <v>615</v>
      </c>
      <c r="C621" s="415" t="s">
        <v>3176</v>
      </c>
      <c r="D621" s="415" t="s">
        <v>2684</v>
      </c>
      <c r="E621" s="415" t="s">
        <v>2215</v>
      </c>
      <c r="F621" s="415">
        <v>0</v>
      </c>
      <c r="G621" s="415" t="s">
        <v>3177</v>
      </c>
      <c r="H621" s="415">
        <v>0</v>
      </c>
      <c r="I621" s="415">
        <v>0</v>
      </c>
      <c r="J621" s="415" t="s">
        <v>3093</v>
      </c>
      <c r="K621" s="415">
        <v>1</v>
      </c>
      <c r="L621" s="415">
        <v>690</v>
      </c>
      <c r="M621" s="415">
        <v>515</v>
      </c>
      <c r="N621" s="415" t="s">
        <v>2675</v>
      </c>
      <c r="O621" s="415" t="s">
        <v>3173</v>
      </c>
      <c r="P621" s="415" t="s">
        <v>2675</v>
      </c>
      <c r="Q621" s="415" t="s">
        <v>2675</v>
      </c>
      <c r="R621" s="415" t="s">
        <v>2819</v>
      </c>
      <c r="S621" s="415" t="s">
        <v>3174</v>
      </c>
      <c r="T621" s="416">
        <v>187</v>
      </c>
      <c r="U621" s="416">
        <v>187</v>
      </c>
      <c r="V621" s="416">
        <v>187</v>
      </c>
      <c r="W621" s="416">
        <v>173</v>
      </c>
      <c r="X621" s="416">
        <v>0</v>
      </c>
      <c r="Y621" s="416">
        <v>0</v>
      </c>
      <c r="Z621" s="416">
        <v>0</v>
      </c>
      <c r="AA621" s="416">
        <v>0</v>
      </c>
      <c r="AB621" s="416">
        <v>0</v>
      </c>
      <c r="AC621" s="416">
        <v>0</v>
      </c>
      <c r="AD621" s="416">
        <v>0</v>
      </c>
      <c r="AE621" s="416">
        <v>0</v>
      </c>
      <c r="AF621" s="416">
        <v>0</v>
      </c>
      <c r="AG621" s="416">
        <v>0</v>
      </c>
      <c r="AH621" s="416">
        <v>0</v>
      </c>
      <c r="AI621" s="416">
        <v>0</v>
      </c>
      <c r="AJ621" s="416">
        <v>0</v>
      </c>
      <c r="AK621" s="416">
        <v>0</v>
      </c>
      <c r="AL621" s="416">
        <v>0</v>
      </c>
      <c r="AM621" s="416">
        <v>0</v>
      </c>
      <c r="AN621" s="416">
        <v>0</v>
      </c>
      <c r="AO621" s="416">
        <v>0</v>
      </c>
      <c r="AP621" s="416">
        <v>0</v>
      </c>
      <c r="AQ621" s="416">
        <v>0</v>
      </c>
      <c r="AR621" s="416">
        <v>0</v>
      </c>
      <c r="AS621" s="416">
        <v>0</v>
      </c>
      <c r="AT621" s="416">
        <v>0</v>
      </c>
      <c r="AU621" s="416">
        <v>0</v>
      </c>
      <c r="AV621" s="416">
        <v>0</v>
      </c>
      <c r="AW621" s="416">
        <v>0</v>
      </c>
      <c r="AX621" s="416">
        <v>0</v>
      </c>
      <c r="AY621" s="416">
        <v>0</v>
      </c>
      <c r="AZ621" s="416">
        <v>0</v>
      </c>
    </row>
    <row r="622" spans="1:52" s="411" customFormat="1" x14ac:dyDescent="0.3">
      <c r="A622" s="415" t="str">
        <f t="shared" si="9"/>
        <v>SA-420 Gr.WPL8</v>
      </c>
      <c r="B622" s="415">
        <v>616</v>
      </c>
      <c r="C622" s="415" t="s">
        <v>3176</v>
      </c>
      <c r="D622" s="415" t="s">
        <v>2758</v>
      </c>
      <c r="E622" s="415" t="s">
        <v>2235</v>
      </c>
      <c r="F622" s="415" t="s">
        <v>2614</v>
      </c>
      <c r="G622" s="415" t="s">
        <v>3177</v>
      </c>
      <c r="H622" s="415">
        <v>0</v>
      </c>
      <c r="I622" s="415">
        <v>0</v>
      </c>
      <c r="J622" s="415" t="s">
        <v>3093</v>
      </c>
      <c r="K622" s="415">
        <v>1</v>
      </c>
      <c r="L622" s="415">
        <v>690</v>
      </c>
      <c r="M622" s="415">
        <v>515</v>
      </c>
      <c r="N622" s="415" t="s">
        <v>2675</v>
      </c>
      <c r="O622" s="415" t="s">
        <v>2675</v>
      </c>
      <c r="P622" s="415">
        <v>121</v>
      </c>
      <c r="Q622" s="415">
        <v>121</v>
      </c>
      <c r="R622" s="415" t="s">
        <v>2819</v>
      </c>
      <c r="S622" s="415" t="s">
        <v>3175</v>
      </c>
      <c r="T622" s="416">
        <v>197</v>
      </c>
      <c r="U622" s="416">
        <v>197</v>
      </c>
      <c r="V622" s="416">
        <v>197</v>
      </c>
      <c r="W622" s="416">
        <v>182</v>
      </c>
      <c r="X622" s="416">
        <v>178</v>
      </c>
      <c r="Y622" s="416">
        <v>0</v>
      </c>
      <c r="Z622" s="416">
        <v>0</v>
      </c>
      <c r="AA622" s="416">
        <v>0</v>
      </c>
      <c r="AB622" s="416">
        <v>0</v>
      </c>
      <c r="AC622" s="416">
        <v>0</v>
      </c>
      <c r="AD622" s="416">
        <v>0</v>
      </c>
      <c r="AE622" s="416">
        <v>0</v>
      </c>
      <c r="AF622" s="416">
        <v>0</v>
      </c>
      <c r="AG622" s="416">
        <v>0</v>
      </c>
      <c r="AH622" s="416">
        <v>0</v>
      </c>
      <c r="AI622" s="416">
        <v>0</v>
      </c>
      <c r="AJ622" s="416">
        <v>0</v>
      </c>
      <c r="AK622" s="416">
        <v>0</v>
      </c>
      <c r="AL622" s="416">
        <v>0</v>
      </c>
      <c r="AM622" s="416">
        <v>0</v>
      </c>
      <c r="AN622" s="416">
        <v>0</v>
      </c>
      <c r="AO622" s="416">
        <v>0</v>
      </c>
      <c r="AP622" s="416">
        <v>0</v>
      </c>
      <c r="AQ622" s="416">
        <v>0</v>
      </c>
      <c r="AR622" s="416">
        <v>0</v>
      </c>
      <c r="AS622" s="416">
        <v>0</v>
      </c>
      <c r="AT622" s="416">
        <v>0</v>
      </c>
      <c r="AU622" s="416">
        <v>0</v>
      </c>
      <c r="AV622" s="416">
        <v>0</v>
      </c>
      <c r="AW622" s="416">
        <v>0</v>
      </c>
      <c r="AX622" s="416">
        <v>0</v>
      </c>
      <c r="AY622" s="416">
        <v>0</v>
      </c>
      <c r="AZ622" s="416">
        <v>0</v>
      </c>
    </row>
    <row r="623" spans="1:52" s="411" customFormat="1" x14ac:dyDescent="0.3">
      <c r="A623" s="415" t="str">
        <f t="shared" si="9"/>
        <v>SA-420 Gr.WPL8</v>
      </c>
      <c r="B623" s="415">
        <v>617</v>
      </c>
      <c r="C623" s="415" t="s">
        <v>3176</v>
      </c>
      <c r="D623" s="415" t="s">
        <v>2758</v>
      </c>
      <c r="E623" s="415" t="s">
        <v>2235</v>
      </c>
      <c r="F623" s="415" t="s">
        <v>2614</v>
      </c>
      <c r="G623" s="415" t="s">
        <v>3177</v>
      </c>
      <c r="H623" s="415">
        <v>0</v>
      </c>
      <c r="I623" s="415">
        <v>0</v>
      </c>
      <c r="J623" s="415" t="s">
        <v>3093</v>
      </c>
      <c r="K623" s="415">
        <v>1</v>
      </c>
      <c r="L623" s="415">
        <v>690</v>
      </c>
      <c r="M623" s="415">
        <v>515</v>
      </c>
      <c r="N623" s="415" t="s">
        <v>2675</v>
      </c>
      <c r="O623" s="415" t="s">
        <v>2675</v>
      </c>
      <c r="P623" s="415">
        <v>121</v>
      </c>
      <c r="Q623" s="415">
        <v>121</v>
      </c>
      <c r="R623" s="415" t="s">
        <v>2819</v>
      </c>
      <c r="S623" s="415" t="s">
        <v>3181</v>
      </c>
      <c r="T623" s="416">
        <v>187</v>
      </c>
      <c r="U623" s="416">
        <v>187</v>
      </c>
      <c r="V623" s="416">
        <v>187</v>
      </c>
      <c r="W623" s="416">
        <v>173</v>
      </c>
      <c r="X623" s="416">
        <v>169</v>
      </c>
      <c r="Y623" s="416">
        <v>0</v>
      </c>
      <c r="Z623" s="416">
        <v>0</v>
      </c>
      <c r="AA623" s="416">
        <v>0</v>
      </c>
      <c r="AB623" s="416">
        <v>0</v>
      </c>
      <c r="AC623" s="416">
        <v>0</v>
      </c>
      <c r="AD623" s="416">
        <v>0</v>
      </c>
      <c r="AE623" s="416">
        <v>0</v>
      </c>
      <c r="AF623" s="416">
        <v>0</v>
      </c>
      <c r="AG623" s="416">
        <v>0</v>
      </c>
      <c r="AH623" s="416">
        <v>0</v>
      </c>
      <c r="AI623" s="416">
        <v>0</v>
      </c>
      <c r="AJ623" s="416">
        <v>0</v>
      </c>
      <c r="AK623" s="416">
        <v>0</v>
      </c>
      <c r="AL623" s="416">
        <v>0</v>
      </c>
      <c r="AM623" s="416">
        <v>0</v>
      </c>
      <c r="AN623" s="416">
        <v>0</v>
      </c>
      <c r="AO623" s="416">
        <v>0</v>
      </c>
      <c r="AP623" s="416">
        <v>0</v>
      </c>
      <c r="AQ623" s="416">
        <v>0</v>
      </c>
      <c r="AR623" s="416">
        <v>0</v>
      </c>
      <c r="AS623" s="416">
        <v>0</v>
      </c>
      <c r="AT623" s="416">
        <v>0</v>
      </c>
      <c r="AU623" s="416">
        <v>0</v>
      </c>
      <c r="AV623" s="416">
        <v>0</v>
      </c>
      <c r="AW623" s="416">
        <v>0</v>
      </c>
      <c r="AX623" s="416">
        <v>0</v>
      </c>
      <c r="AY623" s="416">
        <v>0</v>
      </c>
      <c r="AZ623" s="416">
        <v>0</v>
      </c>
    </row>
    <row r="624" spans="1:52" s="411" customFormat="1" x14ac:dyDescent="0.3">
      <c r="A624" s="415" t="str">
        <f t="shared" si="9"/>
        <v>SA-522 Gr.I</v>
      </c>
      <c r="B624" s="415">
        <v>618</v>
      </c>
      <c r="C624" s="415" t="s">
        <v>3176</v>
      </c>
      <c r="D624" s="415" t="s">
        <v>2737</v>
      </c>
      <c r="E624" s="415" t="s">
        <v>2256</v>
      </c>
      <c r="F624" s="415" t="s">
        <v>2483</v>
      </c>
      <c r="G624" s="415" t="s">
        <v>3177</v>
      </c>
      <c r="H624" s="415">
        <v>0</v>
      </c>
      <c r="I624" s="415">
        <v>0</v>
      </c>
      <c r="J624" s="415" t="s">
        <v>3093</v>
      </c>
      <c r="K624" s="415">
        <v>1</v>
      </c>
      <c r="L624" s="415">
        <v>690</v>
      </c>
      <c r="M624" s="415">
        <v>515</v>
      </c>
      <c r="N624" s="415" t="s">
        <v>2675</v>
      </c>
      <c r="O624" s="415" t="s">
        <v>3173</v>
      </c>
      <c r="P624" s="415">
        <v>121</v>
      </c>
      <c r="Q624" s="415">
        <v>121</v>
      </c>
      <c r="R624" s="415" t="s">
        <v>2819</v>
      </c>
      <c r="S624" s="415" t="s">
        <v>3182</v>
      </c>
      <c r="T624" s="416">
        <v>197</v>
      </c>
      <c r="U624" s="416">
        <v>197</v>
      </c>
      <c r="V624" s="416">
        <v>197</v>
      </c>
      <c r="W624" s="416">
        <v>182</v>
      </c>
      <c r="X624" s="416">
        <v>178</v>
      </c>
      <c r="Y624" s="416">
        <v>0</v>
      </c>
      <c r="Z624" s="416">
        <v>0</v>
      </c>
      <c r="AA624" s="416">
        <v>0</v>
      </c>
      <c r="AB624" s="416">
        <v>0</v>
      </c>
      <c r="AC624" s="416">
        <v>0</v>
      </c>
      <c r="AD624" s="416">
        <v>0</v>
      </c>
      <c r="AE624" s="416">
        <v>0</v>
      </c>
      <c r="AF624" s="416">
        <v>0</v>
      </c>
      <c r="AG624" s="416">
        <v>0</v>
      </c>
      <c r="AH624" s="416">
        <v>0</v>
      </c>
      <c r="AI624" s="416">
        <v>0</v>
      </c>
      <c r="AJ624" s="416">
        <v>0</v>
      </c>
      <c r="AK624" s="416">
        <v>0</v>
      </c>
      <c r="AL624" s="416">
        <v>0</v>
      </c>
      <c r="AM624" s="416">
        <v>0</v>
      </c>
      <c r="AN624" s="416">
        <v>0</v>
      </c>
      <c r="AO624" s="416">
        <v>0</v>
      </c>
      <c r="AP624" s="416">
        <v>0</v>
      </c>
      <c r="AQ624" s="416">
        <v>0</v>
      </c>
      <c r="AR624" s="416">
        <v>0</v>
      </c>
      <c r="AS624" s="416">
        <v>0</v>
      </c>
      <c r="AT624" s="416">
        <v>0</v>
      </c>
      <c r="AU624" s="416">
        <v>0</v>
      </c>
      <c r="AV624" s="416">
        <v>0</v>
      </c>
      <c r="AW624" s="416">
        <v>0</v>
      </c>
      <c r="AX624" s="416">
        <v>0</v>
      </c>
      <c r="AY624" s="416">
        <v>0</v>
      </c>
      <c r="AZ624" s="416">
        <v>0</v>
      </c>
    </row>
    <row r="625" spans="1:52" s="411" customFormat="1" x14ac:dyDescent="0.3">
      <c r="A625" s="415" t="str">
        <f t="shared" si="9"/>
        <v>SA-522 Gr.I</v>
      </c>
      <c r="B625" s="415">
        <v>619</v>
      </c>
      <c r="C625" s="415" t="s">
        <v>3176</v>
      </c>
      <c r="D625" s="415" t="s">
        <v>2737</v>
      </c>
      <c r="E625" s="415" t="s">
        <v>2256</v>
      </c>
      <c r="F625" s="415" t="s">
        <v>2483</v>
      </c>
      <c r="G625" s="415" t="s">
        <v>3177</v>
      </c>
      <c r="H625" s="415">
        <v>0</v>
      </c>
      <c r="I625" s="415">
        <v>0</v>
      </c>
      <c r="J625" s="415" t="s">
        <v>3093</v>
      </c>
      <c r="K625" s="415">
        <v>1</v>
      </c>
      <c r="L625" s="415">
        <v>690</v>
      </c>
      <c r="M625" s="415">
        <v>515</v>
      </c>
      <c r="N625" s="415" t="s">
        <v>2675</v>
      </c>
      <c r="O625" s="415" t="s">
        <v>2675</v>
      </c>
      <c r="P625" s="415">
        <v>121</v>
      </c>
      <c r="Q625" s="415">
        <v>121</v>
      </c>
      <c r="R625" s="415" t="s">
        <v>2819</v>
      </c>
      <c r="S625" s="415" t="s">
        <v>3183</v>
      </c>
      <c r="T625" s="416">
        <v>187</v>
      </c>
      <c r="U625" s="416">
        <v>187</v>
      </c>
      <c r="V625" s="416">
        <v>187</v>
      </c>
      <c r="W625" s="416">
        <v>173</v>
      </c>
      <c r="X625" s="416">
        <v>169</v>
      </c>
      <c r="Y625" s="416">
        <v>0</v>
      </c>
      <c r="Z625" s="416">
        <v>0</v>
      </c>
      <c r="AA625" s="416">
        <v>0</v>
      </c>
      <c r="AB625" s="416">
        <v>0</v>
      </c>
      <c r="AC625" s="416">
        <v>0</v>
      </c>
      <c r="AD625" s="416">
        <v>0</v>
      </c>
      <c r="AE625" s="416">
        <v>0</v>
      </c>
      <c r="AF625" s="416">
        <v>0</v>
      </c>
      <c r="AG625" s="416">
        <v>0</v>
      </c>
      <c r="AH625" s="416">
        <v>0</v>
      </c>
      <c r="AI625" s="416">
        <v>0</v>
      </c>
      <c r="AJ625" s="416">
        <v>0</v>
      </c>
      <c r="AK625" s="416">
        <v>0</v>
      </c>
      <c r="AL625" s="416">
        <v>0</v>
      </c>
      <c r="AM625" s="416">
        <v>0</v>
      </c>
      <c r="AN625" s="416">
        <v>0</v>
      </c>
      <c r="AO625" s="416">
        <v>0</v>
      </c>
      <c r="AP625" s="416">
        <v>0</v>
      </c>
      <c r="AQ625" s="416">
        <v>0</v>
      </c>
      <c r="AR625" s="416">
        <v>0</v>
      </c>
      <c r="AS625" s="416">
        <v>0</v>
      </c>
      <c r="AT625" s="416">
        <v>0</v>
      </c>
      <c r="AU625" s="416">
        <v>0</v>
      </c>
      <c r="AV625" s="416">
        <v>0</v>
      </c>
      <c r="AW625" s="416">
        <v>0</v>
      </c>
      <c r="AX625" s="416">
        <v>0</v>
      </c>
      <c r="AY625" s="416">
        <v>0</v>
      </c>
      <c r="AZ625" s="416">
        <v>0</v>
      </c>
    </row>
    <row r="626" spans="1:52" s="411" customFormat="1" x14ac:dyDescent="0.3">
      <c r="A626" s="415" t="str">
        <f t="shared" si="9"/>
        <v>SA-553 Gr.I</v>
      </c>
      <c r="B626" s="415">
        <v>620</v>
      </c>
      <c r="C626" s="415" t="s">
        <v>3176</v>
      </c>
      <c r="D626" s="415" t="s">
        <v>2684</v>
      </c>
      <c r="E626" s="415" t="s">
        <v>2269</v>
      </c>
      <c r="F626" s="415" t="s">
        <v>2483</v>
      </c>
      <c r="G626" s="415" t="s">
        <v>3177</v>
      </c>
      <c r="H626" s="415">
        <v>0</v>
      </c>
      <c r="I626" s="415">
        <v>0</v>
      </c>
      <c r="J626" s="415" t="s">
        <v>3093</v>
      </c>
      <c r="K626" s="415">
        <v>1</v>
      </c>
      <c r="L626" s="415">
        <v>690</v>
      </c>
      <c r="M626" s="415">
        <v>585</v>
      </c>
      <c r="N626" s="415" t="s">
        <v>2675</v>
      </c>
      <c r="O626" s="415" t="s">
        <v>3173</v>
      </c>
      <c r="P626" s="415">
        <v>121</v>
      </c>
      <c r="Q626" s="415">
        <v>121</v>
      </c>
      <c r="R626" s="415" t="s">
        <v>2819</v>
      </c>
      <c r="S626" s="415" t="s">
        <v>3175</v>
      </c>
      <c r="T626" s="416">
        <v>197</v>
      </c>
      <c r="U626" s="416">
        <v>197</v>
      </c>
      <c r="V626" s="416">
        <v>197</v>
      </c>
      <c r="W626" s="416">
        <v>182</v>
      </c>
      <c r="X626" s="416">
        <v>178</v>
      </c>
      <c r="Y626" s="416">
        <v>0</v>
      </c>
      <c r="Z626" s="416">
        <v>0</v>
      </c>
      <c r="AA626" s="416">
        <v>0</v>
      </c>
      <c r="AB626" s="416">
        <v>0</v>
      </c>
      <c r="AC626" s="416">
        <v>0</v>
      </c>
      <c r="AD626" s="416">
        <v>0</v>
      </c>
      <c r="AE626" s="416">
        <v>0</v>
      </c>
      <c r="AF626" s="416">
        <v>0</v>
      </c>
      <c r="AG626" s="416">
        <v>0</v>
      </c>
      <c r="AH626" s="416">
        <v>0</v>
      </c>
      <c r="AI626" s="416">
        <v>0</v>
      </c>
      <c r="AJ626" s="416">
        <v>0</v>
      </c>
      <c r="AK626" s="416">
        <v>0</v>
      </c>
      <c r="AL626" s="416">
        <v>0</v>
      </c>
      <c r="AM626" s="416">
        <v>0</v>
      </c>
      <c r="AN626" s="416">
        <v>0</v>
      </c>
      <c r="AO626" s="416">
        <v>0</v>
      </c>
      <c r="AP626" s="416">
        <v>0</v>
      </c>
      <c r="AQ626" s="416">
        <v>0</v>
      </c>
      <c r="AR626" s="416">
        <v>0</v>
      </c>
      <c r="AS626" s="416">
        <v>0</v>
      </c>
      <c r="AT626" s="416">
        <v>0</v>
      </c>
      <c r="AU626" s="416">
        <v>0</v>
      </c>
      <c r="AV626" s="416">
        <v>0</v>
      </c>
      <c r="AW626" s="416">
        <v>0</v>
      </c>
      <c r="AX626" s="416">
        <v>0</v>
      </c>
      <c r="AY626" s="416">
        <v>0</v>
      </c>
      <c r="AZ626" s="416">
        <v>0</v>
      </c>
    </row>
    <row r="627" spans="1:52" s="411" customFormat="1" x14ac:dyDescent="0.3">
      <c r="A627" s="415" t="str">
        <f t="shared" si="9"/>
        <v>SA-553 Gr.I</v>
      </c>
      <c r="B627" s="415">
        <v>621</v>
      </c>
      <c r="C627" s="415" t="s">
        <v>3176</v>
      </c>
      <c r="D627" s="415" t="s">
        <v>2684</v>
      </c>
      <c r="E627" s="415" t="s">
        <v>2269</v>
      </c>
      <c r="F627" s="415" t="s">
        <v>2483</v>
      </c>
      <c r="G627" s="415" t="s">
        <v>3177</v>
      </c>
      <c r="H627" s="415">
        <v>0</v>
      </c>
      <c r="I627" s="415">
        <v>0</v>
      </c>
      <c r="J627" s="415" t="s">
        <v>3093</v>
      </c>
      <c r="K627" s="415">
        <v>1</v>
      </c>
      <c r="L627" s="415">
        <v>690</v>
      </c>
      <c r="M627" s="415">
        <v>585</v>
      </c>
      <c r="N627" s="415" t="s">
        <v>2675</v>
      </c>
      <c r="O627" s="415" t="s">
        <v>3173</v>
      </c>
      <c r="P627" s="415">
        <v>121</v>
      </c>
      <c r="Q627" s="415">
        <v>121</v>
      </c>
      <c r="R627" s="415" t="s">
        <v>2819</v>
      </c>
      <c r="S627" s="415" t="s">
        <v>3174</v>
      </c>
      <c r="T627" s="416">
        <v>187</v>
      </c>
      <c r="U627" s="416">
        <v>187</v>
      </c>
      <c r="V627" s="416">
        <v>187</v>
      </c>
      <c r="W627" s="416">
        <v>173</v>
      </c>
      <c r="X627" s="416">
        <v>169</v>
      </c>
      <c r="Y627" s="416">
        <v>0</v>
      </c>
      <c r="Z627" s="416">
        <v>0</v>
      </c>
      <c r="AA627" s="416">
        <v>0</v>
      </c>
      <c r="AB627" s="416">
        <v>0</v>
      </c>
      <c r="AC627" s="416">
        <v>0</v>
      </c>
      <c r="AD627" s="416">
        <v>0</v>
      </c>
      <c r="AE627" s="416">
        <v>0</v>
      </c>
      <c r="AF627" s="416">
        <v>0</v>
      </c>
      <c r="AG627" s="416">
        <v>0</v>
      </c>
      <c r="AH627" s="416">
        <v>0</v>
      </c>
      <c r="AI627" s="416">
        <v>0</v>
      </c>
      <c r="AJ627" s="416">
        <v>0</v>
      </c>
      <c r="AK627" s="416">
        <v>0</v>
      </c>
      <c r="AL627" s="416">
        <v>0</v>
      </c>
      <c r="AM627" s="416">
        <v>0</v>
      </c>
      <c r="AN627" s="416">
        <v>0</v>
      </c>
      <c r="AO627" s="416">
        <v>0</v>
      </c>
      <c r="AP627" s="416">
        <v>0</v>
      </c>
      <c r="AQ627" s="416">
        <v>0</v>
      </c>
      <c r="AR627" s="416">
        <v>0</v>
      </c>
      <c r="AS627" s="416">
        <v>0</v>
      </c>
      <c r="AT627" s="416">
        <v>0</v>
      </c>
      <c r="AU627" s="416">
        <v>0</v>
      </c>
      <c r="AV627" s="416">
        <v>0</v>
      </c>
      <c r="AW627" s="416">
        <v>0</v>
      </c>
      <c r="AX627" s="416">
        <v>0</v>
      </c>
      <c r="AY627" s="416">
        <v>0</v>
      </c>
      <c r="AZ627" s="416">
        <v>0</v>
      </c>
    </row>
    <row r="628" spans="1:52" s="411" customFormat="1" x14ac:dyDescent="0.3">
      <c r="A628" s="415" t="str">
        <f t="shared" si="9"/>
        <v>SA-638 Gr.660</v>
      </c>
      <c r="B628" s="415">
        <v>622</v>
      </c>
      <c r="C628" s="415" t="s">
        <v>3184</v>
      </c>
      <c r="D628" s="415" t="s">
        <v>2677</v>
      </c>
      <c r="E628" s="415" t="s">
        <v>2283</v>
      </c>
      <c r="F628" s="415">
        <v>660</v>
      </c>
      <c r="G628" s="415" t="s">
        <v>3185</v>
      </c>
      <c r="H628" s="415">
        <v>0</v>
      </c>
      <c r="I628" s="415">
        <v>0</v>
      </c>
      <c r="J628" s="415">
        <v>0</v>
      </c>
      <c r="K628" s="415">
        <v>0</v>
      </c>
      <c r="L628" s="415">
        <v>895</v>
      </c>
      <c r="M628" s="415">
        <v>585</v>
      </c>
      <c r="N628" s="415" t="s">
        <v>2675</v>
      </c>
      <c r="O628" s="415">
        <v>371</v>
      </c>
      <c r="P628" s="415">
        <v>371</v>
      </c>
      <c r="Q628" s="415" t="s">
        <v>2675</v>
      </c>
      <c r="R628" s="415" t="s">
        <v>3061</v>
      </c>
      <c r="S628" s="415" t="s">
        <v>3141</v>
      </c>
      <c r="T628" s="416">
        <v>256</v>
      </c>
      <c r="U628" s="416">
        <v>256</v>
      </c>
      <c r="V628" s="416">
        <v>256</v>
      </c>
      <c r="W628" s="416">
        <v>256</v>
      </c>
      <c r="X628" s="416">
        <v>256</v>
      </c>
      <c r="Y628" s="416">
        <v>256</v>
      </c>
      <c r="Z628" s="416">
        <v>256</v>
      </c>
      <c r="AA628" s="416">
        <v>253</v>
      </c>
      <c r="AB628" s="416">
        <v>248</v>
      </c>
      <c r="AC628" s="416">
        <v>246</v>
      </c>
      <c r="AD628" s="416">
        <v>243</v>
      </c>
      <c r="AE628" s="416">
        <v>241</v>
      </c>
      <c r="AF628" s="416">
        <v>0</v>
      </c>
      <c r="AG628" s="416">
        <v>0</v>
      </c>
      <c r="AH628" s="416">
        <v>0</v>
      </c>
      <c r="AI628" s="416">
        <v>0</v>
      </c>
      <c r="AJ628" s="416">
        <v>0</v>
      </c>
      <c r="AK628" s="416">
        <v>0</v>
      </c>
      <c r="AL628" s="416">
        <v>0</v>
      </c>
      <c r="AM628" s="416">
        <v>0</v>
      </c>
      <c r="AN628" s="416">
        <v>0</v>
      </c>
      <c r="AO628" s="416">
        <v>0</v>
      </c>
      <c r="AP628" s="416">
        <v>0</v>
      </c>
      <c r="AQ628" s="416">
        <v>0</v>
      </c>
      <c r="AR628" s="416">
        <v>0</v>
      </c>
      <c r="AS628" s="416">
        <v>0</v>
      </c>
      <c r="AT628" s="416">
        <v>0</v>
      </c>
      <c r="AU628" s="416">
        <v>0</v>
      </c>
      <c r="AV628" s="416">
        <v>0</v>
      </c>
      <c r="AW628" s="416">
        <v>0</v>
      </c>
      <c r="AX628" s="416">
        <v>0</v>
      </c>
      <c r="AY628" s="416">
        <v>0</v>
      </c>
      <c r="AZ628" s="416">
        <v>0</v>
      </c>
    </row>
    <row r="629" spans="1:52" s="411" customFormat="1" x14ac:dyDescent="0.3">
      <c r="A629" s="415" t="str">
        <f t="shared" si="9"/>
        <v>SA-213 Gr.0</v>
      </c>
      <c r="B629" s="415">
        <v>623</v>
      </c>
      <c r="C629" s="415" t="s">
        <v>3186</v>
      </c>
      <c r="D629" s="415" t="s">
        <v>2693</v>
      </c>
      <c r="E629" s="415" t="s">
        <v>2195</v>
      </c>
      <c r="F629" s="415">
        <v>0</v>
      </c>
      <c r="G629" s="415" t="s">
        <v>3187</v>
      </c>
      <c r="H629" s="415">
        <v>0</v>
      </c>
      <c r="I629" s="415">
        <v>0</v>
      </c>
      <c r="J629" s="415">
        <v>45</v>
      </c>
      <c r="K629" s="415">
        <v>0</v>
      </c>
      <c r="L629" s="415">
        <v>772</v>
      </c>
      <c r="M629" s="415">
        <v>359</v>
      </c>
      <c r="N629" s="415" t="s">
        <v>2675</v>
      </c>
      <c r="O629" s="415" t="s">
        <v>2675</v>
      </c>
      <c r="P629" s="415">
        <v>427</v>
      </c>
      <c r="Q629" s="415" t="s">
        <v>2675</v>
      </c>
      <c r="R629" s="415" t="s">
        <v>3188</v>
      </c>
      <c r="S629" s="415" t="s">
        <v>3189</v>
      </c>
      <c r="T629" s="416">
        <v>221</v>
      </c>
      <c r="U629" s="416">
        <v>221</v>
      </c>
      <c r="V629" s="416">
        <v>221</v>
      </c>
      <c r="W629" s="416">
        <v>220</v>
      </c>
      <c r="X629" s="416">
        <v>0</v>
      </c>
      <c r="Y629" s="416">
        <v>212</v>
      </c>
      <c r="Z629" s="416">
        <v>203</v>
      </c>
      <c r="AA629" s="416">
        <v>197</v>
      </c>
      <c r="AB629" s="416">
        <v>191</v>
      </c>
      <c r="AC629" s="416">
        <v>189</v>
      </c>
      <c r="AD629" s="416">
        <v>186</v>
      </c>
      <c r="AE629" s="416">
        <v>185</v>
      </c>
      <c r="AF629" s="416">
        <v>183</v>
      </c>
      <c r="AG629" s="416">
        <v>181</v>
      </c>
      <c r="AH629" s="416">
        <v>181</v>
      </c>
      <c r="AI629" s="416">
        <v>0</v>
      </c>
      <c r="AJ629" s="416">
        <v>0</v>
      </c>
      <c r="AK629" s="416">
        <v>0</v>
      </c>
      <c r="AL629" s="416">
        <v>0</v>
      </c>
      <c r="AM629" s="416">
        <v>0</v>
      </c>
      <c r="AN629" s="416">
        <v>0</v>
      </c>
      <c r="AO629" s="416">
        <v>0</v>
      </c>
      <c r="AP629" s="416">
        <v>0</v>
      </c>
      <c r="AQ629" s="416">
        <v>0</v>
      </c>
      <c r="AR629" s="416">
        <v>0</v>
      </c>
      <c r="AS629" s="416">
        <v>0</v>
      </c>
      <c r="AT629" s="416">
        <v>0</v>
      </c>
      <c r="AU629" s="416">
        <v>0</v>
      </c>
      <c r="AV629" s="416">
        <v>0</v>
      </c>
      <c r="AW629" s="416">
        <v>0</v>
      </c>
      <c r="AX629" s="416">
        <v>0</v>
      </c>
      <c r="AY629" s="416">
        <v>0</v>
      </c>
      <c r="AZ629" s="416">
        <v>0</v>
      </c>
    </row>
    <row r="630" spans="1:52" s="411" customFormat="1" x14ac:dyDescent="0.3">
      <c r="A630" s="415" t="str">
        <f t="shared" si="9"/>
        <v>SA-213 Gr.0</v>
      </c>
      <c r="B630" s="415">
        <v>624</v>
      </c>
      <c r="C630" s="415" t="s">
        <v>3186</v>
      </c>
      <c r="D630" s="415" t="s">
        <v>2693</v>
      </c>
      <c r="E630" s="415" t="s">
        <v>2195</v>
      </c>
      <c r="F630" s="415">
        <v>0</v>
      </c>
      <c r="G630" s="415" t="s">
        <v>3187</v>
      </c>
      <c r="H630" s="415">
        <v>0</v>
      </c>
      <c r="I630" s="415">
        <v>0</v>
      </c>
      <c r="J630" s="415">
        <v>45</v>
      </c>
      <c r="K630" s="415">
        <v>0</v>
      </c>
      <c r="L630" s="415">
        <v>772</v>
      </c>
      <c r="M630" s="415">
        <v>359</v>
      </c>
      <c r="N630" s="415" t="s">
        <v>2675</v>
      </c>
      <c r="O630" s="415" t="s">
        <v>2675</v>
      </c>
      <c r="P630" s="415">
        <v>427</v>
      </c>
      <c r="Q630" s="415" t="s">
        <v>2675</v>
      </c>
      <c r="R630" s="415" t="s">
        <v>3188</v>
      </c>
      <c r="S630" s="415">
        <v>0</v>
      </c>
      <c r="T630" s="416">
        <v>221</v>
      </c>
      <c r="U630" s="416">
        <v>221</v>
      </c>
      <c r="V630" s="416">
        <v>221</v>
      </c>
      <c r="W630" s="416">
        <v>219</v>
      </c>
      <c r="X630" s="416">
        <v>0</v>
      </c>
      <c r="Y630" s="416">
        <v>198</v>
      </c>
      <c r="Z630" s="416">
        <v>184</v>
      </c>
      <c r="AA630" s="416">
        <v>177</v>
      </c>
      <c r="AB630" s="416">
        <v>175</v>
      </c>
      <c r="AC630" s="416">
        <v>175</v>
      </c>
      <c r="AD630" s="416">
        <v>175</v>
      </c>
      <c r="AE630" s="416">
        <v>175</v>
      </c>
      <c r="AF630" s="416">
        <v>173</v>
      </c>
      <c r="AG630" s="416">
        <v>172</v>
      </c>
      <c r="AH630" s="416">
        <v>172</v>
      </c>
      <c r="AI630" s="416">
        <v>0</v>
      </c>
      <c r="AJ630" s="416">
        <v>0</v>
      </c>
      <c r="AK630" s="416">
        <v>0</v>
      </c>
      <c r="AL630" s="416">
        <v>0</v>
      </c>
      <c r="AM630" s="416">
        <v>0</v>
      </c>
      <c r="AN630" s="416">
        <v>0</v>
      </c>
      <c r="AO630" s="416">
        <v>0</v>
      </c>
      <c r="AP630" s="416">
        <v>0</v>
      </c>
      <c r="AQ630" s="416">
        <v>0</v>
      </c>
      <c r="AR630" s="416">
        <v>0</v>
      </c>
      <c r="AS630" s="416">
        <v>0</v>
      </c>
      <c r="AT630" s="416">
        <v>0</v>
      </c>
      <c r="AU630" s="416">
        <v>0</v>
      </c>
      <c r="AV630" s="416">
        <v>0</v>
      </c>
      <c r="AW630" s="416">
        <v>0</v>
      </c>
      <c r="AX630" s="416">
        <v>0</v>
      </c>
      <c r="AY630" s="416">
        <v>0</v>
      </c>
      <c r="AZ630" s="416">
        <v>0</v>
      </c>
    </row>
    <row r="631" spans="1:52" s="411" customFormat="1" x14ac:dyDescent="0.3">
      <c r="A631" s="415" t="str">
        <f t="shared" si="9"/>
        <v>SA-240 Gr.0</v>
      </c>
      <c r="B631" s="415">
        <v>625</v>
      </c>
      <c r="C631" s="415" t="s">
        <v>3186</v>
      </c>
      <c r="D631" s="415" t="s">
        <v>2684</v>
      </c>
      <c r="E631" s="415" t="s">
        <v>2165</v>
      </c>
      <c r="F631" s="415">
        <v>0</v>
      </c>
      <c r="G631" s="415" t="s">
        <v>3187</v>
      </c>
      <c r="H631" s="415">
        <v>0</v>
      </c>
      <c r="I631" s="415">
        <v>0</v>
      </c>
      <c r="J631" s="415">
        <v>45</v>
      </c>
      <c r="K631" s="415">
        <v>0</v>
      </c>
      <c r="L631" s="415">
        <v>772</v>
      </c>
      <c r="M631" s="415">
        <v>359</v>
      </c>
      <c r="N631" s="415" t="s">
        <v>2675</v>
      </c>
      <c r="O631" s="415" t="s">
        <v>2675</v>
      </c>
      <c r="P631" s="415">
        <v>427</v>
      </c>
      <c r="Q631" s="415" t="s">
        <v>2675</v>
      </c>
      <c r="R631" s="415" t="s">
        <v>3188</v>
      </c>
      <c r="S631" s="415" t="s">
        <v>3189</v>
      </c>
      <c r="T631" s="416">
        <v>221</v>
      </c>
      <c r="U631" s="416">
        <v>221</v>
      </c>
      <c r="V631" s="416">
        <v>221</v>
      </c>
      <c r="W631" s="416">
        <v>220</v>
      </c>
      <c r="X631" s="416">
        <v>0</v>
      </c>
      <c r="Y631" s="416">
        <v>212</v>
      </c>
      <c r="Z631" s="416">
        <v>203</v>
      </c>
      <c r="AA631" s="416">
        <v>197</v>
      </c>
      <c r="AB631" s="416">
        <v>191</v>
      </c>
      <c r="AC631" s="416">
        <v>189</v>
      </c>
      <c r="AD631" s="416">
        <v>186</v>
      </c>
      <c r="AE631" s="416">
        <v>185</v>
      </c>
      <c r="AF631" s="416">
        <v>183</v>
      </c>
      <c r="AG631" s="416">
        <v>181</v>
      </c>
      <c r="AH631" s="416">
        <v>181</v>
      </c>
      <c r="AI631" s="416">
        <v>0</v>
      </c>
      <c r="AJ631" s="416">
        <v>0</v>
      </c>
      <c r="AK631" s="416">
        <v>0</v>
      </c>
      <c r="AL631" s="416">
        <v>0</v>
      </c>
      <c r="AM631" s="416">
        <v>0</v>
      </c>
      <c r="AN631" s="416">
        <v>0</v>
      </c>
      <c r="AO631" s="416">
        <v>0</v>
      </c>
      <c r="AP631" s="416">
        <v>0</v>
      </c>
      <c r="AQ631" s="416">
        <v>0</v>
      </c>
      <c r="AR631" s="416">
        <v>0</v>
      </c>
      <c r="AS631" s="416">
        <v>0</v>
      </c>
      <c r="AT631" s="416">
        <v>0</v>
      </c>
      <c r="AU631" s="416">
        <v>0</v>
      </c>
      <c r="AV631" s="416">
        <v>0</v>
      </c>
      <c r="AW631" s="416">
        <v>0</v>
      </c>
      <c r="AX631" s="416">
        <v>0</v>
      </c>
      <c r="AY631" s="416">
        <v>0</v>
      </c>
      <c r="AZ631" s="416">
        <v>0</v>
      </c>
    </row>
    <row r="632" spans="1:52" s="411" customFormat="1" x14ac:dyDescent="0.3">
      <c r="A632" s="415" t="str">
        <f t="shared" si="9"/>
        <v>SA-240 Gr.0</v>
      </c>
      <c r="B632" s="415">
        <v>626</v>
      </c>
      <c r="C632" s="415" t="s">
        <v>3186</v>
      </c>
      <c r="D632" s="415" t="s">
        <v>2684</v>
      </c>
      <c r="E632" s="415" t="s">
        <v>2165</v>
      </c>
      <c r="F632" s="415">
        <v>0</v>
      </c>
      <c r="G632" s="415" t="s">
        <v>3187</v>
      </c>
      <c r="H632" s="415">
        <v>0</v>
      </c>
      <c r="I632" s="415">
        <v>0</v>
      </c>
      <c r="J632" s="415">
        <v>45</v>
      </c>
      <c r="K632" s="415">
        <v>0</v>
      </c>
      <c r="L632" s="415">
        <v>772</v>
      </c>
      <c r="M632" s="415">
        <v>359</v>
      </c>
      <c r="N632" s="415" t="s">
        <v>2675</v>
      </c>
      <c r="O632" s="415" t="s">
        <v>2675</v>
      </c>
      <c r="P632" s="415">
        <v>427</v>
      </c>
      <c r="Q632" s="415" t="s">
        <v>2675</v>
      </c>
      <c r="R632" s="415" t="s">
        <v>3188</v>
      </c>
      <c r="S632" s="415">
        <v>0</v>
      </c>
      <c r="T632" s="416">
        <v>221</v>
      </c>
      <c r="U632" s="416">
        <v>221</v>
      </c>
      <c r="V632" s="416">
        <v>221</v>
      </c>
      <c r="W632" s="416">
        <v>219</v>
      </c>
      <c r="X632" s="416">
        <v>0</v>
      </c>
      <c r="Y632" s="416">
        <v>198</v>
      </c>
      <c r="Z632" s="416">
        <v>184</v>
      </c>
      <c r="AA632" s="416">
        <v>177</v>
      </c>
      <c r="AB632" s="416">
        <v>175</v>
      </c>
      <c r="AC632" s="416">
        <v>175</v>
      </c>
      <c r="AD632" s="416">
        <v>175</v>
      </c>
      <c r="AE632" s="416">
        <v>175</v>
      </c>
      <c r="AF632" s="416">
        <v>173</v>
      </c>
      <c r="AG632" s="416">
        <v>172</v>
      </c>
      <c r="AH632" s="416">
        <v>172</v>
      </c>
      <c r="AI632" s="416">
        <v>0</v>
      </c>
      <c r="AJ632" s="416">
        <v>0</v>
      </c>
      <c r="AK632" s="416">
        <v>0</v>
      </c>
      <c r="AL632" s="416">
        <v>0</v>
      </c>
      <c r="AM632" s="416">
        <v>0</v>
      </c>
      <c r="AN632" s="416">
        <v>0</v>
      </c>
      <c r="AO632" s="416">
        <v>0</v>
      </c>
      <c r="AP632" s="416">
        <v>0</v>
      </c>
      <c r="AQ632" s="416">
        <v>0</v>
      </c>
      <c r="AR632" s="416">
        <v>0</v>
      </c>
      <c r="AS632" s="416">
        <v>0</v>
      </c>
      <c r="AT632" s="416">
        <v>0</v>
      </c>
      <c r="AU632" s="416">
        <v>0</v>
      </c>
      <c r="AV632" s="416">
        <v>0</v>
      </c>
      <c r="AW632" s="416">
        <v>0</v>
      </c>
      <c r="AX632" s="416">
        <v>0</v>
      </c>
      <c r="AY632" s="416">
        <v>0</v>
      </c>
      <c r="AZ632" s="416">
        <v>0</v>
      </c>
    </row>
    <row r="633" spans="1:52" s="411" customFormat="1" x14ac:dyDescent="0.3">
      <c r="A633" s="415" t="str">
        <f t="shared" si="9"/>
        <v>SA-249 Gr.0</v>
      </c>
      <c r="B633" s="415">
        <v>627</v>
      </c>
      <c r="C633" s="415" t="s">
        <v>3186</v>
      </c>
      <c r="D633" s="415" t="s">
        <v>2689</v>
      </c>
      <c r="E633" s="415" t="s">
        <v>2200</v>
      </c>
      <c r="F633" s="415">
        <v>0</v>
      </c>
      <c r="G633" s="415" t="s">
        <v>3187</v>
      </c>
      <c r="H633" s="415">
        <v>0</v>
      </c>
      <c r="I633" s="415">
        <v>0</v>
      </c>
      <c r="J633" s="415">
        <v>45</v>
      </c>
      <c r="K633" s="415">
        <v>0</v>
      </c>
      <c r="L633" s="415">
        <v>772</v>
      </c>
      <c r="M633" s="415">
        <v>359</v>
      </c>
      <c r="N633" s="415" t="s">
        <v>2675</v>
      </c>
      <c r="O633" s="415" t="s">
        <v>2675</v>
      </c>
      <c r="P633" s="415">
        <v>427</v>
      </c>
      <c r="Q633" s="415" t="s">
        <v>2675</v>
      </c>
      <c r="R633" s="415" t="s">
        <v>3188</v>
      </c>
      <c r="S633" s="415" t="s">
        <v>3190</v>
      </c>
      <c r="T633" s="416">
        <v>188</v>
      </c>
      <c r="U633" s="416">
        <v>188</v>
      </c>
      <c r="V633" s="416">
        <v>188</v>
      </c>
      <c r="W633" s="416">
        <v>187</v>
      </c>
      <c r="X633" s="416">
        <v>0</v>
      </c>
      <c r="Y633" s="416">
        <v>180</v>
      </c>
      <c r="Z633" s="416">
        <v>173</v>
      </c>
      <c r="AA633" s="416">
        <v>167</v>
      </c>
      <c r="AB633" s="416">
        <v>162</v>
      </c>
      <c r="AC633" s="416">
        <v>160</v>
      </c>
      <c r="AD633" s="416">
        <v>158</v>
      </c>
      <c r="AE633" s="416">
        <v>157</v>
      </c>
      <c r="AF633" s="416">
        <v>155</v>
      </c>
      <c r="AG633" s="416">
        <v>154</v>
      </c>
      <c r="AH633" s="416">
        <v>154</v>
      </c>
      <c r="AI633" s="416">
        <v>0</v>
      </c>
      <c r="AJ633" s="416">
        <v>0</v>
      </c>
      <c r="AK633" s="416">
        <v>0</v>
      </c>
      <c r="AL633" s="416">
        <v>0</v>
      </c>
      <c r="AM633" s="416">
        <v>0</v>
      </c>
      <c r="AN633" s="416">
        <v>0</v>
      </c>
      <c r="AO633" s="416">
        <v>0</v>
      </c>
      <c r="AP633" s="416">
        <v>0</v>
      </c>
      <c r="AQ633" s="416">
        <v>0</v>
      </c>
      <c r="AR633" s="416">
        <v>0</v>
      </c>
      <c r="AS633" s="416">
        <v>0</v>
      </c>
      <c r="AT633" s="416">
        <v>0</v>
      </c>
      <c r="AU633" s="416">
        <v>0</v>
      </c>
      <c r="AV633" s="416">
        <v>0</v>
      </c>
      <c r="AW633" s="416">
        <v>0</v>
      </c>
      <c r="AX633" s="416">
        <v>0</v>
      </c>
      <c r="AY633" s="416">
        <v>0</v>
      </c>
      <c r="AZ633" s="416">
        <v>0</v>
      </c>
    </row>
    <row r="634" spans="1:52" s="411" customFormat="1" x14ac:dyDescent="0.3">
      <c r="A634" s="415" t="str">
        <f t="shared" si="9"/>
        <v>SA-249 Gr.0</v>
      </c>
      <c r="B634" s="415">
        <v>628</v>
      </c>
      <c r="C634" s="415" t="s">
        <v>3186</v>
      </c>
      <c r="D634" s="415" t="s">
        <v>2689</v>
      </c>
      <c r="E634" s="415" t="s">
        <v>2200</v>
      </c>
      <c r="F634" s="415">
        <v>0</v>
      </c>
      <c r="G634" s="415" t="s">
        <v>3187</v>
      </c>
      <c r="H634" s="415">
        <v>0</v>
      </c>
      <c r="I634" s="415">
        <v>0</v>
      </c>
      <c r="J634" s="415">
        <v>45</v>
      </c>
      <c r="K634" s="415">
        <v>0</v>
      </c>
      <c r="L634" s="415">
        <v>772</v>
      </c>
      <c r="M634" s="415">
        <v>359</v>
      </c>
      <c r="N634" s="415" t="s">
        <v>2675</v>
      </c>
      <c r="O634" s="415" t="s">
        <v>2675</v>
      </c>
      <c r="P634" s="415">
        <v>427</v>
      </c>
      <c r="Q634" s="415" t="s">
        <v>2675</v>
      </c>
      <c r="R634" s="415" t="s">
        <v>3188</v>
      </c>
      <c r="S634" s="415">
        <v>0</v>
      </c>
      <c r="T634" s="416">
        <v>188</v>
      </c>
      <c r="U634" s="416">
        <v>188</v>
      </c>
      <c r="V634" s="416">
        <v>188</v>
      </c>
      <c r="W634" s="416">
        <v>186</v>
      </c>
      <c r="X634" s="416">
        <v>0</v>
      </c>
      <c r="Y634" s="416">
        <v>169</v>
      </c>
      <c r="Z634" s="416">
        <v>156</v>
      </c>
      <c r="AA634" s="416">
        <v>150</v>
      </c>
      <c r="AB634" s="416">
        <v>149</v>
      </c>
      <c r="AC634" s="416">
        <v>149</v>
      </c>
      <c r="AD634" s="416">
        <v>149</v>
      </c>
      <c r="AE634" s="416">
        <v>149</v>
      </c>
      <c r="AF634" s="416">
        <v>147</v>
      </c>
      <c r="AG634" s="416">
        <v>146</v>
      </c>
      <c r="AH634" s="416">
        <v>146</v>
      </c>
      <c r="AI634" s="416">
        <v>0</v>
      </c>
      <c r="AJ634" s="416">
        <v>0</v>
      </c>
      <c r="AK634" s="416">
        <v>0</v>
      </c>
      <c r="AL634" s="416">
        <v>0</v>
      </c>
      <c r="AM634" s="416">
        <v>0</v>
      </c>
      <c r="AN634" s="416">
        <v>0</v>
      </c>
      <c r="AO634" s="416">
        <v>0</v>
      </c>
      <c r="AP634" s="416">
        <v>0</v>
      </c>
      <c r="AQ634" s="416">
        <v>0</v>
      </c>
      <c r="AR634" s="416">
        <v>0</v>
      </c>
      <c r="AS634" s="416">
        <v>0</v>
      </c>
      <c r="AT634" s="416">
        <v>0</v>
      </c>
      <c r="AU634" s="416">
        <v>0</v>
      </c>
      <c r="AV634" s="416">
        <v>0</v>
      </c>
      <c r="AW634" s="416">
        <v>0</v>
      </c>
      <c r="AX634" s="416">
        <v>0</v>
      </c>
      <c r="AY634" s="416">
        <v>0</v>
      </c>
      <c r="AZ634" s="416">
        <v>0</v>
      </c>
    </row>
    <row r="635" spans="1:52" s="411" customFormat="1" x14ac:dyDescent="0.3">
      <c r="A635" s="415" t="str">
        <f t="shared" si="9"/>
        <v>SA-351 Gr.CN7M</v>
      </c>
      <c r="B635" s="415">
        <v>629</v>
      </c>
      <c r="C635" s="415" t="s">
        <v>3191</v>
      </c>
      <c r="D635" s="415" t="s">
        <v>2739</v>
      </c>
      <c r="E635" s="415" t="s">
        <v>2213</v>
      </c>
      <c r="F635" s="415" t="s">
        <v>2392</v>
      </c>
      <c r="G635" s="415" t="s">
        <v>3192</v>
      </c>
      <c r="H635" s="415">
        <v>0</v>
      </c>
      <c r="I635" s="415">
        <v>0</v>
      </c>
      <c r="J635" s="415">
        <v>45</v>
      </c>
      <c r="K635" s="415">
        <v>0</v>
      </c>
      <c r="L635" s="415">
        <v>425</v>
      </c>
      <c r="M635" s="415">
        <v>170</v>
      </c>
      <c r="N635" s="415">
        <v>316</v>
      </c>
      <c r="O635" s="415" t="s">
        <v>3193</v>
      </c>
      <c r="P635" s="415">
        <v>316</v>
      </c>
      <c r="Q635" s="415" t="s">
        <v>2675</v>
      </c>
      <c r="R635" s="415" t="s">
        <v>3194</v>
      </c>
      <c r="S635" s="415" t="s">
        <v>3195</v>
      </c>
      <c r="T635" s="416">
        <v>115</v>
      </c>
      <c r="U635" s="416">
        <v>115</v>
      </c>
      <c r="V635" s="416">
        <v>114</v>
      </c>
      <c r="W635" s="416">
        <v>109</v>
      </c>
      <c r="X635" s="416">
        <v>101</v>
      </c>
      <c r="Y635" s="416">
        <v>93.5</v>
      </c>
      <c r="Z635" s="416">
        <v>88.5</v>
      </c>
      <c r="AA635" s="416">
        <v>84.3</v>
      </c>
      <c r="AB635" s="416">
        <v>80.900000000000006</v>
      </c>
      <c r="AC635" s="416">
        <v>79.400000000000006</v>
      </c>
      <c r="AD635" s="416">
        <v>0</v>
      </c>
      <c r="AE635" s="416">
        <v>0</v>
      </c>
      <c r="AF635" s="416">
        <v>0</v>
      </c>
      <c r="AG635" s="416">
        <v>0</v>
      </c>
      <c r="AH635" s="416">
        <v>0</v>
      </c>
      <c r="AI635" s="416">
        <v>0</v>
      </c>
      <c r="AJ635" s="416">
        <v>0</v>
      </c>
      <c r="AK635" s="416">
        <v>0</v>
      </c>
      <c r="AL635" s="416">
        <v>0</v>
      </c>
      <c r="AM635" s="416">
        <v>0</v>
      </c>
      <c r="AN635" s="416">
        <v>0</v>
      </c>
      <c r="AO635" s="416">
        <v>0</v>
      </c>
      <c r="AP635" s="416">
        <v>0</v>
      </c>
      <c r="AQ635" s="416">
        <v>0</v>
      </c>
      <c r="AR635" s="416">
        <v>0</v>
      </c>
      <c r="AS635" s="416">
        <v>0</v>
      </c>
      <c r="AT635" s="416">
        <v>0</v>
      </c>
      <c r="AU635" s="416">
        <v>0</v>
      </c>
      <c r="AV635" s="416">
        <v>0</v>
      </c>
      <c r="AW635" s="416">
        <v>0</v>
      </c>
      <c r="AX635" s="416">
        <v>0</v>
      </c>
      <c r="AY635" s="416">
        <v>0</v>
      </c>
      <c r="AZ635" s="416">
        <v>0</v>
      </c>
    </row>
    <row r="636" spans="1:52" s="411" customFormat="1" x14ac:dyDescent="0.3">
      <c r="A636" s="415" t="str">
        <f t="shared" si="9"/>
        <v>SA-351 Gr.CN7M</v>
      </c>
      <c r="B636" s="415">
        <v>630</v>
      </c>
      <c r="C636" s="415" t="s">
        <v>3191</v>
      </c>
      <c r="D636" s="415" t="s">
        <v>2739</v>
      </c>
      <c r="E636" s="415" t="s">
        <v>2213</v>
      </c>
      <c r="F636" s="415" t="s">
        <v>2392</v>
      </c>
      <c r="G636" s="415" t="s">
        <v>3192</v>
      </c>
      <c r="H636" s="415">
        <v>0</v>
      </c>
      <c r="I636" s="415">
        <v>0</v>
      </c>
      <c r="J636" s="415">
        <v>45</v>
      </c>
      <c r="K636" s="415">
        <v>0</v>
      </c>
      <c r="L636" s="415">
        <v>425</v>
      </c>
      <c r="M636" s="415">
        <v>170</v>
      </c>
      <c r="N636" s="415">
        <v>316</v>
      </c>
      <c r="O636" s="415" t="s">
        <v>2675</v>
      </c>
      <c r="P636" s="415">
        <v>316</v>
      </c>
      <c r="Q636" s="415" t="s">
        <v>2675</v>
      </c>
      <c r="R636" s="415" t="s">
        <v>3194</v>
      </c>
      <c r="S636" s="415" t="s">
        <v>3086</v>
      </c>
      <c r="T636" s="416">
        <v>115</v>
      </c>
      <c r="U636" s="416">
        <v>115</v>
      </c>
      <c r="V636" s="416">
        <v>107</v>
      </c>
      <c r="W636" s="416">
        <v>97.7</v>
      </c>
      <c r="X636" s="416">
        <v>92.8</v>
      </c>
      <c r="Y636" s="416">
        <v>88.8</v>
      </c>
      <c r="Z636" s="416">
        <v>81.900000000000006</v>
      </c>
      <c r="AA636" s="416">
        <v>75.599999999999994</v>
      </c>
      <c r="AB636" s="416">
        <v>70.400000000000006</v>
      </c>
      <c r="AC636" s="416">
        <v>68</v>
      </c>
      <c r="AD636" s="416">
        <v>0</v>
      </c>
      <c r="AE636" s="416">
        <v>0</v>
      </c>
      <c r="AF636" s="416">
        <v>0</v>
      </c>
      <c r="AG636" s="416">
        <v>0</v>
      </c>
      <c r="AH636" s="416">
        <v>0</v>
      </c>
      <c r="AI636" s="416">
        <v>0</v>
      </c>
      <c r="AJ636" s="416">
        <v>0</v>
      </c>
      <c r="AK636" s="416">
        <v>0</v>
      </c>
      <c r="AL636" s="416">
        <v>0</v>
      </c>
      <c r="AM636" s="416">
        <v>0</v>
      </c>
      <c r="AN636" s="416">
        <v>0</v>
      </c>
      <c r="AO636" s="416">
        <v>0</v>
      </c>
      <c r="AP636" s="416">
        <v>0</v>
      </c>
      <c r="AQ636" s="416">
        <v>0</v>
      </c>
      <c r="AR636" s="416">
        <v>0</v>
      </c>
      <c r="AS636" s="416">
        <v>0</v>
      </c>
      <c r="AT636" s="416">
        <v>0</v>
      </c>
      <c r="AU636" s="416">
        <v>0</v>
      </c>
      <c r="AV636" s="416">
        <v>0</v>
      </c>
      <c r="AW636" s="416">
        <v>0</v>
      </c>
      <c r="AX636" s="416">
        <v>0</v>
      </c>
      <c r="AY636" s="416">
        <v>0</v>
      </c>
      <c r="AZ636" s="416">
        <v>0</v>
      </c>
    </row>
    <row r="637" spans="1:52" s="411" customFormat="1" x14ac:dyDescent="0.3">
      <c r="A637" s="415" t="str">
        <f t="shared" si="9"/>
        <v>SA-240 Gr.201LN</v>
      </c>
      <c r="B637" s="415">
        <v>631</v>
      </c>
      <c r="C637" s="415" t="s">
        <v>3196</v>
      </c>
      <c r="D637" s="415" t="s">
        <v>2684</v>
      </c>
      <c r="E637" s="415" t="s">
        <v>2165</v>
      </c>
      <c r="F637" s="415" t="s">
        <v>2232</v>
      </c>
      <c r="G637" s="415" t="s">
        <v>3197</v>
      </c>
      <c r="H637" s="415">
        <v>0</v>
      </c>
      <c r="I637" s="415">
        <v>0</v>
      </c>
      <c r="J637" s="415">
        <v>8</v>
      </c>
      <c r="K637" s="415">
        <v>3</v>
      </c>
      <c r="L637" s="415">
        <v>655</v>
      </c>
      <c r="M637" s="415">
        <v>310</v>
      </c>
      <c r="N637" s="415" t="s">
        <v>2675</v>
      </c>
      <c r="O637" s="415" t="s">
        <v>2675</v>
      </c>
      <c r="P637" s="415">
        <v>427</v>
      </c>
      <c r="Q637" s="415">
        <v>343</v>
      </c>
      <c r="R637" s="415" t="s">
        <v>3073</v>
      </c>
      <c r="S637" s="415" t="s">
        <v>3189</v>
      </c>
      <c r="T637" s="416">
        <v>187</v>
      </c>
      <c r="U637" s="416">
        <v>187</v>
      </c>
      <c r="V637" s="416">
        <v>177</v>
      </c>
      <c r="W637" s="416">
        <v>164</v>
      </c>
      <c r="X637" s="416">
        <v>152</v>
      </c>
      <c r="Y637" s="416">
        <v>146</v>
      </c>
      <c r="Z637" s="416">
        <v>139</v>
      </c>
      <c r="AA637" s="416">
        <v>136</v>
      </c>
      <c r="AB637" s="416">
        <v>136</v>
      </c>
      <c r="AC637" s="416">
        <v>135</v>
      </c>
      <c r="AD637" s="416">
        <v>135</v>
      </c>
      <c r="AE637" s="416">
        <v>134</v>
      </c>
      <c r="AF637" s="416">
        <v>132</v>
      </c>
      <c r="AG637" s="416">
        <v>130</v>
      </c>
      <c r="AH637" s="416">
        <v>128</v>
      </c>
      <c r="AI637" s="416">
        <v>0</v>
      </c>
      <c r="AJ637" s="416">
        <v>0</v>
      </c>
      <c r="AK637" s="416">
        <v>0</v>
      </c>
      <c r="AL637" s="416">
        <v>0</v>
      </c>
      <c r="AM637" s="416">
        <v>0</v>
      </c>
      <c r="AN637" s="416">
        <v>0</v>
      </c>
      <c r="AO637" s="416">
        <v>0</v>
      </c>
      <c r="AP637" s="416">
        <v>0</v>
      </c>
      <c r="AQ637" s="416">
        <v>0</v>
      </c>
      <c r="AR637" s="416">
        <v>0</v>
      </c>
      <c r="AS637" s="416">
        <v>0</v>
      </c>
      <c r="AT637" s="416">
        <v>0</v>
      </c>
      <c r="AU637" s="416">
        <v>0</v>
      </c>
      <c r="AV637" s="416">
        <v>0</v>
      </c>
      <c r="AW637" s="416">
        <v>0</v>
      </c>
      <c r="AX637" s="416">
        <v>0</v>
      </c>
      <c r="AY637" s="416">
        <v>0</v>
      </c>
      <c r="AZ637" s="416">
        <v>0</v>
      </c>
    </row>
    <row r="638" spans="1:52" s="411" customFormat="1" x14ac:dyDescent="0.3">
      <c r="A638" s="415" t="str">
        <f t="shared" si="9"/>
        <v>SA-240 Gr.201LN</v>
      </c>
      <c r="B638" s="415">
        <v>632</v>
      </c>
      <c r="C638" s="415" t="s">
        <v>3196</v>
      </c>
      <c r="D638" s="415" t="s">
        <v>2684</v>
      </c>
      <c r="E638" s="415" t="s">
        <v>2165</v>
      </c>
      <c r="F638" s="415" t="s">
        <v>2232</v>
      </c>
      <c r="G638" s="415" t="s">
        <v>3197</v>
      </c>
      <c r="H638" s="415">
        <v>0</v>
      </c>
      <c r="I638" s="415">
        <v>0</v>
      </c>
      <c r="J638" s="415">
        <v>8</v>
      </c>
      <c r="K638" s="415">
        <v>3</v>
      </c>
      <c r="L638" s="415">
        <v>655</v>
      </c>
      <c r="M638" s="415">
        <v>310</v>
      </c>
      <c r="N638" s="415" t="s">
        <v>2675</v>
      </c>
      <c r="O638" s="415" t="s">
        <v>2675</v>
      </c>
      <c r="P638" s="415">
        <v>427</v>
      </c>
      <c r="Q638" s="415">
        <v>343</v>
      </c>
      <c r="R638" s="415" t="s">
        <v>3073</v>
      </c>
      <c r="S638" s="415">
        <v>0</v>
      </c>
      <c r="T638" s="416">
        <v>187</v>
      </c>
      <c r="U638" s="416">
        <v>187</v>
      </c>
      <c r="V638" s="416">
        <v>177</v>
      </c>
      <c r="W638" s="416">
        <v>161</v>
      </c>
      <c r="X638" s="416">
        <v>152</v>
      </c>
      <c r="Y638" s="416">
        <v>146</v>
      </c>
      <c r="Z638" s="416">
        <v>139</v>
      </c>
      <c r="AA638" s="416">
        <v>136</v>
      </c>
      <c r="AB638" s="416">
        <v>134</v>
      </c>
      <c r="AC638" s="416">
        <v>131</v>
      </c>
      <c r="AD638" s="416">
        <v>127</v>
      </c>
      <c r="AE638" s="416">
        <v>124</v>
      </c>
      <c r="AF638" s="416">
        <v>120</v>
      </c>
      <c r="AG638" s="416">
        <v>115</v>
      </c>
      <c r="AH638" s="416">
        <v>112</v>
      </c>
      <c r="AI638" s="416">
        <v>0</v>
      </c>
      <c r="AJ638" s="416">
        <v>0</v>
      </c>
      <c r="AK638" s="416">
        <v>0</v>
      </c>
      <c r="AL638" s="416">
        <v>0</v>
      </c>
      <c r="AM638" s="416">
        <v>0</v>
      </c>
      <c r="AN638" s="416">
        <v>0</v>
      </c>
      <c r="AO638" s="416">
        <v>0</v>
      </c>
      <c r="AP638" s="416">
        <v>0</v>
      </c>
      <c r="AQ638" s="416">
        <v>0</v>
      </c>
      <c r="AR638" s="416">
        <v>0</v>
      </c>
      <c r="AS638" s="416">
        <v>0</v>
      </c>
      <c r="AT638" s="416">
        <v>0</v>
      </c>
      <c r="AU638" s="416">
        <v>0</v>
      </c>
      <c r="AV638" s="416">
        <v>0</v>
      </c>
      <c r="AW638" s="416">
        <v>0</v>
      </c>
      <c r="AX638" s="416">
        <v>0</v>
      </c>
      <c r="AY638" s="416">
        <v>0</v>
      </c>
      <c r="AZ638" s="416">
        <v>0</v>
      </c>
    </row>
    <row r="639" spans="1:52" s="411" customFormat="1" x14ac:dyDescent="0.3">
      <c r="A639" s="415" t="str">
        <f t="shared" si="9"/>
        <v>SA-240 Gr.204</v>
      </c>
      <c r="B639" s="415">
        <v>633</v>
      </c>
      <c r="C639" s="415" t="s">
        <v>3198</v>
      </c>
      <c r="D639" s="415" t="s">
        <v>2684</v>
      </c>
      <c r="E639" s="415" t="s">
        <v>2165</v>
      </c>
      <c r="F639" s="415">
        <v>204</v>
      </c>
      <c r="G639" s="415" t="s">
        <v>3199</v>
      </c>
      <c r="H639" s="415">
        <v>0</v>
      </c>
      <c r="I639" s="415">
        <v>0</v>
      </c>
      <c r="J639" s="415">
        <v>8</v>
      </c>
      <c r="K639" s="415">
        <v>3</v>
      </c>
      <c r="L639" s="415">
        <v>655</v>
      </c>
      <c r="M639" s="415">
        <v>330</v>
      </c>
      <c r="N639" s="415" t="s">
        <v>2675</v>
      </c>
      <c r="O639" s="415" t="s">
        <v>2675</v>
      </c>
      <c r="P639" s="415">
        <v>482</v>
      </c>
      <c r="Q639" s="415">
        <v>343</v>
      </c>
      <c r="R639" s="415" t="s">
        <v>3073</v>
      </c>
      <c r="S639" s="415" t="s">
        <v>3189</v>
      </c>
      <c r="T639" s="416">
        <v>187</v>
      </c>
      <c r="U639" s="416">
        <v>187</v>
      </c>
      <c r="V639" s="416">
        <v>175</v>
      </c>
      <c r="W639" s="416">
        <v>160</v>
      </c>
      <c r="X639" s="416">
        <v>150</v>
      </c>
      <c r="Y639" s="416">
        <v>142</v>
      </c>
      <c r="Z639" s="416">
        <v>131</v>
      </c>
      <c r="AA639" s="416">
        <v>125</v>
      </c>
      <c r="AB639" s="416">
        <v>124</v>
      </c>
      <c r="AC639" s="416">
        <v>123</v>
      </c>
      <c r="AD639" s="416">
        <v>123</v>
      </c>
      <c r="AE639" s="416">
        <v>123</v>
      </c>
      <c r="AF639" s="416">
        <v>123</v>
      </c>
      <c r="AG639" s="416">
        <v>122</v>
      </c>
      <c r="AH639" s="416">
        <v>120</v>
      </c>
      <c r="AI639" s="416">
        <v>117</v>
      </c>
      <c r="AJ639" s="416">
        <v>114</v>
      </c>
      <c r="AK639" s="416">
        <v>0</v>
      </c>
      <c r="AL639" s="416">
        <v>0</v>
      </c>
      <c r="AM639" s="416">
        <v>0</v>
      </c>
      <c r="AN639" s="416">
        <v>0</v>
      </c>
      <c r="AO639" s="416">
        <v>0</v>
      </c>
      <c r="AP639" s="416">
        <v>0</v>
      </c>
      <c r="AQ639" s="416">
        <v>0</v>
      </c>
      <c r="AR639" s="416">
        <v>0</v>
      </c>
      <c r="AS639" s="416">
        <v>0</v>
      </c>
      <c r="AT639" s="416">
        <v>0</v>
      </c>
      <c r="AU639" s="416">
        <v>0</v>
      </c>
      <c r="AV639" s="416">
        <v>0</v>
      </c>
      <c r="AW639" s="416">
        <v>0</v>
      </c>
      <c r="AX639" s="416">
        <v>0</v>
      </c>
      <c r="AY639" s="416">
        <v>0</v>
      </c>
      <c r="AZ639" s="416">
        <v>0</v>
      </c>
    </row>
    <row r="640" spans="1:52" s="411" customFormat="1" x14ac:dyDescent="0.3">
      <c r="A640" s="415" t="str">
        <f t="shared" si="9"/>
        <v>SA-240 Gr.204</v>
      </c>
      <c r="B640" s="415">
        <v>634</v>
      </c>
      <c r="C640" s="415" t="s">
        <v>3198</v>
      </c>
      <c r="D640" s="415" t="s">
        <v>2684</v>
      </c>
      <c r="E640" s="415" t="s">
        <v>2165</v>
      </c>
      <c r="F640" s="415">
        <v>204</v>
      </c>
      <c r="G640" s="415" t="s">
        <v>3199</v>
      </c>
      <c r="H640" s="415">
        <v>0</v>
      </c>
      <c r="I640" s="415">
        <v>0</v>
      </c>
      <c r="J640" s="415">
        <v>8</v>
      </c>
      <c r="K640" s="415">
        <v>3</v>
      </c>
      <c r="L640" s="415">
        <v>655</v>
      </c>
      <c r="M640" s="415">
        <v>330</v>
      </c>
      <c r="N640" s="415" t="s">
        <v>2675</v>
      </c>
      <c r="O640" s="415" t="s">
        <v>2675</v>
      </c>
      <c r="P640" s="415">
        <v>482</v>
      </c>
      <c r="Q640" s="415">
        <v>343</v>
      </c>
      <c r="R640" s="415" t="s">
        <v>3073</v>
      </c>
      <c r="S640" s="415">
        <v>0</v>
      </c>
      <c r="T640" s="416">
        <v>187</v>
      </c>
      <c r="U640" s="416">
        <v>187</v>
      </c>
      <c r="V640" s="416">
        <v>175</v>
      </c>
      <c r="W640" s="416">
        <v>160</v>
      </c>
      <c r="X640" s="416">
        <v>149</v>
      </c>
      <c r="Y640" s="416">
        <v>140</v>
      </c>
      <c r="Z640" s="416">
        <v>124</v>
      </c>
      <c r="AA640" s="416">
        <v>115</v>
      </c>
      <c r="AB640" s="416">
        <v>110</v>
      </c>
      <c r="AC640" s="416">
        <v>108</v>
      </c>
      <c r="AD640" s="416">
        <v>107</v>
      </c>
      <c r="AE640" s="416">
        <v>107</v>
      </c>
      <c r="AF640" s="416">
        <v>105</v>
      </c>
      <c r="AG640" s="416">
        <v>104</v>
      </c>
      <c r="AH640" s="416">
        <v>102</v>
      </c>
      <c r="AI640" s="416">
        <v>99.5</v>
      </c>
      <c r="AJ640" s="416">
        <v>96.4</v>
      </c>
      <c r="AK640" s="416">
        <v>0</v>
      </c>
      <c r="AL640" s="416">
        <v>0</v>
      </c>
      <c r="AM640" s="416">
        <v>0</v>
      </c>
      <c r="AN640" s="416">
        <v>0</v>
      </c>
      <c r="AO640" s="416">
        <v>0</v>
      </c>
      <c r="AP640" s="416">
        <v>0</v>
      </c>
      <c r="AQ640" s="416">
        <v>0</v>
      </c>
      <c r="AR640" s="416">
        <v>0</v>
      </c>
      <c r="AS640" s="416">
        <v>0</v>
      </c>
      <c r="AT640" s="416">
        <v>0</v>
      </c>
      <c r="AU640" s="416">
        <v>0</v>
      </c>
      <c r="AV640" s="416">
        <v>0</v>
      </c>
      <c r="AW640" s="416">
        <v>0</v>
      </c>
      <c r="AX640" s="416">
        <v>0</v>
      </c>
      <c r="AY640" s="416">
        <v>0</v>
      </c>
      <c r="AZ640" s="416">
        <v>0</v>
      </c>
    </row>
    <row r="641" spans="1:52" s="411" customFormat="1" x14ac:dyDescent="0.3">
      <c r="A641" s="415" t="str">
        <f t="shared" si="9"/>
        <v>SA-182 Gr.F316L</v>
      </c>
      <c r="B641" s="415">
        <v>635</v>
      </c>
      <c r="C641" s="415" t="s">
        <v>3200</v>
      </c>
      <c r="D641" s="415" t="s">
        <v>2737</v>
      </c>
      <c r="E641" s="415" t="s">
        <v>2188</v>
      </c>
      <c r="F641" s="415" t="s">
        <v>2440</v>
      </c>
      <c r="G641" s="415" t="s">
        <v>3201</v>
      </c>
      <c r="H641" s="415">
        <v>0</v>
      </c>
      <c r="I641" s="415" t="s">
        <v>3202</v>
      </c>
      <c r="J641" s="415">
        <v>8</v>
      </c>
      <c r="K641" s="415">
        <v>1</v>
      </c>
      <c r="L641" s="415">
        <v>450</v>
      </c>
      <c r="M641" s="415">
        <v>170</v>
      </c>
      <c r="N641" s="415">
        <v>454</v>
      </c>
      <c r="O641" s="415">
        <v>427</v>
      </c>
      <c r="P641" s="415">
        <v>454</v>
      </c>
      <c r="Q641" s="415">
        <v>343</v>
      </c>
      <c r="R641" s="415" t="s">
        <v>3203</v>
      </c>
      <c r="S641" s="415" t="s">
        <v>3204</v>
      </c>
      <c r="T641" s="416">
        <v>115</v>
      </c>
      <c r="U641" s="416">
        <v>115</v>
      </c>
      <c r="V641" s="416">
        <v>115</v>
      </c>
      <c r="W641" s="416">
        <v>115</v>
      </c>
      <c r="X641" s="416">
        <v>115</v>
      </c>
      <c r="Y641" s="416">
        <v>115</v>
      </c>
      <c r="Z641" s="416">
        <v>109</v>
      </c>
      <c r="AA641" s="416">
        <v>103</v>
      </c>
      <c r="AB641" s="416">
        <v>98</v>
      </c>
      <c r="AC641" s="416">
        <v>95.7</v>
      </c>
      <c r="AD641" s="416">
        <v>94.1</v>
      </c>
      <c r="AE641" s="416">
        <v>92.8</v>
      </c>
      <c r="AF641" s="416">
        <v>90.9</v>
      </c>
      <c r="AG641" s="416">
        <v>89</v>
      </c>
      <c r="AH641" s="416">
        <v>87.8</v>
      </c>
      <c r="AI641" s="416">
        <v>86.6</v>
      </c>
      <c r="AJ641" s="416">
        <v>0</v>
      </c>
      <c r="AK641" s="416">
        <v>0</v>
      </c>
      <c r="AL641" s="416">
        <v>0</v>
      </c>
      <c r="AM641" s="416">
        <v>0</v>
      </c>
      <c r="AN641" s="416">
        <v>0</v>
      </c>
      <c r="AO641" s="416">
        <v>0</v>
      </c>
      <c r="AP641" s="416">
        <v>0</v>
      </c>
      <c r="AQ641" s="416">
        <v>0</v>
      </c>
      <c r="AR641" s="416">
        <v>0</v>
      </c>
      <c r="AS641" s="416">
        <v>0</v>
      </c>
      <c r="AT641" s="416">
        <v>0</v>
      </c>
      <c r="AU641" s="416">
        <v>0</v>
      </c>
      <c r="AV641" s="416">
        <v>0</v>
      </c>
      <c r="AW641" s="416">
        <v>0</v>
      </c>
      <c r="AX641" s="416">
        <v>0</v>
      </c>
      <c r="AY641" s="416">
        <v>0</v>
      </c>
      <c r="AZ641" s="416">
        <v>0</v>
      </c>
    </row>
    <row r="642" spans="1:52" s="411" customFormat="1" x14ac:dyDescent="0.3">
      <c r="A642" s="415" t="str">
        <f t="shared" si="9"/>
        <v>SA-182 Gr.F316L</v>
      </c>
      <c r="B642" s="415">
        <v>636</v>
      </c>
      <c r="C642" s="415" t="s">
        <v>3200</v>
      </c>
      <c r="D642" s="415" t="s">
        <v>2737</v>
      </c>
      <c r="E642" s="415" t="s">
        <v>2188</v>
      </c>
      <c r="F642" s="415" t="s">
        <v>2440</v>
      </c>
      <c r="G642" s="415" t="s">
        <v>3201</v>
      </c>
      <c r="H642" s="415">
        <v>0</v>
      </c>
      <c r="I642" s="415" t="s">
        <v>3202</v>
      </c>
      <c r="J642" s="415">
        <v>8</v>
      </c>
      <c r="K642" s="415">
        <v>1</v>
      </c>
      <c r="L642" s="415">
        <v>450</v>
      </c>
      <c r="M642" s="415">
        <v>170</v>
      </c>
      <c r="N642" s="415">
        <v>454</v>
      </c>
      <c r="O642" s="415" t="s">
        <v>2675</v>
      </c>
      <c r="P642" s="415">
        <v>454</v>
      </c>
      <c r="Q642" s="415">
        <v>343</v>
      </c>
      <c r="R642" s="415" t="s">
        <v>3203</v>
      </c>
      <c r="S642" s="415" t="s">
        <v>3205</v>
      </c>
      <c r="T642" s="416">
        <v>115</v>
      </c>
      <c r="U642" s="416">
        <v>115</v>
      </c>
      <c r="V642" s="416">
        <v>106</v>
      </c>
      <c r="W642" s="416">
        <v>96.3</v>
      </c>
      <c r="X642" s="416">
        <v>91.3</v>
      </c>
      <c r="Y642" s="416">
        <v>87.4</v>
      </c>
      <c r="Z642" s="416">
        <v>81.2</v>
      </c>
      <c r="AA642" s="416">
        <v>76</v>
      </c>
      <c r="AB642" s="416">
        <v>72.5</v>
      </c>
      <c r="AC642" s="416">
        <v>71.2</v>
      </c>
      <c r="AD642" s="416">
        <v>70</v>
      </c>
      <c r="AE642" s="416">
        <v>68.8</v>
      </c>
      <c r="AF642" s="416">
        <v>67.5</v>
      </c>
      <c r="AG642" s="416">
        <v>66.3</v>
      </c>
      <c r="AH642" s="416">
        <v>65</v>
      </c>
      <c r="AI642" s="416">
        <v>63.8</v>
      </c>
      <c r="AJ642" s="416">
        <v>0</v>
      </c>
      <c r="AK642" s="416">
        <v>0</v>
      </c>
      <c r="AL642" s="416">
        <v>0</v>
      </c>
      <c r="AM642" s="416">
        <v>0</v>
      </c>
      <c r="AN642" s="416">
        <v>0</v>
      </c>
      <c r="AO642" s="416">
        <v>0</v>
      </c>
      <c r="AP642" s="416">
        <v>0</v>
      </c>
      <c r="AQ642" s="416">
        <v>0</v>
      </c>
      <c r="AR642" s="416">
        <v>0</v>
      </c>
      <c r="AS642" s="416">
        <v>0</v>
      </c>
      <c r="AT642" s="416">
        <v>0</v>
      </c>
      <c r="AU642" s="416">
        <v>0</v>
      </c>
      <c r="AV642" s="416">
        <v>0</v>
      </c>
      <c r="AW642" s="416">
        <v>0</v>
      </c>
      <c r="AX642" s="416">
        <v>0</v>
      </c>
      <c r="AY642" s="416">
        <v>0</v>
      </c>
      <c r="AZ642" s="416">
        <v>0</v>
      </c>
    </row>
    <row r="643" spans="1:52" s="411" customFormat="1" x14ac:dyDescent="0.3">
      <c r="A643" s="415" t="str">
        <f t="shared" si="9"/>
        <v>SA-965 Gr.F316L</v>
      </c>
      <c r="B643" s="415">
        <v>637</v>
      </c>
      <c r="C643" s="415" t="s">
        <v>3200</v>
      </c>
      <c r="D643" s="415" t="s">
        <v>2737</v>
      </c>
      <c r="E643" s="415" t="s">
        <v>2337</v>
      </c>
      <c r="F643" s="415" t="s">
        <v>2440</v>
      </c>
      <c r="G643" s="415" t="s">
        <v>3201</v>
      </c>
      <c r="H643" s="415">
        <v>0</v>
      </c>
      <c r="I643" s="415">
        <v>0</v>
      </c>
      <c r="J643" s="415">
        <v>8</v>
      </c>
      <c r="K643" s="415">
        <v>1</v>
      </c>
      <c r="L643" s="415">
        <v>450</v>
      </c>
      <c r="M643" s="415">
        <v>170</v>
      </c>
      <c r="N643" s="415">
        <v>454</v>
      </c>
      <c r="O643" s="415">
        <v>427</v>
      </c>
      <c r="P643" s="415">
        <v>454</v>
      </c>
      <c r="Q643" s="415">
        <v>343</v>
      </c>
      <c r="R643" s="415" t="s">
        <v>3203</v>
      </c>
      <c r="S643" s="415" t="s">
        <v>3204</v>
      </c>
      <c r="T643" s="416">
        <v>115</v>
      </c>
      <c r="U643" s="416">
        <v>115</v>
      </c>
      <c r="V643" s="416">
        <v>115</v>
      </c>
      <c r="W643" s="416">
        <v>115</v>
      </c>
      <c r="X643" s="416">
        <v>115</v>
      </c>
      <c r="Y643" s="416">
        <v>115</v>
      </c>
      <c r="Z643" s="416">
        <v>109</v>
      </c>
      <c r="AA643" s="416">
        <v>103</v>
      </c>
      <c r="AB643" s="416">
        <v>98</v>
      </c>
      <c r="AC643" s="416">
        <v>95.7</v>
      </c>
      <c r="AD643" s="416">
        <v>94.1</v>
      </c>
      <c r="AE643" s="416">
        <v>92.8</v>
      </c>
      <c r="AF643" s="416">
        <v>90.9</v>
      </c>
      <c r="AG643" s="416">
        <v>89</v>
      </c>
      <c r="AH643" s="416">
        <v>87.8</v>
      </c>
      <c r="AI643" s="416">
        <v>86.6</v>
      </c>
      <c r="AJ643" s="416">
        <v>0</v>
      </c>
      <c r="AK643" s="416">
        <v>0</v>
      </c>
      <c r="AL643" s="416">
        <v>0</v>
      </c>
      <c r="AM643" s="416">
        <v>0</v>
      </c>
      <c r="AN643" s="416">
        <v>0</v>
      </c>
      <c r="AO643" s="416">
        <v>0</v>
      </c>
      <c r="AP643" s="416">
        <v>0</v>
      </c>
      <c r="AQ643" s="416">
        <v>0</v>
      </c>
      <c r="AR643" s="416">
        <v>0</v>
      </c>
      <c r="AS643" s="416">
        <v>0</v>
      </c>
      <c r="AT643" s="416">
        <v>0</v>
      </c>
      <c r="AU643" s="416">
        <v>0</v>
      </c>
      <c r="AV643" s="416">
        <v>0</v>
      </c>
      <c r="AW643" s="416">
        <v>0</v>
      </c>
      <c r="AX643" s="416">
        <v>0</v>
      </c>
      <c r="AY643" s="416">
        <v>0</v>
      </c>
      <c r="AZ643" s="416">
        <v>0</v>
      </c>
    </row>
    <row r="644" spans="1:52" s="411" customFormat="1" x14ac:dyDescent="0.3">
      <c r="A644" s="415" t="str">
        <f t="shared" si="9"/>
        <v>SA-965 Gr.F316L</v>
      </c>
      <c r="B644" s="415">
        <v>638</v>
      </c>
      <c r="C644" s="415" t="s">
        <v>3200</v>
      </c>
      <c r="D644" s="415" t="s">
        <v>2737</v>
      </c>
      <c r="E644" s="415" t="s">
        <v>2337</v>
      </c>
      <c r="F644" s="415" t="s">
        <v>2440</v>
      </c>
      <c r="G644" s="415" t="s">
        <v>3201</v>
      </c>
      <c r="H644" s="415">
        <v>0</v>
      </c>
      <c r="I644" s="415">
        <v>0</v>
      </c>
      <c r="J644" s="415">
        <v>8</v>
      </c>
      <c r="K644" s="415">
        <v>1</v>
      </c>
      <c r="L644" s="415">
        <v>450</v>
      </c>
      <c r="M644" s="415">
        <v>170</v>
      </c>
      <c r="N644" s="415">
        <v>454</v>
      </c>
      <c r="O644" s="415" t="s">
        <v>2675</v>
      </c>
      <c r="P644" s="415">
        <v>454</v>
      </c>
      <c r="Q644" s="415">
        <v>343</v>
      </c>
      <c r="R644" s="415" t="s">
        <v>3203</v>
      </c>
      <c r="S644" s="415" t="s">
        <v>3205</v>
      </c>
      <c r="T644" s="416">
        <v>115</v>
      </c>
      <c r="U644" s="416">
        <v>115</v>
      </c>
      <c r="V644" s="416">
        <v>106</v>
      </c>
      <c r="W644" s="416">
        <v>96.3</v>
      </c>
      <c r="X644" s="416">
        <v>91.3</v>
      </c>
      <c r="Y644" s="416">
        <v>87.4</v>
      </c>
      <c r="Z644" s="416">
        <v>81.2</v>
      </c>
      <c r="AA644" s="416">
        <v>76</v>
      </c>
      <c r="AB644" s="416">
        <v>72.5</v>
      </c>
      <c r="AC644" s="416">
        <v>71.2</v>
      </c>
      <c r="AD644" s="416">
        <v>70</v>
      </c>
      <c r="AE644" s="416">
        <v>68.8</v>
      </c>
      <c r="AF644" s="416">
        <v>67.5</v>
      </c>
      <c r="AG644" s="416">
        <v>66.3</v>
      </c>
      <c r="AH644" s="416">
        <v>65</v>
      </c>
      <c r="AI644" s="416">
        <v>63.8</v>
      </c>
      <c r="AJ644" s="416">
        <v>0</v>
      </c>
      <c r="AK644" s="416">
        <v>0</v>
      </c>
      <c r="AL644" s="416">
        <v>0</v>
      </c>
      <c r="AM644" s="416">
        <v>0</v>
      </c>
      <c r="AN644" s="416">
        <v>0</v>
      </c>
      <c r="AO644" s="416">
        <v>0</v>
      </c>
      <c r="AP644" s="416">
        <v>0</v>
      </c>
      <c r="AQ644" s="416">
        <v>0</v>
      </c>
      <c r="AR644" s="416">
        <v>0</v>
      </c>
      <c r="AS644" s="416">
        <v>0</v>
      </c>
      <c r="AT644" s="416">
        <v>0</v>
      </c>
      <c r="AU644" s="416">
        <v>0</v>
      </c>
      <c r="AV644" s="416">
        <v>0</v>
      </c>
      <c r="AW644" s="416">
        <v>0</v>
      </c>
      <c r="AX644" s="416">
        <v>0</v>
      </c>
      <c r="AY644" s="416">
        <v>0</v>
      </c>
      <c r="AZ644" s="416">
        <v>0</v>
      </c>
    </row>
    <row r="645" spans="1:52" s="411" customFormat="1" ht="28.8" x14ac:dyDescent="0.3">
      <c r="A645" s="415" t="str">
        <f t="shared" si="9"/>
        <v>SA/JIS G4303 Gr.SUS316L</v>
      </c>
      <c r="B645" s="415">
        <v>639</v>
      </c>
      <c r="C645" s="415" t="s">
        <v>3200</v>
      </c>
      <c r="D645" s="415" t="s">
        <v>2677</v>
      </c>
      <c r="E645" s="415" t="s">
        <v>2176</v>
      </c>
      <c r="F645" s="415" t="s">
        <v>2531</v>
      </c>
      <c r="G645" s="415">
        <v>0</v>
      </c>
      <c r="H645" s="415">
        <v>0</v>
      </c>
      <c r="I645" s="415">
        <v>0</v>
      </c>
      <c r="J645" s="415">
        <v>8</v>
      </c>
      <c r="K645" s="415">
        <v>1</v>
      </c>
      <c r="L645" s="415">
        <v>480</v>
      </c>
      <c r="M645" s="415">
        <v>175</v>
      </c>
      <c r="N645" s="415">
        <v>454</v>
      </c>
      <c r="O645" s="415">
        <v>427</v>
      </c>
      <c r="P645" s="415">
        <v>454</v>
      </c>
      <c r="Q645" s="415" t="s">
        <v>2675</v>
      </c>
      <c r="R645" s="415" t="s">
        <v>3203</v>
      </c>
      <c r="S645" s="415" t="s">
        <v>3206</v>
      </c>
      <c r="T645" s="416">
        <v>115</v>
      </c>
      <c r="U645" s="416">
        <v>115</v>
      </c>
      <c r="V645" s="416">
        <v>115</v>
      </c>
      <c r="W645" s="416">
        <v>115</v>
      </c>
      <c r="X645" s="416">
        <v>115</v>
      </c>
      <c r="Y645" s="416">
        <v>115</v>
      </c>
      <c r="Z645" s="416">
        <v>109</v>
      </c>
      <c r="AA645" s="416">
        <v>103</v>
      </c>
      <c r="AB645" s="416">
        <v>98</v>
      </c>
      <c r="AC645" s="416">
        <v>95.7</v>
      </c>
      <c r="AD645" s="416">
        <v>94.1</v>
      </c>
      <c r="AE645" s="416">
        <v>92.8</v>
      </c>
      <c r="AF645" s="416">
        <v>90.9</v>
      </c>
      <c r="AG645" s="416">
        <v>89</v>
      </c>
      <c r="AH645" s="416">
        <v>87.8</v>
      </c>
      <c r="AI645" s="416">
        <v>86.6</v>
      </c>
      <c r="AJ645" s="416">
        <v>0</v>
      </c>
      <c r="AK645" s="416">
        <v>0</v>
      </c>
      <c r="AL645" s="416">
        <v>0</v>
      </c>
      <c r="AM645" s="416">
        <v>0</v>
      </c>
      <c r="AN645" s="416">
        <v>0</v>
      </c>
      <c r="AO645" s="416">
        <v>0</v>
      </c>
      <c r="AP645" s="416">
        <v>0</v>
      </c>
      <c r="AQ645" s="416">
        <v>0</v>
      </c>
      <c r="AR645" s="416">
        <v>0</v>
      </c>
      <c r="AS645" s="416">
        <v>0</v>
      </c>
      <c r="AT645" s="416">
        <v>0</v>
      </c>
      <c r="AU645" s="416">
        <v>0</v>
      </c>
      <c r="AV645" s="416">
        <v>0</v>
      </c>
      <c r="AW645" s="416">
        <v>0</v>
      </c>
      <c r="AX645" s="416">
        <v>0</v>
      </c>
      <c r="AY645" s="416">
        <v>0</v>
      </c>
      <c r="AZ645" s="416">
        <v>0</v>
      </c>
    </row>
    <row r="646" spans="1:52" s="411" customFormat="1" x14ac:dyDescent="0.3">
      <c r="A646" s="415" t="str">
        <f t="shared" si="9"/>
        <v>SA-182 Gr.F316L</v>
      </c>
      <c r="B646" s="415">
        <v>640</v>
      </c>
      <c r="C646" s="415" t="s">
        <v>3200</v>
      </c>
      <c r="D646" s="415" t="s">
        <v>2737</v>
      </c>
      <c r="E646" s="415" t="s">
        <v>2188</v>
      </c>
      <c r="F646" s="415" t="s">
        <v>2440</v>
      </c>
      <c r="G646" s="415" t="s">
        <v>3201</v>
      </c>
      <c r="H646" s="415">
        <v>0</v>
      </c>
      <c r="I646" s="415" t="s">
        <v>3207</v>
      </c>
      <c r="J646" s="415">
        <v>8</v>
      </c>
      <c r="K646" s="415">
        <v>1</v>
      </c>
      <c r="L646" s="415">
        <v>485</v>
      </c>
      <c r="M646" s="415">
        <v>170</v>
      </c>
      <c r="N646" s="415">
        <v>454</v>
      </c>
      <c r="O646" s="415">
        <v>427</v>
      </c>
      <c r="P646" s="415">
        <v>454</v>
      </c>
      <c r="Q646" s="415">
        <v>343</v>
      </c>
      <c r="R646" s="415" t="s">
        <v>3203</v>
      </c>
      <c r="S646" s="415" t="s">
        <v>3204</v>
      </c>
      <c r="T646" s="416">
        <v>115</v>
      </c>
      <c r="U646" s="416">
        <v>115</v>
      </c>
      <c r="V646" s="416">
        <v>115</v>
      </c>
      <c r="W646" s="416">
        <v>115</v>
      </c>
      <c r="X646" s="416">
        <v>115</v>
      </c>
      <c r="Y646" s="416">
        <v>115</v>
      </c>
      <c r="Z646" s="416">
        <v>109</v>
      </c>
      <c r="AA646" s="416">
        <v>103</v>
      </c>
      <c r="AB646" s="416">
        <v>98</v>
      </c>
      <c r="AC646" s="416">
        <v>95.7</v>
      </c>
      <c r="AD646" s="416">
        <v>94.1</v>
      </c>
      <c r="AE646" s="416">
        <v>92.8</v>
      </c>
      <c r="AF646" s="416">
        <v>90.9</v>
      </c>
      <c r="AG646" s="416">
        <v>89</v>
      </c>
      <c r="AH646" s="416">
        <v>87.8</v>
      </c>
      <c r="AI646" s="416">
        <v>86.6</v>
      </c>
      <c r="AJ646" s="416">
        <v>0</v>
      </c>
      <c r="AK646" s="416">
        <v>0</v>
      </c>
      <c r="AL646" s="416">
        <v>0</v>
      </c>
      <c r="AM646" s="416">
        <v>0</v>
      </c>
      <c r="AN646" s="416">
        <v>0</v>
      </c>
      <c r="AO646" s="416">
        <v>0</v>
      </c>
      <c r="AP646" s="416">
        <v>0</v>
      </c>
      <c r="AQ646" s="416">
        <v>0</v>
      </c>
      <c r="AR646" s="416">
        <v>0</v>
      </c>
      <c r="AS646" s="416">
        <v>0</v>
      </c>
      <c r="AT646" s="416">
        <v>0</v>
      </c>
      <c r="AU646" s="416">
        <v>0</v>
      </c>
      <c r="AV646" s="416">
        <v>0</v>
      </c>
      <c r="AW646" s="416">
        <v>0</v>
      </c>
      <c r="AX646" s="416">
        <v>0</v>
      </c>
      <c r="AY646" s="416">
        <v>0</v>
      </c>
      <c r="AZ646" s="416">
        <v>0</v>
      </c>
    </row>
    <row r="647" spans="1:52" s="411" customFormat="1" x14ac:dyDescent="0.3">
      <c r="A647" s="415" t="str">
        <f t="shared" si="9"/>
        <v>SA-182 Gr.F316L</v>
      </c>
      <c r="B647" s="415">
        <v>641</v>
      </c>
      <c r="C647" s="415" t="s">
        <v>3200</v>
      </c>
      <c r="D647" s="415" t="s">
        <v>2737</v>
      </c>
      <c r="E647" s="415" t="s">
        <v>2188</v>
      </c>
      <c r="F647" s="415" t="s">
        <v>2440</v>
      </c>
      <c r="G647" s="415" t="s">
        <v>3201</v>
      </c>
      <c r="H647" s="415">
        <v>0</v>
      </c>
      <c r="I647" s="415" t="s">
        <v>3207</v>
      </c>
      <c r="J647" s="415">
        <v>8</v>
      </c>
      <c r="K647" s="415">
        <v>1</v>
      </c>
      <c r="L647" s="415">
        <v>485</v>
      </c>
      <c r="M647" s="415">
        <v>170</v>
      </c>
      <c r="N647" s="415">
        <v>454</v>
      </c>
      <c r="O647" s="415" t="s">
        <v>2675</v>
      </c>
      <c r="P647" s="415">
        <v>454</v>
      </c>
      <c r="Q647" s="415">
        <v>343</v>
      </c>
      <c r="R647" s="415" t="s">
        <v>3203</v>
      </c>
      <c r="S647" s="415" t="s">
        <v>3205</v>
      </c>
      <c r="T647" s="416">
        <v>115</v>
      </c>
      <c r="U647" s="416">
        <v>115</v>
      </c>
      <c r="V647" s="416">
        <v>106</v>
      </c>
      <c r="W647" s="416">
        <v>96.3</v>
      </c>
      <c r="X647" s="416">
        <v>91.3</v>
      </c>
      <c r="Y647" s="416">
        <v>87.4</v>
      </c>
      <c r="Z647" s="416">
        <v>81.2</v>
      </c>
      <c r="AA647" s="416">
        <v>76</v>
      </c>
      <c r="AB647" s="416">
        <v>72.5</v>
      </c>
      <c r="AC647" s="416">
        <v>71.2</v>
      </c>
      <c r="AD647" s="416">
        <v>70</v>
      </c>
      <c r="AE647" s="416">
        <v>68.8</v>
      </c>
      <c r="AF647" s="416">
        <v>67.5</v>
      </c>
      <c r="AG647" s="416">
        <v>66.3</v>
      </c>
      <c r="AH647" s="416">
        <v>65</v>
      </c>
      <c r="AI647" s="416">
        <v>63.8</v>
      </c>
      <c r="AJ647" s="416">
        <v>0</v>
      </c>
      <c r="AK647" s="416">
        <v>0</v>
      </c>
      <c r="AL647" s="416">
        <v>0</v>
      </c>
      <c r="AM647" s="416">
        <v>0</v>
      </c>
      <c r="AN647" s="416">
        <v>0</v>
      </c>
      <c r="AO647" s="416">
        <v>0</v>
      </c>
      <c r="AP647" s="416">
        <v>0</v>
      </c>
      <c r="AQ647" s="416">
        <v>0</v>
      </c>
      <c r="AR647" s="416">
        <v>0</v>
      </c>
      <c r="AS647" s="416">
        <v>0</v>
      </c>
      <c r="AT647" s="416">
        <v>0</v>
      </c>
      <c r="AU647" s="416">
        <v>0</v>
      </c>
      <c r="AV647" s="416">
        <v>0</v>
      </c>
      <c r="AW647" s="416">
        <v>0</v>
      </c>
      <c r="AX647" s="416">
        <v>0</v>
      </c>
      <c r="AY647" s="416">
        <v>0</v>
      </c>
      <c r="AZ647" s="416">
        <v>0</v>
      </c>
    </row>
    <row r="648" spans="1:52" s="411" customFormat="1" x14ac:dyDescent="0.3">
      <c r="A648" s="415" t="str">
        <f t="shared" ref="A648:A711" si="10">CONCATENATE(E648," Gr.",F648)</f>
        <v>SA-213 Gr.TP316L</v>
      </c>
      <c r="B648" s="415">
        <v>642</v>
      </c>
      <c r="C648" s="415" t="s">
        <v>3200</v>
      </c>
      <c r="D648" s="415" t="s">
        <v>2693</v>
      </c>
      <c r="E648" s="415" t="s">
        <v>2195</v>
      </c>
      <c r="F648" s="415" t="s">
        <v>2570</v>
      </c>
      <c r="G648" s="415" t="s">
        <v>3201</v>
      </c>
      <c r="H648" s="415">
        <v>0</v>
      </c>
      <c r="I648" s="415">
        <v>0</v>
      </c>
      <c r="J648" s="415">
        <v>8</v>
      </c>
      <c r="K648" s="415">
        <v>1</v>
      </c>
      <c r="L648" s="415">
        <v>485</v>
      </c>
      <c r="M648" s="415">
        <v>170</v>
      </c>
      <c r="N648" s="415">
        <v>454</v>
      </c>
      <c r="O648" s="415">
        <v>427</v>
      </c>
      <c r="P648" s="415">
        <v>454</v>
      </c>
      <c r="Q648" s="415" t="s">
        <v>2675</v>
      </c>
      <c r="R648" s="415" t="s">
        <v>3203</v>
      </c>
      <c r="S648" s="415" t="s">
        <v>3204</v>
      </c>
      <c r="T648" s="416">
        <v>115</v>
      </c>
      <c r="U648" s="416">
        <v>115</v>
      </c>
      <c r="V648" s="416">
        <v>115</v>
      </c>
      <c r="W648" s="416">
        <v>115</v>
      </c>
      <c r="X648" s="416">
        <v>115</v>
      </c>
      <c r="Y648" s="416">
        <v>115</v>
      </c>
      <c r="Z648" s="416">
        <v>109</v>
      </c>
      <c r="AA648" s="416">
        <v>103</v>
      </c>
      <c r="AB648" s="416">
        <v>98</v>
      </c>
      <c r="AC648" s="416">
        <v>95.7</v>
      </c>
      <c r="AD648" s="416">
        <v>94.1</v>
      </c>
      <c r="AE648" s="416">
        <v>92.8</v>
      </c>
      <c r="AF648" s="416">
        <v>90.9</v>
      </c>
      <c r="AG648" s="416">
        <v>89</v>
      </c>
      <c r="AH648" s="416">
        <v>87.8</v>
      </c>
      <c r="AI648" s="416">
        <v>86.6</v>
      </c>
      <c r="AJ648" s="416">
        <v>0</v>
      </c>
      <c r="AK648" s="416">
        <v>0</v>
      </c>
      <c r="AL648" s="416">
        <v>0</v>
      </c>
      <c r="AM648" s="416">
        <v>0</v>
      </c>
      <c r="AN648" s="416">
        <v>0</v>
      </c>
      <c r="AO648" s="416">
        <v>0</v>
      </c>
      <c r="AP648" s="416">
        <v>0</v>
      </c>
      <c r="AQ648" s="416">
        <v>0</v>
      </c>
      <c r="AR648" s="416">
        <v>0</v>
      </c>
      <c r="AS648" s="416">
        <v>0</v>
      </c>
      <c r="AT648" s="416">
        <v>0</v>
      </c>
      <c r="AU648" s="416">
        <v>0</v>
      </c>
      <c r="AV648" s="416">
        <v>0</v>
      </c>
      <c r="AW648" s="416">
        <v>0</v>
      </c>
      <c r="AX648" s="416">
        <v>0</v>
      </c>
      <c r="AY648" s="416">
        <v>0</v>
      </c>
      <c r="AZ648" s="416">
        <v>0</v>
      </c>
    </row>
    <row r="649" spans="1:52" s="411" customFormat="1" x14ac:dyDescent="0.3">
      <c r="A649" s="415" t="str">
        <f t="shared" si="10"/>
        <v>SA-213 Gr.TP316L</v>
      </c>
      <c r="B649" s="415">
        <v>643</v>
      </c>
      <c r="C649" s="415" t="s">
        <v>3200</v>
      </c>
      <c r="D649" s="415" t="s">
        <v>2693</v>
      </c>
      <c r="E649" s="415" t="s">
        <v>2195</v>
      </c>
      <c r="F649" s="415" t="s">
        <v>2570</v>
      </c>
      <c r="G649" s="415" t="s">
        <v>3201</v>
      </c>
      <c r="H649" s="415">
        <v>0</v>
      </c>
      <c r="I649" s="415">
        <v>0</v>
      </c>
      <c r="J649" s="415">
        <v>8</v>
      </c>
      <c r="K649" s="415">
        <v>1</v>
      </c>
      <c r="L649" s="415">
        <v>485</v>
      </c>
      <c r="M649" s="415">
        <v>170</v>
      </c>
      <c r="N649" s="415">
        <v>454</v>
      </c>
      <c r="O649" s="415" t="s">
        <v>2675</v>
      </c>
      <c r="P649" s="415">
        <v>454</v>
      </c>
      <c r="Q649" s="415" t="s">
        <v>2675</v>
      </c>
      <c r="R649" s="415" t="s">
        <v>3203</v>
      </c>
      <c r="S649" s="415" t="s">
        <v>3205</v>
      </c>
      <c r="T649" s="416">
        <v>115</v>
      </c>
      <c r="U649" s="416">
        <v>115</v>
      </c>
      <c r="V649" s="416">
        <v>106</v>
      </c>
      <c r="W649" s="416">
        <v>96.3</v>
      </c>
      <c r="X649" s="416">
        <v>91.3</v>
      </c>
      <c r="Y649" s="416">
        <v>87.4</v>
      </c>
      <c r="Z649" s="416">
        <v>81.2</v>
      </c>
      <c r="AA649" s="416">
        <v>76</v>
      </c>
      <c r="AB649" s="416">
        <v>72.5</v>
      </c>
      <c r="AC649" s="416">
        <v>71.2</v>
      </c>
      <c r="AD649" s="416">
        <v>70</v>
      </c>
      <c r="AE649" s="416">
        <v>68.8</v>
      </c>
      <c r="AF649" s="416">
        <v>67.5</v>
      </c>
      <c r="AG649" s="416">
        <v>66.3</v>
      </c>
      <c r="AH649" s="416">
        <v>65</v>
      </c>
      <c r="AI649" s="416">
        <v>63.8</v>
      </c>
      <c r="AJ649" s="416">
        <v>0</v>
      </c>
      <c r="AK649" s="416">
        <v>0</v>
      </c>
      <c r="AL649" s="416">
        <v>0</v>
      </c>
      <c r="AM649" s="416">
        <v>0</v>
      </c>
      <c r="AN649" s="416">
        <v>0</v>
      </c>
      <c r="AO649" s="416">
        <v>0</v>
      </c>
      <c r="AP649" s="416">
        <v>0</v>
      </c>
      <c r="AQ649" s="416">
        <v>0</v>
      </c>
      <c r="AR649" s="416">
        <v>0</v>
      </c>
      <c r="AS649" s="416">
        <v>0</v>
      </c>
      <c r="AT649" s="416">
        <v>0</v>
      </c>
      <c r="AU649" s="416">
        <v>0</v>
      </c>
      <c r="AV649" s="416">
        <v>0</v>
      </c>
      <c r="AW649" s="416">
        <v>0</v>
      </c>
      <c r="AX649" s="416">
        <v>0</v>
      </c>
      <c r="AY649" s="416">
        <v>0</v>
      </c>
      <c r="AZ649" s="416">
        <v>0</v>
      </c>
    </row>
    <row r="650" spans="1:52" s="411" customFormat="1" x14ac:dyDescent="0.3">
      <c r="A650" s="415" t="str">
        <f t="shared" si="10"/>
        <v>SA-240 Gr.316L</v>
      </c>
      <c r="B650" s="415">
        <v>644</v>
      </c>
      <c r="C650" s="415" t="s">
        <v>3200</v>
      </c>
      <c r="D650" s="415" t="s">
        <v>2684</v>
      </c>
      <c r="E650" s="415" t="s">
        <v>2165</v>
      </c>
      <c r="F650" s="415" t="s">
        <v>2166</v>
      </c>
      <c r="G650" s="415" t="s">
        <v>3201</v>
      </c>
      <c r="H650" s="415">
        <v>0</v>
      </c>
      <c r="I650" s="415">
        <v>0</v>
      </c>
      <c r="J650" s="415">
        <v>8</v>
      </c>
      <c r="K650" s="415">
        <v>1</v>
      </c>
      <c r="L650" s="415">
        <v>485</v>
      </c>
      <c r="M650" s="415">
        <v>170</v>
      </c>
      <c r="N650" s="415">
        <v>454</v>
      </c>
      <c r="O650" s="415">
        <v>427</v>
      </c>
      <c r="P650" s="415">
        <v>454</v>
      </c>
      <c r="Q650" s="415">
        <v>343</v>
      </c>
      <c r="R650" s="415" t="s">
        <v>3203</v>
      </c>
      <c r="S650" s="415" t="s">
        <v>3204</v>
      </c>
      <c r="T650" s="416">
        <v>115</v>
      </c>
      <c r="U650" s="416">
        <v>115</v>
      </c>
      <c r="V650" s="416">
        <v>115</v>
      </c>
      <c r="W650" s="416">
        <v>115</v>
      </c>
      <c r="X650" s="416">
        <v>115</v>
      </c>
      <c r="Y650" s="416">
        <v>115</v>
      </c>
      <c r="Z650" s="416">
        <v>109</v>
      </c>
      <c r="AA650" s="416">
        <v>103</v>
      </c>
      <c r="AB650" s="416">
        <v>98</v>
      </c>
      <c r="AC650" s="416">
        <v>95.7</v>
      </c>
      <c r="AD650" s="416">
        <v>94.1</v>
      </c>
      <c r="AE650" s="416">
        <v>92.8</v>
      </c>
      <c r="AF650" s="416">
        <v>90.9</v>
      </c>
      <c r="AG650" s="416">
        <v>89</v>
      </c>
      <c r="AH650" s="416">
        <v>87.8</v>
      </c>
      <c r="AI650" s="416">
        <v>86.6</v>
      </c>
      <c r="AJ650" s="416">
        <v>0</v>
      </c>
      <c r="AK650" s="416">
        <v>0</v>
      </c>
      <c r="AL650" s="416">
        <v>0</v>
      </c>
      <c r="AM650" s="416">
        <v>0</v>
      </c>
      <c r="AN650" s="416">
        <v>0</v>
      </c>
      <c r="AO650" s="416">
        <v>0</v>
      </c>
      <c r="AP650" s="416">
        <v>0</v>
      </c>
      <c r="AQ650" s="416">
        <v>0</v>
      </c>
      <c r="AR650" s="416">
        <v>0</v>
      </c>
      <c r="AS650" s="416">
        <v>0</v>
      </c>
      <c r="AT650" s="416">
        <v>0</v>
      </c>
      <c r="AU650" s="416">
        <v>0</v>
      </c>
      <c r="AV650" s="416">
        <v>0</v>
      </c>
      <c r="AW650" s="416">
        <v>0</v>
      </c>
      <c r="AX650" s="416">
        <v>0</v>
      </c>
      <c r="AY650" s="416">
        <v>0</v>
      </c>
      <c r="AZ650" s="416">
        <v>0</v>
      </c>
    </row>
    <row r="651" spans="1:52" s="411" customFormat="1" x14ac:dyDescent="0.3">
      <c r="A651" s="415" t="str">
        <f t="shared" si="10"/>
        <v>SA-240 Gr.316L</v>
      </c>
      <c r="B651" s="415">
        <v>645</v>
      </c>
      <c r="C651" s="415" t="s">
        <v>3200</v>
      </c>
      <c r="D651" s="415" t="s">
        <v>2684</v>
      </c>
      <c r="E651" s="415" t="s">
        <v>2165</v>
      </c>
      <c r="F651" s="415" t="s">
        <v>2166</v>
      </c>
      <c r="G651" s="415" t="s">
        <v>3201</v>
      </c>
      <c r="H651" s="415">
        <v>0</v>
      </c>
      <c r="I651" s="415">
        <v>0</v>
      </c>
      <c r="J651" s="415">
        <v>8</v>
      </c>
      <c r="K651" s="415">
        <v>1</v>
      </c>
      <c r="L651" s="415">
        <v>485</v>
      </c>
      <c r="M651" s="415">
        <v>170</v>
      </c>
      <c r="N651" s="415">
        <v>454</v>
      </c>
      <c r="O651" s="415" t="s">
        <v>2675</v>
      </c>
      <c r="P651" s="415">
        <v>454</v>
      </c>
      <c r="Q651" s="415">
        <v>343</v>
      </c>
      <c r="R651" s="415" t="s">
        <v>3203</v>
      </c>
      <c r="S651" s="415" t="s">
        <v>3205</v>
      </c>
      <c r="T651" s="416">
        <v>115</v>
      </c>
      <c r="U651" s="416">
        <v>115</v>
      </c>
      <c r="V651" s="416">
        <v>106</v>
      </c>
      <c r="W651" s="416">
        <v>96.3</v>
      </c>
      <c r="X651" s="416">
        <v>91.3</v>
      </c>
      <c r="Y651" s="416">
        <v>87.4</v>
      </c>
      <c r="Z651" s="416">
        <v>81.2</v>
      </c>
      <c r="AA651" s="416">
        <v>76</v>
      </c>
      <c r="AB651" s="416">
        <v>72.5</v>
      </c>
      <c r="AC651" s="416">
        <v>71.2</v>
      </c>
      <c r="AD651" s="416">
        <v>70</v>
      </c>
      <c r="AE651" s="416">
        <v>68.8</v>
      </c>
      <c r="AF651" s="416">
        <v>67.5</v>
      </c>
      <c r="AG651" s="416">
        <v>66.3</v>
      </c>
      <c r="AH651" s="416">
        <v>65</v>
      </c>
      <c r="AI651" s="416">
        <v>63.8</v>
      </c>
      <c r="AJ651" s="416">
        <v>0</v>
      </c>
      <c r="AK651" s="416">
        <v>0</v>
      </c>
      <c r="AL651" s="416">
        <v>0</v>
      </c>
      <c r="AM651" s="416">
        <v>0</v>
      </c>
      <c r="AN651" s="416">
        <v>0</v>
      </c>
      <c r="AO651" s="416">
        <v>0</v>
      </c>
      <c r="AP651" s="416">
        <v>0</v>
      </c>
      <c r="AQ651" s="416">
        <v>0</v>
      </c>
      <c r="AR651" s="416">
        <v>0</v>
      </c>
      <c r="AS651" s="416">
        <v>0</v>
      </c>
      <c r="AT651" s="416">
        <v>0</v>
      </c>
      <c r="AU651" s="416">
        <v>0</v>
      </c>
      <c r="AV651" s="416">
        <v>0</v>
      </c>
      <c r="AW651" s="416">
        <v>0</v>
      </c>
      <c r="AX651" s="416">
        <v>0</v>
      </c>
      <c r="AY651" s="416">
        <v>0</v>
      </c>
      <c r="AZ651" s="416">
        <v>0</v>
      </c>
    </row>
    <row r="652" spans="1:52" s="411" customFormat="1" x14ac:dyDescent="0.3">
      <c r="A652" s="415" t="str">
        <f t="shared" si="10"/>
        <v>SA-249 Gr.TP316L</v>
      </c>
      <c r="B652" s="415">
        <v>646</v>
      </c>
      <c r="C652" s="415" t="s">
        <v>3200</v>
      </c>
      <c r="D652" s="415" t="s">
        <v>2689</v>
      </c>
      <c r="E652" s="415" t="s">
        <v>2200</v>
      </c>
      <c r="F652" s="415" t="s">
        <v>2570</v>
      </c>
      <c r="G652" s="415" t="s">
        <v>3201</v>
      </c>
      <c r="H652" s="415">
        <v>0</v>
      </c>
      <c r="I652" s="415">
        <v>0</v>
      </c>
      <c r="J652" s="415">
        <v>8</v>
      </c>
      <c r="K652" s="415">
        <v>1</v>
      </c>
      <c r="L652" s="415">
        <v>485</v>
      </c>
      <c r="M652" s="415">
        <v>170</v>
      </c>
      <c r="N652" s="415" t="s">
        <v>2675</v>
      </c>
      <c r="O652" s="415">
        <v>427</v>
      </c>
      <c r="P652" s="415" t="s">
        <v>2675</v>
      </c>
      <c r="Q652" s="415" t="s">
        <v>2675</v>
      </c>
      <c r="R652" s="415" t="s">
        <v>3203</v>
      </c>
      <c r="S652" s="415" t="s">
        <v>3208</v>
      </c>
      <c r="T652" s="416">
        <v>115</v>
      </c>
      <c r="U652" s="416">
        <v>115</v>
      </c>
      <c r="V652" s="416">
        <v>115</v>
      </c>
      <c r="W652" s="416">
        <v>115</v>
      </c>
      <c r="X652" s="416">
        <v>115</v>
      </c>
      <c r="Y652" s="416">
        <v>115</v>
      </c>
      <c r="Z652" s="416">
        <v>109</v>
      </c>
      <c r="AA652" s="416">
        <v>103</v>
      </c>
      <c r="AB652" s="416">
        <v>98</v>
      </c>
      <c r="AC652" s="416">
        <v>95.7</v>
      </c>
      <c r="AD652" s="416">
        <v>94.1</v>
      </c>
      <c r="AE652" s="416">
        <v>92.8</v>
      </c>
      <c r="AF652" s="416">
        <v>90.9</v>
      </c>
      <c r="AG652" s="416">
        <v>89</v>
      </c>
      <c r="AH652" s="416">
        <v>87.8</v>
      </c>
      <c r="AI652" s="416">
        <v>0</v>
      </c>
      <c r="AJ652" s="416">
        <v>0</v>
      </c>
      <c r="AK652" s="416">
        <v>0</v>
      </c>
      <c r="AL652" s="416">
        <v>0</v>
      </c>
      <c r="AM652" s="416">
        <v>0</v>
      </c>
      <c r="AN652" s="416">
        <v>0</v>
      </c>
      <c r="AO652" s="416">
        <v>0</v>
      </c>
      <c r="AP652" s="416">
        <v>0</v>
      </c>
      <c r="AQ652" s="416">
        <v>0</v>
      </c>
      <c r="AR652" s="416">
        <v>0</v>
      </c>
      <c r="AS652" s="416">
        <v>0</v>
      </c>
      <c r="AT652" s="416">
        <v>0</v>
      </c>
      <c r="AU652" s="416">
        <v>0</v>
      </c>
      <c r="AV652" s="416">
        <v>0</v>
      </c>
      <c r="AW652" s="416">
        <v>0</v>
      </c>
      <c r="AX652" s="416">
        <v>0</v>
      </c>
      <c r="AY652" s="416">
        <v>0</v>
      </c>
      <c r="AZ652" s="416">
        <v>0</v>
      </c>
    </row>
    <row r="653" spans="1:52" s="411" customFormat="1" x14ac:dyDescent="0.3">
      <c r="A653" s="415" t="str">
        <f t="shared" si="10"/>
        <v>SA-249 Gr.TP316L</v>
      </c>
      <c r="B653" s="415">
        <v>647</v>
      </c>
      <c r="C653" s="415" t="s">
        <v>3200</v>
      </c>
      <c r="D653" s="415" t="s">
        <v>2689</v>
      </c>
      <c r="E653" s="415" t="s">
        <v>2200</v>
      </c>
      <c r="F653" s="415" t="s">
        <v>2570</v>
      </c>
      <c r="G653" s="415" t="s">
        <v>3201</v>
      </c>
      <c r="H653" s="415">
        <v>0</v>
      </c>
      <c r="I653" s="415">
        <v>0</v>
      </c>
      <c r="J653" s="415">
        <v>8</v>
      </c>
      <c r="K653" s="415">
        <v>1</v>
      </c>
      <c r="L653" s="415">
        <v>485</v>
      </c>
      <c r="M653" s="415">
        <v>170</v>
      </c>
      <c r="N653" s="415">
        <v>454</v>
      </c>
      <c r="O653" s="415" t="s">
        <v>2675</v>
      </c>
      <c r="P653" s="415">
        <v>454</v>
      </c>
      <c r="Q653" s="415">
        <v>343</v>
      </c>
      <c r="R653" s="415" t="s">
        <v>3203</v>
      </c>
      <c r="S653" s="415" t="s">
        <v>3209</v>
      </c>
      <c r="T653" s="416">
        <v>97.9</v>
      </c>
      <c r="U653" s="416">
        <v>97.9</v>
      </c>
      <c r="V653" s="416">
        <v>97.9</v>
      </c>
      <c r="W653" s="416">
        <v>97.9</v>
      </c>
      <c r="X653" s="416">
        <v>97.9</v>
      </c>
      <c r="Y653" s="416">
        <v>97.9</v>
      </c>
      <c r="Z653" s="416">
        <v>93</v>
      </c>
      <c r="AA653" s="416">
        <v>87.2</v>
      </c>
      <c r="AB653" s="416">
        <v>82.9</v>
      </c>
      <c r="AC653" s="416">
        <v>81.599999999999994</v>
      </c>
      <c r="AD653" s="416">
        <v>80.2</v>
      </c>
      <c r="AE653" s="416">
        <v>78.400000000000006</v>
      </c>
      <c r="AF653" s="416">
        <v>77.2</v>
      </c>
      <c r="AG653" s="416">
        <v>75.900000000000006</v>
      </c>
      <c r="AH653" s="416">
        <v>74.7</v>
      </c>
      <c r="AI653" s="416">
        <v>73.400000000000006</v>
      </c>
      <c r="AJ653" s="416">
        <v>0</v>
      </c>
      <c r="AK653" s="416">
        <v>0</v>
      </c>
      <c r="AL653" s="416">
        <v>0</v>
      </c>
      <c r="AM653" s="416">
        <v>0</v>
      </c>
      <c r="AN653" s="416">
        <v>0</v>
      </c>
      <c r="AO653" s="416">
        <v>0</v>
      </c>
      <c r="AP653" s="416">
        <v>0</v>
      </c>
      <c r="AQ653" s="416">
        <v>0</v>
      </c>
      <c r="AR653" s="416">
        <v>0</v>
      </c>
      <c r="AS653" s="416">
        <v>0</v>
      </c>
      <c r="AT653" s="416">
        <v>0</v>
      </c>
      <c r="AU653" s="416">
        <v>0</v>
      </c>
      <c r="AV653" s="416">
        <v>0</v>
      </c>
      <c r="AW653" s="416">
        <v>0</v>
      </c>
      <c r="AX653" s="416">
        <v>0</v>
      </c>
      <c r="AY653" s="416">
        <v>0</v>
      </c>
      <c r="AZ653" s="416">
        <v>0</v>
      </c>
    </row>
    <row r="654" spans="1:52" s="411" customFormat="1" x14ac:dyDescent="0.3">
      <c r="A654" s="415" t="str">
        <f t="shared" si="10"/>
        <v>SA-249 Gr.TP316L</v>
      </c>
      <c r="B654" s="415">
        <v>648</v>
      </c>
      <c r="C654" s="415" t="s">
        <v>3200</v>
      </c>
      <c r="D654" s="415" t="s">
        <v>2689</v>
      </c>
      <c r="E654" s="415" t="s">
        <v>2200</v>
      </c>
      <c r="F654" s="415" t="s">
        <v>2570</v>
      </c>
      <c r="G654" s="415" t="s">
        <v>3201</v>
      </c>
      <c r="H654" s="415">
        <v>0</v>
      </c>
      <c r="I654" s="415">
        <v>0</v>
      </c>
      <c r="J654" s="415">
        <v>8</v>
      </c>
      <c r="K654" s="415">
        <v>1</v>
      </c>
      <c r="L654" s="415">
        <v>485</v>
      </c>
      <c r="M654" s="415">
        <v>170</v>
      </c>
      <c r="N654" s="415">
        <v>454</v>
      </c>
      <c r="O654" s="415" t="s">
        <v>2675</v>
      </c>
      <c r="P654" s="415">
        <v>454</v>
      </c>
      <c r="Q654" s="415">
        <v>343</v>
      </c>
      <c r="R654" s="415" t="s">
        <v>3203</v>
      </c>
      <c r="S654" s="415" t="s">
        <v>3210</v>
      </c>
      <c r="T654" s="416">
        <v>97.9</v>
      </c>
      <c r="U654" s="416">
        <v>97.9</v>
      </c>
      <c r="V654" s="416">
        <v>90.3</v>
      </c>
      <c r="W654" s="416">
        <v>82.1</v>
      </c>
      <c r="X654" s="416">
        <v>77.8</v>
      </c>
      <c r="Y654" s="416">
        <v>74.3</v>
      </c>
      <c r="Z654" s="416">
        <v>68.7</v>
      </c>
      <c r="AA654" s="416">
        <v>64.8</v>
      </c>
      <c r="AB654" s="416">
        <v>61.4</v>
      </c>
      <c r="AC654" s="416">
        <v>60.4</v>
      </c>
      <c r="AD654" s="416">
        <v>59.7</v>
      </c>
      <c r="AE654" s="416">
        <v>58.4</v>
      </c>
      <c r="AF654" s="416">
        <v>57.2</v>
      </c>
      <c r="AG654" s="416">
        <v>55.9</v>
      </c>
      <c r="AH654" s="416">
        <v>55.2</v>
      </c>
      <c r="AI654" s="416">
        <v>54.7</v>
      </c>
      <c r="AJ654" s="416">
        <v>0</v>
      </c>
      <c r="AK654" s="416">
        <v>0</v>
      </c>
      <c r="AL654" s="416">
        <v>0</v>
      </c>
      <c r="AM654" s="416">
        <v>0</v>
      </c>
      <c r="AN654" s="416">
        <v>0</v>
      </c>
      <c r="AO654" s="416">
        <v>0</v>
      </c>
      <c r="AP654" s="416">
        <v>0</v>
      </c>
      <c r="AQ654" s="416">
        <v>0</v>
      </c>
      <c r="AR654" s="416">
        <v>0</v>
      </c>
      <c r="AS654" s="416">
        <v>0</v>
      </c>
      <c r="AT654" s="416">
        <v>0</v>
      </c>
      <c r="AU654" s="416">
        <v>0</v>
      </c>
      <c r="AV654" s="416">
        <v>0</v>
      </c>
      <c r="AW654" s="416">
        <v>0</v>
      </c>
      <c r="AX654" s="416">
        <v>0</v>
      </c>
      <c r="AY654" s="416">
        <v>0</v>
      </c>
      <c r="AZ654" s="416">
        <v>0</v>
      </c>
    </row>
    <row r="655" spans="1:52" s="411" customFormat="1" x14ac:dyDescent="0.3">
      <c r="A655" s="415" t="str">
        <f t="shared" si="10"/>
        <v>SA-312 Gr.TP316L</v>
      </c>
      <c r="B655" s="415">
        <v>649</v>
      </c>
      <c r="C655" s="415" t="s">
        <v>3200</v>
      </c>
      <c r="D655" s="415" t="s">
        <v>2720</v>
      </c>
      <c r="E655" s="415" t="s">
        <v>2208</v>
      </c>
      <c r="F655" s="415" t="s">
        <v>2570</v>
      </c>
      <c r="G655" s="415" t="s">
        <v>3201</v>
      </c>
      <c r="H655" s="415">
        <v>0</v>
      </c>
      <c r="I655" s="415">
        <v>0</v>
      </c>
      <c r="J655" s="415">
        <v>8</v>
      </c>
      <c r="K655" s="415">
        <v>1</v>
      </c>
      <c r="L655" s="415">
        <v>485</v>
      </c>
      <c r="M655" s="415">
        <v>170</v>
      </c>
      <c r="N655" s="415">
        <v>454</v>
      </c>
      <c r="O655" s="415">
        <v>427</v>
      </c>
      <c r="P655" s="415">
        <v>454</v>
      </c>
      <c r="Q655" s="415">
        <v>343</v>
      </c>
      <c r="R655" s="415" t="s">
        <v>3203</v>
      </c>
      <c r="S655" s="415" t="s">
        <v>3211</v>
      </c>
      <c r="T655" s="416">
        <v>115</v>
      </c>
      <c r="U655" s="416">
        <v>115</v>
      </c>
      <c r="V655" s="416">
        <v>115</v>
      </c>
      <c r="W655" s="416">
        <v>115</v>
      </c>
      <c r="X655" s="416">
        <v>115</v>
      </c>
      <c r="Y655" s="416">
        <v>115</v>
      </c>
      <c r="Z655" s="416">
        <v>109</v>
      </c>
      <c r="AA655" s="416">
        <v>103</v>
      </c>
      <c r="AB655" s="416">
        <v>98</v>
      </c>
      <c r="AC655" s="416">
        <v>95.7</v>
      </c>
      <c r="AD655" s="416">
        <v>94.1</v>
      </c>
      <c r="AE655" s="416">
        <v>92.8</v>
      </c>
      <c r="AF655" s="416">
        <v>90.9</v>
      </c>
      <c r="AG655" s="416">
        <v>89</v>
      </c>
      <c r="AH655" s="416">
        <v>87.8</v>
      </c>
      <c r="AI655" s="416">
        <v>86.6</v>
      </c>
      <c r="AJ655" s="416">
        <v>0</v>
      </c>
      <c r="AK655" s="416">
        <v>0</v>
      </c>
      <c r="AL655" s="416">
        <v>0</v>
      </c>
      <c r="AM655" s="416">
        <v>0</v>
      </c>
      <c r="AN655" s="416">
        <v>0</v>
      </c>
      <c r="AO655" s="416">
        <v>0</v>
      </c>
      <c r="AP655" s="416">
        <v>0</v>
      </c>
      <c r="AQ655" s="416">
        <v>0</v>
      </c>
      <c r="AR655" s="416">
        <v>0</v>
      </c>
      <c r="AS655" s="416">
        <v>0</v>
      </c>
      <c r="AT655" s="416">
        <v>0</v>
      </c>
      <c r="AU655" s="416">
        <v>0</v>
      </c>
      <c r="AV655" s="416">
        <v>0</v>
      </c>
      <c r="AW655" s="416">
        <v>0</v>
      </c>
      <c r="AX655" s="416">
        <v>0</v>
      </c>
      <c r="AY655" s="416">
        <v>0</v>
      </c>
      <c r="AZ655" s="416">
        <v>0</v>
      </c>
    </row>
    <row r="656" spans="1:52" s="411" customFormat="1" x14ac:dyDescent="0.3">
      <c r="A656" s="415" t="str">
        <f t="shared" si="10"/>
        <v>SA-312 Gr.TP316L</v>
      </c>
      <c r="B656" s="415">
        <v>650</v>
      </c>
      <c r="C656" s="415" t="s">
        <v>3200</v>
      </c>
      <c r="D656" s="415" t="s">
        <v>2703</v>
      </c>
      <c r="E656" s="415" t="s">
        <v>2208</v>
      </c>
      <c r="F656" s="415" t="s">
        <v>2570</v>
      </c>
      <c r="G656" s="415" t="s">
        <v>3201</v>
      </c>
      <c r="H656" s="415">
        <v>0</v>
      </c>
      <c r="I656" s="415">
        <v>0</v>
      </c>
      <c r="J656" s="415">
        <v>8</v>
      </c>
      <c r="K656" s="415">
        <v>1</v>
      </c>
      <c r="L656" s="415">
        <v>485</v>
      </c>
      <c r="M656" s="415">
        <v>170</v>
      </c>
      <c r="N656" s="415">
        <v>454</v>
      </c>
      <c r="O656" s="415" t="s">
        <v>2675</v>
      </c>
      <c r="P656" s="415">
        <v>454</v>
      </c>
      <c r="Q656" s="415">
        <v>343</v>
      </c>
      <c r="R656" s="415" t="s">
        <v>3203</v>
      </c>
      <c r="S656" s="415" t="s">
        <v>3205</v>
      </c>
      <c r="T656" s="416">
        <v>115</v>
      </c>
      <c r="U656" s="416">
        <v>115</v>
      </c>
      <c r="V656" s="416">
        <v>106</v>
      </c>
      <c r="W656" s="416">
        <v>96.3</v>
      </c>
      <c r="X656" s="416">
        <v>91.3</v>
      </c>
      <c r="Y656" s="416">
        <v>87.4</v>
      </c>
      <c r="Z656" s="416">
        <v>81.2</v>
      </c>
      <c r="AA656" s="416">
        <v>76</v>
      </c>
      <c r="AB656" s="416">
        <v>72.5</v>
      </c>
      <c r="AC656" s="416">
        <v>71.2</v>
      </c>
      <c r="AD656" s="416">
        <v>70</v>
      </c>
      <c r="AE656" s="416">
        <v>68.8</v>
      </c>
      <c r="AF656" s="416">
        <v>67.5</v>
      </c>
      <c r="AG656" s="416">
        <v>66.3</v>
      </c>
      <c r="AH656" s="416">
        <v>65</v>
      </c>
      <c r="AI656" s="416">
        <v>63.8</v>
      </c>
      <c r="AJ656" s="416">
        <v>0</v>
      </c>
      <c r="AK656" s="416">
        <v>0</v>
      </c>
      <c r="AL656" s="416">
        <v>0</v>
      </c>
      <c r="AM656" s="416">
        <v>0</v>
      </c>
      <c r="AN656" s="416">
        <v>0</v>
      </c>
      <c r="AO656" s="416">
        <v>0</v>
      </c>
      <c r="AP656" s="416">
        <v>0</v>
      </c>
      <c r="AQ656" s="416">
        <v>0</v>
      </c>
      <c r="AR656" s="416">
        <v>0</v>
      </c>
      <c r="AS656" s="416">
        <v>0</v>
      </c>
      <c r="AT656" s="416">
        <v>0</v>
      </c>
      <c r="AU656" s="416">
        <v>0</v>
      </c>
      <c r="AV656" s="416">
        <v>0</v>
      </c>
      <c r="AW656" s="416">
        <v>0</v>
      </c>
      <c r="AX656" s="416">
        <v>0</v>
      </c>
      <c r="AY656" s="416">
        <v>0</v>
      </c>
      <c r="AZ656" s="416">
        <v>0</v>
      </c>
    </row>
    <row r="657" spans="1:52" s="411" customFormat="1" x14ac:dyDescent="0.3">
      <c r="A657" s="415" t="str">
        <f t="shared" si="10"/>
        <v>SA-312 Gr.TP316L</v>
      </c>
      <c r="B657" s="415">
        <v>651</v>
      </c>
      <c r="C657" s="415" t="s">
        <v>3200</v>
      </c>
      <c r="D657" s="415" t="s">
        <v>2680</v>
      </c>
      <c r="E657" s="415" t="s">
        <v>2208</v>
      </c>
      <c r="F657" s="415" t="s">
        <v>2570</v>
      </c>
      <c r="G657" s="415" t="s">
        <v>3201</v>
      </c>
      <c r="H657" s="415">
        <v>0</v>
      </c>
      <c r="I657" s="415">
        <v>0</v>
      </c>
      <c r="J657" s="415">
        <v>8</v>
      </c>
      <c r="K657" s="415">
        <v>1</v>
      </c>
      <c r="L657" s="415">
        <v>485</v>
      </c>
      <c r="M657" s="415">
        <v>170</v>
      </c>
      <c r="N657" s="415">
        <v>454</v>
      </c>
      <c r="O657" s="415" t="s">
        <v>2675</v>
      </c>
      <c r="P657" s="415">
        <v>454</v>
      </c>
      <c r="Q657" s="415">
        <v>343</v>
      </c>
      <c r="R657" s="415" t="s">
        <v>3203</v>
      </c>
      <c r="S657" s="415" t="s">
        <v>3209</v>
      </c>
      <c r="T657" s="416">
        <v>97.9</v>
      </c>
      <c r="U657" s="416">
        <v>97.9</v>
      </c>
      <c r="V657" s="416">
        <v>97.9</v>
      </c>
      <c r="W657" s="416">
        <v>97.9</v>
      </c>
      <c r="X657" s="416">
        <v>97.9</v>
      </c>
      <c r="Y657" s="416">
        <v>97.9</v>
      </c>
      <c r="Z657" s="416">
        <v>93</v>
      </c>
      <c r="AA657" s="416">
        <v>87.2</v>
      </c>
      <c r="AB657" s="416">
        <v>82.9</v>
      </c>
      <c r="AC657" s="416">
        <v>81.599999999999994</v>
      </c>
      <c r="AD657" s="416">
        <v>80.2</v>
      </c>
      <c r="AE657" s="416">
        <v>78.400000000000006</v>
      </c>
      <c r="AF657" s="416">
        <v>77.2</v>
      </c>
      <c r="AG657" s="416">
        <v>75.900000000000006</v>
      </c>
      <c r="AH657" s="416">
        <v>74.7</v>
      </c>
      <c r="AI657" s="416">
        <v>73.400000000000006</v>
      </c>
      <c r="AJ657" s="416">
        <v>0</v>
      </c>
      <c r="AK657" s="416">
        <v>0</v>
      </c>
      <c r="AL657" s="416">
        <v>0</v>
      </c>
      <c r="AM657" s="416">
        <v>0</v>
      </c>
      <c r="AN657" s="416">
        <v>0</v>
      </c>
      <c r="AO657" s="416">
        <v>0</v>
      </c>
      <c r="AP657" s="416">
        <v>0</v>
      </c>
      <c r="AQ657" s="416">
        <v>0</v>
      </c>
      <c r="AR657" s="416">
        <v>0</v>
      </c>
      <c r="AS657" s="416">
        <v>0</v>
      </c>
      <c r="AT657" s="416">
        <v>0</v>
      </c>
      <c r="AU657" s="416">
        <v>0</v>
      </c>
      <c r="AV657" s="416">
        <v>0</v>
      </c>
      <c r="AW657" s="416">
        <v>0</v>
      </c>
      <c r="AX657" s="416">
        <v>0</v>
      </c>
      <c r="AY657" s="416">
        <v>0</v>
      </c>
      <c r="AZ657" s="416">
        <v>0</v>
      </c>
    </row>
    <row r="658" spans="1:52" s="411" customFormat="1" x14ac:dyDescent="0.3">
      <c r="A658" s="415" t="str">
        <f t="shared" si="10"/>
        <v>SA-312 Gr.TP316L</v>
      </c>
      <c r="B658" s="415">
        <v>652</v>
      </c>
      <c r="C658" s="415" t="s">
        <v>3200</v>
      </c>
      <c r="D658" s="415" t="s">
        <v>2680</v>
      </c>
      <c r="E658" s="415" t="s">
        <v>2208</v>
      </c>
      <c r="F658" s="415" t="s">
        <v>2570</v>
      </c>
      <c r="G658" s="415" t="s">
        <v>3201</v>
      </c>
      <c r="H658" s="415">
        <v>0</v>
      </c>
      <c r="I658" s="415">
        <v>0</v>
      </c>
      <c r="J658" s="415">
        <v>8</v>
      </c>
      <c r="K658" s="415">
        <v>1</v>
      </c>
      <c r="L658" s="415">
        <v>485</v>
      </c>
      <c r="M658" s="415">
        <v>170</v>
      </c>
      <c r="N658" s="415">
        <v>454</v>
      </c>
      <c r="O658" s="415" t="s">
        <v>2675</v>
      </c>
      <c r="P658" s="415">
        <v>454</v>
      </c>
      <c r="Q658" s="415">
        <v>343</v>
      </c>
      <c r="R658" s="415" t="s">
        <v>3203</v>
      </c>
      <c r="S658" s="415" t="s">
        <v>3210</v>
      </c>
      <c r="T658" s="416">
        <v>97.9</v>
      </c>
      <c r="U658" s="416">
        <v>97.9</v>
      </c>
      <c r="V658" s="416">
        <v>90.3</v>
      </c>
      <c r="W658" s="416">
        <v>82.1</v>
      </c>
      <c r="X658" s="416">
        <v>77.8</v>
      </c>
      <c r="Y658" s="416">
        <v>74.3</v>
      </c>
      <c r="Z658" s="416">
        <v>68.7</v>
      </c>
      <c r="AA658" s="416">
        <v>64.8</v>
      </c>
      <c r="AB658" s="416">
        <v>61.4</v>
      </c>
      <c r="AC658" s="416">
        <v>60.4</v>
      </c>
      <c r="AD658" s="416">
        <v>59.7</v>
      </c>
      <c r="AE658" s="416">
        <v>58.4</v>
      </c>
      <c r="AF658" s="416">
        <v>57.2</v>
      </c>
      <c r="AG658" s="416">
        <v>55.9</v>
      </c>
      <c r="AH658" s="416">
        <v>55.2</v>
      </c>
      <c r="AI658" s="416">
        <v>54.7</v>
      </c>
      <c r="AJ658" s="416">
        <v>0</v>
      </c>
      <c r="AK658" s="416">
        <v>0</v>
      </c>
      <c r="AL658" s="416">
        <v>0</v>
      </c>
      <c r="AM658" s="416">
        <v>0</v>
      </c>
      <c r="AN658" s="416">
        <v>0</v>
      </c>
      <c r="AO658" s="416">
        <v>0</v>
      </c>
      <c r="AP658" s="416">
        <v>0</v>
      </c>
      <c r="AQ658" s="416">
        <v>0</v>
      </c>
      <c r="AR658" s="416">
        <v>0</v>
      </c>
      <c r="AS658" s="416">
        <v>0</v>
      </c>
      <c r="AT658" s="416">
        <v>0</v>
      </c>
      <c r="AU658" s="416">
        <v>0</v>
      </c>
      <c r="AV658" s="416">
        <v>0</v>
      </c>
      <c r="AW658" s="416">
        <v>0</v>
      </c>
      <c r="AX658" s="416">
        <v>0</v>
      </c>
      <c r="AY658" s="416">
        <v>0</v>
      </c>
      <c r="AZ658" s="416">
        <v>0</v>
      </c>
    </row>
    <row r="659" spans="1:52" s="411" customFormat="1" x14ac:dyDescent="0.3">
      <c r="A659" s="415" t="str">
        <f t="shared" si="10"/>
        <v>SA-358 Gr.316L</v>
      </c>
      <c r="B659" s="415">
        <v>653</v>
      </c>
      <c r="C659" s="415" t="s">
        <v>3200</v>
      </c>
      <c r="D659" s="415" t="s">
        <v>2680</v>
      </c>
      <c r="E659" s="415" t="s">
        <v>2217</v>
      </c>
      <c r="F659" s="415" t="s">
        <v>2166</v>
      </c>
      <c r="G659" s="415" t="s">
        <v>3201</v>
      </c>
      <c r="H659" s="415">
        <v>1</v>
      </c>
      <c r="I659" s="415">
        <v>0</v>
      </c>
      <c r="J659" s="415">
        <v>8</v>
      </c>
      <c r="K659" s="415">
        <v>1</v>
      </c>
      <c r="L659" s="415">
        <v>485</v>
      </c>
      <c r="M659" s="415">
        <v>170</v>
      </c>
      <c r="N659" s="415" t="s">
        <v>2675</v>
      </c>
      <c r="O659" s="415">
        <v>427</v>
      </c>
      <c r="P659" s="415" t="s">
        <v>2675</v>
      </c>
      <c r="Q659" s="415" t="s">
        <v>2675</v>
      </c>
      <c r="R659" s="415" t="s">
        <v>3203</v>
      </c>
      <c r="S659" s="415" t="s">
        <v>3189</v>
      </c>
      <c r="T659" s="416">
        <v>115</v>
      </c>
      <c r="U659" s="416">
        <v>115</v>
      </c>
      <c r="V659" s="416">
        <v>115</v>
      </c>
      <c r="W659" s="416">
        <v>115</v>
      </c>
      <c r="X659" s="416">
        <v>115</v>
      </c>
      <c r="Y659" s="416">
        <v>115</v>
      </c>
      <c r="Z659" s="416">
        <v>109</v>
      </c>
      <c r="AA659" s="416">
        <v>103</v>
      </c>
      <c r="AB659" s="416">
        <v>98</v>
      </c>
      <c r="AC659" s="416">
        <v>95.7</v>
      </c>
      <c r="AD659" s="416">
        <v>94.1</v>
      </c>
      <c r="AE659" s="416">
        <v>92.8</v>
      </c>
      <c r="AF659" s="416">
        <v>90.9</v>
      </c>
      <c r="AG659" s="416">
        <v>89</v>
      </c>
      <c r="AH659" s="416">
        <v>87.8</v>
      </c>
      <c r="AI659" s="416">
        <v>0</v>
      </c>
      <c r="AJ659" s="416">
        <v>0</v>
      </c>
      <c r="AK659" s="416">
        <v>0</v>
      </c>
      <c r="AL659" s="416">
        <v>0</v>
      </c>
      <c r="AM659" s="416">
        <v>0</v>
      </c>
      <c r="AN659" s="416">
        <v>0</v>
      </c>
      <c r="AO659" s="416">
        <v>0</v>
      </c>
      <c r="AP659" s="416">
        <v>0</v>
      </c>
      <c r="AQ659" s="416">
        <v>0</v>
      </c>
      <c r="AR659" s="416">
        <v>0</v>
      </c>
      <c r="AS659" s="416">
        <v>0</v>
      </c>
      <c r="AT659" s="416">
        <v>0</v>
      </c>
      <c r="AU659" s="416">
        <v>0</v>
      </c>
      <c r="AV659" s="416">
        <v>0</v>
      </c>
      <c r="AW659" s="416">
        <v>0</v>
      </c>
      <c r="AX659" s="416">
        <v>0</v>
      </c>
      <c r="AY659" s="416">
        <v>0</v>
      </c>
      <c r="AZ659" s="416">
        <v>0</v>
      </c>
    </row>
    <row r="660" spans="1:52" s="411" customFormat="1" x14ac:dyDescent="0.3">
      <c r="A660" s="415" t="str">
        <f t="shared" si="10"/>
        <v>SA-403 Gr.316L</v>
      </c>
      <c r="B660" s="415">
        <v>654</v>
      </c>
      <c r="C660" s="415" t="s">
        <v>3200</v>
      </c>
      <c r="D660" s="415" t="s">
        <v>2758</v>
      </c>
      <c r="E660" s="415" t="s">
        <v>2229</v>
      </c>
      <c r="F660" s="415" t="s">
        <v>2166</v>
      </c>
      <c r="G660" s="415" t="s">
        <v>3201</v>
      </c>
      <c r="H660" s="415">
        <v>0</v>
      </c>
      <c r="I660" s="415">
        <v>0</v>
      </c>
      <c r="J660" s="415">
        <v>8</v>
      </c>
      <c r="K660" s="415">
        <v>1</v>
      </c>
      <c r="L660" s="415">
        <v>485</v>
      </c>
      <c r="M660" s="415">
        <v>170</v>
      </c>
      <c r="N660" s="415" t="s">
        <v>2675</v>
      </c>
      <c r="O660" s="415">
        <v>427</v>
      </c>
      <c r="P660" s="415">
        <v>454</v>
      </c>
      <c r="Q660" s="415">
        <v>343</v>
      </c>
      <c r="R660" s="415" t="s">
        <v>3203</v>
      </c>
      <c r="S660" s="415" t="s">
        <v>3212</v>
      </c>
      <c r="T660" s="416">
        <v>115</v>
      </c>
      <c r="U660" s="416">
        <v>115</v>
      </c>
      <c r="V660" s="416">
        <v>115</v>
      </c>
      <c r="W660" s="416">
        <v>115</v>
      </c>
      <c r="X660" s="416">
        <v>115</v>
      </c>
      <c r="Y660" s="416">
        <v>115</v>
      </c>
      <c r="Z660" s="416">
        <v>109</v>
      </c>
      <c r="AA660" s="416">
        <v>103</v>
      </c>
      <c r="AB660" s="416">
        <v>98</v>
      </c>
      <c r="AC660" s="416">
        <v>95.7</v>
      </c>
      <c r="AD660" s="416">
        <v>94.1</v>
      </c>
      <c r="AE660" s="416">
        <v>92.8</v>
      </c>
      <c r="AF660" s="416">
        <v>90.9</v>
      </c>
      <c r="AG660" s="416">
        <v>89</v>
      </c>
      <c r="AH660" s="416">
        <v>87.8</v>
      </c>
      <c r="AI660" s="416">
        <v>86.6</v>
      </c>
      <c r="AJ660" s="416">
        <v>0</v>
      </c>
      <c r="AK660" s="416">
        <v>0</v>
      </c>
      <c r="AL660" s="416">
        <v>0</v>
      </c>
      <c r="AM660" s="416">
        <v>0</v>
      </c>
      <c r="AN660" s="416">
        <v>0</v>
      </c>
      <c r="AO660" s="416">
        <v>0</v>
      </c>
      <c r="AP660" s="416">
        <v>0</v>
      </c>
      <c r="AQ660" s="416">
        <v>0</v>
      </c>
      <c r="AR660" s="416">
        <v>0</v>
      </c>
      <c r="AS660" s="416">
        <v>0</v>
      </c>
      <c r="AT660" s="416">
        <v>0</v>
      </c>
      <c r="AU660" s="416">
        <v>0</v>
      </c>
      <c r="AV660" s="416">
        <v>0</v>
      </c>
      <c r="AW660" s="416">
        <v>0</v>
      </c>
      <c r="AX660" s="416">
        <v>0</v>
      </c>
      <c r="AY660" s="416">
        <v>0</v>
      </c>
      <c r="AZ660" s="416">
        <v>0</v>
      </c>
    </row>
    <row r="661" spans="1:52" s="411" customFormat="1" x14ac:dyDescent="0.3">
      <c r="A661" s="415" t="str">
        <f t="shared" si="10"/>
        <v>SA-409 Gr.TP316L</v>
      </c>
      <c r="B661" s="415">
        <v>655</v>
      </c>
      <c r="C661" s="415" t="s">
        <v>3200</v>
      </c>
      <c r="D661" s="415" t="s">
        <v>2680</v>
      </c>
      <c r="E661" s="415" t="s">
        <v>2231</v>
      </c>
      <c r="F661" s="415" t="s">
        <v>2570</v>
      </c>
      <c r="G661" s="415" t="s">
        <v>3201</v>
      </c>
      <c r="H661" s="415">
        <v>0</v>
      </c>
      <c r="I661" s="415">
        <v>0</v>
      </c>
      <c r="J661" s="415">
        <v>8</v>
      </c>
      <c r="K661" s="415">
        <v>1</v>
      </c>
      <c r="L661" s="415">
        <v>485</v>
      </c>
      <c r="M661" s="415">
        <v>170</v>
      </c>
      <c r="N661" s="415" t="s">
        <v>2675</v>
      </c>
      <c r="O661" s="415">
        <v>427</v>
      </c>
      <c r="P661" s="415" t="s">
        <v>2675</v>
      </c>
      <c r="Q661" s="415" t="s">
        <v>2675</v>
      </c>
      <c r="R661" s="415" t="s">
        <v>3203</v>
      </c>
      <c r="S661" s="415" t="s">
        <v>3189</v>
      </c>
      <c r="T661" s="416">
        <v>115</v>
      </c>
      <c r="U661" s="416">
        <v>115</v>
      </c>
      <c r="V661" s="416">
        <v>115</v>
      </c>
      <c r="W661" s="416">
        <v>115</v>
      </c>
      <c r="X661" s="416">
        <v>115</v>
      </c>
      <c r="Y661" s="416">
        <v>115</v>
      </c>
      <c r="Z661" s="416">
        <v>109</v>
      </c>
      <c r="AA661" s="416">
        <v>103</v>
      </c>
      <c r="AB661" s="416">
        <v>98</v>
      </c>
      <c r="AC661" s="416">
        <v>95.7</v>
      </c>
      <c r="AD661" s="416">
        <v>94.1</v>
      </c>
      <c r="AE661" s="416">
        <v>92.8</v>
      </c>
      <c r="AF661" s="416">
        <v>90.9</v>
      </c>
      <c r="AG661" s="416">
        <v>89</v>
      </c>
      <c r="AH661" s="416">
        <v>87.8</v>
      </c>
      <c r="AI661" s="416">
        <v>0</v>
      </c>
      <c r="AJ661" s="416">
        <v>0</v>
      </c>
      <c r="AK661" s="416">
        <v>0</v>
      </c>
      <c r="AL661" s="416">
        <v>0</v>
      </c>
      <c r="AM661" s="416">
        <v>0</v>
      </c>
      <c r="AN661" s="416">
        <v>0</v>
      </c>
      <c r="AO661" s="416">
        <v>0</v>
      </c>
      <c r="AP661" s="416">
        <v>0</v>
      </c>
      <c r="AQ661" s="416">
        <v>0</v>
      </c>
      <c r="AR661" s="416">
        <v>0</v>
      </c>
      <c r="AS661" s="416">
        <v>0</v>
      </c>
      <c r="AT661" s="416">
        <v>0</v>
      </c>
      <c r="AU661" s="416">
        <v>0</v>
      </c>
      <c r="AV661" s="416">
        <v>0</v>
      </c>
      <c r="AW661" s="416">
        <v>0</v>
      </c>
      <c r="AX661" s="416">
        <v>0</v>
      </c>
      <c r="AY661" s="416">
        <v>0</v>
      </c>
      <c r="AZ661" s="416">
        <v>0</v>
      </c>
    </row>
    <row r="662" spans="1:52" s="411" customFormat="1" x14ac:dyDescent="0.3">
      <c r="A662" s="415" t="str">
        <f t="shared" si="10"/>
        <v>SA-479 Gr.316L</v>
      </c>
      <c r="B662" s="415">
        <v>656</v>
      </c>
      <c r="C662" s="415" t="s">
        <v>3200</v>
      </c>
      <c r="D662" s="415" t="s">
        <v>2677</v>
      </c>
      <c r="E662" s="415" t="s">
        <v>2245</v>
      </c>
      <c r="F662" s="415" t="s">
        <v>2166</v>
      </c>
      <c r="G662" s="415" t="s">
        <v>3201</v>
      </c>
      <c r="H662" s="415">
        <v>0</v>
      </c>
      <c r="I662" s="415">
        <v>0</v>
      </c>
      <c r="J662" s="415">
        <v>8</v>
      </c>
      <c r="K662" s="415">
        <v>1</v>
      </c>
      <c r="L662" s="415">
        <v>485</v>
      </c>
      <c r="M662" s="415">
        <v>170</v>
      </c>
      <c r="N662" s="415">
        <v>454</v>
      </c>
      <c r="O662" s="415">
        <v>427</v>
      </c>
      <c r="P662" s="415">
        <v>454</v>
      </c>
      <c r="Q662" s="415">
        <v>343</v>
      </c>
      <c r="R662" s="415" t="s">
        <v>3203</v>
      </c>
      <c r="S662" s="415" t="s">
        <v>3206</v>
      </c>
      <c r="T662" s="416">
        <v>115</v>
      </c>
      <c r="U662" s="416">
        <v>115</v>
      </c>
      <c r="V662" s="416">
        <v>115</v>
      </c>
      <c r="W662" s="416">
        <v>115</v>
      </c>
      <c r="X662" s="416">
        <v>115</v>
      </c>
      <c r="Y662" s="416">
        <v>115</v>
      </c>
      <c r="Z662" s="416">
        <v>109</v>
      </c>
      <c r="AA662" s="416">
        <v>103</v>
      </c>
      <c r="AB662" s="416">
        <v>98</v>
      </c>
      <c r="AC662" s="416">
        <v>95.7</v>
      </c>
      <c r="AD662" s="416">
        <v>94.1</v>
      </c>
      <c r="AE662" s="416">
        <v>92.8</v>
      </c>
      <c r="AF662" s="416">
        <v>90.9</v>
      </c>
      <c r="AG662" s="416">
        <v>89</v>
      </c>
      <c r="AH662" s="416">
        <v>87.8</v>
      </c>
      <c r="AI662" s="416">
        <v>86.6</v>
      </c>
      <c r="AJ662" s="416">
        <v>0</v>
      </c>
      <c r="AK662" s="416">
        <v>0</v>
      </c>
      <c r="AL662" s="416">
        <v>0</v>
      </c>
      <c r="AM662" s="416">
        <v>0</v>
      </c>
      <c r="AN662" s="416">
        <v>0</v>
      </c>
      <c r="AO662" s="416">
        <v>0</v>
      </c>
      <c r="AP662" s="416">
        <v>0</v>
      </c>
      <c r="AQ662" s="416">
        <v>0</v>
      </c>
      <c r="AR662" s="416">
        <v>0</v>
      </c>
      <c r="AS662" s="416">
        <v>0</v>
      </c>
      <c r="AT662" s="416">
        <v>0</v>
      </c>
      <c r="AU662" s="416">
        <v>0</v>
      </c>
      <c r="AV662" s="416">
        <v>0</v>
      </c>
      <c r="AW662" s="416">
        <v>0</v>
      </c>
      <c r="AX662" s="416">
        <v>0</v>
      </c>
      <c r="AY662" s="416">
        <v>0</v>
      </c>
      <c r="AZ662" s="416">
        <v>0</v>
      </c>
    </row>
    <row r="663" spans="1:52" s="411" customFormat="1" x14ac:dyDescent="0.3">
      <c r="A663" s="415" t="str">
        <f t="shared" si="10"/>
        <v>SA-479 Gr.316L</v>
      </c>
      <c r="B663" s="415">
        <v>657</v>
      </c>
      <c r="C663" s="415" t="s">
        <v>3200</v>
      </c>
      <c r="D663" s="415" t="s">
        <v>2677</v>
      </c>
      <c r="E663" s="415" t="s">
        <v>2245</v>
      </c>
      <c r="F663" s="415" t="s">
        <v>2166</v>
      </c>
      <c r="G663" s="415" t="s">
        <v>3201</v>
      </c>
      <c r="H663" s="415">
        <v>0</v>
      </c>
      <c r="I663" s="415">
        <v>0</v>
      </c>
      <c r="J663" s="415">
        <v>8</v>
      </c>
      <c r="K663" s="415">
        <v>1</v>
      </c>
      <c r="L663" s="415">
        <v>485</v>
      </c>
      <c r="M663" s="415">
        <v>170</v>
      </c>
      <c r="N663" s="415">
        <v>454</v>
      </c>
      <c r="O663" s="415" t="s">
        <v>2675</v>
      </c>
      <c r="P663" s="415">
        <v>454</v>
      </c>
      <c r="Q663" s="415">
        <v>343</v>
      </c>
      <c r="R663" s="415" t="s">
        <v>3203</v>
      </c>
      <c r="S663" s="415" t="s">
        <v>3213</v>
      </c>
      <c r="T663" s="416">
        <v>115</v>
      </c>
      <c r="U663" s="416">
        <v>115</v>
      </c>
      <c r="V663" s="416">
        <v>106</v>
      </c>
      <c r="W663" s="416">
        <v>96.3</v>
      </c>
      <c r="X663" s="416">
        <v>91.3</v>
      </c>
      <c r="Y663" s="416">
        <v>87.4</v>
      </c>
      <c r="Z663" s="416">
        <v>81.2</v>
      </c>
      <c r="AA663" s="416">
        <v>76</v>
      </c>
      <c r="AB663" s="416">
        <v>72.5</v>
      </c>
      <c r="AC663" s="416">
        <v>71.2</v>
      </c>
      <c r="AD663" s="416">
        <v>70</v>
      </c>
      <c r="AE663" s="416">
        <v>68.8</v>
      </c>
      <c r="AF663" s="416">
        <v>67.5</v>
      </c>
      <c r="AG663" s="416">
        <v>66.3</v>
      </c>
      <c r="AH663" s="416">
        <v>65</v>
      </c>
      <c r="AI663" s="416">
        <v>63.8</v>
      </c>
      <c r="AJ663" s="416">
        <v>0</v>
      </c>
      <c r="AK663" s="416">
        <v>0</v>
      </c>
      <c r="AL663" s="416">
        <v>0</v>
      </c>
      <c r="AM663" s="416">
        <v>0</v>
      </c>
      <c r="AN663" s="416">
        <v>0</v>
      </c>
      <c r="AO663" s="416">
        <v>0</v>
      </c>
      <c r="AP663" s="416">
        <v>0</v>
      </c>
      <c r="AQ663" s="416">
        <v>0</v>
      </c>
      <c r="AR663" s="416">
        <v>0</v>
      </c>
      <c r="AS663" s="416">
        <v>0</v>
      </c>
      <c r="AT663" s="416">
        <v>0</v>
      </c>
      <c r="AU663" s="416">
        <v>0</v>
      </c>
      <c r="AV663" s="416">
        <v>0</v>
      </c>
      <c r="AW663" s="416">
        <v>0</v>
      </c>
      <c r="AX663" s="416">
        <v>0</v>
      </c>
      <c r="AY663" s="416">
        <v>0</v>
      </c>
      <c r="AZ663" s="416">
        <v>0</v>
      </c>
    </row>
    <row r="664" spans="1:52" s="411" customFormat="1" x14ac:dyDescent="0.3">
      <c r="A664" s="415" t="str">
        <f t="shared" si="10"/>
        <v>SA-688 Gr.TP316L</v>
      </c>
      <c r="B664" s="415">
        <v>658</v>
      </c>
      <c r="C664" s="415" t="s">
        <v>3200</v>
      </c>
      <c r="D664" s="415" t="s">
        <v>2689</v>
      </c>
      <c r="E664" s="415" t="s">
        <v>2301</v>
      </c>
      <c r="F664" s="415" t="s">
        <v>2570</v>
      </c>
      <c r="G664" s="415" t="s">
        <v>3201</v>
      </c>
      <c r="H664" s="415">
        <v>0</v>
      </c>
      <c r="I664" s="415">
        <v>0</v>
      </c>
      <c r="J664" s="415">
        <v>8</v>
      </c>
      <c r="K664" s="415">
        <v>1</v>
      </c>
      <c r="L664" s="415">
        <v>485</v>
      </c>
      <c r="M664" s="415">
        <v>170</v>
      </c>
      <c r="N664" s="415" t="s">
        <v>2675</v>
      </c>
      <c r="O664" s="415">
        <v>427</v>
      </c>
      <c r="P664" s="415" t="s">
        <v>2675</v>
      </c>
      <c r="Q664" s="415" t="s">
        <v>2675</v>
      </c>
      <c r="R664" s="415" t="s">
        <v>3203</v>
      </c>
      <c r="S664" s="415" t="s">
        <v>3208</v>
      </c>
      <c r="T664" s="416">
        <v>115</v>
      </c>
      <c r="U664" s="416">
        <v>115</v>
      </c>
      <c r="V664" s="416">
        <v>115</v>
      </c>
      <c r="W664" s="416">
        <v>115</v>
      </c>
      <c r="X664" s="416">
        <v>115</v>
      </c>
      <c r="Y664" s="416">
        <v>115</v>
      </c>
      <c r="Z664" s="416">
        <v>109</v>
      </c>
      <c r="AA664" s="416">
        <v>103</v>
      </c>
      <c r="AB664" s="416">
        <v>98</v>
      </c>
      <c r="AC664" s="416">
        <v>95.7</v>
      </c>
      <c r="AD664" s="416">
        <v>94.1</v>
      </c>
      <c r="AE664" s="416">
        <v>92.8</v>
      </c>
      <c r="AF664" s="416">
        <v>90.9</v>
      </c>
      <c r="AG664" s="416">
        <v>89</v>
      </c>
      <c r="AH664" s="416">
        <v>87.8</v>
      </c>
      <c r="AI664" s="416">
        <v>0</v>
      </c>
      <c r="AJ664" s="416">
        <v>0</v>
      </c>
      <c r="AK664" s="416">
        <v>0</v>
      </c>
      <c r="AL664" s="416">
        <v>0</v>
      </c>
      <c r="AM664" s="416">
        <v>0</v>
      </c>
      <c r="AN664" s="416">
        <v>0</v>
      </c>
      <c r="AO664" s="416">
        <v>0</v>
      </c>
      <c r="AP664" s="416">
        <v>0</v>
      </c>
      <c r="AQ664" s="416">
        <v>0</v>
      </c>
      <c r="AR664" s="416">
        <v>0</v>
      </c>
      <c r="AS664" s="416">
        <v>0</v>
      </c>
      <c r="AT664" s="416">
        <v>0</v>
      </c>
      <c r="AU664" s="416">
        <v>0</v>
      </c>
      <c r="AV664" s="416">
        <v>0</v>
      </c>
      <c r="AW664" s="416">
        <v>0</v>
      </c>
      <c r="AX664" s="416">
        <v>0</v>
      </c>
      <c r="AY664" s="416">
        <v>0</v>
      </c>
      <c r="AZ664" s="416">
        <v>0</v>
      </c>
    </row>
    <row r="665" spans="1:52" s="411" customFormat="1" x14ac:dyDescent="0.3">
      <c r="A665" s="415" t="str">
        <f t="shared" si="10"/>
        <v>SA-688 Gr.TP316L</v>
      </c>
      <c r="B665" s="415">
        <v>659</v>
      </c>
      <c r="C665" s="415" t="s">
        <v>3200</v>
      </c>
      <c r="D665" s="415" t="s">
        <v>2689</v>
      </c>
      <c r="E665" s="415" t="s">
        <v>2301</v>
      </c>
      <c r="F665" s="415" t="s">
        <v>2570</v>
      </c>
      <c r="G665" s="415" t="s">
        <v>3201</v>
      </c>
      <c r="H665" s="415">
        <v>0</v>
      </c>
      <c r="I665" s="415">
        <v>0</v>
      </c>
      <c r="J665" s="415">
        <v>8</v>
      </c>
      <c r="K665" s="415">
        <v>1</v>
      </c>
      <c r="L665" s="415">
        <v>485</v>
      </c>
      <c r="M665" s="415">
        <v>170</v>
      </c>
      <c r="N665" s="415" t="s">
        <v>2675</v>
      </c>
      <c r="O665" s="415" t="s">
        <v>2675</v>
      </c>
      <c r="P665" s="415">
        <v>454</v>
      </c>
      <c r="Q665" s="415">
        <v>343</v>
      </c>
      <c r="R665" s="415" t="s">
        <v>3203</v>
      </c>
      <c r="S665" s="415" t="s">
        <v>3214</v>
      </c>
      <c r="T665" s="416">
        <v>97.9</v>
      </c>
      <c r="U665" s="416">
        <v>97.9</v>
      </c>
      <c r="V665" s="416">
        <v>97.9</v>
      </c>
      <c r="W665" s="416">
        <v>97.9</v>
      </c>
      <c r="X665" s="416">
        <v>97.9</v>
      </c>
      <c r="Y665" s="416">
        <v>97.9</v>
      </c>
      <c r="Z665" s="416">
        <v>93</v>
      </c>
      <c r="AA665" s="416">
        <v>87.2</v>
      </c>
      <c r="AB665" s="416">
        <v>82.9</v>
      </c>
      <c r="AC665" s="416">
        <v>81.599999999999994</v>
      </c>
      <c r="AD665" s="416">
        <v>80.2</v>
      </c>
      <c r="AE665" s="416">
        <v>78.400000000000006</v>
      </c>
      <c r="AF665" s="416">
        <v>77.2</v>
      </c>
      <c r="AG665" s="416">
        <v>75.900000000000006</v>
      </c>
      <c r="AH665" s="416">
        <v>74.7</v>
      </c>
      <c r="AI665" s="416">
        <v>73.400000000000006</v>
      </c>
      <c r="AJ665" s="416">
        <v>0</v>
      </c>
      <c r="AK665" s="416">
        <v>0</v>
      </c>
      <c r="AL665" s="416">
        <v>0</v>
      </c>
      <c r="AM665" s="416">
        <v>0</v>
      </c>
      <c r="AN665" s="416">
        <v>0</v>
      </c>
      <c r="AO665" s="416">
        <v>0</v>
      </c>
      <c r="AP665" s="416">
        <v>0</v>
      </c>
      <c r="AQ665" s="416">
        <v>0</v>
      </c>
      <c r="AR665" s="416">
        <v>0</v>
      </c>
      <c r="AS665" s="416">
        <v>0</v>
      </c>
      <c r="AT665" s="416">
        <v>0</v>
      </c>
      <c r="AU665" s="416">
        <v>0</v>
      </c>
      <c r="AV665" s="416">
        <v>0</v>
      </c>
      <c r="AW665" s="416">
        <v>0</v>
      </c>
      <c r="AX665" s="416">
        <v>0</v>
      </c>
      <c r="AY665" s="416">
        <v>0</v>
      </c>
      <c r="AZ665" s="416">
        <v>0</v>
      </c>
    </row>
    <row r="666" spans="1:52" s="411" customFormat="1" x14ac:dyDescent="0.3">
      <c r="A666" s="415" t="str">
        <f t="shared" si="10"/>
        <v>SA-688 Gr.TP316L</v>
      </c>
      <c r="B666" s="415">
        <v>660</v>
      </c>
      <c r="C666" s="415" t="s">
        <v>3200</v>
      </c>
      <c r="D666" s="415" t="s">
        <v>2689</v>
      </c>
      <c r="E666" s="415" t="s">
        <v>2301</v>
      </c>
      <c r="F666" s="415" t="s">
        <v>2570</v>
      </c>
      <c r="G666" s="415" t="s">
        <v>3201</v>
      </c>
      <c r="H666" s="415">
        <v>0</v>
      </c>
      <c r="I666" s="415">
        <v>0</v>
      </c>
      <c r="J666" s="415">
        <v>8</v>
      </c>
      <c r="K666" s="415">
        <v>1</v>
      </c>
      <c r="L666" s="415">
        <v>485</v>
      </c>
      <c r="M666" s="415">
        <v>170</v>
      </c>
      <c r="N666" s="415" t="s">
        <v>2675</v>
      </c>
      <c r="O666" s="415" t="s">
        <v>2675</v>
      </c>
      <c r="P666" s="415">
        <v>454</v>
      </c>
      <c r="Q666" s="415">
        <v>343</v>
      </c>
      <c r="R666" s="415" t="s">
        <v>3203</v>
      </c>
      <c r="S666" s="415" t="s">
        <v>3004</v>
      </c>
      <c r="T666" s="416">
        <v>97.9</v>
      </c>
      <c r="U666" s="416">
        <v>97.9</v>
      </c>
      <c r="V666" s="416">
        <v>90.3</v>
      </c>
      <c r="W666" s="416">
        <v>82.1</v>
      </c>
      <c r="X666" s="416">
        <v>77.8</v>
      </c>
      <c r="Y666" s="416">
        <v>74.3</v>
      </c>
      <c r="Z666" s="416">
        <v>68.7</v>
      </c>
      <c r="AA666" s="416">
        <v>64.8</v>
      </c>
      <c r="AB666" s="416">
        <v>61.4</v>
      </c>
      <c r="AC666" s="416">
        <v>60.4</v>
      </c>
      <c r="AD666" s="416">
        <v>59.7</v>
      </c>
      <c r="AE666" s="416">
        <v>58.4</v>
      </c>
      <c r="AF666" s="416">
        <v>57.2</v>
      </c>
      <c r="AG666" s="416">
        <v>55.9</v>
      </c>
      <c r="AH666" s="416">
        <v>55.2</v>
      </c>
      <c r="AI666" s="416">
        <v>54.7</v>
      </c>
      <c r="AJ666" s="416">
        <v>0</v>
      </c>
      <c r="AK666" s="416">
        <v>0</v>
      </c>
      <c r="AL666" s="416">
        <v>0</v>
      </c>
      <c r="AM666" s="416">
        <v>0</v>
      </c>
      <c r="AN666" s="416">
        <v>0</v>
      </c>
      <c r="AO666" s="416">
        <v>0</v>
      </c>
      <c r="AP666" s="416">
        <v>0</v>
      </c>
      <c r="AQ666" s="416">
        <v>0</v>
      </c>
      <c r="AR666" s="416">
        <v>0</v>
      </c>
      <c r="AS666" s="416">
        <v>0</v>
      </c>
      <c r="AT666" s="416">
        <v>0</v>
      </c>
      <c r="AU666" s="416">
        <v>0</v>
      </c>
      <c r="AV666" s="416">
        <v>0</v>
      </c>
      <c r="AW666" s="416">
        <v>0</v>
      </c>
      <c r="AX666" s="416">
        <v>0</v>
      </c>
      <c r="AY666" s="416">
        <v>0</v>
      </c>
      <c r="AZ666" s="416">
        <v>0</v>
      </c>
    </row>
    <row r="667" spans="1:52" s="411" customFormat="1" x14ac:dyDescent="0.3">
      <c r="A667" s="415" t="str">
        <f t="shared" si="10"/>
        <v>SA-813 Gr.TP316L</v>
      </c>
      <c r="B667" s="415">
        <v>661</v>
      </c>
      <c r="C667" s="415" t="s">
        <v>3200</v>
      </c>
      <c r="D667" s="415" t="s">
        <v>2680</v>
      </c>
      <c r="E667" s="415" t="s">
        <v>2328</v>
      </c>
      <c r="F667" s="415" t="s">
        <v>2570</v>
      </c>
      <c r="G667" s="415" t="s">
        <v>3201</v>
      </c>
      <c r="H667" s="415">
        <v>0</v>
      </c>
      <c r="I667" s="415">
        <v>0</v>
      </c>
      <c r="J667" s="415">
        <v>8</v>
      </c>
      <c r="K667" s="415">
        <v>1</v>
      </c>
      <c r="L667" s="415">
        <v>485</v>
      </c>
      <c r="M667" s="415">
        <v>170</v>
      </c>
      <c r="N667" s="415" t="s">
        <v>2675</v>
      </c>
      <c r="O667" s="415">
        <v>427</v>
      </c>
      <c r="P667" s="415" t="s">
        <v>2675</v>
      </c>
      <c r="Q667" s="415" t="s">
        <v>2675</v>
      </c>
      <c r="R667" s="415" t="s">
        <v>3203</v>
      </c>
      <c r="S667" s="415" t="s">
        <v>3208</v>
      </c>
      <c r="T667" s="416">
        <v>115</v>
      </c>
      <c r="U667" s="416">
        <v>115</v>
      </c>
      <c r="V667" s="416">
        <v>115</v>
      </c>
      <c r="W667" s="416">
        <v>115</v>
      </c>
      <c r="X667" s="416">
        <v>115</v>
      </c>
      <c r="Y667" s="416">
        <v>115</v>
      </c>
      <c r="Z667" s="416">
        <v>109</v>
      </c>
      <c r="AA667" s="416">
        <v>103</v>
      </c>
      <c r="AB667" s="416">
        <v>98</v>
      </c>
      <c r="AC667" s="416">
        <v>95.7</v>
      </c>
      <c r="AD667" s="416">
        <v>94.1</v>
      </c>
      <c r="AE667" s="416">
        <v>92.8</v>
      </c>
      <c r="AF667" s="416">
        <v>90.9</v>
      </c>
      <c r="AG667" s="416">
        <v>89</v>
      </c>
      <c r="AH667" s="416">
        <v>87.8</v>
      </c>
      <c r="AI667" s="416">
        <v>0</v>
      </c>
      <c r="AJ667" s="416">
        <v>0</v>
      </c>
      <c r="AK667" s="416">
        <v>0</v>
      </c>
      <c r="AL667" s="416">
        <v>0</v>
      </c>
      <c r="AM667" s="416">
        <v>0</v>
      </c>
      <c r="AN667" s="416">
        <v>0</v>
      </c>
      <c r="AO667" s="416">
        <v>0</v>
      </c>
      <c r="AP667" s="416">
        <v>0</v>
      </c>
      <c r="AQ667" s="416">
        <v>0</v>
      </c>
      <c r="AR667" s="416">
        <v>0</v>
      </c>
      <c r="AS667" s="416">
        <v>0</v>
      </c>
      <c r="AT667" s="416">
        <v>0</v>
      </c>
      <c r="AU667" s="416">
        <v>0</v>
      </c>
      <c r="AV667" s="416">
        <v>0</v>
      </c>
      <c r="AW667" s="416">
        <v>0</v>
      </c>
      <c r="AX667" s="416">
        <v>0</v>
      </c>
      <c r="AY667" s="416">
        <v>0</v>
      </c>
      <c r="AZ667" s="416">
        <v>0</v>
      </c>
    </row>
    <row r="668" spans="1:52" s="411" customFormat="1" x14ac:dyDescent="0.3">
      <c r="A668" s="415" t="str">
        <f t="shared" si="10"/>
        <v>SA-814 Gr.TP316L</v>
      </c>
      <c r="B668" s="415">
        <v>662</v>
      </c>
      <c r="C668" s="415" t="s">
        <v>3200</v>
      </c>
      <c r="D668" s="415" t="s">
        <v>2680</v>
      </c>
      <c r="E668" s="415" t="s">
        <v>2330</v>
      </c>
      <c r="F668" s="415" t="s">
        <v>2570</v>
      </c>
      <c r="G668" s="415" t="s">
        <v>3201</v>
      </c>
      <c r="H668" s="415">
        <v>0</v>
      </c>
      <c r="I668" s="415">
        <v>0</v>
      </c>
      <c r="J668" s="415">
        <v>8</v>
      </c>
      <c r="K668" s="415">
        <v>1</v>
      </c>
      <c r="L668" s="415">
        <v>485</v>
      </c>
      <c r="M668" s="415">
        <v>170</v>
      </c>
      <c r="N668" s="415" t="s">
        <v>2675</v>
      </c>
      <c r="O668" s="415">
        <v>427</v>
      </c>
      <c r="P668" s="415" t="s">
        <v>2675</v>
      </c>
      <c r="Q668" s="415" t="s">
        <v>2675</v>
      </c>
      <c r="R668" s="415" t="s">
        <v>3203</v>
      </c>
      <c r="S668" s="415" t="s">
        <v>3208</v>
      </c>
      <c r="T668" s="416">
        <v>115</v>
      </c>
      <c r="U668" s="416">
        <v>115</v>
      </c>
      <c r="V668" s="416">
        <v>115</v>
      </c>
      <c r="W668" s="416">
        <v>115</v>
      </c>
      <c r="X668" s="416">
        <v>115</v>
      </c>
      <c r="Y668" s="416">
        <v>115</v>
      </c>
      <c r="Z668" s="416">
        <v>109</v>
      </c>
      <c r="AA668" s="416">
        <v>103</v>
      </c>
      <c r="AB668" s="416">
        <v>98</v>
      </c>
      <c r="AC668" s="416">
        <v>95.7</v>
      </c>
      <c r="AD668" s="416">
        <v>94.1</v>
      </c>
      <c r="AE668" s="416">
        <v>92.8</v>
      </c>
      <c r="AF668" s="416">
        <v>90.9</v>
      </c>
      <c r="AG668" s="416">
        <v>89</v>
      </c>
      <c r="AH668" s="416">
        <v>87.8</v>
      </c>
      <c r="AI668" s="416">
        <v>0</v>
      </c>
      <c r="AJ668" s="416">
        <v>0</v>
      </c>
      <c r="AK668" s="416">
        <v>0</v>
      </c>
      <c r="AL668" s="416">
        <v>0</v>
      </c>
      <c r="AM668" s="416">
        <v>0</v>
      </c>
      <c r="AN668" s="416">
        <v>0</v>
      </c>
      <c r="AO668" s="416">
        <v>0</v>
      </c>
      <c r="AP668" s="416">
        <v>0</v>
      </c>
      <c r="AQ668" s="416">
        <v>0</v>
      </c>
      <c r="AR668" s="416">
        <v>0</v>
      </c>
      <c r="AS668" s="416">
        <v>0</v>
      </c>
      <c r="AT668" s="416">
        <v>0</v>
      </c>
      <c r="AU668" s="416">
        <v>0</v>
      </c>
      <c r="AV668" s="416">
        <v>0</v>
      </c>
      <c r="AW668" s="416">
        <v>0</v>
      </c>
      <c r="AX668" s="416">
        <v>0</v>
      </c>
      <c r="AY668" s="416">
        <v>0</v>
      </c>
      <c r="AZ668" s="416">
        <v>0</v>
      </c>
    </row>
    <row r="669" spans="1:52" s="411" customFormat="1" x14ac:dyDescent="0.3">
      <c r="A669" s="415" t="str">
        <f t="shared" si="10"/>
        <v>SA-351 Gr.CF3M</v>
      </c>
      <c r="B669" s="415">
        <v>663</v>
      </c>
      <c r="C669" s="415" t="s">
        <v>3200</v>
      </c>
      <c r="D669" s="415" t="s">
        <v>2739</v>
      </c>
      <c r="E669" s="415" t="s">
        <v>2213</v>
      </c>
      <c r="F669" s="415" t="s">
        <v>2374</v>
      </c>
      <c r="G669" s="415" t="s">
        <v>3215</v>
      </c>
      <c r="H669" s="415">
        <v>0</v>
      </c>
      <c r="I669" s="415">
        <v>0</v>
      </c>
      <c r="J669" s="415">
        <v>8</v>
      </c>
      <c r="K669" s="415">
        <v>1</v>
      </c>
      <c r="L669" s="415">
        <v>485</v>
      </c>
      <c r="M669" s="415">
        <v>205</v>
      </c>
      <c r="N669" s="415" t="s">
        <v>2675</v>
      </c>
      <c r="O669" s="415">
        <v>427</v>
      </c>
      <c r="P669" s="415">
        <v>454</v>
      </c>
      <c r="Q669" s="415">
        <v>343</v>
      </c>
      <c r="R669" s="415" t="s">
        <v>3203</v>
      </c>
      <c r="S669" s="415" t="s">
        <v>3216</v>
      </c>
      <c r="T669" s="416">
        <v>138</v>
      </c>
      <c r="U669" s="416">
        <v>138</v>
      </c>
      <c r="V669" s="416">
        <v>138</v>
      </c>
      <c r="W669" s="416">
        <v>138</v>
      </c>
      <c r="X669" s="416">
        <v>136</v>
      </c>
      <c r="Y669" s="416">
        <v>134</v>
      </c>
      <c r="Z669" s="416">
        <v>133</v>
      </c>
      <c r="AA669" s="416">
        <v>125</v>
      </c>
      <c r="AB669" s="416">
        <v>119</v>
      </c>
      <c r="AC669" s="416">
        <v>116</v>
      </c>
      <c r="AD669" s="416">
        <v>114</v>
      </c>
      <c r="AE669" s="416">
        <v>112</v>
      </c>
      <c r="AF669" s="416">
        <v>111</v>
      </c>
      <c r="AG669" s="416">
        <v>110</v>
      </c>
      <c r="AH669" s="416">
        <v>108</v>
      </c>
      <c r="AI669" s="416">
        <v>107</v>
      </c>
      <c r="AJ669" s="416">
        <v>0</v>
      </c>
      <c r="AK669" s="416">
        <v>0</v>
      </c>
      <c r="AL669" s="416">
        <v>0</v>
      </c>
      <c r="AM669" s="416">
        <v>0</v>
      </c>
      <c r="AN669" s="416">
        <v>0</v>
      </c>
      <c r="AO669" s="416">
        <v>0</v>
      </c>
      <c r="AP669" s="416">
        <v>0</v>
      </c>
      <c r="AQ669" s="416">
        <v>0</v>
      </c>
      <c r="AR669" s="416">
        <v>0</v>
      </c>
      <c r="AS669" s="416">
        <v>0</v>
      </c>
      <c r="AT669" s="416">
        <v>0</v>
      </c>
      <c r="AU669" s="416">
        <v>0</v>
      </c>
      <c r="AV669" s="416">
        <v>0</v>
      </c>
      <c r="AW669" s="416">
        <v>0</v>
      </c>
      <c r="AX669" s="416">
        <v>0</v>
      </c>
      <c r="AY669" s="416">
        <v>0</v>
      </c>
      <c r="AZ669" s="416">
        <v>0</v>
      </c>
    </row>
    <row r="670" spans="1:52" s="411" customFormat="1" x14ac:dyDescent="0.3">
      <c r="A670" s="415" t="str">
        <f t="shared" si="10"/>
        <v>SA-351 Gr.CF3M</v>
      </c>
      <c r="B670" s="415">
        <v>664</v>
      </c>
      <c r="C670" s="415" t="s">
        <v>3200</v>
      </c>
      <c r="D670" s="415" t="s">
        <v>2739</v>
      </c>
      <c r="E670" s="415" t="s">
        <v>2213</v>
      </c>
      <c r="F670" s="415" t="s">
        <v>2374</v>
      </c>
      <c r="G670" s="415" t="s">
        <v>3215</v>
      </c>
      <c r="H670" s="415">
        <v>0</v>
      </c>
      <c r="I670" s="415">
        <v>0</v>
      </c>
      <c r="J670" s="415">
        <v>8</v>
      </c>
      <c r="K670" s="415">
        <v>1</v>
      </c>
      <c r="L670" s="415">
        <v>485</v>
      </c>
      <c r="M670" s="415">
        <v>205</v>
      </c>
      <c r="N670" s="415" t="s">
        <v>2675</v>
      </c>
      <c r="O670" s="415" t="s">
        <v>2675</v>
      </c>
      <c r="P670" s="415">
        <v>454</v>
      </c>
      <c r="Q670" s="415">
        <v>343</v>
      </c>
      <c r="R670" s="415" t="s">
        <v>3203</v>
      </c>
      <c r="S670" s="415" t="s">
        <v>3217</v>
      </c>
      <c r="T670" s="416">
        <v>138</v>
      </c>
      <c r="U670" s="416">
        <v>138</v>
      </c>
      <c r="V670" s="416">
        <v>128</v>
      </c>
      <c r="W670" s="416">
        <v>117</v>
      </c>
      <c r="X670" s="416">
        <v>111</v>
      </c>
      <c r="Y670" s="416">
        <v>107</v>
      </c>
      <c r="Z670" s="416">
        <v>98.5</v>
      </c>
      <c r="AA670" s="416">
        <v>92.7</v>
      </c>
      <c r="AB670" s="416">
        <v>88.2</v>
      </c>
      <c r="AC670" s="416">
        <v>86.1</v>
      </c>
      <c r="AD670" s="416">
        <v>84.4</v>
      </c>
      <c r="AE670" s="416">
        <v>83.2</v>
      </c>
      <c r="AF670" s="416">
        <v>82</v>
      </c>
      <c r="AG670" s="416">
        <v>81.099999999999994</v>
      </c>
      <c r="AH670" s="416">
        <v>80.2</v>
      </c>
      <c r="AI670" s="416">
        <v>79.5</v>
      </c>
      <c r="AJ670" s="416">
        <v>0</v>
      </c>
      <c r="AK670" s="416">
        <v>0</v>
      </c>
      <c r="AL670" s="416">
        <v>0</v>
      </c>
      <c r="AM670" s="416">
        <v>0</v>
      </c>
      <c r="AN670" s="416">
        <v>0</v>
      </c>
      <c r="AO670" s="416">
        <v>0</v>
      </c>
      <c r="AP670" s="416">
        <v>0</v>
      </c>
      <c r="AQ670" s="416">
        <v>0</v>
      </c>
      <c r="AR670" s="416">
        <v>0</v>
      </c>
      <c r="AS670" s="416">
        <v>0</v>
      </c>
      <c r="AT670" s="416">
        <v>0</v>
      </c>
      <c r="AU670" s="416">
        <v>0</v>
      </c>
      <c r="AV670" s="416">
        <v>0</v>
      </c>
      <c r="AW670" s="416">
        <v>0</v>
      </c>
      <c r="AX670" s="416">
        <v>0</v>
      </c>
      <c r="AY670" s="416">
        <v>0</v>
      </c>
      <c r="AZ670" s="416">
        <v>0</v>
      </c>
    </row>
    <row r="671" spans="1:52" s="411" customFormat="1" x14ac:dyDescent="0.3">
      <c r="A671" s="415" t="str">
        <f t="shared" si="10"/>
        <v>SA-451 Gr.CPF3M</v>
      </c>
      <c r="B671" s="415">
        <v>665</v>
      </c>
      <c r="C671" s="415" t="s">
        <v>3200</v>
      </c>
      <c r="D671" s="415" t="s">
        <v>2746</v>
      </c>
      <c r="E671" s="415" t="s">
        <v>2241</v>
      </c>
      <c r="F671" s="415" t="s">
        <v>2404</v>
      </c>
      <c r="G671" s="415" t="s">
        <v>3215</v>
      </c>
      <c r="H671" s="415">
        <v>0</v>
      </c>
      <c r="I671" s="415">
        <v>0</v>
      </c>
      <c r="J671" s="415">
        <v>8</v>
      </c>
      <c r="K671" s="415">
        <v>1</v>
      </c>
      <c r="L671" s="415">
        <v>485</v>
      </c>
      <c r="M671" s="415">
        <v>205</v>
      </c>
      <c r="N671" s="415" t="s">
        <v>2675</v>
      </c>
      <c r="O671" s="415">
        <v>427</v>
      </c>
      <c r="P671" s="415" t="s">
        <v>2675</v>
      </c>
      <c r="Q671" s="415" t="s">
        <v>2675</v>
      </c>
      <c r="R671" s="415" t="s">
        <v>3203</v>
      </c>
      <c r="S671" s="415" t="s">
        <v>3218</v>
      </c>
      <c r="T671" s="416">
        <v>138</v>
      </c>
      <c r="U671" s="416">
        <v>138</v>
      </c>
      <c r="V671" s="416">
        <v>138</v>
      </c>
      <c r="W671" s="416">
        <v>138</v>
      </c>
      <c r="X671" s="416">
        <v>136</v>
      </c>
      <c r="Y671" s="416">
        <v>134</v>
      </c>
      <c r="Z671" s="416">
        <v>133</v>
      </c>
      <c r="AA671" s="416">
        <v>125</v>
      </c>
      <c r="AB671" s="416">
        <v>119</v>
      </c>
      <c r="AC671" s="416">
        <v>116</v>
      </c>
      <c r="AD671" s="416">
        <v>114</v>
      </c>
      <c r="AE671" s="416">
        <v>112</v>
      </c>
      <c r="AF671" s="416">
        <v>111</v>
      </c>
      <c r="AG671" s="416">
        <v>110</v>
      </c>
      <c r="AH671" s="416">
        <v>108</v>
      </c>
      <c r="AI671" s="416">
        <v>0</v>
      </c>
      <c r="AJ671" s="416">
        <v>0</v>
      </c>
      <c r="AK671" s="416">
        <v>0</v>
      </c>
      <c r="AL671" s="416">
        <v>0</v>
      </c>
      <c r="AM671" s="416">
        <v>0</v>
      </c>
      <c r="AN671" s="416">
        <v>0</v>
      </c>
      <c r="AO671" s="416">
        <v>0</v>
      </c>
      <c r="AP671" s="416">
        <v>0</v>
      </c>
      <c r="AQ671" s="416">
        <v>0</v>
      </c>
      <c r="AR671" s="416">
        <v>0</v>
      </c>
      <c r="AS671" s="416">
        <v>0</v>
      </c>
      <c r="AT671" s="416">
        <v>0</v>
      </c>
      <c r="AU671" s="416">
        <v>0</v>
      </c>
      <c r="AV671" s="416">
        <v>0</v>
      </c>
      <c r="AW671" s="416">
        <v>0</v>
      </c>
      <c r="AX671" s="416">
        <v>0</v>
      </c>
      <c r="AY671" s="416">
        <v>0</v>
      </c>
      <c r="AZ671" s="416">
        <v>0</v>
      </c>
    </row>
    <row r="672" spans="1:52" s="411" customFormat="1" x14ac:dyDescent="0.3">
      <c r="A672" s="415" t="str">
        <f t="shared" si="10"/>
        <v>SA-351 Gr.CF8M</v>
      </c>
      <c r="B672" s="415">
        <v>666</v>
      </c>
      <c r="C672" s="415" t="s">
        <v>3200</v>
      </c>
      <c r="D672" s="415" t="s">
        <v>2739</v>
      </c>
      <c r="E672" s="415" t="s">
        <v>2213</v>
      </c>
      <c r="F672" s="415" t="s">
        <v>2378</v>
      </c>
      <c r="G672" s="415" t="s">
        <v>3219</v>
      </c>
      <c r="H672" s="415">
        <v>0</v>
      </c>
      <c r="I672" s="415">
        <v>0</v>
      </c>
      <c r="J672" s="415">
        <v>8</v>
      </c>
      <c r="K672" s="415">
        <v>1</v>
      </c>
      <c r="L672" s="415">
        <v>485</v>
      </c>
      <c r="M672" s="415">
        <v>205</v>
      </c>
      <c r="N672" s="415">
        <v>816</v>
      </c>
      <c r="O672" s="415">
        <v>427</v>
      </c>
      <c r="P672" s="415">
        <v>816</v>
      </c>
      <c r="Q672" s="415">
        <v>343</v>
      </c>
      <c r="R672" s="415" t="s">
        <v>3069</v>
      </c>
      <c r="S672" s="415" t="s">
        <v>3220</v>
      </c>
      <c r="T672" s="416">
        <v>138</v>
      </c>
      <c r="U672" s="416">
        <v>138</v>
      </c>
      <c r="V672" s="416">
        <v>138</v>
      </c>
      <c r="W672" s="416">
        <v>138</v>
      </c>
      <c r="X672" s="416">
        <v>136</v>
      </c>
      <c r="Y672" s="416">
        <v>134</v>
      </c>
      <c r="Z672" s="416">
        <v>133</v>
      </c>
      <c r="AA672" s="416">
        <v>125</v>
      </c>
      <c r="AB672" s="416">
        <v>119</v>
      </c>
      <c r="AC672" s="416">
        <v>116</v>
      </c>
      <c r="AD672" s="416">
        <v>114</v>
      </c>
      <c r="AE672" s="416">
        <v>112</v>
      </c>
      <c r="AF672" s="416">
        <v>111</v>
      </c>
      <c r="AG672" s="416">
        <v>110</v>
      </c>
      <c r="AH672" s="416">
        <v>108</v>
      </c>
      <c r="AI672" s="416">
        <v>107</v>
      </c>
      <c r="AJ672" s="416">
        <v>107</v>
      </c>
      <c r="AK672" s="416">
        <v>104</v>
      </c>
      <c r="AL672" s="416">
        <v>94.7</v>
      </c>
      <c r="AM672" s="416">
        <v>73.7</v>
      </c>
      <c r="AN672" s="416">
        <v>57.9</v>
      </c>
      <c r="AO672" s="416">
        <v>46</v>
      </c>
      <c r="AP672" s="416">
        <v>36.9</v>
      </c>
      <c r="AQ672" s="416">
        <v>30.1</v>
      </c>
      <c r="AR672" s="416">
        <v>24.3</v>
      </c>
      <c r="AS672" s="416">
        <v>20.3</v>
      </c>
      <c r="AT672" s="416">
        <v>17</v>
      </c>
      <c r="AU672" s="416">
        <v>14.3</v>
      </c>
      <c r="AV672" s="416">
        <v>12.1</v>
      </c>
      <c r="AW672" s="416">
        <v>10.3</v>
      </c>
      <c r="AX672" s="416">
        <v>0</v>
      </c>
      <c r="AY672" s="416">
        <v>0</v>
      </c>
      <c r="AZ672" s="416">
        <v>0</v>
      </c>
    </row>
    <row r="673" spans="1:52" s="411" customFormat="1" x14ac:dyDescent="0.3">
      <c r="A673" s="415" t="str">
        <f t="shared" si="10"/>
        <v>SA-351 Gr.CF8M</v>
      </c>
      <c r="B673" s="415">
        <v>667</v>
      </c>
      <c r="C673" s="415" t="s">
        <v>3200</v>
      </c>
      <c r="D673" s="415" t="s">
        <v>2739</v>
      </c>
      <c r="E673" s="415" t="s">
        <v>2213</v>
      </c>
      <c r="F673" s="415" t="s">
        <v>2378</v>
      </c>
      <c r="G673" s="415" t="s">
        <v>3219</v>
      </c>
      <c r="H673" s="415">
        <v>0</v>
      </c>
      <c r="I673" s="415">
        <v>0</v>
      </c>
      <c r="J673" s="415">
        <v>8</v>
      </c>
      <c r="K673" s="415">
        <v>1</v>
      </c>
      <c r="L673" s="415">
        <v>485</v>
      </c>
      <c r="M673" s="415">
        <v>205</v>
      </c>
      <c r="N673" s="415">
        <v>816</v>
      </c>
      <c r="O673" s="415" t="s">
        <v>2675</v>
      </c>
      <c r="P673" s="415">
        <v>816</v>
      </c>
      <c r="Q673" s="415">
        <v>343</v>
      </c>
      <c r="R673" s="415" t="s">
        <v>3069</v>
      </c>
      <c r="S673" s="415" t="s">
        <v>3221</v>
      </c>
      <c r="T673" s="416">
        <v>138</v>
      </c>
      <c r="U673" s="416">
        <v>138</v>
      </c>
      <c r="V673" s="416">
        <v>128</v>
      </c>
      <c r="W673" s="416">
        <v>117</v>
      </c>
      <c r="X673" s="416">
        <v>111</v>
      </c>
      <c r="Y673" s="416">
        <v>107</v>
      </c>
      <c r="Z673" s="416">
        <v>98.5</v>
      </c>
      <c r="AA673" s="416">
        <v>92.7</v>
      </c>
      <c r="AB673" s="416">
        <v>88.2</v>
      </c>
      <c r="AC673" s="416">
        <v>86.1</v>
      </c>
      <c r="AD673" s="416">
        <v>84.4</v>
      </c>
      <c r="AE673" s="416">
        <v>83.2</v>
      </c>
      <c r="AF673" s="416">
        <v>82</v>
      </c>
      <c r="AG673" s="416">
        <v>81.099999999999994</v>
      </c>
      <c r="AH673" s="416">
        <v>80.2</v>
      </c>
      <c r="AI673" s="416">
        <v>79.5</v>
      </c>
      <c r="AJ673" s="416">
        <v>78.900000000000006</v>
      </c>
      <c r="AK673" s="416">
        <v>78.2</v>
      </c>
      <c r="AL673" s="416">
        <v>77.599999999999994</v>
      </c>
      <c r="AM673" s="416">
        <v>73.7</v>
      </c>
      <c r="AN673" s="416">
        <v>57.9</v>
      </c>
      <c r="AO673" s="416">
        <v>46</v>
      </c>
      <c r="AP673" s="416">
        <v>36.9</v>
      </c>
      <c r="AQ673" s="416">
        <v>30.1</v>
      </c>
      <c r="AR673" s="416">
        <v>24.3</v>
      </c>
      <c r="AS673" s="416">
        <v>20.3</v>
      </c>
      <c r="AT673" s="416">
        <v>17</v>
      </c>
      <c r="AU673" s="416">
        <v>14.3</v>
      </c>
      <c r="AV673" s="416">
        <v>12.1</v>
      </c>
      <c r="AW673" s="416">
        <v>10.3</v>
      </c>
      <c r="AX673" s="416">
        <v>0</v>
      </c>
      <c r="AY673" s="416">
        <v>0</v>
      </c>
      <c r="AZ673" s="416">
        <v>0</v>
      </c>
    </row>
    <row r="674" spans="1:52" s="411" customFormat="1" x14ac:dyDescent="0.3">
      <c r="A674" s="415" t="str">
        <f t="shared" si="10"/>
        <v>SA-451 Gr.CPF8M</v>
      </c>
      <c r="B674" s="415">
        <v>668</v>
      </c>
      <c r="C674" s="415" t="s">
        <v>3200</v>
      </c>
      <c r="D674" s="415" t="s">
        <v>2746</v>
      </c>
      <c r="E674" s="415" t="s">
        <v>2241</v>
      </c>
      <c r="F674" s="415" t="s">
        <v>2408</v>
      </c>
      <c r="G674" s="415" t="s">
        <v>3219</v>
      </c>
      <c r="H674" s="415">
        <v>0</v>
      </c>
      <c r="I674" s="415">
        <v>0</v>
      </c>
      <c r="J674" s="415">
        <v>8</v>
      </c>
      <c r="K674" s="415">
        <v>1</v>
      </c>
      <c r="L674" s="415">
        <v>485</v>
      </c>
      <c r="M674" s="415">
        <v>205</v>
      </c>
      <c r="N674" s="415" t="s">
        <v>2675</v>
      </c>
      <c r="O674" s="415">
        <v>427</v>
      </c>
      <c r="P674" s="415" t="s">
        <v>2675</v>
      </c>
      <c r="Q674" s="415" t="s">
        <v>2675</v>
      </c>
      <c r="R674" s="415" t="s">
        <v>3069</v>
      </c>
      <c r="S674" s="415" t="s">
        <v>3218</v>
      </c>
      <c r="T674" s="416">
        <v>138</v>
      </c>
      <c r="U674" s="416">
        <v>138</v>
      </c>
      <c r="V674" s="416">
        <v>138</v>
      </c>
      <c r="W674" s="416">
        <v>138</v>
      </c>
      <c r="X674" s="416">
        <v>136</v>
      </c>
      <c r="Y674" s="416">
        <v>134</v>
      </c>
      <c r="Z674" s="416">
        <v>133</v>
      </c>
      <c r="AA674" s="416">
        <v>125</v>
      </c>
      <c r="AB674" s="416">
        <v>119</v>
      </c>
      <c r="AC674" s="416">
        <v>116</v>
      </c>
      <c r="AD674" s="416">
        <v>114</v>
      </c>
      <c r="AE674" s="416">
        <v>112</v>
      </c>
      <c r="AF674" s="416">
        <v>111</v>
      </c>
      <c r="AG674" s="416">
        <v>110</v>
      </c>
      <c r="AH674" s="416">
        <v>108</v>
      </c>
      <c r="AI674" s="416">
        <v>0</v>
      </c>
      <c r="AJ674" s="416">
        <v>0</v>
      </c>
      <c r="AK674" s="416">
        <v>0</v>
      </c>
      <c r="AL674" s="416">
        <v>0</v>
      </c>
      <c r="AM674" s="416">
        <v>0</v>
      </c>
      <c r="AN674" s="416">
        <v>0</v>
      </c>
      <c r="AO674" s="416">
        <v>0</v>
      </c>
      <c r="AP674" s="416">
        <v>0</v>
      </c>
      <c r="AQ674" s="416">
        <v>0</v>
      </c>
      <c r="AR674" s="416">
        <v>0</v>
      </c>
      <c r="AS674" s="416">
        <v>0</v>
      </c>
      <c r="AT674" s="416">
        <v>0</v>
      </c>
      <c r="AU674" s="416">
        <v>0</v>
      </c>
      <c r="AV674" s="416">
        <v>0</v>
      </c>
      <c r="AW674" s="416">
        <v>0</v>
      </c>
      <c r="AX674" s="416">
        <v>0</v>
      </c>
      <c r="AY674" s="416">
        <v>0</v>
      </c>
      <c r="AZ674" s="416">
        <v>0</v>
      </c>
    </row>
    <row r="675" spans="1:52" s="411" customFormat="1" x14ac:dyDescent="0.3">
      <c r="A675" s="415" t="str">
        <f t="shared" si="10"/>
        <v>SA-182 Gr.F316</v>
      </c>
      <c r="B675" s="415">
        <v>669</v>
      </c>
      <c r="C675" s="415" t="s">
        <v>3200</v>
      </c>
      <c r="D675" s="415" t="s">
        <v>2737</v>
      </c>
      <c r="E675" s="415" t="s">
        <v>2188</v>
      </c>
      <c r="F675" s="415" t="s">
        <v>140</v>
      </c>
      <c r="G675" s="415" t="s">
        <v>3222</v>
      </c>
      <c r="H675" s="415">
        <v>0</v>
      </c>
      <c r="I675" s="415" t="s">
        <v>3202</v>
      </c>
      <c r="J675" s="415">
        <v>8</v>
      </c>
      <c r="K675" s="415">
        <v>1</v>
      </c>
      <c r="L675" s="415">
        <v>485</v>
      </c>
      <c r="M675" s="415">
        <v>205</v>
      </c>
      <c r="N675" s="415">
        <v>816</v>
      </c>
      <c r="O675" s="415">
        <v>427</v>
      </c>
      <c r="P675" s="415">
        <v>816</v>
      </c>
      <c r="Q675" s="415">
        <v>343</v>
      </c>
      <c r="R675" s="415" t="s">
        <v>3069</v>
      </c>
      <c r="S675" s="415" t="s">
        <v>3223</v>
      </c>
      <c r="T675" s="416">
        <v>138</v>
      </c>
      <c r="U675" s="416">
        <v>138</v>
      </c>
      <c r="V675" s="416">
        <v>138</v>
      </c>
      <c r="W675" s="416">
        <v>138</v>
      </c>
      <c r="X675" s="416">
        <v>136</v>
      </c>
      <c r="Y675" s="416">
        <v>134</v>
      </c>
      <c r="Z675" s="416">
        <v>133</v>
      </c>
      <c r="AA675" s="416">
        <v>126</v>
      </c>
      <c r="AB675" s="416">
        <v>119</v>
      </c>
      <c r="AC675" s="416">
        <v>116</v>
      </c>
      <c r="AD675" s="416">
        <v>114</v>
      </c>
      <c r="AE675" s="416">
        <v>112</v>
      </c>
      <c r="AF675" s="416">
        <v>111</v>
      </c>
      <c r="AG675" s="416">
        <v>110</v>
      </c>
      <c r="AH675" s="416">
        <v>108</v>
      </c>
      <c r="AI675" s="416">
        <v>108</v>
      </c>
      <c r="AJ675" s="416">
        <v>107</v>
      </c>
      <c r="AK675" s="416">
        <v>106</v>
      </c>
      <c r="AL675" s="416">
        <v>105</v>
      </c>
      <c r="AM675" s="416">
        <v>99.8</v>
      </c>
      <c r="AN675" s="416">
        <v>80.3</v>
      </c>
      <c r="AO675" s="416">
        <v>65.5</v>
      </c>
      <c r="AP675" s="416">
        <v>50.4</v>
      </c>
      <c r="AQ675" s="416">
        <v>38.6</v>
      </c>
      <c r="AR675" s="416">
        <v>29.6</v>
      </c>
      <c r="AS675" s="416">
        <v>23</v>
      </c>
      <c r="AT675" s="416">
        <v>17.7</v>
      </c>
      <c r="AU675" s="416">
        <v>13.4</v>
      </c>
      <c r="AV675" s="416">
        <v>10.4</v>
      </c>
      <c r="AW675" s="416">
        <v>8.0500000000000007</v>
      </c>
      <c r="AX675" s="416">
        <v>0</v>
      </c>
      <c r="AY675" s="416">
        <v>0</v>
      </c>
      <c r="AZ675" s="416">
        <v>0</v>
      </c>
    </row>
    <row r="676" spans="1:52" s="411" customFormat="1" x14ac:dyDescent="0.3">
      <c r="A676" s="415" t="str">
        <f t="shared" si="10"/>
        <v>SA-182 Gr.F316</v>
      </c>
      <c r="B676" s="415">
        <v>670</v>
      </c>
      <c r="C676" s="415" t="s">
        <v>3200</v>
      </c>
      <c r="D676" s="415" t="s">
        <v>2737</v>
      </c>
      <c r="E676" s="415" t="s">
        <v>2188</v>
      </c>
      <c r="F676" s="415" t="s">
        <v>140</v>
      </c>
      <c r="G676" s="415" t="s">
        <v>3222</v>
      </c>
      <c r="H676" s="415">
        <v>0</v>
      </c>
      <c r="I676" s="415" t="s">
        <v>3202</v>
      </c>
      <c r="J676" s="415">
        <v>8</v>
      </c>
      <c r="K676" s="415">
        <v>1</v>
      </c>
      <c r="L676" s="415">
        <v>485</v>
      </c>
      <c r="M676" s="415">
        <v>205</v>
      </c>
      <c r="N676" s="415">
        <v>816</v>
      </c>
      <c r="O676" s="415" t="s">
        <v>2675</v>
      </c>
      <c r="P676" s="415">
        <v>816</v>
      </c>
      <c r="Q676" s="415">
        <v>343</v>
      </c>
      <c r="R676" s="415" t="s">
        <v>3069</v>
      </c>
      <c r="S676" s="415" t="s">
        <v>3224</v>
      </c>
      <c r="T676" s="416">
        <v>138</v>
      </c>
      <c r="U676" s="416">
        <v>138</v>
      </c>
      <c r="V676" s="416">
        <v>128</v>
      </c>
      <c r="W676" s="416">
        <v>118</v>
      </c>
      <c r="X676" s="416">
        <v>112</v>
      </c>
      <c r="Y676" s="416">
        <v>107</v>
      </c>
      <c r="Z676" s="416">
        <v>99.2</v>
      </c>
      <c r="AA676" s="416">
        <v>92.8</v>
      </c>
      <c r="AB676" s="416">
        <v>88.1</v>
      </c>
      <c r="AC676" s="416">
        <v>86.1</v>
      </c>
      <c r="AD676" s="416">
        <v>84.1</v>
      </c>
      <c r="AE676" s="416">
        <v>82.9</v>
      </c>
      <c r="AF676" s="416">
        <v>82</v>
      </c>
      <c r="AG676" s="416">
        <v>81.400000000000006</v>
      </c>
      <c r="AH676" s="416">
        <v>80.599999999999994</v>
      </c>
      <c r="AI676" s="416">
        <v>79.8</v>
      </c>
      <c r="AJ676" s="416">
        <v>79.2</v>
      </c>
      <c r="AK676" s="416">
        <v>78.7</v>
      </c>
      <c r="AL676" s="416">
        <v>77.8</v>
      </c>
      <c r="AM676" s="416">
        <v>77.099999999999994</v>
      </c>
      <c r="AN676" s="416">
        <v>75</v>
      </c>
      <c r="AO676" s="416">
        <v>65.5</v>
      </c>
      <c r="AP676" s="416">
        <v>50.4</v>
      </c>
      <c r="AQ676" s="416">
        <v>38.6</v>
      </c>
      <c r="AR676" s="416">
        <v>29.6</v>
      </c>
      <c r="AS676" s="416">
        <v>23</v>
      </c>
      <c r="AT676" s="416">
        <v>17.7</v>
      </c>
      <c r="AU676" s="416">
        <v>13.4</v>
      </c>
      <c r="AV676" s="416">
        <v>10.4</v>
      </c>
      <c r="AW676" s="416">
        <v>8.0500000000000007</v>
      </c>
      <c r="AX676" s="416">
        <v>0</v>
      </c>
      <c r="AY676" s="416">
        <v>0</v>
      </c>
      <c r="AZ676" s="416">
        <v>0</v>
      </c>
    </row>
    <row r="677" spans="1:52" s="411" customFormat="1" x14ac:dyDescent="0.3">
      <c r="A677" s="415" t="str">
        <f t="shared" si="10"/>
        <v>SA-965 Gr.F316</v>
      </c>
      <c r="B677" s="415">
        <v>671</v>
      </c>
      <c r="C677" s="415" t="s">
        <v>3200</v>
      </c>
      <c r="D677" s="415" t="s">
        <v>2737</v>
      </c>
      <c r="E677" s="415" t="s">
        <v>2337</v>
      </c>
      <c r="F677" s="415" t="s">
        <v>140</v>
      </c>
      <c r="G677" s="415" t="s">
        <v>3222</v>
      </c>
      <c r="H677" s="415">
        <v>0</v>
      </c>
      <c r="I677" s="415">
        <v>0</v>
      </c>
      <c r="J677" s="415">
        <v>8</v>
      </c>
      <c r="K677" s="415">
        <v>1</v>
      </c>
      <c r="L677" s="415">
        <v>485</v>
      </c>
      <c r="M677" s="415">
        <v>205</v>
      </c>
      <c r="N677" s="415">
        <v>816</v>
      </c>
      <c r="O677" s="415">
        <v>427</v>
      </c>
      <c r="P677" s="415">
        <v>816</v>
      </c>
      <c r="Q677" s="415">
        <v>343</v>
      </c>
      <c r="R677" s="415" t="s">
        <v>3069</v>
      </c>
      <c r="S677" s="415" t="s">
        <v>3223</v>
      </c>
      <c r="T677" s="416">
        <v>138</v>
      </c>
      <c r="U677" s="416">
        <v>138</v>
      </c>
      <c r="V677" s="416">
        <v>138</v>
      </c>
      <c r="W677" s="416">
        <v>138</v>
      </c>
      <c r="X677" s="416">
        <v>136</v>
      </c>
      <c r="Y677" s="416">
        <v>134</v>
      </c>
      <c r="Z677" s="416">
        <v>133</v>
      </c>
      <c r="AA677" s="416">
        <v>126</v>
      </c>
      <c r="AB677" s="416">
        <v>119</v>
      </c>
      <c r="AC677" s="416">
        <v>116</v>
      </c>
      <c r="AD677" s="416">
        <v>114</v>
      </c>
      <c r="AE677" s="416">
        <v>112</v>
      </c>
      <c r="AF677" s="416">
        <v>111</v>
      </c>
      <c r="AG677" s="416">
        <v>110</v>
      </c>
      <c r="AH677" s="416">
        <v>108</v>
      </c>
      <c r="AI677" s="416">
        <v>108</v>
      </c>
      <c r="AJ677" s="416">
        <v>107</v>
      </c>
      <c r="AK677" s="416">
        <v>106</v>
      </c>
      <c r="AL677" s="416">
        <v>105</v>
      </c>
      <c r="AM677" s="416">
        <v>99.8</v>
      </c>
      <c r="AN677" s="416">
        <v>80.3</v>
      </c>
      <c r="AO677" s="416">
        <v>65.5</v>
      </c>
      <c r="AP677" s="416">
        <v>50.4</v>
      </c>
      <c r="AQ677" s="416">
        <v>38.6</v>
      </c>
      <c r="AR677" s="416">
        <v>29.6</v>
      </c>
      <c r="AS677" s="416">
        <v>23</v>
      </c>
      <c r="AT677" s="416">
        <v>17.7</v>
      </c>
      <c r="AU677" s="416">
        <v>13.4</v>
      </c>
      <c r="AV677" s="416">
        <v>10.4</v>
      </c>
      <c r="AW677" s="416">
        <v>8.0500000000000007</v>
      </c>
      <c r="AX677" s="416">
        <v>0</v>
      </c>
      <c r="AY677" s="416">
        <v>0</v>
      </c>
      <c r="AZ677" s="416">
        <v>0</v>
      </c>
    </row>
    <row r="678" spans="1:52" s="411" customFormat="1" x14ac:dyDescent="0.3">
      <c r="A678" s="415" t="str">
        <f t="shared" si="10"/>
        <v>SA-965 Gr.F316</v>
      </c>
      <c r="B678" s="415">
        <v>672</v>
      </c>
      <c r="C678" s="415" t="s">
        <v>3200</v>
      </c>
      <c r="D678" s="415" t="s">
        <v>2737</v>
      </c>
      <c r="E678" s="415" t="s">
        <v>2337</v>
      </c>
      <c r="F678" s="415" t="s">
        <v>140</v>
      </c>
      <c r="G678" s="415" t="s">
        <v>3222</v>
      </c>
      <c r="H678" s="415">
        <v>0</v>
      </c>
      <c r="I678" s="415">
        <v>0</v>
      </c>
      <c r="J678" s="415">
        <v>8</v>
      </c>
      <c r="K678" s="415">
        <v>1</v>
      </c>
      <c r="L678" s="415">
        <v>485</v>
      </c>
      <c r="M678" s="415">
        <v>205</v>
      </c>
      <c r="N678" s="415">
        <v>816</v>
      </c>
      <c r="O678" s="415" t="s">
        <v>2675</v>
      </c>
      <c r="P678" s="415">
        <v>816</v>
      </c>
      <c r="Q678" s="415">
        <v>343</v>
      </c>
      <c r="R678" s="415" t="s">
        <v>3069</v>
      </c>
      <c r="S678" s="415" t="s">
        <v>3224</v>
      </c>
      <c r="T678" s="416">
        <v>138</v>
      </c>
      <c r="U678" s="416">
        <v>138</v>
      </c>
      <c r="V678" s="416">
        <v>128</v>
      </c>
      <c r="W678" s="416">
        <v>118</v>
      </c>
      <c r="X678" s="416">
        <v>112</v>
      </c>
      <c r="Y678" s="416">
        <v>107</v>
      </c>
      <c r="Z678" s="416">
        <v>99.2</v>
      </c>
      <c r="AA678" s="416">
        <v>92.8</v>
      </c>
      <c r="AB678" s="416">
        <v>88.1</v>
      </c>
      <c r="AC678" s="416">
        <v>86.1</v>
      </c>
      <c r="AD678" s="416">
        <v>84.1</v>
      </c>
      <c r="AE678" s="416">
        <v>82.9</v>
      </c>
      <c r="AF678" s="416">
        <v>82</v>
      </c>
      <c r="AG678" s="416">
        <v>81.400000000000006</v>
      </c>
      <c r="AH678" s="416">
        <v>80.599999999999994</v>
      </c>
      <c r="AI678" s="416">
        <v>79.8</v>
      </c>
      <c r="AJ678" s="416">
        <v>79.2</v>
      </c>
      <c r="AK678" s="416">
        <v>78.7</v>
      </c>
      <c r="AL678" s="416">
        <v>77.8</v>
      </c>
      <c r="AM678" s="416">
        <v>77.099999999999994</v>
      </c>
      <c r="AN678" s="416">
        <v>75</v>
      </c>
      <c r="AO678" s="416">
        <v>65.5</v>
      </c>
      <c r="AP678" s="416">
        <v>50.4</v>
      </c>
      <c r="AQ678" s="416">
        <v>38.6</v>
      </c>
      <c r="AR678" s="416">
        <v>29.6</v>
      </c>
      <c r="AS678" s="416">
        <v>23</v>
      </c>
      <c r="AT678" s="416">
        <v>17.7</v>
      </c>
      <c r="AU678" s="416">
        <v>13.4</v>
      </c>
      <c r="AV678" s="416">
        <v>10.4</v>
      </c>
      <c r="AW678" s="416">
        <v>8.0500000000000007</v>
      </c>
      <c r="AX678" s="416">
        <v>0</v>
      </c>
      <c r="AY678" s="416">
        <v>0</v>
      </c>
      <c r="AZ678" s="416">
        <v>0</v>
      </c>
    </row>
    <row r="679" spans="1:52" s="411" customFormat="1" x14ac:dyDescent="0.3">
      <c r="A679" s="415" t="str">
        <f t="shared" si="10"/>
        <v>SA-182 Gr.F316</v>
      </c>
      <c r="B679" s="415">
        <v>673</v>
      </c>
      <c r="C679" s="415" t="s">
        <v>3200</v>
      </c>
      <c r="D679" s="415" t="s">
        <v>2737</v>
      </c>
      <c r="E679" s="415" t="s">
        <v>2188</v>
      </c>
      <c r="F679" s="415" t="s">
        <v>140</v>
      </c>
      <c r="G679" s="415" t="s">
        <v>3222</v>
      </c>
      <c r="H679" s="415">
        <v>0</v>
      </c>
      <c r="I679" s="415" t="s">
        <v>3207</v>
      </c>
      <c r="J679" s="415">
        <v>8</v>
      </c>
      <c r="K679" s="415">
        <v>1</v>
      </c>
      <c r="L679" s="415">
        <v>515</v>
      </c>
      <c r="M679" s="415">
        <v>205</v>
      </c>
      <c r="N679" s="415">
        <v>816</v>
      </c>
      <c r="O679" s="415">
        <v>427</v>
      </c>
      <c r="P679" s="415">
        <v>816</v>
      </c>
      <c r="Q679" s="415" t="s">
        <v>2675</v>
      </c>
      <c r="R679" s="415" t="s">
        <v>3069</v>
      </c>
      <c r="S679" s="415" t="s">
        <v>3223</v>
      </c>
      <c r="T679" s="416">
        <v>138</v>
      </c>
      <c r="U679" s="416">
        <v>138</v>
      </c>
      <c r="V679" s="416">
        <v>138</v>
      </c>
      <c r="W679" s="416">
        <v>138</v>
      </c>
      <c r="X679" s="416">
        <v>138</v>
      </c>
      <c r="Y679" s="416">
        <v>138</v>
      </c>
      <c r="Z679" s="416">
        <v>134</v>
      </c>
      <c r="AA679" s="416">
        <v>126</v>
      </c>
      <c r="AB679" s="416">
        <v>119</v>
      </c>
      <c r="AC679" s="416">
        <v>116</v>
      </c>
      <c r="AD679" s="416">
        <v>114</v>
      </c>
      <c r="AE679" s="416">
        <v>112</v>
      </c>
      <c r="AF679" s="416">
        <v>111</v>
      </c>
      <c r="AG679" s="416">
        <v>110</v>
      </c>
      <c r="AH679" s="416">
        <v>108</v>
      </c>
      <c r="AI679" s="416">
        <v>108</v>
      </c>
      <c r="AJ679" s="416">
        <v>107</v>
      </c>
      <c r="AK679" s="416">
        <v>106</v>
      </c>
      <c r="AL679" s="416">
        <v>105</v>
      </c>
      <c r="AM679" s="416">
        <v>99.8</v>
      </c>
      <c r="AN679" s="416">
        <v>80.3</v>
      </c>
      <c r="AO679" s="416">
        <v>65.5</v>
      </c>
      <c r="AP679" s="416">
        <v>50.4</v>
      </c>
      <c r="AQ679" s="416">
        <v>38.6</v>
      </c>
      <c r="AR679" s="416">
        <v>29.6</v>
      </c>
      <c r="AS679" s="416">
        <v>23</v>
      </c>
      <c r="AT679" s="416">
        <v>17.7</v>
      </c>
      <c r="AU679" s="416">
        <v>13.4</v>
      </c>
      <c r="AV679" s="416">
        <v>10.4</v>
      </c>
      <c r="AW679" s="416">
        <v>8.0500000000000007</v>
      </c>
      <c r="AX679" s="416">
        <v>0</v>
      </c>
      <c r="AY679" s="416">
        <v>0</v>
      </c>
      <c r="AZ679" s="416">
        <v>0</v>
      </c>
    </row>
    <row r="680" spans="1:52" s="411" customFormat="1" x14ac:dyDescent="0.3">
      <c r="A680" s="415" t="str">
        <f t="shared" si="10"/>
        <v>SA-182 Gr.F316</v>
      </c>
      <c r="B680" s="415">
        <v>674</v>
      </c>
      <c r="C680" s="415" t="s">
        <v>3200</v>
      </c>
      <c r="D680" s="415" t="s">
        <v>2737</v>
      </c>
      <c r="E680" s="415" t="s">
        <v>2188</v>
      </c>
      <c r="F680" s="415" t="s">
        <v>140</v>
      </c>
      <c r="G680" s="415" t="s">
        <v>3222</v>
      </c>
      <c r="H680" s="415">
        <v>0</v>
      </c>
      <c r="I680" s="415" t="s">
        <v>3207</v>
      </c>
      <c r="J680" s="415">
        <v>8</v>
      </c>
      <c r="K680" s="415">
        <v>1</v>
      </c>
      <c r="L680" s="415">
        <v>515</v>
      </c>
      <c r="M680" s="415">
        <v>205</v>
      </c>
      <c r="N680" s="415">
        <v>816</v>
      </c>
      <c r="O680" s="415" t="s">
        <v>2675</v>
      </c>
      <c r="P680" s="415">
        <v>816</v>
      </c>
      <c r="Q680" s="415" t="s">
        <v>2675</v>
      </c>
      <c r="R680" s="415" t="s">
        <v>3069</v>
      </c>
      <c r="S680" s="415" t="s">
        <v>3224</v>
      </c>
      <c r="T680" s="416">
        <v>138</v>
      </c>
      <c r="U680" s="416">
        <v>138</v>
      </c>
      <c r="V680" s="416">
        <v>128</v>
      </c>
      <c r="W680" s="416">
        <v>118</v>
      </c>
      <c r="X680" s="416">
        <v>112</v>
      </c>
      <c r="Y680" s="416">
        <v>107</v>
      </c>
      <c r="Z680" s="416">
        <v>99.2</v>
      </c>
      <c r="AA680" s="416">
        <v>92.8</v>
      </c>
      <c r="AB680" s="416">
        <v>88.1</v>
      </c>
      <c r="AC680" s="416">
        <v>86.1</v>
      </c>
      <c r="AD680" s="416">
        <v>84.1</v>
      </c>
      <c r="AE680" s="416">
        <v>82.9</v>
      </c>
      <c r="AF680" s="416">
        <v>82</v>
      </c>
      <c r="AG680" s="416">
        <v>81.400000000000006</v>
      </c>
      <c r="AH680" s="416">
        <v>80.599999999999994</v>
      </c>
      <c r="AI680" s="416">
        <v>79.8</v>
      </c>
      <c r="AJ680" s="416">
        <v>79.2</v>
      </c>
      <c r="AK680" s="416">
        <v>78.7</v>
      </c>
      <c r="AL680" s="416">
        <v>77.8</v>
      </c>
      <c r="AM680" s="416">
        <v>77.099999999999994</v>
      </c>
      <c r="AN680" s="416">
        <v>75</v>
      </c>
      <c r="AO680" s="416">
        <v>65.5</v>
      </c>
      <c r="AP680" s="416">
        <v>50.4</v>
      </c>
      <c r="AQ680" s="416">
        <v>38.6</v>
      </c>
      <c r="AR680" s="416">
        <v>29.6</v>
      </c>
      <c r="AS680" s="416">
        <v>23</v>
      </c>
      <c r="AT680" s="416">
        <v>17.7</v>
      </c>
      <c r="AU680" s="416">
        <v>13.4</v>
      </c>
      <c r="AV680" s="416">
        <v>10.4</v>
      </c>
      <c r="AW680" s="416">
        <v>8.0500000000000007</v>
      </c>
      <c r="AX680" s="416">
        <v>0</v>
      </c>
      <c r="AY680" s="416">
        <v>0</v>
      </c>
      <c r="AZ680" s="416">
        <v>0</v>
      </c>
    </row>
    <row r="681" spans="1:52" s="411" customFormat="1" x14ac:dyDescent="0.3">
      <c r="A681" s="415" t="str">
        <f t="shared" si="10"/>
        <v>SA-213 Gr.TP316</v>
      </c>
      <c r="B681" s="415">
        <v>675</v>
      </c>
      <c r="C681" s="415" t="s">
        <v>3200</v>
      </c>
      <c r="D681" s="415" t="s">
        <v>2693</v>
      </c>
      <c r="E681" s="415" t="s">
        <v>2195</v>
      </c>
      <c r="F681" s="415" t="s">
        <v>2568</v>
      </c>
      <c r="G681" s="415" t="s">
        <v>3222</v>
      </c>
      <c r="H681" s="415">
        <v>0</v>
      </c>
      <c r="I681" s="415">
        <v>0</v>
      </c>
      <c r="J681" s="415">
        <v>8</v>
      </c>
      <c r="K681" s="415">
        <v>1</v>
      </c>
      <c r="L681" s="415">
        <v>515</v>
      </c>
      <c r="M681" s="415">
        <v>205</v>
      </c>
      <c r="N681" s="415">
        <v>816</v>
      </c>
      <c r="O681" s="415">
        <v>427</v>
      </c>
      <c r="P681" s="415">
        <v>816</v>
      </c>
      <c r="Q681" s="415" t="s">
        <v>2675</v>
      </c>
      <c r="R681" s="415" t="s">
        <v>3069</v>
      </c>
      <c r="S681" s="415" t="s">
        <v>3223</v>
      </c>
      <c r="T681" s="416">
        <v>138</v>
      </c>
      <c r="U681" s="416">
        <v>138</v>
      </c>
      <c r="V681" s="416">
        <v>138</v>
      </c>
      <c r="W681" s="416">
        <v>138</v>
      </c>
      <c r="X681" s="416">
        <v>138</v>
      </c>
      <c r="Y681" s="416">
        <v>138</v>
      </c>
      <c r="Z681" s="416">
        <v>134</v>
      </c>
      <c r="AA681" s="416">
        <v>126</v>
      </c>
      <c r="AB681" s="416">
        <v>119</v>
      </c>
      <c r="AC681" s="416">
        <v>116</v>
      </c>
      <c r="AD681" s="416">
        <v>114</v>
      </c>
      <c r="AE681" s="416">
        <v>112</v>
      </c>
      <c r="AF681" s="416">
        <v>111</v>
      </c>
      <c r="AG681" s="416">
        <v>110</v>
      </c>
      <c r="AH681" s="416">
        <v>108</v>
      </c>
      <c r="AI681" s="416">
        <v>108</v>
      </c>
      <c r="AJ681" s="416">
        <v>107</v>
      </c>
      <c r="AK681" s="416">
        <v>106</v>
      </c>
      <c r="AL681" s="416">
        <v>105</v>
      </c>
      <c r="AM681" s="416">
        <v>99.8</v>
      </c>
      <c r="AN681" s="416">
        <v>80.3</v>
      </c>
      <c r="AO681" s="416">
        <v>65.5</v>
      </c>
      <c r="AP681" s="416">
        <v>50.4</v>
      </c>
      <c r="AQ681" s="416">
        <v>38.6</v>
      </c>
      <c r="AR681" s="416">
        <v>29.6</v>
      </c>
      <c r="AS681" s="416">
        <v>23</v>
      </c>
      <c r="AT681" s="416">
        <v>17.7</v>
      </c>
      <c r="AU681" s="416">
        <v>13.4</v>
      </c>
      <c r="AV681" s="416">
        <v>10.4</v>
      </c>
      <c r="AW681" s="416">
        <v>8.0500000000000007</v>
      </c>
      <c r="AX681" s="416">
        <v>0</v>
      </c>
      <c r="AY681" s="416">
        <v>0</v>
      </c>
      <c r="AZ681" s="416">
        <v>0</v>
      </c>
    </row>
    <row r="682" spans="1:52" s="411" customFormat="1" x14ac:dyDescent="0.3">
      <c r="A682" s="415" t="str">
        <f t="shared" si="10"/>
        <v>SA-213 Gr.TP316</v>
      </c>
      <c r="B682" s="415">
        <v>676</v>
      </c>
      <c r="C682" s="415" t="s">
        <v>3200</v>
      </c>
      <c r="D682" s="415" t="s">
        <v>2693</v>
      </c>
      <c r="E682" s="415" t="s">
        <v>2195</v>
      </c>
      <c r="F682" s="415" t="s">
        <v>2568</v>
      </c>
      <c r="G682" s="415" t="s">
        <v>3222</v>
      </c>
      <c r="H682" s="415">
        <v>0</v>
      </c>
      <c r="I682" s="415">
        <v>0</v>
      </c>
      <c r="J682" s="415">
        <v>8</v>
      </c>
      <c r="K682" s="415">
        <v>1</v>
      </c>
      <c r="L682" s="415">
        <v>515</v>
      </c>
      <c r="M682" s="415">
        <v>205</v>
      </c>
      <c r="N682" s="415">
        <v>816</v>
      </c>
      <c r="O682" s="415" t="s">
        <v>2675</v>
      </c>
      <c r="P682" s="415">
        <v>816</v>
      </c>
      <c r="Q682" s="415" t="s">
        <v>2675</v>
      </c>
      <c r="R682" s="415" t="s">
        <v>3069</v>
      </c>
      <c r="S682" s="415" t="s">
        <v>3224</v>
      </c>
      <c r="T682" s="416">
        <v>138</v>
      </c>
      <c r="U682" s="416">
        <v>138</v>
      </c>
      <c r="V682" s="416">
        <v>128</v>
      </c>
      <c r="W682" s="416">
        <v>118</v>
      </c>
      <c r="X682" s="416">
        <v>112</v>
      </c>
      <c r="Y682" s="416">
        <v>107</v>
      </c>
      <c r="Z682" s="416">
        <v>99.2</v>
      </c>
      <c r="AA682" s="416">
        <v>92.8</v>
      </c>
      <c r="AB682" s="416">
        <v>88.1</v>
      </c>
      <c r="AC682" s="416">
        <v>86.1</v>
      </c>
      <c r="AD682" s="416">
        <v>84.1</v>
      </c>
      <c r="AE682" s="416">
        <v>82.9</v>
      </c>
      <c r="AF682" s="416">
        <v>82</v>
      </c>
      <c r="AG682" s="416">
        <v>81.400000000000006</v>
      </c>
      <c r="AH682" s="416">
        <v>80.599999999999994</v>
      </c>
      <c r="AI682" s="416">
        <v>79.8</v>
      </c>
      <c r="AJ682" s="416">
        <v>79.2</v>
      </c>
      <c r="AK682" s="416">
        <v>78.7</v>
      </c>
      <c r="AL682" s="416">
        <v>77.8</v>
      </c>
      <c r="AM682" s="416">
        <v>77.099999999999994</v>
      </c>
      <c r="AN682" s="416">
        <v>75</v>
      </c>
      <c r="AO682" s="416">
        <v>65.5</v>
      </c>
      <c r="AP682" s="416">
        <v>50.4</v>
      </c>
      <c r="AQ682" s="416">
        <v>38.6</v>
      </c>
      <c r="AR682" s="416">
        <v>29.6</v>
      </c>
      <c r="AS682" s="416">
        <v>23</v>
      </c>
      <c r="AT682" s="416">
        <v>17.7</v>
      </c>
      <c r="AU682" s="416">
        <v>13.4</v>
      </c>
      <c r="AV682" s="416">
        <v>10.4</v>
      </c>
      <c r="AW682" s="416">
        <v>8.0500000000000007</v>
      </c>
      <c r="AX682" s="416">
        <v>0</v>
      </c>
      <c r="AY682" s="416">
        <v>0</v>
      </c>
      <c r="AZ682" s="416">
        <v>0</v>
      </c>
    </row>
    <row r="683" spans="1:52" s="411" customFormat="1" x14ac:dyDescent="0.3">
      <c r="A683" s="415" t="str">
        <f t="shared" si="10"/>
        <v>SA-240 Gr.316</v>
      </c>
      <c r="B683" s="415">
        <v>677</v>
      </c>
      <c r="C683" s="415" t="s">
        <v>3200</v>
      </c>
      <c r="D683" s="415" t="s">
        <v>2684</v>
      </c>
      <c r="E683" s="415" t="s">
        <v>2165</v>
      </c>
      <c r="F683" s="415">
        <v>316</v>
      </c>
      <c r="G683" s="415" t="s">
        <v>3222</v>
      </c>
      <c r="H683" s="415">
        <v>0</v>
      </c>
      <c r="I683" s="415">
        <v>0</v>
      </c>
      <c r="J683" s="415">
        <v>8</v>
      </c>
      <c r="K683" s="415">
        <v>1</v>
      </c>
      <c r="L683" s="415">
        <v>515</v>
      </c>
      <c r="M683" s="415">
        <v>205</v>
      </c>
      <c r="N683" s="415">
        <v>816</v>
      </c>
      <c r="O683" s="415">
        <v>427</v>
      </c>
      <c r="P683" s="415">
        <v>816</v>
      </c>
      <c r="Q683" s="415">
        <v>343</v>
      </c>
      <c r="R683" s="415" t="s">
        <v>3069</v>
      </c>
      <c r="S683" s="415" t="s">
        <v>3223</v>
      </c>
      <c r="T683" s="416">
        <v>138</v>
      </c>
      <c r="U683" s="416">
        <v>138</v>
      </c>
      <c r="V683" s="416">
        <v>138</v>
      </c>
      <c r="W683" s="416">
        <v>138</v>
      </c>
      <c r="X683" s="416">
        <v>138</v>
      </c>
      <c r="Y683" s="416">
        <v>138</v>
      </c>
      <c r="Z683" s="416">
        <v>134</v>
      </c>
      <c r="AA683" s="416">
        <v>126</v>
      </c>
      <c r="AB683" s="416">
        <v>119</v>
      </c>
      <c r="AC683" s="416">
        <v>116</v>
      </c>
      <c r="AD683" s="416">
        <v>114</v>
      </c>
      <c r="AE683" s="416">
        <v>112</v>
      </c>
      <c r="AF683" s="416">
        <v>111</v>
      </c>
      <c r="AG683" s="416">
        <v>110</v>
      </c>
      <c r="AH683" s="416">
        <v>108</v>
      </c>
      <c r="AI683" s="416">
        <v>108</v>
      </c>
      <c r="AJ683" s="416">
        <v>107</v>
      </c>
      <c r="AK683" s="416">
        <v>106</v>
      </c>
      <c r="AL683" s="416">
        <v>105</v>
      </c>
      <c r="AM683" s="416">
        <v>99.8</v>
      </c>
      <c r="AN683" s="416">
        <v>80.3</v>
      </c>
      <c r="AO683" s="416">
        <v>65.5</v>
      </c>
      <c r="AP683" s="416">
        <v>50.4</v>
      </c>
      <c r="AQ683" s="416">
        <v>38.6</v>
      </c>
      <c r="AR683" s="416">
        <v>29.6</v>
      </c>
      <c r="AS683" s="416">
        <v>23</v>
      </c>
      <c r="AT683" s="416">
        <v>17.7</v>
      </c>
      <c r="AU683" s="416">
        <v>13.4</v>
      </c>
      <c r="AV683" s="416">
        <v>10.4</v>
      </c>
      <c r="AW683" s="416">
        <v>8.0500000000000007</v>
      </c>
      <c r="AX683" s="416">
        <v>0</v>
      </c>
      <c r="AY683" s="416">
        <v>0</v>
      </c>
      <c r="AZ683" s="416">
        <v>0</v>
      </c>
    </row>
    <row r="684" spans="1:52" s="411" customFormat="1" x14ac:dyDescent="0.3">
      <c r="A684" s="415" t="str">
        <f t="shared" si="10"/>
        <v>SA-240 Gr.316</v>
      </c>
      <c r="B684" s="415">
        <v>678</v>
      </c>
      <c r="C684" s="415" t="s">
        <v>3200</v>
      </c>
      <c r="D684" s="415" t="s">
        <v>2684</v>
      </c>
      <c r="E684" s="415" t="s">
        <v>2165</v>
      </c>
      <c r="F684" s="415">
        <v>316</v>
      </c>
      <c r="G684" s="415" t="s">
        <v>3222</v>
      </c>
      <c r="H684" s="415">
        <v>0</v>
      </c>
      <c r="I684" s="415">
        <v>0</v>
      </c>
      <c r="J684" s="415">
        <v>8</v>
      </c>
      <c r="K684" s="415">
        <v>1</v>
      </c>
      <c r="L684" s="415">
        <v>515</v>
      </c>
      <c r="M684" s="415">
        <v>205</v>
      </c>
      <c r="N684" s="415">
        <v>816</v>
      </c>
      <c r="O684" s="415" t="s">
        <v>2675</v>
      </c>
      <c r="P684" s="415">
        <v>816</v>
      </c>
      <c r="Q684" s="415">
        <v>343</v>
      </c>
      <c r="R684" s="415" t="s">
        <v>3069</v>
      </c>
      <c r="S684" s="415" t="s">
        <v>3224</v>
      </c>
      <c r="T684" s="416">
        <v>138</v>
      </c>
      <c r="U684" s="416">
        <v>138</v>
      </c>
      <c r="V684" s="416">
        <v>128</v>
      </c>
      <c r="W684" s="416">
        <v>118</v>
      </c>
      <c r="X684" s="416">
        <v>112</v>
      </c>
      <c r="Y684" s="416">
        <v>107</v>
      </c>
      <c r="Z684" s="416">
        <v>99.2</v>
      </c>
      <c r="AA684" s="416">
        <v>92.8</v>
      </c>
      <c r="AB684" s="416">
        <v>88.1</v>
      </c>
      <c r="AC684" s="416">
        <v>86.1</v>
      </c>
      <c r="AD684" s="416">
        <v>84.1</v>
      </c>
      <c r="AE684" s="416">
        <v>82.9</v>
      </c>
      <c r="AF684" s="416">
        <v>82</v>
      </c>
      <c r="AG684" s="416">
        <v>81.400000000000006</v>
      </c>
      <c r="AH684" s="416">
        <v>80.599999999999994</v>
      </c>
      <c r="AI684" s="416">
        <v>79.8</v>
      </c>
      <c r="AJ684" s="416">
        <v>79.2</v>
      </c>
      <c r="AK684" s="416">
        <v>78.7</v>
      </c>
      <c r="AL684" s="416">
        <v>77.8</v>
      </c>
      <c r="AM684" s="416">
        <v>77.099999999999994</v>
      </c>
      <c r="AN684" s="416">
        <v>75</v>
      </c>
      <c r="AO684" s="416">
        <v>65.5</v>
      </c>
      <c r="AP684" s="416">
        <v>50.4</v>
      </c>
      <c r="AQ684" s="416">
        <v>38.6</v>
      </c>
      <c r="AR684" s="416">
        <v>29.6</v>
      </c>
      <c r="AS684" s="416">
        <v>23</v>
      </c>
      <c r="AT684" s="416">
        <v>17.7</v>
      </c>
      <c r="AU684" s="416">
        <v>13.4</v>
      </c>
      <c r="AV684" s="416">
        <v>10.4</v>
      </c>
      <c r="AW684" s="416">
        <v>8.0500000000000007</v>
      </c>
      <c r="AX684" s="416">
        <v>0</v>
      </c>
      <c r="AY684" s="416">
        <v>0</v>
      </c>
      <c r="AZ684" s="416">
        <v>0</v>
      </c>
    </row>
    <row r="685" spans="1:52" s="411" customFormat="1" x14ac:dyDescent="0.3">
      <c r="A685" s="415" t="str">
        <f t="shared" si="10"/>
        <v>SA-249 Gr.TP316</v>
      </c>
      <c r="B685" s="415">
        <v>679</v>
      </c>
      <c r="C685" s="415" t="s">
        <v>3200</v>
      </c>
      <c r="D685" s="415" t="s">
        <v>2689</v>
      </c>
      <c r="E685" s="415" t="s">
        <v>2200</v>
      </c>
      <c r="F685" s="415" t="s">
        <v>2568</v>
      </c>
      <c r="G685" s="415" t="s">
        <v>3222</v>
      </c>
      <c r="H685" s="415">
        <v>0</v>
      </c>
      <c r="I685" s="415">
        <v>0</v>
      </c>
      <c r="J685" s="415">
        <v>8</v>
      </c>
      <c r="K685" s="415">
        <v>1</v>
      </c>
      <c r="L685" s="415">
        <v>515</v>
      </c>
      <c r="M685" s="415">
        <v>205</v>
      </c>
      <c r="N685" s="415">
        <v>816</v>
      </c>
      <c r="O685" s="415" t="s">
        <v>2675</v>
      </c>
      <c r="P685" s="415" t="s">
        <v>2675</v>
      </c>
      <c r="Q685" s="415" t="s">
        <v>2675</v>
      </c>
      <c r="R685" s="415" t="s">
        <v>3069</v>
      </c>
      <c r="S685" s="415" t="s">
        <v>3225</v>
      </c>
      <c r="T685" s="416">
        <v>138</v>
      </c>
      <c r="U685" s="416">
        <v>138</v>
      </c>
      <c r="V685" s="416">
        <v>128</v>
      </c>
      <c r="W685" s="416">
        <v>118</v>
      </c>
      <c r="X685" s="416">
        <v>112</v>
      </c>
      <c r="Y685" s="416">
        <v>107</v>
      </c>
      <c r="Z685" s="416">
        <v>99.2</v>
      </c>
      <c r="AA685" s="416">
        <v>92.8</v>
      </c>
      <c r="AB685" s="416">
        <v>88.1</v>
      </c>
      <c r="AC685" s="416">
        <v>86.1</v>
      </c>
      <c r="AD685" s="416">
        <v>84.1</v>
      </c>
      <c r="AE685" s="416">
        <v>82.9</v>
      </c>
      <c r="AF685" s="416">
        <v>82</v>
      </c>
      <c r="AG685" s="416">
        <v>81.400000000000006</v>
      </c>
      <c r="AH685" s="416">
        <v>80.599999999999994</v>
      </c>
      <c r="AI685" s="416">
        <v>79.8</v>
      </c>
      <c r="AJ685" s="416">
        <v>79.2</v>
      </c>
      <c r="AK685" s="416">
        <v>78.7</v>
      </c>
      <c r="AL685" s="416">
        <v>77.8</v>
      </c>
      <c r="AM685" s="416">
        <v>77.099999999999994</v>
      </c>
      <c r="AN685" s="416">
        <v>75</v>
      </c>
      <c r="AO685" s="416">
        <v>65.5</v>
      </c>
      <c r="AP685" s="416">
        <v>50.4</v>
      </c>
      <c r="AQ685" s="416">
        <v>38.6</v>
      </c>
      <c r="AR685" s="416">
        <v>29.6</v>
      </c>
      <c r="AS685" s="416">
        <v>23</v>
      </c>
      <c r="AT685" s="416">
        <v>17.7</v>
      </c>
      <c r="AU685" s="416">
        <v>13.4</v>
      </c>
      <c r="AV685" s="416">
        <v>10.4</v>
      </c>
      <c r="AW685" s="416">
        <v>8.0500000000000007</v>
      </c>
      <c r="AX685" s="416">
        <v>0</v>
      </c>
      <c r="AY685" s="416">
        <v>0</v>
      </c>
      <c r="AZ685" s="416">
        <v>0</v>
      </c>
    </row>
    <row r="686" spans="1:52" s="411" customFormat="1" x14ac:dyDescent="0.3">
      <c r="A686" s="415" t="str">
        <f t="shared" si="10"/>
        <v>SA-249 Gr.TP316</v>
      </c>
      <c r="B686" s="415">
        <v>680</v>
      </c>
      <c r="C686" s="415" t="s">
        <v>3200</v>
      </c>
      <c r="D686" s="415" t="s">
        <v>2689</v>
      </c>
      <c r="E686" s="415" t="s">
        <v>2200</v>
      </c>
      <c r="F686" s="415" t="s">
        <v>2568</v>
      </c>
      <c r="G686" s="415" t="s">
        <v>3222</v>
      </c>
      <c r="H686" s="415">
        <v>0</v>
      </c>
      <c r="I686" s="415">
        <v>0</v>
      </c>
      <c r="J686" s="415">
        <v>8</v>
      </c>
      <c r="K686" s="415">
        <v>1</v>
      </c>
      <c r="L686" s="415">
        <v>515</v>
      </c>
      <c r="M686" s="415">
        <v>205</v>
      </c>
      <c r="N686" s="415">
        <v>816</v>
      </c>
      <c r="O686" s="415">
        <v>427</v>
      </c>
      <c r="P686" s="415" t="s">
        <v>2675</v>
      </c>
      <c r="Q686" s="415" t="s">
        <v>2675</v>
      </c>
      <c r="R686" s="415" t="s">
        <v>3069</v>
      </c>
      <c r="S686" s="415" t="s">
        <v>3226</v>
      </c>
      <c r="T686" s="416">
        <v>138</v>
      </c>
      <c r="U686" s="416">
        <v>138</v>
      </c>
      <c r="V686" s="416">
        <v>138</v>
      </c>
      <c r="W686" s="416">
        <v>138</v>
      </c>
      <c r="X686" s="416">
        <v>138</v>
      </c>
      <c r="Y686" s="416">
        <v>138</v>
      </c>
      <c r="Z686" s="416">
        <v>134</v>
      </c>
      <c r="AA686" s="416">
        <v>126</v>
      </c>
      <c r="AB686" s="416">
        <v>119</v>
      </c>
      <c r="AC686" s="416">
        <v>116</v>
      </c>
      <c r="AD686" s="416">
        <v>114</v>
      </c>
      <c r="AE686" s="416">
        <v>112</v>
      </c>
      <c r="AF686" s="416">
        <v>111</v>
      </c>
      <c r="AG686" s="416">
        <v>110</v>
      </c>
      <c r="AH686" s="416">
        <v>108</v>
      </c>
      <c r="AI686" s="416">
        <v>108</v>
      </c>
      <c r="AJ686" s="416">
        <v>107</v>
      </c>
      <c r="AK686" s="416">
        <v>106</v>
      </c>
      <c r="AL686" s="416">
        <v>105</v>
      </c>
      <c r="AM686" s="416">
        <v>99.8</v>
      </c>
      <c r="AN686" s="416">
        <v>80.3</v>
      </c>
      <c r="AO686" s="416">
        <v>65.5</v>
      </c>
      <c r="AP686" s="416">
        <v>50.4</v>
      </c>
      <c r="AQ686" s="416">
        <v>38.6</v>
      </c>
      <c r="AR686" s="416">
        <v>29.6</v>
      </c>
      <c r="AS686" s="416">
        <v>23</v>
      </c>
      <c r="AT686" s="416">
        <v>17.7</v>
      </c>
      <c r="AU686" s="416">
        <v>13.4</v>
      </c>
      <c r="AV686" s="416">
        <v>10.4</v>
      </c>
      <c r="AW686" s="416">
        <v>8.0500000000000007</v>
      </c>
      <c r="AX686" s="416">
        <v>0</v>
      </c>
      <c r="AY686" s="416">
        <v>0</v>
      </c>
      <c r="AZ686" s="416">
        <v>0</v>
      </c>
    </row>
    <row r="687" spans="1:52" s="411" customFormat="1" x14ac:dyDescent="0.3">
      <c r="A687" s="415" t="str">
        <f t="shared" si="10"/>
        <v>SA-249 Gr.TP316</v>
      </c>
      <c r="B687" s="415">
        <v>681</v>
      </c>
      <c r="C687" s="415" t="s">
        <v>3200</v>
      </c>
      <c r="D687" s="415" t="s">
        <v>2689</v>
      </c>
      <c r="E687" s="415" t="s">
        <v>2200</v>
      </c>
      <c r="F687" s="415" t="s">
        <v>2568</v>
      </c>
      <c r="G687" s="415" t="s">
        <v>3222</v>
      </c>
      <c r="H687" s="415">
        <v>0</v>
      </c>
      <c r="I687" s="415">
        <v>0</v>
      </c>
      <c r="J687" s="415">
        <v>8</v>
      </c>
      <c r="K687" s="415">
        <v>1</v>
      </c>
      <c r="L687" s="415">
        <v>515</v>
      </c>
      <c r="M687" s="415">
        <v>205</v>
      </c>
      <c r="N687" s="415">
        <v>816</v>
      </c>
      <c r="O687" s="415" t="s">
        <v>2675</v>
      </c>
      <c r="P687" s="415">
        <v>816</v>
      </c>
      <c r="Q687" s="415">
        <v>343</v>
      </c>
      <c r="R687" s="415" t="s">
        <v>3069</v>
      </c>
      <c r="S687" s="415" t="s">
        <v>3227</v>
      </c>
      <c r="T687" s="416">
        <v>117</v>
      </c>
      <c r="U687" s="416">
        <v>117</v>
      </c>
      <c r="V687" s="416">
        <v>117</v>
      </c>
      <c r="W687" s="416">
        <v>117</v>
      </c>
      <c r="X687" s="416">
        <v>117</v>
      </c>
      <c r="Y687" s="416">
        <v>117</v>
      </c>
      <c r="Z687" s="416">
        <v>114</v>
      </c>
      <c r="AA687" s="416">
        <v>107</v>
      </c>
      <c r="AB687" s="416">
        <v>101</v>
      </c>
      <c r="AC687" s="416">
        <v>99</v>
      </c>
      <c r="AD687" s="416">
        <v>96.8</v>
      </c>
      <c r="AE687" s="416">
        <v>95.7</v>
      </c>
      <c r="AF687" s="416">
        <v>94.4</v>
      </c>
      <c r="AG687" s="416">
        <v>93.1</v>
      </c>
      <c r="AH687" s="416">
        <v>92.5</v>
      </c>
      <c r="AI687" s="416">
        <v>91.4</v>
      </c>
      <c r="AJ687" s="416">
        <v>90.5</v>
      </c>
      <c r="AK687" s="416">
        <v>89.9</v>
      </c>
      <c r="AL687" s="416">
        <v>89.3</v>
      </c>
      <c r="AM687" s="416">
        <v>85.3</v>
      </c>
      <c r="AN687" s="416">
        <v>68.099999999999994</v>
      </c>
      <c r="AO687" s="416">
        <v>55.6</v>
      </c>
      <c r="AP687" s="416">
        <v>42.9</v>
      </c>
      <c r="AQ687" s="416">
        <v>33</v>
      </c>
      <c r="AR687" s="416">
        <v>25.3</v>
      </c>
      <c r="AS687" s="416">
        <v>19.399999999999999</v>
      </c>
      <c r="AT687" s="416">
        <v>14.7</v>
      </c>
      <c r="AU687" s="416">
        <v>11.3</v>
      </c>
      <c r="AV687" s="416">
        <v>8.9</v>
      </c>
      <c r="AW687" s="416">
        <v>6.77</v>
      </c>
      <c r="AX687" s="416">
        <v>0</v>
      </c>
      <c r="AY687" s="416">
        <v>0</v>
      </c>
      <c r="AZ687" s="416">
        <v>0</v>
      </c>
    </row>
    <row r="688" spans="1:52" s="411" customFormat="1" x14ac:dyDescent="0.3">
      <c r="A688" s="415" t="str">
        <f t="shared" si="10"/>
        <v>SA-249 Gr.TP316</v>
      </c>
      <c r="B688" s="415">
        <v>682</v>
      </c>
      <c r="C688" s="415" t="s">
        <v>3200</v>
      </c>
      <c r="D688" s="415" t="s">
        <v>2689</v>
      </c>
      <c r="E688" s="415" t="s">
        <v>2200</v>
      </c>
      <c r="F688" s="415" t="s">
        <v>2568</v>
      </c>
      <c r="G688" s="415" t="s">
        <v>3222</v>
      </c>
      <c r="H688" s="415">
        <v>0</v>
      </c>
      <c r="I688" s="415">
        <v>0</v>
      </c>
      <c r="J688" s="415">
        <v>8</v>
      </c>
      <c r="K688" s="415">
        <v>1</v>
      </c>
      <c r="L688" s="415">
        <v>515</v>
      </c>
      <c r="M688" s="415">
        <v>205</v>
      </c>
      <c r="N688" s="415">
        <v>816</v>
      </c>
      <c r="O688" s="415" t="s">
        <v>2675</v>
      </c>
      <c r="P688" s="415">
        <v>816</v>
      </c>
      <c r="Q688" s="415">
        <v>343</v>
      </c>
      <c r="R688" s="415" t="s">
        <v>3069</v>
      </c>
      <c r="S688" s="415" t="s">
        <v>3228</v>
      </c>
      <c r="T688" s="416">
        <v>117</v>
      </c>
      <c r="U688" s="416">
        <v>117</v>
      </c>
      <c r="V688" s="416">
        <v>109</v>
      </c>
      <c r="W688" s="416">
        <v>99.8</v>
      </c>
      <c r="X688" s="416">
        <v>94.9</v>
      </c>
      <c r="Y688" s="416">
        <v>90.8</v>
      </c>
      <c r="Z688" s="416">
        <v>84</v>
      </c>
      <c r="AA688" s="416">
        <v>78.8</v>
      </c>
      <c r="AB688" s="416">
        <v>74.7</v>
      </c>
      <c r="AC688" s="416">
        <v>73.3</v>
      </c>
      <c r="AD688" s="416">
        <v>72.099999999999994</v>
      </c>
      <c r="AE688" s="416">
        <v>70.8</v>
      </c>
      <c r="AF688" s="416">
        <v>69.599999999999994</v>
      </c>
      <c r="AG688" s="416">
        <v>69</v>
      </c>
      <c r="AH688" s="416">
        <v>68.400000000000006</v>
      </c>
      <c r="AI688" s="416">
        <v>67.7</v>
      </c>
      <c r="AJ688" s="416">
        <v>67.099999999999994</v>
      </c>
      <c r="AK688" s="416">
        <v>66.5</v>
      </c>
      <c r="AL688" s="416">
        <v>65.900000000000006</v>
      </c>
      <c r="AM688" s="416">
        <v>65.3</v>
      </c>
      <c r="AN688" s="416">
        <v>64</v>
      </c>
      <c r="AO688" s="416">
        <v>55.6</v>
      </c>
      <c r="AP688" s="416">
        <v>42.9</v>
      </c>
      <c r="AQ688" s="416">
        <v>33</v>
      </c>
      <c r="AR688" s="416">
        <v>25.3</v>
      </c>
      <c r="AS688" s="416">
        <v>19.399999999999999</v>
      </c>
      <c r="AT688" s="416">
        <v>14.7</v>
      </c>
      <c r="AU688" s="416">
        <v>11.3</v>
      </c>
      <c r="AV688" s="416">
        <v>8.9</v>
      </c>
      <c r="AW688" s="416">
        <v>6.77</v>
      </c>
      <c r="AX688" s="416">
        <v>0</v>
      </c>
      <c r="AY688" s="416">
        <v>0</v>
      </c>
      <c r="AZ688" s="416">
        <v>0</v>
      </c>
    </row>
    <row r="689" spans="1:52" s="411" customFormat="1" x14ac:dyDescent="0.3">
      <c r="A689" s="415" t="str">
        <f t="shared" si="10"/>
        <v>SA-312 Gr.TP316</v>
      </c>
      <c r="B689" s="415">
        <v>683</v>
      </c>
      <c r="C689" s="415" t="s">
        <v>3200</v>
      </c>
      <c r="D689" s="415" t="s">
        <v>2720</v>
      </c>
      <c r="E689" s="415" t="s">
        <v>2208</v>
      </c>
      <c r="F689" s="415" t="s">
        <v>2568</v>
      </c>
      <c r="G689" s="415" t="s">
        <v>3222</v>
      </c>
      <c r="H689" s="415">
        <v>0</v>
      </c>
      <c r="I689" s="415">
        <v>0</v>
      </c>
      <c r="J689" s="415">
        <v>8</v>
      </c>
      <c r="K689" s="415">
        <v>1</v>
      </c>
      <c r="L689" s="415">
        <v>515</v>
      </c>
      <c r="M689" s="415">
        <v>205</v>
      </c>
      <c r="N689" s="415">
        <v>816</v>
      </c>
      <c r="O689" s="415">
        <v>427</v>
      </c>
      <c r="P689" s="415">
        <v>816</v>
      </c>
      <c r="Q689" s="415">
        <v>343</v>
      </c>
      <c r="R689" s="415" t="s">
        <v>3069</v>
      </c>
      <c r="S689" s="415" t="s">
        <v>3229</v>
      </c>
      <c r="T689" s="416">
        <v>138</v>
      </c>
      <c r="U689" s="416">
        <v>138</v>
      </c>
      <c r="V689" s="416">
        <v>138</v>
      </c>
      <c r="W689" s="416">
        <v>138</v>
      </c>
      <c r="X689" s="416">
        <v>138</v>
      </c>
      <c r="Y689" s="416">
        <v>138</v>
      </c>
      <c r="Z689" s="416">
        <v>134</v>
      </c>
      <c r="AA689" s="416">
        <v>126</v>
      </c>
      <c r="AB689" s="416">
        <v>119</v>
      </c>
      <c r="AC689" s="416">
        <v>116</v>
      </c>
      <c r="AD689" s="416">
        <v>114</v>
      </c>
      <c r="AE689" s="416">
        <v>112</v>
      </c>
      <c r="AF689" s="416">
        <v>111</v>
      </c>
      <c r="AG689" s="416">
        <v>110</v>
      </c>
      <c r="AH689" s="416">
        <v>108</v>
      </c>
      <c r="AI689" s="416">
        <v>108</v>
      </c>
      <c r="AJ689" s="416">
        <v>107</v>
      </c>
      <c r="AK689" s="416">
        <v>106</v>
      </c>
      <c r="AL689" s="416">
        <v>105</v>
      </c>
      <c r="AM689" s="416">
        <v>99.8</v>
      </c>
      <c r="AN689" s="416">
        <v>80.3</v>
      </c>
      <c r="AO689" s="416">
        <v>65.5</v>
      </c>
      <c r="AP689" s="416">
        <v>50.4</v>
      </c>
      <c r="AQ689" s="416">
        <v>38.6</v>
      </c>
      <c r="AR689" s="416">
        <v>29.6</v>
      </c>
      <c r="AS689" s="416">
        <v>23</v>
      </c>
      <c r="AT689" s="416">
        <v>17.7</v>
      </c>
      <c r="AU689" s="416">
        <v>13.4</v>
      </c>
      <c r="AV689" s="416">
        <v>10.4</v>
      </c>
      <c r="AW689" s="416">
        <v>8.0500000000000007</v>
      </c>
      <c r="AX689" s="416">
        <v>0</v>
      </c>
      <c r="AY689" s="416">
        <v>0</v>
      </c>
      <c r="AZ689" s="416">
        <v>0</v>
      </c>
    </row>
    <row r="690" spans="1:52" s="411" customFormat="1" x14ac:dyDescent="0.3">
      <c r="A690" s="415" t="str">
        <f t="shared" si="10"/>
        <v>SA-312 Gr.TP316</v>
      </c>
      <c r="B690" s="415">
        <v>684</v>
      </c>
      <c r="C690" s="415" t="s">
        <v>3200</v>
      </c>
      <c r="D690" s="415" t="s">
        <v>2720</v>
      </c>
      <c r="E690" s="415" t="s">
        <v>2208</v>
      </c>
      <c r="F690" s="415" t="s">
        <v>2568</v>
      </c>
      <c r="G690" s="415" t="s">
        <v>3222</v>
      </c>
      <c r="H690" s="415">
        <v>0</v>
      </c>
      <c r="I690" s="415">
        <v>0</v>
      </c>
      <c r="J690" s="415">
        <v>8</v>
      </c>
      <c r="K690" s="415">
        <v>1</v>
      </c>
      <c r="L690" s="415">
        <v>515</v>
      </c>
      <c r="M690" s="415">
        <v>205</v>
      </c>
      <c r="N690" s="415">
        <v>816</v>
      </c>
      <c r="O690" s="415" t="s">
        <v>2675</v>
      </c>
      <c r="P690" s="415">
        <v>816</v>
      </c>
      <c r="Q690" s="415">
        <v>343</v>
      </c>
      <c r="R690" s="415" t="s">
        <v>3069</v>
      </c>
      <c r="S690" s="415" t="s">
        <v>3230</v>
      </c>
      <c r="T690" s="416">
        <v>138</v>
      </c>
      <c r="U690" s="416">
        <v>138</v>
      </c>
      <c r="V690" s="416">
        <v>128</v>
      </c>
      <c r="W690" s="416">
        <v>118</v>
      </c>
      <c r="X690" s="416">
        <v>112</v>
      </c>
      <c r="Y690" s="416">
        <v>107</v>
      </c>
      <c r="Z690" s="416">
        <v>99.2</v>
      </c>
      <c r="AA690" s="416">
        <v>92.8</v>
      </c>
      <c r="AB690" s="416">
        <v>88.1</v>
      </c>
      <c r="AC690" s="416">
        <v>86.1</v>
      </c>
      <c r="AD690" s="416">
        <v>84.1</v>
      </c>
      <c r="AE690" s="416">
        <v>82.9</v>
      </c>
      <c r="AF690" s="416">
        <v>82</v>
      </c>
      <c r="AG690" s="416">
        <v>81.400000000000006</v>
      </c>
      <c r="AH690" s="416">
        <v>80.599999999999994</v>
      </c>
      <c r="AI690" s="416">
        <v>79.8</v>
      </c>
      <c r="AJ690" s="416">
        <v>79.2</v>
      </c>
      <c r="AK690" s="416">
        <v>78.7</v>
      </c>
      <c r="AL690" s="416">
        <v>77.8</v>
      </c>
      <c r="AM690" s="416">
        <v>77.099999999999994</v>
      </c>
      <c r="AN690" s="416">
        <v>75</v>
      </c>
      <c r="AO690" s="416">
        <v>65.5</v>
      </c>
      <c r="AP690" s="416">
        <v>50.4</v>
      </c>
      <c r="AQ690" s="416">
        <v>38.6</v>
      </c>
      <c r="AR690" s="416">
        <v>29.6</v>
      </c>
      <c r="AS690" s="416">
        <v>23</v>
      </c>
      <c r="AT690" s="416">
        <v>17.7</v>
      </c>
      <c r="AU690" s="416">
        <v>13.4</v>
      </c>
      <c r="AV690" s="416">
        <v>10.4</v>
      </c>
      <c r="AW690" s="416">
        <v>8.0500000000000007</v>
      </c>
      <c r="AX690" s="416">
        <v>0</v>
      </c>
      <c r="AY690" s="416">
        <v>0</v>
      </c>
      <c r="AZ690" s="416">
        <v>0</v>
      </c>
    </row>
    <row r="691" spans="1:52" s="411" customFormat="1" x14ac:dyDescent="0.3">
      <c r="A691" s="415" t="str">
        <f t="shared" si="10"/>
        <v>SA-312 Gr.TP316</v>
      </c>
      <c r="B691" s="415">
        <v>685</v>
      </c>
      <c r="C691" s="415" t="s">
        <v>3200</v>
      </c>
      <c r="D691" s="415" t="s">
        <v>2680</v>
      </c>
      <c r="E691" s="415" t="s">
        <v>2208</v>
      </c>
      <c r="F691" s="415" t="s">
        <v>2568</v>
      </c>
      <c r="G691" s="415" t="s">
        <v>3222</v>
      </c>
      <c r="H691" s="415">
        <v>0</v>
      </c>
      <c r="I691" s="415">
        <v>0</v>
      </c>
      <c r="J691" s="415">
        <v>8</v>
      </c>
      <c r="K691" s="415">
        <v>1</v>
      </c>
      <c r="L691" s="415">
        <v>515</v>
      </c>
      <c r="M691" s="415">
        <v>205</v>
      </c>
      <c r="N691" s="415">
        <v>816</v>
      </c>
      <c r="O691" s="415" t="s">
        <v>2675</v>
      </c>
      <c r="P691" s="415">
        <v>816</v>
      </c>
      <c r="Q691" s="415">
        <v>343</v>
      </c>
      <c r="R691" s="415" t="s">
        <v>3069</v>
      </c>
      <c r="S691" s="415" t="s">
        <v>3227</v>
      </c>
      <c r="T691" s="416">
        <v>117</v>
      </c>
      <c r="U691" s="416">
        <v>117</v>
      </c>
      <c r="V691" s="416">
        <v>117</v>
      </c>
      <c r="W691" s="416">
        <v>117</v>
      </c>
      <c r="X691" s="416">
        <v>117</v>
      </c>
      <c r="Y691" s="416">
        <v>117</v>
      </c>
      <c r="Z691" s="416">
        <v>114</v>
      </c>
      <c r="AA691" s="416">
        <v>107</v>
      </c>
      <c r="AB691" s="416">
        <v>101</v>
      </c>
      <c r="AC691" s="416">
        <v>99</v>
      </c>
      <c r="AD691" s="416">
        <v>96.8</v>
      </c>
      <c r="AE691" s="416">
        <v>95.7</v>
      </c>
      <c r="AF691" s="416">
        <v>94.4</v>
      </c>
      <c r="AG691" s="416">
        <v>93.1</v>
      </c>
      <c r="AH691" s="416">
        <v>92.5</v>
      </c>
      <c r="AI691" s="416">
        <v>91.4</v>
      </c>
      <c r="AJ691" s="416">
        <v>90.5</v>
      </c>
      <c r="AK691" s="416">
        <v>89.9</v>
      </c>
      <c r="AL691" s="416">
        <v>89.3</v>
      </c>
      <c r="AM691" s="416">
        <v>85.3</v>
      </c>
      <c r="AN691" s="416">
        <v>68.099999999999994</v>
      </c>
      <c r="AO691" s="416">
        <v>55.6</v>
      </c>
      <c r="AP691" s="416">
        <v>42.9</v>
      </c>
      <c r="AQ691" s="416">
        <v>33</v>
      </c>
      <c r="AR691" s="416">
        <v>25.3</v>
      </c>
      <c r="AS691" s="416">
        <v>19.399999999999999</v>
      </c>
      <c r="AT691" s="416">
        <v>14.7</v>
      </c>
      <c r="AU691" s="416">
        <v>11.3</v>
      </c>
      <c r="AV691" s="416">
        <v>8.9</v>
      </c>
      <c r="AW691" s="416">
        <v>6.77</v>
      </c>
      <c r="AX691" s="416">
        <v>0</v>
      </c>
      <c r="AY691" s="416">
        <v>0</v>
      </c>
      <c r="AZ691" s="416">
        <v>0</v>
      </c>
    </row>
    <row r="692" spans="1:52" s="411" customFormat="1" x14ac:dyDescent="0.3">
      <c r="A692" s="415" t="str">
        <f t="shared" si="10"/>
        <v>SA-312 Gr.TP316</v>
      </c>
      <c r="B692" s="415">
        <v>686</v>
      </c>
      <c r="C692" s="415" t="s">
        <v>3200</v>
      </c>
      <c r="D692" s="415" t="s">
        <v>2680</v>
      </c>
      <c r="E692" s="415" t="s">
        <v>2208</v>
      </c>
      <c r="F692" s="415" t="s">
        <v>2568</v>
      </c>
      <c r="G692" s="415" t="s">
        <v>3222</v>
      </c>
      <c r="H692" s="415">
        <v>0</v>
      </c>
      <c r="I692" s="415">
        <v>0</v>
      </c>
      <c r="J692" s="415">
        <v>8</v>
      </c>
      <c r="K692" s="415">
        <v>1</v>
      </c>
      <c r="L692" s="415">
        <v>515</v>
      </c>
      <c r="M692" s="415">
        <v>205</v>
      </c>
      <c r="N692" s="415">
        <v>816</v>
      </c>
      <c r="O692" s="415" t="s">
        <v>2675</v>
      </c>
      <c r="P692" s="415">
        <v>816</v>
      </c>
      <c r="Q692" s="415">
        <v>343</v>
      </c>
      <c r="R692" s="415" t="s">
        <v>3069</v>
      </c>
      <c r="S692" s="415" t="s">
        <v>3228</v>
      </c>
      <c r="T692" s="416">
        <v>117</v>
      </c>
      <c r="U692" s="416">
        <v>117</v>
      </c>
      <c r="V692" s="416">
        <v>109</v>
      </c>
      <c r="W692" s="416">
        <v>99.8</v>
      </c>
      <c r="X692" s="416">
        <v>94.9</v>
      </c>
      <c r="Y692" s="416">
        <v>90.8</v>
      </c>
      <c r="Z692" s="416">
        <v>84</v>
      </c>
      <c r="AA692" s="416">
        <v>78.8</v>
      </c>
      <c r="AB692" s="416">
        <v>74.7</v>
      </c>
      <c r="AC692" s="416">
        <v>73.3</v>
      </c>
      <c r="AD692" s="416">
        <v>72.099999999999994</v>
      </c>
      <c r="AE692" s="416">
        <v>70.8</v>
      </c>
      <c r="AF692" s="416">
        <v>69.599999999999994</v>
      </c>
      <c r="AG692" s="416">
        <v>69</v>
      </c>
      <c r="AH692" s="416">
        <v>68.400000000000006</v>
      </c>
      <c r="AI692" s="416">
        <v>67.7</v>
      </c>
      <c r="AJ692" s="416">
        <v>67.099999999999994</v>
      </c>
      <c r="AK692" s="416">
        <v>66.5</v>
      </c>
      <c r="AL692" s="416">
        <v>65.900000000000006</v>
      </c>
      <c r="AM692" s="416">
        <v>65.3</v>
      </c>
      <c r="AN692" s="416">
        <v>64</v>
      </c>
      <c r="AO692" s="416">
        <v>55.6</v>
      </c>
      <c r="AP692" s="416">
        <v>42.9</v>
      </c>
      <c r="AQ692" s="416">
        <v>33</v>
      </c>
      <c r="AR692" s="416">
        <v>25.3</v>
      </c>
      <c r="AS692" s="416">
        <v>19.399999999999999</v>
      </c>
      <c r="AT692" s="416">
        <v>14.7</v>
      </c>
      <c r="AU692" s="416">
        <v>11.3</v>
      </c>
      <c r="AV692" s="416">
        <v>8.9</v>
      </c>
      <c r="AW692" s="416">
        <v>6.77</v>
      </c>
      <c r="AX692" s="416">
        <v>0</v>
      </c>
      <c r="AY692" s="416">
        <v>0</v>
      </c>
      <c r="AZ692" s="416">
        <v>0</v>
      </c>
    </row>
    <row r="693" spans="1:52" s="411" customFormat="1" x14ac:dyDescent="0.3">
      <c r="A693" s="415" t="str">
        <f t="shared" si="10"/>
        <v>SA-358 Gr.316</v>
      </c>
      <c r="B693" s="415">
        <v>687</v>
      </c>
      <c r="C693" s="415" t="s">
        <v>3200</v>
      </c>
      <c r="D693" s="415" t="s">
        <v>2680</v>
      </c>
      <c r="E693" s="415" t="s">
        <v>2217</v>
      </c>
      <c r="F693" s="415">
        <v>316</v>
      </c>
      <c r="G693" s="415" t="s">
        <v>3222</v>
      </c>
      <c r="H693" s="415">
        <v>1</v>
      </c>
      <c r="I693" s="415">
        <v>0</v>
      </c>
      <c r="J693" s="415">
        <v>8</v>
      </c>
      <c r="K693" s="415">
        <v>1</v>
      </c>
      <c r="L693" s="415">
        <v>515</v>
      </c>
      <c r="M693" s="415">
        <v>205</v>
      </c>
      <c r="N693" s="415" t="s">
        <v>2675</v>
      </c>
      <c r="O693" s="415">
        <v>427</v>
      </c>
      <c r="P693" s="415" t="s">
        <v>2675</v>
      </c>
      <c r="Q693" s="415" t="s">
        <v>2675</v>
      </c>
      <c r="R693" s="415" t="s">
        <v>3069</v>
      </c>
      <c r="S693" s="415" t="s">
        <v>3208</v>
      </c>
      <c r="T693" s="416">
        <v>138</v>
      </c>
      <c r="U693" s="416">
        <v>138</v>
      </c>
      <c r="V693" s="416">
        <v>138</v>
      </c>
      <c r="W693" s="416">
        <v>138</v>
      </c>
      <c r="X693" s="416">
        <v>138</v>
      </c>
      <c r="Y693" s="416">
        <v>138</v>
      </c>
      <c r="Z693" s="416">
        <v>134</v>
      </c>
      <c r="AA693" s="416">
        <v>126</v>
      </c>
      <c r="AB693" s="416">
        <v>119</v>
      </c>
      <c r="AC693" s="416">
        <v>116</v>
      </c>
      <c r="AD693" s="416">
        <v>114</v>
      </c>
      <c r="AE693" s="416">
        <v>112</v>
      </c>
      <c r="AF693" s="416">
        <v>111</v>
      </c>
      <c r="AG693" s="416">
        <v>110</v>
      </c>
      <c r="AH693" s="416">
        <v>108</v>
      </c>
      <c r="AI693" s="416">
        <v>0</v>
      </c>
      <c r="AJ693" s="416">
        <v>0</v>
      </c>
      <c r="AK693" s="416">
        <v>0</v>
      </c>
      <c r="AL693" s="416">
        <v>0</v>
      </c>
      <c r="AM693" s="416">
        <v>0</v>
      </c>
      <c r="AN693" s="416">
        <v>0</v>
      </c>
      <c r="AO693" s="416">
        <v>0</v>
      </c>
      <c r="AP693" s="416">
        <v>0</v>
      </c>
      <c r="AQ693" s="416">
        <v>0</v>
      </c>
      <c r="AR693" s="416">
        <v>0</v>
      </c>
      <c r="AS693" s="416">
        <v>0</v>
      </c>
      <c r="AT693" s="416">
        <v>0</v>
      </c>
      <c r="AU693" s="416">
        <v>0</v>
      </c>
      <c r="AV693" s="416">
        <v>0</v>
      </c>
      <c r="AW693" s="416">
        <v>0</v>
      </c>
      <c r="AX693" s="416">
        <v>0</v>
      </c>
      <c r="AY693" s="416">
        <v>0</v>
      </c>
      <c r="AZ693" s="416">
        <v>0</v>
      </c>
    </row>
    <row r="694" spans="1:52" s="411" customFormat="1" x14ac:dyDescent="0.3">
      <c r="A694" s="415" t="str">
        <f t="shared" si="10"/>
        <v>SA-376 Gr.TP316</v>
      </c>
      <c r="B694" s="415">
        <v>688</v>
      </c>
      <c r="C694" s="415" t="s">
        <v>3200</v>
      </c>
      <c r="D694" s="415" t="s">
        <v>2703</v>
      </c>
      <c r="E694" s="415" t="s">
        <v>2225</v>
      </c>
      <c r="F694" s="415" t="s">
        <v>2568</v>
      </c>
      <c r="G694" s="415" t="s">
        <v>3222</v>
      </c>
      <c r="H694" s="415">
        <v>0</v>
      </c>
      <c r="I694" s="415">
        <v>0</v>
      </c>
      <c r="J694" s="415">
        <v>8</v>
      </c>
      <c r="K694" s="415">
        <v>1</v>
      </c>
      <c r="L694" s="415">
        <v>515</v>
      </c>
      <c r="M694" s="415">
        <v>205</v>
      </c>
      <c r="N694" s="415">
        <v>816</v>
      </c>
      <c r="O694" s="415">
        <v>427</v>
      </c>
      <c r="P694" s="415">
        <v>816</v>
      </c>
      <c r="Q694" s="415">
        <v>343</v>
      </c>
      <c r="R694" s="415" t="s">
        <v>3069</v>
      </c>
      <c r="S694" s="415" t="s">
        <v>3231</v>
      </c>
      <c r="T694" s="416">
        <v>138</v>
      </c>
      <c r="U694" s="416">
        <v>138</v>
      </c>
      <c r="V694" s="416">
        <v>138</v>
      </c>
      <c r="W694" s="416">
        <v>138</v>
      </c>
      <c r="X694" s="416">
        <v>138</v>
      </c>
      <c r="Y694" s="416">
        <v>138</v>
      </c>
      <c r="Z694" s="416">
        <v>134</v>
      </c>
      <c r="AA694" s="416">
        <v>126</v>
      </c>
      <c r="AB694" s="416">
        <v>119</v>
      </c>
      <c r="AC694" s="416">
        <v>116</v>
      </c>
      <c r="AD694" s="416">
        <v>114</v>
      </c>
      <c r="AE694" s="416">
        <v>112</v>
      </c>
      <c r="AF694" s="416">
        <v>111</v>
      </c>
      <c r="AG694" s="416">
        <v>110</v>
      </c>
      <c r="AH694" s="416">
        <v>108</v>
      </c>
      <c r="AI694" s="416">
        <v>108</v>
      </c>
      <c r="AJ694" s="416">
        <v>107</v>
      </c>
      <c r="AK694" s="416">
        <v>106</v>
      </c>
      <c r="AL694" s="416">
        <v>105</v>
      </c>
      <c r="AM694" s="416">
        <v>99.8</v>
      </c>
      <c r="AN694" s="416">
        <v>80.3</v>
      </c>
      <c r="AO694" s="416">
        <v>65.5</v>
      </c>
      <c r="AP694" s="416">
        <v>50.4</v>
      </c>
      <c r="AQ694" s="416">
        <v>38.6</v>
      </c>
      <c r="AR694" s="416">
        <v>29.6</v>
      </c>
      <c r="AS694" s="416">
        <v>23</v>
      </c>
      <c r="AT694" s="416">
        <v>17.7</v>
      </c>
      <c r="AU694" s="416">
        <v>13.4</v>
      </c>
      <c r="AV694" s="416">
        <v>10.4</v>
      </c>
      <c r="AW694" s="416">
        <v>8.0500000000000007</v>
      </c>
      <c r="AX694" s="416">
        <v>0</v>
      </c>
      <c r="AY694" s="416">
        <v>0</v>
      </c>
      <c r="AZ694" s="416">
        <v>0</v>
      </c>
    </row>
    <row r="695" spans="1:52" s="411" customFormat="1" x14ac:dyDescent="0.3">
      <c r="A695" s="415" t="str">
        <f t="shared" si="10"/>
        <v>SA-376 Gr.TP316</v>
      </c>
      <c r="B695" s="415">
        <v>689</v>
      </c>
      <c r="C695" s="415" t="s">
        <v>3200</v>
      </c>
      <c r="D695" s="415" t="s">
        <v>2703</v>
      </c>
      <c r="E695" s="415" t="s">
        <v>2225</v>
      </c>
      <c r="F695" s="415" t="s">
        <v>2568</v>
      </c>
      <c r="G695" s="415" t="s">
        <v>3222</v>
      </c>
      <c r="H695" s="415">
        <v>0</v>
      </c>
      <c r="I695" s="415">
        <v>0</v>
      </c>
      <c r="J695" s="415">
        <v>8</v>
      </c>
      <c r="K695" s="415">
        <v>1</v>
      </c>
      <c r="L695" s="415">
        <v>515</v>
      </c>
      <c r="M695" s="415">
        <v>205</v>
      </c>
      <c r="N695" s="415">
        <v>816</v>
      </c>
      <c r="O695" s="415" t="s">
        <v>2675</v>
      </c>
      <c r="P695" s="415">
        <v>816</v>
      </c>
      <c r="Q695" s="415">
        <v>343</v>
      </c>
      <c r="R695" s="415" t="s">
        <v>3069</v>
      </c>
      <c r="S695" s="415" t="s">
        <v>3232</v>
      </c>
      <c r="T695" s="416">
        <v>138</v>
      </c>
      <c r="U695" s="416">
        <v>138</v>
      </c>
      <c r="V695" s="416">
        <v>128</v>
      </c>
      <c r="W695" s="416">
        <v>118</v>
      </c>
      <c r="X695" s="416">
        <v>112</v>
      </c>
      <c r="Y695" s="416">
        <v>107</v>
      </c>
      <c r="Z695" s="416">
        <v>99.2</v>
      </c>
      <c r="AA695" s="416">
        <v>92.8</v>
      </c>
      <c r="AB695" s="416">
        <v>88.1</v>
      </c>
      <c r="AC695" s="416">
        <v>86.1</v>
      </c>
      <c r="AD695" s="416">
        <v>84.1</v>
      </c>
      <c r="AE695" s="416">
        <v>82.9</v>
      </c>
      <c r="AF695" s="416">
        <v>82</v>
      </c>
      <c r="AG695" s="416">
        <v>81.400000000000006</v>
      </c>
      <c r="AH695" s="416">
        <v>80.599999999999994</v>
      </c>
      <c r="AI695" s="416">
        <v>79.8</v>
      </c>
      <c r="AJ695" s="416">
        <v>79.2</v>
      </c>
      <c r="AK695" s="416">
        <v>78.7</v>
      </c>
      <c r="AL695" s="416">
        <v>77.8</v>
      </c>
      <c r="AM695" s="416">
        <v>77.099999999999994</v>
      </c>
      <c r="AN695" s="416">
        <v>75</v>
      </c>
      <c r="AO695" s="416">
        <v>65.5</v>
      </c>
      <c r="AP695" s="416">
        <v>50.4</v>
      </c>
      <c r="AQ695" s="416">
        <v>38.6</v>
      </c>
      <c r="AR695" s="416">
        <v>29.6</v>
      </c>
      <c r="AS695" s="416">
        <v>23</v>
      </c>
      <c r="AT695" s="416">
        <v>17.7</v>
      </c>
      <c r="AU695" s="416">
        <v>13.4</v>
      </c>
      <c r="AV695" s="416">
        <v>10.4</v>
      </c>
      <c r="AW695" s="416">
        <v>8.0500000000000007</v>
      </c>
      <c r="AX695" s="416">
        <v>0</v>
      </c>
      <c r="AY695" s="416">
        <v>0</v>
      </c>
      <c r="AZ695" s="416">
        <v>0</v>
      </c>
    </row>
    <row r="696" spans="1:52" s="411" customFormat="1" x14ac:dyDescent="0.3">
      <c r="A696" s="415" t="str">
        <f t="shared" si="10"/>
        <v>SA-403 Gr.316</v>
      </c>
      <c r="B696" s="415">
        <v>690</v>
      </c>
      <c r="C696" s="415" t="s">
        <v>3200</v>
      </c>
      <c r="D696" s="415" t="s">
        <v>2758</v>
      </c>
      <c r="E696" s="415" t="s">
        <v>2229</v>
      </c>
      <c r="F696" s="415">
        <v>316</v>
      </c>
      <c r="G696" s="415" t="s">
        <v>3222</v>
      </c>
      <c r="H696" s="415">
        <v>0</v>
      </c>
      <c r="I696" s="415">
        <v>0</v>
      </c>
      <c r="J696" s="415">
        <v>8</v>
      </c>
      <c r="K696" s="415">
        <v>1</v>
      </c>
      <c r="L696" s="415">
        <v>515</v>
      </c>
      <c r="M696" s="415">
        <v>205</v>
      </c>
      <c r="N696" s="415" t="s">
        <v>2675</v>
      </c>
      <c r="O696" s="415">
        <v>427</v>
      </c>
      <c r="P696" s="415">
        <v>816</v>
      </c>
      <c r="Q696" s="415">
        <v>343</v>
      </c>
      <c r="R696" s="415" t="s">
        <v>3069</v>
      </c>
      <c r="S696" s="415" t="s">
        <v>3233</v>
      </c>
      <c r="T696" s="416">
        <v>138</v>
      </c>
      <c r="U696" s="416">
        <v>138</v>
      </c>
      <c r="V696" s="416">
        <v>138</v>
      </c>
      <c r="W696" s="416">
        <v>138</v>
      </c>
      <c r="X696" s="416">
        <v>138</v>
      </c>
      <c r="Y696" s="416">
        <v>138</v>
      </c>
      <c r="Z696" s="416">
        <v>134</v>
      </c>
      <c r="AA696" s="416">
        <v>126</v>
      </c>
      <c r="AB696" s="416">
        <v>119</v>
      </c>
      <c r="AC696" s="416">
        <v>116</v>
      </c>
      <c r="AD696" s="416">
        <v>114</v>
      </c>
      <c r="AE696" s="416">
        <v>112</v>
      </c>
      <c r="AF696" s="416">
        <v>111</v>
      </c>
      <c r="AG696" s="416">
        <v>110</v>
      </c>
      <c r="AH696" s="416">
        <v>108</v>
      </c>
      <c r="AI696" s="416">
        <v>108</v>
      </c>
      <c r="AJ696" s="416">
        <v>107</v>
      </c>
      <c r="AK696" s="416">
        <v>106</v>
      </c>
      <c r="AL696" s="416">
        <v>105</v>
      </c>
      <c r="AM696" s="416">
        <v>99.8</v>
      </c>
      <c r="AN696" s="416">
        <v>80.3</v>
      </c>
      <c r="AO696" s="416">
        <v>65.5</v>
      </c>
      <c r="AP696" s="416">
        <v>50.4</v>
      </c>
      <c r="AQ696" s="416">
        <v>38.6</v>
      </c>
      <c r="AR696" s="416">
        <v>29.6</v>
      </c>
      <c r="AS696" s="416">
        <v>23</v>
      </c>
      <c r="AT696" s="416">
        <v>17.7</v>
      </c>
      <c r="AU696" s="416">
        <v>13.4</v>
      </c>
      <c r="AV696" s="416">
        <v>10.4</v>
      </c>
      <c r="AW696" s="416">
        <v>8.0500000000000007</v>
      </c>
      <c r="AX696" s="416">
        <v>0</v>
      </c>
      <c r="AY696" s="416">
        <v>0</v>
      </c>
      <c r="AZ696" s="416">
        <v>0</v>
      </c>
    </row>
    <row r="697" spans="1:52" s="411" customFormat="1" x14ac:dyDescent="0.3">
      <c r="A697" s="415" t="str">
        <f t="shared" si="10"/>
        <v>SA-409 Gr.TP316</v>
      </c>
      <c r="B697" s="415">
        <v>691</v>
      </c>
      <c r="C697" s="415" t="s">
        <v>3200</v>
      </c>
      <c r="D697" s="415" t="s">
        <v>2680</v>
      </c>
      <c r="E697" s="415" t="s">
        <v>2231</v>
      </c>
      <c r="F697" s="415" t="s">
        <v>2568</v>
      </c>
      <c r="G697" s="415" t="s">
        <v>3222</v>
      </c>
      <c r="H697" s="415">
        <v>0</v>
      </c>
      <c r="I697" s="415">
        <v>0</v>
      </c>
      <c r="J697" s="415">
        <v>8</v>
      </c>
      <c r="K697" s="415">
        <v>1</v>
      </c>
      <c r="L697" s="415">
        <v>515</v>
      </c>
      <c r="M697" s="415">
        <v>205</v>
      </c>
      <c r="N697" s="415" t="s">
        <v>2675</v>
      </c>
      <c r="O697" s="415">
        <v>427</v>
      </c>
      <c r="P697" s="415" t="s">
        <v>2675</v>
      </c>
      <c r="Q697" s="415" t="s">
        <v>2675</v>
      </c>
      <c r="R697" s="415" t="s">
        <v>3069</v>
      </c>
      <c r="S697" s="415" t="s">
        <v>3208</v>
      </c>
      <c r="T697" s="416">
        <v>138</v>
      </c>
      <c r="U697" s="416">
        <v>138</v>
      </c>
      <c r="V697" s="416">
        <v>138</v>
      </c>
      <c r="W697" s="416">
        <v>138</v>
      </c>
      <c r="X697" s="416">
        <v>138</v>
      </c>
      <c r="Y697" s="416">
        <v>138</v>
      </c>
      <c r="Z697" s="416">
        <v>134</v>
      </c>
      <c r="AA697" s="416">
        <v>126</v>
      </c>
      <c r="AB697" s="416">
        <v>119</v>
      </c>
      <c r="AC697" s="416">
        <v>116</v>
      </c>
      <c r="AD697" s="416">
        <v>114</v>
      </c>
      <c r="AE697" s="416">
        <v>112</v>
      </c>
      <c r="AF697" s="416">
        <v>111</v>
      </c>
      <c r="AG697" s="416">
        <v>110</v>
      </c>
      <c r="AH697" s="416">
        <v>108</v>
      </c>
      <c r="AI697" s="416">
        <v>0</v>
      </c>
      <c r="AJ697" s="416">
        <v>0</v>
      </c>
      <c r="AK697" s="416">
        <v>0</v>
      </c>
      <c r="AL697" s="416">
        <v>0</v>
      </c>
      <c r="AM697" s="416">
        <v>0</v>
      </c>
      <c r="AN697" s="416">
        <v>0</v>
      </c>
      <c r="AO697" s="416">
        <v>0</v>
      </c>
      <c r="AP697" s="416">
        <v>0</v>
      </c>
      <c r="AQ697" s="416">
        <v>0</v>
      </c>
      <c r="AR697" s="416">
        <v>0</v>
      </c>
      <c r="AS697" s="416">
        <v>0</v>
      </c>
      <c r="AT697" s="416">
        <v>0</v>
      </c>
      <c r="AU697" s="416">
        <v>0</v>
      </c>
      <c r="AV697" s="416">
        <v>0</v>
      </c>
      <c r="AW697" s="416">
        <v>0</v>
      </c>
      <c r="AX697" s="416">
        <v>0</v>
      </c>
      <c r="AY697" s="416">
        <v>0</v>
      </c>
      <c r="AZ697" s="416">
        <v>0</v>
      </c>
    </row>
    <row r="698" spans="1:52" s="411" customFormat="1" x14ac:dyDescent="0.3">
      <c r="A698" s="415" t="str">
        <f t="shared" si="10"/>
        <v>SA-479 Gr.316</v>
      </c>
      <c r="B698" s="415">
        <v>692</v>
      </c>
      <c r="C698" s="415" t="s">
        <v>3200</v>
      </c>
      <c r="D698" s="415" t="s">
        <v>2677</v>
      </c>
      <c r="E698" s="415" t="s">
        <v>2245</v>
      </c>
      <c r="F698" s="415">
        <v>316</v>
      </c>
      <c r="G698" s="415" t="s">
        <v>3222</v>
      </c>
      <c r="H698" s="415">
        <v>0</v>
      </c>
      <c r="I698" s="415">
        <v>0</v>
      </c>
      <c r="J698" s="415">
        <v>8</v>
      </c>
      <c r="K698" s="415">
        <v>1</v>
      </c>
      <c r="L698" s="415">
        <v>515</v>
      </c>
      <c r="M698" s="415">
        <v>205</v>
      </c>
      <c r="N698" s="415">
        <v>816</v>
      </c>
      <c r="O698" s="415">
        <v>427</v>
      </c>
      <c r="P698" s="415">
        <v>816</v>
      </c>
      <c r="Q698" s="415">
        <v>343</v>
      </c>
      <c r="R698" s="415" t="s">
        <v>3069</v>
      </c>
      <c r="S698" s="415" t="s">
        <v>3234</v>
      </c>
      <c r="T698" s="416">
        <v>138</v>
      </c>
      <c r="U698" s="416">
        <v>138</v>
      </c>
      <c r="V698" s="416">
        <v>138</v>
      </c>
      <c r="W698" s="416">
        <v>138</v>
      </c>
      <c r="X698" s="416">
        <v>138</v>
      </c>
      <c r="Y698" s="416">
        <v>138</v>
      </c>
      <c r="Z698" s="416">
        <v>134</v>
      </c>
      <c r="AA698" s="416">
        <v>126</v>
      </c>
      <c r="AB698" s="416">
        <v>119</v>
      </c>
      <c r="AC698" s="416">
        <v>116</v>
      </c>
      <c r="AD698" s="416">
        <v>114</v>
      </c>
      <c r="AE698" s="416">
        <v>112</v>
      </c>
      <c r="AF698" s="416">
        <v>111</v>
      </c>
      <c r="AG698" s="416">
        <v>110</v>
      </c>
      <c r="AH698" s="416">
        <v>108</v>
      </c>
      <c r="AI698" s="416">
        <v>108</v>
      </c>
      <c r="AJ698" s="416">
        <v>107</v>
      </c>
      <c r="AK698" s="416">
        <v>106</v>
      </c>
      <c r="AL698" s="416">
        <v>105</v>
      </c>
      <c r="AM698" s="416">
        <v>99.8</v>
      </c>
      <c r="AN698" s="416">
        <v>80.3</v>
      </c>
      <c r="AO698" s="416">
        <v>65.5</v>
      </c>
      <c r="AP698" s="416">
        <v>50.4</v>
      </c>
      <c r="AQ698" s="416">
        <v>38.6</v>
      </c>
      <c r="AR698" s="416">
        <v>29.6</v>
      </c>
      <c r="AS698" s="416">
        <v>23</v>
      </c>
      <c r="AT698" s="416">
        <v>17.7</v>
      </c>
      <c r="AU698" s="416">
        <v>13.4</v>
      </c>
      <c r="AV698" s="416">
        <v>10.4</v>
      </c>
      <c r="AW698" s="416">
        <v>8.0500000000000007</v>
      </c>
      <c r="AX698" s="416">
        <v>0</v>
      </c>
      <c r="AY698" s="416">
        <v>0</v>
      </c>
      <c r="AZ698" s="416">
        <v>0</v>
      </c>
    </row>
    <row r="699" spans="1:52" s="411" customFormat="1" x14ac:dyDescent="0.3">
      <c r="A699" s="415" t="str">
        <f t="shared" si="10"/>
        <v>SA-479 Gr.316</v>
      </c>
      <c r="B699" s="415">
        <v>693</v>
      </c>
      <c r="C699" s="415" t="s">
        <v>3200</v>
      </c>
      <c r="D699" s="415" t="s">
        <v>2677</v>
      </c>
      <c r="E699" s="415" t="s">
        <v>2245</v>
      </c>
      <c r="F699" s="415">
        <v>316</v>
      </c>
      <c r="G699" s="415" t="s">
        <v>3222</v>
      </c>
      <c r="H699" s="415">
        <v>0</v>
      </c>
      <c r="I699" s="415">
        <v>0</v>
      </c>
      <c r="J699" s="415">
        <v>8</v>
      </c>
      <c r="K699" s="415">
        <v>1</v>
      </c>
      <c r="L699" s="415">
        <v>515</v>
      </c>
      <c r="M699" s="415">
        <v>205</v>
      </c>
      <c r="N699" s="415">
        <v>816</v>
      </c>
      <c r="O699" s="415" t="s">
        <v>2675</v>
      </c>
      <c r="P699" s="415">
        <v>816</v>
      </c>
      <c r="Q699" s="415">
        <v>343</v>
      </c>
      <c r="R699" s="415" t="s">
        <v>3069</v>
      </c>
      <c r="S699" s="415" t="s">
        <v>3235</v>
      </c>
      <c r="T699" s="416">
        <v>138</v>
      </c>
      <c r="U699" s="416">
        <v>138</v>
      </c>
      <c r="V699" s="416">
        <v>128</v>
      </c>
      <c r="W699" s="416">
        <v>118</v>
      </c>
      <c r="X699" s="416">
        <v>112</v>
      </c>
      <c r="Y699" s="416">
        <v>107</v>
      </c>
      <c r="Z699" s="416">
        <v>99.2</v>
      </c>
      <c r="AA699" s="416">
        <v>92.8</v>
      </c>
      <c r="AB699" s="416">
        <v>88.1</v>
      </c>
      <c r="AC699" s="416">
        <v>86.1</v>
      </c>
      <c r="AD699" s="416">
        <v>84.1</v>
      </c>
      <c r="AE699" s="416">
        <v>82.9</v>
      </c>
      <c r="AF699" s="416">
        <v>82</v>
      </c>
      <c r="AG699" s="416">
        <v>81.400000000000006</v>
      </c>
      <c r="AH699" s="416">
        <v>80.599999999999994</v>
      </c>
      <c r="AI699" s="416">
        <v>79.8</v>
      </c>
      <c r="AJ699" s="416">
        <v>79.2</v>
      </c>
      <c r="AK699" s="416">
        <v>78.7</v>
      </c>
      <c r="AL699" s="416">
        <v>77.8</v>
      </c>
      <c r="AM699" s="416">
        <v>77.099999999999994</v>
      </c>
      <c r="AN699" s="416">
        <v>75</v>
      </c>
      <c r="AO699" s="416">
        <v>65.5</v>
      </c>
      <c r="AP699" s="416">
        <v>50.4</v>
      </c>
      <c r="AQ699" s="416">
        <v>38.6</v>
      </c>
      <c r="AR699" s="416">
        <v>29.6</v>
      </c>
      <c r="AS699" s="416">
        <v>23</v>
      </c>
      <c r="AT699" s="416">
        <v>17.7</v>
      </c>
      <c r="AU699" s="416">
        <v>13.4</v>
      </c>
      <c r="AV699" s="416">
        <v>10.4</v>
      </c>
      <c r="AW699" s="416">
        <v>8.0500000000000007</v>
      </c>
      <c r="AX699" s="416">
        <v>0</v>
      </c>
      <c r="AY699" s="416">
        <v>0</v>
      </c>
      <c r="AZ699" s="416">
        <v>0</v>
      </c>
    </row>
    <row r="700" spans="1:52" s="411" customFormat="1" x14ac:dyDescent="0.3">
      <c r="A700" s="415" t="str">
        <f t="shared" si="10"/>
        <v>SA-688 Gr.TP316</v>
      </c>
      <c r="B700" s="415">
        <v>694</v>
      </c>
      <c r="C700" s="415" t="s">
        <v>3200</v>
      </c>
      <c r="D700" s="415" t="s">
        <v>2689</v>
      </c>
      <c r="E700" s="415" t="s">
        <v>2301</v>
      </c>
      <c r="F700" s="415" t="s">
        <v>2568</v>
      </c>
      <c r="G700" s="415" t="s">
        <v>3222</v>
      </c>
      <c r="H700" s="415">
        <v>0</v>
      </c>
      <c r="I700" s="415">
        <v>0</v>
      </c>
      <c r="J700" s="415">
        <v>8</v>
      </c>
      <c r="K700" s="415">
        <v>1</v>
      </c>
      <c r="L700" s="415">
        <v>515</v>
      </c>
      <c r="M700" s="415">
        <v>205</v>
      </c>
      <c r="N700" s="415" t="s">
        <v>2675</v>
      </c>
      <c r="O700" s="415">
        <v>427</v>
      </c>
      <c r="P700" s="415" t="s">
        <v>2675</v>
      </c>
      <c r="Q700" s="415" t="s">
        <v>2675</v>
      </c>
      <c r="R700" s="415" t="s">
        <v>3069</v>
      </c>
      <c r="S700" s="415" t="s">
        <v>3208</v>
      </c>
      <c r="T700" s="416">
        <v>138</v>
      </c>
      <c r="U700" s="416">
        <v>138</v>
      </c>
      <c r="V700" s="416">
        <v>138</v>
      </c>
      <c r="W700" s="416">
        <v>138</v>
      </c>
      <c r="X700" s="416">
        <v>138</v>
      </c>
      <c r="Y700" s="416">
        <v>138</v>
      </c>
      <c r="Z700" s="416">
        <v>134</v>
      </c>
      <c r="AA700" s="416">
        <v>126</v>
      </c>
      <c r="AB700" s="416">
        <v>119</v>
      </c>
      <c r="AC700" s="416">
        <v>116</v>
      </c>
      <c r="AD700" s="416">
        <v>114</v>
      </c>
      <c r="AE700" s="416">
        <v>112</v>
      </c>
      <c r="AF700" s="416">
        <v>111</v>
      </c>
      <c r="AG700" s="416">
        <v>110</v>
      </c>
      <c r="AH700" s="416">
        <v>108</v>
      </c>
      <c r="AI700" s="416">
        <v>0</v>
      </c>
      <c r="AJ700" s="416">
        <v>0</v>
      </c>
      <c r="AK700" s="416">
        <v>0</v>
      </c>
      <c r="AL700" s="416">
        <v>0</v>
      </c>
      <c r="AM700" s="416">
        <v>0</v>
      </c>
      <c r="AN700" s="416">
        <v>0</v>
      </c>
      <c r="AO700" s="416">
        <v>0</v>
      </c>
      <c r="AP700" s="416">
        <v>0</v>
      </c>
      <c r="AQ700" s="416">
        <v>0</v>
      </c>
      <c r="AR700" s="416">
        <v>0</v>
      </c>
      <c r="AS700" s="416">
        <v>0</v>
      </c>
      <c r="AT700" s="416">
        <v>0</v>
      </c>
      <c r="AU700" s="416">
        <v>0</v>
      </c>
      <c r="AV700" s="416">
        <v>0</v>
      </c>
      <c r="AW700" s="416">
        <v>0</v>
      </c>
      <c r="AX700" s="416">
        <v>0</v>
      </c>
      <c r="AY700" s="416">
        <v>0</v>
      </c>
      <c r="AZ700" s="416">
        <v>0</v>
      </c>
    </row>
    <row r="701" spans="1:52" s="411" customFormat="1" x14ac:dyDescent="0.3">
      <c r="A701" s="415" t="str">
        <f t="shared" si="10"/>
        <v>SA-688 Gr.TP316</v>
      </c>
      <c r="B701" s="415">
        <v>695</v>
      </c>
      <c r="C701" s="415" t="s">
        <v>3200</v>
      </c>
      <c r="D701" s="415" t="s">
        <v>2689</v>
      </c>
      <c r="E701" s="415" t="s">
        <v>2301</v>
      </c>
      <c r="F701" s="415" t="s">
        <v>2568</v>
      </c>
      <c r="G701" s="415" t="s">
        <v>3222</v>
      </c>
      <c r="H701" s="415">
        <v>0</v>
      </c>
      <c r="I701" s="415">
        <v>0</v>
      </c>
      <c r="J701" s="415">
        <v>8</v>
      </c>
      <c r="K701" s="415">
        <v>1</v>
      </c>
      <c r="L701" s="415">
        <v>515</v>
      </c>
      <c r="M701" s="415">
        <v>205</v>
      </c>
      <c r="N701" s="415" t="s">
        <v>2675</v>
      </c>
      <c r="O701" s="415" t="s">
        <v>2675</v>
      </c>
      <c r="P701" s="415">
        <v>816</v>
      </c>
      <c r="Q701" s="415">
        <v>343</v>
      </c>
      <c r="R701" s="415" t="s">
        <v>3069</v>
      </c>
      <c r="S701" s="415" t="s">
        <v>3236</v>
      </c>
      <c r="T701" s="416">
        <v>117</v>
      </c>
      <c r="U701" s="416">
        <v>117</v>
      </c>
      <c r="V701" s="416">
        <v>117</v>
      </c>
      <c r="W701" s="416">
        <v>117</v>
      </c>
      <c r="X701" s="416">
        <v>117</v>
      </c>
      <c r="Y701" s="416">
        <v>117</v>
      </c>
      <c r="Z701" s="416">
        <v>114</v>
      </c>
      <c r="AA701" s="416">
        <v>107</v>
      </c>
      <c r="AB701" s="416">
        <v>101</v>
      </c>
      <c r="AC701" s="416">
        <v>99</v>
      </c>
      <c r="AD701" s="416">
        <v>96.8</v>
      </c>
      <c r="AE701" s="416">
        <v>95.7</v>
      </c>
      <c r="AF701" s="416">
        <v>94.4</v>
      </c>
      <c r="AG701" s="416">
        <v>93.1</v>
      </c>
      <c r="AH701" s="416">
        <v>92.5</v>
      </c>
      <c r="AI701" s="416">
        <v>91.4</v>
      </c>
      <c r="AJ701" s="416">
        <v>90.5</v>
      </c>
      <c r="AK701" s="416">
        <v>89.9</v>
      </c>
      <c r="AL701" s="416">
        <v>89.3</v>
      </c>
      <c r="AM701" s="416">
        <v>85.3</v>
      </c>
      <c r="AN701" s="416">
        <v>68.099999999999994</v>
      </c>
      <c r="AO701" s="416">
        <v>55.6</v>
      </c>
      <c r="AP701" s="416">
        <v>42.9</v>
      </c>
      <c r="AQ701" s="416">
        <v>33</v>
      </c>
      <c r="AR701" s="416">
        <v>25.3</v>
      </c>
      <c r="AS701" s="416">
        <v>19.399999999999999</v>
      </c>
      <c r="AT701" s="416">
        <v>14.7</v>
      </c>
      <c r="AU701" s="416">
        <v>11.3</v>
      </c>
      <c r="AV701" s="416">
        <v>8.9</v>
      </c>
      <c r="AW701" s="416">
        <v>6.77</v>
      </c>
      <c r="AX701" s="416">
        <v>0</v>
      </c>
      <c r="AY701" s="416">
        <v>0</v>
      </c>
      <c r="AZ701" s="416">
        <v>0</v>
      </c>
    </row>
    <row r="702" spans="1:52" s="411" customFormat="1" x14ac:dyDescent="0.3">
      <c r="A702" s="415" t="str">
        <f t="shared" si="10"/>
        <v>SA-688 Gr.TP316</v>
      </c>
      <c r="B702" s="415">
        <v>696</v>
      </c>
      <c r="C702" s="415" t="s">
        <v>3200</v>
      </c>
      <c r="D702" s="415" t="s">
        <v>2689</v>
      </c>
      <c r="E702" s="415" t="s">
        <v>2301</v>
      </c>
      <c r="F702" s="415" t="s">
        <v>2568</v>
      </c>
      <c r="G702" s="415" t="s">
        <v>3222</v>
      </c>
      <c r="H702" s="415">
        <v>0</v>
      </c>
      <c r="I702" s="415">
        <v>0</v>
      </c>
      <c r="J702" s="415">
        <v>8</v>
      </c>
      <c r="K702" s="415">
        <v>1</v>
      </c>
      <c r="L702" s="415">
        <v>515</v>
      </c>
      <c r="M702" s="415">
        <v>205</v>
      </c>
      <c r="N702" s="415" t="s">
        <v>2675</v>
      </c>
      <c r="O702" s="415" t="s">
        <v>2675</v>
      </c>
      <c r="P702" s="415">
        <v>816</v>
      </c>
      <c r="Q702" s="415">
        <v>343</v>
      </c>
      <c r="R702" s="415" t="s">
        <v>3069</v>
      </c>
      <c r="S702" s="415" t="s">
        <v>3237</v>
      </c>
      <c r="T702" s="416">
        <v>117</v>
      </c>
      <c r="U702" s="416">
        <v>117</v>
      </c>
      <c r="V702" s="416">
        <v>109</v>
      </c>
      <c r="W702" s="416">
        <v>99.8</v>
      </c>
      <c r="X702" s="416">
        <v>94.9</v>
      </c>
      <c r="Y702" s="416">
        <v>90.8</v>
      </c>
      <c r="Z702" s="416">
        <v>84</v>
      </c>
      <c r="AA702" s="416">
        <v>78.8</v>
      </c>
      <c r="AB702" s="416">
        <v>74.7</v>
      </c>
      <c r="AC702" s="416">
        <v>73.3</v>
      </c>
      <c r="AD702" s="416">
        <v>72.099999999999994</v>
      </c>
      <c r="AE702" s="416">
        <v>70.8</v>
      </c>
      <c r="AF702" s="416">
        <v>69.599999999999994</v>
      </c>
      <c r="AG702" s="416">
        <v>69</v>
      </c>
      <c r="AH702" s="416">
        <v>68.400000000000006</v>
      </c>
      <c r="AI702" s="416">
        <v>67.7</v>
      </c>
      <c r="AJ702" s="416">
        <v>67.099999999999994</v>
      </c>
      <c r="AK702" s="416">
        <v>66.5</v>
      </c>
      <c r="AL702" s="416">
        <v>65.900000000000006</v>
      </c>
      <c r="AM702" s="416">
        <v>65.3</v>
      </c>
      <c r="AN702" s="416">
        <v>64</v>
      </c>
      <c r="AO702" s="416">
        <v>55.6</v>
      </c>
      <c r="AP702" s="416">
        <v>42.9</v>
      </c>
      <c r="AQ702" s="416">
        <v>33</v>
      </c>
      <c r="AR702" s="416">
        <v>25.3</v>
      </c>
      <c r="AS702" s="416">
        <v>19.399999999999999</v>
      </c>
      <c r="AT702" s="416">
        <v>14.7</v>
      </c>
      <c r="AU702" s="416">
        <v>11.3</v>
      </c>
      <c r="AV702" s="416">
        <v>8.9</v>
      </c>
      <c r="AW702" s="416">
        <v>6.77</v>
      </c>
      <c r="AX702" s="416">
        <v>0</v>
      </c>
      <c r="AY702" s="416">
        <v>0</v>
      </c>
      <c r="AZ702" s="416">
        <v>0</v>
      </c>
    </row>
    <row r="703" spans="1:52" s="411" customFormat="1" x14ac:dyDescent="0.3">
      <c r="A703" s="415" t="str">
        <f t="shared" si="10"/>
        <v>SA-813 Gr.TP316</v>
      </c>
      <c r="B703" s="415">
        <v>697</v>
      </c>
      <c r="C703" s="415" t="s">
        <v>3200</v>
      </c>
      <c r="D703" s="415" t="s">
        <v>2680</v>
      </c>
      <c r="E703" s="415" t="s">
        <v>2328</v>
      </c>
      <c r="F703" s="415" t="s">
        <v>2568</v>
      </c>
      <c r="G703" s="415" t="s">
        <v>3222</v>
      </c>
      <c r="H703" s="415">
        <v>0</v>
      </c>
      <c r="I703" s="415">
        <v>0</v>
      </c>
      <c r="J703" s="415">
        <v>8</v>
      </c>
      <c r="K703" s="415">
        <v>1</v>
      </c>
      <c r="L703" s="415">
        <v>515</v>
      </c>
      <c r="M703" s="415">
        <v>205</v>
      </c>
      <c r="N703" s="415" t="s">
        <v>2675</v>
      </c>
      <c r="O703" s="415">
        <v>427</v>
      </c>
      <c r="P703" s="415" t="s">
        <v>2675</v>
      </c>
      <c r="Q703" s="415" t="s">
        <v>2675</v>
      </c>
      <c r="R703" s="415" t="s">
        <v>3069</v>
      </c>
      <c r="S703" s="415" t="s">
        <v>3208</v>
      </c>
      <c r="T703" s="416">
        <v>138</v>
      </c>
      <c r="U703" s="416">
        <v>138</v>
      </c>
      <c r="V703" s="416">
        <v>138</v>
      </c>
      <c r="W703" s="416">
        <v>138</v>
      </c>
      <c r="X703" s="416">
        <v>138</v>
      </c>
      <c r="Y703" s="416">
        <v>138</v>
      </c>
      <c r="Z703" s="416">
        <v>134</v>
      </c>
      <c r="AA703" s="416">
        <v>126</v>
      </c>
      <c r="AB703" s="416">
        <v>119</v>
      </c>
      <c r="AC703" s="416">
        <v>116</v>
      </c>
      <c r="AD703" s="416">
        <v>114</v>
      </c>
      <c r="AE703" s="416">
        <v>112</v>
      </c>
      <c r="AF703" s="416">
        <v>111</v>
      </c>
      <c r="AG703" s="416">
        <v>110</v>
      </c>
      <c r="AH703" s="416">
        <v>108</v>
      </c>
      <c r="AI703" s="416">
        <v>0</v>
      </c>
      <c r="AJ703" s="416">
        <v>0</v>
      </c>
      <c r="AK703" s="416">
        <v>0</v>
      </c>
      <c r="AL703" s="416">
        <v>0</v>
      </c>
      <c r="AM703" s="416">
        <v>0</v>
      </c>
      <c r="AN703" s="416">
        <v>0</v>
      </c>
      <c r="AO703" s="416">
        <v>0</v>
      </c>
      <c r="AP703" s="416">
        <v>0</v>
      </c>
      <c r="AQ703" s="416">
        <v>0</v>
      </c>
      <c r="AR703" s="416">
        <v>0</v>
      </c>
      <c r="AS703" s="416">
        <v>0</v>
      </c>
      <c r="AT703" s="416">
        <v>0</v>
      </c>
      <c r="AU703" s="416">
        <v>0</v>
      </c>
      <c r="AV703" s="416">
        <v>0</v>
      </c>
      <c r="AW703" s="416">
        <v>0</v>
      </c>
      <c r="AX703" s="416">
        <v>0</v>
      </c>
      <c r="AY703" s="416">
        <v>0</v>
      </c>
      <c r="AZ703" s="416">
        <v>0</v>
      </c>
    </row>
    <row r="704" spans="1:52" s="411" customFormat="1" x14ac:dyDescent="0.3">
      <c r="A704" s="415" t="str">
        <f t="shared" si="10"/>
        <v>SA-814 Gr.TP316</v>
      </c>
      <c r="B704" s="415">
        <v>698</v>
      </c>
      <c r="C704" s="415" t="s">
        <v>3200</v>
      </c>
      <c r="D704" s="415" t="s">
        <v>2680</v>
      </c>
      <c r="E704" s="415" t="s">
        <v>2330</v>
      </c>
      <c r="F704" s="415" t="s">
        <v>2568</v>
      </c>
      <c r="G704" s="415" t="s">
        <v>3222</v>
      </c>
      <c r="H704" s="415">
        <v>0</v>
      </c>
      <c r="I704" s="415">
        <v>0</v>
      </c>
      <c r="J704" s="415">
        <v>8</v>
      </c>
      <c r="K704" s="415">
        <v>1</v>
      </c>
      <c r="L704" s="415">
        <v>515</v>
      </c>
      <c r="M704" s="415">
        <v>205</v>
      </c>
      <c r="N704" s="415" t="s">
        <v>2675</v>
      </c>
      <c r="O704" s="415">
        <v>427</v>
      </c>
      <c r="P704" s="415" t="s">
        <v>2675</v>
      </c>
      <c r="Q704" s="415" t="s">
        <v>2675</v>
      </c>
      <c r="R704" s="415" t="s">
        <v>3069</v>
      </c>
      <c r="S704" s="415" t="s">
        <v>3208</v>
      </c>
      <c r="T704" s="416">
        <v>138</v>
      </c>
      <c r="U704" s="416">
        <v>138</v>
      </c>
      <c r="V704" s="416">
        <v>138</v>
      </c>
      <c r="W704" s="416">
        <v>138</v>
      </c>
      <c r="X704" s="416">
        <v>138</v>
      </c>
      <c r="Y704" s="416">
        <v>138</v>
      </c>
      <c r="Z704" s="416">
        <v>134</v>
      </c>
      <c r="AA704" s="416">
        <v>126</v>
      </c>
      <c r="AB704" s="416">
        <v>119</v>
      </c>
      <c r="AC704" s="416">
        <v>116</v>
      </c>
      <c r="AD704" s="416">
        <v>114</v>
      </c>
      <c r="AE704" s="416">
        <v>112</v>
      </c>
      <c r="AF704" s="416">
        <v>111</v>
      </c>
      <c r="AG704" s="416">
        <v>110</v>
      </c>
      <c r="AH704" s="416">
        <v>108</v>
      </c>
      <c r="AI704" s="416">
        <v>0</v>
      </c>
      <c r="AJ704" s="416">
        <v>0</v>
      </c>
      <c r="AK704" s="416">
        <v>0</v>
      </c>
      <c r="AL704" s="416">
        <v>0</v>
      </c>
      <c r="AM704" s="416">
        <v>0</v>
      </c>
      <c r="AN704" s="416">
        <v>0</v>
      </c>
      <c r="AO704" s="416">
        <v>0</v>
      </c>
      <c r="AP704" s="416">
        <v>0</v>
      </c>
      <c r="AQ704" s="416">
        <v>0</v>
      </c>
      <c r="AR704" s="416">
        <v>0</v>
      </c>
      <c r="AS704" s="416">
        <v>0</v>
      </c>
      <c r="AT704" s="416">
        <v>0</v>
      </c>
      <c r="AU704" s="416">
        <v>0</v>
      </c>
      <c r="AV704" s="416">
        <v>0</v>
      </c>
      <c r="AW704" s="416">
        <v>0</v>
      </c>
      <c r="AX704" s="416">
        <v>0</v>
      </c>
      <c r="AY704" s="416">
        <v>0</v>
      </c>
      <c r="AZ704" s="416">
        <v>0</v>
      </c>
    </row>
    <row r="705" spans="1:52" s="411" customFormat="1" ht="28.8" x14ac:dyDescent="0.3">
      <c r="A705" s="415" t="str">
        <f t="shared" si="10"/>
        <v>SA/JIS G4303 Gr.SUS316</v>
      </c>
      <c r="B705" s="415">
        <v>699</v>
      </c>
      <c r="C705" s="415" t="s">
        <v>3200</v>
      </c>
      <c r="D705" s="415" t="s">
        <v>2677</v>
      </c>
      <c r="E705" s="415" t="s">
        <v>2176</v>
      </c>
      <c r="F705" s="415" t="s">
        <v>2530</v>
      </c>
      <c r="G705" s="415">
        <v>0</v>
      </c>
      <c r="H705" s="415">
        <v>0</v>
      </c>
      <c r="I705" s="415">
        <v>0</v>
      </c>
      <c r="J705" s="415">
        <v>8</v>
      </c>
      <c r="K705" s="415">
        <v>1</v>
      </c>
      <c r="L705" s="415">
        <v>520</v>
      </c>
      <c r="M705" s="415">
        <v>205</v>
      </c>
      <c r="N705" s="415">
        <v>816</v>
      </c>
      <c r="O705" s="415">
        <v>427</v>
      </c>
      <c r="P705" s="415">
        <v>816</v>
      </c>
      <c r="Q705" s="415" t="s">
        <v>2675</v>
      </c>
      <c r="R705" s="415" t="s">
        <v>3069</v>
      </c>
      <c r="S705" s="415" t="s">
        <v>3234</v>
      </c>
      <c r="T705" s="416">
        <v>138</v>
      </c>
      <c r="U705" s="416">
        <v>138</v>
      </c>
      <c r="V705" s="416">
        <v>138</v>
      </c>
      <c r="W705" s="416">
        <v>138</v>
      </c>
      <c r="X705" s="416">
        <v>138</v>
      </c>
      <c r="Y705" s="416">
        <v>138</v>
      </c>
      <c r="Z705" s="416">
        <v>134</v>
      </c>
      <c r="AA705" s="416">
        <v>126</v>
      </c>
      <c r="AB705" s="416">
        <v>119</v>
      </c>
      <c r="AC705" s="416">
        <v>116</v>
      </c>
      <c r="AD705" s="416">
        <v>114</v>
      </c>
      <c r="AE705" s="416">
        <v>112</v>
      </c>
      <c r="AF705" s="416">
        <v>111</v>
      </c>
      <c r="AG705" s="416">
        <v>110</v>
      </c>
      <c r="AH705" s="416">
        <v>108</v>
      </c>
      <c r="AI705" s="416">
        <v>108</v>
      </c>
      <c r="AJ705" s="416">
        <v>107</v>
      </c>
      <c r="AK705" s="416">
        <v>106</v>
      </c>
      <c r="AL705" s="416">
        <v>105</v>
      </c>
      <c r="AM705" s="416">
        <v>99.8</v>
      </c>
      <c r="AN705" s="416">
        <v>80.3</v>
      </c>
      <c r="AO705" s="416">
        <v>65.5</v>
      </c>
      <c r="AP705" s="416">
        <v>50.4</v>
      </c>
      <c r="AQ705" s="416">
        <v>38.6</v>
      </c>
      <c r="AR705" s="416">
        <v>29.6</v>
      </c>
      <c r="AS705" s="416">
        <v>23</v>
      </c>
      <c r="AT705" s="416">
        <v>17.7</v>
      </c>
      <c r="AU705" s="416">
        <v>13.4</v>
      </c>
      <c r="AV705" s="416">
        <v>10.4</v>
      </c>
      <c r="AW705" s="416">
        <v>8.0500000000000007</v>
      </c>
      <c r="AX705" s="416">
        <v>0</v>
      </c>
      <c r="AY705" s="416">
        <v>0</v>
      </c>
      <c r="AZ705" s="416">
        <v>0</v>
      </c>
    </row>
    <row r="706" spans="1:52" s="411" customFormat="1" ht="28.8" x14ac:dyDescent="0.3">
      <c r="A706" s="415" t="str">
        <f t="shared" si="10"/>
        <v>SA/EN 10028-7 Gr.X5CrNiMo17-12-2</v>
      </c>
      <c r="B706" s="415">
        <v>700</v>
      </c>
      <c r="C706" s="415" t="s">
        <v>3200</v>
      </c>
      <c r="D706" s="415" t="s">
        <v>2684</v>
      </c>
      <c r="E706" s="415" t="s">
        <v>2168</v>
      </c>
      <c r="F706" s="415" t="s">
        <v>2618</v>
      </c>
      <c r="G706" s="415">
        <v>0</v>
      </c>
      <c r="H706" s="415">
        <v>0</v>
      </c>
      <c r="I706" s="415" t="s">
        <v>3238</v>
      </c>
      <c r="J706" s="415">
        <v>8</v>
      </c>
      <c r="K706" s="415">
        <v>1</v>
      </c>
      <c r="L706" s="415">
        <v>520</v>
      </c>
      <c r="M706" s="415">
        <v>220</v>
      </c>
      <c r="N706" s="415" t="s">
        <v>2675</v>
      </c>
      <c r="O706" s="415" t="s">
        <v>2675</v>
      </c>
      <c r="P706" s="415">
        <v>550</v>
      </c>
      <c r="Q706" s="415" t="s">
        <v>2675</v>
      </c>
      <c r="R706" s="415" t="s">
        <v>3069</v>
      </c>
      <c r="S706" s="415" t="s">
        <v>3189</v>
      </c>
      <c r="T706" s="416">
        <v>147</v>
      </c>
      <c r="U706" s="416">
        <v>147</v>
      </c>
      <c r="V706" s="416">
        <v>147</v>
      </c>
      <c r="W706" s="416">
        <v>147</v>
      </c>
      <c r="X706" s="416">
        <v>146</v>
      </c>
      <c r="Y706" s="416">
        <v>144</v>
      </c>
      <c r="Z706" s="416">
        <v>142</v>
      </c>
      <c r="AA706" s="416">
        <v>133</v>
      </c>
      <c r="AB706" s="416">
        <v>126</v>
      </c>
      <c r="AC706" s="416">
        <v>124</v>
      </c>
      <c r="AD706" s="416">
        <v>121</v>
      </c>
      <c r="AE706" s="416">
        <v>120</v>
      </c>
      <c r="AF706" s="416">
        <v>119</v>
      </c>
      <c r="AG706" s="416">
        <v>117</v>
      </c>
      <c r="AH706" s="416">
        <v>115</v>
      </c>
      <c r="AI706" s="416">
        <v>114</v>
      </c>
      <c r="AJ706" s="416">
        <v>114</v>
      </c>
      <c r="AK706" s="416">
        <v>113</v>
      </c>
      <c r="AL706" s="416">
        <v>112</v>
      </c>
      <c r="AM706" s="416">
        <v>0</v>
      </c>
      <c r="AN706" s="416">
        <v>0</v>
      </c>
      <c r="AO706" s="416">
        <v>0</v>
      </c>
      <c r="AP706" s="416">
        <v>0</v>
      </c>
      <c r="AQ706" s="416">
        <v>0</v>
      </c>
      <c r="AR706" s="416">
        <v>0</v>
      </c>
      <c r="AS706" s="416">
        <v>0</v>
      </c>
      <c r="AT706" s="416">
        <v>0</v>
      </c>
      <c r="AU706" s="416">
        <v>0</v>
      </c>
      <c r="AV706" s="416">
        <v>0</v>
      </c>
      <c r="AW706" s="416">
        <v>0</v>
      </c>
      <c r="AX706" s="416">
        <v>0</v>
      </c>
      <c r="AY706" s="416">
        <v>0</v>
      </c>
      <c r="AZ706" s="416">
        <v>0</v>
      </c>
    </row>
    <row r="707" spans="1:52" s="411" customFormat="1" ht="28.8" x14ac:dyDescent="0.3">
      <c r="A707" s="415" t="str">
        <f t="shared" si="10"/>
        <v>SA/EN 10028-7 Gr.X5CrNiMo17-12-2</v>
      </c>
      <c r="B707" s="415">
        <v>701</v>
      </c>
      <c r="C707" s="415" t="s">
        <v>3200</v>
      </c>
      <c r="D707" s="415" t="s">
        <v>2684</v>
      </c>
      <c r="E707" s="415" t="s">
        <v>2168</v>
      </c>
      <c r="F707" s="415" t="s">
        <v>2618</v>
      </c>
      <c r="G707" s="415">
        <v>0</v>
      </c>
      <c r="H707" s="415">
        <v>0</v>
      </c>
      <c r="I707" s="415" t="s">
        <v>3238</v>
      </c>
      <c r="J707" s="415">
        <v>8</v>
      </c>
      <c r="K707" s="415">
        <v>1</v>
      </c>
      <c r="L707" s="415">
        <v>520</v>
      </c>
      <c r="M707" s="415">
        <v>220</v>
      </c>
      <c r="N707" s="415" t="s">
        <v>2675</v>
      </c>
      <c r="O707" s="415" t="s">
        <v>2675</v>
      </c>
      <c r="P707" s="415">
        <v>550</v>
      </c>
      <c r="Q707" s="415" t="s">
        <v>2675</v>
      </c>
      <c r="R707" s="415" t="s">
        <v>3069</v>
      </c>
      <c r="S707" s="415">
        <v>0</v>
      </c>
      <c r="T707" s="416">
        <v>147</v>
      </c>
      <c r="U707" s="416">
        <v>147</v>
      </c>
      <c r="V707" s="416">
        <v>134</v>
      </c>
      <c r="W707" s="416">
        <v>125</v>
      </c>
      <c r="X707" s="416">
        <v>119</v>
      </c>
      <c r="Y707" s="416">
        <v>114</v>
      </c>
      <c r="Z707" s="416">
        <v>106</v>
      </c>
      <c r="AA707" s="416">
        <v>98.7</v>
      </c>
      <c r="AB707" s="416">
        <v>93.7</v>
      </c>
      <c r="AC707" s="416">
        <v>91.7</v>
      </c>
      <c r="AD707" s="416">
        <v>90</v>
      </c>
      <c r="AE707" s="416">
        <v>88.6</v>
      </c>
      <c r="AF707" s="416">
        <v>87.4</v>
      </c>
      <c r="AG707" s="416">
        <v>86.4</v>
      </c>
      <c r="AH707" s="416">
        <v>85.5</v>
      </c>
      <c r="AI707" s="416">
        <v>84.8</v>
      </c>
      <c r="AJ707" s="416">
        <v>84.1</v>
      </c>
      <c r="AK707" s="416">
        <v>83.4</v>
      </c>
      <c r="AL707" s="416">
        <v>82.6</v>
      </c>
      <c r="AM707" s="416">
        <v>0</v>
      </c>
      <c r="AN707" s="416">
        <v>0</v>
      </c>
      <c r="AO707" s="416">
        <v>0</v>
      </c>
      <c r="AP707" s="416">
        <v>0</v>
      </c>
      <c r="AQ707" s="416">
        <v>0</v>
      </c>
      <c r="AR707" s="416">
        <v>0</v>
      </c>
      <c r="AS707" s="416">
        <v>0</v>
      </c>
      <c r="AT707" s="416">
        <v>0</v>
      </c>
      <c r="AU707" s="416">
        <v>0</v>
      </c>
      <c r="AV707" s="416">
        <v>0</v>
      </c>
      <c r="AW707" s="416">
        <v>0</v>
      </c>
      <c r="AX707" s="416">
        <v>0</v>
      </c>
      <c r="AY707" s="416">
        <v>0</v>
      </c>
      <c r="AZ707" s="416">
        <v>0</v>
      </c>
    </row>
    <row r="708" spans="1:52" s="411" customFormat="1" x14ac:dyDescent="0.3">
      <c r="A708" s="415" t="str">
        <f t="shared" si="10"/>
        <v>SA-182 Gr.F316H</v>
      </c>
      <c r="B708" s="415">
        <v>702</v>
      </c>
      <c r="C708" s="415" t="s">
        <v>3200</v>
      </c>
      <c r="D708" s="415" t="s">
        <v>2737</v>
      </c>
      <c r="E708" s="415" t="s">
        <v>2188</v>
      </c>
      <c r="F708" s="415" t="s">
        <v>2439</v>
      </c>
      <c r="G708" s="415" t="s">
        <v>3239</v>
      </c>
      <c r="H708" s="415">
        <v>0</v>
      </c>
      <c r="I708" s="415" t="s">
        <v>3202</v>
      </c>
      <c r="J708" s="415">
        <v>8</v>
      </c>
      <c r="K708" s="415">
        <v>1</v>
      </c>
      <c r="L708" s="415">
        <v>485</v>
      </c>
      <c r="M708" s="415">
        <v>205</v>
      </c>
      <c r="N708" s="415">
        <v>816</v>
      </c>
      <c r="O708" s="415">
        <v>427</v>
      </c>
      <c r="P708" s="415">
        <v>816</v>
      </c>
      <c r="Q708" s="415" t="s">
        <v>2675</v>
      </c>
      <c r="R708" s="415" t="s">
        <v>3069</v>
      </c>
      <c r="S708" s="415" t="s">
        <v>3223</v>
      </c>
      <c r="T708" s="416">
        <v>138</v>
      </c>
      <c r="U708" s="416">
        <v>138</v>
      </c>
      <c r="V708" s="416">
        <v>138</v>
      </c>
      <c r="W708" s="416">
        <v>138</v>
      </c>
      <c r="X708" s="416">
        <v>136</v>
      </c>
      <c r="Y708" s="416">
        <v>134</v>
      </c>
      <c r="Z708" s="416">
        <v>133</v>
      </c>
      <c r="AA708" s="416">
        <v>126</v>
      </c>
      <c r="AB708" s="416">
        <v>119</v>
      </c>
      <c r="AC708" s="416">
        <v>116</v>
      </c>
      <c r="AD708" s="416">
        <v>114</v>
      </c>
      <c r="AE708" s="416">
        <v>112</v>
      </c>
      <c r="AF708" s="416">
        <v>111</v>
      </c>
      <c r="AG708" s="416">
        <v>110</v>
      </c>
      <c r="AH708" s="416">
        <v>108</v>
      </c>
      <c r="AI708" s="416">
        <v>108</v>
      </c>
      <c r="AJ708" s="416">
        <v>107</v>
      </c>
      <c r="AK708" s="416">
        <v>106</v>
      </c>
      <c r="AL708" s="416">
        <v>105</v>
      </c>
      <c r="AM708" s="416">
        <v>99.8</v>
      </c>
      <c r="AN708" s="416">
        <v>80.3</v>
      </c>
      <c r="AO708" s="416">
        <v>65.5</v>
      </c>
      <c r="AP708" s="416">
        <v>50.4</v>
      </c>
      <c r="AQ708" s="416">
        <v>38.6</v>
      </c>
      <c r="AR708" s="416">
        <v>29.6</v>
      </c>
      <c r="AS708" s="416">
        <v>23</v>
      </c>
      <c r="AT708" s="416">
        <v>17.7</v>
      </c>
      <c r="AU708" s="416">
        <v>13.4</v>
      </c>
      <c r="AV708" s="416">
        <v>10.4</v>
      </c>
      <c r="AW708" s="416">
        <v>8.0500000000000007</v>
      </c>
      <c r="AX708" s="416">
        <v>0</v>
      </c>
      <c r="AY708" s="416">
        <v>0</v>
      </c>
      <c r="AZ708" s="416">
        <v>0</v>
      </c>
    </row>
    <row r="709" spans="1:52" s="411" customFormat="1" x14ac:dyDescent="0.3">
      <c r="A709" s="415" t="str">
        <f t="shared" si="10"/>
        <v>SA-182 Gr.F316H</v>
      </c>
      <c r="B709" s="415">
        <v>703</v>
      </c>
      <c r="C709" s="415" t="s">
        <v>3200</v>
      </c>
      <c r="D709" s="415" t="s">
        <v>2737</v>
      </c>
      <c r="E709" s="415" t="s">
        <v>2188</v>
      </c>
      <c r="F709" s="415" t="s">
        <v>2439</v>
      </c>
      <c r="G709" s="415" t="s">
        <v>3239</v>
      </c>
      <c r="H709" s="415">
        <v>0</v>
      </c>
      <c r="I709" s="415" t="s">
        <v>3202</v>
      </c>
      <c r="J709" s="415">
        <v>8</v>
      </c>
      <c r="K709" s="415">
        <v>1</v>
      </c>
      <c r="L709" s="415">
        <v>485</v>
      </c>
      <c r="M709" s="415">
        <v>205</v>
      </c>
      <c r="N709" s="415">
        <v>816</v>
      </c>
      <c r="O709" s="415" t="s">
        <v>2675</v>
      </c>
      <c r="P709" s="415">
        <v>816</v>
      </c>
      <c r="Q709" s="415" t="s">
        <v>2675</v>
      </c>
      <c r="R709" s="415" t="s">
        <v>3069</v>
      </c>
      <c r="S709" s="415" t="s">
        <v>2553</v>
      </c>
      <c r="T709" s="416">
        <v>138</v>
      </c>
      <c r="U709" s="416">
        <v>138</v>
      </c>
      <c r="V709" s="416">
        <v>128</v>
      </c>
      <c r="W709" s="416">
        <v>118</v>
      </c>
      <c r="X709" s="416">
        <v>112</v>
      </c>
      <c r="Y709" s="416">
        <v>107</v>
      </c>
      <c r="Z709" s="416">
        <v>99.2</v>
      </c>
      <c r="AA709" s="416">
        <v>92.8</v>
      </c>
      <c r="AB709" s="416">
        <v>88.1</v>
      </c>
      <c r="AC709" s="416">
        <v>86.1</v>
      </c>
      <c r="AD709" s="416">
        <v>84.1</v>
      </c>
      <c r="AE709" s="416">
        <v>82.9</v>
      </c>
      <c r="AF709" s="416">
        <v>82</v>
      </c>
      <c r="AG709" s="416">
        <v>81.400000000000006</v>
      </c>
      <c r="AH709" s="416">
        <v>80.599999999999994</v>
      </c>
      <c r="AI709" s="416">
        <v>79.8</v>
      </c>
      <c r="AJ709" s="416">
        <v>79.2</v>
      </c>
      <c r="AK709" s="416">
        <v>78.7</v>
      </c>
      <c r="AL709" s="416">
        <v>77.8</v>
      </c>
      <c r="AM709" s="416">
        <v>77.099999999999994</v>
      </c>
      <c r="AN709" s="416">
        <v>75</v>
      </c>
      <c r="AO709" s="416">
        <v>65.5</v>
      </c>
      <c r="AP709" s="416">
        <v>50.4</v>
      </c>
      <c r="AQ709" s="416">
        <v>38.6</v>
      </c>
      <c r="AR709" s="416">
        <v>29.6</v>
      </c>
      <c r="AS709" s="416">
        <v>23</v>
      </c>
      <c r="AT709" s="416">
        <v>17.7</v>
      </c>
      <c r="AU709" s="416">
        <v>13.4</v>
      </c>
      <c r="AV709" s="416">
        <v>10.4</v>
      </c>
      <c r="AW709" s="416">
        <v>8.0500000000000007</v>
      </c>
      <c r="AX709" s="416">
        <v>0</v>
      </c>
      <c r="AY709" s="416">
        <v>0</v>
      </c>
      <c r="AZ709" s="416">
        <v>0</v>
      </c>
    </row>
    <row r="710" spans="1:52" s="411" customFormat="1" x14ac:dyDescent="0.3">
      <c r="A710" s="415" t="str">
        <f t="shared" si="10"/>
        <v>SA-965 Gr.F316H</v>
      </c>
      <c r="B710" s="415">
        <v>704</v>
      </c>
      <c r="C710" s="415" t="s">
        <v>3200</v>
      </c>
      <c r="D710" s="415" t="s">
        <v>2737</v>
      </c>
      <c r="E710" s="415" t="s">
        <v>2337</v>
      </c>
      <c r="F710" s="415" t="s">
        <v>2439</v>
      </c>
      <c r="G710" s="415" t="s">
        <v>3239</v>
      </c>
      <c r="H710" s="415">
        <v>0</v>
      </c>
      <c r="I710" s="415">
        <v>0</v>
      </c>
      <c r="J710" s="415">
        <v>8</v>
      </c>
      <c r="K710" s="415">
        <v>1</v>
      </c>
      <c r="L710" s="415">
        <v>485</v>
      </c>
      <c r="M710" s="415">
        <v>205</v>
      </c>
      <c r="N710" s="415" t="s">
        <v>2675</v>
      </c>
      <c r="O710" s="415">
        <v>427</v>
      </c>
      <c r="P710" s="415">
        <v>816</v>
      </c>
      <c r="Q710" s="415" t="s">
        <v>2675</v>
      </c>
      <c r="R710" s="415" t="s">
        <v>3069</v>
      </c>
      <c r="S710" s="415" t="s">
        <v>3240</v>
      </c>
      <c r="T710" s="416">
        <v>138</v>
      </c>
      <c r="U710" s="416">
        <v>138</v>
      </c>
      <c r="V710" s="416">
        <v>138</v>
      </c>
      <c r="W710" s="416">
        <v>138</v>
      </c>
      <c r="X710" s="416">
        <v>136</v>
      </c>
      <c r="Y710" s="416">
        <v>134</v>
      </c>
      <c r="Z710" s="416">
        <v>133</v>
      </c>
      <c r="AA710" s="416">
        <v>126</v>
      </c>
      <c r="AB710" s="416">
        <v>119</v>
      </c>
      <c r="AC710" s="416">
        <v>116</v>
      </c>
      <c r="AD710" s="416">
        <v>114</v>
      </c>
      <c r="AE710" s="416">
        <v>112</v>
      </c>
      <c r="AF710" s="416">
        <v>111</v>
      </c>
      <c r="AG710" s="416">
        <v>110</v>
      </c>
      <c r="AH710" s="416">
        <v>108</v>
      </c>
      <c r="AI710" s="416">
        <v>108</v>
      </c>
      <c r="AJ710" s="416">
        <v>107</v>
      </c>
      <c r="AK710" s="416">
        <v>106</v>
      </c>
      <c r="AL710" s="416">
        <v>105</v>
      </c>
      <c r="AM710" s="416">
        <v>99.8</v>
      </c>
      <c r="AN710" s="416">
        <v>80.3</v>
      </c>
      <c r="AO710" s="416">
        <v>65.5</v>
      </c>
      <c r="AP710" s="416">
        <v>50.4</v>
      </c>
      <c r="AQ710" s="416">
        <v>38.6</v>
      </c>
      <c r="AR710" s="416">
        <v>29.6</v>
      </c>
      <c r="AS710" s="416">
        <v>23</v>
      </c>
      <c r="AT710" s="416">
        <v>17.7</v>
      </c>
      <c r="AU710" s="416">
        <v>13.4</v>
      </c>
      <c r="AV710" s="416">
        <v>10.4</v>
      </c>
      <c r="AW710" s="416">
        <v>8.0500000000000007</v>
      </c>
      <c r="AX710" s="416">
        <v>0</v>
      </c>
      <c r="AY710" s="416">
        <v>0</v>
      </c>
      <c r="AZ710" s="416">
        <v>0</v>
      </c>
    </row>
    <row r="711" spans="1:52" s="411" customFormat="1" x14ac:dyDescent="0.3">
      <c r="A711" s="415" t="str">
        <f t="shared" si="10"/>
        <v>SA-965 Gr.F316H</v>
      </c>
      <c r="B711" s="415">
        <v>705</v>
      </c>
      <c r="C711" s="415" t="s">
        <v>3200</v>
      </c>
      <c r="D711" s="415" t="s">
        <v>2737</v>
      </c>
      <c r="E711" s="415" t="s">
        <v>2337</v>
      </c>
      <c r="F711" s="415" t="s">
        <v>2439</v>
      </c>
      <c r="G711" s="415" t="s">
        <v>3239</v>
      </c>
      <c r="H711" s="415">
        <v>0</v>
      </c>
      <c r="I711" s="415">
        <v>0</v>
      </c>
      <c r="J711" s="415">
        <v>8</v>
      </c>
      <c r="K711" s="415">
        <v>1</v>
      </c>
      <c r="L711" s="415">
        <v>485</v>
      </c>
      <c r="M711" s="415">
        <v>205</v>
      </c>
      <c r="N711" s="415" t="s">
        <v>2675</v>
      </c>
      <c r="O711" s="415" t="s">
        <v>2675</v>
      </c>
      <c r="P711" s="415">
        <v>816</v>
      </c>
      <c r="Q711" s="415" t="s">
        <v>2675</v>
      </c>
      <c r="R711" s="415" t="s">
        <v>3069</v>
      </c>
      <c r="S711" s="415" t="s">
        <v>2553</v>
      </c>
      <c r="T711" s="416">
        <v>138</v>
      </c>
      <c r="U711" s="416">
        <v>138</v>
      </c>
      <c r="V711" s="416">
        <v>128</v>
      </c>
      <c r="W711" s="416">
        <v>118</v>
      </c>
      <c r="X711" s="416">
        <v>112</v>
      </c>
      <c r="Y711" s="416">
        <v>107</v>
      </c>
      <c r="Z711" s="416">
        <v>99.2</v>
      </c>
      <c r="AA711" s="416">
        <v>92.8</v>
      </c>
      <c r="AB711" s="416">
        <v>88.1</v>
      </c>
      <c r="AC711" s="416">
        <v>86.1</v>
      </c>
      <c r="AD711" s="416">
        <v>84.1</v>
      </c>
      <c r="AE711" s="416">
        <v>82.9</v>
      </c>
      <c r="AF711" s="416">
        <v>82</v>
      </c>
      <c r="AG711" s="416">
        <v>81.400000000000006</v>
      </c>
      <c r="AH711" s="416">
        <v>80.599999999999994</v>
      </c>
      <c r="AI711" s="416">
        <v>79.8</v>
      </c>
      <c r="AJ711" s="416">
        <v>79.2</v>
      </c>
      <c r="AK711" s="416">
        <v>78.7</v>
      </c>
      <c r="AL711" s="416">
        <v>77.8</v>
      </c>
      <c r="AM711" s="416">
        <v>77.099999999999994</v>
      </c>
      <c r="AN711" s="416">
        <v>75</v>
      </c>
      <c r="AO711" s="416">
        <v>65.5</v>
      </c>
      <c r="AP711" s="416">
        <v>50.4</v>
      </c>
      <c r="AQ711" s="416">
        <v>38.6</v>
      </c>
      <c r="AR711" s="416">
        <v>29.6</v>
      </c>
      <c r="AS711" s="416">
        <v>23</v>
      </c>
      <c r="AT711" s="416">
        <v>17.7</v>
      </c>
      <c r="AU711" s="416">
        <v>13.4</v>
      </c>
      <c r="AV711" s="416">
        <v>10.4</v>
      </c>
      <c r="AW711" s="416">
        <v>8.0500000000000007</v>
      </c>
      <c r="AX711" s="416">
        <v>0</v>
      </c>
      <c r="AY711" s="416">
        <v>0</v>
      </c>
      <c r="AZ711" s="416">
        <v>0</v>
      </c>
    </row>
    <row r="712" spans="1:52" s="411" customFormat="1" x14ac:dyDescent="0.3">
      <c r="A712" s="415" t="str">
        <f t="shared" ref="A712:A775" si="11">CONCATENATE(E712," Gr.",F712)</f>
        <v>SA-182 Gr.F316H</v>
      </c>
      <c r="B712" s="415">
        <v>706</v>
      </c>
      <c r="C712" s="415" t="s">
        <v>3200</v>
      </c>
      <c r="D712" s="415" t="s">
        <v>2737</v>
      </c>
      <c r="E712" s="415" t="s">
        <v>2188</v>
      </c>
      <c r="F712" s="415" t="s">
        <v>2439</v>
      </c>
      <c r="G712" s="415" t="s">
        <v>3239</v>
      </c>
      <c r="H712" s="415">
        <v>0</v>
      </c>
      <c r="I712" s="415" t="s">
        <v>3207</v>
      </c>
      <c r="J712" s="415">
        <v>8</v>
      </c>
      <c r="K712" s="415">
        <v>1</v>
      </c>
      <c r="L712" s="415">
        <v>515</v>
      </c>
      <c r="M712" s="415">
        <v>205</v>
      </c>
      <c r="N712" s="415">
        <v>816</v>
      </c>
      <c r="O712" s="415">
        <v>427</v>
      </c>
      <c r="P712" s="415">
        <v>816</v>
      </c>
      <c r="Q712" s="415" t="s">
        <v>2675</v>
      </c>
      <c r="R712" s="415" t="s">
        <v>3069</v>
      </c>
      <c r="S712" s="415" t="s">
        <v>3240</v>
      </c>
      <c r="T712" s="416">
        <v>138</v>
      </c>
      <c r="U712" s="416">
        <v>138</v>
      </c>
      <c r="V712" s="416">
        <v>138</v>
      </c>
      <c r="W712" s="416">
        <v>138</v>
      </c>
      <c r="X712" s="416">
        <v>138</v>
      </c>
      <c r="Y712" s="416">
        <v>138</v>
      </c>
      <c r="Z712" s="416">
        <v>134</v>
      </c>
      <c r="AA712" s="416">
        <v>126</v>
      </c>
      <c r="AB712" s="416">
        <v>119</v>
      </c>
      <c r="AC712" s="416">
        <v>116</v>
      </c>
      <c r="AD712" s="416">
        <v>114</v>
      </c>
      <c r="AE712" s="416">
        <v>112</v>
      </c>
      <c r="AF712" s="416">
        <v>111</v>
      </c>
      <c r="AG712" s="416">
        <v>110</v>
      </c>
      <c r="AH712" s="416">
        <v>108</v>
      </c>
      <c r="AI712" s="416">
        <v>108</v>
      </c>
      <c r="AJ712" s="416">
        <v>107</v>
      </c>
      <c r="AK712" s="416">
        <v>106</v>
      </c>
      <c r="AL712" s="416">
        <v>105</v>
      </c>
      <c r="AM712" s="416">
        <v>99.8</v>
      </c>
      <c r="AN712" s="416">
        <v>80.3</v>
      </c>
      <c r="AO712" s="416">
        <v>65.5</v>
      </c>
      <c r="AP712" s="416">
        <v>50.4</v>
      </c>
      <c r="AQ712" s="416">
        <v>38.6</v>
      </c>
      <c r="AR712" s="416">
        <v>29.6</v>
      </c>
      <c r="AS712" s="416">
        <v>23</v>
      </c>
      <c r="AT712" s="416">
        <v>17.7</v>
      </c>
      <c r="AU712" s="416">
        <v>13.4</v>
      </c>
      <c r="AV712" s="416">
        <v>10.4</v>
      </c>
      <c r="AW712" s="416">
        <v>8.0500000000000007</v>
      </c>
      <c r="AX712" s="416">
        <v>0</v>
      </c>
      <c r="AY712" s="416">
        <v>0</v>
      </c>
      <c r="AZ712" s="416">
        <v>0</v>
      </c>
    </row>
    <row r="713" spans="1:52" s="411" customFormat="1" x14ac:dyDescent="0.3">
      <c r="A713" s="415" t="str">
        <f t="shared" si="11"/>
        <v>SA-182 Gr.F316H</v>
      </c>
      <c r="B713" s="415">
        <v>707</v>
      </c>
      <c r="C713" s="415" t="s">
        <v>3200</v>
      </c>
      <c r="D713" s="415" t="s">
        <v>2737</v>
      </c>
      <c r="E713" s="415" t="s">
        <v>2188</v>
      </c>
      <c r="F713" s="415" t="s">
        <v>2439</v>
      </c>
      <c r="G713" s="415" t="s">
        <v>3239</v>
      </c>
      <c r="H713" s="415">
        <v>0</v>
      </c>
      <c r="I713" s="415" t="s">
        <v>3207</v>
      </c>
      <c r="J713" s="415">
        <v>8</v>
      </c>
      <c r="K713" s="415">
        <v>1</v>
      </c>
      <c r="L713" s="415">
        <v>515</v>
      </c>
      <c r="M713" s="415">
        <v>205</v>
      </c>
      <c r="N713" s="415">
        <v>816</v>
      </c>
      <c r="O713" s="415" t="s">
        <v>2675</v>
      </c>
      <c r="P713" s="415">
        <v>816</v>
      </c>
      <c r="Q713" s="415" t="s">
        <v>2675</v>
      </c>
      <c r="R713" s="415" t="s">
        <v>3069</v>
      </c>
      <c r="S713" s="415" t="s">
        <v>2553</v>
      </c>
      <c r="T713" s="416">
        <v>138</v>
      </c>
      <c r="U713" s="416">
        <v>138</v>
      </c>
      <c r="V713" s="416">
        <v>128</v>
      </c>
      <c r="W713" s="416">
        <v>118</v>
      </c>
      <c r="X713" s="416">
        <v>112</v>
      </c>
      <c r="Y713" s="416">
        <v>107</v>
      </c>
      <c r="Z713" s="416">
        <v>99.2</v>
      </c>
      <c r="AA713" s="416">
        <v>92.8</v>
      </c>
      <c r="AB713" s="416">
        <v>88.1</v>
      </c>
      <c r="AC713" s="416">
        <v>86.1</v>
      </c>
      <c r="AD713" s="416">
        <v>84.1</v>
      </c>
      <c r="AE713" s="416">
        <v>82.9</v>
      </c>
      <c r="AF713" s="416">
        <v>82</v>
      </c>
      <c r="AG713" s="416">
        <v>81.400000000000006</v>
      </c>
      <c r="AH713" s="416">
        <v>80.599999999999994</v>
      </c>
      <c r="AI713" s="416">
        <v>79.8</v>
      </c>
      <c r="AJ713" s="416">
        <v>79.2</v>
      </c>
      <c r="AK713" s="416">
        <v>78.7</v>
      </c>
      <c r="AL713" s="416">
        <v>77.8</v>
      </c>
      <c r="AM713" s="416">
        <v>77.099999999999994</v>
      </c>
      <c r="AN713" s="416">
        <v>75</v>
      </c>
      <c r="AO713" s="416">
        <v>65.5</v>
      </c>
      <c r="AP713" s="416">
        <v>50.4</v>
      </c>
      <c r="AQ713" s="416">
        <v>38.6</v>
      </c>
      <c r="AR713" s="416">
        <v>29.6</v>
      </c>
      <c r="AS713" s="416">
        <v>23</v>
      </c>
      <c r="AT713" s="416">
        <v>17.7</v>
      </c>
      <c r="AU713" s="416">
        <v>13.4</v>
      </c>
      <c r="AV713" s="416">
        <v>10.4</v>
      </c>
      <c r="AW713" s="416">
        <v>8.0500000000000007</v>
      </c>
      <c r="AX713" s="416">
        <v>0</v>
      </c>
      <c r="AY713" s="416">
        <v>0</v>
      </c>
      <c r="AZ713" s="416">
        <v>0</v>
      </c>
    </row>
    <row r="714" spans="1:52" s="411" customFormat="1" x14ac:dyDescent="0.3">
      <c r="A714" s="415" t="str">
        <f t="shared" si="11"/>
        <v>SA-213 Gr.TP316H</v>
      </c>
      <c r="B714" s="415">
        <v>708</v>
      </c>
      <c r="C714" s="415" t="s">
        <v>3200</v>
      </c>
      <c r="D714" s="415" t="s">
        <v>2693</v>
      </c>
      <c r="E714" s="415" t="s">
        <v>2195</v>
      </c>
      <c r="F714" s="415" t="s">
        <v>2569</v>
      </c>
      <c r="G714" s="415" t="s">
        <v>3239</v>
      </c>
      <c r="H714" s="415">
        <v>0</v>
      </c>
      <c r="I714" s="415">
        <v>0</v>
      </c>
      <c r="J714" s="415">
        <v>8</v>
      </c>
      <c r="K714" s="415">
        <v>1</v>
      </c>
      <c r="L714" s="415">
        <v>515</v>
      </c>
      <c r="M714" s="415">
        <v>205</v>
      </c>
      <c r="N714" s="415">
        <v>816</v>
      </c>
      <c r="O714" s="415">
        <v>427</v>
      </c>
      <c r="P714" s="415">
        <v>816</v>
      </c>
      <c r="Q714" s="415" t="s">
        <v>2675</v>
      </c>
      <c r="R714" s="415" t="s">
        <v>3069</v>
      </c>
      <c r="S714" s="415" t="s">
        <v>3240</v>
      </c>
      <c r="T714" s="416">
        <v>138</v>
      </c>
      <c r="U714" s="416">
        <v>138</v>
      </c>
      <c r="V714" s="416">
        <v>138</v>
      </c>
      <c r="W714" s="416">
        <v>138</v>
      </c>
      <c r="X714" s="416">
        <v>138</v>
      </c>
      <c r="Y714" s="416">
        <v>138</v>
      </c>
      <c r="Z714" s="416">
        <v>134</v>
      </c>
      <c r="AA714" s="416">
        <v>126</v>
      </c>
      <c r="AB714" s="416">
        <v>119</v>
      </c>
      <c r="AC714" s="416">
        <v>116</v>
      </c>
      <c r="AD714" s="416">
        <v>114</v>
      </c>
      <c r="AE714" s="416">
        <v>112</v>
      </c>
      <c r="AF714" s="416">
        <v>111</v>
      </c>
      <c r="AG714" s="416">
        <v>110</v>
      </c>
      <c r="AH714" s="416">
        <v>108</v>
      </c>
      <c r="AI714" s="416">
        <v>108</v>
      </c>
      <c r="AJ714" s="416">
        <v>107</v>
      </c>
      <c r="AK714" s="416">
        <v>106</v>
      </c>
      <c r="AL714" s="416">
        <v>105</v>
      </c>
      <c r="AM714" s="416">
        <v>99.8</v>
      </c>
      <c r="AN714" s="416">
        <v>80.3</v>
      </c>
      <c r="AO714" s="416">
        <v>65.5</v>
      </c>
      <c r="AP714" s="416">
        <v>50.4</v>
      </c>
      <c r="AQ714" s="416">
        <v>38.6</v>
      </c>
      <c r="AR714" s="416">
        <v>29.6</v>
      </c>
      <c r="AS714" s="416">
        <v>23</v>
      </c>
      <c r="AT714" s="416">
        <v>17.7</v>
      </c>
      <c r="AU714" s="416">
        <v>13.4</v>
      </c>
      <c r="AV714" s="416">
        <v>10.4</v>
      </c>
      <c r="AW714" s="416">
        <v>8.0500000000000007</v>
      </c>
      <c r="AX714" s="416">
        <v>0</v>
      </c>
      <c r="AY714" s="416">
        <v>0</v>
      </c>
      <c r="AZ714" s="416">
        <v>0</v>
      </c>
    </row>
    <row r="715" spans="1:52" s="411" customFormat="1" x14ac:dyDescent="0.3">
      <c r="A715" s="415" t="str">
        <f t="shared" si="11"/>
        <v>SA-213 Gr.TP316H</v>
      </c>
      <c r="B715" s="415">
        <v>709</v>
      </c>
      <c r="C715" s="415" t="s">
        <v>3200</v>
      </c>
      <c r="D715" s="415" t="s">
        <v>2693</v>
      </c>
      <c r="E715" s="415" t="s">
        <v>2195</v>
      </c>
      <c r="F715" s="415" t="s">
        <v>2569</v>
      </c>
      <c r="G715" s="415" t="s">
        <v>3239</v>
      </c>
      <c r="H715" s="415">
        <v>0</v>
      </c>
      <c r="I715" s="415">
        <v>0</v>
      </c>
      <c r="J715" s="415">
        <v>8</v>
      </c>
      <c r="K715" s="415">
        <v>1</v>
      </c>
      <c r="L715" s="415">
        <v>515</v>
      </c>
      <c r="M715" s="415">
        <v>205</v>
      </c>
      <c r="N715" s="415">
        <v>816</v>
      </c>
      <c r="O715" s="415" t="s">
        <v>2675</v>
      </c>
      <c r="P715" s="415">
        <v>816</v>
      </c>
      <c r="Q715" s="415" t="s">
        <v>2675</v>
      </c>
      <c r="R715" s="415" t="s">
        <v>3069</v>
      </c>
      <c r="S715" s="415" t="s">
        <v>2553</v>
      </c>
      <c r="T715" s="416">
        <v>138</v>
      </c>
      <c r="U715" s="416">
        <v>138</v>
      </c>
      <c r="V715" s="416">
        <v>128</v>
      </c>
      <c r="W715" s="416">
        <v>118</v>
      </c>
      <c r="X715" s="416">
        <v>112</v>
      </c>
      <c r="Y715" s="416">
        <v>107</v>
      </c>
      <c r="Z715" s="416">
        <v>99.2</v>
      </c>
      <c r="AA715" s="416">
        <v>92.8</v>
      </c>
      <c r="AB715" s="416">
        <v>88.1</v>
      </c>
      <c r="AC715" s="416">
        <v>86.1</v>
      </c>
      <c r="AD715" s="416">
        <v>84.1</v>
      </c>
      <c r="AE715" s="416">
        <v>82.9</v>
      </c>
      <c r="AF715" s="416">
        <v>82</v>
      </c>
      <c r="AG715" s="416">
        <v>81.400000000000006</v>
      </c>
      <c r="AH715" s="416">
        <v>80.599999999999994</v>
      </c>
      <c r="AI715" s="416">
        <v>79.8</v>
      </c>
      <c r="AJ715" s="416">
        <v>79.2</v>
      </c>
      <c r="AK715" s="416">
        <v>78.7</v>
      </c>
      <c r="AL715" s="416">
        <v>77.8</v>
      </c>
      <c r="AM715" s="416">
        <v>77.099999999999994</v>
      </c>
      <c r="AN715" s="416">
        <v>75</v>
      </c>
      <c r="AO715" s="416">
        <v>65.5</v>
      </c>
      <c r="AP715" s="416">
        <v>50.4</v>
      </c>
      <c r="AQ715" s="416">
        <v>38.6</v>
      </c>
      <c r="AR715" s="416">
        <v>29.6</v>
      </c>
      <c r="AS715" s="416">
        <v>23</v>
      </c>
      <c r="AT715" s="416">
        <v>17.7</v>
      </c>
      <c r="AU715" s="416">
        <v>13.4</v>
      </c>
      <c r="AV715" s="416">
        <v>10.4</v>
      </c>
      <c r="AW715" s="416">
        <v>8.0500000000000007</v>
      </c>
      <c r="AX715" s="416">
        <v>0</v>
      </c>
      <c r="AY715" s="416">
        <v>0</v>
      </c>
      <c r="AZ715" s="416">
        <v>0</v>
      </c>
    </row>
    <row r="716" spans="1:52" s="411" customFormat="1" x14ac:dyDescent="0.3">
      <c r="A716" s="415" t="str">
        <f t="shared" si="11"/>
        <v>SA-240 Gr.316H</v>
      </c>
      <c r="B716" s="415">
        <v>710</v>
      </c>
      <c r="C716" s="415" t="s">
        <v>3200</v>
      </c>
      <c r="D716" s="415" t="s">
        <v>2684</v>
      </c>
      <c r="E716" s="415" t="s">
        <v>2165</v>
      </c>
      <c r="F716" s="415" t="s">
        <v>2268</v>
      </c>
      <c r="G716" s="415" t="s">
        <v>3239</v>
      </c>
      <c r="H716" s="415">
        <v>0</v>
      </c>
      <c r="I716" s="415">
        <v>0</v>
      </c>
      <c r="J716" s="415">
        <v>8</v>
      </c>
      <c r="K716" s="415">
        <v>1</v>
      </c>
      <c r="L716" s="415">
        <v>515</v>
      </c>
      <c r="M716" s="415">
        <v>205</v>
      </c>
      <c r="N716" s="415">
        <v>816</v>
      </c>
      <c r="O716" s="415">
        <v>427</v>
      </c>
      <c r="P716" s="415">
        <v>816</v>
      </c>
      <c r="Q716" s="415" t="s">
        <v>2675</v>
      </c>
      <c r="R716" s="415" t="s">
        <v>3069</v>
      </c>
      <c r="S716" s="415" t="s">
        <v>3240</v>
      </c>
      <c r="T716" s="416">
        <v>138</v>
      </c>
      <c r="U716" s="416">
        <v>138</v>
      </c>
      <c r="V716" s="416">
        <v>138</v>
      </c>
      <c r="W716" s="416">
        <v>138</v>
      </c>
      <c r="X716" s="416">
        <v>138</v>
      </c>
      <c r="Y716" s="416">
        <v>138</v>
      </c>
      <c r="Z716" s="416">
        <v>134</v>
      </c>
      <c r="AA716" s="416">
        <v>126</v>
      </c>
      <c r="AB716" s="416">
        <v>119</v>
      </c>
      <c r="AC716" s="416">
        <v>116</v>
      </c>
      <c r="AD716" s="416">
        <v>114</v>
      </c>
      <c r="AE716" s="416">
        <v>112</v>
      </c>
      <c r="AF716" s="416">
        <v>111</v>
      </c>
      <c r="AG716" s="416">
        <v>110</v>
      </c>
      <c r="AH716" s="416">
        <v>108</v>
      </c>
      <c r="AI716" s="416">
        <v>108</v>
      </c>
      <c r="AJ716" s="416">
        <v>107</v>
      </c>
      <c r="AK716" s="416">
        <v>106</v>
      </c>
      <c r="AL716" s="416">
        <v>105</v>
      </c>
      <c r="AM716" s="416">
        <v>99.8</v>
      </c>
      <c r="AN716" s="416">
        <v>80.3</v>
      </c>
      <c r="AO716" s="416">
        <v>65.5</v>
      </c>
      <c r="AP716" s="416">
        <v>50.4</v>
      </c>
      <c r="AQ716" s="416">
        <v>38.6</v>
      </c>
      <c r="AR716" s="416">
        <v>29.6</v>
      </c>
      <c r="AS716" s="416">
        <v>23</v>
      </c>
      <c r="AT716" s="416">
        <v>17.7</v>
      </c>
      <c r="AU716" s="416">
        <v>13.4</v>
      </c>
      <c r="AV716" s="416">
        <v>10.4</v>
      </c>
      <c r="AW716" s="416">
        <v>8.0500000000000007</v>
      </c>
      <c r="AX716" s="416">
        <v>0</v>
      </c>
      <c r="AY716" s="416">
        <v>0</v>
      </c>
      <c r="AZ716" s="416">
        <v>0</v>
      </c>
    </row>
    <row r="717" spans="1:52" s="411" customFormat="1" x14ac:dyDescent="0.3">
      <c r="A717" s="415" t="str">
        <f t="shared" si="11"/>
        <v>SA-240 Gr.316H</v>
      </c>
      <c r="B717" s="415">
        <v>711</v>
      </c>
      <c r="C717" s="415" t="s">
        <v>3200</v>
      </c>
      <c r="D717" s="415" t="s">
        <v>2684</v>
      </c>
      <c r="E717" s="415" t="s">
        <v>2165</v>
      </c>
      <c r="F717" s="415" t="s">
        <v>2268</v>
      </c>
      <c r="G717" s="415" t="s">
        <v>3239</v>
      </c>
      <c r="H717" s="415">
        <v>0</v>
      </c>
      <c r="I717" s="415">
        <v>0</v>
      </c>
      <c r="J717" s="415">
        <v>8</v>
      </c>
      <c r="K717" s="415">
        <v>1</v>
      </c>
      <c r="L717" s="415">
        <v>515</v>
      </c>
      <c r="M717" s="415">
        <v>205</v>
      </c>
      <c r="N717" s="415">
        <v>816</v>
      </c>
      <c r="O717" s="415" t="s">
        <v>2675</v>
      </c>
      <c r="P717" s="415">
        <v>816</v>
      </c>
      <c r="Q717" s="415" t="s">
        <v>2675</v>
      </c>
      <c r="R717" s="415" t="s">
        <v>3069</v>
      </c>
      <c r="S717" s="415" t="s">
        <v>2553</v>
      </c>
      <c r="T717" s="416">
        <v>138</v>
      </c>
      <c r="U717" s="416">
        <v>138</v>
      </c>
      <c r="V717" s="416">
        <v>128</v>
      </c>
      <c r="W717" s="416">
        <v>118</v>
      </c>
      <c r="X717" s="416">
        <v>112</v>
      </c>
      <c r="Y717" s="416">
        <v>107</v>
      </c>
      <c r="Z717" s="416">
        <v>99.2</v>
      </c>
      <c r="AA717" s="416">
        <v>92.8</v>
      </c>
      <c r="AB717" s="416">
        <v>88.1</v>
      </c>
      <c r="AC717" s="416">
        <v>86.1</v>
      </c>
      <c r="AD717" s="416">
        <v>84.1</v>
      </c>
      <c r="AE717" s="416">
        <v>82.9</v>
      </c>
      <c r="AF717" s="416">
        <v>82</v>
      </c>
      <c r="AG717" s="416">
        <v>81.400000000000006</v>
      </c>
      <c r="AH717" s="416">
        <v>80.599999999999994</v>
      </c>
      <c r="AI717" s="416">
        <v>79.8</v>
      </c>
      <c r="AJ717" s="416">
        <v>79.2</v>
      </c>
      <c r="AK717" s="416">
        <v>78.7</v>
      </c>
      <c r="AL717" s="416">
        <v>77.8</v>
      </c>
      <c r="AM717" s="416">
        <v>77.099999999999994</v>
      </c>
      <c r="AN717" s="416">
        <v>75</v>
      </c>
      <c r="AO717" s="416">
        <v>65.5</v>
      </c>
      <c r="AP717" s="416">
        <v>50.4</v>
      </c>
      <c r="AQ717" s="416">
        <v>38.6</v>
      </c>
      <c r="AR717" s="416">
        <v>29.6</v>
      </c>
      <c r="AS717" s="416">
        <v>23</v>
      </c>
      <c r="AT717" s="416">
        <v>17.7</v>
      </c>
      <c r="AU717" s="416">
        <v>13.4</v>
      </c>
      <c r="AV717" s="416">
        <v>10.4</v>
      </c>
      <c r="AW717" s="416">
        <v>8.0500000000000007</v>
      </c>
      <c r="AX717" s="416">
        <v>0</v>
      </c>
      <c r="AY717" s="416">
        <v>0</v>
      </c>
      <c r="AZ717" s="416">
        <v>0</v>
      </c>
    </row>
    <row r="718" spans="1:52" s="411" customFormat="1" x14ac:dyDescent="0.3">
      <c r="A718" s="415" t="str">
        <f t="shared" si="11"/>
        <v>SA-249 Gr.TP316H</v>
      </c>
      <c r="B718" s="415">
        <v>712</v>
      </c>
      <c r="C718" s="415" t="s">
        <v>3200</v>
      </c>
      <c r="D718" s="415" t="s">
        <v>2689</v>
      </c>
      <c r="E718" s="415" t="s">
        <v>2200</v>
      </c>
      <c r="F718" s="415" t="s">
        <v>2569</v>
      </c>
      <c r="G718" s="415" t="s">
        <v>3239</v>
      </c>
      <c r="H718" s="415">
        <v>0</v>
      </c>
      <c r="I718" s="415">
        <v>0</v>
      </c>
      <c r="J718" s="415">
        <v>8</v>
      </c>
      <c r="K718" s="415">
        <v>1</v>
      </c>
      <c r="L718" s="415">
        <v>515</v>
      </c>
      <c r="M718" s="415">
        <v>205</v>
      </c>
      <c r="N718" s="415">
        <v>816</v>
      </c>
      <c r="O718" s="415" t="s">
        <v>2675</v>
      </c>
      <c r="P718" s="415">
        <v>816</v>
      </c>
      <c r="Q718" s="415" t="s">
        <v>2675</v>
      </c>
      <c r="R718" s="415" t="s">
        <v>3069</v>
      </c>
      <c r="S718" s="415" t="s">
        <v>3241</v>
      </c>
      <c r="T718" s="416">
        <v>117</v>
      </c>
      <c r="U718" s="416">
        <v>117</v>
      </c>
      <c r="V718" s="416">
        <v>117</v>
      </c>
      <c r="W718" s="416">
        <v>117</v>
      </c>
      <c r="X718" s="416">
        <v>117</v>
      </c>
      <c r="Y718" s="416">
        <v>117</v>
      </c>
      <c r="Z718" s="416">
        <v>114</v>
      </c>
      <c r="AA718" s="416">
        <v>107</v>
      </c>
      <c r="AB718" s="416">
        <v>101</v>
      </c>
      <c r="AC718" s="416">
        <v>99</v>
      </c>
      <c r="AD718" s="416">
        <v>96.8</v>
      </c>
      <c r="AE718" s="416">
        <v>95.7</v>
      </c>
      <c r="AF718" s="416">
        <v>94.4</v>
      </c>
      <c r="AG718" s="416">
        <v>93.1</v>
      </c>
      <c r="AH718" s="416">
        <v>92.5</v>
      </c>
      <c r="AI718" s="416">
        <v>91.4</v>
      </c>
      <c r="AJ718" s="416">
        <v>90.5</v>
      </c>
      <c r="AK718" s="416">
        <v>89.9</v>
      </c>
      <c r="AL718" s="416">
        <v>89.3</v>
      </c>
      <c r="AM718" s="416">
        <v>85.3</v>
      </c>
      <c r="AN718" s="416">
        <v>68.099999999999994</v>
      </c>
      <c r="AO718" s="416">
        <v>55.6</v>
      </c>
      <c r="AP718" s="416">
        <v>42.9</v>
      </c>
      <c r="AQ718" s="416">
        <v>33</v>
      </c>
      <c r="AR718" s="416">
        <v>25.3</v>
      </c>
      <c r="AS718" s="416">
        <v>19.399999999999999</v>
      </c>
      <c r="AT718" s="416">
        <v>14.7</v>
      </c>
      <c r="AU718" s="416">
        <v>11.3</v>
      </c>
      <c r="AV718" s="416">
        <v>8.9</v>
      </c>
      <c r="AW718" s="416">
        <v>6.77</v>
      </c>
      <c r="AX718" s="416">
        <v>0</v>
      </c>
      <c r="AY718" s="416">
        <v>0</v>
      </c>
      <c r="AZ718" s="416">
        <v>0</v>
      </c>
    </row>
    <row r="719" spans="1:52" s="411" customFormat="1" x14ac:dyDescent="0.3">
      <c r="A719" s="415" t="str">
        <f t="shared" si="11"/>
        <v>SA-249 Gr.TP316H</v>
      </c>
      <c r="B719" s="415">
        <v>713</v>
      </c>
      <c r="C719" s="415" t="s">
        <v>3200</v>
      </c>
      <c r="D719" s="415" t="s">
        <v>2689</v>
      </c>
      <c r="E719" s="415" t="s">
        <v>2200</v>
      </c>
      <c r="F719" s="415" t="s">
        <v>2569</v>
      </c>
      <c r="G719" s="415" t="s">
        <v>3239</v>
      </c>
      <c r="H719" s="415">
        <v>0</v>
      </c>
      <c r="I719" s="415">
        <v>0</v>
      </c>
      <c r="J719" s="415">
        <v>8</v>
      </c>
      <c r="K719" s="415">
        <v>1</v>
      </c>
      <c r="L719" s="415">
        <v>515</v>
      </c>
      <c r="M719" s="415">
        <v>205</v>
      </c>
      <c r="N719" s="415">
        <v>816</v>
      </c>
      <c r="O719" s="415" t="s">
        <v>2675</v>
      </c>
      <c r="P719" s="415">
        <v>816</v>
      </c>
      <c r="Q719" s="415" t="s">
        <v>2675</v>
      </c>
      <c r="R719" s="415" t="s">
        <v>3069</v>
      </c>
      <c r="S719" s="415" t="s">
        <v>3242</v>
      </c>
      <c r="T719" s="416">
        <v>117</v>
      </c>
      <c r="U719" s="416">
        <v>117</v>
      </c>
      <c r="V719" s="416">
        <v>109</v>
      </c>
      <c r="W719" s="416">
        <v>99.8</v>
      </c>
      <c r="X719" s="416">
        <v>94.9</v>
      </c>
      <c r="Y719" s="416">
        <v>90.8</v>
      </c>
      <c r="Z719" s="416">
        <v>84</v>
      </c>
      <c r="AA719" s="416">
        <v>78.8</v>
      </c>
      <c r="AB719" s="416">
        <v>74.7</v>
      </c>
      <c r="AC719" s="416">
        <v>73.3</v>
      </c>
      <c r="AD719" s="416">
        <v>72.099999999999994</v>
      </c>
      <c r="AE719" s="416">
        <v>70.8</v>
      </c>
      <c r="AF719" s="416">
        <v>69.599999999999994</v>
      </c>
      <c r="AG719" s="416">
        <v>69</v>
      </c>
      <c r="AH719" s="416">
        <v>68.400000000000006</v>
      </c>
      <c r="AI719" s="416">
        <v>67.7</v>
      </c>
      <c r="AJ719" s="416">
        <v>67.099999999999994</v>
      </c>
      <c r="AK719" s="416">
        <v>66.5</v>
      </c>
      <c r="AL719" s="416">
        <v>65.900000000000006</v>
      </c>
      <c r="AM719" s="416">
        <v>65.3</v>
      </c>
      <c r="AN719" s="416">
        <v>64</v>
      </c>
      <c r="AO719" s="416">
        <v>55.6</v>
      </c>
      <c r="AP719" s="416">
        <v>42.9</v>
      </c>
      <c r="AQ719" s="416">
        <v>33</v>
      </c>
      <c r="AR719" s="416">
        <v>25.3</v>
      </c>
      <c r="AS719" s="416">
        <v>19.399999999999999</v>
      </c>
      <c r="AT719" s="416">
        <v>14.7</v>
      </c>
      <c r="AU719" s="416">
        <v>11.3</v>
      </c>
      <c r="AV719" s="416">
        <v>8.9</v>
      </c>
      <c r="AW719" s="416">
        <v>6.77</v>
      </c>
      <c r="AX719" s="416">
        <v>0</v>
      </c>
      <c r="AY719" s="416">
        <v>0</v>
      </c>
      <c r="AZ719" s="416">
        <v>0</v>
      </c>
    </row>
    <row r="720" spans="1:52" s="411" customFormat="1" x14ac:dyDescent="0.3">
      <c r="A720" s="415" t="str">
        <f t="shared" si="11"/>
        <v>SA-249 Gr.TP316H</v>
      </c>
      <c r="B720" s="415">
        <v>714</v>
      </c>
      <c r="C720" s="415" t="s">
        <v>3200</v>
      </c>
      <c r="D720" s="415" t="s">
        <v>2689</v>
      </c>
      <c r="E720" s="415" t="s">
        <v>2200</v>
      </c>
      <c r="F720" s="415" t="s">
        <v>2569</v>
      </c>
      <c r="G720" s="415" t="s">
        <v>3239</v>
      </c>
      <c r="H720" s="415">
        <v>0</v>
      </c>
      <c r="I720" s="415">
        <v>0</v>
      </c>
      <c r="J720" s="415">
        <v>8</v>
      </c>
      <c r="K720" s="415">
        <v>1</v>
      </c>
      <c r="L720" s="415">
        <v>515</v>
      </c>
      <c r="M720" s="415">
        <v>205</v>
      </c>
      <c r="N720" s="415">
        <v>816</v>
      </c>
      <c r="O720" s="415" t="s">
        <v>2675</v>
      </c>
      <c r="P720" s="415" t="s">
        <v>2675</v>
      </c>
      <c r="Q720" s="415" t="s">
        <v>2675</v>
      </c>
      <c r="R720" s="415" t="s">
        <v>3069</v>
      </c>
      <c r="S720" s="415" t="s">
        <v>3243</v>
      </c>
      <c r="T720" s="416">
        <v>138</v>
      </c>
      <c r="U720" s="416">
        <v>138</v>
      </c>
      <c r="V720" s="416">
        <v>128</v>
      </c>
      <c r="W720" s="416">
        <v>118</v>
      </c>
      <c r="X720" s="416">
        <v>112</v>
      </c>
      <c r="Y720" s="416">
        <v>107</v>
      </c>
      <c r="Z720" s="416">
        <v>99.2</v>
      </c>
      <c r="AA720" s="416">
        <v>92.8</v>
      </c>
      <c r="AB720" s="416">
        <v>88.1</v>
      </c>
      <c r="AC720" s="416">
        <v>86.1</v>
      </c>
      <c r="AD720" s="416">
        <v>84.1</v>
      </c>
      <c r="AE720" s="416">
        <v>82.9</v>
      </c>
      <c r="AF720" s="416">
        <v>82</v>
      </c>
      <c r="AG720" s="416">
        <v>81.400000000000006</v>
      </c>
      <c r="AH720" s="416">
        <v>80.599999999999994</v>
      </c>
      <c r="AI720" s="416">
        <v>79.8</v>
      </c>
      <c r="AJ720" s="416">
        <v>79.2</v>
      </c>
      <c r="AK720" s="416">
        <v>78.7</v>
      </c>
      <c r="AL720" s="416">
        <v>77.8</v>
      </c>
      <c r="AM720" s="416">
        <v>77.099999999999994</v>
      </c>
      <c r="AN720" s="416">
        <v>75</v>
      </c>
      <c r="AO720" s="416">
        <v>65.5</v>
      </c>
      <c r="AP720" s="416">
        <v>50.4</v>
      </c>
      <c r="AQ720" s="416">
        <v>38.6</v>
      </c>
      <c r="AR720" s="416">
        <v>29.6</v>
      </c>
      <c r="AS720" s="416">
        <v>23</v>
      </c>
      <c r="AT720" s="416">
        <v>17.7</v>
      </c>
      <c r="AU720" s="416">
        <v>13.4</v>
      </c>
      <c r="AV720" s="416">
        <v>10.4</v>
      </c>
      <c r="AW720" s="416">
        <v>8.0500000000000007</v>
      </c>
      <c r="AX720" s="416">
        <v>0</v>
      </c>
      <c r="AY720" s="416">
        <v>0</v>
      </c>
      <c r="AZ720" s="416">
        <v>0</v>
      </c>
    </row>
    <row r="721" spans="1:52" s="411" customFormat="1" x14ac:dyDescent="0.3">
      <c r="A721" s="415" t="str">
        <f t="shared" si="11"/>
        <v>SA-249 Gr.TP316H</v>
      </c>
      <c r="B721" s="415">
        <v>715</v>
      </c>
      <c r="C721" s="415" t="s">
        <v>3200</v>
      </c>
      <c r="D721" s="415" t="s">
        <v>2689</v>
      </c>
      <c r="E721" s="415" t="s">
        <v>2200</v>
      </c>
      <c r="F721" s="415" t="s">
        <v>2569</v>
      </c>
      <c r="G721" s="415" t="s">
        <v>3239</v>
      </c>
      <c r="H721" s="415">
        <v>0</v>
      </c>
      <c r="I721" s="415">
        <v>0</v>
      </c>
      <c r="J721" s="415">
        <v>8</v>
      </c>
      <c r="K721" s="415">
        <v>1</v>
      </c>
      <c r="L721" s="415">
        <v>515</v>
      </c>
      <c r="M721" s="415">
        <v>205</v>
      </c>
      <c r="N721" s="415">
        <v>816</v>
      </c>
      <c r="O721" s="415">
        <v>427</v>
      </c>
      <c r="P721" s="415" t="s">
        <v>2675</v>
      </c>
      <c r="Q721" s="415" t="s">
        <v>2675</v>
      </c>
      <c r="R721" s="415" t="s">
        <v>3069</v>
      </c>
      <c r="S721" s="415" t="s">
        <v>3244</v>
      </c>
      <c r="T721" s="416">
        <v>138</v>
      </c>
      <c r="U721" s="416">
        <v>138</v>
      </c>
      <c r="V721" s="416">
        <v>138</v>
      </c>
      <c r="W721" s="416">
        <v>138</v>
      </c>
      <c r="X721" s="416">
        <v>138</v>
      </c>
      <c r="Y721" s="416">
        <v>138</v>
      </c>
      <c r="Z721" s="416">
        <v>134</v>
      </c>
      <c r="AA721" s="416">
        <v>126</v>
      </c>
      <c r="AB721" s="416">
        <v>119</v>
      </c>
      <c r="AC721" s="416">
        <v>116</v>
      </c>
      <c r="AD721" s="416">
        <v>114</v>
      </c>
      <c r="AE721" s="416">
        <v>112</v>
      </c>
      <c r="AF721" s="416">
        <v>111</v>
      </c>
      <c r="AG721" s="416">
        <v>110</v>
      </c>
      <c r="AH721" s="416">
        <v>108</v>
      </c>
      <c r="AI721" s="416">
        <v>108</v>
      </c>
      <c r="AJ721" s="416">
        <v>107</v>
      </c>
      <c r="AK721" s="416">
        <v>106</v>
      </c>
      <c r="AL721" s="416">
        <v>105</v>
      </c>
      <c r="AM721" s="416">
        <v>99.8</v>
      </c>
      <c r="AN721" s="416">
        <v>80.3</v>
      </c>
      <c r="AO721" s="416">
        <v>65.5</v>
      </c>
      <c r="AP721" s="416">
        <v>50.4</v>
      </c>
      <c r="AQ721" s="416">
        <v>38.6</v>
      </c>
      <c r="AR721" s="416">
        <v>29.6</v>
      </c>
      <c r="AS721" s="416">
        <v>23</v>
      </c>
      <c r="AT721" s="416">
        <v>17.7</v>
      </c>
      <c r="AU721" s="416">
        <v>13.4</v>
      </c>
      <c r="AV721" s="416">
        <v>10.4</v>
      </c>
      <c r="AW721" s="416">
        <v>8.0500000000000007</v>
      </c>
      <c r="AX721" s="416">
        <v>0</v>
      </c>
      <c r="AY721" s="416">
        <v>0</v>
      </c>
      <c r="AZ721" s="416">
        <v>0</v>
      </c>
    </row>
    <row r="722" spans="1:52" s="411" customFormat="1" x14ac:dyDescent="0.3">
      <c r="A722" s="415" t="str">
        <f t="shared" si="11"/>
        <v>SA-312 Gr.TP316H</v>
      </c>
      <c r="B722" s="415">
        <v>716</v>
      </c>
      <c r="C722" s="415" t="s">
        <v>3200</v>
      </c>
      <c r="D722" s="415" t="s">
        <v>2720</v>
      </c>
      <c r="E722" s="415" t="s">
        <v>2208</v>
      </c>
      <c r="F722" s="415" t="s">
        <v>2569</v>
      </c>
      <c r="G722" s="415" t="s">
        <v>3239</v>
      </c>
      <c r="H722" s="415">
        <v>0</v>
      </c>
      <c r="I722" s="415">
        <v>0</v>
      </c>
      <c r="J722" s="415">
        <v>8</v>
      </c>
      <c r="K722" s="415">
        <v>1</v>
      </c>
      <c r="L722" s="415">
        <v>515</v>
      </c>
      <c r="M722" s="415">
        <v>205</v>
      </c>
      <c r="N722" s="415">
        <v>816</v>
      </c>
      <c r="O722" s="415">
        <v>427</v>
      </c>
      <c r="P722" s="415">
        <v>816</v>
      </c>
      <c r="Q722" s="415" t="s">
        <v>2675</v>
      </c>
      <c r="R722" s="415" t="s">
        <v>3069</v>
      </c>
      <c r="S722" s="415" t="s">
        <v>3244</v>
      </c>
      <c r="T722" s="416">
        <v>138</v>
      </c>
      <c r="U722" s="416">
        <v>138</v>
      </c>
      <c r="V722" s="416">
        <v>138</v>
      </c>
      <c r="W722" s="416">
        <v>138</v>
      </c>
      <c r="X722" s="416">
        <v>138</v>
      </c>
      <c r="Y722" s="416">
        <v>138</v>
      </c>
      <c r="Z722" s="416">
        <v>134</v>
      </c>
      <c r="AA722" s="416">
        <v>126</v>
      </c>
      <c r="AB722" s="416">
        <v>119</v>
      </c>
      <c r="AC722" s="416">
        <v>116</v>
      </c>
      <c r="AD722" s="416">
        <v>114</v>
      </c>
      <c r="AE722" s="416">
        <v>112</v>
      </c>
      <c r="AF722" s="416">
        <v>111</v>
      </c>
      <c r="AG722" s="416">
        <v>110</v>
      </c>
      <c r="AH722" s="416">
        <v>108</v>
      </c>
      <c r="AI722" s="416">
        <v>108</v>
      </c>
      <c r="AJ722" s="416">
        <v>107</v>
      </c>
      <c r="AK722" s="416">
        <v>106</v>
      </c>
      <c r="AL722" s="416">
        <v>105</v>
      </c>
      <c r="AM722" s="416">
        <v>99.8</v>
      </c>
      <c r="AN722" s="416">
        <v>80.3</v>
      </c>
      <c r="AO722" s="416">
        <v>65.5</v>
      </c>
      <c r="AP722" s="416">
        <v>50.4</v>
      </c>
      <c r="AQ722" s="416">
        <v>38.6</v>
      </c>
      <c r="AR722" s="416">
        <v>29.6</v>
      </c>
      <c r="AS722" s="416">
        <v>23</v>
      </c>
      <c r="AT722" s="416">
        <v>17.7</v>
      </c>
      <c r="AU722" s="416">
        <v>13.4</v>
      </c>
      <c r="AV722" s="416">
        <v>10.4</v>
      </c>
      <c r="AW722" s="416">
        <v>8.0500000000000007</v>
      </c>
      <c r="AX722" s="416">
        <v>0</v>
      </c>
      <c r="AY722" s="416">
        <v>0</v>
      </c>
      <c r="AZ722" s="416">
        <v>0</v>
      </c>
    </row>
    <row r="723" spans="1:52" s="411" customFormat="1" x14ac:dyDescent="0.3">
      <c r="A723" s="415" t="str">
        <f t="shared" si="11"/>
        <v>SA-312 Gr.TP316H</v>
      </c>
      <c r="B723" s="415">
        <v>717</v>
      </c>
      <c r="C723" s="415" t="s">
        <v>3200</v>
      </c>
      <c r="D723" s="415" t="s">
        <v>2720</v>
      </c>
      <c r="E723" s="415" t="s">
        <v>2208</v>
      </c>
      <c r="F723" s="415" t="s">
        <v>2569</v>
      </c>
      <c r="G723" s="415" t="s">
        <v>3239</v>
      </c>
      <c r="H723" s="415">
        <v>0</v>
      </c>
      <c r="I723" s="415">
        <v>0</v>
      </c>
      <c r="J723" s="415">
        <v>8</v>
      </c>
      <c r="K723" s="415">
        <v>1</v>
      </c>
      <c r="L723" s="415">
        <v>515</v>
      </c>
      <c r="M723" s="415">
        <v>205</v>
      </c>
      <c r="N723" s="415">
        <v>816</v>
      </c>
      <c r="O723" s="415" t="s">
        <v>2675</v>
      </c>
      <c r="P723" s="415">
        <v>816</v>
      </c>
      <c r="Q723" s="415" t="s">
        <v>2675</v>
      </c>
      <c r="R723" s="415" t="s">
        <v>3069</v>
      </c>
      <c r="S723" s="415" t="s">
        <v>3243</v>
      </c>
      <c r="T723" s="416">
        <v>138</v>
      </c>
      <c r="U723" s="416">
        <v>138</v>
      </c>
      <c r="V723" s="416">
        <v>128</v>
      </c>
      <c r="W723" s="416">
        <v>118</v>
      </c>
      <c r="X723" s="416">
        <v>112</v>
      </c>
      <c r="Y723" s="416">
        <v>107</v>
      </c>
      <c r="Z723" s="416">
        <v>99.2</v>
      </c>
      <c r="AA723" s="416">
        <v>92.8</v>
      </c>
      <c r="AB723" s="416">
        <v>88.1</v>
      </c>
      <c r="AC723" s="416">
        <v>86.1</v>
      </c>
      <c r="AD723" s="416">
        <v>84.1</v>
      </c>
      <c r="AE723" s="416">
        <v>82.9</v>
      </c>
      <c r="AF723" s="416">
        <v>82</v>
      </c>
      <c r="AG723" s="416">
        <v>81.400000000000006</v>
      </c>
      <c r="AH723" s="416">
        <v>80.599999999999994</v>
      </c>
      <c r="AI723" s="416">
        <v>79.8</v>
      </c>
      <c r="AJ723" s="416">
        <v>79.2</v>
      </c>
      <c r="AK723" s="416">
        <v>78.7</v>
      </c>
      <c r="AL723" s="416">
        <v>77.8</v>
      </c>
      <c r="AM723" s="416">
        <v>77.099999999999994</v>
      </c>
      <c r="AN723" s="416">
        <v>75</v>
      </c>
      <c r="AO723" s="416">
        <v>65.5</v>
      </c>
      <c r="AP723" s="416">
        <v>50.4</v>
      </c>
      <c r="AQ723" s="416">
        <v>38.6</v>
      </c>
      <c r="AR723" s="416">
        <v>29.6</v>
      </c>
      <c r="AS723" s="416">
        <v>23</v>
      </c>
      <c r="AT723" s="416">
        <v>17.7</v>
      </c>
      <c r="AU723" s="416">
        <v>13.4</v>
      </c>
      <c r="AV723" s="416">
        <v>10.4</v>
      </c>
      <c r="AW723" s="416">
        <v>8.0500000000000007</v>
      </c>
      <c r="AX723" s="416">
        <v>0</v>
      </c>
      <c r="AY723" s="416">
        <v>0</v>
      </c>
      <c r="AZ723" s="416">
        <v>0</v>
      </c>
    </row>
    <row r="724" spans="1:52" s="411" customFormat="1" x14ac:dyDescent="0.3">
      <c r="A724" s="415" t="str">
        <f t="shared" si="11"/>
        <v>SA-312 Gr.TP316H</v>
      </c>
      <c r="B724" s="415">
        <v>718</v>
      </c>
      <c r="C724" s="415" t="s">
        <v>3200</v>
      </c>
      <c r="D724" s="415" t="s">
        <v>2680</v>
      </c>
      <c r="E724" s="415" t="s">
        <v>2208</v>
      </c>
      <c r="F724" s="415" t="s">
        <v>2569</v>
      </c>
      <c r="G724" s="415" t="s">
        <v>3239</v>
      </c>
      <c r="H724" s="415">
        <v>0</v>
      </c>
      <c r="I724" s="415">
        <v>0</v>
      </c>
      <c r="J724" s="415">
        <v>8</v>
      </c>
      <c r="K724" s="415">
        <v>1</v>
      </c>
      <c r="L724" s="415">
        <v>515</v>
      </c>
      <c r="M724" s="415">
        <v>205</v>
      </c>
      <c r="N724" s="415">
        <v>816</v>
      </c>
      <c r="O724" s="415" t="s">
        <v>2675</v>
      </c>
      <c r="P724" s="415">
        <v>816</v>
      </c>
      <c r="Q724" s="415" t="s">
        <v>2675</v>
      </c>
      <c r="R724" s="415" t="s">
        <v>3069</v>
      </c>
      <c r="S724" s="415" t="s">
        <v>3241</v>
      </c>
      <c r="T724" s="416">
        <v>117</v>
      </c>
      <c r="U724" s="416">
        <v>117</v>
      </c>
      <c r="V724" s="416">
        <v>117</v>
      </c>
      <c r="W724" s="416">
        <v>117</v>
      </c>
      <c r="X724" s="416">
        <v>117</v>
      </c>
      <c r="Y724" s="416">
        <v>117</v>
      </c>
      <c r="Z724" s="416">
        <v>114</v>
      </c>
      <c r="AA724" s="416">
        <v>107</v>
      </c>
      <c r="AB724" s="416">
        <v>101</v>
      </c>
      <c r="AC724" s="416">
        <v>99</v>
      </c>
      <c r="AD724" s="416">
        <v>96.8</v>
      </c>
      <c r="AE724" s="416">
        <v>95.7</v>
      </c>
      <c r="AF724" s="416">
        <v>94.4</v>
      </c>
      <c r="AG724" s="416">
        <v>93.1</v>
      </c>
      <c r="AH724" s="416">
        <v>92.5</v>
      </c>
      <c r="AI724" s="416">
        <v>91.4</v>
      </c>
      <c r="AJ724" s="416">
        <v>90.5</v>
      </c>
      <c r="AK724" s="416">
        <v>89.9</v>
      </c>
      <c r="AL724" s="416">
        <v>89.3</v>
      </c>
      <c r="AM724" s="416">
        <v>85.3</v>
      </c>
      <c r="AN724" s="416">
        <v>68.099999999999994</v>
      </c>
      <c r="AO724" s="416">
        <v>55.6</v>
      </c>
      <c r="AP724" s="416">
        <v>42.9</v>
      </c>
      <c r="AQ724" s="416">
        <v>33</v>
      </c>
      <c r="AR724" s="416">
        <v>25.3</v>
      </c>
      <c r="AS724" s="416">
        <v>19.399999999999999</v>
      </c>
      <c r="AT724" s="416">
        <v>14.7</v>
      </c>
      <c r="AU724" s="416">
        <v>11.3</v>
      </c>
      <c r="AV724" s="416">
        <v>8.9</v>
      </c>
      <c r="AW724" s="416">
        <v>6.77</v>
      </c>
      <c r="AX724" s="416">
        <v>0</v>
      </c>
      <c r="AY724" s="416">
        <v>0</v>
      </c>
      <c r="AZ724" s="416">
        <v>0</v>
      </c>
    </row>
    <row r="725" spans="1:52" s="411" customFormat="1" x14ac:dyDescent="0.3">
      <c r="A725" s="415" t="str">
        <f t="shared" si="11"/>
        <v>SA-312 Gr.TP316H</v>
      </c>
      <c r="B725" s="415">
        <v>719</v>
      </c>
      <c r="C725" s="415" t="s">
        <v>3200</v>
      </c>
      <c r="D725" s="415" t="s">
        <v>2680</v>
      </c>
      <c r="E725" s="415" t="s">
        <v>2208</v>
      </c>
      <c r="F725" s="415" t="s">
        <v>2569</v>
      </c>
      <c r="G725" s="415" t="s">
        <v>3239</v>
      </c>
      <c r="H725" s="415">
        <v>0</v>
      </c>
      <c r="I725" s="415">
        <v>0</v>
      </c>
      <c r="J725" s="415">
        <v>8</v>
      </c>
      <c r="K725" s="415">
        <v>1</v>
      </c>
      <c r="L725" s="415">
        <v>515</v>
      </c>
      <c r="M725" s="415">
        <v>205</v>
      </c>
      <c r="N725" s="415">
        <v>816</v>
      </c>
      <c r="O725" s="415" t="s">
        <v>2675</v>
      </c>
      <c r="P725" s="415">
        <v>816</v>
      </c>
      <c r="Q725" s="415" t="s">
        <v>2675</v>
      </c>
      <c r="R725" s="415" t="s">
        <v>3069</v>
      </c>
      <c r="S725" s="415" t="s">
        <v>3242</v>
      </c>
      <c r="T725" s="416">
        <v>117</v>
      </c>
      <c r="U725" s="416">
        <v>117</v>
      </c>
      <c r="V725" s="416">
        <v>109</v>
      </c>
      <c r="W725" s="416">
        <v>99.8</v>
      </c>
      <c r="X725" s="416">
        <v>94.9</v>
      </c>
      <c r="Y725" s="416">
        <v>90.8</v>
      </c>
      <c r="Z725" s="416">
        <v>84</v>
      </c>
      <c r="AA725" s="416">
        <v>78.8</v>
      </c>
      <c r="AB725" s="416">
        <v>74.7</v>
      </c>
      <c r="AC725" s="416">
        <v>73.3</v>
      </c>
      <c r="AD725" s="416">
        <v>72.099999999999994</v>
      </c>
      <c r="AE725" s="416">
        <v>70.8</v>
      </c>
      <c r="AF725" s="416">
        <v>69.599999999999994</v>
      </c>
      <c r="AG725" s="416">
        <v>69</v>
      </c>
      <c r="AH725" s="416">
        <v>68.400000000000006</v>
      </c>
      <c r="AI725" s="416">
        <v>67.7</v>
      </c>
      <c r="AJ725" s="416">
        <v>67.099999999999994</v>
      </c>
      <c r="AK725" s="416">
        <v>66.5</v>
      </c>
      <c r="AL725" s="416">
        <v>65.900000000000006</v>
      </c>
      <c r="AM725" s="416">
        <v>65.3</v>
      </c>
      <c r="AN725" s="416">
        <v>64</v>
      </c>
      <c r="AO725" s="416">
        <v>55.6</v>
      </c>
      <c r="AP725" s="416">
        <v>42.9</v>
      </c>
      <c r="AQ725" s="416">
        <v>33</v>
      </c>
      <c r="AR725" s="416">
        <v>25.3</v>
      </c>
      <c r="AS725" s="416">
        <v>19.399999999999999</v>
      </c>
      <c r="AT725" s="416">
        <v>14.7</v>
      </c>
      <c r="AU725" s="416">
        <v>11.3</v>
      </c>
      <c r="AV725" s="416">
        <v>8.9</v>
      </c>
      <c r="AW725" s="416">
        <v>6.77</v>
      </c>
      <c r="AX725" s="416">
        <v>0</v>
      </c>
      <c r="AY725" s="416">
        <v>0</v>
      </c>
      <c r="AZ725" s="416">
        <v>0</v>
      </c>
    </row>
    <row r="726" spans="1:52" s="411" customFormat="1" x14ac:dyDescent="0.3">
      <c r="A726" s="415" t="str">
        <f t="shared" si="11"/>
        <v>SA-358 Gr.316H</v>
      </c>
      <c r="B726" s="415">
        <v>720</v>
      </c>
      <c r="C726" s="415" t="s">
        <v>3200</v>
      </c>
      <c r="D726" s="415" t="s">
        <v>2680</v>
      </c>
      <c r="E726" s="415" t="s">
        <v>2217</v>
      </c>
      <c r="F726" s="415" t="s">
        <v>2268</v>
      </c>
      <c r="G726" s="415" t="s">
        <v>3239</v>
      </c>
      <c r="H726" s="415">
        <v>1</v>
      </c>
      <c r="I726" s="415">
        <v>0</v>
      </c>
      <c r="J726" s="415">
        <v>8</v>
      </c>
      <c r="K726" s="415">
        <v>1</v>
      </c>
      <c r="L726" s="415">
        <v>515</v>
      </c>
      <c r="M726" s="415">
        <v>205</v>
      </c>
      <c r="N726" s="415" t="s">
        <v>2675</v>
      </c>
      <c r="O726" s="415">
        <v>427</v>
      </c>
      <c r="P726" s="415" t="s">
        <v>2675</v>
      </c>
      <c r="Q726" s="415" t="s">
        <v>2675</v>
      </c>
      <c r="R726" s="415" t="s">
        <v>3069</v>
      </c>
      <c r="S726" s="415" t="s">
        <v>3208</v>
      </c>
      <c r="T726" s="416">
        <v>138</v>
      </c>
      <c r="U726" s="416">
        <v>138</v>
      </c>
      <c r="V726" s="416">
        <v>138</v>
      </c>
      <c r="W726" s="416">
        <v>138</v>
      </c>
      <c r="X726" s="416">
        <v>138</v>
      </c>
      <c r="Y726" s="416">
        <v>138</v>
      </c>
      <c r="Z726" s="416">
        <v>134</v>
      </c>
      <c r="AA726" s="416">
        <v>126</v>
      </c>
      <c r="AB726" s="416">
        <v>119</v>
      </c>
      <c r="AC726" s="416">
        <v>116</v>
      </c>
      <c r="AD726" s="416">
        <v>114</v>
      </c>
      <c r="AE726" s="416">
        <v>112</v>
      </c>
      <c r="AF726" s="416">
        <v>111</v>
      </c>
      <c r="AG726" s="416">
        <v>110</v>
      </c>
      <c r="AH726" s="416">
        <v>108</v>
      </c>
      <c r="AI726" s="416">
        <v>0</v>
      </c>
      <c r="AJ726" s="416">
        <v>0</v>
      </c>
      <c r="AK726" s="416">
        <v>0</v>
      </c>
      <c r="AL726" s="416">
        <v>0</v>
      </c>
      <c r="AM726" s="416">
        <v>0</v>
      </c>
      <c r="AN726" s="416">
        <v>0</v>
      </c>
      <c r="AO726" s="416">
        <v>0</v>
      </c>
      <c r="AP726" s="416">
        <v>0</v>
      </c>
      <c r="AQ726" s="416">
        <v>0</v>
      </c>
      <c r="AR726" s="416">
        <v>0</v>
      </c>
      <c r="AS726" s="416">
        <v>0</v>
      </c>
      <c r="AT726" s="416">
        <v>0</v>
      </c>
      <c r="AU726" s="416">
        <v>0</v>
      </c>
      <c r="AV726" s="416">
        <v>0</v>
      </c>
      <c r="AW726" s="416">
        <v>0</v>
      </c>
      <c r="AX726" s="416">
        <v>0</v>
      </c>
      <c r="AY726" s="416">
        <v>0</v>
      </c>
      <c r="AZ726" s="416">
        <v>0</v>
      </c>
    </row>
    <row r="727" spans="1:52" s="411" customFormat="1" x14ac:dyDescent="0.3">
      <c r="A727" s="415" t="str">
        <f t="shared" si="11"/>
        <v>SA-376 Gr.TP316H</v>
      </c>
      <c r="B727" s="415">
        <v>721</v>
      </c>
      <c r="C727" s="415" t="s">
        <v>3200</v>
      </c>
      <c r="D727" s="415" t="s">
        <v>2703</v>
      </c>
      <c r="E727" s="415" t="s">
        <v>2225</v>
      </c>
      <c r="F727" s="415" t="s">
        <v>2569</v>
      </c>
      <c r="G727" s="415" t="s">
        <v>3239</v>
      </c>
      <c r="H727" s="415">
        <v>0</v>
      </c>
      <c r="I727" s="415">
        <v>0</v>
      </c>
      <c r="J727" s="415">
        <v>8</v>
      </c>
      <c r="K727" s="415">
        <v>1</v>
      </c>
      <c r="L727" s="415">
        <v>515</v>
      </c>
      <c r="M727" s="415">
        <v>205</v>
      </c>
      <c r="N727" s="415">
        <v>816</v>
      </c>
      <c r="O727" s="415">
        <v>427</v>
      </c>
      <c r="P727" s="415">
        <v>816</v>
      </c>
      <c r="Q727" s="415" t="s">
        <v>2675</v>
      </c>
      <c r="R727" s="415" t="s">
        <v>3069</v>
      </c>
      <c r="S727" s="415" t="s">
        <v>3245</v>
      </c>
      <c r="T727" s="416">
        <v>138</v>
      </c>
      <c r="U727" s="416">
        <v>138</v>
      </c>
      <c r="V727" s="416">
        <v>138</v>
      </c>
      <c r="W727" s="416">
        <v>138</v>
      </c>
      <c r="X727" s="416">
        <v>138</v>
      </c>
      <c r="Y727" s="416">
        <v>138</v>
      </c>
      <c r="Z727" s="416">
        <v>134</v>
      </c>
      <c r="AA727" s="416">
        <v>126</v>
      </c>
      <c r="AB727" s="416">
        <v>119</v>
      </c>
      <c r="AC727" s="416">
        <v>116</v>
      </c>
      <c r="AD727" s="416">
        <v>114</v>
      </c>
      <c r="AE727" s="416">
        <v>112</v>
      </c>
      <c r="AF727" s="416">
        <v>111</v>
      </c>
      <c r="AG727" s="416">
        <v>110</v>
      </c>
      <c r="AH727" s="416">
        <v>108</v>
      </c>
      <c r="AI727" s="416">
        <v>108</v>
      </c>
      <c r="AJ727" s="416">
        <v>107</v>
      </c>
      <c r="AK727" s="416">
        <v>106</v>
      </c>
      <c r="AL727" s="416">
        <v>105</v>
      </c>
      <c r="AM727" s="416">
        <v>99.8</v>
      </c>
      <c r="AN727" s="416">
        <v>80.3</v>
      </c>
      <c r="AO727" s="416">
        <v>65.5</v>
      </c>
      <c r="AP727" s="416">
        <v>50.4</v>
      </c>
      <c r="AQ727" s="416">
        <v>38.6</v>
      </c>
      <c r="AR727" s="416">
        <v>29.6</v>
      </c>
      <c r="AS727" s="416">
        <v>23</v>
      </c>
      <c r="AT727" s="416">
        <v>17.7</v>
      </c>
      <c r="AU727" s="416">
        <v>13.4</v>
      </c>
      <c r="AV727" s="416">
        <v>10.4</v>
      </c>
      <c r="AW727" s="416">
        <v>8.0500000000000007</v>
      </c>
      <c r="AX727" s="416">
        <v>0</v>
      </c>
      <c r="AY727" s="416">
        <v>0</v>
      </c>
      <c r="AZ727" s="416">
        <v>0</v>
      </c>
    </row>
    <row r="728" spans="1:52" s="411" customFormat="1" x14ac:dyDescent="0.3">
      <c r="A728" s="415" t="str">
        <f t="shared" si="11"/>
        <v>SA-376 Gr.TP316H</v>
      </c>
      <c r="B728" s="415">
        <v>722</v>
      </c>
      <c r="C728" s="415" t="s">
        <v>3200</v>
      </c>
      <c r="D728" s="415" t="s">
        <v>2703</v>
      </c>
      <c r="E728" s="415" t="s">
        <v>2225</v>
      </c>
      <c r="F728" s="415" t="s">
        <v>2569</v>
      </c>
      <c r="G728" s="415" t="s">
        <v>3239</v>
      </c>
      <c r="H728" s="415">
        <v>0</v>
      </c>
      <c r="I728" s="415">
        <v>0</v>
      </c>
      <c r="J728" s="415">
        <v>8</v>
      </c>
      <c r="K728" s="415">
        <v>1</v>
      </c>
      <c r="L728" s="415">
        <v>515</v>
      </c>
      <c r="M728" s="415">
        <v>205</v>
      </c>
      <c r="N728" s="415">
        <v>816</v>
      </c>
      <c r="O728" s="415" t="s">
        <v>2675</v>
      </c>
      <c r="P728" s="415">
        <v>816</v>
      </c>
      <c r="Q728" s="415" t="s">
        <v>2675</v>
      </c>
      <c r="R728" s="415" t="s">
        <v>3069</v>
      </c>
      <c r="S728" s="415" t="s">
        <v>3246</v>
      </c>
      <c r="T728" s="416">
        <v>138</v>
      </c>
      <c r="U728" s="416">
        <v>138</v>
      </c>
      <c r="V728" s="416">
        <v>128</v>
      </c>
      <c r="W728" s="416">
        <v>118</v>
      </c>
      <c r="X728" s="416">
        <v>112</v>
      </c>
      <c r="Y728" s="416">
        <v>107</v>
      </c>
      <c r="Z728" s="416">
        <v>99.2</v>
      </c>
      <c r="AA728" s="416">
        <v>92.8</v>
      </c>
      <c r="AB728" s="416">
        <v>88.1</v>
      </c>
      <c r="AC728" s="416">
        <v>86.1</v>
      </c>
      <c r="AD728" s="416">
        <v>84.1</v>
      </c>
      <c r="AE728" s="416">
        <v>82.9</v>
      </c>
      <c r="AF728" s="416">
        <v>82</v>
      </c>
      <c r="AG728" s="416">
        <v>81.400000000000006</v>
      </c>
      <c r="AH728" s="416">
        <v>80.599999999999994</v>
      </c>
      <c r="AI728" s="416">
        <v>79.8</v>
      </c>
      <c r="AJ728" s="416">
        <v>79.2</v>
      </c>
      <c r="AK728" s="416">
        <v>78.7</v>
      </c>
      <c r="AL728" s="416">
        <v>77.8</v>
      </c>
      <c r="AM728" s="416">
        <v>77.099999999999994</v>
      </c>
      <c r="AN728" s="416">
        <v>75</v>
      </c>
      <c r="AO728" s="416">
        <v>65.5</v>
      </c>
      <c r="AP728" s="416">
        <v>50.4</v>
      </c>
      <c r="AQ728" s="416">
        <v>38.6</v>
      </c>
      <c r="AR728" s="416">
        <v>29.6</v>
      </c>
      <c r="AS728" s="416">
        <v>23</v>
      </c>
      <c r="AT728" s="416">
        <v>17.7</v>
      </c>
      <c r="AU728" s="416">
        <v>13.4</v>
      </c>
      <c r="AV728" s="416">
        <v>10.4</v>
      </c>
      <c r="AW728" s="416">
        <v>8.0500000000000007</v>
      </c>
      <c r="AX728" s="416">
        <v>0</v>
      </c>
      <c r="AY728" s="416">
        <v>0</v>
      </c>
      <c r="AZ728" s="416">
        <v>0</v>
      </c>
    </row>
    <row r="729" spans="1:52" s="411" customFormat="1" x14ac:dyDescent="0.3">
      <c r="A729" s="415" t="str">
        <f t="shared" si="11"/>
        <v>SA-403 Gr.316H</v>
      </c>
      <c r="B729" s="415">
        <v>723</v>
      </c>
      <c r="C729" s="415" t="s">
        <v>3200</v>
      </c>
      <c r="D729" s="415" t="s">
        <v>2758</v>
      </c>
      <c r="E729" s="415" t="s">
        <v>2229</v>
      </c>
      <c r="F729" s="415" t="s">
        <v>2268</v>
      </c>
      <c r="G729" s="415" t="s">
        <v>3239</v>
      </c>
      <c r="H729" s="415">
        <v>0</v>
      </c>
      <c r="I729" s="415">
        <v>0</v>
      </c>
      <c r="J729" s="415">
        <v>8</v>
      </c>
      <c r="K729" s="415">
        <v>1</v>
      </c>
      <c r="L729" s="415">
        <v>515</v>
      </c>
      <c r="M729" s="415">
        <v>205</v>
      </c>
      <c r="N729" s="415" t="s">
        <v>2675</v>
      </c>
      <c r="O729" s="415">
        <v>427</v>
      </c>
      <c r="P729" s="415">
        <v>816</v>
      </c>
      <c r="Q729" s="415" t="s">
        <v>2675</v>
      </c>
      <c r="R729" s="415" t="s">
        <v>3069</v>
      </c>
      <c r="S729" s="415" t="s">
        <v>3233</v>
      </c>
      <c r="T729" s="416">
        <v>138</v>
      </c>
      <c r="U729" s="416">
        <v>138</v>
      </c>
      <c r="V729" s="416">
        <v>138</v>
      </c>
      <c r="W729" s="416">
        <v>138</v>
      </c>
      <c r="X729" s="416">
        <v>138</v>
      </c>
      <c r="Y729" s="416">
        <v>138</v>
      </c>
      <c r="Z729" s="416">
        <v>134</v>
      </c>
      <c r="AA729" s="416">
        <v>126</v>
      </c>
      <c r="AB729" s="416">
        <v>119</v>
      </c>
      <c r="AC729" s="416">
        <v>116</v>
      </c>
      <c r="AD729" s="416">
        <v>114</v>
      </c>
      <c r="AE729" s="416">
        <v>112</v>
      </c>
      <c r="AF729" s="416">
        <v>111</v>
      </c>
      <c r="AG729" s="416">
        <v>110</v>
      </c>
      <c r="AH729" s="416">
        <v>108</v>
      </c>
      <c r="AI729" s="416">
        <v>108</v>
      </c>
      <c r="AJ729" s="416">
        <v>107</v>
      </c>
      <c r="AK729" s="416">
        <v>106</v>
      </c>
      <c r="AL729" s="416">
        <v>105</v>
      </c>
      <c r="AM729" s="416">
        <v>99.8</v>
      </c>
      <c r="AN729" s="416">
        <v>80.3</v>
      </c>
      <c r="AO729" s="416">
        <v>65.5</v>
      </c>
      <c r="AP729" s="416">
        <v>50.4</v>
      </c>
      <c r="AQ729" s="416">
        <v>38.6</v>
      </c>
      <c r="AR729" s="416">
        <v>29.6</v>
      </c>
      <c r="AS729" s="416">
        <v>23</v>
      </c>
      <c r="AT729" s="416">
        <v>17.7</v>
      </c>
      <c r="AU729" s="416">
        <v>13.4</v>
      </c>
      <c r="AV729" s="416">
        <v>10.4</v>
      </c>
      <c r="AW729" s="416">
        <v>8.0500000000000007</v>
      </c>
      <c r="AX729" s="416">
        <v>0</v>
      </c>
      <c r="AY729" s="416">
        <v>0</v>
      </c>
      <c r="AZ729" s="416">
        <v>0</v>
      </c>
    </row>
    <row r="730" spans="1:52" s="411" customFormat="1" x14ac:dyDescent="0.3">
      <c r="A730" s="415" t="str">
        <f t="shared" si="11"/>
        <v>SA-479 Gr.316H</v>
      </c>
      <c r="B730" s="415">
        <v>724</v>
      </c>
      <c r="C730" s="415" t="s">
        <v>3200</v>
      </c>
      <c r="D730" s="415" t="s">
        <v>2677</v>
      </c>
      <c r="E730" s="415" t="s">
        <v>2245</v>
      </c>
      <c r="F730" s="415" t="s">
        <v>2268</v>
      </c>
      <c r="G730" s="415" t="s">
        <v>3239</v>
      </c>
      <c r="H730" s="415">
        <v>0</v>
      </c>
      <c r="I730" s="415">
        <v>0</v>
      </c>
      <c r="J730" s="415">
        <v>8</v>
      </c>
      <c r="K730" s="415">
        <v>1</v>
      </c>
      <c r="L730" s="415">
        <v>515</v>
      </c>
      <c r="M730" s="415">
        <v>205</v>
      </c>
      <c r="N730" s="415">
        <v>816</v>
      </c>
      <c r="O730" s="415">
        <v>427</v>
      </c>
      <c r="P730" s="415" t="s">
        <v>2675</v>
      </c>
      <c r="Q730" s="415" t="s">
        <v>2675</v>
      </c>
      <c r="R730" s="415" t="s">
        <v>3069</v>
      </c>
      <c r="S730" s="415" t="s">
        <v>3245</v>
      </c>
      <c r="T730" s="416">
        <v>138</v>
      </c>
      <c r="U730" s="416">
        <v>138</v>
      </c>
      <c r="V730" s="416">
        <v>138</v>
      </c>
      <c r="W730" s="416">
        <v>138</v>
      </c>
      <c r="X730" s="416">
        <v>138</v>
      </c>
      <c r="Y730" s="416">
        <v>138</v>
      </c>
      <c r="Z730" s="416">
        <v>134</v>
      </c>
      <c r="AA730" s="416">
        <v>126</v>
      </c>
      <c r="AB730" s="416">
        <v>119</v>
      </c>
      <c r="AC730" s="416">
        <v>116</v>
      </c>
      <c r="AD730" s="416">
        <v>114</v>
      </c>
      <c r="AE730" s="416">
        <v>112</v>
      </c>
      <c r="AF730" s="416">
        <v>111</v>
      </c>
      <c r="AG730" s="416">
        <v>110</v>
      </c>
      <c r="AH730" s="416">
        <v>108</v>
      </c>
      <c r="AI730" s="416">
        <v>108</v>
      </c>
      <c r="AJ730" s="416">
        <v>107</v>
      </c>
      <c r="AK730" s="416">
        <v>106</v>
      </c>
      <c r="AL730" s="416">
        <v>105</v>
      </c>
      <c r="AM730" s="416">
        <v>99.8</v>
      </c>
      <c r="AN730" s="416">
        <v>80.3</v>
      </c>
      <c r="AO730" s="416">
        <v>65.5</v>
      </c>
      <c r="AP730" s="416">
        <v>50.4</v>
      </c>
      <c r="AQ730" s="416">
        <v>38.6</v>
      </c>
      <c r="AR730" s="416">
        <v>29.6</v>
      </c>
      <c r="AS730" s="416">
        <v>23</v>
      </c>
      <c r="AT730" s="416">
        <v>17.7</v>
      </c>
      <c r="AU730" s="416">
        <v>13.4</v>
      </c>
      <c r="AV730" s="416">
        <v>10.4</v>
      </c>
      <c r="AW730" s="416">
        <v>8.0500000000000007</v>
      </c>
      <c r="AX730" s="416">
        <v>0</v>
      </c>
      <c r="AY730" s="416">
        <v>0</v>
      </c>
      <c r="AZ730" s="416">
        <v>0</v>
      </c>
    </row>
    <row r="731" spans="1:52" s="411" customFormat="1" x14ac:dyDescent="0.3">
      <c r="A731" s="415" t="str">
        <f t="shared" si="11"/>
        <v>SA-479 Gr.316H</v>
      </c>
      <c r="B731" s="415">
        <v>725</v>
      </c>
      <c r="C731" s="415" t="s">
        <v>3200</v>
      </c>
      <c r="D731" s="415" t="s">
        <v>2677</v>
      </c>
      <c r="E731" s="415" t="s">
        <v>2245</v>
      </c>
      <c r="F731" s="415" t="s">
        <v>2268</v>
      </c>
      <c r="G731" s="415" t="s">
        <v>3239</v>
      </c>
      <c r="H731" s="415">
        <v>0</v>
      </c>
      <c r="I731" s="415">
        <v>0</v>
      </c>
      <c r="J731" s="415">
        <v>8</v>
      </c>
      <c r="K731" s="415">
        <v>1</v>
      </c>
      <c r="L731" s="415">
        <v>515</v>
      </c>
      <c r="M731" s="415">
        <v>205</v>
      </c>
      <c r="N731" s="415">
        <v>816</v>
      </c>
      <c r="O731" s="415" t="s">
        <v>2675</v>
      </c>
      <c r="P731" s="415" t="s">
        <v>2675</v>
      </c>
      <c r="Q731" s="415" t="s">
        <v>2675</v>
      </c>
      <c r="R731" s="415" t="s">
        <v>3069</v>
      </c>
      <c r="S731" s="415" t="s">
        <v>3246</v>
      </c>
      <c r="T731" s="416">
        <v>138</v>
      </c>
      <c r="U731" s="416">
        <v>138</v>
      </c>
      <c r="V731" s="416">
        <v>128</v>
      </c>
      <c r="W731" s="416">
        <v>118</v>
      </c>
      <c r="X731" s="416">
        <v>112</v>
      </c>
      <c r="Y731" s="416">
        <v>107</v>
      </c>
      <c r="Z731" s="416">
        <v>99.2</v>
      </c>
      <c r="AA731" s="416">
        <v>92.8</v>
      </c>
      <c r="AB731" s="416">
        <v>88.1</v>
      </c>
      <c r="AC731" s="416">
        <v>86.1</v>
      </c>
      <c r="AD731" s="416">
        <v>84.1</v>
      </c>
      <c r="AE731" s="416">
        <v>82.9</v>
      </c>
      <c r="AF731" s="416">
        <v>82</v>
      </c>
      <c r="AG731" s="416">
        <v>81.400000000000006</v>
      </c>
      <c r="AH731" s="416">
        <v>80.599999999999994</v>
      </c>
      <c r="AI731" s="416">
        <v>79.8</v>
      </c>
      <c r="AJ731" s="416">
        <v>79.2</v>
      </c>
      <c r="AK731" s="416">
        <v>78.7</v>
      </c>
      <c r="AL731" s="416">
        <v>77.8</v>
      </c>
      <c r="AM731" s="416">
        <v>77.099999999999994</v>
      </c>
      <c r="AN731" s="416">
        <v>75</v>
      </c>
      <c r="AO731" s="416">
        <v>65.5</v>
      </c>
      <c r="AP731" s="416">
        <v>50.4</v>
      </c>
      <c r="AQ731" s="416">
        <v>38.6</v>
      </c>
      <c r="AR731" s="416">
        <v>29.6</v>
      </c>
      <c r="AS731" s="416">
        <v>23</v>
      </c>
      <c r="AT731" s="416">
        <v>17.7</v>
      </c>
      <c r="AU731" s="416">
        <v>13.4</v>
      </c>
      <c r="AV731" s="416">
        <v>10.4</v>
      </c>
      <c r="AW731" s="416">
        <v>8.0500000000000007</v>
      </c>
      <c r="AX731" s="416">
        <v>0</v>
      </c>
      <c r="AY731" s="416">
        <v>0</v>
      </c>
      <c r="AZ731" s="416">
        <v>0</v>
      </c>
    </row>
    <row r="732" spans="1:52" s="411" customFormat="1" x14ac:dyDescent="0.3">
      <c r="A732" s="415" t="str">
        <f t="shared" si="11"/>
        <v>SA-813 Gr.TP316H</v>
      </c>
      <c r="B732" s="415">
        <v>726</v>
      </c>
      <c r="C732" s="415" t="s">
        <v>3200</v>
      </c>
      <c r="D732" s="415" t="s">
        <v>2680</v>
      </c>
      <c r="E732" s="415" t="s">
        <v>2328</v>
      </c>
      <c r="F732" s="415" t="s">
        <v>2569</v>
      </c>
      <c r="G732" s="415" t="s">
        <v>3239</v>
      </c>
      <c r="H732" s="415">
        <v>0</v>
      </c>
      <c r="I732" s="415">
        <v>0</v>
      </c>
      <c r="J732" s="415">
        <v>8</v>
      </c>
      <c r="K732" s="415">
        <v>1</v>
      </c>
      <c r="L732" s="415">
        <v>515</v>
      </c>
      <c r="M732" s="415">
        <v>205</v>
      </c>
      <c r="N732" s="415" t="s">
        <v>2675</v>
      </c>
      <c r="O732" s="415">
        <v>427</v>
      </c>
      <c r="P732" s="415" t="s">
        <v>2675</v>
      </c>
      <c r="Q732" s="415" t="s">
        <v>2675</v>
      </c>
      <c r="R732" s="415" t="s">
        <v>3069</v>
      </c>
      <c r="S732" s="415" t="s">
        <v>3208</v>
      </c>
      <c r="T732" s="416">
        <v>138</v>
      </c>
      <c r="U732" s="416">
        <v>138</v>
      </c>
      <c r="V732" s="416">
        <v>138</v>
      </c>
      <c r="W732" s="416">
        <v>138</v>
      </c>
      <c r="X732" s="416">
        <v>138</v>
      </c>
      <c r="Y732" s="416">
        <v>138</v>
      </c>
      <c r="Z732" s="416">
        <v>134</v>
      </c>
      <c r="AA732" s="416">
        <v>126</v>
      </c>
      <c r="AB732" s="416">
        <v>119</v>
      </c>
      <c r="AC732" s="416">
        <v>116</v>
      </c>
      <c r="AD732" s="416">
        <v>114</v>
      </c>
      <c r="AE732" s="416">
        <v>112</v>
      </c>
      <c r="AF732" s="416">
        <v>111</v>
      </c>
      <c r="AG732" s="416">
        <v>110</v>
      </c>
      <c r="AH732" s="416">
        <v>108</v>
      </c>
      <c r="AI732" s="416">
        <v>0</v>
      </c>
      <c r="AJ732" s="416">
        <v>0</v>
      </c>
      <c r="AK732" s="416">
        <v>0</v>
      </c>
      <c r="AL732" s="416">
        <v>0</v>
      </c>
      <c r="AM732" s="416">
        <v>0</v>
      </c>
      <c r="AN732" s="416">
        <v>0</v>
      </c>
      <c r="AO732" s="416">
        <v>0</v>
      </c>
      <c r="AP732" s="416">
        <v>0</v>
      </c>
      <c r="AQ732" s="416">
        <v>0</v>
      </c>
      <c r="AR732" s="416">
        <v>0</v>
      </c>
      <c r="AS732" s="416">
        <v>0</v>
      </c>
      <c r="AT732" s="416">
        <v>0</v>
      </c>
      <c r="AU732" s="416">
        <v>0</v>
      </c>
      <c r="AV732" s="416">
        <v>0</v>
      </c>
      <c r="AW732" s="416">
        <v>0</v>
      </c>
      <c r="AX732" s="416">
        <v>0</v>
      </c>
      <c r="AY732" s="416">
        <v>0</v>
      </c>
      <c r="AZ732" s="416">
        <v>0</v>
      </c>
    </row>
    <row r="733" spans="1:52" s="411" customFormat="1" x14ac:dyDescent="0.3">
      <c r="A733" s="415" t="str">
        <f t="shared" si="11"/>
        <v>SA-814 Gr.TP316H</v>
      </c>
      <c r="B733" s="415">
        <v>727</v>
      </c>
      <c r="C733" s="415" t="s">
        <v>3200</v>
      </c>
      <c r="D733" s="415" t="s">
        <v>2680</v>
      </c>
      <c r="E733" s="415" t="s">
        <v>2330</v>
      </c>
      <c r="F733" s="415" t="s">
        <v>2569</v>
      </c>
      <c r="G733" s="415" t="s">
        <v>3239</v>
      </c>
      <c r="H733" s="415">
        <v>0</v>
      </c>
      <c r="I733" s="415">
        <v>0</v>
      </c>
      <c r="J733" s="415">
        <v>8</v>
      </c>
      <c r="K733" s="415">
        <v>1</v>
      </c>
      <c r="L733" s="415">
        <v>515</v>
      </c>
      <c r="M733" s="415">
        <v>205</v>
      </c>
      <c r="N733" s="415" t="s">
        <v>2675</v>
      </c>
      <c r="O733" s="415">
        <v>427</v>
      </c>
      <c r="P733" s="415" t="s">
        <v>2675</v>
      </c>
      <c r="Q733" s="415" t="s">
        <v>2675</v>
      </c>
      <c r="R733" s="415" t="s">
        <v>3069</v>
      </c>
      <c r="S733" s="415" t="s">
        <v>3208</v>
      </c>
      <c r="T733" s="416">
        <v>138</v>
      </c>
      <c r="U733" s="416">
        <v>138</v>
      </c>
      <c r="V733" s="416">
        <v>138</v>
      </c>
      <c r="W733" s="416">
        <v>138</v>
      </c>
      <c r="X733" s="416">
        <v>138</v>
      </c>
      <c r="Y733" s="416">
        <v>138</v>
      </c>
      <c r="Z733" s="416">
        <v>134</v>
      </c>
      <c r="AA733" s="416">
        <v>126</v>
      </c>
      <c r="AB733" s="416">
        <v>119</v>
      </c>
      <c r="AC733" s="416">
        <v>116</v>
      </c>
      <c r="AD733" s="416">
        <v>114</v>
      </c>
      <c r="AE733" s="416">
        <v>112</v>
      </c>
      <c r="AF733" s="416">
        <v>111</v>
      </c>
      <c r="AG733" s="416">
        <v>110</v>
      </c>
      <c r="AH733" s="416">
        <v>108</v>
      </c>
      <c r="AI733" s="416">
        <v>0</v>
      </c>
      <c r="AJ733" s="416">
        <v>0</v>
      </c>
      <c r="AK733" s="416">
        <v>0</v>
      </c>
      <c r="AL733" s="416">
        <v>0</v>
      </c>
      <c r="AM733" s="416">
        <v>0</v>
      </c>
      <c r="AN733" s="416">
        <v>0</v>
      </c>
      <c r="AO733" s="416">
        <v>0</v>
      </c>
      <c r="AP733" s="416">
        <v>0</v>
      </c>
      <c r="AQ733" s="416">
        <v>0</v>
      </c>
      <c r="AR733" s="416">
        <v>0</v>
      </c>
      <c r="AS733" s="416">
        <v>0</v>
      </c>
      <c r="AT733" s="416">
        <v>0</v>
      </c>
      <c r="AU733" s="416">
        <v>0</v>
      </c>
      <c r="AV733" s="416">
        <v>0</v>
      </c>
      <c r="AW733" s="416">
        <v>0</v>
      </c>
      <c r="AX733" s="416">
        <v>0</v>
      </c>
      <c r="AY733" s="416">
        <v>0</v>
      </c>
      <c r="AZ733" s="416">
        <v>0</v>
      </c>
    </row>
    <row r="734" spans="1:52" s="411" customFormat="1" x14ac:dyDescent="0.3">
      <c r="A734" s="415" t="str">
        <f t="shared" si="11"/>
        <v>SA-240 Gr.316Cb</v>
      </c>
      <c r="B734" s="415">
        <v>728</v>
      </c>
      <c r="C734" s="415" t="s">
        <v>3247</v>
      </c>
      <c r="D734" s="415" t="s">
        <v>2684</v>
      </c>
      <c r="E734" s="415" t="s">
        <v>2165</v>
      </c>
      <c r="F734" s="415" t="s">
        <v>2266</v>
      </c>
      <c r="G734" s="415" t="s">
        <v>3248</v>
      </c>
      <c r="H734" s="415">
        <v>0</v>
      </c>
      <c r="I734" s="415">
        <v>0</v>
      </c>
      <c r="J734" s="415">
        <v>8</v>
      </c>
      <c r="K734" s="415">
        <v>1</v>
      </c>
      <c r="L734" s="415">
        <v>515</v>
      </c>
      <c r="M734" s="415">
        <v>205</v>
      </c>
      <c r="N734" s="415" t="s">
        <v>2675</v>
      </c>
      <c r="O734" s="415" t="s">
        <v>2675</v>
      </c>
      <c r="P734" s="415">
        <v>816</v>
      </c>
      <c r="Q734" s="415">
        <v>343</v>
      </c>
      <c r="R734" s="415" t="s">
        <v>3069</v>
      </c>
      <c r="S734" s="415" t="s">
        <v>3223</v>
      </c>
      <c r="T734" s="416">
        <v>138</v>
      </c>
      <c r="U734" s="416">
        <v>138</v>
      </c>
      <c r="V734" s="416">
        <v>138</v>
      </c>
      <c r="W734" s="416">
        <v>138</v>
      </c>
      <c r="X734" s="416">
        <v>138</v>
      </c>
      <c r="Y734" s="416">
        <v>138</v>
      </c>
      <c r="Z734" s="416">
        <v>134</v>
      </c>
      <c r="AA734" s="416">
        <v>125</v>
      </c>
      <c r="AB734" s="416">
        <v>117</v>
      </c>
      <c r="AC734" s="416">
        <v>116</v>
      </c>
      <c r="AD734" s="416">
        <v>114</v>
      </c>
      <c r="AE734" s="416">
        <v>112</v>
      </c>
      <c r="AF734" s="416">
        <v>111</v>
      </c>
      <c r="AG734" s="416">
        <v>110</v>
      </c>
      <c r="AH734" s="416">
        <v>109</v>
      </c>
      <c r="AI734" s="416">
        <v>108</v>
      </c>
      <c r="AJ734" s="416">
        <v>107</v>
      </c>
      <c r="AK734" s="416">
        <v>106</v>
      </c>
      <c r="AL734" s="416">
        <v>105</v>
      </c>
      <c r="AM734" s="416">
        <v>99.8</v>
      </c>
      <c r="AN734" s="416">
        <v>80.3</v>
      </c>
      <c r="AO734" s="416">
        <v>65.5</v>
      </c>
      <c r="AP734" s="416">
        <v>50.4</v>
      </c>
      <c r="AQ734" s="416">
        <v>38.6</v>
      </c>
      <c r="AR734" s="416">
        <v>29.6</v>
      </c>
      <c r="AS734" s="416">
        <v>23</v>
      </c>
      <c r="AT734" s="416">
        <v>17.7</v>
      </c>
      <c r="AU734" s="416">
        <v>13.4</v>
      </c>
      <c r="AV734" s="416">
        <v>10.4</v>
      </c>
      <c r="AW734" s="416">
        <v>8.0500000000000007</v>
      </c>
      <c r="AX734" s="416">
        <v>0</v>
      </c>
      <c r="AY734" s="416">
        <v>0</v>
      </c>
      <c r="AZ734" s="416">
        <v>0</v>
      </c>
    </row>
    <row r="735" spans="1:52" s="411" customFormat="1" x14ac:dyDescent="0.3">
      <c r="A735" s="415" t="str">
        <f t="shared" si="11"/>
        <v>SA-240 Gr.316Cb</v>
      </c>
      <c r="B735" s="415">
        <v>729</v>
      </c>
      <c r="C735" s="415" t="s">
        <v>3247</v>
      </c>
      <c r="D735" s="415" t="s">
        <v>2684</v>
      </c>
      <c r="E735" s="415" t="s">
        <v>2165</v>
      </c>
      <c r="F735" s="415" t="s">
        <v>2266</v>
      </c>
      <c r="G735" s="415" t="s">
        <v>3248</v>
      </c>
      <c r="H735" s="415">
        <v>0</v>
      </c>
      <c r="I735" s="415">
        <v>0</v>
      </c>
      <c r="J735" s="415">
        <v>8</v>
      </c>
      <c r="K735" s="415">
        <v>1</v>
      </c>
      <c r="L735" s="415">
        <v>515</v>
      </c>
      <c r="M735" s="415">
        <v>205</v>
      </c>
      <c r="N735" s="415" t="s">
        <v>2675</v>
      </c>
      <c r="O735" s="415" t="s">
        <v>2675</v>
      </c>
      <c r="P735" s="415">
        <v>816</v>
      </c>
      <c r="Q735" s="415">
        <v>343</v>
      </c>
      <c r="R735" s="415" t="s">
        <v>3069</v>
      </c>
      <c r="S735" s="415" t="s">
        <v>3224</v>
      </c>
      <c r="T735" s="416">
        <v>138</v>
      </c>
      <c r="U735" s="416">
        <v>138</v>
      </c>
      <c r="V735" s="416">
        <v>130</v>
      </c>
      <c r="W735" s="416">
        <v>120</v>
      </c>
      <c r="X735" s="416">
        <v>114</v>
      </c>
      <c r="Y735" s="416">
        <v>109</v>
      </c>
      <c r="Z735" s="416">
        <v>99.3</v>
      </c>
      <c r="AA735" s="416">
        <v>92.2</v>
      </c>
      <c r="AB735" s="416">
        <v>86.7</v>
      </c>
      <c r="AC735" s="416">
        <v>85</v>
      </c>
      <c r="AD735" s="416">
        <v>84.1</v>
      </c>
      <c r="AE735" s="416">
        <v>82.9</v>
      </c>
      <c r="AF735" s="416">
        <v>82</v>
      </c>
      <c r="AG735" s="416">
        <v>81.400000000000006</v>
      </c>
      <c r="AH735" s="416">
        <v>80.599999999999994</v>
      </c>
      <c r="AI735" s="416">
        <v>79.8</v>
      </c>
      <c r="AJ735" s="416">
        <v>79.2</v>
      </c>
      <c r="AK735" s="416">
        <v>78.7</v>
      </c>
      <c r="AL735" s="416">
        <v>77.8</v>
      </c>
      <c r="AM735" s="416">
        <v>77.099999999999994</v>
      </c>
      <c r="AN735" s="416">
        <v>75</v>
      </c>
      <c r="AO735" s="416">
        <v>65.5</v>
      </c>
      <c r="AP735" s="416">
        <v>50.4</v>
      </c>
      <c r="AQ735" s="416">
        <v>38.6</v>
      </c>
      <c r="AR735" s="416">
        <v>29.6</v>
      </c>
      <c r="AS735" s="416">
        <v>23</v>
      </c>
      <c r="AT735" s="416">
        <v>17.7</v>
      </c>
      <c r="AU735" s="416">
        <v>13.4</v>
      </c>
      <c r="AV735" s="416">
        <v>10.4</v>
      </c>
      <c r="AW735" s="416">
        <v>8.0500000000000007</v>
      </c>
      <c r="AX735" s="416">
        <v>0</v>
      </c>
      <c r="AY735" s="416">
        <v>0</v>
      </c>
      <c r="AZ735" s="416">
        <v>0</v>
      </c>
    </row>
    <row r="736" spans="1:52" s="411" customFormat="1" x14ac:dyDescent="0.3">
      <c r="A736" s="415" t="str">
        <f t="shared" si="11"/>
        <v>SA-182 Gr.F316LN</v>
      </c>
      <c r="B736" s="415">
        <v>730</v>
      </c>
      <c r="C736" s="415" t="s">
        <v>3249</v>
      </c>
      <c r="D736" s="415" t="s">
        <v>2737</v>
      </c>
      <c r="E736" s="415" t="s">
        <v>2188</v>
      </c>
      <c r="F736" s="415" t="s">
        <v>2441</v>
      </c>
      <c r="G736" s="415" t="s">
        <v>3250</v>
      </c>
      <c r="H736" s="415">
        <v>0</v>
      </c>
      <c r="I736" s="415" t="s">
        <v>3202</v>
      </c>
      <c r="J736" s="415">
        <v>8</v>
      </c>
      <c r="K736" s="415">
        <v>1</v>
      </c>
      <c r="L736" s="415">
        <v>485</v>
      </c>
      <c r="M736" s="415">
        <v>205</v>
      </c>
      <c r="N736" s="415" t="s">
        <v>2675</v>
      </c>
      <c r="O736" s="415">
        <v>427</v>
      </c>
      <c r="P736" s="415" t="s">
        <v>2675</v>
      </c>
      <c r="Q736" s="415" t="s">
        <v>2675</v>
      </c>
      <c r="R736" s="415" t="s">
        <v>3069</v>
      </c>
      <c r="S736" s="415" t="s">
        <v>3189</v>
      </c>
      <c r="T736" s="416">
        <v>138</v>
      </c>
      <c r="U736" s="416">
        <v>138</v>
      </c>
      <c r="V736" s="416">
        <v>138</v>
      </c>
      <c r="W736" s="416">
        <v>138</v>
      </c>
      <c r="X736" s="416">
        <v>134</v>
      </c>
      <c r="Y736" s="416">
        <v>130</v>
      </c>
      <c r="Z736" s="416">
        <v>124</v>
      </c>
      <c r="AA736" s="416">
        <v>119</v>
      </c>
      <c r="AB736" s="416">
        <v>115</v>
      </c>
      <c r="AC736" s="416">
        <v>113</v>
      </c>
      <c r="AD736" s="416">
        <v>110</v>
      </c>
      <c r="AE736" s="416">
        <v>107</v>
      </c>
      <c r="AF736" s="416">
        <v>105</v>
      </c>
      <c r="AG736" s="416">
        <v>102</v>
      </c>
      <c r="AH736" s="416">
        <v>99.7</v>
      </c>
      <c r="AI736" s="416">
        <v>0</v>
      </c>
      <c r="AJ736" s="416">
        <v>0</v>
      </c>
      <c r="AK736" s="416">
        <v>0</v>
      </c>
      <c r="AL736" s="416">
        <v>0</v>
      </c>
      <c r="AM736" s="416">
        <v>0</v>
      </c>
      <c r="AN736" s="416">
        <v>0</v>
      </c>
      <c r="AO736" s="416">
        <v>0</v>
      </c>
      <c r="AP736" s="416">
        <v>0</v>
      </c>
      <c r="AQ736" s="416">
        <v>0</v>
      </c>
      <c r="AR736" s="416">
        <v>0</v>
      </c>
      <c r="AS736" s="416">
        <v>0</v>
      </c>
      <c r="AT736" s="416">
        <v>0</v>
      </c>
      <c r="AU736" s="416">
        <v>0</v>
      </c>
      <c r="AV736" s="416">
        <v>0</v>
      </c>
      <c r="AW736" s="416">
        <v>0</v>
      </c>
      <c r="AX736" s="416">
        <v>0</v>
      </c>
      <c r="AY736" s="416">
        <v>0</v>
      </c>
      <c r="AZ736" s="416">
        <v>0</v>
      </c>
    </row>
    <row r="737" spans="1:52" s="411" customFormat="1" x14ac:dyDescent="0.3">
      <c r="A737" s="415" t="str">
        <f t="shared" si="11"/>
        <v>SA-965 Gr.F316LN</v>
      </c>
      <c r="B737" s="415">
        <v>731</v>
      </c>
      <c r="C737" s="415" t="s">
        <v>3249</v>
      </c>
      <c r="D737" s="415" t="s">
        <v>2737</v>
      </c>
      <c r="E737" s="415" t="s">
        <v>2337</v>
      </c>
      <c r="F737" s="415" t="s">
        <v>2441</v>
      </c>
      <c r="G737" s="415" t="s">
        <v>3250</v>
      </c>
      <c r="H737" s="415">
        <v>0</v>
      </c>
      <c r="I737" s="415">
        <v>0</v>
      </c>
      <c r="J737" s="415">
        <v>8</v>
      </c>
      <c r="K737" s="415">
        <v>1</v>
      </c>
      <c r="L737" s="415">
        <v>485</v>
      </c>
      <c r="M737" s="415">
        <v>205</v>
      </c>
      <c r="N737" s="415" t="s">
        <v>2675</v>
      </c>
      <c r="O737" s="415">
        <v>427</v>
      </c>
      <c r="P737" s="415" t="s">
        <v>2675</v>
      </c>
      <c r="Q737" s="415" t="s">
        <v>2675</v>
      </c>
      <c r="R737" s="415" t="s">
        <v>3069</v>
      </c>
      <c r="S737" s="415" t="s">
        <v>3189</v>
      </c>
      <c r="T737" s="416">
        <v>138</v>
      </c>
      <c r="U737" s="416">
        <v>138</v>
      </c>
      <c r="V737" s="416">
        <v>138</v>
      </c>
      <c r="W737" s="416">
        <v>138</v>
      </c>
      <c r="X737" s="416">
        <v>134</v>
      </c>
      <c r="Y737" s="416">
        <v>130</v>
      </c>
      <c r="Z737" s="416">
        <v>124</v>
      </c>
      <c r="AA737" s="416">
        <v>119</v>
      </c>
      <c r="AB737" s="416">
        <v>115</v>
      </c>
      <c r="AC737" s="416">
        <v>113</v>
      </c>
      <c r="AD737" s="416">
        <v>110</v>
      </c>
      <c r="AE737" s="416">
        <v>107</v>
      </c>
      <c r="AF737" s="416">
        <v>105</v>
      </c>
      <c r="AG737" s="416">
        <v>102</v>
      </c>
      <c r="AH737" s="416">
        <v>99.7</v>
      </c>
      <c r="AI737" s="416">
        <v>0</v>
      </c>
      <c r="AJ737" s="416">
        <v>0</v>
      </c>
      <c r="AK737" s="416">
        <v>0</v>
      </c>
      <c r="AL737" s="416">
        <v>0</v>
      </c>
      <c r="AM737" s="416">
        <v>0</v>
      </c>
      <c r="AN737" s="416">
        <v>0</v>
      </c>
      <c r="AO737" s="416">
        <v>0</v>
      </c>
      <c r="AP737" s="416">
        <v>0</v>
      </c>
      <c r="AQ737" s="416">
        <v>0</v>
      </c>
      <c r="AR737" s="416">
        <v>0</v>
      </c>
      <c r="AS737" s="416">
        <v>0</v>
      </c>
      <c r="AT737" s="416">
        <v>0</v>
      </c>
      <c r="AU737" s="416">
        <v>0</v>
      </c>
      <c r="AV737" s="416">
        <v>0</v>
      </c>
      <c r="AW737" s="416">
        <v>0</v>
      </c>
      <c r="AX737" s="416">
        <v>0</v>
      </c>
      <c r="AY737" s="416">
        <v>0</v>
      </c>
      <c r="AZ737" s="416">
        <v>0</v>
      </c>
    </row>
    <row r="738" spans="1:52" s="411" customFormat="1" x14ac:dyDescent="0.3">
      <c r="A738" s="415" t="str">
        <f t="shared" si="11"/>
        <v>SA-182 Gr.F316LN</v>
      </c>
      <c r="B738" s="415">
        <v>732</v>
      </c>
      <c r="C738" s="415" t="s">
        <v>3249</v>
      </c>
      <c r="D738" s="415" t="s">
        <v>2737</v>
      </c>
      <c r="E738" s="415" t="s">
        <v>2188</v>
      </c>
      <c r="F738" s="415" t="s">
        <v>2441</v>
      </c>
      <c r="G738" s="415" t="s">
        <v>3250</v>
      </c>
      <c r="H738" s="415">
        <v>0</v>
      </c>
      <c r="I738" s="415" t="s">
        <v>3207</v>
      </c>
      <c r="J738" s="415">
        <v>8</v>
      </c>
      <c r="K738" s="415">
        <v>1</v>
      </c>
      <c r="L738" s="415">
        <v>515</v>
      </c>
      <c r="M738" s="415">
        <v>205</v>
      </c>
      <c r="N738" s="415" t="s">
        <v>2675</v>
      </c>
      <c r="O738" s="415">
        <v>427</v>
      </c>
      <c r="P738" s="415" t="s">
        <v>2675</v>
      </c>
      <c r="Q738" s="415" t="s">
        <v>2675</v>
      </c>
      <c r="R738" s="415" t="s">
        <v>3069</v>
      </c>
      <c r="S738" s="415" t="s">
        <v>3189</v>
      </c>
      <c r="T738" s="416">
        <v>138</v>
      </c>
      <c r="U738" s="416">
        <v>138</v>
      </c>
      <c r="V738" s="416">
        <v>138</v>
      </c>
      <c r="W738" s="416">
        <v>138</v>
      </c>
      <c r="X738" s="416">
        <v>138</v>
      </c>
      <c r="Y738" s="416">
        <v>138</v>
      </c>
      <c r="Z738" s="416">
        <v>131</v>
      </c>
      <c r="AA738" s="416">
        <v>122</v>
      </c>
      <c r="AB738" s="416">
        <v>116</v>
      </c>
      <c r="AC738" s="416">
        <v>113</v>
      </c>
      <c r="AD738" s="416">
        <v>110</v>
      </c>
      <c r="AE738" s="416">
        <v>107</v>
      </c>
      <c r="AF738" s="416">
        <v>105</v>
      </c>
      <c r="AG738" s="416">
        <v>102</v>
      </c>
      <c r="AH738" s="416">
        <v>99.7</v>
      </c>
      <c r="AI738" s="416">
        <v>0</v>
      </c>
      <c r="AJ738" s="416">
        <v>0</v>
      </c>
      <c r="AK738" s="416">
        <v>0</v>
      </c>
      <c r="AL738" s="416">
        <v>0</v>
      </c>
      <c r="AM738" s="416">
        <v>0</v>
      </c>
      <c r="AN738" s="416">
        <v>0</v>
      </c>
      <c r="AO738" s="416">
        <v>0</v>
      </c>
      <c r="AP738" s="416">
        <v>0</v>
      </c>
      <c r="AQ738" s="416">
        <v>0</v>
      </c>
      <c r="AR738" s="416">
        <v>0</v>
      </c>
      <c r="AS738" s="416">
        <v>0</v>
      </c>
      <c r="AT738" s="416">
        <v>0</v>
      </c>
      <c r="AU738" s="416">
        <v>0</v>
      </c>
      <c r="AV738" s="416">
        <v>0</v>
      </c>
      <c r="AW738" s="416">
        <v>0</v>
      </c>
      <c r="AX738" s="416">
        <v>0</v>
      </c>
      <c r="AY738" s="416">
        <v>0</v>
      </c>
      <c r="AZ738" s="416">
        <v>0</v>
      </c>
    </row>
    <row r="739" spans="1:52" s="411" customFormat="1" x14ac:dyDescent="0.3">
      <c r="A739" s="415" t="str">
        <f t="shared" si="11"/>
        <v>SA-213 Gr.TP316LN</v>
      </c>
      <c r="B739" s="415">
        <v>733</v>
      </c>
      <c r="C739" s="415" t="s">
        <v>3249</v>
      </c>
      <c r="D739" s="415" t="s">
        <v>2693</v>
      </c>
      <c r="E739" s="415" t="s">
        <v>2195</v>
      </c>
      <c r="F739" s="415" t="s">
        <v>2571</v>
      </c>
      <c r="G739" s="415" t="s">
        <v>3250</v>
      </c>
      <c r="H739" s="415">
        <v>0</v>
      </c>
      <c r="I739" s="415">
        <v>0</v>
      </c>
      <c r="J739" s="415">
        <v>8</v>
      </c>
      <c r="K739" s="415">
        <v>1</v>
      </c>
      <c r="L739" s="415">
        <v>515</v>
      </c>
      <c r="M739" s="415">
        <v>205</v>
      </c>
      <c r="N739" s="415" t="s">
        <v>2675</v>
      </c>
      <c r="O739" s="415">
        <v>427</v>
      </c>
      <c r="P739" s="415" t="s">
        <v>2675</v>
      </c>
      <c r="Q739" s="415" t="s">
        <v>2675</v>
      </c>
      <c r="R739" s="415" t="s">
        <v>3069</v>
      </c>
      <c r="S739" s="415" t="s">
        <v>3189</v>
      </c>
      <c r="T739" s="416">
        <v>138</v>
      </c>
      <c r="U739" s="416">
        <v>138</v>
      </c>
      <c r="V739" s="416">
        <v>138</v>
      </c>
      <c r="W739" s="416">
        <v>138</v>
      </c>
      <c r="X739" s="416">
        <v>138</v>
      </c>
      <c r="Y739" s="416">
        <v>138</v>
      </c>
      <c r="Z739" s="416">
        <v>131</v>
      </c>
      <c r="AA739" s="416">
        <v>122</v>
      </c>
      <c r="AB739" s="416">
        <v>116</v>
      </c>
      <c r="AC739" s="416">
        <v>113</v>
      </c>
      <c r="AD739" s="416">
        <v>110</v>
      </c>
      <c r="AE739" s="416">
        <v>107</v>
      </c>
      <c r="AF739" s="416">
        <v>105</v>
      </c>
      <c r="AG739" s="416">
        <v>102</v>
      </c>
      <c r="AH739" s="416">
        <v>99.7</v>
      </c>
      <c r="AI739" s="416">
        <v>0</v>
      </c>
      <c r="AJ739" s="416">
        <v>0</v>
      </c>
      <c r="AK739" s="416">
        <v>0</v>
      </c>
      <c r="AL739" s="416">
        <v>0</v>
      </c>
      <c r="AM739" s="416">
        <v>0</v>
      </c>
      <c r="AN739" s="416">
        <v>0</v>
      </c>
      <c r="AO739" s="416">
        <v>0</v>
      </c>
      <c r="AP739" s="416">
        <v>0</v>
      </c>
      <c r="AQ739" s="416">
        <v>0</v>
      </c>
      <c r="AR739" s="416">
        <v>0</v>
      </c>
      <c r="AS739" s="416">
        <v>0</v>
      </c>
      <c r="AT739" s="416">
        <v>0</v>
      </c>
      <c r="AU739" s="416">
        <v>0</v>
      </c>
      <c r="AV739" s="416">
        <v>0</v>
      </c>
      <c r="AW739" s="416">
        <v>0</v>
      </c>
      <c r="AX739" s="416">
        <v>0</v>
      </c>
      <c r="AY739" s="416">
        <v>0</v>
      </c>
      <c r="AZ739" s="416">
        <v>0</v>
      </c>
    </row>
    <row r="740" spans="1:52" s="411" customFormat="1" x14ac:dyDescent="0.3">
      <c r="A740" s="415" t="str">
        <f t="shared" si="11"/>
        <v>SA-240 Gr.316LN</v>
      </c>
      <c r="B740" s="415">
        <v>734</v>
      </c>
      <c r="C740" s="415" t="s">
        <v>3249</v>
      </c>
      <c r="D740" s="415" t="s">
        <v>2684</v>
      </c>
      <c r="E740" s="415" t="s">
        <v>2165</v>
      </c>
      <c r="F740" s="415" t="s">
        <v>2271</v>
      </c>
      <c r="G740" s="415" t="s">
        <v>3250</v>
      </c>
      <c r="H740" s="415">
        <v>0</v>
      </c>
      <c r="I740" s="415">
        <v>0</v>
      </c>
      <c r="J740" s="415">
        <v>8</v>
      </c>
      <c r="K740" s="415">
        <v>1</v>
      </c>
      <c r="L740" s="415">
        <v>515</v>
      </c>
      <c r="M740" s="415">
        <v>205</v>
      </c>
      <c r="N740" s="415" t="s">
        <v>2675</v>
      </c>
      <c r="O740" s="415">
        <v>427</v>
      </c>
      <c r="P740" s="415" t="s">
        <v>2675</v>
      </c>
      <c r="Q740" s="415" t="s">
        <v>2675</v>
      </c>
      <c r="R740" s="415" t="s">
        <v>3069</v>
      </c>
      <c r="S740" s="415" t="s">
        <v>3189</v>
      </c>
      <c r="T740" s="416">
        <v>138</v>
      </c>
      <c r="U740" s="416">
        <v>138</v>
      </c>
      <c r="V740" s="416">
        <v>138</v>
      </c>
      <c r="W740" s="416">
        <v>138</v>
      </c>
      <c r="X740" s="416">
        <v>138</v>
      </c>
      <c r="Y740" s="416">
        <v>138</v>
      </c>
      <c r="Z740" s="416">
        <v>131</v>
      </c>
      <c r="AA740" s="416">
        <v>122</v>
      </c>
      <c r="AB740" s="416">
        <v>116</v>
      </c>
      <c r="AC740" s="416">
        <v>113</v>
      </c>
      <c r="AD740" s="416">
        <v>110</v>
      </c>
      <c r="AE740" s="416">
        <v>107</v>
      </c>
      <c r="AF740" s="416">
        <v>105</v>
      </c>
      <c r="AG740" s="416">
        <v>102</v>
      </c>
      <c r="AH740" s="416">
        <v>99.7</v>
      </c>
      <c r="AI740" s="416">
        <v>0</v>
      </c>
      <c r="AJ740" s="416">
        <v>0</v>
      </c>
      <c r="AK740" s="416">
        <v>0</v>
      </c>
      <c r="AL740" s="416">
        <v>0</v>
      </c>
      <c r="AM740" s="416">
        <v>0</v>
      </c>
      <c r="AN740" s="416">
        <v>0</v>
      </c>
      <c r="AO740" s="416">
        <v>0</v>
      </c>
      <c r="AP740" s="416">
        <v>0</v>
      </c>
      <c r="AQ740" s="416">
        <v>0</v>
      </c>
      <c r="AR740" s="416">
        <v>0</v>
      </c>
      <c r="AS740" s="416">
        <v>0</v>
      </c>
      <c r="AT740" s="416">
        <v>0</v>
      </c>
      <c r="AU740" s="416">
        <v>0</v>
      </c>
      <c r="AV740" s="416">
        <v>0</v>
      </c>
      <c r="AW740" s="416">
        <v>0</v>
      </c>
      <c r="AX740" s="416">
        <v>0</v>
      </c>
      <c r="AY740" s="416">
        <v>0</v>
      </c>
      <c r="AZ740" s="416">
        <v>0</v>
      </c>
    </row>
    <row r="741" spans="1:52" s="411" customFormat="1" x14ac:dyDescent="0.3">
      <c r="A741" s="415" t="str">
        <f t="shared" si="11"/>
        <v>SA-249 Gr.TP316LN</v>
      </c>
      <c r="B741" s="415">
        <v>735</v>
      </c>
      <c r="C741" s="415" t="s">
        <v>3249</v>
      </c>
      <c r="D741" s="415" t="s">
        <v>2689</v>
      </c>
      <c r="E741" s="415" t="s">
        <v>2200</v>
      </c>
      <c r="F741" s="415" t="s">
        <v>2571</v>
      </c>
      <c r="G741" s="415" t="s">
        <v>3250</v>
      </c>
      <c r="H741" s="415">
        <v>0</v>
      </c>
      <c r="I741" s="415">
        <v>0</v>
      </c>
      <c r="J741" s="415">
        <v>8</v>
      </c>
      <c r="K741" s="415">
        <v>1</v>
      </c>
      <c r="L741" s="415">
        <v>515</v>
      </c>
      <c r="M741" s="415">
        <v>205</v>
      </c>
      <c r="N741" s="415" t="s">
        <v>2675</v>
      </c>
      <c r="O741" s="415">
        <v>427</v>
      </c>
      <c r="P741" s="415" t="s">
        <v>2675</v>
      </c>
      <c r="Q741" s="415" t="s">
        <v>2675</v>
      </c>
      <c r="R741" s="415" t="s">
        <v>3069</v>
      </c>
      <c r="S741" s="415" t="s">
        <v>3208</v>
      </c>
      <c r="T741" s="416">
        <v>138</v>
      </c>
      <c r="U741" s="416">
        <v>138</v>
      </c>
      <c r="V741" s="416">
        <v>138</v>
      </c>
      <c r="W741" s="416">
        <v>138</v>
      </c>
      <c r="X741" s="416">
        <v>138</v>
      </c>
      <c r="Y741" s="416">
        <v>138</v>
      </c>
      <c r="Z741" s="416">
        <v>131</v>
      </c>
      <c r="AA741" s="416">
        <v>122</v>
      </c>
      <c r="AB741" s="416">
        <v>116</v>
      </c>
      <c r="AC741" s="416">
        <v>113</v>
      </c>
      <c r="AD741" s="416">
        <v>110</v>
      </c>
      <c r="AE741" s="416">
        <v>107</v>
      </c>
      <c r="AF741" s="416">
        <v>105</v>
      </c>
      <c r="AG741" s="416">
        <v>102</v>
      </c>
      <c r="AH741" s="416">
        <v>99.7</v>
      </c>
      <c r="AI741" s="416">
        <v>0</v>
      </c>
      <c r="AJ741" s="416">
        <v>0</v>
      </c>
      <c r="AK741" s="416">
        <v>0</v>
      </c>
      <c r="AL741" s="416">
        <v>0</v>
      </c>
      <c r="AM741" s="416">
        <v>0</v>
      </c>
      <c r="AN741" s="416">
        <v>0</v>
      </c>
      <c r="AO741" s="416">
        <v>0</v>
      </c>
      <c r="AP741" s="416">
        <v>0</v>
      </c>
      <c r="AQ741" s="416">
        <v>0</v>
      </c>
      <c r="AR741" s="416">
        <v>0</v>
      </c>
      <c r="AS741" s="416">
        <v>0</v>
      </c>
      <c r="AT741" s="416">
        <v>0</v>
      </c>
      <c r="AU741" s="416">
        <v>0</v>
      </c>
      <c r="AV741" s="416">
        <v>0</v>
      </c>
      <c r="AW741" s="416">
        <v>0</v>
      </c>
      <c r="AX741" s="416">
        <v>0</v>
      </c>
      <c r="AY741" s="416">
        <v>0</v>
      </c>
      <c r="AZ741" s="416">
        <v>0</v>
      </c>
    </row>
    <row r="742" spans="1:52" s="411" customFormat="1" x14ac:dyDescent="0.3">
      <c r="A742" s="415" t="str">
        <f t="shared" si="11"/>
        <v>SA-312 Gr.TP316LN</v>
      </c>
      <c r="B742" s="415">
        <v>736</v>
      </c>
      <c r="C742" s="415" t="s">
        <v>3249</v>
      </c>
      <c r="D742" s="415" t="s">
        <v>2720</v>
      </c>
      <c r="E742" s="415" t="s">
        <v>2208</v>
      </c>
      <c r="F742" s="415" t="s">
        <v>2571</v>
      </c>
      <c r="G742" s="415" t="s">
        <v>3250</v>
      </c>
      <c r="H742" s="415">
        <v>0</v>
      </c>
      <c r="I742" s="415">
        <v>0</v>
      </c>
      <c r="J742" s="415">
        <v>8</v>
      </c>
      <c r="K742" s="415">
        <v>1</v>
      </c>
      <c r="L742" s="415">
        <v>515</v>
      </c>
      <c r="M742" s="415">
        <v>205</v>
      </c>
      <c r="N742" s="415" t="s">
        <v>2675</v>
      </c>
      <c r="O742" s="415">
        <v>427</v>
      </c>
      <c r="P742" s="415" t="s">
        <v>2675</v>
      </c>
      <c r="Q742" s="415" t="s">
        <v>2675</v>
      </c>
      <c r="R742" s="415" t="s">
        <v>3069</v>
      </c>
      <c r="S742" s="415" t="s">
        <v>3208</v>
      </c>
      <c r="T742" s="416">
        <v>138</v>
      </c>
      <c r="U742" s="416">
        <v>138</v>
      </c>
      <c r="V742" s="416">
        <v>138</v>
      </c>
      <c r="W742" s="416">
        <v>138</v>
      </c>
      <c r="X742" s="416">
        <v>138</v>
      </c>
      <c r="Y742" s="416">
        <v>138</v>
      </c>
      <c r="Z742" s="416">
        <v>131</v>
      </c>
      <c r="AA742" s="416">
        <v>122</v>
      </c>
      <c r="AB742" s="416">
        <v>116</v>
      </c>
      <c r="AC742" s="416">
        <v>113</v>
      </c>
      <c r="AD742" s="416">
        <v>110</v>
      </c>
      <c r="AE742" s="416">
        <v>107</v>
      </c>
      <c r="AF742" s="416">
        <v>105</v>
      </c>
      <c r="AG742" s="416">
        <v>102</v>
      </c>
      <c r="AH742" s="416">
        <v>99.7</v>
      </c>
      <c r="AI742" s="416">
        <v>0</v>
      </c>
      <c r="AJ742" s="416">
        <v>0</v>
      </c>
      <c r="AK742" s="416">
        <v>0</v>
      </c>
      <c r="AL742" s="416">
        <v>0</v>
      </c>
      <c r="AM742" s="416">
        <v>0</v>
      </c>
      <c r="AN742" s="416">
        <v>0</v>
      </c>
      <c r="AO742" s="416">
        <v>0</v>
      </c>
      <c r="AP742" s="416">
        <v>0</v>
      </c>
      <c r="AQ742" s="416">
        <v>0</v>
      </c>
      <c r="AR742" s="416">
        <v>0</v>
      </c>
      <c r="AS742" s="416">
        <v>0</v>
      </c>
      <c r="AT742" s="416">
        <v>0</v>
      </c>
      <c r="AU742" s="416">
        <v>0</v>
      </c>
      <c r="AV742" s="416">
        <v>0</v>
      </c>
      <c r="AW742" s="416">
        <v>0</v>
      </c>
      <c r="AX742" s="416">
        <v>0</v>
      </c>
      <c r="AY742" s="416">
        <v>0</v>
      </c>
      <c r="AZ742" s="416">
        <v>0</v>
      </c>
    </row>
    <row r="743" spans="1:52" s="411" customFormat="1" x14ac:dyDescent="0.3">
      <c r="A743" s="415" t="str">
        <f t="shared" si="11"/>
        <v>SA-358 Gr.316LN</v>
      </c>
      <c r="B743" s="415">
        <v>737</v>
      </c>
      <c r="C743" s="415" t="s">
        <v>3249</v>
      </c>
      <c r="D743" s="415" t="s">
        <v>2680</v>
      </c>
      <c r="E743" s="415" t="s">
        <v>2217</v>
      </c>
      <c r="F743" s="415" t="s">
        <v>2271</v>
      </c>
      <c r="G743" s="415" t="s">
        <v>3250</v>
      </c>
      <c r="H743" s="415">
        <v>1</v>
      </c>
      <c r="I743" s="415">
        <v>0</v>
      </c>
      <c r="J743" s="415">
        <v>8</v>
      </c>
      <c r="K743" s="415">
        <v>1</v>
      </c>
      <c r="L743" s="415">
        <v>515</v>
      </c>
      <c r="M743" s="415">
        <v>205</v>
      </c>
      <c r="N743" s="415" t="s">
        <v>2675</v>
      </c>
      <c r="O743" s="415">
        <v>427</v>
      </c>
      <c r="P743" s="415" t="s">
        <v>2675</v>
      </c>
      <c r="Q743" s="415" t="s">
        <v>2675</v>
      </c>
      <c r="R743" s="415" t="s">
        <v>3069</v>
      </c>
      <c r="S743" s="415" t="s">
        <v>3208</v>
      </c>
      <c r="T743" s="416">
        <v>138</v>
      </c>
      <c r="U743" s="416">
        <v>138</v>
      </c>
      <c r="V743" s="416">
        <v>138</v>
      </c>
      <c r="W743" s="416">
        <v>138</v>
      </c>
      <c r="X743" s="416">
        <v>138</v>
      </c>
      <c r="Y743" s="416">
        <v>138</v>
      </c>
      <c r="Z743" s="416">
        <v>131</v>
      </c>
      <c r="AA743" s="416">
        <v>122</v>
      </c>
      <c r="AB743" s="416">
        <v>116</v>
      </c>
      <c r="AC743" s="416">
        <v>113</v>
      </c>
      <c r="AD743" s="416">
        <v>110</v>
      </c>
      <c r="AE743" s="416">
        <v>107</v>
      </c>
      <c r="AF743" s="416">
        <v>105</v>
      </c>
      <c r="AG743" s="416">
        <v>102</v>
      </c>
      <c r="AH743" s="416">
        <v>99.7</v>
      </c>
      <c r="AI743" s="416">
        <v>0</v>
      </c>
      <c r="AJ743" s="416">
        <v>0</v>
      </c>
      <c r="AK743" s="416">
        <v>0</v>
      </c>
      <c r="AL743" s="416">
        <v>0</v>
      </c>
      <c r="AM743" s="416">
        <v>0</v>
      </c>
      <c r="AN743" s="416">
        <v>0</v>
      </c>
      <c r="AO743" s="416">
        <v>0</v>
      </c>
      <c r="AP743" s="416">
        <v>0</v>
      </c>
      <c r="AQ743" s="416">
        <v>0</v>
      </c>
      <c r="AR743" s="416">
        <v>0</v>
      </c>
      <c r="AS743" s="416">
        <v>0</v>
      </c>
      <c r="AT743" s="416">
        <v>0</v>
      </c>
      <c r="AU743" s="416">
        <v>0</v>
      </c>
      <c r="AV743" s="416">
        <v>0</v>
      </c>
      <c r="AW743" s="416">
        <v>0</v>
      </c>
      <c r="AX743" s="416">
        <v>0</v>
      </c>
      <c r="AY743" s="416">
        <v>0</v>
      </c>
      <c r="AZ743" s="416">
        <v>0</v>
      </c>
    </row>
    <row r="744" spans="1:52" s="411" customFormat="1" x14ac:dyDescent="0.3">
      <c r="A744" s="415" t="str">
        <f t="shared" si="11"/>
        <v>SA-376 Gr.TP316LN</v>
      </c>
      <c r="B744" s="415">
        <v>738</v>
      </c>
      <c r="C744" s="415" t="s">
        <v>3249</v>
      </c>
      <c r="D744" s="415" t="s">
        <v>2703</v>
      </c>
      <c r="E744" s="415" t="s">
        <v>2225</v>
      </c>
      <c r="F744" s="415" t="s">
        <v>2571</v>
      </c>
      <c r="G744" s="415" t="s">
        <v>3250</v>
      </c>
      <c r="H744" s="415">
        <v>0</v>
      </c>
      <c r="I744" s="415">
        <v>0</v>
      </c>
      <c r="J744" s="415">
        <v>8</v>
      </c>
      <c r="K744" s="415">
        <v>1</v>
      </c>
      <c r="L744" s="415">
        <v>515</v>
      </c>
      <c r="M744" s="415">
        <v>205</v>
      </c>
      <c r="N744" s="415" t="s">
        <v>2675</v>
      </c>
      <c r="O744" s="415">
        <v>427</v>
      </c>
      <c r="P744" s="415" t="s">
        <v>2675</v>
      </c>
      <c r="Q744" s="415" t="s">
        <v>2675</v>
      </c>
      <c r="R744" s="415" t="s">
        <v>3069</v>
      </c>
      <c r="S744" s="415" t="s">
        <v>3189</v>
      </c>
      <c r="T744" s="416">
        <v>138</v>
      </c>
      <c r="U744" s="416">
        <v>138</v>
      </c>
      <c r="V744" s="416">
        <v>138</v>
      </c>
      <c r="W744" s="416">
        <v>138</v>
      </c>
      <c r="X744" s="416">
        <v>138</v>
      </c>
      <c r="Y744" s="416">
        <v>138</v>
      </c>
      <c r="Z744" s="416">
        <v>131</v>
      </c>
      <c r="AA744" s="416">
        <v>122</v>
      </c>
      <c r="AB744" s="416">
        <v>116</v>
      </c>
      <c r="AC744" s="416">
        <v>113</v>
      </c>
      <c r="AD744" s="416">
        <v>110</v>
      </c>
      <c r="AE744" s="416">
        <v>107</v>
      </c>
      <c r="AF744" s="416">
        <v>105</v>
      </c>
      <c r="AG744" s="416">
        <v>102</v>
      </c>
      <c r="AH744" s="416">
        <v>99.7</v>
      </c>
      <c r="AI744" s="416">
        <v>0</v>
      </c>
      <c r="AJ744" s="416">
        <v>0</v>
      </c>
      <c r="AK744" s="416">
        <v>0</v>
      </c>
      <c r="AL744" s="416">
        <v>0</v>
      </c>
      <c r="AM744" s="416">
        <v>0</v>
      </c>
      <c r="AN744" s="416">
        <v>0</v>
      </c>
      <c r="AO744" s="416">
        <v>0</v>
      </c>
      <c r="AP744" s="416">
        <v>0</v>
      </c>
      <c r="AQ744" s="416">
        <v>0</v>
      </c>
      <c r="AR744" s="416">
        <v>0</v>
      </c>
      <c r="AS744" s="416">
        <v>0</v>
      </c>
      <c r="AT744" s="416">
        <v>0</v>
      </c>
      <c r="AU744" s="416">
        <v>0</v>
      </c>
      <c r="AV744" s="416">
        <v>0</v>
      </c>
      <c r="AW744" s="416">
        <v>0</v>
      </c>
      <c r="AX744" s="416">
        <v>0</v>
      </c>
      <c r="AY744" s="416">
        <v>0</v>
      </c>
      <c r="AZ744" s="416">
        <v>0</v>
      </c>
    </row>
    <row r="745" spans="1:52" s="411" customFormat="1" x14ac:dyDescent="0.3">
      <c r="A745" s="415" t="str">
        <f t="shared" si="11"/>
        <v>SA-403 Gr.316LN</v>
      </c>
      <c r="B745" s="415">
        <v>739</v>
      </c>
      <c r="C745" s="415" t="s">
        <v>3249</v>
      </c>
      <c r="D745" s="415" t="s">
        <v>913</v>
      </c>
      <c r="E745" s="415" t="s">
        <v>2229</v>
      </c>
      <c r="F745" s="415" t="s">
        <v>2271</v>
      </c>
      <c r="G745" s="415" t="s">
        <v>3250</v>
      </c>
      <c r="H745" s="415">
        <v>0</v>
      </c>
      <c r="I745" s="415">
        <v>0</v>
      </c>
      <c r="J745" s="415">
        <v>8</v>
      </c>
      <c r="K745" s="415">
        <v>1</v>
      </c>
      <c r="L745" s="415">
        <v>515</v>
      </c>
      <c r="M745" s="415">
        <v>205</v>
      </c>
      <c r="N745" s="415" t="s">
        <v>2675</v>
      </c>
      <c r="O745" s="415">
        <v>427</v>
      </c>
      <c r="P745" s="415" t="s">
        <v>2675</v>
      </c>
      <c r="Q745" s="415" t="s">
        <v>2675</v>
      </c>
      <c r="R745" s="415" t="s">
        <v>3069</v>
      </c>
      <c r="S745" s="415" t="s">
        <v>3208</v>
      </c>
      <c r="T745" s="416">
        <v>138</v>
      </c>
      <c r="U745" s="416">
        <v>138</v>
      </c>
      <c r="V745" s="416">
        <v>138</v>
      </c>
      <c r="W745" s="416">
        <v>138</v>
      </c>
      <c r="X745" s="416">
        <v>138</v>
      </c>
      <c r="Y745" s="416">
        <v>138</v>
      </c>
      <c r="Z745" s="416">
        <v>131</v>
      </c>
      <c r="AA745" s="416">
        <v>122</v>
      </c>
      <c r="AB745" s="416">
        <v>116</v>
      </c>
      <c r="AC745" s="416">
        <v>113</v>
      </c>
      <c r="AD745" s="416">
        <v>110</v>
      </c>
      <c r="AE745" s="416">
        <v>107</v>
      </c>
      <c r="AF745" s="416">
        <v>105</v>
      </c>
      <c r="AG745" s="416">
        <v>102</v>
      </c>
      <c r="AH745" s="416">
        <v>99.7</v>
      </c>
      <c r="AI745" s="416">
        <v>0</v>
      </c>
      <c r="AJ745" s="416">
        <v>0</v>
      </c>
      <c r="AK745" s="416">
        <v>0</v>
      </c>
      <c r="AL745" s="416">
        <v>0</v>
      </c>
      <c r="AM745" s="416">
        <v>0</v>
      </c>
      <c r="AN745" s="416">
        <v>0</v>
      </c>
      <c r="AO745" s="416">
        <v>0</v>
      </c>
      <c r="AP745" s="416">
        <v>0</v>
      </c>
      <c r="AQ745" s="416">
        <v>0</v>
      </c>
      <c r="AR745" s="416">
        <v>0</v>
      </c>
      <c r="AS745" s="416">
        <v>0</v>
      </c>
      <c r="AT745" s="416">
        <v>0</v>
      </c>
      <c r="AU745" s="416">
        <v>0</v>
      </c>
      <c r="AV745" s="416">
        <v>0</v>
      </c>
      <c r="AW745" s="416">
        <v>0</v>
      </c>
      <c r="AX745" s="416">
        <v>0</v>
      </c>
      <c r="AY745" s="416">
        <v>0</v>
      </c>
      <c r="AZ745" s="416">
        <v>0</v>
      </c>
    </row>
    <row r="746" spans="1:52" s="411" customFormat="1" x14ac:dyDescent="0.3">
      <c r="A746" s="415" t="str">
        <f t="shared" si="11"/>
        <v>SA-479 Gr.316LN</v>
      </c>
      <c r="B746" s="415">
        <v>740</v>
      </c>
      <c r="C746" s="415" t="s">
        <v>3249</v>
      </c>
      <c r="D746" s="415" t="s">
        <v>2677</v>
      </c>
      <c r="E746" s="415" t="s">
        <v>2245</v>
      </c>
      <c r="F746" s="415" t="s">
        <v>2271</v>
      </c>
      <c r="G746" s="415" t="s">
        <v>3250</v>
      </c>
      <c r="H746" s="415">
        <v>0</v>
      </c>
      <c r="I746" s="415">
        <v>0</v>
      </c>
      <c r="J746" s="415">
        <v>8</v>
      </c>
      <c r="K746" s="415">
        <v>1</v>
      </c>
      <c r="L746" s="415">
        <v>515</v>
      </c>
      <c r="M746" s="415">
        <v>205</v>
      </c>
      <c r="N746" s="415" t="s">
        <v>2675</v>
      </c>
      <c r="O746" s="415">
        <v>427</v>
      </c>
      <c r="P746" s="415" t="s">
        <v>2675</v>
      </c>
      <c r="Q746" s="415" t="s">
        <v>2675</v>
      </c>
      <c r="R746" s="415" t="s">
        <v>3069</v>
      </c>
      <c r="S746" s="415" t="s">
        <v>3189</v>
      </c>
      <c r="T746" s="416">
        <v>138</v>
      </c>
      <c r="U746" s="416">
        <v>138</v>
      </c>
      <c r="V746" s="416">
        <v>138</v>
      </c>
      <c r="W746" s="416">
        <v>138</v>
      </c>
      <c r="X746" s="416">
        <v>138</v>
      </c>
      <c r="Y746" s="416">
        <v>138</v>
      </c>
      <c r="Z746" s="416">
        <v>131</v>
      </c>
      <c r="AA746" s="416">
        <v>122</v>
      </c>
      <c r="AB746" s="416">
        <v>116</v>
      </c>
      <c r="AC746" s="416">
        <v>113</v>
      </c>
      <c r="AD746" s="416">
        <v>110</v>
      </c>
      <c r="AE746" s="416">
        <v>107</v>
      </c>
      <c r="AF746" s="416">
        <v>105</v>
      </c>
      <c r="AG746" s="416">
        <v>102</v>
      </c>
      <c r="AH746" s="416">
        <v>99.7</v>
      </c>
      <c r="AI746" s="416">
        <v>0</v>
      </c>
      <c r="AJ746" s="416">
        <v>0</v>
      </c>
      <c r="AK746" s="416">
        <v>0</v>
      </c>
      <c r="AL746" s="416">
        <v>0</v>
      </c>
      <c r="AM746" s="416">
        <v>0</v>
      </c>
      <c r="AN746" s="416">
        <v>0</v>
      </c>
      <c r="AO746" s="416">
        <v>0</v>
      </c>
      <c r="AP746" s="416">
        <v>0</v>
      </c>
      <c r="AQ746" s="416">
        <v>0</v>
      </c>
      <c r="AR746" s="416">
        <v>0</v>
      </c>
      <c r="AS746" s="416">
        <v>0</v>
      </c>
      <c r="AT746" s="416">
        <v>0</v>
      </c>
      <c r="AU746" s="416">
        <v>0</v>
      </c>
      <c r="AV746" s="416">
        <v>0</v>
      </c>
      <c r="AW746" s="416">
        <v>0</v>
      </c>
      <c r="AX746" s="416">
        <v>0</v>
      </c>
      <c r="AY746" s="416">
        <v>0</v>
      </c>
      <c r="AZ746" s="416">
        <v>0</v>
      </c>
    </row>
    <row r="747" spans="1:52" s="411" customFormat="1" x14ac:dyDescent="0.3">
      <c r="A747" s="415" t="str">
        <f t="shared" si="11"/>
        <v>SA-688 Gr.TP316LN</v>
      </c>
      <c r="B747" s="415">
        <v>741</v>
      </c>
      <c r="C747" s="415" t="s">
        <v>3249</v>
      </c>
      <c r="D747" s="415" t="s">
        <v>2689</v>
      </c>
      <c r="E747" s="415" t="s">
        <v>2301</v>
      </c>
      <c r="F747" s="415" t="s">
        <v>2571</v>
      </c>
      <c r="G747" s="415" t="s">
        <v>3250</v>
      </c>
      <c r="H747" s="415">
        <v>0</v>
      </c>
      <c r="I747" s="415">
        <v>0</v>
      </c>
      <c r="J747" s="415">
        <v>8</v>
      </c>
      <c r="K747" s="415">
        <v>1</v>
      </c>
      <c r="L747" s="415">
        <v>515</v>
      </c>
      <c r="M747" s="415">
        <v>205</v>
      </c>
      <c r="N747" s="415" t="s">
        <v>2675</v>
      </c>
      <c r="O747" s="415">
        <v>427</v>
      </c>
      <c r="P747" s="415" t="s">
        <v>2675</v>
      </c>
      <c r="Q747" s="415" t="s">
        <v>2675</v>
      </c>
      <c r="R747" s="415" t="s">
        <v>3069</v>
      </c>
      <c r="S747" s="415" t="s">
        <v>3208</v>
      </c>
      <c r="T747" s="416">
        <v>138</v>
      </c>
      <c r="U747" s="416">
        <v>138</v>
      </c>
      <c r="V747" s="416">
        <v>138</v>
      </c>
      <c r="W747" s="416">
        <v>138</v>
      </c>
      <c r="X747" s="416">
        <v>138</v>
      </c>
      <c r="Y747" s="416">
        <v>138</v>
      </c>
      <c r="Z747" s="416">
        <v>131</v>
      </c>
      <c r="AA747" s="416">
        <v>122</v>
      </c>
      <c r="AB747" s="416">
        <v>116</v>
      </c>
      <c r="AC747" s="416">
        <v>113</v>
      </c>
      <c r="AD747" s="416">
        <v>110</v>
      </c>
      <c r="AE747" s="416">
        <v>107</v>
      </c>
      <c r="AF747" s="416">
        <v>105</v>
      </c>
      <c r="AG747" s="416">
        <v>102</v>
      </c>
      <c r="AH747" s="416">
        <v>99.7</v>
      </c>
      <c r="AI747" s="416">
        <v>0</v>
      </c>
      <c r="AJ747" s="416">
        <v>0</v>
      </c>
      <c r="AK747" s="416">
        <v>0</v>
      </c>
      <c r="AL747" s="416">
        <v>0</v>
      </c>
      <c r="AM747" s="416">
        <v>0</v>
      </c>
      <c r="AN747" s="416">
        <v>0</v>
      </c>
      <c r="AO747" s="416">
        <v>0</v>
      </c>
      <c r="AP747" s="416">
        <v>0</v>
      </c>
      <c r="AQ747" s="416">
        <v>0</v>
      </c>
      <c r="AR747" s="416">
        <v>0</v>
      </c>
      <c r="AS747" s="416">
        <v>0</v>
      </c>
      <c r="AT747" s="416">
        <v>0</v>
      </c>
      <c r="AU747" s="416">
        <v>0</v>
      </c>
      <c r="AV747" s="416">
        <v>0</v>
      </c>
      <c r="AW747" s="416">
        <v>0</v>
      </c>
      <c r="AX747" s="416">
        <v>0</v>
      </c>
      <c r="AY747" s="416">
        <v>0</v>
      </c>
      <c r="AZ747" s="416">
        <v>0</v>
      </c>
    </row>
    <row r="748" spans="1:52" s="411" customFormat="1" x14ac:dyDescent="0.3">
      <c r="A748" s="415" t="str">
        <f t="shared" si="11"/>
        <v>SA-182 Gr.F316N</v>
      </c>
      <c r="B748" s="415">
        <v>742</v>
      </c>
      <c r="C748" s="415" t="s">
        <v>3249</v>
      </c>
      <c r="D748" s="415" t="s">
        <v>2737</v>
      </c>
      <c r="E748" s="415" t="s">
        <v>2188</v>
      </c>
      <c r="F748" s="415" t="s">
        <v>2442</v>
      </c>
      <c r="G748" s="415" t="s">
        <v>3251</v>
      </c>
      <c r="H748" s="415">
        <v>0</v>
      </c>
      <c r="I748" s="415">
        <v>0</v>
      </c>
      <c r="J748" s="415">
        <v>8</v>
      </c>
      <c r="K748" s="415">
        <v>1</v>
      </c>
      <c r="L748" s="415">
        <v>550</v>
      </c>
      <c r="M748" s="415">
        <v>240</v>
      </c>
      <c r="N748" s="415" t="s">
        <v>2675</v>
      </c>
      <c r="O748" s="415">
        <v>427</v>
      </c>
      <c r="P748" s="415" t="s">
        <v>2675</v>
      </c>
      <c r="Q748" s="415" t="s">
        <v>2675</v>
      </c>
      <c r="R748" s="415" t="s">
        <v>3069</v>
      </c>
      <c r="S748" s="415" t="s">
        <v>3189</v>
      </c>
      <c r="T748" s="416">
        <v>158</v>
      </c>
      <c r="U748" s="416">
        <v>158</v>
      </c>
      <c r="V748" s="416">
        <v>158</v>
      </c>
      <c r="W748" s="416">
        <v>158</v>
      </c>
      <c r="X748" s="416">
        <v>155</v>
      </c>
      <c r="Y748" s="416">
        <v>152</v>
      </c>
      <c r="Z748" s="416">
        <v>148</v>
      </c>
      <c r="AA748" s="416">
        <v>146</v>
      </c>
      <c r="AB748" s="416">
        <v>145</v>
      </c>
      <c r="AC748" s="416">
        <v>144</v>
      </c>
      <c r="AD748" s="416">
        <v>140</v>
      </c>
      <c r="AE748" s="416">
        <v>137</v>
      </c>
      <c r="AF748" s="416">
        <v>135</v>
      </c>
      <c r="AG748" s="416">
        <v>133</v>
      </c>
      <c r="AH748" s="416">
        <v>130</v>
      </c>
      <c r="AI748" s="416">
        <v>0</v>
      </c>
      <c r="AJ748" s="416">
        <v>0</v>
      </c>
      <c r="AK748" s="416">
        <v>0</v>
      </c>
      <c r="AL748" s="416">
        <v>0</v>
      </c>
      <c r="AM748" s="416">
        <v>0</v>
      </c>
      <c r="AN748" s="416">
        <v>0</v>
      </c>
      <c r="AO748" s="416">
        <v>0</v>
      </c>
      <c r="AP748" s="416">
        <v>0</v>
      </c>
      <c r="AQ748" s="416">
        <v>0</v>
      </c>
      <c r="AR748" s="416">
        <v>0</v>
      </c>
      <c r="AS748" s="416">
        <v>0</v>
      </c>
      <c r="AT748" s="416">
        <v>0</v>
      </c>
      <c r="AU748" s="416">
        <v>0</v>
      </c>
      <c r="AV748" s="416">
        <v>0</v>
      </c>
      <c r="AW748" s="416">
        <v>0</v>
      </c>
      <c r="AX748" s="416">
        <v>0</v>
      </c>
      <c r="AY748" s="416">
        <v>0</v>
      </c>
      <c r="AZ748" s="416">
        <v>0</v>
      </c>
    </row>
    <row r="749" spans="1:52" s="411" customFormat="1" x14ac:dyDescent="0.3">
      <c r="A749" s="415" t="str">
        <f t="shared" si="11"/>
        <v>SA-213 Gr.TP316N</v>
      </c>
      <c r="B749" s="415">
        <v>743</v>
      </c>
      <c r="C749" s="415" t="s">
        <v>3249</v>
      </c>
      <c r="D749" s="415" t="s">
        <v>2693</v>
      </c>
      <c r="E749" s="415" t="s">
        <v>2195</v>
      </c>
      <c r="F749" s="415" t="s">
        <v>2572</v>
      </c>
      <c r="G749" s="415" t="s">
        <v>3251</v>
      </c>
      <c r="H749" s="415">
        <v>0</v>
      </c>
      <c r="I749" s="415">
        <v>0</v>
      </c>
      <c r="J749" s="415">
        <v>8</v>
      </c>
      <c r="K749" s="415">
        <v>1</v>
      </c>
      <c r="L749" s="415">
        <v>550</v>
      </c>
      <c r="M749" s="415">
        <v>240</v>
      </c>
      <c r="N749" s="415">
        <v>649</v>
      </c>
      <c r="O749" s="415">
        <v>427</v>
      </c>
      <c r="P749" s="415">
        <v>649</v>
      </c>
      <c r="Q749" s="415" t="s">
        <v>2675</v>
      </c>
      <c r="R749" s="415" t="s">
        <v>3069</v>
      </c>
      <c r="S749" s="415" t="s">
        <v>3252</v>
      </c>
      <c r="T749" s="416">
        <v>158</v>
      </c>
      <c r="U749" s="416">
        <v>158</v>
      </c>
      <c r="V749" s="416">
        <v>158</v>
      </c>
      <c r="W749" s="416">
        <v>158</v>
      </c>
      <c r="X749" s="416">
        <v>155</v>
      </c>
      <c r="Y749" s="416">
        <v>152</v>
      </c>
      <c r="Z749" s="416">
        <v>148</v>
      </c>
      <c r="AA749" s="416">
        <v>146</v>
      </c>
      <c r="AB749" s="416">
        <v>145</v>
      </c>
      <c r="AC749" s="416">
        <v>144</v>
      </c>
      <c r="AD749" s="416">
        <v>140</v>
      </c>
      <c r="AE749" s="416">
        <v>137</v>
      </c>
      <c r="AF749" s="416">
        <v>135</v>
      </c>
      <c r="AG749" s="416">
        <v>133</v>
      </c>
      <c r="AH749" s="416">
        <v>130</v>
      </c>
      <c r="AI749" s="416">
        <v>128</v>
      </c>
      <c r="AJ749" s="416">
        <v>126</v>
      </c>
      <c r="AK749" s="416">
        <v>124</v>
      </c>
      <c r="AL749" s="416">
        <v>119</v>
      </c>
      <c r="AM749" s="416">
        <v>101</v>
      </c>
      <c r="AN749" s="416">
        <v>81.599999999999994</v>
      </c>
      <c r="AO749" s="416">
        <v>65.3</v>
      </c>
      <c r="AP749" s="416">
        <v>50.4</v>
      </c>
      <c r="AQ749" s="416">
        <v>0</v>
      </c>
      <c r="AR749" s="416">
        <v>0</v>
      </c>
      <c r="AS749" s="416">
        <v>0</v>
      </c>
      <c r="AT749" s="416">
        <v>0</v>
      </c>
      <c r="AU749" s="416">
        <v>0</v>
      </c>
      <c r="AV749" s="416">
        <v>0</v>
      </c>
      <c r="AW749" s="416">
        <v>0</v>
      </c>
      <c r="AX749" s="416">
        <v>0</v>
      </c>
      <c r="AY749" s="416">
        <v>0</v>
      </c>
      <c r="AZ749" s="416">
        <v>0</v>
      </c>
    </row>
    <row r="750" spans="1:52" s="411" customFormat="1" x14ac:dyDescent="0.3">
      <c r="A750" s="415" t="str">
        <f t="shared" si="11"/>
        <v>SA-213 Gr.TP316N</v>
      </c>
      <c r="B750" s="415">
        <v>744</v>
      </c>
      <c r="C750" s="415" t="s">
        <v>3249</v>
      </c>
      <c r="D750" s="415" t="s">
        <v>2693</v>
      </c>
      <c r="E750" s="415" t="s">
        <v>2195</v>
      </c>
      <c r="F750" s="415" t="s">
        <v>2572</v>
      </c>
      <c r="G750" s="415" t="s">
        <v>3251</v>
      </c>
      <c r="H750" s="415">
        <v>0</v>
      </c>
      <c r="I750" s="415">
        <v>0</v>
      </c>
      <c r="J750" s="415">
        <v>8</v>
      </c>
      <c r="K750" s="415">
        <v>1</v>
      </c>
      <c r="L750" s="415">
        <v>550</v>
      </c>
      <c r="M750" s="415">
        <v>240</v>
      </c>
      <c r="N750" s="415">
        <v>649</v>
      </c>
      <c r="O750" s="415" t="s">
        <v>2675</v>
      </c>
      <c r="P750" s="415">
        <v>649</v>
      </c>
      <c r="Q750" s="415" t="s">
        <v>2675</v>
      </c>
      <c r="R750" s="415" t="s">
        <v>3069</v>
      </c>
      <c r="S750" s="415" t="s">
        <v>3253</v>
      </c>
      <c r="T750" s="416">
        <v>158</v>
      </c>
      <c r="U750" s="416">
        <v>158</v>
      </c>
      <c r="V750" s="416">
        <v>150</v>
      </c>
      <c r="W750" s="416">
        <v>141</v>
      </c>
      <c r="X750" s="416">
        <v>136</v>
      </c>
      <c r="Y750" s="416">
        <v>131</v>
      </c>
      <c r="Z750" s="416">
        <v>122</v>
      </c>
      <c r="AA750" s="416">
        <v>115</v>
      </c>
      <c r="AB750" s="416">
        <v>109</v>
      </c>
      <c r="AC750" s="416">
        <v>107</v>
      </c>
      <c r="AD750" s="416">
        <v>104</v>
      </c>
      <c r="AE750" s="416">
        <v>102</v>
      </c>
      <c r="AF750" s="416">
        <v>99.9</v>
      </c>
      <c r="AG750" s="416">
        <v>98</v>
      </c>
      <c r="AH750" s="416">
        <v>96.1</v>
      </c>
      <c r="AI750" s="416">
        <v>94.9</v>
      </c>
      <c r="AJ750" s="416">
        <v>93.1</v>
      </c>
      <c r="AK750" s="416">
        <v>91.7</v>
      </c>
      <c r="AL750" s="416">
        <v>90.1</v>
      </c>
      <c r="AM750" s="416">
        <v>88.5</v>
      </c>
      <c r="AN750" s="416">
        <v>81.599999999999994</v>
      </c>
      <c r="AO750" s="416">
        <v>65.3</v>
      </c>
      <c r="AP750" s="416">
        <v>50.4</v>
      </c>
      <c r="AQ750" s="416">
        <v>0</v>
      </c>
      <c r="AR750" s="416">
        <v>0</v>
      </c>
      <c r="AS750" s="416">
        <v>0</v>
      </c>
      <c r="AT750" s="416">
        <v>0</v>
      </c>
      <c r="AU750" s="416">
        <v>0</v>
      </c>
      <c r="AV750" s="416">
        <v>0</v>
      </c>
      <c r="AW750" s="416">
        <v>0</v>
      </c>
      <c r="AX750" s="416">
        <v>0</v>
      </c>
      <c r="AY750" s="416">
        <v>0</v>
      </c>
      <c r="AZ750" s="416">
        <v>0</v>
      </c>
    </row>
    <row r="751" spans="1:52" s="411" customFormat="1" x14ac:dyDescent="0.3">
      <c r="A751" s="415" t="str">
        <f t="shared" si="11"/>
        <v>SA-240 Gr.316N</v>
      </c>
      <c r="B751" s="415">
        <v>745</v>
      </c>
      <c r="C751" s="415" t="s">
        <v>3249</v>
      </c>
      <c r="D751" s="415" t="s">
        <v>2684</v>
      </c>
      <c r="E751" s="415" t="s">
        <v>2165</v>
      </c>
      <c r="F751" s="415" t="s">
        <v>2273</v>
      </c>
      <c r="G751" s="415" t="s">
        <v>3251</v>
      </c>
      <c r="H751" s="415">
        <v>0</v>
      </c>
      <c r="I751" s="415">
        <v>0</v>
      </c>
      <c r="J751" s="415">
        <v>8</v>
      </c>
      <c r="K751" s="415">
        <v>1</v>
      </c>
      <c r="L751" s="415">
        <v>550</v>
      </c>
      <c r="M751" s="415">
        <v>240</v>
      </c>
      <c r="N751" s="415" t="s">
        <v>2675</v>
      </c>
      <c r="O751" s="415">
        <v>427</v>
      </c>
      <c r="P751" s="415">
        <v>649</v>
      </c>
      <c r="Q751" s="415">
        <v>343</v>
      </c>
      <c r="R751" s="415" t="s">
        <v>3069</v>
      </c>
      <c r="S751" s="415" t="s">
        <v>3252</v>
      </c>
      <c r="T751" s="416">
        <v>158</v>
      </c>
      <c r="U751" s="416">
        <v>158</v>
      </c>
      <c r="V751" s="416">
        <v>158</v>
      </c>
      <c r="W751" s="416">
        <v>158</v>
      </c>
      <c r="X751" s="416">
        <v>155</v>
      </c>
      <c r="Y751" s="416">
        <v>152</v>
      </c>
      <c r="Z751" s="416">
        <v>148</v>
      </c>
      <c r="AA751" s="416">
        <v>146</v>
      </c>
      <c r="AB751" s="416">
        <v>145</v>
      </c>
      <c r="AC751" s="416">
        <v>144</v>
      </c>
      <c r="AD751" s="416">
        <v>140</v>
      </c>
      <c r="AE751" s="416">
        <v>137</v>
      </c>
      <c r="AF751" s="416">
        <v>135</v>
      </c>
      <c r="AG751" s="416">
        <v>133</v>
      </c>
      <c r="AH751" s="416">
        <v>130</v>
      </c>
      <c r="AI751" s="416">
        <v>128</v>
      </c>
      <c r="AJ751" s="416">
        <v>126</v>
      </c>
      <c r="AK751" s="416">
        <v>124</v>
      </c>
      <c r="AL751" s="416">
        <v>119</v>
      </c>
      <c r="AM751" s="416">
        <v>101</v>
      </c>
      <c r="AN751" s="416">
        <v>81.599999999999994</v>
      </c>
      <c r="AO751" s="416">
        <v>65.3</v>
      </c>
      <c r="AP751" s="416">
        <v>50.4</v>
      </c>
      <c r="AQ751" s="416">
        <v>0</v>
      </c>
      <c r="AR751" s="416">
        <v>0</v>
      </c>
      <c r="AS751" s="416">
        <v>0</v>
      </c>
      <c r="AT751" s="416">
        <v>0</v>
      </c>
      <c r="AU751" s="416">
        <v>0</v>
      </c>
      <c r="AV751" s="416">
        <v>0</v>
      </c>
      <c r="AW751" s="416">
        <v>0</v>
      </c>
      <c r="AX751" s="416">
        <v>0</v>
      </c>
      <c r="AY751" s="416">
        <v>0</v>
      </c>
      <c r="AZ751" s="416">
        <v>0</v>
      </c>
    </row>
    <row r="752" spans="1:52" s="411" customFormat="1" x14ac:dyDescent="0.3">
      <c r="A752" s="415" t="str">
        <f t="shared" si="11"/>
        <v>SA-240 Gr.316N</v>
      </c>
      <c r="B752" s="415">
        <v>746</v>
      </c>
      <c r="C752" s="415" t="s">
        <v>3249</v>
      </c>
      <c r="D752" s="415" t="s">
        <v>2684</v>
      </c>
      <c r="E752" s="415" t="s">
        <v>2165</v>
      </c>
      <c r="F752" s="415" t="s">
        <v>2273</v>
      </c>
      <c r="G752" s="415" t="s">
        <v>3251</v>
      </c>
      <c r="H752" s="415">
        <v>0</v>
      </c>
      <c r="I752" s="415">
        <v>0</v>
      </c>
      <c r="J752" s="415">
        <v>8</v>
      </c>
      <c r="K752" s="415">
        <v>1</v>
      </c>
      <c r="L752" s="415">
        <v>550</v>
      </c>
      <c r="M752" s="415">
        <v>240</v>
      </c>
      <c r="N752" s="415" t="s">
        <v>2675</v>
      </c>
      <c r="O752" s="415" t="s">
        <v>2675</v>
      </c>
      <c r="P752" s="415">
        <v>649</v>
      </c>
      <c r="Q752" s="415">
        <v>343</v>
      </c>
      <c r="R752" s="415" t="s">
        <v>3069</v>
      </c>
      <c r="S752" s="415" t="s">
        <v>3253</v>
      </c>
      <c r="T752" s="416">
        <v>158</v>
      </c>
      <c r="U752" s="416">
        <v>158</v>
      </c>
      <c r="V752" s="416">
        <v>150</v>
      </c>
      <c r="W752" s="416">
        <v>141</v>
      </c>
      <c r="X752" s="416">
        <v>136</v>
      </c>
      <c r="Y752" s="416">
        <v>131</v>
      </c>
      <c r="Z752" s="416">
        <v>122</v>
      </c>
      <c r="AA752" s="416">
        <v>115</v>
      </c>
      <c r="AB752" s="416">
        <v>109</v>
      </c>
      <c r="AC752" s="416">
        <v>107</v>
      </c>
      <c r="AD752" s="416">
        <v>104</v>
      </c>
      <c r="AE752" s="416">
        <v>102</v>
      </c>
      <c r="AF752" s="416">
        <v>99.9</v>
      </c>
      <c r="AG752" s="416">
        <v>98</v>
      </c>
      <c r="AH752" s="416">
        <v>96.1</v>
      </c>
      <c r="AI752" s="416">
        <v>94.9</v>
      </c>
      <c r="AJ752" s="416">
        <v>93.1</v>
      </c>
      <c r="AK752" s="416">
        <v>91.7</v>
      </c>
      <c r="AL752" s="416">
        <v>90.1</v>
      </c>
      <c r="AM752" s="416">
        <v>88.5</v>
      </c>
      <c r="AN752" s="416">
        <v>81.599999999999994</v>
      </c>
      <c r="AO752" s="416">
        <v>65.3</v>
      </c>
      <c r="AP752" s="416">
        <v>50.4</v>
      </c>
      <c r="AQ752" s="416">
        <v>0</v>
      </c>
      <c r="AR752" s="416">
        <v>0</v>
      </c>
      <c r="AS752" s="416">
        <v>0</v>
      </c>
      <c r="AT752" s="416">
        <v>0</v>
      </c>
      <c r="AU752" s="416">
        <v>0</v>
      </c>
      <c r="AV752" s="416">
        <v>0</v>
      </c>
      <c r="AW752" s="416">
        <v>0</v>
      </c>
      <c r="AX752" s="416">
        <v>0</v>
      </c>
      <c r="AY752" s="416">
        <v>0</v>
      </c>
      <c r="AZ752" s="416">
        <v>0</v>
      </c>
    </row>
    <row r="753" spans="1:52" s="411" customFormat="1" x14ac:dyDescent="0.3">
      <c r="A753" s="415" t="str">
        <f t="shared" si="11"/>
        <v>SA-249 Gr.TP316N</v>
      </c>
      <c r="B753" s="415">
        <v>747</v>
      </c>
      <c r="C753" s="415" t="s">
        <v>3249</v>
      </c>
      <c r="D753" s="415" t="s">
        <v>2689</v>
      </c>
      <c r="E753" s="415" t="s">
        <v>2200</v>
      </c>
      <c r="F753" s="415" t="s">
        <v>2572</v>
      </c>
      <c r="G753" s="415" t="s">
        <v>3251</v>
      </c>
      <c r="H753" s="415">
        <v>0</v>
      </c>
      <c r="I753" s="415">
        <v>0</v>
      </c>
      <c r="J753" s="415">
        <v>8</v>
      </c>
      <c r="K753" s="415">
        <v>1</v>
      </c>
      <c r="L753" s="415">
        <v>550</v>
      </c>
      <c r="M753" s="415">
        <v>240</v>
      </c>
      <c r="N753" s="415">
        <v>649</v>
      </c>
      <c r="O753" s="415" t="s">
        <v>2675</v>
      </c>
      <c r="P753" s="415" t="s">
        <v>2675</v>
      </c>
      <c r="Q753" s="415" t="s">
        <v>2675</v>
      </c>
      <c r="R753" s="415" t="s">
        <v>3069</v>
      </c>
      <c r="S753" s="415" t="s">
        <v>3254</v>
      </c>
      <c r="T753" s="416">
        <v>158</v>
      </c>
      <c r="U753" s="416">
        <v>158</v>
      </c>
      <c r="V753" s="416">
        <v>158</v>
      </c>
      <c r="W753" s="416">
        <v>158</v>
      </c>
      <c r="X753" s="416">
        <v>155</v>
      </c>
      <c r="Y753" s="416">
        <v>152</v>
      </c>
      <c r="Z753" s="416">
        <v>148</v>
      </c>
      <c r="AA753" s="416">
        <v>146</v>
      </c>
      <c r="AB753" s="416">
        <v>145</v>
      </c>
      <c r="AC753" s="416">
        <v>144</v>
      </c>
      <c r="AD753" s="416">
        <v>140</v>
      </c>
      <c r="AE753" s="416">
        <v>137</v>
      </c>
      <c r="AF753" s="416">
        <v>135</v>
      </c>
      <c r="AG753" s="416">
        <v>133</v>
      </c>
      <c r="AH753" s="416">
        <v>130</v>
      </c>
      <c r="AI753" s="416">
        <v>128</v>
      </c>
      <c r="AJ753" s="416">
        <v>126</v>
      </c>
      <c r="AK753" s="416">
        <v>124</v>
      </c>
      <c r="AL753" s="416">
        <v>119</v>
      </c>
      <c r="AM753" s="416">
        <v>101</v>
      </c>
      <c r="AN753" s="416">
        <v>81.599999999999994</v>
      </c>
      <c r="AO753" s="416">
        <v>65.3</v>
      </c>
      <c r="AP753" s="416">
        <v>50.4</v>
      </c>
      <c r="AQ753" s="416">
        <v>0</v>
      </c>
      <c r="AR753" s="416">
        <v>0</v>
      </c>
      <c r="AS753" s="416">
        <v>0</v>
      </c>
      <c r="AT753" s="416">
        <v>0</v>
      </c>
      <c r="AU753" s="416">
        <v>0</v>
      </c>
      <c r="AV753" s="416">
        <v>0</v>
      </c>
      <c r="AW753" s="416">
        <v>0</v>
      </c>
      <c r="AX753" s="416">
        <v>0</v>
      </c>
      <c r="AY753" s="416">
        <v>0</v>
      </c>
      <c r="AZ753" s="416">
        <v>0</v>
      </c>
    </row>
    <row r="754" spans="1:52" s="411" customFormat="1" x14ac:dyDescent="0.3">
      <c r="A754" s="415" t="str">
        <f t="shared" si="11"/>
        <v>SA-249 Gr.TP316N</v>
      </c>
      <c r="B754" s="415">
        <v>748</v>
      </c>
      <c r="C754" s="415" t="s">
        <v>3249</v>
      </c>
      <c r="D754" s="415" t="s">
        <v>2689</v>
      </c>
      <c r="E754" s="415" t="s">
        <v>2200</v>
      </c>
      <c r="F754" s="415" t="s">
        <v>2572</v>
      </c>
      <c r="G754" s="415" t="s">
        <v>3251</v>
      </c>
      <c r="H754" s="415">
        <v>0</v>
      </c>
      <c r="I754" s="415">
        <v>0</v>
      </c>
      <c r="J754" s="415">
        <v>8</v>
      </c>
      <c r="K754" s="415">
        <v>1</v>
      </c>
      <c r="L754" s="415">
        <v>550</v>
      </c>
      <c r="M754" s="415">
        <v>240</v>
      </c>
      <c r="N754" s="415">
        <v>649</v>
      </c>
      <c r="O754" s="415" t="s">
        <v>2675</v>
      </c>
      <c r="P754" s="415" t="s">
        <v>2675</v>
      </c>
      <c r="Q754" s="415" t="s">
        <v>2675</v>
      </c>
      <c r="R754" s="415" t="s">
        <v>3069</v>
      </c>
      <c r="S754" s="415" t="s">
        <v>3255</v>
      </c>
      <c r="T754" s="416">
        <v>158</v>
      </c>
      <c r="U754" s="416">
        <v>158</v>
      </c>
      <c r="V754" s="416">
        <v>150</v>
      </c>
      <c r="W754" s="416">
        <v>141</v>
      </c>
      <c r="X754" s="416">
        <v>136</v>
      </c>
      <c r="Y754" s="416">
        <v>131</v>
      </c>
      <c r="Z754" s="416">
        <v>122</v>
      </c>
      <c r="AA754" s="416">
        <v>115</v>
      </c>
      <c r="AB754" s="416">
        <v>109</v>
      </c>
      <c r="AC754" s="416">
        <v>107</v>
      </c>
      <c r="AD754" s="416">
        <v>104</v>
      </c>
      <c r="AE754" s="416">
        <v>102</v>
      </c>
      <c r="AF754" s="416">
        <v>99.9</v>
      </c>
      <c r="AG754" s="416">
        <v>98</v>
      </c>
      <c r="AH754" s="416">
        <v>96.1</v>
      </c>
      <c r="AI754" s="416">
        <v>94.9</v>
      </c>
      <c r="AJ754" s="416">
        <v>93.1</v>
      </c>
      <c r="AK754" s="416">
        <v>91.7</v>
      </c>
      <c r="AL754" s="416">
        <v>90.1</v>
      </c>
      <c r="AM754" s="416">
        <v>88.5</v>
      </c>
      <c r="AN754" s="416">
        <v>81.599999999999994</v>
      </c>
      <c r="AO754" s="416">
        <v>65.3</v>
      </c>
      <c r="AP754" s="416">
        <v>50.4</v>
      </c>
      <c r="AQ754" s="416">
        <v>0</v>
      </c>
      <c r="AR754" s="416">
        <v>0</v>
      </c>
      <c r="AS754" s="416">
        <v>0</v>
      </c>
      <c r="AT754" s="416">
        <v>0</v>
      </c>
      <c r="AU754" s="416">
        <v>0</v>
      </c>
      <c r="AV754" s="416">
        <v>0</v>
      </c>
      <c r="AW754" s="416">
        <v>0</v>
      </c>
      <c r="AX754" s="416">
        <v>0</v>
      </c>
      <c r="AY754" s="416">
        <v>0</v>
      </c>
      <c r="AZ754" s="416">
        <v>0</v>
      </c>
    </row>
    <row r="755" spans="1:52" s="411" customFormat="1" x14ac:dyDescent="0.3">
      <c r="A755" s="415" t="str">
        <f t="shared" si="11"/>
        <v>SA-249 Gr.TP316N</v>
      </c>
      <c r="B755" s="415">
        <v>749</v>
      </c>
      <c r="C755" s="415" t="s">
        <v>3249</v>
      </c>
      <c r="D755" s="415" t="s">
        <v>2689</v>
      </c>
      <c r="E755" s="415" t="s">
        <v>2200</v>
      </c>
      <c r="F755" s="415" t="s">
        <v>2572</v>
      </c>
      <c r="G755" s="415" t="s">
        <v>3251</v>
      </c>
      <c r="H755" s="415">
        <v>0</v>
      </c>
      <c r="I755" s="415">
        <v>0</v>
      </c>
      <c r="J755" s="415">
        <v>8</v>
      </c>
      <c r="K755" s="415">
        <v>1</v>
      </c>
      <c r="L755" s="415">
        <v>550</v>
      </c>
      <c r="M755" s="415">
        <v>240</v>
      </c>
      <c r="N755" s="415">
        <v>649</v>
      </c>
      <c r="O755" s="415" t="s">
        <v>2675</v>
      </c>
      <c r="P755" s="415">
        <v>649</v>
      </c>
      <c r="Q755" s="415">
        <v>343</v>
      </c>
      <c r="R755" s="415" t="s">
        <v>3069</v>
      </c>
      <c r="S755" s="415" t="s">
        <v>3256</v>
      </c>
      <c r="T755" s="416">
        <v>134</v>
      </c>
      <c r="U755" s="416">
        <v>134</v>
      </c>
      <c r="V755" s="416">
        <v>128</v>
      </c>
      <c r="W755" s="416">
        <v>120</v>
      </c>
      <c r="X755" s="416">
        <v>115</v>
      </c>
      <c r="Y755" s="416">
        <v>111</v>
      </c>
      <c r="Z755" s="416">
        <v>104</v>
      </c>
      <c r="AA755" s="416">
        <v>97.6</v>
      </c>
      <c r="AB755" s="416">
        <v>93.1</v>
      </c>
      <c r="AC755" s="416">
        <v>90.7</v>
      </c>
      <c r="AD755" s="416">
        <v>88.4</v>
      </c>
      <c r="AE755" s="416">
        <v>86.6</v>
      </c>
      <c r="AF755" s="416">
        <v>84.7</v>
      </c>
      <c r="AG755" s="416">
        <v>83.5</v>
      </c>
      <c r="AH755" s="416">
        <v>82.3</v>
      </c>
      <c r="AI755" s="416">
        <v>80.5</v>
      </c>
      <c r="AJ755" s="416">
        <v>79.099999999999994</v>
      </c>
      <c r="AK755" s="416">
        <v>77.8</v>
      </c>
      <c r="AL755" s="416">
        <v>76.8</v>
      </c>
      <c r="AM755" s="416">
        <v>74.7</v>
      </c>
      <c r="AN755" s="416">
        <v>70</v>
      </c>
      <c r="AO755" s="416">
        <v>55.3</v>
      </c>
      <c r="AP755" s="416">
        <v>42.9</v>
      </c>
      <c r="AQ755" s="416">
        <v>0</v>
      </c>
      <c r="AR755" s="416">
        <v>0</v>
      </c>
      <c r="AS755" s="416">
        <v>0</v>
      </c>
      <c r="AT755" s="416">
        <v>0</v>
      </c>
      <c r="AU755" s="416">
        <v>0</v>
      </c>
      <c r="AV755" s="416">
        <v>0</v>
      </c>
      <c r="AW755" s="416">
        <v>0</v>
      </c>
      <c r="AX755" s="416">
        <v>0</v>
      </c>
      <c r="AY755" s="416">
        <v>0</v>
      </c>
      <c r="AZ755" s="416">
        <v>0</v>
      </c>
    </row>
    <row r="756" spans="1:52" s="411" customFormat="1" x14ac:dyDescent="0.3">
      <c r="A756" s="415" t="str">
        <f t="shared" si="11"/>
        <v>SA-249 Gr.TP316N</v>
      </c>
      <c r="B756" s="415">
        <v>750</v>
      </c>
      <c r="C756" s="415" t="s">
        <v>3249</v>
      </c>
      <c r="D756" s="415" t="s">
        <v>2689</v>
      </c>
      <c r="E756" s="415" t="s">
        <v>2200</v>
      </c>
      <c r="F756" s="415" t="s">
        <v>2572</v>
      </c>
      <c r="G756" s="415" t="s">
        <v>3251</v>
      </c>
      <c r="H756" s="415">
        <v>0</v>
      </c>
      <c r="I756" s="415">
        <v>0</v>
      </c>
      <c r="J756" s="415">
        <v>8</v>
      </c>
      <c r="K756" s="415">
        <v>1</v>
      </c>
      <c r="L756" s="415">
        <v>550</v>
      </c>
      <c r="M756" s="415">
        <v>240</v>
      </c>
      <c r="N756" s="415">
        <v>649</v>
      </c>
      <c r="O756" s="415" t="s">
        <v>2675</v>
      </c>
      <c r="P756" s="415">
        <v>649</v>
      </c>
      <c r="Q756" s="415">
        <v>343</v>
      </c>
      <c r="R756" s="415" t="s">
        <v>3069</v>
      </c>
      <c r="S756" s="415" t="s">
        <v>3227</v>
      </c>
      <c r="T756" s="416">
        <v>134</v>
      </c>
      <c r="U756" s="416">
        <v>134</v>
      </c>
      <c r="V756" s="416">
        <v>134</v>
      </c>
      <c r="W756" s="416">
        <v>133</v>
      </c>
      <c r="X756" s="416">
        <v>131</v>
      </c>
      <c r="Y756" s="416">
        <v>129</v>
      </c>
      <c r="Z756" s="416">
        <v>126</v>
      </c>
      <c r="AA756" s="416">
        <v>125</v>
      </c>
      <c r="AB756" s="416">
        <v>124</v>
      </c>
      <c r="AC756" s="416">
        <v>122</v>
      </c>
      <c r="AD756" s="416">
        <v>119</v>
      </c>
      <c r="AE756" s="416">
        <v>117</v>
      </c>
      <c r="AF756" s="416">
        <v>115</v>
      </c>
      <c r="AG756" s="416">
        <v>113</v>
      </c>
      <c r="AH756" s="416">
        <v>111</v>
      </c>
      <c r="AI756" s="416">
        <v>109</v>
      </c>
      <c r="AJ756" s="416">
        <v>107</v>
      </c>
      <c r="AK756" s="416">
        <v>105</v>
      </c>
      <c r="AL756" s="416">
        <v>101</v>
      </c>
      <c r="AM756" s="416">
        <v>85.7</v>
      </c>
      <c r="AN756" s="416">
        <v>70</v>
      </c>
      <c r="AO756" s="416">
        <v>55.3</v>
      </c>
      <c r="AP756" s="416">
        <v>42.9</v>
      </c>
      <c r="AQ756" s="416">
        <v>0</v>
      </c>
      <c r="AR756" s="416">
        <v>0</v>
      </c>
      <c r="AS756" s="416">
        <v>0</v>
      </c>
      <c r="AT756" s="416">
        <v>0</v>
      </c>
      <c r="AU756" s="416">
        <v>0</v>
      </c>
      <c r="AV756" s="416">
        <v>0</v>
      </c>
      <c r="AW756" s="416">
        <v>0</v>
      </c>
      <c r="AX756" s="416">
        <v>0</v>
      </c>
      <c r="AY756" s="416">
        <v>0</v>
      </c>
      <c r="AZ756" s="416">
        <v>0</v>
      </c>
    </row>
    <row r="757" spans="1:52" s="411" customFormat="1" x14ac:dyDescent="0.3">
      <c r="A757" s="415" t="str">
        <f t="shared" si="11"/>
        <v>SA-312 Gr.TP316N</v>
      </c>
      <c r="B757" s="415">
        <v>751</v>
      </c>
      <c r="C757" s="415" t="s">
        <v>3249</v>
      </c>
      <c r="D757" s="415" t="s">
        <v>2720</v>
      </c>
      <c r="E757" s="415" t="s">
        <v>2208</v>
      </c>
      <c r="F757" s="415" t="s">
        <v>2572</v>
      </c>
      <c r="G757" s="415" t="s">
        <v>3251</v>
      </c>
      <c r="H757" s="415">
        <v>0</v>
      </c>
      <c r="I757" s="415">
        <v>0</v>
      </c>
      <c r="J757" s="415">
        <v>8</v>
      </c>
      <c r="K757" s="415">
        <v>1</v>
      </c>
      <c r="L757" s="415">
        <v>550</v>
      </c>
      <c r="M757" s="415">
        <v>240</v>
      </c>
      <c r="N757" s="415">
        <v>649</v>
      </c>
      <c r="O757" s="415">
        <v>427</v>
      </c>
      <c r="P757" s="415">
        <v>649</v>
      </c>
      <c r="Q757" s="415">
        <v>343</v>
      </c>
      <c r="R757" s="415" t="s">
        <v>3069</v>
      </c>
      <c r="S757" s="415" t="s">
        <v>3257</v>
      </c>
      <c r="T757" s="416">
        <v>158</v>
      </c>
      <c r="U757" s="416">
        <v>158</v>
      </c>
      <c r="V757" s="416">
        <v>158</v>
      </c>
      <c r="W757" s="416">
        <v>158</v>
      </c>
      <c r="X757" s="416">
        <v>155</v>
      </c>
      <c r="Y757" s="416">
        <v>152</v>
      </c>
      <c r="Z757" s="416">
        <v>148</v>
      </c>
      <c r="AA757" s="416">
        <v>146</v>
      </c>
      <c r="AB757" s="416">
        <v>145</v>
      </c>
      <c r="AC757" s="416">
        <v>144</v>
      </c>
      <c r="AD757" s="416">
        <v>140</v>
      </c>
      <c r="AE757" s="416">
        <v>137</v>
      </c>
      <c r="AF757" s="416">
        <v>135</v>
      </c>
      <c r="AG757" s="416">
        <v>133</v>
      </c>
      <c r="AH757" s="416">
        <v>130</v>
      </c>
      <c r="AI757" s="416">
        <v>128</v>
      </c>
      <c r="AJ757" s="416">
        <v>126</v>
      </c>
      <c r="AK757" s="416">
        <v>124</v>
      </c>
      <c r="AL757" s="416">
        <v>119</v>
      </c>
      <c r="AM757" s="416">
        <v>101</v>
      </c>
      <c r="AN757" s="416">
        <v>81.599999999999994</v>
      </c>
      <c r="AO757" s="416">
        <v>65.3</v>
      </c>
      <c r="AP757" s="416">
        <v>50.4</v>
      </c>
      <c r="AQ757" s="416">
        <v>0</v>
      </c>
      <c r="AR757" s="416">
        <v>0</v>
      </c>
      <c r="AS757" s="416">
        <v>0</v>
      </c>
      <c r="AT757" s="416">
        <v>0</v>
      </c>
      <c r="AU757" s="416">
        <v>0</v>
      </c>
      <c r="AV757" s="416">
        <v>0</v>
      </c>
      <c r="AW757" s="416">
        <v>0</v>
      </c>
      <c r="AX757" s="416">
        <v>0</v>
      </c>
      <c r="AY757" s="416">
        <v>0</v>
      </c>
      <c r="AZ757" s="416">
        <v>0</v>
      </c>
    </row>
    <row r="758" spans="1:52" s="411" customFormat="1" x14ac:dyDescent="0.3">
      <c r="A758" s="415" t="str">
        <f t="shared" si="11"/>
        <v>SA-312 Gr.TP316N</v>
      </c>
      <c r="B758" s="415">
        <v>752</v>
      </c>
      <c r="C758" s="415" t="s">
        <v>3249</v>
      </c>
      <c r="D758" s="415" t="s">
        <v>2720</v>
      </c>
      <c r="E758" s="415" t="s">
        <v>2208</v>
      </c>
      <c r="F758" s="415" t="s">
        <v>2572</v>
      </c>
      <c r="G758" s="415" t="s">
        <v>3251</v>
      </c>
      <c r="H758" s="415">
        <v>0</v>
      </c>
      <c r="I758" s="415">
        <v>0</v>
      </c>
      <c r="J758" s="415">
        <v>8</v>
      </c>
      <c r="K758" s="415">
        <v>1</v>
      </c>
      <c r="L758" s="415">
        <v>550</v>
      </c>
      <c r="M758" s="415">
        <v>240</v>
      </c>
      <c r="N758" s="415">
        <v>649</v>
      </c>
      <c r="O758" s="415" t="s">
        <v>2675</v>
      </c>
      <c r="P758" s="415">
        <v>649</v>
      </c>
      <c r="Q758" s="415">
        <v>343</v>
      </c>
      <c r="R758" s="415" t="s">
        <v>3069</v>
      </c>
      <c r="S758" s="415" t="s">
        <v>3258</v>
      </c>
      <c r="T758" s="416">
        <v>158</v>
      </c>
      <c r="U758" s="416">
        <v>158</v>
      </c>
      <c r="V758" s="416">
        <v>150</v>
      </c>
      <c r="W758" s="416">
        <v>141</v>
      </c>
      <c r="X758" s="416">
        <v>136</v>
      </c>
      <c r="Y758" s="416">
        <v>131</v>
      </c>
      <c r="Z758" s="416">
        <v>122</v>
      </c>
      <c r="AA758" s="416">
        <v>115</v>
      </c>
      <c r="AB758" s="416">
        <v>109</v>
      </c>
      <c r="AC758" s="416">
        <v>107</v>
      </c>
      <c r="AD758" s="416">
        <v>104</v>
      </c>
      <c r="AE758" s="416">
        <v>102</v>
      </c>
      <c r="AF758" s="416">
        <v>99.9</v>
      </c>
      <c r="AG758" s="416">
        <v>98</v>
      </c>
      <c r="AH758" s="416">
        <v>96.1</v>
      </c>
      <c r="AI758" s="416">
        <v>94.9</v>
      </c>
      <c r="AJ758" s="416">
        <v>93.1</v>
      </c>
      <c r="AK758" s="416">
        <v>91.7</v>
      </c>
      <c r="AL758" s="416">
        <v>90.1</v>
      </c>
      <c r="AM758" s="416">
        <v>88.5</v>
      </c>
      <c r="AN758" s="416">
        <v>81.599999999999994</v>
      </c>
      <c r="AO758" s="416">
        <v>65.3</v>
      </c>
      <c r="AP758" s="416">
        <v>50.4</v>
      </c>
      <c r="AQ758" s="416">
        <v>0</v>
      </c>
      <c r="AR758" s="416">
        <v>0</v>
      </c>
      <c r="AS758" s="416">
        <v>0</v>
      </c>
      <c r="AT758" s="416">
        <v>0</v>
      </c>
      <c r="AU758" s="416">
        <v>0</v>
      </c>
      <c r="AV758" s="416">
        <v>0</v>
      </c>
      <c r="AW758" s="416">
        <v>0</v>
      </c>
      <c r="AX758" s="416">
        <v>0</v>
      </c>
      <c r="AY758" s="416">
        <v>0</v>
      </c>
      <c r="AZ758" s="416">
        <v>0</v>
      </c>
    </row>
    <row r="759" spans="1:52" s="411" customFormat="1" x14ac:dyDescent="0.3">
      <c r="A759" s="415" t="str">
        <f t="shared" si="11"/>
        <v>SA-312 Gr.TP316N</v>
      </c>
      <c r="B759" s="415">
        <v>753</v>
      </c>
      <c r="C759" s="415" t="s">
        <v>3249</v>
      </c>
      <c r="D759" s="415" t="s">
        <v>2680</v>
      </c>
      <c r="E759" s="415" t="s">
        <v>2208</v>
      </c>
      <c r="F759" s="415" t="s">
        <v>2572</v>
      </c>
      <c r="G759" s="415" t="s">
        <v>3251</v>
      </c>
      <c r="H759" s="415">
        <v>0</v>
      </c>
      <c r="I759" s="415">
        <v>0</v>
      </c>
      <c r="J759" s="415">
        <v>8</v>
      </c>
      <c r="K759" s="415">
        <v>1</v>
      </c>
      <c r="L759" s="415">
        <v>550</v>
      </c>
      <c r="M759" s="415">
        <v>240</v>
      </c>
      <c r="N759" s="415">
        <v>649</v>
      </c>
      <c r="O759" s="415" t="s">
        <v>2675</v>
      </c>
      <c r="P759" s="415">
        <v>649</v>
      </c>
      <c r="Q759" s="415">
        <v>343</v>
      </c>
      <c r="R759" s="415" t="s">
        <v>3069</v>
      </c>
      <c r="S759" s="415" t="s">
        <v>3256</v>
      </c>
      <c r="T759" s="416">
        <v>134</v>
      </c>
      <c r="U759" s="416">
        <v>134</v>
      </c>
      <c r="V759" s="416">
        <v>128</v>
      </c>
      <c r="W759" s="416">
        <v>120</v>
      </c>
      <c r="X759" s="416">
        <v>115</v>
      </c>
      <c r="Y759" s="416">
        <v>111</v>
      </c>
      <c r="Z759" s="416">
        <v>104</v>
      </c>
      <c r="AA759" s="416">
        <v>97.6</v>
      </c>
      <c r="AB759" s="416">
        <v>93.1</v>
      </c>
      <c r="AC759" s="416">
        <v>90.7</v>
      </c>
      <c r="AD759" s="416">
        <v>88.4</v>
      </c>
      <c r="AE759" s="416">
        <v>86.6</v>
      </c>
      <c r="AF759" s="416">
        <v>84.7</v>
      </c>
      <c r="AG759" s="416">
        <v>83.5</v>
      </c>
      <c r="AH759" s="416">
        <v>82.3</v>
      </c>
      <c r="AI759" s="416">
        <v>80.5</v>
      </c>
      <c r="AJ759" s="416">
        <v>79.099999999999994</v>
      </c>
      <c r="AK759" s="416">
        <v>77.8</v>
      </c>
      <c r="AL759" s="416">
        <v>76.8</v>
      </c>
      <c r="AM759" s="416">
        <v>74.7</v>
      </c>
      <c r="AN759" s="416">
        <v>70</v>
      </c>
      <c r="AO759" s="416">
        <v>55.3</v>
      </c>
      <c r="AP759" s="416">
        <v>42.9</v>
      </c>
      <c r="AQ759" s="416">
        <v>0</v>
      </c>
      <c r="AR759" s="416">
        <v>0</v>
      </c>
      <c r="AS759" s="416">
        <v>0</v>
      </c>
      <c r="AT759" s="416">
        <v>0</v>
      </c>
      <c r="AU759" s="416">
        <v>0</v>
      </c>
      <c r="AV759" s="416">
        <v>0</v>
      </c>
      <c r="AW759" s="416">
        <v>0</v>
      </c>
      <c r="AX759" s="416">
        <v>0</v>
      </c>
      <c r="AY759" s="416">
        <v>0</v>
      </c>
      <c r="AZ759" s="416">
        <v>0</v>
      </c>
    </row>
    <row r="760" spans="1:52" s="411" customFormat="1" x14ac:dyDescent="0.3">
      <c r="A760" s="415" t="str">
        <f t="shared" si="11"/>
        <v>SA-312 Gr.TP316N</v>
      </c>
      <c r="B760" s="415">
        <v>754</v>
      </c>
      <c r="C760" s="415" t="s">
        <v>3249</v>
      </c>
      <c r="D760" s="415" t="s">
        <v>2680</v>
      </c>
      <c r="E760" s="415" t="s">
        <v>2208</v>
      </c>
      <c r="F760" s="415" t="s">
        <v>2572</v>
      </c>
      <c r="G760" s="415" t="s">
        <v>3251</v>
      </c>
      <c r="H760" s="415">
        <v>0</v>
      </c>
      <c r="I760" s="415">
        <v>0</v>
      </c>
      <c r="J760" s="415">
        <v>8</v>
      </c>
      <c r="K760" s="415">
        <v>1</v>
      </c>
      <c r="L760" s="415">
        <v>550</v>
      </c>
      <c r="M760" s="415">
        <v>240</v>
      </c>
      <c r="N760" s="415">
        <v>649</v>
      </c>
      <c r="O760" s="415" t="s">
        <v>2675</v>
      </c>
      <c r="P760" s="415">
        <v>649</v>
      </c>
      <c r="Q760" s="415">
        <v>343</v>
      </c>
      <c r="R760" s="415" t="s">
        <v>3069</v>
      </c>
      <c r="S760" s="415" t="s">
        <v>3227</v>
      </c>
      <c r="T760" s="416">
        <v>134</v>
      </c>
      <c r="U760" s="416">
        <v>134</v>
      </c>
      <c r="V760" s="416">
        <v>134</v>
      </c>
      <c r="W760" s="416">
        <v>133</v>
      </c>
      <c r="X760" s="416">
        <v>131</v>
      </c>
      <c r="Y760" s="416">
        <v>129</v>
      </c>
      <c r="Z760" s="416">
        <v>126</v>
      </c>
      <c r="AA760" s="416">
        <v>125</v>
      </c>
      <c r="AB760" s="416">
        <v>124</v>
      </c>
      <c r="AC760" s="416">
        <v>122</v>
      </c>
      <c r="AD760" s="416">
        <v>119</v>
      </c>
      <c r="AE760" s="416">
        <v>117</v>
      </c>
      <c r="AF760" s="416">
        <v>115</v>
      </c>
      <c r="AG760" s="416">
        <v>113</v>
      </c>
      <c r="AH760" s="416">
        <v>111</v>
      </c>
      <c r="AI760" s="416">
        <v>109</v>
      </c>
      <c r="AJ760" s="416">
        <v>107</v>
      </c>
      <c r="AK760" s="416">
        <v>105</v>
      </c>
      <c r="AL760" s="416">
        <v>101</v>
      </c>
      <c r="AM760" s="416">
        <v>85.7</v>
      </c>
      <c r="AN760" s="416">
        <v>70</v>
      </c>
      <c r="AO760" s="416">
        <v>55.3</v>
      </c>
      <c r="AP760" s="416">
        <v>42.9</v>
      </c>
      <c r="AQ760" s="416">
        <v>0</v>
      </c>
      <c r="AR760" s="416">
        <v>0</v>
      </c>
      <c r="AS760" s="416">
        <v>0</v>
      </c>
      <c r="AT760" s="416">
        <v>0</v>
      </c>
      <c r="AU760" s="416">
        <v>0</v>
      </c>
      <c r="AV760" s="416">
        <v>0</v>
      </c>
      <c r="AW760" s="416">
        <v>0</v>
      </c>
      <c r="AX760" s="416">
        <v>0</v>
      </c>
      <c r="AY760" s="416">
        <v>0</v>
      </c>
      <c r="AZ760" s="416">
        <v>0</v>
      </c>
    </row>
    <row r="761" spans="1:52" s="411" customFormat="1" x14ac:dyDescent="0.3">
      <c r="A761" s="415" t="str">
        <f t="shared" si="11"/>
        <v>SA-358 Gr.316N</v>
      </c>
      <c r="B761" s="415">
        <v>755</v>
      </c>
      <c r="C761" s="415" t="s">
        <v>3249</v>
      </c>
      <c r="D761" s="415" t="s">
        <v>2680</v>
      </c>
      <c r="E761" s="415" t="s">
        <v>2217</v>
      </c>
      <c r="F761" s="415" t="s">
        <v>2273</v>
      </c>
      <c r="G761" s="415" t="s">
        <v>3251</v>
      </c>
      <c r="H761" s="415">
        <v>1</v>
      </c>
      <c r="I761" s="415">
        <v>0</v>
      </c>
      <c r="J761" s="415">
        <v>8</v>
      </c>
      <c r="K761" s="415">
        <v>1</v>
      </c>
      <c r="L761" s="415">
        <v>550</v>
      </c>
      <c r="M761" s="415">
        <v>240</v>
      </c>
      <c r="N761" s="415" t="s">
        <v>2675</v>
      </c>
      <c r="O761" s="415">
        <v>427</v>
      </c>
      <c r="P761" s="415" t="s">
        <v>2675</v>
      </c>
      <c r="Q761" s="415" t="s">
        <v>2675</v>
      </c>
      <c r="R761" s="415" t="s">
        <v>3069</v>
      </c>
      <c r="S761" s="415" t="s">
        <v>3208</v>
      </c>
      <c r="T761" s="416">
        <v>158</v>
      </c>
      <c r="U761" s="416">
        <v>158</v>
      </c>
      <c r="V761" s="416">
        <v>158</v>
      </c>
      <c r="W761" s="416">
        <v>158</v>
      </c>
      <c r="X761" s="416">
        <v>155</v>
      </c>
      <c r="Y761" s="416">
        <v>152</v>
      </c>
      <c r="Z761" s="416">
        <v>148</v>
      </c>
      <c r="AA761" s="416">
        <v>146</v>
      </c>
      <c r="AB761" s="416">
        <v>145</v>
      </c>
      <c r="AC761" s="416">
        <v>144</v>
      </c>
      <c r="AD761" s="416">
        <v>140</v>
      </c>
      <c r="AE761" s="416">
        <v>137</v>
      </c>
      <c r="AF761" s="416">
        <v>135</v>
      </c>
      <c r="AG761" s="416">
        <v>133</v>
      </c>
      <c r="AH761" s="416">
        <v>130</v>
      </c>
      <c r="AI761" s="416">
        <v>0</v>
      </c>
      <c r="AJ761" s="416">
        <v>0</v>
      </c>
      <c r="AK761" s="416">
        <v>0</v>
      </c>
      <c r="AL761" s="416">
        <v>0</v>
      </c>
      <c r="AM761" s="416">
        <v>0</v>
      </c>
      <c r="AN761" s="416">
        <v>0</v>
      </c>
      <c r="AO761" s="416">
        <v>0</v>
      </c>
      <c r="AP761" s="416">
        <v>0</v>
      </c>
      <c r="AQ761" s="416">
        <v>0</v>
      </c>
      <c r="AR761" s="416">
        <v>0</v>
      </c>
      <c r="AS761" s="416">
        <v>0</v>
      </c>
      <c r="AT761" s="416">
        <v>0</v>
      </c>
      <c r="AU761" s="416">
        <v>0</v>
      </c>
      <c r="AV761" s="416">
        <v>0</v>
      </c>
      <c r="AW761" s="416">
        <v>0</v>
      </c>
      <c r="AX761" s="416">
        <v>0</v>
      </c>
      <c r="AY761" s="416">
        <v>0</v>
      </c>
      <c r="AZ761" s="416">
        <v>0</v>
      </c>
    </row>
    <row r="762" spans="1:52" s="411" customFormat="1" x14ac:dyDescent="0.3">
      <c r="A762" s="415" t="str">
        <f t="shared" si="11"/>
        <v>SA-376 Gr.TP316N</v>
      </c>
      <c r="B762" s="415">
        <v>756</v>
      </c>
      <c r="C762" s="415" t="s">
        <v>3249</v>
      </c>
      <c r="D762" s="415" t="s">
        <v>2703</v>
      </c>
      <c r="E762" s="415" t="s">
        <v>2225</v>
      </c>
      <c r="F762" s="415" t="s">
        <v>2572</v>
      </c>
      <c r="G762" s="415" t="s">
        <v>3251</v>
      </c>
      <c r="H762" s="415">
        <v>0</v>
      </c>
      <c r="I762" s="415">
        <v>0</v>
      </c>
      <c r="J762" s="415">
        <v>8</v>
      </c>
      <c r="K762" s="415">
        <v>1</v>
      </c>
      <c r="L762" s="415">
        <v>550</v>
      </c>
      <c r="M762" s="415">
        <v>240</v>
      </c>
      <c r="N762" s="415">
        <v>649</v>
      </c>
      <c r="O762" s="415">
        <v>427</v>
      </c>
      <c r="P762" s="415">
        <v>649</v>
      </c>
      <c r="Q762" s="415">
        <v>343</v>
      </c>
      <c r="R762" s="415" t="s">
        <v>3069</v>
      </c>
      <c r="S762" s="415" t="s">
        <v>3259</v>
      </c>
      <c r="T762" s="416">
        <v>158</v>
      </c>
      <c r="U762" s="416">
        <v>158</v>
      </c>
      <c r="V762" s="416">
        <v>158</v>
      </c>
      <c r="W762" s="416">
        <v>158</v>
      </c>
      <c r="X762" s="416">
        <v>155</v>
      </c>
      <c r="Y762" s="416">
        <v>152</v>
      </c>
      <c r="Z762" s="416">
        <v>148</v>
      </c>
      <c r="AA762" s="416">
        <v>146</v>
      </c>
      <c r="AB762" s="416">
        <v>145</v>
      </c>
      <c r="AC762" s="416">
        <v>144</v>
      </c>
      <c r="AD762" s="416">
        <v>140</v>
      </c>
      <c r="AE762" s="416">
        <v>137</v>
      </c>
      <c r="AF762" s="416">
        <v>135</v>
      </c>
      <c r="AG762" s="416">
        <v>133</v>
      </c>
      <c r="AH762" s="416">
        <v>130</v>
      </c>
      <c r="AI762" s="416">
        <v>128</v>
      </c>
      <c r="AJ762" s="416">
        <v>126</v>
      </c>
      <c r="AK762" s="416">
        <v>124</v>
      </c>
      <c r="AL762" s="416">
        <v>119</v>
      </c>
      <c r="AM762" s="416">
        <v>101</v>
      </c>
      <c r="AN762" s="416">
        <v>81.599999999999994</v>
      </c>
      <c r="AO762" s="416">
        <v>65.3</v>
      </c>
      <c r="AP762" s="416">
        <v>50.4</v>
      </c>
      <c r="AQ762" s="416">
        <v>0</v>
      </c>
      <c r="AR762" s="416">
        <v>0</v>
      </c>
      <c r="AS762" s="416">
        <v>0</v>
      </c>
      <c r="AT762" s="416">
        <v>0</v>
      </c>
      <c r="AU762" s="416">
        <v>0</v>
      </c>
      <c r="AV762" s="416">
        <v>0</v>
      </c>
      <c r="AW762" s="416">
        <v>0</v>
      </c>
      <c r="AX762" s="416">
        <v>0</v>
      </c>
      <c r="AY762" s="416">
        <v>0</v>
      </c>
      <c r="AZ762" s="416">
        <v>0</v>
      </c>
    </row>
    <row r="763" spans="1:52" s="411" customFormat="1" x14ac:dyDescent="0.3">
      <c r="A763" s="415" t="str">
        <f t="shared" si="11"/>
        <v>SA-376 Gr.TP316N</v>
      </c>
      <c r="B763" s="415">
        <v>757</v>
      </c>
      <c r="C763" s="415" t="s">
        <v>3249</v>
      </c>
      <c r="D763" s="415" t="s">
        <v>2703</v>
      </c>
      <c r="E763" s="415" t="s">
        <v>2225</v>
      </c>
      <c r="F763" s="415" t="s">
        <v>2572</v>
      </c>
      <c r="G763" s="415" t="s">
        <v>3251</v>
      </c>
      <c r="H763" s="415">
        <v>0</v>
      </c>
      <c r="I763" s="415">
        <v>0</v>
      </c>
      <c r="J763" s="415">
        <v>8</v>
      </c>
      <c r="K763" s="415">
        <v>1</v>
      </c>
      <c r="L763" s="415">
        <v>550</v>
      </c>
      <c r="M763" s="415">
        <v>240</v>
      </c>
      <c r="N763" s="415">
        <v>649</v>
      </c>
      <c r="O763" s="415" t="s">
        <v>2675</v>
      </c>
      <c r="P763" s="415">
        <v>649</v>
      </c>
      <c r="Q763" s="415">
        <v>343</v>
      </c>
      <c r="R763" s="415" t="s">
        <v>3069</v>
      </c>
      <c r="S763" s="415" t="s">
        <v>3260</v>
      </c>
      <c r="T763" s="416">
        <v>158</v>
      </c>
      <c r="U763" s="416">
        <v>158</v>
      </c>
      <c r="V763" s="416">
        <v>150</v>
      </c>
      <c r="W763" s="416">
        <v>141</v>
      </c>
      <c r="X763" s="416">
        <v>136</v>
      </c>
      <c r="Y763" s="416">
        <v>131</v>
      </c>
      <c r="Z763" s="416">
        <v>122</v>
      </c>
      <c r="AA763" s="416">
        <v>115</v>
      </c>
      <c r="AB763" s="416">
        <v>109</v>
      </c>
      <c r="AC763" s="416">
        <v>107</v>
      </c>
      <c r="AD763" s="416">
        <v>104</v>
      </c>
      <c r="AE763" s="416">
        <v>102</v>
      </c>
      <c r="AF763" s="416">
        <v>99.9</v>
      </c>
      <c r="AG763" s="416">
        <v>98</v>
      </c>
      <c r="AH763" s="416">
        <v>96.1</v>
      </c>
      <c r="AI763" s="416">
        <v>94.9</v>
      </c>
      <c r="AJ763" s="416">
        <v>93.1</v>
      </c>
      <c r="AK763" s="416">
        <v>91.7</v>
      </c>
      <c r="AL763" s="416">
        <v>90.1</v>
      </c>
      <c r="AM763" s="416">
        <v>88.5</v>
      </c>
      <c r="AN763" s="416">
        <v>81.599999999999994</v>
      </c>
      <c r="AO763" s="416">
        <v>65.3</v>
      </c>
      <c r="AP763" s="416">
        <v>50.4</v>
      </c>
      <c r="AQ763" s="416">
        <v>0</v>
      </c>
      <c r="AR763" s="416">
        <v>0</v>
      </c>
      <c r="AS763" s="416">
        <v>0</v>
      </c>
      <c r="AT763" s="416">
        <v>0</v>
      </c>
      <c r="AU763" s="416">
        <v>0</v>
      </c>
      <c r="AV763" s="416">
        <v>0</v>
      </c>
      <c r="AW763" s="416">
        <v>0</v>
      </c>
      <c r="AX763" s="416">
        <v>0</v>
      </c>
      <c r="AY763" s="416">
        <v>0</v>
      </c>
      <c r="AZ763" s="416">
        <v>0</v>
      </c>
    </row>
    <row r="764" spans="1:52" s="411" customFormat="1" x14ac:dyDescent="0.3">
      <c r="A764" s="415" t="str">
        <f t="shared" si="11"/>
        <v>SA-403 Gr.316N</v>
      </c>
      <c r="B764" s="415">
        <v>758</v>
      </c>
      <c r="C764" s="415" t="s">
        <v>3249</v>
      </c>
      <c r="D764" s="415" t="s">
        <v>2758</v>
      </c>
      <c r="E764" s="415" t="s">
        <v>2229</v>
      </c>
      <c r="F764" s="415" t="s">
        <v>2273</v>
      </c>
      <c r="G764" s="415" t="s">
        <v>3251</v>
      </c>
      <c r="H764" s="415">
        <v>0</v>
      </c>
      <c r="I764" s="415">
        <v>0</v>
      </c>
      <c r="J764" s="415">
        <v>8</v>
      </c>
      <c r="K764" s="415">
        <v>1</v>
      </c>
      <c r="L764" s="415">
        <v>550</v>
      </c>
      <c r="M764" s="415">
        <v>240</v>
      </c>
      <c r="N764" s="415" t="s">
        <v>2675</v>
      </c>
      <c r="O764" s="415">
        <v>427</v>
      </c>
      <c r="P764" s="415">
        <v>649</v>
      </c>
      <c r="Q764" s="415">
        <v>343</v>
      </c>
      <c r="R764" s="415" t="s">
        <v>3069</v>
      </c>
      <c r="S764" s="415" t="s">
        <v>3261</v>
      </c>
      <c r="T764" s="416">
        <v>158</v>
      </c>
      <c r="U764" s="416">
        <v>158</v>
      </c>
      <c r="V764" s="416">
        <v>158</v>
      </c>
      <c r="W764" s="416">
        <v>158</v>
      </c>
      <c r="X764" s="416">
        <v>155</v>
      </c>
      <c r="Y764" s="416">
        <v>152</v>
      </c>
      <c r="Z764" s="416">
        <v>148</v>
      </c>
      <c r="AA764" s="416">
        <v>146</v>
      </c>
      <c r="AB764" s="416">
        <v>145</v>
      </c>
      <c r="AC764" s="416">
        <v>144</v>
      </c>
      <c r="AD764" s="416">
        <v>140</v>
      </c>
      <c r="AE764" s="416">
        <v>137</v>
      </c>
      <c r="AF764" s="416">
        <v>135</v>
      </c>
      <c r="AG764" s="416">
        <v>133</v>
      </c>
      <c r="AH764" s="416">
        <v>130</v>
      </c>
      <c r="AI764" s="416">
        <v>128</v>
      </c>
      <c r="AJ764" s="416">
        <v>126</v>
      </c>
      <c r="AK764" s="416">
        <v>124</v>
      </c>
      <c r="AL764" s="416">
        <v>119</v>
      </c>
      <c r="AM764" s="416">
        <v>101</v>
      </c>
      <c r="AN764" s="416">
        <v>81.599999999999994</v>
      </c>
      <c r="AO764" s="416">
        <v>65.3</v>
      </c>
      <c r="AP764" s="416">
        <v>50.4</v>
      </c>
      <c r="AQ764" s="416">
        <v>0</v>
      </c>
      <c r="AR764" s="416">
        <v>0</v>
      </c>
      <c r="AS764" s="416">
        <v>0</v>
      </c>
      <c r="AT764" s="416">
        <v>0</v>
      </c>
      <c r="AU764" s="416">
        <v>0</v>
      </c>
      <c r="AV764" s="416">
        <v>0</v>
      </c>
      <c r="AW764" s="416">
        <v>0</v>
      </c>
      <c r="AX764" s="416">
        <v>0</v>
      </c>
      <c r="AY764" s="416">
        <v>0</v>
      </c>
      <c r="AZ764" s="416">
        <v>0</v>
      </c>
    </row>
    <row r="765" spans="1:52" s="411" customFormat="1" x14ac:dyDescent="0.3">
      <c r="A765" s="415" t="str">
        <f t="shared" si="11"/>
        <v>SA-479 Gr.316N</v>
      </c>
      <c r="B765" s="415">
        <v>759</v>
      </c>
      <c r="C765" s="415" t="s">
        <v>3249</v>
      </c>
      <c r="D765" s="415" t="s">
        <v>2677</v>
      </c>
      <c r="E765" s="415" t="s">
        <v>2245</v>
      </c>
      <c r="F765" s="415" t="s">
        <v>2273</v>
      </c>
      <c r="G765" s="415" t="s">
        <v>3251</v>
      </c>
      <c r="H765" s="415">
        <v>0</v>
      </c>
      <c r="I765" s="415">
        <v>0</v>
      </c>
      <c r="J765" s="415">
        <v>8</v>
      </c>
      <c r="K765" s="415">
        <v>1</v>
      </c>
      <c r="L765" s="415">
        <v>550</v>
      </c>
      <c r="M765" s="415">
        <v>240</v>
      </c>
      <c r="N765" s="415">
        <v>649</v>
      </c>
      <c r="O765" s="415">
        <v>427</v>
      </c>
      <c r="P765" s="415" t="s">
        <v>2675</v>
      </c>
      <c r="Q765" s="415" t="s">
        <v>2675</v>
      </c>
      <c r="R765" s="415" t="s">
        <v>3069</v>
      </c>
      <c r="S765" s="415" t="s">
        <v>3259</v>
      </c>
      <c r="T765" s="416">
        <v>158</v>
      </c>
      <c r="U765" s="416">
        <v>158</v>
      </c>
      <c r="V765" s="416">
        <v>158</v>
      </c>
      <c r="W765" s="416">
        <v>158</v>
      </c>
      <c r="X765" s="416">
        <v>155</v>
      </c>
      <c r="Y765" s="416">
        <v>152</v>
      </c>
      <c r="Z765" s="416">
        <v>148</v>
      </c>
      <c r="AA765" s="416">
        <v>146</v>
      </c>
      <c r="AB765" s="416">
        <v>145</v>
      </c>
      <c r="AC765" s="416">
        <v>144</v>
      </c>
      <c r="AD765" s="416">
        <v>140</v>
      </c>
      <c r="AE765" s="416">
        <v>137</v>
      </c>
      <c r="AF765" s="416">
        <v>135</v>
      </c>
      <c r="AG765" s="416">
        <v>133</v>
      </c>
      <c r="AH765" s="416">
        <v>130</v>
      </c>
      <c r="AI765" s="416">
        <v>128</v>
      </c>
      <c r="AJ765" s="416">
        <v>126</v>
      </c>
      <c r="AK765" s="416">
        <v>124</v>
      </c>
      <c r="AL765" s="416">
        <v>119</v>
      </c>
      <c r="AM765" s="416">
        <v>101</v>
      </c>
      <c r="AN765" s="416">
        <v>81.599999999999994</v>
      </c>
      <c r="AO765" s="416">
        <v>65.3</v>
      </c>
      <c r="AP765" s="416">
        <v>50.4</v>
      </c>
      <c r="AQ765" s="416">
        <v>0</v>
      </c>
      <c r="AR765" s="416">
        <v>0</v>
      </c>
      <c r="AS765" s="416">
        <v>0</v>
      </c>
      <c r="AT765" s="416">
        <v>0</v>
      </c>
      <c r="AU765" s="416">
        <v>0</v>
      </c>
      <c r="AV765" s="416">
        <v>0</v>
      </c>
      <c r="AW765" s="416">
        <v>0</v>
      </c>
      <c r="AX765" s="416">
        <v>0</v>
      </c>
      <c r="AY765" s="416">
        <v>0</v>
      </c>
      <c r="AZ765" s="416">
        <v>0</v>
      </c>
    </row>
    <row r="766" spans="1:52" s="411" customFormat="1" x14ac:dyDescent="0.3">
      <c r="A766" s="415" t="str">
        <f t="shared" si="11"/>
        <v>SA-479 Gr.316N</v>
      </c>
      <c r="B766" s="415">
        <v>760</v>
      </c>
      <c r="C766" s="415" t="s">
        <v>3249</v>
      </c>
      <c r="D766" s="415" t="s">
        <v>2677</v>
      </c>
      <c r="E766" s="415" t="s">
        <v>2245</v>
      </c>
      <c r="F766" s="415" t="s">
        <v>2273</v>
      </c>
      <c r="G766" s="415" t="s">
        <v>3251</v>
      </c>
      <c r="H766" s="415">
        <v>0</v>
      </c>
      <c r="I766" s="415">
        <v>0</v>
      </c>
      <c r="J766" s="415">
        <v>8</v>
      </c>
      <c r="K766" s="415">
        <v>1</v>
      </c>
      <c r="L766" s="415">
        <v>550</v>
      </c>
      <c r="M766" s="415">
        <v>240</v>
      </c>
      <c r="N766" s="415">
        <v>649</v>
      </c>
      <c r="O766" s="415" t="s">
        <v>2675</v>
      </c>
      <c r="P766" s="415" t="s">
        <v>2675</v>
      </c>
      <c r="Q766" s="415" t="s">
        <v>2675</v>
      </c>
      <c r="R766" s="415" t="s">
        <v>3069</v>
      </c>
      <c r="S766" s="415" t="s">
        <v>3260</v>
      </c>
      <c r="T766" s="416">
        <v>158</v>
      </c>
      <c r="U766" s="416">
        <v>158</v>
      </c>
      <c r="V766" s="416">
        <v>150</v>
      </c>
      <c r="W766" s="416">
        <v>141</v>
      </c>
      <c r="X766" s="416">
        <v>136</v>
      </c>
      <c r="Y766" s="416">
        <v>131</v>
      </c>
      <c r="Z766" s="416">
        <v>122</v>
      </c>
      <c r="AA766" s="416">
        <v>115</v>
      </c>
      <c r="AB766" s="416">
        <v>109</v>
      </c>
      <c r="AC766" s="416">
        <v>107</v>
      </c>
      <c r="AD766" s="416">
        <v>104</v>
      </c>
      <c r="AE766" s="416">
        <v>102</v>
      </c>
      <c r="AF766" s="416">
        <v>99.9</v>
      </c>
      <c r="AG766" s="416">
        <v>98</v>
      </c>
      <c r="AH766" s="416">
        <v>96.1</v>
      </c>
      <c r="AI766" s="416">
        <v>94.9</v>
      </c>
      <c r="AJ766" s="416">
        <v>93.1</v>
      </c>
      <c r="AK766" s="416">
        <v>91.7</v>
      </c>
      <c r="AL766" s="416">
        <v>90.1</v>
      </c>
      <c r="AM766" s="416">
        <v>88.5</v>
      </c>
      <c r="AN766" s="416">
        <v>81.599999999999994</v>
      </c>
      <c r="AO766" s="416">
        <v>65.3</v>
      </c>
      <c r="AP766" s="416">
        <v>50.4</v>
      </c>
      <c r="AQ766" s="416">
        <v>0</v>
      </c>
      <c r="AR766" s="416">
        <v>0</v>
      </c>
      <c r="AS766" s="416">
        <v>0</v>
      </c>
      <c r="AT766" s="416">
        <v>0</v>
      </c>
      <c r="AU766" s="416">
        <v>0</v>
      </c>
      <c r="AV766" s="416">
        <v>0</v>
      </c>
      <c r="AW766" s="416">
        <v>0</v>
      </c>
      <c r="AX766" s="416">
        <v>0</v>
      </c>
      <c r="AY766" s="416">
        <v>0</v>
      </c>
      <c r="AZ766" s="416">
        <v>0</v>
      </c>
    </row>
    <row r="767" spans="1:52" s="411" customFormat="1" x14ac:dyDescent="0.3">
      <c r="A767" s="415" t="str">
        <f t="shared" si="11"/>
        <v>SA-688 Gr.TP316N</v>
      </c>
      <c r="B767" s="415">
        <v>761</v>
      </c>
      <c r="C767" s="415" t="s">
        <v>3249</v>
      </c>
      <c r="D767" s="415" t="s">
        <v>2689</v>
      </c>
      <c r="E767" s="415" t="s">
        <v>2301</v>
      </c>
      <c r="F767" s="415" t="s">
        <v>2572</v>
      </c>
      <c r="G767" s="415" t="s">
        <v>3251</v>
      </c>
      <c r="H767" s="415">
        <v>0</v>
      </c>
      <c r="I767" s="415">
        <v>0</v>
      </c>
      <c r="J767" s="415">
        <v>8</v>
      </c>
      <c r="K767" s="415">
        <v>1</v>
      </c>
      <c r="L767" s="415">
        <v>550</v>
      </c>
      <c r="M767" s="415">
        <v>240</v>
      </c>
      <c r="N767" s="415" t="s">
        <v>2675</v>
      </c>
      <c r="O767" s="415">
        <v>427</v>
      </c>
      <c r="P767" s="415" t="s">
        <v>2675</v>
      </c>
      <c r="Q767" s="415" t="s">
        <v>2675</v>
      </c>
      <c r="R767" s="415" t="s">
        <v>3069</v>
      </c>
      <c r="S767" s="415" t="s">
        <v>3208</v>
      </c>
      <c r="T767" s="416">
        <v>158</v>
      </c>
      <c r="U767" s="416">
        <v>158</v>
      </c>
      <c r="V767" s="416">
        <v>158</v>
      </c>
      <c r="W767" s="416">
        <v>158</v>
      </c>
      <c r="X767" s="416">
        <v>155</v>
      </c>
      <c r="Y767" s="416">
        <v>152</v>
      </c>
      <c r="Z767" s="416">
        <v>148</v>
      </c>
      <c r="AA767" s="416">
        <v>146</v>
      </c>
      <c r="AB767" s="416">
        <v>145</v>
      </c>
      <c r="AC767" s="416">
        <v>144</v>
      </c>
      <c r="AD767" s="416">
        <v>140</v>
      </c>
      <c r="AE767" s="416">
        <v>137</v>
      </c>
      <c r="AF767" s="416">
        <v>135</v>
      </c>
      <c r="AG767" s="416">
        <v>133</v>
      </c>
      <c r="AH767" s="416">
        <v>130</v>
      </c>
      <c r="AI767" s="416">
        <v>0</v>
      </c>
      <c r="AJ767" s="416">
        <v>0</v>
      </c>
      <c r="AK767" s="416">
        <v>0</v>
      </c>
      <c r="AL767" s="416">
        <v>0</v>
      </c>
      <c r="AM767" s="416">
        <v>0</v>
      </c>
      <c r="AN767" s="416">
        <v>0</v>
      </c>
      <c r="AO767" s="416">
        <v>0</v>
      </c>
      <c r="AP767" s="416">
        <v>0</v>
      </c>
      <c r="AQ767" s="416">
        <v>0</v>
      </c>
      <c r="AR767" s="416">
        <v>0</v>
      </c>
      <c r="AS767" s="416">
        <v>0</v>
      </c>
      <c r="AT767" s="416">
        <v>0</v>
      </c>
      <c r="AU767" s="416">
        <v>0</v>
      </c>
      <c r="AV767" s="416">
        <v>0</v>
      </c>
      <c r="AW767" s="416">
        <v>0</v>
      </c>
      <c r="AX767" s="416">
        <v>0</v>
      </c>
      <c r="AY767" s="416">
        <v>0</v>
      </c>
      <c r="AZ767" s="416">
        <v>0</v>
      </c>
    </row>
    <row r="768" spans="1:52" s="411" customFormat="1" x14ac:dyDescent="0.3">
      <c r="A768" s="415" t="str">
        <f t="shared" si="11"/>
        <v>SA-813 Gr.TP316N</v>
      </c>
      <c r="B768" s="415">
        <v>762</v>
      </c>
      <c r="C768" s="415" t="s">
        <v>3249</v>
      </c>
      <c r="D768" s="415" t="s">
        <v>2680</v>
      </c>
      <c r="E768" s="415" t="s">
        <v>2328</v>
      </c>
      <c r="F768" s="415" t="s">
        <v>2572</v>
      </c>
      <c r="G768" s="415" t="s">
        <v>3251</v>
      </c>
      <c r="H768" s="415">
        <v>0</v>
      </c>
      <c r="I768" s="415">
        <v>0</v>
      </c>
      <c r="J768" s="415">
        <v>8</v>
      </c>
      <c r="K768" s="415">
        <v>1</v>
      </c>
      <c r="L768" s="415">
        <v>550</v>
      </c>
      <c r="M768" s="415">
        <v>240</v>
      </c>
      <c r="N768" s="415" t="s">
        <v>2675</v>
      </c>
      <c r="O768" s="415">
        <v>427</v>
      </c>
      <c r="P768" s="415" t="s">
        <v>2675</v>
      </c>
      <c r="Q768" s="415" t="s">
        <v>2675</v>
      </c>
      <c r="R768" s="415" t="s">
        <v>3069</v>
      </c>
      <c r="S768" s="415" t="s">
        <v>3208</v>
      </c>
      <c r="T768" s="416">
        <v>158</v>
      </c>
      <c r="U768" s="416">
        <v>158</v>
      </c>
      <c r="V768" s="416">
        <v>158</v>
      </c>
      <c r="W768" s="416">
        <v>158</v>
      </c>
      <c r="X768" s="416">
        <v>155</v>
      </c>
      <c r="Y768" s="416">
        <v>152</v>
      </c>
      <c r="Z768" s="416">
        <v>148</v>
      </c>
      <c r="AA768" s="416">
        <v>146</v>
      </c>
      <c r="AB768" s="416">
        <v>145</v>
      </c>
      <c r="AC768" s="416">
        <v>144</v>
      </c>
      <c r="AD768" s="416">
        <v>140</v>
      </c>
      <c r="AE768" s="416">
        <v>137</v>
      </c>
      <c r="AF768" s="416">
        <v>135</v>
      </c>
      <c r="AG768" s="416">
        <v>133</v>
      </c>
      <c r="AH768" s="416">
        <v>130</v>
      </c>
      <c r="AI768" s="416">
        <v>0</v>
      </c>
      <c r="AJ768" s="416">
        <v>0</v>
      </c>
      <c r="AK768" s="416">
        <v>0</v>
      </c>
      <c r="AL768" s="416">
        <v>0</v>
      </c>
      <c r="AM768" s="416">
        <v>0</v>
      </c>
      <c r="AN768" s="416">
        <v>0</v>
      </c>
      <c r="AO768" s="416">
        <v>0</v>
      </c>
      <c r="AP768" s="416">
        <v>0</v>
      </c>
      <c r="AQ768" s="416">
        <v>0</v>
      </c>
      <c r="AR768" s="416">
        <v>0</v>
      </c>
      <c r="AS768" s="416">
        <v>0</v>
      </c>
      <c r="AT768" s="416">
        <v>0</v>
      </c>
      <c r="AU768" s="416">
        <v>0</v>
      </c>
      <c r="AV768" s="416">
        <v>0</v>
      </c>
      <c r="AW768" s="416">
        <v>0</v>
      </c>
      <c r="AX768" s="416">
        <v>0</v>
      </c>
      <c r="AY768" s="416">
        <v>0</v>
      </c>
      <c r="AZ768" s="416">
        <v>0</v>
      </c>
    </row>
    <row r="769" spans="1:52" s="411" customFormat="1" x14ac:dyDescent="0.3">
      <c r="A769" s="415" t="str">
        <f t="shared" si="11"/>
        <v>SA-814 Gr.TP316N</v>
      </c>
      <c r="B769" s="415">
        <v>763</v>
      </c>
      <c r="C769" s="415" t="s">
        <v>3249</v>
      </c>
      <c r="D769" s="415" t="s">
        <v>2680</v>
      </c>
      <c r="E769" s="415" t="s">
        <v>2330</v>
      </c>
      <c r="F769" s="415" t="s">
        <v>2572</v>
      </c>
      <c r="G769" s="415" t="s">
        <v>3251</v>
      </c>
      <c r="H769" s="415">
        <v>0</v>
      </c>
      <c r="I769" s="415">
        <v>0</v>
      </c>
      <c r="J769" s="415">
        <v>8</v>
      </c>
      <c r="K769" s="415">
        <v>1</v>
      </c>
      <c r="L769" s="415">
        <v>550</v>
      </c>
      <c r="M769" s="415">
        <v>240</v>
      </c>
      <c r="N769" s="415" t="s">
        <v>2675</v>
      </c>
      <c r="O769" s="415">
        <v>427</v>
      </c>
      <c r="P769" s="415" t="s">
        <v>2675</v>
      </c>
      <c r="Q769" s="415" t="s">
        <v>2675</v>
      </c>
      <c r="R769" s="415" t="s">
        <v>3069</v>
      </c>
      <c r="S769" s="415" t="s">
        <v>3208</v>
      </c>
      <c r="T769" s="416">
        <v>158</v>
      </c>
      <c r="U769" s="416">
        <v>158</v>
      </c>
      <c r="V769" s="416">
        <v>158</v>
      </c>
      <c r="W769" s="416">
        <v>158</v>
      </c>
      <c r="X769" s="416">
        <v>155</v>
      </c>
      <c r="Y769" s="416">
        <v>152</v>
      </c>
      <c r="Z769" s="416">
        <v>148</v>
      </c>
      <c r="AA769" s="416">
        <v>146</v>
      </c>
      <c r="AB769" s="416">
        <v>145</v>
      </c>
      <c r="AC769" s="416">
        <v>144</v>
      </c>
      <c r="AD769" s="416">
        <v>140</v>
      </c>
      <c r="AE769" s="416">
        <v>137</v>
      </c>
      <c r="AF769" s="416">
        <v>135</v>
      </c>
      <c r="AG769" s="416">
        <v>133</v>
      </c>
      <c r="AH769" s="416">
        <v>130</v>
      </c>
      <c r="AI769" s="416">
        <v>0</v>
      </c>
      <c r="AJ769" s="416">
        <v>0</v>
      </c>
      <c r="AK769" s="416">
        <v>0</v>
      </c>
      <c r="AL769" s="416">
        <v>0</v>
      </c>
      <c r="AM769" s="416">
        <v>0</v>
      </c>
      <c r="AN769" s="416">
        <v>0</v>
      </c>
      <c r="AO769" s="416">
        <v>0</v>
      </c>
      <c r="AP769" s="416">
        <v>0</v>
      </c>
      <c r="AQ769" s="416">
        <v>0</v>
      </c>
      <c r="AR769" s="416">
        <v>0</v>
      </c>
      <c r="AS769" s="416">
        <v>0</v>
      </c>
      <c r="AT769" s="416">
        <v>0</v>
      </c>
      <c r="AU769" s="416">
        <v>0</v>
      </c>
      <c r="AV769" s="416">
        <v>0</v>
      </c>
      <c r="AW769" s="416">
        <v>0</v>
      </c>
      <c r="AX769" s="416">
        <v>0</v>
      </c>
      <c r="AY769" s="416">
        <v>0</v>
      </c>
      <c r="AZ769" s="416">
        <v>0</v>
      </c>
    </row>
    <row r="770" spans="1:52" s="411" customFormat="1" x14ac:dyDescent="0.3">
      <c r="A770" s="415" t="str">
        <f t="shared" si="11"/>
        <v>SA-965 Gr.F316N</v>
      </c>
      <c r="B770" s="415">
        <v>764</v>
      </c>
      <c r="C770" s="415" t="s">
        <v>3249</v>
      </c>
      <c r="D770" s="415" t="s">
        <v>2737</v>
      </c>
      <c r="E770" s="415" t="s">
        <v>2337</v>
      </c>
      <c r="F770" s="415" t="s">
        <v>2442</v>
      </c>
      <c r="G770" s="415" t="s">
        <v>3251</v>
      </c>
      <c r="H770" s="415">
        <v>0</v>
      </c>
      <c r="I770" s="415">
        <v>0</v>
      </c>
      <c r="J770" s="415">
        <v>8</v>
      </c>
      <c r="K770" s="415">
        <v>1</v>
      </c>
      <c r="L770" s="415">
        <v>550</v>
      </c>
      <c r="M770" s="415">
        <v>240</v>
      </c>
      <c r="N770" s="415" t="s">
        <v>2675</v>
      </c>
      <c r="O770" s="415">
        <v>427</v>
      </c>
      <c r="P770" s="415">
        <v>649</v>
      </c>
      <c r="Q770" s="415">
        <v>343</v>
      </c>
      <c r="R770" s="415" t="s">
        <v>3069</v>
      </c>
      <c r="S770" s="415" t="s">
        <v>3252</v>
      </c>
      <c r="T770" s="416">
        <v>158</v>
      </c>
      <c r="U770" s="416">
        <v>158</v>
      </c>
      <c r="V770" s="416">
        <v>158</v>
      </c>
      <c r="W770" s="416">
        <v>158</v>
      </c>
      <c r="X770" s="416">
        <v>155</v>
      </c>
      <c r="Y770" s="416">
        <v>152</v>
      </c>
      <c r="Z770" s="416">
        <v>148</v>
      </c>
      <c r="AA770" s="416">
        <v>146</v>
      </c>
      <c r="AB770" s="416">
        <v>145</v>
      </c>
      <c r="AC770" s="416">
        <v>144</v>
      </c>
      <c r="AD770" s="416">
        <v>140</v>
      </c>
      <c r="AE770" s="416">
        <v>137</v>
      </c>
      <c r="AF770" s="416">
        <v>135</v>
      </c>
      <c r="AG770" s="416">
        <v>133</v>
      </c>
      <c r="AH770" s="416">
        <v>130</v>
      </c>
      <c r="AI770" s="416">
        <v>128</v>
      </c>
      <c r="AJ770" s="416">
        <v>126</v>
      </c>
      <c r="AK770" s="416">
        <v>124</v>
      </c>
      <c r="AL770" s="416">
        <v>119</v>
      </c>
      <c r="AM770" s="416">
        <v>101</v>
      </c>
      <c r="AN770" s="416">
        <v>81.599999999999994</v>
      </c>
      <c r="AO770" s="416">
        <v>65.3</v>
      </c>
      <c r="AP770" s="416">
        <v>50.4</v>
      </c>
      <c r="AQ770" s="416">
        <v>0</v>
      </c>
      <c r="AR770" s="416">
        <v>0</v>
      </c>
      <c r="AS770" s="416">
        <v>0</v>
      </c>
      <c r="AT770" s="416">
        <v>0</v>
      </c>
      <c r="AU770" s="416">
        <v>0</v>
      </c>
      <c r="AV770" s="416">
        <v>0</v>
      </c>
      <c r="AW770" s="416">
        <v>0</v>
      </c>
      <c r="AX770" s="416">
        <v>0</v>
      </c>
      <c r="AY770" s="416">
        <v>0</v>
      </c>
      <c r="AZ770" s="416">
        <v>0</v>
      </c>
    </row>
    <row r="771" spans="1:52" s="411" customFormat="1" x14ac:dyDescent="0.3">
      <c r="A771" s="415" t="str">
        <f t="shared" si="11"/>
        <v>SA-965 Gr.F316N</v>
      </c>
      <c r="B771" s="415">
        <v>765</v>
      </c>
      <c r="C771" s="415" t="s">
        <v>3249</v>
      </c>
      <c r="D771" s="415" t="s">
        <v>2737</v>
      </c>
      <c r="E771" s="415" t="s">
        <v>2337</v>
      </c>
      <c r="F771" s="415" t="s">
        <v>2442</v>
      </c>
      <c r="G771" s="415" t="s">
        <v>3251</v>
      </c>
      <c r="H771" s="415">
        <v>0</v>
      </c>
      <c r="I771" s="415">
        <v>0</v>
      </c>
      <c r="J771" s="415">
        <v>8</v>
      </c>
      <c r="K771" s="415">
        <v>1</v>
      </c>
      <c r="L771" s="415">
        <v>550</v>
      </c>
      <c r="M771" s="415">
        <v>240</v>
      </c>
      <c r="N771" s="415" t="s">
        <v>2675</v>
      </c>
      <c r="O771" s="415" t="s">
        <v>2675</v>
      </c>
      <c r="P771" s="415">
        <v>649</v>
      </c>
      <c r="Q771" s="415">
        <v>343</v>
      </c>
      <c r="R771" s="415" t="s">
        <v>3069</v>
      </c>
      <c r="S771" s="415" t="s">
        <v>3253</v>
      </c>
      <c r="T771" s="416">
        <v>158</v>
      </c>
      <c r="U771" s="416">
        <v>158</v>
      </c>
      <c r="V771" s="416">
        <v>150</v>
      </c>
      <c r="W771" s="416">
        <v>141</v>
      </c>
      <c r="X771" s="416">
        <v>136</v>
      </c>
      <c r="Y771" s="416">
        <v>131</v>
      </c>
      <c r="Z771" s="416">
        <v>122</v>
      </c>
      <c r="AA771" s="416">
        <v>115</v>
      </c>
      <c r="AB771" s="416">
        <v>109</v>
      </c>
      <c r="AC771" s="416">
        <v>107</v>
      </c>
      <c r="AD771" s="416">
        <v>104</v>
      </c>
      <c r="AE771" s="416">
        <v>102</v>
      </c>
      <c r="AF771" s="416">
        <v>99.9</v>
      </c>
      <c r="AG771" s="416">
        <v>98</v>
      </c>
      <c r="AH771" s="416">
        <v>96.1</v>
      </c>
      <c r="AI771" s="416">
        <v>94.9</v>
      </c>
      <c r="AJ771" s="416">
        <v>93.1</v>
      </c>
      <c r="AK771" s="416">
        <v>91.7</v>
      </c>
      <c r="AL771" s="416">
        <v>90.1</v>
      </c>
      <c r="AM771" s="416">
        <v>88.5</v>
      </c>
      <c r="AN771" s="416">
        <v>81.599999999999994</v>
      </c>
      <c r="AO771" s="416">
        <v>65.3</v>
      </c>
      <c r="AP771" s="416">
        <v>50.4</v>
      </c>
      <c r="AQ771" s="416">
        <v>0</v>
      </c>
      <c r="AR771" s="416">
        <v>0</v>
      </c>
      <c r="AS771" s="416">
        <v>0</v>
      </c>
      <c r="AT771" s="416">
        <v>0</v>
      </c>
      <c r="AU771" s="416">
        <v>0</v>
      </c>
      <c r="AV771" s="416">
        <v>0</v>
      </c>
      <c r="AW771" s="416">
        <v>0</v>
      </c>
      <c r="AX771" s="416">
        <v>0</v>
      </c>
      <c r="AY771" s="416">
        <v>0</v>
      </c>
      <c r="AZ771" s="416">
        <v>0</v>
      </c>
    </row>
    <row r="772" spans="1:52" s="411" customFormat="1" x14ac:dyDescent="0.3">
      <c r="A772" s="415" t="str">
        <f t="shared" si="11"/>
        <v>SA-240 Gr.316Ti</v>
      </c>
      <c r="B772" s="415">
        <v>766</v>
      </c>
      <c r="C772" s="415" t="s">
        <v>3262</v>
      </c>
      <c r="D772" s="415" t="s">
        <v>2684</v>
      </c>
      <c r="E772" s="415" t="s">
        <v>2165</v>
      </c>
      <c r="F772" s="415" t="s">
        <v>2182</v>
      </c>
      <c r="G772" s="415" t="s">
        <v>3263</v>
      </c>
      <c r="H772" s="415">
        <v>0</v>
      </c>
      <c r="I772" s="415">
        <v>0</v>
      </c>
      <c r="J772" s="415">
        <v>8</v>
      </c>
      <c r="K772" s="415">
        <v>1</v>
      </c>
      <c r="L772" s="415">
        <v>515</v>
      </c>
      <c r="M772" s="415">
        <v>205</v>
      </c>
      <c r="N772" s="415" t="s">
        <v>2675</v>
      </c>
      <c r="O772" s="415" t="s">
        <v>2675</v>
      </c>
      <c r="P772" s="415">
        <v>816</v>
      </c>
      <c r="Q772" s="415">
        <v>343</v>
      </c>
      <c r="R772" s="415" t="s">
        <v>3069</v>
      </c>
      <c r="S772" s="415" t="s">
        <v>3223</v>
      </c>
      <c r="T772" s="416">
        <v>138</v>
      </c>
      <c r="U772" s="416">
        <v>138</v>
      </c>
      <c r="V772" s="416">
        <v>138</v>
      </c>
      <c r="W772" s="416">
        <v>138</v>
      </c>
      <c r="X772" s="416">
        <v>138</v>
      </c>
      <c r="Y772" s="416">
        <v>138</v>
      </c>
      <c r="Z772" s="416">
        <v>134</v>
      </c>
      <c r="AA772" s="416">
        <v>125</v>
      </c>
      <c r="AB772" s="416">
        <v>117</v>
      </c>
      <c r="AC772" s="416">
        <v>116</v>
      </c>
      <c r="AD772" s="416">
        <v>114</v>
      </c>
      <c r="AE772" s="416">
        <v>112</v>
      </c>
      <c r="AF772" s="416">
        <v>111</v>
      </c>
      <c r="AG772" s="416">
        <v>110</v>
      </c>
      <c r="AH772" s="416">
        <v>109</v>
      </c>
      <c r="AI772" s="416">
        <v>108</v>
      </c>
      <c r="AJ772" s="416">
        <v>107</v>
      </c>
      <c r="AK772" s="416">
        <v>106</v>
      </c>
      <c r="AL772" s="416">
        <v>105</v>
      </c>
      <c r="AM772" s="416">
        <v>99.8</v>
      </c>
      <c r="AN772" s="416">
        <v>80.3</v>
      </c>
      <c r="AO772" s="416">
        <v>65.5</v>
      </c>
      <c r="AP772" s="416">
        <v>50.4</v>
      </c>
      <c r="AQ772" s="416">
        <v>38.6</v>
      </c>
      <c r="AR772" s="416">
        <v>29.6</v>
      </c>
      <c r="AS772" s="416">
        <v>23</v>
      </c>
      <c r="AT772" s="416">
        <v>17.7</v>
      </c>
      <c r="AU772" s="416">
        <v>13.4</v>
      </c>
      <c r="AV772" s="416">
        <v>10.4</v>
      </c>
      <c r="AW772" s="416">
        <v>8.0500000000000007</v>
      </c>
      <c r="AX772" s="416">
        <v>0</v>
      </c>
      <c r="AY772" s="416">
        <v>0</v>
      </c>
      <c r="AZ772" s="416">
        <v>0</v>
      </c>
    </row>
    <row r="773" spans="1:52" s="411" customFormat="1" x14ac:dyDescent="0.3">
      <c r="A773" s="415" t="str">
        <f t="shared" si="11"/>
        <v>SA-240 Gr.316Ti</v>
      </c>
      <c r="B773" s="415">
        <v>767</v>
      </c>
      <c r="C773" s="415" t="s">
        <v>3262</v>
      </c>
      <c r="D773" s="415" t="s">
        <v>2684</v>
      </c>
      <c r="E773" s="415" t="s">
        <v>2165</v>
      </c>
      <c r="F773" s="415" t="s">
        <v>2182</v>
      </c>
      <c r="G773" s="415" t="s">
        <v>3263</v>
      </c>
      <c r="H773" s="415">
        <v>0</v>
      </c>
      <c r="I773" s="415">
        <v>0</v>
      </c>
      <c r="J773" s="415">
        <v>8</v>
      </c>
      <c r="K773" s="415">
        <v>1</v>
      </c>
      <c r="L773" s="415">
        <v>515</v>
      </c>
      <c r="M773" s="415">
        <v>205</v>
      </c>
      <c r="N773" s="415" t="s">
        <v>2675</v>
      </c>
      <c r="O773" s="415" t="s">
        <v>2675</v>
      </c>
      <c r="P773" s="415">
        <v>816</v>
      </c>
      <c r="Q773" s="415">
        <v>343</v>
      </c>
      <c r="R773" s="415" t="s">
        <v>3069</v>
      </c>
      <c r="S773" s="415" t="s">
        <v>3224</v>
      </c>
      <c r="T773" s="416">
        <v>138</v>
      </c>
      <c r="U773" s="416">
        <v>138</v>
      </c>
      <c r="V773" s="416">
        <v>130</v>
      </c>
      <c r="W773" s="416">
        <v>120</v>
      </c>
      <c r="X773" s="416">
        <v>114</v>
      </c>
      <c r="Y773" s="416">
        <v>109</v>
      </c>
      <c r="Z773" s="416">
        <v>99.3</v>
      </c>
      <c r="AA773" s="416">
        <v>92.2</v>
      </c>
      <c r="AB773" s="416">
        <v>86.7</v>
      </c>
      <c r="AC773" s="416">
        <v>85</v>
      </c>
      <c r="AD773" s="416">
        <v>84.1</v>
      </c>
      <c r="AE773" s="416">
        <v>82.9</v>
      </c>
      <c r="AF773" s="416">
        <v>82</v>
      </c>
      <c r="AG773" s="416">
        <v>81.400000000000006</v>
      </c>
      <c r="AH773" s="416">
        <v>80.599999999999994</v>
      </c>
      <c r="AI773" s="416">
        <v>79.8</v>
      </c>
      <c r="AJ773" s="416">
        <v>79.2</v>
      </c>
      <c r="AK773" s="416">
        <v>78.7</v>
      </c>
      <c r="AL773" s="416">
        <v>77.8</v>
      </c>
      <c r="AM773" s="416">
        <v>77.099999999999994</v>
      </c>
      <c r="AN773" s="416">
        <v>75</v>
      </c>
      <c r="AO773" s="416">
        <v>65.5</v>
      </c>
      <c r="AP773" s="416">
        <v>50.4</v>
      </c>
      <c r="AQ773" s="416">
        <v>38.6</v>
      </c>
      <c r="AR773" s="416">
        <v>29.6</v>
      </c>
      <c r="AS773" s="416">
        <v>23</v>
      </c>
      <c r="AT773" s="416">
        <v>17.7</v>
      </c>
      <c r="AU773" s="416">
        <v>13.4</v>
      </c>
      <c r="AV773" s="416">
        <v>10.4</v>
      </c>
      <c r="AW773" s="416">
        <v>8.0500000000000007</v>
      </c>
      <c r="AX773" s="416">
        <v>0</v>
      </c>
      <c r="AY773" s="416">
        <v>0</v>
      </c>
      <c r="AZ773" s="416">
        <v>0</v>
      </c>
    </row>
    <row r="774" spans="1:52" s="411" customFormat="1" x14ac:dyDescent="0.3">
      <c r="A774" s="415" t="str">
        <f t="shared" si="11"/>
        <v>SA-240 Gr.201-1</v>
      </c>
      <c r="B774" s="415">
        <v>768</v>
      </c>
      <c r="C774" s="415" t="s">
        <v>3264</v>
      </c>
      <c r="D774" s="415" t="s">
        <v>2684</v>
      </c>
      <c r="E774" s="415" t="s">
        <v>2165</v>
      </c>
      <c r="F774" s="415" t="s">
        <v>2228</v>
      </c>
      <c r="G774" s="415" t="s">
        <v>3265</v>
      </c>
      <c r="H774" s="415">
        <v>0</v>
      </c>
      <c r="I774" s="415">
        <v>0</v>
      </c>
      <c r="J774" s="415">
        <v>8</v>
      </c>
      <c r="K774" s="415">
        <v>3</v>
      </c>
      <c r="L774" s="415">
        <v>515</v>
      </c>
      <c r="M774" s="415">
        <v>260</v>
      </c>
      <c r="N774" s="415" t="s">
        <v>2675</v>
      </c>
      <c r="O774" s="415" t="s">
        <v>2675</v>
      </c>
      <c r="P774" s="415">
        <v>149</v>
      </c>
      <c r="Q774" s="415">
        <v>149</v>
      </c>
      <c r="R774" s="415" t="s">
        <v>3069</v>
      </c>
      <c r="S774" s="415">
        <v>0</v>
      </c>
      <c r="T774" s="416">
        <v>147</v>
      </c>
      <c r="U774" s="416">
        <v>147</v>
      </c>
      <c r="V774" s="416">
        <v>147</v>
      </c>
      <c r="W774" s="416">
        <v>130</v>
      </c>
      <c r="X774" s="416">
        <v>121</v>
      </c>
      <c r="Y774" s="416">
        <v>114</v>
      </c>
      <c r="Z774" s="416">
        <v>0</v>
      </c>
      <c r="AA774" s="416">
        <v>0</v>
      </c>
      <c r="AB774" s="416">
        <v>0</v>
      </c>
      <c r="AC774" s="416">
        <v>0</v>
      </c>
      <c r="AD774" s="416">
        <v>0</v>
      </c>
      <c r="AE774" s="416">
        <v>0</v>
      </c>
      <c r="AF774" s="416">
        <v>0</v>
      </c>
      <c r="AG774" s="416">
        <v>0</v>
      </c>
      <c r="AH774" s="416">
        <v>0</v>
      </c>
      <c r="AI774" s="416">
        <v>0</v>
      </c>
      <c r="AJ774" s="416">
        <v>0</v>
      </c>
      <c r="AK774" s="416">
        <v>0</v>
      </c>
      <c r="AL774" s="416">
        <v>0</v>
      </c>
      <c r="AM774" s="416">
        <v>0</v>
      </c>
      <c r="AN774" s="416">
        <v>0</v>
      </c>
      <c r="AO774" s="416">
        <v>0</v>
      </c>
      <c r="AP774" s="416">
        <v>0</v>
      </c>
      <c r="AQ774" s="416">
        <v>0</v>
      </c>
      <c r="AR774" s="416">
        <v>0</v>
      </c>
      <c r="AS774" s="416">
        <v>0</v>
      </c>
      <c r="AT774" s="416">
        <v>0</v>
      </c>
      <c r="AU774" s="416">
        <v>0</v>
      </c>
      <c r="AV774" s="416">
        <v>0</v>
      </c>
      <c r="AW774" s="416">
        <v>0</v>
      </c>
      <c r="AX774" s="416">
        <v>0</v>
      </c>
      <c r="AY774" s="416">
        <v>0</v>
      </c>
      <c r="AZ774" s="416">
        <v>0</v>
      </c>
    </row>
    <row r="775" spans="1:52" s="411" customFormat="1" x14ac:dyDescent="0.3">
      <c r="A775" s="415" t="str">
        <f t="shared" si="11"/>
        <v>SA-240 Gr.201-1</v>
      </c>
      <c r="B775" s="415">
        <v>769</v>
      </c>
      <c r="C775" s="415" t="s">
        <v>3264</v>
      </c>
      <c r="D775" s="415" t="s">
        <v>2684</v>
      </c>
      <c r="E775" s="415" t="s">
        <v>2165</v>
      </c>
      <c r="F775" s="415" t="s">
        <v>2228</v>
      </c>
      <c r="G775" s="415" t="s">
        <v>3265</v>
      </c>
      <c r="H775" s="415">
        <v>0</v>
      </c>
      <c r="I775" s="415">
        <v>0</v>
      </c>
      <c r="J775" s="415">
        <v>8</v>
      </c>
      <c r="K775" s="415">
        <v>3</v>
      </c>
      <c r="L775" s="415">
        <v>515</v>
      </c>
      <c r="M775" s="415">
        <v>260</v>
      </c>
      <c r="N775" s="415" t="s">
        <v>2675</v>
      </c>
      <c r="O775" s="415" t="s">
        <v>2675</v>
      </c>
      <c r="P775" s="415">
        <v>149</v>
      </c>
      <c r="Q775" s="415">
        <v>149</v>
      </c>
      <c r="R775" s="415" t="s">
        <v>3069</v>
      </c>
      <c r="S775" s="415" t="s">
        <v>3189</v>
      </c>
      <c r="T775" s="416">
        <v>147</v>
      </c>
      <c r="U775" s="416">
        <v>147</v>
      </c>
      <c r="V775" s="416">
        <v>147</v>
      </c>
      <c r="W775" s="416">
        <v>140</v>
      </c>
      <c r="X775" s="416">
        <v>134</v>
      </c>
      <c r="Y775" s="416">
        <v>130</v>
      </c>
      <c r="Z775" s="416">
        <v>0</v>
      </c>
      <c r="AA775" s="416">
        <v>0</v>
      </c>
      <c r="AB775" s="416">
        <v>0</v>
      </c>
      <c r="AC775" s="416">
        <v>0</v>
      </c>
      <c r="AD775" s="416">
        <v>0</v>
      </c>
      <c r="AE775" s="416">
        <v>0</v>
      </c>
      <c r="AF775" s="416">
        <v>0</v>
      </c>
      <c r="AG775" s="416">
        <v>0</v>
      </c>
      <c r="AH775" s="416">
        <v>0</v>
      </c>
      <c r="AI775" s="416">
        <v>0</v>
      </c>
      <c r="AJ775" s="416">
        <v>0</v>
      </c>
      <c r="AK775" s="416">
        <v>0</v>
      </c>
      <c r="AL775" s="416">
        <v>0</v>
      </c>
      <c r="AM775" s="416">
        <v>0</v>
      </c>
      <c r="AN775" s="416">
        <v>0</v>
      </c>
      <c r="AO775" s="416">
        <v>0</v>
      </c>
      <c r="AP775" s="416">
        <v>0</v>
      </c>
      <c r="AQ775" s="416">
        <v>0</v>
      </c>
      <c r="AR775" s="416">
        <v>0</v>
      </c>
      <c r="AS775" s="416">
        <v>0</v>
      </c>
      <c r="AT775" s="416">
        <v>0</v>
      </c>
      <c r="AU775" s="416">
        <v>0</v>
      </c>
      <c r="AV775" s="416">
        <v>0</v>
      </c>
      <c r="AW775" s="416">
        <v>0</v>
      </c>
      <c r="AX775" s="416">
        <v>0</v>
      </c>
      <c r="AY775" s="416">
        <v>0</v>
      </c>
      <c r="AZ775" s="416">
        <v>0</v>
      </c>
    </row>
    <row r="776" spans="1:52" s="411" customFormat="1" x14ac:dyDescent="0.3">
      <c r="A776" s="415" t="str">
        <f t="shared" ref="A776:A839" si="12">CONCATENATE(E776," Gr.",F776)</f>
        <v>SA-666 Gr.201-1</v>
      </c>
      <c r="B776" s="415">
        <v>770</v>
      </c>
      <c r="C776" s="415" t="s">
        <v>3264</v>
      </c>
      <c r="D776" s="415" t="s">
        <v>2684</v>
      </c>
      <c r="E776" s="415" t="s">
        <v>2293</v>
      </c>
      <c r="F776" s="415" t="s">
        <v>2228</v>
      </c>
      <c r="G776" s="415" t="s">
        <v>3265</v>
      </c>
      <c r="H776" s="415">
        <v>0</v>
      </c>
      <c r="I776" s="415">
        <v>0</v>
      </c>
      <c r="J776" s="415">
        <v>8</v>
      </c>
      <c r="K776" s="415">
        <v>3</v>
      </c>
      <c r="L776" s="415">
        <v>515</v>
      </c>
      <c r="M776" s="415">
        <v>260</v>
      </c>
      <c r="N776" s="415" t="s">
        <v>2675</v>
      </c>
      <c r="O776" s="415" t="s">
        <v>2675</v>
      </c>
      <c r="P776" s="415">
        <v>149</v>
      </c>
      <c r="Q776" s="415">
        <v>149</v>
      </c>
      <c r="R776" s="415" t="s">
        <v>3069</v>
      </c>
      <c r="S776" s="415">
        <v>0</v>
      </c>
      <c r="T776" s="416">
        <v>147</v>
      </c>
      <c r="U776" s="416">
        <v>147</v>
      </c>
      <c r="V776" s="416">
        <v>147</v>
      </c>
      <c r="W776" s="416">
        <v>130</v>
      </c>
      <c r="X776" s="416">
        <v>121</v>
      </c>
      <c r="Y776" s="416">
        <v>114</v>
      </c>
      <c r="Z776" s="416">
        <v>0</v>
      </c>
      <c r="AA776" s="416">
        <v>0</v>
      </c>
      <c r="AB776" s="416">
        <v>0</v>
      </c>
      <c r="AC776" s="416">
        <v>0</v>
      </c>
      <c r="AD776" s="416">
        <v>0</v>
      </c>
      <c r="AE776" s="416">
        <v>0</v>
      </c>
      <c r="AF776" s="416">
        <v>0</v>
      </c>
      <c r="AG776" s="416">
        <v>0</v>
      </c>
      <c r="AH776" s="416">
        <v>0</v>
      </c>
      <c r="AI776" s="416">
        <v>0</v>
      </c>
      <c r="AJ776" s="416">
        <v>0</v>
      </c>
      <c r="AK776" s="416">
        <v>0</v>
      </c>
      <c r="AL776" s="416">
        <v>0</v>
      </c>
      <c r="AM776" s="416">
        <v>0</v>
      </c>
      <c r="AN776" s="416">
        <v>0</v>
      </c>
      <c r="AO776" s="416">
        <v>0</v>
      </c>
      <c r="AP776" s="416">
        <v>0</v>
      </c>
      <c r="AQ776" s="416">
        <v>0</v>
      </c>
      <c r="AR776" s="416">
        <v>0</v>
      </c>
      <c r="AS776" s="416">
        <v>0</v>
      </c>
      <c r="AT776" s="416">
        <v>0</v>
      </c>
      <c r="AU776" s="416">
        <v>0</v>
      </c>
      <c r="AV776" s="416">
        <v>0</v>
      </c>
      <c r="AW776" s="416">
        <v>0</v>
      </c>
      <c r="AX776" s="416">
        <v>0</v>
      </c>
      <c r="AY776" s="416">
        <v>0</v>
      </c>
      <c r="AZ776" s="416">
        <v>0</v>
      </c>
    </row>
    <row r="777" spans="1:52" s="411" customFormat="1" x14ac:dyDescent="0.3">
      <c r="A777" s="415" t="str">
        <f t="shared" si="12"/>
        <v>SA-666 Gr.201-1</v>
      </c>
      <c r="B777" s="415">
        <v>771</v>
      </c>
      <c r="C777" s="415" t="s">
        <v>3264</v>
      </c>
      <c r="D777" s="415" t="s">
        <v>2684</v>
      </c>
      <c r="E777" s="415" t="s">
        <v>2293</v>
      </c>
      <c r="F777" s="415" t="s">
        <v>2228</v>
      </c>
      <c r="G777" s="415" t="s">
        <v>3265</v>
      </c>
      <c r="H777" s="415">
        <v>0</v>
      </c>
      <c r="I777" s="415">
        <v>0</v>
      </c>
      <c r="J777" s="415">
        <v>8</v>
      </c>
      <c r="K777" s="415">
        <v>3</v>
      </c>
      <c r="L777" s="415">
        <v>515</v>
      </c>
      <c r="M777" s="415">
        <v>260</v>
      </c>
      <c r="N777" s="415" t="s">
        <v>2675</v>
      </c>
      <c r="O777" s="415" t="s">
        <v>2675</v>
      </c>
      <c r="P777" s="415">
        <v>149</v>
      </c>
      <c r="Q777" s="415">
        <v>149</v>
      </c>
      <c r="R777" s="415" t="s">
        <v>3069</v>
      </c>
      <c r="S777" s="415" t="s">
        <v>3189</v>
      </c>
      <c r="T777" s="416">
        <v>147</v>
      </c>
      <c r="U777" s="416">
        <v>147</v>
      </c>
      <c r="V777" s="416">
        <v>147</v>
      </c>
      <c r="W777" s="416">
        <v>140</v>
      </c>
      <c r="X777" s="416">
        <v>134</v>
      </c>
      <c r="Y777" s="416">
        <v>130</v>
      </c>
      <c r="Z777" s="416">
        <v>0</v>
      </c>
      <c r="AA777" s="416">
        <v>0</v>
      </c>
      <c r="AB777" s="416">
        <v>0</v>
      </c>
      <c r="AC777" s="416">
        <v>0</v>
      </c>
      <c r="AD777" s="416">
        <v>0</v>
      </c>
      <c r="AE777" s="416">
        <v>0</v>
      </c>
      <c r="AF777" s="416">
        <v>0</v>
      </c>
      <c r="AG777" s="416">
        <v>0</v>
      </c>
      <c r="AH777" s="416">
        <v>0</v>
      </c>
      <c r="AI777" s="416">
        <v>0</v>
      </c>
      <c r="AJ777" s="416">
        <v>0</v>
      </c>
      <c r="AK777" s="416">
        <v>0</v>
      </c>
      <c r="AL777" s="416">
        <v>0</v>
      </c>
      <c r="AM777" s="416">
        <v>0</v>
      </c>
      <c r="AN777" s="416">
        <v>0</v>
      </c>
      <c r="AO777" s="416">
        <v>0</v>
      </c>
      <c r="AP777" s="416">
        <v>0</v>
      </c>
      <c r="AQ777" s="416">
        <v>0</v>
      </c>
      <c r="AR777" s="416">
        <v>0</v>
      </c>
      <c r="AS777" s="416">
        <v>0</v>
      </c>
      <c r="AT777" s="416">
        <v>0</v>
      </c>
      <c r="AU777" s="416">
        <v>0</v>
      </c>
      <c r="AV777" s="416">
        <v>0</v>
      </c>
      <c r="AW777" s="416">
        <v>0</v>
      </c>
      <c r="AX777" s="416">
        <v>0</v>
      </c>
      <c r="AY777" s="416">
        <v>0</v>
      </c>
      <c r="AZ777" s="416">
        <v>0</v>
      </c>
    </row>
    <row r="778" spans="1:52" s="411" customFormat="1" x14ac:dyDescent="0.3">
      <c r="A778" s="415" t="str">
        <f t="shared" si="12"/>
        <v>SA-240 Gr.201-2</v>
      </c>
      <c r="B778" s="415">
        <v>772</v>
      </c>
      <c r="C778" s="415" t="s">
        <v>3264</v>
      </c>
      <c r="D778" s="415" t="s">
        <v>2684</v>
      </c>
      <c r="E778" s="415" t="s">
        <v>2165</v>
      </c>
      <c r="F778" s="415" t="s">
        <v>2230</v>
      </c>
      <c r="G778" s="415" t="s">
        <v>3265</v>
      </c>
      <c r="H778" s="415">
        <v>0</v>
      </c>
      <c r="I778" s="415">
        <v>0</v>
      </c>
      <c r="J778" s="415">
        <v>8</v>
      </c>
      <c r="K778" s="415">
        <v>3</v>
      </c>
      <c r="L778" s="415">
        <v>655</v>
      </c>
      <c r="M778" s="415">
        <v>310</v>
      </c>
      <c r="N778" s="415" t="s">
        <v>2675</v>
      </c>
      <c r="O778" s="415" t="s">
        <v>2675</v>
      </c>
      <c r="P778" s="415">
        <v>149</v>
      </c>
      <c r="Q778" s="415">
        <v>149</v>
      </c>
      <c r="R778" s="415" t="s">
        <v>3073</v>
      </c>
      <c r="S778" s="415">
        <v>0</v>
      </c>
      <c r="T778" s="416">
        <v>187</v>
      </c>
      <c r="U778" s="416">
        <v>187</v>
      </c>
      <c r="V778" s="416">
        <v>171</v>
      </c>
      <c r="W778" s="416">
        <v>154</v>
      </c>
      <c r="X778" s="416">
        <v>145</v>
      </c>
      <c r="Y778" s="416">
        <v>135</v>
      </c>
      <c r="Z778" s="416">
        <v>0</v>
      </c>
      <c r="AA778" s="416">
        <v>0</v>
      </c>
      <c r="AB778" s="416">
        <v>0</v>
      </c>
      <c r="AC778" s="416">
        <v>0</v>
      </c>
      <c r="AD778" s="416">
        <v>0</v>
      </c>
      <c r="AE778" s="416">
        <v>0</v>
      </c>
      <c r="AF778" s="416">
        <v>0</v>
      </c>
      <c r="AG778" s="416">
        <v>0</v>
      </c>
      <c r="AH778" s="416">
        <v>0</v>
      </c>
      <c r="AI778" s="416">
        <v>0</v>
      </c>
      <c r="AJ778" s="416">
        <v>0</v>
      </c>
      <c r="AK778" s="416">
        <v>0</v>
      </c>
      <c r="AL778" s="416">
        <v>0</v>
      </c>
      <c r="AM778" s="416">
        <v>0</v>
      </c>
      <c r="AN778" s="416">
        <v>0</v>
      </c>
      <c r="AO778" s="416">
        <v>0</v>
      </c>
      <c r="AP778" s="416">
        <v>0</v>
      </c>
      <c r="AQ778" s="416">
        <v>0</v>
      </c>
      <c r="AR778" s="416">
        <v>0</v>
      </c>
      <c r="AS778" s="416">
        <v>0</v>
      </c>
      <c r="AT778" s="416">
        <v>0</v>
      </c>
      <c r="AU778" s="416">
        <v>0</v>
      </c>
      <c r="AV778" s="416">
        <v>0</v>
      </c>
      <c r="AW778" s="416">
        <v>0</v>
      </c>
      <c r="AX778" s="416">
        <v>0</v>
      </c>
      <c r="AY778" s="416">
        <v>0</v>
      </c>
      <c r="AZ778" s="416">
        <v>0</v>
      </c>
    </row>
    <row r="779" spans="1:52" s="411" customFormat="1" x14ac:dyDescent="0.3">
      <c r="A779" s="415" t="str">
        <f t="shared" si="12"/>
        <v>SA-666 Gr.201-2</v>
      </c>
      <c r="B779" s="415">
        <v>773</v>
      </c>
      <c r="C779" s="415" t="s">
        <v>3264</v>
      </c>
      <c r="D779" s="415" t="s">
        <v>2684</v>
      </c>
      <c r="E779" s="415" t="s">
        <v>2293</v>
      </c>
      <c r="F779" s="415" t="s">
        <v>2230</v>
      </c>
      <c r="G779" s="415" t="s">
        <v>3265</v>
      </c>
      <c r="H779" s="415">
        <v>0</v>
      </c>
      <c r="I779" s="415">
        <v>0</v>
      </c>
      <c r="J779" s="415">
        <v>8</v>
      </c>
      <c r="K779" s="415">
        <v>3</v>
      </c>
      <c r="L779" s="415">
        <v>655</v>
      </c>
      <c r="M779" s="415">
        <v>310</v>
      </c>
      <c r="N779" s="415" t="s">
        <v>2675</v>
      </c>
      <c r="O779" s="415" t="s">
        <v>2675</v>
      </c>
      <c r="P779" s="415">
        <v>149</v>
      </c>
      <c r="Q779" s="415">
        <v>149</v>
      </c>
      <c r="R779" s="415" t="s">
        <v>3073</v>
      </c>
      <c r="S779" s="415">
        <v>0</v>
      </c>
      <c r="T779" s="416">
        <v>187</v>
      </c>
      <c r="U779" s="416">
        <v>187</v>
      </c>
      <c r="V779" s="416">
        <v>171</v>
      </c>
      <c r="W779" s="416">
        <v>154</v>
      </c>
      <c r="X779" s="416">
        <v>145</v>
      </c>
      <c r="Y779" s="416">
        <v>135</v>
      </c>
      <c r="Z779" s="416">
        <v>0</v>
      </c>
      <c r="AA779" s="416">
        <v>0</v>
      </c>
      <c r="AB779" s="416">
        <v>0</v>
      </c>
      <c r="AC779" s="416">
        <v>0</v>
      </c>
      <c r="AD779" s="416">
        <v>0</v>
      </c>
      <c r="AE779" s="416">
        <v>0</v>
      </c>
      <c r="AF779" s="416">
        <v>0</v>
      </c>
      <c r="AG779" s="416">
        <v>0</v>
      </c>
      <c r="AH779" s="416">
        <v>0</v>
      </c>
      <c r="AI779" s="416">
        <v>0</v>
      </c>
      <c r="AJ779" s="416">
        <v>0</v>
      </c>
      <c r="AK779" s="416">
        <v>0</v>
      </c>
      <c r="AL779" s="416">
        <v>0</v>
      </c>
      <c r="AM779" s="416">
        <v>0</v>
      </c>
      <c r="AN779" s="416">
        <v>0</v>
      </c>
      <c r="AO779" s="416">
        <v>0</v>
      </c>
      <c r="AP779" s="416">
        <v>0</v>
      </c>
      <c r="AQ779" s="416">
        <v>0</v>
      </c>
      <c r="AR779" s="416">
        <v>0</v>
      </c>
      <c r="AS779" s="416">
        <v>0</v>
      </c>
      <c r="AT779" s="416">
        <v>0</v>
      </c>
      <c r="AU779" s="416">
        <v>0</v>
      </c>
      <c r="AV779" s="416">
        <v>0</v>
      </c>
      <c r="AW779" s="416">
        <v>0</v>
      </c>
      <c r="AX779" s="416">
        <v>0</v>
      </c>
      <c r="AY779" s="416">
        <v>0</v>
      </c>
      <c r="AZ779" s="416">
        <v>0</v>
      </c>
    </row>
    <row r="780" spans="1:52" s="411" customFormat="1" x14ac:dyDescent="0.3">
      <c r="A780" s="415" t="str">
        <f t="shared" si="12"/>
        <v>SA-240 Gr.301</v>
      </c>
      <c r="B780" s="415">
        <v>774</v>
      </c>
      <c r="C780" s="415" t="s">
        <v>3266</v>
      </c>
      <c r="D780" s="415" t="s">
        <v>3267</v>
      </c>
      <c r="E780" s="415" t="s">
        <v>2165</v>
      </c>
      <c r="F780" s="415">
        <v>301</v>
      </c>
      <c r="G780" s="415" t="s">
        <v>3268</v>
      </c>
      <c r="H780" s="415">
        <v>0</v>
      </c>
      <c r="I780" s="415">
        <v>0</v>
      </c>
      <c r="J780" s="415">
        <v>8</v>
      </c>
      <c r="K780" s="415">
        <v>1</v>
      </c>
      <c r="L780" s="415">
        <v>515</v>
      </c>
      <c r="M780" s="415">
        <v>205</v>
      </c>
      <c r="N780" s="415" t="s">
        <v>2675</v>
      </c>
      <c r="O780" s="415" t="s">
        <v>2675</v>
      </c>
      <c r="P780" s="415">
        <v>427</v>
      </c>
      <c r="Q780" s="415" t="s">
        <v>2675</v>
      </c>
      <c r="R780" s="415" t="s">
        <v>3269</v>
      </c>
      <c r="S780" s="415" t="s">
        <v>3189</v>
      </c>
      <c r="T780" s="416">
        <v>138</v>
      </c>
      <c r="U780" s="416">
        <v>138</v>
      </c>
      <c r="V780" s="416">
        <v>133</v>
      </c>
      <c r="W780" s="416">
        <v>118</v>
      </c>
      <c r="X780" s="416">
        <v>112</v>
      </c>
      <c r="Y780" s="416">
        <v>108</v>
      </c>
      <c r="Z780" s="416">
        <v>106</v>
      </c>
      <c r="AA780" s="416">
        <v>106</v>
      </c>
      <c r="AB780" s="416">
        <v>106</v>
      </c>
      <c r="AC780" s="416">
        <v>106</v>
      </c>
      <c r="AD780" s="416">
        <v>106</v>
      </c>
      <c r="AE780" s="416">
        <v>105</v>
      </c>
      <c r="AF780" s="416">
        <v>103</v>
      </c>
      <c r="AG780" s="416">
        <v>101</v>
      </c>
      <c r="AH780" s="416">
        <v>98.7</v>
      </c>
      <c r="AI780" s="416">
        <v>0</v>
      </c>
      <c r="AJ780" s="416">
        <v>0</v>
      </c>
      <c r="AK780" s="416">
        <v>0</v>
      </c>
      <c r="AL780" s="416">
        <v>0</v>
      </c>
      <c r="AM780" s="416">
        <v>0</v>
      </c>
      <c r="AN780" s="416">
        <v>0</v>
      </c>
      <c r="AO780" s="416">
        <v>0</v>
      </c>
      <c r="AP780" s="416">
        <v>0</v>
      </c>
      <c r="AQ780" s="416">
        <v>0</v>
      </c>
      <c r="AR780" s="416">
        <v>0</v>
      </c>
      <c r="AS780" s="416">
        <v>0</v>
      </c>
      <c r="AT780" s="416">
        <v>0</v>
      </c>
      <c r="AU780" s="416">
        <v>0</v>
      </c>
      <c r="AV780" s="416">
        <v>0</v>
      </c>
      <c r="AW780" s="416">
        <v>0</v>
      </c>
      <c r="AX780" s="416">
        <v>0</v>
      </c>
      <c r="AY780" s="416">
        <v>0</v>
      </c>
      <c r="AZ780" s="416">
        <v>0</v>
      </c>
    </row>
    <row r="781" spans="1:52" s="411" customFormat="1" x14ac:dyDescent="0.3">
      <c r="A781" s="415" t="str">
        <f t="shared" si="12"/>
        <v>SA-240 Gr.301</v>
      </c>
      <c r="B781" s="415">
        <v>775</v>
      </c>
      <c r="C781" s="415" t="s">
        <v>3266</v>
      </c>
      <c r="D781" s="415" t="s">
        <v>3267</v>
      </c>
      <c r="E781" s="415" t="s">
        <v>2165</v>
      </c>
      <c r="F781" s="415">
        <v>301</v>
      </c>
      <c r="G781" s="415" t="s">
        <v>3268</v>
      </c>
      <c r="H781" s="415">
        <v>0</v>
      </c>
      <c r="I781" s="415">
        <v>0</v>
      </c>
      <c r="J781" s="415">
        <v>8</v>
      </c>
      <c r="K781" s="415">
        <v>1</v>
      </c>
      <c r="L781" s="415">
        <v>515</v>
      </c>
      <c r="M781" s="415">
        <v>205</v>
      </c>
      <c r="N781" s="415" t="s">
        <v>2675</v>
      </c>
      <c r="O781" s="415" t="s">
        <v>2675</v>
      </c>
      <c r="P781" s="415">
        <v>427</v>
      </c>
      <c r="Q781" s="415" t="s">
        <v>2675</v>
      </c>
      <c r="R781" s="415" t="s">
        <v>3269</v>
      </c>
      <c r="S781" s="415">
        <v>0</v>
      </c>
      <c r="T781" s="416">
        <v>138</v>
      </c>
      <c r="U781" s="416">
        <v>138</v>
      </c>
      <c r="V781" s="416">
        <v>120</v>
      </c>
      <c r="W781" s="416">
        <v>109</v>
      </c>
      <c r="X781" s="416">
        <v>104</v>
      </c>
      <c r="Y781" s="416">
        <v>99.3</v>
      </c>
      <c r="Z781" s="416">
        <v>93.4</v>
      </c>
      <c r="AA781" s="416">
        <v>90</v>
      </c>
      <c r="AB781" s="416">
        <v>87.2</v>
      </c>
      <c r="AC781" s="416">
        <v>85.6</v>
      </c>
      <c r="AD781" s="416">
        <v>83.8</v>
      </c>
      <c r="AE781" s="416">
        <v>81.7</v>
      </c>
      <c r="AF781" s="416">
        <v>79.3</v>
      </c>
      <c r="AG781" s="416">
        <v>76.900000000000006</v>
      </c>
      <c r="AH781" s="416">
        <v>74.7</v>
      </c>
      <c r="AI781" s="416">
        <v>0</v>
      </c>
      <c r="AJ781" s="416">
        <v>0</v>
      </c>
      <c r="AK781" s="416">
        <v>0</v>
      </c>
      <c r="AL781" s="416">
        <v>0</v>
      </c>
      <c r="AM781" s="416">
        <v>0</v>
      </c>
      <c r="AN781" s="416">
        <v>0</v>
      </c>
      <c r="AO781" s="416">
        <v>0</v>
      </c>
      <c r="AP781" s="416">
        <v>0</v>
      </c>
      <c r="AQ781" s="416">
        <v>0</v>
      </c>
      <c r="AR781" s="416">
        <v>0</v>
      </c>
      <c r="AS781" s="416">
        <v>0</v>
      </c>
      <c r="AT781" s="416">
        <v>0</v>
      </c>
      <c r="AU781" s="416">
        <v>0</v>
      </c>
      <c r="AV781" s="416">
        <v>0</v>
      </c>
      <c r="AW781" s="416">
        <v>0</v>
      </c>
      <c r="AX781" s="416">
        <v>0</v>
      </c>
      <c r="AY781" s="416">
        <v>0</v>
      </c>
      <c r="AZ781" s="416">
        <v>0</v>
      </c>
    </row>
    <row r="782" spans="1:52" s="411" customFormat="1" x14ac:dyDescent="0.3">
      <c r="A782" s="415" t="str">
        <f t="shared" si="12"/>
        <v>SA-240 Gr.XM-29</v>
      </c>
      <c r="B782" s="415">
        <v>776</v>
      </c>
      <c r="C782" s="415" t="s">
        <v>3270</v>
      </c>
      <c r="D782" s="415" t="s">
        <v>2684</v>
      </c>
      <c r="E782" s="415" t="s">
        <v>2165</v>
      </c>
      <c r="F782" s="415" t="s">
        <v>2623</v>
      </c>
      <c r="G782" s="415" t="s">
        <v>3271</v>
      </c>
      <c r="H782" s="415">
        <v>0</v>
      </c>
      <c r="I782" s="415">
        <v>0</v>
      </c>
      <c r="J782" s="415">
        <v>8</v>
      </c>
      <c r="K782" s="415">
        <v>3</v>
      </c>
      <c r="L782" s="415">
        <v>690</v>
      </c>
      <c r="M782" s="415">
        <v>380</v>
      </c>
      <c r="N782" s="415" t="s">
        <v>2675</v>
      </c>
      <c r="O782" s="415" t="s">
        <v>2675</v>
      </c>
      <c r="P782" s="415">
        <v>427</v>
      </c>
      <c r="Q782" s="415">
        <v>343</v>
      </c>
      <c r="R782" s="415" t="s">
        <v>3073</v>
      </c>
      <c r="S782" s="415" t="s">
        <v>3189</v>
      </c>
      <c r="T782" s="416">
        <v>197</v>
      </c>
      <c r="U782" s="416">
        <v>197</v>
      </c>
      <c r="V782" s="416">
        <v>196</v>
      </c>
      <c r="W782" s="416">
        <v>191</v>
      </c>
      <c r="X782" s="416">
        <v>185</v>
      </c>
      <c r="Y782" s="416">
        <v>179</v>
      </c>
      <c r="Z782" s="416">
        <v>172</v>
      </c>
      <c r="AA782" s="416">
        <v>168</v>
      </c>
      <c r="AB782" s="416">
        <v>165</v>
      </c>
      <c r="AC782" s="416">
        <v>163</v>
      </c>
      <c r="AD782" s="416">
        <v>161</v>
      </c>
      <c r="AE782" s="416">
        <v>158</v>
      </c>
      <c r="AF782" s="416">
        <v>154</v>
      </c>
      <c r="AG782" s="416">
        <v>151</v>
      </c>
      <c r="AH782" s="416">
        <v>147</v>
      </c>
      <c r="AI782" s="416">
        <v>0</v>
      </c>
      <c r="AJ782" s="416">
        <v>0</v>
      </c>
      <c r="AK782" s="416">
        <v>0</v>
      </c>
      <c r="AL782" s="416">
        <v>0</v>
      </c>
      <c r="AM782" s="416">
        <v>0</v>
      </c>
      <c r="AN782" s="416">
        <v>0</v>
      </c>
      <c r="AO782" s="416">
        <v>0</v>
      </c>
      <c r="AP782" s="416">
        <v>0</v>
      </c>
      <c r="AQ782" s="416">
        <v>0</v>
      </c>
      <c r="AR782" s="416">
        <v>0</v>
      </c>
      <c r="AS782" s="416">
        <v>0</v>
      </c>
      <c r="AT782" s="416">
        <v>0</v>
      </c>
      <c r="AU782" s="416">
        <v>0</v>
      </c>
      <c r="AV782" s="416">
        <v>0</v>
      </c>
      <c r="AW782" s="416">
        <v>0</v>
      </c>
      <c r="AX782" s="416">
        <v>0</v>
      </c>
      <c r="AY782" s="416">
        <v>0</v>
      </c>
      <c r="AZ782" s="416">
        <v>0</v>
      </c>
    </row>
    <row r="783" spans="1:52" s="411" customFormat="1" x14ac:dyDescent="0.3">
      <c r="A783" s="415" t="str">
        <f t="shared" si="12"/>
        <v>SA-240 Gr.XM-29</v>
      </c>
      <c r="B783" s="415">
        <v>777</v>
      </c>
      <c r="C783" s="415" t="s">
        <v>3270</v>
      </c>
      <c r="D783" s="415" t="s">
        <v>2684</v>
      </c>
      <c r="E783" s="415" t="s">
        <v>2165</v>
      </c>
      <c r="F783" s="415" t="s">
        <v>2623</v>
      </c>
      <c r="G783" s="415" t="s">
        <v>3271</v>
      </c>
      <c r="H783" s="415">
        <v>0</v>
      </c>
      <c r="I783" s="415">
        <v>0</v>
      </c>
      <c r="J783" s="415">
        <v>8</v>
      </c>
      <c r="K783" s="415">
        <v>3</v>
      </c>
      <c r="L783" s="415">
        <v>690</v>
      </c>
      <c r="M783" s="415">
        <v>380</v>
      </c>
      <c r="N783" s="415" t="s">
        <v>2675</v>
      </c>
      <c r="O783" s="415" t="s">
        <v>2675</v>
      </c>
      <c r="P783" s="415">
        <v>427</v>
      </c>
      <c r="Q783" s="415">
        <v>343</v>
      </c>
      <c r="R783" s="415" t="s">
        <v>3073</v>
      </c>
      <c r="S783" s="415">
        <v>0</v>
      </c>
      <c r="T783" s="416">
        <v>197</v>
      </c>
      <c r="U783" s="416">
        <v>197</v>
      </c>
      <c r="V783" s="416">
        <v>196</v>
      </c>
      <c r="W783" s="416">
        <v>191</v>
      </c>
      <c r="X783" s="416">
        <v>182</v>
      </c>
      <c r="Y783" s="416">
        <v>172</v>
      </c>
      <c r="Z783" s="416">
        <v>152</v>
      </c>
      <c r="AA783" s="416">
        <v>140</v>
      </c>
      <c r="AB783" s="416">
        <v>134</v>
      </c>
      <c r="AC783" s="416">
        <v>131</v>
      </c>
      <c r="AD783" s="416">
        <v>129</v>
      </c>
      <c r="AE783" s="416">
        <v>127</v>
      </c>
      <c r="AF783" s="416">
        <v>125</v>
      </c>
      <c r="AG783" s="416">
        <v>123</v>
      </c>
      <c r="AH783" s="416">
        <v>120</v>
      </c>
      <c r="AI783" s="416">
        <v>0</v>
      </c>
      <c r="AJ783" s="416">
        <v>0</v>
      </c>
      <c r="AK783" s="416">
        <v>0</v>
      </c>
      <c r="AL783" s="416">
        <v>0</v>
      </c>
      <c r="AM783" s="416">
        <v>0</v>
      </c>
      <c r="AN783" s="416">
        <v>0</v>
      </c>
      <c r="AO783" s="416">
        <v>0</v>
      </c>
      <c r="AP783" s="416">
        <v>0</v>
      </c>
      <c r="AQ783" s="416">
        <v>0</v>
      </c>
      <c r="AR783" s="416">
        <v>0</v>
      </c>
      <c r="AS783" s="416">
        <v>0</v>
      </c>
      <c r="AT783" s="416">
        <v>0</v>
      </c>
      <c r="AU783" s="416">
        <v>0</v>
      </c>
      <c r="AV783" s="416">
        <v>0</v>
      </c>
      <c r="AW783" s="416">
        <v>0</v>
      </c>
      <c r="AX783" s="416">
        <v>0</v>
      </c>
      <c r="AY783" s="416">
        <v>0</v>
      </c>
      <c r="AZ783" s="416">
        <v>0</v>
      </c>
    </row>
    <row r="784" spans="1:52" s="411" customFormat="1" x14ac:dyDescent="0.3">
      <c r="A784" s="415" t="str">
        <f t="shared" si="12"/>
        <v>SA-249 Gr.XM-29</v>
      </c>
      <c r="B784" s="415">
        <v>778</v>
      </c>
      <c r="C784" s="415" t="s">
        <v>3270</v>
      </c>
      <c r="D784" s="415" t="s">
        <v>2689</v>
      </c>
      <c r="E784" s="415" t="s">
        <v>2200</v>
      </c>
      <c r="F784" s="415" t="s">
        <v>2623</v>
      </c>
      <c r="G784" s="415" t="s">
        <v>3271</v>
      </c>
      <c r="H784" s="415">
        <v>0</v>
      </c>
      <c r="I784" s="415">
        <v>0</v>
      </c>
      <c r="J784" s="415">
        <v>8</v>
      </c>
      <c r="K784" s="415">
        <v>3</v>
      </c>
      <c r="L784" s="415">
        <v>690</v>
      </c>
      <c r="M784" s="415">
        <v>380</v>
      </c>
      <c r="N784" s="415" t="s">
        <v>2675</v>
      </c>
      <c r="O784" s="415" t="s">
        <v>2675</v>
      </c>
      <c r="P784" s="415">
        <v>427</v>
      </c>
      <c r="Q784" s="415">
        <v>343</v>
      </c>
      <c r="R784" s="415" t="s">
        <v>3073</v>
      </c>
      <c r="S784" s="415" t="s">
        <v>3214</v>
      </c>
      <c r="T784" s="416">
        <v>168</v>
      </c>
      <c r="U784" s="416">
        <v>168</v>
      </c>
      <c r="V784" s="416">
        <v>166</v>
      </c>
      <c r="W784" s="416">
        <v>162</v>
      </c>
      <c r="X784" s="416">
        <v>157</v>
      </c>
      <c r="Y784" s="416">
        <v>152</v>
      </c>
      <c r="Z784" s="416">
        <v>146</v>
      </c>
      <c r="AA784" s="416">
        <v>143</v>
      </c>
      <c r="AB784" s="416">
        <v>140</v>
      </c>
      <c r="AC784" s="416">
        <v>139</v>
      </c>
      <c r="AD784" s="416">
        <v>137</v>
      </c>
      <c r="AE784" s="416">
        <v>134</v>
      </c>
      <c r="AF784" s="416">
        <v>132</v>
      </c>
      <c r="AG784" s="416">
        <v>128</v>
      </c>
      <c r="AH784" s="416">
        <v>124</v>
      </c>
      <c r="AI784" s="416">
        <v>0</v>
      </c>
      <c r="AJ784" s="416">
        <v>0</v>
      </c>
      <c r="AK784" s="416">
        <v>0</v>
      </c>
      <c r="AL784" s="416">
        <v>0</v>
      </c>
      <c r="AM784" s="416">
        <v>0</v>
      </c>
      <c r="AN784" s="416">
        <v>0</v>
      </c>
      <c r="AO784" s="416">
        <v>0</v>
      </c>
      <c r="AP784" s="416">
        <v>0</v>
      </c>
      <c r="AQ784" s="416">
        <v>0</v>
      </c>
      <c r="AR784" s="416">
        <v>0</v>
      </c>
      <c r="AS784" s="416">
        <v>0</v>
      </c>
      <c r="AT784" s="416">
        <v>0</v>
      </c>
      <c r="AU784" s="416">
        <v>0</v>
      </c>
      <c r="AV784" s="416">
        <v>0</v>
      </c>
      <c r="AW784" s="416">
        <v>0</v>
      </c>
      <c r="AX784" s="416">
        <v>0</v>
      </c>
      <c r="AY784" s="416">
        <v>0</v>
      </c>
      <c r="AZ784" s="416">
        <v>0</v>
      </c>
    </row>
    <row r="785" spans="1:52" s="411" customFormat="1" x14ac:dyDescent="0.3">
      <c r="A785" s="415" t="str">
        <f t="shared" si="12"/>
        <v>SA-249 Gr.XM-29</v>
      </c>
      <c r="B785" s="415">
        <v>779</v>
      </c>
      <c r="C785" s="415" t="s">
        <v>3270</v>
      </c>
      <c r="D785" s="415" t="s">
        <v>2689</v>
      </c>
      <c r="E785" s="415" t="s">
        <v>2200</v>
      </c>
      <c r="F785" s="415" t="s">
        <v>2623</v>
      </c>
      <c r="G785" s="415" t="s">
        <v>3271</v>
      </c>
      <c r="H785" s="415">
        <v>0</v>
      </c>
      <c r="I785" s="415">
        <v>0</v>
      </c>
      <c r="J785" s="415">
        <v>8</v>
      </c>
      <c r="K785" s="415">
        <v>3</v>
      </c>
      <c r="L785" s="415">
        <v>690</v>
      </c>
      <c r="M785" s="415">
        <v>380</v>
      </c>
      <c r="N785" s="415" t="s">
        <v>2675</v>
      </c>
      <c r="O785" s="415" t="s">
        <v>2675</v>
      </c>
      <c r="P785" s="415">
        <v>427</v>
      </c>
      <c r="Q785" s="415">
        <v>343</v>
      </c>
      <c r="R785" s="415" t="s">
        <v>3073</v>
      </c>
      <c r="S785" s="415" t="s">
        <v>3004</v>
      </c>
      <c r="T785" s="416">
        <v>168</v>
      </c>
      <c r="U785" s="416">
        <v>168</v>
      </c>
      <c r="V785" s="416">
        <v>167</v>
      </c>
      <c r="W785" s="416">
        <v>162</v>
      </c>
      <c r="X785" s="416">
        <v>155</v>
      </c>
      <c r="Y785" s="416">
        <v>146</v>
      </c>
      <c r="Z785" s="416">
        <v>130</v>
      </c>
      <c r="AA785" s="416">
        <v>119</v>
      </c>
      <c r="AB785" s="416">
        <v>114</v>
      </c>
      <c r="AC785" s="416">
        <v>112</v>
      </c>
      <c r="AD785" s="416">
        <v>110</v>
      </c>
      <c r="AE785" s="416">
        <v>108</v>
      </c>
      <c r="AF785" s="416">
        <v>106</v>
      </c>
      <c r="AG785" s="416">
        <v>104</v>
      </c>
      <c r="AH785" s="416">
        <v>102</v>
      </c>
      <c r="AI785" s="416">
        <v>0</v>
      </c>
      <c r="AJ785" s="416">
        <v>0</v>
      </c>
      <c r="AK785" s="416">
        <v>0</v>
      </c>
      <c r="AL785" s="416">
        <v>0</v>
      </c>
      <c r="AM785" s="416">
        <v>0</v>
      </c>
      <c r="AN785" s="416">
        <v>0</v>
      </c>
      <c r="AO785" s="416">
        <v>0</v>
      </c>
      <c r="AP785" s="416">
        <v>0</v>
      </c>
      <c r="AQ785" s="416">
        <v>0</v>
      </c>
      <c r="AR785" s="416">
        <v>0</v>
      </c>
      <c r="AS785" s="416">
        <v>0</v>
      </c>
      <c r="AT785" s="416">
        <v>0</v>
      </c>
      <c r="AU785" s="416">
        <v>0</v>
      </c>
      <c r="AV785" s="416">
        <v>0</v>
      </c>
      <c r="AW785" s="416">
        <v>0</v>
      </c>
      <c r="AX785" s="416">
        <v>0</v>
      </c>
      <c r="AY785" s="416">
        <v>0</v>
      </c>
      <c r="AZ785" s="416">
        <v>0</v>
      </c>
    </row>
    <row r="786" spans="1:52" s="411" customFormat="1" x14ac:dyDescent="0.3">
      <c r="A786" s="415" t="str">
        <f t="shared" si="12"/>
        <v>SA-312 Gr.XM-29</v>
      </c>
      <c r="B786" s="415">
        <v>780</v>
      </c>
      <c r="C786" s="415" t="s">
        <v>3270</v>
      </c>
      <c r="D786" s="415" t="s">
        <v>2680</v>
      </c>
      <c r="E786" s="415" t="s">
        <v>2208</v>
      </c>
      <c r="F786" s="415" t="s">
        <v>2623</v>
      </c>
      <c r="G786" s="415" t="s">
        <v>3271</v>
      </c>
      <c r="H786" s="415">
        <v>0</v>
      </c>
      <c r="I786" s="415">
        <v>0</v>
      </c>
      <c r="J786" s="415">
        <v>8</v>
      </c>
      <c r="K786" s="415">
        <v>3</v>
      </c>
      <c r="L786" s="415">
        <v>690</v>
      </c>
      <c r="M786" s="415">
        <v>380</v>
      </c>
      <c r="N786" s="415" t="s">
        <v>2675</v>
      </c>
      <c r="O786" s="415" t="s">
        <v>2675</v>
      </c>
      <c r="P786" s="415">
        <v>427</v>
      </c>
      <c r="Q786" s="415">
        <v>343</v>
      </c>
      <c r="R786" s="415" t="s">
        <v>3073</v>
      </c>
      <c r="S786" s="415" t="s">
        <v>3214</v>
      </c>
      <c r="T786" s="416">
        <v>168</v>
      </c>
      <c r="U786" s="416">
        <v>168</v>
      </c>
      <c r="V786" s="416">
        <v>166</v>
      </c>
      <c r="W786" s="416">
        <v>162</v>
      </c>
      <c r="X786" s="416">
        <v>157</v>
      </c>
      <c r="Y786" s="416">
        <v>152</v>
      </c>
      <c r="Z786" s="416">
        <v>146</v>
      </c>
      <c r="AA786" s="416">
        <v>143</v>
      </c>
      <c r="AB786" s="416">
        <v>140</v>
      </c>
      <c r="AC786" s="416">
        <v>139</v>
      </c>
      <c r="AD786" s="416">
        <v>137</v>
      </c>
      <c r="AE786" s="416">
        <v>134</v>
      </c>
      <c r="AF786" s="416">
        <v>132</v>
      </c>
      <c r="AG786" s="416">
        <v>128</v>
      </c>
      <c r="AH786" s="416">
        <v>124</v>
      </c>
      <c r="AI786" s="416">
        <v>0</v>
      </c>
      <c r="AJ786" s="416">
        <v>0</v>
      </c>
      <c r="AK786" s="416">
        <v>0</v>
      </c>
      <c r="AL786" s="416">
        <v>0</v>
      </c>
      <c r="AM786" s="416">
        <v>0</v>
      </c>
      <c r="AN786" s="416">
        <v>0</v>
      </c>
      <c r="AO786" s="416">
        <v>0</v>
      </c>
      <c r="AP786" s="416">
        <v>0</v>
      </c>
      <c r="AQ786" s="416">
        <v>0</v>
      </c>
      <c r="AR786" s="416">
        <v>0</v>
      </c>
      <c r="AS786" s="416">
        <v>0</v>
      </c>
      <c r="AT786" s="416">
        <v>0</v>
      </c>
      <c r="AU786" s="416">
        <v>0</v>
      </c>
      <c r="AV786" s="416">
        <v>0</v>
      </c>
      <c r="AW786" s="416">
        <v>0</v>
      </c>
      <c r="AX786" s="416">
        <v>0</v>
      </c>
      <c r="AY786" s="416">
        <v>0</v>
      </c>
      <c r="AZ786" s="416">
        <v>0</v>
      </c>
    </row>
    <row r="787" spans="1:52" s="411" customFormat="1" x14ac:dyDescent="0.3">
      <c r="A787" s="415" t="str">
        <f t="shared" si="12"/>
        <v>SA-312 Gr.XM-29</v>
      </c>
      <c r="B787" s="415">
        <v>781</v>
      </c>
      <c r="C787" s="415" t="s">
        <v>3270</v>
      </c>
      <c r="D787" s="415" t="s">
        <v>2680</v>
      </c>
      <c r="E787" s="415" t="s">
        <v>2208</v>
      </c>
      <c r="F787" s="415" t="s">
        <v>2623</v>
      </c>
      <c r="G787" s="415" t="s">
        <v>3271</v>
      </c>
      <c r="H787" s="415">
        <v>0</v>
      </c>
      <c r="I787" s="415">
        <v>0</v>
      </c>
      <c r="J787" s="415">
        <v>8</v>
      </c>
      <c r="K787" s="415">
        <v>3</v>
      </c>
      <c r="L787" s="415">
        <v>690</v>
      </c>
      <c r="M787" s="415">
        <v>380</v>
      </c>
      <c r="N787" s="415" t="s">
        <v>2675</v>
      </c>
      <c r="O787" s="415" t="s">
        <v>2675</v>
      </c>
      <c r="P787" s="415">
        <v>427</v>
      </c>
      <c r="Q787" s="415">
        <v>343</v>
      </c>
      <c r="R787" s="415" t="s">
        <v>3073</v>
      </c>
      <c r="S787" s="415" t="s">
        <v>3004</v>
      </c>
      <c r="T787" s="416">
        <v>168</v>
      </c>
      <c r="U787" s="416">
        <v>168</v>
      </c>
      <c r="V787" s="416">
        <v>167</v>
      </c>
      <c r="W787" s="416">
        <v>162</v>
      </c>
      <c r="X787" s="416">
        <v>155</v>
      </c>
      <c r="Y787" s="416">
        <v>146</v>
      </c>
      <c r="Z787" s="416">
        <v>130</v>
      </c>
      <c r="AA787" s="416">
        <v>119</v>
      </c>
      <c r="AB787" s="416">
        <v>114</v>
      </c>
      <c r="AC787" s="416">
        <v>112</v>
      </c>
      <c r="AD787" s="416">
        <v>110</v>
      </c>
      <c r="AE787" s="416">
        <v>108</v>
      </c>
      <c r="AF787" s="416">
        <v>106</v>
      </c>
      <c r="AG787" s="416">
        <v>104</v>
      </c>
      <c r="AH787" s="416">
        <v>102</v>
      </c>
      <c r="AI787" s="416">
        <v>0</v>
      </c>
      <c r="AJ787" s="416">
        <v>0</v>
      </c>
      <c r="AK787" s="416">
        <v>0</v>
      </c>
      <c r="AL787" s="416">
        <v>0</v>
      </c>
      <c r="AM787" s="416">
        <v>0</v>
      </c>
      <c r="AN787" s="416">
        <v>0</v>
      </c>
      <c r="AO787" s="416">
        <v>0</v>
      </c>
      <c r="AP787" s="416">
        <v>0</v>
      </c>
      <c r="AQ787" s="416">
        <v>0</v>
      </c>
      <c r="AR787" s="416">
        <v>0</v>
      </c>
      <c r="AS787" s="416">
        <v>0</v>
      </c>
      <c r="AT787" s="416">
        <v>0</v>
      </c>
      <c r="AU787" s="416">
        <v>0</v>
      </c>
      <c r="AV787" s="416">
        <v>0</v>
      </c>
      <c r="AW787" s="416">
        <v>0</v>
      </c>
      <c r="AX787" s="416">
        <v>0</v>
      </c>
      <c r="AY787" s="416">
        <v>0</v>
      </c>
      <c r="AZ787" s="416">
        <v>0</v>
      </c>
    </row>
    <row r="788" spans="1:52" s="411" customFormat="1" x14ac:dyDescent="0.3">
      <c r="A788" s="415" t="str">
        <f t="shared" si="12"/>
        <v>SA-479 Gr.XM-29</v>
      </c>
      <c r="B788" s="415">
        <v>782</v>
      </c>
      <c r="C788" s="415" t="s">
        <v>3270</v>
      </c>
      <c r="D788" s="415" t="s">
        <v>2677</v>
      </c>
      <c r="E788" s="415" t="s">
        <v>2245</v>
      </c>
      <c r="F788" s="415" t="s">
        <v>2623</v>
      </c>
      <c r="G788" s="415" t="s">
        <v>3271</v>
      </c>
      <c r="H788" s="415">
        <v>0</v>
      </c>
      <c r="I788" s="415">
        <v>0</v>
      </c>
      <c r="J788" s="415">
        <v>8</v>
      </c>
      <c r="K788" s="415">
        <v>3</v>
      </c>
      <c r="L788" s="415">
        <v>690</v>
      </c>
      <c r="M788" s="415">
        <v>380</v>
      </c>
      <c r="N788" s="415" t="s">
        <v>2675</v>
      </c>
      <c r="O788" s="415" t="s">
        <v>2675</v>
      </c>
      <c r="P788" s="415">
        <v>427</v>
      </c>
      <c r="Q788" s="415">
        <v>343</v>
      </c>
      <c r="R788" s="415" t="s">
        <v>3073</v>
      </c>
      <c r="S788" s="415" t="s">
        <v>3272</v>
      </c>
      <c r="T788" s="416">
        <v>197</v>
      </c>
      <c r="U788" s="416">
        <v>197</v>
      </c>
      <c r="V788" s="416">
        <v>196</v>
      </c>
      <c r="W788" s="416">
        <v>191</v>
      </c>
      <c r="X788" s="416">
        <v>185</v>
      </c>
      <c r="Y788" s="416">
        <v>179</v>
      </c>
      <c r="Z788" s="416">
        <v>172</v>
      </c>
      <c r="AA788" s="416">
        <v>168</v>
      </c>
      <c r="AB788" s="416">
        <v>165</v>
      </c>
      <c r="AC788" s="416">
        <v>163</v>
      </c>
      <c r="AD788" s="416">
        <v>161</v>
      </c>
      <c r="AE788" s="416">
        <v>158</v>
      </c>
      <c r="AF788" s="416">
        <v>154</v>
      </c>
      <c r="AG788" s="416">
        <v>151</v>
      </c>
      <c r="AH788" s="416">
        <v>147</v>
      </c>
      <c r="AI788" s="416">
        <v>0</v>
      </c>
      <c r="AJ788" s="416">
        <v>0</v>
      </c>
      <c r="AK788" s="416">
        <v>0</v>
      </c>
      <c r="AL788" s="416">
        <v>0</v>
      </c>
      <c r="AM788" s="416">
        <v>0</v>
      </c>
      <c r="AN788" s="416">
        <v>0</v>
      </c>
      <c r="AO788" s="416">
        <v>0</v>
      </c>
      <c r="AP788" s="416">
        <v>0</v>
      </c>
      <c r="AQ788" s="416">
        <v>0</v>
      </c>
      <c r="AR788" s="416">
        <v>0</v>
      </c>
      <c r="AS788" s="416">
        <v>0</v>
      </c>
      <c r="AT788" s="416">
        <v>0</v>
      </c>
      <c r="AU788" s="416">
        <v>0</v>
      </c>
      <c r="AV788" s="416">
        <v>0</v>
      </c>
      <c r="AW788" s="416">
        <v>0</v>
      </c>
      <c r="AX788" s="416">
        <v>0</v>
      </c>
      <c r="AY788" s="416">
        <v>0</v>
      </c>
      <c r="AZ788" s="416">
        <v>0</v>
      </c>
    </row>
    <row r="789" spans="1:52" s="411" customFormat="1" x14ac:dyDescent="0.3">
      <c r="A789" s="415" t="str">
        <f t="shared" si="12"/>
        <v>SA-479 Gr.XM-29</v>
      </c>
      <c r="B789" s="415">
        <v>783</v>
      </c>
      <c r="C789" s="415" t="s">
        <v>3270</v>
      </c>
      <c r="D789" s="415" t="s">
        <v>2677</v>
      </c>
      <c r="E789" s="415" t="s">
        <v>2245</v>
      </c>
      <c r="F789" s="415" t="s">
        <v>2623</v>
      </c>
      <c r="G789" s="415" t="s">
        <v>3271</v>
      </c>
      <c r="H789" s="415">
        <v>0</v>
      </c>
      <c r="I789" s="415">
        <v>0</v>
      </c>
      <c r="J789" s="415">
        <v>8</v>
      </c>
      <c r="K789" s="415">
        <v>3</v>
      </c>
      <c r="L789" s="415">
        <v>690</v>
      </c>
      <c r="M789" s="415">
        <v>380</v>
      </c>
      <c r="N789" s="415" t="s">
        <v>2675</v>
      </c>
      <c r="O789" s="415" t="s">
        <v>2675</v>
      </c>
      <c r="P789" s="415">
        <v>427</v>
      </c>
      <c r="Q789" s="415">
        <v>343</v>
      </c>
      <c r="R789" s="415" t="s">
        <v>3073</v>
      </c>
      <c r="S789" s="415" t="s">
        <v>3273</v>
      </c>
      <c r="T789" s="416">
        <v>197</v>
      </c>
      <c r="U789" s="416">
        <v>197</v>
      </c>
      <c r="V789" s="416">
        <v>196</v>
      </c>
      <c r="W789" s="416">
        <v>191</v>
      </c>
      <c r="X789" s="416">
        <v>182</v>
      </c>
      <c r="Y789" s="416">
        <v>172</v>
      </c>
      <c r="Z789" s="416">
        <v>152</v>
      </c>
      <c r="AA789" s="416">
        <v>140</v>
      </c>
      <c r="AB789" s="416">
        <v>134</v>
      </c>
      <c r="AC789" s="416">
        <v>131</v>
      </c>
      <c r="AD789" s="416">
        <v>129</v>
      </c>
      <c r="AE789" s="416">
        <v>127</v>
      </c>
      <c r="AF789" s="416">
        <v>125</v>
      </c>
      <c r="AG789" s="416">
        <v>123</v>
      </c>
      <c r="AH789" s="416">
        <v>120</v>
      </c>
      <c r="AI789" s="416">
        <v>0</v>
      </c>
      <c r="AJ789" s="416">
        <v>0</v>
      </c>
      <c r="AK789" s="416">
        <v>0</v>
      </c>
      <c r="AL789" s="416">
        <v>0</v>
      </c>
      <c r="AM789" s="416">
        <v>0</v>
      </c>
      <c r="AN789" s="416">
        <v>0</v>
      </c>
      <c r="AO789" s="416">
        <v>0</v>
      </c>
      <c r="AP789" s="416">
        <v>0</v>
      </c>
      <c r="AQ789" s="416">
        <v>0</v>
      </c>
      <c r="AR789" s="416">
        <v>0</v>
      </c>
      <c r="AS789" s="416">
        <v>0</v>
      </c>
      <c r="AT789" s="416">
        <v>0</v>
      </c>
      <c r="AU789" s="416">
        <v>0</v>
      </c>
      <c r="AV789" s="416">
        <v>0</v>
      </c>
      <c r="AW789" s="416">
        <v>0</v>
      </c>
      <c r="AX789" s="416">
        <v>0</v>
      </c>
      <c r="AY789" s="416">
        <v>0</v>
      </c>
      <c r="AZ789" s="416">
        <v>0</v>
      </c>
    </row>
    <row r="790" spans="1:52" s="411" customFormat="1" x14ac:dyDescent="0.3">
      <c r="A790" s="415" t="str">
        <f t="shared" si="12"/>
        <v>SA-688 Gr.TPXM-29</v>
      </c>
      <c r="B790" s="415">
        <v>784</v>
      </c>
      <c r="C790" s="415" t="s">
        <v>3270</v>
      </c>
      <c r="D790" s="415" t="s">
        <v>2689</v>
      </c>
      <c r="E790" s="415" t="s">
        <v>2301</v>
      </c>
      <c r="F790" s="415" t="s">
        <v>2594</v>
      </c>
      <c r="G790" s="415" t="s">
        <v>3271</v>
      </c>
      <c r="H790" s="415">
        <v>0</v>
      </c>
      <c r="I790" s="415">
        <v>0</v>
      </c>
      <c r="J790" s="415">
        <v>8</v>
      </c>
      <c r="K790" s="415">
        <v>3</v>
      </c>
      <c r="L790" s="415">
        <v>690</v>
      </c>
      <c r="M790" s="415">
        <v>380</v>
      </c>
      <c r="N790" s="415" t="s">
        <v>2675</v>
      </c>
      <c r="O790" s="415" t="s">
        <v>2675</v>
      </c>
      <c r="P790" s="415">
        <v>427</v>
      </c>
      <c r="Q790" s="415">
        <v>343</v>
      </c>
      <c r="R790" s="415" t="s">
        <v>3073</v>
      </c>
      <c r="S790" s="415" t="s">
        <v>3214</v>
      </c>
      <c r="T790" s="416">
        <v>168</v>
      </c>
      <c r="U790" s="416">
        <v>168</v>
      </c>
      <c r="V790" s="416">
        <v>166</v>
      </c>
      <c r="W790" s="416">
        <v>162</v>
      </c>
      <c r="X790" s="416">
        <v>157</v>
      </c>
      <c r="Y790" s="416">
        <v>152</v>
      </c>
      <c r="Z790" s="416">
        <v>146</v>
      </c>
      <c r="AA790" s="416">
        <v>143</v>
      </c>
      <c r="AB790" s="416">
        <v>140</v>
      </c>
      <c r="AC790" s="416">
        <v>139</v>
      </c>
      <c r="AD790" s="416">
        <v>137</v>
      </c>
      <c r="AE790" s="416">
        <v>134</v>
      </c>
      <c r="AF790" s="416">
        <v>132</v>
      </c>
      <c r="AG790" s="416">
        <v>128</v>
      </c>
      <c r="AH790" s="416">
        <v>124</v>
      </c>
      <c r="AI790" s="416">
        <v>0</v>
      </c>
      <c r="AJ790" s="416">
        <v>0</v>
      </c>
      <c r="AK790" s="416">
        <v>0</v>
      </c>
      <c r="AL790" s="416">
        <v>0</v>
      </c>
      <c r="AM790" s="416">
        <v>0</v>
      </c>
      <c r="AN790" s="416">
        <v>0</v>
      </c>
      <c r="AO790" s="416">
        <v>0</v>
      </c>
      <c r="AP790" s="416">
        <v>0</v>
      </c>
      <c r="AQ790" s="416">
        <v>0</v>
      </c>
      <c r="AR790" s="416">
        <v>0</v>
      </c>
      <c r="AS790" s="416">
        <v>0</v>
      </c>
      <c r="AT790" s="416">
        <v>0</v>
      </c>
      <c r="AU790" s="416">
        <v>0</v>
      </c>
      <c r="AV790" s="416">
        <v>0</v>
      </c>
      <c r="AW790" s="416">
        <v>0</v>
      </c>
      <c r="AX790" s="416">
        <v>0</v>
      </c>
      <c r="AY790" s="416">
        <v>0</v>
      </c>
      <c r="AZ790" s="416">
        <v>0</v>
      </c>
    </row>
    <row r="791" spans="1:52" s="411" customFormat="1" x14ac:dyDescent="0.3">
      <c r="A791" s="415" t="str">
        <f t="shared" si="12"/>
        <v>SA-688 Gr.TPXM-29</v>
      </c>
      <c r="B791" s="415">
        <v>785</v>
      </c>
      <c r="C791" s="415" t="s">
        <v>3270</v>
      </c>
      <c r="D791" s="415" t="s">
        <v>2689</v>
      </c>
      <c r="E791" s="415" t="s">
        <v>2301</v>
      </c>
      <c r="F791" s="415" t="s">
        <v>2594</v>
      </c>
      <c r="G791" s="415" t="s">
        <v>3271</v>
      </c>
      <c r="H791" s="415">
        <v>0</v>
      </c>
      <c r="I791" s="415">
        <v>0</v>
      </c>
      <c r="J791" s="415">
        <v>8</v>
      </c>
      <c r="K791" s="415">
        <v>3</v>
      </c>
      <c r="L791" s="415">
        <v>690</v>
      </c>
      <c r="M791" s="415">
        <v>380</v>
      </c>
      <c r="N791" s="415" t="s">
        <v>2675</v>
      </c>
      <c r="O791" s="415" t="s">
        <v>2675</v>
      </c>
      <c r="P791" s="415">
        <v>427</v>
      </c>
      <c r="Q791" s="415">
        <v>343</v>
      </c>
      <c r="R791" s="415" t="s">
        <v>3073</v>
      </c>
      <c r="S791" s="415" t="s">
        <v>3004</v>
      </c>
      <c r="T791" s="416">
        <v>168</v>
      </c>
      <c r="U791" s="416">
        <v>168</v>
      </c>
      <c r="V791" s="416">
        <v>167</v>
      </c>
      <c r="W791" s="416">
        <v>162</v>
      </c>
      <c r="X791" s="416">
        <v>155</v>
      </c>
      <c r="Y791" s="416">
        <v>146</v>
      </c>
      <c r="Z791" s="416">
        <v>130</v>
      </c>
      <c r="AA791" s="416">
        <v>119</v>
      </c>
      <c r="AB791" s="416">
        <v>114</v>
      </c>
      <c r="AC791" s="416">
        <v>112</v>
      </c>
      <c r="AD791" s="416">
        <v>110</v>
      </c>
      <c r="AE791" s="416">
        <v>108</v>
      </c>
      <c r="AF791" s="416">
        <v>106</v>
      </c>
      <c r="AG791" s="416">
        <v>104</v>
      </c>
      <c r="AH791" s="416">
        <v>102</v>
      </c>
      <c r="AI791" s="416">
        <v>0</v>
      </c>
      <c r="AJ791" s="416">
        <v>0</v>
      </c>
      <c r="AK791" s="416">
        <v>0</v>
      </c>
      <c r="AL791" s="416">
        <v>0</v>
      </c>
      <c r="AM791" s="416">
        <v>0</v>
      </c>
      <c r="AN791" s="416">
        <v>0</v>
      </c>
      <c r="AO791" s="416">
        <v>0</v>
      </c>
      <c r="AP791" s="416">
        <v>0</v>
      </c>
      <c r="AQ791" s="416">
        <v>0</v>
      </c>
      <c r="AR791" s="416">
        <v>0</v>
      </c>
      <c r="AS791" s="416">
        <v>0</v>
      </c>
      <c r="AT791" s="416">
        <v>0</v>
      </c>
      <c r="AU791" s="416">
        <v>0</v>
      </c>
      <c r="AV791" s="416">
        <v>0</v>
      </c>
      <c r="AW791" s="416">
        <v>0</v>
      </c>
      <c r="AX791" s="416">
        <v>0</v>
      </c>
      <c r="AY791" s="416">
        <v>0</v>
      </c>
      <c r="AZ791" s="416">
        <v>0</v>
      </c>
    </row>
    <row r="792" spans="1:52" s="411" customFormat="1" x14ac:dyDescent="0.3">
      <c r="A792" s="415" t="str">
        <f t="shared" si="12"/>
        <v>SA-789 Gr.0</v>
      </c>
      <c r="B792" s="415">
        <v>786</v>
      </c>
      <c r="C792" s="415" t="s">
        <v>3274</v>
      </c>
      <c r="D792" s="415" t="s">
        <v>2693</v>
      </c>
      <c r="E792" s="415" t="s">
        <v>2322</v>
      </c>
      <c r="F792" s="415">
        <v>0</v>
      </c>
      <c r="G792" s="415" t="s">
        <v>3275</v>
      </c>
      <c r="H792" s="415">
        <v>0</v>
      </c>
      <c r="I792" s="415">
        <v>0</v>
      </c>
      <c r="J792" s="415" t="s">
        <v>3276</v>
      </c>
      <c r="K792" s="415">
        <v>1</v>
      </c>
      <c r="L792" s="415">
        <v>635</v>
      </c>
      <c r="M792" s="415">
        <v>440</v>
      </c>
      <c r="N792" s="415" t="s">
        <v>2675</v>
      </c>
      <c r="O792" s="415" t="s">
        <v>2675</v>
      </c>
      <c r="P792" s="415">
        <v>399</v>
      </c>
      <c r="Q792" s="415">
        <v>343</v>
      </c>
      <c r="R792" s="415" t="s">
        <v>3061</v>
      </c>
      <c r="S792" s="415" t="s">
        <v>3012</v>
      </c>
      <c r="T792" s="416">
        <v>181</v>
      </c>
      <c r="U792" s="416">
        <v>181</v>
      </c>
      <c r="V792" s="416">
        <v>178</v>
      </c>
      <c r="W792" s="416">
        <v>174</v>
      </c>
      <c r="X792" s="416">
        <v>171</v>
      </c>
      <c r="Y792" s="416">
        <v>168</v>
      </c>
      <c r="Z792" s="416">
        <v>167</v>
      </c>
      <c r="AA792" s="416">
        <v>167</v>
      </c>
      <c r="AB792" s="416">
        <v>167</v>
      </c>
      <c r="AC792" s="416">
        <v>167</v>
      </c>
      <c r="AD792" s="416">
        <v>167</v>
      </c>
      <c r="AE792" s="416">
        <v>167</v>
      </c>
      <c r="AF792" s="416">
        <v>167</v>
      </c>
      <c r="AG792" s="416">
        <v>0</v>
      </c>
      <c r="AH792" s="416">
        <v>0</v>
      </c>
      <c r="AI792" s="416">
        <v>0</v>
      </c>
      <c r="AJ792" s="416">
        <v>0</v>
      </c>
      <c r="AK792" s="416">
        <v>0</v>
      </c>
      <c r="AL792" s="416">
        <v>0</v>
      </c>
      <c r="AM792" s="416">
        <v>0</v>
      </c>
      <c r="AN792" s="416">
        <v>0</v>
      </c>
      <c r="AO792" s="416">
        <v>0</v>
      </c>
      <c r="AP792" s="416">
        <v>0</v>
      </c>
      <c r="AQ792" s="416">
        <v>0</v>
      </c>
      <c r="AR792" s="416">
        <v>0</v>
      </c>
      <c r="AS792" s="416">
        <v>0</v>
      </c>
      <c r="AT792" s="416">
        <v>0</v>
      </c>
      <c r="AU792" s="416">
        <v>0</v>
      </c>
      <c r="AV792" s="416">
        <v>0</v>
      </c>
      <c r="AW792" s="416">
        <v>0</v>
      </c>
      <c r="AX792" s="416">
        <v>0</v>
      </c>
      <c r="AY792" s="416">
        <v>0</v>
      </c>
      <c r="AZ792" s="416">
        <v>0</v>
      </c>
    </row>
    <row r="793" spans="1:52" s="411" customFormat="1" x14ac:dyDescent="0.3">
      <c r="A793" s="415" t="str">
        <f t="shared" si="12"/>
        <v>SA-789 Gr.0</v>
      </c>
      <c r="B793" s="415">
        <v>787</v>
      </c>
      <c r="C793" s="415" t="s">
        <v>3274</v>
      </c>
      <c r="D793" s="415" t="s">
        <v>2689</v>
      </c>
      <c r="E793" s="415" t="s">
        <v>2322</v>
      </c>
      <c r="F793" s="415">
        <v>0</v>
      </c>
      <c r="G793" s="415" t="s">
        <v>3275</v>
      </c>
      <c r="H793" s="415">
        <v>0</v>
      </c>
      <c r="I793" s="415">
        <v>0</v>
      </c>
      <c r="J793" s="415" t="s">
        <v>3276</v>
      </c>
      <c r="K793" s="415">
        <v>1</v>
      </c>
      <c r="L793" s="415">
        <v>635</v>
      </c>
      <c r="M793" s="415">
        <v>440</v>
      </c>
      <c r="N793" s="415" t="s">
        <v>2675</v>
      </c>
      <c r="O793" s="415" t="s">
        <v>2675</v>
      </c>
      <c r="P793" s="415">
        <v>399</v>
      </c>
      <c r="Q793" s="415">
        <v>343</v>
      </c>
      <c r="R793" s="415" t="s">
        <v>3061</v>
      </c>
      <c r="S793" s="415" t="s">
        <v>3053</v>
      </c>
      <c r="T793" s="416">
        <v>154</v>
      </c>
      <c r="U793" s="416">
        <v>154</v>
      </c>
      <c r="V793" s="416">
        <v>152</v>
      </c>
      <c r="W793" s="416">
        <v>148</v>
      </c>
      <c r="X793" s="416">
        <v>145</v>
      </c>
      <c r="Y793" s="416">
        <v>143</v>
      </c>
      <c r="Z793" s="416">
        <v>142</v>
      </c>
      <c r="AA793" s="416">
        <v>142</v>
      </c>
      <c r="AB793" s="416">
        <v>142</v>
      </c>
      <c r="AC793" s="416">
        <v>142</v>
      </c>
      <c r="AD793" s="416">
        <v>142</v>
      </c>
      <c r="AE793" s="416">
        <v>142</v>
      </c>
      <c r="AF793" s="416">
        <v>142</v>
      </c>
      <c r="AG793" s="416">
        <v>0</v>
      </c>
      <c r="AH793" s="416">
        <v>0</v>
      </c>
      <c r="AI793" s="416">
        <v>0</v>
      </c>
      <c r="AJ793" s="416">
        <v>0</v>
      </c>
      <c r="AK793" s="416">
        <v>0</v>
      </c>
      <c r="AL793" s="416">
        <v>0</v>
      </c>
      <c r="AM793" s="416">
        <v>0</v>
      </c>
      <c r="AN793" s="416">
        <v>0</v>
      </c>
      <c r="AO793" s="416">
        <v>0</v>
      </c>
      <c r="AP793" s="416">
        <v>0</v>
      </c>
      <c r="AQ793" s="416">
        <v>0</v>
      </c>
      <c r="AR793" s="416">
        <v>0</v>
      </c>
      <c r="AS793" s="416">
        <v>0</v>
      </c>
      <c r="AT793" s="416">
        <v>0</v>
      </c>
      <c r="AU793" s="416">
        <v>0</v>
      </c>
      <c r="AV793" s="416">
        <v>0</v>
      </c>
      <c r="AW793" s="416">
        <v>0</v>
      </c>
      <c r="AX793" s="416">
        <v>0</v>
      </c>
      <c r="AY793" s="416">
        <v>0</v>
      </c>
      <c r="AZ793" s="416">
        <v>0</v>
      </c>
    </row>
    <row r="794" spans="1:52" s="411" customFormat="1" x14ac:dyDescent="0.3">
      <c r="A794" s="415" t="str">
        <f t="shared" si="12"/>
        <v>SA-790 Gr.0</v>
      </c>
      <c r="B794" s="415">
        <v>788</v>
      </c>
      <c r="C794" s="415" t="s">
        <v>3274</v>
      </c>
      <c r="D794" s="415" t="s">
        <v>2703</v>
      </c>
      <c r="E794" s="415" t="s">
        <v>2324</v>
      </c>
      <c r="F794" s="415">
        <v>0</v>
      </c>
      <c r="G794" s="415" t="s">
        <v>3275</v>
      </c>
      <c r="H794" s="415">
        <v>0</v>
      </c>
      <c r="I794" s="415">
        <v>0</v>
      </c>
      <c r="J794" s="415" t="s">
        <v>3276</v>
      </c>
      <c r="K794" s="415">
        <v>1</v>
      </c>
      <c r="L794" s="415">
        <v>635</v>
      </c>
      <c r="M794" s="415">
        <v>440</v>
      </c>
      <c r="N794" s="415" t="s">
        <v>2675</v>
      </c>
      <c r="O794" s="415" t="s">
        <v>2675</v>
      </c>
      <c r="P794" s="415">
        <v>399</v>
      </c>
      <c r="Q794" s="415">
        <v>343</v>
      </c>
      <c r="R794" s="415" t="s">
        <v>3061</v>
      </c>
      <c r="S794" s="415" t="s">
        <v>3012</v>
      </c>
      <c r="T794" s="416">
        <v>181</v>
      </c>
      <c r="U794" s="416">
        <v>181</v>
      </c>
      <c r="V794" s="416">
        <v>178</v>
      </c>
      <c r="W794" s="416">
        <v>174</v>
      </c>
      <c r="X794" s="416">
        <v>171</v>
      </c>
      <c r="Y794" s="416">
        <v>168</v>
      </c>
      <c r="Z794" s="416">
        <v>167</v>
      </c>
      <c r="AA794" s="416">
        <v>167</v>
      </c>
      <c r="AB794" s="416">
        <v>167</v>
      </c>
      <c r="AC794" s="416">
        <v>167</v>
      </c>
      <c r="AD794" s="416">
        <v>167</v>
      </c>
      <c r="AE794" s="416">
        <v>167</v>
      </c>
      <c r="AF794" s="416">
        <v>167</v>
      </c>
      <c r="AG794" s="416">
        <v>0</v>
      </c>
      <c r="AH794" s="416">
        <v>0</v>
      </c>
      <c r="AI794" s="416">
        <v>0</v>
      </c>
      <c r="AJ794" s="416">
        <v>0</v>
      </c>
      <c r="AK794" s="416">
        <v>0</v>
      </c>
      <c r="AL794" s="416">
        <v>0</v>
      </c>
      <c r="AM794" s="416">
        <v>0</v>
      </c>
      <c r="AN794" s="416">
        <v>0</v>
      </c>
      <c r="AO794" s="416">
        <v>0</v>
      </c>
      <c r="AP794" s="416">
        <v>0</v>
      </c>
      <c r="AQ794" s="416">
        <v>0</v>
      </c>
      <c r="AR794" s="416">
        <v>0</v>
      </c>
      <c r="AS794" s="416">
        <v>0</v>
      </c>
      <c r="AT794" s="416">
        <v>0</v>
      </c>
      <c r="AU794" s="416">
        <v>0</v>
      </c>
      <c r="AV794" s="416">
        <v>0</v>
      </c>
      <c r="AW794" s="416">
        <v>0</v>
      </c>
      <c r="AX794" s="416">
        <v>0</v>
      </c>
      <c r="AY794" s="416">
        <v>0</v>
      </c>
      <c r="AZ794" s="416">
        <v>0</v>
      </c>
    </row>
    <row r="795" spans="1:52" s="411" customFormat="1" x14ac:dyDescent="0.3">
      <c r="A795" s="415" t="str">
        <f t="shared" si="12"/>
        <v>SA-790 Gr.0</v>
      </c>
      <c r="B795" s="415">
        <v>789</v>
      </c>
      <c r="C795" s="415" t="s">
        <v>3274</v>
      </c>
      <c r="D795" s="415" t="s">
        <v>2680</v>
      </c>
      <c r="E795" s="415" t="s">
        <v>2324</v>
      </c>
      <c r="F795" s="415">
        <v>0</v>
      </c>
      <c r="G795" s="415" t="s">
        <v>3275</v>
      </c>
      <c r="H795" s="415">
        <v>0</v>
      </c>
      <c r="I795" s="415">
        <v>0</v>
      </c>
      <c r="J795" s="415" t="s">
        <v>3276</v>
      </c>
      <c r="K795" s="415">
        <v>1</v>
      </c>
      <c r="L795" s="415">
        <v>635</v>
      </c>
      <c r="M795" s="415">
        <v>440</v>
      </c>
      <c r="N795" s="415" t="s">
        <v>2675</v>
      </c>
      <c r="O795" s="415" t="s">
        <v>2675</v>
      </c>
      <c r="P795" s="415">
        <v>399</v>
      </c>
      <c r="Q795" s="415">
        <v>343</v>
      </c>
      <c r="R795" s="415" t="s">
        <v>3061</v>
      </c>
      <c r="S795" s="415" t="s">
        <v>3053</v>
      </c>
      <c r="T795" s="416">
        <v>154</v>
      </c>
      <c r="U795" s="416">
        <v>154</v>
      </c>
      <c r="V795" s="416">
        <v>152</v>
      </c>
      <c r="W795" s="416">
        <v>148</v>
      </c>
      <c r="X795" s="416">
        <v>145</v>
      </c>
      <c r="Y795" s="416">
        <v>143</v>
      </c>
      <c r="Z795" s="416">
        <v>142</v>
      </c>
      <c r="AA795" s="416">
        <v>142</v>
      </c>
      <c r="AB795" s="416">
        <v>142</v>
      </c>
      <c r="AC795" s="416">
        <v>142</v>
      </c>
      <c r="AD795" s="416">
        <v>142</v>
      </c>
      <c r="AE795" s="416">
        <v>142</v>
      </c>
      <c r="AF795" s="416">
        <v>142</v>
      </c>
      <c r="AG795" s="416">
        <v>0</v>
      </c>
      <c r="AH795" s="416">
        <v>0</v>
      </c>
      <c r="AI795" s="416">
        <v>0</v>
      </c>
      <c r="AJ795" s="416">
        <v>0</v>
      </c>
      <c r="AK795" s="416">
        <v>0</v>
      </c>
      <c r="AL795" s="416">
        <v>0</v>
      </c>
      <c r="AM795" s="416">
        <v>0</v>
      </c>
      <c r="AN795" s="416">
        <v>0</v>
      </c>
      <c r="AO795" s="416">
        <v>0</v>
      </c>
      <c r="AP795" s="416">
        <v>0</v>
      </c>
      <c r="AQ795" s="416">
        <v>0</v>
      </c>
      <c r="AR795" s="416">
        <v>0</v>
      </c>
      <c r="AS795" s="416">
        <v>0</v>
      </c>
      <c r="AT795" s="416">
        <v>0</v>
      </c>
      <c r="AU795" s="416">
        <v>0</v>
      </c>
      <c r="AV795" s="416">
        <v>0</v>
      </c>
      <c r="AW795" s="416">
        <v>0</v>
      </c>
      <c r="AX795" s="416">
        <v>0</v>
      </c>
      <c r="AY795" s="416">
        <v>0</v>
      </c>
      <c r="AZ795" s="416">
        <v>0</v>
      </c>
    </row>
    <row r="796" spans="1:52" s="411" customFormat="1" x14ac:dyDescent="0.3">
      <c r="A796" s="415" t="str">
        <f t="shared" si="12"/>
        <v>SA-182 Gr.F304L</v>
      </c>
      <c r="B796" s="415">
        <v>790</v>
      </c>
      <c r="C796" s="415" t="s">
        <v>3277</v>
      </c>
      <c r="D796" s="415" t="s">
        <v>2737</v>
      </c>
      <c r="E796" s="415" t="s">
        <v>2188</v>
      </c>
      <c r="F796" s="415" t="s">
        <v>2434</v>
      </c>
      <c r="G796" s="415" t="s">
        <v>3278</v>
      </c>
      <c r="H796" s="415">
        <v>0</v>
      </c>
      <c r="I796" s="415" t="s">
        <v>3202</v>
      </c>
      <c r="J796" s="415">
        <v>8</v>
      </c>
      <c r="K796" s="415">
        <v>1</v>
      </c>
      <c r="L796" s="415">
        <v>450</v>
      </c>
      <c r="M796" s="415">
        <v>170</v>
      </c>
      <c r="N796" s="415">
        <v>427</v>
      </c>
      <c r="O796" s="415">
        <v>427</v>
      </c>
      <c r="P796" s="415">
        <v>649</v>
      </c>
      <c r="Q796" s="415">
        <v>343</v>
      </c>
      <c r="R796" s="415" t="s">
        <v>3279</v>
      </c>
      <c r="S796" s="415" t="s">
        <v>3280</v>
      </c>
      <c r="T796" s="416">
        <v>115</v>
      </c>
      <c r="U796" s="416">
        <v>115</v>
      </c>
      <c r="V796" s="416">
        <v>115</v>
      </c>
      <c r="W796" s="416">
        <v>115</v>
      </c>
      <c r="X796" s="416">
        <v>115</v>
      </c>
      <c r="Y796" s="416">
        <v>115</v>
      </c>
      <c r="Z796" s="416">
        <v>110</v>
      </c>
      <c r="AA796" s="416">
        <v>103</v>
      </c>
      <c r="AB796" s="416">
        <v>97.7</v>
      </c>
      <c r="AC796" s="416">
        <v>95.7</v>
      </c>
      <c r="AD796" s="416">
        <v>94.1</v>
      </c>
      <c r="AE796" s="416">
        <v>92.6</v>
      </c>
      <c r="AF796" s="416">
        <v>91.3</v>
      </c>
      <c r="AG796" s="416">
        <v>90</v>
      </c>
      <c r="AH796" s="416">
        <v>88.7</v>
      </c>
      <c r="AI796" s="416">
        <v>86.6</v>
      </c>
      <c r="AJ796" s="416">
        <v>72.5</v>
      </c>
      <c r="AK796" s="416">
        <v>60.2</v>
      </c>
      <c r="AL796" s="416">
        <v>49.5</v>
      </c>
      <c r="AM796" s="416">
        <v>40.4</v>
      </c>
      <c r="AN796" s="416">
        <v>32.9</v>
      </c>
      <c r="AO796" s="416">
        <v>26.7</v>
      </c>
      <c r="AP796" s="416">
        <v>22</v>
      </c>
      <c r="AQ796" s="416">
        <v>0</v>
      </c>
      <c r="AR796" s="416">
        <v>0</v>
      </c>
      <c r="AS796" s="416">
        <v>0</v>
      </c>
      <c r="AT796" s="416">
        <v>0</v>
      </c>
      <c r="AU796" s="416">
        <v>0</v>
      </c>
      <c r="AV796" s="416">
        <v>0</v>
      </c>
      <c r="AW796" s="416">
        <v>0</v>
      </c>
      <c r="AX796" s="416">
        <v>0</v>
      </c>
      <c r="AY796" s="416">
        <v>0</v>
      </c>
      <c r="AZ796" s="416">
        <v>0</v>
      </c>
    </row>
    <row r="797" spans="1:52" s="411" customFormat="1" x14ac:dyDescent="0.3">
      <c r="A797" s="415" t="str">
        <f t="shared" si="12"/>
        <v>SA-182 Gr.F304L</v>
      </c>
      <c r="B797" s="415">
        <v>791</v>
      </c>
      <c r="C797" s="415" t="s">
        <v>3277</v>
      </c>
      <c r="D797" s="415" t="s">
        <v>2737</v>
      </c>
      <c r="E797" s="415" t="s">
        <v>2188</v>
      </c>
      <c r="F797" s="415" t="s">
        <v>2434</v>
      </c>
      <c r="G797" s="415" t="s">
        <v>3278</v>
      </c>
      <c r="H797" s="415">
        <v>0</v>
      </c>
      <c r="I797" s="415" t="s">
        <v>3202</v>
      </c>
      <c r="J797" s="415">
        <v>8</v>
      </c>
      <c r="K797" s="415">
        <v>1</v>
      </c>
      <c r="L797" s="415">
        <v>450</v>
      </c>
      <c r="M797" s="415">
        <v>170</v>
      </c>
      <c r="N797" s="415">
        <v>427</v>
      </c>
      <c r="O797" s="415" t="s">
        <v>2675</v>
      </c>
      <c r="P797" s="415">
        <v>649</v>
      </c>
      <c r="Q797" s="415">
        <v>343</v>
      </c>
      <c r="R797" s="415" t="s">
        <v>3279</v>
      </c>
      <c r="S797" s="415" t="s">
        <v>3281</v>
      </c>
      <c r="T797" s="416">
        <v>115</v>
      </c>
      <c r="U797" s="416">
        <v>115</v>
      </c>
      <c r="V797" s="416">
        <v>105</v>
      </c>
      <c r="W797" s="416">
        <v>97</v>
      </c>
      <c r="X797" s="416">
        <v>92.3</v>
      </c>
      <c r="Y797" s="416">
        <v>88.1</v>
      </c>
      <c r="Z797" s="416">
        <v>81.2</v>
      </c>
      <c r="AA797" s="416">
        <v>76</v>
      </c>
      <c r="AB797" s="416">
        <v>72.3</v>
      </c>
      <c r="AC797" s="416">
        <v>70.900000000000006</v>
      </c>
      <c r="AD797" s="416">
        <v>69.7</v>
      </c>
      <c r="AE797" s="416">
        <v>68.599999999999994</v>
      </c>
      <c r="AF797" s="416">
        <v>67.599999999999994</v>
      </c>
      <c r="AG797" s="416">
        <v>66.7</v>
      </c>
      <c r="AH797" s="416">
        <v>65.7</v>
      </c>
      <c r="AI797" s="416">
        <v>64.599999999999994</v>
      </c>
      <c r="AJ797" s="416">
        <v>63.4</v>
      </c>
      <c r="AK797" s="416">
        <v>60.2</v>
      </c>
      <c r="AL797" s="416">
        <v>49.5</v>
      </c>
      <c r="AM797" s="416">
        <v>40.4</v>
      </c>
      <c r="AN797" s="416">
        <v>32.9</v>
      </c>
      <c r="AO797" s="416">
        <v>26.7</v>
      </c>
      <c r="AP797" s="416">
        <v>22</v>
      </c>
      <c r="AQ797" s="416">
        <v>0</v>
      </c>
      <c r="AR797" s="416">
        <v>0</v>
      </c>
      <c r="AS797" s="416">
        <v>0</v>
      </c>
      <c r="AT797" s="416">
        <v>0</v>
      </c>
      <c r="AU797" s="416">
        <v>0</v>
      </c>
      <c r="AV797" s="416">
        <v>0</v>
      </c>
      <c r="AW797" s="416">
        <v>0</v>
      </c>
      <c r="AX797" s="416">
        <v>0</v>
      </c>
      <c r="AY797" s="416">
        <v>0</v>
      </c>
      <c r="AZ797" s="416">
        <v>0</v>
      </c>
    </row>
    <row r="798" spans="1:52" s="411" customFormat="1" x14ac:dyDescent="0.3">
      <c r="A798" s="415" t="str">
        <f t="shared" si="12"/>
        <v>SA-965 Gr.F304L</v>
      </c>
      <c r="B798" s="415">
        <v>792</v>
      </c>
      <c r="C798" s="415" t="s">
        <v>3277</v>
      </c>
      <c r="D798" s="415" t="s">
        <v>2737</v>
      </c>
      <c r="E798" s="415" t="s">
        <v>2337</v>
      </c>
      <c r="F798" s="415" t="s">
        <v>2434</v>
      </c>
      <c r="G798" s="415" t="s">
        <v>3278</v>
      </c>
      <c r="H798" s="415">
        <v>0</v>
      </c>
      <c r="I798" s="415">
        <v>0</v>
      </c>
      <c r="J798" s="415">
        <v>8</v>
      </c>
      <c r="K798" s="415">
        <v>1</v>
      </c>
      <c r="L798" s="415">
        <v>450</v>
      </c>
      <c r="M798" s="415">
        <v>170</v>
      </c>
      <c r="N798" s="415">
        <v>427</v>
      </c>
      <c r="O798" s="415">
        <v>427</v>
      </c>
      <c r="P798" s="415">
        <v>649</v>
      </c>
      <c r="Q798" s="415">
        <v>343</v>
      </c>
      <c r="R798" s="415" t="s">
        <v>3279</v>
      </c>
      <c r="S798" s="415" t="s">
        <v>3280</v>
      </c>
      <c r="T798" s="416">
        <v>115</v>
      </c>
      <c r="U798" s="416">
        <v>115</v>
      </c>
      <c r="V798" s="416">
        <v>115</v>
      </c>
      <c r="W798" s="416">
        <v>115</v>
      </c>
      <c r="X798" s="416">
        <v>115</v>
      </c>
      <c r="Y798" s="416">
        <v>115</v>
      </c>
      <c r="Z798" s="416">
        <v>110</v>
      </c>
      <c r="AA798" s="416">
        <v>103</v>
      </c>
      <c r="AB798" s="416">
        <v>97.7</v>
      </c>
      <c r="AC798" s="416">
        <v>95.7</v>
      </c>
      <c r="AD798" s="416">
        <v>94.1</v>
      </c>
      <c r="AE798" s="416">
        <v>92.6</v>
      </c>
      <c r="AF798" s="416">
        <v>91.3</v>
      </c>
      <c r="AG798" s="416">
        <v>90</v>
      </c>
      <c r="AH798" s="416">
        <v>88.7</v>
      </c>
      <c r="AI798" s="416">
        <v>86.6</v>
      </c>
      <c r="AJ798" s="416">
        <v>72.5</v>
      </c>
      <c r="AK798" s="416">
        <v>60.2</v>
      </c>
      <c r="AL798" s="416">
        <v>49.5</v>
      </c>
      <c r="AM798" s="416">
        <v>40.4</v>
      </c>
      <c r="AN798" s="416">
        <v>32.9</v>
      </c>
      <c r="AO798" s="416">
        <v>26.7</v>
      </c>
      <c r="AP798" s="416">
        <v>22</v>
      </c>
      <c r="AQ798" s="416">
        <v>0</v>
      </c>
      <c r="AR798" s="416">
        <v>0</v>
      </c>
      <c r="AS798" s="416">
        <v>0</v>
      </c>
      <c r="AT798" s="416">
        <v>0</v>
      </c>
      <c r="AU798" s="416">
        <v>0</v>
      </c>
      <c r="AV798" s="416">
        <v>0</v>
      </c>
      <c r="AW798" s="416">
        <v>0</v>
      </c>
      <c r="AX798" s="416">
        <v>0</v>
      </c>
      <c r="AY798" s="416">
        <v>0</v>
      </c>
      <c r="AZ798" s="416">
        <v>0</v>
      </c>
    </row>
    <row r="799" spans="1:52" s="411" customFormat="1" x14ac:dyDescent="0.3">
      <c r="A799" s="415" t="str">
        <f t="shared" si="12"/>
        <v>SA-965 Gr.F304L</v>
      </c>
      <c r="B799" s="415">
        <v>793</v>
      </c>
      <c r="C799" s="415" t="s">
        <v>3277</v>
      </c>
      <c r="D799" s="415" t="s">
        <v>2737</v>
      </c>
      <c r="E799" s="415" t="s">
        <v>2337</v>
      </c>
      <c r="F799" s="415" t="s">
        <v>2434</v>
      </c>
      <c r="G799" s="415" t="s">
        <v>3278</v>
      </c>
      <c r="H799" s="415">
        <v>0</v>
      </c>
      <c r="I799" s="415">
        <v>0</v>
      </c>
      <c r="J799" s="415">
        <v>8</v>
      </c>
      <c r="K799" s="415">
        <v>1</v>
      </c>
      <c r="L799" s="415">
        <v>450</v>
      </c>
      <c r="M799" s="415">
        <v>170</v>
      </c>
      <c r="N799" s="415">
        <v>427</v>
      </c>
      <c r="O799" s="415" t="s">
        <v>2675</v>
      </c>
      <c r="P799" s="415">
        <v>649</v>
      </c>
      <c r="Q799" s="415">
        <v>343</v>
      </c>
      <c r="R799" s="415" t="s">
        <v>3279</v>
      </c>
      <c r="S799" s="415" t="s">
        <v>3281</v>
      </c>
      <c r="T799" s="416">
        <v>115</v>
      </c>
      <c r="U799" s="416">
        <v>115</v>
      </c>
      <c r="V799" s="416">
        <v>105</v>
      </c>
      <c r="W799" s="416">
        <v>97</v>
      </c>
      <c r="X799" s="416">
        <v>92.3</v>
      </c>
      <c r="Y799" s="416">
        <v>88.1</v>
      </c>
      <c r="Z799" s="416">
        <v>81.2</v>
      </c>
      <c r="AA799" s="416">
        <v>76</v>
      </c>
      <c r="AB799" s="416">
        <v>72.3</v>
      </c>
      <c r="AC799" s="416">
        <v>70.900000000000006</v>
      </c>
      <c r="AD799" s="416">
        <v>69.7</v>
      </c>
      <c r="AE799" s="416">
        <v>68.599999999999994</v>
      </c>
      <c r="AF799" s="416">
        <v>67.599999999999994</v>
      </c>
      <c r="AG799" s="416">
        <v>66.7</v>
      </c>
      <c r="AH799" s="416">
        <v>65.7</v>
      </c>
      <c r="AI799" s="416">
        <v>64.599999999999994</v>
      </c>
      <c r="AJ799" s="416">
        <v>63.4</v>
      </c>
      <c r="AK799" s="416">
        <v>60.2</v>
      </c>
      <c r="AL799" s="416">
        <v>49.5</v>
      </c>
      <c r="AM799" s="416">
        <v>40.4</v>
      </c>
      <c r="AN799" s="416">
        <v>32.9</v>
      </c>
      <c r="AO799" s="416">
        <v>26.7</v>
      </c>
      <c r="AP799" s="416">
        <v>22</v>
      </c>
      <c r="AQ799" s="416">
        <v>0</v>
      </c>
      <c r="AR799" s="416">
        <v>0</v>
      </c>
      <c r="AS799" s="416">
        <v>0</v>
      </c>
      <c r="AT799" s="416">
        <v>0</v>
      </c>
      <c r="AU799" s="416">
        <v>0</v>
      </c>
      <c r="AV799" s="416">
        <v>0</v>
      </c>
      <c r="AW799" s="416">
        <v>0</v>
      </c>
      <c r="AX799" s="416">
        <v>0</v>
      </c>
      <c r="AY799" s="416">
        <v>0</v>
      </c>
      <c r="AZ799" s="416">
        <v>0</v>
      </c>
    </row>
    <row r="800" spans="1:52" s="411" customFormat="1" ht="28.8" x14ac:dyDescent="0.3">
      <c r="A800" s="415" t="str">
        <f t="shared" si="12"/>
        <v>SA/JIS G4303 Gr.SUS304L</v>
      </c>
      <c r="B800" s="415">
        <v>794</v>
      </c>
      <c r="C800" s="415" t="s">
        <v>3277</v>
      </c>
      <c r="D800" s="415" t="s">
        <v>2677</v>
      </c>
      <c r="E800" s="415" t="s">
        <v>2176</v>
      </c>
      <c r="F800" s="415" t="s">
        <v>2528</v>
      </c>
      <c r="G800" s="415">
        <v>0</v>
      </c>
      <c r="H800" s="415">
        <v>0</v>
      </c>
      <c r="I800" s="415">
        <v>0</v>
      </c>
      <c r="J800" s="415">
        <v>8</v>
      </c>
      <c r="K800" s="415">
        <v>1</v>
      </c>
      <c r="L800" s="415">
        <v>480</v>
      </c>
      <c r="M800" s="415">
        <v>175</v>
      </c>
      <c r="N800" s="415">
        <v>427</v>
      </c>
      <c r="O800" s="415">
        <v>427</v>
      </c>
      <c r="P800" s="415">
        <v>649</v>
      </c>
      <c r="Q800" s="415" t="s">
        <v>2675</v>
      </c>
      <c r="R800" s="415" t="s">
        <v>3279</v>
      </c>
      <c r="S800" s="415" t="s">
        <v>3282</v>
      </c>
      <c r="T800" s="416">
        <v>115</v>
      </c>
      <c r="U800" s="416">
        <v>115</v>
      </c>
      <c r="V800" s="416">
        <v>115</v>
      </c>
      <c r="W800" s="416">
        <v>115</v>
      </c>
      <c r="X800" s="416">
        <v>115</v>
      </c>
      <c r="Y800" s="416">
        <v>115</v>
      </c>
      <c r="Z800" s="416">
        <v>110</v>
      </c>
      <c r="AA800" s="416">
        <v>103</v>
      </c>
      <c r="AB800" s="416">
        <v>97.7</v>
      </c>
      <c r="AC800" s="416">
        <v>95.7</v>
      </c>
      <c r="AD800" s="416">
        <v>94.1</v>
      </c>
      <c r="AE800" s="416">
        <v>92.6</v>
      </c>
      <c r="AF800" s="416">
        <v>91.3</v>
      </c>
      <c r="AG800" s="416">
        <v>90</v>
      </c>
      <c r="AH800" s="416">
        <v>88.7</v>
      </c>
      <c r="AI800" s="416">
        <v>86.6</v>
      </c>
      <c r="AJ800" s="416">
        <v>72.5</v>
      </c>
      <c r="AK800" s="416">
        <v>60.2</v>
      </c>
      <c r="AL800" s="416">
        <v>49.5</v>
      </c>
      <c r="AM800" s="416">
        <v>40.4</v>
      </c>
      <c r="AN800" s="416">
        <v>32.9</v>
      </c>
      <c r="AO800" s="416">
        <v>26.7</v>
      </c>
      <c r="AP800" s="416">
        <v>22</v>
      </c>
      <c r="AQ800" s="416">
        <v>0</v>
      </c>
      <c r="AR800" s="416">
        <v>0</v>
      </c>
      <c r="AS800" s="416">
        <v>0</v>
      </c>
      <c r="AT800" s="416">
        <v>0</v>
      </c>
      <c r="AU800" s="416">
        <v>0</v>
      </c>
      <c r="AV800" s="416">
        <v>0</v>
      </c>
      <c r="AW800" s="416">
        <v>0</v>
      </c>
      <c r="AX800" s="416">
        <v>0</v>
      </c>
      <c r="AY800" s="416">
        <v>0</v>
      </c>
      <c r="AZ800" s="416">
        <v>0</v>
      </c>
    </row>
    <row r="801" spans="1:52" s="411" customFormat="1" x14ac:dyDescent="0.3">
      <c r="A801" s="415" t="str">
        <f t="shared" si="12"/>
        <v>SA-182 Gr.F304L</v>
      </c>
      <c r="B801" s="415">
        <v>795</v>
      </c>
      <c r="C801" s="415" t="s">
        <v>3277</v>
      </c>
      <c r="D801" s="415" t="s">
        <v>2737</v>
      </c>
      <c r="E801" s="415" t="s">
        <v>2188</v>
      </c>
      <c r="F801" s="415" t="s">
        <v>2434</v>
      </c>
      <c r="G801" s="415" t="s">
        <v>3278</v>
      </c>
      <c r="H801" s="415">
        <v>0</v>
      </c>
      <c r="I801" s="415" t="s">
        <v>3207</v>
      </c>
      <c r="J801" s="415">
        <v>8</v>
      </c>
      <c r="K801" s="415">
        <v>1</v>
      </c>
      <c r="L801" s="415">
        <v>485</v>
      </c>
      <c r="M801" s="415">
        <v>170</v>
      </c>
      <c r="N801" s="415">
        <v>427</v>
      </c>
      <c r="O801" s="415">
        <v>427</v>
      </c>
      <c r="P801" s="415">
        <v>649</v>
      </c>
      <c r="Q801" s="415">
        <v>343</v>
      </c>
      <c r="R801" s="415" t="s">
        <v>3279</v>
      </c>
      <c r="S801" s="415" t="s">
        <v>3280</v>
      </c>
      <c r="T801" s="416">
        <v>115</v>
      </c>
      <c r="U801" s="416">
        <v>115</v>
      </c>
      <c r="V801" s="416">
        <v>115</v>
      </c>
      <c r="W801" s="416">
        <v>115</v>
      </c>
      <c r="X801" s="416">
        <v>115</v>
      </c>
      <c r="Y801" s="416">
        <v>115</v>
      </c>
      <c r="Z801" s="416">
        <v>110</v>
      </c>
      <c r="AA801" s="416">
        <v>103</v>
      </c>
      <c r="AB801" s="416">
        <v>97.7</v>
      </c>
      <c r="AC801" s="416">
        <v>95.7</v>
      </c>
      <c r="AD801" s="416">
        <v>94.1</v>
      </c>
      <c r="AE801" s="416">
        <v>92.6</v>
      </c>
      <c r="AF801" s="416">
        <v>91.3</v>
      </c>
      <c r="AG801" s="416">
        <v>90</v>
      </c>
      <c r="AH801" s="416">
        <v>88.7</v>
      </c>
      <c r="AI801" s="416">
        <v>86.6</v>
      </c>
      <c r="AJ801" s="416">
        <v>72.5</v>
      </c>
      <c r="AK801" s="416">
        <v>60.2</v>
      </c>
      <c r="AL801" s="416">
        <v>49.5</v>
      </c>
      <c r="AM801" s="416">
        <v>40.4</v>
      </c>
      <c r="AN801" s="416">
        <v>32.9</v>
      </c>
      <c r="AO801" s="416">
        <v>26.7</v>
      </c>
      <c r="AP801" s="416">
        <v>22</v>
      </c>
      <c r="AQ801" s="416">
        <v>0</v>
      </c>
      <c r="AR801" s="416">
        <v>0</v>
      </c>
      <c r="AS801" s="416">
        <v>0</v>
      </c>
      <c r="AT801" s="416">
        <v>0</v>
      </c>
      <c r="AU801" s="416">
        <v>0</v>
      </c>
      <c r="AV801" s="416">
        <v>0</v>
      </c>
      <c r="AW801" s="416">
        <v>0</v>
      </c>
      <c r="AX801" s="416">
        <v>0</v>
      </c>
      <c r="AY801" s="416">
        <v>0</v>
      </c>
      <c r="AZ801" s="416">
        <v>0</v>
      </c>
    </row>
    <row r="802" spans="1:52" s="411" customFormat="1" x14ac:dyDescent="0.3">
      <c r="A802" s="415" t="str">
        <f t="shared" si="12"/>
        <v>SA-182 Gr.F304L</v>
      </c>
      <c r="B802" s="415">
        <v>796</v>
      </c>
      <c r="C802" s="415" t="s">
        <v>3277</v>
      </c>
      <c r="D802" s="415" t="s">
        <v>2737</v>
      </c>
      <c r="E802" s="415" t="s">
        <v>2188</v>
      </c>
      <c r="F802" s="415" t="s">
        <v>2434</v>
      </c>
      <c r="G802" s="415" t="s">
        <v>3278</v>
      </c>
      <c r="H802" s="415">
        <v>0</v>
      </c>
      <c r="I802" s="415" t="s">
        <v>3207</v>
      </c>
      <c r="J802" s="415">
        <v>8</v>
      </c>
      <c r="K802" s="415">
        <v>1</v>
      </c>
      <c r="L802" s="415">
        <v>485</v>
      </c>
      <c r="M802" s="415">
        <v>170</v>
      </c>
      <c r="N802" s="415">
        <v>427</v>
      </c>
      <c r="O802" s="415" t="s">
        <v>2675</v>
      </c>
      <c r="P802" s="415">
        <v>649</v>
      </c>
      <c r="Q802" s="415">
        <v>343</v>
      </c>
      <c r="R802" s="415" t="s">
        <v>3279</v>
      </c>
      <c r="S802" s="415" t="s">
        <v>3281</v>
      </c>
      <c r="T802" s="416">
        <v>115</v>
      </c>
      <c r="U802" s="416">
        <v>115</v>
      </c>
      <c r="V802" s="416">
        <v>105</v>
      </c>
      <c r="W802" s="416">
        <v>97</v>
      </c>
      <c r="X802" s="416">
        <v>92.3</v>
      </c>
      <c r="Y802" s="416">
        <v>88.1</v>
      </c>
      <c r="Z802" s="416">
        <v>81.2</v>
      </c>
      <c r="AA802" s="416">
        <v>76</v>
      </c>
      <c r="AB802" s="416">
        <v>72.3</v>
      </c>
      <c r="AC802" s="416">
        <v>70.900000000000006</v>
      </c>
      <c r="AD802" s="416">
        <v>69.7</v>
      </c>
      <c r="AE802" s="416">
        <v>68.599999999999994</v>
      </c>
      <c r="AF802" s="416">
        <v>67.599999999999994</v>
      </c>
      <c r="AG802" s="416">
        <v>66.7</v>
      </c>
      <c r="AH802" s="416">
        <v>65.7</v>
      </c>
      <c r="AI802" s="416">
        <v>64.599999999999994</v>
      </c>
      <c r="AJ802" s="416">
        <v>63.4</v>
      </c>
      <c r="AK802" s="416">
        <v>60.2</v>
      </c>
      <c r="AL802" s="416">
        <v>49.5</v>
      </c>
      <c r="AM802" s="416">
        <v>40.4</v>
      </c>
      <c r="AN802" s="416">
        <v>32.9</v>
      </c>
      <c r="AO802" s="416">
        <v>26.7</v>
      </c>
      <c r="AP802" s="416">
        <v>22</v>
      </c>
      <c r="AQ802" s="416">
        <v>0</v>
      </c>
      <c r="AR802" s="416">
        <v>0</v>
      </c>
      <c r="AS802" s="416">
        <v>0</v>
      </c>
      <c r="AT802" s="416">
        <v>0</v>
      </c>
      <c r="AU802" s="416">
        <v>0</v>
      </c>
      <c r="AV802" s="416">
        <v>0</v>
      </c>
      <c r="AW802" s="416">
        <v>0</v>
      </c>
      <c r="AX802" s="416">
        <v>0</v>
      </c>
      <c r="AY802" s="416">
        <v>0</v>
      </c>
      <c r="AZ802" s="416">
        <v>0</v>
      </c>
    </row>
    <row r="803" spans="1:52" s="411" customFormat="1" x14ac:dyDescent="0.3">
      <c r="A803" s="415" t="str">
        <f t="shared" si="12"/>
        <v>SA-213 Gr.TP304L</v>
      </c>
      <c r="B803" s="415">
        <v>797</v>
      </c>
      <c r="C803" s="415" t="s">
        <v>3277</v>
      </c>
      <c r="D803" s="415" t="s">
        <v>2693</v>
      </c>
      <c r="E803" s="415" t="s">
        <v>2195</v>
      </c>
      <c r="F803" s="415" t="s">
        <v>2557</v>
      </c>
      <c r="G803" s="415" t="s">
        <v>3278</v>
      </c>
      <c r="H803" s="415">
        <v>0</v>
      </c>
      <c r="I803" s="415">
        <v>0</v>
      </c>
      <c r="J803" s="415">
        <v>8</v>
      </c>
      <c r="K803" s="415">
        <v>1</v>
      </c>
      <c r="L803" s="415">
        <v>485</v>
      </c>
      <c r="M803" s="415">
        <v>170</v>
      </c>
      <c r="N803" s="415">
        <v>427</v>
      </c>
      <c r="O803" s="415">
        <v>427</v>
      </c>
      <c r="P803" s="415">
        <v>649</v>
      </c>
      <c r="Q803" s="415" t="s">
        <v>2675</v>
      </c>
      <c r="R803" s="415" t="s">
        <v>3279</v>
      </c>
      <c r="S803" s="415" t="s">
        <v>3280</v>
      </c>
      <c r="T803" s="416">
        <v>115</v>
      </c>
      <c r="U803" s="416">
        <v>115</v>
      </c>
      <c r="V803" s="416">
        <v>115</v>
      </c>
      <c r="W803" s="416">
        <v>115</v>
      </c>
      <c r="X803" s="416">
        <v>115</v>
      </c>
      <c r="Y803" s="416">
        <v>115</v>
      </c>
      <c r="Z803" s="416">
        <v>110</v>
      </c>
      <c r="AA803" s="416">
        <v>103</v>
      </c>
      <c r="AB803" s="416">
        <v>97.7</v>
      </c>
      <c r="AC803" s="416">
        <v>95.7</v>
      </c>
      <c r="AD803" s="416">
        <v>94.1</v>
      </c>
      <c r="AE803" s="416">
        <v>92.6</v>
      </c>
      <c r="AF803" s="416">
        <v>91.3</v>
      </c>
      <c r="AG803" s="416">
        <v>90</v>
      </c>
      <c r="AH803" s="416">
        <v>88.7</v>
      </c>
      <c r="AI803" s="416">
        <v>86.6</v>
      </c>
      <c r="AJ803" s="416">
        <v>72.5</v>
      </c>
      <c r="AK803" s="416">
        <v>60.2</v>
      </c>
      <c r="AL803" s="416">
        <v>49.5</v>
      </c>
      <c r="AM803" s="416">
        <v>40.4</v>
      </c>
      <c r="AN803" s="416">
        <v>32.9</v>
      </c>
      <c r="AO803" s="416">
        <v>26.7</v>
      </c>
      <c r="AP803" s="416">
        <v>22</v>
      </c>
      <c r="AQ803" s="416">
        <v>0</v>
      </c>
      <c r="AR803" s="416">
        <v>0</v>
      </c>
      <c r="AS803" s="416">
        <v>0</v>
      </c>
      <c r="AT803" s="416">
        <v>0</v>
      </c>
      <c r="AU803" s="416">
        <v>0</v>
      </c>
      <c r="AV803" s="416">
        <v>0</v>
      </c>
      <c r="AW803" s="416">
        <v>0</v>
      </c>
      <c r="AX803" s="416">
        <v>0</v>
      </c>
      <c r="AY803" s="416">
        <v>0</v>
      </c>
      <c r="AZ803" s="416">
        <v>0</v>
      </c>
    </row>
    <row r="804" spans="1:52" s="411" customFormat="1" x14ac:dyDescent="0.3">
      <c r="A804" s="415" t="str">
        <f t="shared" si="12"/>
        <v>SA-213 Gr.TP304L</v>
      </c>
      <c r="B804" s="415">
        <v>798</v>
      </c>
      <c r="C804" s="415" t="s">
        <v>3277</v>
      </c>
      <c r="D804" s="415" t="s">
        <v>2693</v>
      </c>
      <c r="E804" s="415" t="s">
        <v>2195</v>
      </c>
      <c r="F804" s="415" t="s">
        <v>2557</v>
      </c>
      <c r="G804" s="415" t="s">
        <v>3278</v>
      </c>
      <c r="H804" s="415">
        <v>0</v>
      </c>
      <c r="I804" s="415">
        <v>0</v>
      </c>
      <c r="J804" s="415">
        <v>8</v>
      </c>
      <c r="K804" s="415">
        <v>1</v>
      </c>
      <c r="L804" s="415">
        <v>485</v>
      </c>
      <c r="M804" s="415">
        <v>170</v>
      </c>
      <c r="N804" s="415">
        <v>427</v>
      </c>
      <c r="O804" s="415" t="s">
        <v>2675</v>
      </c>
      <c r="P804" s="415">
        <v>649</v>
      </c>
      <c r="Q804" s="415" t="s">
        <v>2675</v>
      </c>
      <c r="R804" s="415" t="s">
        <v>3279</v>
      </c>
      <c r="S804" s="415" t="s">
        <v>3281</v>
      </c>
      <c r="T804" s="416">
        <v>115</v>
      </c>
      <c r="U804" s="416">
        <v>115</v>
      </c>
      <c r="V804" s="416">
        <v>105</v>
      </c>
      <c r="W804" s="416">
        <v>97</v>
      </c>
      <c r="X804" s="416">
        <v>92.3</v>
      </c>
      <c r="Y804" s="416">
        <v>88.1</v>
      </c>
      <c r="Z804" s="416">
        <v>81.2</v>
      </c>
      <c r="AA804" s="416">
        <v>76</v>
      </c>
      <c r="AB804" s="416">
        <v>72.3</v>
      </c>
      <c r="AC804" s="416">
        <v>70.900000000000006</v>
      </c>
      <c r="AD804" s="416">
        <v>69.7</v>
      </c>
      <c r="AE804" s="416">
        <v>68.599999999999994</v>
      </c>
      <c r="AF804" s="416">
        <v>67.599999999999994</v>
      </c>
      <c r="AG804" s="416">
        <v>66.7</v>
      </c>
      <c r="AH804" s="416">
        <v>65.7</v>
      </c>
      <c r="AI804" s="416">
        <v>64.599999999999994</v>
      </c>
      <c r="AJ804" s="416">
        <v>63.4</v>
      </c>
      <c r="AK804" s="416">
        <v>60.2</v>
      </c>
      <c r="AL804" s="416">
        <v>49.5</v>
      </c>
      <c r="AM804" s="416">
        <v>40.4</v>
      </c>
      <c r="AN804" s="416">
        <v>32.9</v>
      </c>
      <c r="AO804" s="416">
        <v>26.7</v>
      </c>
      <c r="AP804" s="416">
        <v>22</v>
      </c>
      <c r="AQ804" s="416">
        <v>0</v>
      </c>
      <c r="AR804" s="416">
        <v>0</v>
      </c>
      <c r="AS804" s="416">
        <v>0</v>
      </c>
      <c r="AT804" s="416">
        <v>0</v>
      </c>
      <c r="AU804" s="416">
        <v>0</v>
      </c>
      <c r="AV804" s="416">
        <v>0</v>
      </c>
      <c r="AW804" s="416">
        <v>0</v>
      </c>
      <c r="AX804" s="416">
        <v>0</v>
      </c>
      <c r="AY804" s="416">
        <v>0</v>
      </c>
      <c r="AZ804" s="416">
        <v>0</v>
      </c>
    </row>
    <row r="805" spans="1:52" s="411" customFormat="1" x14ac:dyDescent="0.3">
      <c r="A805" s="415" t="str">
        <f t="shared" si="12"/>
        <v>SA-240 Gr.304L</v>
      </c>
      <c r="B805" s="415">
        <v>799</v>
      </c>
      <c r="C805" s="415" t="s">
        <v>3277</v>
      </c>
      <c r="D805" s="415" t="s">
        <v>2684</v>
      </c>
      <c r="E805" s="415" t="s">
        <v>2165</v>
      </c>
      <c r="F805" s="415" t="s">
        <v>2246</v>
      </c>
      <c r="G805" s="415" t="s">
        <v>3278</v>
      </c>
      <c r="H805" s="415">
        <v>0</v>
      </c>
      <c r="I805" s="415">
        <v>0</v>
      </c>
      <c r="J805" s="415">
        <v>8</v>
      </c>
      <c r="K805" s="415">
        <v>1</v>
      </c>
      <c r="L805" s="415">
        <v>485</v>
      </c>
      <c r="M805" s="415">
        <v>170</v>
      </c>
      <c r="N805" s="415">
        <v>427</v>
      </c>
      <c r="O805" s="415">
        <v>427</v>
      </c>
      <c r="P805" s="415">
        <v>649</v>
      </c>
      <c r="Q805" s="415">
        <v>343</v>
      </c>
      <c r="R805" s="415" t="s">
        <v>3279</v>
      </c>
      <c r="S805" s="415" t="s">
        <v>3280</v>
      </c>
      <c r="T805" s="416">
        <v>115</v>
      </c>
      <c r="U805" s="416">
        <v>115</v>
      </c>
      <c r="V805" s="416">
        <v>115</v>
      </c>
      <c r="W805" s="416">
        <v>115</v>
      </c>
      <c r="X805" s="416">
        <v>115</v>
      </c>
      <c r="Y805" s="416">
        <v>115</v>
      </c>
      <c r="Z805" s="416">
        <v>110</v>
      </c>
      <c r="AA805" s="416">
        <v>103</v>
      </c>
      <c r="AB805" s="416">
        <v>97.7</v>
      </c>
      <c r="AC805" s="416">
        <v>95.7</v>
      </c>
      <c r="AD805" s="416">
        <v>94.1</v>
      </c>
      <c r="AE805" s="416">
        <v>92.6</v>
      </c>
      <c r="AF805" s="416">
        <v>91.3</v>
      </c>
      <c r="AG805" s="416">
        <v>90</v>
      </c>
      <c r="AH805" s="416">
        <v>88.7</v>
      </c>
      <c r="AI805" s="416">
        <v>86.6</v>
      </c>
      <c r="AJ805" s="416">
        <v>72.5</v>
      </c>
      <c r="AK805" s="416">
        <v>60.2</v>
      </c>
      <c r="AL805" s="416">
        <v>49.5</v>
      </c>
      <c r="AM805" s="416">
        <v>40.4</v>
      </c>
      <c r="AN805" s="416">
        <v>32.9</v>
      </c>
      <c r="AO805" s="416">
        <v>26.7</v>
      </c>
      <c r="AP805" s="416">
        <v>22</v>
      </c>
      <c r="AQ805" s="416">
        <v>0</v>
      </c>
      <c r="AR805" s="416">
        <v>0</v>
      </c>
      <c r="AS805" s="416">
        <v>0</v>
      </c>
      <c r="AT805" s="416">
        <v>0</v>
      </c>
      <c r="AU805" s="416">
        <v>0</v>
      </c>
      <c r="AV805" s="416">
        <v>0</v>
      </c>
      <c r="AW805" s="416">
        <v>0</v>
      </c>
      <c r="AX805" s="416">
        <v>0</v>
      </c>
      <c r="AY805" s="416">
        <v>0</v>
      </c>
      <c r="AZ805" s="416">
        <v>0</v>
      </c>
    </row>
    <row r="806" spans="1:52" s="411" customFormat="1" x14ac:dyDescent="0.3">
      <c r="A806" s="415" t="str">
        <f t="shared" si="12"/>
        <v>SA-240 Gr.304L</v>
      </c>
      <c r="B806" s="415">
        <v>800</v>
      </c>
      <c r="C806" s="415" t="s">
        <v>3277</v>
      </c>
      <c r="D806" s="415" t="s">
        <v>2684</v>
      </c>
      <c r="E806" s="415" t="s">
        <v>2165</v>
      </c>
      <c r="F806" s="415" t="s">
        <v>2246</v>
      </c>
      <c r="G806" s="415" t="s">
        <v>3278</v>
      </c>
      <c r="H806" s="415">
        <v>0</v>
      </c>
      <c r="I806" s="415">
        <v>0</v>
      </c>
      <c r="J806" s="415">
        <v>8</v>
      </c>
      <c r="K806" s="415">
        <v>1</v>
      </c>
      <c r="L806" s="415">
        <v>485</v>
      </c>
      <c r="M806" s="415">
        <v>170</v>
      </c>
      <c r="N806" s="415">
        <v>427</v>
      </c>
      <c r="O806" s="415" t="s">
        <v>2675</v>
      </c>
      <c r="P806" s="415">
        <v>649</v>
      </c>
      <c r="Q806" s="415">
        <v>343</v>
      </c>
      <c r="R806" s="415" t="s">
        <v>3279</v>
      </c>
      <c r="S806" s="415" t="s">
        <v>3281</v>
      </c>
      <c r="T806" s="416">
        <v>115</v>
      </c>
      <c r="U806" s="416">
        <v>115</v>
      </c>
      <c r="V806" s="416">
        <v>105</v>
      </c>
      <c r="W806" s="416">
        <v>97</v>
      </c>
      <c r="X806" s="416">
        <v>92.3</v>
      </c>
      <c r="Y806" s="416">
        <v>88.1</v>
      </c>
      <c r="Z806" s="416">
        <v>81.2</v>
      </c>
      <c r="AA806" s="416">
        <v>76</v>
      </c>
      <c r="AB806" s="416">
        <v>72.3</v>
      </c>
      <c r="AC806" s="416">
        <v>70.900000000000006</v>
      </c>
      <c r="AD806" s="416">
        <v>69.7</v>
      </c>
      <c r="AE806" s="416">
        <v>68.599999999999994</v>
      </c>
      <c r="AF806" s="416">
        <v>67.599999999999994</v>
      </c>
      <c r="AG806" s="416">
        <v>66.7</v>
      </c>
      <c r="AH806" s="416">
        <v>65.7</v>
      </c>
      <c r="AI806" s="416">
        <v>64.599999999999994</v>
      </c>
      <c r="AJ806" s="416">
        <v>63.4</v>
      </c>
      <c r="AK806" s="416">
        <v>60.2</v>
      </c>
      <c r="AL806" s="416">
        <v>49.5</v>
      </c>
      <c r="AM806" s="416">
        <v>40.4</v>
      </c>
      <c r="AN806" s="416">
        <v>32.9</v>
      </c>
      <c r="AO806" s="416">
        <v>26.7</v>
      </c>
      <c r="AP806" s="416">
        <v>22</v>
      </c>
      <c r="AQ806" s="416">
        <v>0</v>
      </c>
      <c r="AR806" s="416">
        <v>0</v>
      </c>
      <c r="AS806" s="416">
        <v>0</v>
      </c>
      <c r="AT806" s="416">
        <v>0</v>
      </c>
      <c r="AU806" s="416">
        <v>0</v>
      </c>
      <c r="AV806" s="416">
        <v>0</v>
      </c>
      <c r="AW806" s="416">
        <v>0</v>
      </c>
      <c r="AX806" s="416">
        <v>0</v>
      </c>
      <c r="AY806" s="416">
        <v>0</v>
      </c>
      <c r="AZ806" s="416">
        <v>0</v>
      </c>
    </row>
    <row r="807" spans="1:52" s="411" customFormat="1" x14ac:dyDescent="0.3">
      <c r="A807" s="415" t="str">
        <f t="shared" si="12"/>
        <v>SA-249 Gr.TP304L</v>
      </c>
      <c r="B807" s="415">
        <v>801</v>
      </c>
      <c r="C807" s="415" t="s">
        <v>3277</v>
      </c>
      <c r="D807" s="415" t="s">
        <v>2689</v>
      </c>
      <c r="E807" s="415" t="s">
        <v>2200</v>
      </c>
      <c r="F807" s="415" t="s">
        <v>2557</v>
      </c>
      <c r="G807" s="415" t="s">
        <v>3278</v>
      </c>
      <c r="H807" s="415">
        <v>0</v>
      </c>
      <c r="I807" s="415">
        <v>0</v>
      </c>
      <c r="J807" s="415">
        <v>8</v>
      </c>
      <c r="K807" s="415">
        <v>1</v>
      </c>
      <c r="L807" s="415">
        <v>485</v>
      </c>
      <c r="M807" s="415">
        <v>170</v>
      </c>
      <c r="N807" s="415" t="s">
        <v>2675</v>
      </c>
      <c r="O807" s="415">
        <v>427</v>
      </c>
      <c r="P807" s="415" t="s">
        <v>2675</v>
      </c>
      <c r="Q807" s="415" t="s">
        <v>2675</v>
      </c>
      <c r="R807" s="415" t="s">
        <v>3279</v>
      </c>
      <c r="S807" s="415" t="s">
        <v>3208</v>
      </c>
      <c r="T807" s="416">
        <v>115</v>
      </c>
      <c r="U807" s="416">
        <v>115</v>
      </c>
      <c r="V807" s="416">
        <v>115</v>
      </c>
      <c r="W807" s="416">
        <v>115</v>
      </c>
      <c r="X807" s="416">
        <v>115</v>
      </c>
      <c r="Y807" s="416">
        <v>115</v>
      </c>
      <c r="Z807" s="416">
        <v>110</v>
      </c>
      <c r="AA807" s="416">
        <v>103</v>
      </c>
      <c r="AB807" s="416">
        <v>97.7</v>
      </c>
      <c r="AC807" s="416">
        <v>95.7</v>
      </c>
      <c r="AD807" s="416">
        <v>94.1</v>
      </c>
      <c r="AE807" s="416">
        <v>92.6</v>
      </c>
      <c r="AF807" s="416">
        <v>91.3</v>
      </c>
      <c r="AG807" s="416">
        <v>90</v>
      </c>
      <c r="AH807" s="416">
        <v>88.7</v>
      </c>
      <c r="AI807" s="416">
        <v>0</v>
      </c>
      <c r="AJ807" s="416">
        <v>0</v>
      </c>
      <c r="AK807" s="416">
        <v>0</v>
      </c>
      <c r="AL807" s="416">
        <v>0</v>
      </c>
      <c r="AM807" s="416">
        <v>0</v>
      </c>
      <c r="AN807" s="416">
        <v>0</v>
      </c>
      <c r="AO807" s="416">
        <v>0</v>
      </c>
      <c r="AP807" s="416">
        <v>0</v>
      </c>
      <c r="AQ807" s="416">
        <v>0</v>
      </c>
      <c r="AR807" s="416">
        <v>0</v>
      </c>
      <c r="AS807" s="416">
        <v>0</v>
      </c>
      <c r="AT807" s="416">
        <v>0</v>
      </c>
      <c r="AU807" s="416">
        <v>0</v>
      </c>
      <c r="AV807" s="416">
        <v>0</v>
      </c>
      <c r="AW807" s="416">
        <v>0</v>
      </c>
      <c r="AX807" s="416">
        <v>0</v>
      </c>
      <c r="AY807" s="416">
        <v>0</v>
      </c>
      <c r="AZ807" s="416">
        <v>0</v>
      </c>
    </row>
    <row r="808" spans="1:52" s="411" customFormat="1" x14ac:dyDescent="0.3">
      <c r="A808" s="415" t="str">
        <f t="shared" si="12"/>
        <v>SA-249 Gr.TP304L</v>
      </c>
      <c r="B808" s="415">
        <v>802</v>
      </c>
      <c r="C808" s="415" t="s">
        <v>3277</v>
      </c>
      <c r="D808" s="415" t="s">
        <v>2689</v>
      </c>
      <c r="E808" s="415" t="s">
        <v>2200</v>
      </c>
      <c r="F808" s="415" t="s">
        <v>2557</v>
      </c>
      <c r="G808" s="415" t="s">
        <v>3278</v>
      </c>
      <c r="H808" s="415">
        <v>0</v>
      </c>
      <c r="I808" s="415">
        <v>0</v>
      </c>
      <c r="J808" s="415">
        <v>8</v>
      </c>
      <c r="K808" s="415">
        <v>1</v>
      </c>
      <c r="L808" s="415">
        <v>485</v>
      </c>
      <c r="M808" s="415">
        <v>170</v>
      </c>
      <c r="N808" s="415">
        <v>427</v>
      </c>
      <c r="O808" s="415" t="s">
        <v>2675</v>
      </c>
      <c r="P808" s="415">
        <v>649</v>
      </c>
      <c r="Q808" s="415">
        <v>343</v>
      </c>
      <c r="R808" s="415" t="s">
        <v>3279</v>
      </c>
      <c r="S808" s="415" t="s">
        <v>3283</v>
      </c>
      <c r="T808" s="416">
        <v>97.8</v>
      </c>
      <c r="U808" s="416">
        <v>97.8</v>
      </c>
      <c r="V808" s="416">
        <v>97.8</v>
      </c>
      <c r="W808" s="416">
        <v>97.8</v>
      </c>
      <c r="X808" s="416">
        <v>97.8</v>
      </c>
      <c r="Y808" s="416">
        <v>97.8</v>
      </c>
      <c r="Z808" s="416">
        <v>93.2</v>
      </c>
      <c r="AA808" s="416">
        <v>87.2</v>
      </c>
      <c r="AB808" s="416">
        <v>83</v>
      </c>
      <c r="AC808" s="416">
        <v>81.400000000000006</v>
      </c>
      <c r="AD808" s="416">
        <v>80</v>
      </c>
      <c r="AE808" s="416">
        <v>78.7</v>
      </c>
      <c r="AF808" s="416">
        <v>77.599999999999994</v>
      </c>
      <c r="AG808" s="416">
        <v>76.5</v>
      </c>
      <c r="AH808" s="416">
        <v>75.400000000000006</v>
      </c>
      <c r="AI808" s="416">
        <v>73.599999999999994</v>
      </c>
      <c r="AJ808" s="416">
        <v>61.6</v>
      </c>
      <c r="AK808" s="416">
        <v>51.2</v>
      </c>
      <c r="AL808" s="416">
        <v>42.1</v>
      </c>
      <c r="AM808" s="416">
        <v>34.299999999999997</v>
      </c>
      <c r="AN808" s="416">
        <v>28</v>
      </c>
      <c r="AO808" s="416">
        <v>22.7</v>
      </c>
      <c r="AP808" s="416">
        <v>18.7</v>
      </c>
      <c r="AQ808" s="416">
        <v>0</v>
      </c>
      <c r="AR808" s="416">
        <v>0</v>
      </c>
      <c r="AS808" s="416">
        <v>0</v>
      </c>
      <c r="AT808" s="416">
        <v>0</v>
      </c>
      <c r="AU808" s="416">
        <v>0</v>
      </c>
      <c r="AV808" s="416">
        <v>0</v>
      </c>
      <c r="AW808" s="416">
        <v>0</v>
      </c>
      <c r="AX808" s="416">
        <v>0</v>
      </c>
      <c r="AY808" s="416">
        <v>0</v>
      </c>
      <c r="AZ808" s="416">
        <v>0</v>
      </c>
    </row>
    <row r="809" spans="1:52" s="411" customFormat="1" x14ac:dyDescent="0.3">
      <c r="A809" s="415" t="str">
        <f t="shared" si="12"/>
        <v>SA-249 Gr.TP304L</v>
      </c>
      <c r="B809" s="415">
        <v>803</v>
      </c>
      <c r="C809" s="415" t="s">
        <v>3277</v>
      </c>
      <c r="D809" s="415" t="s">
        <v>2689</v>
      </c>
      <c r="E809" s="415" t="s">
        <v>2200</v>
      </c>
      <c r="F809" s="415" t="s">
        <v>2557</v>
      </c>
      <c r="G809" s="415" t="s">
        <v>3278</v>
      </c>
      <c r="H809" s="415">
        <v>0</v>
      </c>
      <c r="I809" s="415">
        <v>0</v>
      </c>
      <c r="J809" s="415">
        <v>8</v>
      </c>
      <c r="K809" s="415">
        <v>1</v>
      </c>
      <c r="L809" s="415">
        <v>485</v>
      </c>
      <c r="M809" s="415">
        <v>170</v>
      </c>
      <c r="N809" s="415">
        <v>427</v>
      </c>
      <c r="O809" s="415" t="s">
        <v>2675</v>
      </c>
      <c r="P809" s="415">
        <v>649</v>
      </c>
      <c r="Q809" s="415">
        <v>343</v>
      </c>
      <c r="R809" s="415" t="s">
        <v>3279</v>
      </c>
      <c r="S809" s="415" t="s">
        <v>3284</v>
      </c>
      <c r="T809" s="416">
        <v>97.8</v>
      </c>
      <c r="U809" s="416">
        <v>97.8</v>
      </c>
      <c r="V809" s="416">
        <v>88.9</v>
      </c>
      <c r="W809" s="416">
        <v>82.5</v>
      </c>
      <c r="X809" s="416">
        <v>78.400000000000006</v>
      </c>
      <c r="Y809" s="416">
        <v>74.900000000000006</v>
      </c>
      <c r="Z809" s="416">
        <v>69</v>
      </c>
      <c r="AA809" s="416">
        <v>64.599999999999994</v>
      </c>
      <c r="AB809" s="416">
        <v>61.5</v>
      </c>
      <c r="AC809" s="416">
        <v>60.3</v>
      </c>
      <c r="AD809" s="416">
        <v>59.2</v>
      </c>
      <c r="AE809" s="416">
        <v>58.3</v>
      </c>
      <c r="AF809" s="416">
        <v>57.5</v>
      </c>
      <c r="AG809" s="416">
        <v>56.7</v>
      </c>
      <c r="AH809" s="416">
        <v>55.8</v>
      </c>
      <c r="AI809" s="416">
        <v>54.9</v>
      </c>
      <c r="AJ809" s="416">
        <v>53.9</v>
      </c>
      <c r="AK809" s="416">
        <v>51.2</v>
      </c>
      <c r="AL809" s="416">
        <v>42.1</v>
      </c>
      <c r="AM809" s="416">
        <v>34.299999999999997</v>
      </c>
      <c r="AN809" s="416">
        <v>28</v>
      </c>
      <c r="AO809" s="416">
        <v>22.7</v>
      </c>
      <c r="AP809" s="416">
        <v>18.7</v>
      </c>
      <c r="AQ809" s="416">
        <v>0</v>
      </c>
      <c r="AR809" s="416">
        <v>0</v>
      </c>
      <c r="AS809" s="416">
        <v>0</v>
      </c>
      <c r="AT809" s="416">
        <v>0</v>
      </c>
      <c r="AU809" s="416">
        <v>0</v>
      </c>
      <c r="AV809" s="416">
        <v>0</v>
      </c>
      <c r="AW809" s="416">
        <v>0</v>
      </c>
      <c r="AX809" s="416">
        <v>0</v>
      </c>
      <c r="AY809" s="416">
        <v>0</v>
      </c>
      <c r="AZ809" s="416">
        <v>0</v>
      </c>
    </row>
    <row r="810" spans="1:52" s="411" customFormat="1" x14ac:dyDescent="0.3">
      <c r="A810" s="415" t="str">
        <f t="shared" si="12"/>
        <v>SA-312 Gr.TP304L</v>
      </c>
      <c r="B810" s="415">
        <v>804</v>
      </c>
      <c r="C810" s="415" t="s">
        <v>3277</v>
      </c>
      <c r="D810" s="415" t="s">
        <v>2720</v>
      </c>
      <c r="E810" s="415" t="s">
        <v>2208</v>
      </c>
      <c r="F810" s="415" t="s">
        <v>2557</v>
      </c>
      <c r="G810" s="415" t="s">
        <v>3278</v>
      </c>
      <c r="H810" s="415">
        <v>0</v>
      </c>
      <c r="I810" s="415">
        <v>0</v>
      </c>
      <c r="J810" s="415">
        <v>8</v>
      </c>
      <c r="K810" s="415">
        <v>1</v>
      </c>
      <c r="L810" s="415">
        <v>485</v>
      </c>
      <c r="M810" s="415">
        <v>170</v>
      </c>
      <c r="N810" s="415">
        <v>427</v>
      </c>
      <c r="O810" s="415">
        <v>427</v>
      </c>
      <c r="P810" s="415">
        <v>649</v>
      </c>
      <c r="Q810" s="415">
        <v>343</v>
      </c>
      <c r="R810" s="415" t="s">
        <v>3279</v>
      </c>
      <c r="S810" s="415" t="s">
        <v>3285</v>
      </c>
      <c r="T810" s="416">
        <v>115</v>
      </c>
      <c r="U810" s="416">
        <v>115</v>
      </c>
      <c r="V810" s="416">
        <v>115</v>
      </c>
      <c r="W810" s="416">
        <v>115</v>
      </c>
      <c r="X810" s="416">
        <v>115</v>
      </c>
      <c r="Y810" s="416">
        <v>115</v>
      </c>
      <c r="Z810" s="416">
        <v>110</v>
      </c>
      <c r="AA810" s="416">
        <v>103</v>
      </c>
      <c r="AB810" s="416">
        <v>97.7</v>
      </c>
      <c r="AC810" s="416">
        <v>95.7</v>
      </c>
      <c r="AD810" s="416">
        <v>94.1</v>
      </c>
      <c r="AE810" s="416">
        <v>92.6</v>
      </c>
      <c r="AF810" s="416">
        <v>91.3</v>
      </c>
      <c r="AG810" s="416">
        <v>90</v>
      </c>
      <c r="AH810" s="416">
        <v>88.7</v>
      </c>
      <c r="AI810" s="416">
        <v>86.6</v>
      </c>
      <c r="AJ810" s="416">
        <v>72.5</v>
      </c>
      <c r="AK810" s="416">
        <v>60.2</v>
      </c>
      <c r="AL810" s="416">
        <v>49.5</v>
      </c>
      <c r="AM810" s="416">
        <v>40.4</v>
      </c>
      <c r="AN810" s="416">
        <v>32.9</v>
      </c>
      <c r="AO810" s="416">
        <v>26.7</v>
      </c>
      <c r="AP810" s="416">
        <v>22</v>
      </c>
      <c r="AQ810" s="416">
        <v>0</v>
      </c>
      <c r="AR810" s="416">
        <v>0</v>
      </c>
      <c r="AS810" s="416">
        <v>0</v>
      </c>
      <c r="AT810" s="416">
        <v>0</v>
      </c>
      <c r="AU810" s="416">
        <v>0</v>
      </c>
      <c r="AV810" s="416">
        <v>0</v>
      </c>
      <c r="AW810" s="416">
        <v>0</v>
      </c>
      <c r="AX810" s="416">
        <v>0</v>
      </c>
      <c r="AY810" s="416">
        <v>0</v>
      </c>
      <c r="AZ810" s="416">
        <v>0</v>
      </c>
    </row>
    <row r="811" spans="1:52" s="411" customFormat="1" x14ac:dyDescent="0.3">
      <c r="A811" s="415" t="str">
        <f t="shared" si="12"/>
        <v>SA-312 Gr.TP304L</v>
      </c>
      <c r="B811" s="415">
        <v>805</v>
      </c>
      <c r="C811" s="415" t="s">
        <v>3277</v>
      </c>
      <c r="D811" s="415" t="s">
        <v>2703</v>
      </c>
      <c r="E811" s="415" t="s">
        <v>2208</v>
      </c>
      <c r="F811" s="415" t="s">
        <v>2557</v>
      </c>
      <c r="G811" s="415" t="s">
        <v>3278</v>
      </c>
      <c r="H811" s="415">
        <v>0</v>
      </c>
      <c r="I811" s="415">
        <v>0</v>
      </c>
      <c r="J811" s="415">
        <v>8</v>
      </c>
      <c r="K811" s="415">
        <v>1</v>
      </c>
      <c r="L811" s="415">
        <v>485</v>
      </c>
      <c r="M811" s="415">
        <v>170</v>
      </c>
      <c r="N811" s="415">
        <v>427</v>
      </c>
      <c r="O811" s="415" t="s">
        <v>2675</v>
      </c>
      <c r="P811" s="415">
        <v>649</v>
      </c>
      <c r="Q811" s="415">
        <v>343</v>
      </c>
      <c r="R811" s="415" t="s">
        <v>3279</v>
      </c>
      <c r="S811" s="415" t="s">
        <v>3281</v>
      </c>
      <c r="T811" s="416">
        <v>115</v>
      </c>
      <c r="U811" s="416">
        <v>115</v>
      </c>
      <c r="V811" s="416">
        <v>105</v>
      </c>
      <c r="W811" s="416">
        <v>97</v>
      </c>
      <c r="X811" s="416">
        <v>92.3</v>
      </c>
      <c r="Y811" s="416">
        <v>88.1</v>
      </c>
      <c r="Z811" s="416">
        <v>81.2</v>
      </c>
      <c r="AA811" s="416">
        <v>76</v>
      </c>
      <c r="AB811" s="416">
        <v>72.3</v>
      </c>
      <c r="AC811" s="416">
        <v>70.900000000000006</v>
      </c>
      <c r="AD811" s="416">
        <v>69.7</v>
      </c>
      <c r="AE811" s="416">
        <v>68.599999999999994</v>
      </c>
      <c r="AF811" s="416">
        <v>67.599999999999994</v>
      </c>
      <c r="AG811" s="416">
        <v>66.7</v>
      </c>
      <c r="AH811" s="416">
        <v>65.7</v>
      </c>
      <c r="AI811" s="416">
        <v>64.599999999999994</v>
      </c>
      <c r="AJ811" s="416">
        <v>63.4</v>
      </c>
      <c r="AK811" s="416">
        <v>60.2</v>
      </c>
      <c r="AL811" s="416">
        <v>49.5</v>
      </c>
      <c r="AM811" s="416">
        <v>40.4</v>
      </c>
      <c r="AN811" s="416">
        <v>32.9</v>
      </c>
      <c r="AO811" s="416">
        <v>26.7</v>
      </c>
      <c r="AP811" s="416">
        <v>22</v>
      </c>
      <c r="AQ811" s="416">
        <v>0</v>
      </c>
      <c r="AR811" s="416">
        <v>0</v>
      </c>
      <c r="AS811" s="416">
        <v>0</v>
      </c>
      <c r="AT811" s="416">
        <v>0</v>
      </c>
      <c r="AU811" s="416">
        <v>0</v>
      </c>
      <c r="AV811" s="416">
        <v>0</v>
      </c>
      <c r="AW811" s="416">
        <v>0</v>
      </c>
      <c r="AX811" s="416">
        <v>0</v>
      </c>
      <c r="AY811" s="416">
        <v>0</v>
      </c>
      <c r="AZ811" s="416">
        <v>0</v>
      </c>
    </row>
    <row r="812" spans="1:52" s="411" customFormat="1" x14ac:dyDescent="0.3">
      <c r="A812" s="415" t="str">
        <f t="shared" si="12"/>
        <v>SA-312 Gr.TP304L</v>
      </c>
      <c r="B812" s="415">
        <v>806</v>
      </c>
      <c r="C812" s="415" t="s">
        <v>3277</v>
      </c>
      <c r="D812" s="415" t="s">
        <v>2680</v>
      </c>
      <c r="E812" s="415" t="s">
        <v>2208</v>
      </c>
      <c r="F812" s="415" t="s">
        <v>2557</v>
      </c>
      <c r="G812" s="415" t="s">
        <v>3278</v>
      </c>
      <c r="H812" s="415">
        <v>0</v>
      </c>
      <c r="I812" s="415">
        <v>0</v>
      </c>
      <c r="J812" s="415">
        <v>8</v>
      </c>
      <c r="K812" s="415">
        <v>1</v>
      </c>
      <c r="L812" s="415">
        <v>485</v>
      </c>
      <c r="M812" s="415">
        <v>170</v>
      </c>
      <c r="N812" s="415">
        <v>427</v>
      </c>
      <c r="O812" s="415" t="s">
        <v>2675</v>
      </c>
      <c r="P812" s="415">
        <v>649</v>
      </c>
      <c r="Q812" s="415">
        <v>343</v>
      </c>
      <c r="R812" s="415" t="s">
        <v>3279</v>
      </c>
      <c r="S812" s="415" t="s">
        <v>3283</v>
      </c>
      <c r="T812" s="416">
        <v>97.8</v>
      </c>
      <c r="U812" s="416">
        <v>97.8</v>
      </c>
      <c r="V812" s="416">
        <v>97.8</v>
      </c>
      <c r="W812" s="416">
        <v>97.8</v>
      </c>
      <c r="X812" s="416">
        <v>97.8</v>
      </c>
      <c r="Y812" s="416">
        <v>97.8</v>
      </c>
      <c r="Z812" s="416">
        <v>93.2</v>
      </c>
      <c r="AA812" s="416">
        <v>87.2</v>
      </c>
      <c r="AB812" s="416">
        <v>83</v>
      </c>
      <c r="AC812" s="416">
        <v>81.400000000000006</v>
      </c>
      <c r="AD812" s="416">
        <v>80</v>
      </c>
      <c r="AE812" s="416">
        <v>78.7</v>
      </c>
      <c r="AF812" s="416">
        <v>77.599999999999994</v>
      </c>
      <c r="AG812" s="416">
        <v>76.5</v>
      </c>
      <c r="AH812" s="416">
        <v>75.400000000000006</v>
      </c>
      <c r="AI812" s="416">
        <v>73.599999999999994</v>
      </c>
      <c r="AJ812" s="416">
        <v>61.6</v>
      </c>
      <c r="AK812" s="416">
        <v>51.2</v>
      </c>
      <c r="AL812" s="416">
        <v>42.1</v>
      </c>
      <c r="AM812" s="416">
        <v>34.299999999999997</v>
      </c>
      <c r="AN812" s="416">
        <v>28</v>
      </c>
      <c r="AO812" s="416">
        <v>22.7</v>
      </c>
      <c r="AP812" s="416">
        <v>18.7</v>
      </c>
      <c r="AQ812" s="416">
        <v>0</v>
      </c>
      <c r="AR812" s="416">
        <v>0</v>
      </c>
      <c r="AS812" s="416">
        <v>0</v>
      </c>
      <c r="AT812" s="416">
        <v>0</v>
      </c>
      <c r="AU812" s="416">
        <v>0</v>
      </c>
      <c r="AV812" s="416">
        <v>0</v>
      </c>
      <c r="AW812" s="416">
        <v>0</v>
      </c>
      <c r="AX812" s="416">
        <v>0</v>
      </c>
      <c r="AY812" s="416">
        <v>0</v>
      </c>
      <c r="AZ812" s="416">
        <v>0</v>
      </c>
    </row>
    <row r="813" spans="1:52" s="411" customFormat="1" x14ac:dyDescent="0.3">
      <c r="A813" s="415" t="str">
        <f t="shared" si="12"/>
        <v>SA-312 Gr.TP304L</v>
      </c>
      <c r="B813" s="415">
        <v>807</v>
      </c>
      <c r="C813" s="415" t="s">
        <v>3277</v>
      </c>
      <c r="D813" s="415" t="s">
        <v>2680</v>
      </c>
      <c r="E813" s="415" t="s">
        <v>2208</v>
      </c>
      <c r="F813" s="415" t="s">
        <v>2557</v>
      </c>
      <c r="G813" s="415" t="s">
        <v>3278</v>
      </c>
      <c r="H813" s="415">
        <v>0</v>
      </c>
      <c r="I813" s="415">
        <v>0</v>
      </c>
      <c r="J813" s="415">
        <v>8</v>
      </c>
      <c r="K813" s="415">
        <v>1</v>
      </c>
      <c r="L813" s="415">
        <v>485</v>
      </c>
      <c r="M813" s="415">
        <v>170</v>
      </c>
      <c r="N813" s="415">
        <v>427</v>
      </c>
      <c r="O813" s="415" t="s">
        <v>2675</v>
      </c>
      <c r="P813" s="415">
        <v>649</v>
      </c>
      <c r="Q813" s="415">
        <v>343</v>
      </c>
      <c r="R813" s="415" t="s">
        <v>3279</v>
      </c>
      <c r="S813" s="415" t="s">
        <v>3284</v>
      </c>
      <c r="T813" s="416">
        <v>97.8</v>
      </c>
      <c r="U813" s="416">
        <v>97.8</v>
      </c>
      <c r="V813" s="416">
        <v>88.9</v>
      </c>
      <c r="W813" s="416">
        <v>82.5</v>
      </c>
      <c r="X813" s="416">
        <v>78.400000000000006</v>
      </c>
      <c r="Y813" s="416">
        <v>74.900000000000006</v>
      </c>
      <c r="Z813" s="416">
        <v>69</v>
      </c>
      <c r="AA813" s="416">
        <v>64.599999999999994</v>
      </c>
      <c r="AB813" s="416">
        <v>61.5</v>
      </c>
      <c r="AC813" s="416">
        <v>60.3</v>
      </c>
      <c r="AD813" s="416">
        <v>59.2</v>
      </c>
      <c r="AE813" s="416">
        <v>58.3</v>
      </c>
      <c r="AF813" s="416">
        <v>57.5</v>
      </c>
      <c r="AG813" s="416">
        <v>56.7</v>
      </c>
      <c r="AH813" s="416">
        <v>55.8</v>
      </c>
      <c r="AI813" s="416">
        <v>54.9</v>
      </c>
      <c r="AJ813" s="416">
        <v>53.9</v>
      </c>
      <c r="AK813" s="416">
        <v>51.2</v>
      </c>
      <c r="AL813" s="416">
        <v>42.1</v>
      </c>
      <c r="AM813" s="416">
        <v>34.299999999999997</v>
      </c>
      <c r="AN813" s="416">
        <v>28</v>
      </c>
      <c r="AO813" s="416">
        <v>22.7</v>
      </c>
      <c r="AP813" s="416">
        <v>18.7</v>
      </c>
      <c r="AQ813" s="416">
        <v>0</v>
      </c>
      <c r="AR813" s="416">
        <v>0</v>
      </c>
      <c r="AS813" s="416">
        <v>0</v>
      </c>
      <c r="AT813" s="416">
        <v>0</v>
      </c>
      <c r="AU813" s="416">
        <v>0</v>
      </c>
      <c r="AV813" s="416">
        <v>0</v>
      </c>
      <c r="AW813" s="416">
        <v>0</v>
      </c>
      <c r="AX813" s="416">
        <v>0</v>
      </c>
      <c r="AY813" s="416">
        <v>0</v>
      </c>
      <c r="AZ813" s="416">
        <v>0</v>
      </c>
    </row>
    <row r="814" spans="1:52" s="411" customFormat="1" x14ac:dyDescent="0.3">
      <c r="A814" s="415" t="str">
        <f t="shared" si="12"/>
        <v>SA-358 Gr.304L</v>
      </c>
      <c r="B814" s="415">
        <v>808</v>
      </c>
      <c r="C814" s="415" t="s">
        <v>3277</v>
      </c>
      <c r="D814" s="415" t="s">
        <v>2680</v>
      </c>
      <c r="E814" s="415" t="s">
        <v>2217</v>
      </c>
      <c r="F814" s="415" t="s">
        <v>2246</v>
      </c>
      <c r="G814" s="415" t="s">
        <v>3278</v>
      </c>
      <c r="H814" s="415">
        <v>1</v>
      </c>
      <c r="I814" s="415">
        <v>0</v>
      </c>
      <c r="J814" s="415">
        <v>8</v>
      </c>
      <c r="K814" s="415">
        <v>1</v>
      </c>
      <c r="L814" s="415">
        <v>485</v>
      </c>
      <c r="M814" s="415">
        <v>170</v>
      </c>
      <c r="N814" s="415" t="s">
        <v>2675</v>
      </c>
      <c r="O814" s="415">
        <v>427</v>
      </c>
      <c r="P814" s="415" t="s">
        <v>2675</v>
      </c>
      <c r="Q814" s="415" t="s">
        <v>2675</v>
      </c>
      <c r="R814" s="415" t="s">
        <v>3279</v>
      </c>
      <c r="S814" s="415" t="s">
        <v>3208</v>
      </c>
      <c r="T814" s="416">
        <v>115</v>
      </c>
      <c r="U814" s="416">
        <v>115</v>
      </c>
      <c r="V814" s="416">
        <v>115</v>
      </c>
      <c r="W814" s="416">
        <v>115</v>
      </c>
      <c r="X814" s="416">
        <v>115</v>
      </c>
      <c r="Y814" s="416">
        <v>115</v>
      </c>
      <c r="Z814" s="416">
        <v>110</v>
      </c>
      <c r="AA814" s="416">
        <v>103</v>
      </c>
      <c r="AB814" s="416">
        <v>97.7</v>
      </c>
      <c r="AC814" s="416">
        <v>95.7</v>
      </c>
      <c r="AD814" s="416">
        <v>94.1</v>
      </c>
      <c r="AE814" s="416">
        <v>92.6</v>
      </c>
      <c r="AF814" s="416">
        <v>91.3</v>
      </c>
      <c r="AG814" s="416">
        <v>90</v>
      </c>
      <c r="AH814" s="416">
        <v>88.7</v>
      </c>
      <c r="AI814" s="416">
        <v>0</v>
      </c>
      <c r="AJ814" s="416">
        <v>0</v>
      </c>
      <c r="AK814" s="416">
        <v>0</v>
      </c>
      <c r="AL814" s="416">
        <v>0</v>
      </c>
      <c r="AM814" s="416">
        <v>0</v>
      </c>
      <c r="AN814" s="416">
        <v>0</v>
      </c>
      <c r="AO814" s="416">
        <v>0</v>
      </c>
      <c r="AP814" s="416">
        <v>0</v>
      </c>
      <c r="AQ814" s="416">
        <v>0</v>
      </c>
      <c r="AR814" s="416">
        <v>0</v>
      </c>
      <c r="AS814" s="416">
        <v>0</v>
      </c>
      <c r="AT814" s="416">
        <v>0</v>
      </c>
      <c r="AU814" s="416">
        <v>0</v>
      </c>
      <c r="AV814" s="416">
        <v>0</v>
      </c>
      <c r="AW814" s="416">
        <v>0</v>
      </c>
      <c r="AX814" s="416">
        <v>0</v>
      </c>
      <c r="AY814" s="416">
        <v>0</v>
      </c>
      <c r="AZ814" s="416">
        <v>0</v>
      </c>
    </row>
    <row r="815" spans="1:52" s="411" customFormat="1" x14ac:dyDescent="0.3">
      <c r="A815" s="415" t="str">
        <f t="shared" si="12"/>
        <v>SA-403 Gr.304L</v>
      </c>
      <c r="B815" s="415">
        <v>809</v>
      </c>
      <c r="C815" s="415" t="s">
        <v>3277</v>
      </c>
      <c r="D815" s="415" t="s">
        <v>2758</v>
      </c>
      <c r="E815" s="415" t="s">
        <v>2229</v>
      </c>
      <c r="F815" s="415" t="s">
        <v>2246</v>
      </c>
      <c r="G815" s="415" t="s">
        <v>3278</v>
      </c>
      <c r="H815" s="415">
        <v>0</v>
      </c>
      <c r="I815" s="415">
        <v>0</v>
      </c>
      <c r="J815" s="415">
        <v>8</v>
      </c>
      <c r="K815" s="415">
        <v>1</v>
      </c>
      <c r="L815" s="415">
        <v>485</v>
      </c>
      <c r="M815" s="415">
        <v>170</v>
      </c>
      <c r="N815" s="415" t="s">
        <v>2675</v>
      </c>
      <c r="O815" s="415">
        <v>427</v>
      </c>
      <c r="P815" s="415">
        <v>649</v>
      </c>
      <c r="Q815" s="415">
        <v>343</v>
      </c>
      <c r="R815" s="415" t="s">
        <v>3279</v>
      </c>
      <c r="S815" s="415" t="s">
        <v>3286</v>
      </c>
      <c r="T815" s="416">
        <v>115</v>
      </c>
      <c r="U815" s="416">
        <v>115</v>
      </c>
      <c r="V815" s="416">
        <v>115</v>
      </c>
      <c r="W815" s="416">
        <v>115</v>
      </c>
      <c r="X815" s="416">
        <v>115</v>
      </c>
      <c r="Y815" s="416">
        <v>115</v>
      </c>
      <c r="Z815" s="416">
        <v>110</v>
      </c>
      <c r="AA815" s="416">
        <v>103</v>
      </c>
      <c r="AB815" s="416">
        <v>97.7</v>
      </c>
      <c r="AC815" s="416">
        <v>95.7</v>
      </c>
      <c r="AD815" s="416">
        <v>94.1</v>
      </c>
      <c r="AE815" s="416">
        <v>92.6</v>
      </c>
      <c r="AF815" s="416">
        <v>91.3</v>
      </c>
      <c r="AG815" s="416">
        <v>90</v>
      </c>
      <c r="AH815" s="416">
        <v>88.7</v>
      </c>
      <c r="AI815" s="416">
        <v>86.6</v>
      </c>
      <c r="AJ815" s="416">
        <v>72.5</v>
      </c>
      <c r="AK815" s="416">
        <v>60.2</v>
      </c>
      <c r="AL815" s="416">
        <v>49.5</v>
      </c>
      <c r="AM815" s="416">
        <v>40.4</v>
      </c>
      <c r="AN815" s="416">
        <v>32.9</v>
      </c>
      <c r="AO815" s="416">
        <v>26.7</v>
      </c>
      <c r="AP815" s="416">
        <v>22</v>
      </c>
      <c r="AQ815" s="416">
        <v>0</v>
      </c>
      <c r="AR815" s="416">
        <v>0</v>
      </c>
      <c r="AS815" s="416">
        <v>0</v>
      </c>
      <c r="AT815" s="416">
        <v>0</v>
      </c>
      <c r="AU815" s="416">
        <v>0</v>
      </c>
      <c r="AV815" s="416">
        <v>0</v>
      </c>
      <c r="AW815" s="416">
        <v>0</v>
      </c>
      <c r="AX815" s="416">
        <v>0</v>
      </c>
      <c r="AY815" s="416">
        <v>0</v>
      </c>
      <c r="AZ815" s="416">
        <v>0</v>
      </c>
    </row>
    <row r="816" spans="1:52" s="411" customFormat="1" x14ac:dyDescent="0.3">
      <c r="A816" s="415" t="str">
        <f t="shared" si="12"/>
        <v>SA-409 Gr.TP304L</v>
      </c>
      <c r="B816" s="415">
        <v>810</v>
      </c>
      <c r="C816" s="415" t="s">
        <v>3277</v>
      </c>
      <c r="D816" s="415" t="s">
        <v>2680</v>
      </c>
      <c r="E816" s="415" t="s">
        <v>2231</v>
      </c>
      <c r="F816" s="415" t="s">
        <v>2557</v>
      </c>
      <c r="G816" s="415" t="s">
        <v>3278</v>
      </c>
      <c r="H816" s="415">
        <v>0</v>
      </c>
      <c r="I816" s="415">
        <v>0</v>
      </c>
      <c r="J816" s="415">
        <v>8</v>
      </c>
      <c r="K816" s="415">
        <v>1</v>
      </c>
      <c r="L816" s="415">
        <v>485</v>
      </c>
      <c r="M816" s="415">
        <v>170</v>
      </c>
      <c r="N816" s="415" t="s">
        <v>2675</v>
      </c>
      <c r="O816" s="415">
        <v>427</v>
      </c>
      <c r="P816" s="415" t="s">
        <v>2675</v>
      </c>
      <c r="Q816" s="415" t="s">
        <v>2675</v>
      </c>
      <c r="R816" s="415" t="s">
        <v>3279</v>
      </c>
      <c r="S816" s="415" t="s">
        <v>3208</v>
      </c>
      <c r="T816" s="416">
        <v>115</v>
      </c>
      <c r="U816" s="416">
        <v>115</v>
      </c>
      <c r="V816" s="416">
        <v>115</v>
      </c>
      <c r="W816" s="416">
        <v>115</v>
      </c>
      <c r="X816" s="416">
        <v>115</v>
      </c>
      <c r="Y816" s="416">
        <v>115</v>
      </c>
      <c r="Z816" s="416">
        <v>110</v>
      </c>
      <c r="AA816" s="416">
        <v>103</v>
      </c>
      <c r="AB816" s="416">
        <v>97.7</v>
      </c>
      <c r="AC816" s="416">
        <v>95.7</v>
      </c>
      <c r="AD816" s="416">
        <v>94.1</v>
      </c>
      <c r="AE816" s="416">
        <v>92.6</v>
      </c>
      <c r="AF816" s="416">
        <v>91.3</v>
      </c>
      <c r="AG816" s="416">
        <v>90</v>
      </c>
      <c r="AH816" s="416">
        <v>88.7</v>
      </c>
      <c r="AI816" s="416">
        <v>0</v>
      </c>
      <c r="AJ816" s="416">
        <v>0</v>
      </c>
      <c r="AK816" s="416">
        <v>0</v>
      </c>
      <c r="AL816" s="416">
        <v>0</v>
      </c>
      <c r="AM816" s="416">
        <v>0</v>
      </c>
      <c r="AN816" s="416">
        <v>0</v>
      </c>
      <c r="AO816" s="416">
        <v>0</v>
      </c>
      <c r="AP816" s="416">
        <v>0</v>
      </c>
      <c r="AQ816" s="416">
        <v>0</v>
      </c>
      <c r="AR816" s="416">
        <v>0</v>
      </c>
      <c r="AS816" s="416">
        <v>0</v>
      </c>
      <c r="AT816" s="416">
        <v>0</v>
      </c>
      <c r="AU816" s="416">
        <v>0</v>
      </c>
      <c r="AV816" s="416">
        <v>0</v>
      </c>
      <c r="AW816" s="416">
        <v>0</v>
      </c>
      <c r="AX816" s="416">
        <v>0</v>
      </c>
      <c r="AY816" s="416">
        <v>0</v>
      </c>
      <c r="AZ816" s="416">
        <v>0</v>
      </c>
    </row>
    <row r="817" spans="1:52" s="411" customFormat="1" x14ac:dyDescent="0.3">
      <c r="A817" s="415" t="str">
        <f t="shared" si="12"/>
        <v>SA-479 Gr.304L</v>
      </c>
      <c r="B817" s="415">
        <v>811</v>
      </c>
      <c r="C817" s="415" t="s">
        <v>3277</v>
      </c>
      <c r="D817" s="415" t="s">
        <v>2677</v>
      </c>
      <c r="E817" s="415" t="s">
        <v>2245</v>
      </c>
      <c r="F817" s="415" t="s">
        <v>2246</v>
      </c>
      <c r="G817" s="415" t="s">
        <v>3278</v>
      </c>
      <c r="H817" s="415">
        <v>0</v>
      </c>
      <c r="I817" s="415">
        <v>0</v>
      </c>
      <c r="J817" s="415">
        <v>8</v>
      </c>
      <c r="K817" s="415">
        <v>1</v>
      </c>
      <c r="L817" s="415">
        <v>485</v>
      </c>
      <c r="M817" s="415">
        <v>170</v>
      </c>
      <c r="N817" s="415">
        <v>427</v>
      </c>
      <c r="O817" s="415">
        <v>427</v>
      </c>
      <c r="P817" s="415">
        <v>649</v>
      </c>
      <c r="Q817" s="415">
        <v>343</v>
      </c>
      <c r="R817" s="415" t="s">
        <v>3279</v>
      </c>
      <c r="S817" s="415" t="s">
        <v>3282</v>
      </c>
      <c r="T817" s="416">
        <v>115</v>
      </c>
      <c r="U817" s="416">
        <v>115</v>
      </c>
      <c r="V817" s="416">
        <v>115</v>
      </c>
      <c r="W817" s="416">
        <v>115</v>
      </c>
      <c r="X817" s="416">
        <v>115</v>
      </c>
      <c r="Y817" s="416">
        <v>115</v>
      </c>
      <c r="Z817" s="416">
        <v>110</v>
      </c>
      <c r="AA817" s="416">
        <v>103</v>
      </c>
      <c r="AB817" s="416">
        <v>97.7</v>
      </c>
      <c r="AC817" s="416">
        <v>95.7</v>
      </c>
      <c r="AD817" s="416">
        <v>94.1</v>
      </c>
      <c r="AE817" s="416">
        <v>92.6</v>
      </c>
      <c r="AF817" s="416">
        <v>91.3</v>
      </c>
      <c r="AG817" s="416">
        <v>90</v>
      </c>
      <c r="AH817" s="416">
        <v>88.7</v>
      </c>
      <c r="AI817" s="416">
        <v>86.6</v>
      </c>
      <c r="AJ817" s="416">
        <v>72.5</v>
      </c>
      <c r="AK817" s="416">
        <v>60.2</v>
      </c>
      <c r="AL817" s="416">
        <v>49.5</v>
      </c>
      <c r="AM817" s="416">
        <v>40.4</v>
      </c>
      <c r="AN817" s="416">
        <v>32.9</v>
      </c>
      <c r="AO817" s="416">
        <v>26.7</v>
      </c>
      <c r="AP817" s="416">
        <v>22</v>
      </c>
      <c r="AQ817" s="416">
        <v>0</v>
      </c>
      <c r="AR817" s="416">
        <v>0</v>
      </c>
      <c r="AS817" s="416">
        <v>0</v>
      </c>
      <c r="AT817" s="416">
        <v>0</v>
      </c>
      <c r="AU817" s="416">
        <v>0</v>
      </c>
      <c r="AV817" s="416">
        <v>0</v>
      </c>
      <c r="AW817" s="416">
        <v>0</v>
      </c>
      <c r="AX817" s="416">
        <v>0</v>
      </c>
      <c r="AY817" s="416">
        <v>0</v>
      </c>
      <c r="AZ817" s="416">
        <v>0</v>
      </c>
    </row>
    <row r="818" spans="1:52" s="411" customFormat="1" x14ac:dyDescent="0.3">
      <c r="A818" s="415" t="str">
        <f t="shared" si="12"/>
        <v>SA-479 Gr.304L</v>
      </c>
      <c r="B818" s="415">
        <v>812</v>
      </c>
      <c r="C818" s="415" t="s">
        <v>3277</v>
      </c>
      <c r="D818" s="415" t="s">
        <v>2677</v>
      </c>
      <c r="E818" s="415" t="s">
        <v>2245</v>
      </c>
      <c r="F818" s="415" t="s">
        <v>2246</v>
      </c>
      <c r="G818" s="415" t="s">
        <v>3278</v>
      </c>
      <c r="H818" s="415">
        <v>0</v>
      </c>
      <c r="I818" s="415">
        <v>0</v>
      </c>
      <c r="J818" s="415">
        <v>8</v>
      </c>
      <c r="K818" s="415">
        <v>1</v>
      </c>
      <c r="L818" s="415">
        <v>485</v>
      </c>
      <c r="M818" s="415">
        <v>170</v>
      </c>
      <c r="N818" s="415">
        <v>427</v>
      </c>
      <c r="O818" s="415" t="s">
        <v>2675</v>
      </c>
      <c r="P818" s="415">
        <v>649</v>
      </c>
      <c r="Q818" s="415">
        <v>343</v>
      </c>
      <c r="R818" s="415" t="s">
        <v>3279</v>
      </c>
      <c r="S818" s="415" t="s">
        <v>3287</v>
      </c>
      <c r="T818" s="416">
        <v>115</v>
      </c>
      <c r="U818" s="416">
        <v>115</v>
      </c>
      <c r="V818" s="416">
        <v>105</v>
      </c>
      <c r="W818" s="416">
        <v>97</v>
      </c>
      <c r="X818" s="416">
        <v>92.3</v>
      </c>
      <c r="Y818" s="416">
        <v>88.1</v>
      </c>
      <c r="Z818" s="416">
        <v>81.2</v>
      </c>
      <c r="AA818" s="416">
        <v>76</v>
      </c>
      <c r="AB818" s="416">
        <v>72.3</v>
      </c>
      <c r="AC818" s="416">
        <v>70.900000000000006</v>
      </c>
      <c r="AD818" s="416">
        <v>69.7</v>
      </c>
      <c r="AE818" s="416">
        <v>68.599999999999994</v>
      </c>
      <c r="AF818" s="416">
        <v>67.599999999999994</v>
      </c>
      <c r="AG818" s="416">
        <v>66.7</v>
      </c>
      <c r="AH818" s="416">
        <v>65.7</v>
      </c>
      <c r="AI818" s="416">
        <v>64.599999999999994</v>
      </c>
      <c r="AJ818" s="416">
        <v>63.4</v>
      </c>
      <c r="AK818" s="416">
        <v>60.2</v>
      </c>
      <c r="AL818" s="416">
        <v>49.5</v>
      </c>
      <c r="AM818" s="416">
        <v>40.4</v>
      </c>
      <c r="AN818" s="416">
        <v>32.9</v>
      </c>
      <c r="AO818" s="416">
        <v>26.7</v>
      </c>
      <c r="AP818" s="416">
        <v>22</v>
      </c>
      <c r="AQ818" s="416">
        <v>0</v>
      </c>
      <c r="AR818" s="416">
        <v>0</v>
      </c>
      <c r="AS818" s="416">
        <v>0</v>
      </c>
      <c r="AT818" s="416">
        <v>0</v>
      </c>
      <c r="AU818" s="416">
        <v>0</v>
      </c>
      <c r="AV818" s="416">
        <v>0</v>
      </c>
      <c r="AW818" s="416">
        <v>0</v>
      </c>
      <c r="AX818" s="416">
        <v>0</v>
      </c>
      <c r="AY818" s="416">
        <v>0</v>
      </c>
      <c r="AZ818" s="416">
        <v>0</v>
      </c>
    </row>
    <row r="819" spans="1:52" s="411" customFormat="1" x14ac:dyDescent="0.3">
      <c r="A819" s="415" t="str">
        <f t="shared" si="12"/>
        <v>SA-688 Gr.TP304L</v>
      </c>
      <c r="B819" s="415">
        <v>813</v>
      </c>
      <c r="C819" s="415" t="s">
        <v>3277</v>
      </c>
      <c r="D819" s="415" t="s">
        <v>2689</v>
      </c>
      <c r="E819" s="415" t="s">
        <v>2301</v>
      </c>
      <c r="F819" s="415" t="s">
        <v>2557</v>
      </c>
      <c r="G819" s="415" t="s">
        <v>3278</v>
      </c>
      <c r="H819" s="415">
        <v>0</v>
      </c>
      <c r="I819" s="415">
        <v>0</v>
      </c>
      <c r="J819" s="415">
        <v>8</v>
      </c>
      <c r="K819" s="415">
        <v>1</v>
      </c>
      <c r="L819" s="415">
        <v>485</v>
      </c>
      <c r="M819" s="415">
        <v>170</v>
      </c>
      <c r="N819" s="415" t="s">
        <v>2675</v>
      </c>
      <c r="O819" s="415">
        <v>427</v>
      </c>
      <c r="P819" s="415" t="s">
        <v>2675</v>
      </c>
      <c r="Q819" s="415" t="s">
        <v>2675</v>
      </c>
      <c r="R819" s="415" t="s">
        <v>3279</v>
      </c>
      <c r="S819" s="415" t="s">
        <v>3208</v>
      </c>
      <c r="T819" s="416">
        <v>115</v>
      </c>
      <c r="U819" s="416">
        <v>115</v>
      </c>
      <c r="V819" s="416">
        <v>115</v>
      </c>
      <c r="W819" s="416">
        <v>115</v>
      </c>
      <c r="X819" s="416">
        <v>115</v>
      </c>
      <c r="Y819" s="416">
        <v>115</v>
      </c>
      <c r="Z819" s="416">
        <v>110</v>
      </c>
      <c r="AA819" s="416">
        <v>103</v>
      </c>
      <c r="AB819" s="416">
        <v>97.7</v>
      </c>
      <c r="AC819" s="416">
        <v>95.7</v>
      </c>
      <c r="AD819" s="416">
        <v>94.1</v>
      </c>
      <c r="AE819" s="416">
        <v>92.6</v>
      </c>
      <c r="AF819" s="416">
        <v>91.3</v>
      </c>
      <c r="AG819" s="416">
        <v>90</v>
      </c>
      <c r="AH819" s="416">
        <v>88.7</v>
      </c>
      <c r="AI819" s="416">
        <v>0</v>
      </c>
      <c r="AJ819" s="416">
        <v>0</v>
      </c>
      <c r="AK819" s="416">
        <v>0</v>
      </c>
      <c r="AL819" s="416">
        <v>0</v>
      </c>
      <c r="AM819" s="416">
        <v>0</v>
      </c>
      <c r="AN819" s="416">
        <v>0</v>
      </c>
      <c r="AO819" s="416">
        <v>0</v>
      </c>
      <c r="AP819" s="416">
        <v>0</v>
      </c>
      <c r="AQ819" s="416">
        <v>0</v>
      </c>
      <c r="AR819" s="416">
        <v>0</v>
      </c>
      <c r="AS819" s="416">
        <v>0</v>
      </c>
      <c r="AT819" s="416">
        <v>0</v>
      </c>
      <c r="AU819" s="416">
        <v>0</v>
      </c>
      <c r="AV819" s="416">
        <v>0</v>
      </c>
      <c r="AW819" s="416">
        <v>0</v>
      </c>
      <c r="AX819" s="416">
        <v>0</v>
      </c>
      <c r="AY819" s="416">
        <v>0</v>
      </c>
      <c r="AZ819" s="416">
        <v>0</v>
      </c>
    </row>
    <row r="820" spans="1:52" s="411" customFormat="1" x14ac:dyDescent="0.3">
      <c r="A820" s="415" t="str">
        <f t="shared" si="12"/>
        <v>SA-688 Gr.TP304L</v>
      </c>
      <c r="B820" s="415">
        <v>814</v>
      </c>
      <c r="C820" s="415" t="s">
        <v>3277</v>
      </c>
      <c r="D820" s="415" t="s">
        <v>2689</v>
      </c>
      <c r="E820" s="415" t="s">
        <v>2301</v>
      </c>
      <c r="F820" s="415" t="s">
        <v>2557</v>
      </c>
      <c r="G820" s="415" t="s">
        <v>3278</v>
      </c>
      <c r="H820" s="415">
        <v>0</v>
      </c>
      <c r="I820" s="415">
        <v>0</v>
      </c>
      <c r="J820" s="415">
        <v>8</v>
      </c>
      <c r="K820" s="415">
        <v>1</v>
      </c>
      <c r="L820" s="415">
        <v>485</v>
      </c>
      <c r="M820" s="415">
        <v>170</v>
      </c>
      <c r="N820" s="415" t="s">
        <v>2675</v>
      </c>
      <c r="O820" s="415" t="s">
        <v>2675</v>
      </c>
      <c r="P820" s="415">
        <v>649</v>
      </c>
      <c r="Q820" s="415">
        <v>343</v>
      </c>
      <c r="R820" s="415" t="s">
        <v>3279</v>
      </c>
      <c r="S820" s="415" t="s">
        <v>3288</v>
      </c>
      <c r="T820" s="416">
        <v>97.8</v>
      </c>
      <c r="U820" s="416">
        <v>97.8</v>
      </c>
      <c r="V820" s="416">
        <v>97.8</v>
      </c>
      <c r="W820" s="416">
        <v>97.8</v>
      </c>
      <c r="X820" s="416">
        <v>97.8</v>
      </c>
      <c r="Y820" s="416">
        <v>97.8</v>
      </c>
      <c r="Z820" s="416">
        <v>93.2</v>
      </c>
      <c r="AA820" s="416">
        <v>87.2</v>
      </c>
      <c r="AB820" s="416">
        <v>83</v>
      </c>
      <c r="AC820" s="416">
        <v>81.400000000000006</v>
      </c>
      <c r="AD820" s="416">
        <v>80</v>
      </c>
      <c r="AE820" s="416">
        <v>78.7</v>
      </c>
      <c r="AF820" s="416">
        <v>77.599999999999994</v>
      </c>
      <c r="AG820" s="416">
        <v>76.5</v>
      </c>
      <c r="AH820" s="416">
        <v>75.400000000000006</v>
      </c>
      <c r="AI820" s="416">
        <v>73.599999999999994</v>
      </c>
      <c r="AJ820" s="416">
        <v>61.6</v>
      </c>
      <c r="AK820" s="416">
        <v>51.2</v>
      </c>
      <c r="AL820" s="416">
        <v>42.1</v>
      </c>
      <c r="AM820" s="416">
        <v>34.299999999999997</v>
      </c>
      <c r="AN820" s="416">
        <v>28</v>
      </c>
      <c r="AO820" s="416">
        <v>22.7</v>
      </c>
      <c r="AP820" s="416">
        <v>18.7</v>
      </c>
      <c r="AQ820" s="416">
        <v>0</v>
      </c>
      <c r="AR820" s="416">
        <v>0</v>
      </c>
      <c r="AS820" s="416">
        <v>0</v>
      </c>
      <c r="AT820" s="416">
        <v>0</v>
      </c>
      <c r="AU820" s="416">
        <v>0</v>
      </c>
      <c r="AV820" s="416">
        <v>0</v>
      </c>
      <c r="AW820" s="416">
        <v>0</v>
      </c>
      <c r="AX820" s="416">
        <v>0</v>
      </c>
      <c r="AY820" s="416">
        <v>0</v>
      </c>
      <c r="AZ820" s="416">
        <v>0</v>
      </c>
    </row>
    <row r="821" spans="1:52" s="411" customFormat="1" x14ac:dyDescent="0.3">
      <c r="A821" s="415" t="str">
        <f t="shared" si="12"/>
        <v>SA-688 Gr.TP304L</v>
      </c>
      <c r="B821" s="415">
        <v>815</v>
      </c>
      <c r="C821" s="415" t="s">
        <v>3277</v>
      </c>
      <c r="D821" s="415" t="s">
        <v>2689</v>
      </c>
      <c r="E821" s="415" t="s">
        <v>2301</v>
      </c>
      <c r="F821" s="415" t="s">
        <v>2557</v>
      </c>
      <c r="G821" s="415" t="s">
        <v>3278</v>
      </c>
      <c r="H821" s="415">
        <v>0</v>
      </c>
      <c r="I821" s="415">
        <v>0</v>
      </c>
      <c r="J821" s="415">
        <v>8</v>
      </c>
      <c r="K821" s="415">
        <v>1</v>
      </c>
      <c r="L821" s="415">
        <v>485</v>
      </c>
      <c r="M821" s="415">
        <v>170</v>
      </c>
      <c r="N821" s="415" t="s">
        <v>2675</v>
      </c>
      <c r="O821" s="415" t="s">
        <v>2675</v>
      </c>
      <c r="P821" s="415">
        <v>649</v>
      </c>
      <c r="Q821" s="415">
        <v>343</v>
      </c>
      <c r="R821" s="415" t="s">
        <v>3279</v>
      </c>
      <c r="S821" s="415" t="s">
        <v>3289</v>
      </c>
      <c r="T821" s="416">
        <v>97.8</v>
      </c>
      <c r="U821" s="416">
        <v>97.8</v>
      </c>
      <c r="V821" s="416">
        <v>88.9</v>
      </c>
      <c r="W821" s="416">
        <v>82.5</v>
      </c>
      <c r="X821" s="416">
        <v>78.400000000000006</v>
      </c>
      <c r="Y821" s="416">
        <v>74.900000000000006</v>
      </c>
      <c r="Z821" s="416">
        <v>69</v>
      </c>
      <c r="AA821" s="416">
        <v>64.599999999999994</v>
      </c>
      <c r="AB821" s="416">
        <v>61.5</v>
      </c>
      <c r="AC821" s="416">
        <v>60.3</v>
      </c>
      <c r="AD821" s="416">
        <v>59.2</v>
      </c>
      <c r="AE821" s="416">
        <v>58.3</v>
      </c>
      <c r="AF821" s="416">
        <v>57.5</v>
      </c>
      <c r="AG821" s="416">
        <v>56.7</v>
      </c>
      <c r="AH821" s="416">
        <v>55.8</v>
      </c>
      <c r="AI821" s="416">
        <v>54.9</v>
      </c>
      <c r="AJ821" s="416">
        <v>53.9</v>
      </c>
      <c r="AK821" s="416">
        <v>51.2</v>
      </c>
      <c r="AL821" s="416">
        <v>42.1</v>
      </c>
      <c r="AM821" s="416">
        <v>34.299999999999997</v>
      </c>
      <c r="AN821" s="416">
        <v>28</v>
      </c>
      <c r="AO821" s="416">
        <v>22.7</v>
      </c>
      <c r="AP821" s="416">
        <v>18.7</v>
      </c>
      <c r="AQ821" s="416">
        <v>0</v>
      </c>
      <c r="AR821" s="416">
        <v>0</v>
      </c>
      <c r="AS821" s="416">
        <v>0</v>
      </c>
      <c r="AT821" s="416">
        <v>0</v>
      </c>
      <c r="AU821" s="416">
        <v>0</v>
      </c>
      <c r="AV821" s="416">
        <v>0</v>
      </c>
      <c r="AW821" s="416">
        <v>0</v>
      </c>
      <c r="AX821" s="416">
        <v>0</v>
      </c>
      <c r="AY821" s="416">
        <v>0</v>
      </c>
      <c r="AZ821" s="416">
        <v>0</v>
      </c>
    </row>
    <row r="822" spans="1:52" s="411" customFormat="1" x14ac:dyDescent="0.3">
      <c r="A822" s="415" t="str">
        <f t="shared" si="12"/>
        <v>SA-813 Gr.TP304L</v>
      </c>
      <c r="B822" s="415">
        <v>816</v>
      </c>
      <c r="C822" s="415" t="s">
        <v>3277</v>
      </c>
      <c r="D822" s="415" t="s">
        <v>2680</v>
      </c>
      <c r="E822" s="415" t="s">
        <v>2328</v>
      </c>
      <c r="F822" s="415" t="s">
        <v>2557</v>
      </c>
      <c r="G822" s="415" t="s">
        <v>3278</v>
      </c>
      <c r="H822" s="415">
        <v>0</v>
      </c>
      <c r="I822" s="415">
        <v>0</v>
      </c>
      <c r="J822" s="415">
        <v>8</v>
      </c>
      <c r="K822" s="415">
        <v>1</v>
      </c>
      <c r="L822" s="415">
        <v>485</v>
      </c>
      <c r="M822" s="415">
        <v>170</v>
      </c>
      <c r="N822" s="415" t="s">
        <v>2675</v>
      </c>
      <c r="O822" s="415">
        <v>427</v>
      </c>
      <c r="P822" s="415" t="s">
        <v>2675</v>
      </c>
      <c r="Q822" s="415" t="s">
        <v>2675</v>
      </c>
      <c r="R822" s="415" t="s">
        <v>3279</v>
      </c>
      <c r="S822" s="415" t="s">
        <v>3208</v>
      </c>
      <c r="T822" s="416">
        <v>115</v>
      </c>
      <c r="U822" s="416">
        <v>115</v>
      </c>
      <c r="V822" s="416">
        <v>115</v>
      </c>
      <c r="W822" s="416">
        <v>115</v>
      </c>
      <c r="X822" s="416">
        <v>115</v>
      </c>
      <c r="Y822" s="416">
        <v>115</v>
      </c>
      <c r="Z822" s="416">
        <v>110</v>
      </c>
      <c r="AA822" s="416">
        <v>103</v>
      </c>
      <c r="AB822" s="416">
        <v>97.7</v>
      </c>
      <c r="AC822" s="416">
        <v>95.7</v>
      </c>
      <c r="AD822" s="416">
        <v>94.1</v>
      </c>
      <c r="AE822" s="416">
        <v>92.6</v>
      </c>
      <c r="AF822" s="416">
        <v>91.3</v>
      </c>
      <c r="AG822" s="416">
        <v>90</v>
      </c>
      <c r="AH822" s="416">
        <v>88.7</v>
      </c>
      <c r="AI822" s="416">
        <v>0</v>
      </c>
      <c r="AJ822" s="416">
        <v>0</v>
      </c>
      <c r="AK822" s="416">
        <v>0</v>
      </c>
      <c r="AL822" s="416">
        <v>0</v>
      </c>
      <c r="AM822" s="416">
        <v>0</v>
      </c>
      <c r="AN822" s="416">
        <v>0</v>
      </c>
      <c r="AO822" s="416">
        <v>0</v>
      </c>
      <c r="AP822" s="416">
        <v>0</v>
      </c>
      <c r="AQ822" s="416">
        <v>0</v>
      </c>
      <c r="AR822" s="416">
        <v>0</v>
      </c>
      <c r="AS822" s="416">
        <v>0</v>
      </c>
      <c r="AT822" s="416">
        <v>0</v>
      </c>
      <c r="AU822" s="416">
        <v>0</v>
      </c>
      <c r="AV822" s="416">
        <v>0</v>
      </c>
      <c r="AW822" s="416">
        <v>0</v>
      </c>
      <c r="AX822" s="416">
        <v>0</v>
      </c>
      <c r="AY822" s="416">
        <v>0</v>
      </c>
      <c r="AZ822" s="416">
        <v>0</v>
      </c>
    </row>
    <row r="823" spans="1:52" s="411" customFormat="1" x14ac:dyDescent="0.3">
      <c r="A823" s="415" t="str">
        <f t="shared" si="12"/>
        <v>SA-814 Gr.TP304L</v>
      </c>
      <c r="B823" s="415">
        <v>817</v>
      </c>
      <c r="C823" s="415" t="s">
        <v>3277</v>
      </c>
      <c r="D823" s="415" t="s">
        <v>2680</v>
      </c>
      <c r="E823" s="415" t="s">
        <v>2330</v>
      </c>
      <c r="F823" s="415" t="s">
        <v>2557</v>
      </c>
      <c r="G823" s="415" t="s">
        <v>3278</v>
      </c>
      <c r="H823" s="415">
        <v>0</v>
      </c>
      <c r="I823" s="415">
        <v>0</v>
      </c>
      <c r="J823" s="415">
        <v>8</v>
      </c>
      <c r="K823" s="415">
        <v>1</v>
      </c>
      <c r="L823" s="415">
        <v>485</v>
      </c>
      <c r="M823" s="415">
        <v>170</v>
      </c>
      <c r="N823" s="415" t="s">
        <v>2675</v>
      </c>
      <c r="O823" s="415">
        <v>427</v>
      </c>
      <c r="P823" s="415" t="s">
        <v>2675</v>
      </c>
      <c r="Q823" s="415" t="s">
        <v>2675</v>
      </c>
      <c r="R823" s="415" t="s">
        <v>3279</v>
      </c>
      <c r="S823" s="415" t="s">
        <v>3208</v>
      </c>
      <c r="T823" s="416">
        <v>115</v>
      </c>
      <c r="U823" s="416">
        <v>115</v>
      </c>
      <c r="V823" s="416">
        <v>115</v>
      </c>
      <c r="W823" s="416">
        <v>115</v>
      </c>
      <c r="X823" s="416">
        <v>115</v>
      </c>
      <c r="Y823" s="416">
        <v>115</v>
      </c>
      <c r="Z823" s="416">
        <v>110</v>
      </c>
      <c r="AA823" s="416">
        <v>103</v>
      </c>
      <c r="AB823" s="416">
        <v>97.7</v>
      </c>
      <c r="AC823" s="416">
        <v>95.7</v>
      </c>
      <c r="AD823" s="416">
        <v>94.1</v>
      </c>
      <c r="AE823" s="416">
        <v>92.6</v>
      </c>
      <c r="AF823" s="416">
        <v>91.3</v>
      </c>
      <c r="AG823" s="416">
        <v>90</v>
      </c>
      <c r="AH823" s="416">
        <v>88.7</v>
      </c>
      <c r="AI823" s="416">
        <v>0</v>
      </c>
      <c r="AJ823" s="416">
        <v>0</v>
      </c>
      <c r="AK823" s="416">
        <v>0</v>
      </c>
      <c r="AL823" s="416">
        <v>0</v>
      </c>
      <c r="AM823" s="416">
        <v>0</v>
      </c>
      <c r="AN823" s="416">
        <v>0</v>
      </c>
      <c r="AO823" s="416">
        <v>0</v>
      </c>
      <c r="AP823" s="416">
        <v>0</v>
      </c>
      <c r="AQ823" s="416">
        <v>0</v>
      </c>
      <c r="AR823" s="416">
        <v>0</v>
      </c>
      <c r="AS823" s="416">
        <v>0</v>
      </c>
      <c r="AT823" s="416">
        <v>0</v>
      </c>
      <c r="AU823" s="416">
        <v>0</v>
      </c>
      <c r="AV823" s="416">
        <v>0</v>
      </c>
      <c r="AW823" s="416">
        <v>0</v>
      </c>
      <c r="AX823" s="416">
        <v>0</v>
      </c>
      <c r="AY823" s="416">
        <v>0</v>
      </c>
      <c r="AZ823" s="416">
        <v>0</v>
      </c>
    </row>
    <row r="824" spans="1:52" s="411" customFormat="1" x14ac:dyDescent="0.3">
      <c r="A824" s="415" t="str">
        <f t="shared" si="12"/>
        <v>SA-182 Gr.F304</v>
      </c>
      <c r="B824" s="415">
        <v>818</v>
      </c>
      <c r="C824" s="415" t="s">
        <v>3277</v>
      </c>
      <c r="D824" s="415" t="s">
        <v>2737</v>
      </c>
      <c r="E824" s="415" t="s">
        <v>2188</v>
      </c>
      <c r="F824" s="415" t="s">
        <v>2432</v>
      </c>
      <c r="G824" s="415" t="s">
        <v>3290</v>
      </c>
      <c r="H824" s="415">
        <v>0</v>
      </c>
      <c r="I824" s="415" t="s">
        <v>3202</v>
      </c>
      <c r="J824" s="415">
        <v>8</v>
      </c>
      <c r="K824" s="415">
        <v>1</v>
      </c>
      <c r="L824" s="415">
        <v>485</v>
      </c>
      <c r="M824" s="415">
        <v>205</v>
      </c>
      <c r="N824" s="415">
        <v>816</v>
      </c>
      <c r="O824" s="415">
        <v>427</v>
      </c>
      <c r="P824" s="415">
        <v>816</v>
      </c>
      <c r="Q824" s="415">
        <v>343</v>
      </c>
      <c r="R824" s="415" t="s">
        <v>3269</v>
      </c>
      <c r="S824" s="415" t="s">
        <v>3252</v>
      </c>
      <c r="T824" s="416">
        <v>138</v>
      </c>
      <c r="U824" s="416">
        <v>138</v>
      </c>
      <c r="V824" s="416">
        <v>134</v>
      </c>
      <c r="W824" s="416">
        <v>130</v>
      </c>
      <c r="X824" s="416">
        <v>126</v>
      </c>
      <c r="Y824" s="416">
        <v>122</v>
      </c>
      <c r="Z824" s="416">
        <v>119</v>
      </c>
      <c r="AA824" s="416">
        <v>118</v>
      </c>
      <c r="AB824" s="416">
        <v>115</v>
      </c>
      <c r="AC824" s="416">
        <v>114</v>
      </c>
      <c r="AD824" s="416">
        <v>111</v>
      </c>
      <c r="AE824" s="416">
        <v>109</v>
      </c>
      <c r="AF824" s="416">
        <v>107</v>
      </c>
      <c r="AG824" s="416">
        <v>105</v>
      </c>
      <c r="AH824" s="416">
        <v>103</v>
      </c>
      <c r="AI824" s="416">
        <v>101</v>
      </c>
      <c r="AJ824" s="416">
        <v>99.3</v>
      </c>
      <c r="AK824" s="416">
        <v>98</v>
      </c>
      <c r="AL824" s="416">
        <v>93.3</v>
      </c>
      <c r="AM824" s="416">
        <v>79.599999999999994</v>
      </c>
      <c r="AN824" s="416">
        <v>65.400000000000006</v>
      </c>
      <c r="AO824" s="416">
        <v>51.4</v>
      </c>
      <c r="AP824" s="416">
        <v>41.7</v>
      </c>
      <c r="AQ824" s="416">
        <v>32.9</v>
      </c>
      <c r="AR824" s="416">
        <v>26.5</v>
      </c>
      <c r="AS824" s="416">
        <v>21.3</v>
      </c>
      <c r="AT824" s="416">
        <v>17.2</v>
      </c>
      <c r="AU824" s="416">
        <v>13.9</v>
      </c>
      <c r="AV824" s="416">
        <v>11.1</v>
      </c>
      <c r="AW824" s="416">
        <v>8.73</v>
      </c>
      <c r="AX824" s="416">
        <v>0</v>
      </c>
      <c r="AY824" s="416">
        <v>0</v>
      </c>
      <c r="AZ824" s="416">
        <v>0</v>
      </c>
    </row>
    <row r="825" spans="1:52" s="411" customFormat="1" x14ac:dyDescent="0.3">
      <c r="A825" s="415" t="str">
        <f t="shared" si="12"/>
        <v>SA-182 Gr.F304</v>
      </c>
      <c r="B825" s="415">
        <v>819</v>
      </c>
      <c r="C825" s="415" t="s">
        <v>3277</v>
      </c>
      <c r="D825" s="415" t="s">
        <v>2737</v>
      </c>
      <c r="E825" s="415" t="s">
        <v>2188</v>
      </c>
      <c r="F825" s="415" t="s">
        <v>2432</v>
      </c>
      <c r="G825" s="415" t="s">
        <v>3290</v>
      </c>
      <c r="H825" s="415">
        <v>0</v>
      </c>
      <c r="I825" s="415" t="s">
        <v>3202</v>
      </c>
      <c r="J825" s="415">
        <v>8</v>
      </c>
      <c r="K825" s="415">
        <v>1</v>
      </c>
      <c r="L825" s="415">
        <v>485</v>
      </c>
      <c r="M825" s="415">
        <v>205</v>
      </c>
      <c r="N825" s="415">
        <v>816</v>
      </c>
      <c r="O825" s="415" t="s">
        <v>2675</v>
      </c>
      <c r="P825" s="415">
        <v>816</v>
      </c>
      <c r="Q825" s="415">
        <v>343</v>
      </c>
      <c r="R825" s="415" t="s">
        <v>3269</v>
      </c>
      <c r="S825" s="415" t="s">
        <v>3253</v>
      </c>
      <c r="T825" s="416">
        <v>138</v>
      </c>
      <c r="U825" s="416">
        <v>138</v>
      </c>
      <c r="V825" s="416">
        <v>126</v>
      </c>
      <c r="W825" s="416">
        <v>113</v>
      </c>
      <c r="X825" s="416">
        <v>107</v>
      </c>
      <c r="Y825" s="416">
        <v>103</v>
      </c>
      <c r="Z825" s="416">
        <v>95.7</v>
      </c>
      <c r="AA825" s="416">
        <v>89.9</v>
      </c>
      <c r="AB825" s="416">
        <v>85.9</v>
      </c>
      <c r="AC825" s="416">
        <v>84.1</v>
      </c>
      <c r="AD825" s="416">
        <v>82.2</v>
      </c>
      <c r="AE825" s="416">
        <v>80.5</v>
      </c>
      <c r="AF825" s="416">
        <v>79.2</v>
      </c>
      <c r="AG825" s="416">
        <v>77.3</v>
      </c>
      <c r="AH825" s="416">
        <v>76</v>
      </c>
      <c r="AI825" s="416">
        <v>74.8</v>
      </c>
      <c r="AJ825" s="416">
        <v>73.599999999999994</v>
      </c>
      <c r="AK825" s="416">
        <v>72.400000000000006</v>
      </c>
      <c r="AL825" s="416">
        <v>70.8</v>
      </c>
      <c r="AM825" s="416">
        <v>68.900000000000006</v>
      </c>
      <c r="AN825" s="416">
        <v>65.400000000000006</v>
      </c>
      <c r="AO825" s="416">
        <v>51.4</v>
      </c>
      <c r="AP825" s="416">
        <v>41.7</v>
      </c>
      <c r="AQ825" s="416">
        <v>32.9</v>
      </c>
      <c r="AR825" s="416">
        <v>26.5</v>
      </c>
      <c r="AS825" s="416">
        <v>21.3</v>
      </c>
      <c r="AT825" s="416">
        <v>17.2</v>
      </c>
      <c r="AU825" s="416">
        <v>13.9</v>
      </c>
      <c r="AV825" s="416">
        <v>11.1</v>
      </c>
      <c r="AW825" s="416">
        <v>8.73</v>
      </c>
      <c r="AX825" s="416">
        <v>0</v>
      </c>
      <c r="AY825" s="416">
        <v>0</v>
      </c>
      <c r="AZ825" s="416">
        <v>0</v>
      </c>
    </row>
    <row r="826" spans="1:52" s="411" customFormat="1" x14ac:dyDescent="0.3">
      <c r="A826" s="415" t="str">
        <f t="shared" si="12"/>
        <v>SA-182 Gr.F304H</v>
      </c>
      <c r="B826" s="415">
        <v>820</v>
      </c>
      <c r="C826" s="415" t="s">
        <v>3277</v>
      </c>
      <c r="D826" s="415" t="s">
        <v>2737</v>
      </c>
      <c r="E826" s="415" t="s">
        <v>2188</v>
      </c>
      <c r="F826" s="415" t="s">
        <v>2433</v>
      </c>
      <c r="G826" s="415" t="s">
        <v>3291</v>
      </c>
      <c r="H826" s="415">
        <v>0</v>
      </c>
      <c r="I826" s="415" t="s">
        <v>3202</v>
      </c>
      <c r="J826" s="415">
        <v>8</v>
      </c>
      <c r="K826" s="415">
        <v>1</v>
      </c>
      <c r="L826" s="415">
        <v>485</v>
      </c>
      <c r="M826" s="415">
        <v>205</v>
      </c>
      <c r="N826" s="415">
        <v>816</v>
      </c>
      <c r="O826" s="415">
        <v>427</v>
      </c>
      <c r="P826" s="415">
        <v>816</v>
      </c>
      <c r="Q826" s="415" t="s">
        <v>2675</v>
      </c>
      <c r="R826" s="415" t="s">
        <v>3269</v>
      </c>
      <c r="S826" s="415" t="s">
        <v>3292</v>
      </c>
      <c r="T826" s="416">
        <v>138</v>
      </c>
      <c r="U826" s="416">
        <v>138</v>
      </c>
      <c r="V826" s="416">
        <v>134</v>
      </c>
      <c r="W826" s="416">
        <v>130</v>
      </c>
      <c r="X826" s="416">
        <v>126</v>
      </c>
      <c r="Y826" s="416">
        <v>122</v>
      </c>
      <c r="Z826" s="416">
        <v>119</v>
      </c>
      <c r="AA826" s="416">
        <v>118</v>
      </c>
      <c r="AB826" s="416">
        <v>115</v>
      </c>
      <c r="AC826" s="416">
        <v>114</v>
      </c>
      <c r="AD826" s="416">
        <v>111</v>
      </c>
      <c r="AE826" s="416">
        <v>109</v>
      </c>
      <c r="AF826" s="416">
        <v>107</v>
      </c>
      <c r="AG826" s="416">
        <v>105</v>
      </c>
      <c r="AH826" s="416">
        <v>103</v>
      </c>
      <c r="AI826" s="416">
        <v>101</v>
      </c>
      <c r="AJ826" s="416">
        <v>99.3</v>
      </c>
      <c r="AK826" s="416">
        <v>98</v>
      </c>
      <c r="AL826" s="416">
        <v>93.3</v>
      </c>
      <c r="AM826" s="416">
        <v>79.599999999999994</v>
      </c>
      <c r="AN826" s="416">
        <v>65.400000000000006</v>
      </c>
      <c r="AO826" s="416">
        <v>51.4</v>
      </c>
      <c r="AP826" s="416">
        <v>41.7</v>
      </c>
      <c r="AQ826" s="416">
        <v>32.9</v>
      </c>
      <c r="AR826" s="416">
        <v>26.5</v>
      </c>
      <c r="AS826" s="416">
        <v>21.3</v>
      </c>
      <c r="AT826" s="416">
        <v>17.2</v>
      </c>
      <c r="AU826" s="416">
        <v>13.9</v>
      </c>
      <c r="AV826" s="416">
        <v>11.1</v>
      </c>
      <c r="AW826" s="416">
        <v>8.73</v>
      </c>
      <c r="AX826" s="416">
        <v>0</v>
      </c>
      <c r="AY826" s="416">
        <v>0</v>
      </c>
      <c r="AZ826" s="416">
        <v>0</v>
      </c>
    </row>
    <row r="827" spans="1:52" s="411" customFormat="1" x14ac:dyDescent="0.3">
      <c r="A827" s="415" t="str">
        <f t="shared" si="12"/>
        <v>SA-182 Gr.F304H</v>
      </c>
      <c r="B827" s="415">
        <v>821</v>
      </c>
      <c r="C827" s="415" t="s">
        <v>3277</v>
      </c>
      <c r="D827" s="415" t="s">
        <v>2737</v>
      </c>
      <c r="E827" s="415" t="s">
        <v>2188</v>
      </c>
      <c r="F827" s="415" t="s">
        <v>2433</v>
      </c>
      <c r="G827" s="415" t="s">
        <v>3291</v>
      </c>
      <c r="H827" s="415">
        <v>0</v>
      </c>
      <c r="I827" s="415" t="s">
        <v>3202</v>
      </c>
      <c r="J827" s="415">
        <v>8</v>
      </c>
      <c r="K827" s="415">
        <v>1</v>
      </c>
      <c r="L827" s="415">
        <v>485</v>
      </c>
      <c r="M827" s="415">
        <v>205</v>
      </c>
      <c r="N827" s="415">
        <v>816</v>
      </c>
      <c r="O827" s="415" t="s">
        <v>2675</v>
      </c>
      <c r="P827" s="415">
        <v>816</v>
      </c>
      <c r="Q827" s="415" t="s">
        <v>2675</v>
      </c>
      <c r="R827" s="415" t="s">
        <v>3269</v>
      </c>
      <c r="S827" s="415" t="s">
        <v>3293</v>
      </c>
      <c r="T827" s="416">
        <v>138</v>
      </c>
      <c r="U827" s="416">
        <v>138</v>
      </c>
      <c r="V827" s="416">
        <v>126</v>
      </c>
      <c r="W827" s="416">
        <v>113</v>
      </c>
      <c r="X827" s="416">
        <v>107</v>
      </c>
      <c r="Y827" s="416">
        <v>103</v>
      </c>
      <c r="Z827" s="416">
        <v>95.7</v>
      </c>
      <c r="AA827" s="416">
        <v>89.9</v>
      </c>
      <c r="AB827" s="416">
        <v>85.9</v>
      </c>
      <c r="AC827" s="416">
        <v>84.1</v>
      </c>
      <c r="AD827" s="416">
        <v>82.2</v>
      </c>
      <c r="AE827" s="416">
        <v>80.5</v>
      </c>
      <c r="AF827" s="416">
        <v>79.2</v>
      </c>
      <c r="AG827" s="416">
        <v>77.3</v>
      </c>
      <c r="AH827" s="416">
        <v>76</v>
      </c>
      <c r="AI827" s="416">
        <v>74.8</v>
      </c>
      <c r="AJ827" s="416">
        <v>73.599999999999994</v>
      </c>
      <c r="AK827" s="416">
        <v>72.400000000000006</v>
      </c>
      <c r="AL827" s="416">
        <v>70.8</v>
      </c>
      <c r="AM827" s="416">
        <v>68.900000000000006</v>
      </c>
      <c r="AN827" s="416">
        <v>65.400000000000006</v>
      </c>
      <c r="AO827" s="416">
        <v>51.4</v>
      </c>
      <c r="AP827" s="416">
        <v>41.7</v>
      </c>
      <c r="AQ827" s="416">
        <v>32.9</v>
      </c>
      <c r="AR827" s="416">
        <v>26.5</v>
      </c>
      <c r="AS827" s="416">
        <v>21.3</v>
      </c>
      <c r="AT827" s="416">
        <v>17.2</v>
      </c>
      <c r="AU827" s="416">
        <v>13.9</v>
      </c>
      <c r="AV827" s="416">
        <v>11.1</v>
      </c>
      <c r="AW827" s="416">
        <v>8.73</v>
      </c>
      <c r="AX827" s="416">
        <v>0</v>
      </c>
      <c r="AY827" s="416">
        <v>0</v>
      </c>
      <c r="AZ827" s="416">
        <v>0</v>
      </c>
    </row>
    <row r="828" spans="1:52" s="411" customFormat="1" x14ac:dyDescent="0.3">
      <c r="A828" s="415" t="str">
        <f t="shared" si="12"/>
        <v>SA-351 Gr.CF3</v>
      </c>
      <c r="B828" s="415">
        <v>822</v>
      </c>
      <c r="C828" s="415" t="s">
        <v>3277</v>
      </c>
      <c r="D828" s="415" t="s">
        <v>2739</v>
      </c>
      <c r="E828" s="415" t="s">
        <v>2213</v>
      </c>
      <c r="F828" s="415" t="s">
        <v>2372</v>
      </c>
      <c r="G828" s="415" t="s">
        <v>3294</v>
      </c>
      <c r="H828" s="415">
        <v>0</v>
      </c>
      <c r="I828" s="415">
        <v>0</v>
      </c>
      <c r="J828" s="415">
        <v>8</v>
      </c>
      <c r="K828" s="415">
        <v>1</v>
      </c>
      <c r="L828" s="415">
        <v>485</v>
      </c>
      <c r="M828" s="415">
        <v>205</v>
      </c>
      <c r="N828" s="415" t="s">
        <v>2675</v>
      </c>
      <c r="O828" s="415">
        <v>427</v>
      </c>
      <c r="P828" s="415">
        <v>427</v>
      </c>
      <c r="Q828" s="415">
        <v>343</v>
      </c>
      <c r="R828" s="415" t="s">
        <v>3279</v>
      </c>
      <c r="S828" s="415" t="s">
        <v>3216</v>
      </c>
      <c r="T828" s="416">
        <v>138</v>
      </c>
      <c r="U828" s="416">
        <v>138</v>
      </c>
      <c r="V828" s="416">
        <v>134</v>
      </c>
      <c r="W828" s="416">
        <v>130</v>
      </c>
      <c r="X828" s="416">
        <v>126</v>
      </c>
      <c r="Y828" s="416">
        <v>122</v>
      </c>
      <c r="Z828" s="416">
        <v>119</v>
      </c>
      <c r="AA828" s="416">
        <v>118</v>
      </c>
      <c r="AB828" s="416">
        <v>115</v>
      </c>
      <c r="AC828" s="416">
        <v>114</v>
      </c>
      <c r="AD828" s="416">
        <v>111</v>
      </c>
      <c r="AE828" s="416">
        <v>109</v>
      </c>
      <c r="AF828" s="416">
        <v>107</v>
      </c>
      <c r="AG828" s="416">
        <v>105</v>
      </c>
      <c r="AH828" s="416">
        <v>103</v>
      </c>
      <c r="AI828" s="416">
        <v>0</v>
      </c>
      <c r="AJ828" s="416">
        <v>0</v>
      </c>
      <c r="AK828" s="416">
        <v>0</v>
      </c>
      <c r="AL828" s="416">
        <v>0</v>
      </c>
      <c r="AM828" s="416">
        <v>0</v>
      </c>
      <c r="AN828" s="416">
        <v>0</v>
      </c>
      <c r="AO828" s="416">
        <v>0</v>
      </c>
      <c r="AP828" s="416">
        <v>0</v>
      </c>
      <c r="AQ828" s="416">
        <v>0</v>
      </c>
      <c r="AR828" s="416">
        <v>0</v>
      </c>
      <c r="AS828" s="416">
        <v>0</v>
      </c>
      <c r="AT828" s="416">
        <v>0</v>
      </c>
      <c r="AU828" s="416">
        <v>0</v>
      </c>
      <c r="AV828" s="416">
        <v>0</v>
      </c>
      <c r="AW828" s="416">
        <v>0</v>
      </c>
      <c r="AX828" s="416">
        <v>0</v>
      </c>
      <c r="AY828" s="416">
        <v>0</v>
      </c>
      <c r="AZ828" s="416">
        <v>0</v>
      </c>
    </row>
    <row r="829" spans="1:52" s="411" customFormat="1" x14ac:dyDescent="0.3">
      <c r="A829" s="415" t="str">
        <f t="shared" si="12"/>
        <v>SA-351 Gr.CF3</v>
      </c>
      <c r="B829" s="415">
        <v>823</v>
      </c>
      <c r="C829" s="415" t="s">
        <v>3277</v>
      </c>
      <c r="D829" s="415" t="s">
        <v>2739</v>
      </c>
      <c r="E829" s="415" t="s">
        <v>2213</v>
      </c>
      <c r="F829" s="415" t="s">
        <v>2372</v>
      </c>
      <c r="G829" s="415" t="s">
        <v>3294</v>
      </c>
      <c r="H829" s="415">
        <v>0</v>
      </c>
      <c r="I829" s="415">
        <v>0</v>
      </c>
      <c r="J829" s="415">
        <v>8</v>
      </c>
      <c r="K829" s="415">
        <v>1</v>
      </c>
      <c r="L829" s="415">
        <v>485</v>
      </c>
      <c r="M829" s="415">
        <v>205</v>
      </c>
      <c r="N829" s="415" t="s">
        <v>2675</v>
      </c>
      <c r="O829" s="415" t="s">
        <v>2675</v>
      </c>
      <c r="P829" s="415">
        <v>427</v>
      </c>
      <c r="Q829" s="415">
        <v>343</v>
      </c>
      <c r="R829" s="415" t="s">
        <v>3279</v>
      </c>
      <c r="S829" s="415" t="s">
        <v>3217</v>
      </c>
      <c r="T829" s="416">
        <v>138</v>
      </c>
      <c r="U829" s="416">
        <v>138</v>
      </c>
      <c r="V829" s="416">
        <v>126</v>
      </c>
      <c r="W829" s="416">
        <v>113</v>
      </c>
      <c r="X829" s="416">
        <v>107</v>
      </c>
      <c r="Y829" s="416">
        <v>103</v>
      </c>
      <c r="Z829" s="416">
        <v>95.7</v>
      </c>
      <c r="AA829" s="416">
        <v>90</v>
      </c>
      <c r="AB829" s="416">
        <v>85.6</v>
      </c>
      <c r="AC829" s="416">
        <v>83.9</v>
      </c>
      <c r="AD829" s="416">
        <v>82.3</v>
      </c>
      <c r="AE829" s="416">
        <v>80.5</v>
      </c>
      <c r="AF829" s="416">
        <v>79.2</v>
      </c>
      <c r="AG829" s="416">
        <v>77.7</v>
      </c>
      <c r="AH829" s="416">
        <v>76.400000000000006</v>
      </c>
      <c r="AI829" s="416">
        <v>0</v>
      </c>
      <c r="AJ829" s="416">
        <v>0</v>
      </c>
      <c r="AK829" s="416">
        <v>0</v>
      </c>
      <c r="AL829" s="416">
        <v>0</v>
      </c>
      <c r="AM829" s="416">
        <v>0</v>
      </c>
      <c r="AN829" s="416">
        <v>0</v>
      </c>
      <c r="AO829" s="416">
        <v>0</v>
      </c>
      <c r="AP829" s="416">
        <v>0</v>
      </c>
      <c r="AQ829" s="416">
        <v>0</v>
      </c>
      <c r="AR829" s="416">
        <v>0</v>
      </c>
      <c r="AS829" s="416">
        <v>0</v>
      </c>
      <c r="AT829" s="416">
        <v>0</v>
      </c>
      <c r="AU829" s="416">
        <v>0</v>
      </c>
      <c r="AV829" s="416">
        <v>0</v>
      </c>
      <c r="AW829" s="416">
        <v>0</v>
      </c>
      <c r="AX829" s="416">
        <v>0</v>
      </c>
      <c r="AY829" s="416">
        <v>0</v>
      </c>
      <c r="AZ829" s="416">
        <v>0</v>
      </c>
    </row>
    <row r="830" spans="1:52" s="411" customFormat="1" x14ac:dyDescent="0.3">
      <c r="A830" s="415" t="str">
        <f t="shared" si="12"/>
        <v>SA-351 Gr.CF8</v>
      </c>
      <c r="B830" s="415">
        <v>824</v>
      </c>
      <c r="C830" s="415" t="s">
        <v>3277</v>
      </c>
      <c r="D830" s="415" t="s">
        <v>2739</v>
      </c>
      <c r="E830" s="415" t="s">
        <v>2213</v>
      </c>
      <c r="F830" s="415" t="s">
        <v>2375</v>
      </c>
      <c r="G830" s="415" t="s">
        <v>3295</v>
      </c>
      <c r="H830" s="415">
        <v>0</v>
      </c>
      <c r="I830" s="415">
        <v>0</v>
      </c>
      <c r="J830" s="415">
        <v>8</v>
      </c>
      <c r="K830" s="415">
        <v>1</v>
      </c>
      <c r="L830" s="415">
        <v>485</v>
      </c>
      <c r="M830" s="415">
        <v>205</v>
      </c>
      <c r="N830" s="415">
        <v>816</v>
      </c>
      <c r="O830" s="415">
        <v>427</v>
      </c>
      <c r="P830" s="415" t="s">
        <v>2675</v>
      </c>
      <c r="Q830" s="415" t="s">
        <v>2675</v>
      </c>
      <c r="R830" s="415" t="s">
        <v>3269</v>
      </c>
      <c r="S830" s="415" t="s">
        <v>3220</v>
      </c>
      <c r="T830" s="416">
        <v>138</v>
      </c>
      <c r="U830" s="416">
        <v>138</v>
      </c>
      <c r="V830" s="416">
        <v>134</v>
      </c>
      <c r="W830" s="416">
        <v>130</v>
      </c>
      <c r="X830" s="416">
        <v>126</v>
      </c>
      <c r="Y830" s="416">
        <v>122</v>
      </c>
      <c r="Z830" s="416">
        <v>119</v>
      </c>
      <c r="AA830" s="416">
        <v>118</v>
      </c>
      <c r="AB830" s="416">
        <v>115</v>
      </c>
      <c r="AC830" s="416">
        <v>114</v>
      </c>
      <c r="AD830" s="416">
        <v>111</v>
      </c>
      <c r="AE830" s="416">
        <v>109</v>
      </c>
      <c r="AF830" s="416">
        <v>107</v>
      </c>
      <c r="AG830" s="416">
        <v>105</v>
      </c>
      <c r="AH830" s="416">
        <v>103</v>
      </c>
      <c r="AI830" s="416">
        <v>101</v>
      </c>
      <c r="AJ830" s="416">
        <v>99.5</v>
      </c>
      <c r="AK830" s="416">
        <v>92.8</v>
      </c>
      <c r="AL830" s="416">
        <v>75.599999999999994</v>
      </c>
      <c r="AM830" s="416">
        <v>61.2</v>
      </c>
      <c r="AN830" s="416">
        <v>49</v>
      </c>
      <c r="AO830" s="416">
        <v>40.1</v>
      </c>
      <c r="AP830" s="416">
        <v>32.799999999999997</v>
      </c>
      <c r="AQ830" s="416">
        <v>27.2</v>
      </c>
      <c r="AR830" s="416">
        <v>23.4</v>
      </c>
      <c r="AS830" s="416">
        <v>19.600000000000001</v>
      </c>
      <c r="AT830" s="416">
        <v>16.7</v>
      </c>
      <c r="AU830" s="416">
        <v>14.7</v>
      </c>
      <c r="AV830" s="416">
        <v>12.9</v>
      </c>
      <c r="AW830" s="416">
        <v>11</v>
      </c>
      <c r="AX830" s="416">
        <v>0</v>
      </c>
      <c r="AY830" s="416">
        <v>0</v>
      </c>
      <c r="AZ830" s="416">
        <v>0</v>
      </c>
    </row>
    <row r="831" spans="1:52" s="411" customFormat="1" x14ac:dyDescent="0.3">
      <c r="A831" s="415" t="str">
        <f t="shared" si="12"/>
        <v>SA-351 Gr.CF8</v>
      </c>
      <c r="B831" s="415">
        <v>825</v>
      </c>
      <c r="C831" s="415" t="s">
        <v>3277</v>
      </c>
      <c r="D831" s="415" t="s">
        <v>2739</v>
      </c>
      <c r="E831" s="415" t="s">
        <v>2213</v>
      </c>
      <c r="F831" s="415" t="s">
        <v>2375</v>
      </c>
      <c r="G831" s="415" t="s">
        <v>3295</v>
      </c>
      <c r="H831" s="415">
        <v>0</v>
      </c>
      <c r="I831" s="415">
        <v>0</v>
      </c>
      <c r="J831" s="415">
        <v>8</v>
      </c>
      <c r="K831" s="415">
        <v>1</v>
      </c>
      <c r="L831" s="415">
        <v>485</v>
      </c>
      <c r="M831" s="415">
        <v>205</v>
      </c>
      <c r="N831" s="415">
        <v>816</v>
      </c>
      <c r="O831" s="415" t="s">
        <v>2675</v>
      </c>
      <c r="P831" s="415">
        <v>816</v>
      </c>
      <c r="Q831" s="415">
        <v>343</v>
      </c>
      <c r="R831" s="415" t="s">
        <v>3269</v>
      </c>
      <c r="S831" s="415" t="s">
        <v>3296</v>
      </c>
      <c r="T831" s="416">
        <v>138</v>
      </c>
      <c r="U831" s="416">
        <v>138</v>
      </c>
      <c r="V831" s="416">
        <v>126</v>
      </c>
      <c r="W831" s="416">
        <v>113</v>
      </c>
      <c r="X831" s="416">
        <v>107</v>
      </c>
      <c r="Y831" s="416">
        <v>103</v>
      </c>
      <c r="Z831" s="416">
        <v>95.7</v>
      </c>
      <c r="AA831" s="416">
        <v>90</v>
      </c>
      <c r="AB831" s="416">
        <v>85.6</v>
      </c>
      <c r="AC831" s="416">
        <v>83.9</v>
      </c>
      <c r="AD831" s="416">
        <v>82.3</v>
      </c>
      <c r="AE831" s="416">
        <v>80.5</v>
      </c>
      <c r="AF831" s="416">
        <v>79.2</v>
      </c>
      <c r="AG831" s="416">
        <v>77.7</v>
      </c>
      <c r="AH831" s="416">
        <v>76.400000000000006</v>
      </c>
      <c r="AI831" s="416">
        <v>74.900000000000006</v>
      </c>
      <c r="AJ831" s="416">
        <v>73.599999999999994</v>
      </c>
      <c r="AK831" s="416">
        <v>72.599999999999994</v>
      </c>
      <c r="AL831" s="416">
        <v>70</v>
      </c>
      <c r="AM831" s="416">
        <v>61.2</v>
      </c>
      <c r="AN831" s="416">
        <v>49</v>
      </c>
      <c r="AO831" s="416">
        <v>40.1</v>
      </c>
      <c r="AP831" s="416">
        <v>32.799999999999997</v>
      </c>
      <c r="AQ831" s="416">
        <v>27.2</v>
      </c>
      <c r="AR831" s="416">
        <v>23.4</v>
      </c>
      <c r="AS831" s="416">
        <v>19.600000000000001</v>
      </c>
      <c r="AT831" s="416">
        <v>16.7</v>
      </c>
      <c r="AU831" s="416">
        <v>14.7</v>
      </c>
      <c r="AV831" s="416">
        <v>12.9</v>
      </c>
      <c r="AW831" s="416">
        <v>11</v>
      </c>
      <c r="AX831" s="416">
        <v>0</v>
      </c>
      <c r="AY831" s="416">
        <v>0</v>
      </c>
      <c r="AZ831" s="416">
        <v>0</v>
      </c>
    </row>
    <row r="832" spans="1:52" s="411" customFormat="1" x14ac:dyDescent="0.3">
      <c r="A832" s="415" t="str">
        <f t="shared" si="12"/>
        <v>SA-351 Gr.CF8</v>
      </c>
      <c r="B832" s="415">
        <v>826</v>
      </c>
      <c r="C832" s="415" t="s">
        <v>3277</v>
      </c>
      <c r="D832" s="415" t="s">
        <v>2739</v>
      </c>
      <c r="E832" s="415" t="s">
        <v>2213</v>
      </c>
      <c r="F832" s="415" t="s">
        <v>2375</v>
      </c>
      <c r="G832" s="415" t="s">
        <v>3295</v>
      </c>
      <c r="H832" s="415">
        <v>0</v>
      </c>
      <c r="I832" s="415">
        <v>0</v>
      </c>
      <c r="J832" s="415">
        <v>8</v>
      </c>
      <c r="K832" s="415">
        <v>1</v>
      </c>
      <c r="L832" s="415">
        <v>485</v>
      </c>
      <c r="M832" s="415">
        <v>205</v>
      </c>
      <c r="N832" s="415" t="s">
        <v>2675</v>
      </c>
      <c r="O832" s="415" t="s">
        <v>2675</v>
      </c>
      <c r="P832" s="415">
        <v>816</v>
      </c>
      <c r="Q832" s="415">
        <v>343</v>
      </c>
      <c r="R832" s="415" t="s">
        <v>3269</v>
      </c>
      <c r="S832" s="415" t="s">
        <v>3297</v>
      </c>
      <c r="T832" s="416">
        <v>138</v>
      </c>
      <c r="U832" s="416">
        <v>138</v>
      </c>
      <c r="V832" s="416">
        <v>134</v>
      </c>
      <c r="W832" s="416">
        <v>130</v>
      </c>
      <c r="X832" s="416">
        <v>126</v>
      </c>
      <c r="Y832" s="416">
        <v>122</v>
      </c>
      <c r="Z832" s="416">
        <v>119</v>
      </c>
      <c r="AA832" s="416">
        <v>118</v>
      </c>
      <c r="AB832" s="416">
        <v>115</v>
      </c>
      <c r="AC832" s="416">
        <v>114</v>
      </c>
      <c r="AD832" s="416">
        <v>111</v>
      </c>
      <c r="AE832" s="416">
        <v>109</v>
      </c>
      <c r="AF832" s="416">
        <v>107</v>
      </c>
      <c r="AG832" s="416">
        <v>105</v>
      </c>
      <c r="AH832" s="416">
        <v>103</v>
      </c>
      <c r="AI832" s="416">
        <v>101</v>
      </c>
      <c r="AJ832" s="416">
        <v>99.5</v>
      </c>
      <c r="AK832" s="416">
        <v>92.8</v>
      </c>
      <c r="AL832" s="416">
        <v>75.599999999999994</v>
      </c>
      <c r="AM832" s="416">
        <v>61.2</v>
      </c>
      <c r="AN832" s="416">
        <v>49</v>
      </c>
      <c r="AO832" s="416">
        <v>40.1</v>
      </c>
      <c r="AP832" s="416">
        <v>32.799999999999997</v>
      </c>
      <c r="AQ832" s="416">
        <v>27.2</v>
      </c>
      <c r="AR832" s="416">
        <v>23.4</v>
      </c>
      <c r="AS832" s="416">
        <v>19.600000000000001</v>
      </c>
      <c r="AT832" s="416">
        <v>16.7</v>
      </c>
      <c r="AU832" s="416">
        <v>14.7</v>
      </c>
      <c r="AV832" s="416">
        <v>12.9</v>
      </c>
      <c r="AW832" s="416">
        <v>11</v>
      </c>
      <c r="AX832" s="416">
        <v>0</v>
      </c>
      <c r="AY832" s="416">
        <v>0</v>
      </c>
      <c r="AZ832" s="416">
        <v>0</v>
      </c>
    </row>
    <row r="833" spans="1:52" s="411" customFormat="1" x14ac:dyDescent="0.3">
      <c r="A833" s="415" t="str">
        <f t="shared" si="12"/>
        <v>SA-376 Gr.TP304</v>
      </c>
      <c r="B833" s="415">
        <v>827</v>
      </c>
      <c r="C833" s="415" t="s">
        <v>3277</v>
      </c>
      <c r="D833" s="415" t="s">
        <v>2703</v>
      </c>
      <c r="E833" s="415" t="s">
        <v>2225</v>
      </c>
      <c r="F833" s="415" t="s">
        <v>2555</v>
      </c>
      <c r="G833" s="415" t="s">
        <v>3290</v>
      </c>
      <c r="H833" s="415">
        <v>0</v>
      </c>
      <c r="I833" s="415">
        <v>0</v>
      </c>
      <c r="J833" s="415">
        <v>8</v>
      </c>
      <c r="K833" s="415">
        <v>1</v>
      </c>
      <c r="L833" s="415">
        <v>485</v>
      </c>
      <c r="M833" s="415">
        <v>205</v>
      </c>
      <c r="N833" s="415" t="s">
        <v>2675</v>
      </c>
      <c r="O833" s="415">
        <v>427</v>
      </c>
      <c r="P833" s="415">
        <v>816</v>
      </c>
      <c r="Q833" s="415">
        <v>343</v>
      </c>
      <c r="R833" s="415" t="s">
        <v>3269</v>
      </c>
      <c r="S833" s="415" t="s">
        <v>3298</v>
      </c>
      <c r="T833" s="416">
        <v>138</v>
      </c>
      <c r="U833" s="416">
        <v>138</v>
      </c>
      <c r="V833" s="416">
        <v>134</v>
      </c>
      <c r="W833" s="416">
        <v>130</v>
      </c>
      <c r="X833" s="416">
        <v>126</v>
      </c>
      <c r="Y833" s="416">
        <v>122</v>
      </c>
      <c r="Z833" s="416">
        <v>119</v>
      </c>
      <c r="AA833" s="416">
        <v>118</v>
      </c>
      <c r="AB833" s="416">
        <v>115</v>
      </c>
      <c r="AC833" s="416">
        <v>114</v>
      </c>
      <c r="AD833" s="416">
        <v>111</v>
      </c>
      <c r="AE833" s="416">
        <v>109</v>
      </c>
      <c r="AF833" s="416">
        <v>107</v>
      </c>
      <c r="AG833" s="416">
        <v>105</v>
      </c>
      <c r="AH833" s="416">
        <v>103</v>
      </c>
      <c r="AI833" s="416">
        <v>101</v>
      </c>
      <c r="AJ833" s="416">
        <v>99.3</v>
      </c>
      <c r="AK833" s="416">
        <v>98</v>
      </c>
      <c r="AL833" s="416">
        <v>93.3</v>
      </c>
      <c r="AM833" s="416">
        <v>79.599999999999994</v>
      </c>
      <c r="AN833" s="416">
        <v>65.400000000000006</v>
      </c>
      <c r="AO833" s="416">
        <v>51.4</v>
      </c>
      <c r="AP833" s="416">
        <v>41.7</v>
      </c>
      <c r="AQ833" s="416">
        <v>32.9</v>
      </c>
      <c r="AR833" s="416">
        <v>26.5</v>
      </c>
      <c r="AS833" s="416">
        <v>21.3</v>
      </c>
      <c r="AT833" s="416">
        <v>17.2</v>
      </c>
      <c r="AU833" s="416">
        <v>13.9</v>
      </c>
      <c r="AV833" s="416">
        <v>11.1</v>
      </c>
      <c r="AW833" s="416">
        <v>8.73</v>
      </c>
      <c r="AX833" s="416">
        <v>0</v>
      </c>
      <c r="AY833" s="416">
        <v>0</v>
      </c>
      <c r="AZ833" s="416">
        <v>0</v>
      </c>
    </row>
    <row r="834" spans="1:52" s="411" customFormat="1" x14ac:dyDescent="0.3">
      <c r="A834" s="415" t="str">
        <f t="shared" si="12"/>
        <v>SA-376 Gr.TP304</v>
      </c>
      <c r="B834" s="415">
        <v>828</v>
      </c>
      <c r="C834" s="415" t="s">
        <v>3277</v>
      </c>
      <c r="D834" s="415" t="s">
        <v>2703</v>
      </c>
      <c r="E834" s="415" t="s">
        <v>2225</v>
      </c>
      <c r="F834" s="415" t="s">
        <v>2555</v>
      </c>
      <c r="G834" s="415" t="s">
        <v>3290</v>
      </c>
      <c r="H834" s="415">
        <v>0</v>
      </c>
      <c r="I834" s="415">
        <v>0</v>
      </c>
      <c r="J834" s="415">
        <v>8</v>
      </c>
      <c r="K834" s="415">
        <v>1</v>
      </c>
      <c r="L834" s="415">
        <v>485</v>
      </c>
      <c r="M834" s="415">
        <v>205</v>
      </c>
      <c r="N834" s="415" t="s">
        <v>2675</v>
      </c>
      <c r="O834" s="415" t="s">
        <v>2675</v>
      </c>
      <c r="P834" s="415">
        <v>816</v>
      </c>
      <c r="Q834" s="415">
        <v>343</v>
      </c>
      <c r="R834" s="415" t="s">
        <v>3269</v>
      </c>
      <c r="S834" s="415" t="s">
        <v>3299</v>
      </c>
      <c r="T834" s="416">
        <v>138</v>
      </c>
      <c r="U834" s="416">
        <v>138</v>
      </c>
      <c r="V834" s="416">
        <v>126</v>
      </c>
      <c r="W834" s="416">
        <v>113</v>
      </c>
      <c r="X834" s="416">
        <v>107</v>
      </c>
      <c r="Y834" s="416">
        <v>103</v>
      </c>
      <c r="Z834" s="416">
        <v>95.7</v>
      </c>
      <c r="AA834" s="416">
        <v>89.9</v>
      </c>
      <c r="AB834" s="416">
        <v>85.9</v>
      </c>
      <c r="AC834" s="416">
        <v>84.1</v>
      </c>
      <c r="AD834" s="416">
        <v>82.2</v>
      </c>
      <c r="AE834" s="416">
        <v>80.5</v>
      </c>
      <c r="AF834" s="416">
        <v>79.2</v>
      </c>
      <c r="AG834" s="416">
        <v>77.3</v>
      </c>
      <c r="AH834" s="416">
        <v>76</v>
      </c>
      <c r="AI834" s="416">
        <v>74.8</v>
      </c>
      <c r="AJ834" s="416">
        <v>73.599999999999994</v>
      </c>
      <c r="AK834" s="416">
        <v>72.400000000000006</v>
      </c>
      <c r="AL834" s="416">
        <v>70.8</v>
      </c>
      <c r="AM834" s="416">
        <v>68.900000000000006</v>
      </c>
      <c r="AN834" s="416">
        <v>65.400000000000006</v>
      </c>
      <c r="AO834" s="416">
        <v>51.4</v>
      </c>
      <c r="AP834" s="416">
        <v>41.7</v>
      </c>
      <c r="AQ834" s="416">
        <v>32.9</v>
      </c>
      <c r="AR834" s="416">
        <v>26.5</v>
      </c>
      <c r="AS834" s="416">
        <v>21.3</v>
      </c>
      <c r="AT834" s="416">
        <v>17.2</v>
      </c>
      <c r="AU834" s="416">
        <v>13.9</v>
      </c>
      <c r="AV834" s="416">
        <v>11.1</v>
      </c>
      <c r="AW834" s="416">
        <v>8.73</v>
      </c>
      <c r="AX834" s="416">
        <v>0</v>
      </c>
      <c r="AY834" s="416">
        <v>0</v>
      </c>
      <c r="AZ834" s="416">
        <v>0</v>
      </c>
    </row>
    <row r="835" spans="1:52" s="411" customFormat="1" x14ac:dyDescent="0.3">
      <c r="A835" s="415" t="str">
        <f t="shared" si="12"/>
        <v>SA-451 Gr.CPF3</v>
      </c>
      <c r="B835" s="415">
        <v>829</v>
      </c>
      <c r="C835" s="415" t="s">
        <v>3277</v>
      </c>
      <c r="D835" s="415" t="s">
        <v>2746</v>
      </c>
      <c r="E835" s="415" t="s">
        <v>2241</v>
      </c>
      <c r="F835" s="415" t="s">
        <v>2402</v>
      </c>
      <c r="G835" s="415" t="s">
        <v>3294</v>
      </c>
      <c r="H835" s="415">
        <v>0</v>
      </c>
      <c r="I835" s="415">
        <v>0</v>
      </c>
      <c r="J835" s="415">
        <v>8</v>
      </c>
      <c r="K835" s="415">
        <v>1</v>
      </c>
      <c r="L835" s="415">
        <v>485</v>
      </c>
      <c r="M835" s="415">
        <v>205</v>
      </c>
      <c r="N835" s="415" t="s">
        <v>2675</v>
      </c>
      <c r="O835" s="415">
        <v>427</v>
      </c>
      <c r="P835" s="415" t="s">
        <v>2675</v>
      </c>
      <c r="Q835" s="415" t="s">
        <v>2675</v>
      </c>
      <c r="R835" s="415" t="s">
        <v>3279</v>
      </c>
      <c r="S835" s="415" t="s">
        <v>3218</v>
      </c>
      <c r="T835" s="416">
        <v>138</v>
      </c>
      <c r="U835" s="416">
        <v>138</v>
      </c>
      <c r="V835" s="416">
        <v>134</v>
      </c>
      <c r="W835" s="416">
        <v>130</v>
      </c>
      <c r="X835" s="416">
        <v>126</v>
      </c>
      <c r="Y835" s="416">
        <v>122</v>
      </c>
      <c r="Z835" s="416">
        <v>119</v>
      </c>
      <c r="AA835" s="416">
        <v>118</v>
      </c>
      <c r="AB835" s="416">
        <v>115</v>
      </c>
      <c r="AC835" s="416">
        <v>114</v>
      </c>
      <c r="AD835" s="416">
        <v>111</v>
      </c>
      <c r="AE835" s="416">
        <v>109</v>
      </c>
      <c r="AF835" s="416">
        <v>107</v>
      </c>
      <c r="AG835" s="416">
        <v>105</v>
      </c>
      <c r="AH835" s="416">
        <v>103</v>
      </c>
      <c r="AI835" s="416">
        <v>0</v>
      </c>
      <c r="AJ835" s="416">
        <v>0</v>
      </c>
      <c r="AK835" s="416">
        <v>0</v>
      </c>
      <c r="AL835" s="416">
        <v>0</v>
      </c>
      <c r="AM835" s="416">
        <v>0</v>
      </c>
      <c r="AN835" s="416">
        <v>0</v>
      </c>
      <c r="AO835" s="416">
        <v>0</v>
      </c>
      <c r="AP835" s="416">
        <v>0</v>
      </c>
      <c r="AQ835" s="416">
        <v>0</v>
      </c>
      <c r="AR835" s="416">
        <v>0</v>
      </c>
      <c r="AS835" s="416">
        <v>0</v>
      </c>
      <c r="AT835" s="416">
        <v>0</v>
      </c>
      <c r="AU835" s="416">
        <v>0</v>
      </c>
      <c r="AV835" s="416">
        <v>0</v>
      </c>
      <c r="AW835" s="416">
        <v>0</v>
      </c>
      <c r="AX835" s="416">
        <v>0</v>
      </c>
      <c r="AY835" s="416">
        <v>0</v>
      </c>
      <c r="AZ835" s="416">
        <v>0</v>
      </c>
    </row>
    <row r="836" spans="1:52" s="411" customFormat="1" x14ac:dyDescent="0.3">
      <c r="A836" s="415" t="str">
        <f t="shared" si="12"/>
        <v>SA-451 Gr.CPF8</v>
      </c>
      <c r="B836" s="415">
        <v>830</v>
      </c>
      <c r="C836" s="415" t="s">
        <v>3277</v>
      </c>
      <c r="D836" s="415" t="s">
        <v>2746</v>
      </c>
      <c r="E836" s="415" t="s">
        <v>2241</v>
      </c>
      <c r="F836" s="415" t="s">
        <v>2405</v>
      </c>
      <c r="G836" s="415" t="s">
        <v>3295</v>
      </c>
      <c r="H836" s="415">
        <v>0</v>
      </c>
      <c r="I836" s="415">
        <v>0</v>
      </c>
      <c r="J836" s="415">
        <v>8</v>
      </c>
      <c r="K836" s="415">
        <v>1</v>
      </c>
      <c r="L836" s="415">
        <v>485</v>
      </c>
      <c r="M836" s="415">
        <v>205</v>
      </c>
      <c r="N836" s="415" t="s">
        <v>2675</v>
      </c>
      <c r="O836" s="415">
        <v>427</v>
      </c>
      <c r="P836" s="415" t="s">
        <v>2675</v>
      </c>
      <c r="Q836" s="415" t="s">
        <v>2675</v>
      </c>
      <c r="R836" s="415" t="s">
        <v>3269</v>
      </c>
      <c r="S836" s="415" t="s">
        <v>3218</v>
      </c>
      <c r="T836" s="416">
        <v>138</v>
      </c>
      <c r="U836" s="416">
        <v>138</v>
      </c>
      <c r="V836" s="416">
        <v>134</v>
      </c>
      <c r="W836" s="416">
        <v>130</v>
      </c>
      <c r="X836" s="416">
        <v>126</v>
      </c>
      <c r="Y836" s="416">
        <v>122</v>
      </c>
      <c r="Z836" s="416">
        <v>119</v>
      </c>
      <c r="AA836" s="416">
        <v>118</v>
      </c>
      <c r="AB836" s="416">
        <v>115</v>
      </c>
      <c r="AC836" s="416">
        <v>114</v>
      </c>
      <c r="AD836" s="416">
        <v>111</v>
      </c>
      <c r="AE836" s="416">
        <v>109</v>
      </c>
      <c r="AF836" s="416">
        <v>107</v>
      </c>
      <c r="AG836" s="416">
        <v>105</v>
      </c>
      <c r="AH836" s="416">
        <v>103</v>
      </c>
      <c r="AI836" s="416">
        <v>0</v>
      </c>
      <c r="AJ836" s="416">
        <v>0</v>
      </c>
      <c r="AK836" s="416">
        <v>0</v>
      </c>
      <c r="AL836" s="416">
        <v>0</v>
      </c>
      <c r="AM836" s="416">
        <v>0</v>
      </c>
      <c r="AN836" s="416">
        <v>0</v>
      </c>
      <c r="AO836" s="416">
        <v>0</v>
      </c>
      <c r="AP836" s="416">
        <v>0</v>
      </c>
      <c r="AQ836" s="416">
        <v>0</v>
      </c>
      <c r="AR836" s="416">
        <v>0</v>
      </c>
      <c r="AS836" s="416">
        <v>0</v>
      </c>
      <c r="AT836" s="416">
        <v>0</v>
      </c>
      <c r="AU836" s="416">
        <v>0</v>
      </c>
      <c r="AV836" s="416">
        <v>0</v>
      </c>
      <c r="AW836" s="416">
        <v>0</v>
      </c>
      <c r="AX836" s="416">
        <v>0</v>
      </c>
      <c r="AY836" s="416">
        <v>0</v>
      </c>
      <c r="AZ836" s="416">
        <v>0</v>
      </c>
    </row>
    <row r="837" spans="1:52" s="411" customFormat="1" x14ac:dyDescent="0.3">
      <c r="A837" s="415" t="str">
        <f t="shared" si="12"/>
        <v>SA-965 Gr.F304</v>
      </c>
      <c r="B837" s="415">
        <v>831</v>
      </c>
      <c r="C837" s="415" t="s">
        <v>3277</v>
      </c>
      <c r="D837" s="415" t="s">
        <v>2737</v>
      </c>
      <c r="E837" s="415" t="s">
        <v>2337</v>
      </c>
      <c r="F837" s="415" t="s">
        <v>2432</v>
      </c>
      <c r="G837" s="415" t="s">
        <v>3290</v>
      </c>
      <c r="H837" s="415">
        <v>0</v>
      </c>
      <c r="I837" s="415">
        <v>0</v>
      </c>
      <c r="J837" s="415">
        <v>8</v>
      </c>
      <c r="K837" s="415">
        <v>1</v>
      </c>
      <c r="L837" s="415">
        <v>485</v>
      </c>
      <c r="M837" s="415">
        <v>205</v>
      </c>
      <c r="N837" s="415">
        <v>816</v>
      </c>
      <c r="O837" s="415">
        <v>427</v>
      </c>
      <c r="P837" s="415">
        <v>816</v>
      </c>
      <c r="Q837" s="415">
        <v>343</v>
      </c>
      <c r="R837" s="415" t="s">
        <v>3269</v>
      </c>
      <c r="S837" s="415" t="s">
        <v>3252</v>
      </c>
      <c r="T837" s="416">
        <v>138</v>
      </c>
      <c r="U837" s="416">
        <v>138</v>
      </c>
      <c r="V837" s="416">
        <v>134</v>
      </c>
      <c r="W837" s="416">
        <v>130</v>
      </c>
      <c r="X837" s="416">
        <v>126</v>
      </c>
      <c r="Y837" s="416">
        <v>122</v>
      </c>
      <c r="Z837" s="416">
        <v>119</v>
      </c>
      <c r="AA837" s="416">
        <v>118</v>
      </c>
      <c r="AB837" s="416">
        <v>115</v>
      </c>
      <c r="AC837" s="416">
        <v>114</v>
      </c>
      <c r="AD837" s="416">
        <v>111</v>
      </c>
      <c r="AE837" s="416">
        <v>109</v>
      </c>
      <c r="AF837" s="416">
        <v>107</v>
      </c>
      <c r="AG837" s="416">
        <v>105</v>
      </c>
      <c r="AH837" s="416">
        <v>103</v>
      </c>
      <c r="AI837" s="416">
        <v>101</v>
      </c>
      <c r="AJ837" s="416">
        <v>99.3</v>
      </c>
      <c r="AK837" s="416">
        <v>98</v>
      </c>
      <c r="AL837" s="416">
        <v>93.3</v>
      </c>
      <c r="AM837" s="416">
        <v>79.599999999999994</v>
      </c>
      <c r="AN837" s="416">
        <v>65.400000000000006</v>
      </c>
      <c r="AO837" s="416">
        <v>51.4</v>
      </c>
      <c r="AP837" s="416">
        <v>41.7</v>
      </c>
      <c r="AQ837" s="416">
        <v>32.9</v>
      </c>
      <c r="AR837" s="416">
        <v>26.5</v>
      </c>
      <c r="AS837" s="416">
        <v>21.3</v>
      </c>
      <c r="AT837" s="416">
        <v>17.2</v>
      </c>
      <c r="AU837" s="416">
        <v>13.9</v>
      </c>
      <c r="AV837" s="416">
        <v>11.1</v>
      </c>
      <c r="AW837" s="416">
        <v>8.73</v>
      </c>
      <c r="AX837" s="416">
        <v>0</v>
      </c>
      <c r="AY837" s="416">
        <v>0</v>
      </c>
      <c r="AZ837" s="416">
        <v>0</v>
      </c>
    </row>
    <row r="838" spans="1:52" s="411" customFormat="1" x14ac:dyDescent="0.3">
      <c r="A838" s="415" t="str">
        <f t="shared" si="12"/>
        <v>SA-965 Gr.F304</v>
      </c>
      <c r="B838" s="415">
        <v>832</v>
      </c>
      <c r="C838" s="415" t="s">
        <v>3277</v>
      </c>
      <c r="D838" s="415" t="s">
        <v>2737</v>
      </c>
      <c r="E838" s="415" t="s">
        <v>2337</v>
      </c>
      <c r="F838" s="415" t="s">
        <v>2432</v>
      </c>
      <c r="G838" s="415" t="s">
        <v>3290</v>
      </c>
      <c r="H838" s="415">
        <v>0</v>
      </c>
      <c r="I838" s="415">
        <v>0</v>
      </c>
      <c r="J838" s="415">
        <v>8</v>
      </c>
      <c r="K838" s="415">
        <v>1</v>
      </c>
      <c r="L838" s="415">
        <v>485</v>
      </c>
      <c r="M838" s="415">
        <v>205</v>
      </c>
      <c r="N838" s="415">
        <v>816</v>
      </c>
      <c r="O838" s="415" t="s">
        <v>2675</v>
      </c>
      <c r="P838" s="415">
        <v>816</v>
      </c>
      <c r="Q838" s="415">
        <v>343</v>
      </c>
      <c r="R838" s="415" t="s">
        <v>3269</v>
      </c>
      <c r="S838" s="415" t="s">
        <v>3253</v>
      </c>
      <c r="T838" s="416">
        <v>138</v>
      </c>
      <c r="U838" s="416">
        <v>138</v>
      </c>
      <c r="V838" s="416">
        <v>126</v>
      </c>
      <c r="W838" s="416">
        <v>113</v>
      </c>
      <c r="X838" s="416">
        <v>107</v>
      </c>
      <c r="Y838" s="416">
        <v>103</v>
      </c>
      <c r="Z838" s="416">
        <v>95.7</v>
      </c>
      <c r="AA838" s="416">
        <v>89.9</v>
      </c>
      <c r="AB838" s="416">
        <v>85.9</v>
      </c>
      <c r="AC838" s="416">
        <v>84.1</v>
      </c>
      <c r="AD838" s="416">
        <v>82.2</v>
      </c>
      <c r="AE838" s="416">
        <v>80.5</v>
      </c>
      <c r="AF838" s="416">
        <v>79.2</v>
      </c>
      <c r="AG838" s="416">
        <v>77.3</v>
      </c>
      <c r="AH838" s="416">
        <v>76</v>
      </c>
      <c r="AI838" s="416">
        <v>74.8</v>
      </c>
      <c r="AJ838" s="416">
        <v>73.599999999999994</v>
      </c>
      <c r="AK838" s="416">
        <v>72.400000000000006</v>
      </c>
      <c r="AL838" s="416">
        <v>70.8</v>
      </c>
      <c r="AM838" s="416">
        <v>68.900000000000006</v>
      </c>
      <c r="AN838" s="416">
        <v>65.400000000000006</v>
      </c>
      <c r="AO838" s="416">
        <v>51.4</v>
      </c>
      <c r="AP838" s="416">
        <v>41.7</v>
      </c>
      <c r="AQ838" s="416">
        <v>32.9</v>
      </c>
      <c r="AR838" s="416">
        <v>26.5</v>
      </c>
      <c r="AS838" s="416">
        <v>21.3</v>
      </c>
      <c r="AT838" s="416">
        <v>17.2</v>
      </c>
      <c r="AU838" s="416">
        <v>13.9</v>
      </c>
      <c r="AV838" s="416">
        <v>11.1</v>
      </c>
      <c r="AW838" s="416">
        <v>8.73</v>
      </c>
      <c r="AX838" s="416">
        <v>0</v>
      </c>
      <c r="AY838" s="416">
        <v>0</v>
      </c>
      <c r="AZ838" s="416">
        <v>0</v>
      </c>
    </row>
    <row r="839" spans="1:52" s="411" customFormat="1" x14ac:dyDescent="0.3">
      <c r="A839" s="415" t="str">
        <f t="shared" si="12"/>
        <v>SA-965 Gr.F304H</v>
      </c>
      <c r="B839" s="415">
        <v>833</v>
      </c>
      <c r="C839" s="415" t="s">
        <v>3277</v>
      </c>
      <c r="D839" s="415" t="s">
        <v>2737</v>
      </c>
      <c r="E839" s="415" t="s">
        <v>2337</v>
      </c>
      <c r="F839" s="415" t="s">
        <v>2433</v>
      </c>
      <c r="G839" s="415" t="s">
        <v>3291</v>
      </c>
      <c r="H839" s="415">
        <v>0</v>
      </c>
      <c r="I839" s="415">
        <v>0</v>
      </c>
      <c r="J839" s="415">
        <v>8</v>
      </c>
      <c r="K839" s="415">
        <v>1</v>
      </c>
      <c r="L839" s="415">
        <v>485</v>
      </c>
      <c r="M839" s="415">
        <v>205</v>
      </c>
      <c r="N839" s="415" t="s">
        <v>2675</v>
      </c>
      <c r="O839" s="415">
        <v>427</v>
      </c>
      <c r="P839" s="415">
        <v>816</v>
      </c>
      <c r="Q839" s="415" t="s">
        <v>2675</v>
      </c>
      <c r="R839" s="415" t="s">
        <v>3269</v>
      </c>
      <c r="S839" s="415" t="s">
        <v>3292</v>
      </c>
      <c r="T839" s="416">
        <v>138</v>
      </c>
      <c r="U839" s="416">
        <v>138</v>
      </c>
      <c r="V839" s="416">
        <v>134</v>
      </c>
      <c r="W839" s="416">
        <v>130</v>
      </c>
      <c r="X839" s="416">
        <v>126</v>
      </c>
      <c r="Y839" s="416">
        <v>122</v>
      </c>
      <c r="Z839" s="416">
        <v>119</v>
      </c>
      <c r="AA839" s="416">
        <v>118</v>
      </c>
      <c r="AB839" s="416">
        <v>115</v>
      </c>
      <c r="AC839" s="416">
        <v>114</v>
      </c>
      <c r="AD839" s="416">
        <v>111</v>
      </c>
      <c r="AE839" s="416">
        <v>109</v>
      </c>
      <c r="AF839" s="416">
        <v>107</v>
      </c>
      <c r="AG839" s="416">
        <v>105</v>
      </c>
      <c r="AH839" s="416">
        <v>103</v>
      </c>
      <c r="AI839" s="416">
        <v>101</v>
      </c>
      <c r="AJ839" s="416">
        <v>99.3</v>
      </c>
      <c r="AK839" s="416">
        <v>98</v>
      </c>
      <c r="AL839" s="416">
        <v>93.3</v>
      </c>
      <c r="AM839" s="416">
        <v>79.599999999999994</v>
      </c>
      <c r="AN839" s="416">
        <v>65.400000000000006</v>
      </c>
      <c r="AO839" s="416">
        <v>51.4</v>
      </c>
      <c r="AP839" s="416">
        <v>41.7</v>
      </c>
      <c r="AQ839" s="416">
        <v>32.9</v>
      </c>
      <c r="AR839" s="416">
        <v>26.5</v>
      </c>
      <c r="AS839" s="416">
        <v>21.3</v>
      </c>
      <c r="AT839" s="416">
        <v>17.2</v>
      </c>
      <c r="AU839" s="416">
        <v>13.9</v>
      </c>
      <c r="AV839" s="416">
        <v>11.1</v>
      </c>
      <c r="AW839" s="416">
        <v>8.73</v>
      </c>
      <c r="AX839" s="416">
        <v>0</v>
      </c>
      <c r="AY839" s="416">
        <v>0</v>
      </c>
      <c r="AZ839" s="416">
        <v>0</v>
      </c>
    </row>
    <row r="840" spans="1:52" s="411" customFormat="1" x14ac:dyDescent="0.3">
      <c r="A840" s="415" t="str">
        <f t="shared" ref="A840:A903" si="13">CONCATENATE(E840," Gr.",F840)</f>
        <v>SA-965 Gr.F304H</v>
      </c>
      <c r="B840" s="415">
        <v>834</v>
      </c>
      <c r="C840" s="415" t="s">
        <v>3277</v>
      </c>
      <c r="D840" s="415" t="s">
        <v>2737</v>
      </c>
      <c r="E840" s="415" t="s">
        <v>2337</v>
      </c>
      <c r="F840" s="415" t="s">
        <v>2433</v>
      </c>
      <c r="G840" s="415" t="s">
        <v>3291</v>
      </c>
      <c r="H840" s="415">
        <v>0</v>
      </c>
      <c r="I840" s="415">
        <v>0</v>
      </c>
      <c r="J840" s="415">
        <v>8</v>
      </c>
      <c r="K840" s="415">
        <v>1</v>
      </c>
      <c r="L840" s="415">
        <v>485</v>
      </c>
      <c r="M840" s="415">
        <v>205</v>
      </c>
      <c r="N840" s="415" t="s">
        <v>2675</v>
      </c>
      <c r="O840" s="415" t="s">
        <v>2675</v>
      </c>
      <c r="P840" s="415">
        <v>816</v>
      </c>
      <c r="Q840" s="415" t="s">
        <v>2675</v>
      </c>
      <c r="R840" s="415" t="s">
        <v>3269</v>
      </c>
      <c r="S840" s="415" t="s">
        <v>3293</v>
      </c>
      <c r="T840" s="416">
        <v>138</v>
      </c>
      <c r="U840" s="416">
        <v>138</v>
      </c>
      <c r="V840" s="416">
        <v>126</v>
      </c>
      <c r="W840" s="416">
        <v>113</v>
      </c>
      <c r="X840" s="416">
        <v>107</v>
      </c>
      <c r="Y840" s="416">
        <v>103</v>
      </c>
      <c r="Z840" s="416">
        <v>95.7</v>
      </c>
      <c r="AA840" s="416">
        <v>89.9</v>
      </c>
      <c r="AB840" s="416">
        <v>85.9</v>
      </c>
      <c r="AC840" s="416">
        <v>84.1</v>
      </c>
      <c r="AD840" s="416">
        <v>82.2</v>
      </c>
      <c r="AE840" s="416">
        <v>80.5</v>
      </c>
      <c r="AF840" s="416">
        <v>79.2</v>
      </c>
      <c r="AG840" s="416">
        <v>77.3</v>
      </c>
      <c r="AH840" s="416">
        <v>76</v>
      </c>
      <c r="AI840" s="416">
        <v>74.8</v>
      </c>
      <c r="AJ840" s="416">
        <v>73.599999999999994</v>
      </c>
      <c r="AK840" s="416">
        <v>72.400000000000006</v>
      </c>
      <c r="AL840" s="416">
        <v>70.8</v>
      </c>
      <c r="AM840" s="416">
        <v>68.900000000000006</v>
      </c>
      <c r="AN840" s="416">
        <v>65.400000000000006</v>
      </c>
      <c r="AO840" s="416">
        <v>51.4</v>
      </c>
      <c r="AP840" s="416">
        <v>41.7</v>
      </c>
      <c r="AQ840" s="416">
        <v>32.9</v>
      </c>
      <c r="AR840" s="416">
        <v>26.5</v>
      </c>
      <c r="AS840" s="416">
        <v>21.3</v>
      </c>
      <c r="AT840" s="416">
        <v>17.2</v>
      </c>
      <c r="AU840" s="416">
        <v>13.9</v>
      </c>
      <c r="AV840" s="416">
        <v>11.1</v>
      </c>
      <c r="AW840" s="416">
        <v>8.73</v>
      </c>
      <c r="AX840" s="416">
        <v>0</v>
      </c>
      <c r="AY840" s="416">
        <v>0</v>
      </c>
      <c r="AZ840" s="416">
        <v>0</v>
      </c>
    </row>
    <row r="841" spans="1:52" s="411" customFormat="1" x14ac:dyDescent="0.3">
      <c r="A841" s="415" t="str">
        <f t="shared" si="13"/>
        <v>SA-182 Gr.F304</v>
      </c>
      <c r="B841" s="415">
        <v>835</v>
      </c>
      <c r="C841" s="415" t="s">
        <v>3277</v>
      </c>
      <c r="D841" s="415" t="s">
        <v>2737</v>
      </c>
      <c r="E841" s="415" t="s">
        <v>2188</v>
      </c>
      <c r="F841" s="415" t="s">
        <v>2432</v>
      </c>
      <c r="G841" s="415" t="s">
        <v>3290</v>
      </c>
      <c r="H841" s="415">
        <v>0</v>
      </c>
      <c r="I841" s="415" t="s">
        <v>3207</v>
      </c>
      <c r="J841" s="415">
        <v>8</v>
      </c>
      <c r="K841" s="415">
        <v>1</v>
      </c>
      <c r="L841" s="415">
        <v>515</v>
      </c>
      <c r="M841" s="415">
        <v>205</v>
      </c>
      <c r="N841" s="415">
        <v>816</v>
      </c>
      <c r="O841" s="415" t="s">
        <v>2675</v>
      </c>
      <c r="P841" s="415">
        <v>816</v>
      </c>
      <c r="Q841" s="415" t="s">
        <v>2675</v>
      </c>
      <c r="R841" s="415" t="s">
        <v>3269</v>
      </c>
      <c r="S841" s="415" t="s">
        <v>3253</v>
      </c>
      <c r="T841" s="416">
        <v>138</v>
      </c>
      <c r="U841" s="416">
        <v>138</v>
      </c>
      <c r="V841" s="416">
        <v>126</v>
      </c>
      <c r="W841" s="416">
        <v>113</v>
      </c>
      <c r="X841" s="416">
        <v>107</v>
      </c>
      <c r="Y841" s="416">
        <v>103</v>
      </c>
      <c r="Z841" s="416">
        <v>95.7</v>
      </c>
      <c r="AA841" s="416">
        <v>89.9</v>
      </c>
      <c r="AB841" s="416">
        <v>85.9</v>
      </c>
      <c r="AC841" s="416">
        <v>84.1</v>
      </c>
      <c r="AD841" s="416">
        <v>82.2</v>
      </c>
      <c r="AE841" s="416">
        <v>80.5</v>
      </c>
      <c r="AF841" s="416">
        <v>79.2</v>
      </c>
      <c r="AG841" s="416">
        <v>77.3</v>
      </c>
      <c r="AH841" s="416">
        <v>76</v>
      </c>
      <c r="AI841" s="416">
        <v>74.8</v>
      </c>
      <c r="AJ841" s="416">
        <v>73.599999999999994</v>
      </c>
      <c r="AK841" s="416">
        <v>72.400000000000006</v>
      </c>
      <c r="AL841" s="416">
        <v>70.8</v>
      </c>
      <c r="AM841" s="416">
        <v>68.900000000000006</v>
      </c>
      <c r="AN841" s="416">
        <v>65.400000000000006</v>
      </c>
      <c r="AO841" s="416">
        <v>51.4</v>
      </c>
      <c r="AP841" s="416">
        <v>41.7</v>
      </c>
      <c r="AQ841" s="416">
        <v>32.9</v>
      </c>
      <c r="AR841" s="416">
        <v>26.5</v>
      </c>
      <c r="AS841" s="416">
        <v>21.3</v>
      </c>
      <c r="AT841" s="416">
        <v>17.2</v>
      </c>
      <c r="AU841" s="416">
        <v>13.9</v>
      </c>
      <c r="AV841" s="416">
        <v>11.1</v>
      </c>
      <c r="AW841" s="416">
        <v>8.73</v>
      </c>
      <c r="AX841" s="416">
        <v>0</v>
      </c>
      <c r="AY841" s="416">
        <v>0</v>
      </c>
      <c r="AZ841" s="416">
        <v>0</v>
      </c>
    </row>
    <row r="842" spans="1:52" s="411" customFormat="1" x14ac:dyDescent="0.3">
      <c r="A842" s="415" t="str">
        <f t="shared" si="13"/>
        <v>SA-182 Gr.F304</v>
      </c>
      <c r="B842" s="415">
        <v>836</v>
      </c>
      <c r="C842" s="415" t="s">
        <v>3277</v>
      </c>
      <c r="D842" s="415" t="s">
        <v>2737</v>
      </c>
      <c r="E842" s="415" t="s">
        <v>2188</v>
      </c>
      <c r="F842" s="415" t="s">
        <v>2432</v>
      </c>
      <c r="G842" s="415" t="s">
        <v>3290</v>
      </c>
      <c r="H842" s="415">
        <v>0</v>
      </c>
      <c r="I842" s="415" t="s">
        <v>3207</v>
      </c>
      <c r="J842" s="415">
        <v>8</v>
      </c>
      <c r="K842" s="415">
        <v>1</v>
      </c>
      <c r="L842" s="415">
        <v>515</v>
      </c>
      <c r="M842" s="415">
        <v>205</v>
      </c>
      <c r="N842" s="415">
        <v>816</v>
      </c>
      <c r="O842" s="415">
        <v>427</v>
      </c>
      <c r="P842" s="415">
        <v>816</v>
      </c>
      <c r="Q842" s="415" t="s">
        <v>2675</v>
      </c>
      <c r="R842" s="415" t="s">
        <v>3269</v>
      </c>
      <c r="S842" s="415" t="s">
        <v>3252</v>
      </c>
      <c r="T842" s="416">
        <v>138</v>
      </c>
      <c r="U842" s="416">
        <v>138</v>
      </c>
      <c r="V842" s="416">
        <v>138</v>
      </c>
      <c r="W842" s="416">
        <v>137</v>
      </c>
      <c r="X842" s="416">
        <v>134</v>
      </c>
      <c r="Y842" s="416">
        <v>130</v>
      </c>
      <c r="Z842" s="416">
        <v>126</v>
      </c>
      <c r="AA842" s="416">
        <v>122</v>
      </c>
      <c r="AB842" s="416">
        <v>116</v>
      </c>
      <c r="AC842" s="416">
        <v>114</v>
      </c>
      <c r="AD842" s="416">
        <v>111</v>
      </c>
      <c r="AE842" s="416">
        <v>109</v>
      </c>
      <c r="AF842" s="416">
        <v>107</v>
      </c>
      <c r="AG842" s="416">
        <v>105</v>
      </c>
      <c r="AH842" s="416">
        <v>103</v>
      </c>
      <c r="AI842" s="416">
        <v>101</v>
      </c>
      <c r="AJ842" s="416">
        <v>99.3</v>
      </c>
      <c r="AK842" s="416">
        <v>98</v>
      </c>
      <c r="AL842" s="416">
        <v>93.3</v>
      </c>
      <c r="AM842" s="416">
        <v>79.599999999999994</v>
      </c>
      <c r="AN842" s="416">
        <v>65.400000000000006</v>
      </c>
      <c r="AO842" s="416">
        <v>51.4</v>
      </c>
      <c r="AP842" s="416">
        <v>41.7</v>
      </c>
      <c r="AQ842" s="416">
        <v>32.9</v>
      </c>
      <c r="AR842" s="416">
        <v>26.5</v>
      </c>
      <c r="AS842" s="416">
        <v>21.3</v>
      </c>
      <c r="AT842" s="416">
        <v>17.2</v>
      </c>
      <c r="AU842" s="416">
        <v>13.9</v>
      </c>
      <c r="AV842" s="416">
        <v>11.1</v>
      </c>
      <c r="AW842" s="416">
        <v>8.73</v>
      </c>
      <c r="AX842" s="416">
        <v>0</v>
      </c>
      <c r="AY842" s="416">
        <v>0</v>
      </c>
      <c r="AZ842" s="416">
        <v>0</v>
      </c>
    </row>
    <row r="843" spans="1:52" s="411" customFormat="1" x14ac:dyDescent="0.3">
      <c r="A843" s="415" t="str">
        <f t="shared" si="13"/>
        <v>SA-182 Gr.F304H</v>
      </c>
      <c r="B843" s="415">
        <v>837</v>
      </c>
      <c r="C843" s="415" t="s">
        <v>3277</v>
      </c>
      <c r="D843" s="415" t="s">
        <v>2737</v>
      </c>
      <c r="E843" s="415" t="s">
        <v>2188</v>
      </c>
      <c r="F843" s="415" t="s">
        <v>2433</v>
      </c>
      <c r="G843" s="415" t="s">
        <v>3291</v>
      </c>
      <c r="H843" s="415">
        <v>0</v>
      </c>
      <c r="I843" s="415" t="s">
        <v>3207</v>
      </c>
      <c r="J843" s="415">
        <v>8</v>
      </c>
      <c r="K843" s="415">
        <v>1</v>
      </c>
      <c r="L843" s="415">
        <v>515</v>
      </c>
      <c r="M843" s="415">
        <v>205</v>
      </c>
      <c r="N843" s="415">
        <v>816</v>
      </c>
      <c r="O843" s="415" t="s">
        <v>2675</v>
      </c>
      <c r="P843" s="415">
        <v>816</v>
      </c>
      <c r="Q843" s="415" t="s">
        <v>2675</v>
      </c>
      <c r="R843" s="415" t="s">
        <v>3269</v>
      </c>
      <c r="S843" s="415" t="s">
        <v>3293</v>
      </c>
      <c r="T843" s="416">
        <v>138</v>
      </c>
      <c r="U843" s="416">
        <v>138</v>
      </c>
      <c r="V843" s="416">
        <v>126</v>
      </c>
      <c r="W843" s="416">
        <v>113</v>
      </c>
      <c r="X843" s="416">
        <v>107</v>
      </c>
      <c r="Y843" s="416">
        <v>103</v>
      </c>
      <c r="Z843" s="416">
        <v>95.7</v>
      </c>
      <c r="AA843" s="416">
        <v>89.9</v>
      </c>
      <c r="AB843" s="416">
        <v>85.9</v>
      </c>
      <c r="AC843" s="416">
        <v>84.1</v>
      </c>
      <c r="AD843" s="416">
        <v>82.2</v>
      </c>
      <c r="AE843" s="416">
        <v>80.5</v>
      </c>
      <c r="AF843" s="416">
        <v>79.2</v>
      </c>
      <c r="AG843" s="416">
        <v>77.3</v>
      </c>
      <c r="AH843" s="416">
        <v>76</v>
      </c>
      <c r="AI843" s="416">
        <v>74.8</v>
      </c>
      <c r="AJ843" s="416">
        <v>73.599999999999994</v>
      </c>
      <c r="AK843" s="416">
        <v>72.400000000000006</v>
      </c>
      <c r="AL843" s="416">
        <v>70.8</v>
      </c>
      <c r="AM843" s="416">
        <v>68.900000000000006</v>
      </c>
      <c r="AN843" s="416">
        <v>65.400000000000006</v>
      </c>
      <c r="AO843" s="416">
        <v>51.4</v>
      </c>
      <c r="AP843" s="416">
        <v>41.7</v>
      </c>
      <c r="AQ843" s="416">
        <v>32.9</v>
      </c>
      <c r="AR843" s="416">
        <v>26.5</v>
      </c>
      <c r="AS843" s="416">
        <v>21.3</v>
      </c>
      <c r="AT843" s="416">
        <v>17.2</v>
      </c>
      <c r="AU843" s="416">
        <v>13.9</v>
      </c>
      <c r="AV843" s="416">
        <v>11.1</v>
      </c>
      <c r="AW843" s="416">
        <v>8.73</v>
      </c>
      <c r="AX843" s="416">
        <v>0</v>
      </c>
      <c r="AY843" s="416">
        <v>0</v>
      </c>
      <c r="AZ843" s="416">
        <v>0</v>
      </c>
    </row>
    <row r="844" spans="1:52" s="411" customFormat="1" x14ac:dyDescent="0.3">
      <c r="A844" s="415" t="str">
        <f t="shared" si="13"/>
        <v>SA-182 Gr.F304H</v>
      </c>
      <c r="B844" s="415">
        <v>838</v>
      </c>
      <c r="C844" s="415" t="s">
        <v>3277</v>
      </c>
      <c r="D844" s="415" t="s">
        <v>2737</v>
      </c>
      <c r="E844" s="415" t="s">
        <v>2188</v>
      </c>
      <c r="F844" s="415" t="s">
        <v>2433</v>
      </c>
      <c r="G844" s="415" t="s">
        <v>3291</v>
      </c>
      <c r="H844" s="415">
        <v>0</v>
      </c>
      <c r="I844" s="415" t="s">
        <v>3207</v>
      </c>
      <c r="J844" s="415">
        <v>8</v>
      </c>
      <c r="K844" s="415">
        <v>1</v>
      </c>
      <c r="L844" s="415">
        <v>515</v>
      </c>
      <c r="M844" s="415">
        <v>205</v>
      </c>
      <c r="N844" s="415">
        <v>816</v>
      </c>
      <c r="O844" s="415">
        <v>427</v>
      </c>
      <c r="P844" s="415">
        <v>816</v>
      </c>
      <c r="Q844" s="415" t="s">
        <v>2675</v>
      </c>
      <c r="R844" s="415" t="s">
        <v>3269</v>
      </c>
      <c r="S844" s="415" t="s">
        <v>3292</v>
      </c>
      <c r="T844" s="416">
        <v>138</v>
      </c>
      <c r="U844" s="416">
        <v>138</v>
      </c>
      <c r="V844" s="416">
        <v>138</v>
      </c>
      <c r="W844" s="416">
        <v>137</v>
      </c>
      <c r="X844" s="416">
        <v>134</v>
      </c>
      <c r="Y844" s="416">
        <v>130</v>
      </c>
      <c r="Z844" s="416">
        <v>126</v>
      </c>
      <c r="AA844" s="416">
        <v>122</v>
      </c>
      <c r="AB844" s="416">
        <v>116</v>
      </c>
      <c r="AC844" s="416">
        <v>114</v>
      </c>
      <c r="AD844" s="416">
        <v>111</v>
      </c>
      <c r="AE844" s="416">
        <v>109</v>
      </c>
      <c r="AF844" s="416">
        <v>107</v>
      </c>
      <c r="AG844" s="416">
        <v>105</v>
      </c>
      <c r="AH844" s="416">
        <v>103</v>
      </c>
      <c r="AI844" s="416">
        <v>101</v>
      </c>
      <c r="AJ844" s="416">
        <v>99.3</v>
      </c>
      <c r="AK844" s="416">
        <v>98</v>
      </c>
      <c r="AL844" s="416">
        <v>93.3</v>
      </c>
      <c r="AM844" s="416">
        <v>79.599999999999994</v>
      </c>
      <c r="AN844" s="416">
        <v>65.400000000000006</v>
      </c>
      <c r="AO844" s="416">
        <v>51.4</v>
      </c>
      <c r="AP844" s="416">
        <v>41.7</v>
      </c>
      <c r="AQ844" s="416">
        <v>32.9</v>
      </c>
      <c r="AR844" s="416">
        <v>26.5</v>
      </c>
      <c r="AS844" s="416">
        <v>21.3</v>
      </c>
      <c r="AT844" s="416">
        <v>17.2</v>
      </c>
      <c r="AU844" s="416">
        <v>13.9</v>
      </c>
      <c r="AV844" s="416">
        <v>11.1</v>
      </c>
      <c r="AW844" s="416">
        <v>8.73</v>
      </c>
      <c r="AX844" s="416">
        <v>0</v>
      </c>
      <c r="AY844" s="416">
        <v>0</v>
      </c>
      <c r="AZ844" s="416">
        <v>0</v>
      </c>
    </row>
    <row r="845" spans="1:52" s="411" customFormat="1" x14ac:dyDescent="0.3">
      <c r="A845" s="415" t="str">
        <f t="shared" si="13"/>
        <v>SA-213 Gr.TP304</v>
      </c>
      <c r="B845" s="415">
        <v>839</v>
      </c>
      <c r="C845" s="415" t="s">
        <v>3277</v>
      </c>
      <c r="D845" s="415" t="s">
        <v>2693</v>
      </c>
      <c r="E845" s="415" t="s">
        <v>2195</v>
      </c>
      <c r="F845" s="415" t="s">
        <v>2555</v>
      </c>
      <c r="G845" s="415" t="s">
        <v>3290</v>
      </c>
      <c r="H845" s="415">
        <v>0</v>
      </c>
      <c r="I845" s="415">
        <v>0</v>
      </c>
      <c r="J845" s="415">
        <v>8</v>
      </c>
      <c r="K845" s="415">
        <v>1</v>
      </c>
      <c r="L845" s="415">
        <v>515</v>
      </c>
      <c r="M845" s="415">
        <v>205</v>
      </c>
      <c r="N845" s="415">
        <v>816</v>
      </c>
      <c r="O845" s="415" t="s">
        <v>2675</v>
      </c>
      <c r="P845" s="415">
        <v>816</v>
      </c>
      <c r="Q845" s="415" t="s">
        <v>2675</v>
      </c>
      <c r="R845" s="415" t="s">
        <v>3269</v>
      </c>
      <c r="S845" s="415" t="s">
        <v>3253</v>
      </c>
      <c r="T845" s="416">
        <v>138</v>
      </c>
      <c r="U845" s="416">
        <v>138</v>
      </c>
      <c r="V845" s="416">
        <v>126</v>
      </c>
      <c r="W845" s="416">
        <v>113</v>
      </c>
      <c r="X845" s="416">
        <v>107</v>
      </c>
      <c r="Y845" s="416">
        <v>103</v>
      </c>
      <c r="Z845" s="416">
        <v>95.7</v>
      </c>
      <c r="AA845" s="416">
        <v>89.9</v>
      </c>
      <c r="AB845" s="416">
        <v>85.9</v>
      </c>
      <c r="AC845" s="416">
        <v>84.1</v>
      </c>
      <c r="AD845" s="416">
        <v>82.2</v>
      </c>
      <c r="AE845" s="416">
        <v>80.5</v>
      </c>
      <c r="AF845" s="416">
        <v>79.2</v>
      </c>
      <c r="AG845" s="416">
        <v>77.3</v>
      </c>
      <c r="AH845" s="416">
        <v>76</v>
      </c>
      <c r="AI845" s="416">
        <v>74.8</v>
      </c>
      <c r="AJ845" s="416">
        <v>73.599999999999994</v>
      </c>
      <c r="AK845" s="416">
        <v>72.400000000000006</v>
      </c>
      <c r="AL845" s="416">
        <v>70.8</v>
      </c>
      <c r="AM845" s="416">
        <v>68.900000000000006</v>
      </c>
      <c r="AN845" s="416">
        <v>65.400000000000006</v>
      </c>
      <c r="AO845" s="416">
        <v>51.4</v>
      </c>
      <c r="AP845" s="416">
        <v>41.7</v>
      </c>
      <c r="AQ845" s="416">
        <v>32.9</v>
      </c>
      <c r="AR845" s="416">
        <v>26.5</v>
      </c>
      <c r="AS845" s="416">
        <v>21.3</v>
      </c>
      <c r="AT845" s="416">
        <v>17.2</v>
      </c>
      <c r="AU845" s="416">
        <v>13.9</v>
      </c>
      <c r="AV845" s="416">
        <v>11.1</v>
      </c>
      <c r="AW845" s="416">
        <v>8.73</v>
      </c>
      <c r="AX845" s="416">
        <v>0</v>
      </c>
      <c r="AY845" s="416">
        <v>0</v>
      </c>
      <c r="AZ845" s="416">
        <v>0</v>
      </c>
    </row>
    <row r="846" spans="1:52" s="411" customFormat="1" x14ac:dyDescent="0.3">
      <c r="A846" s="415" t="str">
        <f t="shared" si="13"/>
        <v>SA-213 Gr.TP304</v>
      </c>
      <c r="B846" s="415">
        <v>840</v>
      </c>
      <c r="C846" s="415" t="s">
        <v>3277</v>
      </c>
      <c r="D846" s="415" t="s">
        <v>2693</v>
      </c>
      <c r="E846" s="415" t="s">
        <v>2195</v>
      </c>
      <c r="F846" s="415" t="s">
        <v>2555</v>
      </c>
      <c r="G846" s="415" t="s">
        <v>3290</v>
      </c>
      <c r="H846" s="415">
        <v>0</v>
      </c>
      <c r="I846" s="415">
        <v>0</v>
      </c>
      <c r="J846" s="415">
        <v>8</v>
      </c>
      <c r="K846" s="415">
        <v>1</v>
      </c>
      <c r="L846" s="415">
        <v>515</v>
      </c>
      <c r="M846" s="415">
        <v>205</v>
      </c>
      <c r="N846" s="415">
        <v>816</v>
      </c>
      <c r="O846" s="415">
        <v>427</v>
      </c>
      <c r="P846" s="415">
        <v>816</v>
      </c>
      <c r="Q846" s="415" t="s">
        <v>2675</v>
      </c>
      <c r="R846" s="415" t="s">
        <v>3269</v>
      </c>
      <c r="S846" s="415" t="s">
        <v>3252</v>
      </c>
      <c r="T846" s="416">
        <v>138</v>
      </c>
      <c r="U846" s="416">
        <v>138</v>
      </c>
      <c r="V846" s="416">
        <v>138</v>
      </c>
      <c r="W846" s="416">
        <v>137</v>
      </c>
      <c r="X846" s="416">
        <v>134</v>
      </c>
      <c r="Y846" s="416">
        <v>130</v>
      </c>
      <c r="Z846" s="416">
        <v>126</v>
      </c>
      <c r="AA846" s="416">
        <v>122</v>
      </c>
      <c r="AB846" s="416">
        <v>116</v>
      </c>
      <c r="AC846" s="416">
        <v>114</v>
      </c>
      <c r="AD846" s="416">
        <v>111</v>
      </c>
      <c r="AE846" s="416">
        <v>109</v>
      </c>
      <c r="AF846" s="416">
        <v>107</v>
      </c>
      <c r="AG846" s="416">
        <v>105</v>
      </c>
      <c r="AH846" s="416">
        <v>103</v>
      </c>
      <c r="AI846" s="416">
        <v>101</v>
      </c>
      <c r="AJ846" s="416">
        <v>99.3</v>
      </c>
      <c r="AK846" s="416">
        <v>98</v>
      </c>
      <c r="AL846" s="416">
        <v>93.3</v>
      </c>
      <c r="AM846" s="416">
        <v>79.599999999999994</v>
      </c>
      <c r="AN846" s="416">
        <v>65.400000000000006</v>
      </c>
      <c r="AO846" s="416">
        <v>51.4</v>
      </c>
      <c r="AP846" s="416">
        <v>41.7</v>
      </c>
      <c r="AQ846" s="416">
        <v>32.9</v>
      </c>
      <c r="AR846" s="416">
        <v>26.5</v>
      </c>
      <c r="AS846" s="416">
        <v>21.3</v>
      </c>
      <c r="AT846" s="416">
        <v>17.2</v>
      </c>
      <c r="AU846" s="416">
        <v>13.9</v>
      </c>
      <c r="AV846" s="416">
        <v>11.1</v>
      </c>
      <c r="AW846" s="416">
        <v>8.73</v>
      </c>
      <c r="AX846" s="416">
        <v>0</v>
      </c>
      <c r="AY846" s="416">
        <v>0</v>
      </c>
      <c r="AZ846" s="416">
        <v>0</v>
      </c>
    </row>
    <row r="847" spans="1:52" s="411" customFormat="1" x14ac:dyDescent="0.3">
      <c r="A847" s="415" t="str">
        <f t="shared" si="13"/>
        <v>SA-213 Gr.TP304H</v>
      </c>
      <c r="B847" s="415">
        <v>841</v>
      </c>
      <c r="C847" s="415" t="s">
        <v>3277</v>
      </c>
      <c r="D847" s="415" t="s">
        <v>2693</v>
      </c>
      <c r="E847" s="415" t="s">
        <v>2195</v>
      </c>
      <c r="F847" s="415" t="s">
        <v>2556</v>
      </c>
      <c r="G847" s="415" t="s">
        <v>3291</v>
      </c>
      <c r="H847" s="415">
        <v>0</v>
      </c>
      <c r="I847" s="415">
        <v>0</v>
      </c>
      <c r="J847" s="415">
        <v>8</v>
      </c>
      <c r="K847" s="415">
        <v>1</v>
      </c>
      <c r="L847" s="415">
        <v>515</v>
      </c>
      <c r="M847" s="415">
        <v>205</v>
      </c>
      <c r="N847" s="415">
        <v>816</v>
      </c>
      <c r="O847" s="415" t="s">
        <v>2675</v>
      </c>
      <c r="P847" s="415">
        <v>816</v>
      </c>
      <c r="Q847" s="415" t="s">
        <v>2675</v>
      </c>
      <c r="R847" s="415" t="s">
        <v>3269</v>
      </c>
      <c r="S847" s="415" t="s">
        <v>3293</v>
      </c>
      <c r="T847" s="416">
        <v>138</v>
      </c>
      <c r="U847" s="416">
        <v>138</v>
      </c>
      <c r="V847" s="416">
        <v>126</v>
      </c>
      <c r="W847" s="416">
        <v>113</v>
      </c>
      <c r="X847" s="416">
        <v>107</v>
      </c>
      <c r="Y847" s="416">
        <v>103</v>
      </c>
      <c r="Z847" s="416">
        <v>95.7</v>
      </c>
      <c r="AA847" s="416">
        <v>89.9</v>
      </c>
      <c r="AB847" s="416">
        <v>85.9</v>
      </c>
      <c r="AC847" s="416">
        <v>84.1</v>
      </c>
      <c r="AD847" s="416">
        <v>82.2</v>
      </c>
      <c r="AE847" s="416">
        <v>80.5</v>
      </c>
      <c r="AF847" s="416">
        <v>79.2</v>
      </c>
      <c r="AG847" s="416">
        <v>77.3</v>
      </c>
      <c r="AH847" s="416">
        <v>76</v>
      </c>
      <c r="AI847" s="416">
        <v>74.8</v>
      </c>
      <c r="AJ847" s="416">
        <v>73.599999999999994</v>
      </c>
      <c r="AK847" s="416">
        <v>72.400000000000006</v>
      </c>
      <c r="AL847" s="416">
        <v>70.8</v>
      </c>
      <c r="AM847" s="416">
        <v>68.900000000000006</v>
      </c>
      <c r="AN847" s="416">
        <v>65.400000000000006</v>
      </c>
      <c r="AO847" s="416">
        <v>51.4</v>
      </c>
      <c r="AP847" s="416">
        <v>41.7</v>
      </c>
      <c r="AQ847" s="416">
        <v>32.9</v>
      </c>
      <c r="AR847" s="416">
        <v>26.5</v>
      </c>
      <c r="AS847" s="416">
        <v>21.3</v>
      </c>
      <c r="AT847" s="416">
        <v>17.2</v>
      </c>
      <c r="AU847" s="416">
        <v>13.9</v>
      </c>
      <c r="AV847" s="416">
        <v>11.1</v>
      </c>
      <c r="AW847" s="416">
        <v>8.73</v>
      </c>
      <c r="AX847" s="416">
        <v>0</v>
      </c>
      <c r="AY847" s="416">
        <v>0</v>
      </c>
      <c r="AZ847" s="416">
        <v>0</v>
      </c>
    </row>
    <row r="848" spans="1:52" s="411" customFormat="1" x14ac:dyDescent="0.3">
      <c r="A848" s="415" t="str">
        <f t="shared" si="13"/>
        <v>SA-213 Gr.TP304H</v>
      </c>
      <c r="B848" s="415">
        <v>842</v>
      </c>
      <c r="C848" s="415" t="s">
        <v>3277</v>
      </c>
      <c r="D848" s="415" t="s">
        <v>2693</v>
      </c>
      <c r="E848" s="415" t="s">
        <v>2195</v>
      </c>
      <c r="F848" s="415" t="s">
        <v>2556</v>
      </c>
      <c r="G848" s="415" t="s">
        <v>3291</v>
      </c>
      <c r="H848" s="415">
        <v>0</v>
      </c>
      <c r="I848" s="415">
        <v>0</v>
      </c>
      <c r="J848" s="415">
        <v>8</v>
      </c>
      <c r="K848" s="415">
        <v>1</v>
      </c>
      <c r="L848" s="415">
        <v>515</v>
      </c>
      <c r="M848" s="415">
        <v>205</v>
      </c>
      <c r="N848" s="415">
        <v>816</v>
      </c>
      <c r="O848" s="415">
        <v>427</v>
      </c>
      <c r="P848" s="415">
        <v>816</v>
      </c>
      <c r="Q848" s="415" t="s">
        <v>2675</v>
      </c>
      <c r="R848" s="415" t="s">
        <v>3269</v>
      </c>
      <c r="S848" s="415" t="s">
        <v>3292</v>
      </c>
      <c r="T848" s="416">
        <v>138</v>
      </c>
      <c r="U848" s="416">
        <v>138</v>
      </c>
      <c r="V848" s="416">
        <v>138</v>
      </c>
      <c r="W848" s="416">
        <v>137</v>
      </c>
      <c r="X848" s="416">
        <v>134</v>
      </c>
      <c r="Y848" s="416">
        <v>130</v>
      </c>
      <c r="Z848" s="416">
        <v>126</v>
      </c>
      <c r="AA848" s="416">
        <v>122</v>
      </c>
      <c r="AB848" s="416">
        <v>116</v>
      </c>
      <c r="AC848" s="416">
        <v>114</v>
      </c>
      <c r="AD848" s="416">
        <v>111</v>
      </c>
      <c r="AE848" s="416">
        <v>109</v>
      </c>
      <c r="AF848" s="416">
        <v>107</v>
      </c>
      <c r="AG848" s="416">
        <v>105</v>
      </c>
      <c r="AH848" s="416">
        <v>103</v>
      </c>
      <c r="AI848" s="416">
        <v>101</v>
      </c>
      <c r="AJ848" s="416">
        <v>99.3</v>
      </c>
      <c r="AK848" s="416">
        <v>98</v>
      </c>
      <c r="AL848" s="416">
        <v>93.3</v>
      </c>
      <c r="AM848" s="416">
        <v>79.599999999999994</v>
      </c>
      <c r="AN848" s="416">
        <v>65.400000000000006</v>
      </c>
      <c r="AO848" s="416">
        <v>51.4</v>
      </c>
      <c r="AP848" s="416">
        <v>41.7</v>
      </c>
      <c r="AQ848" s="416">
        <v>32.9</v>
      </c>
      <c r="AR848" s="416">
        <v>26.5</v>
      </c>
      <c r="AS848" s="416">
        <v>21.3</v>
      </c>
      <c r="AT848" s="416">
        <v>17.2</v>
      </c>
      <c r="AU848" s="416">
        <v>13.9</v>
      </c>
      <c r="AV848" s="416">
        <v>11.1</v>
      </c>
      <c r="AW848" s="416">
        <v>8.73</v>
      </c>
      <c r="AX848" s="416">
        <v>0</v>
      </c>
      <c r="AY848" s="416">
        <v>0</v>
      </c>
      <c r="AZ848" s="416">
        <v>0</v>
      </c>
    </row>
    <row r="849" spans="1:52" s="411" customFormat="1" x14ac:dyDescent="0.3">
      <c r="A849" s="415" t="str">
        <f t="shared" si="13"/>
        <v>SA-240 Gr.302</v>
      </c>
      <c r="B849" s="415">
        <v>843</v>
      </c>
      <c r="C849" s="415" t="s">
        <v>3277</v>
      </c>
      <c r="D849" s="415" t="s">
        <v>2684</v>
      </c>
      <c r="E849" s="415" t="s">
        <v>2165</v>
      </c>
      <c r="F849" s="415">
        <v>302</v>
      </c>
      <c r="G849" s="415" t="s">
        <v>3300</v>
      </c>
      <c r="H849" s="415">
        <v>0</v>
      </c>
      <c r="I849" s="415">
        <v>0</v>
      </c>
      <c r="J849" s="415">
        <v>8</v>
      </c>
      <c r="K849" s="415">
        <v>1</v>
      </c>
      <c r="L849" s="415">
        <v>515</v>
      </c>
      <c r="M849" s="415">
        <v>205</v>
      </c>
      <c r="N849" s="415" t="s">
        <v>2675</v>
      </c>
      <c r="O849" s="415" t="s">
        <v>2675</v>
      </c>
      <c r="P849" s="415">
        <v>399</v>
      </c>
      <c r="Q849" s="415">
        <v>343</v>
      </c>
      <c r="R849" s="415" t="s">
        <v>3269</v>
      </c>
      <c r="S849" s="415" t="s">
        <v>3189</v>
      </c>
      <c r="T849" s="416">
        <v>138</v>
      </c>
      <c r="U849" s="416">
        <v>138</v>
      </c>
      <c r="V849" s="416">
        <v>138</v>
      </c>
      <c r="W849" s="416">
        <v>137</v>
      </c>
      <c r="X849" s="416">
        <v>134</v>
      </c>
      <c r="Y849" s="416">
        <v>130</v>
      </c>
      <c r="Z849" s="416">
        <v>126</v>
      </c>
      <c r="AA849" s="416">
        <v>122</v>
      </c>
      <c r="AB849" s="416">
        <v>116</v>
      </c>
      <c r="AC849" s="416">
        <v>114</v>
      </c>
      <c r="AD849" s="416">
        <v>111</v>
      </c>
      <c r="AE849" s="416">
        <v>109</v>
      </c>
      <c r="AF849" s="416">
        <v>107</v>
      </c>
      <c r="AG849" s="416">
        <v>0</v>
      </c>
      <c r="AH849" s="416">
        <v>0</v>
      </c>
      <c r="AI849" s="416">
        <v>0</v>
      </c>
      <c r="AJ849" s="416">
        <v>0</v>
      </c>
      <c r="AK849" s="416">
        <v>0</v>
      </c>
      <c r="AL849" s="416">
        <v>0</v>
      </c>
      <c r="AM849" s="416">
        <v>0</v>
      </c>
      <c r="AN849" s="416">
        <v>0</v>
      </c>
      <c r="AO849" s="416">
        <v>0</v>
      </c>
      <c r="AP849" s="416">
        <v>0</v>
      </c>
      <c r="AQ849" s="416">
        <v>0</v>
      </c>
      <c r="AR849" s="416">
        <v>0</v>
      </c>
      <c r="AS849" s="416">
        <v>0</v>
      </c>
      <c r="AT849" s="416">
        <v>0</v>
      </c>
      <c r="AU849" s="416">
        <v>0</v>
      </c>
      <c r="AV849" s="416">
        <v>0</v>
      </c>
      <c r="AW849" s="416">
        <v>0</v>
      </c>
      <c r="AX849" s="416">
        <v>0</v>
      </c>
      <c r="AY849" s="416">
        <v>0</v>
      </c>
      <c r="AZ849" s="416">
        <v>0</v>
      </c>
    </row>
    <row r="850" spans="1:52" s="411" customFormat="1" x14ac:dyDescent="0.3">
      <c r="A850" s="415" t="str">
        <f t="shared" si="13"/>
        <v>SA-240 Gr.302</v>
      </c>
      <c r="B850" s="415">
        <v>844</v>
      </c>
      <c r="C850" s="415" t="s">
        <v>3277</v>
      </c>
      <c r="D850" s="415" t="s">
        <v>2684</v>
      </c>
      <c r="E850" s="415" t="s">
        <v>2165</v>
      </c>
      <c r="F850" s="415">
        <v>302</v>
      </c>
      <c r="G850" s="415" t="s">
        <v>3300</v>
      </c>
      <c r="H850" s="415">
        <v>0</v>
      </c>
      <c r="I850" s="415">
        <v>0</v>
      </c>
      <c r="J850" s="415">
        <v>8</v>
      </c>
      <c r="K850" s="415">
        <v>1</v>
      </c>
      <c r="L850" s="415">
        <v>515</v>
      </c>
      <c r="M850" s="415">
        <v>205</v>
      </c>
      <c r="N850" s="415" t="s">
        <v>2675</v>
      </c>
      <c r="O850" s="415" t="s">
        <v>2675</v>
      </c>
      <c r="P850" s="415">
        <v>399</v>
      </c>
      <c r="Q850" s="415">
        <v>343</v>
      </c>
      <c r="R850" s="415" t="s">
        <v>3269</v>
      </c>
      <c r="S850" s="415">
        <v>0</v>
      </c>
      <c r="T850" s="416">
        <v>138</v>
      </c>
      <c r="U850" s="416">
        <v>138</v>
      </c>
      <c r="V850" s="416">
        <v>126</v>
      </c>
      <c r="W850" s="416">
        <v>113</v>
      </c>
      <c r="X850" s="416">
        <v>107</v>
      </c>
      <c r="Y850" s="416">
        <v>103</v>
      </c>
      <c r="Z850" s="416">
        <v>95.7</v>
      </c>
      <c r="AA850" s="416">
        <v>90</v>
      </c>
      <c r="AB850" s="416">
        <v>85.6</v>
      </c>
      <c r="AC850" s="416">
        <v>83.9</v>
      </c>
      <c r="AD850" s="416">
        <v>82.3</v>
      </c>
      <c r="AE850" s="416">
        <v>80.5</v>
      </c>
      <c r="AF850" s="416">
        <v>79.2</v>
      </c>
      <c r="AG850" s="416">
        <v>0</v>
      </c>
      <c r="AH850" s="416">
        <v>0</v>
      </c>
      <c r="AI850" s="416">
        <v>0</v>
      </c>
      <c r="AJ850" s="416">
        <v>0</v>
      </c>
      <c r="AK850" s="416">
        <v>0</v>
      </c>
      <c r="AL850" s="416">
        <v>0</v>
      </c>
      <c r="AM850" s="416">
        <v>0</v>
      </c>
      <c r="AN850" s="416">
        <v>0</v>
      </c>
      <c r="AO850" s="416">
        <v>0</v>
      </c>
      <c r="AP850" s="416">
        <v>0</v>
      </c>
      <c r="AQ850" s="416">
        <v>0</v>
      </c>
      <c r="AR850" s="416">
        <v>0</v>
      </c>
      <c r="AS850" s="416">
        <v>0</v>
      </c>
      <c r="AT850" s="416">
        <v>0</v>
      </c>
      <c r="AU850" s="416">
        <v>0</v>
      </c>
      <c r="AV850" s="416">
        <v>0</v>
      </c>
      <c r="AW850" s="416">
        <v>0</v>
      </c>
      <c r="AX850" s="416">
        <v>0</v>
      </c>
      <c r="AY850" s="416">
        <v>0</v>
      </c>
      <c r="AZ850" s="416">
        <v>0</v>
      </c>
    </row>
    <row r="851" spans="1:52" s="411" customFormat="1" x14ac:dyDescent="0.3">
      <c r="A851" s="415" t="str">
        <f t="shared" si="13"/>
        <v>SA-240 Gr.304</v>
      </c>
      <c r="B851" s="415">
        <v>845</v>
      </c>
      <c r="C851" s="415" t="s">
        <v>3277</v>
      </c>
      <c r="D851" s="415" t="s">
        <v>2684</v>
      </c>
      <c r="E851" s="415" t="s">
        <v>2165</v>
      </c>
      <c r="F851" s="415">
        <v>304</v>
      </c>
      <c r="G851" s="415" t="s">
        <v>3290</v>
      </c>
      <c r="H851" s="415">
        <v>0</v>
      </c>
      <c r="I851" s="415">
        <v>0</v>
      </c>
      <c r="J851" s="415">
        <v>8</v>
      </c>
      <c r="K851" s="415">
        <v>1</v>
      </c>
      <c r="L851" s="415">
        <v>515</v>
      </c>
      <c r="M851" s="415">
        <v>205</v>
      </c>
      <c r="N851" s="415">
        <v>816</v>
      </c>
      <c r="O851" s="415" t="s">
        <v>2675</v>
      </c>
      <c r="P851" s="415">
        <v>816</v>
      </c>
      <c r="Q851" s="415">
        <v>343</v>
      </c>
      <c r="R851" s="415" t="s">
        <v>3269</v>
      </c>
      <c r="S851" s="415" t="s">
        <v>3253</v>
      </c>
      <c r="T851" s="416">
        <v>138</v>
      </c>
      <c r="U851" s="416">
        <v>138</v>
      </c>
      <c r="V851" s="416">
        <v>126</v>
      </c>
      <c r="W851" s="416">
        <v>113</v>
      </c>
      <c r="X851" s="416">
        <v>107</v>
      </c>
      <c r="Y851" s="416">
        <v>103</v>
      </c>
      <c r="Z851" s="416">
        <v>95.7</v>
      </c>
      <c r="AA851" s="416">
        <v>89.9</v>
      </c>
      <c r="AB851" s="416">
        <v>85.9</v>
      </c>
      <c r="AC851" s="416">
        <v>84.1</v>
      </c>
      <c r="AD851" s="416">
        <v>82.2</v>
      </c>
      <c r="AE851" s="416">
        <v>80.5</v>
      </c>
      <c r="AF851" s="416">
        <v>79.2</v>
      </c>
      <c r="AG851" s="416">
        <v>77.3</v>
      </c>
      <c r="AH851" s="416">
        <v>76</v>
      </c>
      <c r="AI851" s="416">
        <v>74.8</v>
      </c>
      <c r="AJ851" s="416">
        <v>73.599999999999994</v>
      </c>
      <c r="AK851" s="416">
        <v>72.400000000000006</v>
      </c>
      <c r="AL851" s="416">
        <v>70.8</v>
      </c>
      <c r="AM851" s="416">
        <v>68.900000000000006</v>
      </c>
      <c r="AN851" s="416">
        <v>65.400000000000006</v>
      </c>
      <c r="AO851" s="416">
        <v>51.4</v>
      </c>
      <c r="AP851" s="416">
        <v>41.7</v>
      </c>
      <c r="AQ851" s="416">
        <v>32.9</v>
      </c>
      <c r="AR851" s="416">
        <v>26.5</v>
      </c>
      <c r="AS851" s="416">
        <v>21.3</v>
      </c>
      <c r="AT851" s="416">
        <v>17.2</v>
      </c>
      <c r="AU851" s="416">
        <v>13.9</v>
      </c>
      <c r="AV851" s="416">
        <v>11.1</v>
      </c>
      <c r="AW851" s="416">
        <v>8.73</v>
      </c>
      <c r="AX851" s="416">
        <v>0</v>
      </c>
      <c r="AY851" s="416">
        <v>0</v>
      </c>
      <c r="AZ851" s="416">
        <v>0</v>
      </c>
    </row>
    <row r="852" spans="1:52" s="411" customFormat="1" x14ac:dyDescent="0.3">
      <c r="A852" s="415" t="str">
        <f t="shared" si="13"/>
        <v>SA-240 Gr.304</v>
      </c>
      <c r="B852" s="415">
        <v>846</v>
      </c>
      <c r="C852" s="415" t="s">
        <v>3277</v>
      </c>
      <c r="D852" s="415" t="s">
        <v>2684</v>
      </c>
      <c r="E852" s="415" t="s">
        <v>2165</v>
      </c>
      <c r="F852" s="415">
        <v>304</v>
      </c>
      <c r="G852" s="415" t="s">
        <v>3290</v>
      </c>
      <c r="H852" s="415">
        <v>0</v>
      </c>
      <c r="I852" s="415">
        <v>0</v>
      </c>
      <c r="J852" s="415">
        <v>8</v>
      </c>
      <c r="K852" s="415">
        <v>1</v>
      </c>
      <c r="L852" s="415">
        <v>515</v>
      </c>
      <c r="M852" s="415">
        <v>205</v>
      </c>
      <c r="N852" s="415">
        <v>816</v>
      </c>
      <c r="O852" s="415">
        <v>427</v>
      </c>
      <c r="P852" s="415">
        <v>816</v>
      </c>
      <c r="Q852" s="415">
        <v>343</v>
      </c>
      <c r="R852" s="415" t="s">
        <v>3269</v>
      </c>
      <c r="S852" s="415" t="s">
        <v>3259</v>
      </c>
      <c r="T852" s="416">
        <v>138</v>
      </c>
      <c r="U852" s="416">
        <v>138</v>
      </c>
      <c r="V852" s="416">
        <v>138</v>
      </c>
      <c r="W852" s="416">
        <v>137</v>
      </c>
      <c r="X852" s="416">
        <v>134</v>
      </c>
      <c r="Y852" s="416">
        <v>130</v>
      </c>
      <c r="Z852" s="416">
        <v>126</v>
      </c>
      <c r="AA852" s="416">
        <v>122</v>
      </c>
      <c r="AB852" s="416">
        <v>116</v>
      </c>
      <c r="AC852" s="416">
        <v>114</v>
      </c>
      <c r="AD852" s="416">
        <v>111</v>
      </c>
      <c r="AE852" s="416">
        <v>109</v>
      </c>
      <c r="AF852" s="416">
        <v>107</v>
      </c>
      <c r="AG852" s="416">
        <v>105</v>
      </c>
      <c r="AH852" s="416">
        <v>103</v>
      </c>
      <c r="AI852" s="416">
        <v>101</v>
      </c>
      <c r="AJ852" s="416">
        <v>99.3</v>
      </c>
      <c r="AK852" s="416">
        <v>98</v>
      </c>
      <c r="AL852" s="416">
        <v>93.3</v>
      </c>
      <c r="AM852" s="416">
        <v>79.599999999999994</v>
      </c>
      <c r="AN852" s="416">
        <v>65.400000000000006</v>
      </c>
      <c r="AO852" s="416">
        <v>51.4</v>
      </c>
      <c r="AP852" s="416">
        <v>41.7</v>
      </c>
      <c r="AQ852" s="416">
        <v>32.9</v>
      </c>
      <c r="AR852" s="416">
        <v>26.5</v>
      </c>
      <c r="AS852" s="416">
        <v>21.3</v>
      </c>
      <c r="AT852" s="416">
        <v>17.2</v>
      </c>
      <c r="AU852" s="416">
        <v>13.9</v>
      </c>
      <c r="AV852" s="416">
        <v>11.1</v>
      </c>
      <c r="AW852" s="416">
        <v>8.73</v>
      </c>
      <c r="AX852" s="416">
        <v>0</v>
      </c>
      <c r="AY852" s="416">
        <v>0</v>
      </c>
      <c r="AZ852" s="416">
        <v>0</v>
      </c>
    </row>
    <row r="853" spans="1:52" s="411" customFormat="1" x14ac:dyDescent="0.3">
      <c r="A853" s="415" t="str">
        <f t="shared" si="13"/>
        <v>SA-240 Gr.304H</v>
      </c>
      <c r="B853" s="415">
        <v>847</v>
      </c>
      <c r="C853" s="415" t="s">
        <v>3277</v>
      </c>
      <c r="D853" s="415" t="s">
        <v>2684</v>
      </c>
      <c r="E853" s="415" t="s">
        <v>2165</v>
      </c>
      <c r="F853" s="415" t="s">
        <v>2244</v>
      </c>
      <c r="G853" s="415" t="s">
        <v>3291</v>
      </c>
      <c r="H853" s="415">
        <v>0</v>
      </c>
      <c r="I853" s="415">
        <v>0</v>
      </c>
      <c r="J853" s="415">
        <v>8</v>
      </c>
      <c r="K853" s="415">
        <v>1</v>
      </c>
      <c r="L853" s="415">
        <v>515</v>
      </c>
      <c r="M853" s="415">
        <v>205</v>
      </c>
      <c r="N853" s="415">
        <v>816</v>
      </c>
      <c r="O853" s="415">
        <v>427</v>
      </c>
      <c r="P853" s="415">
        <v>816</v>
      </c>
      <c r="Q853" s="415" t="s">
        <v>2675</v>
      </c>
      <c r="R853" s="415" t="s">
        <v>3269</v>
      </c>
      <c r="S853" s="415" t="s">
        <v>3292</v>
      </c>
      <c r="T853" s="416">
        <v>138</v>
      </c>
      <c r="U853" s="416">
        <v>138</v>
      </c>
      <c r="V853" s="416">
        <v>138</v>
      </c>
      <c r="W853" s="416">
        <v>137</v>
      </c>
      <c r="X853" s="416">
        <v>134</v>
      </c>
      <c r="Y853" s="416">
        <v>130</v>
      </c>
      <c r="Z853" s="416">
        <v>126</v>
      </c>
      <c r="AA853" s="416">
        <v>122</v>
      </c>
      <c r="AB853" s="416">
        <v>116</v>
      </c>
      <c r="AC853" s="416">
        <v>114</v>
      </c>
      <c r="AD853" s="416">
        <v>111</v>
      </c>
      <c r="AE853" s="416">
        <v>109</v>
      </c>
      <c r="AF853" s="416">
        <v>107</v>
      </c>
      <c r="AG853" s="416">
        <v>105</v>
      </c>
      <c r="AH853" s="416">
        <v>103</v>
      </c>
      <c r="AI853" s="416">
        <v>101</v>
      </c>
      <c r="AJ853" s="416">
        <v>99.3</v>
      </c>
      <c r="AK853" s="416">
        <v>98</v>
      </c>
      <c r="AL853" s="416">
        <v>93.3</v>
      </c>
      <c r="AM853" s="416">
        <v>79.599999999999994</v>
      </c>
      <c r="AN853" s="416">
        <v>65.400000000000006</v>
      </c>
      <c r="AO853" s="416">
        <v>51.4</v>
      </c>
      <c r="AP853" s="416">
        <v>41.7</v>
      </c>
      <c r="AQ853" s="416">
        <v>32.9</v>
      </c>
      <c r="AR853" s="416">
        <v>26.5</v>
      </c>
      <c r="AS853" s="416">
        <v>21.3</v>
      </c>
      <c r="AT853" s="416">
        <v>17.2</v>
      </c>
      <c r="AU853" s="416">
        <v>13.9</v>
      </c>
      <c r="AV853" s="416">
        <v>11.1</v>
      </c>
      <c r="AW853" s="416">
        <v>8.73</v>
      </c>
      <c r="AX853" s="416">
        <v>0</v>
      </c>
      <c r="AY853" s="416">
        <v>0</v>
      </c>
      <c r="AZ853" s="416">
        <v>0</v>
      </c>
    </row>
    <row r="854" spans="1:52" s="411" customFormat="1" x14ac:dyDescent="0.3">
      <c r="A854" s="415" t="str">
        <f t="shared" si="13"/>
        <v>SA-240 Gr.304H</v>
      </c>
      <c r="B854" s="415">
        <v>848</v>
      </c>
      <c r="C854" s="415" t="s">
        <v>3277</v>
      </c>
      <c r="D854" s="415" t="s">
        <v>2684</v>
      </c>
      <c r="E854" s="415" t="s">
        <v>2165</v>
      </c>
      <c r="F854" s="415" t="s">
        <v>2244</v>
      </c>
      <c r="G854" s="415" t="s">
        <v>3291</v>
      </c>
      <c r="H854" s="415">
        <v>0</v>
      </c>
      <c r="I854" s="415">
        <v>0</v>
      </c>
      <c r="J854" s="415">
        <v>8</v>
      </c>
      <c r="K854" s="415">
        <v>1</v>
      </c>
      <c r="L854" s="415">
        <v>515</v>
      </c>
      <c r="M854" s="415">
        <v>205</v>
      </c>
      <c r="N854" s="415">
        <v>816</v>
      </c>
      <c r="O854" s="415" t="s">
        <v>2675</v>
      </c>
      <c r="P854" s="415">
        <v>816</v>
      </c>
      <c r="Q854" s="415" t="s">
        <v>2675</v>
      </c>
      <c r="R854" s="415" t="s">
        <v>3269</v>
      </c>
      <c r="S854" s="415" t="s">
        <v>3293</v>
      </c>
      <c r="T854" s="416">
        <v>138</v>
      </c>
      <c r="U854" s="416">
        <v>138</v>
      </c>
      <c r="V854" s="416">
        <v>126</v>
      </c>
      <c r="W854" s="416">
        <v>113</v>
      </c>
      <c r="X854" s="416">
        <v>107</v>
      </c>
      <c r="Y854" s="416">
        <v>103</v>
      </c>
      <c r="Z854" s="416">
        <v>95.7</v>
      </c>
      <c r="AA854" s="416">
        <v>89.9</v>
      </c>
      <c r="AB854" s="416">
        <v>85.9</v>
      </c>
      <c r="AC854" s="416">
        <v>84.1</v>
      </c>
      <c r="AD854" s="416">
        <v>82.2</v>
      </c>
      <c r="AE854" s="416">
        <v>80.5</v>
      </c>
      <c r="AF854" s="416">
        <v>79.2</v>
      </c>
      <c r="AG854" s="416">
        <v>77.3</v>
      </c>
      <c r="AH854" s="416">
        <v>76</v>
      </c>
      <c r="AI854" s="416">
        <v>74.8</v>
      </c>
      <c r="AJ854" s="416">
        <v>73.599999999999994</v>
      </c>
      <c r="AK854" s="416">
        <v>72.400000000000006</v>
      </c>
      <c r="AL854" s="416">
        <v>70.8</v>
      </c>
      <c r="AM854" s="416">
        <v>68.900000000000006</v>
      </c>
      <c r="AN854" s="416">
        <v>65.400000000000006</v>
      </c>
      <c r="AO854" s="416">
        <v>51.4</v>
      </c>
      <c r="AP854" s="416">
        <v>41.7</v>
      </c>
      <c r="AQ854" s="416">
        <v>32.9</v>
      </c>
      <c r="AR854" s="416">
        <v>26.5</v>
      </c>
      <c r="AS854" s="416">
        <v>21.3</v>
      </c>
      <c r="AT854" s="416">
        <v>17.2</v>
      </c>
      <c r="AU854" s="416">
        <v>13.9</v>
      </c>
      <c r="AV854" s="416">
        <v>11.1</v>
      </c>
      <c r="AW854" s="416">
        <v>8.73</v>
      </c>
      <c r="AX854" s="416">
        <v>0</v>
      </c>
      <c r="AY854" s="416">
        <v>0</v>
      </c>
      <c r="AZ854" s="416">
        <v>0</v>
      </c>
    </row>
    <row r="855" spans="1:52" s="411" customFormat="1" x14ac:dyDescent="0.3">
      <c r="A855" s="415" t="str">
        <f t="shared" si="13"/>
        <v>SA-249 Gr.TP304</v>
      </c>
      <c r="B855" s="415">
        <v>849</v>
      </c>
      <c r="C855" s="415" t="s">
        <v>3277</v>
      </c>
      <c r="D855" s="415" t="s">
        <v>2689</v>
      </c>
      <c r="E855" s="415" t="s">
        <v>2200</v>
      </c>
      <c r="F855" s="415" t="s">
        <v>2555</v>
      </c>
      <c r="G855" s="415" t="s">
        <v>3290</v>
      </c>
      <c r="H855" s="415">
        <v>0</v>
      </c>
      <c r="I855" s="415">
        <v>0</v>
      </c>
      <c r="J855" s="415">
        <v>8</v>
      </c>
      <c r="K855" s="415">
        <v>1</v>
      </c>
      <c r="L855" s="415">
        <v>515</v>
      </c>
      <c r="M855" s="415">
        <v>205</v>
      </c>
      <c r="N855" s="415">
        <v>816</v>
      </c>
      <c r="O855" s="415" t="s">
        <v>2675</v>
      </c>
      <c r="P855" s="415" t="s">
        <v>2675</v>
      </c>
      <c r="Q855" s="415" t="s">
        <v>2675</v>
      </c>
      <c r="R855" s="415" t="s">
        <v>3269</v>
      </c>
      <c r="S855" s="415" t="s">
        <v>3255</v>
      </c>
      <c r="T855" s="416">
        <v>138</v>
      </c>
      <c r="U855" s="416">
        <v>138</v>
      </c>
      <c r="V855" s="416">
        <v>126</v>
      </c>
      <c r="W855" s="416">
        <v>113</v>
      </c>
      <c r="X855" s="416">
        <v>107</v>
      </c>
      <c r="Y855" s="416">
        <v>103</v>
      </c>
      <c r="Z855" s="416">
        <v>95.7</v>
      </c>
      <c r="AA855" s="416">
        <v>89.9</v>
      </c>
      <c r="AB855" s="416">
        <v>85.9</v>
      </c>
      <c r="AC855" s="416">
        <v>84.1</v>
      </c>
      <c r="AD855" s="416">
        <v>82.2</v>
      </c>
      <c r="AE855" s="416">
        <v>80.5</v>
      </c>
      <c r="AF855" s="416">
        <v>79.2</v>
      </c>
      <c r="AG855" s="416">
        <v>77.3</v>
      </c>
      <c r="AH855" s="416">
        <v>76</v>
      </c>
      <c r="AI855" s="416">
        <v>74.8</v>
      </c>
      <c r="AJ855" s="416">
        <v>73.599999999999994</v>
      </c>
      <c r="AK855" s="416">
        <v>72.400000000000006</v>
      </c>
      <c r="AL855" s="416">
        <v>70.8</v>
      </c>
      <c r="AM855" s="416">
        <v>68.900000000000006</v>
      </c>
      <c r="AN855" s="416">
        <v>65.400000000000006</v>
      </c>
      <c r="AO855" s="416">
        <v>51.4</v>
      </c>
      <c r="AP855" s="416">
        <v>41.7</v>
      </c>
      <c r="AQ855" s="416">
        <v>32.9</v>
      </c>
      <c r="AR855" s="416">
        <v>26.5</v>
      </c>
      <c r="AS855" s="416">
        <v>21.3</v>
      </c>
      <c r="AT855" s="416">
        <v>17.2</v>
      </c>
      <c r="AU855" s="416">
        <v>13.9</v>
      </c>
      <c r="AV855" s="416">
        <v>11.1</v>
      </c>
      <c r="AW855" s="416">
        <v>8.73</v>
      </c>
      <c r="AX855" s="416">
        <v>0</v>
      </c>
      <c r="AY855" s="416">
        <v>0</v>
      </c>
      <c r="AZ855" s="416">
        <v>0</v>
      </c>
    </row>
    <row r="856" spans="1:52" s="411" customFormat="1" x14ac:dyDescent="0.3">
      <c r="A856" s="415" t="str">
        <f t="shared" si="13"/>
        <v>SA-249 Gr.TP304</v>
      </c>
      <c r="B856" s="415">
        <v>850</v>
      </c>
      <c r="C856" s="415" t="s">
        <v>3277</v>
      </c>
      <c r="D856" s="415" t="s">
        <v>2689</v>
      </c>
      <c r="E856" s="415" t="s">
        <v>2200</v>
      </c>
      <c r="F856" s="415" t="s">
        <v>2555</v>
      </c>
      <c r="G856" s="415" t="s">
        <v>3290</v>
      </c>
      <c r="H856" s="415">
        <v>0</v>
      </c>
      <c r="I856" s="415">
        <v>0</v>
      </c>
      <c r="J856" s="415">
        <v>8</v>
      </c>
      <c r="K856" s="415">
        <v>1</v>
      </c>
      <c r="L856" s="415">
        <v>515</v>
      </c>
      <c r="M856" s="415">
        <v>205</v>
      </c>
      <c r="N856" s="415">
        <v>816</v>
      </c>
      <c r="O856" s="415">
        <v>427</v>
      </c>
      <c r="P856" s="415" t="s">
        <v>2675</v>
      </c>
      <c r="Q856" s="415" t="s">
        <v>2675</v>
      </c>
      <c r="R856" s="415" t="s">
        <v>3269</v>
      </c>
      <c r="S856" s="415" t="s">
        <v>3301</v>
      </c>
      <c r="T856" s="416">
        <v>138</v>
      </c>
      <c r="U856" s="416">
        <v>138</v>
      </c>
      <c r="V856" s="416">
        <v>138</v>
      </c>
      <c r="W856" s="416">
        <v>137</v>
      </c>
      <c r="X856" s="416">
        <v>134</v>
      </c>
      <c r="Y856" s="416">
        <v>130</v>
      </c>
      <c r="Z856" s="416">
        <v>126</v>
      </c>
      <c r="AA856" s="416">
        <v>122</v>
      </c>
      <c r="AB856" s="416">
        <v>116</v>
      </c>
      <c r="AC856" s="416">
        <v>114</v>
      </c>
      <c r="AD856" s="416">
        <v>111</v>
      </c>
      <c r="AE856" s="416">
        <v>109</v>
      </c>
      <c r="AF856" s="416">
        <v>107</v>
      </c>
      <c r="AG856" s="416">
        <v>105</v>
      </c>
      <c r="AH856" s="416">
        <v>103</v>
      </c>
      <c r="AI856" s="416">
        <v>101</v>
      </c>
      <c r="AJ856" s="416">
        <v>99.3</v>
      </c>
      <c r="AK856" s="416">
        <v>98</v>
      </c>
      <c r="AL856" s="416">
        <v>93.3</v>
      </c>
      <c r="AM856" s="416">
        <v>79.599999999999994</v>
      </c>
      <c r="AN856" s="416">
        <v>65.400000000000006</v>
      </c>
      <c r="AO856" s="416">
        <v>51.4</v>
      </c>
      <c r="AP856" s="416">
        <v>41.7</v>
      </c>
      <c r="AQ856" s="416">
        <v>32.9</v>
      </c>
      <c r="AR856" s="416">
        <v>26.5</v>
      </c>
      <c r="AS856" s="416">
        <v>21.3</v>
      </c>
      <c r="AT856" s="416">
        <v>17.2</v>
      </c>
      <c r="AU856" s="416">
        <v>13.9</v>
      </c>
      <c r="AV856" s="416">
        <v>11.1</v>
      </c>
      <c r="AW856" s="416">
        <v>8.73</v>
      </c>
      <c r="AX856" s="416">
        <v>0</v>
      </c>
      <c r="AY856" s="416">
        <v>0</v>
      </c>
      <c r="AZ856" s="416">
        <v>0</v>
      </c>
    </row>
    <row r="857" spans="1:52" s="411" customFormat="1" x14ac:dyDescent="0.3">
      <c r="A857" s="415" t="str">
        <f t="shared" si="13"/>
        <v>SA-249 Gr.TP304</v>
      </c>
      <c r="B857" s="415">
        <v>851</v>
      </c>
      <c r="C857" s="415" t="s">
        <v>3277</v>
      </c>
      <c r="D857" s="415" t="s">
        <v>2689</v>
      </c>
      <c r="E857" s="415" t="s">
        <v>2200</v>
      </c>
      <c r="F857" s="415" t="s">
        <v>2555</v>
      </c>
      <c r="G857" s="415" t="s">
        <v>3290</v>
      </c>
      <c r="H857" s="415">
        <v>0</v>
      </c>
      <c r="I857" s="415">
        <v>0</v>
      </c>
      <c r="J857" s="415">
        <v>8</v>
      </c>
      <c r="K857" s="415">
        <v>1</v>
      </c>
      <c r="L857" s="415">
        <v>515</v>
      </c>
      <c r="M857" s="415">
        <v>205</v>
      </c>
      <c r="N857" s="415">
        <v>816</v>
      </c>
      <c r="O857" s="415" t="s">
        <v>2675</v>
      </c>
      <c r="P857" s="415">
        <v>816</v>
      </c>
      <c r="Q857" s="415">
        <v>343</v>
      </c>
      <c r="R857" s="415" t="s">
        <v>3269</v>
      </c>
      <c r="S857" s="415" t="s">
        <v>3227</v>
      </c>
      <c r="T857" s="416">
        <v>117</v>
      </c>
      <c r="U857" s="416">
        <v>117</v>
      </c>
      <c r="V857" s="416">
        <v>117</v>
      </c>
      <c r="W857" s="416">
        <v>117</v>
      </c>
      <c r="X857" s="416">
        <v>114</v>
      </c>
      <c r="Y857" s="416">
        <v>111</v>
      </c>
      <c r="Z857" s="416">
        <v>107</v>
      </c>
      <c r="AA857" s="416">
        <v>103</v>
      </c>
      <c r="AB857" s="416">
        <v>98.5</v>
      </c>
      <c r="AC857" s="416">
        <v>96.5</v>
      </c>
      <c r="AD857" s="416">
        <v>94.7</v>
      </c>
      <c r="AE857" s="416">
        <v>92.8</v>
      </c>
      <c r="AF857" s="416">
        <v>90.9</v>
      </c>
      <c r="AG857" s="416">
        <v>89.1</v>
      </c>
      <c r="AH857" s="416">
        <v>87.1</v>
      </c>
      <c r="AI857" s="416">
        <v>85.9</v>
      </c>
      <c r="AJ857" s="416">
        <v>84</v>
      </c>
      <c r="AK857" s="416">
        <v>83.2</v>
      </c>
      <c r="AL857" s="416">
        <v>79</v>
      </c>
      <c r="AM857" s="416">
        <v>67.3</v>
      </c>
      <c r="AN857" s="416">
        <v>55.4</v>
      </c>
      <c r="AO857" s="416">
        <v>44.1</v>
      </c>
      <c r="AP857" s="416">
        <v>35.5</v>
      </c>
      <c r="AQ857" s="416">
        <v>28</v>
      </c>
      <c r="AR857" s="416">
        <v>22.2</v>
      </c>
      <c r="AS857" s="416">
        <v>18.2</v>
      </c>
      <c r="AT857" s="416">
        <v>15</v>
      </c>
      <c r="AU857" s="416">
        <v>12.3</v>
      </c>
      <c r="AV857" s="416">
        <v>9.83</v>
      </c>
      <c r="AW857" s="416">
        <v>7.33</v>
      </c>
      <c r="AX857" s="416">
        <v>0</v>
      </c>
      <c r="AY857" s="416">
        <v>0</v>
      </c>
      <c r="AZ857" s="416">
        <v>0</v>
      </c>
    </row>
    <row r="858" spans="1:52" s="411" customFormat="1" x14ac:dyDescent="0.3">
      <c r="A858" s="415" t="str">
        <f t="shared" si="13"/>
        <v>SA-249 Gr.TP304</v>
      </c>
      <c r="B858" s="415">
        <v>852</v>
      </c>
      <c r="C858" s="415" t="s">
        <v>3277</v>
      </c>
      <c r="D858" s="415" t="s">
        <v>2689</v>
      </c>
      <c r="E858" s="415" t="s">
        <v>2200</v>
      </c>
      <c r="F858" s="415" t="s">
        <v>2555</v>
      </c>
      <c r="G858" s="415" t="s">
        <v>3290</v>
      </c>
      <c r="H858" s="415">
        <v>0</v>
      </c>
      <c r="I858" s="415">
        <v>0</v>
      </c>
      <c r="J858" s="415">
        <v>8</v>
      </c>
      <c r="K858" s="415">
        <v>1</v>
      </c>
      <c r="L858" s="415">
        <v>515</v>
      </c>
      <c r="M858" s="415">
        <v>205</v>
      </c>
      <c r="N858" s="415">
        <v>816</v>
      </c>
      <c r="O858" s="415" t="s">
        <v>2675</v>
      </c>
      <c r="P858" s="415">
        <v>816</v>
      </c>
      <c r="Q858" s="415">
        <v>343</v>
      </c>
      <c r="R858" s="415" t="s">
        <v>3269</v>
      </c>
      <c r="S858" s="415" t="s">
        <v>3256</v>
      </c>
      <c r="T858" s="416">
        <v>117</v>
      </c>
      <c r="U858" s="416">
        <v>117</v>
      </c>
      <c r="V858" s="416">
        <v>107</v>
      </c>
      <c r="W858" s="416">
        <v>96.2</v>
      </c>
      <c r="X858" s="416">
        <v>91.2</v>
      </c>
      <c r="Y858" s="416">
        <v>87.4</v>
      </c>
      <c r="Z858" s="416">
        <v>81.099999999999994</v>
      </c>
      <c r="AA858" s="416">
        <v>76.599999999999994</v>
      </c>
      <c r="AB858" s="416">
        <v>72.7</v>
      </c>
      <c r="AC858" s="416">
        <v>71.2</v>
      </c>
      <c r="AD858" s="416">
        <v>70</v>
      </c>
      <c r="AE858" s="416">
        <v>68.8</v>
      </c>
      <c r="AF858" s="416">
        <v>67.5</v>
      </c>
      <c r="AG858" s="416">
        <v>66.3</v>
      </c>
      <c r="AH858" s="416">
        <v>65</v>
      </c>
      <c r="AI858" s="416">
        <v>63.8</v>
      </c>
      <c r="AJ858" s="416">
        <v>62.6</v>
      </c>
      <c r="AK858" s="416">
        <v>61.3</v>
      </c>
      <c r="AL858" s="416">
        <v>60.1</v>
      </c>
      <c r="AM858" s="416">
        <v>58.6</v>
      </c>
      <c r="AN858" s="416">
        <v>55.4</v>
      </c>
      <c r="AO858" s="416">
        <v>44.1</v>
      </c>
      <c r="AP858" s="416">
        <v>35.5</v>
      </c>
      <c r="AQ858" s="416">
        <v>28</v>
      </c>
      <c r="AR858" s="416">
        <v>22.2</v>
      </c>
      <c r="AS858" s="416">
        <v>18.2</v>
      </c>
      <c r="AT858" s="416">
        <v>15</v>
      </c>
      <c r="AU858" s="416">
        <v>12.3</v>
      </c>
      <c r="AV858" s="416">
        <v>9.83</v>
      </c>
      <c r="AW858" s="416">
        <v>7.33</v>
      </c>
      <c r="AX858" s="416">
        <v>0</v>
      </c>
      <c r="AY858" s="416">
        <v>0</v>
      </c>
      <c r="AZ858" s="416">
        <v>0</v>
      </c>
    </row>
    <row r="859" spans="1:52" s="411" customFormat="1" x14ac:dyDescent="0.3">
      <c r="A859" s="415" t="str">
        <f t="shared" si="13"/>
        <v>SA-249 Gr.TP304H</v>
      </c>
      <c r="B859" s="415">
        <v>853</v>
      </c>
      <c r="C859" s="415" t="s">
        <v>3277</v>
      </c>
      <c r="D859" s="415" t="s">
        <v>2689</v>
      </c>
      <c r="E859" s="415" t="s">
        <v>2200</v>
      </c>
      <c r="F859" s="415" t="s">
        <v>2556</v>
      </c>
      <c r="G859" s="415" t="s">
        <v>3291</v>
      </c>
      <c r="H859" s="415">
        <v>0</v>
      </c>
      <c r="I859" s="415">
        <v>0</v>
      </c>
      <c r="J859" s="415">
        <v>8</v>
      </c>
      <c r="K859" s="415">
        <v>1</v>
      </c>
      <c r="L859" s="415">
        <v>515</v>
      </c>
      <c r="M859" s="415">
        <v>205</v>
      </c>
      <c r="N859" s="415">
        <v>816</v>
      </c>
      <c r="O859" s="415" t="s">
        <v>2675</v>
      </c>
      <c r="P859" s="415" t="s">
        <v>2675</v>
      </c>
      <c r="Q859" s="415" t="s">
        <v>2675</v>
      </c>
      <c r="R859" s="415" t="s">
        <v>3269</v>
      </c>
      <c r="S859" s="415" t="s">
        <v>3302</v>
      </c>
      <c r="T859" s="416">
        <v>138</v>
      </c>
      <c r="U859" s="416">
        <v>138</v>
      </c>
      <c r="V859" s="416">
        <v>126</v>
      </c>
      <c r="W859" s="416">
        <v>113</v>
      </c>
      <c r="X859" s="416">
        <v>107</v>
      </c>
      <c r="Y859" s="416">
        <v>103</v>
      </c>
      <c r="Z859" s="416">
        <v>95.7</v>
      </c>
      <c r="AA859" s="416">
        <v>89.9</v>
      </c>
      <c r="AB859" s="416">
        <v>85.9</v>
      </c>
      <c r="AC859" s="416">
        <v>84.1</v>
      </c>
      <c r="AD859" s="416">
        <v>82.2</v>
      </c>
      <c r="AE859" s="416">
        <v>80.5</v>
      </c>
      <c r="AF859" s="416">
        <v>79.2</v>
      </c>
      <c r="AG859" s="416">
        <v>77.3</v>
      </c>
      <c r="AH859" s="416">
        <v>76</v>
      </c>
      <c r="AI859" s="416">
        <v>74.8</v>
      </c>
      <c r="AJ859" s="416">
        <v>73.599999999999994</v>
      </c>
      <c r="AK859" s="416">
        <v>72.400000000000006</v>
      </c>
      <c r="AL859" s="416">
        <v>70.8</v>
      </c>
      <c r="AM859" s="416">
        <v>68.900000000000006</v>
      </c>
      <c r="AN859" s="416">
        <v>65.400000000000006</v>
      </c>
      <c r="AO859" s="416">
        <v>51.4</v>
      </c>
      <c r="AP859" s="416">
        <v>41.7</v>
      </c>
      <c r="AQ859" s="416">
        <v>32.9</v>
      </c>
      <c r="AR859" s="416">
        <v>26.5</v>
      </c>
      <c r="AS859" s="416">
        <v>21.3</v>
      </c>
      <c r="AT859" s="416">
        <v>17.2</v>
      </c>
      <c r="AU859" s="416">
        <v>13.9</v>
      </c>
      <c r="AV859" s="416">
        <v>11.1</v>
      </c>
      <c r="AW859" s="416">
        <v>8.73</v>
      </c>
      <c r="AX859" s="416">
        <v>0</v>
      </c>
      <c r="AY859" s="416">
        <v>0</v>
      </c>
      <c r="AZ859" s="416">
        <v>0</v>
      </c>
    </row>
    <row r="860" spans="1:52" s="411" customFormat="1" x14ac:dyDescent="0.3">
      <c r="A860" s="415" t="str">
        <f t="shared" si="13"/>
        <v>SA-249 Gr.TP304H</v>
      </c>
      <c r="B860" s="415">
        <v>854</v>
      </c>
      <c r="C860" s="415" t="s">
        <v>3277</v>
      </c>
      <c r="D860" s="415" t="s">
        <v>2689</v>
      </c>
      <c r="E860" s="415" t="s">
        <v>2200</v>
      </c>
      <c r="F860" s="415" t="s">
        <v>2556</v>
      </c>
      <c r="G860" s="415" t="s">
        <v>3291</v>
      </c>
      <c r="H860" s="415">
        <v>0</v>
      </c>
      <c r="I860" s="415">
        <v>0</v>
      </c>
      <c r="J860" s="415">
        <v>8</v>
      </c>
      <c r="K860" s="415">
        <v>1</v>
      </c>
      <c r="L860" s="415">
        <v>515</v>
      </c>
      <c r="M860" s="415">
        <v>205</v>
      </c>
      <c r="N860" s="415">
        <v>816</v>
      </c>
      <c r="O860" s="415">
        <v>427</v>
      </c>
      <c r="P860" s="415" t="s">
        <v>2675</v>
      </c>
      <c r="Q860" s="415" t="s">
        <v>2675</v>
      </c>
      <c r="R860" s="415" t="s">
        <v>3269</v>
      </c>
      <c r="S860" s="415" t="s">
        <v>3303</v>
      </c>
      <c r="T860" s="416">
        <v>138</v>
      </c>
      <c r="U860" s="416">
        <v>138</v>
      </c>
      <c r="V860" s="416">
        <v>138</v>
      </c>
      <c r="W860" s="416">
        <v>137</v>
      </c>
      <c r="X860" s="416">
        <v>134</v>
      </c>
      <c r="Y860" s="416">
        <v>130</v>
      </c>
      <c r="Z860" s="416">
        <v>126</v>
      </c>
      <c r="AA860" s="416">
        <v>122</v>
      </c>
      <c r="AB860" s="416">
        <v>116</v>
      </c>
      <c r="AC860" s="416">
        <v>114</v>
      </c>
      <c r="AD860" s="416">
        <v>111</v>
      </c>
      <c r="AE860" s="416">
        <v>109</v>
      </c>
      <c r="AF860" s="416">
        <v>107</v>
      </c>
      <c r="AG860" s="416">
        <v>105</v>
      </c>
      <c r="AH860" s="416">
        <v>103</v>
      </c>
      <c r="AI860" s="416">
        <v>101</v>
      </c>
      <c r="AJ860" s="416">
        <v>99.3</v>
      </c>
      <c r="AK860" s="416">
        <v>98</v>
      </c>
      <c r="AL860" s="416">
        <v>93.3</v>
      </c>
      <c r="AM860" s="416">
        <v>79.599999999999994</v>
      </c>
      <c r="AN860" s="416">
        <v>65.400000000000006</v>
      </c>
      <c r="AO860" s="416">
        <v>51.4</v>
      </c>
      <c r="AP860" s="416">
        <v>41.7</v>
      </c>
      <c r="AQ860" s="416">
        <v>32.9</v>
      </c>
      <c r="AR860" s="416">
        <v>26.5</v>
      </c>
      <c r="AS860" s="416">
        <v>21.3</v>
      </c>
      <c r="AT860" s="416">
        <v>17.2</v>
      </c>
      <c r="AU860" s="416">
        <v>13.9</v>
      </c>
      <c r="AV860" s="416">
        <v>11.1</v>
      </c>
      <c r="AW860" s="416">
        <v>8.73</v>
      </c>
      <c r="AX860" s="416">
        <v>0</v>
      </c>
      <c r="AY860" s="416">
        <v>0</v>
      </c>
      <c r="AZ860" s="416">
        <v>0</v>
      </c>
    </row>
    <row r="861" spans="1:52" s="411" customFormat="1" x14ac:dyDescent="0.3">
      <c r="A861" s="415" t="str">
        <f t="shared" si="13"/>
        <v>SA-249 Gr.TP304H</v>
      </c>
      <c r="B861" s="415">
        <v>855</v>
      </c>
      <c r="C861" s="415" t="s">
        <v>3277</v>
      </c>
      <c r="D861" s="415" t="s">
        <v>2689</v>
      </c>
      <c r="E861" s="415" t="s">
        <v>2200</v>
      </c>
      <c r="F861" s="415" t="s">
        <v>2556</v>
      </c>
      <c r="G861" s="415" t="s">
        <v>3291</v>
      </c>
      <c r="H861" s="415">
        <v>0</v>
      </c>
      <c r="I861" s="415">
        <v>0</v>
      </c>
      <c r="J861" s="415">
        <v>8</v>
      </c>
      <c r="K861" s="415">
        <v>1</v>
      </c>
      <c r="L861" s="415">
        <v>515</v>
      </c>
      <c r="M861" s="415">
        <v>205</v>
      </c>
      <c r="N861" s="415">
        <v>816</v>
      </c>
      <c r="O861" s="415" t="s">
        <v>2675</v>
      </c>
      <c r="P861" s="415">
        <v>816</v>
      </c>
      <c r="Q861" s="415" t="s">
        <v>2675</v>
      </c>
      <c r="R861" s="415" t="s">
        <v>3269</v>
      </c>
      <c r="S861" s="415" t="s">
        <v>3241</v>
      </c>
      <c r="T861" s="416">
        <v>117</v>
      </c>
      <c r="U861" s="416">
        <v>117</v>
      </c>
      <c r="V861" s="416">
        <v>117</v>
      </c>
      <c r="W861" s="416">
        <v>117</v>
      </c>
      <c r="X861" s="416">
        <v>114</v>
      </c>
      <c r="Y861" s="416">
        <v>111</v>
      </c>
      <c r="Z861" s="416">
        <v>107</v>
      </c>
      <c r="AA861" s="416">
        <v>103</v>
      </c>
      <c r="AB861" s="416">
        <v>98.5</v>
      </c>
      <c r="AC861" s="416">
        <v>96.5</v>
      </c>
      <c r="AD861" s="416">
        <v>94.7</v>
      </c>
      <c r="AE861" s="416">
        <v>92.8</v>
      </c>
      <c r="AF861" s="416">
        <v>90.9</v>
      </c>
      <c r="AG861" s="416">
        <v>89.1</v>
      </c>
      <c r="AH861" s="416">
        <v>87.1</v>
      </c>
      <c r="AI861" s="416">
        <v>85.9</v>
      </c>
      <c r="AJ861" s="416">
        <v>84</v>
      </c>
      <c r="AK861" s="416">
        <v>83.2</v>
      </c>
      <c r="AL861" s="416">
        <v>79</v>
      </c>
      <c r="AM861" s="416">
        <v>67.3</v>
      </c>
      <c r="AN861" s="416">
        <v>55.4</v>
      </c>
      <c r="AO861" s="416">
        <v>44.1</v>
      </c>
      <c r="AP861" s="416">
        <v>35.5</v>
      </c>
      <c r="AQ861" s="416">
        <v>28</v>
      </c>
      <c r="AR861" s="416">
        <v>22.2</v>
      </c>
      <c r="AS861" s="416">
        <v>18.2</v>
      </c>
      <c r="AT861" s="416">
        <v>15</v>
      </c>
      <c r="AU861" s="416">
        <v>12.3</v>
      </c>
      <c r="AV861" s="416">
        <v>9.83</v>
      </c>
      <c r="AW861" s="416">
        <v>7.33</v>
      </c>
      <c r="AX861" s="416">
        <v>0</v>
      </c>
      <c r="AY861" s="416">
        <v>0</v>
      </c>
      <c r="AZ861" s="416">
        <v>0</v>
      </c>
    </row>
    <row r="862" spans="1:52" s="411" customFormat="1" x14ac:dyDescent="0.3">
      <c r="A862" s="415" t="str">
        <f t="shared" si="13"/>
        <v>SA-249 Gr.TP304H</v>
      </c>
      <c r="B862" s="415">
        <v>856</v>
      </c>
      <c r="C862" s="415" t="s">
        <v>3277</v>
      </c>
      <c r="D862" s="415" t="s">
        <v>2689</v>
      </c>
      <c r="E862" s="415" t="s">
        <v>2200</v>
      </c>
      <c r="F862" s="415" t="s">
        <v>2556</v>
      </c>
      <c r="G862" s="415" t="s">
        <v>3291</v>
      </c>
      <c r="H862" s="415">
        <v>0</v>
      </c>
      <c r="I862" s="415">
        <v>0</v>
      </c>
      <c r="J862" s="415">
        <v>8</v>
      </c>
      <c r="K862" s="415">
        <v>1</v>
      </c>
      <c r="L862" s="415">
        <v>515</v>
      </c>
      <c r="M862" s="415">
        <v>205</v>
      </c>
      <c r="N862" s="415">
        <v>816</v>
      </c>
      <c r="O862" s="415" t="s">
        <v>2675</v>
      </c>
      <c r="P862" s="415">
        <v>816</v>
      </c>
      <c r="Q862" s="415" t="s">
        <v>2675</v>
      </c>
      <c r="R862" s="415" t="s">
        <v>3269</v>
      </c>
      <c r="S862" s="415" t="s">
        <v>3304</v>
      </c>
      <c r="T862" s="416">
        <v>117</v>
      </c>
      <c r="U862" s="416">
        <v>117</v>
      </c>
      <c r="V862" s="416">
        <v>107</v>
      </c>
      <c r="W862" s="416">
        <v>96.2</v>
      </c>
      <c r="X862" s="416">
        <v>91.2</v>
      </c>
      <c r="Y862" s="416">
        <v>87.4</v>
      </c>
      <c r="Z862" s="416">
        <v>81.099999999999994</v>
      </c>
      <c r="AA862" s="416">
        <v>76.599999999999994</v>
      </c>
      <c r="AB862" s="416">
        <v>72.7</v>
      </c>
      <c r="AC862" s="416">
        <v>71.2</v>
      </c>
      <c r="AD862" s="416">
        <v>70</v>
      </c>
      <c r="AE862" s="416">
        <v>68.8</v>
      </c>
      <c r="AF862" s="416">
        <v>67.5</v>
      </c>
      <c r="AG862" s="416">
        <v>66.3</v>
      </c>
      <c r="AH862" s="416">
        <v>65</v>
      </c>
      <c r="AI862" s="416">
        <v>63.8</v>
      </c>
      <c r="AJ862" s="416">
        <v>62.6</v>
      </c>
      <c r="AK862" s="416">
        <v>61.3</v>
      </c>
      <c r="AL862" s="416">
        <v>60.1</v>
      </c>
      <c r="AM862" s="416">
        <v>58.6</v>
      </c>
      <c r="AN862" s="416">
        <v>55.4</v>
      </c>
      <c r="AO862" s="416">
        <v>44.1</v>
      </c>
      <c r="AP862" s="416">
        <v>35.5</v>
      </c>
      <c r="AQ862" s="416">
        <v>28</v>
      </c>
      <c r="AR862" s="416">
        <v>22.2</v>
      </c>
      <c r="AS862" s="416">
        <v>18.2</v>
      </c>
      <c r="AT862" s="416">
        <v>15</v>
      </c>
      <c r="AU862" s="416">
        <v>12.3</v>
      </c>
      <c r="AV862" s="416">
        <v>9.83</v>
      </c>
      <c r="AW862" s="416">
        <v>7.33</v>
      </c>
      <c r="AX862" s="416">
        <v>0</v>
      </c>
      <c r="AY862" s="416">
        <v>0</v>
      </c>
      <c r="AZ862" s="416">
        <v>0</v>
      </c>
    </row>
    <row r="863" spans="1:52" s="411" customFormat="1" x14ac:dyDescent="0.3">
      <c r="A863" s="415" t="str">
        <f t="shared" si="13"/>
        <v>SA-312 Gr.TP304</v>
      </c>
      <c r="B863" s="415">
        <v>857</v>
      </c>
      <c r="C863" s="415" t="s">
        <v>3277</v>
      </c>
      <c r="D863" s="415" t="s">
        <v>2720</v>
      </c>
      <c r="E863" s="415" t="s">
        <v>2208</v>
      </c>
      <c r="F863" s="415" t="s">
        <v>2555</v>
      </c>
      <c r="G863" s="415" t="s">
        <v>3290</v>
      </c>
      <c r="H863" s="415">
        <v>0</v>
      </c>
      <c r="I863" s="415">
        <v>0</v>
      </c>
      <c r="J863" s="415">
        <v>8</v>
      </c>
      <c r="K863" s="415">
        <v>1</v>
      </c>
      <c r="L863" s="415">
        <v>515</v>
      </c>
      <c r="M863" s="415">
        <v>205</v>
      </c>
      <c r="N863" s="415">
        <v>816</v>
      </c>
      <c r="O863" s="415">
        <v>427</v>
      </c>
      <c r="P863" s="415">
        <v>816</v>
      </c>
      <c r="Q863" s="415">
        <v>343</v>
      </c>
      <c r="R863" s="415" t="s">
        <v>3269</v>
      </c>
      <c r="S863" s="415" t="s">
        <v>3257</v>
      </c>
      <c r="T863" s="416">
        <v>138</v>
      </c>
      <c r="U863" s="416">
        <v>138</v>
      </c>
      <c r="V863" s="416">
        <v>138</v>
      </c>
      <c r="W863" s="416">
        <v>137</v>
      </c>
      <c r="X863" s="416">
        <v>134</v>
      </c>
      <c r="Y863" s="416">
        <v>130</v>
      </c>
      <c r="Z863" s="416">
        <v>126</v>
      </c>
      <c r="AA863" s="416">
        <v>122</v>
      </c>
      <c r="AB863" s="416">
        <v>116</v>
      </c>
      <c r="AC863" s="416">
        <v>114</v>
      </c>
      <c r="AD863" s="416">
        <v>111</v>
      </c>
      <c r="AE863" s="416">
        <v>109</v>
      </c>
      <c r="AF863" s="416">
        <v>107</v>
      </c>
      <c r="AG863" s="416">
        <v>105</v>
      </c>
      <c r="AH863" s="416">
        <v>103</v>
      </c>
      <c r="AI863" s="416">
        <v>101</v>
      </c>
      <c r="AJ863" s="416">
        <v>99.3</v>
      </c>
      <c r="AK863" s="416">
        <v>98</v>
      </c>
      <c r="AL863" s="416">
        <v>93.3</v>
      </c>
      <c r="AM863" s="416">
        <v>79.599999999999994</v>
      </c>
      <c r="AN863" s="416">
        <v>65.400000000000006</v>
      </c>
      <c r="AO863" s="416">
        <v>51.4</v>
      </c>
      <c r="AP863" s="416">
        <v>41.7</v>
      </c>
      <c r="AQ863" s="416">
        <v>32.9</v>
      </c>
      <c r="AR863" s="416">
        <v>26.5</v>
      </c>
      <c r="AS863" s="416">
        <v>21.3</v>
      </c>
      <c r="AT863" s="416">
        <v>17.2</v>
      </c>
      <c r="AU863" s="416">
        <v>13.9</v>
      </c>
      <c r="AV863" s="416">
        <v>11.1</v>
      </c>
      <c r="AW863" s="416">
        <v>8.73</v>
      </c>
      <c r="AX863" s="416">
        <v>0</v>
      </c>
      <c r="AY863" s="416">
        <v>0</v>
      </c>
      <c r="AZ863" s="416">
        <v>0</v>
      </c>
    </row>
    <row r="864" spans="1:52" s="411" customFormat="1" x14ac:dyDescent="0.3">
      <c r="A864" s="415" t="str">
        <f t="shared" si="13"/>
        <v>SA-312 Gr.TP304</v>
      </c>
      <c r="B864" s="415">
        <v>858</v>
      </c>
      <c r="C864" s="415" t="s">
        <v>3277</v>
      </c>
      <c r="D864" s="415" t="s">
        <v>2720</v>
      </c>
      <c r="E864" s="415" t="s">
        <v>2208</v>
      </c>
      <c r="F864" s="415" t="s">
        <v>2555</v>
      </c>
      <c r="G864" s="415" t="s">
        <v>3290</v>
      </c>
      <c r="H864" s="415">
        <v>0</v>
      </c>
      <c r="I864" s="415">
        <v>0</v>
      </c>
      <c r="J864" s="415">
        <v>8</v>
      </c>
      <c r="K864" s="415">
        <v>1</v>
      </c>
      <c r="L864" s="415">
        <v>515</v>
      </c>
      <c r="M864" s="415">
        <v>205</v>
      </c>
      <c r="N864" s="415">
        <v>816</v>
      </c>
      <c r="O864" s="415" t="s">
        <v>2675</v>
      </c>
      <c r="P864" s="415">
        <v>816</v>
      </c>
      <c r="Q864" s="415">
        <v>343</v>
      </c>
      <c r="R864" s="415" t="s">
        <v>3269</v>
      </c>
      <c r="S864" s="415" t="s">
        <v>3258</v>
      </c>
      <c r="T864" s="416">
        <v>138</v>
      </c>
      <c r="U864" s="416">
        <v>138</v>
      </c>
      <c r="V864" s="416">
        <v>126</v>
      </c>
      <c r="W864" s="416">
        <v>113</v>
      </c>
      <c r="X864" s="416">
        <v>107</v>
      </c>
      <c r="Y864" s="416">
        <v>103</v>
      </c>
      <c r="Z864" s="416">
        <v>95.7</v>
      </c>
      <c r="AA864" s="416">
        <v>89.9</v>
      </c>
      <c r="AB864" s="416">
        <v>85.9</v>
      </c>
      <c r="AC864" s="416">
        <v>84.1</v>
      </c>
      <c r="AD864" s="416">
        <v>82.2</v>
      </c>
      <c r="AE864" s="416">
        <v>80.5</v>
      </c>
      <c r="AF864" s="416">
        <v>79.2</v>
      </c>
      <c r="AG864" s="416">
        <v>77.3</v>
      </c>
      <c r="AH864" s="416">
        <v>76</v>
      </c>
      <c r="AI864" s="416">
        <v>74.8</v>
      </c>
      <c r="AJ864" s="416">
        <v>73.599999999999994</v>
      </c>
      <c r="AK864" s="416">
        <v>72.400000000000006</v>
      </c>
      <c r="AL864" s="416">
        <v>70.8</v>
      </c>
      <c r="AM864" s="416">
        <v>68.900000000000006</v>
      </c>
      <c r="AN864" s="416">
        <v>65.400000000000006</v>
      </c>
      <c r="AO864" s="416">
        <v>51.4</v>
      </c>
      <c r="AP864" s="416">
        <v>41.7</v>
      </c>
      <c r="AQ864" s="416">
        <v>32.9</v>
      </c>
      <c r="AR864" s="416">
        <v>26.5</v>
      </c>
      <c r="AS864" s="416">
        <v>21.3</v>
      </c>
      <c r="AT864" s="416">
        <v>17.2</v>
      </c>
      <c r="AU864" s="416">
        <v>13.9</v>
      </c>
      <c r="AV864" s="416">
        <v>11.1</v>
      </c>
      <c r="AW864" s="416">
        <v>8.73</v>
      </c>
      <c r="AX864" s="416">
        <v>0</v>
      </c>
      <c r="AY864" s="416">
        <v>0</v>
      </c>
      <c r="AZ864" s="416">
        <v>0</v>
      </c>
    </row>
    <row r="865" spans="1:52" s="411" customFormat="1" x14ac:dyDescent="0.3">
      <c r="A865" s="415" t="str">
        <f t="shared" si="13"/>
        <v>SA-312 Gr.TP304</v>
      </c>
      <c r="B865" s="415">
        <v>859</v>
      </c>
      <c r="C865" s="415" t="s">
        <v>3277</v>
      </c>
      <c r="D865" s="415" t="s">
        <v>2680</v>
      </c>
      <c r="E865" s="415" t="s">
        <v>2208</v>
      </c>
      <c r="F865" s="415" t="s">
        <v>2555</v>
      </c>
      <c r="G865" s="415" t="s">
        <v>3290</v>
      </c>
      <c r="H865" s="415">
        <v>0</v>
      </c>
      <c r="I865" s="415">
        <v>0</v>
      </c>
      <c r="J865" s="415">
        <v>8</v>
      </c>
      <c r="K865" s="415">
        <v>1</v>
      </c>
      <c r="L865" s="415">
        <v>515</v>
      </c>
      <c r="M865" s="415">
        <v>205</v>
      </c>
      <c r="N865" s="415">
        <v>816</v>
      </c>
      <c r="O865" s="415" t="s">
        <v>2675</v>
      </c>
      <c r="P865" s="415">
        <v>816</v>
      </c>
      <c r="Q865" s="415">
        <v>343</v>
      </c>
      <c r="R865" s="415" t="s">
        <v>3269</v>
      </c>
      <c r="S865" s="415" t="s">
        <v>3227</v>
      </c>
      <c r="T865" s="416">
        <v>117</v>
      </c>
      <c r="U865" s="416">
        <v>117</v>
      </c>
      <c r="V865" s="416">
        <v>117</v>
      </c>
      <c r="W865" s="416">
        <v>117</v>
      </c>
      <c r="X865" s="416">
        <v>114</v>
      </c>
      <c r="Y865" s="416">
        <v>111</v>
      </c>
      <c r="Z865" s="416">
        <v>107</v>
      </c>
      <c r="AA865" s="416">
        <v>103</v>
      </c>
      <c r="AB865" s="416">
        <v>98.5</v>
      </c>
      <c r="AC865" s="416">
        <v>96.5</v>
      </c>
      <c r="AD865" s="416">
        <v>94.7</v>
      </c>
      <c r="AE865" s="416">
        <v>92.8</v>
      </c>
      <c r="AF865" s="416">
        <v>90.9</v>
      </c>
      <c r="AG865" s="416">
        <v>89.1</v>
      </c>
      <c r="AH865" s="416">
        <v>87.1</v>
      </c>
      <c r="AI865" s="416">
        <v>85.9</v>
      </c>
      <c r="AJ865" s="416">
        <v>84</v>
      </c>
      <c r="AK865" s="416">
        <v>83.2</v>
      </c>
      <c r="AL865" s="416">
        <v>79</v>
      </c>
      <c r="AM865" s="416">
        <v>67.3</v>
      </c>
      <c r="AN865" s="416">
        <v>55.4</v>
      </c>
      <c r="AO865" s="416">
        <v>44.1</v>
      </c>
      <c r="AP865" s="416">
        <v>35.5</v>
      </c>
      <c r="AQ865" s="416">
        <v>28</v>
      </c>
      <c r="AR865" s="416">
        <v>22.2</v>
      </c>
      <c r="AS865" s="416">
        <v>18.2</v>
      </c>
      <c r="AT865" s="416">
        <v>15</v>
      </c>
      <c r="AU865" s="416">
        <v>12.3</v>
      </c>
      <c r="AV865" s="416">
        <v>9.83</v>
      </c>
      <c r="AW865" s="416">
        <v>7.33</v>
      </c>
      <c r="AX865" s="416">
        <v>0</v>
      </c>
      <c r="AY865" s="416">
        <v>0</v>
      </c>
      <c r="AZ865" s="416">
        <v>0</v>
      </c>
    </row>
    <row r="866" spans="1:52" s="411" customFormat="1" x14ac:dyDescent="0.3">
      <c r="A866" s="415" t="str">
        <f t="shared" si="13"/>
        <v>SA-312 Gr.TP304</v>
      </c>
      <c r="B866" s="415">
        <v>860</v>
      </c>
      <c r="C866" s="415" t="s">
        <v>3277</v>
      </c>
      <c r="D866" s="415" t="s">
        <v>2680</v>
      </c>
      <c r="E866" s="415" t="s">
        <v>2208</v>
      </c>
      <c r="F866" s="415" t="s">
        <v>2555</v>
      </c>
      <c r="G866" s="415" t="s">
        <v>3290</v>
      </c>
      <c r="H866" s="415">
        <v>0</v>
      </c>
      <c r="I866" s="415">
        <v>0</v>
      </c>
      <c r="J866" s="415">
        <v>8</v>
      </c>
      <c r="K866" s="415">
        <v>1</v>
      </c>
      <c r="L866" s="415">
        <v>515</v>
      </c>
      <c r="M866" s="415">
        <v>205</v>
      </c>
      <c r="N866" s="415">
        <v>816</v>
      </c>
      <c r="O866" s="415" t="s">
        <v>2675</v>
      </c>
      <c r="P866" s="415">
        <v>816</v>
      </c>
      <c r="Q866" s="415">
        <v>343</v>
      </c>
      <c r="R866" s="415" t="s">
        <v>3269</v>
      </c>
      <c r="S866" s="415" t="s">
        <v>3256</v>
      </c>
      <c r="T866" s="416">
        <v>117</v>
      </c>
      <c r="U866" s="416">
        <v>117</v>
      </c>
      <c r="V866" s="416">
        <v>107</v>
      </c>
      <c r="W866" s="416">
        <v>96.2</v>
      </c>
      <c r="X866" s="416">
        <v>91.2</v>
      </c>
      <c r="Y866" s="416">
        <v>87.4</v>
      </c>
      <c r="Z866" s="416">
        <v>81.099999999999994</v>
      </c>
      <c r="AA866" s="416">
        <v>76.599999999999994</v>
      </c>
      <c r="AB866" s="416">
        <v>72.7</v>
      </c>
      <c r="AC866" s="416">
        <v>71.2</v>
      </c>
      <c r="AD866" s="416">
        <v>70</v>
      </c>
      <c r="AE866" s="416">
        <v>68.8</v>
      </c>
      <c r="AF866" s="416">
        <v>67.5</v>
      </c>
      <c r="AG866" s="416">
        <v>66.3</v>
      </c>
      <c r="AH866" s="416">
        <v>65</v>
      </c>
      <c r="AI866" s="416">
        <v>63.8</v>
      </c>
      <c r="AJ866" s="416">
        <v>62.6</v>
      </c>
      <c r="AK866" s="416">
        <v>61.3</v>
      </c>
      <c r="AL866" s="416">
        <v>60.1</v>
      </c>
      <c r="AM866" s="416">
        <v>58.6</v>
      </c>
      <c r="AN866" s="416">
        <v>55.4</v>
      </c>
      <c r="AO866" s="416">
        <v>44.1</v>
      </c>
      <c r="AP866" s="416">
        <v>35.5</v>
      </c>
      <c r="AQ866" s="416">
        <v>28</v>
      </c>
      <c r="AR866" s="416">
        <v>22.2</v>
      </c>
      <c r="AS866" s="416">
        <v>18.2</v>
      </c>
      <c r="AT866" s="416">
        <v>15</v>
      </c>
      <c r="AU866" s="416">
        <v>12.3</v>
      </c>
      <c r="AV866" s="416">
        <v>9.83</v>
      </c>
      <c r="AW866" s="416">
        <v>7.33</v>
      </c>
      <c r="AX866" s="416">
        <v>0</v>
      </c>
      <c r="AY866" s="416">
        <v>0</v>
      </c>
      <c r="AZ866" s="416">
        <v>0</v>
      </c>
    </row>
    <row r="867" spans="1:52" s="411" customFormat="1" x14ac:dyDescent="0.3">
      <c r="A867" s="415" t="str">
        <f t="shared" si="13"/>
        <v>SA-312 Gr.TP304H</v>
      </c>
      <c r="B867" s="415">
        <v>861</v>
      </c>
      <c r="C867" s="415" t="s">
        <v>3277</v>
      </c>
      <c r="D867" s="415" t="s">
        <v>2720</v>
      </c>
      <c r="E867" s="415" t="s">
        <v>2208</v>
      </c>
      <c r="F867" s="415" t="s">
        <v>2556</v>
      </c>
      <c r="G867" s="415" t="s">
        <v>3291</v>
      </c>
      <c r="H867" s="415">
        <v>0</v>
      </c>
      <c r="I867" s="415">
        <v>0</v>
      </c>
      <c r="J867" s="415">
        <v>8</v>
      </c>
      <c r="K867" s="415">
        <v>1</v>
      </c>
      <c r="L867" s="415">
        <v>515</v>
      </c>
      <c r="M867" s="415">
        <v>205</v>
      </c>
      <c r="N867" s="415">
        <v>816</v>
      </c>
      <c r="O867" s="415">
        <v>427</v>
      </c>
      <c r="P867" s="415">
        <v>816</v>
      </c>
      <c r="Q867" s="415" t="s">
        <v>2675</v>
      </c>
      <c r="R867" s="415" t="s">
        <v>3269</v>
      </c>
      <c r="S867" s="415" t="s">
        <v>3305</v>
      </c>
      <c r="T867" s="416">
        <v>138</v>
      </c>
      <c r="U867" s="416">
        <v>138</v>
      </c>
      <c r="V867" s="416">
        <v>138</v>
      </c>
      <c r="W867" s="416">
        <v>137</v>
      </c>
      <c r="X867" s="416">
        <v>134</v>
      </c>
      <c r="Y867" s="416">
        <v>130</v>
      </c>
      <c r="Z867" s="416">
        <v>126</v>
      </c>
      <c r="AA867" s="416">
        <v>122</v>
      </c>
      <c r="AB867" s="416">
        <v>116</v>
      </c>
      <c r="AC867" s="416">
        <v>114</v>
      </c>
      <c r="AD867" s="416">
        <v>111</v>
      </c>
      <c r="AE867" s="416">
        <v>109</v>
      </c>
      <c r="AF867" s="416">
        <v>107</v>
      </c>
      <c r="AG867" s="416">
        <v>105</v>
      </c>
      <c r="AH867" s="416">
        <v>103</v>
      </c>
      <c r="AI867" s="416">
        <v>101</v>
      </c>
      <c r="AJ867" s="416">
        <v>99.3</v>
      </c>
      <c r="AK867" s="416">
        <v>98</v>
      </c>
      <c r="AL867" s="416">
        <v>93.3</v>
      </c>
      <c r="AM867" s="416">
        <v>79.599999999999994</v>
      </c>
      <c r="AN867" s="416">
        <v>65.400000000000006</v>
      </c>
      <c r="AO867" s="416">
        <v>51.4</v>
      </c>
      <c r="AP867" s="416">
        <v>41.7</v>
      </c>
      <c r="AQ867" s="416">
        <v>32.9</v>
      </c>
      <c r="AR867" s="416">
        <v>26.5</v>
      </c>
      <c r="AS867" s="416">
        <v>21.3</v>
      </c>
      <c r="AT867" s="416">
        <v>17.2</v>
      </c>
      <c r="AU867" s="416">
        <v>13.9</v>
      </c>
      <c r="AV867" s="416">
        <v>11.1</v>
      </c>
      <c r="AW867" s="416">
        <v>8.73</v>
      </c>
      <c r="AX867" s="416">
        <v>0</v>
      </c>
      <c r="AY867" s="416">
        <v>0</v>
      </c>
      <c r="AZ867" s="416">
        <v>0</v>
      </c>
    </row>
    <row r="868" spans="1:52" s="411" customFormat="1" x14ac:dyDescent="0.3">
      <c r="A868" s="415" t="str">
        <f t="shared" si="13"/>
        <v>SA-312 Gr.TP304H</v>
      </c>
      <c r="B868" s="415">
        <v>862</v>
      </c>
      <c r="C868" s="415" t="s">
        <v>3277</v>
      </c>
      <c r="D868" s="415" t="s">
        <v>2720</v>
      </c>
      <c r="E868" s="415" t="s">
        <v>2208</v>
      </c>
      <c r="F868" s="415" t="s">
        <v>2556</v>
      </c>
      <c r="G868" s="415" t="s">
        <v>3291</v>
      </c>
      <c r="H868" s="415">
        <v>0</v>
      </c>
      <c r="I868" s="415">
        <v>0</v>
      </c>
      <c r="J868" s="415">
        <v>8</v>
      </c>
      <c r="K868" s="415">
        <v>1</v>
      </c>
      <c r="L868" s="415">
        <v>515</v>
      </c>
      <c r="M868" s="415">
        <v>205</v>
      </c>
      <c r="N868" s="415">
        <v>816</v>
      </c>
      <c r="O868" s="415" t="s">
        <v>2675</v>
      </c>
      <c r="P868" s="415">
        <v>816</v>
      </c>
      <c r="Q868" s="415" t="s">
        <v>2675</v>
      </c>
      <c r="R868" s="415" t="s">
        <v>3269</v>
      </c>
      <c r="S868" s="415" t="s">
        <v>3306</v>
      </c>
      <c r="T868" s="416">
        <v>138</v>
      </c>
      <c r="U868" s="416">
        <v>138</v>
      </c>
      <c r="V868" s="416">
        <v>126</v>
      </c>
      <c r="W868" s="416">
        <v>113</v>
      </c>
      <c r="X868" s="416">
        <v>107</v>
      </c>
      <c r="Y868" s="416">
        <v>103</v>
      </c>
      <c r="Z868" s="416">
        <v>95.7</v>
      </c>
      <c r="AA868" s="416">
        <v>89.9</v>
      </c>
      <c r="AB868" s="416">
        <v>85.9</v>
      </c>
      <c r="AC868" s="416">
        <v>84.1</v>
      </c>
      <c r="AD868" s="416">
        <v>82.2</v>
      </c>
      <c r="AE868" s="416">
        <v>80.5</v>
      </c>
      <c r="AF868" s="416">
        <v>79.2</v>
      </c>
      <c r="AG868" s="416">
        <v>77.3</v>
      </c>
      <c r="AH868" s="416">
        <v>76</v>
      </c>
      <c r="AI868" s="416">
        <v>74.8</v>
      </c>
      <c r="AJ868" s="416">
        <v>73.599999999999994</v>
      </c>
      <c r="AK868" s="416">
        <v>72.400000000000006</v>
      </c>
      <c r="AL868" s="416">
        <v>70.8</v>
      </c>
      <c r="AM868" s="416">
        <v>68.900000000000006</v>
      </c>
      <c r="AN868" s="416">
        <v>65.400000000000006</v>
      </c>
      <c r="AO868" s="416">
        <v>51.4</v>
      </c>
      <c r="AP868" s="416">
        <v>41.7</v>
      </c>
      <c r="AQ868" s="416">
        <v>32.9</v>
      </c>
      <c r="AR868" s="416">
        <v>26.5</v>
      </c>
      <c r="AS868" s="416">
        <v>21.3</v>
      </c>
      <c r="AT868" s="416">
        <v>17.2</v>
      </c>
      <c r="AU868" s="416">
        <v>13.9</v>
      </c>
      <c r="AV868" s="416">
        <v>11.1</v>
      </c>
      <c r="AW868" s="416">
        <v>8.73</v>
      </c>
      <c r="AX868" s="416">
        <v>0</v>
      </c>
      <c r="AY868" s="416">
        <v>0</v>
      </c>
      <c r="AZ868" s="416">
        <v>0</v>
      </c>
    </row>
    <row r="869" spans="1:52" s="411" customFormat="1" x14ac:dyDescent="0.3">
      <c r="A869" s="415" t="str">
        <f t="shared" si="13"/>
        <v>SA-312 Gr.TP304H</v>
      </c>
      <c r="B869" s="415">
        <v>863</v>
      </c>
      <c r="C869" s="415" t="s">
        <v>3277</v>
      </c>
      <c r="D869" s="415" t="s">
        <v>2680</v>
      </c>
      <c r="E869" s="415" t="s">
        <v>2208</v>
      </c>
      <c r="F869" s="415" t="s">
        <v>2556</v>
      </c>
      <c r="G869" s="415" t="s">
        <v>3291</v>
      </c>
      <c r="H869" s="415">
        <v>0</v>
      </c>
      <c r="I869" s="415">
        <v>0</v>
      </c>
      <c r="J869" s="415">
        <v>8</v>
      </c>
      <c r="K869" s="415">
        <v>1</v>
      </c>
      <c r="L869" s="415">
        <v>515</v>
      </c>
      <c r="M869" s="415">
        <v>205</v>
      </c>
      <c r="N869" s="415">
        <v>816</v>
      </c>
      <c r="O869" s="415" t="s">
        <v>2675</v>
      </c>
      <c r="P869" s="415">
        <v>816</v>
      </c>
      <c r="Q869" s="415" t="s">
        <v>2675</v>
      </c>
      <c r="R869" s="415" t="s">
        <v>3269</v>
      </c>
      <c r="S869" s="415" t="s">
        <v>3241</v>
      </c>
      <c r="T869" s="416">
        <v>117</v>
      </c>
      <c r="U869" s="416">
        <v>117</v>
      </c>
      <c r="V869" s="416">
        <v>117</v>
      </c>
      <c r="W869" s="416">
        <v>117</v>
      </c>
      <c r="X869" s="416">
        <v>114</v>
      </c>
      <c r="Y869" s="416">
        <v>111</v>
      </c>
      <c r="Z869" s="416">
        <v>107</v>
      </c>
      <c r="AA869" s="416">
        <v>103</v>
      </c>
      <c r="AB869" s="416">
        <v>98.5</v>
      </c>
      <c r="AC869" s="416">
        <v>96.5</v>
      </c>
      <c r="AD869" s="416">
        <v>94.7</v>
      </c>
      <c r="AE869" s="416">
        <v>92.8</v>
      </c>
      <c r="AF869" s="416">
        <v>90.9</v>
      </c>
      <c r="AG869" s="416">
        <v>89.1</v>
      </c>
      <c r="AH869" s="416">
        <v>87.1</v>
      </c>
      <c r="AI869" s="416">
        <v>85.9</v>
      </c>
      <c r="AJ869" s="416">
        <v>84</v>
      </c>
      <c r="AK869" s="416">
        <v>83.2</v>
      </c>
      <c r="AL869" s="416">
        <v>79</v>
      </c>
      <c r="AM869" s="416">
        <v>67.3</v>
      </c>
      <c r="AN869" s="416">
        <v>55.4</v>
      </c>
      <c r="AO869" s="416">
        <v>44.1</v>
      </c>
      <c r="AP869" s="416">
        <v>35.5</v>
      </c>
      <c r="AQ869" s="416">
        <v>28</v>
      </c>
      <c r="AR869" s="416">
        <v>22.2</v>
      </c>
      <c r="AS869" s="416">
        <v>18.2</v>
      </c>
      <c r="AT869" s="416">
        <v>15</v>
      </c>
      <c r="AU869" s="416">
        <v>12.3</v>
      </c>
      <c r="AV869" s="416">
        <v>9.83</v>
      </c>
      <c r="AW869" s="416">
        <v>7.33</v>
      </c>
      <c r="AX869" s="416">
        <v>0</v>
      </c>
      <c r="AY869" s="416">
        <v>0</v>
      </c>
      <c r="AZ869" s="416">
        <v>0</v>
      </c>
    </row>
    <row r="870" spans="1:52" s="411" customFormat="1" x14ac:dyDescent="0.3">
      <c r="A870" s="415" t="str">
        <f t="shared" si="13"/>
        <v>SA-312 Gr.TP304H</v>
      </c>
      <c r="B870" s="415">
        <v>864</v>
      </c>
      <c r="C870" s="415" t="s">
        <v>3277</v>
      </c>
      <c r="D870" s="415" t="s">
        <v>2680</v>
      </c>
      <c r="E870" s="415" t="s">
        <v>2208</v>
      </c>
      <c r="F870" s="415" t="s">
        <v>2556</v>
      </c>
      <c r="G870" s="415" t="s">
        <v>3291</v>
      </c>
      <c r="H870" s="415">
        <v>0</v>
      </c>
      <c r="I870" s="415">
        <v>0</v>
      </c>
      <c r="J870" s="415">
        <v>8</v>
      </c>
      <c r="K870" s="415">
        <v>1</v>
      </c>
      <c r="L870" s="415">
        <v>515</v>
      </c>
      <c r="M870" s="415">
        <v>205</v>
      </c>
      <c r="N870" s="415">
        <v>816</v>
      </c>
      <c r="O870" s="415" t="s">
        <v>2675</v>
      </c>
      <c r="P870" s="415">
        <v>816</v>
      </c>
      <c r="Q870" s="415" t="s">
        <v>2675</v>
      </c>
      <c r="R870" s="415" t="s">
        <v>3269</v>
      </c>
      <c r="S870" s="415" t="s">
        <v>3304</v>
      </c>
      <c r="T870" s="416">
        <v>117</v>
      </c>
      <c r="U870" s="416">
        <v>117</v>
      </c>
      <c r="V870" s="416">
        <v>107</v>
      </c>
      <c r="W870" s="416">
        <v>96.2</v>
      </c>
      <c r="X870" s="416">
        <v>91.2</v>
      </c>
      <c r="Y870" s="416">
        <v>87.4</v>
      </c>
      <c r="Z870" s="416">
        <v>81.099999999999994</v>
      </c>
      <c r="AA870" s="416">
        <v>76.599999999999994</v>
      </c>
      <c r="AB870" s="416">
        <v>72.7</v>
      </c>
      <c r="AC870" s="416">
        <v>71.2</v>
      </c>
      <c r="AD870" s="416">
        <v>70</v>
      </c>
      <c r="AE870" s="416">
        <v>68.8</v>
      </c>
      <c r="AF870" s="416">
        <v>67.5</v>
      </c>
      <c r="AG870" s="416">
        <v>66.3</v>
      </c>
      <c r="AH870" s="416">
        <v>65</v>
      </c>
      <c r="AI870" s="416">
        <v>63.8</v>
      </c>
      <c r="AJ870" s="416">
        <v>62.6</v>
      </c>
      <c r="AK870" s="416">
        <v>61.3</v>
      </c>
      <c r="AL870" s="416">
        <v>60.1</v>
      </c>
      <c r="AM870" s="416">
        <v>58.6</v>
      </c>
      <c r="AN870" s="416">
        <v>55.4</v>
      </c>
      <c r="AO870" s="416">
        <v>44.1</v>
      </c>
      <c r="AP870" s="416">
        <v>35.5</v>
      </c>
      <c r="AQ870" s="416">
        <v>28</v>
      </c>
      <c r="AR870" s="416">
        <v>22.2</v>
      </c>
      <c r="AS870" s="416">
        <v>18.2</v>
      </c>
      <c r="AT870" s="416">
        <v>15</v>
      </c>
      <c r="AU870" s="416">
        <v>12.3</v>
      </c>
      <c r="AV870" s="416">
        <v>9.83</v>
      </c>
      <c r="AW870" s="416">
        <v>7.33</v>
      </c>
      <c r="AX870" s="416">
        <v>0</v>
      </c>
      <c r="AY870" s="416">
        <v>0</v>
      </c>
      <c r="AZ870" s="416">
        <v>0</v>
      </c>
    </row>
    <row r="871" spans="1:52" s="411" customFormat="1" x14ac:dyDescent="0.3">
      <c r="A871" s="415" t="str">
        <f t="shared" si="13"/>
        <v>SA-358 Gr.304</v>
      </c>
      <c r="B871" s="415">
        <v>865</v>
      </c>
      <c r="C871" s="415" t="s">
        <v>3277</v>
      </c>
      <c r="D871" s="415" t="s">
        <v>2680</v>
      </c>
      <c r="E871" s="415" t="s">
        <v>2217</v>
      </c>
      <c r="F871" s="415">
        <v>304</v>
      </c>
      <c r="G871" s="415" t="s">
        <v>3290</v>
      </c>
      <c r="H871" s="415">
        <v>1</v>
      </c>
      <c r="I871" s="415">
        <v>0</v>
      </c>
      <c r="J871" s="415">
        <v>8</v>
      </c>
      <c r="K871" s="415">
        <v>1</v>
      </c>
      <c r="L871" s="415">
        <v>515</v>
      </c>
      <c r="M871" s="415">
        <v>205</v>
      </c>
      <c r="N871" s="415" t="s">
        <v>2675</v>
      </c>
      <c r="O871" s="415">
        <v>427</v>
      </c>
      <c r="P871" s="415" t="s">
        <v>2675</v>
      </c>
      <c r="Q871" s="415" t="s">
        <v>2675</v>
      </c>
      <c r="R871" s="415" t="s">
        <v>3269</v>
      </c>
      <c r="S871" s="415" t="s">
        <v>3208</v>
      </c>
      <c r="T871" s="416">
        <v>138</v>
      </c>
      <c r="U871" s="416">
        <v>138</v>
      </c>
      <c r="V871" s="416">
        <v>138</v>
      </c>
      <c r="W871" s="416">
        <v>137</v>
      </c>
      <c r="X871" s="416">
        <v>134</v>
      </c>
      <c r="Y871" s="416">
        <v>130</v>
      </c>
      <c r="Z871" s="416">
        <v>126</v>
      </c>
      <c r="AA871" s="416">
        <v>122</v>
      </c>
      <c r="AB871" s="416">
        <v>116</v>
      </c>
      <c r="AC871" s="416">
        <v>114</v>
      </c>
      <c r="AD871" s="416">
        <v>111</v>
      </c>
      <c r="AE871" s="416">
        <v>109</v>
      </c>
      <c r="AF871" s="416">
        <v>107</v>
      </c>
      <c r="AG871" s="416">
        <v>105</v>
      </c>
      <c r="AH871" s="416">
        <v>103</v>
      </c>
      <c r="AI871" s="416">
        <v>0</v>
      </c>
      <c r="AJ871" s="416">
        <v>0</v>
      </c>
      <c r="AK871" s="416">
        <v>0</v>
      </c>
      <c r="AL871" s="416">
        <v>0</v>
      </c>
      <c r="AM871" s="416">
        <v>0</v>
      </c>
      <c r="AN871" s="416">
        <v>0</v>
      </c>
      <c r="AO871" s="416">
        <v>0</v>
      </c>
      <c r="AP871" s="416">
        <v>0</v>
      </c>
      <c r="AQ871" s="416">
        <v>0</v>
      </c>
      <c r="AR871" s="416">
        <v>0</v>
      </c>
      <c r="AS871" s="416">
        <v>0</v>
      </c>
      <c r="AT871" s="416">
        <v>0</v>
      </c>
      <c r="AU871" s="416">
        <v>0</v>
      </c>
      <c r="AV871" s="416">
        <v>0</v>
      </c>
      <c r="AW871" s="416">
        <v>0</v>
      </c>
      <c r="AX871" s="416">
        <v>0</v>
      </c>
      <c r="AY871" s="416">
        <v>0</v>
      </c>
      <c r="AZ871" s="416">
        <v>0</v>
      </c>
    </row>
    <row r="872" spans="1:52" s="411" customFormat="1" x14ac:dyDescent="0.3">
      <c r="A872" s="415" t="str">
        <f t="shared" si="13"/>
        <v>SA-358 Gr.304H</v>
      </c>
      <c r="B872" s="415">
        <v>866</v>
      </c>
      <c r="C872" s="415" t="s">
        <v>3277</v>
      </c>
      <c r="D872" s="415" t="s">
        <v>2680</v>
      </c>
      <c r="E872" s="415" t="s">
        <v>2217</v>
      </c>
      <c r="F872" s="415" t="s">
        <v>2244</v>
      </c>
      <c r="G872" s="415" t="s">
        <v>3291</v>
      </c>
      <c r="H872" s="415">
        <v>1</v>
      </c>
      <c r="I872" s="415">
        <v>0</v>
      </c>
      <c r="J872" s="415">
        <v>8</v>
      </c>
      <c r="K872" s="415">
        <v>1</v>
      </c>
      <c r="L872" s="415">
        <v>515</v>
      </c>
      <c r="M872" s="415">
        <v>205</v>
      </c>
      <c r="N872" s="415" t="s">
        <v>2675</v>
      </c>
      <c r="O872" s="415">
        <v>427</v>
      </c>
      <c r="P872" s="415" t="s">
        <v>2675</v>
      </c>
      <c r="Q872" s="415" t="s">
        <v>2675</v>
      </c>
      <c r="R872" s="415" t="s">
        <v>3269</v>
      </c>
      <c r="S872" s="415" t="s">
        <v>3208</v>
      </c>
      <c r="T872" s="416">
        <v>138</v>
      </c>
      <c r="U872" s="416">
        <v>138</v>
      </c>
      <c r="V872" s="416">
        <v>138</v>
      </c>
      <c r="W872" s="416">
        <v>137</v>
      </c>
      <c r="X872" s="416">
        <v>134</v>
      </c>
      <c r="Y872" s="416">
        <v>130</v>
      </c>
      <c r="Z872" s="416">
        <v>126</v>
      </c>
      <c r="AA872" s="416">
        <v>122</v>
      </c>
      <c r="AB872" s="416">
        <v>116</v>
      </c>
      <c r="AC872" s="416">
        <v>114</v>
      </c>
      <c r="AD872" s="416">
        <v>111</v>
      </c>
      <c r="AE872" s="416">
        <v>109</v>
      </c>
      <c r="AF872" s="416">
        <v>107</v>
      </c>
      <c r="AG872" s="416">
        <v>105</v>
      </c>
      <c r="AH872" s="416">
        <v>103</v>
      </c>
      <c r="AI872" s="416">
        <v>0</v>
      </c>
      <c r="AJ872" s="416">
        <v>0</v>
      </c>
      <c r="AK872" s="416">
        <v>0</v>
      </c>
      <c r="AL872" s="416">
        <v>0</v>
      </c>
      <c r="AM872" s="416">
        <v>0</v>
      </c>
      <c r="AN872" s="416">
        <v>0</v>
      </c>
      <c r="AO872" s="416">
        <v>0</v>
      </c>
      <c r="AP872" s="416">
        <v>0</v>
      </c>
      <c r="AQ872" s="416">
        <v>0</v>
      </c>
      <c r="AR872" s="416">
        <v>0</v>
      </c>
      <c r="AS872" s="416">
        <v>0</v>
      </c>
      <c r="AT872" s="416">
        <v>0</v>
      </c>
      <c r="AU872" s="416">
        <v>0</v>
      </c>
      <c r="AV872" s="416">
        <v>0</v>
      </c>
      <c r="AW872" s="416">
        <v>0</v>
      </c>
      <c r="AX872" s="416">
        <v>0</v>
      </c>
      <c r="AY872" s="416">
        <v>0</v>
      </c>
      <c r="AZ872" s="416">
        <v>0</v>
      </c>
    </row>
    <row r="873" spans="1:52" s="411" customFormat="1" x14ac:dyDescent="0.3">
      <c r="A873" s="415" t="str">
        <f t="shared" si="13"/>
        <v>SA-358 Gr.304LN</v>
      </c>
      <c r="B873" s="415">
        <v>867</v>
      </c>
      <c r="C873" s="415" t="s">
        <v>3277</v>
      </c>
      <c r="D873" s="415" t="s">
        <v>2680</v>
      </c>
      <c r="E873" s="415" t="s">
        <v>2217</v>
      </c>
      <c r="F873" s="415" t="s">
        <v>2248</v>
      </c>
      <c r="G873" s="415" t="s">
        <v>3307</v>
      </c>
      <c r="H873" s="415">
        <v>1</v>
      </c>
      <c r="I873" s="415">
        <v>0</v>
      </c>
      <c r="J873" s="415">
        <v>8</v>
      </c>
      <c r="K873" s="415">
        <v>1</v>
      </c>
      <c r="L873" s="415">
        <v>515</v>
      </c>
      <c r="M873" s="415">
        <v>205</v>
      </c>
      <c r="N873" s="415" t="s">
        <v>2675</v>
      </c>
      <c r="O873" s="415">
        <v>427</v>
      </c>
      <c r="P873" s="415" t="s">
        <v>2675</v>
      </c>
      <c r="Q873" s="415" t="s">
        <v>2675</v>
      </c>
      <c r="R873" s="415" t="s">
        <v>3269</v>
      </c>
      <c r="S873" s="415" t="s">
        <v>3208</v>
      </c>
      <c r="T873" s="416">
        <v>138</v>
      </c>
      <c r="U873" s="416">
        <v>138</v>
      </c>
      <c r="V873" s="416">
        <v>138</v>
      </c>
      <c r="W873" s="416">
        <v>137</v>
      </c>
      <c r="X873" s="416">
        <v>134</v>
      </c>
      <c r="Y873" s="416">
        <v>130</v>
      </c>
      <c r="Z873" s="416">
        <v>126</v>
      </c>
      <c r="AA873" s="416">
        <v>122</v>
      </c>
      <c r="AB873" s="416">
        <v>116</v>
      </c>
      <c r="AC873" s="416">
        <v>114</v>
      </c>
      <c r="AD873" s="416">
        <v>111</v>
      </c>
      <c r="AE873" s="416">
        <v>109</v>
      </c>
      <c r="AF873" s="416">
        <v>107</v>
      </c>
      <c r="AG873" s="416">
        <v>105</v>
      </c>
      <c r="AH873" s="416">
        <v>103</v>
      </c>
      <c r="AI873" s="416">
        <v>0</v>
      </c>
      <c r="AJ873" s="416">
        <v>0</v>
      </c>
      <c r="AK873" s="416">
        <v>0</v>
      </c>
      <c r="AL873" s="416">
        <v>0</v>
      </c>
      <c r="AM873" s="416">
        <v>0</v>
      </c>
      <c r="AN873" s="416">
        <v>0</v>
      </c>
      <c r="AO873" s="416">
        <v>0</v>
      </c>
      <c r="AP873" s="416">
        <v>0</v>
      </c>
      <c r="AQ873" s="416">
        <v>0</v>
      </c>
      <c r="AR873" s="416">
        <v>0</v>
      </c>
      <c r="AS873" s="416">
        <v>0</v>
      </c>
      <c r="AT873" s="416">
        <v>0</v>
      </c>
      <c r="AU873" s="416">
        <v>0</v>
      </c>
      <c r="AV873" s="416">
        <v>0</v>
      </c>
      <c r="AW873" s="416">
        <v>0</v>
      </c>
      <c r="AX873" s="416">
        <v>0</v>
      </c>
      <c r="AY873" s="416">
        <v>0</v>
      </c>
      <c r="AZ873" s="416">
        <v>0</v>
      </c>
    </row>
    <row r="874" spans="1:52" s="411" customFormat="1" x14ac:dyDescent="0.3">
      <c r="A874" s="415" t="str">
        <f t="shared" si="13"/>
        <v>SA-376 Gr.TP304</v>
      </c>
      <c r="B874" s="415">
        <v>868</v>
      </c>
      <c r="C874" s="415" t="s">
        <v>3277</v>
      </c>
      <c r="D874" s="415" t="s">
        <v>2703</v>
      </c>
      <c r="E874" s="415" t="s">
        <v>2225</v>
      </c>
      <c r="F874" s="415" t="s">
        <v>2555</v>
      </c>
      <c r="G874" s="415" t="s">
        <v>3290</v>
      </c>
      <c r="H874" s="415">
        <v>0</v>
      </c>
      <c r="I874" s="415">
        <v>0</v>
      </c>
      <c r="J874" s="415">
        <v>8</v>
      </c>
      <c r="K874" s="415">
        <v>1</v>
      </c>
      <c r="L874" s="415">
        <v>515</v>
      </c>
      <c r="M874" s="415">
        <v>205</v>
      </c>
      <c r="N874" s="415">
        <v>816</v>
      </c>
      <c r="O874" s="415">
        <v>427</v>
      </c>
      <c r="P874" s="415">
        <v>816</v>
      </c>
      <c r="Q874" s="415">
        <v>343</v>
      </c>
      <c r="R874" s="415" t="s">
        <v>3269</v>
      </c>
      <c r="S874" s="415" t="s">
        <v>3259</v>
      </c>
      <c r="T874" s="416">
        <v>138</v>
      </c>
      <c r="U874" s="416">
        <v>138</v>
      </c>
      <c r="V874" s="416">
        <v>138</v>
      </c>
      <c r="W874" s="416">
        <v>137</v>
      </c>
      <c r="X874" s="416">
        <v>134</v>
      </c>
      <c r="Y874" s="416">
        <v>130</v>
      </c>
      <c r="Z874" s="416">
        <v>126</v>
      </c>
      <c r="AA874" s="416">
        <v>122</v>
      </c>
      <c r="AB874" s="416">
        <v>116</v>
      </c>
      <c r="AC874" s="416">
        <v>114</v>
      </c>
      <c r="AD874" s="416">
        <v>111</v>
      </c>
      <c r="AE874" s="416">
        <v>109</v>
      </c>
      <c r="AF874" s="416">
        <v>107</v>
      </c>
      <c r="AG874" s="416">
        <v>105</v>
      </c>
      <c r="AH874" s="416">
        <v>103</v>
      </c>
      <c r="AI874" s="416">
        <v>101</v>
      </c>
      <c r="AJ874" s="416">
        <v>99.3</v>
      </c>
      <c r="AK874" s="416">
        <v>98</v>
      </c>
      <c r="AL874" s="416">
        <v>93.3</v>
      </c>
      <c r="AM874" s="416">
        <v>79.599999999999994</v>
      </c>
      <c r="AN874" s="416">
        <v>65.400000000000006</v>
      </c>
      <c r="AO874" s="416">
        <v>51.4</v>
      </c>
      <c r="AP874" s="416">
        <v>41.7</v>
      </c>
      <c r="AQ874" s="416">
        <v>32.9</v>
      </c>
      <c r="AR874" s="416">
        <v>26.5</v>
      </c>
      <c r="AS874" s="416">
        <v>21.3</v>
      </c>
      <c r="AT874" s="416">
        <v>17.2</v>
      </c>
      <c r="AU874" s="416">
        <v>13.9</v>
      </c>
      <c r="AV874" s="416">
        <v>11.1</v>
      </c>
      <c r="AW874" s="416">
        <v>8.73</v>
      </c>
      <c r="AX874" s="416">
        <v>0</v>
      </c>
      <c r="AY874" s="416">
        <v>0</v>
      </c>
      <c r="AZ874" s="416">
        <v>0</v>
      </c>
    </row>
    <row r="875" spans="1:52" s="411" customFormat="1" x14ac:dyDescent="0.3">
      <c r="A875" s="415" t="str">
        <f t="shared" si="13"/>
        <v>SA-376 Gr.TP304</v>
      </c>
      <c r="B875" s="415">
        <v>869</v>
      </c>
      <c r="C875" s="415" t="s">
        <v>3277</v>
      </c>
      <c r="D875" s="415" t="s">
        <v>2703</v>
      </c>
      <c r="E875" s="415" t="s">
        <v>2225</v>
      </c>
      <c r="F875" s="415" t="s">
        <v>2555</v>
      </c>
      <c r="G875" s="415" t="s">
        <v>3290</v>
      </c>
      <c r="H875" s="415">
        <v>0</v>
      </c>
      <c r="I875" s="415">
        <v>0</v>
      </c>
      <c r="J875" s="415">
        <v>8</v>
      </c>
      <c r="K875" s="415">
        <v>1</v>
      </c>
      <c r="L875" s="415">
        <v>515</v>
      </c>
      <c r="M875" s="415">
        <v>205</v>
      </c>
      <c r="N875" s="415">
        <v>816</v>
      </c>
      <c r="O875" s="415" t="s">
        <v>2675</v>
      </c>
      <c r="P875" s="415">
        <v>816</v>
      </c>
      <c r="Q875" s="415">
        <v>343</v>
      </c>
      <c r="R875" s="415" t="s">
        <v>3269</v>
      </c>
      <c r="S875" s="415" t="s">
        <v>3260</v>
      </c>
      <c r="T875" s="416">
        <v>138</v>
      </c>
      <c r="U875" s="416">
        <v>138</v>
      </c>
      <c r="V875" s="416">
        <v>126</v>
      </c>
      <c r="W875" s="416">
        <v>113</v>
      </c>
      <c r="X875" s="416">
        <v>107</v>
      </c>
      <c r="Y875" s="416">
        <v>103</v>
      </c>
      <c r="Z875" s="416">
        <v>95.7</v>
      </c>
      <c r="AA875" s="416">
        <v>89.9</v>
      </c>
      <c r="AB875" s="416">
        <v>85.9</v>
      </c>
      <c r="AC875" s="416">
        <v>84.1</v>
      </c>
      <c r="AD875" s="416">
        <v>82.2</v>
      </c>
      <c r="AE875" s="416">
        <v>80.5</v>
      </c>
      <c r="AF875" s="416">
        <v>79.2</v>
      </c>
      <c r="AG875" s="416">
        <v>77.3</v>
      </c>
      <c r="AH875" s="416">
        <v>76</v>
      </c>
      <c r="AI875" s="416">
        <v>74.8</v>
      </c>
      <c r="AJ875" s="416">
        <v>73.599999999999994</v>
      </c>
      <c r="AK875" s="416">
        <v>72.400000000000006</v>
      </c>
      <c r="AL875" s="416">
        <v>70.8</v>
      </c>
      <c r="AM875" s="416">
        <v>68.900000000000006</v>
      </c>
      <c r="AN875" s="416">
        <v>65.400000000000006</v>
      </c>
      <c r="AO875" s="416">
        <v>51.4</v>
      </c>
      <c r="AP875" s="416">
        <v>41.7</v>
      </c>
      <c r="AQ875" s="416">
        <v>32.9</v>
      </c>
      <c r="AR875" s="416">
        <v>26.5</v>
      </c>
      <c r="AS875" s="416">
        <v>21.3</v>
      </c>
      <c r="AT875" s="416">
        <v>17.2</v>
      </c>
      <c r="AU875" s="416">
        <v>13.9</v>
      </c>
      <c r="AV875" s="416">
        <v>11.1</v>
      </c>
      <c r="AW875" s="416">
        <v>8.73</v>
      </c>
      <c r="AX875" s="416">
        <v>0</v>
      </c>
      <c r="AY875" s="416">
        <v>0</v>
      </c>
      <c r="AZ875" s="416">
        <v>0</v>
      </c>
    </row>
    <row r="876" spans="1:52" s="411" customFormat="1" x14ac:dyDescent="0.3">
      <c r="A876" s="415" t="str">
        <f t="shared" si="13"/>
        <v>SA-376 Gr.TP304H</v>
      </c>
      <c r="B876" s="415">
        <v>870</v>
      </c>
      <c r="C876" s="415" t="s">
        <v>3277</v>
      </c>
      <c r="D876" s="415" t="s">
        <v>2703</v>
      </c>
      <c r="E876" s="415" t="s">
        <v>2225</v>
      </c>
      <c r="F876" s="415" t="s">
        <v>2556</v>
      </c>
      <c r="G876" s="415" t="s">
        <v>3291</v>
      </c>
      <c r="H876" s="415">
        <v>0</v>
      </c>
      <c r="I876" s="415">
        <v>0</v>
      </c>
      <c r="J876" s="415">
        <v>8</v>
      </c>
      <c r="K876" s="415">
        <v>1</v>
      </c>
      <c r="L876" s="415">
        <v>515</v>
      </c>
      <c r="M876" s="415">
        <v>205</v>
      </c>
      <c r="N876" s="415">
        <v>816</v>
      </c>
      <c r="O876" s="415">
        <v>427</v>
      </c>
      <c r="P876" s="415">
        <v>816</v>
      </c>
      <c r="Q876" s="415" t="s">
        <v>2675</v>
      </c>
      <c r="R876" s="415" t="s">
        <v>3269</v>
      </c>
      <c r="S876" s="415" t="s">
        <v>3308</v>
      </c>
      <c r="T876" s="416">
        <v>138</v>
      </c>
      <c r="U876" s="416">
        <v>138</v>
      </c>
      <c r="V876" s="416">
        <v>138</v>
      </c>
      <c r="W876" s="416">
        <v>137</v>
      </c>
      <c r="X876" s="416">
        <v>134</v>
      </c>
      <c r="Y876" s="416">
        <v>130</v>
      </c>
      <c r="Z876" s="416">
        <v>126</v>
      </c>
      <c r="AA876" s="416">
        <v>122</v>
      </c>
      <c r="AB876" s="416">
        <v>116</v>
      </c>
      <c r="AC876" s="416">
        <v>114</v>
      </c>
      <c r="AD876" s="416">
        <v>111</v>
      </c>
      <c r="AE876" s="416">
        <v>109</v>
      </c>
      <c r="AF876" s="416">
        <v>107</v>
      </c>
      <c r="AG876" s="416">
        <v>105</v>
      </c>
      <c r="AH876" s="416">
        <v>103</v>
      </c>
      <c r="AI876" s="416">
        <v>101</v>
      </c>
      <c r="AJ876" s="416">
        <v>99.3</v>
      </c>
      <c r="AK876" s="416">
        <v>98</v>
      </c>
      <c r="AL876" s="416">
        <v>93.3</v>
      </c>
      <c r="AM876" s="416">
        <v>79.599999999999994</v>
      </c>
      <c r="AN876" s="416">
        <v>65.400000000000006</v>
      </c>
      <c r="AO876" s="416">
        <v>51.4</v>
      </c>
      <c r="AP876" s="416">
        <v>41.7</v>
      </c>
      <c r="AQ876" s="416">
        <v>32.9</v>
      </c>
      <c r="AR876" s="416">
        <v>26.5</v>
      </c>
      <c r="AS876" s="416">
        <v>21.3</v>
      </c>
      <c r="AT876" s="416">
        <v>17.2</v>
      </c>
      <c r="AU876" s="416">
        <v>13.9</v>
      </c>
      <c r="AV876" s="416">
        <v>11.1</v>
      </c>
      <c r="AW876" s="416">
        <v>8.73</v>
      </c>
      <c r="AX876" s="416">
        <v>0</v>
      </c>
      <c r="AY876" s="416">
        <v>0</v>
      </c>
      <c r="AZ876" s="416">
        <v>0</v>
      </c>
    </row>
    <row r="877" spans="1:52" s="411" customFormat="1" x14ac:dyDescent="0.3">
      <c r="A877" s="415" t="str">
        <f t="shared" si="13"/>
        <v>SA-376 Gr.TP304H</v>
      </c>
      <c r="B877" s="415">
        <v>871</v>
      </c>
      <c r="C877" s="415" t="s">
        <v>3277</v>
      </c>
      <c r="D877" s="415" t="s">
        <v>2703</v>
      </c>
      <c r="E877" s="415" t="s">
        <v>2225</v>
      </c>
      <c r="F877" s="415" t="s">
        <v>2556</v>
      </c>
      <c r="G877" s="415" t="s">
        <v>3291</v>
      </c>
      <c r="H877" s="415">
        <v>0</v>
      </c>
      <c r="I877" s="415">
        <v>0</v>
      </c>
      <c r="J877" s="415">
        <v>8</v>
      </c>
      <c r="K877" s="415">
        <v>1</v>
      </c>
      <c r="L877" s="415">
        <v>515</v>
      </c>
      <c r="M877" s="415">
        <v>205</v>
      </c>
      <c r="N877" s="415">
        <v>816</v>
      </c>
      <c r="O877" s="415" t="s">
        <v>2675</v>
      </c>
      <c r="P877" s="415">
        <v>816</v>
      </c>
      <c r="Q877" s="415" t="s">
        <v>2675</v>
      </c>
      <c r="R877" s="415" t="s">
        <v>3269</v>
      </c>
      <c r="S877" s="415" t="s">
        <v>3309</v>
      </c>
      <c r="T877" s="416">
        <v>138</v>
      </c>
      <c r="U877" s="416">
        <v>138</v>
      </c>
      <c r="V877" s="416">
        <v>126</v>
      </c>
      <c r="W877" s="416">
        <v>113</v>
      </c>
      <c r="X877" s="416">
        <v>107</v>
      </c>
      <c r="Y877" s="416">
        <v>103</v>
      </c>
      <c r="Z877" s="416">
        <v>95.7</v>
      </c>
      <c r="AA877" s="416">
        <v>89.9</v>
      </c>
      <c r="AB877" s="416">
        <v>85.9</v>
      </c>
      <c r="AC877" s="416">
        <v>84.1</v>
      </c>
      <c r="AD877" s="416">
        <v>82.2</v>
      </c>
      <c r="AE877" s="416">
        <v>80.5</v>
      </c>
      <c r="AF877" s="416">
        <v>79.2</v>
      </c>
      <c r="AG877" s="416">
        <v>77.3</v>
      </c>
      <c r="AH877" s="416">
        <v>76</v>
      </c>
      <c r="AI877" s="416">
        <v>74.8</v>
      </c>
      <c r="AJ877" s="416">
        <v>73.599999999999994</v>
      </c>
      <c r="AK877" s="416">
        <v>72.400000000000006</v>
      </c>
      <c r="AL877" s="416">
        <v>70.8</v>
      </c>
      <c r="AM877" s="416">
        <v>68.900000000000006</v>
      </c>
      <c r="AN877" s="416">
        <v>65.400000000000006</v>
      </c>
      <c r="AO877" s="416">
        <v>51.4</v>
      </c>
      <c r="AP877" s="416">
        <v>41.7</v>
      </c>
      <c r="AQ877" s="416">
        <v>32.9</v>
      </c>
      <c r="AR877" s="416">
        <v>26.5</v>
      </c>
      <c r="AS877" s="416">
        <v>21.3</v>
      </c>
      <c r="AT877" s="416">
        <v>17.2</v>
      </c>
      <c r="AU877" s="416">
        <v>13.9</v>
      </c>
      <c r="AV877" s="416">
        <v>11.1</v>
      </c>
      <c r="AW877" s="416">
        <v>8.73</v>
      </c>
      <c r="AX877" s="416">
        <v>0</v>
      </c>
      <c r="AY877" s="416">
        <v>0</v>
      </c>
      <c r="AZ877" s="416">
        <v>0</v>
      </c>
    </row>
    <row r="878" spans="1:52" s="411" customFormat="1" x14ac:dyDescent="0.3">
      <c r="A878" s="415" t="str">
        <f t="shared" si="13"/>
        <v>SA-403 Gr.304</v>
      </c>
      <c r="B878" s="415">
        <v>872</v>
      </c>
      <c r="C878" s="415" t="s">
        <v>3277</v>
      </c>
      <c r="D878" s="415" t="s">
        <v>2758</v>
      </c>
      <c r="E878" s="415" t="s">
        <v>2229</v>
      </c>
      <c r="F878" s="415">
        <v>304</v>
      </c>
      <c r="G878" s="415" t="s">
        <v>3290</v>
      </c>
      <c r="H878" s="415">
        <v>0</v>
      </c>
      <c r="I878" s="415">
        <v>0</v>
      </c>
      <c r="J878" s="415">
        <v>8</v>
      </c>
      <c r="K878" s="415">
        <v>1</v>
      </c>
      <c r="L878" s="415">
        <v>515</v>
      </c>
      <c r="M878" s="415">
        <v>205</v>
      </c>
      <c r="N878" s="415" t="s">
        <v>2675</v>
      </c>
      <c r="O878" s="415">
        <v>427</v>
      </c>
      <c r="P878" s="415">
        <v>816</v>
      </c>
      <c r="Q878" s="415">
        <v>343</v>
      </c>
      <c r="R878" s="415" t="s">
        <v>3269</v>
      </c>
      <c r="S878" s="415" t="s">
        <v>3261</v>
      </c>
      <c r="T878" s="416">
        <v>138</v>
      </c>
      <c r="U878" s="416">
        <v>138</v>
      </c>
      <c r="V878" s="416">
        <v>138</v>
      </c>
      <c r="W878" s="416">
        <v>137</v>
      </c>
      <c r="X878" s="416">
        <v>134</v>
      </c>
      <c r="Y878" s="416">
        <v>130</v>
      </c>
      <c r="Z878" s="416">
        <v>126</v>
      </c>
      <c r="AA878" s="416">
        <v>122</v>
      </c>
      <c r="AB878" s="416">
        <v>116</v>
      </c>
      <c r="AC878" s="416">
        <v>114</v>
      </c>
      <c r="AD878" s="416">
        <v>111</v>
      </c>
      <c r="AE878" s="416">
        <v>109</v>
      </c>
      <c r="AF878" s="416">
        <v>107</v>
      </c>
      <c r="AG878" s="416">
        <v>105</v>
      </c>
      <c r="AH878" s="416">
        <v>103</v>
      </c>
      <c r="AI878" s="416">
        <v>101</v>
      </c>
      <c r="AJ878" s="416">
        <v>99.3</v>
      </c>
      <c r="AK878" s="416">
        <v>98</v>
      </c>
      <c r="AL878" s="416">
        <v>93.3</v>
      </c>
      <c r="AM878" s="416">
        <v>79.599999999999994</v>
      </c>
      <c r="AN878" s="416">
        <v>65.400000000000006</v>
      </c>
      <c r="AO878" s="416">
        <v>51.4</v>
      </c>
      <c r="AP878" s="416">
        <v>41.7</v>
      </c>
      <c r="AQ878" s="416">
        <v>32.9</v>
      </c>
      <c r="AR878" s="416">
        <v>26.5</v>
      </c>
      <c r="AS878" s="416">
        <v>21.3</v>
      </c>
      <c r="AT878" s="416">
        <v>17.2</v>
      </c>
      <c r="AU878" s="416">
        <v>13.9</v>
      </c>
      <c r="AV878" s="416">
        <v>11.1</v>
      </c>
      <c r="AW878" s="416">
        <v>8.73</v>
      </c>
      <c r="AX878" s="416">
        <v>0</v>
      </c>
      <c r="AY878" s="416">
        <v>0</v>
      </c>
      <c r="AZ878" s="416">
        <v>0</v>
      </c>
    </row>
    <row r="879" spans="1:52" s="411" customFormat="1" x14ac:dyDescent="0.3">
      <c r="A879" s="415" t="str">
        <f t="shared" si="13"/>
        <v>SA-403 Gr.304H</v>
      </c>
      <c r="B879" s="415">
        <v>873</v>
      </c>
      <c r="C879" s="415" t="s">
        <v>3277</v>
      </c>
      <c r="D879" s="415" t="s">
        <v>2758</v>
      </c>
      <c r="E879" s="415" t="s">
        <v>2229</v>
      </c>
      <c r="F879" s="415" t="s">
        <v>2244</v>
      </c>
      <c r="G879" s="415" t="s">
        <v>3291</v>
      </c>
      <c r="H879" s="415">
        <v>0</v>
      </c>
      <c r="I879" s="415">
        <v>0</v>
      </c>
      <c r="J879" s="415">
        <v>8</v>
      </c>
      <c r="K879" s="415">
        <v>1</v>
      </c>
      <c r="L879" s="415">
        <v>515</v>
      </c>
      <c r="M879" s="415">
        <v>205</v>
      </c>
      <c r="N879" s="415" t="s">
        <v>2675</v>
      </c>
      <c r="O879" s="415">
        <v>427</v>
      </c>
      <c r="P879" s="415">
        <v>816</v>
      </c>
      <c r="Q879" s="415" t="s">
        <v>2675</v>
      </c>
      <c r="R879" s="415" t="s">
        <v>3269</v>
      </c>
      <c r="S879" s="415" t="s">
        <v>3310</v>
      </c>
      <c r="T879" s="416">
        <v>138</v>
      </c>
      <c r="U879" s="416">
        <v>138</v>
      </c>
      <c r="V879" s="416">
        <v>138</v>
      </c>
      <c r="W879" s="416">
        <v>137</v>
      </c>
      <c r="X879" s="416">
        <v>134</v>
      </c>
      <c r="Y879" s="416">
        <v>130</v>
      </c>
      <c r="Z879" s="416">
        <v>126</v>
      </c>
      <c r="AA879" s="416">
        <v>122</v>
      </c>
      <c r="AB879" s="416">
        <v>116</v>
      </c>
      <c r="AC879" s="416">
        <v>114</v>
      </c>
      <c r="AD879" s="416">
        <v>111</v>
      </c>
      <c r="AE879" s="416">
        <v>109</v>
      </c>
      <c r="AF879" s="416">
        <v>107</v>
      </c>
      <c r="AG879" s="416">
        <v>105</v>
      </c>
      <c r="AH879" s="416">
        <v>103</v>
      </c>
      <c r="AI879" s="416">
        <v>101</v>
      </c>
      <c r="AJ879" s="416">
        <v>99.3</v>
      </c>
      <c r="AK879" s="416">
        <v>98</v>
      </c>
      <c r="AL879" s="416">
        <v>93.3</v>
      </c>
      <c r="AM879" s="416">
        <v>79.599999999999994</v>
      </c>
      <c r="AN879" s="416">
        <v>65.400000000000006</v>
      </c>
      <c r="AO879" s="416">
        <v>51.4</v>
      </c>
      <c r="AP879" s="416">
        <v>41.7</v>
      </c>
      <c r="AQ879" s="416">
        <v>32.9</v>
      </c>
      <c r="AR879" s="416">
        <v>26.5</v>
      </c>
      <c r="AS879" s="416">
        <v>21.3</v>
      </c>
      <c r="AT879" s="416">
        <v>17.2</v>
      </c>
      <c r="AU879" s="416">
        <v>13.9</v>
      </c>
      <c r="AV879" s="416">
        <v>11.1</v>
      </c>
      <c r="AW879" s="416">
        <v>8.73</v>
      </c>
      <c r="AX879" s="416">
        <v>0</v>
      </c>
      <c r="AY879" s="416">
        <v>0</v>
      </c>
      <c r="AZ879" s="416">
        <v>0</v>
      </c>
    </row>
    <row r="880" spans="1:52" s="411" customFormat="1" x14ac:dyDescent="0.3">
      <c r="A880" s="415" t="str">
        <f t="shared" si="13"/>
        <v>SA-409 Gr.TP304</v>
      </c>
      <c r="B880" s="415">
        <v>874</v>
      </c>
      <c r="C880" s="415" t="s">
        <v>3277</v>
      </c>
      <c r="D880" s="415" t="s">
        <v>2680</v>
      </c>
      <c r="E880" s="415" t="s">
        <v>2231</v>
      </c>
      <c r="F880" s="415" t="s">
        <v>2555</v>
      </c>
      <c r="G880" s="415" t="s">
        <v>3290</v>
      </c>
      <c r="H880" s="415">
        <v>0</v>
      </c>
      <c r="I880" s="415">
        <v>0</v>
      </c>
      <c r="J880" s="415">
        <v>8</v>
      </c>
      <c r="K880" s="415">
        <v>1</v>
      </c>
      <c r="L880" s="415">
        <v>515</v>
      </c>
      <c r="M880" s="415">
        <v>205</v>
      </c>
      <c r="N880" s="415" t="s">
        <v>2675</v>
      </c>
      <c r="O880" s="415">
        <v>427</v>
      </c>
      <c r="P880" s="415" t="s">
        <v>2675</v>
      </c>
      <c r="Q880" s="415" t="s">
        <v>2675</v>
      </c>
      <c r="R880" s="415" t="s">
        <v>3269</v>
      </c>
      <c r="S880" s="415" t="s">
        <v>3208</v>
      </c>
      <c r="T880" s="416">
        <v>138</v>
      </c>
      <c r="U880" s="416">
        <v>138</v>
      </c>
      <c r="V880" s="416">
        <v>138</v>
      </c>
      <c r="W880" s="416">
        <v>137</v>
      </c>
      <c r="X880" s="416">
        <v>134</v>
      </c>
      <c r="Y880" s="416">
        <v>130</v>
      </c>
      <c r="Z880" s="416">
        <v>126</v>
      </c>
      <c r="AA880" s="416">
        <v>122</v>
      </c>
      <c r="AB880" s="416">
        <v>116</v>
      </c>
      <c r="AC880" s="416">
        <v>114</v>
      </c>
      <c r="AD880" s="416">
        <v>111</v>
      </c>
      <c r="AE880" s="416">
        <v>109</v>
      </c>
      <c r="AF880" s="416">
        <v>107</v>
      </c>
      <c r="AG880" s="416">
        <v>105</v>
      </c>
      <c r="AH880" s="416">
        <v>103</v>
      </c>
      <c r="AI880" s="416">
        <v>0</v>
      </c>
      <c r="AJ880" s="416">
        <v>0</v>
      </c>
      <c r="AK880" s="416">
        <v>0</v>
      </c>
      <c r="AL880" s="416">
        <v>0</v>
      </c>
      <c r="AM880" s="416">
        <v>0</v>
      </c>
      <c r="AN880" s="416">
        <v>0</v>
      </c>
      <c r="AO880" s="416">
        <v>0</v>
      </c>
      <c r="AP880" s="416">
        <v>0</v>
      </c>
      <c r="AQ880" s="416">
        <v>0</v>
      </c>
      <c r="AR880" s="416">
        <v>0</v>
      </c>
      <c r="AS880" s="416">
        <v>0</v>
      </c>
      <c r="AT880" s="416">
        <v>0</v>
      </c>
      <c r="AU880" s="416">
        <v>0</v>
      </c>
      <c r="AV880" s="416">
        <v>0</v>
      </c>
      <c r="AW880" s="416">
        <v>0</v>
      </c>
      <c r="AX880" s="416">
        <v>0</v>
      </c>
      <c r="AY880" s="416">
        <v>0</v>
      </c>
      <c r="AZ880" s="416">
        <v>0</v>
      </c>
    </row>
    <row r="881" spans="1:52" s="411" customFormat="1" x14ac:dyDescent="0.3">
      <c r="A881" s="415" t="str">
        <f t="shared" si="13"/>
        <v>SA-479 Gr.302</v>
      </c>
      <c r="B881" s="415">
        <v>875</v>
      </c>
      <c r="C881" s="415" t="s">
        <v>3277</v>
      </c>
      <c r="D881" s="415" t="s">
        <v>2677</v>
      </c>
      <c r="E881" s="415" t="s">
        <v>2245</v>
      </c>
      <c r="F881" s="415">
        <v>302</v>
      </c>
      <c r="G881" s="415" t="s">
        <v>3300</v>
      </c>
      <c r="H881" s="415">
        <v>0</v>
      </c>
      <c r="I881" s="415">
        <v>0</v>
      </c>
      <c r="J881" s="415">
        <v>8</v>
      </c>
      <c r="K881" s="415">
        <v>1</v>
      </c>
      <c r="L881" s="415">
        <v>515</v>
      </c>
      <c r="M881" s="415">
        <v>205</v>
      </c>
      <c r="N881" s="415" t="s">
        <v>2675</v>
      </c>
      <c r="O881" s="415">
        <v>427</v>
      </c>
      <c r="P881" s="415">
        <v>399</v>
      </c>
      <c r="Q881" s="415">
        <v>343</v>
      </c>
      <c r="R881" s="415" t="s">
        <v>3269</v>
      </c>
      <c r="S881" s="415" t="s">
        <v>3214</v>
      </c>
      <c r="T881" s="416">
        <v>138</v>
      </c>
      <c r="U881" s="416">
        <v>138</v>
      </c>
      <c r="V881" s="416">
        <v>138</v>
      </c>
      <c r="W881" s="416">
        <v>137</v>
      </c>
      <c r="X881" s="416">
        <v>134</v>
      </c>
      <c r="Y881" s="416">
        <v>130</v>
      </c>
      <c r="Z881" s="416">
        <v>126</v>
      </c>
      <c r="AA881" s="416">
        <v>122</v>
      </c>
      <c r="AB881" s="416">
        <v>116</v>
      </c>
      <c r="AC881" s="416">
        <v>114</v>
      </c>
      <c r="AD881" s="416">
        <v>111</v>
      </c>
      <c r="AE881" s="416">
        <v>109</v>
      </c>
      <c r="AF881" s="416">
        <v>107</v>
      </c>
      <c r="AG881" s="416">
        <v>105</v>
      </c>
      <c r="AH881" s="416">
        <v>103</v>
      </c>
      <c r="AI881" s="416">
        <v>0</v>
      </c>
      <c r="AJ881" s="416">
        <v>0</v>
      </c>
      <c r="AK881" s="416">
        <v>0</v>
      </c>
      <c r="AL881" s="416">
        <v>0</v>
      </c>
      <c r="AM881" s="416">
        <v>0</v>
      </c>
      <c r="AN881" s="416">
        <v>0</v>
      </c>
      <c r="AO881" s="416">
        <v>0</v>
      </c>
      <c r="AP881" s="416">
        <v>0</v>
      </c>
      <c r="AQ881" s="416">
        <v>0</v>
      </c>
      <c r="AR881" s="416">
        <v>0</v>
      </c>
      <c r="AS881" s="416">
        <v>0</v>
      </c>
      <c r="AT881" s="416">
        <v>0</v>
      </c>
      <c r="AU881" s="416">
        <v>0</v>
      </c>
      <c r="AV881" s="416">
        <v>0</v>
      </c>
      <c r="AW881" s="416">
        <v>0</v>
      </c>
      <c r="AX881" s="416">
        <v>0</v>
      </c>
      <c r="AY881" s="416">
        <v>0</v>
      </c>
      <c r="AZ881" s="416">
        <v>0</v>
      </c>
    </row>
    <row r="882" spans="1:52" s="411" customFormat="1" x14ac:dyDescent="0.3">
      <c r="A882" s="415" t="str">
        <f t="shared" si="13"/>
        <v>SA-479 Gr.302</v>
      </c>
      <c r="B882" s="415">
        <v>876</v>
      </c>
      <c r="C882" s="415" t="s">
        <v>3277</v>
      </c>
      <c r="D882" s="415" t="s">
        <v>2677</v>
      </c>
      <c r="E882" s="415" t="s">
        <v>2245</v>
      </c>
      <c r="F882" s="415">
        <v>302</v>
      </c>
      <c r="G882" s="415" t="s">
        <v>3300</v>
      </c>
      <c r="H882" s="415">
        <v>0</v>
      </c>
      <c r="I882" s="415">
        <v>0</v>
      </c>
      <c r="J882" s="415">
        <v>8</v>
      </c>
      <c r="K882" s="415">
        <v>1</v>
      </c>
      <c r="L882" s="415">
        <v>515</v>
      </c>
      <c r="M882" s="415">
        <v>205</v>
      </c>
      <c r="N882" s="415" t="s">
        <v>2675</v>
      </c>
      <c r="O882" s="415" t="s">
        <v>2675</v>
      </c>
      <c r="P882" s="415">
        <v>399</v>
      </c>
      <c r="Q882" s="415">
        <v>343</v>
      </c>
      <c r="R882" s="415" t="s">
        <v>3269</v>
      </c>
      <c r="S882" s="415" t="s">
        <v>3273</v>
      </c>
      <c r="T882" s="416">
        <v>138</v>
      </c>
      <c r="U882" s="416">
        <v>138</v>
      </c>
      <c r="V882" s="416">
        <v>126</v>
      </c>
      <c r="W882" s="416">
        <v>113</v>
      </c>
      <c r="X882" s="416">
        <v>107</v>
      </c>
      <c r="Y882" s="416">
        <v>103</v>
      </c>
      <c r="Z882" s="416">
        <v>95.7</v>
      </c>
      <c r="AA882" s="416">
        <v>90</v>
      </c>
      <c r="AB882" s="416">
        <v>85.6</v>
      </c>
      <c r="AC882" s="416">
        <v>83.9</v>
      </c>
      <c r="AD882" s="416">
        <v>82.3</v>
      </c>
      <c r="AE882" s="416">
        <v>80.5</v>
      </c>
      <c r="AF882" s="416">
        <v>79.2</v>
      </c>
      <c r="AG882" s="416">
        <v>0</v>
      </c>
      <c r="AH882" s="416">
        <v>0</v>
      </c>
      <c r="AI882" s="416">
        <v>0</v>
      </c>
      <c r="AJ882" s="416">
        <v>0</v>
      </c>
      <c r="AK882" s="416">
        <v>0</v>
      </c>
      <c r="AL882" s="416">
        <v>0</v>
      </c>
      <c r="AM882" s="416">
        <v>0</v>
      </c>
      <c r="AN882" s="416">
        <v>0</v>
      </c>
      <c r="AO882" s="416">
        <v>0</v>
      </c>
      <c r="AP882" s="416">
        <v>0</v>
      </c>
      <c r="AQ882" s="416">
        <v>0</v>
      </c>
      <c r="AR882" s="416">
        <v>0</v>
      </c>
      <c r="AS882" s="416">
        <v>0</v>
      </c>
      <c r="AT882" s="416">
        <v>0</v>
      </c>
      <c r="AU882" s="416">
        <v>0</v>
      </c>
      <c r="AV882" s="416">
        <v>0</v>
      </c>
      <c r="AW882" s="416">
        <v>0</v>
      </c>
      <c r="AX882" s="416">
        <v>0</v>
      </c>
      <c r="AY882" s="416">
        <v>0</v>
      </c>
      <c r="AZ882" s="416">
        <v>0</v>
      </c>
    </row>
    <row r="883" spans="1:52" s="411" customFormat="1" x14ac:dyDescent="0.3">
      <c r="A883" s="415" t="str">
        <f t="shared" si="13"/>
        <v>SA-479 Gr.304</v>
      </c>
      <c r="B883" s="415">
        <v>877</v>
      </c>
      <c r="C883" s="415" t="s">
        <v>3277</v>
      </c>
      <c r="D883" s="415" t="s">
        <v>2677</v>
      </c>
      <c r="E883" s="415" t="s">
        <v>2245</v>
      </c>
      <c r="F883" s="415">
        <v>304</v>
      </c>
      <c r="G883" s="415" t="s">
        <v>3290</v>
      </c>
      <c r="H883" s="415">
        <v>0</v>
      </c>
      <c r="I883" s="415">
        <v>0</v>
      </c>
      <c r="J883" s="415">
        <v>8</v>
      </c>
      <c r="K883" s="415">
        <v>1</v>
      </c>
      <c r="L883" s="415">
        <v>515</v>
      </c>
      <c r="M883" s="415">
        <v>205</v>
      </c>
      <c r="N883" s="415">
        <v>816</v>
      </c>
      <c r="O883" s="415">
        <v>427</v>
      </c>
      <c r="P883" s="415">
        <v>816</v>
      </c>
      <c r="Q883" s="415">
        <v>343</v>
      </c>
      <c r="R883" s="415" t="s">
        <v>3269</v>
      </c>
      <c r="S883" s="415" t="s">
        <v>3311</v>
      </c>
      <c r="T883" s="416">
        <v>138</v>
      </c>
      <c r="U883" s="416">
        <v>138</v>
      </c>
      <c r="V883" s="416">
        <v>138</v>
      </c>
      <c r="W883" s="416">
        <v>137</v>
      </c>
      <c r="X883" s="416">
        <v>134</v>
      </c>
      <c r="Y883" s="416">
        <v>130</v>
      </c>
      <c r="Z883" s="416">
        <v>126</v>
      </c>
      <c r="AA883" s="416">
        <v>122</v>
      </c>
      <c r="AB883" s="416">
        <v>116</v>
      </c>
      <c r="AC883" s="416">
        <v>114</v>
      </c>
      <c r="AD883" s="416">
        <v>111</v>
      </c>
      <c r="AE883" s="416">
        <v>109</v>
      </c>
      <c r="AF883" s="416">
        <v>107</v>
      </c>
      <c r="AG883" s="416">
        <v>105</v>
      </c>
      <c r="AH883" s="416">
        <v>103</v>
      </c>
      <c r="AI883" s="416">
        <v>101</v>
      </c>
      <c r="AJ883" s="416">
        <v>99.3</v>
      </c>
      <c r="AK883" s="416">
        <v>98</v>
      </c>
      <c r="AL883" s="416">
        <v>93.3</v>
      </c>
      <c r="AM883" s="416">
        <v>79.599999999999994</v>
      </c>
      <c r="AN883" s="416">
        <v>65.400000000000006</v>
      </c>
      <c r="AO883" s="416">
        <v>51.4</v>
      </c>
      <c r="AP883" s="416">
        <v>41.7</v>
      </c>
      <c r="AQ883" s="416">
        <v>32.9</v>
      </c>
      <c r="AR883" s="416">
        <v>26.5</v>
      </c>
      <c r="AS883" s="416">
        <v>21.3</v>
      </c>
      <c r="AT883" s="416">
        <v>17.2</v>
      </c>
      <c r="AU883" s="416">
        <v>13.9</v>
      </c>
      <c r="AV883" s="416">
        <v>11.1</v>
      </c>
      <c r="AW883" s="416">
        <v>8.73</v>
      </c>
      <c r="AX883" s="416">
        <v>0</v>
      </c>
      <c r="AY883" s="416">
        <v>0</v>
      </c>
      <c r="AZ883" s="416">
        <v>0</v>
      </c>
    </row>
    <row r="884" spans="1:52" s="411" customFormat="1" x14ac:dyDescent="0.3">
      <c r="A884" s="415" t="str">
        <f t="shared" si="13"/>
        <v>SA-479 Gr.304</v>
      </c>
      <c r="B884" s="415">
        <v>878</v>
      </c>
      <c r="C884" s="415" t="s">
        <v>3277</v>
      </c>
      <c r="D884" s="415" t="s">
        <v>2677</v>
      </c>
      <c r="E884" s="415" t="s">
        <v>2245</v>
      </c>
      <c r="F884" s="415">
        <v>304</v>
      </c>
      <c r="G884" s="415" t="s">
        <v>3290</v>
      </c>
      <c r="H884" s="415">
        <v>0</v>
      </c>
      <c r="I884" s="415">
        <v>0</v>
      </c>
      <c r="J884" s="415">
        <v>8</v>
      </c>
      <c r="K884" s="415">
        <v>1</v>
      </c>
      <c r="L884" s="415">
        <v>515</v>
      </c>
      <c r="M884" s="415">
        <v>205</v>
      </c>
      <c r="N884" s="415">
        <v>816</v>
      </c>
      <c r="O884" s="415" t="s">
        <v>2675</v>
      </c>
      <c r="P884" s="415">
        <v>816</v>
      </c>
      <c r="Q884" s="415">
        <v>343</v>
      </c>
      <c r="R884" s="415" t="s">
        <v>3269</v>
      </c>
      <c r="S884" s="415" t="s">
        <v>3312</v>
      </c>
      <c r="T884" s="416">
        <v>138</v>
      </c>
      <c r="U884" s="416">
        <v>138</v>
      </c>
      <c r="V884" s="416">
        <v>126</v>
      </c>
      <c r="W884" s="416">
        <v>113</v>
      </c>
      <c r="X884" s="416">
        <v>107</v>
      </c>
      <c r="Y884" s="416">
        <v>103</v>
      </c>
      <c r="Z884" s="416">
        <v>95.7</v>
      </c>
      <c r="AA884" s="416">
        <v>89.9</v>
      </c>
      <c r="AB884" s="416">
        <v>85.9</v>
      </c>
      <c r="AC884" s="416">
        <v>84.1</v>
      </c>
      <c r="AD884" s="416">
        <v>82.2</v>
      </c>
      <c r="AE884" s="416">
        <v>80.5</v>
      </c>
      <c r="AF884" s="416">
        <v>79.2</v>
      </c>
      <c r="AG884" s="416">
        <v>77.3</v>
      </c>
      <c r="AH884" s="416">
        <v>76</v>
      </c>
      <c r="AI884" s="416">
        <v>74.8</v>
      </c>
      <c r="AJ884" s="416">
        <v>73.599999999999994</v>
      </c>
      <c r="AK884" s="416">
        <v>72.400000000000006</v>
      </c>
      <c r="AL884" s="416">
        <v>70.8</v>
      </c>
      <c r="AM884" s="416">
        <v>68.900000000000006</v>
      </c>
      <c r="AN884" s="416">
        <v>65.400000000000006</v>
      </c>
      <c r="AO884" s="416">
        <v>51.4</v>
      </c>
      <c r="AP884" s="416">
        <v>41.7</v>
      </c>
      <c r="AQ884" s="416">
        <v>32.9</v>
      </c>
      <c r="AR884" s="416">
        <v>26.5</v>
      </c>
      <c r="AS884" s="416">
        <v>21.3</v>
      </c>
      <c r="AT884" s="416">
        <v>17.2</v>
      </c>
      <c r="AU884" s="416">
        <v>13.9</v>
      </c>
      <c r="AV884" s="416">
        <v>11.1</v>
      </c>
      <c r="AW884" s="416">
        <v>8.73</v>
      </c>
      <c r="AX884" s="416">
        <v>0</v>
      </c>
      <c r="AY884" s="416">
        <v>0</v>
      </c>
      <c r="AZ884" s="416">
        <v>0</v>
      </c>
    </row>
    <row r="885" spans="1:52" s="411" customFormat="1" x14ac:dyDescent="0.3">
      <c r="A885" s="415" t="str">
        <f t="shared" si="13"/>
        <v>SA-479 Gr.304H</v>
      </c>
      <c r="B885" s="415">
        <v>879</v>
      </c>
      <c r="C885" s="415" t="s">
        <v>3277</v>
      </c>
      <c r="D885" s="415" t="s">
        <v>2677</v>
      </c>
      <c r="E885" s="415" t="s">
        <v>2245</v>
      </c>
      <c r="F885" s="415" t="s">
        <v>2244</v>
      </c>
      <c r="G885" s="415" t="s">
        <v>3291</v>
      </c>
      <c r="H885" s="415">
        <v>0</v>
      </c>
      <c r="I885" s="415">
        <v>0</v>
      </c>
      <c r="J885" s="415">
        <v>8</v>
      </c>
      <c r="K885" s="415">
        <v>1</v>
      </c>
      <c r="L885" s="415">
        <v>515</v>
      </c>
      <c r="M885" s="415">
        <v>205</v>
      </c>
      <c r="N885" s="415">
        <v>816</v>
      </c>
      <c r="O885" s="415">
        <v>427</v>
      </c>
      <c r="P885" s="415">
        <v>816</v>
      </c>
      <c r="Q885" s="415" t="s">
        <v>2675</v>
      </c>
      <c r="R885" s="415" t="s">
        <v>3269</v>
      </c>
      <c r="S885" s="415" t="s">
        <v>3313</v>
      </c>
      <c r="T885" s="416">
        <v>138</v>
      </c>
      <c r="U885" s="416">
        <v>138</v>
      </c>
      <c r="V885" s="416">
        <v>138</v>
      </c>
      <c r="W885" s="416">
        <v>137</v>
      </c>
      <c r="X885" s="416">
        <v>134</v>
      </c>
      <c r="Y885" s="416">
        <v>130</v>
      </c>
      <c r="Z885" s="416">
        <v>126</v>
      </c>
      <c r="AA885" s="416">
        <v>122</v>
      </c>
      <c r="AB885" s="416">
        <v>116</v>
      </c>
      <c r="AC885" s="416">
        <v>114</v>
      </c>
      <c r="AD885" s="416">
        <v>111</v>
      </c>
      <c r="AE885" s="416">
        <v>109</v>
      </c>
      <c r="AF885" s="416">
        <v>107</v>
      </c>
      <c r="AG885" s="416">
        <v>105</v>
      </c>
      <c r="AH885" s="416">
        <v>103</v>
      </c>
      <c r="AI885" s="416">
        <v>101</v>
      </c>
      <c r="AJ885" s="416">
        <v>99.3</v>
      </c>
      <c r="AK885" s="416">
        <v>98</v>
      </c>
      <c r="AL885" s="416">
        <v>93.3</v>
      </c>
      <c r="AM885" s="416">
        <v>79.599999999999994</v>
      </c>
      <c r="AN885" s="416">
        <v>65.400000000000006</v>
      </c>
      <c r="AO885" s="416">
        <v>51.4</v>
      </c>
      <c r="AP885" s="416">
        <v>41.7</v>
      </c>
      <c r="AQ885" s="416">
        <v>32.9</v>
      </c>
      <c r="AR885" s="416">
        <v>26.5</v>
      </c>
      <c r="AS885" s="416">
        <v>21.3</v>
      </c>
      <c r="AT885" s="416">
        <v>17.2</v>
      </c>
      <c r="AU885" s="416">
        <v>13.9</v>
      </c>
      <c r="AV885" s="416">
        <v>11.1</v>
      </c>
      <c r="AW885" s="416">
        <v>8.73</v>
      </c>
      <c r="AX885" s="416">
        <v>0</v>
      </c>
      <c r="AY885" s="416">
        <v>0</v>
      </c>
      <c r="AZ885" s="416">
        <v>0</v>
      </c>
    </row>
    <row r="886" spans="1:52" s="411" customFormat="1" x14ac:dyDescent="0.3">
      <c r="A886" s="415" t="str">
        <f t="shared" si="13"/>
        <v>SA-479 Gr.304H</v>
      </c>
      <c r="B886" s="415">
        <v>880</v>
      </c>
      <c r="C886" s="415" t="s">
        <v>3277</v>
      </c>
      <c r="D886" s="415" t="s">
        <v>2677</v>
      </c>
      <c r="E886" s="415" t="s">
        <v>2245</v>
      </c>
      <c r="F886" s="415" t="s">
        <v>2244</v>
      </c>
      <c r="G886" s="415" t="s">
        <v>3291</v>
      </c>
      <c r="H886" s="415">
        <v>0</v>
      </c>
      <c r="I886" s="415">
        <v>0</v>
      </c>
      <c r="J886" s="415">
        <v>8</v>
      </c>
      <c r="K886" s="415">
        <v>1</v>
      </c>
      <c r="L886" s="415">
        <v>515</v>
      </c>
      <c r="M886" s="415">
        <v>205</v>
      </c>
      <c r="N886" s="415">
        <v>816</v>
      </c>
      <c r="O886" s="415" t="s">
        <v>2675</v>
      </c>
      <c r="P886" s="415">
        <v>816</v>
      </c>
      <c r="Q886" s="415" t="s">
        <v>2675</v>
      </c>
      <c r="R886" s="415" t="s">
        <v>3269</v>
      </c>
      <c r="S886" s="415" t="s">
        <v>3314</v>
      </c>
      <c r="T886" s="416">
        <v>138</v>
      </c>
      <c r="U886" s="416">
        <v>138</v>
      </c>
      <c r="V886" s="416">
        <v>126</v>
      </c>
      <c r="W886" s="416">
        <v>113</v>
      </c>
      <c r="X886" s="416">
        <v>107</v>
      </c>
      <c r="Y886" s="416">
        <v>103</v>
      </c>
      <c r="Z886" s="416">
        <v>95.7</v>
      </c>
      <c r="AA886" s="416">
        <v>89.9</v>
      </c>
      <c r="AB886" s="416">
        <v>85.9</v>
      </c>
      <c r="AC886" s="416">
        <v>84.1</v>
      </c>
      <c r="AD886" s="416">
        <v>82.2</v>
      </c>
      <c r="AE886" s="416">
        <v>80.5</v>
      </c>
      <c r="AF886" s="416">
        <v>79.2</v>
      </c>
      <c r="AG886" s="416">
        <v>77.3</v>
      </c>
      <c r="AH886" s="416">
        <v>76</v>
      </c>
      <c r="AI886" s="416">
        <v>74.8</v>
      </c>
      <c r="AJ886" s="416">
        <v>73.599999999999994</v>
      </c>
      <c r="AK886" s="416">
        <v>72.400000000000006</v>
      </c>
      <c r="AL886" s="416">
        <v>70.8</v>
      </c>
      <c r="AM886" s="416">
        <v>68.900000000000006</v>
      </c>
      <c r="AN886" s="416">
        <v>65.400000000000006</v>
      </c>
      <c r="AO886" s="416">
        <v>51.4</v>
      </c>
      <c r="AP886" s="416">
        <v>41.7</v>
      </c>
      <c r="AQ886" s="416">
        <v>32.9</v>
      </c>
      <c r="AR886" s="416">
        <v>26.5</v>
      </c>
      <c r="AS886" s="416">
        <v>21.3</v>
      </c>
      <c r="AT886" s="416">
        <v>17.2</v>
      </c>
      <c r="AU886" s="416">
        <v>13.9</v>
      </c>
      <c r="AV886" s="416">
        <v>11.1</v>
      </c>
      <c r="AW886" s="416">
        <v>8.73</v>
      </c>
      <c r="AX886" s="416">
        <v>0</v>
      </c>
      <c r="AY886" s="416">
        <v>0</v>
      </c>
      <c r="AZ886" s="416">
        <v>0</v>
      </c>
    </row>
    <row r="887" spans="1:52" s="411" customFormat="1" x14ac:dyDescent="0.3">
      <c r="A887" s="415" t="str">
        <f t="shared" si="13"/>
        <v>SA-688 Gr.TP304</v>
      </c>
      <c r="B887" s="415">
        <v>881</v>
      </c>
      <c r="C887" s="415" t="s">
        <v>3277</v>
      </c>
      <c r="D887" s="415" t="s">
        <v>2689</v>
      </c>
      <c r="E887" s="415" t="s">
        <v>2301</v>
      </c>
      <c r="F887" s="415" t="s">
        <v>2555</v>
      </c>
      <c r="G887" s="415" t="s">
        <v>3290</v>
      </c>
      <c r="H887" s="415">
        <v>0</v>
      </c>
      <c r="I887" s="415">
        <v>0</v>
      </c>
      <c r="J887" s="415">
        <v>8</v>
      </c>
      <c r="K887" s="415">
        <v>1</v>
      </c>
      <c r="L887" s="415">
        <v>515</v>
      </c>
      <c r="M887" s="415">
        <v>205</v>
      </c>
      <c r="N887" s="415" t="s">
        <v>2675</v>
      </c>
      <c r="O887" s="415">
        <v>427</v>
      </c>
      <c r="P887" s="415" t="s">
        <v>2675</v>
      </c>
      <c r="Q887" s="415" t="s">
        <v>2675</v>
      </c>
      <c r="R887" s="415" t="s">
        <v>3269</v>
      </c>
      <c r="S887" s="415" t="s">
        <v>3208</v>
      </c>
      <c r="T887" s="416">
        <v>138</v>
      </c>
      <c r="U887" s="416">
        <v>138</v>
      </c>
      <c r="V887" s="416">
        <v>138</v>
      </c>
      <c r="W887" s="416">
        <v>137</v>
      </c>
      <c r="X887" s="416">
        <v>134</v>
      </c>
      <c r="Y887" s="416">
        <v>130</v>
      </c>
      <c r="Z887" s="416">
        <v>126</v>
      </c>
      <c r="AA887" s="416">
        <v>122</v>
      </c>
      <c r="AB887" s="416">
        <v>116</v>
      </c>
      <c r="AC887" s="416">
        <v>114</v>
      </c>
      <c r="AD887" s="416">
        <v>111</v>
      </c>
      <c r="AE887" s="416">
        <v>109</v>
      </c>
      <c r="AF887" s="416">
        <v>107</v>
      </c>
      <c r="AG887" s="416">
        <v>105</v>
      </c>
      <c r="AH887" s="416">
        <v>103</v>
      </c>
      <c r="AI887" s="416">
        <v>0</v>
      </c>
      <c r="AJ887" s="416">
        <v>0</v>
      </c>
      <c r="AK887" s="416">
        <v>0</v>
      </c>
      <c r="AL887" s="416">
        <v>0</v>
      </c>
      <c r="AM887" s="416">
        <v>0</v>
      </c>
      <c r="AN887" s="416">
        <v>0</v>
      </c>
      <c r="AO887" s="416">
        <v>0</v>
      </c>
      <c r="AP887" s="416">
        <v>0</v>
      </c>
      <c r="AQ887" s="416">
        <v>0</v>
      </c>
      <c r="AR887" s="416">
        <v>0</v>
      </c>
      <c r="AS887" s="416">
        <v>0</v>
      </c>
      <c r="AT887" s="416">
        <v>0</v>
      </c>
      <c r="AU887" s="416">
        <v>0</v>
      </c>
      <c r="AV887" s="416">
        <v>0</v>
      </c>
      <c r="AW887" s="416">
        <v>0</v>
      </c>
      <c r="AX887" s="416">
        <v>0</v>
      </c>
      <c r="AY887" s="416">
        <v>0</v>
      </c>
      <c r="AZ887" s="416">
        <v>0</v>
      </c>
    </row>
    <row r="888" spans="1:52" s="411" customFormat="1" x14ac:dyDescent="0.3">
      <c r="A888" s="415" t="str">
        <f t="shared" si="13"/>
        <v>SA-688 Gr.TP304</v>
      </c>
      <c r="B888" s="415">
        <v>882</v>
      </c>
      <c r="C888" s="415" t="s">
        <v>3277</v>
      </c>
      <c r="D888" s="415" t="s">
        <v>2689</v>
      </c>
      <c r="E888" s="415" t="s">
        <v>2301</v>
      </c>
      <c r="F888" s="415" t="s">
        <v>2555</v>
      </c>
      <c r="G888" s="415" t="s">
        <v>3290</v>
      </c>
      <c r="H888" s="415">
        <v>0</v>
      </c>
      <c r="I888" s="415">
        <v>0</v>
      </c>
      <c r="J888" s="415">
        <v>8</v>
      </c>
      <c r="K888" s="415">
        <v>1</v>
      </c>
      <c r="L888" s="415">
        <v>515</v>
      </c>
      <c r="M888" s="415">
        <v>205</v>
      </c>
      <c r="N888" s="415" t="s">
        <v>2675</v>
      </c>
      <c r="O888" s="415" t="s">
        <v>2675</v>
      </c>
      <c r="P888" s="415">
        <v>816</v>
      </c>
      <c r="Q888" s="415">
        <v>343</v>
      </c>
      <c r="R888" s="415" t="s">
        <v>3269</v>
      </c>
      <c r="S888" s="415" t="s">
        <v>3236</v>
      </c>
      <c r="T888" s="416">
        <v>117</v>
      </c>
      <c r="U888" s="416">
        <v>117</v>
      </c>
      <c r="V888" s="416">
        <v>117</v>
      </c>
      <c r="W888" s="416">
        <v>117</v>
      </c>
      <c r="X888" s="416">
        <v>114</v>
      </c>
      <c r="Y888" s="416">
        <v>111</v>
      </c>
      <c r="Z888" s="416">
        <v>107</v>
      </c>
      <c r="AA888" s="416">
        <v>103</v>
      </c>
      <c r="AB888" s="416">
        <v>98.5</v>
      </c>
      <c r="AC888" s="416">
        <v>96.5</v>
      </c>
      <c r="AD888" s="416">
        <v>94.7</v>
      </c>
      <c r="AE888" s="416">
        <v>92.8</v>
      </c>
      <c r="AF888" s="416">
        <v>90.9</v>
      </c>
      <c r="AG888" s="416">
        <v>89.1</v>
      </c>
      <c r="AH888" s="416">
        <v>87.1</v>
      </c>
      <c r="AI888" s="416">
        <v>85.9</v>
      </c>
      <c r="AJ888" s="416">
        <v>84</v>
      </c>
      <c r="AK888" s="416">
        <v>83.2</v>
      </c>
      <c r="AL888" s="416">
        <v>79</v>
      </c>
      <c r="AM888" s="416">
        <v>67.3</v>
      </c>
      <c r="AN888" s="416">
        <v>55.4</v>
      </c>
      <c r="AO888" s="416">
        <v>44.1</v>
      </c>
      <c r="AP888" s="416">
        <v>35.5</v>
      </c>
      <c r="AQ888" s="416">
        <v>28</v>
      </c>
      <c r="AR888" s="416">
        <v>22.2</v>
      </c>
      <c r="AS888" s="416">
        <v>18.2</v>
      </c>
      <c r="AT888" s="416">
        <v>15</v>
      </c>
      <c r="AU888" s="416">
        <v>12.3</v>
      </c>
      <c r="AV888" s="416">
        <v>9.83</v>
      </c>
      <c r="AW888" s="416">
        <v>7.33</v>
      </c>
      <c r="AX888" s="416">
        <v>0</v>
      </c>
      <c r="AY888" s="416">
        <v>0</v>
      </c>
      <c r="AZ888" s="416">
        <v>0</v>
      </c>
    </row>
    <row r="889" spans="1:52" s="411" customFormat="1" x14ac:dyDescent="0.3">
      <c r="A889" s="415" t="str">
        <f t="shared" si="13"/>
        <v>SA-688 Gr.TP304</v>
      </c>
      <c r="B889" s="415">
        <v>883</v>
      </c>
      <c r="C889" s="415" t="s">
        <v>3277</v>
      </c>
      <c r="D889" s="415" t="s">
        <v>2689</v>
      </c>
      <c r="E889" s="415" t="s">
        <v>2301</v>
      </c>
      <c r="F889" s="415" t="s">
        <v>2555</v>
      </c>
      <c r="G889" s="415" t="s">
        <v>3290</v>
      </c>
      <c r="H889" s="415">
        <v>0</v>
      </c>
      <c r="I889" s="415">
        <v>0</v>
      </c>
      <c r="J889" s="415">
        <v>8</v>
      </c>
      <c r="K889" s="415">
        <v>1</v>
      </c>
      <c r="L889" s="415">
        <v>515</v>
      </c>
      <c r="M889" s="415">
        <v>205</v>
      </c>
      <c r="N889" s="415" t="s">
        <v>2675</v>
      </c>
      <c r="O889" s="415" t="s">
        <v>2675</v>
      </c>
      <c r="P889" s="415">
        <v>816</v>
      </c>
      <c r="Q889" s="415">
        <v>343</v>
      </c>
      <c r="R889" s="415" t="s">
        <v>3269</v>
      </c>
      <c r="S889" s="415" t="s">
        <v>3315</v>
      </c>
      <c r="T889" s="416">
        <v>117</v>
      </c>
      <c r="U889" s="416">
        <v>117</v>
      </c>
      <c r="V889" s="416">
        <v>107</v>
      </c>
      <c r="W889" s="416">
        <v>96.2</v>
      </c>
      <c r="X889" s="416">
        <v>91.2</v>
      </c>
      <c r="Y889" s="416">
        <v>87.4</v>
      </c>
      <c r="Z889" s="416">
        <v>81.099999999999994</v>
      </c>
      <c r="AA889" s="416">
        <v>76.599999999999994</v>
      </c>
      <c r="AB889" s="416">
        <v>72.7</v>
      </c>
      <c r="AC889" s="416">
        <v>71.2</v>
      </c>
      <c r="AD889" s="416">
        <v>70</v>
      </c>
      <c r="AE889" s="416">
        <v>68.8</v>
      </c>
      <c r="AF889" s="416">
        <v>67.5</v>
      </c>
      <c r="AG889" s="416">
        <v>66.3</v>
      </c>
      <c r="AH889" s="416">
        <v>65</v>
      </c>
      <c r="AI889" s="416">
        <v>63.8</v>
      </c>
      <c r="AJ889" s="416">
        <v>62.6</v>
      </c>
      <c r="AK889" s="416">
        <v>61.3</v>
      </c>
      <c r="AL889" s="416">
        <v>60.1</v>
      </c>
      <c r="AM889" s="416">
        <v>58.6</v>
      </c>
      <c r="AN889" s="416">
        <v>55.4</v>
      </c>
      <c r="AO889" s="416">
        <v>44.1</v>
      </c>
      <c r="AP889" s="416">
        <v>35.5</v>
      </c>
      <c r="AQ889" s="416">
        <v>28</v>
      </c>
      <c r="AR889" s="416">
        <v>22.2</v>
      </c>
      <c r="AS889" s="416">
        <v>18.2</v>
      </c>
      <c r="AT889" s="416">
        <v>15</v>
      </c>
      <c r="AU889" s="416">
        <v>12.3</v>
      </c>
      <c r="AV889" s="416">
        <v>9.83</v>
      </c>
      <c r="AW889" s="416">
        <v>7.33</v>
      </c>
      <c r="AX889" s="416">
        <v>0</v>
      </c>
      <c r="AY889" s="416">
        <v>0</v>
      </c>
      <c r="AZ889" s="416">
        <v>0</v>
      </c>
    </row>
    <row r="890" spans="1:52" s="411" customFormat="1" x14ac:dyDescent="0.3">
      <c r="A890" s="415" t="str">
        <f t="shared" si="13"/>
        <v>SA-813 Gr.TP304</v>
      </c>
      <c r="B890" s="415">
        <v>884</v>
      </c>
      <c r="C890" s="415" t="s">
        <v>3277</v>
      </c>
      <c r="D890" s="415" t="s">
        <v>2680</v>
      </c>
      <c r="E890" s="415" t="s">
        <v>2328</v>
      </c>
      <c r="F890" s="415" t="s">
        <v>2555</v>
      </c>
      <c r="G890" s="415" t="s">
        <v>3290</v>
      </c>
      <c r="H890" s="415">
        <v>0</v>
      </c>
      <c r="I890" s="415">
        <v>0</v>
      </c>
      <c r="J890" s="415">
        <v>8</v>
      </c>
      <c r="K890" s="415">
        <v>1</v>
      </c>
      <c r="L890" s="415">
        <v>515</v>
      </c>
      <c r="M890" s="415">
        <v>205</v>
      </c>
      <c r="N890" s="415" t="s">
        <v>2675</v>
      </c>
      <c r="O890" s="415">
        <v>427</v>
      </c>
      <c r="P890" s="415" t="s">
        <v>2675</v>
      </c>
      <c r="Q890" s="415" t="s">
        <v>2675</v>
      </c>
      <c r="R890" s="415" t="s">
        <v>3269</v>
      </c>
      <c r="S890" s="415" t="s">
        <v>3208</v>
      </c>
      <c r="T890" s="416">
        <v>138</v>
      </c>
      <c r="U890" s="416">
        <v>138</v>
      </c>
      <c r="V890" s="416">
        <v>138</v>
      </c>
      <c r="W890" s="416">
        <v>137</v>
      </c>
      <c r="X890" s="416">
        <v>134</v>
      </c>
      <c r="Y890" s="416">
        <v>130</v>
      </c>
      <c r="Z890" s="416">
        <v>126</v>
      </c>
      <c r="AA890" s="416">
        <v>122</v>
      </c>
      <c r="AB890" s="416">
        <v>116</v>
      </c>
      <c r="AC890" s="416">
        <v>114</v>
      </c>
      <c r="AD890" s="416">
        <v>111</v>
      </c>
      <c r="AE890" s="416">
        <v>109</v>
      </c>
      <c r="AF890" s="416">
        <v>107</v>
      </c>
      <c r="AG890" s="416">
        <v>105</v>
      </c>
      <c r="AH890" s="416">
        <v>103</v>
      </c>
      <c r="AI890" s="416">
        <v>0</v>
      </c>
      <c r="AJ890" s="416">
        <v>0</v>
      </c>
      <c r="AK890" s="416">
        <v>0</v>
      </c>
      <c r="AL890" s="416">
        <v>0</v>
      </c>
      <c r="AM890" s="416">
        <v>0</v>
      </c>
      <c r="AN890" s="416">
        <v>0</v>
      </c>
      <c r="AO890" s="416">
        <v>0</v>
      </c>
      <c r="AP890" s="416">
        <v>0</v>
      </c>
      <c r="AQ890" s="416">
        <v>0</v>
      </c>
      <c r="AR890" s="416">
        <v>0</v>
      </c>
      <c r="AS890" s="416">
        <v>0</v>
      </c>
      <c r="AT890" s="416">
        <v>0</v>
      </c>
      <c r="AU890" s="416">
        <v>0</v>
      </c>
      <c r="AV890" s="416">
        <v>0</v>
      </c>
      <c r="AW890" s="416">
        <v>0</v>
      </c>
      <c r="AX890" s="416">
        <v>0</v>
      </c>
      <c r="AY890" s="416">
        <v>0</v>
      </c>
      <c r="AZ890" s="416">
        <v>0</v>
      </c>
    </row>
    <row r="891" spans="1:52" s="411" customFormat="1" x14ac:dyDescent="0.3">
      <c r="A891" s="415" t="str">
        <f t="shared" si="13"/>
        <v>SA-813 Gr.TP304H</v>
      </c>
      <c r="B891" s="415">
        <v>885</v>
      </c>
      <c r="C891" s="415" t="s">
        <v>3277</v>
      </c>
      <c r="D891" s="415" t="s">
        <v>2680</v>
      </c>
      <c r="E891" s="415" t="s">
        <v>2328</v>
      </c>
      <c r="F891" s="415" t="s">
        <v>2556</v>
      </c>
      <c r="G891" s="415" t="s">
        <v>3291</v>
      </c>
      <c r="H891" s="415">
        <v>0</v>
      </c>
      <c r="I891" s="415">
        <v>0</v>
      </c>
      <c r="J891" s="415">
        <v>8</v>
      </c>
      <c r="K891" s="415">
        <v>1</v>
      </c>
      <c r="L891" s="415">
        <v>515</v>
      </c>
      <c r="M891" s="415">
        <v>205</v>
      </c>
      <c r="N891" s="415" t="s">
        <v>2675</v>
      </c>
      <c r="O891" s="415">
        <v>427</v>
      </c>
      <c r="P891" s="415" t="s">
        <v>2675</v>
      </c>
      <c r="Q891" s="415" t="s">
        <v>2675</v>
      </c>
      <c r="R891" s="415" t="s">
        <v>3269</v>
      </c>
      <c r="S891" s="415" t="s">
        <v>3208</v>
      </c>
      <c r="T891" s="416">
        <v>138</v>
      </c>
      <c r="U891" s="416">
        <v>138</v>
      </c>
      <c r="V891" s="416">
        <v>138</v>
      </c>
      <c r="W891" s="416">
        <v>137</v>
      </c>
      <c r="X891" s="416">
        <v>134</v>
      </c>
      <c r="Y891" s="416">
        <v>130</v>
      </c>
      <c r="Z891" s="416">
        <v>126</v>
      </c>
      <c r="AA891" s="416">
        <v>122</v>
      </c>
      <c r="AB891" s="416">
        <v>116</v>
      </c>
      <c r="AC891" s="416">
        <v>114</v>
      </c>
      <c r="AD891" s="416">
        <v>111</v>
      </c>
      <c r="AE891" s="416">
        <v>109</v>
      </c>
      <c r="AF891" s="416">
        <v>107</v>
      </c>
      <c r="AG891" s="416">
        <v>105</v>
      </c>
      <c r="AH891" s="416">
        <v>103</v>
      </c>
      <c r="AI891" s="416">
        <v>0</v>
      </c>
      <c r="AJ891" s="416">
        <v>0</v>
      </c>
      <c r="AK891" s="416">
        <v>0</v>
      </c>
      <c r="AL891" s="416">
        <v>0</v>
      </c>
      <c r="AM891" s="416">
        <v>0</v>
      </c>
      <c r="AN891" s="416">
        <v>0</v>
      </c>
      <c r="AO891" s="416">
        <v>0</v>
      </c>
      <c r="AP891" s="416">
        <v>0</v>
      </c>
      <c r="AQ891" s="416">
        <v>0</v>
      </c>
      <c r="AR891" s="416">
        <v>0</v>
      </c>
      <c r="AS891" s="416">
        <v>0</v>
      </c>
      <c r="AT891" s="416">
        <v>0</v>
      </c>
      <c r="AU891" s="416">
        <v>0</v>
      </c>
      <c r="AV891" s="416">
        <v>0</v>
      </c>
      <c r="AW891" s="416">
        <v>0</v>
      </c>
      <c r="AX891" s="416">
        <v>0</v>
      </c>
      <c r="AY891" s="416">
        <v>0</v>
      </c>
      <c r="AZ891" s="416">
        <v>0</v>
      </c>
    </row>
    <row r="892" spans="1:52" s="411" customFormat="1" x14ac:dyDescent="0.3">
      <c r="A892" s="415" t="str">
        <f t="shared" si="13"/>
        <v>SA-814 Gr.TP304</v>
      </c>
      <c r="B892" s="415">
        <v>886</v>
      </c>
      <c r="C892" s="415" t="s">
        <v>3277</v>
      </c>
      <c r="D892" s="415" t="s">
        <v>2680</v>
      </c>
      <c r="E892" s="415" t="s">
        <v>2330</v>
      </c>
      <c r="F892" s="415" t="s">
        <v>2555</v>
      </c>
      <c r="G892" s="415" t="s">
        <v>3290</v>
      </c>
      <c r="H892" s="415">
        <v>0</v>
      </c>
      <c r="I892" s="415">
        <v>0</v>
      </c>
      <c r="J892" s="415">
        <v>8</v>
      </c>
      <c r="K892" s="415">
        <v>1</v>
      </c>
      <c r="L892" s="415">
        <v>515</v>
      </c>
      <c r="M892" s="415">
        <v>205</v>
      </c>
      <c r="N892" s="415" t="s">
        <v>2675</v>
      </c>
      <c r="O892" s="415">
        <v>427</v>
      </c>
      <c r="P892" s="415" t="s">
        <v>2675</v>
      </c>
      <c r="Q892" s="415" t="s">
        <v>2675</v>
      </c>
      <c r="R892" s="415" t="s">
        <v>3269</v>
      </c>
      <c r="S892" s="415" t="s">
        <v>3208</v>
      </c>
      <c r="T892" s="416">
        <v>138</v>
      </c>
      <c r="U892" s="416">
        <v>138</v>
      </c>
      <c r="V892" s="416">
        <v>138</v>
      </c>
      <c r="W892" s="416">
        <v>137</v>
      </c>
      <c r="X892" s="416">
        <v>134</v>
      </c>
      <c r="Y892" s="416">
        <v>130</v>
      </c>
      <c r="Z892" s="416">
        <v>126</v>
      </c>
      <c r="AA892" s="416">
        <v>122</v>
      </c>
      <c r="AB892" s="416">
        <v>116</v>
      </c>
      <c r="AC892" s="416">
        <v>114</v>
      </c>
      <c r="AD892" s="416">
        <v>111</v>
      </c>
      <c r="AE892" s="416">
        <v>109</v>
      </c>
      <c r="AF892" s="416">
        <v>107</v>
      </c>
      <c r="AG892" s="416">
        <v>105</v>
      </c>
      <c r="AH892" s="416">
        <v>103</v>
      </c>
      <c r="AI892" s="416">
        <v>0</v>
      </c>
      <c r="AJ892" s="416">
        <v>0</v>
      </c>
      <c r="AK892" s="416">
        <v>0</v>
      </c>
      <c r="AL892" s="416">
        <v>0</v>
      </c>
      <c r="AM892" s="416">
        <v>0</v>
      </c>
      <c r="AN892" s="416">
        <v>0</v>
      </c>
      <c r="AO892" s="416">
        <v>0</v>
      </c>
      <c r="AP892" s="416">
        <v>0</v>
      </c>
      <c r="AQ892" s="416">
        <v>0</v>
      </c>
      <c r="AR892" s="416">
        <v>0</v>
      </c>
      <c r="AS892" s="416">
        <v>0</v>
      </c>
      <c r="AT892" s="416">
        <v>0</v>
      </c>
      <c r="AU892" s="416">
        <v>0</v>
      </c>
      <c r="AV892" s="416">
        <v>0</v>
      </c>
      <c r="AW892" s="416">
        <v>0</v>
      </c>
      <c r="AX892" s="416">
        <v>0</v>
      </c>
      <c r="AY892" s="416">
        <v>0</v>
      </c>
      <c r="AZ892" s="416">
        <v>0</v>
      </c>
    </row>
    <row r="893" spans="1:52" s="411" customFormat="1" x14ac:dyDescent="0.3">
      <c r="A893" s="415" t="str">
        <f t="shared" si="13"/>
        <v>SA-814 Gr.TP304H</v>
      </c>
      <c r="B893" s="415">
        <v>887</v>
      </c>
      <c r="C893" s="415" t="s">
        <v>3277</v>
      </c>
      <c r="D893" s="415" t="s">
        <v>2680</v>
      </c>
      <c r="E893" s="415" t="s">
        <v>2330</v>
      </c>
      <c r="F893" s="415" t="s">
        <v>2556</v>
      </c>
      <c r="G893" s="415" t="s">
        <v>3291</v>
      </c>
      <c r="H893" s="415">
        <v>0</v>
      </c>
      <c r="I893" s="415">
        <v>0</v>
      </c>
      <c r="J893" s="415">
        <v>8</v>
      </c>
      <c r="K893" s="415">
        <v>1</v>
      </c>
      <c r="L893" s="415">
        <v>515</v>
      </c>
      <c r="M893" s="415">
        <v>205</v>
      </c>
      <c r="N893" s="415" t="s">
        <v>2675</v>
      </c>
      <c r="O893" s="415">
        <v>427</v>
      </c>
      <c r="P893" s="415" t="s">
        <v>2675</v>
      </c>
      <c r="Q893" s="415" t="s">
        <v>2675</v>
      </c>
      <c r="R893" s="415" t="s">
        <v>3269</v>
      </c>
      <c r="S893" s="415" t="s">
        <v>3208</v>
      </c>
      <c r="T893" s="416">
        <v>138</v>
      </c>
      <c r="U893" s="416">
        <v>138</v>
      </c>
      <c r="V893" s="416">
        <v>138</v>
      </c>
      <c r="W893" s="416">
        <v>137</v>
      </c>
      <c r="X893" s="416">
        <v>134</v>
      </c>
      <c r="Y893" s="416">
        <v>130</v>
      </c>
      <c r="Z893" s="416">
        <v>126</v>
      </c>
      <c r="AA893" s="416">
        <v>122</v>
      </c>
      <c r="AB893" s="416">
        <v>116</v>
      </c>
      <c r="AC893" s="416">
        <v>114</v>
      </c>
      <c r="AD893" s="416">
        <v>111</v>
      </c>
      <c r="AE893" s="416">
        <v>109</v>
      </c>
      <c r="AF893" s="416">
        <v>107</v>
      </c>
      <c r="AG893" s="416">
        <v>105</v>
      </c>
      <c r="AH893" s="416">
        <v>103</v>
      </c>
      <c r="AI893" s="416">
        <v>0</v>
      </c>
      <c r="AJ893" s="416">
        <v>0</v>
      </c>
      <c r="AK893" s="416">
        <v>0</v>
      </c>
      <c r="AL893" s="416">
        <v>0</v>
      </c>
      <c r="AM893" s="416">
        <v>0</v>
      </c>
      <c r="AN893" s="416">
        <v>0</v>
      </c>
      <c r="AO893" s="416">
        <v>0</v>
      </c>
      <c r="AP893" s="416">
        <v>0</v>
      </c>
      <c r="AQ893" s="416">
        <v>0</v>
      </c>
      <c r="AR893" s="416">
        <v>0</v>
      </c>
      <c r="AS893" s="416">
        <v>0</v>
      </c>
      <c r="AT893" s="416">
        <v>0</v>
      </c>
      <c r="AU893" s="416">
        <v>0</v>
      </c>
      <c r="AV893" s="416">
        <v>0</v>
      </c>
      <c r="AW893" s="416">
        <v>0</v>
      </c>
      <c r="AX893" s="416">
        <v>0</v>
      </c>
      <c r="AY893" s="416">
        <v>0</v>
      </c>
      <c r="AZ893" s="416">
        <v>0</v>
      </c>
    </row>
    <row r="894" spans="1:52" s="411" customFormat="1" ht="28.8" x14ac:dyDescent="0.3">
      <c r="A894" s="415" t="str">
        <f t="shared" si="13"/>
        <v>SA/JIS G4303 Gr.SUS302</v>
      </c>
      <c r="B894" s="415">
        <v>888</v>
      </c>
      <c r="C894" s="415" t="s">
        <v>3277</v>
      </c>
      <c r="D894" s="415" t="s">
        <v>2677</v>
      </c>
      <c r="E894" s="415" t="s">
        <v>2176</v>
      </c>
      <c r="F894" s="415" t="s">
        <v>2526</v>
      </c>
      <c r="G894" s="415">
        <v>0</v>
      </c>
      <c r="H894" s="415">
        <v>0</v>
      </c>
      <c r="I894" s="415">
        <v>0</v>
      </c>
      <c r="J894" s="415">
        <v>8</v>
      </c>
      <c r="K894" s="415">
        <v>1</v>
      </c>
      <c r="L894" s="415">
        <v>520</v>
      </c>
      <c r="M894" s="415">
        <v>205</v>
      </c>
      <c r="N894" s="415" t="s">
        <v>2675</v>
      </c>
      <c r="O894" s="415">
        <v>427</v>
      </c>
      <c r="P894" s="415">
        <v>399</v>
      </c>
      <c r="Q894" s="415" t="s">
        <v>2675</v>
      </c>
      <c r="R894" s="415" t="s">
        <v>3269</v>
      </c>
      <c r="S894" s="415" t="s">
        <v>3214</v>
      </c>
      <c r="T894" s="416">
        <v>138</v>
      </c>
      <c r="U894" s="416">
        <v>138</v>
      </c>
      <c r="V894" s="416">
        <v>138</v>
      </c>
      <c r="W894" s="416">
        <v>137</v>
      </c>
      <c r="X894" s="416">
        <v>134</v>
      </c>
      <c r="Y894" s="416">
        <v>130</v>
      </c>
      <c r="Z894" s="416">
        <v>126</v>
      </c>
      <c r="AA894" s="416">
        <v>122</v>
      </c>
      <c r="AB894" s="416">
        <v>116</v>
      </c>
      <c r="AC894" s="416">
        <v>114</v>
      </c>
      <c r="AD894" s="416">
        <v>111</v>
      </c>
      <c r="AE894" s="416">
        <v>109</v>
      </c>
      <c r="AF894" s="416">
        <v>107</v>
      </c>
      <c r="AG894" s="416">
        <v>105</v>
      </c>
      <c r="AH894" s="416">
        <v>103</v>
      </c>
      <c r="AI894" s="416">
        <v>0</v>
      </c>
      <c r="AJ894" s="416">
        <v>0</v>
      </c>
      <c r="AK894" s="416">
        <v>0</v>
      </c>
      <c r="AL894" s="416">
        <v>0</v>
      </c>
      <c r="AM894" s="416">
        <v>0</v>
      </c>
      <c r="AN894" s="416">
        <v>0</v>
      </c>
      <c r="AO894" s="416">
        <v>0</v>
      </c>
      <c r="AP894" s="416">
        <v>0</v>
      </c>
      <c r="AQ894" s="416">
        <v>0</v>
      </c>
      <c r="AR894" s="416">
        <v>0</v>
      </c>
      <c r="AS894" s="416">
        <v>0</v>
      </c>
      <c r="AT894" s="416">
        <v>0</v>
      </c>
      <c r="AU894" s="416">
        <v>0</v>
      </c>
      <c r="AV894" s="416">
        <v>0</v>
      </c>
      <c r="AW894" s="416">
        <v>0</v>
      </c>
      <c r="AX894" s="416">
        <v>0</v>
      </c>
      <c r="AY894" s="416">
        <v>0</v>
      </c>
      <c r="AZ894" s="416">
        <v>0</v>
      </c>
    </row>
    <row r="895" spans="1:52" s="411" customFormat="1" ht="28.8" x14ac:dyDescent="0.3">
      <c r="A895" s="415" t="str">
        <f t="shared" si="13"/>
        <v>SA/JIS G4303 Gr.SUS304</v>
      </c>
      <c r="B895" s="415">
        <v>889</v>
      </c>
      <c r="C895" s="415" t="s">
        <v>3277</v>
      </c>
      <c r="D895" s="415" t="s">
        <v>2677</v>
      </c>
      <c r="E895" s="415" t="s">
        <v>2176</v>
      </c>
      <c r="F895" s="415" t="s">
        <v>2527</v>
      </c>
      <c r="G895" s="415">
        <v>0</v>
      </c>
      <c r="H895" s="415">
        <v>0</v>
      </c>
      <c r="I895" s="415">
        <v>0</v>
      </c>
      <c r="J895" s="415">
        <v>8</v>
      </c>
      <c r="K895" s="415">
        <v>1</v>
      </c>
      <c r="L895" s="415">
        <v>520</v>
      </c>
      <c r="M895" s="415">
        <v>205</v>
      </c>
      <c r="N895" s="415">
        <v>816</v>
      </c>
      <c r="O895" s="415">
        <v>427</v>
      </c>
      <c r="P895" s="415">
        <v>816</v>
      </c>
      <c r="Q895" s="415" t="s">
        <v>2675</v>
      </c>
      <c r="R895" s="415" t="s">
        <v>3269</v>
      </c>
      <c r="S895" s="415" t="s">
        <v>3311</v>
      </c>
      <c r="T895" s="416">
        <v>138</v>
      </c>
      <c r="U895" s="416">
        <v>138</v>
      </c>
      <c r="V895" s="416">
        <v>138</v>
      </c>
      <c r="W895" s="416">
        <v>137</v>
      </c>
      <c r="X895" s="416">
        <v>134</v>
      </c>
      <c r="Y895" s="416">
        <v>130</v>
      </c>
      <c r="Z895" s="416">
        <v>126</v>
      </c>
      <c r="AA895" s="416">
        <v>122</v>
      </c>
      <c r="AB895" s="416">
        <v>116</v>
      </c>
      <c r="AC895" s="416">
        <v>114</v>
      </c>
      <c r="AD895" s="416">
        <v>111</v>
      </c>
      <c r="AE895" s="416">
        <v>109</v>
      </c>
      <c r="AF895" s="416">
        <v>107</v>
      </c>
      <c r="AG895" s="416">
        <v>105</v>
      </c>
      <c r="AH895" s="416">
        <v>103</v>
      </c>
      <c r="AI895" s="416">
        <v>101</v>
      </c>
      <c r="AJ895" s="416">
        <v>99.3</v>
      </c>
      <c r="AK895" s="416">
        <v>98</v>
      </c>
      <c r="AL895" s="416">
        <v>93.3</v>
      </c>
      <c r="AM895" s="416">
        <v>79.599999999999994</v>
      </c>
      <c r="AN895" s="416">
        <v>65.400000000000006</v>
      </c>
      <c r="AO895" s="416">
        <v>51.4</v>
      </c>
      <c r="AP895" s="416">
        <v>41.7</v>
      </c>
      <c r="AQ895" s="416">
        <v>32.9</v>
      </c>
      <c r="AR895" s="416">
        <v>26.5</v>
      </c>
      <c r="AS895" s="416">
        <v>21.3</v>
      </c>
      <c r="AT895" s="416">
        <v>17.2</v>
      </c>
      <c r="AU895" s="416">
        <v>13.9</v>
      </c>
      <c r="AV895" s="416">
        <v>11.1</v>
      </c>
      <c r="AW895" s="416">
        <v>8.73</v>
      </c>
      <c r="AX895" s="416">
        <v>0</v>
      </c>
      <c r="AY895" s="416">
        <v>0</v>
      </c>
      <c r="AZ895" s="416">
        <v>0</v>
      </c>
    </row>
    <row r="896" spans="1:52" s="411" customFormat="1" ht="28.8" x14ac:dyDescent="0.3">
      <c r="A896" s="415" t="str">
        <f t="shared" si="13"/>
        <v>SA/EN 10028-7 Gr.X5CrNi18-10</v>
      </c>
      <c r="B896" s="415">
        <v>890</v>
      </c>
      <c r="C896" s="415" t="s">
        <v>3277</v>
      </c>
      <c r="D896" s="415" t="s">
        <v>2684</v>
      </c>
      <c r="E896" s="415" t="s">
        <v>2168</v>
      </c>
      <c r="F896" s="415" t="s">
        <v>2617</v>
      </c>
      <c r="G896" s="415">
        <v>0</v>
      </c>
      <c r="H896" s="415">
        <v>0</v>
      </c>
      <c r="I896" s="415" t="s">
        <v>3238</v>
      </c>
      <c r="J896" s="415">
        <v>8</v>
      </c>
      <c r="K896" s="415">
        <v>1</v>
      </c>
      <c r="L896" s="415">
        <v>520</v>
      </c>
      <c r="M896" s="415">
        <v>210</v>
      </c>
      <c r="N896" s="415" t="s">
        <v>2675</v>
      </c>
      <c r="O896" s="415" t="s">
        <v>2675</v>
      </c>
      <c r="P896" s="415">
        <v>550</v>
      </c>
      <c r="Q896" s="415" t="s">
        <v>2675</v>
      </c>
      <c r="R896" s="415" t="s">
        <v>3269</v>
      </c>
      <c r="S896" s="415" t="s">
        <v>3189</v>
      </c>
      <c r="T896" s="416">
        <v>140</v>
      </c>
      <c r="U896" s="416">
        <v>140</v>
      </c>
      <c r="V896" s="416">
        <v>140</v>
      </c>
      <c r="W896" s="416">
        <v>139</v>
      </c>
      <c r="X896" s="416">
        <v>134</v>
      </c>
      <c r="Y896" s="416">
        <v>131</v>
      </c>
      <c r="Z896" s="416">
        <v>127</v>
      </c>
      <c r="AA896" s="416">
        <v>124</v>
      </c>
      <c r="AB896" s="416">
        <v>118</v>
      </c>
      <c r="AC896" s="416">
        <v>115</v>
      </c>
      <c r="AD896" s="416">
        <v>113</v>
      </c>
      <c r="AE896" s="416">
        <v>111</v>
      </c>
      <c r="AF896" s="416">
        <v>108</v>
      </c>
      <c r="AG896" s="416">
        <v>106</v>
      </c>
      <c r="AH896" s="416">
        <v>104</v>
      </c>
      <c r="AI896" s="416">
        <v>103</v>
      </c>
      <c r="AJ896" s="416">
        <v>101</v>
      </c>
      <c r="AK896" s="416">
        <v>97.5</v>
      </c>
      <c r="AL896" s="416">
        <v>95.6</v>
      </c>
      <c r="AM896" s="416">
        <v>0</v>
      </c>
      <c r="AN896" s="416">
        <v>0</v>
      </c>
      <c r="AO896" s="416">
        <v>0</v>
      </c>
      <c r="AP896" s="416">
        <v>0</v>
      </c>
      <c r="AQ896" s="416">
        <v>0</v>
      </c>
      <c r="AR896" s="416">
        <v>0</v>
      </c>
      <c r="AS896" s="416">
        <v>0</v>
      </c>
      <c r="AT896" s="416">
        <v>0</v>
      </c>
      <c r="AU896" s="416">
        <v>0</v>
      </c>
      <c r="AV896" s="416">
        <v>0</v>
      </c>
      <c r="AW896" s="416">
        <v>0</v>
      </c>
      <c r="AX896" s="416">
        <v>0</v>
      </c>
      <c r="AY896" s="416">
        <v>0</v>
      </c>
      <c r="AZ896" s="416">
        <v>0</v>
      </c>
    </row>
    <row r="897" spans="1:52" s="411" customFormat="1" ht="28.8" x14ac:dyDescent="0.3">
      <c r="A897" s="415" t="str">
        <f t="shared" si="13"/>
        <v>SA/EN 10028-7 Gr.X5CrNi18-10</v>
      </c>
      <c r="B897" s="415">
        <v>891</v>
      </c>
      <c r="C897" s="415" t="s">
        <v>3277</v>
      </c>
      <c r="D897" s="415" t="s">
        <v>2684</v>
      </c>
      <c r="E897" s="415" t="s">
        <v>2168</v>
      </c>
      <c r="F897" s="415" t="s">
        <v>2617</v>
      </c>
      <c r="G897" s="415">
        <v>0</v>
      </c>
      <c r="H897" s="415">
        <v>0</v>
      </c>
      <c r="I897" s="415" t="s">
        <v>3238</v>
      </c>
      <c r="J897" s="415">
        <v>8</v>
      </c>
      <c r="K897" s="415">
        <v>1</v>
      </c>
      <c r="L897" s="415">
        <v>520</v>
      </c>
      <c r="M897" s="415">
        <v>210</v>
      </c>
      <c r="N897" s="415" t="s">
        <v>2675</v>
      </c>
      <c r="O897" s="415" t="s">
        <v>2675</v>
      </c>
      <c r="P897" s="415">
        <v>550</v>
      </c>
      <c r="Q897" s="415" t="s">
        <v>2675</v>
      </c>
      <c r="R897" s="415" t="s">
        <v>3269</v>
      </c>
      <c r="S897" s="415">
        <v>0</v>
      </c>
      <c r="T897" s="416">
        <v>140</v>
      </c>
      <c r="U897" s="416">
        <v>140</v>
      </c>
      <c r="V897" s="416">
        <v>125</v>
      </c>
      <c r="W897" s="416">
        <v>115</v>
      </c>
      <c r="X897" s="416">
        <v>109</v>
      </c>
      <c r="Y897" s="416">
        <v>105</v>
      </c>
      <c r="Z897" s="416">
        <v>97.1</v>
      </c>
      <c r="AA897" s="416">
        <v>91.5</v>
      </c>
      <c r="AB897" s="416">
        <v>87.2</v>
      </c>
      <c r="AC897" s="416">
        <v>85.3</v>
      </c>
      <c r="AD897" s="416">
        <v>83.5</v>
      </c>
      <c r="AE897" s="416">
        <v>81.900000000000006</v>
      </c>
      <c r="AF897" s="416">
        <v>80.3</v>
      </c>
      <c r="AG897" s="416">
        <v>78.8</v>
      </c>
      <c r="AH897" s="416">
        <v>77.3</v>
      </c>
      <c r="AI897" s="416">
        <v>75.900000000000006</v>
      </c>
      <c r="AJ897" s="416">
        <v>74.599999999999994</v>
      </c>
      <c r="AK897" s="416">
        <v>73.2</v>
      </c>
      <c r="AL897" s="416">
        <v>71.8</v>
      </c>
      <c r="AM897" s="416">
        <v>0</v>
      </c>
      <c r="AN897" s="416">
        <v>0</v>
      </c>
      <c r="AO897" s="416">
        <v>0</v>
      </c>
      <c r="AP897" s="416">
        <v>0</v>
      </c>
      <c r="AQ897" s="416">
        <v>0</v>
      </c>
      <c r="AR897" s="416">
        <v>0</v>
      </c>
      <c r="AS897" s="416">
        <v>0</v>
      </c>
      <c r="AT897" s="416">
        <v>0</v>
      </c>
      <c r="AU897" s="416">
        <v>0</v>
      </c>
      <c r="AV897" s="416">
        <v>0</v>
      </c>
      <c r="AW897" s="416">
        <v>0</v>
      </c>
      <c r="AX897" s="416">
        <v>0</v>
      </c>
      <c r="AY897" s="416">
        <v>0</v>
      </c>
      <c r="AZ897" s="416">
        <v>0</v>
      </c>
    </row>
    <row r="898" spans="1:52" s="411" customFormat="1" x14ac:dyDescent="0.3">
      <c r="A898" s="415" t="str">
        <f t="shared" si="13"/>
        <v>SA-351 Gr.CF3A</v>
      </c>
      <c r="B898" s="415">
        <v>892</v>
      </c>
      <c r="C898" s="415" t="s">
        <v>3277</v>
      </c>
      <c r="D898" s="415" t="s">
        <v>2739</v>
      </c>
      <c r="E898" s="415" t="s">
        <v>2213</v>
      </c>
      <c r="F898" s="415" t="s">
        <v>2373</v>
      </c>
      <c r="G898" s="415" t="s">
        <v>3294</v>
      </c>
      <c r="H898" s="415">
        <v>0</v>
      </c>
      <c r="I898" s="415">
        <v>0</v>
      </c>
      <c r="J898" s="415">
        <v>8</v>
      </c>
      <c r="K898" s="415">
        <v>1</v>
      </c>
      <c r="L898" s="415">
        <v>530</v>
      </c>
      <c r="M898" s="415">
        <v>240</v>
      </c>
      <c r="N898" s="415" t="s">
        <v>2675</v>
      </c>
      <c r="O898" s="415">
        <v>343</v>
      </c>
      <c r="P898" s="415">
        <v>371</v>
      </c>
      <c r="Q898" s="415">
        <v>343</v>
      </c>
      <c r="R898" s="415" t="s">
        <v>3279</v>
      </c>
      <c r="S898" s="415" t="s">
        <v>3216</v>
      </c>
      <c r="T898" s="416">
        <v>152</v>
      </c>
      <c r="U898" s="416">
        <v>152</v>
      </c>
      <c r="V898" s="416">
        <v>148</v>
      </c>
      <c r="W898" s="416">
        <v>142</v>
      </c>
      <c r="X898" s="416">
        <v>138</v>
      </c>
      <c r="Y898" s="416">
        <v>134</v>
      </c>
      <c r="Z898" s="416">
        <v>130</v>
      </c>
      <c r="AA898" s="416">
        <v>128</v>
      </c>
      <c r="AB898" s="416">
        <v>128</v>
      </c>
      <c r="AC898" s="416">
        <v>128</v>
      </c>
      <c r="AD898" s="416">
        <v>128</v>
      </c>
      <c r="AE898" s="416">
        <v>127</v>
      </c>
      <c r="AF898" s="416">
        <v>0</v>
      </c>
      <c r="AG898" s="416">
        <v>0</v>
      </c>
      <c r="AH898" s="416">
        <v>0</v>
      </c>
      <c r="AI898" s="416">
        <v>0</v>
      </c>
      <c r="AJ898" s="416">
        <v>0</v>
      </c>
      <c r="AK898" s="416">
        <v>0</v>
      </c>
      <c r="AL898" s="416">
        <v>0</v>
      </c>
      <c r="AM898" s="416">
        <v>0</v>
      </c>
      <c r="AN898" s="416">
        <v>0</v>
      </c>
      <c r="AO898" s="416">
        <v>0</v>
      </c>
      <c r="AP898" s="416">
        <v>0</v>
      </c>
      <c r="AQ898" s="416">
        <v>0</v>
      </c>
      <c r="AR898" s="416">
        <v>0</v>
      </c>
      <c r="AS898" s="416">
        <v>0</v>
      </c>
      <c r="AT898" s="416">
        <v>0</v>
      </c>
      <c r="AU898" s="416">
        <v>0</v>
      </c>
      <c r="AV898" s="416">
        <v>0</v>
      </c>
      <c r="AW898" s="416">
        <v>0</v>
      </c>
      <c r="AX898" s="416">
        <v>0</v>
      </c>
      <c r="AY898" s="416">
        <v>0</v>
      </c>
      <c r="AZ898" s="416">
        <v>0</v>
      </c>
    </row>
    <row r="899" spans="1:52" s="411" customFormat="1" x14ac:dyDescent="0.3">
      <c r="A899" s="415" t="str">
        <f t="shared" si="13"/>
        <v>SA-351 Gr.CF3A</v>
      </c>
      <c r="B899" s="415">
        <v>893</v>
      </c>
      <c r="C899" s="415" t="s">
        <v>3277</v>
      </c>
      <c r="D899" s="415" t="s">
        <v>2739</v>
      </c>
      <c r="E899" s="415" t="s">
        <v>2213</v>
      </c>
      <c r="F899" s="415" t="s">
        <v>2373</v>
      </c>
      <c r="G899" s="415" t="s">
        <v>3294</v>
      </c>
      <c r="H899" s="415">
        <v>0</v>
      </c>
      <c r="I899" s="415">
        <v>0</v>
      </c>
      <c r="J899" s="415">
        <v>8</v>
      </c>
      <c r="K899" s="415">
        <v>1</v>
      </c>
      <c r="L899" s="415">
        <v>530</v>
      </c>
      <c r="M899" s="415">
        <v>240</v>
      </c>
      <c r="N899" s="415" t="s">
        <v>2675</v>
      </c>
      <c r="O899" s="415" t="s">
        <v>2675</v>
      </c>
      <c r="P899" s="415">
        <v>371</v>
      </c>
      <c r="Q899" s="415">
        <v>343</v>
      </c>
      <c r="R899" s="415" t="s">
        <v>3279</v>
      </c>
      <c r="S899" s="415" t="s">
        <v>3217</v>
      </c>
      <c r="T899" s="416">
        <v>152</v>
      </c>
      <c r="U899" s="416">
        <v>152</v>
      </c>
      <c r="V899" s="416">
        <v>143</v>
      </c>
      <c r="W899" s="416">
        <v>133</v>
      </c>
      <c r="X899" s="416">
        <v>126</v>
      </c>
      <c r="Y899" s="416">
        <v>120</v>
      </c>
      <c r="Z899" s="416">
        <v>112</v>
      </c>
      <c r="AA899" s="416">
        <v>105</v>
      </c>
      <c r="AB899" s="416">
        <v>100</v>
      </c>
      <c r="AC899" s="416">
        <v>97.9</v>
      </c>
      <c r="AD899" s="416">
        <v>96</v>
      </c>
      <c r="AE899" s="416">
        <v>94.2</v>
      </c>
      <c r="AF899" s="416">
        <v>0</v>
      </c>
      <c r="AG899" s="416">
        <v>0</v>
      </c>
      <c r="AH899" s="416">
        <v>0</v>
      </c>
      <c r="AI899" s="416">
        <v>0</v>
      </c>
      <c r="AJ899" s="416">
        <v>0</v>
      </c>
      <c r="AK899" s="416">
        <v>0</v>
      </c>
      <c r="AL899" s="416">
        <v>0</v>
      </c>
      <c r="AM899" s="416">
        <v>0</v>
      </c>
      <c r="AN899" s="416">
        <v>0</v>
      </c>
      <c r="AO899" s="416">
        <v>0</v>
      </c>
      <c r="AP899" s="416">
        <v>0</v>
      </c>
      <c r="AQ899" s="416">
        <v>0</v>
      </c>
      <c r="AR899" s="416">
        <v>0</v>
      </c>
      <c r="AS899" s="416">
        <v>0</v>
      </c>
      <c r="AT899" s="416">
        <v>0</v>
      </c>
      <c r="AU899" s="416">
        <v>0</v>
      </c>
      <c r="AV899" s="416">
        <v>0</v>
      </c>
      <c r="AW899" s="416">
        <v>0</v>
      </c>
      <c r="AX899" s="416">
        <v>0</v>
      </c>
      <c r="AY899" s="416">
        <v>0</v>
      </c>
      <c r="AZ899" s="416">
        <v>0</v>
      </c>
    </row>
    <row r="900" spans="1:52" s="411" customFormat="1" x14ac:dyDescent="0.3">
      <c r="A900" s="415" t="str">
        <f t="shared" si="13"/>
        <v>SA-351 Gr.CF8A</v>
      </c>
      <c r="B900" s="415">
        <v>894</v>
      </c>
      <c r="C900" s="415" t="s">
        <v>3277</v>
      </c>
      <c r="D900" s="415" t="s">
        <v>2739</v>
      </c>
      <c r="E900" s="415" t="s">
        <v>2213</v>
      </c>
      <c r="F900" s="415" t="s">
        <v>2376</v>
      </c>
      <c r="G900" s="415" t="s">
        <v>3295</v>
      </c>
      <c r="H900" s="415">
        <v>0</v>
      </c>
      <c r="I900" s="415">
        <v>0</v>
      </c>
      <c r="J900" s="415">
        <v>8</v>
      </c>
      <c r="K900" s="415">
        <v>1</v>
      </c>
      <c r="L900" s="415">
        <v>530</v>
      </c>
      <c r="M900" s="415">
        <v>240</v>
      </c>
      <c r="N900" s="415" t="s">
        <v>2675</v>
      </c>
      <c r="O900" s="415">
        <v>343</v>
      </c>
      <c r="P900" s="415">
        <v>343</v>
      </c>
      <c r="Q900" s="415">
        <v>343</v>
      </c>
      <c r="R900" s="415" t="s">
        <v>3269</v>
      </c>
      <c r="S900" s="415" t="s">
        <v>3216</v>
      </c>
      <c r="T900" s="416">
        <v>152</v>
      </c>
      <c r="U900" s="416">
        <v>152</v>
      </c>
      <c r="V900" s="416">
        <v>148</v>
      </c>
      <c r="W900" s="416">
        <v>142</v>
      </c>
      <c r="X900" s="416">
        <v>138</v>
      </c>
      <c r="Y900" s="416">
        <v>134</v>
      </c>
      <c r="Z900" s="416">
        <v>130</v>
      </c>
      <c r="AA900" s="416">
        <v>128</v>
      </c>
      <c r="AB900" s="416">
        <v>128</v>
      </c>
      <c r="AC900" s="416">
        <v>128</v>
      </c>
      <c r="AD900" s="416">
        <v>128</v>
      </c>
      <c r="AE900" s="416">
        <v>0</v>
      </c>
      <c r="AF900" s="416">
        <v>0</v>
      </c>
      <c r="AG900" s="416">
        <v>0</v>
      </c>
      <c r="AH900" s="416">
        <v>0</v>
      </c>
      <c r="AI900" s="416">
        <v>0</v>
      </c>
      <c r="AJ900" s="416">
        <v>0</v>
      </c>
      <c r="AK900" s="416">
        <v>0</v>
      </c>
      <c r="AL900" s="416">
        <v>0</v>
      </c>
      <c r="AM900" s="416">
        <v>0</v>
      </c>
      <c r="AN900" s="416">
        <v>0</v>
      </c>
      <c r="AO900" s="416">
        <v>0</v>
      </c>
      <c r="AP900" s="416">
        <v>0</v>
      </c>
      <c r="AQ900" s="416">
        <v>0</v>
      </c>
      <c r="AR900" s="416">
        <v>0</v>
      </c>
      <c r="AS900" s="416">
        <v>0</v>
      </c>
      <c r="AT900" s="416">
        <v>0</v>
      </c>
      <c r="AU900" s="416">
        <v>0</v>
      </c>
      <c r="AV900" s="416">
        <v>0</v>
      </c>
      <c r="AW900" s="416">
        <v>0</v>
      </c>
      <c r="AX900" s="416">
        <v>0</v>
      </c>
      <c r="AY900" s="416">
        <v>0</v>
      </c>
      <c r="AZ900" s="416">
        <v>0</v>
      </c>
    </row>
    <row r="901" spans="1:52" s="411" customFormat="1" x14ac:dyDescent="0.3">
      <c r="A901" s="415" t="str">
        <f t="shared" si="13"/>
        <v>SA-351 Gr.CF8A</v>
      </c>
      <c r="B901" s="415">
        <v>895</v>
      </c>
      <c r="C901" s="415" t="s">
        <v>3277</v>
      </c>
      <c r="D901" s="415" t="s">
        <v>2739</v>
      </c>
      <c r="E901" s="415" t="s">
        <v>2213</v>
      </c>
      <c r="F901" s="415" t="s">
        <v>2376</v>
      </c>
      <c r="G901" s="415" t="s">
        <v>3295</v>
      </c>
      <c r="H901" s="415">
        <v>0</v>
      </c>
      <c r="I901" s="415">
        <v>0</v>
      </c>
      <c r="J901" s="415">
        <v>8</v>
      </c>
      <c r="K901" s="415">
        <v>1</v>
      </c>
      <c r="L901" s="415">
        <v>530</v>
      </c>
      <c r="M901" s="415">
        <v>240</v>
      </c>
      <c r="N901" s="415" t="s">
        <v>2675</v>
      </c>
      <c r="O901" s="415" t="s">
        <v>2675</v>
      </c>
      <c r="P901" s="415">
        <v>343</v>
      </c>
      <c r="Q901" s="415">
        <v>343</v>
      </c>
      <c r="R901" s="415" t="s">
        <v>3269</v>
      </c>
      <c r="S901" s="415" t="s">
        <v>3217</v>
      </c>
      <c r="T901" s="416">
        <v>152</v>
      </c>
      <c r="U901" s="416">
        <v>152</v>
      </c>
      <c r="V901" s="416">
        <v>143</v>
      </c>
      <c r="W901" s="416">
        <v>133</v>
      </c>
      <c r="X901" s="416">
        <v>126</v>
      </c>
      <c r="Y901" s="416">
        <v>120</v>
      </c>
      <c r="Z901" s="416">
        <v>112</v>
      </c>
      <c r="AA901" s="416">
        <v>105</v>
      </c>
      <c r="AB901" s="416">
        <v>100</v>
      </c>
      <c r="AC901" s="416">
        <v>97.9</v>
      </c>
      <c r="AD901" s="416">
        <v>96</v>
      </c>
      <c r="AE901" s="416">
        <v>0</v>
      </c>
      <c r="AF901" s="416">
        <v>0</v>
      </c>
      <c r="AG901" s="416">
        <v>0</v>
      </c>
      <c r="AH901" s="416">
        <v>0</v>
      </c>
      <c r="AI901" s="416">
        <v>0</v>
      </c>
      <c r="AJ901" s="416">
        <v>0</v>
      </c>
      <c r="AK901" s="416">
        <v>0</v>
      </c>
      <c r="AL901" s="416">
        <v>0</v>
      </c>
      <c r="AM901" s="416">
        <v>0</v>
      </c>
      <c r="AN901" s="416">
        <v>0</v>
      </c>
      <c r="AO901" s="416">
        <v>0</v>
      </c>
      <c r="AP901" s="416">
        <v>0</v>
      </c>
      <c r="AQ901" s="416">
        <v>0</v>
      </c>
      <c r="AR901" s="416">
        <v>0</v>
      </c>
      <c r="AS901" s="416">
        <v>0</v>
      </c>
      <c r="AT901" s="416">
        <v>0</v>
      </c>
      <c r="AU901" s="416">
        <v>0</v>
      </c>
      <c r="AV901" s="416">
        <v>0</v>
      </c>
      <c r="AW901" s="416">
        <v>0</v>
      </c>
      <c r="AX901" s="416">
        <v>0</v>
      </c>
      <c r="AY901" s="416">
        <v>0</v>
      </c>
      <c r="AZ901" s="416">
        <v>0</v>
      </c>
    </row>
    <row r="902" spans="1:52" s="411" customFormat="1" x14ac:dyDescent="0.3">
      <c r="A902" s="415" t="str">
        <f t="shared" si="13"/>
        <v>SA-451 Gr.CPF3A</v>
      </c>
      <c r="B902" s="415">
        <v>896</v>
      </c>
      <c r="C902" s="415" t="s">
        <v>3277</v>
      </c>
      <c r="D902" s="415" t="s">
        <v>2746</v>
      </c>
      <c r="E902" s="415" t="s">
        <v>2241</v>
      </c>
      <c r="F902" s="415" t="s">
        <v>2403</v>
      </c>
      <c r="G902" s="415" t="s">
        <v>3294</v>
      </c>
      <c r="H902" s="415">
        <v>0</v>
      </c>
      <c r="I902" s="415">
        <v>0</v>
      </c>
      <c r="J902" s="415">
        <v>8</v>
      </c>
      <c r="K902" s="415">
        <v>1</v>
      </c>
      <c r="L902" s="415">
        <v>530</v>
      </c>
      <c r="M902" s="415">
        <v>240</v>
      </c>
      <c r="N902" s="415" t="s">
        <v>2675</v>
      </c>
      <c r="O902" s="415">
        <v>343</v>
      </c>
      <c r="P902" s="415" t="s">
        <v>2675</v>
      </c>
      <c r="Q902" s="415" t="s">
        <v>2675</v>
      </c>
      <c r="R902" s="415" t="s">
        <v>3279</v>
      </c>
      <c r="S902" s="415" t="s">
        <v>3218</v>
      </c>
      <c r="T902" s="416">
        <v>152</v>
      </c>
      <c r="U902" s="416">
        <v>152</v>
      </c>
      <c r="V902" s="416">
        <v>148</v>
      </c>
      <c r="W902" s="416">
        <v>142</v>
      </c>
      <c r="X902" s="416">
        <v>138</v>
      </c>
      <c r="Y902" s="416">
        <v>134</v>
      </c>
      <c r="Z902" s="416">
        <v>130</v>
      </c>
      <c r="AA902" s="416">
        <v>128</v>
      </c>
      <c r="AB902" s="416">
        <v>128</v>
      </c>
      <c r="AC902" s="416">
        <v>128</v>
      </c>
      <c r="AD902" s="416">
        <v>128</v>
      </c>
      <c r="AE902" s="416">
        <v>0</v>
      </c>
      <c r="AF902" s="416">
        <v>0</v>
      </c>
      <c r="AG902" s="416">
        <v>0</v>
      </c>
      <c r="AH902" s="416">
        <v>0</v>
      </c>
      <c r="AI902" s="416">
        <v>0</v>
      </c>
      <c r="AJ902" s="416">
        <v>0</v>
      </c>
      <c r="AK902" s="416">
        <v>0</v>
      </c>
      <c r="AL902" s="416">
        <v>0</v>
      </c>
      <c r="AM902" s="416">
        <v>0</v>
      </c>
      <c r="AN902" s="416">
        <v>0</v>
      </c>
      <c r="AO902" s="416">
        <v>0</v>
      </c>
      <c r="AP902" s="416">
        <v>0</v>
      </c>
      <c r="AQ902" s="416">
        <v>0</v>
      </c>
      <c r="AR902" s="416">
        <v>0</v>
      </c>
      <c r="AS902" s="416">
        <v>0</v>
      </c>
      <c r="AT902" s="416">
        <v>0</v>
      </c>
      <c r="AU902" s="416">
        <v>0</v>
      </c>
      <c r="AV902" s="416">
        <v>0</v>
      </c>
      <c r="AW902" s="416">
        <v>0</v>
      </c>
      <c r="AX902" s="416">
        <v>0</v>
      </c>
      <c r="AY902" s="416">
        <v>0</v>
      </c>
      <c r="AZ902" s="416">
        <v>0</v>
      </c>
    </row>
    <row r="903" spans="1:52" s="411" customFormat="1" x14ac:dyDescent="0.3">
      <c r="A903" s="415" t="str">
        <f t="shared" si="13"/>
        <v>SA-451 Gr.CPF8A</v>
      </c>
      <c r="B903" s="415">
        <v>897</v>
      </c>
      <c r="C903" s="415" t="s">
        <v>3277</v>
      </c>
      <c r="D903" s="415" t="s">
        <v>2746</v>
      </c>
      <c r="E903" s="415" t="s">
        <v>2241</v>
      </c>
      <c r="F903" s="415" t="s">
        <v>2406</v>
      </c>
      <c r="G903" s="415" t="s">
        <v>3295</v>
      </c>
      <c r="H903" s="415">
        <v>0</v>
      </c>
      <c r="I903" s="415">
        <v>0</v>
      </c>
      <c r="J903" s="415">
        <v>8</v>
      </c>
      <c r="K903" s="415">
        <v>1</v>
      </c>
      <c r="L903" s="415">
        <v>530</v>
      </c>
      <c r="M903" s="415">
        <v>240</v>
      </c>
      <c r="N903" s="415" t="s">
        <v>2675</v>
      </c>
      <c r="O903" s="415">
        <v>343</v>
      </c>
      <c r="P903" s="415" t="s">
        <v>2675</v>
      </c>
      <c r="Q903" s="415" t="s">
        <v>2675</v>
      </c>
      <c r="R903" s="415" t="s">
        <v>3269</v>
      </c>
      <c r="S903" s="415" t="s">
        <v>3218</v>
      </c>
      <c r="T903" s="416">
        <v>152</v>
      </c>
      <c r="U903" s="416">
        <v>152</v>
      </c>
      <c r="V903" s="416">
        <v>148</v>
      </c>
      <c r="W903" s="416">
        <v>142</v>
      </c>
      <c r="X903" s="416">
        <v>138</v>
      </c>
      <c r="Y903" s="416">
        <v>134</v>
      </c>
      <c r="Z903" s="416">
        <v>130</v>
      </c>
      <c r="AA903" s="416">
        <v>128</v>
      </c>
      <c r="AB903" s="416">
        <v>128</v>
      </c>
      <c r="AC903" s="416">
        <v>128</v>
      </c>
      <c r="AD903" s="416">
        <v>128</v>
      </c>
      <c r="AE903" s="416">
        <v>0</v>
      </c>
      <c r="AF903" s="416">
        <v>0</v>
      </c>
      <c r="AG903" s="416">
        <v>0</v>
      </c>
      <c r="AH903" s="416">
        <v>0</v>
      </c>
      <c r="AI903" s="416">
        <v>0</v>
      </c>
      <c r="AJ903" s="416">
        <v>0</v>
      </c>
      <c r="AK903" s="416">
        <v>0</v>
      </c>
      <c r="AL903" s="416">
        <v>0</v>
      </c>
      <c r="AM903" s="416">
        <v>0</v>
      </c>
      <c r="AN903" s="416">
        <v>0</v>
      </c>
      <c r="AO903" s="416">
        <v>0</v>
      </c>
      <c r="AP903" s="416">
        <v>0</v>
      </c>
      <c r="AQ903" s="416">
        <v>0</v>
      </c>
      <c r="AR903" s="416">
        <v>0</v>
      </c>
      <c r="AS903" s="416">
        <v>0</v>
      </c>
      <c r="AT903" s="416">
        <v>0</v>
      </c>
      <c r="AU903" s="416">
        <v>0</v>
      </c>
      <c r="AV903" s="416">
        <v>0</v>
      </c>
      <c r="AW903" s="416">
        <v>0</v>
      </c>
      <c r="AX903" s="416">
        <v>0</v>
      </c>
      <c r="AY903" s="416">
        <v>0</v>
      </c>
      <c r="AZ903" s="416">
        <v>0</v>
      </c>
    </row>
    <row r="904" spans="1:52" s="411" customFormat="1" x14ac:dyDescent="0.3">
      <c r="A904" s="415" t="str">
        <f t="shared" ref="A904:A967" si="14">CONCATENATE(E904," Gr.",F904)</f>
        <v>SA-182 Gr.F304LN</v>
      </c>
      <c r="B904" s="415">
        <v>898</v>
      </c>
      <c r="C904" s="415" t="s">
        <v>3316</v>
      </c>
      <c r="D904" s="415" t="s">
        <v>2737</v>
      </c>
      <c r="E904" s="415" t="s">
        <v>2188</v>
      </c>
      <c r="F904" s="415" t="s">
        <v>2435</v>
      </c>
      <c r="G904" s="415" t="s">
        <v>3307</v>
      </c>
      <c r="H904" s="415">
        <v>0</v>
      </c>
      <c r="I904" s="415" t="s">
        <v>3202</v>
      </c>
      <c r="J904" s="415">
        <v>8</v>
      </c>
      <c r="K904" s="415">
        <v>1</v>
      </c>
      <c r="L904" s="415">
        <v>485</v>
      </c>
      <c r="M904" s="415">
        <v>205</v>
      </c>
      <c r="N904" s="415" t="s">
        <v>2675</v>
      </c>
      <c r="O904" s="415">
        <v>427</v>
      </c>
      <c r="P904" s="415" t="s">
        <v>2675</v>
      </c>
      <c r="Q904" s="415" t="s">
        <v>2675</v>
      </c>
      <c r="R904" s="415" t="s">
        <v>3269</v>
      </c>
      <c r="S904" s="415" t="s">
        <v>3189</v>
      </c>
      <c r="T904" s="416">
        <v>138</v>
      </c>
      <c r="U904" s="416">
        <v>138</v>
      </c>
      <c r="V904" s="416">
        <v>134</v>
      </c>
      <c r="W904" s="416">
        <v>130</v>
      </c>
      <c r="X904" s="416">
        <v>126</v>
      </c>
      <c r="Y904" s="416">
        <v>122</v>
      </c>
      <c r="Z904" s="416">
        <v>119</v>
      </c>
      <c r="AA904" s="416">
        <v>118</v>
      </c>
      <c r="AB904" s="416">
        <v>115</v>
      </c>
      <c r="AC904" s="416">
        <v>114</v>
      </c>
      <c r="AD904" s="416">
        <v>111</v>
      </c>
      <c r="AE904" s="416">
        <v>109</v>
      </c>
      <c r="AF904" s="416">
        <v>107</v>
      </c>
      <c r="AG904" s="416">
        <v>105</v>
      </c>
      <c r="AH904" s="416">
        <v>103</v>
      </c>
      <c r="AI904" s="416">
        <v>0</v>
      </c>
      <c r="AJ904" s="416">
        <v>0</v>
      </c>
      <c r="AK904" s="416">
        <v>0</v>
      </c>
      <c r="AL904" s="416">
        <v>0</v>
      </c>
      <c r="AM904" s="416">
        <v>0</v>
      </c>
      <c r="AN904" s="416">
        <v>0</v>
      </c>
      <c r="AO904" s="416">
        <v>0</v>
      </c>
      <c r="AP904" s="416">
        <v>0</v>
      </c>
      <c r="AQ904" s="416">
        <v>0</v>
      </c>
      <c r="AR904" s="416">
        <v>0</v>
      </c>
      <c r="AS904" s="416">
        <v>0</v>
      </c>
      <c r="AT904" s="416">
        <v>0</v>
      </c>
      <c r="AU904" s="416">
        <v>0</v>
      </c>
      <c r="AV904" s="416">
        <v>0</v>
      </c>
      <c r="AW904" s="416">
        <v>0</v>
      </c>
      <c r="AX904" s="416">
        <v>0</v>
      </c>
      <c r="AY904" s="416">
        <v>0</v>
      </c>
      <c r="AZ904" s="416">
        <v>0</v>
      </c>
    </row>
    <row r="905" spans="1:52" s="411" customFormat="1" x14ac:dyDescent="0.3">
      <c r="A905" s="415" t="str">
        <f t="shared" si="14"/>
        <v>SA-965 Gr.F304LN</v>
      </c>
      <c r="B905" s="415">
        <v>899</v>
      </c>
      <c r="C905" s="415" t="s">
        <v>3316</v>
      </c>
      <c r="D905" s="415" t="s">
        <v>2737</v>
      </c>
      <c r="E905" s="415" t="s">
        <v>2337</v>
      </c>
      <c r="F905" s="415" t="s">
        <v>2435</v>
      </c>
      <c r="G905" s="415" t="s">
        <v>3307</v>
      </c>
      <c r="H905" s="415">
        <v>0</v>
      </c>
      <c r="I905" s="415">
        <v>0</v>
      </c>
      <c r="J905" s="415">
        <v>8</v>
      </c>
      <c r="K905" s="415">
        <v>1</v>
      </c>
      <c r="L905" s="415">
        <v>485</v>
      </c>
      <c r="M905" s="415">
        <v>205</v>
      </c>
      <c r="N905" s="415" t="s">
        <v>2675</v>
      </c>
      <c r="O905" s="415">
        <v>427</v>
      </c>
      <c r="P905" s="415" t="s">
        <v>2675</v>
      </c>
      <c r="Q905" s="415" t="s">
        <v>2675</v>
      </c>
      <c r="R905" s="415" t="s">
        <v>3269</v>
      </c>
      <c r="S905" s="415" t="s">
        <v>3189</v>
      </c>
      <c r="T905" s="416">
        <v>138</v>
      </c>
      <c r="U905" s="416">
        <v>138</v>
      </c>
      <c r="V905" s="416">
        <v>134</v>
      </c>
      <c r="W905" s="416">
        <v>130</v>
      </c>
      <c r="X905" s="416">
        <v>126</v>
      </c>
      <c r="Y905" s="416">
        <v>122</v>
      </c>
      <c r="Z905" s="416">
        <v>119</v>
      </c>
      <c r="AA905" s="416">
        <v>118</v>
      </c>
      <c r="AB905" s="416">
        <v>115</v>
      </c>
      <c r="AC905" s="416">
        <v>114</v>
      </c>
      <c r="AD905" s="416">
        <v>111</v>
      </c>
      <c r="AE905" s="416">
        <v>109</v>
      </c>
      <c r="AF905" s="416">
        <v>107</v>
      </c>
      <c r="AG905" s="416">
        <v>105</v>
      </c>
      <c r="AH905" s="416">
        <v>103</v>
      </c>
      <c r="AI905" s="416">
        <v>0</v>
      </c>
      <c r="AJ905" s="416">
        <v>0</v>
      </c>
      <c r="AK905" s="416">
        <v>0</v>
      </c>
      <c r="AL905" s="416">
        <v>0</v>
      </c>
      <c r="AM905" s="416">
        <v>0</v>
      </c>
      <c r="AN905" s="416">
        <v>0</v>
      </c>
      <c r="AO905" s="416">
        <v>0</v>
      </c>
      <c r="AP905" s="416">
        <v>0</v>
      </c>
      <c r="AQ905" s="416">
        <v>0</v>
      </c>
      <c r="AR905" s="416">
        <v>0</v>
      </c>
      <c r="AS905" s="416">
        <v>0</v>
      </c>
      <c r="AT905" s="416">
        <v>0</v>
      </c>
      <c r="AU905" s="416">
        <v>0</v>
      </c>
      <c r="AV905" s="416">
        <v>0</v>
      </c>
      <c r="AW905" s="416">
        <v>0</v>
      </c>
      <c r="AX905" s="416">
        <v>0</v>
      </c>
      <c r="AY905" s="416">
        <v>0</v>
      </c>
      <c r="AZ905" s="416">
        <v>0</v>
      </c>
    </row>
    <row r="906" spans="1:52" s="411" customFormat="1" x14ac:dyDescent="0.3">
      <c r="A906" s="415" t="str">
        <f t="shared" si="14"/>
        <v>SA-182 Gr.F304LN</v>
      </c>
      <c r="B906" s="415">
        <v>900</v>
      </c>
      <c r="C906" s="415" t="s">
        <v>3316</v>
      </c>
      <c r="D906" s="415" t="s">
        <v>2737</v>
      </c>
      <c r="E906" s="415" t="s">
        <v>2188</v>
      </c>
      <c r="F906" s="415" t="s">
        <v>2435</v>
      </c>
      <c r="G906" s="415" t="s">
        <v>3307</v>
      </c>
      <c r="H906" s="415">
        <v>0</v>
      </c>
      <c r="I906" s="415" t="s">
        <v>3207</v>
      </c>
      <c r="J906" s="415">
        <v>8</v>
      </c>
      <c r="K906" s="415">
        <v>1</v>
      </c>
      <c r="L906" s="415">
        <v>515</v>
      </c>
      <c r="M906" s="415">
        <v>205</v>
      </c>
      <c r="N906" s="415" t="s">
        <v>2675</v>
      </c>
      <c r="O906" s="415">
        <v>427</v>
      </c>
      <c r="P906" s="415" t="s">
        <v>2675</v>
      </c>
      <c r="Q906" s="415" t="s">
        <v>2675</v>
      </c>
      <c r="R906" s="415" t="s">
        <v>3269</v>
      </c>
      <c r="S906" s="415" t="s">
        <v>3189</v>
      </c>
      <c r="T906" s="416">
        <v>138</v>
      </c>
      <c r="U906" s="416">
        <v>138</v>
      </c>
      <c r="V906" s="416">
        <v>138</v>
      </c>
      <c r="W906" s="416">
        <v>137</v>
      </c>
      <c r="X906" s="416">
        <v>134</v>
      </c>
      <c r="Y906" s="416">
        <v>130</v>
      </c>
      <c r="Z906" s="416">
        <v>126</v>
      </c>
      <c r="AA906" s="416">
        <v>122</v>
      </c>
      <c r="AB906" s="416">
        <v>116</v>
      </c>
      <c r="AC906" s="416">
        <v>114</v>
      </c>
      <c r="AD906" s="416">
        <v>111</v>
      </c>
      <c r="AE906" s="416">
        <v>109</v>
      </c>
      <c r="AF906" s="416">
        <v>107</v>
      </c>
      <c r="AG906" s="416">
        <v>105</v>
      </c>
      <c r="AH906" s="416">
        <v>103</v>
      </c>
      <c r="AI906" s="416">
        <v>0</v>
      </c>
      <c r="AJ906" s="416">
        <v>0</v>
      </c>
      <c r="AK906" s="416">
        <v>0</v>
      </c>
      <c r="AL906" s="416">
        <v>0</v>
      </c>
      <c r="AM906" s="416">
        <v>0</v>
      </c>
      <c r="AN906" s="416">
        <v>0</v>
      </c>
      <c r="AO906" s="416">
        <v>0</v>
      </c>
      <c r="AP906" s="416">
        <v>0</v>
      </c>
      <c r="AQ906" s="416">
        <v>0</v>
      </c>
      <c r="AR906" s="416">
        <v>0</v>
      </c>
      <c r="AS906" s="416">
        <v>0</v>
      </c>
      <c r="AT906" s="416">
        <v>0</v>
      </c>
      <c r="AU906" s="416">
        <v>0</v>
      </c>
      <c r="AV906" s="416">
        <v>0</v>
      </c>
      <c r="AW906" s="416">
        <v>0</v>
      </c>
      <c r="AX906" s="416">
        <v>0</v>
      </c>
      <c r="AY906" s="416">
        <v>0</v>
      </c>
      <c r="AZ906" s="416">
        <v>0</v>
      </c>
    </row>
    <row r="907" spans="1:52" s="411" customFormat="1" x14ac:dyDescent="0.3">
      <c r="A907" s="415" t="str">
        <f t="shared" si="14"/>
        <v>SA-213 Gr.TP304LN</v>
      </c>
      <c r="B907" s="415">
        <v>901</v>
      </c>
      <c r="C907" s="415" t="s">
        <v>3316</v>
      </c>
      <c r="D907" s="415" t="s">
        <v>2693</v>
      </c>
      <c r="E907" s="415" t="s">
        <v>2195</v>
      </c>
      <c r="F907" s="415" t="s">
        <v>2558</v>
      </c>
      <c r="G907" s="415" t="s">
        <v>3307</v>
      </c>
      <c r="H907" s="415">
        <v>0</v>
      </c>
      <c r="I907" s="415">
        <v>0</v>
      </c>
      <c r="J907" s="415">
        <v>8</v>
      </c>
      <c r="K907" s="415">
        <v>1</v>
      </c>
      <c r="L907" s="415">
        <v>515</v>
      </c>
      <c r="M907" s="415">
        <v>205</v>
      </c>
      <c r="N907" s="415" t="s">
        <v>2675</v>
      </c>
      <c r="O907" s="415">
        <v>427</v>
      </c>
      <c r="P907" s="415" t="s">
        <v>2675</v>
      </c>
      <c r="Q907" s="415" t="s">
        <v>2675</v>
      </c>
      <c r="R907" s="415" t="s">
        <v>3269</v>
      </c>
      <c r="S907" s="415" t="s">
        <v>3189</v>
      </c>
      <c r="T907" s="416">
        <v>138</v>
      </c>
      <c r="U907" s="416">
        <v>138</v>
      </c>
      <c r="V907" s="416">
        <v>138</v>
      </c>
      <c r="W907" s="416">
        <v>137</v>
      </c>
      <c r="X907" s="416">
        <v>134</v>
      </c>
      <c r="Y907" s="416">
        <v>130</v>
      </c>
      <c r="Z907" s="416">
        <v>126</v>
      </c>
      <c r="AA907" s="416">
        <v>122</v>
      </c>
      <c r="AB907" s="416">
        <v>116</v>
      </c>
      <c r="AC907" s="416">
        <v>114</v>
      </c>
      <c r="AD907" s="416">
        <v>111</v>
      </c>
      <c r="AE907" s="416">
        <v>109</v>
      </c>
      <c r="AF907" s="416">
        <v>107</v>
      </c>
      <c r="AG907" s="416">
        <v>105</v>
      </c>
      <c r="AH907" s="416">
        <v>103</v>
      </c>
      <c r="AI907" s="416">
        <v>0</v>
      </c>
      <c r="AJ907" s="416">
        <v>0</v>
      </c>
      <c r="AK907" s="416">
        <v>0</v>
      </c>
      <c r="AL907" s="416">
        <v>0</v>
      </c>
      <c r="AM907" s="416">
        <v>0</v>
      </c>
      <c r="AN907" s="416">
        <v>0</v>
      </c>
      <c r="AO907" s="416">
        <v>0</v>
      </c>
      <c r="AP907" s="416">
        <v>0</v>
      </c>
      <c r="AQ907" s="416">
        <v>0</v>
      </c>
      <c r="AR907" s="416">
        <v>0</v>
      </c>
      <c r="AS907" s="416">
        <v>0</v>
      </c>
      <c r="AT907" s="416">
        <v>0</v>
      </c>
      <c r="AU907" s="416">
        <v>0</v>
      </c>
      <c r="AV907" s="416">
        <v>0</v>
      </c>
      <c r="AW907" s="416">
        <v>0</v>
      </c>
      <c r="AX907" s="416">
        <v>0</v>
      </c>
      <c r="AY907" s="416">
        <v>0</v>
      </c>
      <c r="AZ907" s="416">
        <v>0</v>
      </c>
    </row>
    <row r="908" spans="1:52" s="411" customFormat="1" x14ac:dyDescent="0.3">
      <c r="A908" s="415" t="str">
        <f t="shared" si="14"/>
        <v>SA-240 Gr.304LN</v>
      </c>
      <c r="B908" s="415">
        <v>902</v>
      </c>
      <c r="C908" s="415" t="s">
        <v>3316</v>
      </c>
      <c r="D908" s="415" t="s">
        <v>2684</v>
      </c>
      <c r="E908" s="415" t="s">
        <v>2165</v>
      </c>
      <c r="F908" s="415" t="s">
        <v>2248</v>
      </c>
      <c r="G908" s="415" t="s">
        <v>3307</v>
      </c>
      <c r="H908" s="415">
        <v>0</v>
      </c>
      <c r="I908" s="415">
        <v>0</v>
      </c>
      <c r="J908" s="415">
        <v>8</v>
      </c>
      <c r="K908" s="415">
        <v>1</v>
      </c>
      <c r="L908" s="415">
        <v>515</v>
      </c>
      <c r="M908" s="415">
        <v>205</v>
      </c>
      <c r="N908" s="415" t="s">
        <v>2675</v>
      </c>
      <c r="O908" s="415">
        <v>427</v>
      </c>
      <c r="P908" s="415" t="s">
        <v>2675</v>
      </c>
      <c r="Q908" s="415" t="s">
        <v>2675</v>
      </c>
      <c r="R908" s="415" t="s">
        <v>3269</v>
      </c>
      <c r="S908" s="415" t="s">
        <v>3189</v>
      </c>
      <c r="T908" s="416">
        <v>138</v>
      </c>
      <c r="U908" s="416">
        <v>138</v>
      </c>
      <c r="V908" s="416">
        <v>138</v>
      </c>
      <c r="W908" s="416">
        <v>137</v>
      </c>
      <c r="X908" s="416">
        <v>134</v>
      </c>
      <c r="Y908" s="416">
        <v>130</v>
      </c>
      <c r="Z908" s="416">
        <v>126</v>
      </c>
      <c r="AA908" s="416">
        <v>122</v>
      </c>
      <c r="AB908" s="416">
        <v>116</v>
      </c>
      <c r="AC908" s="416">
        <v>114</v>
      </c>
      <c r="AD908" s="416">
        <v>111</v>
      </c>
      <c r="AE908" s="416">
        <v>109</v>
      </c>
      <c r="AF908" s="416">
        <v>107</v>
      </c>
      <c r="AG908" s="416">
        <v>105</v>
      </c>
      <c r="AH908" s="416">
        <v>103</v>
      </c>
      <c r="AI908" s="416">
        <v>0</v>
      </c>
      <c r="AJ908" s="416">
        <v>0</v>
      </c>
      <c r="AK908" s="416">
        <v>0</v>
      </c>
      <c r="AL908" s="416">
        <v>0</v>
      </c>
      <c r="AM908" s="416">
        <v>0</v>
      </c>
      <c r="AN908" s="416">
        <v>0</v>
      </c>
      <c r="AO908" s="416">
        <v>0</v>
      </c>
      <c r="AP908" s="416">
        <v>0</v>
      </c>
      <c r="AQ908" s="416">
        <v>0</v>
      </c>
      <c r="AR908" s="416">
        <v>0</v>
      </c>
      <c r="AS908" s="416">
        <v>0</v>
      </c>
      <c r="AT908" s="416">
        <v>0</v>
      </c>
      <c r="AU908" s="416">
        <v>0</v>
      </c>
      <c r="AV908" s="416">
        <v>0</v>
      </c>
      <c r="AW908" s="416">
        <v>0</v>
      </c>
      <c r="AX908" s="416">
        <v>0</v>
      </c>
      <c r="AY908" s="416">
        <v>0</v>
      </c>
      <c r="AZ908" s="416">
        <v>0</v>
      </c>
    </row>
    <row r="909" spans="1:52" s="411" customFormat="1" x14ac:dyDescent="0.3">
      <c r="A909" s="415" t="str">
        <f t="shared" si="14"/>
        <v>SA-249 Gr.TP304LN</v>
      </c>
      <c r="B909" s="415">
        <v>903</v>
      </c>
      <c r="C909" s="415" t="s">
        <v>3316</v>
      </c>
      <c r="D909" s="415" t="s">
        <v>2689</v>
      </c>
      <c r="E909" s="415" t="s">
        <v>2200</v>
      </c>
      <c r="F909" s="415" t="s">
        <v>2558</v>
      </c>
      <c r="G909" s="415" t="s">
        <v>3307</v>
      </c>
      <c r="H909" s="415">
        <v>0</v>
      </c>
      <c r="I909" s="415">
        <v>0</v>
      </c>
      <c r="J909" s="415">
        <v>8</v>
      </c>
      <c r="K909" s="415">
        <v>1</v>
      </c>
      <c r="L909" s="415">
        <v>515</v>
      </c>
      <c r="M909" s="415">
        <v>205</v>
      </c>
      <c r="N909" s="415" t="s">
        <v>2675</v>
      </c>
      <c r="O909" s="415">
        <v>427</v>
      </c>
      <c r="P909" s="415" t="s">
        <v>2675</v>
      </c>
      <c r="Q909" s="415" t="s">
        <v>2675</v>
      </c>
      <c r="R909" s="415" t="s">
        <v>3269</v>
      </c>
      <c r="S909" s="415" t="s">
        <v>3208</v>
      </c>
      <c r="T909" s="416">
        <v>138</v>
      </c>
      <c r="U909" s="416">
        <v>138</v>
      </c>
      <c r="V909" s="416">
        <v>138</v>
      </c>
      <c r="W909" s="416">
        <v>137</v>
      </c>
      <c r="X909" s="416">
        <v>134</v>
      </c>
      <c r="Y909" s="416">
        <v>130</v>
      </c>
      <c r="Z909" s="416">
        <v>126</v>
      </c>
      <c r="AA909" s="416">
        <v>122</v>
      </c>
      <c r="AB909" s="416">
        <v>116</v>
      </c>
      <c r="AC909" s="416">
        <v>114</v>
      </c>
      <c r="AD909" s="416">
        <v>111</v>
      </c>
      <c r="AE909" s="416">
        <v>109</v>
      </c>
      <c r="AF909" s="416">
        <v>107</v>
      </c>
      <c r="AG909" s="416">
        <v>105</v>
      </c>
      <c r="AH909" s="416">
        <v>103</v>
      </c>
      <c r="AI909" s="416">
        <v>0</v>
      </c>
      <c r="AJ909" s="416">
        <v>0</v>
      </c>
      <c r="AK909" s="416">
        <v>0</v>
      </c>
      <c r="AL909" s="416">
        <v>0</v>
      </c>
      <c r="AM909" s="416">
        <v>0</v>
      </c>
      <c r="AN909" s="416">
        <v>0</v>
      </c>
      <c r="AO909" s="416">
        <v>0</v>
      </c>
      <c r="AP909" s="416">
        <v>0</v>
      </c>
      <c r="AQ909" s="416">
        <v>0</v>
      </c>
      <c r="AR909" s="416">
        <v>0</v>
      </c>
      <c r="AS909" s="416">
        <v>0</v>
      </c>
      <c r="AT909" s="416">
        <v>0</v>
      </c>
      <c r="AU909" s="416">
        <v>0</v>
      </c>
      <c r="AV909" s="416">
        <v>0</v>
      </c>
      <c r="AW909" s="416">
        <v>0</v>
      </c>
      <c r="AX909" s="416">
        <v>0</v>
      </c>
      <c r="AY909" s="416">
        <v>0</v>
      </c>
      <c r="AZ909" s="416">
        <v>0</v>
      </c>
    </row>
    <row r="910" spans="1:52" s="411" customFormat="1" x14ac:dyDescent="0.3">
      <c r="A910" s="415" t="str">
        <f t="shared" si="14"/>
        <v>SA-312 Gr.TP304LN</v>
      </c>
      <c r="B910" s="415">
        <v>904</v>
      </c>
      <c r="C910" s="415" t="s">
        <v>3316</v>
      </c>
      <c r="D910" s="415" t="s">
        <v>2720</v>
      </c>
      <c r="E910" s="415" t="s">
        <v>2208</v>
      </c>
      <c r="F910" s="415" t="s">
        <v>2558</v>
      </c>
      <c r="G910" s="415" t="s">
        <v>3307</v>
      </c>
      <c r="H910" s="415">
        <v>0</v>
      </c>
      <c r="I910" s="415">
        <v>0</v>
      </c>
      <c r="J910" s="415">
        <v>8</v>
      </c>
      <c r="K910" s="415">
        <v>1</v>
      </c>
      <c r="L910" s="415">
        <v>515</v>
      </c>
      <c r="M910" s="415">
        <v>205</v>
      </c>
      <c r="N910" s="415" t="s">
        <v>2675</v>
      </c>
      <c r="O910" s="415">
        <v>427</v>
      </c>
      <c r="P910" s="415" t="s">
        <v>2675</v>
      </c>
      <c r="Q910" s="415" t="s">
        <v>2675</v>
      </c>
      <c r="R910" s="415" t="s">
        <v>3269</v>
      </c>
      <c r="S910" s="415" t="s">
        <v>3212</v>
      </c>
      <c r="T910" s="416">
        <v>138</v>
      </c>
      <c r="U910" s="416">
        <v>138</v>
      </c>
      <c r="V910" s="416">
        <v>138</v>
      </c>
      <c r="W910" s="416">
        <v>137</v>
      </c>
      <c r="X910" s="416">
        <v>134</v>
      </c>
      <c r="Y910" s="416">
        <v>130</v>
      </c>
      <c r="Z910" s="416">
        <v>126</v>
      </c>
      <c r="AA910" s="416">
        <v>122</v>
      </c>
      <c r="AB910" s="416">
        <v>116</v>
      </c>
      <c r="AC910" s="416">
        <v>114</v>
      </c>
      <c r="AD910" s="416">
        <v>111</v>
      </c>
      <c r="AE910" s="416">
        <v>109</v>
      </c>
      <c r="AF910" s="416">
        <v>107</v>
      </c>
      <c r="AG910" s="416">
        <v>105</v>
      </c>
      <c r="AH910" s="416">
        <v>103</v>
      </c>
      <c r="AI910" s="416">
        <v>0</v>
      </c>
      <c r="AJ910" s="416">
        <v>0</v>
      </c>
      <c r="AK910" s="416">
        <v>0</v>
      </c>
      <c r="AL910" s="416">
        <v>0</v>
      </c>
      <c r="AM910" s="416">
        <v>0</v>
      </c>
      <c r="AN910" s="416">
        <v>0</v>
      </c>
      <c r="AO910" s="416">
        <v>0</v>
      </c>
      <c r="AP910" s="416">
        <v>0</v>
      </c>
      <c r="AQ910" s="416">
        <v>0</v>
      </c>
      <c r="AR910" s="416">
        <v>0</v>
      </c>
      <c r="AS910" s="416">
        <v>0</v>
      </c>
      <c r="AT910" s="416">
        <v>0</v>
      </c>
      <c r="AU910" s="416">
        <v>0</v>
      </c>
      <c r="AV910" s="416">
        <v>0</v>
      </c>
      <c r="AW910" s="416">
        <v>0</v>
      </c>
      <c r="AX910" s="416">
        <v>0</v>
      </c>
      <c r="AY910" s="416">
        <v>0</v>
      </c>
      <c r="AZ910" s="416">
        <v>0</v>
      </c>
    </row>
    <row r="911" spans="1:52" s="411" customFormat="1" x14ac:dyDescent="0.3">
      <c r="A911" s="415" t="str">
        <f t="shared" si="14"/>
        <v>SA-376 Gr.TP304LN</v>
      </c>
      <c r="B911" s="415">
        <v>905</v>
      </c>
      <c r="C911" s="415" t="s">
        <v>3316</v>
      </c>
      <c r="D911" s="415" t="s">
        <v>2703</v>
      </c>
      <c r="E911" s="415" t="s">
        <v>2225</v>
      </c>
      <c r="F911" s="415" t="s">
        <v>2558</v>
      </c>
      <c r="G911" s="415" t="s">
        <v>3307</v>
      </c>
      <c r="H911" s="415">
        <v>0</v>
      </c>
      <c r="I911" s="415">
        <v>0</v>
      </c>
      <c r="J911" s="415">
        <v>8</v>
      </c>
      <c r="K911" s="415">
        <v>1</v>
      </c>
      <c r="L911" s="415">
        <v>515</v>
      </c>
      <c r="M911" s="415">
        <v>205</v>
      </c>
      <c r="N911" s="415" t="s">
        <v>2675</v>
      </c>
      <c r="O911" s="415">
        <v>427</v>
      </c>
      <c r="P911" s="415" t="s">
        <v>2675</v>
      </c>
      <c r="Q911" s="415" t="s">
        <v>2675</v>
      </c>
      <c r="R911" s="415" t="s">
        <v>3269</v>
      </c>
      <c r="S911" s="415" t="s">
        <v>3189</v>
      </c>
      <c r="T911" s="416">
        <v>138</v>
      </c>
      <c r="U911" s="416">
        <v>138</v>
      </c>
      <c r="V911" s="416">
        <v>138</v>
      </c>
      <c r="W911" s="416">
        <v>137</v>
      </c>
      <c r="X911" s="416">
        <v>134</v>
      </c>
      <c r="Y911" s="416">
        <v>130</v>
      </c>
      <c r="Z911" s="416">
        <v>126</v>
      </c>
      <c r="AA911" s="416">
        <v>122</v>
      </c>
      <c r="AB911" s="416">
        <v>116</v>
      </c>
      <c r="AC911" s="416">
        <v>114</v>
      </c>
      <c r="AD911" s="416">
        <v>111</v>
      </c>
      <c r="AE911" s="416">
        <v>109</v>
      </c>
      <c r="AF911" s="416">
        <v>107</v>
      </c>
      <c r="AG911" s="416">
        <v>105</v>
      </c>
      <c r="AH911" s="416">
        <v>103</v>
      </c>
      <c r="AI911" s="416">
        <v>0</v>
      </c>
      <c r="AJ911" s="416">
        <v>0</v>
      </c>
      <c r="AK911" s="416">
        <v>0</v>
      </c>
      <c r="AL911" s="416">
        <v>0</v>
      </c>
      <c r="AM911" s="416">
        <v>0</v>
      </c>
      <c r="AN911" s="416">
        <v>0</v>
      </c>
      <c r="AO911" s="416">
        <v>0</v>
      </c>
      <c r="AP911" s="416">
        <v>0</v>
      </c>
      <c r="AQ911" s="416">
        <v>0</v>
      </c>
      <c r="AR911" s="416">
        <v>0</v>
      </c>
      <c r="AS911" s="416">
        <v>0</v>
      </c>
      <c r="AT911" s="416">
        <v>0</v>
      </c>
      <c r="AU911" s="416">
        <v>0</v>
      </c>
      <c r="AV911" s="416">
        <v>0</v>
      </c>
      <c r="AW911" s="416">
        <v>0</v>
      </c>
      <c r="AX911" s="416">
        <v>0</v>
      </c>
      <c r="AY911" s="416">
        <v>0</v>
      </c>
      <c r="AZ911" s="416">
        <v>0</v>
      </c>
    </row>
    <row r="912" spans="1:52" s="411" customFormat="1" x14ac:dyDescent="0.3">
      <c r="A912" s="415" t="str">
        <f t="shared" si="14"/>
        <v>SA-403 Gr.304LN</v>
      </c>
      <c r="B912" s="415">
        <v>906</v>
      </c>
      <c r="C912" s="415" t="s">
        <v>3316</v>
      </c>
      <c r="D912" s="415" t="s">
        <v>2758</v>
      </c>
      <c r="E912" s="415" t="s">
        <v>2229</v>
      </c>
      <c r="F912" s="415" t="s">
        <v>2248</v>
      </c>
      <c r="G912" s="415" t="s">
        <v>3307</v>
      </c>
      <c r="H912" s="415" t="s">
        <v>3317</v>
      </c>
      <c r="I912" s="415">
        <v>0</v>
      </c>
      <c r="J912" s="415">
        <v>8</v>
      </c>
      <c r="K912" s="415">
        <v>1</v>
      </c>
      <c r="L912" s="415">
        <v>515</v>
      </c>
      <c r="M912" s="415">
        <v>205</v>
      </c>
      <c r="N912" s="415" t="s">
        <v>2675</v>
      </c>
      <c r="O912" s="415">
        <v>427</v>
      </c>
      <c r="P912" s="415" t="s">
        <v>2675</v>
      </c>
      <c r="Q912" s="415" t="s">
        <v>2675</v>
      </c>
      <c r="R912" s="415" t="s">
        <v>3269</v>
      </c>
      <c r="S912" s="415" t="s">
        <v>3212</v>
      </c>
      <c r="T912" s="416">
        <v>138</v>
      </c>
      <c r="U912" s="416">
        <v>138</v>
      </c>
      <c r="V912" s="416">
        <v>138</v>
      </c>
      <c r="W912" s="416">
        <v>137</v>
      </c>
      <c r="X912" s="416">
        <v>134</v>
      </c>
      <c r="Y912" s="416">
        <v>130</v>
      </c>
      <c r="Z912" s="416">
        <v>126</v>
      </c>
      <c r="AA912" s="416">
        <v>122</v>
      </c>
      <c r="AB912" s="416">
        <v>116</v>
      </c>
      <c r="AC912" s="416">
        <v>114</v>
      </c>
      <c r="AD912" s="416">
        <v>111</v>
      </c>
      <c r="AE912" s="416">
        <v>109</v>
      </c>
      <c r="AF912" s="416">
        <v>107</v>
      </c>
      <c r="AG912" s="416">
        <v>105</v>
      </c>
      <c r="AH912" s="416">
        <v>103</v>
      </c>
      <c r="AI912" s="416">
        <v>0</v>
      </c>
      <c r="AJ912" s="416">
        <v>0</v>
      </c>
      <c r="AK912" s="416">
        <v>0</v>
      </c>
      <c r="AL912" s="416">
        <v>0</v>
      </c>
      <c r="AM912" s="416">
        <v>0</v>
      </c>
      <c r="AN912" s="416">
        <v>0</v>
      </c>
      <c r="AO912" s="416">
        <v>0</v>
      </c>
      <c r="AP912" s="416">
        <v>0</v>
      </c>
      <c r="AQ912" s="416">
        <v>0</v>
      </c>
      <c r="AR912" s="416">
        <v>0</v>
      </c>
      <c r="AS912" s="416">
        <v>0</v>
      </c>
      <c r="AT912" s="416">
        <v>0</v>
      </c>
      <c r="AU912" s="416">
        <v>0</v>
      </c>
      <c r="AV912" s="416">
        <v>0</v>
      </c>
      <c r="AW912" s="416">
        <v>0</v>
      </c>
      <c r="AX912" s="416">
        <v>0</v>
      </c>
      <c r="AY912" s="416">
        <v>0</v>
      </c>
      <c r="AZ912" s="416">
        <v>0</v>
      </c>
    </row>
    <row r="913" spans="1:52" s="411" customFormat="1" x14ac:dyDescent="0.3">
      <c r="A913" s="415" t="str">
        <f t="shared" si="14"/>
        <v>SA-479 Gr.304LN</v>
      </c>
      <c r="B913" s="415">
        <v>907</v>
      </c>
      <c r="C913" s="415" t="s">
        <v>3316</v>
      </c>
      <c r="D913" s="415" t="s">
        <v>2677</v>
      </c>
      <c r="E913" s="415" t="s">
        <v>2245</v>
      </c>
      <c r="F913" s="415" t="s">
        <v>2248</v>
      </c>
      <c r="G913" s="415" t="s">
        <v>3307</v>
      </c>
      <c r="H913" s="415">
        <v>0</v>
      </c>
      <c r="I913" s="415">
        <v>0</v>
      </c>
      <c r="J913" s="415">
        <v>8</v>
      </c>
      <c r="K913" s="415">
        <v>1</v>
      </c>
      <c r="L913" s="415">
        <v>515</v>
      </c>
      <c r="M913" s="415">
        <v>205</v>
      </c>
      <c r="N913" s="415" t="s">
        <v>2675</v>
      </c>
      <c r="O913" s="415">
        <v>427</v>
      </c>
      <c r="P913" s="415" t="s">
        <v>2675</v>
      </c>
      <c r="Q913" s="415" t="s">
        <v>2675</v>
      </c>
      <c r="R913" s="415" t="s">
        <v>3269</v>
      </c>
      <c r="S913" s="415" t="s">
        <v>3189</v>
      </c>
      <c r="T913" s="416">
        <v>138</v>
      </c>
      <c r="U913" s="416">
        <v>138</v>
      </c>
      <c r="V913" s="416">
        <v>138</v>
      </c>
      <c r="W913" s="416">
        <v>137</v>
      </c>
      <c r="X913" s="416">
        <v>134</v>
      </c>
      <c r="Y913" s="416">
        <v>130</v>
      </c>
      <c r="Z913" s="416">
        <v>126</v>
      </c>
      <c r="AA913" s="416">
        <v>122</v>
      </c>
      <c r="AB913" s="416">
        <v>116</v>
      </c>
      <c r="AC913" s="416">
        <v>114</v>
      </c>
      <c r="AD913" s="416">
        <v>111</v>
      </c>
      <c r="AE913" s="416">
        <v>109</v>
      </c>
      <c r="AF913" s="416">
        <v>107</v>
      </c>
      <c r="AG913" s="416">
        <v>105</v>
      </c>
      <c r="AH913" s="416">
        <v>103</v>
      </c>
      <c r="AI913" s="416">
        <v>0</v>
      </c>
      <c r="AJ913" s="416">
        <v>0</v>
      </c>
      <c r="AK913" s="416">
        <v>0</v>
      </c>
      <c r="AL913" s="416">
        <v>0</v>
      </c>
      <c r="AM913" s="416">
        <v>0</v>
      </c>
      <c r="AN913" s="416">
        <v>0</v>
      </c>
      <c r="AO913" s="416">
        <v>0</v>
      </c>
      <c r="AP913" s="416">
        <v>0</v>
      </c>
      <c r="AQ913" s="416">
        <v>0</v>
      </c>
      <c r="AR913" s="416">
        <v>0</v>
      </c>
      <c r="AS913" s="416">
        <v>0</v>
      </c>
      <c r="AT913" s="416">
        <v>0</v>
      </c>
      <c r="AU913" s="416">
        <v>0</v>
      </c>
      <c r="AV913" s="416">
        <v>0</v>
      </c>
      <c r="AW913" s="416">
        <v>0</v>
      </c>
      <c r="AX913" s="416">
        <v>0</v>
      </c>
      <c r="AY913" s="416">
        <v>0</v>
      </c>
      <c r="AZ913" s="416">
        <v>0</v>
      </c>
    </row>
    <row r="914" spans="1:52" s="411" customFormat="1" x14ac:dyDescent="0.3">
      <c r="A914" s="415" t="str">
        <f t="shared" si="14"/>
        <v>SA-688 Gr.TP304LN</v>
      </c>
      <c r="B914" s="415">
        <v>908</v>
      </c>
      <c r="C914" s="415" t="s">
        <v>3316</v>
      </c>
      <c r="D914" s="415" t="s">
        <v>2689</v>
      </c>
      <c r="E914" s="415" t="s">
        <v>2301</v>
      </c>
      <c r="F914" s="415" t="s">
        <v>2558</v>
      </c>
      <c r="G914" s="415" t="s">
        <v>3307</v>
      </c>
      <c r="H914" s="415">
        <v>0</v>
      </c>
      <c r="I914" s="415">
        <v>0</v>
      </c>
      <c r="J914" s="415">
        <v>8</v>
      </c>
      <c r="K914" s="415">
        <v>1</v>
      </c>
      <c r="L914" s="415">
        <v>515</v>
      </c>
      <c r="M914" s="415">
        <v>205</v>
      </c>
      <c r="N914" s="415" t="s">
        <v>2675</v>
      </c>
      <c r="O914" s="415">
        <v>427</v>
      </c>
      <c r="P914" s="415" t="s">
        <v>2675</v>
      </c>
      <c r="Q914" s="415" t="s">
        <v>2675</v>
      </c>
      <c r="R914" s="415" t="s">
        <v>3269</v>
      </c>
      <c r="S914" s="415" t="s">
        <v>3208</v>
      </c>
      <c r="T914" s="416">
        <v>138</v>
      </c>
      <c r="U914" s="416">
        <v>138</v>
      </c>
      <c r="V914" s="416">
        <v>138</v>
      </c>
      <c r="W914" s="416">
        <v>137</v>
      </c>
      <c r="X914" s="416">
        <v>134</v>
      </c>
      <c r="Y914" s="416">
        <v>130</v>
      </c>
      <c r="Z914" s="416">
        <v>126</v>
      </c>
      <c r="AA914" s="416">
        <v>122</v>
      </c>
      <c r="AB914" s="416">
        <v>116</v>
      </c>
      <c r="AC914" s="416">
        <v>114</v>
      </c>
      <c r="AD914" s="416">
        <v>111</v>
      </c>
      <c r="AE914" s="416">
        <v>109</v>
      </c>
      <c r="AF914" s="416">
        <v>107</v>
      </c>
      <c r="AG914" s="416">
        <v>105</v>
      </c>
      <c r="AH914" s="416">
        <v>103</v>
      </c>
      <c r="AI914" s="416">
        <v>0</v>
      </c>
      <c r="AJ914" s="416">
        <v>0</v>
      </c>
      <c r="AK914" s="416">
        <v>0</v>
      </c>
      <c r="AL914" s="416">
        <v>0</v>
      </c>
      <c r="AM914" s="416">
        <v>0</v>
      </c>
      <c r="AN914" s="416">
        <v>0</v>
      </c>
      <c r="AO914" s="416">
        <v>0</v>
      </c>
      <c r="AP914" s="416">
        <v>0</v>
      </c>
      <c r="AQ914" s="416">
        <v>0</v>
      </c>
      <c r="AR914" s="416">
        <v>0</v>
      </c>
      <c r="AS914" s="416">
        <v>0</v>
      </c>
      <c r="AT914" s="416">
        <v>0</v>
      </c>
      <c r="AU914" s="416">
        <v>0</v>
      </c>
      <c r="AV914" s="416">
        <v>0</v>
      </c>
      <c r="AW914" s="416">
        <v>0</v>
      </c>
      <c r="AX914" s="416">
        <v>0</v>
      </c>
      <c r="AY914" s="416">
        <v>0</v>
      </c>
      <c r="AZ914" s="416">
        <v>0</v>
      </c>
    </row>
    <row r="915" spans="1:52" s="411" customFormat="1" x14ac:dyDescent="0.3">
      <c r="A915" s="415" t="str">
        <f t="shared" si="14"/>
        <v>SA-813 Gr.TP304LN</v>
      </c>
      <c r="B915" s="415">
        <v>909</v>
      </c>
      <c r="C915" s="415" t="s">
        <v>3316</v>
      </c>
      <c r="D915" s="415" t="s">
        <v>2680</v>
      </c>
      <c r="E915" s="415" t="s">
        <v>2328</v>
      </c>
      <c r="F915" s="415" t="s">
        <v>2558</v>
      </c>
      <c r="G915" s="415" t="s">
        <v>3307</v>
      </c>
      <c r="H915" s="415">
        <v>0</v>
      </c>
      <c r="I915" s="415">
        <v>0</v>
      </c>
      <c r="J915" s="415">
        <v>8</v>
      </c>
      <c r="K915" s="415">
        <v>1</v>
      </c>
      <c r="L915" s="415">
        <v>515</v>
      </c>
      <c r="M915" s="415">
        <v>205</v>
      </c>
      <c r="N915" s="415" t="s">
        <v>2675</v>
      </c>
      <c r="O915" s="415">
        <v>427</v>
      </c>
      <c r="P915" s="415" t="s">
        <v>2675</v>
      </c>
      <c r="Q915" s="415" t="s">
        <v>2675</v>
      </c>
      <c r="R915" s="415" t="s">
        <v>3269</v>
      </c>
      <c r="S915" s="415" t="s">
        <v>3208</v>
      </c>
      <c r="T915" s="416">
        <v>138</v>
      </c>
      <c r="U915" s="416">
        <v>138</v>
      </c>
      <c r="V915" s="416">
        <v>138</v>
      </c>
      <c r="W915" s="416">
        <v>137</v>
      </c>
      <c r="X915" s="416">
        <v>134</v>
      </c>
      <c r="Y915" s="416">
        <v>130</v>
      </c>
      <c r="Z915" s="416">
        <v>126</v>
      </c>
      <c r="AA915" s="416">
        <v>122</v>
      </c>
      <c r="AB915" s="416">
        <v>116</v>
      </c>
      <c r="AC915" s="416">
        <v>114</v>
      </c>
      <c r="AD915" s="416">
        <v>111</v>
      </c>
      <c r="AE915" s="416">
        <v>109</v>
      </c>
      <c r="AF915" s="416">
        <v>107</v>
      </c>
      <c r="AG915" s="416">
        <v>105</v>
      </c>
      <c r="AH915" s="416">
        <v>103</v>
      </c>
      <c r="AI915" s="416">
        <v>0</v>
      </c>
      <c r="AJ915" s="416">
        <v>0</v>
      </c>
      <c r="AK915" s="416">
        <v>0</v>
      </c>
      <c r="AL915" s="416">
        <v>0</v>
      </c>
      <c r="AM915" s="416">
        <v>0</v>
      </c>
      <c r="AN915" s="416">
        <v>0</v>
      </c>
      <c r="AO915" s="416">
        <v>0</v>
      </c>
      <c r="AP915" s="416">
        <v>0</v>
      </c>
      <c r="AQ915" s="416">
        <v>0</v>
      </c>
      <c r="AR915" s="416">
        <v>0</v>
      </c>
      <c r="AS915" s="416">
        <v>0</v>
      </c>
      <c r="AT915" s="416">
        <v>0</v>
      </c>
      <c r="AU915" s="416">
        <v>0</v>
      </c>
      <c r="AV915" s="416">
        <v>0</v>
      </c>
      <c r="AW915" s="416">
        <v>0</v>
      </c>
      <c r="AX915" s="416">
        <v>0</v>
      </c>
      <c r="AY915" s="416">
        <v>0</v>
      </c>
      <c r="AZ915" s="416">
        <v>0</v>
      </c>
    </row>
    <row r="916" spans="1:52" s="411" customFormat="1" x14ac:dyDescent="0.3">
      <c r="A916" s="415" t="str">
        <f t="shared" si="14"/>
        <v>SA-814 Gr.TP304LN</v>
      </c>
      <c r="B916" s="415">
        <v>910</v>
      </c>
      <c r="C916" s="415" t="s">
        <v>3316</v>
      </c>
      <c r="D916" s="415" t="s">
        <v>2680</v>
      </c>
      <c r="E916" s="415" t="s">
        <v>2330</v>
      </c>
      <c r="F916" s="415" t="s">
        <v>2558</v>
      </c>
      <c r="G916" s="415" t="s">
        <v>3307</v>
      </c>
      <c r="H916" s="415">
        <v>0</v>
      </c>
      <c r="I916" s="415">
        <v>0</v>
      </c>
      <c r="J916" s="415">
        <v>8</v>
      </c>
      <c r="K916" s="415">
        <v>1</v>
      </c>
      <c r="L916" s="415">
        <v>515</v>
      </c>
      <c r="M916" s="415">
        <v>205</v>
      </c>
      <c r="N916" s="415" t="s">
        <v>2675</v>
      </c>
      <c r="O916" s="415">
        <v>427</v>
      </c>
      <c r="P916" s="415" t="s">
        <v>2675</v>
      </c>
      <c r="Q916" s="415" t="s">
        <v>2675</v>
      </c>
      <c r="R916" s="415" t="s">
        <v>3269</v>
      </c>
      <c r="S916" s="415" t="s">
        <v>3208</v>
      </c>
      <c r="T916" s="416">
        <v>138</v>
      </c>
      <c r="U916" s="416">
        <v>138</v>
      </c>
      <c r="V916" s="416">
        <v>138</v>
      </c>
      <c r="W916" s="416">
        <v>137</v>
      </c>
      <c r="X916" s="416">
        <v>134</v>
      </c>
      <c r="Y916" s="416">
        <v>130</v>
      </c>
      <c r="Z916" s="416">
        <v>126</v>
      </c>
      <c r="AA916" s="416">
        <v>122</v>
      </c>
      <c r="AB916" s="416">
        <v>116</v>
      </c>
      <c r="AC916" s="416">
        <v>114</v>
      </c>
      <c r="AD916" s="416">
        <v>111</v>
      </c>
      <c r="AE916" s="416">
        <v>109</v>
      </c>
      <c r="AF916" s="416">
        <v>107</v>
      </c>
      <c r="AG916" s="416">
        <v>105</v>
      </c>
      <c r="AH916" s="416">
        <v>103</v>
      </c>
      <c r="AI916" s="416">
        <v>0</v>
      </c>
      <c r="AJ916" s="416">
        <v>0</v>
      </c>
      <c r="AK916" s="416">
        <v>0</v>
      </c>
      <c r="AL916" s="416">
        <v>0</v>
      </c>
      <c r="AM916" s="416">
        <v>0</v>
      </c>
      <c r="AN916" s="416">
        <v>0</v>
      </c>
      <c r="AO916" s="416">
        <v>0</v>
      </c>
      <c r="AP916" s="416">
        <v>0</v>
      </c>
      <c r="AQ916" s="416">
        <v>0</v>
      </c>
      <c r="AR916" s="416">
        <v>0</v>
      </c>
      <c r="AS916" s="416">
        <v>0</v>
      </c>
      <c r="AT916" s="416">
        <v>0</v>
      </c>
      <c r="AU916" s="416">
        <v>0</v>
      </c>
      <c r="AV916" s="416">
        <v>0</v>
      </c>
      <c r="AW916" s="416">
        <v>0</v>
      </c>
      <c r="AX916" s="416">
        <v>0</v>
      </c>
      <c r="AY916" s="416">
        <v>0</v>
      </c>
      <c r="AZ916" s="416">
        <v>0</v>
      </c>
    </row>
    <row r="917" spans="1:52" s="411" customFormat="1" x14ac:dyDescent="0.3">
      <c r="A917" s="415" t="str">
        <f t="shared" si="14"/>
        <v>SA-182 Gr.F304N</v>
      </c>
      <c r="B917" s="415">
        <v>911</v>
      </c>
      <c r="C917" s="415" t="s">
        <v>3316</v>
      </c>
      <c r="D917" s="415" t="s">
        <v>2737</v>
      </c>
      <c r="E917" s="415" t="s">
        <v>2188</v>
      </c>
      <c r="F917" s="415" t="s">
        <v>2436</v>
      </c>
      <c r="G917" s="415" t="s">
        <v>3318</v>
      </c>
      <c r="H917" s="415">
        <v>0</v>
      </c>
      <c r="I917" s="415">
        <v>0</v>
      </c>
      <c r="J917" s="415">
        <v>8</v>
      </c>
      <c r="K917" s="415">
        <v>1</v>
      </c>
      <c r="L917" s="415">
        <v>550</v>
      </c>
      <c r="M917" s="415">
        <v>240</v>
      </c>
      <c r="N917" s="415" t="s">
        <v>2675</v>
      </c>
      <c r="O917" s="415">
        <v>427</v>
      </c>
      <c r="P917" s="415" t="s">
        <v>2675</v>
      </c>
      <c r="Q917" s="415" t="s">
        <v>2675</v>
      </c>
      <c r="R917" s="415" t="s">
        <v>3269</v>
      </c>
      <c r="S917" s="415" t="s">
        <v>3189</v>
      </c>
      <c r="T917" s="416">
        <v>158</v>
      </c>
      <c r="U917" s="416">
        <v>158</v>
      </c>
      <c r="V917" s="416">
        <v>158</v>
      </c>
      <c r="W917" s="416">
        <v>158</v>
      </c>
      <c r="X917" s="416">
        <v>154</v>
      </c>
      <c r="Y917" s="416">
        <v>149</v>
      </c>
      <c r="Z917" s="416">
        <v>141</v>
      </c>
      <c r="AA917" s="416">
        <v>132</v>
      </c>
      <c r="AB917" s="416">
        <v>125</v>
      </c>
      <c r="AC917" s="416">
        <v>122</v>
      </c>
      <c r="AD917" s="416">
        <v>120</v>
      </c>
      <c r="AE917" s="416">
        <v>118</v>
      </c>
      <c r="AF917" s="416">
        <v>116</v>
      </c>
      <c r="AG917" s="416">
        <v>115</v>
      </c>
      <c r="AH917" s="416">
        <v>113</v>
      </c>
      <c r="AI917" s="416">
        <v>0</v>
      </c>
      <c r="AJ917" s="416">
        <v>0</v>
      </c>
      <c r="AK917" s="416">
        <v>0</v>
      </c>
      <c r="AL917" s="416">
        <v>0</v>
      </c>
      <c r="AM917" s="416">
        <v>0</v>
      </c>
      <c r="AN917" s="416">
        <v>0</v>
      </c>
      <c r="AO917" s="416">
        <v>0</v>
      </c>
      <c r="AP917" s="416">
        <v>0</v>
      </c>
      <c r="AQ917" s="416">
        <v>0</v>
      </c>
      <c r="AR917" s="416">
        <v>0</v>
      </c>
      <c r="AS917" s="416">
        <v>0</v>
      </c>
      <c r="AT917" s="416">
        <v>0</v>
      </c>
      <c r="AU917" s="416">
        <v>0</v>
      </c>
      <c r="AV917" s="416">
        <v>0</v>
      </c>
      <c r="AW917" s="416">
        <v>0</v>
      </c>
      <c r="AX917" s="416">
        <v>0</v>
      </c>
      <c r="AY917" s="416">
        <v>0</v>
      </c>
      <c r="AZ917" s="416">
        <v>0</v>
      </c>
    </row>
    <row r="918" spans="1:52" s="411" customFormat="1" x14ac:dyDescent="0.3">
      <c r="A918" s="415" t="str">
        <f t="shared" si="14"/>
        <v>SA-213 Gr.TP304N</v>
      </c>
      <c r="B918" s="415">
        <v>912</v>
      </c>
      <c r="C918" s="415" t="s">
        <v>3316</v>
      </c>
      <c r="D918" s="415" t="s">
        <v>2693</v>
      </c>
      <c r="E918" s="415" t="s">
        <v>2195</v>
      </c>
      <c r="F918" s="415" t="s">
        <v>2559</v>
      </c>
      <c r="G918" s="415" t="s">
        <v>3318</v>
      </c>
      <c r="H918" s="415">
        <v>0</v>
      </c>
      <c r="I918" s="415">
        <v>0</v>
      </c>
      <c r="J918" s="415">
        <v>8</v>
      </c>
      <c r="K918" s="415">
        <v>1</v>
      </c>
      <c r="L918" s="415">
        <v>550</v>
      </c>
      <c r="M918" s="415">
        <v>240</v>
      </c>
      <c r="N918" s="415">
        <v>649</v>
      </c>
      <c r="O918" s="415">
        <v>427</v>
      </c>
      <c r="P918" s="415">
        <v>649</v>
      </c>
      <c r="Q918" s="415" t="s">
        <v>2675</v>
      </c>
      <c r="R918" s="415" t="s">
        <v>3269</v>
      </c>
      <c r="S918" s="415" t="s">
        <v>3252</v>
      </c>
      <c r="T918" s="416">
        <v>158</v>
      </c>
      <c r="U918" s="416">
        <v>158</v>
      </c>
      <c r="V918" s="416">
        <v>158</v>
      </c>
      <c r="W918" s="416">
        <v>158</v>
      </c>
      <c r="X918" s="416">
        <v>154</v>
      </c>
      <c r="Y918" s="416">
        <v>149</v>
      </c>
      <c r="Z918" s="416">
        <v>141</v>
      </c>
      <c r="AA918" s="416">
        <v>132</v>
      </c>
      <c r="AB918" s="416">
        <v>125</v>
      </c>
      <c r="AC918" s="416">
        <v>122</v>
      </c>
      <c r="AD918" s="416">
        <v>120</v>
      </c>
      <c r="AE918" s="416">
        <v>118</v>
      </c>
      <c r="AF918" s="416">
        <v>116</v>
      </c>
      <c r="AG918" s="416">
        <v>115</v>
      </c>
      <c r="AH918" s="416">
        <v>113</v>
      </c>
      <c r="AI918" s="416">
        <v>111</v>
      </c>
      <c r="AJ918" s="416">
        <v>109</v>
      </c>
      <c r="AK918" s="416">
        <v>106</v>
      </c>
      <c r="AL918" s="416">
        <v>98.3</v>
      </c>
      <c r="AM918" s="416">
        <v>78.599999999999994</v>
      </c>
      <c r="AN918" s="416">
        <v>64.3</v>
      </c>
      <c r="AO918" s="416">
        <v>51.4</v>
      </c>
      <c r="AP918" s="416">
        <v>41.6</v>
      </c>
      <c r="AQ918" s="416">
        <v>0</v>
      </c>
      <c r="AR918" s="416">
        <v>0</v>
      </c>
      <c r="AS918" s="416">
        <v>0</v>
      </c>
      <c r="AT918" s="416">
        <v>0</v>
      </c>
      <c r="AU918" s="416">
        <v>0</v>
      </c>
      <c r="AV918" s="416">
        <v>0</v>
      </c>
      <c r="AW918" s="416">
        <v>0</v>
      </c>
      <c r="AX918" s="416">
        <v>0</v>
      </c>
      <c r="AY918" s="416">
        <v>0</v>
      </c>
      <c r="AZ918" s="416">
        <v>0</v>
      </c>
    </row>
    <row r="919" spans="1:52" s="411" customFormat="1" x14ac:dyDescent="0.3">
      <c r="A919" s="415" t="str">
        <f t="shared" si="14"/>
        <v>SA-213 Gr.TP304N</v>
      </c>
      <c r="B919" s="415">
        <v>913</v>
      </c>
      <c r="C919" s="415" t="s">
        <v>3316</v>
      </c>
      <c r="D919" s="415" t="s">
        <v>2693</v>
      </c>
      <c r="E919" s="415" t="s">
        <v>2195</v>
      </c>
      <c r="F919" s="415" t="s">
        <v>2559</v>
      </c>
      <c r="G919" s="415" t="s">
        <v>3318</v>
      </c>
      <c r="H919" s="415">
        <v>0</v>
      </c>
      <c r="I919" s="415">
        <v>0</v>
      </c>
      <c r="J919" s="415">
        <v>8</v>
      </c>
      <c r="K919" s="415">
        <v>1</v>
      </c>
      <c r="L919" s="415">
        <v>550</v>
      </c>
      <c r="M919" s="415">
        <v>240</v>
      </c>
      <c r="N919" s="415">
        <v>649</v>
      </c>
      <c r="O919" s="415" t="s">
        <v>2675</v>
      </c>
      <c r="P919" s="415">
        <v>649</v>
      </c>
      <c r="Q919" s="415" t="s">
        <v>2675</v>
      </c>
      <c r="R919" s="415" t="s">
        <v>3269</v>
      </c>
      <c r="S919" s="415" t="s">
        <v>3253</v>
      </c>
      <c r="T919" s="416">
        <v>158</v>
      </c>
      <c r="U919" s="416">
        <v>158</v>
      </c>
      <c r="V919" s="416">
        <v>144</v>
      </c>
      <c r="W919" s="416">
        <v>129</v>
      </c>
      <c r="X919" s="416">
        <v>121</v>
      </c>
      <c r="Y919" s="416">
        <v>115</v>
      </c>
      <c r="Z919" s="416">
        <v>105</v>
      </c>
      <c r="AA919" s="416">
        <v>97.6</v>
      </c>
      <c r="AB919" s="416">
        <v>92.9</v>
      </c>
      <c r="AC919" s="416">
        <v>90.9</v>
      </c>
      <c r="AD919" s="416">
        <v>89.3</v>
      </c>
      <c r="AE919" s="416">
        <v>88</v>
      </c>
      <c r="AF919" s="416">
        <v>86.1</v>
      </c>
      <c r="AG919" s="416">
        <v>84.9</v>
      </c>
      <c r="AH919" s="416">
        <v>83.7</v>
      </c>
      <c r="AI919" s="416">
        <v>81.8</v>
      </c>
      <c r="AJ919" s="416">
        <v>80.5</v>
      </c>
      <c r="AK919" s="416">
        <v>78.8</v>
      </c>
      <c r="AL919" s="416">
        <v>77.3</v>
      </c>
      <c r="AM919" s="416">
        <v>74</v>
      </c>
      <c r="AN919" s="416">
        <v>64.3</v>
      </c>
      <c r="AO919" s="416">
        <v>51.4</v>
      </c>
      <c r="AP919" s="416">
        <v>41.6</v>
      </c>
      <c r="AQ919" s="416">
        <v>0</v>
      </c>
      <c r="AR919" s="416">
        <v>0</v>
      </c>
      <c r="AS919" s="416">
        <v>0</v>
      </c>
      <c r="AT919" s="416">
        <v>0</v>
      </c>
      <c r="AU919" s="416">
        <v>0</v>
      </c>
      <c r="AV919" s="416">
        <v>0</v>
      </c>
      <c r="AW919" s="416">
        <v>0</v>
      </c>
      <c r="AX919" s="416">
        <v>0</v>
      </c>
      <c r="AY919" s="416">
        <v>0</v>
      </c>
      <c r="AZ919" s="416">
        <v>0</v>
      </c>
    </row>
    <row r="920" spans="1:52" s="411" customFormat="1" x14ac:dyDescent="0.3">
      <c r="A920" s="415" t="str">
        <f t="shared" si="14"/>
        <v>SA-240 Gr.304N</v>
      </c>
      <c r="B920" s="415">
        <v>914</v>
      </c>
      <c r="C920" s="415" t="s">
        <v>3316</v>
      </c>
      <c r="D920" s="415" t="s">
        <v>2684</v>
      </c>
      <c r="E920" s="415" t="s">
        <v>2165</v>
      </c>
      <c r="F920" s="415" t="s">
        <v>2250</v>
      </c>
      <c r="G920" s="415" t="s">
        <v>3318</v>
      </c>
      <c r="H920" s="415">
        <v>0</v>
      </c>
      <c r="I920" s="415">
        <v>0</v>
      </c>
      <c r="J920" s="415">
        <v>8</v>
      </c>
      <c r="K920" s="415">
        <v>1</v>
      </c>
      <c r="L920" s="415">
        <v>550</v>
      </c>
      <c r="M920" s="415">
        <v>240</v>
      </c>
      <c r="N920" s="415" t="s">
        <v>2675</v>
      </c>
      <c r="O920" s="415">
        <v>427</v>
      </c>
      <c r="P920" s="415">
        <v>649</v>
      </c>
      <c r="Q920" s="415">
        <v>343</v>
      </c>
      <c r="R920" s="415" t="s">
        <v>3269</v>
      </c>
      <c r="S920" s="415" t="s">
        <v>3252</v>
      </c>
      <c r="T920" s="416">
        <v>158</v>
      </c>
      <c r="U920" s="416">
        <v>158</v>
      </c>
      <c r="V920" s="416">
        <v>158</v>
      </c>
      <c r="W920" s="416">
        <v>158</v>
      </c>
      <c r="X920" s="416">
        <v>154</v>
      </c>
      <c r="Y920" s="416">
        <v>149</v>
      </c>
      <c r="Z920" s="416">
        <v>141</v>
      </c>
      <c r="AA920" s="416">
        <v>132</v>
      </c>
      <c r="AB920" s="416">
        <v>125</v>
      </c>
      <c r="AC920" s="416">
        <v>122</v>
      </c>
      <c r="AD920" s="416">
        <v>120</v>
      </c>
      <c r="AE920" s="416">
        <v>118</v>
      </c>
      <c r="AF920" s="416">
        <v>116</v>
      </c>
      <c r="AG920" s="416">
        <v>115</v>
      </c>
      <c r="AH920" s="416">
        <v>113</v>
      </c>
      <c r="AI920" s="416">
        <v>111</v>
      </c>
      <c r="AJ920" s="416">
        <v>109</v>
      </c>
      <c r="AK920" s="416">
        <v>106</v>
      </c>
      <c r="AL920" s="416">
        <v>98.3</v>
      </c>
      <c r="AM920" s="416">
        <v>78.599999999999994</v>
      </c>
      <c r="AN920" s="416">
        <v>64.3</v>
      </c>
      <c r="AO920" s="416">
        <v>51.4</v>
      </c>
      <c r="AP920" s="416">
        <v>41.6</v>
      </c>
      <c r="AQ920" s="416">
        <v>0</v>
      </c>
      <c r="AR920" s="416">
        <v>0</v>
      </c>
      <c r="AS920" s="416">
        <v>0</v>
      </c>
      <c r="AT920" s="416">
        <v>0</v>
      </c>
      <c r="AU920" s="416">
        <v>0</v>
      </c>
      <c r="AV920" s="416">
        <v>0</v>
      </c>
      <c r="AW920" s="416">
        <v>0</v>
      </c>
      <c r="AX920" s="416">
        <v>0</v>
      </c>
      <c r="AY920" s="416">
        <v>0</v>
      </c>
      <c r="AZ920" s="416">
        <v>0</v>
      </c>
    </row>
    <row r="921" spans="1:52" s="411" customFormat="1" x14ac:dyDescent="0.3">
      <c r="A921" s="415" t="str">
        <f t="shared" si="14"/>
        <v>SA-240 Gr.304N</v>
      </c>
      <c r="B921" s="415">
        <v>915</v>
      </c>
      <c r="C921" s="415" t="s">
        <v>3316</v>
      </c>
      <c r="D921" s="415" t="s">
        <v>2684</v>
      </c>
      <c r="E921" s="415" t="s">
        <v>2165</v>
      </c>
      <c r="F921" s="415" t="s">
        <v>2250</v>
      </c>
      <c r="G921" s="415" t="s">
        <v>3318</v>
      </c>
      <c r="H921" s="415">
        <v>0</v>
      </c>
      <c r="I921" s="415">
        <v>0</v>
      </c>
      <c r="J921" s="415">
        <v>8</v>
      </c>
      <c r="K921" s="415">
        <v>1</v>
      </c>
      <c r="L921" s="415">
        <v>550</v>
      </c>
      <c r="M921" s="415">
        <v>240</v>
      </c>
      <c r="N921" s="415" t="s">
        <v>2675</v>
      </c>
      <c r="O921" s="415" t="s">
        <v>2675</v>
      </c>
      <c r="P921" s="415">
        <v>649</v>
      </c>
      <c r="Q921" s="415">
        <v>343</v>
      </c>
      <c r="R921" s="415" t="s">
        <v>3269</v>
      </c>
      <c r="S921" s="415" t="s">
        <v>3253</v>
      </c>
      <c r="T921" s="416">
        <v>158</v>
      </c>
      <c r="U921" s="416">
        <v>158</v>
      </c>
      <c r="V921" s="416">
        <v>144</v>
      </c>
      <c r="W921" s="416">
        <v>129</v>
      </c>
      <c r="X921" s="416">
        <v>121</v>
      </c>
      <c r="Y921" s="416">
        <v>115</v>
      </c>
      <c r="Z921" s="416">
        <v>105</v>
      </c>
      <c r="AA921" s="416">
        <v>97.6</v>
      </c>
      <c r="AB921" s="416">
        <v>92.9</v>
      </c>
      <c r="AC921" s="416">
        <v>90.9</v>
      </c>
      <c r="AD921" s="416">
        <v>89.3</v>
      </c>
      <c r="AE921" s="416">
        <v>88</v>
      </c>
      <c r="AF921" s="416">
        <v>86.1</v>
      </c>
      <c r="AG921" s="416">
        <v>84.9</v>
      </c>
      <c r="AH921" s="416">
        <v>83.7</v>
      </c>
      <c r="AI921" s="416">
        <v>81.8</v>
      </c>
      <c r="AJ921" s="416">
        <v>80.5</v>
      </c>
      <c r="AK921" s="416">
        <v>78.8</v>
      </c>
      <c r="AL921" s="416">
        <v>77.3</v>
      </c>
      <c r="AM921" s="416">
        <v>74</v>
      </c>
      <c r="AN921" s="416">
        <v>64.3</v>
      </c>
      <c r="AO921" s="416">
        <v>51.4</v>
      </c>
      <c r="AP921" s="416">
        <v>41.6</v>
      </c>
      <c r="AQ921" s="416">
        <v>0</v>
      </c>
      <c r="AR921" s="416">
        <v>0</v>
      </c>
      <c r="AS921" s="416">
        <v>0</v>
      </c>
      <c r="AT921" s="416">
        <v>0</v>
      </c>
      <c r="AU921" s="416">
        <v>0</v>
      </c>
      <c r="AV921" s="416">
        <v>0</v>
      </c>
      <c r="AW921" s="416">
        <v>0</v>
      </c>
      <c r="AX921" s="416">
        <v>0</v>
      </c>
      <c r="AY921" s="416">
        <v>0</v>
      </c>
      <c r="AZ921" s="416">
        <v>0</v>
      </c>
    </row>
    <row r="922" spans="1:52" s="411" customFormat="1" x14ac:dyDescent="0.3">
      <c r="A922" s="415" t="str">
        <f t="shared" si="14"/>
        <v>SA-249 Gr.TP304N</v>
      </c>
      <c r="B922" s="415">
        <v>916</v>
      </c>
      <c r="C922" s="415" t="s">
        <v>3316</v>
      </c>
      <c r="D922" s="415" t="s">
        <v>2689</v>
      </c>
      <c r="E922" s="415" t="s">
        <v>2200</v>
      </c>
      <c r="F922" s="415" t="s">
        <v>2559</v>
      </c>
      <c r="G922" s="415" t="s">
        <v>3318</v>
      </c>
      <c r="H922" s="415">
        <v>0</v>
      </c>
      <c r="I922" s="415">
        <v>0</v>
      </c>
      <c r="J922" s="415">
        <v>8</v>
      </c>
      <c r="K922" s="415">
        <v>1</v>
      </c>
      <c r="L922" s="415">
        <v>550</v>
      </c>
      <c r="M922" s="415">
        <v>240</v>
      </c>
      <c r="N922" s="415">
        <v>649</v>
      </c>
      <c r="O922" s="415" t="s">
        <v>2675</v>
      </c>
      <c r="P922" s="415" t="s">
        <v>2675</v>
      </c>
      <c r="Q922" s="415" t="s">
        <v>2675</v>
      </c>
      <c r="R922" s="415" t="s">
        <v>3269</v>
      </c>
      <c r="S922" s="415" t="s">
        <v>3254</v>
      </c>
      <c r="T922" s="416">
        <v>158</v>
      </c>
      <c r="U922" s="416">
        <v>158</v>
      </c>
      <c r="V922" s="416">
        <v>158</v>
      </c>
      <c r="W922" s="416">
        <v>158</v>
      </c>
      <c r="X922" s="416">
        <v>154</v>
      </c>
      <c r="Y922" s="416">
        <v>149</v>
      </c>
      <c r="Z922" s="416">
        <v>141</v>
      </c>
      <c r="AA922" s="416">
        <v>132</v>
      </c>
      <c r="AB922" s="416">
        <v>125</v>
      </c>
      <c r="AC922" s="416">
        <v>122</v>
      </c>
      <c r="AD922" s="416">
        <v>120</v>
      </c>
      <c r="AE922" s="416">
        <v>118</v>
      </c>
      <c r="AF922" s="416">
        <v>116</v>
      </c>
      <c r="AG922" s="416">
        <v>115</v>
      </c>
      <c r="AH922" s="416">
        <v>113</v>
      </c>
      <c r="AI922" s="416">
        <v>111</v>
      </c>
      <c r="AJ922" s="416">
        <v>109</v>
      </c>
      <c r="AK922" s="416">
        <v>106</v>
      </c>
      <c r="AL922" s="416">
        <v>98.3</v>
      </c>
      <c r="AM922" s="416">
        <v>78.599999999999994</v>
      </c>
      <c r="AN922" s="416">
        <v>64.3</v>
      </c>
      <c r="AO922" s="416">
        <v>51.4</v>
      </c>
      <c r="AP922" s="416">
        <v>41.6</v>
      </c>
      <c r="AQ922" s="416">
        <v>0</v>
      </c>
      <c r="AR922" s="416">
        <v>0</v>
      </c>
      <c r="AS922" s="416">
        <v>0</v>
      </c>
      <c r="AT922" s="416">
        <v>0</v>
      </c>
      <c r="AU922" s="416">
        <v>0</v>
      </c>
      <c r="AV922" s="416">
        <v>0</v>
      </c>
      <c r="AW922" s="416">
        <v>0</v>
      </c>
      <c r="AX922" s="416">
        <v>0</v>
      </c>
      <c r="AY922" s="416">
        <v>0</v>
      </c>
      <c r="AZ922" s="416">
        <v>0</v>
      </c>
    </row>
    <row r="923" spans="1:52" s="411" customFormat="1" x14ac:dyDescent="0.3">
      <c r="A923" s="415" t="str">
        <f t="shared" si="14"/>
        <v>SA-249 Gr.TP304N</v>
      </c>
      <c r="B923" s="415">
        <v>917</v>
      </c>
      <c r="C923" s="415" t="s">
        <v>3316</v>
      </c>
      <c r="D923" s="415" t="s">
        <v>2689</v>
      </c>
      <c r="E923" s="415" t="s">
        <v>2200</v>
      </c>
      <c r="F923" s="415" t="s">
        <v>2559</v>
      </c>
      <c r="G923" s="415" t="s">
        <v>3318</v>
      </c>
      <c r="H923" s="415">
        <v>0</v>
      </c>
      <c r="I923" s="415">
        <v>0</v>
      </c>
      <c r="J923" s="415">
        <v>8</v>
      </c>
      <c r="K923" s="415">
        <v>1</v>
      </c>
      <c r="L923" s="415">
        <v>550</v>
      </c>
      <c r="M923" s="415">
        <v>240</v>
      </c>
      <c r="N923" s="415">
        <v>649</v>
      </c>
      <c r="O923" s="415" t="s">
        <v>2675</v>
      </c>
      <c r="P923" s="415" t="s">
        <v>2675</v>
      </c>
      <c r="Q923" s="415" t="s">
        <v>2675</v>
      </c>
      <c r="R923" s="415" t="s">
        <v>3269</v>
      </c>
      <c r="S923" s="415" t="s">
        <v>3255</v>
      </c>
      <c r="T923" s="416">
        <v>158</v>
      </c>
      <c r="U923" s="416">
        <v>158</v>
      </c>
      <c r="V923" s="416">
        <v>144</v>
      </c>
      <c r="W923" s="416">
        <v>129</v>
      </c>
      <c r="X923" s="416">
        <v>121</v>
      </c>
      <c r="Y923" s="416">
        <v>115</v>
      </c>
      <c r="Z923" s="416">
        <v>105</v>
      </c>
      <c r="AA923" s="416">
        <v>97.6</v>
      </c>
      <c r="AB923" s="416">
        <v>92.9</v>
      </c>
      <c r="AC923" s="416">
        <v>90.9</v>
      </c>
      <c r="AD923" s="416">
        <v>89.3</v>
      </c>
      <c r="AE923" s="416">
        <v>88</v>
      </c>
      <c r="AF923" s="416">
        <v>86.1</v>
      </c>
      <c r="AG923" s="416">
        <v>84.9</v>
      </c>
      <c r="AH923" s="416">
        <v>83.7</v>
      </c>
      <c r="AI923" s="416">
        <v>81.8</v>
      </c>
      <c r="AJ923" s="416">
        <v>80.5</v>
      </c>
      <c r="AK923" s="416">
        <v>78.8</v>
      </c>
      <c r="AL923" s="416">
        <v>77.3</v>
      </c>
      <c r="AM923" s="416">
        <v>74</v>
      </c>
      <c r="AN923" s="416">
        <v>64.3</v>
      </c>
      <c r="AO923" s="416">
        <v>51.4</v>
      </c>
      <c r="AP923" s="416">
        <v>41.6</v>
      </c>
      <c r="AQ923" s="416">
        <v>0</v>
      </c>
      <c r="AR923" s="416">
        <v>0</v>
      </c>
      <c r="AS923" s="416">
        <v>0</v>
      </c>
      <c r="AT923" s="416">
        <v>0</v>
      </c>
      <c r="AU923" s="416">
        <v>0</v>
      </c>
      <c r="AV923" s="416">
        <v>0</v>
      </c>
      <c r="AW923" s="416">
        <v>0</v>
      </c>
      <c r="AX923" s="416">
        <v>0</v>
      </c>
      <c r="AY923" s="416">
        <v>0</v>
      </c>
      <c r="AZ923" s="416">
        <v>0</v>
      </c>
    </row>
    <row r="924" spans="1:52" s="411" customFormat="1" x14ac:dyDescent="0.3">
      <c r="A924" s="415" t="str">
        <f t="shared" si="14"/>
        <v>SA-249 Gr.TP304N</v>
      </c>
      <c r="B924" s="415">
        <v>918</v>
      </c>
      <c r="C924" s="415" t="s">
        <v>3316</v>
      </c>
      <c r="D924" s="415" t="s">
        <v>2689</v>
      </c>
      <c r="E924" s="415" t="s">
        <v>2200</v>
      </c>
      <c r="F924" s="415" t="s">
        <v>2559</v>
      </c>
      <c r="G924" s="415" t="s">
        <v>3318</v>
      </c>
      <c r="H924" s="415">
        <v>0</v>
      </c>
      <c r="I924" s="415">
        <v>0</v>
      </c>
      <c r="J924" s="415">
        <v>8</v>
      </c>
      <c r="K924" s="415">
        <v>1</v>
      </c>
      <c r="L924" s="415">
        <v>550</v>
      </c>
      <c r="M924" s="415">
        <v>240</v>
      </c>
      <c r="N924" s="415">
        <v>649</v>
      </c>
      <c r="O924" s="415" t="s">
        <v>2675</v>
      </c>
      <c r="P924" s="415" t="s">
        <v>2675</v>
      </c>
      <c r="Q924" s="415" t="s">
        <v>2675</v>
      </c>
      <c r="R924" s="415" t="s">
        <v>3269</v>
      </c>
      <c r="S924" s="415" t="s">
        <v>3319</v>
      </c>
      <c r="T924" s="416">
        <v>134</v>
      </c>
      <c r="U924" s="416">
        <v>134</v>
      </c>
      <c r="V924" s="416">
        <v>134</v>
      </c>
      <c r="W924" s="416">
        <v>133</v>
      </c>
      <c r="X924" s="416">
        <v>131</v>
      </c>
      <c r="Y924" s="416">
        <v>127</v>
      </c>
      <c r="Z924" s="416">
        <v>120</v>
      </c>
      <c r="AA924" s="416">
        <v>112</v>
      </c>
      <c r="AB924" s="416">
        <v>106</v>
      </c>
      <c r="AC924" s="416">
        <v>104</v>
      </c>
      <c r="AD924" s="416">
        <v>102</v>
      </c>
      <c r="AE924" s="416">
        <v>100</v>
      </c>
      <c r="AF924" s="416">
        <v>99.2</v>
      </c>
      <c r="AG924" s="416">
        <v>97.4</v>
      </c>
      <c r="AH924" s="416">
        <v>95.4</v>
      </c>
      <c r="AI924" s="416">
        <v>94.2</v>
      </c>
      <c r="AJ924" s="416">
        <v>92.5</v>
      </c>
      <c r="AK924" s="416">
        <v>90.5</v>
      </c>
      <c r="AL924" s="416">
        <v>83.9</v>
      </c>
      <c r="AM924" s="416">
        <v>66.400000000000006</v>
      </c>
      <c r="AN924" s="416">
        <v>54.5</v>
      </c>
      <c r="AO924" s="416">
        <v>44.1</v>
      </c>
      <c r="AP924" s="416">
        <v>35.5</v>
      </c>
      <c r="AQ924" s="416">
        <v>0</v>
      </c>
      <c r="AR924" s="416">
        <v>0</v>
      </c>
      <c r="AS924" s="416">
        <v>0</v>
      </c>
      <c r="AT924" s="416">
        <v>0</v>
      </c>
      <c r="AU924" s="416">
        <v>0</v>
      </c>
      <c r="AV924" s="416">
        <v>0</v>
      </c>
      <c r="AW924" s="416">
        <v>0</v>
      </c>
      <c r="AX924" s="416">
        <v>0</v>
      </c>
      <c r="AY924" s="416">
        <v>0</v>
      </c>
      <c r="AZ924" s="416">
        <v>0</v>
      </c>
    </row>
    <row r="925" spans="1:52" s="411" customFormat="1" x14ac:dyDescent="0.3">
      <c r="A925" s="415" t="str">
        <f t="shared" si="14"/>
        <v>SA-249 Gr.TP304N</v>
      </c>
      <c r="B925" s="415">
        <v>919</v>
      </c>
      <c r="C925" s="415" t="s">
        <v>3316</v>
      </c>
      <c r="D925" s="415" t="s">
        <v>2689</v>
      </c>
      <c r="E925" s="415" t="s">
        <v>2200</v>
      </c>
      <c r="F925" s="415" t="s">
        <v>2559</v>
      </c>
      <c r="G925" s="415" t="s">
        <v>3318</v>
      </c>
      <c r="H925" s="415">
        <v>0</v>
      </c>
      <c r="I925" s="415">
        <v>0</v>
      </c>
      <c r="J925" s="415">
        <v>8</v>
      </c>
      <c r="K925" s="415">
        <v>1</v>
      </c>
      <c r="L925" s="415">
        <v>550</v>
      </c>
      <c r="M925" s="415">
        <v>240</v>
      </c>
      <c r="N925" s="415">
        <v>649</v>
      </c>
      <c r="O925" s="415" t="s">
        <v>2675</v>
      </c>
      <c r="P925" s="415">
        <v>649</v>
      </c>
      <c r="Q925" s="415">
        <v>343</v>
      </c>
      <c r="R925" s="415" t="s">
        <v>3269</v>
      </c>
      <c r="S925" s="415" t="s">
        <v>3256</v>
      </c>
      <c r="T925" s="416">
        <v>134</v>
      </c>
      <c r="U925" s="416">
        <v>134</v>
      </c>
      <c r="V925" s="416">
        <v>122</v>
      </c>
      <c r="W925" s="416">
        <v>110</v>
      </c>
      <c r="X925" s="416">
        <v>103</v>
      </c>
      <c r="Y925" s="416">
        <v>97.7</v>
      </c>
      <c r="Z925" s="416">
        <v>88.9</v>
      </c>
      <c r="AA925" s="416">
        <v>82.9</v>
      </c>
      <c r="AB925" s="416">
        <v>79.099999999999994</v>
      </c>
      <c r="AC925" s="416">
        <v>77.2</v>
      </c>
      <c r="AD925" s="416">
        <v>75.5</v>
      </c>
      <c r="AE925" s="416">
        <v>74.3</v>
      </c>
      <c r="AF925" s="416">
        <v>73</v>
      </c>
      <c r="AG925" s="416">
        <v>72.400000000000006</v>
      </c>
      <c r="AH925" s="416">
        <v>71.3</v>
      </c>
      <c r="AI925" s="416">
        <v>69.400000000000006</v>
      </c>
      <c r="AJ925" s="416">
        <v>68</v>
      </c>
      <c r="AK925" s="416">
        <v>66.7</v>
      </c>
      <c r="AL925" s="416">
        <v>65.900000000000006</v>
      </c>
      <c r="AM925" s="416">
        <v>63</v>
      </c>
      <c r="AN925" s="416">
        <v>54.5</v>
      </c>
      <c r="AO925" s="416">
        <v>44.1</v>
      </c>
      <c r="AP925" s="416">
        <v>35.5</v>
      </c>
      <c r="AQ925" s="416">
        <v>0</v>
      </c>
      <c r="AR925" s="416">
        <v>0</v>
      </c>
      <c r="AS925" s="416">
        <v>0</v>
      </c>
      <c r="AT925" s="416">
        <v>0</v>
      </c>
      <c r="AU925" s="416">
        <v>0</v>
      </c>
      <c r="AV925" s="416">
        <v>0</v>
      </c>
      <c r="AW925" s="416">
        <v>0</v>
      </c>
      <c r="AX925" s="416">
        <v>0</v>
      </c>
      <c r="AY925" s="416">
        <v>0</v>
      </c>
      <c r="AZ925" s="416">
        <v>0</v>
      </c>
    </row>
    <row r="926" spans="1:52" s="411" customFormat="1" x14ac:dyDescent="0.3">
      <c r="A926" s="415" t="str">
        <f t="shared" si="14"/>
        <v>SA-249 Gr.TP304N</v>
      </c>
      <c r="B926" s="415">
        <v>920</v>
      </c>
      <c r="C926" s="415" t="s">
        <v>3316</v>
      </c>
      <c r="D926" s="415" t="s">
        <v>2689</v>
      </c>
      <c r="E926" s="415" t="s">
        <v>2200</v>
      </c>
      <c r="F926" s="415" t="s">
        <v>2559</v>
      </c>
      <c r="G926" s="415" t="s">
        <v>3318</v>
      </c>
      <c r="H926" s="415">
        <v>0</v>
      </c>
      <c r="I926" s="415">
        <v>0</v>
      </c>
      <c r="J926" s="415">
        <v>8</v>
      </c>
      <c r="K926" s="415">
        <v>1</v>
      </c>
      <c r="L926" s="415">
        <v>550</v>
      </c>
      <c r="M926" s="415">
        <v>240</v>
      </c>
      <c r="N926" s="415" t="s">
        <v>2675</v>
      </c>
      <c r="O926" s="415" t="s">
        <v>2675</v>
      </c>
      <c r="P926" s="415">
        <v>649</v>
      </c>
      <c r="Q926" s="415">
        <v>343</v>
      </c>
      <c r="R926" s="415" t="s">
        <v>3269</v>
      </c>
      <c r="S926" s="415" t="s">
        <v>3320</v>
      </c>
      <c r="T926" s="416">
        <v>134</v>
      </c>
      <c r="U926" s="416">
        <v>134</v>
      </c>
      <c r="V926" s="416">
        <v>134</v>
      </c>
      <c r="W926" s="416">
        <v>133</v>
      </c>
      <c r="X926" s="416">
        <v>131</v>
      </c>
      <c r="Y926" s="416">
        <v>127</v>
      </c>
      <c r="Z926" s="416">
        <v>120</v>
      </c>
      <c r="AA926" s="416">
        <v>112</v>
      </c>
      <c r="AB926" s="416">
        <v>106</v>
      </c>
      <c r="AC926" s="416">
        <v>104</v>
      </c>
      <c r="AD926" s="416">
        <v>102</v>
      </c>
      <c r="AE926" s="416">
        <v>100</v>
      </c>
      <c r="AF926" s="416">
        <v>99.2</v>
      </c>
      <c r="AG926" s="416">
        <v>97.4</v>
      </c>
      <c r="AH926" s="416">
        <v>95.4</v>
      </c>
      <c r="AI926" s="416">
        <v>94.2</v>
      </c>
      <c r="AJ926" s="416">
        <v>92.5</v>
      </c>
      <c r="AK926" s="416">
        <v>90.5</v>
      </c>
      <c r="AL926" s="416">
        <v>83.9</v>
      </c>
      <c r="AM926" s="416">
        <v>66.400000000000006</v>
      </c>
      <c r="AN926" s="416">
        <v>54.5</v>
      </c>
      <c r="AO926" s="416">
        <v>44.1</v>
      </c>
      <c r="AP926" s="416">
        <v>35.5</v>
      </c>
      <c r="AQ926" s="416">
        <v>0</v>
      </c>
      <c r="AR926" s="416">
        <v>0</v>
      </c>
      <c r="AS926" s="416">
        <v>0</v>
      </c>
      <c r="AT926" s="416">
        <v>0</v>
      </c>
      <c r="AU926" s="416">
        <v>0</v>
      </c>
      <c r="AV926" s="416">
        <v>0</v>
      </c>
      <c r="AW926" s="416">
        <v>0</v>
      </c>
      <c r="AX926" s="416">
        <v>0</v>
      </c>
      <c r="AY926" s="416">
        <v>0</v>
      </c>
      <c r="AZ926" s="416">
        <v>0</v>
      </c>
    </row>
    <row r="927" spans="1:52" s="411" customFormat="1" x14ac:dyDescent="0.3">
      <c r="A927" s="415" t="str">
        <f t="shared" si="14"/>
        <v>SA-312 Gr.TP304N</v>
      </c>
      <c r="B927" s="415">
        <v>921</v>
      </c>
      <c r="C927" s="415" t="s">
        <v>3316</v>
      </c>
      <c r="D927" s="415" t="s">
        <v>2720</v>
      </c>
      <c r="E927" s="415" t="s">
        <v>2208</v>
      </c>
      <c r="F927" s="415" t="s">
        <v>2559</v>
      </c>
      <c r="G927" s="415" t="s">
        <v>3318</v>
      </c>
      <c r="H927" s="415">
        <v>0</v>
      </c>
      <c r="I927" s="415">
        <v>0</v>
      </c>
      <c r="J927" s="415">
        <v>8</v>
      </c>
      <c r="K927" s="415">
        <v>1</v>
      </c>
      <c r="L927" s="415">
        <v>550</v>
      </c>
      <c r="M927" s="415">
        <v>240</v>
      </c>
      <c r="N927" s="415">
        <v>649</v>
      </c>
      <c r="O927" s="415">
        <v>427</v>
      </c>
      <c r="P927" s="415">
        <v>649</v>
      </c>
      <c r="Q927" s="415">
        <v>343</v>
      </c>
      <c r="R927" s="415" t="s">
        <v>3269</v>
      </c>
      <c r="S927" s="415" t="s">
        <v>3257</v>
      </c>
      <c r="T927" s="416">
        <v>158</v>
      </c>
      <c r="U927" s="416">
        <v>158</v>
      </c>
      <c r="V927" s="416">
        <v>158</v>
      </c>
      <c r="W927" s="416">
        <v>158</v>
      </c>
      <c r="X927" s="416">
        <v>154</v>
      </c>
      <c r="Y927" s="416">
        <v>149</v>
      </c>
      <c r="Z927" s="416">
        <v>141</v>
      </c>
      <c r="AA927" s="416">
        <v>132</v>
      </c>
      <c r="AB927" s="416">
        <v>125</v>
      </c>
      <c r="AC927" s="416">
        <v>122</v>
      </c>
      <c r="AD927" s="416">
        <v>120</v>
      </c>
      <c r="AE927" s="416">
        <v>118</v>
      </c>
      <c r="AF927" s="416">
        <v>116</v>
      </c>
      <c r="AG927" s="416">
        <v>115</v>
      </c>
      <c r="AH927" s="416">
        <v>113</v>
      </c>
      <c r="AI927" s="416">
        <v>111</v>
      </c>
      <c r="AJ927" s="416">
        <v>109</v>
      </c>
      <c r="AK927" s="416">
        <v>106</v>
      </c>
      <c r="AL927" s="416">
        <v>98.3</v>
      </c>
      <c r="AM927" s="416">
        <v>78.599999999999994</v>
      </c>
      <c r="AN927" s="416">
        <v>64.3</v>
      </c>
      <c r="AO927" s="416">
        <v>51.4</v>
      </c>
      <c r="AP927" s="416">
        <v>41.6</v>
      </c>
      <c r="AQ927" s="416">
        <v>0</v>
      </c>
      <c r="AR927" s="416">
        <v>0</v>
      </c>
      <c r="AS927" s="416">
        <v>0</v>
      </c>
      <c r="AT927" s="416">
        <v>0</v>
      </c>
      <c r="AU927" s="416">
        <v>0</v>
      </c>
      <c r="AV927" s="416">
        <v>0</v>
      </c>
      <c r="AW927" s="416">
        <v>0</v>
      </c>
      <c r="AX927" s="416">
        <v>0</v>
      </c>
      <c r="AY927" s="416">
        <v>0</v>
      </c>
      <c r="AZ927" s="416">
        <v>0</v>
      </c>
    </row>
    <row r="928" spans="1:52" s="411" customFormat="1" x14ac:dyDescent="0.3">
      <c r="A928" s="415" t="str">
        <f t="shared" si="14"/>
        <v>SA-312 Gr.TP304N</v>
      </c>
      <c r="B928" s="415">
        <v>922</v>
      </c>
      <c r="C928" s="415" t="s">
        <v>3316</v>
      </c>
      <c r="D928" s="415" t="s">
        <v>2720</v>
      </c>
      <c r="E928" s="415" t="s">
        <v>2208</v>
      </c>
      <c r="F928" s="415" t="s">
        <v>2559</v>
      </c>
      <c r="G928" s="415" t="s">
        <v>3318</v>
      </c>
      <c r="H928" s="415">
        <v>0</v>
      </c>
      <c r="I928" s="415">
        <v>0</v>
      </c>
      <c r="J928" s="415">
        <v>8</v>
      </c>
      <c r="K928" s="415">
        <v>1</v>
      </c>
      <c r="L928" s="415">
        <v>550</v>
      </c>
      <c r="M928" s="415">
        <v>240</v>
      </c>
      <c r="N928" s="415">
        <v>649</v>
      </c>
      <c r="O928" s="415" t="s">
        <v>2675</v>
      </c>
      <c r="P928" s="415">
        <v>649</v>
      </c>
      <c r="Q928" s="415">
        <v>343</v>
      </c>
      <c r="R928" s="415" t="s">
        <v>3269</v>
      </c>
      <c r="S928" s="415" t="s">
        <v>3258</v>
      </c>
      <c r="T928" s="416">
        <v>158</v>
      </c>
      <c r="U928" s="416">
        <v>158</v>
      </c>
      <c r="V928" s="416">
        <v>144</v>
      </c>
      <c r="W928" s="416">
        <v>129</v>
      </c>
      <c r="X928" s="416">
        <v>121</v>
      </c>
      <c r="Y928" s="416">
        <v>115</v>
      </c>
      <c r="Z928" s="416">
        <v>105</v>
      </c>
      <c r="AA928" s="416">
        <v>97.6</v>
      </c>
      <c r="AB928" s="416">
        <v>92.9</v>
      </c>
      <c r="AC928" s="416">
        <v>90.9</v>
      </c>
      <c r="AD928" s="416">
        <v>89.3</v>
      </c>
      <c r="AE928" s="416">
        <v>88</v>
      </c>
      <c r="AF928" s="416">
        <v>86.1</v>
      </c>
      <c r="AG928" s="416">
        <v>84.9</v>
      </c>
      <c r="AH928" s="416">
        <v>83.7</v>
      </c>
      <c r="AI928" s="416">
        <v>81.8</v>
      </c>
      <c r="AJ928" s="416">
        <v>80.5</v>
      </c>
      <c r="AK928" s="416">
        <v>78.8</v>
      </c>
      <c r="AL928" s="416">
        <v>77.3</v>
      </c>
      <c r="AM928" s="416">
        <v>74</v>
      </c>
      <c r="AN928" s="416">
        <v>64.3</v>
      </c>
      <c r="AO928" s="416">
        <v>51.4</v>
      </c>
      <c r="AP928" s="416">
        <v>41.6</v>
      </c>
      <c r="AQ928" s="416">
        <v>0</v>
      </c>
      <c r="AR928" s="416">
        <v>0</v>
      </c>
      <c r="AS928" s="416">
        <v>0</v>
      </c>
      <c r="AT928" s="416">
        <v>0</v>
      </c>
      <c r="AU928" s="416">
        <v>0</v>
      </c>
      <c r="AV928" s="416">
        <v>0</v>
      </c>
      <c r="AW928" s="416">
        <v>0</v>
      </c>
      <c r="AX928" s="416">
        <v>0</v>
      </c>
      <c r="AY928" s="416">
        <v>0</v>
      </c>
      <c r="AZ928" s="416">
        <v>0</v>
      </c>
    </row>
    <row r="929" spans="1:52" s="411" customFormat="1" x14ac:dyDescent="0.3">
      <c r="A929" s="415" t="str">
        <f t="shared" si="14"/>
        <v>SA-312 Gr.TP304N</v>
      </c>
      <c r="B929" s="415">
        <v>923</v>
      </c>
      <c r="C929" s="415" t="s">
        <v>3316</v>
      </c>
      <c r="D929" s="415" t="s">
        <v>2680</v>
      </c>
      <c r="E929" s="415" t="s">
        <v>2208</v>
      </c>
      <c r="F929" s="415" t="s">
        <v>2559</v>
      </c>
      <c r="G929" s="415" t="s">
        <v>3318</v>
      </c>
      <c r="H929" s="415">
        <v>0</v>
      </c>
      <c r="I929" s="415">
        <v>0</v>
      </c>
      <c r="J929" s="415">
        <v>8</v>
      </c>
      <c r="K929" s="415">
        <v>1</v>
      </c>
      <c r="L929" s="415">
        <v>550</v>
      </c>
      <c r="M929" s="415">
        <v>240</v>
      </c>
      <c r="N929" s="415">
        <v>649</v>
      </c>
      <c r="O929" s="415" t="s">
        <v>2675</v>
      </c>
      <c r="P929" s="415">
        <v>649</v>
      </c>
      <c r="Q929" s="415">
        <v>343</v>
      </c>
      <c r="R929" s="415" t="s">
        <v>3269</v>
      </c>
      <c r="S929" s="415" t="s">
        <v>3321</v>
      </c>
      <c r="T929" s="416">
        <v>134</v>
      </c>
      <c r="U929" s="416">
        <v>134</v>
      </c>
      <c r="V929" s="416">
        <v>134</v>
      </c>
      <c r="W929" s="416">
        <v>133</v>
      </c>
      <c r="X929" s="416">
        <v>131</v>
      </c>
      <c r="Y929" s="416">
        <v>127</v>
      </c>
      <c r="Z929" s="416">
        <v>120</v>
      </c>
      <c r="AA929" s="416">
        <v>112</v>
      </c>
      <c r="AB929" s="416">
        <v>106</v>
      </c>
      <c r="AC929" s="416">
        <v>104</v>
      </c>
      <c r="AD929" s="416">
        <v>102</v>
      </c>
      <c r="AE929" s="416">
        <v>100</v>
      </c>
      <c r="AF929" s="416">
        <v>99.2</v>
      </c>
      <c r="AG929" s="416">
        <v>97.4</v>
      </c>
      <c r="AH929" s="416">
        <v>95.4</v>
      </c>
      <c r="AI929" s="416">
        <v>94.2</v>
      </c>
      <c r="AJ929" s="416">
        <v>92.5</v>
      </c>
      <c r="AK929" s="416">
        <v>90.5</v>
      </c>
      <c r="AL929" s="416">
        <v>83.9</v>
      </c>
      <c r="AM929" s="416">
        <v>66.400000000000006</v>
      </c>
      <c r="AN929" s="416">
        <v>54.5</v>
      </c>
      <c r="AO929" s="416">
        <v>44.1</v>
      </c>
      <c r="AP929" s="416">
        <v>35.5</v>
      </c>
      <c r="AQ929" s="416">
        <v>0</v>
      </c>
      <c r="AR929" s="416">
        <v>0</v>
      </c>
      <c r="AS929" s="416">
        <v>0</v>
      </c>
      <c r="AT929" s="416">
        <v>0</v>
      </c>
      <c r="AU929" s="416">
        <v>0</v>
      </c>
      <c r="AV929" s="416">
        <v>0</v>
      </c>
      <c r="AW929" s="416">
        <v>0</v>
      </c>
      <c r="AX929" s="416">
        <v>0</v>
      </c>
      <c r="AY929" s="416">
        <v>0</v>
      </c>
      <c r="AZ929" s="416">
        <v>0</v>
      </c>
    </row>
    <row r="930" spans="1:52" s="411" customFormat="1" x14ac:dyDescent="0.3">
      <c r="A930" s="415" t="str">
        <f t="shared" si="14"/>
        <v>SA-312 Gr.TP304N</v>
      </c>
      <c r="B930" s="415">
        <v>924</v>
      </c>
      <c r="C930" s="415" t="s">
        <v>3316</v>
      </c>
      <c r="D930" s="415" t="s">
        <v>2680</v>
      </c>
      <c r="E930" s="415" t="s">
        <v>2208</v>
      </c>
      <c r="F930" s="415" t="s">
        <v>2559</v>
      </c>
      <c r="G930" s="415" t="s">
        <v>3318</v>
      </c>
      <c r="H930" s="415">
        <v>0</v>
      </c>
      <c r="I930" s="415">
        <v>0</v>
      </c>
      <c r="J930" s="415">
        <v>8</v>
      </c>
      <c r="K930" s="415">
        <v>1</v>
      </c>
      <c r="L930" s="415">
        <v>550</v>
      </c>
      <c r="M930" s="415">
        <v>240</v>
      </c>
      <c r="N930" s="415">
        <v>649</v>
      </c>
      <c r="O930" s="415" t="s">
        <v>2675</v>
      </c>
      <c r="P930" s="415">
        <v>649</v>
      </c>
      <c r="Q930" s="415">
        <v>343</v>
      </c>
      <c r="R930" s="415" t="s">
        <v>3269</v>
      </c>
      <c r="S930" s="415" t="s">
        <v>3256</v>
      </c>
      <c r="T930" s="416">
        <v>134</v>
      </c>
      <c r="U930" s="416">
        <v>134</v>
      </c>
      <c r="V930" s="416">
        <v>122</v>
      </c>
      <c r="W930" s="416">
        <v>110</v>
      </c>
      <c r="X930" s="416">
        <v>103</v>
      </c>
      <c r="Y930" s="416">
        <v>97.7</v>
      </c>
      <c r="Z930" s="416">
        <v>88.9</v>
      </c>
      <c r="AA930" s="416">
        <v>82.9</v>
      </c>
      <c r="AB930" s="416">
        <v>79.099999999999994</v>
      </c>
      <c r="AC930" s="416">
        <v>77.2</v>
      </c>
      <c r="AD930" s="416">
        <v>75.5</v>
      </c>
      <c r="AE930" s="416">
        <v>74.3</v>
      </c>
      <c r="AF930" s="416">
        <v>73</v>
      </c>
      <c r="AG930" s="416">
        <v>72.400000000000006</v>
      </c>
      <c r="AH930" s="416">
        <v>71.3</v>
      </c>
      <c r="AI930" s="416">
        <v>69.400000000000006</v>
      </c>
      <c r="AJ930" s="416">
        <v>68</v>
      </c>
      <c r="AK930" s="416">
        <v>66.7</v>
      </c>
      <c r="AL930" s="416">
        <v>65.900000000000006</v>
      </c>
      <c r="AM930" s="416">
        <v>63</v>
      </c>
      <c r="AN930" s="416">
        <v>54.5</v>
      </c>
      <c r="AO930" s="416">
        <v>44.1</v>
      </c>
      <c r="AP930" s="416">
        <v>35.5</v>
      </c>
      <c r="AQ930" s="416">
        <v>0</v>
      </c>
      <c r="AR930" s="416">
        <v>0</v>
      </c>
      <c r="AS930" s="416">
        <v>0</v>
      </c>
      <c r="AT930" s="416">
        <v>0</v>
      </c>
      <c r="AU930" s="416">
        <v>0</v>
      </c>
      <c r="AV930" s="416">
        <v>0</v>
      </c>
      <c r="AW930" s="416">
        <v>0</v>
      </c>
      <c r="AX930" s="416">
        <v>0</v>
      </c>
      <c r="AY930" s="416">
        <v>0</v>
      </c>
      <c r="AZ930" s="416">
        <v>0</v>
      </c>
    </row>
    <row r="931" spans="1:52" s="411" customFormat="1" x14ac:dyDescent="0.3">
      <c r="A931" s="415" t="str">
        <f t="shared" si="14"/>
        <v>SA-358 Gr.304N</v>
      </c>
      <c r="B931" s="415">
        <v>925</v>
      </c>
      <c r="C931" s="415" t="s">
        <v>3316</v>
      </c>
      <c r="D931" s="415" t="s">
        <v>2680</v>
      </c>
      <c r="E931" s="415" t="s">
        <v>2217</v>
      </c>
      <c r="F931" s="415" t="s">
        <v>2250</v>
      </c>
      <c r="G931" s="415" t="s">
        <v>3318</v>
      </c>
      <c r="H931" s="415">
        <v>1</v>
      </c>
      <c r="I931" s="415">
        <v>0</v>
      </c>
      <c r="J931" s="415">
        <v>8</v>
      </c>
      <c r="K931" s="415">
        <v>1</v>
      </c>
      <c r="L931" s="415">
        <v>550</v>
      </c>
      <c r="M931" s="415">
        <v>240</v>
      </c>
      <c r="N931" s="415" t="s">
        <v>2675</v>
      </c>
      <c r="O931" s="415">
        <v>427</v>
      </c>
      <c r="P931" s="415" t="s">
        <v>2675</v>
      </c>
      <c r="Q931" s="415" t="s">
        <v>2675</v>
      </c>
      <c r="R931" s="415" t="s">
        <v>3269</v>
      </c>
      <c r="S931" s="415" t="s">
        <v>3208</v>
      </c>
      <c r="T931" s="416">
        <v>158</v>
      </c>
      <c r="U931" s="416">
        <v>158</v>
      </c>
      <c r="V931" s="416">
        <v>158</v>
      </c>
      <c r="W931" s="416">
        <v>158</v>
      </c>
      <c r="X931" s="416">
        <v>154</v>
      </c>
      <c r="Y931" s="416">
        <v>149</v>
      </c>
      <c r="Z931" s="416">
        <v>141</v>
      </c>
      <c r="AA931" s="416">
        <v>132</v>
      </c>
      <c r="AB931" s="416">
        <v>125</v>
      </c>
      <c r="AC931" s="416">
        <v>122</v>
      </c>
      <c r="AD931" s="416">
        <v>120</v>
      </c>
      <c r="AE931" s="416">
        <v>118</v>
      </c>
      <c r="AF931" s="416">
        <v>116</v>
      </c>
      <c r="AG931" s="416">
        <v>115</v>
      </c>
      <c r="AH931" s="416">
        <v>113</v>
      </c>
      <c r="AI931" s="416">
        <v>0</v>
      </c>
      <c r="AJ931" s="416">
        <v>0</v>
      </c>
      <c r="AK931" s="416">
        <v>0</v>
      </c>
      <c r="AL931" s="416">
        <v>0</v>
      </c>
      <c r="AM931" s="416">
        <v>0</v>
      </c>
      <c r="AN931" s="416">
        <v>0</v>
      </c>
      <c r="AO931" s="416">
        <v>0</v>
      </c>
      <c r="AP931" s="416">
        <v>0</v>
      </c>
      <c r="AQ931" s="416">
        <v>0</v>
      </c>
      <c r="AR931" s="416">
        <v>0</v>
      </c>
      <c r="AS931" s="416">
        <v>0</v>
      </c>
      <c r="AT931" s="416">
        <v>0</v>
      </c>
      <c r="AU931" s="416">
        <v>0</v>
      </c>
      <c r="AV931" s="416">
        <v>0</v>
      </c>
      <c r="AW931" s="416">
        <v>0</v>
      </c>
      <c r="AX931" s="416">
        <v>0</v>
      </c>
      <c r="AY931" s="416">
        <v>0</v>
      </c>
      <c r="AZ931" s="416">
        <v>0</v>
      </c>
    </row>
    <row r="932" spans="1:52" s="411" customFormat="1" x14ac:dyDescent="0.3">
      <c r="A932" s="415" t="str">
        <f t="shared" si="14"/>
        <v>SA-376 Gr.TP304N</v>
      </c>
      <c r="B932" s="415">
        <v>926</v>
      </c>
      <c r="C932" s="415" t="s">
        <v>3316</v>
      </c>
      <c r="D932" s="415" t="s">
        <v>2703</v>
      </c>
      <c r="E932" s="415" t="s">
        <v>2225</v>
      </c>
      <c r="F932" s="415" t="s">
        <v>2559</v>
      </c>
      <c r="G932" s="415" t="s">
        <v>3318</v>
      </c>
      <c r="H932" s="415">
        <v>0</v>
      </c>
      <c r="I932" s="415">
        <v>0</v>
      </c>
      <c r="J932" s="415">
        <v>8</v>
      </c>
      <c r="K932" s="415">
        <v>1</v>
      </c>
      <c r="L932" s="415">
        <v>550</v>
      </c>
      <c r="M932" s="415">
        <v>240</v>
      </c>
      <c r="N932" s="415">
        <v>649</v>
      </c>
      <c r="O932" s="415">
        <v>427</v>
      </c>
      <c r="P932" s="415">
        <v>649</v>
      </c>
      <c r="Q932" s="415">
        <v>343</v>
      </c>
      <c r="R932" s="415" t="s">
        <v>3269</v>
      </c>
      <c r="S932" s="415" t="s">
        <v>3259</v>
      </c>
      <c r="T932" s="416">
        <v>158</v>
      </c>
      <c r="U932" s="416">
        <v>158</v>
      </c>
      <c r="V932" s="416">
        <v>158</v>
      </c>
      <c r="W932" s="416">
        <v>158</v>
      </c>
      <c r="X932" s="416">
        <v>154</v>
      </c>
      <c r="Y932" s="416">
        <v>149</v>
      </c>
      <c r="Z932" s="416">
        <v>141</v>
      </c>
      <c r="AA932" s="416">
        <v>132</v>
      </c>
      <c r="AB932" s="416">
        <v>125</v>
      </c>
      <c r="AC932" s="416">
        <v>122</v>
      </c>
      <c r="AD932" s="416">
        <v>120</v>
      </c>
      <c r="AE932" s="416">
        <v>118</v>
      </c>
      <c r="AF932" s="416">
        <v>116</v>
      </c>
      <c r="AG932" s="416">
        <v>115</v>
      </c>
      <c r="AH932" s="416">
        <v>113</v>
      </c>
      <c r="AI932" s="416">
        <v>111</v>
      </c>
      <c r="AJ932" s="416">
        <v>109</v>
      </c>
      <c r="AK932" s="416">
        <v>106</v>
      </c>
      <c r="AL932" s="416">
        <v>98.3</v>
      </c>
      <c r="AM932" s="416">
        <v>78.599999999999994</v>
      </c>
      <c r="AN932" s="416">
        <v>64.3</v>
      </c>
      <c r="AO932" s="416">
        <v>51.4</v>
      </c>
      <c r="AP932" s="416">
        <v>41.6</v>
      </c>
      <c r="AQ932" s="416">
        <v>0</v>
      </c>
      <c r="AR932" s="416">
        <v>0</v>
      </c>
      <c r="AS932" s="416">
        <v>0</v>
      </c>
      <c r="AT932" s="416">
        <v>0</v>
      </c>
      <c r="AU932" s="416">
        <v>0</v>
      </c>
      <c r="AV932" s="416">
        <v>0</v>
      </c>
      <c r="AW932" s="416">
        <v>0</v>
      </c>
      <c r="AX932" s="416">
        <v>0</v>
      </c>
      <c r="AY932" s="416">
        <v>0</v>
      </c>
      <c r="AZ932" s="416">
        <v>0</v>
      </c>
    </row>
    <row r="933" spans="1:52" s="411" customFormat="1" x14ac:dyDescent="0.3">
      <c r="A933" s="415" t="str">
        <f t="shared" si="14"/>
        <v>SA-376 Gr.TP304N</v>
      </c>
      <c r="B933" s="415">
        <v>927</v>
      </c>
      <c r="C933" s="415" t="s">
        <v>3316</v>
      </c>
      <c r="D933" s="415" t="s">
        <v>2703</v>
      </c>
      <c r="E933" s="415" t="s">
        <v>2225</v>
      </c>
      <c r="F933" s="415" t="s">
        <v>2559</v>
      </c>
      <c r="G933" s="415" t="s">
        <v>3318</v>
      </c>
      <c r="H933" s="415">
        <v>0</v>
      </c>
      <c r="I933" s="415">
        <v>0</v>
      </c>
      <c r="J933" s="415">
        <v>8</v>
      </c>
      <c r="K933" s="415">
        <v>1</v>
      </c>
      <c r="L933" s="415">
        <v>550</v>
      </c>
      <c r="M933" s="415">
        <v>240</v>
      </c>
      <c r="N933" s="415">
        <v>649</v>
      </c>
      <c r="O933" s="415" t="s">
        <v>2675</v>
      </c>
      <c r="P933" s="415">
        <v>649</v>
      </c>
      <c r="Q933" s="415">
        <v>343</v>
      </c>
      <c r="R933" s="415" t="s">
        <v>3269</v>
      </c>
      <c r="S933" s="415" t="s">
        <v>3260</v>
      </c>
      <c r="T933" s="416">
        <v>158</v>
      </c>
      <c r="U933" s="416">
        <v>158</v>
      </c>
      <c r="V933" s="416">
        <v>144</v>
      </c>
      <c r="W933" s="416">
        <v>129</v>
      </c>
      <c r="X933" s="416">
        <v>121</v>
      </c>
      <c r="Y933" s="416">
        <v>115</v>
      </c>
      <c r="Z933" s="416">
        <v>105</v>
      </c>
      <c r="AA933" s="416">
        <v>97.6</v>
      </c>
      <c r="AB933" s="416">
        <v>92.9</v>
      </c>
      <c r="AC933" s="416">
        <v>90.9</v>
      </c>
      <c r="AD933" s="416">
        <v>89.3</v>
      </c>
      <c r="AE933" s="416">
        <v>88</v>
      </c>
      <c r="AF933" s="416">
        <v>86.1</v>
      </c>
      <c r="AG933" s="416">
        <v>84.9</v>
      </c>
      <c r="AH933" s="416">
        <v>83.7</v>
      </c>
      <c r="AI933" s="416">
        <v>81.8</v>
      </c>
      <c r="AJ933" s="416">
        <v>80.5</v>
      </c>
      <c r="AK933" s="416">
        <v>78.8</v>
      </c>
      <c r="AL933" s="416">
        <v>77.3</v>
      </c>
      <c r="AM933" s="416">
        <v>74</v>
      </c>
      <c r="AN933" s="416">
        <v>64.3</v>
      </c>
      <c r="AO933" s="416">
        <v>51.4</v>
      </c>
      <c r="AP933" s="416">
        <v>41.6</v>
      </c>
      <c r="AQ933" s="416">
        <v>0</v>
      </c>
      <c r="AR933" s="416">
        <v>0</v>
      </c>
      <c r="AS933" s="416">
        <v>0</v>
      </c>
      <c r="AT933" s="416">
        <v>0</v>
      </c>
      <c r="AU933" s="416">
        <v>0</v>
      </c>
      <c r="AV933" s="416">
        <v>0</v>
      </c>
      <c r="AW933" s="416">
        <v>0</v>
      </c>
      <c r="AX933" s="416">
        <v>0</v>
      </c>
      <c r="AY933" s="416">
        <v>0</v>
      </c>
      <c r="AZ933" s="416">
        <v>0</v>
      </c>
    </row>
    <row r="934" spans="1:52" s="411" customFormat="1" x14ac:dyDescent="0.3">
      <c r="A934" s="415" t="str">
        <f t="shared" si="14"/>
        <v>SA-403 Gr.304N</v>
      </c>
      <c r="B934" s="415">
        <v>928</v>
      </c>
      <c r="C934" s="415" t="s">
        <v>3316</v>
      </c>
      <c r="D934" s="415" t="s">
        <v>2758</v>
      </c>
      <c r="E934" s="415" t="s">
        <v>2229</v>
      </c>
      <c r="F934" s="415" t="s">
        <v>2250</v>
      </c>
      <c r="G934" s="415" t="s">
        <v>3318</v>
      </c>
      <c r="H934" s="415">
        <v>0</v>
      </c>
      <c r="I934" s="415">
        <v>0</v>
      </c>
      <c r="J934" s="415">
        <v>8</v>
      </c>
      <c r="K934" s="415">
        <v>1</v>
      </c>
      <c r="L934" s="415">
        <v>550</v>
      </c>
      <c r="M934" s="415">
        <v>240</v>
      </c>
      <c r="N934" s="415" t="s">
        <v>2675</v>
      </c>
      <c r="O934" s="415">
        <v>427</v>
      </c>
      <c r="P934" s="415">
        <v>649</v>
      </c>
      <c r="Q934" s="415">
        <v>343</v>
      </c>
      <c r="R934" s="415" t="s">
        <v>3269</v>
      </c>
      <c r="S934" s="415" t="s">
        <v>3310</v>
      </c>
      <c r="T934" s="416">
        <v>158</v>
      </c>
      <c r="U934" s="416">
        <v>158</v>
      </c>
      <c r="V934" s="416">
        <v>158</v>
      </c>
      <c r="W934" s="416">
        <v>158</v>
      </c>
      <c r="X934" s="416">
        <v>154</v>
      </c>
      <c r="Y934" s="416">
        <v>149</v>
      </c>
      <c r="Z934" s="416">
        <v>141</v>
      </c>
      <c r="AA934" s="416">
        <v>132</v>
      </c>
      <c r="AB934" s="416">
        <v>125</v>
      </c>
      <c r="AC934" s="416">
        <v>122</v>
      </c>
      <c r="AD934" s="416">
        <v>120</v>
      </c>
      <c r="AE934" s="416">
        <v>118</v>
      </c>
      <c r="AF934" s="416">
        <v>116</v>
      </c>
      <c r="AG934" s="416">
        <v>115</v>
      </c>
      <c r="AH934" s="416">
        <v>113</v>
      </c>
      <c r="AI934" s="416">
        <v>111</v>
      </c>
      <c r="AJ934" s="416">
        <v>109</v>
      </c>
      <c r="AK934" s="416">
        <v>106</v>
      </c>
      <c r="AL934" s="416">
        <v>98.3</v>
      </c>
      <c r="AM934" s="416">
        <v>78.599999999999994</v>
      </c>
      <c r="AN934" s="416">
        <v>64.3</v>
      </c>
      <c r="AO934" s="416">
        <v>51.4</v>
      </c>
      <c r="AP934" s="416">
        <v>41.6</v>
      </c>
      <c r="AQ934" s="416">
        <v>0</v>
      </c>
      <c r="AR934" s="416">
        <v>0</v>
      </c>
      <c r="AS934" s="416">
        <v>0</v>
      </c>
      <c r="AT934" s="416">
        <v>0</v>
      </c>
      <c r="AU934" s="416">
        <v>0</v>
      </c>
      <c r="AV934" s="416">
        <v>0</v>
      </c>
      <c r="AW934" s="416">
        <v>0</v>
      </c>
      <c r="AX934" s="416">
        <v>0</v>
      </c>
      <c r="AY934" s="416">
        <v>0</v>
      </c>
      <c r="AZ934" s="416">
        <v>0</v>
      </c>
    </row>
    <row r="935" spans="1:52" s="411" customFormat="1" x14ac:dyDescent="0.3">
      <c r="A935" s="415" t="str">
        <f t="shared" si="14"/>
        <v>SA-479 Gr.304N</v>
      </c>
      <c r="B935" s="415">
        <v>929</v>
      </c>
      <c r="C935" s="415" t="s">
        <v>3316</v>
      </c>
      <c r="D935" s="415" t="s">
        <v>2677</v>
      </c>
      <c r="E935" s="415" t="s">
        <v>2245</v>
      </c>
      <c r="F935" s="415" t="s">
        <v>2250</v>
      </c>
      <c r="G935" s="415" t="s">
        <v>3318</v>
      </c>
      <c r="H935" s="415">
        <v>0</v>
      </c>
      <c r="I935" s="415">
        <v>0</v>
      </c>
      <c r="J935" s="415">
        <v>8</v>
      </c>
      <c r="K935" s="415">
        <v>1</v>
      </c>
      <c r="L935" s="415">
        <v>550</v>
      </c>
      <c r="M935" s="415">
        <v>240</v>
      </c>
      <c r="N935" s="415">
        <v>649</v>
      </c>
      <c r="O935" s="415" t="s">
        <v>2675</v>
      </c>
      <c r="P935" s="415" t="s">
        <v>2675</v>
      </c>
      <c r="Q935" s="415" t="s">
        <v>2675</v>
      </c>
      <c r="R935" s="415" t="s">
        <v>3269</v>
      </c>
      <c r="S935" s="415" t="s">
        <v>3253</v>
      </c>
      <c r="T935" s="416">
        <v>158</v>
      </c>
      <c r="U935" s="416">
        <v>158</v>
      </c>
      <c r="V935" s="416">
        <v>144</v>
      </c>
      <c r="W935" s="416">
        <v>129</v>
      </c>
      <c r="X935" s="416">
        <v>121</v>
      </c>
      <c r="Y935" s="416">
        <v>115</v>
      </c>
      <c r="Z935" s="416">
        <v>105</v>
      </c>
      <c r="AA935" s="416">
        <v>97.6</v>
      </c>
      <c r="AB935" s="416">
        <v>92.9</v>
      </c>
      <c r="AC935" s="416">
        <v>90.9</v>
      </c>
      <c r="AD935" s="416">
        <v>89.3</v>
      </c>
      <c r="AE935" s="416">
        <v>88</v>
      </c>
      <c r="AF935" s="416">
        <v>86.1</v>
      </c>
      <c r="AG935" s="416">
        <v>84.9</v>
      </c>
      <c r="AH935" s="416">
        <v>83.7</v>
      </c>
      <c r="AI935" s="416">
        <v>81.8</v>
      </c>
      <c r="AJ935" s="416">
        <v>80.5</v>
      </c>
      <c r="AK935" s="416">
        <v>78.8</v>
      </c>
      <c r="AL935" s="416">
        <v>77.3</v>
      </c>
      <c r="AM935" s="416">
        <v>74</v>
      </c>
      <c r="AN935" s="416">
        <v>64.3</v>
      </c>
      <c r="AO935" s="416">
        <v>51.4</v>
      </c>
      <c r="AP935" s="416">
        <v>41.6</v>
      </c>
      <c r="AQ935" s="416">
        <v>0</v>
      </c>
      <c r="AR935" s="416">
        <v>0</v>
      </c>
      <c r="AS935" s="416">
        <v>0</v>
      </c>
      <c r="AT935" s="416">
        <v>0</v>
      </c>
      <c r="AU935" s="416">
        <v>0</v>
      </c>
      <c r="AV935" s="416">
        <v>0</v>
      </c>
      <c r="AW935" s="416">
        <v>0</v>
      </c>
      <c r="AX935" s="416">
        <v>0</v>
      </c>
      <c r="AY935" s="416">
        <v>0</v>
      </c>
      <c r="AZ935" s="416">
        <v>0</v>
      </c>
    </row>
    <row r="936" spans="1:52" s="411" customFormat="1" x14ac:dyDescent="0.3">
      <c r="A936" s="415" t="str">
        <f t="shared" si="14"/>
        <v>SA-479 Gr.304N</v>
      </c>
      <c r="B936" s="415">
        <v>930</v>
      </c>
      <c r="C936" s="415" t="s">
        <v>3316</v>
      </c>
      <c r="D936" s="415" t="s">
        <v>2677</v>
      </c>
      <c r="E936" s="415" t="s">
        <v>2245</v>
      </c>
      <c r="F936" s="415" t="s">
        <v>2250</v>
      </c>
      <c r="G936" s="415" t="s">
        <v>3318</v>
      </c>
      <c r="H936" s="415">
        <v>0</v>
      </c>
      <c r="I936" s="415">
        <v>0</v>
      </c>
      <c r="J936" s="415">
        <v>8</v>
      </c>
      <c r="K936" s="415">
        <v>1</v>
      </c>
      <c r="L936" s="415">
        <v>550</v>
      </c>
      <c r="M936" s="415">
        <v>240</v>
      </c>
      <c r="N936" s="415">
        <v>649</v>
      </c>
      <c r="O936" s="415">
        <v>427</v>
      </c>
      <c r="P936" s="415" t="s">
        <v>2675</v>
      </c>
      <c r="Q936" s="415" t="s">
        <v>2675</v>
      </c>
      <c r="R936" s="415" t="s">
        <v>3269</v>
      </c>
      <c r="S936" s="415" t="s">
        <v>3252</v>
      </c>
      <c r="T936" s="416">
        <v>158</v>
      </c>
      <c r="U936" s="416">
        <v>158</v>
      </c>
      <c r="V936" s="416">
        <v>158</v>
      </c>
      <c r="W936" s="416">
        <v>158</v>
      </c>
      <c r="X936" s="416">
        <v>154</v>
      </c>
      <c r="Y936" s="416">
        <v>149</v>
      </c>
      <c r="Z936" s="416">
        <v>141</v>
      </c>
      <c r="AA936" s="416">
        <v>132</v>
      </c>
      <c r="AB936" s="416">
        <v>125</v>
      </c>
      <c r="AC936" s="416">
        <v>122</v>
      </c>
      <c r="AD936" s="416">
        <v>120</v>
      </c>
      <c r="AE936" s="416">
        <v>118</v>
      </c>
      <c r="AF936" s="416">
        <v>116</v>
      </c>
      <c r="AG936" s="416">
        <v>115</v>
      </c>
      <c r="AH936" s="416">
        <v>113</v>
      </c>
      <c r="AI936" s="416">
        <v>111</v>
      </c>
      <c r="AJ936" s="416">
        <v>109</v>
      </c>
      <c r="AK936" s="416">
        <v>106</v>
      </c>
      <c r="AL936" s="416">
        <v>98.3</v>
      </c>
      <c r="AM936" s="416">
        <v>78.599999999999994</v>
      </c>
      <c r="AN936" s="416">
        <v>64.3</v>
      </c>
      <c r="AO936" s="416">
        <v>51.4</v>
      </c>
      <c r="AP936" s="416">
        <v>41.6</v>
      </c>
      <c r="AQ936" s="416">
        <v>0</v>
      </c>
      <c r="AR936" s="416">
        <v>0</v>
      </c>
      <c r="AS936" s="416">
        <v>0</v>
      </c>
      <c r="AT936" s="416">
        <v>0</v>
      </c>
      <c r="AU936" s="416">
        <v>0</v>
      </c>
      <c r="AV936" s="416">
        <v>0</v>
      </c>
      <c r="AW936" s="416">
        <v>0</v>
      </c>
      <c r="AX936" s="416">
        <v>0</v>
      </c>
      <c r="AY936" s="416">
        <v>0</v>
      </c>
      <c r="AZ936" s="416">
        <v>0</v>
      </c>
    </row>
    <row r="937" spans="1:52" s="411" customFormat="1" x14ac:dyDescent="0.3">
      <c r="A937" s="415" t="str">
        <f t="shared" si="14"/>
        <v>SA-688 Gr.TP304N</v>
      </c>
      <c r="B937" s="415">
        <v>931</v>
      </c>
      <c r="C937" s="415" t="s">
        <v>3316</v>
      </c>
      <c r="D937" s="415" t="s">
        <v>2689</v>
      </c>
      <c r="E937" s="415" t="s">
        <v>2301</v>
      </c>
      <c r="F937" s="415" t="s">
        <v>2559</v>
      </c>
      <c r="G937" s="415" t="s">
        <v>3318</v>
      </c>
      <c r="H937" s="415">
        <v>0</v>
      </c>
      <c r="I937" s="415">
        <v>0</v>
      </c>
      <c r="J937" s="415">
        <v>8</v>
      </c>
      <c r="K937" s="415">
        <v>1</v>
      </c>
      <c r="L937" s="415">
        <v>550</v>
      </c>
      <c r="M937" s="415">
        <v>240</v>
      </c>
      <c r="N937" s="415" t="s">
        <v>2675</v>
      </c>
      <c r="O937" s="415">
        <v>427</v>
      </c>
      <c r="P937" s="415" t="s">
        <v>2675</v>
      </c>
      <c r="Q937" s="415" t="s">
        <v>2675</v>
      </c>
      <c r="R937" s="415" t="s">
        <v>3269</v>
      </c>
      <c r="S937" s="415" t="s">
        <v>3208</v>
      </c>
      <c r="T937" s="416">
        <v>158</v>
      </c>
      <c r="U937" s="416">
        <v>158</v>
      </c>
      <c r="V937" s="416">
        <v>158</v>
      </c>
      <c r="W937" s="416">
        <v>158</v>
      </c>
      <c r="X937" s="416">
        <v>154</v>
      </c>
      <c r="Y937" s="416">
        <v>149</v>
      </c>
      <c r="Z937" s="416">
        <v>141</v>
      </c>
      <c r="AA937" s="416">
        <v>132</v>
      </c>
      <c r="AB937" s="416">
        <v>125</v>
      </c>
      <c r="AC937" s="416">
        <v>122</v>
      </c>
      <c r="AD937" s="416">
        <v>120</v>
      </c>
      <c r="AE937" s="416">
        <v>118</v>
      </c>
      <c r="AF937" s="416">
        <v>116</v>
      </c>
      <c r="AG937" s="416">
        <v>115</v>
      </c>
      <c r="AH937" s="416">
        <v>113</v>
      </c>
      <c r="AI937" s="416">
        <v>0</v>
      </c>
      <c r="AJ937" s="416">
        <v>0</v>
      </c>
      <c r="AK937" s="416">
        <v>0</v>
      </c>
      <c r="AL937" s="416">
        <v>0</v>
      </c>
      <c r="AM937" s="416">
        <v>0</v>
      </c>
      <c r="AN937" s="416">
        <v>0</v>
      </c>
      <c r="AO937" s="416">
        <v>0</v>
      </c>
      <c r="AP937" s="416">
        <v>0</v>
      </c>
      <c r="AQ937" s="416">
        <v>0</v>
      </c>
      <c r="AR937" s="416">
        <v>0</v>
      </c>
      <c r="AS937" s="416">
        <v>0</v>
      </c>
      <c r="AT937" s="416">
        <v>0</v>
      </c>
      <c r="AU937" s="416">
        <v>0</v>
      </c>
      <c r="AV937" s="416">
        <v>0</v>
      </c>
      <c r="AW937" s="416">
        <v>0</v>
      </c>
      <c r="AX937" s="416">
        <v>0</v>
      </c>
      <c r="AY937" s="416">
        <v>0</v>
      </c>
      <c r="AZ937" s="416">
        <v>0</v>
      </c>
    </row>
    <row r="938" spans="1:52" s="411" customFormat="1" x14ac:dyDescent="0.3">
      <c r="A938" s="415" t="str">
        <f t="shared" si="14"/>
        <v>SA-688 Gr.TP304N</v>
      </c>
      <c r="B938" s="415">
        <v>932</v>
      </c>
      <c r="C938" s="415" t="s">
        <v>3316</v>
      </c>
      <c r="D938" s="415" t="s">
        <v>2689</v>
      </c>
      <c r="E938" s="415" t="s">
        <v>2301</v>
      </c>
      <c r="F938" s="415" t="s">
        <v>2559</v>
      </c>
      <c r="G938" s="415" t="s">
        <v>3318</v>
      </c>
      <c r="H938" s="415">
        <v>0</v>
      </c>
      <c r="I938" s="415">
        <v>0</v>
      </c>
      <c r="J938" s="415">
        <v>8</v>
      </c>
      <c r="K938" s="415">
        <v>1</v>
      </c>
      <c r="L938" s="415">
        <v>550</v>
      </c>
      <c r="M938" s="415">
        <v>240</v>
      </c>
      <c r="N938" s="415" t="s">
        <v>2675</v>
      </c>
      <c r="O938" s="415" t="s">
        <v>2675</v>
      </c>
      <c r="P938" s="415">
        <v>649</v>
      </c>
      <c r="Q938" s="415">
        <v>343</v>
      </c>
      <c r="R938" s="415" t="s">
        <v>3269</v>
      </c>
      <c r="S938" s="415" t="s">
        <v>3236</v>
      </c>
      <c r="T938" s="416">
        <v>134</v>
      </c>
      <c r="U938" s="416">
        <v>134</v>
      </c>
      <c r="V938" s="416">
        <v>134</v>
      </c>
      <c r="W938" s="416">
        <v>133</v>
      </c>
      <c r="X938" s="416">
        <v>131</v>
      </c>
      <c r="Y938" s="416">
        <v>127</v>
      </c>
      <c r="Z938" s="416">
        <v>120</v>
      </c>
      <c r="AA938" s="416">
        <v>112</v>
      </c>
      <c r="AB938" s="416">
        <v>106</v>
      </c>
      <c r="AC938" s="416">
        <v>104</v>
      </c>
      <c r="AD938" s="416">
        <v>102</v>
      </c>
      <c r="AE938" s="416">
        <v>100</v>
      </c>
      <c r="AF938" s="416">
        <v>99.2</v>
      </c>
      <c r="AG938" s="416">
        <v>97.4</v>
      </c>
      <c r="AH938" s="416">
        <v>95.4</v>
      </c>
      <c r="AI938" s="416">
        <v>94.2</v>
      </c>
      <c r="AJ938" s="416">
        <v>92.5</v>
      </c>
      <c r="AK938" s="416">
        <v>90.5</v>
      </c>
      <c r="AL938" s="416">
        <v>83.9</v>
      </c>
      <c r="AM938" s="416">
        <v>66.400000000000006</v>
      </c>
      <c r="AN938" s="416">
        <v>54.5</v>
      </c>
      <c r="AO938" s="416">
        <v>44.1</v>
      </c>
      <c r="AP938" s="416">
        <v>35.5</v>
      </c>
      <c r="AQ938" s="416">
        <v>0</v>
      </c>
      <c r="AR938" s="416">
        <v>0</v>
      </c>
      <c r="AS938" s="416">
        <v>0</v>
      </c>
      <c r="AT938" s="416">
        <v>0</v>
      </c>
      <c r="AU938" s="416">
        <v>0</v>
      </c>
      <c r="AV938" s="416">
        <v>0</v>
      </c>
      <c r="AW938" s="416">
        <v>0</v>
      </c>
      <c r="AX938" s="416">
        <v>0</v>
      </c>
      <c r="AY938" s="416">
        <v>0</v>
      </c>
      <c r="AZ938" s="416">
        <v>0</v>
      </c>
    </row>
    <row r="939" spans="1:52" s="411" customFormat="1" x14ac:dyDescent="0.3">
      <c r="A939" s="415" t="str">
        <f t="shared" si="14"/>
        <v>SA-688 Gr.TP304N</v>
      </c>
      <c r="B939" s="415">
        <v>933</v>
      </c>
      <c r="C939" s="415" t="s">
        <v>3316</v>
      </c>
      <c r="D939" s="415" t="s">
        <v>2689</v>
      </c>
      <c r="E939" s="415" t="s">
        <v>2301</v>
      </c>
      <c r="F939" s="415" t="s">
        <v>2559</v>
      </c>
      <c r="G939" s="415" t="s">
        <v>3318</v>
      </c>
      <c r="H939" s="415">
        <v>0</v>
      </c>
      <c r="I939" s="415">
        <v>0</v>
      </c>
      <c r="J939" s="415">
        <v>8</v>
      </c>
      <c r="K939" s="415">
        <v>1</v>
      </c>
      <c r="L939" s="415">
        <v>550</v>
      </c>
      <c r="M939" s="415">
        <v>240</v>
      </c>
      <c r="N939" s="415" t="s">
        <v>2675</v>
      </c>
      <c r="O939" s="415" t="s">
        <v>2675</v>
      </c>
      <c r="P939" s="415">
        <v>649</v>
      </c>
      <c r="Q939" s="415">
        <v>343</v>
      </c>
      <c r="R939" s="415" t="s">
        <v>3269</v>
      </c>
      <c r="S939" s="415" t="s">
        <v>3315</v>
      </c>
      <c r="T939" s="416">
        <v>134</v>
      </c>
      <c r="U939" s="416">
        <v>134</v>
      </c>
      <c r="V939" s="416">
        <v>122</v>
      </c>
      <c r="W939" s="416">
        <v>110</v>
      </c>
      <c r="X939" s="416">
        <v>103</v>
      </c>
      <c r="Y939" s="416">
        <v>97.7</v>
      </c>
      <c r="Z939" s="416">
        <v>88.9</v>
      </c>
      <c r="AA939" s="416">
        <v>82.9</v>
      </c>
      <c r="AB939" s="416">
        <v>79.099999999999994</v>
      </c>
      <c r="AC939" s="416">
        <v>77.2</v>
      </c>
      <c r="AD939" s="416">
        <v>75.5</v>
      </c>
      <c r="AE939" s="416">
        <v>74.3</v>
      </c>
      <c r="AF939" s="416">
        <v>73</v>
      </c>
      <c r="AG939" s="416">
        <v>72.400000000000006</v>
      </c>
      <c r="AH939" s="416">
        <v>71.3</v>
      </c>
      <c r="AI939" s="416">
        <v>69.400000000000006</v>
      </c>
      <c r="AJ939" s="416">
        <v>68</v>
      </c>
      <c r="AK939" s="416">
        <v>66.7</v>
      </c>
      <c r="AL939" s="416">
        <v>65.900000000000006</v>
      </c>
      <c r="AM939" s="416">
        <v>63</v>
      </c>
      <c r="AN939" s="416">
        <v>54.5</v>
      </c>
      <c r="AO939" s="416">
        <v>44.1</v>
      </c>
      <c r="AP939" s="416">
        <v>35.5</v>
      </c>
      <c r="AQ939" s="416">
        <v>0</v>
      </c>
      <c r="AR939" s="416">
        <v>0</v>
      </c>
      <c r="AS939" s="416">
        <v>0</v>
      </c>
      <c r="AT939" s="416">
        <v>0</v>
      </c>
      <c r="AU939" s="416">
        <v>0</v>
      </c>
      <c r="AV939" s="416">
        <v>0</v>
      </c>
      <c r="AW939" s="416">
        <v>0</v>
      </c>
      <c r="AX939" s="416">
        <v>0</v>
      </c>
      <c r="AY939" s="416">
        <v>0</v>
      </c>
      <c r="AZ939" s="416">
        <v>0</v>
      </c>
    </row>
    <row r="940" spans="1:52" s="411" customFormat="1" x14ac:dyDescent="0.3">
      <c r="A940" s="415" t="str">
        <f t="shared" si="14"/>
        <v>SA-813 Gr.TP304N</v>
      </c>
      <c r="B940" s="415">
        <v>934</v>
      </c>
      <c r="C940" s="415" t="s">
        <v>3316</v>
      </c>
      <c r="D940" s="415" t="s">
        <v>2680</v>
      </c>
      <c r="E940" s="415" t="s">
        <v>2328</v>
      </c>
      <c r="F940" s="415" t="s">
        <v>2559</v>
      </c>
      <c r="G940" s="415" t="s">
        <v>3318</v>
      </c>
      <c r="H940" s="415">
        <v>0</v>
      </c>
      <c r="I940" s="415">
        <v>0</v>
      </c>
      <c r="J940" s="415">
        <v>8</v>
      </c>
      <c r="K940" s="415">
        <v>1</v>
      </c>
      <c r="L940" s="415">
        <v>550</v>
      </c>
      <c r="M940" s="415">
        <v>240</v>
      </c>
      <c r="N940" s="415" t="s">
        <v>2675</v>
      </c>
      <c r="O940" s="415">
        <v>427</v>
      </c>
      <c r="P940" s="415" t="s">
        <v>2675</v>
      </c>
      <c r="Q940" s="415" t="s">
        <v>2675</v>
      </c>
      <c r="R940" s="415" t="s">
        <v>3269</v>
      </c>
      <c r="S940" s="415" t="s">
        <v>3208</v>
      </c>
      <c r="T940" s="416">
        <v>158</v>
      </c>
      <c r="U940" s="416">
        <v>158</v>
      </c>
      <c r="V940" s="416">
        <v>158</v>
      </c>
      <c r="W940" s="416">
        <v>158</v>
      </c>
      <c r="X940" s="416">
        <v>154</v>
      </c>
      <c r="Y940" s="416">
        <v>149</v>
      </c>
      <c r="Z940" s="416">
        <v>141</v>
      </c>
      <c r="AA940" s="416">
        <v>132</v>
      </c>
      <c r="AB940" s="416">
        <v>125</v>
      </c>
      <c r="AC940" s="416">
        <v>122</v>
      </c>
      <c r="AD940" s="416">
        <v>120</v>
      </c>
      <c r="AE940" s="416">
        <v>118</v>
      </c>
      <c r="AF940" s="416">
        <v>116</v>
      </c>
      <c r="AG940" s="416">
        <v>115</v>
      </c>
      <c r="AH940" s="416">
        <v>113</v>
      </c>
      <c r="AI940" s="416">
        <v>0</v>
      </c>
      <c r="AJ940" s="416">
        <v>0</v>
      </c>
      <c r="AK940" s="416">
        <v>0</v>
      </c>
      <c r="AL940" s="416">
        <v>0</v>
      </c>
      <c r="AM940" s="416">
        <v>0</v>
      </c>
      <c r="AN940" s="416">
        <v>0</v>
      </c>
      <c r="AO940" s="416">
        <v>0</v>
      </c>
      <c r="AP940" s="416">
        <v>0</v>
      </c>
      <c r="AQ940" s="416">
        <v>0</v>
      </c>
      <c r="AR940" s="416">
        <v>0</v>
      </c>
      <c r="AS940" s="416">
        <v>0</v>
      </c>
      <c r="AT940" s="416">
        <v>0</v>
      </c>
      <c r="AU940" s="416">
        <v>0</v>
      </c>
      <c r="AV940" s="416">
        <v>0</v>
      </c>
      <c r="AW940" s="416">
        <v>0</v>
      </c>
      <c r="AX940" s="416">
        <v>0</v>
      </c>
      <c r="AY940" s="416">
        <v>0</v>
      </c>
      <c r="AZ940" s="416">
        <v>0</v>
      </c>
    </row>
    <row r="941" spans="1:52" s="411" customFormat="1" x14ac:dyDescent="0.3">
      <c r="A941" s="415" t="str">
        <f t="shared" si="14"/>
        <v>SA-814 Gr.TP304N</v>
      </c>
      <c r="B941" s="415">
        <v>935</v>
      </c>
      <c r="C941" s="415" t="s">
        <v>3316</v>
      </c>
      <c r="D941" s="415" t="s">
        <v>2680</v>
      </c>
      <c r="E941" s="415" t="s">
        <v>2330</v>
      </c>
      <c r="F941" s="415" t="s">
        <v>2559</v>
      </c>
      <c r="G941" s="415" t="s">
        <v>3318</v>
      </c>
      <c r="H941" s="415">
        <v>0</v>
      </c>
      <c r="I941" s="415">
        <v>0</v>
      </c>
      <c r="J941" s="415">
        <v>8</v>
      </c>
      <c r="K941" s="415">
        <v>1</v>
      </c>
      <c r="L941" s="415">
        <v>550</v>
      </c>
      <c r="M941" s="415">
        <v>240</v>
      </c>
      <c r="N941" s="415" t="s">
        <v>2675</v>
      </c>
      <c r="O941" s="415">
        <v>427</v>
      </c>
      <c r="P941" s="415" t="s">
        <v>2675</v>
      </c>
      <c r="Q941" s="415" t="s">
        <v>2675</v>
      </c>
      <c r="R941" s="415" t="s">
        <v>3269</v>
      </c>
      <c r="S941" s="415" t="s">
        <v>3208</v>
      </c>
      <c r="T941" s="416">
        <v>158</v>
      </c>
      <c r="U941" s="416">
        <v>158</v>
      </c>
      <c r="V941" s="416">
        <v>158</v>
      </c>
      <c r="W941" s="416">
        <v>158</v>
      </c>
      <c r="X941" s="416">
        <v>154</v>
      </c>
      <c r="Y941" s="416">
        <v>149</v>
      </c>
      <c r="Z941" s="416">
        <v>141</v>
      </c>
      <c r="AA941" s="416">
        <v>132</v>
      </c>
      <c r="AB941" s="416">
        <v>125</v>
      </c>
      <c r="AC941" s="416">
        <v>122</v>
      </c>
      <c r="AD941" s="416">
        <v>120</v>
      </c>
      <c r="AE941" s="416">
        <v>118</v>
      </c>
      <c r="AF941" s="416">
        <v>116</v>
      </c>
      <c r="AG941" s="416">
        <v>115</v>
      </c>
      <c r="AH941" s="416">
        <v>113</v>
      </c>
      <c r="AI941" s="416">
        <v>0</v>
      </c>
      <c r="AJ941" s="416">
        <v>0</v>
      </c>
      <c r="AK941" s="416">
        <v>0</v>
      </c>
      <c r="AL941" s="416">
        <v>0</v>
      </c>
      <c r="AM941" s="416">
        <v>0</v>
      </c>
      <c r="AN941" s="416">
        <v>0</v>
      </c>
      <c r="AO941" s="416">
        <v>0</v>
      </c>
      <c r="AP941" s="416">
        <v>0</v>
      </c>
      <c r="AQ941" s="416">
        <v>0</v>
      </c>
      <c r="AR941" s="416">
        <v>0</v>
      </c>
      <c r="AS941" s="416">
        <v>0</v>
      </c>
      <c r="AT941" s="416">
        <v>0</v>
      </c>
      <c r="AU941" s="416">
        <v>0</v>
      </c>
      <c r="AV941" s="416">
        <v>0</v>
      </c>
      <c r="AW941" s="416">
        <v>0</v>
      </c>
      <c r="AX941" s="416">
        <v>0</v>
      </c>
      <c r="AY941" s="416">
        <v>0</v>
      </c>
      <c r="AZ941" s="416">
        <v>0</v>
      </c>
    </row>
    <row r="942" spans="1:52" s="411" customFormat="1" x14ac:dyDescent="0.3">
      <c r="A942" s="415" t="str">
        <f t="shared" si="14"/>
        <v>SA-965 Gr.F304N</v>
      </c>
      <c r="B942" s="415">
        <v>936</v>
      </c>
      <c r="C942" s="415" t="s">
        <v>3316</v>
      </c>
      <c r="D942" s="415" t="s">
        <v>2737</v>
      </c>
      <c r="E942" s="415" t="s">
        <v>2337</v>
      </c>
      <c r="F942" s="415" t="s">
        <v>2436</v>
      </c>
      <c r="G942" s="415" t="s">
        <v>3318</v>
      </c>
      <c r="H942" s="415">
        <v>0</v>
      </c>
      <c r="I942" s="415">
        <v>0</v>
      </c>
      <c r="J942" s="415">
        <v>8</v>
      </c>
      <c r="K942" s="415">
        <v>1</v>
      </c>
      <c r="L942" s="415">
        <v>550</v>
      </c>
      <c r="M942" s="415">
        <v>240</v>
      </c>
      <c r="N942" s="415" t="s">
        <v>2675</v>
      </c>
      <c r="O942" s="415">
        <v>427</v>
      </c>
      <c r="P942" s="415">
        <v>649</v>
      </c>
      <c r="Q942" s="415">
        <v>343</v>
      </c>
      <c r="R942" s="415" t="s">
        <v>3269</v>
      </c>
      <c r="S942" s="415" t="s">
        <v>3252</v>
      </c>
      <c r="T942" s="416">
        <v>158</v>
      </c>
      <c r="U942" s="416">
        <v>158</v>
      </c>
      <c r="V942" s="416">
        <v>158</v>
      </c>
      <c r="W942" s="416">
        <v>158</v>
      </c>
      <c r="X942" s="416">
        <v>154</v>
      </c>
      <c r="Y942" s="416">
        <v>149</v>
      </c>
      <c r="Z942" s="416">
        <v>141</v>
      </c>
      <c r="AA942" s="416">
        <v>132</v>
      </c>
      <c r="AB942" s="416">
        <v>125</v>
      </c>
      <c r="AC942" s="416">
        <v>122</v>
      </c>
      <c r="AD942" s="416">
        <v>120</v>
      </c>
      <c r="AE942" s="416">
        <v>118</v>
      </c>
      <c r="AF942" s="416">
        <v>116</v>
      </c>
      <c r="AG942" s="416">
        <v>115</v>
      </c>
      <c r="AH942" s="416">
        <v>113</v>
      </c>
      <c r="AI942" s="416">
        <v>111</v>
      </c>
      <c r="AJ942" s="416">
        <v>109</v>
      </c>
      <c r="AK942" s="416">
        <v>106</v>
      </c>
      <c r="AL942" s="416">
        <v>98.3</v>
      </c>
      <c r="AM942" s="416">
        <v>78.599999999999994</v>
      </c>
      <c r="AN942" s="416">
        <v>64.3</v>
      </c>
      <c r="AO942" s="416">
        <v>51.4</v>
      </c>
      <c r="AP942" s="416">
        <v>41.6</v>
      </c>
      <c r="AQ942" s="416">
        <v>0</v>
      </c>
      <c r="AR942" s="416">
        <v>0</v>
      </c>
      <c r="AS942" s="416">
        <v>0</v>
      </c>
      <c r="AT942" s="416">
        <v>0</v>
      </c>
      <c r="AU942" s="416">
        <v>0</v>
      </c>
      <c r="AV942" s="416">
        <v>0</v>
      </c>
      <c r="AW942" s="416">
        <v>0</v>
      </c>
      <c r="AX942" s="416">
        <v>0</v>
      </c>
      <c r="AY942" s="416">
        <v>0</v>
      </c>
      <c r="AZ942" s="416">
        <v>0</v>
      </c>
    </row>
    <row r="943" spans="1:52" s="411" customFormat="1" x14ac:dyDescent="0.3">
      <c r="A943" s="415" t="str">
        <f t="shared" si="14"/>
        <v>SA-965 Gr.F304N</v>
      </c>
      <c r="B943" s="415">
        <v>937</v>
      </c>
      <c r="C943" s="415" t="s">
        <v>3316</v>
      </c>
      <c r="D943" s="415" t="s">
        <v>2737</v>
      </c>
      <c r="E943" s="415" t="s">
        <v>2337</v>
      </c>
      <c r="F943" s="415" t="s">
        <v>2436</v>
      </c>
      <c r="G943" s="415" t="s">
        <v>3318</v>
      </c>
      <c r="H943" s="415">
        <v>0</v>
      </c>
      <c r="I943" s="415">
        <v>0</v>
      </c>
      <c r="J943" s="415">
        <v>8</v>
      </c>
      <c r="K943" s="415">
        <v>1</v>
      </c>
      <c r="L943" s="415">
        <v>550</v>
      </c>
      <c r="M943" s="415">
        <v>240</v>
      </c>
      <c r="N943" s="415" t="s">
        <v>2675</v>
      </c>
      <c r="O943" s="415" t="s">
        <v>2675</v>
      </c>
      <c r="P943" s="415">
        <v>649</v>
      </c>
      <c r="Q943" s="415">
        <v>343</v>
      </c>
      <c r="R943" s="415" t="s">
        <v>3269</v>
      </c>
      <c r="S943" s="415" t="s">
        <v>3253</v>
      </c>
      <c r="T943" s="416">
        <v>158</v>
      </c>
      <c r="U943" s="416">
        <v>158</v>
      </c>
      <c r="V943" s="416">
        <v>144</v>
      </c>
      <c r="W943" s="416">
        <v>129</v>
      </c>
      <c r="X943" s="416">
        <v>121</v>
      </c>
      <c r="Y943" s="416">
        <v>115</v>
      </c>
      <c r="Z943" s="416">
        <v>105</v>
      </c>
      <c r="AA943" s="416">
        <v>97.6</v>
      </c>
      <c r="AB943" s="416">
        <v>92.9</v>
      </c>
      <c r="AC943" s="416">
        <v>90.9</v>
      </c>
      <c r="AD943" s="416">
        <v>89.3</v>
      </c>
      <c r="AE943" s="416">
        <v>88</v>
      </c>
      <c r="AF943" s="416">
        <v>86.1</v>
      </c>
      <c r="AG943" s="416">
        <v>84.9</v>
      </c>
      <c r="AH943" s="416">
        <v>83.7</v>
      </c>
      <c r="AI943" s="416">
        <v>81.8</v>
      </c>
      <c r="AJ943" s="416">
        <v>80.5</v>
      </c>
      <c r="AK943" s="416">
        <v>78.8</v>
      </c>
      <c r="AL943" s="416">
        <v>77.3</v>
      </c>
      <c r="AM943" s="416">
        <v>74</v>
      </c>
      <c r="AN943" s="416">
        <v>64.3</v>
      </c>
      <c r="AO943" s="416">
        <v>51.4</v>
      </c>
      <c r="AP943" s="416">
        <v>41.6</v>
      </c>
      <c r="AQ943" s="416">
        <v>0</v>
      </c>
      <c r="AR943" s="416">
        <v>0</v>
      </c>
      <c r="AS943" s="416">
        <v>0</v>
      </c>
      <c r="AT943" s="416">
        <v>0</v>
      </c>
      <c r="AU943" s="416">
        <v>0</v>
      </c>
      <c r="AV943" s="416">
        <v>0</v>
      </c>
      <c r="AW943" s="416">
        <v>0</v>
      </c>
      <c r="AX943" s="416">
        <v>0</v>
      </c>
      <c r="AY943" s="416">
        <v>0</v>
      </c>
      <c r="AZ943" s="416">
        <v>0</v>
      </c>
    </row>
    <row r="944" spans="1:52" s="411" customFormat="1" x14ac:dyDescent="0.3">
      <c r="A944" s="415" t="str">
        <f t="shared" si="14"/>
        <v>SA-479 Gr.0</v>
      </c>
      <c r="B944" s="415">
        <v>938</v>
      </c>
      <c r="C944" s="415" t="s">
        <v>3322</v>
      </c>
      <c r="D944" s="415" t="s">
        <v>2677</v>
      </c>
      <c r="E944" s="415" t="s">
        <v>2245</v>
      </c>
      <c r="F944" s="415">
        <v>0</v>
      </c>
      <c r="G944" s="415" t="s">
        <v>3323</v>
      </c>
      <c r="H944" s="415">
        <v>0</v>
      </c>
      <c r="I944" s="415">
        <v>0</v>
      </c>
      <c r="J944" s="415">
        <v>8</v>
      </c>
      <c r="K944" s="415">
        <v>3</v>
      </c>
      <c r="L944" s="415">
        <v>655</v>
      </c>
      <c r="M944" s="415">
        <v>345</v>
      </c>
      <c r="N944" s="415" t="s">
        <v>2675</v>
      </c>
      <c r="O944" s="415">
        <v>427</v>
      </c>
      <c r="P944" s="415" t="s">
        <v>2675</v>
      </c>
      <c r="Q944" s="415" t="s">
        <v>2675</v>
      </c>
      <c r="R944" s="415" t="s">
        <v>3073</v>
      </c>
      <c r="S944" s="415">
        <v>0</v>
      </c>
      <c r="T944" s="416">
        <v>187</v>
      </c>
      <c r="U944" s="416">
        <v>187</v>
      </c>
      <c r="V944" s="416">
        <v>185</v>
      </c>
      <c r="W944" s="416">
        <v>176</v>
      </c>
      <c r="X944" s="416">
        <v>164</v>
      </c>
      <c r="Y944" s="416">
        <v>152</v>
      </c>
      <c r="Z944" s="416">
        <v>137</v>
      </c>
      <c r="AA944" s="416">
        <v>128</v>
      </c>
      <c r="AB944" s="416">
        <v>123</v>
      </c>
      <c r="AC944" s="416">
        <v>121</v>
      </c>
      <c r="AD944" s="416">
        <v>119</v>
      </c>
      <c r="AE944" s="416">
        <v>118</v>
      </c>
      <c r="AF944" s="416">
        <v>116</v>
      </c>
      <c r="AG944" s="416">
        <v>116</v>
      </c>
      <c r="AH944" s="416">
        <v>115</v>
      </c>
      <c r="AI944" s="416">
        <v>0</v>
      </c>
      <c r="AJ944" s="416">
        <v>0</v>
      </c>
      <c r="AK944" s="416">
        <v>0</v>
      </c>
      <c r="AL944" s="416">
        <v>0</v>
      </c>
      <c r="AM944" s="416">
        <v>0</v>
      </c>
      <c r="AN944" s="416">
        <v>0</v>
      </c>
      <c r="AO944" s="416">
        <v>0</v>
      </c>
      <c r="AP944" s="416">
        <v>0</v>
      </c>
      <c r="AQ944" s="416">
        <v>0</v>
      </c>
      <c r="AR944" s="416">
        <v>0</v>
      </c>
      <c r="AS944" s="416">
        <v>0</v>
      </c>
      <c r="AT944" s="416">
        <v>0</v>
      </c>
      <c r="AU944" s="416">
        <v>0</v>
      </c>
      <c r="AV944" s="416">
        <v>0</v>
      </c>
      <c r="AW944" s="416">
        <v>0</v>
      </c>
      <c r="AX944" s="416">
        <v>0</v>
      </c>
      <c r="AY944" s="416">
        <v>0</v>
      </c>
      <c r="AZ944" s="416">
        <v>0</v>
      </c>
    </row>
    <row r="945" spans="1:52" s="411" customFormat="1" x14ac:dyDescent="0.3">
      <c r="A945" s="415" t="str">
        <f t="shared" si="14"/>
        <v>SA-965 Gr.F348H</v>
      </c>
      <c r="B945" s="415">
        <v>939</v>
      </c>
      <c r="C945" s="415" t="s">
        <v>3324</v>
      </c>
      <c r="D945" s="415" t="s">
        <v>2737</v>
      </c>
      <c r="E945" s="415" t="s">
        <v>2337</v>
      </c>
      <c r="F945" s="415" t="s">
        <v>2450</v>
      </c>
      <c r="G945" s="415" t="s">
        <v>3325</v>
      </c>
      <c r="H945" s="415">
        <v>0</v>
      </c>
      <c r="I945" s="415">
        <v>0</v>
      </c>
      <c r="J945" s="415">
        <v>8</v>
      </c>
      <c r="K945" s="415">
        <v>1</v>
      </c>
      <c r="L945" s="415">
        <v>450</v>
      </c>
      <c r="M945" s="415">
        <v>170</v>
      </c>
      <c r="N945" s="415" t="s">
        <v>2675</v>
      </c>
      <c r="O945" s="415" t="s">
        <v>2675</v>
      </c>
      <c r="P945" s="415">
        <v>816</v>
      </c>
      <c r="Q945" s="415" t="s">
        <v>2675</v>
      </c>
      <c r="R945" s="415" t="s">
        <v>3069</v>
      </c>
      <c r="S945" s="415" t="s">
        <v>3326</v>
      </c>
      <c r="T945" s="416">
        <v>115</v>
      </c>
      <c r="U945" s="416">
        <v>115</v>
      </c>
      <c r="V945" s="416">
        <v>115</v>
      </c>
      <c r="W945" s="416">
        <v>115</v>
      </c>
      <c r="X945" s="416">
        <v>114</v>
      </c>
      <c r="Y945" s="416">
        <v>112</v>
      </c>
      <c r="Z945" s="416">
        <v>107</v>
      </c>
      <c r="AA945" s="416">
        <v>103</v>
      </c>
      <c r="AB945" s="416">
        <v>101</v>
      </c>
      <c r="AC945" s="416">
        <v>101</v>
      </c>
      <c r="AD945" s="416">
        <v>101</v>
      </c>
      <c r="AE945" s="416">
        <v>101</v>
      </c>
      <c r="AF945" s="416">
        <v>101</v>
      </c>
      <c r="AG945" s="416">
        <v>101</v>
      </c>
      <c r="AH945" s="416">
        <v>100</v>
      </c>
      <c r="AI945" s="416">
        <v>100</v>
      </c>
      <c r="AJ945" s="416">
        <v>99.7</v>
      </c>
      <c r="AK945" s="416">
        <v>98.6</v>
      </c>
      <c r="AL945" s="416">
        <v>97.3</v>
      </c>
      <c r="AM945" s="416">
        <v>95.8</v>
      </c>
      <c r="AN945" s="416">
        <v>91.3</v>
      </c>
      <c r="AO945" s="416">
        <v>70.900000000000006</v>
      </c>
      <c r="AP945" s="416">
        <v>53.9</v>
      </c>
      <c r="AQ945" s="416">
        <v>41.4</v>
      </c>
      <c r="AR945" s="416">
        <v>31.9</v>
      </c>
      <c r="AS945" s="416">
        <v>23.9</v>
      </c>
      <c r="AT945" s="416">
        <v>18.8</v>
      </c>
      <c r="AU945" s="416">
        <v>14.6</v>
      </c>
      <c r="AV945" s="416">
        <v>10.8</v>
      </c>
      <c r="AW945" s="416">
        <v>7.83</v>
      </c>
      <c r="AX945" s="416">
        <v>0</v>
      </c>
      <c r="AY945" s="416">
        <v>0</v>
      </c>
      <c r="AZ945" s="416">
        <v>0</v>
      </c>
    </row>
    <row r="946" spans="1:52" s="411" customFormat="1" x14ac:dyDescent="0.3">
      <c r="A946" s="415" t="str">
        <f t="shared" si="14"/>
        <v>SA-965 Gr.F348H</v>
      </c>
      <c r="B946" s="415">
        <v>940</v>
      </c>
      <c r="C946" s="415" t="s">
        <v>3324</v>
      </c>
      <c r="D946" s="415" t="s">
        <v>2737</v>
      </c>
      <c r="E946" s="415" t="s">
        <v>2337</v>
      </c>
      <c r="F946" s="415" t="s">
        <v>2450</v>
      </c>
      <c r="G946" s="415" t="s">
        <v>3325</v>
      </c>
      <c r="H946" s="415">
        <v>0</v>
      </c>
      <c r="I946" s="415">
        <v>0</v>
      </c>
      <c r="J946" s="415">
        <v>8</v>
      </c>
      <c r="K946" s="415">
        <v>1</v>
      </c>
      <c r="L946" s="415">
        <v>450</v>
      </c>
      <c r="M946" s="415">
        <v>170</v>
      </c>
      <c r="N946" s="415" t="s">
        <v>2675</v>
      </c>
      <c r="O946" s="415" t="s">
        <v>2675</v>
      </c>
      <c r="P946" s="415">
        <v>816</v>
      </c>
      <c r="Q946" s="415" t="s">
        <v>2675</v>
      </c>
      <c r="R946" s="415" t="s">
        <v>3069</v>
      </c>
      <c r="S946" s="415" t="s">
        <v>3327</v>
      </c>
      <c r="T946" s="416">
        <v>115</v>
      </c>
      <c r="U946" s="416">
        <v>115</v>
      </c>
      <c r="V946" s="416">
        <v>110</v>
      </c>
      <c r="W946" s="416">
        <v>105</v>
      </c>
      <c r="X946" s="416">
        <v>101</v>
      </c>
      <c r="Y946" s="416">
        <v>98.5</v>
      </c>
      <c r="Z946" s="416">
        <v>92.2</v>
      </c>
      <c r="AA946" s="416">
        <v>87.1</v>
      </c>
      <c r="AB946" s="416">
        <v>83</v>
      </c>
      <c r="AC946" s="416">
        <v>81.599999999999994</v>
      </c>
      <c r="AD946" s="416">
        <v>80.3</v>
      </c>
      <c r="AE946" s="416">
        <v>79.2</v>
      </c>
      <c r="AF946" s="416">
        <v>78.599999999999994</v>
      </c>
      <c r="AG946" s="416">
        <v>78</v>
      </c>
      <c r="AH946" s="416">
        <v>77.3</v>
      </c>
      <c r="AI946" s="416">
        <v>77.2</v>
      </c>
      <c r="AJ946" s="416">
        <v>77.2</v>
      </c>
      <c r="AK946" s="416">
        <v>77.2</v>
      </c>
      <c r="AL946" s="416">
        <v>76.900000000000006</v>
      </c>
      <c r="AM946" s="416">
        <v>76.5</v>
      </c>
      <c r="AN946" s="416">
        <v>75.599999999999994</v>
      </c>
      <c r="AO946" s="416">
        <v>70.900000000000006</v>
      </c>
      <c r="AP946" s="416">
        <v>53.9</v>
      </c>
      <c r="AQ946" s="416">
        <v>41.4</v>
      </c>
      <c r="AR946" s="416">
        <v>31.9</v>
      </c>
      <c r="AS946" s="416">
        <v>23.9</v>
      </c>
      <c r="AT946" s="416">
        <v>18.8</v>
      </c>
      <c r="AU946" s="416">
        <v>14.6</v>
      </c>
      <c r="AV946" s="416">
        <v>10.8</v>
      </c>
      <c r="AW946" s="416">
        <v>7.83</v>
      </c>
      <c r="AX946" s="416">
        <v>0</v>
      </c>
      <c r="AY946" s="416">
        <v>0</v>
      </c>
      <c r="AZ946" s="416">
        <v>0</v>
      </c>
    </row>
    <row r="947" spans="1:52" s="411" customFormat="1" x14ac:dyDescent="0.3">
      <c r="A947" s="415" t="str">
        <f t="shared" si="14"/>
        <v>SA-351 Gr.CF8C</v>
      </c>
      <c r="B947" s="415">
        <v>941</v>
      </c>
      <c r="C947" s="415" t="s">
        <v>3324</v>
      </c>
      <c r="D947" s="415" t="s">
        <v>2739</v>
      </c>
      <c r="E947" s="415" t="s">
        <v>2213</v>
      </c>
      <c r="F947" s="415" t="s">
        <v>2377</v>
      </c>
      <c r="G947" s="415" t="s">
        <v>3328</v>
      </c>
      <c r="H947" s="415">
        <v>0</v>
      </c>
      <c r="I947" s="415">
        <v>0</v>
      </c>
      <c r="J947" s="415">
        <v>8</v>
      </c>
      <c r="K947" s="415">
        <v>1</v>
      </c>
      <c r="L947" s="415">
        <v>485</v>
      </c>
      <c r="M947" s="415">
        <v>205</v>
      </c>
      <c r="N947" s="415" t="s">
        <v>2675</v>
      </c>
      <c r="O947" s="415">
        <v>427</v>
      </c>
      <c r="P947" s="415" t="s">
        <v>2675</v>
      </c>
      <c r="Q947" s="415" t="s">
        <v>2675</v>
      </c>
      <c r="R947" s="415" t="s">
        <v>3069</v>
      </c>
      <c r="S947" s="415" t="s">
        <v>3218</v>
      </c>
      <c r="T947" s="416">
        <v>138</v>
      </c>
      <c r="U947" s="416">
        <v>138</v>
      </c>
      <c r="V947" s="416">
        <v>135</v>
      </c>
      <c r="W947" s="416">
        <v>131</v>
      </c>
      <c r="X947" s="416">
        <v>126</v>
      </c>
      <c r="Y947" s="416">
        <v>121</v>
      </c>
      <c r="Z947" s="416">
        <v>115</v>
      </c>
      <c r="AA947" s="416">
        <v>111</v>
      </c>
      <c r="AB947" s="416">
        <v>108</v>
      </c>
      <c r="AC947" s="416">
        <v>108</v>
      </c>
      <c r="AD947" s="416">
        <v>108</v>
      </c>
      <c r="AE947" s="416">
        <v>108</v>
      </c>
      <c r="AF947" s="416">
        <v>108</v>
      </c>
      <c r="AG947" s="416">
        <v>108</v>
      </c>
      <c r="AH947" s="416">
        <v>108</v>
      </c>
      <c r="AI947" s="416">
        <v>0</v>
      </c>
      <c r="AJ947" s="416">
        <v>0</v>
      </c>
      <c r="AK947" s="416">
        <v>0</v>
      </c>
      <c r="AL947" s="416">
        <v>0</v>
      </c>
      <c r="AM947" s="416">
        <v>0</v>
      </c>
      <c r="AN947" s="416">
        <v>0</v>
      </c>
      <c r="AO947" s="416">
        <v>0</v>
      </c>
      <c r="AP947" s="416">
        <v>0</v>
      </c>
      <c r="AQ947" s="416">
        <v>0</v>
      </c>
      <c r="AR947" s="416">
        <v>0</v>
      </c>
      <c r="AS947" s="416">
        <v>0</v>
      </c>
      <c r="AT947" s="416">
        <v>0</v>
      </c>
      <c r="AU947" s="416">
        <v>0</v>
      </c>
      <c r="AV947" s="416">
        <v>0</v>
      </c>
      <c r="AW947" s="416">
        <v>0</v>
      </c>
      <c r="AX947" s="416">
        <v>0</v>
      </c>
      <c r="AY947" s="416">
        <v>0</v>
      </c>
      <c r="AZ947" s="416">
        <v>0</v>
      </c>
    </row>
    <row r="948" spans="1:52" s="411" customFormat="1" x14ac:dyDescent="0.3">
      <c r="A948" s="415" t="str">
        <f t="shared" si="14"/>
        <v>SA-351 Gr.CF8C</v>
      </c>
      <c r="B948" s="415">
        <v>942</v>
      </c>
      <c r="C948" s="415" t="s">
        <v>3324</v>
      </c>
      <c r="D948" s="415" t="s">
        <v>2739</v>
      </c>
      <c r="E948" s="415" t="s">
        <v>2213</v>
      </c>
      <c r="F948" s="415" t="s">
        <v>2377</v>
      </c>
      <c r="G948" s="415" t="s">
        <v>3328</v>
      </c>
      <c r="H948" s="415">
        <v>0</v>
      </c>
      <c r="I948" s="415">
        <v>0</v>
      </c>
      <c r="J948" s="415">
        <v>8</v>
      </c>
      <c r="K948" s="415">
        <v>1</v>
      </c>
      <c r="L948" s="415">
        <v>485</v>
      </c>
      <c r="M948" s="415">
        <v>205</v>
      </c>
      <c r="N948" s="415" t="s">
        <v>2675</v>
      </c>
      <c r="O948" s="415" t="s">
        <v>2675</v>
      </c>
      <c r="P948" s="415">
        <v>816</v>
      </c>
      <c r="Q948" s="415">
        <v>343</v>
      </c>
      <c r="R948" s="415" t="s">
        <v>3069</v>
      </c>
      <c r="S948" s="415" t="s">
        <v>3329</v>
      </c>
      <c r="T948" s="416">
        <v>138</v>
      </c>
      <c r="U948" s="416">
        <v>138</v>
      </c>
      <c r="V948" s="416">
        <v>135</v>
      </c>
      <c r="W948" s="416">
        <v>131</v>
      </c>
      <c r="X948" s="416">
        <v>126</v>
      </c>
      <c r="Y948" s="416">
        <v>121</v>
      </c>
      <c r="Z948" s="416">
        <v>115</v>
      </c>
      <c r="AA948" s="416">
        <v>111</v>
      </c>
      <c r="AB948" s="416">
        <v>109</v>
      </c>
      <c r="AC948" s="416">
        <v>109</v>
      </c>
      <c r="AD948" s="416">
        <v>108</v>
      </c>
      <c r="AE948" s="416">
        <v>108</v>
      </c>
      <c r="AF948" s="416">
        <v>108</v>
      </c>
      <c r="AG948" s="416">
        <v>108</v>
      </c>
      <c r="AH948" s="416">
        <v>108</v>
      </c>
      <c r="AI948" s="416">
        <v>108</v>
      </c>
      <c r="AJ948" s="416">
        <v>107</v>
      </c>
      <c r="AK948" s="416">
        <v>106</v>
      </c>
      <c r="AL948" s="416">
        <v>98.3</v>
      </c>
      <c r="AM948" s="416">
        <v>77.2</v>
      </c>
      <c r="AN948" s="416">
        <v>57.7</v>
      </c>
      <c r="AO948" s="416">
        <v>39.9</v>
      </c>
      <c r="AP948" s="416">
        <v>30</v>
      </c>
      <c r="AQ948" s="416">
        <v>23.2</v>
      </c>
      <c r="AR948" s="416">
        <v>16.3</v>
      </c>
      <c r="AS948" s="416">
        <v>11.2</v>
      </c>
      <c r="AT948" s="416">
        <v>8.93</v>
      </c>
      <c r="AU948" s="416">
        <v>7.08</v>
      </c>
      <c r="AV948" s="416">
        <v>5.77</v>
      </c>
      <c r="AW948" s="416">
        <v>5.32</v>
      </c>
      <c r="AX948" s="416">
        <v>0</v>
      </c>
      <c r="AY948" s="416">
        <v>0</v>
      </c>
      <c r="AZ948" s="416">
        <v>0</v>
      </c>
    </row>
    <row r="949" spans="1:52" s="411" customFormat="1" x14ac:dyDescent="0.3">
      <c r="A949" s="415" t="str">
        <f t="shared" si="14"/>
        <v>SA-351 Gr.CF8C</v>
      </c>
      <c r="B949" s="415">
        <v>943</v>
      </c>
      <c r="C949" s="415" t="s">
        <v>3324</v>
      </c>
      <c r="D949" s="415" t="s">
        <v>2739</v>
      </c>
      <c r="E949" s="415" t="s">
        <v>2213</v>
      </c>
      <c r="F949" s="415" t="s">
        <v>2377</v>
      </c>
      <c r="G949" s="415" t="s">
        <v>3328</v>
      </c>
      <c r="H949" s="415">
        <v>0</v>
      </c>
      <c r="I949" s="415">
        <v>0</v>
      </c>
      <c r="J949" s="415">
        <v>8</v>
      </c>
      <c r="K949" s="415">
        <v>1</v>
      </c>
      <c r="L949" s="415">
        <v>485</v>
      </c>
      <c r="M949" s="415">
        <v>205</v>
      </c>
      <c r="N949" s="415" t="s">
        <v>2675</v>
      </c>
      <c r="O949" s="415" t="s">
        <v>2675</v>
      </c>
      <c r="P949" s="415">
        <v>816</v>
      </c>
      <c r="Q949" s="415">
        <v>343</v>
      </c>
      <c r="R949" s="415" t="s">
        <v>3069</v>
      </c>
      <c r="S949" s="415" t="s">
        <v>3330</v>
      </c>
      <c r="T949" s="416">
        <v>138</v>
      </c>
      <c r="U949" s="416">
        <v>138</v>
      </c>
      <c r="V949" s="416">
        <v>132</v>
      </c>
      <c r="W949" s="416">
        <v>126</v>
      </c>
      <c r="X949" s="416">
        <v>122</v>
      </c>
      <c r="Y949" s="416">
        <v>118</v>
      </c>
      <c r="Z949" s="416">
        <v>111</v>
      </c>
      <c r="AA949" s="416">
        <v>105</v>
      </c>
      <c r="AB949" s="416">
        <v>99.8</v>
      </c>
      <c r="AC949" s="416">
        <v>97.9</v>
      </c>
      <c r="AD949" s="416">
        <v>96.1</v>
      </c>
      <c r="AE949" s="416">
        <v>95</v>
      </c>
      <c r="AF949" s="416">
        <v>94.4</v>
      </c>
      <c r="AG949" s="416">
        <v>93.8</v>
      </c>
      <c r="AH949" s="416">
        <v>93.2</v>
      </c>
      <c r="AI949" s="416">
        <v>92.5</v>
      </c>
      <c r="AJ949" s="416">
        <v>92.4</v>
      </c>
      <c r="AK949" s="416">
        <v>92.4</v>
      </c>
      <c r="AL949" s="416">
        <v>90.3</v>
      </c>
      <c r="AM949" s="416">
        <v>77.2</v>
      </c>
      <c r="AN949" s="416">
        <v>57.7</v>
      </c>
      <c r="AO949" s="416">
        <v>39.9</v>
      </c>
      <c r="AP949" s="416">
        <v>30</v>
      </c>
      <c r="AQ949" s="416">
        <v>23.2</v>
      </c>
      <c r="AR949" s="416">
        <v>16.3</v>
      </c>
      <c r="AS949" s="416">
        <v>11.2</v>
      </c>
      <c r="AT949" s="416">
        <v>8.93</v>
      </c>
      <c r="AU949" s="416">
        <v>7.08</v>
      </c>
      <c r="AV949" s="416">
        <v>5.77</v>
      </c>
      <c r="AW949" s="416">
        <v>5.32</v>
      </c>
      <c r="AX949" s="416">
        <v>0</v>
      </c>
      <c r="AY949" s="416">
        <v>0</v>
      </c>
      <c r="AZ949" s="416">
        <v>0</v>
      </c>
    </row>
    <row r="950" spans="1:52" s="411" customFormat="1" x14ac:dyDescent="0.3">
      <c r="A950" s="415" t="str">
        <f t="shared" si="14"/>
        <v>SA-451 Gr.CPF8C</v>
      </c>
      <c r="B950" s="415">
        <v>944</v>
      </c>
      <c r="C950" s="415" t="s">
        <v>3324</v>
      </c>
      <c r="D950" s="415" t="s">
        <v>2746</v>
      </c>
      <c r="E950" s="415" t="s">
        <v>2241</v>
      </c>
      <c r="F950" s="415" t="s">
        <v>2407</v>
      </c>
      <c r="G950" s="415" t="s">
        <v>3328</v>
      </c>
      <c r="H950" s="415">
        <v>0</v>
      </c>
      <c r="I950" s="415">
        <v>0</v>
      </c>
      <c r="J950" s="415">
        <v>8</v>
      </c>
      <c r="K950" s="415">
        <v>1</v>
      </c>
      <c r="L950" s="415">
        <v>485</v>
      </c>
      <c r="M950" s="415">
        <v>205</v>
      </c>
      <c r="N950" s="415" t="s">
        <v>2675</v>
      </c>
      <c r="O950" s="415">
        <v>427</v>
      </c>
      <c r="P950" s="415" t="s">
        <v>2675</v>
      </c>
      <c r="Q950" s="415" t="s">
        <v>2675</v>
      </c>
      <c r="R950" s="415" t="s">
        <v>3069</v>
      </c>
      <c r="S950" s="415" t="s">
        <v>3218</v>
      </c>
      <c r="T950" s="416">
        <v>138</v>
      </c>
      <c r="U950" s="416">
        <v>138</v>
      </c>
      <c r="V950" s="416">
        <v>135</v>
      </c>
      <c r="W950" s="416">
        <v>131</v>
      </c>
      <c r="X950" s="416">
        <v>126</v>
      </c>
      <c r="Y950" s="416">
        <v>121</v>
      </c>
      <c r="Z950" s="416">
        <v>115</v>
      </c>
      <c r="AA950" s="416">
        <v>111</v>
      </c>
      <c r="AB950" s="416">
        <v>108</v>
      </c>
      <c r="AC950" s="416">
        <v>108</v>
      </c>
      <c r="AD950" s="416">
        <v>108</v>
      </c>
      <c r="AE950" s="416">
        <v>108</v>
      </c>
      <c r="AF950" s="416">
        <v>108</v>
      </c>
      <c r="AG950" s="416">
        <v>108</v>
      </c>
      <c r="AH950" s="416">
        <v>108</v>
      </c>
      <c r="AI950" s="416">
        <v>0</v>
      </c>
      <c r="AJ950" s="416">
        <v>0</v>
      </c>
      <c r="AK950" s="416">
        <v>0</v>
      </c>
      <c r="AL950" s="416">
        <v>0</v>
      </c>
      <c r="AM950" s="416">
        <v>0</v>
      </c>
      <c r="AN950" s="416">
        <v>0</v>
      </c>
      <c r="AO950" s="416">
        <v>0</v>
      </c>
      <c r="AP950" s="416">
        <v>0</v>
      </c>
      <c r="AQ950" s="416">
        <v>0</v>
      </c>
      <c r="AR950" s="416">
        <v>0</v>
      </c>
      <c r="AS950" s="416">
        <v>0</v>
      </c>
      <c r="AT950" s="416">
        <v>0</v>
      </c>
      <c r="AU950" s="416">
        <v>0</v>
      </c>
      <c r="AV950" s="416">
        <v>0</v>
      </c>
      <c r="AW950" s="416">
        <v>0</v>
      </c>
      <c r="AX950" s="416">
        <v>0</v>
      </c>
      <c r="AY950" s="416">
        <v>0</v>
      </c>
      <c r="AZ950" s="416">
        <v>0</v>
      </c>
    </row>
    <row r="951" spans="1:52" s="411" customFormat="1" x14ac:dyDescent="0.3">
      <c r="A951" s="415" t="str">
        <f t="shared" si="14"/>
        <v>SA-182 Gr.F347</v>
      </c>
      <c r="B951" s="415">
        <v>945</v>
      </c>
      <c r="C951" s="415" t="s">
        <v>3324</v>
      </c>
      <c r="D951" s="415" t="s">
        <v>2737</v>
      </c>
      <c r="E951" s="415" t="s">
        <v>2188</v>
      </c>
      <c r="F951" s="415" t="s">
        <v>2447</v>
      </c>
      <c r="G951" s="415" t="s">
        <v>3331</v>
      </c>
      <c r="H951" s="415">
        <v>0</v>
      </c>
      <c r="I951" s="415" t="s">
        <v>3202</v>
      </c>
      <c r="J951" s="415">
        <v>8</v>
      </c>
      <c r="K951" s="415">
        <v>1</v>
      </c>
      <c r="L951" s="415">
        <v>485</v>
      </c>
      <c r="M951" s="415">
        <v>205</v>
      </c>
      <c r="N951" s="415">
        <v>816</v>
      </c>
      <c r="O951" s="415">
        <v>427</v>
      </c>
      <c r="P951" s="415">
        <v>816</v>
      </c>
      <c r="Q951" s="415">
        <v>343</v>
      </c>
      <c r="R951" s="415" t="s">
        <v>3069</v>
      </c>
      <c r="S951" s="415" t="s">
        <v>3252</v>
      </c>
      <c r="T951" s="416">
        <v>138</v>
      </c>
      <c r="U951" s="416">
        <v>138</v>
      </c>
      <c r="V951" s="416">
        <v>135</v>
      </c>
      <c r="W951" s="416">
        <v>131</v>
      </c>
      <c r="X951" s="416">
        <v>126</v>
      </c>
      <c r="Y951" s="416">
        <v>121</v>
      </c>
      <c r="Z951" s="416">
        <v>115</v>
      </c>
      <c r="AA951" s="416">
        <v>111</v>
      </c>
      <c r="AB951" s="416">
        <v>109</v>
      </c>
      <c r="AC951" s="416">
        <v>109</v>
      </c>
      <c r="AD951" s="416">
        <v>108</v>
      </c>
      <c r="AE951" s="416">
        <v>108</v>
      </c>
      <c r="AF951" s="416">
        <v>108</v>
      </c>
      <c r="AG951" s="416">
        <v>108</v>
      </c>
      <c r="AH951" s="416">
        <v>108</v>
      </c>
      <c r="AI951" s="416">
        <v>108</v>
      </c>
      <c r="AJ951" s="416">
        <v>107</v>
      </c>
      <c r="AK951" s="416">
        <v>106</v>
      </c>
      <c r="AL951" s="416">
        <v>98.3</v>
      </c>
      <c r="AM951" s="416">
        <v>77.2</v>
      </c>
      <c r="AN951" s="416">
        <v>57.7</v>
      </c>
      <c r="AO951" s="416">
        <v>39.9</v>
      </c>
      <c r="AP951" s="416">
        <v>30</v>
      </c>
      <c r="AQ951" s="416">
        <v>23.2</v>
      </c>
      <c r="AR951" s="416">
        <v>16.3</v>
      </c>
      <c r="AS951" s="416">
        <v>11.2</v>
      </c>
      <c r="AT951" s="416">
        <v>8.93</v>
      </c>
      <c r="AU951" s="416">
        <v>7.08</v>
      </c>
      <c r="AV951" s="416">
        <v>5.77</v>
      </c>
      <c r="AW951" s="416">
        <v>5.32</v>
      </c>
      <c r="AX951" s="416">
        <v>0</v>
      </c>
      <c r="AY951" s="416">
        <v>0</v>
      </c>
      <c r="AZ951" s="416">
        <v>0</v>
      </c>
    </row>
    <row r="952" spans="1:52" s="411" customFormat="1" x14ac:dyDescent="0.3">
      <c r="A952" s="415" t="str">
        <f t="shared" si="14"/>
        <v>SA-965 Gr.F347</v>
      </c>
      <c r="B952" s="415">
        <v>946</v>
      </c>
      <c r="C952" s="415" t="s">
        <v>3324</v>
      </c>
      <c r="D952" s="415" t="s">
        <v>2737</v>
      </c>
      <c r="E952" s="415" t="s">
        <v>2337</v>
      </c>
      <c r="F952" s="415" t="s">
        <v>2447</v>
      </c>
      <c r="G952" s="415" t="s">
        <v>3331</v>
      </c>
      <c r="H952" s="415">
        <v>0</v>
      </c>
      <c r="I952" s="415">
        <v>0</v>
      </c>
      <c r="J952" s="415">
        <v>8</v>
      </c>
      <c r="K952" s="415">
        <v>1</v>
      </c>
      <c r="L952" s="415">
        <v>485</v>
      </c>
      <c r="M952" s="415">
        <v>205</v>
      </c>
      <c r="N952" s="415">
        <v>816</v>
      </c>
      <c r="O952" s="415">
        <v>427</v>
      </c>
      <c r="P952" s="415">
        <v>816</v>
      </c>
      <c r="Q952" s="415">
        <v>343</v>
      </c>
      <c r="R952" s="415" t="s">
        <v>3069</v>
      </c>
      <c r="S952" s="415" t="s">
        <v>3259</v>
      </c>
      <c r="T952" s="416">
        <v>138</v>
      </c>
      <c r="U952" s="416">
        <v>138</v>
      </c>
      <c r="V952" s="416">
        <v>135</v>
      </c>
      <c r="W952" s="416">
        <v>131</v>
      </c>
      <c r="X952" s="416">
        <v>126</v>
      </c>
      <c r="Y952" s="416">
        <v>121</v>
      </c>
      <c r="Z952" s="416">
        <v>115</v>
      </c>
      <c r="AA952" s="416">
        <v>111</v>
      </c>
      <c r="AB952" s="416">
        <v>109</v>
      </c>
      <c r="AC952" s="416">
        <v>109</v>
      </c>
      <c r="AD952" s="416">
        <v>108</v>
      </c>
      <c r="AE952" s="416">
        <v>108</v>
      </c>
      <c r="AF952" s="416">
        <v>108</v>
      </c>
      <c r="AG952" s="416">
        <v>108</v>
      </c>
      <c r="AH952" s="416">
        <v>108</v>
      </c>
      <c r="AI952" s="416">
        <v>108</v>
      </c>
      <c r="AJ952" s="416">
        <v>107</v>
      </c>
      <c r="AK952" s="416">
        <v>106</v>
      </c>
      <c r="AL952" s="416">
        <v>98.3</v>
      </c>
      <c r="AM952" s="416">
        <v>77.2</v>
      </c>
      <c r="AN952" s="416">
        <v>57.7</v>
      </c>
      <c r="AO952" s="416">
        <v>39.9</v>
      </c>
      <c r="AP952" s="416">
        <v>30</v>
      </c>
      <c r="AQ952" s="416">
        <v>23.2</v>
      </c>
      <c r="AR952" s="416">
        <v>16.3</v>
      </c>
      <c r="AS952" s="416">
        <v>11.2</v>
      </c>
      <c r="AT952" s="416">
        <v>8.93</v>
      </c>
      <c r="AU952" s="416">
        <v>7.08</v>
      </c>
      <c r="AV952" s="416">
        <v>5.77</v>
      </c>
      <c r="AW952" s="416">
        <v>5.32</v>
      </c>
      <c r="AX952" s="416">
        <v>0</v>
      </c>
      <c r="AY952" s="416">
        <v>0</v>
      </c>
      <c r="AZ952" s="416">
        <v>0</v>
      </c>
    </row>
    <row r="953" spans="1:52" s="411" customFormat="1" x14ac:dyDescent="0.3">
      <c r="A953" s="415" t="str">
        <f t="shared" si="14"/>
        <v>SA-965 Gr.F347</v>
      </c>
      <c r="B953" s="415">
        <v>947</v>
      </c>
      <c r="C953" s="415" t="s">
        <v>3324</v>
      </c>
      <c r="D953" s="415" t="s">
        <v>2737</v>
      </c>
      <c r="E953" s="415" t="s">
        <v>2337</v>
      </c>
      <c r="F953" s="415" t="s">
        <v>2447</v>
      </c>
      <c r="G953" s="415" t="s">
        <v>3331</v>
      </c>
      <c r="H953" s="415">
        <v>0</v>
      </c>
      <c r="I953" s="415">
        <v>0</v>
      </c>
      <c r="J953" s="415">
        <v>8</v>
      </c>
      <c r="K953" s="415">
        <v>1</v>
      </c>
      <c r="L953" s="415">
        <v>485</v>
      </c>
      <c r="M953" s="415">
        <v>205</v>
      </c>
      <c r="N953" s="415">
        <v>816</v>
      </c>
      <c r="O953" s="415" t="s">
        <v>2675</v>
      </c>
      <c r="P953" s="415">
        <v>816</v>
      </c>
      <c r="Q953" s="415">
        <v>343</v>
      </c>
      <c r="R953" s="415" t="s">
        <v>3069</v>
      </c>
      <c r="S953" s="415" t="s">
        <v>3332</v>
      </c>
      <c r="T953" s="416">
        <v>138</v>
      </c>
      <c r="U953" s="416">
        <v>138</v>
      </c>
      <c r="V953" s="416">
        <v>132</v>
      </c>
      <c r="W953" s="416">
        <v>126</v>
      </c>
      <c r="X953" s="416">
        <v>122</v>
      </c>
      <c r="Y953" s="416">
        <v>118</v>
      </c>
      <c r="Z953" s="416">
        <v>111</v>
      </c>
      <c r="AA953" s="416">
        <v>105</v>
      </c>
      <c r="AB953" s="416">
        <v>99.8</v>
      </c>
      <c r="AC953" s="416">
        <v>97.9</v>
      </c>
      <c r="AD953" s="416">
        <v>96.1</v>
      </c>
      <c r="AE953" s="416">
        <v>95</v>
      </c>
      <c r="AF953" s="416">
        <v>94.4</v>
      </c>
      <c r="AG953" s="416">
        <v>93.8</v>
      </c>
      <c r="AH953" s="416">
        <v>93.2</v>
      </c>
      <c r="AI953" s="416">
        <v>92.5</v>
      </c>
      <c r="AJ953" s="416">
        <v>92.4</v>
      </c>
      <c r="AK953" s="416">
        <v>92.4</v>
      </c>
      <c r="AL953" s="416">
        <v>90.3</v>
      </c>
      <c r="AM953" s="416">
        <v>77.2</v>
      </c>
      <c r="AN953" s="416">
        <v>57.7</v>
      </c>
      <c r="AO953" s="416">
        <v>39.9</v>
      </c>
      <c r="AP953" s="416">
        <v>30</v>
      </c>
      <c r="AQ953" s="416">
        <v>23.2</v>
      </c>
      <c r="AR953" s="416">
        <v>16.3</v>
      </c>
      <c r="AS953" s="416">
        <v>11.2</v>
      </c>
      <c r="AT953" s="416">
        <v>8.93</v>
      </c>
      <c r="AU953" s="416">
        <v>7.08</v>
      </c>
      <c r="AV953" s="416">
        <v>5.77</v>
      </c>
      <c r="AW953" s="416">
        <v>5.32</v>
      </c>
      <c r="AX953" s="416">
        <v>0</v>
      </c>
      <c r="AY953" s="416">
        <v>0</v>
      </c>
      <c r="AZ953" s="416">
        <v>0</v>
      </c>
    </row>
    <row r="954" spans="1:52" s="411" customFormat="1" x14ac:dyDescent="0.3">
      <c r="A954" s="415" t="str">
        <f t="shared" si="14"/>
        <v>SA-182 Gr.F347H</v>
      </c>
      <c r="B954" s="415">
        <v>948</v>
      </c>
      <c r="C954" s="415" t="s">
        <v>3324</v>
      </c>
      <c r="D954" s="415" t="s">
        <v>2737</v>
      </c>
      <c r="E954" s="415" t="s">
        <v>2188</v>
      </c>
      <c r="F954" s="415" t="s">
        <v>2448</v>
      </c>
      <c r="G954" s="415" t="s">
        <v>3333</v>
      </c>
      <c r="H954" s="415">
        <v>0</v>
      </c>
      <c r="I954" s="415" t="s">
        <v>3202</v>
      </c>
      <c r="J954" s="415">
        <v>8</v>
      </c>
      <c r="K954" s="415">
        <v>1</v>
      </c>
      <c r="L954" s="415">
        <v>485</v>
      </c>
      <c r="M954" s="415">
        <v>205</v>
      </c>
      <c r="N954" s="415">
        <v>816</v>
      </c>
      <c r="O954" s="415" t="s">
        <v>2675</v>
      </c>
      <c r="P954" s="415" t="s">
        <v>2675</v>
      </c>
      <c r="Q954" s="415" t="s">
        <v>2675</v>
      </c>
      <c r="R954" s="415" t="s">
        <v>3069</v>
      </c>
      <c r="S954" s="415" t="s">
        <v>3327</v>
      </c>
      <c r="T954" s="416">
        <v>138</v>
      </c>
      <c r="U954" s="416">
        <v>138</v>
      </c>
      <c r="V954" s="416">
        <v>132</v>
      </c>
      <c r="W954" s="416">
        <v>126</v>
      </c>
      <c r="X954" s="416">
        <v>122</v>
      </c>
      <c r="Y954" s="416">
        <v>118</v>
      </c>
      <c r="Z954" s="416">
        <v>111</v>
      </c>
      <c r="AA954" s="416">
        <v>105</v>
      </c>
      <c r="AB954" s="416">
        <v>99.8</v>
      </c>
      <c r="AC954" s="416">
        <v>97.9</v>
      </c>
      <c r="AD954" s="416">
        <v>96.1</v>
      </c>
      <c r="AE954" s="416">
        <v>95</v>
      </c>
      <c r="AF954" s="416">
        <v>94.4</v>
      </c>
      <c r="AG954" s="416">
        <v>93.8</v>
      </c>
      <c r="AH954" s="416">
        <v>93.2</v>
      </c>
      <c r="AI954" s="416">
        <v>92.5</v>
      </c>
      <c r="AJ954" s="416">
        <v>92.4</v>
      </c>
      <c r="AK954" s="416">
        <v>92.4</v>
      </c>
      <c r="AL954" s="416">
        <v>92.4</v>
      </c>
      <c r="AM954" s="416">
        <v>92.2</v>
      </c>
      <c r="AN954" s="416">
        <v>89.1</v>
      </c>
      <c r="AO954" s="416">
        <v>69.3</v>
      </c>
      <c r="AP954" s="416">
        <v>53.9</v>
      </c>
      <c r="AQ954" s="416">
        <v>41.4</v>
      </c>
      <c r="AR954" s="416">
        <v>31.8</v>
      </c>
      <c r="AS954" s="416">
        <v>23.9</v>
      </c>
      <c r="AT954" s="416">
        <v>18.8</v>
      </c>
      <c r="AU954" s="416">
        <v>14.6</v>
      </c>
      <c r="AV954" s="416">
        <v>10.8</v>
      </c>
      <c r="AW954" s="416">
        <v>7.83</v>
      </c>
      <c r="AX954" s="416">
        <v>0</v>
      </c>
      <c r="AY954" s="416">
        <v>0</v>
      </c>
      <c r="AZ954" s="416">
        <v>0</v>
      </c>
    </row>
    <row r="955" spans="1:52" s="411" customFormat="1" x14ac:dyDescent="0.3">
      <c r="A955" s="415" t="str">
        <f t="shared" si="14"/>
        <v>SA-182 Gr.F347H</v>
      </c>
      <c r="B955" s="415">
        <v>949</v>
      </c>
      <c r="C955" s="415" t="s">
        <v>3324</v>
      </c>
      <c r="D955" s="415" t="s">
        <v>2737</v>
      </c>
      <c r="E955" s="415" t="s">
        <v>2188</v>
      </c>
      <c r="F955" s="415" t="s">
        <v>2448</v>
      </c>
      <c r="G955" s="415" t="s">
        <v>3333</v>
      </c>
      <c r="H955" s="415">
        <v>0</v>
      </c>
      <c r="I955" s="415" t="s">
        <v>3202</v>
      </c>
      <c r="J955" s="415">
        <v>8</v>
      </c>
      <c r="K955" s="415">
        <v>1</v>
      </c>
      <c r="L955" s="415">
        <v>485</v>
      </c>
      <c r="M955" s="415">
        <v>205</v>
      </c>
      <c r="N955" s="415">
        <v>816</v>
      </c>
      <c r="O955" s="415">
        <v>427</v>
      </c>
      <c r="P955" s="415">
        <v>816</v>
      </c>
      <c r="Q955" s="415" t="s">
        <v>2675</v>
      </c>
      <c r="R955" s="415" t="s">
        <v>3069</v>
      </c>
      <c r="S955" s="415" t="s">
        <v>3334</v>
      </c>
      <c r="T955" s="416">
        <v>138</v>
      </c>
      <c r="U955" s="416">
        <v>138</v>
      </c>
      <c r="V955" s="416">
        <v>135</v>
      </c>
      <c r="W955" s="416">
        <v>131</v>
      </c>
      <c r="X955" s="416">
        <v>126</v>
      </c>
      <c r="Y955" s="416">
        <v>121</v>
      </c>
      <c r="Z955" s="416">
        <v>115</v>
      </c>
      <c r="AA955" s="416">
        <v>111</v>
      </c>
      <c r="AB955" s="416">
        <v>108</v>
      </c>
      <c r="AC955" s="416">
        <v>108</v>
      </c>
      <c r="AD955" s="416">
        <v>108</v>
      </c>
      <c r="AE955" s="416">
        <v>108</v>
      </c>
      <c r="AF955" s="416">
        <v>108</v>
      </c>
      <c r="AG955" s="416">
        <v>108</v>
      </c>
      <c r="AH955" s="416">
        <v>108</v>
      </c>
      <c r="AI955" s="416">
        <v>108</v>
      </c>
      <c r="AJ955" s="416">
        <v>107</v>
      </c>
      <c r="AK955" s="416">
        <v>106</v>
      </c>
      <c r="AL955" s="416">
        <v>105</v>
      </c>
      <c r="AM955" s="416">
        <v>103</v>
      </c>
      <c r="AN955" s="416">
        <v>92.3</v>
      </c>
      <c r="AO955" s="416">
        <v>69.3</v>
      </c>
      <c r="AP955" s="416">
        <v>53.9</v>
      </c>
      <c r="AQ955" s="416">
        <v>41.4</v>
      </c>
      <c r="AR955" s="416">
        <v>31.8</v>
      </c>
      <c r="AS955" s="416">
        <v>23.9</v>
      </c>
      <c r="AT955" s="416">
        <v>18.8</v>
      </c>
      <c r="AU955" s="416">
        <v>14.6</v>
      </c>
      <c r="AV955" s="416">
        <v>10.8</v>
      </c>
      <c r="AW955" s="416">
        <v>7.83</v>
      </c>
      <c r="AX955" s="416">
        <v>0</v>
      </c>
      <c r="AY955" s="416">
        <v>0</v>
      </c>
      <c r="AZ955" s="416">
        <v>0</v>
      </c>
    </row>
    <row r="956" spans="1:52" s="411" customFormat="1" x14ac:dyDescent="0.3">
      <c r="A956" s="415" t="str">
        <f t="shared" si="14"/>
        <v>SA-965 Gr.F347H</v>
      </c>
      <c r="B956" s="415">
        <v>950</v>
      </c>
      <c r="C956" s="415" t="s">
        <v>3324</v>
      </c>
      <c r="D956" s="415" t="s">
        <v>2737</v>
      </c>
      <c r="E956" s="415" t="s">
        <v>2337</v>
      </c>
      <c r="F956" s="415" t="s">
        <v>2448</v>
      </c>
      <c r="G956" s="415" t="s">
        <v>3333</v>
      </c>
      <c r="H956" s="415">
        <v>0</v>
      </c>
      <c r="I956" s="415">
        <v>0</v>
      </c>
      <c r="J956" s="415">
        <v>8</v>
      </c>
      <c r="K956" s="415">
        <v>1</v>
      </c>
      <c r="L956" s="415">
        <v>485</v>
      </c>
      <c r="M956" s="415">
        <v>205</v>
      </c>
      <c r="N956" s="415" t="s">
        <v>2675</v>
      </c>
      <c r="O956" s="415" t="s">
        <v>2675</v>
      </c>
      <c r="P956" s="415">
        <v>816</v>
      </c>
      <c r="Q956" s="415" t="s">
        <v>2675</v>
      </c>
      <c r="R956" s="415" t="s">
        <v>3069</v>
      </c>
      <c r="S956" s="415" t="s">
        <v>3327</v>
      </c>
      <c r="T956" s="416">
        <v>138</v>
      </c>
      <c r="U956" s="416">
        <v>138</v>
      </c>
      <c r="V956" s="416">
        <v>132</v>
      </c>
      <c r="W956" s="416">
        <v>126</v>
      </c>
      <c r="X956" s="416">
        <v>122</v>
      </c>
      <c r="Y956" s="416">
        <v>118</v>
      </c>
      <c r="Z956" s="416">
        <v>111</v>
      </c>
      <c r="AA956" s="416">
        <v>105</v>
      </c>
      <c r="AB956" s="416">
        <v>99.8</v>
      </c>
      <c r="AC956" s="416">
        <v>97.9</v>
      </c>
      <c r="AD956" s="416">
        <v>96.1</v>
      </c>
      <c r="AE956" s="416">
        <v>95</v>
      </c>
      <c r="AF956" s="416">
        <v>94.4</v>
      </c>
      <c r="AG956" s="416">
        <v>93.8</v>
      </c>
      <c r="AH956" s="416">
        <v>93.2</v>
      </c>
      <c r="AI956" s="416">
        <v>92.5</v>
      </c>
      <c r="AJ956" s="416">
        <v>92.4</v>
      </c>
      <c r="AK956" s="416">
        <v>92.4</v>
      </c>
      <c r="AL956" s="416">
        <v>92.4</v>
      </c>
      <c r="AM956" s="416">
        <v>92.2</v>
      </c>
      <c r="AN956" s="416">
        <v>89.1</v>
      </c>
      <c r="AO956" s="416">
        <v>69.3</v>
      </c>
      <c r="AP956" s="416">
        <v>53.9</v>
      </c>
      <c r="AQ956" s="416">
        <v>41.4</v>
      </c>
      <c r="AR956" s="416">
        <v>31.8</v>
      </c>
      <c r="AS956" s="416">
        <v>23.9</v>
      </c>
      <c r="AT956" s="416">
        <v>18.8</v>
      </c>
      <c r="AU956" s="416">
        <v>14.6</v>
      </c>
      <c r="AV956" s="416">
        <v>10.8</v>
      </c>
      <c r="AW956" s="416">
        <v>7.83</v>
      </c>
      <c r="AX956" s="416">
        <v>0</v>
      </c>
      <c r="AY956" s="416">
        <v>0</v>
      </c>
      <c r="AZ956" s="416">
        <v>0</v>
      </c>
    </row>
    <row r="957" spans="1:52" s="411" customFormat="1" x14ac:dyDescent="0.3">
      <c r="A957" s="415" t="str">
        <f t="shared" si="14"/>
        <v>SA-965 Gr.F347H</v>
      </c>
      <c r="B957" s="415">
        <v>951</v>
      </c>
      <c r="C957" s="415" t="s">
        <v>3324</v>
      </c>
      <c r="D957" s="415" t="s">
        <v>2737</v>
      </c>
      <c r="E957" s="415" t="s">
        <v>2337</v>
      </c>
      <c r="F957" s="415" t="s">
        <v>2448</v>
      </c>
      <c r="G957" s="415" t="s">
        <v>3333</v>
      </c>
      <c r="H957" s="415">
        <v>0</v>
      </c>
      <c r="I957" s="415">
        <v>0</v>
      </c>
      <c r="J957" s="415">
        <v>8</v>
      </c>
      <c r="K957" s="415">
        <v>1</v>
      </c>
      <c r="L957" s="415">
        <v>485</v>
      </c>
      <c r="M957" s="415">
        <v>205</v>
      </c>
      <c r="N957" s="415" t="s">
        <v>2675</v>
      </c>
      <c r="O957" s="415">
        <v>427</v>
      </c>
      <c r="P957" s="415">
        <v>816</v>
      </c>
      <c r="Q957" s="415" t="s">
        <v>2675</v>
      </c>
      <c r="R957" s="415" t="s">
        <v>3069</v>
      </c>
      <c r="S957" s="415" t="s">
        <v>3334</v>
      </c>
      <c r="T957" s="416">
        <v>138</v>
      </c>
      <c r="U957" s="416">
        <v>138</v>
      </c>
      <c r="V957" s="416">
        <v>135</v>
      </c>
      <c r="W957" s="416">
        <v>131</v>
      </c>
      <c r="X957" s="416">
        <v>126</v>
      </c>
      <c r="Y957" s="416">
        <v>121</v>
      </c>
      <c r="Z957" s="416">
        <v>115</v>
      </c>
      <c r="AA957" s="416">
        <v>111</v>
      </c>
      <c r="AB957" s="416">
        <v>108</v>
      </c>
      <c r="AC957" s="416">
        <v>108</v>
      </c>
      <c r="AD957" s="416">
        <v>108</v>
      </c>
      <c r="AE957" s="416">
        <v>108</v>
      </c>
      <c r="AF957" s="416">
        <v>108</v>
      </c>
      <c r="AG957" s="416">
        <v>108</v>
      </c>
      <c r="AH957" s="416">
        <v>108</v>
      </c>
      <c r="AI957" s="416">
        <v>108</v>
      </c>
      <c r="AJ957" s="416">
        <v>107</v>
      </c>
      <c r="AK957" s="416">
        <v>106</v>
      </c>
      <c r="AL957" s="416">
        <v>105</v>
      </c>
      <c r="AM957" s="416">
        <v>103</v>
      </c>
      <c r="AN957" s="416">
        <v>92.3</v>
      </c>
      <c r="AO957" s="416">
        <v>69.3</v>
      </c>
      <c r="AP957" s="416">
        <v>53.9</v>
      </c>
      <c r="AQ957" s="416">
        <v>41.4</v>
      </c>
      <c r="AR957" s="416">
        <v>31.8</v>
      </c>
      <c r="AS957" s="416">
        <v>23.9</v>
      </c>
      <c r="AT957" s="416">
        <v>18.8</v>
      </c>
      <c r="AU957" s="416">
        <v>14.6</v>
      </c>
      <c r="AV957" s="416">
        <v>10.8</v>
      </c>
      <c r="AW957" s="416">
        <v>7.83</v>
      </c>
      <c r="AX957" s="416">
        <v>0</v>
      </c>
      <c r="AY957" s="416">
        <v>0</v>
      </c>
      <c r="AZ957" s="416">
        <v>0</v>
      </c>
    </row>
    <row r="958" spans="1:52" s="411" customFormat="1" x14ac:dyDescent="0.3">
      <c r="A958" s="415" t="str">
        <f t="shared" si="14"/>
        <v>SA-182 Gr.F348</v>
      </c>
      <c r="B958" s="415">
        <v>952</v>
      </c>
      <c r="C958" s="415" t="s">
        <v>3324</v>
      </c>
      <c r="D958" s="415" t="s">
        <v>2737</v>
      </c>
      <c r="E958" s="415" t="s">
        <v>2188</v>
      </c>
      <c r="F958" s="415" t="s">
        <v>2449</v>
      </c>
      <c r="G958" s="415" t="s">
        <v>3335</v>
      </c>
      <c r="H958" s="415">
        <v>0</v>
      </c>
      <c r="I958" s="415" t="s">
        <v>3202</v>
      </c>
      <c r="J958" s="415">
        <v>8</v>
      </c>
      <c r="K958" s="415">
        <v>1</v>
      </c>
      <c r="L958" s="415">
        <v>485</v>
      </c>
      <c r="M958" s="415">
        <v>205</v>
      </c>
      <c r="N958" s="415">
        <v>816</v>
      </c>
      <c r="O958" s="415" t="s">
        <v>2675</v>
      </c>
      <c r="P958" s="415" t="s">
        <v>2675</v>
      </c>
      <c r="Q958" s="415" t="s">
        <v>2675</v>
      </c>
      <c r="R958" s="415" t="s">
        <v>3069</v>
      </c>
      <c r="S958" s="415" t="s">
        <v>2552</v>
      </c>
      <c r="T958" s="416">
        <v>138</v>
      </c>
      <c r="U958" s="416">
        <v>138</v>
      </c>
      <c r="V958" s="416">
        <v>132</v>
      </c>
      <c r="W958" s="416">
        <v>126</v>
      </c>
      <c r="X958" s="416">
        <v>122</v>
      </c>
      <c r="Y958" s="416">
        <v>118</v>
      </c>
      <c r="Z958" s="416">
        <v>111</v>
      </c>
      <c r="AA958" s="416">
        <v>105</v>
      </c>
      <c r="AB958" s="416">
        <v>99.8</v>
      </c>
      <c r="AC958" s="416">
        <v>97.9</v>
      </c>
      <c r="AD958" s="416">
        <v>96.1</v>
      </c>
      <c r="AE958" s="416">
        <v>95</v>
      </c>
      <c r="AF958" s="416">
        <v>94.4</v>
      </c>
      <c r="AG958" s="416">
        <v>93.8</v>
      </c>
      <c r="AH958" s="416">
        <v>93.2</v>
      </c>
      <c r="AI958" s="416">
        <v>92.5</v>
      </c>
      <c r="AJ958" s="416">
        <v>92.4</v>
      </c>
      <c r="AK958" s="416">
        <v>92.4</v>
      </c>
      <c r="AL958" s="416">
        <v>90.3</v>
      </c>
      <c r="AM958" s="416">
        <v>77.2</v>
      </c>
      <c r="AN958" s="416">
        <v>57.7</v>
      </c>
      <c r="AO958" s="416">
        <v>39.9</v>
      </c>
      <c r="AP958" s="416">
        <v>30</v>
      </c>
      <c r="AQ958" s="416">
        <v>23.2</v>
      </c>
      <c r="AR958" s="416">
        <v>16.3</v>
      </c>
      <c r="AS958" s="416">
        <v>11.2</v>
      </c>
      <c r="AT958" s="416">
        <v>8.93</v>
      </c>
      <c r="AU958" s="416">
        <v>7.08</v>
      </c>
      <c r="AV958" s="416">
        <v>5.77</v>
      </c>
      <c r="AW958" s="416">
        <v>5.32</v>
      </c>
      <c r="AX958" s="416">
        <v>0</v>
      </c>
      <c r="AY958" s="416">
        <v>0</v>
      </c>
      <c r="AZ958" s="416">
        <v>0</v>
      </c>
    </row>
    <row r="959" spans="1:52" s="411" customFormat="1" x14ac:dyDescent="0.3">
      <c r="A959" s="415" t="str">
        <f t="shared" si="14"/>
        <v>SA-182 Gr.F348</v>
      </c>
      <c r="B959" s="415">
        <v>953</v>
      </c>
      <c r="C959" s="415" t="s">
        <v>3324</v>
      </c>
      <c r="D959" s="415" t="s">
        <v>2737</v>
      </c>
      <c r="E959" s="415" t="s">
        <v>2188</v>
      </c>
      <c r="F959" s="415" t="s">
        <v>2449</v>
      </c>
      <c r="G959" s="415" t="s">
        <v>3335</v>
      </c>
      <c r="H959" s="415">
        <v>0</v>
      </c>
      <c r="I959" s="415" t="s">
        <v>3202</v>
      </c>
      <c r="J959" s="415">
        <v>8</v>
      </c>
      <c r="K959" s="415">
        <v>1</v>
      </c>
      <c r="L959" s="415">
        <v>485</v>
      </c>
      <c r="M959" s="415">
        <v>205</v>
      </c>
      <c r="N959" s="415">
        <v>816</v>
      </c>
      <c r="O959" s="415">
        <v>427</v>
      </c>
      <c r="P959" s="415">
        <v>816</v>
      </c>
      <c r="Q959" s="415">
        <v>343</v>
      </c>
      <c r="R959" s="415" t="s">
        <v>3069</v>
      </c>
      <c r="S959" s="415" t="s">
        <v>3252</v>
      </c>
      <c r="T959" s="416">
        <v>138</v>
      </c>
      <c r="U959" s="416">
        <v>138</v>
      </c>
      <c r="V959" s="416">
        <v>135</v>
      </c>
      <c r="W959" s="416">
        <v>131</v>
      </c>
      <c r="X959" s="416">
        <v>126</v>
      </c>
      <c r="Y959" s="416">
        <v>121</v>
      </c>
      <c r="Z959" s="416">
        <v>115</v>
      </c>
      <c r="AA959" s="416">
        <v>111</v>
      </c>
      <c r="AB959" s="416">
        <v>109</v>
      </c>
      <c r="AC959" s="416">
        <v>109</v>
      </c>
      <c r="AD959" s="416">
        <v>108</v>
      </c>
      <c r="AE959" s="416">
        <v>108</v>
      </c>
      <c r="AF959" s="416">
        <v>108</v>
      </c>
      <c r="AG959" s="416">
        <v>108</v>
      </c>
      <c r="AH959" s="416">
        <v>108</v>
      </c>
      <c r="AI959" s="416">
        <v>108</v>
      </c>
      <c r="AJ959" s="416">
        <v>107</v>
      </c>
      <c r="AK959" s="416">
        <v>106</v>
      </c>
      <c r="AL959" s="416">
        <v>98.3</v>
      </c>
      <c r="AM959" s="416">
        <v>77.2</v>
      </c>
      <c r="AN959" s="416">
        <v>57.7</v>
      </c>
      <c r="AO959" s="416">
        <v>39.9</v>
      </c>
      <c r="AP959" s="416">
        <v>30</v>
      </c>
      <c r="AQ959" s="416">
        <v>23.2</v>
      </c>
      <c r="AR959" s="416">
        <v>16.3</v>
      </c>
      <c r="AS959" s="416">
        <v>11.2</v>
      </c>
      <c r="AT959" s="416">
        <v>8.93</v>
      </c>
      <c r="AU959" s="416">
        <v>7.08</v>
      </c>
      <c r="AV959" s="416">
        <v>5.77</v>
      </c>
      <c r="AW959" s="416">
        <v>5.32</v>
      </c>
      <c r="AX959" s="416">
        <v>0</v>
      </c>
      <c r="AY959" s="416">
        <v>0</v>
      </c>
      <c r="AZ959" s="416">
        <v>0</v>
      </c>
    </row>
    <row r="960" spans="1:52" s="411" customFormat="1" x14ac:dyDescent="0.3">
      <c r="A960" s="415" t="str">
        <f t="shared" si="14"/>
        <v>SA-965 Gr.F348</v>
      </c>
      <c r="B960" s="415">
        <v>954</v>
      </c>
      <c r="C960" s="415" t="s">
        <v>3324</v>
      </c>
      <c r="D960" s="415" t="s">
        <v>2737</v>
      </c>
      <c r="E960" s="415" t="s">
        <v>2337</v>
      </c>
      <c r="F960" s="415" t="s">
        <v>2449</v>
      </c>
      <c r="G960" s="415" t="s">
        <v>3335</v>
      </c>
      <c r="H960" s="415">
        <v>0</v>
      </c>
      <c r="I960" s="415">
        <v>0</v>
      </c>
      <c r="J960" s="415">
        <v>8</v>
      </c>
      <c r="K960" s="415">
        <v>1</v>
      </c>
      <c r="L960" s="415">
        <v>485</v>
      </c>
      <c r="M960" s="415">
        <v>205</v>
      </c>
      <c r="N960" s="415" t="s">
        <v>2675</v>
      </c>
      <c r="O960" s="415" t="s">
        <v>2675</v>
      </c>
      <c r="P960" s="415">
        <v>816</v>
      </c>
      <c r="Q960" s="415">
        <v>343</v>
      </c>
      <c r="R960" s="415" t="s">
        <v>3069</v>
      </c>
      <c r="S960" s="415" t="s">
        <v>3259</v>
      </c>
      <c r="T960" s="416">
        <v>138</v>
      </c>
      <c r="U960" s="416">
        <v>138</v>
      </c>
      <c r="V960" s="416">
        <v>135</v>
      </c>
      <c r="W960" s="416">
        <v>131</v>
      </c>
      <c r="X960" s="416">
        <v>126</v>
      </c>
      <c r="Y960" s="416">
        <v>121</v>
      </c>
      <c r="Z960" s="416">
        <v>115</v>
      </c>
      <c r="AA960" s="416">
        <v>111</v>
      </c>
      <c r="AB960" s="416">
        <v>109</v>
      </c>
      <c r="AC960" s="416">
        <v>109</v>
      </c>
      <c r="AD960" s="416">
        <v>108</v>
      </c>
      <c r="AE960" s="416">
        <v>108</v>
      </c>
      <c r="AF960" s="416">
        <v>108</v>
      </c>
      <c r="AG960" s="416">
        <v>108</v>
      </c>
      <c r="AH960" s="416">
        <v>108</v>
      </c>
      <c r="AI960" s="416">
        <v>108</v>
      </c>
      <c r="AJ960" s="416">
        <v>107</v>
      </c>
      <c r="AK960" s="416">
        <v>106</v>
      </c>
      <c r="AL960" s="416">
        <v>98.3</v>
      </c>
      <c r="AM960" s="416">
        <v>77.2</v>
      </c>
      <c r="AN960" s="416">
        <v>57.7</v>
      </c>
      <c r="AO960" s="416">
        <v>39.9</v>
      </c>
      <c r="AP960" s="416">
        <v>30</v>
      </c>
      <c r="AQ960" s="416">
        <v>23.2</v>
      </c>
      <c r="AR960" s="416">
        <v>16.3</v>
      </c>
      <c r="AS960" s="416">
        <v>11.2</v>
      </c>
      <c r="AT960" s="416">
        <v>8.93</v>
      </c>
      <c r="AU960" s="416">
        <v>7.08</v>
      </c>
      <c r="AV960" s="416">
        <v>5.77</v>
      </c>
      <c r="AW960" s="416">
        <v>5.32</v>
      </c>
      <c r="AX960" s="416">
        <v>0</v>
      </c>
      <c r="AY960" s="416">
        <v>0</v>
      </c>
      <c r="AZ960" s="416">
        <v>0</v>
      </c>
    </row>
    <row r="961" spans="1:52" s="411" customFormat="1" x14ac:dyDescent="0.3">
      <c r="A961" s="415" t="str">
        <f t="shared" si="14"/>
        <v>SA-965 Gr.F348</v>
      </c>
      <c r="B961" s="415">
        <v>955</v>
      </c>
      <c r="C961" s="415" t="s">
        <v>3324</v>
      </c>
      <c r="D961" s="415" t="s">
        <v>2737</v>
      </c>
      <c r="E961" s="415" t="s">
        <v>2337</v>
      </c>
      <c r="F961" s="415" t="s">
        <v>2449</v>
      </c>
      <c r="G961" s="415" t="s">
        <v>3335</v>
      </c>
      <c r="H961" s="415">
        <v>0</v>
      </c>
      <c r="I961" s="415">
        <v>0</v>
      </c>
      <c r="J961" s="415">
        <v>8</v>
      </c>
      <c r="K961" s="415">
        <v>1</v>
      </c>
      <c r="L961" s="415">
        <v>485</v>
      </c>
      <c r="M961" s="415">
        <v>205</v>
      </c>
      <c r="N961" s="415" t="s">
        <v>2675</v>
      </c>
      <c r="O961" s="415" t="s">
        <v>2675</v>
      </c>
      <c r="P961" s="415">
        <v>816</v>
      </c>
      <c r="Q961" s="415">
        <v>343</v>
      </c>
      <c r="R961" s="415" t="s">
        <v>3069</v>
      </c>
      <c r="S961" s="415" t="s">
        <v>3332</v>
      </c>
      <c r="T961" s="416">
        <v>138</v>
      </c>
      <c r="U961" s="416">
        <v>138</v>
      </c>
      <c r="V961" s="416">
        <v>132</v>
      </c>
      <c r="W961" s="416">
        <v>126</v>
      </c>
      <c r="X961" s="416">
        <v>122</v>
      </c>
      <c r="Y961" s="416">
        <v>118</v>
      </c>
      <c r="Z961" s="416">
        <v>111</v>
      </c>
      <c r="AA961" s="416">
        <v>105</v>
      </c>
      <c r="AB961" s="416">
        <v>99.8</v>
      </c>
      <c r="AC961" s="416">
        <v>97.9</v>
      </c>
      <c r="AD961" s="416">
        <v>96.1</v>
      </c>
      <c r="AE961" s="416">
        <v>95</v>
      </c>
      <c r="AF961" s="416">
        <v>94.4</v>
      </c>
      <c r="AG961" s="416">
        <v>93.8</v>
      </c>
      <c r="AH961" s="416">
        <v>93.2</v>
      </c>
      <c r="AI961" s="416">
        <v>92.5</v>
      </c>
      <c r="AJ961" s="416">
        <v>92.4</v>
      </c>
      <c r="AK961" s="416">
        <v>92.4</v>
      </c>
      <c r="AL961" s="416">
        <v>90.3</v>
      </c>
      <c r="AM961" s="416">
        <v>77.2</v>
      </c>
      <c r="AN961" s="416">
        <v>57.7</v>
      </c>
      <c r="AO961" s="416">
        <v>39.9</v>
      </c>
      <c r="AP961" s="416">
        <v>30</v>
      </c>
      <c r="AQ961" s="416">
        <v>23.2</v>
      </c>
      <c r="AR961" s="416">
        <v>16.3</v>
      </c>
      <c r="AS961" s="416">
        <v>11.2</v>
      </c>
      <c r="AT961" s="416">
        <v>8.93</v>
      </c>
      <c r="AU961" s="416">
        <v>7.08</v>
      </c>
      <c r="AV961" s="416">
        <v>5.77</v>
      </c>
      <c r="AW961" s="416">
        <v>5.32</v>
      </c>
      <c r="AX961" s="416">
        <v>0</v>
      </c>
      <c r="AY961" s="416">
        <v>0</v>
      </c>
      <c r="AZ961" s="416">
        <v>0</v>
      </c>
    </row>
    <row r="962" spans="1:52" s="411" customFormat="1" x14ac:dyDescent="0.3">
      <c r="A962" s="415" t="str">
        <f t="shared" si="14"/>
        <v>SA-182 Gr.F348H</v>
      </c>
      <c r="B962" s="415">
        <v>956</v>
      </c>
      <c r="C962" s="415" t="s">
        <v>3324</v>
      </c>
      <c r="D962" s="415" t="s">
        <v>2737</v>
      </c>
      <c r="E962" s="415" t="s">
        <v>2188</v>
      </c>
      <c r="F962" s="415" t="s">
        <v>2450</v>
      </c>
      <c r="G962" s="415" t="s">
        <v>3325</v>
      </c>
      <c r="H962" s="415">
        <v>0</v>
      </c>
      <c r="I962" s="415" t="s">
        <v>3202</v>
      </c>
      <c r="J962" s="415">
        <v>8</v>
      </c>
      <c r="K962" s="415">
        <v>1</v>
      </c>
      <c r="L962" s="415">
        <v>485</v>
      </c>
      <c r="M962" s="415">
        <v>205</v>
      </c>
      <c r="N962" s="415">
        <v>816</v>
      </c>
      <c r="O962" s="415" t="s">
        <v>2675</v>
      </c>
      <c r="P962" s="415" t="s">
        <v>2675</v>
      </c>
      <c r="Q962" s="415" t="s">
        <v>2675</v>
      </c>
      <c r="R962" s="415" t="s">
        <v>3069</v>
      </c>
      <c r="S962" s="415" t="s">
        <v>2553</v>
      </c>
      <c r="T962" s="416">
        <v>138</v>
      </c>
      <c r="U962" s="416">
        <v>138</v>
      </c>
      <c r="V962" s="416">
        <v>132</v>
      </c>
      <c r="W962" s="416">
        <v>126</v>
      </c>
      <c r="X962" s="416">
        <v>122</v>
      </c>
      <c r="Y962" s="416">
        <v>118</v>
      </c>
      <c r="Z962" s="416">
        <v>111</v>
      </c>
      <c r="AA962" s="416">
        <v>105</v>
      </c>
      <c r="AB962" s="416">
        <v>99.8</v>
      </c>
      <c r="AC962" s="416">
        <v>97.9</v>
      </c>
      <c r="AD962" s="416">
        <v>96.1</v>
      </c>
      <c r="AE962" s="416">
        <v>95</v>
      </c>
      <c r="AF962" s="416">
        <v>94.4</v>
      </c>
      <c r="AG962" s="416">
        <v>93.8</v>
      </c>
      <c r="AH962" s="416">
        <v>93.2</v>
      </c>
      <c r="AI962" s="416">
        <v>92.5</v>
      </c>
      <c r="AJ962" s="416">
        <v>92.4</v>
      </c>
      <c r="AK962" s="416">
        <v>92.4</v>
      </c>
      <c r="AL962" s="416">
        <v>92.4</v>
      </c>
      <c r="AM962" s="416">
        <v>92.2</v>
      </c>
      <c r="AN962" s="416">
        <v>89.1</v>
      </c>
      <c r="AO962" s="416">
        <v>69.3</v>
      </c>
      <c r="AP962" s="416">
        <v>53.9</v>
      </c>
      <c r="AQ962" s="416">
        <v>41.4</v>
      </c>
      <c r="AR962" s="416">
        <v>31.8</v>
      </c>
      <c r="AS962" s="416">
        <v>23.9</v>
      </c>
      <c r="AT962" s="416">
        <v>18.8</v>
      </c>
      <c r="AU962" s="416">
        <v>14.6</v>
      </c>
      <c r="AV962" s="416">
        <v>10.8</v>
      </c>
      <c r="AW962" s="416">
        <v>7.83</v>
      </c>
      <c r="AX962" s="416">
        <v>0</v>
      </c>
      <c r="AY962" s="416">
        <v>0</v>
      </c>
      <c r="AZ962" s="416">
        <v>0</v>
      </c>
    </row>
    <row r="963" spans="1:52" s="411" customFormat="1" x14ac:dyDescent="0.3">
      <c r="A963" s="415" t="str">
        <f t="shared" si="14"/>
        <v>SA-182 Gr.F348H</v>
      </c>
      <c r="B963" s="415">
        <v>957</v>
      </c>
      <c r="C963" s="415" t="s">
        <v>3324</v>
      </c>
      <c r="D963" s="415" t="s">
        <v>2737</v>
      </c>
      <c r="E963" s="415" t="s">
        <v>2188</v>
      </c>
      <c r="F963" s="415" t="s">
        <v>2450</v>
      </c>
      <c r="G963" s="415" t="s">
        <v>3325</v>
      </c>
      <c r="H963" s="415">
        <v>0</v>
      </c>
      <c r="I963" s="415" t="s">
        <v>3202</v>
      </c>
      <c r="J963" s="415">
        <v>8</v>
      </c>
      <c r="K963" s="415">
        <v>1</v>
      </c>
      <c r="L963" s="415">
        <v>485</v>
      </c>
      <c r="M963" s="415">
        <v>205</v>
      </c>
      <c r="N963" s="415">
        <v>816</v>
      </c>
      <c r="O963" s="415">
        <v>427</v>
      </c>
      <c r="P963" s="415">
        <v>816</v>
      </c>
      <c r="Q963" s="415" t="s">
        <v>2675</v>
      </c>
      <c r="R963" s="415" t="s">
        <v>3069</v>
      </c>
      <c r="S963" s="415" t="s">
        <v>3240</v>
      </c>
      <c r="T963" s="416">
        <v>138</v>
      </c>
      <c r="U963" s="416">
        <v>138</v>
      </c>
      <c r="V963" s="416">
        <v>135</v>
      </c>
      <c r="W963" s="416">
        <v>131</v>
      </c>
      <c r="X963" s="416">
        <v>126</v>
      </c>
      <c r="Y963" s="416">
        <v>121</v>
      </c>
      <c r="Z963" s="416">
        <v>115</v>
      </c>
      <c r="AA963" s="416">
        <v>111</v>
      </c>
      <c r="AB963" s="416">
        <v>108</v>
      </c>
      <c r="AC963" s="416">
        <v>108</v>
      </c>
      <c r="AD963" s="416">
        <v>108</v>
      </c>
      <c r="AE963" s="416">
        <v>108</v>
      </c>
      <c r="AF963" s="416">
        <v>108</v>
      </c>
      <c r="AG963" s="416">
        <v>108</v>
      </c>
      <c r="AH963" s="416">
        <v>108</v>
      </c>
      <c r="AI963" s="416">
        <v>108</v>
      </c>
      <c r="AJ963" s="416">
        <v>107</v>
      </c>
      <c r="AK963" s="416">
        <v>106</v>
      </c>
      <c r="AL963" s="416">
        <v>105</v>
      </c>
      <c r="AM963" s="416">
        <v>103</v>
      </c>
      <c r="AN963" s="416">
        <v>92.3</v>
      </c>
      <c r="AO963" s="416">
        <v>69.3</v>
      </c>
      <c r="AP963" s="416">
        <v>53.9</v>
      </c>
      <c r="AQ963" s="416">
        <v>41.4</v>
      </c>
      <c r="AR963" s="416">
        <v>31.8</v>
      </c>
      <c r="AS963" s="416">
        <v>23.9</v>
      </c>
      <c r="AT963" s="416">
        <v>18.8</v>
      </c>
      <c r="AU963" s="416">
        <v>14.6</v>
      </c>
      <c r="AV963" s="416">
        <v>10.8</v>
      </c>
      <c r="AW963" s="416">
        <v>7.83</v>
      </c>
      <c r="AX963" s="416">
        <v>0</v>
      </c>
      <c r="AY963" s="416">
        <v>0</v>
      </c>
      <c r="AZ963" s="416">
        <v>0</v>
      </c>
    </row>
    <row r="964" spans="1:52" s="411" customFormat="1" x14ac:dyDescent="0.3">
      <c r="A964" s="415" t="str">
        <f t="shared" si="14"/>
        <v>SA-182 Gr.F347</v>
      </c>
      <c r="B964" s="415">
        <v>958</v>
      </c>
      <c r="C964" s="415" t="s">
        <v>3324</v>
      </c>
      <c r="D964" s="415" t="s">
        <v>2737</v>
      </c>
      <c r="E964" s="415" t="s">
        <v>2188</v>
      </c>
      <c r="F964" s="415" t="s">
        <v>2447</v>
      </c>
      <c r="G964" s="415" t="s">
        <v>3331</v>
      </c>
      <c r="H964" s="415">
        <v>0</v>
      </c>
      <c r="I964" s="415" t="s">
        <v>3207</v>
      </c>
      <c r="J964" s="415">
        <v>8</v>
      </c>
      <c r="K964" s="415">
        <v>1</v>
      </c>
      <c r="L964" s="415">
        <v>515</v>
      </c>
      <c r="M964" s="415">
        <v>205</v>
      </c>
      <c r="N964" s="415">
        <v>816</v>
      </c>
      <c r="O964" s="415">
        <v>427</v>
      </c>
      <c r="P964" s="415">
        <v>816</v>
      </c>
      <c r="Q964" s="415" t="s">
        <v>2675</v>
      </c>
      <c r="R964" s="415" t="s">
        <v>3069</v>
      </c>
      <c r="S964" s="415" t="s">
        <v>3336</v>
      </c>
      <c r="T964" s="416">
        <v>138</v>
      </c>
      <c r="U964" s="416">
        <v>138</v>
      </c>
      <c r="V964" s="416">
        <v>138</v>
      </c>
      <c r="W964" s="416">
        <v>137</v>
      </c>
      <c r="X964" s="416">
        <v>134</v>
      </c>
      <c r="Y964" s="416">
        <v>129</v>
      </c>
      <c r="Z964" s="416">
        <v>123</v>
      </c>
      <c r="AA964" s="416">
        <v>119</v>
      </c>
      <c r="AB964" s="416">
        <v>117</v>
      </c>
      <c r="AC964" s="416">
        <v>116</v>
      </c>
      <c r="AD964" s="416">
        <v>116</v>
      </c>
      <c r="AE964" s="416">
        <v>116</v>
      </c>
      <c r="AF964" s="416">
        <v>116</v>
      </c>
      <c r="AG964" s="416">
        <v>116</v>
      </c>
      <c r="AH964" s="416">
        <v>116</v>
      </c>
      <c r="AI964" s="416">
        <v>115</v>
      </c>
      <c r="AJ964" s="416">
        <v>115</v>
      </c>
      <c r="AK964" s="416">
        <v>113</v>
      </c>
      <c r="AL964" s="416">
        <v>99.8</v>
      </c>
      <c r="AM964" s="416">
        <v>77.2</v>
      </c>
      <c r="AN964" s="416">
        <v>57.7</v>
      </c>
      <c r="AO964" s="416">
        <v>39.9</v>
      </c>
      <c r="AP964" s="416">
        <v>30</v>
      </c>
      <c r="AQ964" s="416">
        <v>23.2</v>
      </c>
      <c r="AR964" s="416">
        <v>16.3</v>
      </c>
      <c r="AS964" s="416">
        <v>11.2</v>
      </c>
      <c r="AT964" s="416">
        <v>8.93</v>
      </c>
      <c r="AU964" s="416">
        <v>7.08</v>
      </c>
      <c r="AV964" s="416">
        <v>5.77</v>
      </c>
      <c r="AW964" s="416">
        <v>5.32</v>
      </c>
      <c r="AX964" s="416">
        <v>0</v>
      </c>
      <c r="AY964" s="416">
        <v>0</v>
      </c>
      <c r="AZ964" s="416">
        <v>0</v>
      </c>
    </row>
    <row r="965" spans="1:52" s="411" customFormat="1" x14ac:dyDescent="0.3">
      <c r="A965" s="415" t="str">
        <f t="shared" si="14"/>
        <v>SA-182 Gr.F347</v>
      </c>
      <c r="B965" s="415">
        <v>959</v>
      </c>
      <c r="C965" s="415" t="s">
        <v>3324</v>
      </c>
      <c r="D965" s="415" t="s">
        <v>2737</v>
      </c>
      <c r="E965" s="415" t="s">
        <v>2188</v>
      </c>
      <c r="F965" s="415" t="s">
        <v>2447</v>
      </c>
      <c r="G965" s="415" t="s">
        <v>3331</v>
      </c>
      <c r="H965" s="415">
        <v>0</v>
      </c>
      <c r="I965" s="415" t="s">
        <v>3207</v>
      </c>
      <c r="J965" s="415">
        <v>8</v>
      </c>
      <c r="K965" s="415">
        <v>1</v>
      </c>
      <c r="L965" s="415">
        <v>515</v>
      </c>
      <c r="M965" s="415">
        <v>205</v>
      </c>
      <c r="N965" s="415">
        <v>816</v>
      </c>
      <c r="O965" s="415" t="s">
        <v>2675</v>
      </c>
      <c r="P965" s="415">
        <v>816</v>
      </c>
      <c r="Q965" s="415" t="s">
        <v>2675</v>
      </c>
      <c r="R965" s="415" t="s">
        <v>3069</v>
      </c>
      <c r="S965" s="415" t="s">
        <v>3332</v>
      </c>
      <c r="T965" s="416">
        <v>138</v>
      </c>
      <c r="U965" s="416">
        <v>138</v>
      </c>
      <c r="V965" s="416">
        <v>132</v>
      </c>
      <c r="W965" s="416">
        <v>126</v>
      </c>
      <c r="X965" s="416">
        <v>122</v>
      </c>
      <c r="Y965" s="416">
        <v>118</v>
      </c>
      <c r="Z965" s="416">
        <v>111</v>
      </c>
      <c r="AA965" s="416">
        <v>105</v>
      </c>
      <c r="AB965" s="416">
        <v>99.8</v>
      </c>
      <c r="AC965" s="416">
        <v>97.9</v>
      </c>
      <c r="AD965" s="416">
        <v>96.1</v>
      </c>
      <c r="AE965" s="416">
        <v>95</v>
      </c>
      <c r="AF965" s="416">
        <v>94.4</v>
      </c>
      <c r="AG965" s="416">
        <v>93.8</v>
      </c>
      <c r="AH965" s="416">
        <v>93.2</v>
      </c>
      <c r="AI965" s="416">
        <v>92.5</v>
      </c>
      <c r="AJ965" s="416">
        <v>92.4</v>
      </c>
      <c r="AK965" s="416">
        <v>92.4</v>
      </c>
      <c r="AL965" s="416">
        <v>90.3</v>
      </c>
      <c r="AM965" s="416">
        <v>77.2</v>
      </c>
      <c r="AN965" s="416">
        <v>57.7</v>
      </c>
      <c r="AO965" s="416">
        <v>39.9</v>
      </c>
      <c r="AP965" s="416">
        <v>30</v>
      </c>
      <c r="AQ965" s="416">
        <v>23.2</v>
      </c>
      <c r="AR965" s="416">
        <v>16.3</v>
      </c>
      <c r="AS965" s="416">
        <v>11.2</v>
      </c>
      <c r="AT965" s="416">
        <v>8.93</v>
      </c>
      <c r="AU965" s="416">
        <v>7.08</v>
      </c>
      <c r="AV965" s="416">
        <v>5.77</v>
      </c>
      <c r="AW965" s="416">
        <v>5.32</v>
      </c>
      <c r="AX965" s="416">
        <v>0</v>
      </c>
      <c r="AY965" s="416">
        <v>0</v>
      </c>
      <c r="AZ965" s="416">
        <v>0</v>
      </c>
    </row>
    <row r="966" spans="1:52" s="411" customFormat="1" x14ac:dyDescent="0.3">
      <c r="A966" s="415" t="str">
        <f t="shared" si="14"/>
        <v>SA-213 Gr.TP347</v>
      </c>
      <c r="B966" s="415">
        <v>960</v>
      </c>
      <c r="C966" s="415" t="s">
        <v>3324</v>
      </c>
      <c r="D966" s="415" t="s">
        <v>2693</v>
      </c>
      <c r="E966" s="415" t="s">
        <v>2195</v>
      </c>
      <c r="F966" s="415" t="s">
        <v>2577</v>
      </c>
      <c r="G966" s="415" t="s">
        <v>3331</v>
      </c>
      <c r="H966" s="415">
        <v>0</v>
      </c>
      <c r="I966" s="415">
        <v>0</v>
      </c>
      <c r="J966" s="415">
        <v>8</v>
      </c>
      <c r="K966" s="415">
        <v>1</v>
      </c>
      <c r="L966" s="415">
        <v>515</v>
      </c>
      <c r="M966" s="415">
        <v>205</v>
      </c>
      <c r="N966" s="415">
        <v>816</v>
      </c>
      <c r="O966" s="415">
        <v>427</v>
      </c>
      <c r="P966" s="415">
        <v>816</v>
      </c>
      <c r="Q966" s="415" t="s">
        <v>2675</v>
      </c>
      <c r="R966" s="415" t="s">
        <v>3069</v>
      </c>
      <c r="S966" s="415" t="s">
        <v>3336</v>
      </c>
      <c r="T966" s="416">
        <v>138</v>
      </c>
      <c r="U966" s="416">
        <v>138</v>
      </c>
      <c r="V966" s="416">
        <v>138</v>
      </c>
      <c r="W966" s="416">
        <v>137</v>
      </c>
      <c r="X966" s="416">
        <v>134</v>
      </c>
      <c r="Y966" s="416">
        <v>129</v>
      </c>
      <c r="Z966" s="416">
        <v>123</v>
      </c>
      <c r="AA966" s="416">
        <v>119</v>
      </c>
      <c r="AB966" s="416">
        <v>117</v>
      </c>
      <c r="AC966" s="416">
        <v>116</v>
      </c>
      <c r="AD966" s="416">
        <v>116</v>
      </c>
      <c r="AE966" s="416">
        <v>116</v>
      </c>
      <c r="AF966" s="416">
        <v>116</v>
      </c>
      <c r="AG966" s="416">
        <v>116</v>
      </c>
      <c r="AH966" s="416">
        <v>116</v>
      </c>
      <c r="AI966" s="416">
        <v>115</v>
      </c>
      <c r="AJ966" s="416">
        <v>115</v>
      </c>
      <c r="AK966" s="416">
        <v>113</v>
      </c>
      <c r="AL966" s="416">
        <v>99.8</v>
      </c>
      <c r="AM966" s="416">
        <v>77.2</v>
      </c>
      <c r="AN966" s="416">
        <v>57.7</v>
      </c>
      <c r="AO966" s="416">
        <v>39.9</v>
      </c>
      <c r="AP966" s="416">
        <v>30</v>
      </c>
      <c r="AQ966" s="416">
        <v>23.2</v>
      </c>
      <c r="AR966" s="416">
        <v>16.3</v>
      </c>
      <c r="AS966" s="416">
        <v>11.2</v>
      </c>
      <c r="AT966" s="416">
        <v>8.93</v>
      </c>
      <c r="AU966" s="416">
        <v>7.08</v>
      </c>
      <c r="AV966" s="416">
        <v>5.77</v>
      </c>
      <c r="AW966" s="416">
        <v>5.32</v>
      </c>
      <c r="AX966" s="416">
        <v>0</v>
      </c>
      <c r="AY966" s="416">
        <v>0</v>
      </c>
      <c r="AZ966" s="416">
        <v>0</v>
      </c>
    </row>
    <row r="967" spans="1:52" s="411" customFormat="1" x14ac:dyDescent="0.3">
      <c r="A967" s="415" t="str">
        <f t="shared" si="14"/>
        <v>SA-213 Gr.TP347</v>
      </c>
      <c r="B967" s="415">
        <v>961</v>
      </c>
      <c r="C967" s="415" t="s">
        <v>3324</v>
      </c>
      <c r="D967" s="415" t="s">
        <v>2693</v>
      </c>
      <c r="E967" s="415" t="s">
        <v>2195</v>
      </c>
      <c r="F967" s="415" t="s">
        <v>2577</v>
      </c>
      <c r="G967" s="415" t="s">
        <v>3331</v>
      </c>
      <c r="H967" s="415">
        <v>0</v>
      </c>
      <c r="I967" s="415">
        <v>0</v>
      </c>
      <c r="J967" s="415">
        <v>8</v>
      </c>
      <c r="K967" s="415">
        <v>1</v>
      </c>
      <c r="L967" s="415">
        <v>515</v>
      </c>
      <c r="M967" s="415">
        <v>205</v>
      </c>
      <c r="N967" s="415">
        <v>816</v>
      </c>
      <c r="O967" s="415" t="s">
        <v>2675</v>
      </c>
      <c r="P967" s="415">
        <v>816</v>
      </c>
      <c r="Q967" s="415" t="s">
        <v>2675</v>
      </c>
      <c r="R967" s="415" t="s">
        <v>3069</v>
      </c>
      <c r="S967" s="415" t="s">
        <v>3332</v>
      </c>
      <c r="T967" s="416">
        <v>138</v>
      </c>
      <c r="U967" s="416">
        <v>138</v>
      </c>
      <c r="V967" s="416">
        <v>132</v>
      </c>
      <c r="W967" s="416">
        <v>126</v>
      </c>
      <c r="X967" s="416">
        <v>122</v>
      </c>
      <c r="Y967" s="416">
        <v>118</v>
      </c>
      <c r="Z967" s="416">
        <v>111</v>
      </c>
      <c r="AA967" s="416">
        <v>105</v>
      </c>
      <c r="AB967" s="416">
        <v>99.8</v>
      </c>
      <c r="AC967" s="416">
        <v>97.9</v>
      </c>
      <c r="AD967" s="416">
        <v>96.1</v>
      </c>
      <c r="AE967" s="416">
        <v>95</v>
      </c>
      <c r="AF967" s="416">
        <v>94.4</v>
      </c>
      <c r="AG967" s="416">
        <v>93.8</v>
      </c>
      <c r="AH967" s="416">
        <v>93.2</v>
      </c>
      <c r="AI967" s="416">
        <v>92.5</v>
      </c>
      <c r="AJ967" s="416">
        <v>92.4</v>
      </c>
      <c r="AK967" s="416">
        <v>92.4</v>
      </c>
      <c r="AL967" s="416">
        <v>90.3</v>
      </c>
      <c r="AM967" s="416">
        <v>77.2</v>
      </c>
      <c r="AN967" s="416">
        <v>57.7</v>
      </c>
      <c r="AO967" s="416">
        <v>39.9</v>
      </c>
      <c r="AP967" s="416">
        <v>30</v>
      </c>
      <c r="AQ967" s="416">
        <v>23.2</v>
      </c>
      <c r="AR967" s="416">
        <v>16.3</v>
      </c>
      <c r="AS967" s="416">
        <v>11.2</v>
      </c>
      <c r="AT967" s="416">
        <v>8.93</v>
      </c>
      <c r="AU967" s="416">
        <v>7.08</v>
      </c>
      <c r="AV967" s="416">
        <v>5.77</v>
      </c>
      <c r="AW967" s="416">
        <v>5.32</v>
      </c>
      <c r="AX967" s="416">
        <v>0</v>
      </c>
      <c r="AY967" s="416">
        <v>0</v>
      </c>
      <c r="AZ967" s="416">
        <v>0</v>
      </c>
    </row>
    <row r="968" spans="1:52" s="411" customFormat="1" x14ac:dyDescent="0.3">
      <c r="A968" s="415" t="str">
        <f t="shared" ref="A968:A1031" si="15">CONCATENATE(E968," Gr.",F968)</f>
        <v>SA-240 Gr.347</v>
      </c>
      <c r="B968" s="415">
        <v>962</v>
      </c>
      <c r="C968" s="415" t="s">
        <v>3324</v>
      </c>
      <c r="D968" s="415" t="s">
        <v>2684</v>
      </c>
      <c r="E968" s="415" t="s">
        <v>2165</v>
      </c>
      <c r="F968" s="415">
        <v>347</v>
      </c>
      <c r="G968" s="415" t="s">
        <v>3331</v>
      </c>
      <c r="H968" s="415">
        <v>0</v>
      </c>
      <c r="I968" s="415">
        <v>0</v>
      </c>
      <c r="J968" s="415">
        <v>8</v>
      </c>
      <c r="K968" s="415">
        <v>1</v>
      </c>
      <c r="L968" s="415">
        <v>515</v>
      </c>
      <c r="M968" s="415">
        <v>205</v>
      </c>
      <c r="N968" s="415">
        <v>816</v>
      </c>
      <c r="O968" s="415">
        <v>427</v>
      </c>
      <c r="P968" s="415">
        <v>816</v>
      </c>
      <c r="Q968" s="415">
        <v>343</v>
      </c>
      <c r="R968" s="415" t="s">
        <v>3069</v>
      </c>
      <c r="S968" s="415" t="s">
        <v>3337</v>
      </c>
      <c r="T968" s="416">
        <v>138</v>
      </c>
      <c r="U968" s="416">
        <v>138</v>
      </c>
      <c r="V968" s="416">
        <v>138</v>
      </c>
      <c r="W968" s="416">
        <v>137</v>
      </c>
      <c r="X968" s="416">
        <v>134</v>
      </c>
      <c r="Y968" s="416">
        <v>129</v>
      </c>
      <c r="Z968" s="416">
        <v>123</v>
      </c>
      <c r="AA968" s="416">
        <v>119</v>
      </c>
      <c r="AB968" s="416">
        <v>117</v>
      </c>
      <c r="AC968" s="416">
        <v>116</v>
      </c>
      <c r="AD968" s="416">
        <v>116</v>
      </c>
      <c r="AE968" s="416">
        <v>116</v>
      </c>
      <c r="AF968" s="416">
        <v>116</v>
      </c>
      <c r="AG968" s="416">
        <v>116</v>
      </c>
      <c r="AH968" s="416">
        <v>116</v>
      </c>
      <c r="AI968" s="416">
        <v>115</v>
      </c>
      <c r="AJ968" s="416">
        <v>115</v>
      </c>
      <c r="AK968" s="416">
        <v>113</v>
      </c>
      <c r="AL968" s="416">
        <v>99.8</v>
      </c>
      <c r="AM968" s="416">
        <v>77.2</v>
      </c>
      <c r="AN968" s="416">
        <v>57.7</v>
      </c>
      <c r="AO968" s="416">
        <v>39.9</v>
      </c>
      <c r="AP968" s="416">
        <v>30</v>
      </c>
      <c r="AQ968" s="416">
        <v>23.2</v>
      </c>
      <c r="AR968" s="416">
        <v>16.3</v>
      </c>
      <c r="AS968" s="416">
        <v>11.2</v>
      </c>
      <c r="AT968" s="416">
        <v>8.93</v>
      </c>
      <c r="AU968" s="416">
        <v>7.08</v>
      </c>
      <c r="AV968" s="416">
        <v>5.77</v>
      </c>
      <c r="AW968" s="416">
        <v>5.32</v>
      </c>
      <c r="AX968" s="416">
        <v>0</v>
      </c>
      <c r="AY968" s="416">
        <v>0</v>
      </c>
      <c r="AZ968" s="416">
        <v>0</v>
      </c>
    </row>
    <row r="969" spans="1:52" s="411" customFormat="1" x14ac:dyDescent="0.3">
      <c r="A969" s="415" t="str">
        <f t="shared" si="15"/>
        <v>SA-240 Gr.347</v>
      </c>
      <c r="B969" s="415">
        <v>963</v>
      </c>
      <c r="C969" s="415" t="s">
        <v>3324</v>
      </c>
      <c r="D969" s="415" t="s">
        <v>2684</v>
      </c>
      <c r="E969" s="415" t="s">
        <v>2165</v>
      </c>
      <c r="F969" s="415">
        <v>347</v>
      </c>
      <c r="G969" s="415" t="s">
        <v>3331</v>
      </c>
      <c r="H969" s="415">
        <v>0</v>
      </c>
      <c r="I969" s="415">
        <v>0</v>
      </c>
      <c r="J969" s="415">
        <v>8</v>
      </c>
      <c r="K969" s="415">
        <v>1</v>
      </c>
      <c r="L969" s="415">
        <v>515</v>
      </c>
      <c r="M969" s="415">
        <v>205</v>
      </c>
      <c r="N969" s="415">
        <v>816</v>
      </c>
      <c r="O969" s="415" t="s">
        <v>2675</v>
      </c>
      <c r="P969" s="415">
        <v>816</v>
      </c>
      <c r="Q969" s="415">
        <v>343</v>
      </c>
      <c r="R969" s="415" t="s">
        <v>3069</v>
      </c>
      <c r="S969" s="415" t="s">
        <v>3338</v>
      </c>
      <c r="T969" s="416">
        <v>138</v>
      </c>
      <c r="U969" s="416">
        <v>138</v>
      </c>
      <c r="V969" s="416">
        <v>132</v>
      </c>
      <c r="W969" s="416">
        <v>126</v>
      </c>
      <c r="X969" s="416">
        <v>122</v>
      </c>
      <c r="Y969" s="416">
        <v>118</v>
      </c>
      <c r="Z969" s="416">
        <v>111</v>
      </c>
      <c r="AA969" s="416">
        <v>105</v>
      </c>
      <c r="AB969" s="416">
        <v>99.8</v>
      </c>
      <c r="AC969" s="416">
        <v>97.9</v>
      </c>
      <c r="AD969" s="416">
        <v>96.1</v>
      </c>
      <c r="AE969" s="416">
        <v>95</v>
      </c>
      <c r="AF969" s="416">
        <v>94.4</v>
      </c>
      <c r="AG969" s="416">
        <v>93.8</v>
      </c>
      <c r="AH969" s="416">
        <v>93.2</v>
      </c>
      <c r="AI969" s="416">
        <v>92.5</v>
      </c>
      <c r="AJ969" s="416">
        <v>92.4</v>
      </c>
      <c r="AK969" s="416">
        <v>92.4</v>
      </c>
      <c r="AL969" s="416">
        <v>90.3</v>
      </c>
      <c r="AM969" s="416">
        <v>77.2</v>
      </c>
      <c r="AN969" s="416">
        <v>57.7</v>
      </c>
      <c r="AO969" s="416">
        <v>39.9</v>
      </c>
      <c r="AP969" s="416">
        <v>30</v>
      </c>
      <c r="AQ969" s="416">
        <v>23.2</v>
      </c>
      <c r="AR969" s="416">
        <v>16.3</v>
      </c>
      <c r="AS969" s="416">
        <v>11.2</v>
      </c>
      <c r="AT969" s="416">
        <v>8.93</v>
      </c>
      <c r="AU969" s="416">
        <v>7.08</v>
      </c>
      <c r="AV969" s="416">
        <v>5.77</v>
      </c>
      <c r="AW969" s="416">
        <v>5.32</v>
      </c>
      <c r="AX969" s="416">
        <v>0</v>
      </c>
      <c r="AY969" s="416">
        <v>0</v>
      </c>
      <c r="AZ969" s="416">
        <v>0</v>
      </c>
    </row>
    <row r="970" spans="1:52" s="411" customFormat="1" x14ac:dyDescent="0.3">
      <c r="A970" s="415" t="str">
        <f t="shared" si="15"/>
        <v>SA-249 Gr.TP347</v>
      </c>
      <c r="B970" s="415">
        <v>964</v>
      </c>
      <c r="C970" s="415" t="s">
        <v>3324</v>
      </c>
      <c r="D970" s="415" t="s">
        <v>2689</v>
      </c>
      <c r="E970" s="415" t="s">
        <v>2200</v>
      </c>
      <c r="F970" s="415" t="s">
        <v>2577</v>
      </c>
      <c r="G970" s="415" t="s">
        <v>3331</v>
      </c>
      <c r="H970" s="415">
        <v>0</v>
      </c>
      <c r="I970" s="415">
        <v>0</v>
      </c>
      <c r="J970" s="415">
        <v>8</v>
      </c>
      <c r="K970" s="415">
        <v>1</v>
      </c>
      <c r="L970" s="415">
        <v>515</v>
      </c>
      <c r="M970" s="415">
        <v>205</v>
      </c>
      <c r="N970" s="415">
        <v>816</v>
      </c>
      <c r="O970" s="415" t="s">
        <v>2675</v>
      </c>
      <c r="P970" s="415" t="s">
        <v>2675</v>
      </c>
      <c r="Q970" s="415" t="s">
        <v>2675</v>
      </c>
      <c r="R970" s="415" t="s">
        <v>3069</v>
      </c>
      <c r="S970" s="415" t="s">
        <v>3339</v>
      </c>
      <c r="T970" s="416">
        <v>138</v>
      </c>
      <c r="U970" s="416">
        <v>138</v>
      </c>
      <c r="V970" s="416">
        <v>132</v>
      </c>
      <c r="W970" s="416">
        <v>126</v>
      </c>
      <c r="X970" s="416">
        <v>122</v>
      </c>
      <c r="Y970" s="416">
        <v>118</v>
      </c>
      <c r="Z970" s="416">
        <v>111</v>
      </c>
      <c r="AA970" s="416">
        <v>105</v>
      </c>
      <c r="AB970" s="416">
        <v>99.8</v>
      </c>
      <c r="AC970" s="416">
        <v>97.9</v>
      </c>
      <c r="AD970" s="416">
        <v>96.1</v>
      </c>
      <c r="AE970" s="416">
        <v>95</v>
      </c>
      <c r="AF970" s="416">
        <v>94.4</v>
      </c>
      <c r="AG970" s="416">
        <v>93.8</v>
      </c>
      <c r="AH970" s="416">
        <v>93.2</v>
      </c>
      <c r="AI970" s="416">
        <v>92.5</v>
      </c>
      <c r="AJ970" s="416">
        <v>92.4</v>
      </c>
      <c r="AK970" s="416">
        <v>92.4</v>
      </c>
      <c r="AL970" s="416">
        <v>90.3</v>
      </c>
      <c r="AM970" s="416">
        <v>77.2</v>
      </c>
      <c r="AN970" s="416">
        <v>57.3</v>
      </c>
      <c r="AO970" s="416">
        <v>39.9</v>
      </c>
      <c r="AP970" s="416">
        <v>30</v>
      </c>
      <c r="AQ970" s="416">
        <v>23.2</v>
      </c>
      <c r="AR970" s="416">
        <v>16.3</v>
      </c>
      <c r="AS970" s="416">
        <v>11.2</v>
      </c>
      <c r="AT970" s="416">
        <v>8.93</v>
      </c>
      <c r="AU970" s="416">
        <v>7.08</v>
      </c>
      <c r="AV970" s="416">
        <v>5.77</v>
      </c>
      <c r="AW970" s="416">
        <v>5.32</v>
      </c>
      <c r="AX970" s="416">
        <v>0</v>
      </c>
      <c r="AY970" s="416">
        <v>0</v>
      </c>
      <c r="AZ970" s="416">
        <v>0</v>
      </c>
    </row>
    <row r="971" spans="1:52" s="411" customFormat="1" x14ac:dyDescent="0.3">
      <c r="A971" s="415" t="str">
        <f t="shared" si="15"/>
        <v>SA-249 Gr.TP347</v>
      </c>
      <c r="B971" s="415">
        <v>965</v>
      </c>
      <c r="C971" s="415" t="s">
        <v>3324</v>
      </c>
      <c r="D971" s="415" t="s">
        <v>2689</v>
      </c>
      <c r="E971" s="415" t="s">
        <v>2200</v>
      </c>
      <c r="F971" s="415" t="s">
        <v>2577</v>
      </c>
      <c r="G971" s="415" t="s">
        <v>3331</v>
      </c>
      <c r="H971" s="415">
        <v>0</v>
      </c>
      <c r="I971" s="415">
        <v>0</v>
      </c>
      <c r="J971" s="415">
        <v>8</v>
      </c>
      <c r="K971" s="415">
        <v>1</v>
      </c>
      <c r="L971" s="415">
        <v>515</v>
      </c>
      <c r="M971" s="415">
        <v>205</v>
      </c>
      <c r="N971" s="415">
        <v>816</v>
      </c>
      <c r="O971" s="415">
        <v>427</v>
      </c>
      <c r="P971" s="415" t="s">
        <v>2675</v>
      </c>
      <c r="Q971" s="415" t="s">
        <v>2675</v>
      </c>
      <c r="R971" s="415" t="s">
        <v>3069</v>
      </c>
      <c r="S971" s="415" t="s">
        <v>3340</v>
      </c>
      <c r="T971" s="416">
        <v>138</v>
      </c>
      <c r="U971" s="416">
        <v>138</v>
      </c>
      <c r="V971" s="416">
        <v>138</v>
      </c>
      <c r="W971" s="416">
        <v>137</v>
      </c>
      <c r="X971" s="416">
        <v>134</v>
      </c>
      <c r="Y971" s="416">
        <v>129</v>
      </c>
      <c r="Z971" s="416">
        <v>123</v>
      </c>
      <c r="AA971" s="416">
        <v>119</v>
      </c>
      <c r="AB971" s="416">
        <v>117</v>
      </c>
      <c r="AC971" s="416">
        <v>116</v>
      </c>
      <c r="AD971" s="416">
        <v>116</v>
      </c>
      <c r="AE971" s="416">
        <v>116</v>
      </c>
      <c r="AF971" s="416">
        <v>116</v>
      </c>
      <c r="AG971" s="416">
        <v>116</v>
      </c>
      <c r="AH971" s="416">
        <v>116</v>
      </c>
      <c r="AI971" s="416">
        <v>115</v>
      </c>
      <c r="AJ971" s="416">
        <v>115</v>
      </c>
      <c r="AK971" s="416">
        <v>113</v>
      </c>
      <c r="AL971" s="416">
        <v>99.8</v>
      </c>
      <c r="AM971" s="416">
        <v>77.2</v>
      </c>
      <c r="AN971" s="416">
        <v>57.7</v>
      </c>
      <c r="AO971" s="416">
        <v>39.9</v>
      </c>
      <c r="AP971" s="416">
        <v>30</v>
      </c>
      <c r="AQ971" s="416">
        <v>23.2</v>
      </c>
      <c r="AR971" s="416">
        <v>16.3</v>
      </c>
      <c r="AS971" s="416">
        <v>11.2</v>
      </c>
      <c r="AT971" s="416">
        <v>8.93</v>
      </c>
      <c r="AU971" s="416">
        <v>7.08</v>
      </c>
      <c r="AV971" s="416">
        <v>5.77</v>
      </c>
      <c r="AW971" s="416">
        <v>5.32</v>
      </c>
      <c r="AX971" s="416">
        <v>0</v>
      </c>
      <c r="AY971" s="416">
        <v>0</v>
      </c>
      <c r="AZ971" s="416">
        <v>0</v>
      </c>
    </row>
    <row r="972" spans="1:52" s="411" customFormat="1" x14ac:dyDescent="0.3">
      <c r="A972" s="415" t="str">
        <f t="shared" si="15"/>
        <v>SA-249 Gr.TP347</v>
      </c>
      <c r="B972" s="415">
        <v>966</v>
      </c>
      <c r="C972" s="415" t="s">
        <v>3324</v>
      </c>
      <c r="D972" s="415" t="s">
        <v>2689</v>
      </c>
      <c r="E972" s="415" t="s">
        <v>2200</v>
      </c>
      <c r="F972" s="415" t="s">
        <v>2577</v>
      </c>
      <c r="G972" s="415" t="s">
        <v>3331</v>
      </c>
      <c r="H972" s="415">
        <v>0</v>
      </c>
      <c r="I972" s="415">
        <v>0</v>
      </c>
      <c r="J972" s="415">
        <v>8</v>
      </c>
      <c r="K972" s="415">
        <v>1</v>
      </c>
      <c r="L972" s="415">
        <v>515</v>
      </c>
      <c r="M972" s="415">
        <v>205</v>
      </c>
      <c r="N972" s="415">
        <v>816</v>
      </c>
      <c r="O972" s="415" t="s">
        <v>2675</v>
      </c>
      <c r="P972" s="415">
        <v>816</v>
      </c>
      <c r="Q972" s="415">
        <v>343</v>
      </c>
      <c r="R972" s="415" t="s">
        <v>3069</v>
      </c>
      <c r="S972" s="415" t="s">
        <v>3341</v>
      </c>
      <c r="T972" s="416">
        <v>117</v>
      </c>
      <c r="U972" s="416">
        <v>117</v>
      </c>
      <c r="V972" s="416">
        <v>117</v>
      </c>
      <c r="W972" s="416">
        <v>117</v>
      </c>
      <c r="X972" s="416">
        <v>114</v>
      </c>
      <c r="Y972" s="416">
        <v>110</v>
      </c>
      <c r="Z972" s="416">
        <v>104</v>
      </c>
      <c r="AA972" s="416">
        <v>101</v>
      </c>
      <c r="AB972" s="416">
        <v>98.9</v>
      </c>
      <c r="AC972" s="416">
        <v>98.6</v>
      </c>
      <c r="AD972" s="416">
        <v>98.6</v>
      </c>
      <c r="AE972" s="416">
        <v>98.6</v>
      </c>
      <c r="AF972" s="416">
        <v>98.6</v>
      </c>
      <c r="AG972" s="416">
        <v>98.6</v>
      </c>
      <c r="AH972" s="416">
        <v>98.6</v>
      </c>
      <c r="AI972" s="416">
        <v>98.1</v>
      </c>
      <c r="AJ972" s="416">
        <v>97.6</v>
      </c>
      <c r="AK972" s="416">
        <v>95.4</v>
      </c>
      <c r="AL972" s="416">
        <v>85.5</v>
      </c>
      <c r="AM972" s="416">
        <v>65.900000000000006</v>
      </c>
      <c r="AN972" s="416">
        <v>49.5</v>
      </c>
      <c r="AO972" s="416">
        <v>34</v>
      </c>
      <c r="AP972" s="416">
        <v>25.9</v>
      </c>
      <c r="AQ972" s="416">
        <v>19.7</v>
      </c>
      <c r="AR972" s="416">
        <v>14</v>
      </c>
      <c r="AS972" s="416">
        <v>9.8000000000000007</v>
      </c>
      <c r="AT972" s="416">
        <v>7.53</v>
      </c>
      <c r="AU972" s="416">
        <v>5.95</v>
      </c>
      <c r="AV972" s="416">
        <v>4.96</v>
      </c>
      <c r="AW972" s="416">
        <v>4.5</v>
      </c>
      <c r="AX972" s="416">
        <v>0</v>
      </c>
      <c r="AY972" s="416">
        <v>0</v>
      </c>
      <c r="AZ972" s="416">
        <v>0</v>
      </c>
    </row>
    <row r="973" spans="1:52" s="411" customFormat="1" x14ac:dyDescent="0.3">
      <c r="A973" s="415" t="str">
        <f t="shared" si="15"/>
        <v>SA-249 Gr.TP347</v>
      </c>
      <c r="B973" s="415">
        <v>967</v>
      </c>
      <c r="C973" s="415" t="s">
        <v>3324</v>
      </c>
      <c r="D973" s="415" t="s">
        <v>2689</v>
      </c>
      <c r="E973" s="415" t="s">
        <v>2200</v>
      </c>
      <c r="F973" s="415" t="s">
        <v>2577</v>
      </c>
      <c r="G973" s="415" t="s">
        <v>3331</v>
      </c>
      <c r="H973" s="415">
        <v>0</v>
      </c>
      <c r="I973" s="415">
        <v>0</v>
      </c>
      <c r="J973" s="415">
        <v>8</v>
      </c>
      <c r="K973" s="415">
        <v>1</v>
      </c>
      <c r="L973" s="415">
        <v>515</v>
      </c>
      <c r="M973" s="415">
        <v>205</v>
      </c>
      <c r="N973" s="415">
        <v>816</v>
      </c>
      <c r="O973" s="415" t="s">
        <v>2675</v>
      </c>
      <c r="P973" s="415">
        <v>816</v>
      </c>
      <c r="Q973" s="415">
        <v>343</v>
      </c>
      <c r="R973" s="415" t="s">
        <v>3069</v>
      </c>
      <c r="S973" s="415" t="s">
        <v>3342</v>
      </c>
      <c r="T973" s="416">
        <v>117</v>
      </c>
      <c r="U973" s="416">
        <v>117</v>
      </c>
      <c r="V973" s="416">
        <v>112</v>
      </c>
      <c r="W973" s="416">
        <v>107</v>
      </c>
      <c r="X973" s="416">
        <v>103</v>
      </c>
      <c r="Y973" s="416">
        <v>101</v>
      </c>
      <c r="Z973" s="416">
        <v>94.3</v>
      </c>
      <c r="AA973" s="416">
        <v>89.1</v>
      </c>
      <c r="AB973" s="416">
        <v>85.3</v>
      </c>
      <c r="AC973" s="416">
        <v>83.3</v>
      </c>
      <c r="AD973" s="416">
        <v>81.8</v>
      </c>
      <c r="AE973" s="416">
        <v>81.2</v>
      </c>
      <c r="AF973" s="416">
        <v>79.900000000000006</v>
      </c>
      <c r="AG973" s="416">
        <v>79.3</v>
      </c>
      <c r="AH973" s="416">
        <v>79.3</v>
      </c>
      <c r="AI973" s="416">
        <v>78.7</v>
      </c>
      <c r="AJ973" s="416">
        <v>78.599999999999994</v>
      </c>
      <c r="AK973" s="416">
        <v>78.599999999999994</v>
      </c>
      <c r="AL973" s="416">
        <v>76.8</v>
      </c>
      <c r="AM973" s="416">
        <v>65.900000000000006</v>
      </c>
      <c r="AN973" s="416">
        <v>49.5</v>
      </c>
      <c r="AO973" s="416">
        <v>34</v>
      </c>
      <c r="AP973" s="416">
        <v>25.9</v>
      </c>
      <c r="AQ973" s="416">
        <v>19.7</v>
      </c>
      <c r="AR973" s="416">
        <v>14</v>
      </c>
      <c r="AS973" s="416">
        <v>9.8000000000000007</v>
      </c>
      <c r="AT973" s="416">
        <v>7.53</v>
      </c>
      <c r="AU973" s="416">
        <v>5.95</v>
      </c>
      <c r="AV973" s="416">
        <v>4.96</v>
      </c>
      <c r="AW973" s="416">
        <v>4.5</v>
      </c>
      <c r="AX973" s="416">
        <v>0</v>
      </c>
      <c r="AY973" s="416">
        <v>0</v>
      </c>
      <c r="AZ973" s="416">
        <v>0</v>
      </c>
    </row>
    <row r="974" spans="1:52" s="411" customFormat="1" x14ac:dyDescent="0.3">
      <c r="A974" s="415" t="str">
        <f t="shared" si="15"/>
        <v>SA-312 Gr.TP347</v>
      </c>
      <c r="B974" s="415">
        <v>968</v>
      </c>
      <c r="C974" s="415" t="s">
        <v>3324</v>
      </c>
      <c r="D974" s="415" t="s">
        <v>2720</v>
      </c>
      <c r="E974" s="415" t="s">
        <v>2208</v>
      </c>
      <c r="F974" s="415" t="s">
        <v>2577</v>
      </c>
      <c r="G974" s="415" t="s">
        <v>3331</v>
      </c>
      <c r="H974" s="415">
        <v>0</v>
      </c>
      <c r="I974" s="415">
        <v>0</v>
      </c>
      <c r="J974" s="415">
        <v>8</v>
      </c>
      <c r="K974" s="415">
        <v>1</v>
      </c>
      <c r="L974" s="415">
        <v>515</v>
      </c>
      <c r="M974" s="415">
        <v>205</v>
      </c>
      <c r="N974" s="415">
        <v>816</v>
      </c>
      <c r="O974" s="415">
        <v>427</v>
      </c>
      <c r="P974" s="415">
        <v>816</v>
      </c>
      <c r="Q974" s="415">
        <v>343</v>
      </c>
      <c r="R974" s="415" t="s">
        <v>3069</v>
      </c>
      <c r="S974" s="415" t="s">
        <v>3343</v>
      </c>
      <c r="T974" s="416">
        <v>138</v>
      </c>
      <c r="U974" s="416">
        <v>138</v>
      </c>
      <c r="V974" s="416">
        <v>138</v>
      </c>
      <c r="W974" s="416">
        <v>137</v>
      </c>
      <c r="X974" s="416">
        <v>134</v>
      </c>
      <c r="Y974" s="416">
        <v>129</v>
      </c>
      <c r="Z974" s="416">
        <v>123</v>
      </c>
      <c r="AA974" s="416">
        <v>119</v>
      </c>
      <c r="AB974" s="416">
        <v>117</v>
      </c>
      <c r="AC974" s="416">
        <v>116</v>
      </c>
      <c r="AD974" s="416">
        <v>116</v>
      </c>
      <c r="AE974" s="416">
        <v>116</v>
      </c>
      <c r="AF974" s="416">
        <v>116</v>
      </c>
      <c r="AG974" s="416">
        <v>116</v>
      </c>
      <c r="AH974" s="416">
        <v>116</v>
      </c>
      <c r="AI974" s="416">
        <v>115</v>
      </c>
      <c r="AJ974" s="416">
        <v>115</v>
      </c>
      <c r="AK974" s="416">
        <v>113</v>
      </c>
      <c r="AL974" s="416">
        <v>99.8</v>
      </c>
      <c r="AM974" s="416">
        <v>77.2</v>
      </c>
      <c r="AN974" s="416">
        <v>57.7</v>
      </c>
      <c r="AO974" s="416">
        <v>39.9</v>
      </c>
      <c r="AP974" s="416">
        <v>30</v>
      </c>
      <c r="AQ974" s="416">
        <v>23.2</v>
      </c>
      <c r="AR974" s="416">
        <v>16.3</v>
      </c>
      <c r="AS974" s="416">
        <v>11.2</v>
      </c>
      <c r="AT974" s="416">
        <v>8.93</v>
      </c>
      <c r="AU974" s="416">
        <v>7.08</v>
      </c>
      <c r="AV974" s="416">
        <v>5.77</v>
      </c>
      <c r="AW974" s="416">
        <v>5.32</v>
      </c>
      <c r="AX974" s="416">
        <v>0</v>
      </c>
      <c r="AY974" s="416">
        <v>0</v>
      </c>
      <c r="AZ974" s="416">
        <v>0</v>
      </c>
    </row>
    <row r="975" spans="1:52" s="411" customFormat="1" x14ac:dyDescent="0.3">
      <c r="A975" s="415" t="str">
        <f t="shared" si="15"/>
        <v>SA-312 Gr.TP347</v>
      </c>
      <c r="B975" s="415">
        <v>969</v>
      </c>
      <c r="C975" s="415" t="s">
        <v>3324</v>
      </c>
      <c r="D975" s="415" t="s">
        <v>2720</v>
      </c>
      <c r="E975" s="415" t="s">
        <v>2208</v>
      </c>
      <c r="F975" s="415" t="s">
        <v>2577</v>
      </c>
      <c r="G975" s="415" t="s">
        <v>3331</v>
      </c>
      <c r="H975" s="415">
        <v>0</v>
      </c>
      <c r="I975" s="415">
        <v>0</v>
      </c>
      <c r="J975" s="415">
        <v>8</v>
      </c>
      <c r="K975" s="415">
        <v>1</v>
      </c>
      <c r="L975" s="415">
        <v>515</v>
      </c>
      <c r="M975" s="415">
        <v>205</v>
      </c>
      <c r="N975" s="415">
        <v>816</v>
      </c>
      <c r="O975" s="415" t="s">
        <v>2675</v>
      </c>
      <c r="P975" s="415">
        <v>816</v>
      </c>
      <c r="Q975" s="415">
        <v>343</v>
      </c>
      <c r="R975" s="415" t="s">
        <v>3069</v>
      </c>
      <c r="S975" s="415" t="s">
        <v>3344</v>
      </c>
      <c r="T975" s="416">
        <v>138</v>
      </c>
      <c r="U975" s="416">
        <v>138</v>
      </c>
      <c r="V975" s="416">
        <v>132</v>
      </c>
      <c r="W975" s="416">
        <v>126</v>
      </c>
      <c r="X975" s="416">
        <v>122</v>
      </c>
      <c r="Y975" s="416">
        <v>118</v>
      </c>
      <c r="Z975" s="416">
        <v>111</v>
      </c>
      <c r="AA975" s="416">
        <v>105</v>
      </c>
      <c r="AB975" s="416">
        <v>99.8</v>
      </c>
      <c r="AC975" s="416">
        <v>97.9</v>
      </c>
      <c r="AD975" s="416">
        <v>96.1</v>
      </c>
      <c r="AE975" s="416">
        <v>95</v>
      </c>
      <c r="AF975" s="416">
        <v>94.4</v>
      </c>
      <c r="AG975" s="416">
        <v>93.8</v>
      </c>
      <c r="AH975" s="416">
        <v>93.2</v>
      </c>
      <c r="AI975" s="416">
        <v>92.5</v>
      </c>
      <c r="AJ975" s="416">
        <v>92.4</v>
      </c>
      <c r="AK975" s="416">
        <v>92.4</v>
      </c>
      <c r="AL975" s="416">
        <v>90.3</v>
      </c>
      <c r="AM975" s="416">
        <v>77.2</v>
      </c>
      <c r="AN975" s="416">
        <v>57.7</v>
      </c>
      <c r="AO975" s="416">
        <v>39.9</v>
      </c>
      <c r="AP975" s="416">
        <v>30</v>
      </c>
      <c r="AQ975" s="416">
        <v>23.2</v>
      </c>
      <c r="AR975" s="416">
        <v>16.3</v>
      </c>
      <c r="AS975" s="416">
        <v>11.2</v>
      </c>
      <c r="AT975" s="416">
        <v>8.93</v>
      </c>
      <c r="AU975" s="416">
        <v>7.08</v>
      </c>
      <c r="AV975" s="416">
        <v>5.77</v>
      </c>
      <c r="AW975" s="416">
        <v>5.32</v>
      </c>
      <c r="AX975" s="416">
        <v>0</v>
      </c>
      <c r="AY975" s="416">
        <v>0</v>
      </c>
      <c r="AZ975" s="416">
        <v>0</v>
      </c>
    </row>
    <row r="976" spans="1:52" s="411" customFormat="1" x14ac:dyDescent="0.3">
      <c r="A976" s="415" t="str">
        <f t="shared" si="15"/>
        <v>SA-312 Gr.TP347</v>
      </c>
      <c r="B976" s="415">
        <v>970</v>
      </c>
      <c r="C976" s="415" t="s">
        <v>3324</v>
      </c>
      <c r="D976" s="415" t="s">
        <v>2680</v>
      </c>
      <c r="E976" s="415" t="s">
        <v>2208</v>
      </c>
      <c r="F976" s="415" t="s">
        <v>2577</v>
      </c>
      <c r="G976" s="415" t="s">
        <v>3331</v>
      </c>
      <c r="H976" s="415">
        <v>0</v>
      </c>
      <c r="I976" s="415">
        <v>0</v>
      </c>
      <c r="J976" s="415">
        <v>8</v>
      </c>
      <c r="K976" s="415">
        <v>1</v>
      </c>
      <c r="L976" s="415">
        <v>515</v>
      </c>
      <c r="M976" s="415">
        <v>205</v>
      </c>
      <c r="N976" s="415">
        <v>816</v>
      </c>
      <c r="O976" s="415" t="s">
        <v>2675</v>
      </c>
      <c r="P976" s="415">
        <v>816</v>
      </c>
      <c r="Q976" s="415">
        <v>343</v>
      </c>
      <c r="R976" s="415" t="s">
        <v>3069</v>
      </c>
      <c r="S976" s="415" t="s">
        <v>3341</v>
      </c>
      <c r="T976" s="416">
        <v>117</v>
      </c>
      <c r="U976" s="416">
        <v>117</v>
      </c>
      <c r="V976" s="416">
        <v>117</v>
      </c>
      <c r="W976" s="416">
        <v>117</v>
      </c>
      <c r="X976" s="416">
        <v>114</v>
      </c>
      <c r="Y976" s="416">
        <v>110</v>
      </c>
      <c r="Z976" s="416">
        <v>104</v>
      </c>
      <c r="AA976" s="416">
        <v>101</v>
      </c>
      <c r="AB976" s="416">
        <v>98.9</v>
      </c>
      <c r="AC976" s="416">
        <v>98.6</v>
      </c>
      <c r="AD976" s="416">
        <v>98.6</v>
      </c>
      <c r="AE976" s="416">
        <v>98.6</v>
      </c>
      <c r="AF976" s="416">
        <v>98.6</v>
      </c>
      <c r="AG976" s="416">
        <v>98.6</v>
      </c>
      <c r="AH976" s="416">
        <v>98.6</v>
      </c>
      <c r="AI976" s="416">
        <v>98.1</v>
      </c>
      <c r="AJ976" s="416">
        <v>97.6</v>
      </c>
      <c r="AK976" s="416">
        <v>95.4</v>
      </c>
      <c r="AL976" s="416">
        <v>85.5</v>
      </c>
      <c r="AM976" s="416">
        <v>65.900000000000006</v>
      </c>
      <c r="AN976" s="416">
        <v>49.5</v>
      </c>
      <c r="AO976" s="416">
        <v>34</v>
      </c>
      <c r="AP976" s="416">
        <v>25.9</v>
      </c>
      <c r="AQ976" s="416">
        <v>19.7</v>
      </c>
      <c r="AR976" s="416">
        <v>14</v>
      </c>
      <c r="AS976" s="416">
        <v>9.8000000000000007</v>
      </c>
      <c r="AT976" s="416">
        <v>7.53</v>
      </c>
      <c r="AU976" s="416">
        <v>5.95</v>
      </c>
      <c r="AV976" s="416">
        <v>4.96</v>
      </c>
      <c r="AW976" s="416">
        <v>4.5</v>
      </c>
      <c r="AX976" s="416">
        <v>0</v>
      </c>
      <c r="AY976" s="416">
        <v>0</v>
      </c>
      <c r="AZ976" s="416">
        <v>0</v>
      </c>
    </row>
    <row r="977" spans="1:52" s="411" customFormat="1" x14ac:dyDescent="0.3">
      <c r="A977" s="415" t="str">
        <f t="shared" si="15"/>
        <v>SA-312 Gr.TP347</v>
      </c>
      <c r="B977" s="415">
        <v>971</v>
      </c>
      <c r="C977" s="415" t="s">
        <v>3324</v>
      </c>
      <c r="D977" s="415" t="s">
        <v>2680</v>
      </c>
      <c r="E977" s="415" t="s">
        <v>2208</v>
      </c>
      <c r="F977" s="415" t="s">
        <v>2577</v>
      </c>
      <c r="G977" s="415" t="s">
        <v>3331</v>
      </c>
      <c r="H977" s="415">
        <v>0</v>
      </c>
      <c r="I977" s="415">
        <v>0</v>
      </c>
      <c r="J977" s="415">
        <v>8</v>
      </c>
      <c r="K977" s="415">
        <v>1</v>
      </c>
      <c r="L977" s="415">
        <v>515</v>
      </c>
      <c r="M977" s="415">
        <v>205</v>
      </c>
      <c r="N977" s="415">
        <v>816</v>
      </c>
      <c r="O977" s="415" t="s">
        <v>2675</v>
      </c>
      <c r="P977" s="415">
        <v>816</v>
      </c>
      <c r="Q977" s="415">
        <v>343</v>
      </c>
      <c r="R977" s="415" t="s">
        <v>3069</v>
      </c>
      <c r="S977" s="415" t="s">
        <v>3342</v>
      </c>
      <c r="T977" s="416">
        <v>117</v>
      </c>
      <c r="U977" s="416">
        <v>117</v>
      </c>
      <c r="V977" s="416">
        <v>112</v>
      </c>
      <c r="W977" s="416">
        <v>107</v>
      </c>
      <c r="X977" s="416">
        <v>103</v>
      </c>
      <c r="Y977" s="416">
        <v>101</v>
      </c>
      <c r="Z977" s="416">
        <v>94.3</v>
      </c>
      <c r="AA977" s="416">
        <v>89.1</v>
      </c>
      <c r="AB977" s="416">
        <v>85.3</v>
      </c>
      <c r="AC977" s="416">
        <v>83.3</v>
      </c>
      <c r="AD977" s="416">
        <v>81.8</v>
      </c>
      <c r="AE977" s="416">
        <v>81.2</v>
      </c>
      <c r="AF977" s="416">
        <v>79.900000000000006</v>
      </c>
      <c r="AG977" s="416">
        <v>79.3</v>
      </c>
      <c r="AH977" s="416">
        <v>79.3</v>
      </c>
      <c r="AI977" s="416">
        <v>78.7</v>
      </c>
      <c r="AJ977" s="416">
        <v>78.599999999999994</v>
      </c>
      <c r="AK977" s="416">
        <v>78.599999999999994</v>
      </c>
      <c r="AL977" s="416">
        <v>76.8</v>
      </c>
      <c r="AM977" s="416">
        <v>65.900000000000006</v>
      </c>
      <c r="AN977" s="416">
        <v>49.5</v>
      </c>
      <c r="AO977" s="416">
        <v>34</v>
      </c>
      <c r="AP977" s="416">
        <v>25.9</v>
      </c>
      <c r="AQ977" s="416">
        <v>19.7</v>
      </c>
      <c r="AR977" s="416">
        <v>14</v>
      </c>
      <c r="AS977" s="416">
        <v>9.8000000000000007</v>
      </c>
      <c r="AT977" s="416">
        <v>7.53</v>
      </c>
      <c r="AU977" s="416">
        <v>5.95</v>
      </c>
      <c r="AV977" s="416">
        <v>4.96</v>
      </c>
      <c r="AW977" s="416">
        <v>4.5</v>
      </c>
      <c r="AX977" s="416">
        <v>0</v>
      </c>
      <c r="AY977" s="416">
        <v>0</v>
      </c>
      <c r="AZ977" s="416">
        <v>0</v>
      </c>
    </row>
    <row r="978" spans="1:52" s="411" customFormat="1" x14ac:dyDescent="0.3">
      <c r="A978" s="415" t="str">
        <f t="shared" si="15"/>
        <v>SA-358 Gr.347</v>
      </c>
      <c r="B978" s="415">
        <v>972</v>
      </c>
      <c r="C978" s="415" t="s">
        <v>3324</v>
      </c>
      <c r="D978" s="415" t="s">
        <v>2680</v>
      </c>
      <c r="E978" s="415" t="s">
        <v>2217</v>
      </c>
      <c r="F978" s="415">
        <v>347</v>
      </c>
      <c r="G978" s="415" t="s">
        <v>3331</v>
      </c>
      <c r="H978" s="415">
        <v>1</v>
      </c>
      <c r="I978" s="415">
        <v>0</v>
      </c>
      <c r="J978" s="415">
        <v>8</v>
      </c>
      <c r="K978" s="415">
        <v>1</v>
      </c>
      <c r="L978" s="415">
        <v>515</v>
      </c>
      <c r="M978" s="415">
        <v>205</v>
      </c>
      <c r="N978" s="415" t="s">
        <v>2675</v>
      </c>
      <c r="O978" s="415">
        <v>427</v>
      </c>
      <c r="P978" s="415" t="s">
        <v>2675</v>
      </c>
      <c r="Q978" s="415" t="s">
        <v>2675</v>
      </c>
      <c r="R978" s="415" t="s">
        <v>3069</v>
      </c>
      <c r="S978" s="415" t="s">
        <v>3345</v>
      </c>
      <c r="T978" s="416">
        <v>138</v>
      </c>
      <c r="U978" s="416">
        <v>138</v>
      </c>
      <c r="V978" s="416">
        <v>138</v>
      </c>
      <c r="W978" s="416">
        <v>137</v>
      </c>
      <c r="X978" s="416">
        <v>134</v>
      </c>
      <c r="Y978" s="416">
        <v>129</v>
      </c>
      <c r="Z978" s="416">
        <v>123</v>
      </c>
      <c r="AA978" s="416">
        <v>119</v>
      </c>
      <c r="AB978" s="416">
        <v>117</v>
      </c>
      <c r="AC978" s="416">
        <v>116</v>
      </c>
      <c r="AD978" s="416">
        <v>116</v>
      </c>
      <c r="AE978" s="416">
        <v>116</v>
      </c>
      <c r="AF978" s="416">
        <v>116</v>
      </c>
      <c r="AG978" s="416">
        <v>116</v>
      </c>
      <c r="AH978" s="416">
        <v>116</v>
      </c>
      <c r="AI978" s="416">
        <v>0</v>
      </c>
      <c r="AJ978" s="416">
        <v>0</v>
      </c>
      <c r="AK978" s="416">
        <v>0</v>
      </c>
      <c r="AL978" s="416">
        <v>0</v>
      </c>
      <c r="AM978" s="416">
        <v>0</v>
      </c>
      <c r="AN978" s="416">
        <v>0</v>
      </c>
      <c r="AO978" s="416">
        <v>0</v>
      </c>
      <c r="AP978" s="416">
        <v>0</v>
      </c>
      <c r="AQ978" s="416">
        <v>0</v>
      </c>
      <c r="AR978" s="416">
        <v>0</v>
      </c>
      <c r="AS978" s="416">
        <v>0</v>
      </c>
      <c r="AT978" s="416">
        <v>0</v>
      </c>
      <c r="AU978" s="416">
        <v>0</v>
      </c>
      <c r="AV978" s="416">
        <v>0</v>
      </c>
      <c r="AW978" s="416">
        <v>0</v>
      </c>
      <c r="AX978" s="416">
        <v>0</v>
      </c>
      <c r="AY978" s="416">
        <v>0</v>
      </c>
      <c r="AZ978" s="416">
        <v>0</v>
      </c>
    </row>
    <row r="979" spans="1:52" s="411" customFormat="1" x14ac:dyDescent="0.3">
      <c r="A979" s="415" t="str">
        <f t="shared" si="15"/>
        <v>SA-376 Gr.TP347</v>
      </c>
      <c r="B979" s="415">
        <v>973</v>
      </c>
      <c r="C979" s="415" t="s">
        <v>3324</v>
      </c>
      <c r="D979" s="415" t="s">
        <v>2703</v>
      </c>
      <c r="E979" s="415" t="s">
        <v>2225</v>
      </c>
      <c r="F979" s="415" t="s">
        <v>2577</v>
      </c>
      <c r="G979" s="415" t="s">
        <v>3331</v>
      </c>
      <c r="H979" s="415">
        <v>0</v>
      </c>
      <c r="I979" s="415">
        <v>0</v>
      </c>
      <c r="J979" s="415">
        <v>8</v>
      </c>
      <c r="K979" s="415">
        <v>1</v>
      </c>
      <c r="L979" s="415">
        <v>515</v>
      </c>
      <c r="M979" s="415">
        <v>205</v>
      </c>
      <c r="N979" s="415">
        <v>816</v>
      </c>
      <c r="O979" s="415">
        <v>427</v>
      </c>
      <c r="P979" s="415">
        <v>816</v>
      </c>
      <c r="Q979" s="415">
        <v>343</v>
      </c>
      <c r="R979" s="415" t="s">
        <v>3069</v>
      </c>
      <c r="S979" s="415" t="s">
        <v>3336</v>
      </c>
      <c r="T979" s="416">
        <v>138</v>
      </c>
      <c r="U979" s="416">
        <v>138</v>
      </c>
      <c r="V979" s="416">
        <v>138</v>
      </c>
      <c r="W979" s="416">
        <v>137</v>
      </c>
      <c r="X979" s="416">
        <v>134</v>
      </c>
      <c r="Y979" s="416">
        <v>129</v>
      </c>
      <c r="Z979" s="416">
        <v>123</v>
      </c>
      <c r="AA979" s="416">
        <v>119</v>
      </c>
      <c r="AB979" s="416">
        <v>117</v>
      </c>
      <c r="AC979" s="416">
        <v>116</v>
      </c>
      <c r="AD979" s="416">
        <v>116</v>
      </c>
      <c r="AE979" s="416">
        <v>116</v>
      </c>
      <c r="AF979" s="416">
        <v>116</v>
      </c>
      <c r="AG979" s="416">
        <v>116</v>
      </c>
      <c r="AH979" s="416">
        <v>116</v>
      </c>
      <c r="AI979" s="416">
        <v>115</v>
      </c>
      <c r="AJ979" s="416">
        <v>115</v>
      </c>
      <c r="AK979" s="416">
        <v>113</v>
      </c>
      <c r="AL979" s="416">
        <v>99.8</v>
      </c>
      <c r="AM979" s="416">
        <v>77.2</v>
      </c>
      <c r="AN979" s="416">
        <v>57.7</v>
      </c>
      <c r="AO979" s="416">
        <v>39.9</v>
      </c>
      <c r="AP979" s="416">
        <v>30</v>
      </c>
      <c r="AQ979" s="416">
        <v>23.2</v>
      </c>
      <c r="AR979" s="416">
        <v>16.3</v>
      </c>
      <c r="AS979" s="416">
        <v>11.2</v>
      </c>
      <c r="AT979" s="416">
        <v>8.93</v>
      </c>
      <c r="AU979" s="416">
        <v>7.08</v>
      </c>
      <c r="AV979" s="416">
        <v>5.77</v>
      </c>
      <c r="AW979" s="416">
        <v>5.32</v>
      </c>
      <c r="AX979" s="416">
        <v>0</v>
      </c>
      <c r="AY979" s="416">
        <v>0</v>
      </c>
      <c r="AZ979" s="416">
        <v>0</v>
      </c>
    </row>
    <row r="980" spans="1:52" s="411" customFormat="1" x14ac:dyDescent="0.3">
      <c r="A980" s="415" t="str">
        <f t="shared" si="15"/>
        <v>SA-376 Gr.TP347</v>
      </c>
      <c r="B980" s="415">
        <v>974</v>
      </c>
      <c r="C980" s="415" t="s">
        <v>3324</v>
      </c>
      <c r="D980" s="415" t="s">
        <v>2703</v>
      </c>
      <c r="E980" s="415" t="s">
        <v>2225</v>
      </c>
      <c r="F980" s="415" t="s">
        <v>2577</v>
      </c>
      <c r="G980" s="415" t="s">
        <v>3331</v>
      </c>
      <c r="H980" s="415">
        <v>0</v>
      </c>
      <c r="I980" s="415">
        <v>0</v>
      </c>
      <c r="J980" s="415">
        <v>8</v>
      </c>
      <c r="K980" s="415">
        <v>1</v>
      </c>
      <c r="L980" s="415">
        <v>515</v>
      </c>
      <c r="M980" s="415">
        <v>205</v>
      </c>
      <c r="N980" s="415">
        <v>816</v>
      </c>
      <c r="O980" s="415" t="s">
        <v>2675</v>
      </c>
      <c r="P980" s="415">
        <v>816</v>
      </c>
      <c r="Q980" s="415">
        <v>343</v>
      </c>
      <c r="R980" s="415" t="s">
        <v>3069</v>
      </c>
      <c r="S980" s="415" t="s">
        <v>3332</v>
      </c>
      <c r="T980" s="416">
        <v>138</v>
      </c>
      <c r="U980" s="416">
        <v>138</v>
      </c>
      <c r="V980" s="416">
        <v>132</v>
      </c>
      <c r="W980" s="416">
        <v>126</v>
      </c>
      <c r="X980" s="416">
        <v>122</v>
      </c>
      <c r="Y980" s="416">
        <v>118</v>
      </c>
      <c r="Z980" s="416">
        <v>111</v>
      </c>
      <c r="AA980" s="416">
        <v>105</v>
      </c>
      <c r="AB980" s="416">
        <v>99.8</v>
      </c>
      <c r="AC980" s="416">
        <v>97.9</v>
      </c>
      <c r="AD980" s="416">
        <v>96.1</v>
      </c>
      <c r="AE980" s="416">
        <v>95</v>
      </c>
      <c r="AF980" s="416">
        <v>94.4</v>
      </c>
      <c r="AG980" s="416">
        <v>93.8</v>
      </c>
      <c r="AH980" s="416">
        <v>93.2</v>
      </c>
      <c r="AI980" s="416">
        <v>92.5</v>
      </c>
      <c r="AJ980" s="416">
        <v>92.4</v>
      </c>
      <c r="AK980" s="416">
        <v>92.4</v>
      </c>
      <c r="AL980" s="416">
        <v>90.3</v>
      </c>
      <c r="AM980" s="416">
        <v>77.2</v>
      </c>
      <c r="AN980" s="416">
        <v>57.7</v>
      </c>
      <c r="AO980" s="416">
        <v>39.9</v>
      </c>
      <c r="AP980" s="416">
        <v>30</v>
      </c>
      <c r="AQ980" s="416">
        <v>23.2</v>
      </c>
      <c r="AR980" s="416">
        <v>16.3</v>
      </c>
      <c r="AS980" s="416">
        <v>11.2</v>
      </c>
      <c r="AT980" s="416">
        <v>8.93</v>
      </c>
      <c r="AU980" s="416">
        <v>7.08</v>
      </c>
      <c r="AV980" s="416">
        <v>5.77</v>
      </c>
      <c r="AW980" s="416">
        <v>5.32</v>
      </c>
      <c r="AX980" s="416">
        <v>0</v>
      </c>
      <c r="AY980" s="416">
        <v>0</v>
      </c>
      <c r="AZ980" s="416">
        <v>0</v>
      </c>
    </row>
    <row r="981" spans="1:52" s="411" customFormat="1" x14ac:dyDescent="0.3">
      <c r="A981" s="415" t="str">
        <f t="shared" si="15"/>
        <v>SA-403 Gr.347</v>
      </c>
      <c r="B981" s="415">
        <v>975</v>
      </c>
      <c r="C981" s="415" t="s">
        <v>3324</v>
      </c>
      <c r="D981" s="415" t="s">
        <v>2758</v>
      </c>
      <c r="E981" s="415" t="s">
        <v>2229</v>
      </c>
      <c r="F981" s="415">
        <v>347</v>
      </c>
      <c r="G981" s="415" t="s">
        <v>3331</v>
      </c>
      <c r="H981" s="415">
        <v>0</v>
      </c>
      <c r="I981" s="415">
        <v>0</v>
      </c>
      <c r="J981" s="415">
        <v>8</v>
      </c>
      <c r="K981" s="415">
        <v>1</v>
      </c>
      <c r="L981" s="415">
        <v>515</v>
      </c>
      <c r="M981" s="415">
        <v>205</v>
      </c>
      <c r="N981" s="415" t="s">
        <v>2675</v>
      </c>
      <c r="O981" s="415">
        <v>427</v>
      </c>
      <c r="P981" s="415">
        <v>816</v>
      </c>
      <c r="Q981" s="415">
        <v>343</v>
      </c>
      <c r="R981" s="415" t="s">
        <v>3069</v>
      </c>
      <c r="S981" s="415" t="s">
        <v>3346</v>
      </c>
      <c r="T981" s="416">
        <v>138</v>
      </c>
      <c r="U981" s="416">
        <v>138</v>
      </c>
      <c r="V981" s="416">
        <v>138</v>
      </c>
      <c r="W981" s="416">
        <v>137</v>
      </c>
      <c r="X981" s="416">
        <v>134</v>
      </c>
      <c r="Y981" s="416">
        <v>129</v>
      </c>
      <c r="Z981" s="416">
        <v>123</v>
      </c>
      <c r="AA981" s="416">
        <v>119</v>
      </c>
      <c r="AB981" s="416">
        <v>117</v>
      </c>
      <c r="AC981" s="416">
        <v>116</v>
      </c>
      <c r="AD981" s="416">
        <v>116</v>
      </c>
      <c r="AE981" s="416">
        <v>116</v>
      </c>
      <c r="AF981" s="416">
        <v>116</v>
      </c>
      <c r="AG981" s="416">
        <v>116</v>
      </c>
      <c r="AH981" s="416">
        <v>116</v>
      </c>
      <c r="AI981" s="416">
        <v>115</v>
      </c>
      <c r="AJ981" s="416">
        <v>115</v>
      </c>
      <c r="AK981" s="416">
        <v>113</v>
      </c>
      <c r="AL981" s="416">
        <v>99.8</v>
      </c>
      <c r="AM981" s="416">
        <v>77.2</v>
      </c>
      <c r="AN981" s="416">
        <v>57.7</v>
      </c>
      <c r="AO981" s="416">
        <v>39.9</v>
      </c>
      <c r="AP981" s="416">
        <v>30</v>
      </c>
      <c r="AQ981" s="416">
        <v>23.2</v>
      </c>
      <c r="AR981" s="416">
        <v>16.3</v>
      </c>
      <c r="AS981" s="416">
        <v>11.2</v>
      </c>
      <c r="AT981" s="416">
        <v>8.93</v>
      </c>
      <c r="AU981" s="416">
        <v>7.08</v>
      </c>
      <c r="AV981" s="416">
        <v>5.77</v>
      </c>
      <c r="AW981" s="416">
        <v>5.32</v>
      </c>
      <c r="AX981" s="416">
        <v>0</v>
      </c>
      <c r="AY981" s="416">
        <v>0</v>
      </c>
      <c r="AZ981" s="416">
        <v>0</v>
      </c>
    </row>
    <row r="982" spans="1:52" s="411" customFormat="1" x14ac:dyDescent="0.3">
      <c r="A982" s="415" t="str">
        <f t="shared" si="15"/>
        <v>SA-409 Gr.TP347</v>
      </c>
      <c r="B982" s="415">
        <v>976</v>
      </c>
      <c r="C982" s="415" t="s">
        <v>3324</v>
      </c>
      <c r="D982" s="415" t="s">
        <v>2680</v>
      </c>
      <c r="E982" s="415" t="s">
        <v>2231</v>
      </c>
      <c r="F982" s="415" t="s">
        <v>2577</v>
      </c>
      <c r="G982" s="415" t="s">
        <v>3331</v>
      </c>
      <c r="H982" s="415">
        <v>0</v>
      </c>
      <c r="I982" s="415">
        <v>0</v>
      </c>
      <c r="J982" s="415">
        <v>8</v>
      </c>
      <c r="K982" s="415">
        <v>1</v>
      </c>
      <c r="L982" s="415">
        <v>515</v>
      </c>
      <c r="M982" s="415">
        <v>205</v>
      </c>
      <c r="N982" s="415" t="s">
        <v>2675</v>
      </c>
      <c r="O982" s="415">
        <v>427</v>
      </c>
      <c r="P982" s="415" t="s">
        <v>2675</v>
      </c>
      <c r="Q982" s="415" t="s">
        <v>2675</v>
      </c>
      <c r="R982" s="415" t="s">
        <v>3069</v>
      </c>
      <c r="S982" s="415" t="s">
        <v>3345</v>
      </c>
      <c r="T982" s="416">
        <v>138</v>
      </c>
      <c r="U982" s="416">
        <v>138</v>
      </c>
      <c r="V982" s="416">
        <v>138</v>
      </c>
      <c r="W982" s="416">
        <v>137</v>
      </c>
      <c r="X982" s="416">
        <v>134</v>
      </c>
      <c r="Y982" s="416">
        <v>129</v>
      </c>
      <c r="Z982" s="416">
        <v>123</v>
      </c>
      <c r="AA982" s="416">
        <v>119</v>
      </c>
      <c r="AB982" s="416">
        <v>117</v>
      </c>
      <c r="AC982" s="416">
        <v>116</v>
      </c>
      <c r="AD982" s="416">
        <v>116</v>
      </c>
      <c r="AE982" s="416">
        <v>116</v>
      </c>
      <c r="AF982" s="416">
        <v>116</v>
      </c>
      <c r="AG982" s="416">
        <v>116</v>
      </c>
      <c r="AH982" s="416">
        <v>116</v>
      </c>
      <c r="AI982" s="416">
        <v>0</v>
      </c>
      <c r="AJ982" s="416">
        <v>0</v>
      </c>
      <c r="AK982" s="416">
        <v>0</v>
      </c>
      <c r="AL982" s="416">
        <v>0</v>
      </c>
      <c r="AM982" s="416">
        <v>0</v>
      </c>
      <c r="AN982" s="416">
        <v>0</v>
      </c>
      <c r="AO982" s="416">
        <v>0</v>
      </c>
      <c r="AP982" s="416">
        <v>0</v>
      </c>
      <c r="AQ982" s="416">
        <v>0</v>
      </c>
      <c r="AR982" s="416">
        <v>0</v>
      </c>
      <c r="AS982" s="416">
        <v>0</v>
      </c>
      <c r="AT982" s="416">
        <v>0</v>
      </c>
      <c r="AU982" s="416">
        <v>0</v>
      </c>
      <c r="AV982" s="416">
        <v>0</v>
      </c>
      <c r="AW982" s="416">
        <v>0</v>
      </c>
      <c r="AX982" s="416">
        <v>0</v>
      </c>
      <c r="AY982" s="416">
        <v>0</v>
      </c>
      <c r="AZ982" s="416">
        <v>0</v>
      </c>
    </row>
    <row r="983" spans="1:52" s="411" customFormat="1" x14ac:dyDescent="0.3">
      <c r="A983" s="415" t="str">
        <f t="shared" si="15"/>
        <v>SA-479 Gr.347</v>
      </c>
      <c r="B983" s="415">
        <v>977</v>
      </c>
      <c r="C983" s="415" t="s">
        <v>3324</v>
      </c>
      <c r="D983" s="415" t="s">
        <v>2677</v>
      </c>
      <c r="E983" s="415" t="s">
        <v>2245</v>
      </c>
      <c r="F983" s="415">
        <v>347</v>
      </c>
      <c r="G983" s="415" t="s">
        <v>3331</v>
      </c>
      <c r="H983" s="415">
        <v>0</v>
      </c>
      <c r="I983" s="415">
        <v>0</v>
      </c>
      <c r="J983" s="415">
        <v>8</v>
      </c>
      <c r="K983" s="415">
        <v>1</v>
      </c>
      <c r="L983" s="415">
        <v>515</v>
      </c>
      <c r="M983" s="415">
        <v>205</v>
      </c>
      <c r="N983" s="415">
        <v>816</v>
      </c>
      <c r="O983" s="415">
        <v>427</v>
      </c>
      <c r="P983" s="415">
        <v>816</v>
      </c>
      <c r="Q983" s="415">
        <v>343</v>
      </c>
      <c r="R983" s="415" t="s">
        <v>3069</v>
      </c>
      <c r="S983" s="415" t="s">
        <v>3347</v>
      </c>
      <c r="T983" s="416">
        <v>138</v>
      </c>
      <c r="U983" s="416">
        <v>138</v>
      </c>
      <c r="V983" s="416">
        <v>138</v>
      </c>
      <c r="W983" s="416">
        <v>137</v>
      </c>
      <c r="X983" s="416">
        <v>134</v>
      </c>
      <c r="Y983" s="416">
        <v>129</v>
      </c>
      <c r="Z983" s="416">
        <v>123</v>
      </c>
      <c r="AA983" s="416">
        <v>119</v>
      </c>
      <c r="AB983" s="416">
        <v>117</v>
      </c>
      <c r="AC983" s="416">
        <v>116</v>
      </c>
      <c r="AD983" s="416">
        <v>116</v>
      </c>
      <c r="AE983" s="416">
        <v>116</v>
      </c>
      <c r="AF983" s="416">
        <v>116</v>
      </c>
      <c r="AG983" s="416">
        <v>116</v>
      </c>
      <c r="AH983" s="416">
        <v>116</v>
      </c>
      <c r="AI983" s="416">
        <v>115</v>
      </c>
      <c r="AJ983" s="416">
        <v>115</v>
      </c>
      <c r="AK983" s="416">
        <v>113</v>
      </c>
      <c r="AL983" s="416">
        <v>99.8</v>
      </c>
      <c r="AM983" s="416">
        <v>77.2</v>
      </c>
      <c r="AN983" s="416">
        <v>57.7</v>
      </c>
      <c r="AO983" s="416">
        <v>39.9</v>
      </c>
      <c r="AP983" s="416">
        <v>30</v>
      </c>
      <c r="AQ983" s="416">
        <v>23.2</v>
      </c>
      <c r="AR983" s="416">
        <v>16.3</v>
      </c>
      <c r="AS983" s="416">
        <v>11.2</v>
      </c>
      <c r="AT983" s="416">
        <v>8.93</v>
      </c>
      <c r="AU983" s="416">
        <v>7.08</v>
      </c>
      <c r="AV983" s="416">
        <v>5.77</v>
      </c>
      <c r="AW983" s="416">
        <v>5.32</v>
      </c>
      <c r="AX983" s="416">
        <v>0</v>
      </c>
      <c r="AY983" s="416">
        <v>0</v>
      </c>
      <c r="AZ983" s="416">
        <v>0</v>
      </c>
    </row>
    <row r="984" spans="1:52" s="411" customFormat="1" x14ac:dyDescent="0.3">
      <c r="A984" s="415" t="str">
        <f t="shared" si="15"/>
        <v>SA-479 Gr.347</v>
      </c>
      <c r="B984" s="415">
        <v>978</v>
      </c>
      <c r="C984" s="415" t="s">
        <v>3324</v>
      </c>
      <c r="D984" s="415" t="s">
        <v>2677</v>
      </c>
      <c r="E984" s="415" t="s">
        <v>2245</v>
      </c>
      <c r="F984" s="415">
        <v>347</v>
      </c>
      <c r="G984" s="415" t="s">
        <v>3331</v>
      </c>
      <c r="H984" s="415">
        <v>0</v>
      </c>
      <c r="I984" s="415">
        <v>0</v>
      </c>
      <c r="J984" s="415">
        <v>8</v>
      </c>
      <c r="K984" s="415">
        <v>1</v>
      </c>
      <c r="L984" s="415">
        <v>515</v>
      </c>
      <c r="M984" s="415">
        <v>205</v>
      </c>
      <c r="N984" s="415">
        <v>816</v>
      </c>
      <c r="O984" s="415" t="s">
        <v>2675</v>
      </c>
      <c r="P984" s="415">
        <v>816</v>
      </c>
      <c r="Q984" s="415">
        <v>343</v>
      </c>
      <c r="R984" s="415" t="s">
        <v>3069</v>
      </c>
      <c r="S984" s="415" t="s">
        <v>3348</v>
      </c>
      <c r="T984" s="416">
        <v>138</v>
      </c>
      <c r="U984" s="416">
        <v>138</v>
      </c>
      <c r="V984" s="416">
        <v>132</v>
      </c>
      <c r="W984" s="416">
        <v>126</v>
      </c>
      <c r="X984" s="416">
        <v>122</v>
      </c>
      <c r="Y984" s="416">
        <v>118</v>
      </c>
      <c r="Z984" s="416">
        <v>111</v>
      </c>
      <c r="AA984" s="416">
        <v>105</v>
      </c>
      <c r="AB984" s="416">
        <v>99.8</v>
      </c>
      <c r="AC984" s="416">
        <v>97.9</v>
      </c>
      <c r="AD984" s="416">
        <v>96.1</v>
      </c>
      <c r="AE984" s="416">
        <v>95</v>
      </c>
      <c r="AF984" s="416">
        <v>94.4</v>
      </c>
      <c r="AG984" s="416">
        <v>93.8</v>
      </c>
      <c r="AH984" s="416">
        <v>93.2</v>
      </c>
      <c r="AI984" s="416">
        <v>92.5</v>
      </c>
      <c r="AJ984" s="416">
        <v>92.4</v>
      </c>
      <c r="AK984" s="416">
        <v>92.4</v>
      </c>
      <c r="AL984" s="416">
        <v>90.3</v>
      </c>
      <c r="AM984" s="416">
        <v>77.2</v>
      </c>
      <c r="AN984" s="416">
        <v>57.7</v>
      </c>
      <c r="AO984" s="416">
        <v>39.9</v>
      </c>
      <c r="AP984" s="416">
        <v>30</v>
      </c>
      <c r="AQ984" s="416">
        <v>23.2</v>
      </c>
      <c r="AR984" s="416">
        <v>16.3</v>
      </c>
      <c r="AS984" s="416">
        <v>11.2</v>
      </c>
      <c r="AT984" s="416">
        <v>8.93</v>
      </c>
      <c r="AU984" s="416">
        <v>7.08</v>
      </c>
      <c r="AV984" s="416">
        <v>5.77</v>
      </c>
      <c r="AW984" s="416">
        <v>5.32</v>
      </c>
      <c r="AX984" s="416">
        <v>0</v>
      </c>
      <c r="AY984" s="416">
        <v>0</v>
      </c>
      <c r="AZ984" s="416">
        <v>0</v>
      </c>
    </row>
    <row r="985" spans="1:52" s="411" customFormat="1" x14ac:dyDescent="0.3">
      <c r="A985" s="415" t="str">
        <f t="shared" si="15"/>
        <v>SA-813 Gr.TP347</v>
      </c>
      <c r="B985" s="415">
        <v>979</v>
      </c>
      <c r="C985" s="415" t="s">
        <v>3324</v>
      </c>
      <c r="D985" s="415" t="s">
        <v>2680</v>
      </c>
      <c r="E985" s="415" t="s">
        <v>2328</v>
      </c>
      <c r="F985" s="415" t="s">
        <v>2577</v>
      </c>
      <c r="G985" s="415" t="s">
        <v>3331</v>
      </c>
      <c r="H985" s="415">
        <v>0</v>
      </c>
      <c r="I985" s="415">
        <v>0</v>
      </c>
      <c r="J985" s="415">
        <v>8</v>
      </c>
      <c r="K985" s="415">
        <v>1</v>
      </c>
      <c r="L985" s="415">
        <v>515</v>
      </c>
      <c r="M985" s="415">
        <v>205</v>
      </c>
      <c r="N985" s="415" t="s">
        <v>2675</v>
      </c>
      <c r="O985" s="415">
        <v>427</v>
      </c>
      <c r="P985" s="415" t="s">
        <v>2675</v>
      </c>
      <c r="Q985" s="415" t="s">
        <v>2675</v>
      </c>
      <c r="R985" s="415" t="s">
        <v>3069</v>
      </c>
      <c r="S985" s="415" t="s">
        <v>3345</v>
      </c>
      <c r="T985" s="416">
        <v>138</v>
      </c>
      <c r="U985" s="416">
        <v>138</v>
      </c>
      <c r="V985" s="416">
        <v>138</v>
      </c>
      <c r="W985" s="416">
        <v>137</v>
      </c>
      <c r="X985" s="416">
        <v>134</v>
      </c>
      <c r="Y985" s="416">
        <v>129</v>
      </c>
      <c r="Z985" s="416">
        <v>123</v>
      </c>
      <c r="AA985" s="416">
        <v>119</v>
      </c>
      <c r="AB985" s="416">
        <v>117</v>
      </c>
      <c r="AC985" s="416">
        <v>116</v>
      </c>
      <c r="AD985" s="416">
        <v>116</v>
      </c>
      <c r="AE985" s="416">
        <v>116</v>
      </c>
      <c r="AF985" s="416">
        <v>116</v>
      </c>
      <c r="AG985" s="416">
        <v>116</v>
      </c>
      <c r="AH985" s="416">
        <v>116</v>
      </c>
      <c r="AI985" s="416">
        <v>0</v>
      </c>
      <c r="AJ985" s="416">
        <v>0</v>
      </c>
      <c r="AK985" s="416">
        <v>0</v>
      </c>
      <c r="AL985" s="416">
        <v>0</v>
      </c>
      <c r="AM985" s="416">
        <v>0</v>
      </c>
      <c r="AN985" s="416">
        <v>0</v>
      </c>
      <c r="AO985" s="416">
        <v>0</v>
      </c>
      <c r="AP985" s="416">
        <v>0</v>
      </c>
      <c r="AQ985" s="416">
        <v>0</v>
      </c>
      <c r="AR985" s="416">
        <v>0</v>
      </c>
      <c r="AS985" s="416">
        <v>0</v>
      </c>
      <c r="AT985" s="416">
        <v>0</v>
      </c>
      <c r="AU985" s="416">
        <v>0</v>
      </c>
      <c r="AV985" s="416">
        <v>0</v>
      </c>
      <c r="AW985" s="416">
        <v>0</v>
      </c>
      <c r="AX985" s="416">
        <v>0</v>
      </c>
      <c r="AY985" s="416">
        <v>0</v>
      </c>
      <c r="AZ985" s="416">
        <v>0</v>
      </c>
    </row>
    <row r="986" spans="1:52" s="411" customFormat="1" x14ac:dyDescent="0.3">
      <c r="A986" s="415" t="str">
        <f t="shared" si="15"/>
        <v>SA-182 Gr.F347H</v>
      </c>
      <c r="B986" s="415">
        <v>980</v>
      </c>
      <c r="C986" s="415" t="s">
        <v>3324</v>
      </c>
      <c r="D986" s="415" t="s">
        <v>2737</v>
      </c>
      <c r="E986" s="415" t="s">
        <v>2188</v>
      </c>
      <c r="F986" s="415" t="s">
        <v>2448</v>
      </c>
      <c r="G986" s="415" t="s">
        <v>3333</v>
      </c>
      <c r="H986" s="415">
        <v>0</v>
      </c>
      <c r="I986" s="415" t="s">
        <v>3207</v>
      </c>
      <c r="J986" s="415">
        <v>8</v>
      </c>
      <c r="K986" s="415">
        <v>1</v>
      </c>
      <c r="L986" s="415">
        <v>515</v>
      </c>
      <c r="M986" s="415">
        <v>205</v>
      </c>
      <c r="N986" s="415">
        <v>816</v>
      </c>
      <c r="O986" s="415">
        <v>427</v>
      </c>
      <c r="P986" s="415">
        <v>816</v>
      </c>
      <c r="Q986" s="415" t="s">
        <v>2675</v>
      </c>
      <c r="R986" s="415" t="s">
        <v>3069</v>
      </c>
      <c r="S986" s="415" t="s">
        <v>3334</v>
      </c>
      <c r="T986" s="416">
        <v>138</v>
      </c>
      <c r="U986" s="416">
        <v>138</v>
      </c>
      <c r="V986" s="416">
        <v>138</v>
      </c>
      <c r="W986" s="416">
        <v>137</v>
      </c>
      <c r="X986" s="416">
        <v>134</v>
      </c>
      <c r="Y986" s="416">
        <v>129</v>
      </c>
      <c r="Z986" s="416">
        <v>123</v>
      </c>
      <c r="AA986" s="416">
        <v>119</v>
      </c>
      <c r="AB986" s="416">
        <v>117</v>
      </c>
      <c r="AC986" s="416">
        <v>116</v>
      </c>
      <c r="AD986" s="416">
        <v>116</v>
      </c>
      <c r="AE986" s="416">
        <v>116</v>
      </c>
      <c r="AF986" s="416">
        <v>116</v>
      </c>
      <c r="AG986" s="416">
        <v>116</v>
      </c>
      <c r="AH986" s="416">
        <v>116</v>
      </c>
      <c r="AI986" s="416">
        <v>115</v>
      </c>
      <c r="AJ986" s="416">
        <v>115</v>
      </c>
      <c r="AK986" s="416">
        <v>114</v>
      </c>
      <c r="AL986" s="416">
        <v>113</v>
      </c>
      <c r="AM986" s="416">
        <v>109</v>
      </c>
      <c r="AN986" s="416">
        <v>92.3</v>
      </c>
      <c r="AO986" s="416">
        <v>69.3</v>
      </c>
      <c r="AP986" s="416">
        <v>53.9</v>
      </c>
      <c r="AQ986" s="416">
        <v>41.4</v>
      </c>
      <c r="AR986" s="416">
        <v>31.8</v>
      </c>
      <c r="AS986" s="416">
        <v>23.9</v>
      </c>
      <c r="AT986" s="416">
        <v>18.8</v>
      </c>
      <c r="AU986" s="416">
        <v>14.6</v>
      </c>
      <c r="AV986" s="416">
        <v>10.8</v>
      </c>
      <c r="AW986" s="416">
        <v>7.83</v>
      </c>
      <c r="AX986" s="416">
        <v>0</v>
      </c>
      <c r="AY986" s="416">
        <v>0</v>
      </c>
      <c r="AZ986" s="416">
        <v>0</v>
      </c>
    </row>
    <row r="987" spans="1:52" s="411" customFormat="1" x14ac:dyDescent="0.3">
      <c r="A987" s="415" t="str">
        <f t="shared" si="15"/>
        <v>SA-182 Gr.F347H</v>
      </c>
      <c r="B987" s="415">
        <v>981</v>
      </c>
      <c r="C987" s="415" t="s">
        <v>3324</v>
      </c>
      <c r="D987" s="415" t="s">
        <v>2737</v>
      </c>
      <c r="E987" s="415" t="s">
        <v>2188</v>
      </c>
      <c r="F987" s="415" t="s">
        <v>2448</v>
      </c>
      <c r="G987" s="415" t="s">
        <v>3333</v>
      </c>
      <c r="H987" s="415">
        <v>0</v>
      </c>
      <c r="I987" s="415" t="s">
        <v>3207</v>
      </c>
      <c r="J987" s="415">
        <v>8</v>
      </c>
      <c r="K987" s="415">
        <v>1</v>
      </c>
      <c r="L987" s="415">
        <v>515</v>
      </c>
      <c r="M987" s="415">
        <v>205</v>
      </c>
      <c r="N987" s="415">
        <v>816</v>
      </c>
      <c r="O987" s="415" t="s">
        <v>2675</v>
      </c>
      <c r="P987" s="415">
        <v>816</v>
      </c>
      <c r="Q987" s="415" t="s">
        <v>2675</v>
      </c>
      <c r="R987" s="415" t="s">
        <v>3069</v>
      </c>
      <c r="S987" s="415" t="s">
        <v>3327</v>
      </c>
      <c r="T987" s="416">
        <v>138</v>
      </c>
      <c r="U987" s="416">
        <v>138</v>
      </c>
      <c r="V987" s="416">
        <v>132</v>
      </c>
      <c r="W987" s="416">
        <v>126</v>
      </c>
      <c r="X987" s="416">
        <v>122</v>
      </c>
      <c r="Y987" s="416">
        <v>118</v>
      </c>
      <c r="Z987" s="416">
        <v>111</v>
      </c>
      <c r="AA987" s="416">
        <v>105</v>
      </c>
      <c r="AB987" s="416">
        <v>99.8</v>
      </c>
      <c r="AC987" s="416">
        <v>97.9</v>
      </c>
      <c r="AD987" s="416">
        <v>96.1</v>
      </c>
      <c r="AE987" s="416">
        <v>95</v>
      </c>
      <c r="AF987" s="416">
        <v>94.4</v>
      </c>
      <c r="AG987" s="416">
        <v>93.8</v>
      </c>
      <c r="AH987" s="416">
        <v>93.2</v>
      </c>
      <c r="AI987" s="416">
        <v>92.5</v>
      </c>
      <c r="AJ987" s="416">
        <v>92.4</v>
      </c>
      <c r="AK987" s="416">
        <v>92.4</v>
      </c>
      <c r="AL987" s="416">
        <v>92.4</v>
      </c>
      <c r="AM987" s="416">
        <v>92.2</v>
      </c>
      <c r="AN987" s="416">
        <v>89.1</v>
      </c>
      <c r="AO987" s="416">
        <v>69.3</v>
      </c>
      <c r="AP987" s="416">
        <v>53.9</v>
      </c>
      <c r="AQ987" s="416">
        <v>41.4</v>
      </c>
      <c r="AR987" s="416">
        <v>31.8</v>
      </c>
      <c r="AS987" s="416">
        <v>23.9</v>
      </c>
      <c r="AT987" s="416">
        <v>18.8</v>
      </c>
      <c r="AU987" s="416">
        <v>14.6</v>
      </c>
      <c r="AV987" s="416">
        <v>10.8</v>
      </c>
      <c r="AW987" s="416">
        <v>7.83</v>
      </c>
      <c r="AX987" s="416">
        <v>0</v>
      </c>
      <c r="AY987" s="416">
        <v>0</v>
      </c>
      <c r="AZ987" s="416">
        <v>0</v>
      </c>
    </row>
    <row r="988" spans="1:52" s="411" customFormat="1" x14ac:dyDescent="0.3">
      <c r="A988" s="415" t="str">
        <f t="shared" si="15"/>
        <v>SA-213 Gr.TP347H</v>
      </c>
      <c r="B988" s="415">
        <v>982</v>
      </c>
      <c r="C988" s="415" t="s">
        <v>3324</v>
      </c>
      <c r="D988" s="415" t="s">
        <v>2693</v>
      </c>
      <c r="E988" s="415" t="s">
        <v>2195</v>
      </c>
      <c r="F988" s="415" t="s">
        <v>2578</v>
      </c>
      <c r="G988" s="415" t="s">
        <v>3333</v>
      </c>
      <c r="H988" s="415">
        <v>0</v>
      </c>
      <c r="I988" s="415">
        <v>0</v>
      </c>
      <c r="J988" s="415">
        <v>8</v>
      </c>
      <c r="K988" s="415">
        <v>1</v>
      </c>
      <c r="L988" s="415">
        <v>515</v>
      </c>
      <c r="M988" s="415">
        <v>205</v>
      </c>
      <c r="N988" s="415">
        <v>816</v>
      </c>
      <c r="O988" s="415">
        <v>427</v>
      </c>
      <c r="P988" s="415">
        <v>816</v>
      </c>
      <c r="Q988" s="415" t="s">
        <v>2675</v>
      </c>
      <c r="R988" s="415" t="s">
        <v>3069</v>
      </c>
      <c r="S988" s="415" t="s">
        <v>3334</v>
      </c>
      <c r="T988" s="416">
        <v>138</v>
      </c>
      <c r="U988" s="416">
        <v>138</v>
      </c>
      <c r="V988" s="416">
        <v>138</v>
      </c>
      <c r="W988" s="416">
        <v>137</v>
      </c>
      <c r="X988" s="416">
        <v>134</v>
      </c>
      <c r="Y988" s="416">
        <v>129</v>
      </c>
      <c r="Z988" s="416">
        <v>123</v>
      </c>
      <c r="AA988" s="416">
        <v>119</v>
      </c>
      <c r="AB988" s="416">
        <v>117</v>
      </c>
      <c r="AC988" s="416">
        <v>116</v>
      </c>
      <c r="AD988" s="416">
        <v>116</v>
      </c>
      <c r="AE988" s="416">
        <v>116</v>
      </c>
      <c r="AF988" s="416">
        <v>116</v>
      </c>
      <c r="AG988" s="416">
        <v>116</v>
      </c>
      <c r="AH988" s="416">
        <v>116</v>
      </c>
      <c r="AI988" s="416">
        <v>115</v>
      </c>
      <c r="AJ988" s="416">
        <v>115</v>
      </c>
      <c r="AK988" s="416">
        <v>114</v>
      </c>
      <c r="AL988" s="416">
        <v>113</v>
      </c>
      <c r="AM988" s="416">
        <v>109</v>
      </c>
      <c r="AN988" s="416">
        <v>92.3</v>
      </c>
      <c r="AO988" s="416">
        <v>69.3</v>
      </c>
      <c r="AP988" s="416">
        <v>53.9</v>
      </c>
      <c r="AQ988" s="416">
        <v>41.4</v>
      </c>
      <c r="AR988" s="416">
        <v>31.8</v>
      </c>
      <c r="AS988" s="416">
        <v>23.9</v>
      </c>
      <c r="AT988" s="416">
        <v>18.8</v>
      </c>
      <c r="AU988" s="416">
        <v>14.6</v>
      </c>
      <c r="AV988" s="416">
        <v>10.8</v>
      </c>
      <c r="AW988" s="416">
        <v>7.83</v>
      </c>
      <c r="AX988" s="416">
        <v>0</v>
      </c>
      <c r="AY988" s="416">
        <v>0</v>
      </c>
      <c r="AZ988" s="416">
        <v>0</v>
      </c>
    </row>
    <row r="989" spans="1:52" s="411" customFormat="1" x14ac:dyDescent="0.3">
      <c r="A989" s="415" t="str">
        <f t="shared" si="15"/>
        <v>SA-213 Gr.TP347H</v>
      </c>
      <c r="B989" s="415">
        <v>983</v>
      </c>
      <c r="C989" s="415" t="s">
        <v>3324</v>
      </c>
      <c r="D989" s="415" t="s">
        <v>2693</v>
      </c>
      <c r="E989" s="415" t="s">
        <v>2195</v>
      </c>
      <c r="F989" s="415" t="s">
        <v>2578</v>
      </c>
      <c r="G989" s="415" t="s">
        <v>3333</v>
      </c>
      <c r="H989" s="415">
        <v>0</v>
      </c>
      <c r="I989" s="415">
        <v>0</v>
      </c>
      <c r="J989" s="415">
        <v>8</v>
      </c>
      <c r="K989" s="415">
        <v>1</v>
      </c>
      <c r="L989" s="415">
        <v>515</v>
      </c>
      <c r="M989" s="415">
        <v>205</v>
      </c>
      <c r="N989" s="415">
        <v>816</v>
      </c>
      <c r="O989" s="415" t="s">
        <v>2675</v>
      </c>
      <c r="P989" s="415">
        <v>816</v>
      </c>
      <c r="Q989" s="415" t="s">
        <v>2675</v>
      </c>
      <c r="R989" s="415" t="s">
        <v>3069</v>
      </c>
      <c r="S989" s="415" t="s">
        <v>3327</v>
      </c>
      <c r="T989" s="416">
        <v>138</v>
      </c>
      <c r="U989" s="416">
        <v>138</v>
      </c>
      <c r="V989" s="416">
        <v>132</v>
      </c>
      <c r="W989" s="416">
        <v>126</v>
      </c>
      <c r="X989" s="416">
        <v>122</v>
      </c>
      <c r="Y989" s="416">
        <v>118</v>
      </c>
      <c r="Z989" s="416">
        <v>111</v>
      </c>
      <c r="AA989" s="416">
        <v>105</v>
      </c>
      <c r="AB989" s="416">
        <v>99.8</v>
      </c>
      <c r="AC989" s="416">
        <v>97.9</v>
      </c>
      <c r="AD989" s="416">
        <v>96.1</v>
      </c>
      <c r="AE989" s="416">
        <v>95</v>
      </c>
      <c r="AF989" s="416">
        <v>94.4</v>
      </c>
      <c r="AG989" s="416">
        <v>93.8</v>
      </c>
      <c r="AH989" s="416">
        <v>93.2</v>
      </c>
      <c r="AI989" s="416">
        <v>92.5</v>
      </c>
      <c r="AJ989" s="416">
        <v>92.4</v>
      </c>
      <c r="AK989" s="416">
        <v>92.4</v>
      </c>
      <c r="AL989" s="416">
        <v>92.4</v>
      </c>
      <c r="AM989" s="416">
        <v>92.2</v>
      </c>
      <c r="AN989" s="416">
        <v>89.1</v>
      </c>
      <c r="AO989" s="416">
        <v>69.3</v>
      </c>
      <c r="AP989" s="416">
        <v>53.9</v>
      </c>
      <c r="AQ989" s="416">
        <v>41.4</v>
      </c>
      <c r="AR989" s="416">
        <v>31.8</v>
      </c>
      <c r="AS989" s="416">
        <v>23.9</v>
      </c>
      <c r="AT989" s="416">
        <v>18.8</v>
      </c>
      <c r="AU989" s="416">
        <v>14.6</v>
      </c>
      <c r="AV989" s="416">
        <v>10.8</v>
      </c>
      <c r="AW989" s="416">
        <v>7.83</v>
      </c>
      <c r="AX989" s="416">
        <v>0</v>
      </c>
      <c r="AY989" s="416">
        <v>0</v>
      </c>
      <c r="AZ989" s="416">
        <v>0</v>
      </c>
    </row>
    <row r="990" spans="1:52" s="411" customFormat="1" x14ac:dyDescent="0.3">
      <c r="A990" s="415" t="str">
        <f t="shared" si="15"/>
        <v>SA-240 Gr.347H</v>
      </c>
      <c r="B990" s="415">
        <v>984</v>
      </c>
      <c r="C990" s="415" t="s">
        <v>3324</v>
      </c>
      <c r="D990" s="415" t="s">
        <v>2684</v>
      </c>
      <c r="E990" s="415" t="s">
        <v>2165</v>
      </c>
      <c r="F990" s="415" t="s">
        <v>2280</v>
      </c>
      <c r="G990" s="415" t="s">
        <v>3333</v>
      </c>
      <c r="H990" s="415">
        <v>0</v>
      </c>
      <c r="I990" s="415">
        <v>0</v>
      </c>
      <c r="J990" s="415">
        <v>8</v>
      </c>
      <c r="K990" s="415">
        <v>1</v>
      </c>
      <c r="L990" s="415">
        <v>515</v>
      </c>
      <c r="M990" s="415">
        <v>205</v>
      </c>
      <c r="N990" s="415">
        <v>816</v>
      </c>
      <c r="O990" s="415">
        <v>427</v>
      </c>
      <c r="P990" s="415">
        <v>816</v>
      </c>
      <c r="Q990" s="415" t="s">
        <v>2675</v>
      </c>
      <c r="R990" s="415" t="s">
        <v>3069</v>
      </c>
      <c r="S990" s="415" t="s">
        <v>3334</v>
      </c>
      <c r="T990" s="416">
        <v>138</v>
      </c>
      <c r="U990" s="416">
        <v>138</v>
      </c>
      <c r="V990" s="416">
        <v>138</v>
      </c>
      <c r="W990" s="416">
        <v>137</v>
      </c>
      <c r="X990" s="416">
        <v>134</v>
      </c>
      <c r="Y990" s="416">
        <v>129</v>
      </c>
      <c r="Z990" s="416">
        <v>123</v>
      </c>
      <c r="AA990" s="416">
        <v>119</v>
      </c>
      <c r="AB990" s="416">
        <v>117</v>
      </c>
      <c r="AC990" s="416">
        <v>116</v>
      </c>
      <c r="AD990" s="416">
        <v>116</v>
      </c>
      <c r="AE990" s="416">
        <v>116</v>
      </c>
      <c r="AF990" s="416">
        <v>116</v>
      </c>
      <c r="AG990" s="416">
        <v>116</v>
      </c>
      <c r="AH990" s="416">
        <v>116</v>
      </c>
      <c r="AI990" s="416">
        <v>115</v>
      </c>
      <c r="AJ990" s="416">
        <v>115</v>
      </c>
      <c r="AK990" s="416">
        <v>114</v>
      </c>
      <c r="AL990" s="416">
        <v>113</v>
      </c>
      <c r="AM990" s="416">
        <v>109</v>
      </c>
      <c r="AN990" s="416">
        <v>92.3</v>
      </c>
      <c r="AO990" s="416">
        <v>69.3</v>
      </c>
      <c r="AP990" s="416">
        <v>53.9</v>
      </c>
      <c r="AQ990" s="416">
        <v>41.4</v>
      </c>
      <c r="AR990" s="416">
        <v>31.8</v>
      </c>
      <c r="AS990" s="416">
        <v>23.9</v>
      </c>
      <c r="AT990" s="416">
        <v>18.8</v>
      </c>
      <c r="AU990" s="416">
        <v>14.6</v>
      </c>
      <c r="AV990" s="416">
        <v>10.8</v>
      </c>
      <c r="AW990" s="416">
        <v>7.83</v>
      </c>
      <c r="AX990" s="416">
        <v>0</v>
      </c>
      <c r="AY990" s="416">
        <v>0</v>
      </c>
      <c r="AZ990" s="416">
        <v>0</v>
      </c>
    </row>
    <row r="991" spans="1:52" s="411" customFormat="1" x14ac:dyDescent="0.3">
      <c r="A991" s="415" t="str">
        <f t="shared" si="15"/>
        <v>SA-240 Gr.347H</v>
      </c>
      <c r="B991" s="415">
        <v>985</v>
      </c>
      <c r="C991" s="415" t="s">
        <v>3324</v>
      </c>
      <c r="D991" s="415" t="s">
        <v>2684</v>
      </c>
      <c r="E991" s="415" t="s">
        <v>2165</v>
      </c>
      <c r="F991" s="415" t="s">
        <v>2280</v>
      </c>
      <c r="G991" s="415" t="s">
        <v>3333</v>
      </c>
      <c r="H991" s="415">
        <v>0</v>
      </c>
      <c r="I991" s="415">
        <v>0</v>
      </c>
      <c r="J991" s="415">
        <v>8</v>
      </c>
      <c r="K991" s="415">
        <v>1</v>
      </c>
      <c r="L991" s="415">
        <v>515</v>
      </c>
      <c r="M991" s="415">
        <v>205</v>
      </c>
      <c r="N991" s="415">
        <v>816</v>
      </c>
      <c r="O991" s="415" t="s">
        <v>2675</v>
      </c>
      <c r="P991" s="415">
        <v>816</v>
      </c>
      <c r="Q991" s="415" t="s">
        <v>2675</v>
      </c>
      <c r="R991" s="415" t="s">
        <v>3069</v>
      </c>
      <c r="S991" s="415" t="s">
        <v>3327</v>
      </c>
      <c r="T991" s="416">
        <v>138</v>
      </c>
      <c r="U991" s="416">
        <v>138</v>
      </c>
      <c r="V991" s="416">
        <v>132</v>
      </c>
      <c r="W991" s="416">
        <v>126</v>
      </c>
      <c r="X991" s="416">
        <v>122</v>
      </c>
      <c r="Y991" s="416">
        <v>118</v>
      </c>
      <c r="Z991" s="416">
        <v>111</v>
      </c>
      <c r="AA991" s="416">
        <v>105</v>
      </c>
      <c r="AB991" s="416">
        <v>99.8</v>
      </c>
      <c r="AC991" s="416">
        <v>97.9</v>
      </c>
      <c r="AD991" s="416">
        <v>96.1</v>
      </c>
      <c r="AE991" s="416">
        <v>95</v>
      </c>
      <c r="AF991" s="416">
        <v>94.4</v>
      </c>
      <c r="AG991" s="416">
        <v>93.8</v>
      </c>
      <c r="AH991" s="416">
        <v>93.2</v>
      </c>
      <c r="AI991" s="416">
        <v>92.5</v>
      </c>
      <c r="AJ991" s="416">
        <v>92.4</v>
      </c>
      <c r="AK991" s="416">
        <v>92.4</v>
      </c>
      <c r="AL991" s="416">
        <v>92.4</v>
      </c>
      <c r="AM991" s="416">
        <v>92.2</v>
      </c>
      <c r="AN991" s="416">
        <v>89.1</v>
      </c>
      <c r="AO991" s="416">
        <v>69.3</v>
      </c>
      <c r="AP991" s="416">
        <v>53.9</v>
      </c>
      <c r="AQ991" s="416">
        <v>41.4</v>
      </c>
      <c r="AR991" s="416">
        <v>31.8</v>
      </c>
      <c r="AS991" s="416">
        <v>23.9</v>
      </c>
      <c r="AT991" s="416">
        <v>18.8</v>
      </c>
      <c r="AU991" s="416">
        <v>14.6</v>
      </c>
      <c r="AV991" s="416">
        <v>10.8</v>
      </c>
      <c r="AW991" s="416">
        <v>7.83</v>
      </c>
      <c r="AX991" s="416">
        <v>0</v>
      </c>
      <c r="AY991" s="416">
        <v>0</v>
      </c>
      <c r="AZ991" s="416">
        <v>0</v>
      </c>
    </row>
    <row r="992" spans="1:52" s="411" customFormat="1" x14ac:dyDescent="0.3">
      <c r="A992" s="415" t="str">
        <f t="shared" si="15"/>
        <v>SA-249 Gr.TP347H</v>
      </c>
      <c r="B992" s="415">
        <v>986</v>
      </c>
      <c r="C992" s="415" t="s">
        <v>3324</v>
      </c>
      <c r="D992" s="415" t="s">
        <v>2689</v>
      </c>
      <c r="E992" s="415" t="s">
        <v>2200</v>
      </c>
      <c r="F992" s="415" t="s">
        <v>2578</v>
      </c>
      <c r="G992" s="415" t="s">
        <v>3333</v>
      </c>
      <c r="H992" s="415">
        <v>0</v>
      </c>
      <c r="I992" s="415">
        <v>0</v>
      </c>
      <c r="J992" s="415">
        <v>8</v>
      </c>
      <c r="K992" s="415">
        <v>1</v>
      </c>
      <c r="L992" s="415">
        <v>515</v>
      </c>
      <c r="M992" s="415">
        <v>205</v>
      </c>
      <c r="N992" s="415">
        <v>816</v>
      </c>
      <c r="O992" s="415">
        <v>427</v>
      </c>
      <c r="P992" s="415" t="s">
        <v>2675</v>
      </c>
      <c r="Q992" s="415" t="s">
        <v>2675</v>
      </c>
      <c r="R992" s="415" t="s">
        <v>3069</v>
      </c>
      <c r="S992" s="415" t="s">
        <v>3244</v>
      </c>
      <c r="T992" s="416">
        <v>138</v>
      </c>
      <c r="U992" s="416">
        <v>138</v>
      </c>
      <c r="V992" s="416">
        <v>138</v>
      </c>
      <c r="W992" s="416">
        <v>137</v>
      </c>
      <c r="X992" s="416">
        <v>134</v>
      </c>
      <c r="Y992" s="416">
        <v>129</v>
      </c>
      <c r="Z992" s="416">
        <v>123</v>
      </c>
      <c r="AA992" s="416">
        <v>119</v>
      </c>
      <c r="AB992" s="416">
        <v>117</v>
      </c>
      <c r="AC992" s="416">
        <v>116</v>
      </c>
      <c r="AD992" s="416">
        <v>116</v>
      </c>
      <c r="AE992" s="416">
        <v>116</v>
      </c>
      <c r="AF992" s="416">
        <v>116</v>
      </c>
      <c r="AG992" s="416">
        <v>116</v>
      </c>
      <c r="AH992" s="416">
        <v>116</v>
      </c>
      <c r="AI992" s="416">
        <v>115</v>
      </c>
      <c r="AJ992" s="416">
        <v>115</v>
      </c>
      <c r="AK992" s="416">
        <v>114</v>
      </c>
      <c r="AL992" s="416">
        <v>113</v>
      </c>
      <c r="AM992" s="416">
        <v>109</v>
      </c>
      <c r="AN992" s="416">
        <v>92.3</v>
      </c>
      <c r="AO992" s="416">
        <v>69.3</v>
      </c>
      <c r="AP992" s="416">
        <v>53.9</v>
      </c>
      <c r="AQ992" s="416">
        <v>41.4</v>
      </c>
      <c r="AR992" s="416">
        <v>31.8</v>
      </c>
      <c r="AS992" s="416">
        <v>23.9</v>
      </c>
      <c r="AT992" s="416">
        <v>18.8</v>
      </c>
      <c r="AU992" s="416">
        <v>14.6</v>
      </c>
      <c r="AV992" s="416">
        <v>10.8</v>
      </c>
      <c r="AW992" s="416">
        <v>7.83</v>
      </c>
      <c r="AX992" s="416">
        <v>0</v>
      </c>
      <c r="AY992" s="416">
        <v>0</v>
      </c>
      <c r="AZ992" s="416">
        <v>0</v>
      </c>
    </row>
    <row r="993" spans="1:52" s="411" customFormat="1" x14ac:dyDescent="0.3">
      <c r="A993" s="415" t="str">
        <f t="shared" si="15"/>
        <v>SA-249 Gr.TP347H</v>
      </c>
      <c r="B993" s="415">
        <v>987</v>
      </c>
      <c r="C993" s="415" t="s">
        <v>3324</v>
      </c>
      <c r="D993" s="415" t="s">
        <v>2689</v>
      </c>
      <c r="E993" s="415" t="s">
        <v>2200</v>
      </c>
      <c r="F993" s="415" t="s">
        <v>2578</v>
      </c>
      <c r="G993" s="415" t="s">
        <v>3333</v>
      </c>
      <c r="H993" s="415">
        <v>0</v>
      </c>
      <c r="I993" s="415">
        <v>0</v>
      </c>
      <c r="J993" s="415">
        <v>8</v>
      </c>
      <c r="K993" s="415">
        <v>1</v>
      </c>
      <c r="L993" s="415">
        <v>515</v>
      </c>
      <c r="M993" s="415">
        <v>205</v>
      </c>
      <c r="N993" s="415">
        <v>816</v>
      </c>
      <c r="O993" s="415" t="s">
        <v>2675</v>
      </c>
      <c r="P993" s="415" t="s">
        <v>2675</v>
      </c>
      <c r="Q993" s="415" t="s">
        <v>2675</v>
      </c>
      <c r="R993" s="415" t="s">
        <v>3069</v>
      </c>
      <c r="S993" s="415" t="s">
        <v>3243</v>
      </c>
      <c r="T993" s="416">
        <v>138</v>
      </c>
      <c r="U993" s="416">
        <v>138</v>
      </c>
      <c r="V993" s="416">
        <v>132</v>
      </c>
      <c r="W993" s="416">
        <v>126</v>
      </c>
      <c r="X993" s="416">
        <v>122</v>
      </c>
      <c r="Y993" s="416">
        <v>118</v>
      </c>
      <c r="Z993" s="416">
        <v>111</v>
      </c>
      <c r="AA993" s="416">
        <v>105</v>
      </c>
      <c r="AB993" s="416">
        <v>99.8</v>
      </c>
      <c r="AC993" s="416">
        <v>97.9</v>
      </c>
      <c r="AD993" s="416">
        <v>96.1</v>
      </c>
      <c r="AE993" s="416">
        <v>95</v>
      </c>
      <c r="AF993" s="416">
        <v>94.4</v>
      </c>
      <c r="AG993" s="416">
        <v>93.8</v>
      </c>
      <c r="AH993" s="416">
        <v>93.2</v>
      </c>
      <c r="AI993" s="416">
        <v>92.5</v>
      </c>
      <c r="AJ993" s="416">
        <v>92.4</v>
      </c>
      <c r="AK993" s="416">
        <v>92.4</v>
      </c>
      <c r="AL993" s="416">
        <v>92.4</v>
      </c>
      <c r="AM993" s="416">
        <v>92.2</v>
      </c>
      <c r="AN993" s="416">
        <v>89.1</v>
      </c>
      <c r="AO993" s="416">
        <v>69.3</v>
      </c>
      <c r="AP993" s="416">
        <v>53.9</v>
      </c>
      <c r="AQ993" s="416">
        <v>41.4</v>
      </c>
      <c r="AR993" s="416">
        <v>31.8</v>
      </c>
      <c r="AS993" s="416">
        <v>23.9</v>
      </c>
      <c r="AT993" s="416">
        <v>18.8</v>
      </c>
      <c r="AU993" s="416">
        <v>14.6</v>
      </c>
      <c r="AV993" s="416">
        <v>10.8</v>
      </c>
      <c r="AW993" s="416">
        <v>7.83</v>
      </c>
      <c r="AX993" s="416">
        <v>0</v>
      </c>
      <c r="AY993" s="416">
        <v>0</v>
      </c>
      <c r="AZ993" s="416">
        <v>0</v>
      </c>
    </row>
    <row r="994" spans="1:52" s="411" customFormat="1" x14ac:dyDescent="0.3">
      <c r="A994" s="415" t="str">
        <f t="shared" si="15"/>
        <v>SA-249 Gr.TP347H</v>
      </c>
      <c r="B994" s="415">
        <v>988</v>
      </c>
      <c r="C994" s="415" t="s">
        <v>3324</v>
      </c>
      <c r="D994" s="415" t="s">
        <v>2689</v>
      </c>
      <c r="E994" s="415" t="s">
        <v>2200</v>
      </c>
      <c r="F994" s="415" t="s">
        <v>2578</v>
      </c>
      <c r="G994" s="415" t="s">
        <v>3333</v>
      </c>
      <c r="H994" s="415">
        <v>0</v>
      </c>
      <c r="I994" s="415">
        <v>0</v>
      </c>
      <c r="J994" s="415">
        <v>8</v>
      </c>
      <c r="K994" s="415">
        <v>1</v>
      </c>
      <c r="L994" s="415">
        <v>515</v>
      </c>
      <c r="M994" s="415">
        <v>205</v>
      </c>
      <c r="N994" s="415">
        <v>816</v>
      </c>
      <c r="O994" s="415" t="s">
        <v>2675</v>
      </c>
      <c r="P994" s="415">
        <v>816</v>
      </c>
      <c r="Q994" s="415" t="s">
        <v>2675</v>
      </c>
      <c r="R994" s="415" t="s">
        <v>3069</v>
      </c>
      <c r="S994" s="415" t="s">
        <v>3349</v>
      </c>
      <c r="T994" s="416">
        <v>117</v>
      </c>
      <c r="U994" s="416">
        <v>117</v>
      </c>
      <c r="V994" s="416">
        <v>117</v>
      </c>
      <c r="W994" s="416">
        <v>117</v>
      </c>
      <c r="X994" s="416">
        <v>114</v>
      </c>
      <c r="Y994" s="416">
        <v>110</v>
      </c>
      <c r="Z994" s="416">
        <v>104</v>
      </c>
      <c r="AA994" s="416">
        <v>101</v>
      </c>
      <c r="AB994" s="416">
        <v>98.9</v>
      </c>
      <c r="AC994" s="416">
        <v>98.6</v>
      </c>
      <c r="AD994" s="416">
        <v>98.6</v>
      </c>
      <c r="AE994" s="416">
        <v>98.6</v>
      </c>
      <c r="AF994" s="416">
        <v>98.6</v>
      </c>
      <c r="AG994" s="416">
        <v>98.6</v>
      </c>
      <c r="AH994" s="416">
        <v>98.6</v>
      </c>
      <c r="AI994" s="416">
        <v>98.1</v>
      </c>
      <c r="AJ994" s="416">
        <v>97.5</v>
      </c>
      <c r="AK994" s="416">
        <v>96.8</v>
      </c>
      <c r="AL994" s="416">
        <v>96.2</v>
      </c>
      <c r="AM994" s="416">
        <v>91.9</v>
      </c>
      <c r="AN994" s="416">
        <v>77.900000000000006</v>
      </c>
      <c r="AO994" s="416">
        <v>58.8</v>
      </c>
      <c r="AP994" s="416">
        <v>45.7</v>
      </c>
      <c r="AQ994" s="416">
        <v>35.1</v>
      </c>
      <c r="AR994" s="416">
        <v>26.8</v>
      </c>
      <c r="AS994" s="416">
        <v>20.100000000000001</v>
      </c>
      <c r="AT994" s="416">
        <v>15.8</v>
      </c>
      <c r="AU994" s="416">
        <v>12.6</v>
      </c>
      <c r="AV994" s="416">
        <v>9.52</v>
      </c>
      <c r="AW994" s="416">
        <v>6.41</v>
      </c>
      <c r="AX994" s="416">
        <v>0</v>
      </c>
      <c r="AY994" s="416">
        <v>0</v>
      </c>
      <c r="AZ994" s="416">
        <v>0</v>
      </c>
    </row>
    <row r="995" spans="1:52" s="411" customFormat="1" x14ac:dyDescent="0.3">
      <c r="A995" s="415" t="str">
        <f t="shared" si="15"/>
        <v>SA-249 Gr.TP347H</v>
      </c>
      <c r="B995" s="415">
        <v>989</v>
      </c>
      <c r="C995" s="415" t="s">
        <v>3324</v>
      </c>
      <c r="D995" s="415" t="s">
        <v>2689</v>
      </c>
      <c r="E995" s="415" t="s">
        <v>2200</v>
      </c>
      <c r="F995" s="415" t="s">
        <v>2578</v>
      </c>
      <c r="G995" s="415" t="s">
        <v>3333</v>
      </c>
      <c r="H995" s="415">
        <v>0</v>
      </c>
      <c r="I995" s="415">
        <v>0</v>
      </c>
      <c r="J995" s="415">
        <v>8</v>
      </c>
      <c r="K995" s="415">
        <v>1</v>
      </c>
      <c r="L995" s="415">
        <v>515</v>
      </c>
      <c r="M995" s="415">
        <v>205</v>
      </c>
      <c r="N995" s="415">
        <v>816</v>
      </c>
      <c r="O995" s="415" t="s">
        <v>2675</v>
      </c>
      <c r="P995" s="415">
        <v>816</v>
      </c>
      <c r="Q995" s="415" t="s">
        <v>2675</v>
      </c>
      <c r="R995" s="415" t="s">
        <v>3069</v>
      </c>
      <c r="S995" s="415" t="s">
        <v>3242</v>
      </c>
      <c r="T995" s="416">
        <v>117</v>
      </c>
      <c r="U995" s="416">
        <v>117</v>
      </c>
      <c r="V995" s="416">
        <v>112</v>
      </c>
      <c r="W995" s="416">
        <v>107</v>
      </c>
      <c r="X995" s="416">
        <v>103</v>
      </c>
      <c r="Y995" s="416">
        <v>101</v>
      </c>
      <c r="Z995" s="416">
        <v>94.3</v>
      </c>
      <c r="AA995" s="416">
        <v>89.1</v>
      </c>
      <c r="AB995" s="416">
        <v>85.3</v>
      </c>
      <c r="AC995" s="416">
        <v>83.3</v>
      </c>
      <c r="AD995" s="416">
        <v>81.8</v>
      </c>
      <c r="AE995" s="416">
        <v>81.2</v>
      </c>
      <c r="AF995" s="416">
        <v>79.900000000000006</v>
      </c>
      <c r="AG995" s="416">
        <v>79.3</v>
      </c>
      <c r="AH995" s="416">
        <v>79.3</v>
      </c>
      <c r="AI995" s="416">
        <v>78.7</v>
      </c>
      <c r="AJ995" s="416">
        <v>78.599999999999994</v>
      </c>
      <c r="AK995" s="416">
        <v>78.599999999999994</v>
      </c>
      <c r="AL995" s="416">
        <v>78.599999999999994</v>
      </c>
      <c r="AM995" s="416">
        <v>78.400000000000006</v>
      </c>
      <c r="AN995" s="416">
        <v>75.7</v>
      </c>
      <c r="AO995" s="416">
        <v>58.8</v>
      </c>
      <c r="AP995" s="416">
        <v>45.7</v>
      </c>
      <c r="AQ995" s="416">
        <v>35.1</v>
      </c>
      <c r="AR995" s="416">
        <v>26.8</v>
      </c>
      <c r="AS995" s="416">
        <v>20.100000000000001</v>
      </c>
      <c r="AT995" s="416">
        <v>15.8</v>
      </c>
      <c r="AU995" s="416">
        <v>12.6</v>
      </c>
      <c r="AV995" s="416">
        <v>9.52</v>
      </c>
      <c r="AW995" s="416">
        <v>6.41</v>
      </c>
      <c r="AX995" s="416">
        <v>0</v>
      </c>
      <c r="AY995" s="416">
        <v>0</v>
      </c>
      <c r="AZ995" s="416">
        <v>0</v>
      </c>
    </row>
    <row r="996" spans="1:52" s="411" customFormat="1" x14ac:dyDescent="0.3">
      <c r="A996" s="415" t="str">
        <f t="shared" si="15"/>
        <v>SA-312 Gr.TP347H</v>
      </c>
      <c r="B996" s="415">
        <v>990</v>
      </c>
      <c r="C996" s="415" t="s">
        <v>3324</v>
      </c>
      <c r="D996" s="415" t="s">
        <v>2720</v>
      </c>
      <c r="E996" s="415" t="s">
        <v>2208</v>
      </c>
      <c r="F996" s="415" t="s">
        <v>2578</v>
      </c>
      <c r="G996" s="415" t="s">
        <v>3333</v>
      </c>
      <c r="H996" s="415">
        <v>0</v>
      </c>
      <c r="I996" s="415">
        <v>0</v>
      </c>
      <c r="J996" s="415">
        <v>8</v>
      </c>
      <c r="K996" s="415">
        <v>1</v>
      </c>
      <c r="L996" s="415">
        <v>515</v>
      </c>
      <c r="M996" s="415">
        <v>205</v>
      </c>
      <c r="N996" s="415">
        <v>816</v>
      </c>
      <c r="O996" s="415">
        <v>427</v>
      </c>
      <c r="P996" s="415">
        <v>816</v>
      </c>
      <c r="Q996" s="415" t="s">
        <v>2675</v>
      </c>
      <c r="R996" s="415" t="s">
        <v>3069</v>
      </c>
      <c r="S996" s="415" t="s">
        <v>3350</v>
      </c>
      <c r="T996" s="416">
        <v>138</v>
      </c>
      <c r="U996" s="416">
        <v>138</v>
      </c>
      <c r="V996" s="416">
        <v>138</v>
      </c>
      <c r="W996" s="416">
        <v>137</v>
      </c>
      <c r="X996" s="416">
        <v>134</v>
      </c>
      <c r="Y996" s="416">
        <v>129</v>
      </c>
      <c r="Z996" s="416">
        <v>123</v>
      </c>
      <c r="AA996" s="416">
        <v>119</v>
      </c>
      <c r="AB996" s="416">
        <v>117</v>
      </c>
      <c r="AC996" s="416">
        <v>116</v>
      </c>
      <c r="AD996" s="416">
        <v>116</v>
      </c>
      <c r="AE996" s="416">
        <v>116</v>
      </c>
      <c r="AF996" s="416">
        <v>116</v>
      </c>
      <c r="AG996" s="416">
        <v>116</v>
      </c>
      <c r="AH996" s="416">
        <v>116</v>
      </c>
      <c r="AI996" s="416">
        <v>115</v>
      </c>
      <c r="AJ996" s="416">
        <v>115</v>
      </c>
      <c r="AK996" s="416">
        <v>114</v>
      </c>
      <c r="AL996" s="416">
        <v>113</v>
      </c>
      <c r="AM996" s="416">
        <v>109</v>
      </c>
      <c r="AN996" s="416">
        <v>92.3</v>
      </c>
      <c r="AO996" s="416">
        <v>69.3</v>
      </c>
      <c r="AP996" s="416">
        <v>53.9</v>
      </c>
      <c r="AQ996" s="416">
        <v>41.4</v>
      </c>
      <c r="AR996" s="416">
        <v>31.8</v>
      </c>
      <c r="AS996" s="416">
        <v>23.9</v>
      </c>
      <c r="AT996" s="416">
        <v>18.8</v>
      </c>
      <c r="AU996" s="416">
        <v>14.6</v>
      </c>
      <c r="AV996" s="416">
        <v>10.8</v>
      </c>
      <c r="AW996" s="416">
        <v>7.83</v>
      </c>
      <c r="AX996" s="416">
        <v>0</v>
      </c>
      <c r="AY996" s="416">
        <v>0</v>
      </c>
      <c r="AZ996" s="416">
        <v>0</v>
      </c>
    </row>
    <row r="997" spans="1:52" s="411" customFormat="1" x14ac:dyDescent="0.3">
      <c r="A997" s="415" t="str">
        <f t="shared" si="15"/>
        <v>SA-312 Gr.TP347H</v>
      </c>
      <c r="B997" s="415">
        <v>991</v>
      </c>
      <c r="C997" s="415" t="s">
        <v>3324</v>
      </c>
      <c r="D997" s="415" t="s">
        <v>2720</v>
      </c>
      <c r="E997" s="415" t="s">
        <v>2208</v>
      </c>
      <c r="F997" s="415" t="s">
        <v>2578</v>
      </c>
      <c r="G997" s="415" t="s">
        <v>3333</v>
      </c>
      <c r="H997" s="415">
        <v>0</v>
      </c>
      <c r="I997" s="415">
        <v>0</v>
      </c>
      <c r="J997" s="415">
        <v>8</v>
      </c>
      <c r="K997" s="415">
        <v>1</v>
      </c>
      <c r="L997" s="415">
        <v>515</v>
      </c>
      <c r="M997" s="415">
        <v>205</v>
      </c>
      <c r="N997" s="415">
        <v>816</v>
      </c>
      <c r="O997" s="415" t="s">
        <v>2675</v>
      </c>
      <c r="P997" s="415">
        <v>816</v>
      </c>
      <c r="Q997" s="415" t="s">
        <v>2675</v>
      </c>
      <c r="R997" s="415" t="s">
        <v>3069</v>
      </c>
      <c r="S997" s="415" t="s">
        <v>3351</v>
      </c>
      <c r="T997" s="416">
        <v>138</v>
      </c>
      <c r="U997" s="416">
        <v>138</v>
      </c>
      <c r="V997" s="416">
        <v>132</v>
      </c>
      <c r="W997" s="416">
        <v>126</v>
      </c>
      <c r="X997" s="416">
        <v>122</v>
      </c>
      <c r="Y997" s="416">
        <v>118</v>
      </c>
      <c r="Z997" s="416">
        <v>111</v>
      </c>
      <c r="AA997" s="416">
        <v>105</v>
      </c>
      <c r="AB997" s="416">
        <v>99.8</v>
      </c>
      <c r="AC997" s="416">
        <v>97.9</v>
      </c>
      <c r="AD997" s="416">
        <v>96.1</v>
      </c>
      <c r="AE997" s="416">
        <v>95</v>
      </c>
      <c r="AF997" s="416">
        <v>94.4</v>
      </c>
      <c r="AG997" s="416">
        <v>93.8</v>
      </c>
      <c r="AH997" s="416">
        <v>93.2</v>
      </c>
      <c r="AI997" s="416">
        <v>92.5</v>
      </c>
      <c r="AJ997" s="416">
        <v>92.4</v>
      </c>
      <c r="AK997" s="416">
        <v>92.4</v>
      </c>
      <c r="AL997" s="416">
        <v>92.4</v>
      </c>
      <c r="AM997" s="416">
        <v>92.2</v>
      </c>
      <c r="AN997" s="416">
        <v>89.1</v>
      </c>
      <c r="AO997" s="416">
        <v>69.3</v>
      </c>
      <c r="AP997" s="416">
        <v>53.9</v>
      </c>
      <c r="AQ997" s="416">
        <v>41.4</v>
      </c>
      <c r="AR997" s="416">
        <v>31.8</v>
      </c>
      <c r="AS997" s="416">
        <v>23.9</v>
      </c>
      <c r="AT997" s="416">
        <v>18.8</v>
      </c>
      <c r="AU997" s="416">
        <v>14.6</v>
      </c>
      <c r="AV997" s="416">
        <v>10.8</v>
      </c>
      <c r="AW997" s="416">
        <v>7.83</v>
      </c>
      <c r="AX997" s="416">
        <v>0</v>
      </c>
      <c r="AY997" s="416">
        <v>0</v>
      </c>
      <c r="AZ997" s="416">
        <v>0</v>
      </c>
    </row>
    <row r="998" spans="1:52" s="411" customFormat="1" x14ac:dyDescent="0.3">
      <c r="A998" s="415" t="str">
        <f t="shared" si="15"/>
        <v>SA-312 Gr.TP347H</v>
      </c>
      <c r="B998" s="415">
        <v>992</v>
      </c>
      <c r="C998" s="415" t="s">
        <v>3324</v>
      </c>
      <c r="D998" s="415" t="s">
        <v>2680</v>
      </c>
      <c r="E998" s="415" t="s">
        <v>2208</v>
      </c>
      <c r="F998" s="415" t="s">
        <v>2578</v>
      </c>
      <c r="G998" s="415" t="s">
        <v>3333</v>
      </c>
      <c r="H998" s="415">
        <v>0</v>
      </c>
      <c r="I998" s="415">
        <v>0</v>
      </c>
      <c r="J998" s="415">
        <v>8</v>
      </c>
      <c r="K998" s="415">
        <v>1</v>
      </c>
      <c r="L998" s="415">
        <v>515</v>
      </c>
      <c r="M998" s="415">
        <v>205</v>
      </c>
      <c r="N998" s="415">
        <v>816</v>
      </c>
      <c r="O998" s="415" t="s">
        <v>2675</v>
      </c>
      <c r="P998" s="415">
        <v>816</v>
      </c>
      <c r="Q998" s="415" t="s">
        <v>2675</v>
      </c>
      <c r="R998" s="415" t="s">
        <v>3069</v>
      </c>
      <c r="S998" s="415" t="s">
        <v>3352</v>
      </c>
      <c r="T998" s="416">
        <v>117</v>
      </c>
      <c r="U998" s="416">
        <v>117</v>
      </c>
      <c r="V998" s="416">
        <v>117</v>
      </c>
      <c r="W998" s="416">
        <v>117</v>
      </c>
      <c r="X998" s="416">
        <v>114</v>
      </c>
      <c r="Y998" s="416">
        <v>110</v>
      </c>
      <c r="Z998" s="416">
        <v>104</v>
      </c>
      <c r="AA998" s="416">
        <v>101</v>
      </c>
      <c r="AB998" s="416">
        <v>98.9</v>
      </c>
      <c r="AC998" s="416">
        <v>98.6</v>
      </c>
      <c r="AD998" s="416">
        <v>98.6</v>
      </c>
      <c r="AE998" s="416">
        <v>98.6</v>
      </c>
      <c r="AF998" s="416">
        <v>98.6</v>
      </c>
      <c r="AG998" s="416">
        <v>98.6</v>
      </c>
      <c r="AH998" s="416">
        <v>98.6</v>
      </c>
      <c r="AI998" s="416">
        <v>98.1</v>
      </c>
      <c r="AJ998" s="416">
        <v>97.5</v>
      </c>
      <c r="AK998" s="416">
        <v>96.8</v>
      </c>
      <c r="AL998" s="416">
        <v>96.2</v>
      </c>
      <c r="AM998" s="416">
        <v>91.9</v>
      </c>
      <c r="AN998" s="416">
        <v>77.900000000000006</v>
      </c>
      <c r="AO998" s="416">
        <v>58.8</v>
      </c>
      <c r="AP998" s="416">
        <v>45.7</v>
      </c>
      <c r="AQ998" s="416">
        <v>35.1</v>
      </c>
      <c r="AR998" s="416">
        <v>26.8</v>
      </c>
      <c r="AS998" s="416">
        <v>20.100000000000001</v>
      </c>
      <c r="AT998" s="416">
        <v>15.8</v>
      </c>
      <c r="AU998" s="416">
        <v>12.6</v>
      </c>
      <c r="AV998" s="416">
        <v>9.52</v>
      </c>
      <c r="AW998" s="416">
        <v>6.41</v>
      </c>
      <c r="AX998" s="416">
        <v>0</v>
      </c>
      <c r="AY998" s="416">
        <v>0</v>
      </c>
      <c r="AZ998" s="416">
        <v>0</v>
      </c>
    </row>
    <row r="999" spans="1:52" s="411" customFormat="1" x14ac:dyDescent="0.3">
      <c r="A999" s="415" t="str">
        <f t="shared" si="15"/>
        <v>SA-312 Gr.TP347H</v>
      </c>
      <c r="B999" s="415">
        <v>993</v>
      </c>
      <c r="C999" s="415" t="s">
        <v>3324</v>
      </c>
      <c r="D999" s="415" t="s">
        <v>2680</v>
      </c>
      <c r="E999" s="415" t="s">
        <v>2208</v>
      </c>
      <c r="F999" s="415" t="s">
        <v>2578</v>
      </c>
      <c r="G999" s="415" t="s">
        <v>3333</v>
      </c>
      <c r="H999" s="415">
        <v>0</v>
      </c>
      <c r="I999" s="415">
        <v>0</v>
      </c>
      <c r="J999" s="415">
        <v>8</v>
      </c>
      <c r="K999" s="415">
        <v>1</v>
      </c>
      <c r="L999" s="415">
        <v>515</v>
      </c>
      <c r="M999" s="415">
        <v>205</v>
      </c>
      <c r="N999" s="415">
        <v>816</v>
      </c>
      <c r="O999" s="415" t="s">
        <v>2675</v>
      </c>
      <c r="P999" s="415">
        <v>816</v>
      </c>
      <c r="Q999" s="415" t="s">
        <v>2675</v>
      </c>
      <c r="R999" s="415" t="s">
        <v>3069</v>
      </c>
      <c r="S999" s="415" t="s">
        <v>3353</v>
      </c>
      <c r="T999" s="416">
        <v>117</v>
      </c>
      <c r="U999" s="416">
        <v>117</v>
      </c>
      <c r="V999" s="416">
        <v>112</v>
      </c>
      <c r="W999" s="416">
        <v>107</v>
      </c>
      <c r="X999" s="416">
        <v>103</v>
      </c>
      <c r="Y999" s="416">
        <v>101</v>
      </c>
      <c r="Z999" s="416">
        <v>94.3</v>
      </c>
      <c r="AA999" s="416">
        <v>89.1</v>
      </c>
      <c r="AB999" s="416">
        <v>85.3</v>
      </c>
      <c r="AC999" s="416">
        <v>83.3</v>
      </c>
      <c r="AD999" s="416">
        <v>81.8</v>
      </c>
      <c r="AE999" s="416">
        <v>81.2</v>
      </c>
      <c r="AF999" s="416">
        <v>79.900000000000006</v>
      </c>
      <c r="AG999" s="416">
        <v>79.3</v>
      </c>
      <c r="AH999" s="416">
        <v>79.3</v>
      </c>
      <c r="AI999" s="416">
        <v>78.7</v>
      </c>
      <c r="AJ999" s="416">
        <v>78.599999999999994</v>
      </c>
      <c r="AK999" s="416">
        <v>78.599999999999994</v>
      </c>
      <c r="AL999" s="416">
        <v>78.599999999999994</v>
      </c>
      <c r="AM999" s="416">
        <v>78.400000000000006</v>
      </c>
      <c r="AN999" s="416">
        <v>75.7</v>
      </c>
      <c r="AO999" s="416">
        <v>58.8</v>
      </c>
      <c r="AP999" s="416">
        <v>45.7</v>
      </c>
      <c r="AQ999" s="416">
        <v>35.1</v>
      </c>
      <c r="AR999" s="416">
        <v>26.8</v>
      </c>
      <c r="AS999" s="416">
        <v>20.100000000000001</v>
      </c>
      <c r="AT999" s="416">
        <v>15.8</v>
      </c>
      <c r="AU999" s="416">
        <v>12.6</v>
      </c>
      <c r="AV999" s="416">
        <v>9.52</v>
      </c>
      <c r="AW999" s="416">
        <v>6.41</v>
      </c>
      <c r="AX999" s="416">
        <v>0</v>
      </c>
      <c r="AY999" s="416">
        <v>0</v>
      </c>
      <c r="AZ999" s="416">
        <v>0</v>
      </c>
    </row>
    <row r="1000" spans="1:52" s="411" customFormat="1" x14ac:dyDescent="0.3">
      <c r="A1000" s="415" t="str">
        <f t="shared" si="15"/>
        <v>SA-376 Gr.TP347H</v>
      </c>
      <c r="B1000" s="415">
        <v>994</v>
      </c>
      <c r="C1000" s="415" t="s">
        <v>3324</v>
      </c>
      <c r="D1000" s="415" t="s">
        <v>2703</v>
      </c>
      <c r="E1000" s="415" t="s">
        <v>2225</v>
      </c>
      <c r="F1000" s="415" t="s">
        <v>2578</v>
      </c>
      <c r="G1000" s="415" t="s">
        <v>3333</v>
      </c>
      <c r="H1000" s="415">
        <v>0</v>
      </c>
      <c r="I1000" s="415">
        <v>0</v>
      </c>
      <c r="J1000" s="415">
        <v>8</v>
      </c>
      <c r="K1000" s="415">
        <v>1</v>
      </c>
      <c r="L1000" s="415">
        <v>515</v>
      </c>
      <c r="M1000" s="415">
        <v>205</v>
      </c>
      <c r="N1000" s="415">
        <v>816</v>
      </c>
      <c r="O1000" s="415">
        <v>427</v>
      </c>
      <c r="P1000" s="415">
        <v>816</v>
      </c>
      <c r="Q1000" s="415" t="s">
        <v>2675</v>
      </c>
      <c r="R1000" s="415" t="s">
        <v>3069</v>
      </c>
      <c r="S1000" s="415" t="s">
        <v>3334</v>
      </c>
      <c r="T1000" s="416">
        <v>138</v>
      </c>
      <c r="U1000" s="416">
        <v>138</v>
      </c>
      <c r="V1000" s="416">
        <v>138</v>
      </c>
      <c r="W1000" s="416">
        <v>137</v>
      </c>
      <c r="X1000" s="416">
        <v>134</v>
      </c>
      <c r="Y1000" s="416">
        <v>129</v>
      </c>
      <c r="Z1000" s="416">
        <v>123</v>
      </c>
      <c r="AA1000" s="416">
        <v>119</v>
      </c>
      <c r="AB1000" s="416">
        <v>117</v>
      </c>
      <c r="AC1000" s="416">
        <v>116</v>
      </c>
      <c r="AD1000" s="416">
        <v>116</v>
      </c>
      <c r="AE1000" s="416">
        <v>116</v>
      </c>
      <c r="AF1000" s="416">
        <v>116</v>
      </c>
      <c r="AG1000" s="416">
        <v>116</v>
      </c>
      <c r="AH1000" s="416">
        <v>116</v>
      </c>
      <c r="AI1000" s="416">
        <v>115</v>
      </c>
      <c r="AJ1000" s="416">
        <v>115</v>
      </c>
      <c r="AK1000" s="416">
        <v>114</v>
      </c>
      <c r="AL1000" s="416">
        <v>113</v>
      </c>
      <c r="AM1000" s="416">
        <v>109</v>
      </c>
      <c r="AN1000" s="416">
        <v>92.3</v>
      </c>
      <c r="AO1000" s="416">
        <v>69.3</v>
      </c>
      <c r="AP1000" s="416">
        <v>53.9</v>
      </c>
      <c r="AQ1000" s="416">
        <v>41.4</v>
      </c>
      <c r="AR1000" s="416">
        <v>31.8</v>
      </c>
      <c r="AS1000" s="416">
        <v>23.9</v>
      </c>
      <c r="AT1000" s="416">
        <v>18.8</v>
      </c>
      <c r="AU1000" s="416">
        <v>14.6</v>
      </c>
      <c r="AV1000" s="416">
        <v>10.8</v>
      </c>
      <c r="AW1000" s="416">
        <v>7.83</v>
      </c>
      <c r="AX1000" s="416">
        <v>0</v>
      </c>
      <c r="AY1000" s="416">
        <v>0</v>
      </c>
      <c r="AZ1000" s="416">
        <v>0</v>
      </c>
    </row>
    <row r="1001" spans="1:52" s="411" customFormat="1" x14ac:dyDescent="0.3">
      <c r="A1001" s="415" t="str">
        <f t="shared" si="15"/>
        <v>SA-376 Gr.TP347H</v>
      </c>
      <c r="B1001" s="415">
        <v>995</v>
      </c>
      <c r="C1001" s="415" t="s">
        <v>3324</v>
      </c>
      <c r="D1001" s="415" t="s">
        <v>2703</v>
      </c>
      <c r="E1001" s="415" t="s">
        <v>2225</v>
      </c>
      <c r="F1001" s="415" t="s">
        <v>2578</v>
      </c>
      <c r="G1001" s="415" t="s">
        <v>3333</v>
      </c>
      <c r="H1001" s="415">
        <v>0</v>
      </c>
      <c r="I1001" s="415">
        <v>0</v>
      </c>
      <c r="J1001" s="415">
        <v>8</v>
      </c>
      <c r="K1001" s="415">
        <v>1</v>
      </c>
      <c r="L1001" s="415">
        <v>515</v>
      </c>
      <c r="M1001" s="415">
        <v>205</v>
      </c>
      <c r="N1001" s="415">
        <v>816</v>
      </c>
      <c r="O1001" s="415" t="s">
        <v>2675</v>
      </c>
      <c r="P1001" s="415">
        <v>816</v>
      </c>
      <c r="Q1001" s="415" t="s">
        <v>2675</v>
      </c>
      <c r="R1001" s="415" t="s">
        <v>3069</v>
      </c>
      <c r="S1001" s="415" t="s">
        <v>3327</v>
      </c>
      <c r="T1001" s="416">
        <v>138</v>
      </c>
      <c r="U1001" s="416">
        <v>138</v>
      </c>
      <c r="V1001" s="416">
        <v>132</v>
      </c>
      <c r="W1001" s="416">
        <v>126</v>
      </c>
      <c r="X1001" s="416">
        <v>122</v>
      </c>
      <c r="Y1001" s="416">
        <v>118</v>
      </c>
      <c r="Z1001" s="416">
        <v>111</v>
      </c>
      <c r="AA1001" s="416">
        <v>105</v>
      </c>
      <c r="AB1001" s="416">
        <v>99.8</v>
      </c>
      <c r="AC1001" s="416">
        <v>97.9</v>
      </c>
      <c r="AD1001" s="416">
        <v>96.1</v>
      </c>
      <c r="AE1001" s="416">
        <v>95</v>
      </c>
      <c r="AF1001" s="416">
        <v>94.4</v>
      </c>
      <c r="AG1001" s="416">
        <v>93.8</v>
      </c>
      <c r="AH1001" s="416">
        <v>93.2</v>
      </c>
      <c r="AI1001" s="416">
        <v>92.5</v>
      </c>
      <c r="AJ1001" s="416">
        <v>92.4</v>
      </c>
      <c r="AK1001" s="416">
        <v>92.4</v>
      </c>
      <c r="AL1001" s="416">
        <v>92.4</v>
      </c>
      <c r="AM1001" s="416">
        <v>92.2</v>
      </c>
      <c r="AN1001" s="416">
        <v>89.1</v>
      </c>
      <c r="AO1001" s="416">
        <v>69.3</v>
      </c>
      <c r="AP1001" s="416">
        <v>53.9</v>
      </c>
      <c r="AQ1001" s="416">
        <v>41.4</v>
      </c>
      <c r="AR1001" s="416">
        <v>31.8</v>
      </c>
      <c r="AS1001" s="416">
        <v>23.9</v>
      </c>
      <c r="AT1001" s="416">
        <v>18.8</v>
      </c>
      <c r="AU1001" s="416">
        <v>14.6</v>
      </c>
      <c r="AV1001" s="416">
        <v>10.8</v>
      </c>
      <c r="AW1001" s="416">
        <v>7.83</v>
      </c>
      <c r="AX1001" s="416">
        <v>0</v>
      </c>
      <c r="AY1001" s="416">
        <v>0</v>
      </c>
      <c r="AZ1001" s="416">
        <v>0</v>
      </c>
    </row>
    <row r="1002" spans="1:52" s="411" customFormat="1" x14ac:dyDescent="0.3">
      <c r="A1002" s="415" t="str">
        <f t="shared" si="15"/>
        <v>SA-403 Gr.347H</v>
      </c>
      <c r="B1002" s="415">
        <v>996</v>
      </c>
      <c r="C1002" s="415" t="s">
        <v>3324</v>
      </c>
      <c r="D1002" s="415" t="s">
        <v>2758</v>
      </c>
      <c r="E1002" s="415" t="s">
        <v>2229</v>
      </c>
      <c r="F1002" s="415" t="s">
        <v>2280</v>
      </c>
      <c r="G1002" s="415" t="s">
        <v>3333</v>
      </c>
      <c r="H1002" s="415">
        <v>0</v>
      </c>
      <c r="I1002" s="415">
        <v>0</v>
      </c>
      <c r="J1002" s="415">
        <v>8</v>
      </c>
      <c r="K1002" s="415">
        <v>1</v>
      </c>
      <c r="L1002" s="415">
        <v>515</v>
      </c>
      <c r="M1002" s="415">
        <v>205</v>
      </c>
      <c r="N1002" s="415" t="s">
        <v>2675</v>
      </c>
      <c r="O1002" s="415">
        <v>427</v>
      </c>
      <c r="P1002" s="415">
        <v>816</v>
      </c>
      <c r="Q1002" s="415" t="s">
        <v>2675</v>
      </c>
      <c r="R1002" s="415" t="s">
        <v>3069</v>
      </c>
      <c r="S1002" s="415" t="s">
        <v>3354</v>
      </c>
      <c r="T1002" s="416">
        <v>138</v>
      </c>
      <c r="U1002" s="416">
        <v>138</v>
      </c>
      <c r="V1002" s="416">
        <v>138</v>
      </c>
      <c r="W1002" s="416">
        <v>137</v>
      </c>
      <c r="X1002" s="416">
        <v>134</v>
      </c>
      <c r="Y1002" s="416">
        <v>129</v>
      </c>
      <c r="Z1002" s="416">
        <v>123</v>
      </c>
      <c r="AA1002" s="416">
        <v>119</v>
      </c>
      <c r="AB1002" s="416">
        <v>117</v>
      </c>
      <c r="AC1002" s="416">
        <v>116</v>
      </c>
      <c r="AD1002" s="416">
        <v>116</v>
      </c>
      <c r="AE1002" s="416">
        <v>116</v>
      </c>
      <c r="AF1002" s="416">
        <v>116</v>
      </c>
      <c r="AG1002" s="416">
        <v>116</v>
      </c>
      <c r="AH1002" s="416">
        <v>116</v>
      </c>
      <c r="AI1002" s="416">
        <v>115</v>
      </c>
      <c r="AJ1002" s="416">
        <v>115</v>
      </c>
      <c r="AK1002" s="416">
        <v>114</v>
      </c>
      <c r="AL1002" s="416">
        <v>113</v>
      </c>
      <c r="AM1002" s="416">
        <v>109</v>
      </c>
      <c r="AN1002" s="416">
        <v>92.3</v>
      </c>
      <c r="AO1002" s="416">
        <v>69.3</v>
      </c>
      <c r="AP1002" s="416">
        <v>53.9</v>
      </c>
      <c r="AQ1002" s="416">
        <v>41.4</v>
      </c>
      <c r="AR1002" s="416">
        <v>31.8</v>
      </c>
      <c r="AS1002" s="416">
        <v>23.9</v>
      </c>
      <c r="AT1002" s="416">
        <v>18.8</v>
      </c>
      <c r="AU1002" s="416">
        <v>14.6</v>
      </c>
      <c r="AV1002" s="416">
        <v>10.8</v>
      </c>
      <c r="AW1002" s="416">
        <v>7.83</v>
      </c>
      <c r="AX1002" s="416">
        <v>0</v>
      </c>
      <c r="AY1002" s="416">
        <v>0</v>
      </c>
      <c r="AZ1002" s="416">
        <v>0</v>
      </c>
    </row>
    <row r="1003" spans="1:52" s="411" customFormat="1" x14ac:dyDescent="0.3">
      <c r="A1003" s="415" t="str">
        <f t="shared" si="15"/>
        <v>SA-479 Gr.347H</v>
      </c>
      <c r="B1003" s="415">
        <v>997</v>
      </c>
      <c r="C1003" s="415" t="s">
        <v>3324</v>
      </c>
      <c r="D1003" s="415" t="s">
        <v>2677</v>
      </c>
      <c r="E1003" s="415" t="s">
        <v>2245</v>
      </c>
      <c r="F1003" s="415" t="s">
        <v>2280</v>
      </c>
      <c r="G1003" s="415" t="s">
        <v>3333</v>
      </c>
      <c r="H1003" s="415">
        <v>0</v>
      </c>
      <c r="I1003" s="415">
        <v>0</v>
      </c>
      <c r="J1003" s="415">
        <v>8</v>
      </c>
      <c r="K1003" s="415">
        <v>1</v>
      </c>
      <c r="L1003" s="415">
        <v>515</v>
      </c>
      <c r="M1003" s="415">
        <v>205</v>
      </c>
      <c r="N1003" s="415">
        <v>816</v>
      </c>
      <c r="O1003" s="415">
        <v>427</v>
      </c>
      <c r="P1003" s="415" t="s">
        <v>2675</v>
      </c>
      <c r="Q1003" s="415" t="s">
        <v>2675</v>
      </c>
      <c r="R1003" s="415" t="s">
        <v>3069</v>
      </c>
      <c r="S1003" s="415" t="s">
        <v>3334</v>
      </c>
      <c r="T1003" s="416">
        <v>138</v>
      </c>
      <c r="U1003" s="416">
        <v>138</v>
      </c>
      <c r="V1003" s="416">
        <v>138</v>
      </c>
      <c r="W1003" s="416">
        <v>137</v>
      </c>
      <c r="X1003" s="416">
        <v>134</v>
      </c>
      <c r="Y1003" s="416">
        <v>129</v>
      </c>
      <c r="Z1003" s="416">
        <v>123</v>
      </c>
      <c r="AA1003" s="416">
        <v>119</v>
      </c>
      <c r="AB1003" s="416">
        <v>117</v>
      </c>
      <c r="AC1003" s="416">
        <v>116</v>
      </c>
      <c r="AD1003" s="416">
        <v>116</v>
      </c>
      <c r="AE1003" s="416">
        <v>116</v>
      </c>
      <c r="AF1003" s="416">
        <v>116</v>
      </c>
      <c r="AG1003" s="416">
        <v>116</v>
      </c>
      <c r="AH1003" s="416">
        <v>116</v>
      </c>
      <c r="AI1003" s="416">
        <v>115</v>
      </c>
      <c r="AJ1003" s="416">
        <v>115</v>
      </c>
      <c r="AK1003" s="416">
        <v>114</v>
      </c>
      <c r="AL1003" s="416">
        <v>113</v>
      </c>
      <c r="AM1003" s="416">
        <v>109</v>
      </c>
      <c r="AN1003" s="416">
        <v>92.3</v>
      </c>
      <c r="AO1003" s="416">
        <v>69.3</v>
      </c>
      <c r="AP1003" s="416">
        <v>53.9</v>
      </c>
      <c r="AQ1003" s="416">
        <v>41.4</v>
      </c>
      <c r="AR1003" s="416">
        <v>31.8</v>
      </c>
      <c r="AS1003" s="416">
        <v>23.9</v>
      </c>
      <c r="AT1003" s="416">
        <v>18.8</v>
      </c>
      <c r="AU1003" s="416">
        <v>14.6</v>
      </c>
      <c r="AV1003" s="416">
        <v>10.8</v>
      </c>
      <c r="AW1003" s="416">
        <v>7.83</v>
      </c>
      <c r="AX1003" s="416">
        <v>0</v>
      </c>
      <c r="AY1003" s="416">
        <v>0</v>
      </c>
      <c r="AZ1003" s="416">
        <v>0</v>
      </c>
    </row>
    <row r="1004" spans="1:52" s="411" customFormat="1" x14ac:dyDescent="0.3">
      <c r="A1004" s="415" t="str">
        <f t="shared" si="15"/>
        <v>SA-479 Gr.347H</v>
      </c>
      <c r="B1004" s="415">
        <v>998</v>
      </c>
      <c r="C1004" s="415" t="s">
        <v>3324</v>
      </c>
      <c r="D1004" s="415" t="s">
        <v>2677</v>
      </c>
      <c r="E1004" s="415" t="s">
        <v>2245</v>
      </c>
      <c r="F1004" s="415" t="s">
        <v>2280</v>
      </c>
      <c r="G1004" s="415" t="s">
        <v>3333</v>
      </c>
      <c r="H1004" s="415">
        <v>0</v>
      </c>
      <c r="I1004" s="415">
        <v>0</v>
      </c>
      <c r="J1004" s="415">
        <v>8</v>
      </c>
      <c r="K1004" s="415">
        <v>1</v>
      </c>
      <c r="L1004" s="415">
        <v>515</v>
      </c>
      <c r="M1004" s="415">
        <v>205</v>
      </c>
      <c r="N1004" s="415">
        <v>816</v>
      </c>
      <c r="O1004" s="415" t="s">
        <v>2675</v>
      </c>
      <c r="P1004" s="415" t="s">
        <v>2675</v>
      </c>
      <c r="Q1004" s="415" t="s">
        <v>2675</v>
      </c>
      <c r="R1004" s="415" t="s">
        <v>3069</v>
      </c>
      <c r="S1004" s="415" t="s">
        <v>3327</v>
      </c>
      <c r="T1004" s="416">
        <v>138</v>
      </c>
      <c r="U1004" s="416">
        <v>138</v>
      </c>
      <c r="V1004" s="416">
        <v>132</v>
      </c>
      <c r="W1004" s="416">
        <v>126</v>
      </c>
      <c r="X1004" s="416">
        <v>122</v>
      </c>
      <c r="Y1004" s="416">
        <v>118</v>
      </c>
      <c r="Z1004" s="416">
        <v>111</v>
      </c>
      <c r="AA1004" s="416">
        <v>105</v>
      </c>
      <c r="AB1004" s="416">
        <v>99.8</v>
      </c>
      <c r="AC1004" s="416">
        <v>97.9</v>
      </c>
      <c r="AD1004" s="416">
        <v>96.1</v>
      </c>
      <c r="AE1004" s="416">
        <v>95</v>
      </c>
      <c r="AF1004" s="416">
        <v>94.4</v>
      </c>
      <c r="AG1004" s="416">
        <v>93.8</v>
      </c>
      <c r="AH1004" s="416">
        <v>93.2</v>
      </c>
      <c r="AI1004" s="416">
        <v>92.5</v>
      </c>
      <c r="AJ1004" s="416">
        <v>92.4</v>
      </c>
      <c r="AK1004" s="416">
        <v>92.4</v>
      </c>
      <c r="AL1004" s="416">
        <v>92.4</v>
      </c>
      <c r="AM1004" s="416">
        <v>92.2</v>
      </c>
      <c r="AN1004" s="416">
        <v>89.1</v>
      </c>
      <c r="AO1004" s="416">
        <v>69.3</v>
      </c>
      <c r="AP1004" s="416">
        <v>53.9</v>
      </c>
      <c r="AQ1004" s="416">
        <v>41.4</v>
      </c>
      <c r="AR1004" s="416">
        <v>31.8</v>
      </c>
      <c r="AS1004" s="416">
        <v>23.9</v>
      </c>
      <c r="AT1004" s="416">
        <v>18.8</v>
      </c>
      <c r="AU1004" s="416">
        <v>14.6</v>
      </c>
      <c r="AV1004" s="416">
        <v>10.8</v>
      </c>
      <c r="AW1004" s="416">
        <v>7.83</v>
      </c>
      <c r="AX1004" s="416">
        <v>0</v>
      </c>
      <c r="AY1004" s="416">
        <v>0</v>
      </c>
      <c r="AZ1004" s="416">
        <v>0</v>
      </c>
    </row>
    <row r="1005" spans="1:52" s="411" customFormat="1" x14ac:dyDescent="0.3">
      <c r="A1005" s="415" t="str">
        <f t="shared" si="15"/>
        <v>SA-813 Gr.TP347H</v>
      </c>
      <c r="B1005" s="415">
        <v>999</v>
      </c>
      <c r="C1005" s="415" t="s">
        <v>3324</v>
      </c>
      <c r="D1005" s="415" t="s">
        <v>2680</v>
      </c>
      <c r="E1005" s="415" t="s">
        <v>2328</v>
      </c>
      <c r="F1005" s="415" t="s">
        <v>2578</v>
      </c>
      <c r="G1005" s="415" t="s">
        <v>3333</v>
      </c>
      <c r="H1005" s="415">
        <v>0</v>
      </c>
      <c r="I1005" s="415">
        <v>0</v>
      </c>
      <c r="J1005" s="415">
        <v>8</v>
      </c>
      <c r="K1005" s="415">
        <v>1</v>
      </c>
      <c r="L1005" s="415">
        <v>515</v>
      </c>
      <c r="M1005" s="415">
        <v>205</v>
      </c>
      <c r="N1005" s="415" t="s">
        <v>2675</v>
      </c>
      <c r="O1005" s="415">
        <v>427</v>
      </c>
      <c r="P1005" s="415" t="s">
        <v>2675</v>
      </c>
      <c r="Q1005" s="415" t="s">
        <v>2675</v>
      </c>
      <c r="R1005" s="415" t="s">
        <v>3069</v>
      </c>
      <c r="S1005" s="415" t="s">
        <v>3355</v>
      </c>
      <c r="T1005" s="416">
        <v>138</v>
      </c>
      <c r="U1005" s="416">
        <v>138</v>
      </c>
      <c r="V1005" s="416">
        <v>138</v>
      </c>
      <c r="W1005" s="416">
        <v>137</v>
      </c>
      <c r="X1005" s="416">
        <v>134</v>
      </c>
      <c r="Y1005" s="416">
        <v>129</v>
      </c>
      <c r="Z1005" s="416">
        <v>123</v>
      </c>
      <c r="AA1005" s="416">
        <v>119</v>
      </c>
      <c r="AB1005" s="416">
        <v>117</v>
      </c>
      <c r="AC1005" s="416">
        <v>116</v>
      </c>
      <c r="AD1005" s="416">
        <v>116</v>
      </c>
      <c r="AE1005" s="416">
        <v>116</v>
      </c>
      <c r="AF1005" s="416">
        <v>116</v>
      </c>
      <c r="AG1005" s="416">
        <v>116</v>
      </c>
      <c r="AH1005" s="416">
        <v>116</v>
      </c>
      <c r="AI1005" s="416">
        <v>0</v>
      </c>
      <c r="AJ1005" s="416">
        <v>0</v>
      </c>
      <c r="AK1005" s="416">
        <v>0</v>
      </c>
      <c r="AL1005" s="416">
        <v>0</v>
      </c>
      <c r="AM1005" s="416">
        <v>0</v>
      </c>
      <c r="AN1005" s="416">
        <v>0</v>
      </c>
      <c r="AO1005" s="416">
        <v>0</v>
      </c>
      <c r="AP1005" s="416">
        <v>0</v>
      </c>
      <c r="AQ1005" s="416">
        <v>0</v>
      </c>
      <c r="AR1005" s="416">
        <v>0</v>
      </c>
      <c r="AS1005" s="416">
        <v>0</v>
      </c>
      <c r="AT1005" s="416">
        <v>0</v>
      </c>
      <c r="AU1005" s="416">
        <v>0</v>
      </c>
      <c r="AV1005" s="416">
        <v>0</v>
      </c>
      <c r="AW1005" s="416">
        <v>0</v>
      </c>
      <c r="AX1005" s="416">
        <v>0</v>
      </c>
      <c r="AY1005" s="416">
        <v>0</v>
      </c>
      <c r="AZ1005" s="416">
        <v>0</v>
      </c>
    </row>
    <row r="1006" spans="1:52" s="411" customFormat="1" x14ac:dyDescent="0.3">
      <c r="A1006" s="415" t="str">
        <f t="shared" si="15"/>
        <v>SA-814 Gr.TP347H</v>
      </c>
      <c r="B1006" s="415">
        <v>1000</v>
      </c>
      <c r="C1006" s="415" t="s">
        <v>3324</v>
      </c>
      <c r="D1006" s="415" t="s">
        <v>2680</v>
      </c>
      <c r="E1006" s="415" t="s">
        <v>2330</v>
      </c>
      <c r="F1006" s="415" t="s">
        <v>2578</v>
      </c>
      <c r="G1006" s="415" t="s">
        <v>3333</v>
      </c>
      <c r="H1006" s="415">
        <v>0</v>
      </c>
      <c r="I1006" s="415">
        <v>0</v>
      </c>
      <c r="J1006" s="415">
        <v>8</v>
      </c>
      <c r="K1006" s="415">
        <v>1</v>
      </c>
      <c r="L1006" s="415">
        <v>515</v>
      </c>
      <c r="M1006" s="415">
        <v>205</v>
      </c>
      <c r="N1006" s="415" t="s">
        <v>2675</v>
      </c>
      <c r="O1006" s="415">
        <v>427</v>
      </c>
      <c r="P1006" s="415" t="s">
        <v>2675</v>
      </c>
      <c r="Q1006" s="415" t="s">
        <v>2675</v>
      </c>
      <c r="R1006" s="415" t="s">
        <v>3069</v>
      </c>
      <c r="S1006" s="415" t="s">
        <v>3208</v>
      </c>
      <c r="T1006" s="416">
        <v>138</v>
      </c>
      <c r="U1006" s="416">
        <v>138</v>
      </c>
      <c r="V1006" s="416">
        <v>138</v>
      </c>
      <c r="W1006" s="416">
        <v>137</v>
      </c>
      <c r="X1006" s="416">
        <v>134</v>
      </c>
      <c r="Y1006" s="416">
        <v>129</v>
      </c>
      <c r="Z1006" s="416">
        <v>123</v>
      </c>
      <c r="AA1006" s="416">
        <v>119</v>
      </c>
      <c r="AB1006" s="416">
        <v>117</v>
      </c>
      <c r="AC1006" s="416">
        <v>116</v>
      </c>
      <c r="AD1006" s="416">
        <v>116</v>
      </c>
      <c r="AE1006" s="416">
        <v>116</v>
      </c>
      <c r="AF1006" s="416">
        <v>116</v>
      </c>
      <c r="AG1006" s="416">
        <v>116</v>
      </c>
      <c r="AH1006" s="416">
        <v>116</v>
      </c>
      <c r="AI1006" s="416">
        <v>0</v>
      </c>
      <c r="AJ1006" s="416">
        <v>0</v>
      </c>
      <c r="AK1006" s="416">
        <v>0</v>
      </c>
      <c r="AL1006" s="416">
        <v>0</v>
      </c>
      <c r="AM1006" s="416">
        <v>0</v>
      </c>
      <c r="AN1006" s="416">
        <v>0</v>
      </c>
      <c r="AO1006" s="416">
        <v>0</v>
      </c>
      <c r="AP1006" s="416">
        <v>0</v>
      </c>
      <c r="AQ1006" s="416">
        <v>0</v>
      </c>
      <c r="AR1006" s="416">
        <v>0</v>
      </c>
      <c r="AS1006" s="416">
        <v>0</v>
      </c>
      <c r="AT1006" s="416">
        <v>0</v>
      </c>
      <c r="AU1006" s="416">
        <v>0</v>
      </c>
      <c r="AV1006" s="416">
        <v>0</v>
      </c>
      <c r="AW1006" s="416">
        <v>0</v>
      </c>
      <c r="AX1006" s="416">
        <v>0</v>
      </c>
      <c r="AY1006" s="416">
        <v>0</v>
      </c>
      <c r="AZ1006" s="416">
        <v>0</v>
      </c>
    </row>
    <row r="1007" spans="1:52" s="411" customFormat="1" x14ac:dyDescent="0.3">
      <c r="A1007" s="415" t="str">
        <f t="shared" si="15"/>
        <v>SA-182 Gr.F348</v>
      </c>
      <c r="B1007" s="415">
        <v>1001</v>
      </c>
      <c r="C1007" s="415" t="s">
        <v>3324</v>
      </c>
      <c r="D1007" s="415" t="s">
        <v>2737</v>
      </c>
      <c r="E1007" s="415" t="s">
        <v>2188</v>
      </c>
      <c r="F1007" s="415" t="s">
        <v>2449</v>
      </c>
      <c r="G1007" s="415" t="s">
        <v>3335</v>
      </c>
      <c r="H1007" s="415">
        <v>0</v>
      </c>
      <c r="I1007" s="415" t="s">
        <v>3207</v>
      </c>
      <c r="J1007" s="415">
        <v>8</v>
      </c>
      <c r="K1007" s="415">
        <v>1</v>
      </c>
      <c r="L1007" s="415">
        <v>515</v>
      </c>
      <c r="M1007" s="415">
        <v>205</v>
      </c>
      <c r="N1007" s="415">
        <v>816</v>
      </c>
      <c r="O1007" s="415">
        <v>427</v>
      </c>
      <c r="P1007" s="415">
        <v>816</v>
      </c>
      <c r="Q1007" s="415" t="s">
        <v>2675</v>
      </c>
      <c r="R1007" s="415" t="s">
        <v>3069</v>
      </c>
      <c r="S1007" s="415" t="s">
        <v>3337</v>
      </c>
      <c r="T1007" s="416">
        <v>138</v>
      </c>
      <c r="U1007" s="416">
        <v>138</v>
      </c>
      <c r="V1007" s="416">
        <v>138</v>
      </c>
      <c r="W1007" s="416">
        <v>137</v>
      </c>
      <c r="X1007" s="416">
        <v>134</v>
      </c>
      <c r="Y1007" s="416">
        <v>129</v>
      </c>
      <c r="Z1007" s="416">
        <v>123</v>
      </c>
      <c r="AA1007" s="416">
        <v>119</v>
      </c>
      <c r="AB1007" s="416">
        <v>117</v>
      </c>
      <c r="AC1007" s="416">
        <v>116</v>
      </c>
      <c r="AD1007" s="416">
        <v>116</v>
      </c>
      <c r="AE1007" s="416">
        <v>116</v>
      </c>
      <c r="AF1007" s="416">
        <v>116</v>
      </c>
      <c r="AG1007" s="416">
        <v>116</v>
      </c>
      <c r="AH1007" s="416">
        <v>116</v>
      </c>
      <c r="AI1007" s="416">
        <v>115</v>
      </c>
      <c r="AJ1007" s="416">
        <v>115</v>
      </c>
      <c r="AK1007" s="416">
        <v>113</v>
      </c>
      <c r="AL1007" s="416">
        <v>99.8</v>
      </c>
      <c r="AM1007" s="416">
        <v>77.2</v>
      </c>
      <c r="AN1007" s="416">
        <v>57.7</v>
      </c>
      <c r="AO1007" s="416">
        <v>39.9</v>
      </c>
      <c r="AP1007" s="416">
        <v>30</v>
      </c>
      <c r="AQ1007" s="416">
        <v>23.2</v>
      </c>
      <c r="AR1007" s="416">
        <v>16.3</v>
      </c>
      <c r="AS1007" s="416">
        <v>11.2</v>
      </c>
      <c r="AT1007" s="416">
        <v>8.93</v>
      </c>
      <c r="AU1007" s="416">
        <v>7.08</v>
      </c>
      <c r="AV1007" s="416">
        <v>5.77</v>
      </c>
      <c r="AW1007" s="416">
        <v>5.32</v>
      </c>
      <c r="AX1007" s="416">
        <v>0</v>
      </c>
      <c r="AY1007" s="416">
        <v>0</v>
      </c>
      <c r="AZ1007" s="416">
        <v>0</v>
      </c>
    </row>
    <row r="1008" spans="1:52" s="411" customFormat="1" x14ac:dyDescent="0.3">
      <c r="A1008" s="415" t="str">
        <f t="shared" si="15"/>
        <v>SA-182 Gr.F348</v>
      </c>
      <c r="B1008" s="415">
        <v>1002</v>
      </c>
      <c r="C1008" s="415" t="s">
        <v>3324</v>
      </c>
      <c r="D1008" s="415" t="s">
        <v>2737</v>
      </c>
      <c r="E1008" s="415" t="s">
        <v>2188</v>
      </c>
      <c r="F1008" s="415" t="s">
        <v>2449</v>
      </c>
      <c r="G1008" s="415" t="s">
        <v>3335</v>
      </c>
      <c r="H1008" s="415">
        <v>0</v>
      </c>
      <c r="I1008" s="415" t="s">
        <v>3207</v>
      </c>
      <c r="J1008" s="415">
        <v>8</v>
      </c>
      <c r="K1008" s="415">
        <v>1</v>
      </c>
      <c r="L1008" s="415">
        <v>515</v>
      </c>
      <c r="M1008" s="415">
        <v>205</v>
      </c>
      <c r="N1008" s="415">
        <v>816</v>
      </c>
      <c r="O1008" s="415" t="s">
        <v>2675</v>
      </c>
      <c r="P1008" s="415">
        <v>816</v>
      </c>
      <c r="Q1008" s="415" t="s">
        <v>2675</v>
      </c>
      <c r="R1008" s="415" t="s">
        <v>3069</v>
      </c>
      <c r="S1008" s="415" t="s">
        <v>3338</v>
      </c>
      <c r="T1008" s="416">
        <v>138</v>
      </c>
      <c r="U1008" s="416">
        <v>138</v>
      </c>
      <c r="V1008" s="416">
        <v>132</v>
      </c>
      <c r="W1008" s="416">
        <v>126</v>
      </c>
      <c r="X1008" s="416">
        <v>122</v>
      </c>
      <c r="Y1008" s="416">
        <v>118</v>
      </c>
      <c r="Z1008" s="416">
        <v>111</v>
      </c>
      <c r="AA1008" s="416">
        <v>105</v>
      </c>
      <c r="AB1008" s="416">
        <v>99.8</v>
      </c>
      <c r="AC1008" s="416">
        <v>97.9</v>
      </c>
      <c r="AD1008" s="416">
        <v>96.1</v>
      </c>
      <c r="AE1008" s="416">
        <v>95</v>
      </c>
      <c r="AF1008" s="416">
        <v>94.4</v>
      </c>
      <c r="AG1008" s="416">
        <v>93.8</v>
      </c>
      <c r="AH1008" s="416">
        <v>93.2</v>
      </c>
      <c r="AI1008" s="416">
        <v>92.5</v>
      </c>
      <c r="AJ1008" s="416">
        <v>92.4</v>
      </c>
      <c r="AK1008" s="416">
        <v>92.4</v>
      </c>
      <c r="AL1008" s="416">
        <v>90.3</v>
      </c>
      <c r="AM1008" s="416">
        <v>77.2</v>
      </c>
      <c r="AN1008" s="416">
        <v>57.7</v>
      </c>
      <c r="AO1008" s="416">
        <v>39.9</v>
      </c>
      <c r="AP1008" s="416">
        <v>30</v>
      </c>
      <c r="AQ1008" s="416">
        <v>23.2</v>
      </c>
      <c r="AR1008" s="416">
        <v>16.3</v>
      </c>
      <c r="AS1008" s="416">
        <v>11.2</v>
      </c>
      <c r="AT1008" s="416">
        <v>8.93</v>
      </c>
      <c r="AU1008" s="416">
        <v>7.08</v>
      </c>
      <c r="AV1008" s="416">
        <v>5.77</v>
      </c>
      <c r="AW1008" s="416">
        <v>5.32</v>
      </c>
      <c r="AX1008" s="416">
        <v>0</v>
      </c>
      <c r="AY1008" s="416">
        <v>0</v>
      </c>
      <c r="AZ1008" s="416">
        <v>0</v>
      </c>
    </row>
    <row r="1009" spans="1:52" s="411" customFormat="1" x14ac:dyDescent="0.3">
      <c r="A1009" s="415" t="str">
        <f t="shared" si="15"/>
        <v>SA-213 Gr.TP348</v>
      </c>
      <c r="B1009" s="415">
        <v>1003</v>
      </c>
      <c r="C1009" s="415" t="s">
        <v>3324</v>
      </c>
      <c r="D1009" s="415" t="s">
        <v>2693</v>
      </c>
      <c r="E1009" s="415" t="s">
        <v>2195</v>
      </c>
      <c r="F1009" s="415" t="s">
        <v>2580</v>
      </c>
      <c r="G1009" s="415" t="s">
        <v>3335</v>
      </c>
      <c r="H1009" s="415">
        <v>0</v>
      </c>
      <c r="I1009" s="415">
        <v>0</v>
      </c>
      <c r="J1009" s="415">
        <v>8</v>
      </c>
      <c r="K1009" s="415">
        <v>1</v>
      </c>
      <c r="L1009" s="415">
        <v>515</v>
      </c>
      <c r="M1009" s="415">
        <v>205</v>
      </c>
      <c r="N1009" s="415">
        <v>816</v>
      </c>
      <c r="O1009" s="415">
        <v>427</v>
      </c>
      <c r="P1009" s="415">
        <v>816</v>
      </c>
      <c r="Q1009" s="415" t="s">
        <v>2675</v>
      </c>
      <c r="R1009" s="415" t="s">
        <v>3069</v>
      </c>
      <c r="S1009" s="415" t="s">
        <v>3337</v>
      </c>
      <c r="T1009" s="416">
        <v>138</v>
      </c>
      <c r="U1009" s="416">
        <v>138</v>
      </c>
      <c r="V1009" s="416">
        <v>138</v>
      </c>
      <c r="W1009" s="416">
        <v>137</v>
      </c>
      <c r="X1009" s="416">
        <v>134</v>
      </c>
      <c r="Y1009" s="416">
        <v>129</v>
      </c>
      <c r="Z1009" s="416">
        <v>123</v>
      </c>
      <c r="AA1009" s="416">
        <v>119</v>
      </c>
      <c r="AB1009" s="416">
        <v>117</v>
      </c>
      <c r="AC1009" s="416">
        <v>116</v>
      </c>
      <c r="AD1009" s="416">
        <v>116</v>
      </c>
      <c r="AE1009" s="416">
        <v>116</v>
      </c>
      <c r="AF1009" s="416">
        <v>116</v>
      </c>
      <c r="AG1009" s="416">
        <v>116</v>
      </c>
      <c r="AH1009" s="416">
        <v>116</v>
      </c>
      <c r="AI1009" s="416">
        <v>115</v>
      </c>
      <c r="AJ1009" s="416">
        <v>115</v>
      </c>
      <c r="AK1009" s="416">
        <v>113</v>
      </c>
      <c r="AL1009" s="416">
        <v>99.8</v>
      </c>
      <c r="AM1009" s="416">
        <v>77.2</v>
      </c>
      <c r="AN1009" s="416">
        <v>57.7</v>
      </c>
      <c r="AO1009" s="416">
        <v>39.9</v>
      </c>
      <c r="AP1009" s="416">
        <v>30</v>
      </c>
      <c r="AQ1009" s="416">
        <v>23.2</v>
      </c>
      <c r="AR1009" s="416">
        <v>16.3</v>
      </c>
      <c r="AS1009" s="416">
        <v>11.2</v>
      </c>
      <c r="AT1009" s="416">
        <v>8.93</v>
      </c>
      <c r="AU1009" s="416">
        <v>7.08</v>
      </c>
      <c r="AV1009" s="416">
        <v>5.77</v>
      </c>
      <c r="AW1009" s="416">
        <v>5.32</v>
      </c>
      <c r="AX1009" s="416">
        <v>0</v>
      </c>
      <c r="AY1009" s="416">
        <v>0</v>
      </c>
      <c r="AZ1009" s="416">
        <v>0</v>
      </c>
    </row>
    <row r="1010" spans="1:52" s="411" customFormat="1" x14ac:dyDescent="0.3">
      <c r="A1010" s="415" t="str">
        <f t="shared" si="15"/>
        <v>SA-213 Gr.TP348</v>
      </c>
      <c r="B1010" s="415">
        <v>1004</v>
      </c>
      <c r="C1010" s="415" t="s">
        <v>3324</v>
      </c>
      <c r="D1010" s="415" t="s">
        <v>2693</v>
      </c>
      <c r="E1010" s="415" t="s">
        <v>2195</v>
      </c>
      <c r="F1010" s="415" t="s">
        <v>2580</v>
      </c>
      <c r="G1010" s="415" t="s">
        <v>3335</v>
      </c>
      <c r="H1010" s="415">
        <v>0</v>
      </c>
      <c r="I1010" s="415">
        <v>0</v>
      </c>
      <c r="J1010" s="415">
        <v>8</v>
      </c>
      <c r="K1010" s="415">
        <v>1</v>
      </c>
      <c r="L1010" s="415">
        <v>515</v>
      </c>
      <c r="M1010" s="415">
        <v>205</v>
      </c>
      <c r="N1010" s="415">
        <v>816</v>
      </c>
      <c r="O1010" s="415" t="s">
        <v>2675</v>
      </c>
      <c r="P1010" s="415">
        <v>816</v>
      </c>
      <c r="Q1010" s="415" t="s">
        <v>2675</v>
      </c>
      <c r="R1010" s="415" t="s">
        <v>3069</v>
      </c>
      <c r="S1010" s="415" t="s">
        <v>3338</v>
      </c>
      <c r="T1010" s="416">
        <v>138</v>
      </c>
      <c r="U1010" s="416">
        <v>138</v>
      </c>
      <c r="V1010" s="416">
        <v>132</v>
      </c>
      <c r="W1010" s="416">
        <v>126</v>
      </c>
      <c r="X1010" s="416">
        <v>122</v>
      </c>
      <c r="Y1010" s="416">
        <v>118</v>
      </c>
      <c r="Z1010" s="416">
        <v>111</v>
      </c>
      <c r="AA1010" s="416">
        <v>105</v>
      </c>
      <c r="AB1010" s="416">
        <v>99.8</v>
      </c>
      <c r="AC1010" s="416">
        <v>97.9</v>
      </c>
      <c r="AD1010" s="416">
        <v>96.1</v>
      </c>
      <c r="AE1010" s="416">
        <v>95</v>
      </c>
      <c r="AF1010" s="416">
        <v>94.4</v>
      </c>
      <c r="AG1010" s="416">
        <v>93.8</v>
      </c>
      <c r="AH1010" s="416">
        <v>93.2</v>
      </c>
      <c r="AI1010" s="416">
        <v>92.5</v>
      </c>
      <c r="AJ1010" s="416">
        <v>92.4</v>
      </c>
      <c r="AK1010" s="416">
        <v>92.4</v>
      </c>
      <c r="AL1010" s="416">
        <v>90.3</v>
      </c>
      <c r="AM1010" s="416">
        <v>77.2</v>
      </c>
      <c r="AN1010" s="416">
        <v>57.7</v>
      </c>
      <c r="AO1010" s="416">
        <v>39.9</v>
      </c>
      <c r="AP1010" s="416">
        <v>30</v>
      </c>
      <c r="AQ1010" s="416">
        <v>23.2</v>
      </c>
      <c r="AR1010" s="416">
        <v>16.3</v>
      </c>
      <c r="AS1010" s="416">
        <v>11.2</v>
      </c>
      <c r="AT1010" s="416">
        <v>8.93</v>
      </c>
      <c r="AU1010" s="416">
        <v>7.08</v>
      </c>
      <c r="AV1010" s="416">
        <v>5.77</v>
      </c>
      <c r="AW1010" s="416">
        <v>5.32</v>
      </c>
      <c r="AX1010" s="416">
        <v>0</v>
      </c>
      <c r="AY1010" s="416">
        <v>0</v>
      </c>
      <c r="AZ1010" s="416">
        <v>0</v>
      </c>
    </row>
    <row r="1011" spans="1:52" s="411" customFormat="1" x14ac:dyDescent="0.3">
      <c r="A1011" s="415" t="str">
        <f t="shared" si="15"/>
        <v>SA-240 Gr.348</v>
      </c>
      <c r="B1011" s="415">
        <v>1005</v>
      </c>
      <c r="C1011" s="415" t="s">
        <v>3324</v>
      </c>
      <c r="D1011" s="415" t="s">
        <v>2684</v>
      </c>
      <c r="E1011" s="415" t="s">
        <v>2165</v>
      </c>
      <c r="F1011" s="415">
        <v>348</v>
      </c>
      <c r="G1011" s="415" t="s">
        <v>3335</v>
      </c>
      <c r="H1011" s="415">
        <v>0</v>
      </c>
      <c r="I1011" s="415">
        <v>0</v>
      </c>
      <c r="J1011" s="415">
        <v>8</v>
      </c>
      <c r="K1011" s="415">
        <v>1</v>
      </c>
      <c r="L1011" s="415">
        <v>515</v>
      </c>
      <c r="M1011" s="415">
        <v>205</v>
      </c>
      <c r="N1011" s="415" t="s">
        <v>2675</v>
      </c>
      <c r="O1011" s="415">
        <v>427</v>
      </c>
      <c r="P1011" s="415">
        <v>816</v>
      </c>
      <c r="Q1011" s="415">
        <v>343</v>
      </c>
      <c r="R1011" s="415" t="s">
        <v>3069</v>
      </c>
      <c r="S1011" s="415" t="s">
        <v>3337</v>
      </c>
      <c r="T1011" s="416">
        <v>138</v>
      </c>
      <c r="U1011" s="416">
        <v>138</v>
      </c>
      <c r="V1011" s="416">
        <v>138</v>
      </c>
      <c r="W1011" s="416">
        <v>137</v>
      </c>
      <c r="X1011" s="416">
        <v>134</v>
      </c>
      <c r="Y1011" s="416">
        <v>129</v>
      </c>
      <c r="Z1011" s="416">
        <v>123</v>
      </c>
      <c r="AA1011" s="416">
        <v>119</v>
      </c>
      <c r="AB1011" s="416">
        <v>117</v>
      </c>
      <c r="AC1011" s="416">
        <v>116</v>
      </c>
      <c r="AD1011" s="416">
        <v>116</v>
      </c>
      <c r="AE1011" s="416">
        <v>116</v>
      </c>
      <c r="AF1011" s="416">
        <v>116</v>
      </c>
      <c r="AG1011" s="416">
        <v>116</v>
      </c>
      <c r="AH1011" s="416">
        <v>116</v>
      </c>
      <c r="AI1011" s="416">
        <v>115</v>
      </c>
      <c r="AJ1011" s="416">
        <v>115</v>
      </c>
      <c r="AK1011" s="416">
        <v>113</v>
      </c>
      <c r="AL1011" s="416">
        <v>99.8</v>
      </c>
      <c r="AM1011" s="416">
        <v>77.2</v>
      </c>
      <c r="AN1011" s="416">
        <v>57.7</v>
      </c>
      <c r="AO1011" s="416">
        <v>39.9</v>
      </c>
      <c r="AP1011" s="416">
        <v>30</v>
      </c>
      <c r="AQ1011" s="416">
        <v>23.2</v>
      </c>
      <c r="AR1011" s="416">
        <v>16.3</v>
      </c>
      <c r="AS1011" s="416">
        <v>11.2</v>
      </c>
      <c r="AT1011" s="416">
        <v>8.93</v>
      </c>
      <c r="AU1011" s="416">
        <v>7.08</v>
      </c>
      <c r="AV1011" s="416">
        <v>5.77</v>
      </c>
      <c r="AW1011" s="416">
        <v>5.32</v>
      </c>
      <c r="AX1011" s="416">
        <v>0</v>
      </c>
      <c r="AY1011" s="416">
        <v>0</v>
      </c>
      <c r="AZ1011" s="416">
        <v>0</v>
      </c>
    </row>
    <row r="1012" spans="1:52" s="411" customFormat="1" x14ac:dyDescent="0.3">
      <c r="A1012" s="415" t="str">
        <f t="shared" si="15"/>
        <v>SA-240 Gr.348</v>
      </c>
      <c r="B1012" s="415">
        <v>1006</v>
      </c>
      <c r="C1012" s="415" t="s">
        <v>3324</v>
      </c>
      <c r="D1012" s="415" t="s">
        <v>2684</v>
      </c>
      <c r="E1012" s="415" t="s">
        <v>2165</v>
      </c>
      <c r="F1012" s="415">
        <v>348</v>
      </c>
      <c r="G1012" s="415" t="s">
        <v>3335</v>
      </c>
      <c r="H1012" s="415">
        <v>0</v>
      </c>
      <c r="I1012" s="415">
        <v>0</v>
      </c>
      <c r="J1012" s="415">
        <v>8</v>
      </c>
      <c r="K1012" s="415">
        <v>1</v>
      </c>
      <c r="L1012" s="415">
        <v>515</v>
      </c>
      <c r="M1012" s="415">
        <v>205</v>
      </c>
      <c r="N1012" s="415" t="s">
        <v>2675</v>
      </c>
      <c r="O1012" s="415" t="s">
        <v>2675</v>
      </c>
      <c r="P1012" s="415">
        <v>816</v>
      </c>
      <c r="Q1012" s="415">
        <v>343</v>
      </c>
      <c r="R1012" s="415" t="s">
        <v>3069</v>
      </c>
      <c r="S1012" s="415" t="s">
        <v>3338</v>
      </c>
      <c r="T1012" s="416">
        <v>138</v>
      </c>
      <c r="U1012" s="416">
        <v>138</v>
      </c>
      <c r="V1012" s="416">
        <v>132</v>
      </c>
      <c r="W1012" s="416">
        <v>126</v>
      </c>
      <c r="X1012" s="416">
        <v>122</v>
      </c>
      <c r="Y1012" s="416">
        <v>118</v>
      </c>
      <c r="Z1012" s="416">
        <v>111</v>
      </c>
      <c r="AA1012" s="416">
        <v>105</v>
      </c>
      <c r="AB1012" s="416">
        <v>99.8</v>
      </c>
      <c r="AC1012" s="416">
        <v>97.9</v>
      </c>
      <c r="AD1012" s="416">
        <v>96.1</v>
      </c>
      <c r="AE1012" s="416">
        <v>95</v>
      </c>
      <c r="AF1012" s="416">
        <v>94.4</v>
      </c>
      <c r="AG1012" s="416">
        <v>93.8</v>
      </c>
      <c r="AH1012" s="416">
        <v>93.2</v>
      </c>
      <c r="AI1012" s="416">
        <v>92.5</v>
      </c>
      <c r="AJ1012" s="416">
        <v>92.4</v>
      </c>
      <c r="AK1012" s="416">
        <v>92.4</v>
      </c>
      <c r="AL1012" s="416">
        <v>90.3</v>
      </c>
      <c r="AM1012" s="416">
        <v>77.2</v>
      </c>
      <c r="AN1012" s="416">
        <v>57.7</v>
      </c>
      <c r="AO1012" s="416">
        <v>39.9</v>
      </c>
      <c r="AP1012" s="416">
        <v>30</v>
      </c>
      <c r="AQ1012" s="416">
        <v>23.2</v>
      </c>
      <c r="AR1012" s="416">
        <v>16.3</v>
      </c>
      <c r="AS1012" s="416">
        <v>11.2</v>
      </c>
      <c r="AT1012" s="416">
        <v>8.93</v>
      </c>
      <c r="AU1012" s="416">
        <v>7.08</v>
      </c>
      <c r="AV1012" s="416">
        <v>5.77</v>
      </c>
      <c r="AW1012" s="416">
        <v>5.32</v>
      </c>
      <c r="AX1012" s="416">
        <v>0</v>
      </c>
      <c r="AY1012" s="416">
        <v>0</v>
      </c>
      <c r="AZ1012" s="416">
        <v>0</v>
      </c>
    </row>
    <row r="1013" spans="1:52" s="411" customFormat="1" x14ac:dyDescent="0.3">
      <c r="A1013" s="415" t="str">
        <f t="shared" si="15"/>
        <v>SA-249 Gr.TP348</v>
      </c>
      <c r="B1013" s="415">
        <v>1007</v>
      </c>
      <c r="C1013" s="415" t="s">
        <v>3324</v>
      </c>
      <c r="D1013" s="415" t="s">
        <v>2689</v>
      </c>
      <c r="E1013" s="415" t="s">
        <v>2200</v>
      </c>
      <c r="F1013" s="415" t="s">
        <v>2580</v>
      </c>
      <c r="G1013" s="415" t="s">
        <v>3335</v>
      </c>
      <c r="H1013" s="415">
        <v>0</v>
      </c>
      <c r="I1013" s="415">
        <v>0</v>
      </c>
      <c r="J1013" s="415">
        <v>8</v>
      </c>
      <c r="K1013" s="415">
        <v>1</v>
      </c>
      <c r="L1013" s="415">
        <v>515</v>
      </c>
      <c r="M1013" s="415">
        <v>205</v>
      </c>
      <c r="N1013" s="415">
        <v>816</v>
      </c>
      <c r="O1013" s="415" t="s">
        <v>2675</v>
      </c>
      <c r="P1013" s="415" t="s">
        <v>2675</v>
      </c>
      <c r="Q1013" s="415" t="s">
        <v>2675</v>
      </c>
      <c r="R1013" s="415" t="s">
        <v>3069</v>
      </c>
      <c r="S1013" s="415" t="s">
        <v>3339</v>
      </c>
      <c r="T1013" s="416">
        <v>138</v>
      </c>
      <c r="U1013" s="416">
        <v>138</v>
      </c>
      <c r="V1013" s="416">
        <v>132</v>
      </c>
      <c r="W1013" s="416">
        <v>126</v>
      </c>
      <c r="X1013" s="416">
        <v>122</v>
      </c>
      <c r="Y1013" s="416">
        <v>118</v>
      </c>
      <c r="Z1013" s="416">
        <v>111</v>
      </c>
      <c r="AA1013" s="416">
        <v>105</v>
      </c>
      <c r="AB1013" s="416">
        <v>99.8</v>
      </c>
      <c r="AC1013" s="416">
        <v>97.9</v>
      </c>
      <c r="AD1013" s="416">
        <v>96.1</v>
      </c>
      <c r="AE1013" s="416">
        <v>95</v>
      </c>
      <c r="AF1013" s="416">
        <v>94.4</v>
      </c>
      <c r="AG1013" s="416">
        <v>93.8</v>
      </c>
      <c r="AH1013" s="416">
        <v>93.2</v>
      </c>
      <c r="AI1013" s="416">
        <v>92.5</v>
      </c>
      <c r="AJ1013" s="416">
        <v>92.4</v>
      </c>
      <c r="AK1013" s="416">
        <v>92.4</v>
      </c>
      <c r="AL1013" s="416">
        <v>90.3</v>
      </c>
      <c r="AM1013" s="416">
        <v>77.2</v>
      </c>
      <c r="AN1013" s="416">
        <v>57.7</v>
      </c>
      <c r="AO1013" s="416">
        <v>39.9</v>
      </c>
      <c r="AP1013" s="416">
        <v>30</v>
      </c>
      <c r="AQ1013" s="416">
        <v>23.2</v>
      </c>
      <c r="AR1013" s="416">
        <v>16.3</v>
      </c>
      <c r="AS1013" s="416">
        <v>11.2</v>
      </c>
      <c r="AT1013" s="416">
        <v>8.93</v>
      </c>
      <c r="AU1013" s="416">
        <v>7.08</v>
      </c>
      <c r="AV1013" s="416">
        <v>5.77</v>
      </c>
      <c r="AW1013" s="416">
        <v>5.32</v>
      </c>
      <c r="AX1013" s="416">
        <v>0</v>
      </c>
      <c r="AY1013" s="416">
        <v>0</v>
      </c>
      <c r="AZ1013" s="416">
        <v>0</v>
      </c>
    </row>
    <row r="1014" spans="1:52" s="411" customFormat="1" x14ac:dyDescent="0.3">
      <c r="A1014" s="415" t="str">
        <f t="shared" si="15"/>
        <v>SA-249 Gr.TP348</v>
      </c>
      <c r="B1014" s="415">
        <v>1008</v>
      </c>
      <c r="C1014" s="415" t="s">
        <v>3324</v>
      </c>
      <c r="D1014" s="415" t="s">
        <v>2689</v>
      </c>
      <c r="E1014" s="415" t="s">
        <v>2200</v>
      </c>
      <c r="F1014" s="415" t="s">
        <v>2580</v>
      </c>
      <c r="G1014" s="415" t="s">
        <v>3335</v>
      </c>
      <c r="H1014" s="415">
        <v>0</v>
      </c>
      <c r="I1014" s="415">
        <v>0</v>
      </c>
      <c r="J1014" s="415">
        <v>8</v>
      </c>
      <c r="K1014" s="415">
        <v>1</v>
      </c>
      <c r="L1014" s="415">
        <v>515</v>
      </c>
      <c r="M1014" s="415">
        <v>205</v>
      </c>
      <c r="N1014" s="415">
        <v>816</v>
      </c>
      <c r="O1014" s="415">
        <v>427</v>
      </c>
      <c r="P1014" s="415" t="s">
        <v>2675</v>
      </c>
      <c r="Q1014" s="415" t="s">
        <v>2675</v>
      </c>
      <c r="R1014" s="415" t="s">
        <v>3069</v>
      </c>
      <c r="S1014" s="415" t="s">
        <v>3340</v>
      </c>
      <c r="T1014" s="416">
        <v>138</v>
      </c>
      <c r="U1014" s="416">
        <v>138</v>
      </c>
      <c r="V1014" s="416">
        <v>138</v>
      </c>
      <c r="W1014" s="416">
        <v>137</v>
      </c>
      <c r="X1014" s="416">
        <v>134</v>
      </c>
      <c r="Y1014" s="416">
        <v>129</v>
      </c>
      <c r="Z1014" s="416">
        <v>123</v>
      </c>
      <c r="AA1014" s="416">
        <v>119</v>
      </c>
      <c r="AB1014" s="416">
        <v>117</v>
      </c>
      <c r="AC1014" s="416">
        <v>116</v>
      </c>
      <c r="AD1014" s="416">
        <v>116</v>
      </c>
      <c r="AE1014" s="416">
        <v>116</v>
      </c>
      <c r="AF1014" s="416">
        <v>116</v>
      </c>
      <c r="AG1014" s="416">
        <v>116</v>
      </c>
      <c r="AH1014" s="416">
        <v>116</v>
      </c>
      <c r="AI1014" s="416">
        <v>115</v>
      </c>
      <c r="AJ1014" s="416">
        <v>115</v>
      </c>
      <c r="AK1014" s="416">
        <v>113</v>
      </c>
      <c r="AL1014" s="416">
        <v>99.8</v>
      </c>
      <c r="AM1014" s="416">
        <v>77.2</v>
      </c>
      <c r="AN1014" s="416">
        <v>57.7</v>
      </c>
      <c r="AO1014" s="416">
        <v>39.9</v>
      </c>
      <c r="AP1014" s="416">
        <v>30</v>
      </c>
      <c r="AQ1014" s="416">
        <v>23.2</v>
      </c>
      <c r="AR1014" s="416">
        <v>16.3</v>
      </c>
      <c r="AS1014" s="416">
        <v>11.2</v>
      </c>
      <c r="AT1014" s="416">
        <v>8.93</v>
      </c>
      <c r="AU1014" s="416">
        <v>7.08</v>
      </c>
      <c r="AV1014" s="416">
        <v>5.77</v>
      </c>
      <c r="AW1014" s="416">
        <v>5.32</v>
      </c>
      <c r="AX1014" s="416">
        <v>0</v>
      </c>
      <c r="AY1014" s="416">
        <v>0</v>
      </c>
      <c r="AZ1014" s="416">
        <v>0</v>
      </c>
    </row>
    <row r="1015" spans="1:52" s="411" customFormat="1" x14ac:dyDescent="0.3">
      <c r="A1015" s="415" t="str">
        <f t="shared" si="15"/>
        <v>SA-249 Gr.TP348</v>
      </c>
      <c r="B1015" s="415">
        <v>1009</v>
      </c>
      <c r="C1015" s="415" t="s">
        <v>3324</v>
      </c>
      <c r="D1015" s="415" t="s">
        <v>2689</v>
      </c>
      <c r="E1015" s="415" t="s">
        <v>2200</v>
      </c>
      <c r="F1015" s="415" t="s">
        <v>2580</v>
      </c>
      <c r="G1015" s="415" t="s">
        <v>3335</v>
      </c>
      <c r="H1015" s="415">
        <v>0</v>
      </c>
      <c r="I1015" s="415">
        <v>0</v>
      </c>
      <c r="J1015" s="415">
        <v>8</v>
      </c>
      <c r="K1015" s="415">
        <v>1</v>
      </c>
      <c r="L1015" s="415">
        <v>515</v>
      </c>
      <c r="M1015" s="415">
        <v>205</v>
      </c>
      <c r="N1015" s="415">
        <v>816</v>
      </c>
      <c r="O1015" s="415" t="s">
        <v>2675</v>
      </c>
      <c r="P1015" s="415">
        <v>816</v>
      </c>
      <c r="Q1015" s="415">
        <v>343</v>
      </c>
      <c r="R1015" s="415" t="s">
        <v>3069</v>
      </c>
      <c r="S1015" s="415" t="s">
        <v>3341</v>
      </c>
      <c r="T1015" s="416">
        <v>117</v>
      </c>
      <c r="U1015" s="416">
        <v>117</v>
      </c>
      <c r="V1015" s="416">
        <v>117</v>
      </c>
      <c r="W1015" s="416">
        <v>117</v>
      </c>
      <c r="X1015" s="416">
        <v>114</v>
      </c>
      <c r="Y1015" s="416">
        <v>110</v>
      </c>
      <c r="Z1015" s="416">
        <v>104</v>
      </c>
      <c r="AA1015" s="416">
        <v>101</v>
      </c>
      <c r="AB1015" s="416">
        <v>98.9</v>
      </c>
      <c r="AC1015" s="416">
        <v>98.6</v>
      </c>
      <c r="AD1015" s="416">
        <v>98.6</v>
      </c>
      <c r="AE1015" s="416">
        <v>98.6</v>
      </c>
      <c r="AF1015" s="416">
        <v>98.6</v>
      </c>
      <c r="AG1015" s="416">
        <v>98.6</v>
      </c>
      <c r="AH1015" s="416">
        <v>98.6</v>
      </c>
      <c r="AI1015" s="416">
        <v>98.1</v>
      </c>
      <c r="AJ1015" s="416">
        <v>97.6</v>
      </c>
      <c r="AK1015" s="416">
        <v>95.4</v>
      </c>
      <c r="AL1015" s="416">
        <v>85.5</v>
      </c>
      <c r="AM1015" s="416">
        <v>65.900000000000006</v>
      </c>
      <c r="AN1015" s="416">
        <v>49.5</v>
      </c>
      <c r="AO1015" s="416">
        <v>34</v>
      </c>
      <c r="AP1015" s="416">
        <v>25.9</v>
      </c>
      <c r="AQ1015" s="416">
        <v>19.7</v>
      </c>
      <c r="AR1015" s="416">
        <v>14</v>
      </c>
      <c r="AS1015" s="416">
        <v>9.8000000000000007</v>
      </c>
      <c r="AT1015" s="416">
        <v>7.53</v>
      </c>
      <c r="AU1015" s="416">
        <v>5.95</v>
      </c>
      <c r="AV1015" s="416">
        <v>4.96</v>
      </c>
      <c r="AW1015" s="416">
        <v>4.5</v>
      </c>
      <c r="AX1015" s="416">
        <v>0</v>
      </c>
      <c r="AY1015" s="416">
        <v>0</v>
      </c>
      <c r="AZ1015" s="416">
        <v>0</v>
      </c>
    </row>
    <row r="1016" spans="1:52" s="411" customFormat="1" x14ac:dyDescent="0.3">
      <c r="A1016" s="415" t="str">
        <f t="shared" si="15"/>
        <v>SA-249 Gr.TP348</v>
      </c>
      <c r="B1016" s="415">
        <v>1010</v>
      </c>
      <c r="C1016" s="415" t="s">
        <v>3324</v>
      </c>
      <c r="D1016" s="415" t="s">
        <v>2689</v>
      </c>
      <c r="E1016" s="415" t="s">
        <v>2200</v>
      </c>
      <c r="F1016" s="415" t="s">
        <v>2580</v>
      </c>
      <c r="G1016" s="415" t="s">
        <v>3335</v>
      </c>
      <c r="H1016" s="415">
        <v>0</v>
      </c>
      <c r="I1016" s="415">
        <v>0</v>
      </c>
      <c r="J1016" s="415">
        <v>8</v>
      </c>
      <c r="K1016" s="415">
        <v>1</v>
      </c>
      <c r="L1016" s="415">
        <v>515</v>
      </c>
      <c r="M1016" s="415">
        <v>205</v>
      </c>
      <c r="N1016" s="415">
        <v>816</v>
      </c>
      <c r="O1016" s="415" t="s">
        <v>2675</v>
      </c>
      <c r="P1016" s="415">
        <v>816</v>
      </c>
      <c r="Q1016" s="415">
        <v>343</v>
      </c>
      <c r="R1016" s="415" t="s">
        <v>3069</v>
      </c>
      <c r="S1016" s="415" t="s">
        <v>3342</v>
      </c>
      <c r="T1016" s="416">
        <v>117</v>
      </c>
      <c r="U1016" s="416">
        <v>117</v>
      </c>
      <c r="V1016" s="416">
        <v>112</v>
      </c>
      <c r="W1016" s="416">
        <v>107</v>
      </c>
      <c r="X1016" s="416">
        <v>103</v>
      </c>
      <c r="Y1016" s="416">
        <v>101</v>
      </c>
      <c r="Z1016" s="416">
        <v>94.3</v>
      </c>
      <c r="AA1016" s="416">
        <v>89.1</v>
      </c>
      <c r="AB1016" s="416">
        <v>85.3</v>
      </c>
      <c r="AC1016" s="416">
        <v>83.3</v>
      </c>
      <c r="AD1016" s="416">
        <v>81.8</v>
      </c>
      <c r="AE1016" s="416">
        <v>81.2</v>
      </c>
      <c r="AF1016" s="416">
        <v>79.900000000000006</v>
      </c>
      <c r="AG1016" s="416">
        <v>79.3</v>
      </c>
      <c r="AH1016" s="416">
        <v>79.3</v>
      </c>
      <c r="AI1016" s="416">
        <v>78.7</v>
      </c>
      <c r="AJ1016" s="416">
        <v>78.599999999999994</v>
      </c>
      <c r="AK1016" s="416">
        <v>78.599999999999994</v>
      </c>
      <c r="AL1016" s="416">
        <v>76.8</v>
      </c>
      <c r="AM1016" s="416">
        <v>65.900000000000006</v>
      </c>
      <c r="AN1016" s="416">
        <v>49.5</v>
      </c>
      <c r="AO1016" s="416">
        <v>34</v>
      </c>
      <c r="AP1016" s="416">
        <v>25.9</v>
      </c>
      <c r="AQ1016" s="416">
        <v>19.7</v>
      </c>
      <c r="AR1016" s="416">
        <v>14</v>
      </c>
      <c r="AS1016" s="416">
        <v>9.8000000000000007</v>
      </c>
      <c r="AT1016" s="416">
        <v>7.53</v>
      </c>
      <c r="AU1016" s="416">
        <v>5.95</v>
      </c>
      <c r="AV1016" s="416">
        <v>4.96</v>
      </c>
      <c r="AW1016" s="416">
        <v>4.5</v>
      </c>
      <c r="AX1016" s="416">
        <v>0</v>
      </c>
      <c r="AY1016" s="416">
        <v>0</v>
      </c>
      <c r="AZ1016" s="416">
        <v>0</v>
      </c>
    </row>
    <row r="1017" spans="1:52" s="411" customFormat="1" x14ac:dyDescent="0.3">
      <c r="A1017" s="415" t="str">
        <f t="shared" si="15"/>
        <v>SA-312 Gr.TP348</v>
      </c>
      <c r="B1017" s="415">
        <v>1011</v>
      </c>
      <c r="C1017" s="415" t="s">
        <v>3324</v>
      </c>
      <c r="D1017" s="415" t="s">
        <v>2720</v>
      </c>
      <c r="E1017" s="415" t="s">
        <v>2208</v>
      </c>
      <c r="F1017" s="415" t="s">
        <v>2580</v>
      </c>
      <c r="G1017" s="415" t="s">
        <v>3335</v>
      </c>
      <c r="H1017" s="415">
        <v>0</v>
      </c>
      <c r="I1017" s="415">
        <v>0</v>
      </c>
      <c r="J1017" s="415">
        <v>8</v>
      </c>
      <c r="K1017" s="415">
        <v>1</v>
      </c>
      <c r="L1017" s="415">
        <v>515</v>
      </c>
      <c r="M1017" s="415">
        <v>205</v>
      </c>
      <c r="N1017" s="415">
        <v>816</v>
      </c>
      <c r="O1017" s="415">
        <v>427</v>
      </c>
      <c r="P1017" s="415">
        <v>816</v>
      </c>
      <c r="Q1017" s="415">
        <v>343</v>
      </c>
      <c r="R1017" s="415" t="s">
        <v>3069</v>
      </c>
      <c r="S1017" s="415" t="s">
        <v>3346</v>
      </c>
      <c r="T1017" s="416">
        <v>138</v>
      </c>
      <c r="U1017" s="416">
        <v>138</v>
      </c>
      <c r="V1017" s="416">
        <v>138</v>
      </c>
      <c r="W1017" s="416">
        <v>137</v>
      </c>
      <c r="X1017" s="416">
        <v>134</v>
      </c>
      <c r="Y1017" s="416">
        <v>129</v>
      </c>
      <c r="Z1017" s="416">
        <v>123</v>
      </c>
      <c r="AA1017" s="416">
        <v>119</v>
      </c>
      <c r="AB1017" s="416">
        <v>117</v>
      </c>
      <c r="AC1017" s="416">
        <v>116</v>
      </c>
      <c r="AD1017" s="416">
        <v>116</v>
      </c>
      <c r="AE1017" s="416">
        <v>116</v>
      </c>
      <c r="AF1017" s="416">
        <v>116</v>
      </c>
      <c r="AG1017" s="416">
        <v>116</v>
      </c>
      <c r="AH1017" s="416">
        <v>116</v>
      </c>
      <c r="AI1017" s="416">
        <v>115</v>
      </c>
      <c r="AJ1017" s="416">
        <v>115</v>
      </c>
      <c r="AK1017" s="416">
        <v>113</v>
      </c>
      <c r="AL1017" s="416">
        <v>99.8</v>
      </c>
      <c r="AM1017" s="416">
        <v>77.2</v>
      </c>
      <c r="AN1017" s="416">
        <v>57.7</v>
      </c>
      <c r="AO1017" s="416">
        <v>39.9</v>
      </c>
      <c r="AP1017" s="416">
        <v>30</v>
      </c>
      <c r="AQ1017" s="416">
        <v>23.2</v>
      </c>
      <c r="AR1017" s="416">
        <v>16.3</v>
      </c>
      <c r="AS1017" s="416">
        <v>11.2</v>
      </c>
      <c r="AT1017" s="416">
        <v>8.93</v>
      </c>
      <c r="AU1017" s="416">
        <v>7.08</v>
      </c>
      <c r="AV1017" s="416">
        <v>5.77</v>
      </c>
      <c r="AW1017" s="416">
        <v>5.32</v>
      </c>
      <c r="AX1017" s="416">
        <v>0</v>
      </c>
      <c r="AY1017" s="416">
        <v>0</v>
      </c>
      <c r="AZ1017" s="416">
        <v>0</v>
      </c>
    </row>
    <row r="1018" spans="1:52" s="411" customFormat="1" x14ac:dyDescent="0.3">
      <c r="A1018" s="415" t="str">
        <f t="shared" si="15"/>
        <v>SA-312 Gr.TP348</v>
      </c>
      <c r="B1018" s="415">
        <v>1012</v>
      </c>
      <c r="C1018" s="415" t="s">
        <v>3324</v>
      </c>
      <c r="D1018" s="415" t="s">
        <v>2703</v>
      </c>
      <c r="E1018" s="415" t="s">
        <v>2208</v>
      </c>
      <c r="F1018" s="415" t="s">
        <v>2580</v>
      </c>
      <c r="G1018" s="415" t="s">
        <v>3335</v>
      </c>
      <c r="H1018" s="415">
        <v>0</v>
      </c>
      <c r="I1018" s="415">
        <v>0</v>
      </c>
      <c r="J1018" s="415">
        <v>8</v>
      </c>
      <c r="K1018" s="415">
        <v>1</v>
      </c>
      <c r="L1018" s="415">
        <v>515</v>
      </c>
      <c r="M1018" s="415">
        <v>205</v>
      </c>
      <c r="N1018" s="415">
        <v>816</v>
      </c>
      <c r="O1018" s="415" t="s">
        <v>2675</v>
      </c>
      <c r="P1018" s="415">
        <v>816</v>
      </c>
      <c r="Q1018" s="415">
        <v>343</v>
      </c>
      <c r="R1018" s="415" t="s">
        <v>3069</v>
      </c>
      <c r="S1018" s="415" t="s">
        <v>3338</v>
      </c>
      <c r="T1018" s="416">
        <v>138</v>
      </c>
      <c r="U1018" s="416">
        <v>138</v>
      </c>
      <c r="V1018" s="416">
        <v>132</v>
      </c>
      <c r="W1018" s="416">
        <v>126</v>
      </c>
      <c r="X1018" s="416">
        <v>122</v>
      </c>
      <c r="Y1018" s="416">
        <v>118</v>
      </c>
      <c r="Z1018" s="416">
        <v>111</v>
      </c>
      <c r="AA1018" s="416">
        <v>105</v>
      </c>
      <c r="AB1018" s="416">
        <v>99.8</v>
      </c>
      <c r="AC1018" s="416">
        <v>97.9</v>
      </c>
      <c r="AD1018" s="416">
        <v>96.1</v>
      </c>
      <c r="AE1018" s="416">
        <v>95</v>
      </c>
      <c r="AF1018" s="416">
        <v>94.4</v>
      </c>
      <c r="AG1018" s="416">
        <v>93.8</v>
      </c>
      <c r="AH1018" s="416">
        <v>93.2</v>
      </c>
      <c r="AI1018" s="416">
        <v>92.5</v>
      </c>
      <c r="AJ1018" s="416">
        <v>92.4</v>
      </c>
      <c r="AK1018" s="416">
        <v>92.4</v>
      </c>
      <c r="AL1018" s="416">
        <v>90.3</v>
      </c>
      <c r="AM1018" s="416">
        <v>77.2</v>
      </c>
      <c r="AN1018" s="416">
        <v>57.7</v>
      </c>
      <c r="AO1018" s="416">
        <v>39.9</v>
      </c>
      <c r="AP1018" s="416">
        <v>30</v>
      </c>
      <c r="AQ1018" s="416">
        <v>23.2</v>
      </c>
      <c r="AR1018" s="416">
        <v>16.3</v>
      </c>
      <c r="AS1018" s="416">
        <v>11.2</v>
      </c>
      <c r="AT1018" s="416">
        <v>8.93</v>
      </c>
      <c r="AU1018" s="416">
        <v>7.08</v>
      </c>
      <c r="AV1018" s="416">
        <v>5.77</v>
      </c>
      <c r="AW1018" s="416">
        <v>5.32</v>
      </c>
      <c r="AX1018" s="416">
        <v>0</v>
      </c>
      <c r="AY1018" s="416">
        <v>0</v>
      </c>
      <c r="AZ1018" s="416">
        <v>0</v>
      </c>
    </row>
    <row r="1019" spans="1:52" s="411" customFormat="1" x14ac:dyDescent="0.3">
      <c r="A1019" s="415" t="str">
        <f t="shared" si="15"/>
        <v>SA-312 Gr.TP348</v>
      </c>
      <c r="B1019" s="415">
        <v>1013</v>
      </c>
      <c r="C1019" s="415" t="s">
        <v>3324</v>
      </c>
      <c r="D1019" s="415" t="s">
        <v>2680</v>
      </c>
      <c r="E1019" s="415" t="s">
        <v>2208</v>
      </c>
      <c r="F1019" s="415" t="s">
        <v>2580</v>
      </c>
      <c r="G1019" s="415" t="s">
        <v>3335</v>
      </c>
      <c r="H1019" s="415">
        <v>0</v>
      </c>
      <c r="I1019" s="415">
        <v>0</v>
      </c>
      <c r="J1019" s="415">
        <v>8</v>
      </c>
      <c r="K1019" s="415">
        <v>1</v>
      </c>
      <c r="L1019" s="415">
        <v>515</v>
      </c>
      <c r="M1019" s="415">
        <v>205</v>
      </c>
      <c r="N1019" s="415" t="s">
        <v>2675</v>
      </c>
      <c r="O1019" s="415" t="s">
        <v>2675</v>
      </c>
      <c r="P1019" s="415">
        <v>816</v>
      </c>
      <c r="Q1019" s="415">
        <v>343</v>
      </c>
      <c r="R1019" s="415" t="s">
        <v>3069</v>
      </c>
      <c r="S1019" s="415" t="s">
        <v>3356</v>
      </c>
      <c r="T1019" s="416">
        <v>117</v>
      </c>
      <c r="U1019" s="416">
        <v>117</v>
      </c>
      <c r="V1019" s="416">
        <v>117</v>
      </c>
      <c r="W1019" s="416">
        <v>117</v>
      </c>
      <c r="X1019" s="416">
        <v>114</v>
      </c>
      <c r="Y1019" s="416">
        <v>110</v>
      </c>
      <c r="Z1019" s="416">
        <v>104</v>
      </c>
      <c r="AA1019" s="416">
        <v>101</v>
      </c>
      <c r="AB1019" s="416">
        <v>98.9</v>
      </c>
      <c r="AC1019" s="416">
        <v>98.6</v>
      </c>
      <c r="AD1019" s="416">
        <v>98.6</v>
      </c>
      <c r="AE1019" s="416">
        <v>98.6</v>
      </c>
      <c r="AF1019" s="416">
        <v>98.6</v>
      </c>
      <c r="AG1019" s="416">
        <v>98.6</v>
      </c>
      <c r="AH1019" s="416">
        <v>98.6</v>
      </c>
      <c r="AI1019" s="416">
        <v>98.1</v>
      </c>
      <c r="AJ1019" s="416">
        <v>97.6</v>
      </c>
      <c r="AK1019" s="416">
        <v>95.4</v>
      </c>
      <c r="AL1019" s="416">
        <v>85.5</v>
      </c>
      <c r="AM1019" s="416">
        <v>65.900000000000006</v>
      </c>
      <c r="AN1019" s="416">
        <v>49.5</v>
      </c>
      <c r="AO1019" s="416">
        <v>34</v>
      </c>
      <c r="AP1019" s="416">
        <v>25.9</v>
      </c>
      <c r="AQ1019" s="416">
        <v>19.7</v>
      </c>
      <c r="AR1019" s="416">
        <v>14</v>
      </c>
      <c r="AS1019" s="416">
        <v>9.8000000000000007</v>
      </c>
      <c r="AT1019" s="416">
        <v>7.53</v>
      </c>
      <c r="AU1019" s="416">
        <v>5.95</v>
      </c>
      <c r="AV1019" s="416">
        <v>4.96</v>
      </c>
      <c r="AW1019" s="416">
        <v>4.5</v>
      </c>
      <c r="AX1019" s="416">
        <v>0</v>
      </c>
      <c r="AY1019" s="416">
        <v>0</v>
      </c>
      <c r="AZ1019" s="416">
        <v>0</v>
      </c>
    </row>
    <row r="1020" spans="1:52" s="411" customFormat="1" x14ac:dyDescent="0.3">
      <c r="A1020" s="415" t="str">
        <f t="shared" si="15"/>
        <v>SA-312 Gr.TP348</v>
      </c>
      <c r="B1020" s="415">
        <v>1014</v>
      </c>
      <c r="C1020" s="415" t="s">
        <v>3324</v>
      </c>
      <c r="D1020" s="415" t="s">
        <v>2680</v>
      </c>
      <c r="E1020" s="415" t="s">
        <v>2208</v>
      </c>
      <c r="F1020" s="415" t="s">
        <v>2580</v>
      </c>
      <c r="G1020" s="415" t="s">
        <v>3335</v>
      </c>
      <c r="H1020" s="415">
        <v>0</v>
      </c>
      <c r="I1020" s="415">
        <v>0</v>
      </c>
      <c r="J1020" s="415">
        <v>8</v>
      </c>
      <c r="K1020" s="415">
        <v>1</v>
      </c>
      <c r="L1020" s="415">
        <v>515</v>
      </c>
      <c r="M1020" s="415">
        <v>205</v>
      </c>
      <c r="N1020" s="415" t="s">
        <v>2675</v>
      </c>
      <c r="O1020" s="415" t="s">
        <v>2675</v>
      </c>
      <c r="P1020" s="415">
        <v>816</v>
      </c>
      <c r="Q1020" s="415">
        <v>343</v>
      </c>
      <c r="R1020" s="415" t="s">
        <v>3069</v>
      </c>
      <c r="S1020" s="415" t="s">
        <v>3357</v>
      </c>
      <c r="T1020" s="416">
        <v>117</v>
      </c>
      <c r="U1020" s="416">
        <v>117</v>
      </c>
      <c r="V1020" s="416">
        <v>112</v>
      </c>
      <c r="W1020" s="416">
        <v>107</v>
      </c>
      <c r="X1020" s="416">
        <v>103</v>
      </c>
      <c r="Y1020" s="416">
        <v>101</v>
      </c>
      <c r="Z1020" s="416">
        <v>94.3</v>
      </c>
      <c r="AA1020" s="416">
        <v>89.1</v>
      </c>
      <c r="AB1020" s="416">
        <v>85.3</v>
      </c>
      <c r="AC1020" s="416">
        <v>83.3</v>
      </c>
      <c r="AD1020" s="416">
        <v>81.8</v>
      </c>
      <c r="AE1020" s="416">
        <v>81.2</v>
      </c>
      <c r="AF1020" s="416">
        <v>79.900000000000006</v>
      </c>
      <c r="AG1020" s="416">
        <v>79.3</v>
      </c>
      <c r="AH1020" s="416">
        <v>79.3</v>
      </c>
      <c r="AI1020" s="416">
        <v>78.7</v>
      </c>
      <c r="AJ1020" s="416">
        <v>78.599999999999994</v>
      </c>
      <c r="AK1020" s="416">
        <v>78.599999999999994</v>
      </c>
      <c r="AL1020" s="416">
        <v>76.8</v>
      </c>
      <c r="AM1020" s="416">
        <v>65.900000000000006</v>
      </c>
      <c r="AN1020" s="416">
        <v>49.5</v>
      </c>
      <c r="AO1020" s="416">
        <v>34</v>
      </c>
      <c r="AP1020" s="416">
        <v>25.9</v>
      </c>
      <c r="AQ1020" s="416">
        <v>19.7</v>
      </c>
      <c r="AR1020" s="416">
        <v>14</v>
      </c>
      <c r="AS1020" s="416">
        <v>9.8000000000000007</v>
      </c>
      <c r="AT1020" s="416">
        <v>7.53</v>
      </c>
      <c r="AU1020" s="416">
        <v>5.95</v>
      </c>
      <c r="AV1020" s="416">
        <v>4.96</v>
      </c>
      <c r="AW1020" s="416">
        <v>4.5</v>
      </c>
      <c r="AX1020" s="416">
        <v>0</v>
      </c>
      <c r="AY1020" s="416">
        <v>0</v>
      </c>
      <c r="AZ1020" s="416">
        <v>0</v>
      </c>
    </row>
    <row r="1021" spans="1:52" s="411" customFormat="1" x14ac:dyDescent="0.3">
      <c r="A1021" s="415" t="str">
        <f t="shared" si="15"/>
        <v>SA-358 Gr.348</v>
      </c>
      <c r="B1021" s="415">
        <v>1015</v>
      </c>
      <c r="C1021" s="415" t="s">
        <v>3324</v>
      </c>
      <c r="D1021" s="415" t="s">
        <v>2680</v>
      </c>
      <c r="E1021" s="415" t="s">
        <v>2217</v>
      </c>
      <c r="F1021" s="415">
        <v>348</v>
      </c>
      <c r="G1021" s="415" t="s">
        <v>3335</v>
      </c>
      <c r="H1021" s="415">
        <v>1</v>
      </c>
      <c r="I1021" s="415">
        <v>0</v>
      </c>
      <c r="J1021" s="415">
        <v>8</v>
      </c>
      <c r="K1021" s="415">
        <v>1</v>
      </c>
      <c r="L1021" s="415">
        <v>515</v>
      </c>
      <c r="M1021" s="415">
        <v>205</v>
      </c>
      <c r="N1021" s="415" t="s">
        <v>2675</v>
      </c>
      <c r="O1021" s="415">
        <v>427</v>
      </c>
      <c r="P1021" s="415" t="s">
        <v>2675</v>
      </c>
      <c r="Q1021" s="415" t="s">
        <v>2675</v>
      </c>
      <c r="R1021" s="415" t="s">
        <v>3069</v>
      </c>
      <c r="S1021" s="415" t="s">
        <v>3208</v>
      </c>
      <c r="T1021" s="416">
        <v>138</v>
      </c>
      <c r="U1021" s="416">
        <v>138</v>
      </c>
      <c r="V1021" s="416">
        <v>138</v>
      </c>
      <c r="W1021" s="416">
        <v>137</v>
      </c>
      <c r="X1021" s="416">
        <v>134</v>
      </c>
      <c r="Y1021" s="416">
        <v>129</v>
      </c>
      <c r="Z1021" s="416">
        <v>123</v>
      </c>
      <c r="AA1021" s="416">
        <v>119</v>
      </c>
      <c r="AB1021" s="416">
        <v>117</v>
      </c>
      <c r="AC1021" s="416">
        <v>116</v>
      </c>
      <c r="AD1021" s="416">
        <v>116</v>
      </c>
      <c r="AE1021" s="416">
        <v>116</v>
      </c>
      <c r="AF1021" s="416">
        <v>116</v>
      </c>
      <c r="AG1021" s="416">
        <v>116</v>
      </c>
      <c r="AH1021" s="416">
        <v>116</v>
      </c>
      <c r="AI1021" s="416">
        <v>0</v>
      </c>
      <c r="AJ1021" s="416">
        <v>0</v>
      </c>
      <c r="AK1021" s="416">
        <v>0</v>
      </c>
      <c r="AL1021" s="416">
        <v>0</v>
      </c>
      <c r="AM1021" s="416">
        <v>0</v>
      </c>
      <c r="AN1021" s="416">
        <v>0</v>
      </c>
      <c r="AO1021" s="416">
        <v>0</v>
      </c>
      <c r="AP1021" s="416">
        <v>0</v>
      </c>
      <c r="AQ1021" s="416">
        <v>0</v>
      </c>
      <c r="AR1021" s="416">
        <v>0</v>
      </c>
      <c r="AS1021" s="416">
        <v>0</v>
      </c>
      <c r="AT1021" s="416">
        <v>0</v>
      </c>
      <c r="AU1021" s="416">
        <v>0</v>
      </c>
      <c r="AV1021" s="416">
        <v>0</v>
      </c>
      <c r="AW1021" s="416">
        <v>0</v>
      </c>
      <c r="AX1021" s="416">
        <v>0</v>
      </c>
      <c r="AY1021" s="416">
        <v>0</v>
      </c>
      <c r="AZ1021" s="416">
        <v>0</v>
      </c>
    </row>
    <row r="1022" spans="1:52" s="411" customFormat="1" x14ac:dyDescent="0.3">
      <c r="A1022" s="415" t="str">
        <f t="shared" si="15"/>
        <v>SA-376 Gr.TP348</v>
      </c>
      <c r="B1022" s="415">
        <v>1016</v>
      </c>
      <c r="C1022" s="415" t="s">
        <v>3324</v>
      </c>
      <c r="D1022" s="415" t="s">
        <v>2703</v>
      </c>
      <c r="E1022" s="415" t="s">
        <v>2225</v>
      </c>
      <c r="F1022" s="415" t="s">
        <v>2580</v>
      </c>
      <c r="G1022" s="415" t="s">
        <v>3335</v>
      </c>
      <c r="H1022" s="415">
        <v>0</v>
      </c>
      <c r="I1022" s="415">
        <v>0</v>
      </c>
      <c r="J1022" s="415">
        <v>8</v>
      </c>
      <c r="K1022" s="415">
        <v>1</v>
      </c>
      <c r="L1022" s="415">
        <v>515</v>
      </c>
      <c r="M1022" s="415">
        <v>205</v>
      </c>
      <c r="N1022" s="415">
        <v>816</v>
      </c>
      <c r="O1022" s="415">
        <v>427</v>
      </c>
      <c r="P1022" s="415">
        <v>816</v>
      </c>
      <c r="Q1022" s="415">
        <v>343</v>
      </c>
      <c r="R1022" s="415" t="s">
        <v>3069</v>
      </c>
      <c r="S1022" s="415" t="s">
        <v>3336</v>
      </c>
      <c r="T1022" s="416">
        <v>138</v>
      </c>
      <c r="U1022" s="416">
        <v>138</v>
      </c>
      <c r="V1022" s="416">
        <v>138</v>
      </c>
      <c r="W1022" s="416">
        <v>137</v>
      </c>
      <c r="X1022" s="416">
        <v>134</v>
      </c>
      <c r="Y1022" s="416">
        <v>129</v>
      </c>
      <c r="Z1022" s="416">
        <v>123</v>
      </c>
      <c r="AA1022" s="416">
        <v>119</v>
      </c>
      <c r="AB1022" s="416">
        <v>117</v>
      </c>
      <c r="AC1022" s="416">
        <v>116</v>
      </c>
      <c r="AD1022" s="416">
        <v>116</v>
      </c>
      <c r="AE1022" s="416">
        <v>116</v>
      </c>
      <c r="AF1022" s="416">
        <v>116</v>
      </c>
      <c r="AG1022" s="416">
        <v>116</v>
      </c>
      <c r="AH1022" s="416">
        <v>116</v>
      </c>
      <c r="AI1022" s="416">
        <v>115</v>
      </c>
      <c r="AJ1022" s="416">
        <v>115</v>
      </c>
      <c r="AK1022" s="416">
        <v>113</v>
      </c>
      <c r="AL1022" s="416">
        <v>99.8</v>
      </c>
      <c r="AM1022" s="416">
        <v>77.2</v>
      </c>
      <c r="AN1022" s="416">
        <v>57.7</v>
      </c>
      <c r="AO1022" s="416">
        <v>39.9</v>
      </c>
      <c r="AP1022" s="416">
        <v>30</v>
      </c>
      <c r="AQ1022" s="416">
        <v>23.2</v>
      </c>
      <c r="AR1022" s="416">
        <v>16.3</v>
      </c>
      <c r="AS1022" s="416">
        <v>11.2</v>
      </c>
      <c r="AT1022" s="416">
        <v>8.93</v>
      </c>
      <c r="AU1022" s="416">
        <v>7.08</v>
      </c>
      <c r="AV1022" s="416">
        <v>5.77</v>
      </c>
      <c r="AW1022" s="416">
        <v>5.32</v>
      </c>
      <c r="AX1022" s="416">
        <v>0</v>
      </c>
      <c r="AY1022" s="416">
        <v>0</v>
      </c>
      <c r="AZ1022" s="416">
        <v>0</v>
      </c>
    </row>
    <row r="1023" spans="1:52" s="411" customFormat="1" x14ac:dyDescent="0.3">
      <c r="A1023" s="415" t="str">
        <f t="shared" si="15"/>
        <v>SA-376 Gr.TP348</v>
      </c>
      <c r="B1023" s="415">
        <v>1017</v>
      </c>
      <c r="C1023" s="415" t="s">
        <v>3324</v>
      </c>
      <c r="D1023" s="415" t="s">
        <v>2703</v>
      </c>
      <c r="E1023" s="415" t="s">
        <v>2225</v>
      </c>
      <c r="F1023" s="415" t="s">
        <v>2580</v>
      </c>
      <c r="G1023" s="415" t="s">
        <v>3335</v>
      </c>
      <c r="H1023" s="415">
        <v>0</v>
      </c>
      <c r="I1023" s="415">
        <v>0</v>
      </c>
      <c r="J1023" s="415">
        <v>8</v>
      </c>
      <c r="K1023" s="415">
        <v>1</v>
      </c>
      <c r="L1023" s="415">
        <v>515</v>
      </c>
      <c r="M1023" s="415">
        <v>205</v>
      </c>
      <c r="N1023" s="415">
        <v>816</v>
      </c>
      <c r="O1023" s="415" t="s">
        <v>2675</v>
      </c>
      <c r="P1023" s="415">
        <v>816</v>
      </c>
      <c r="Q1023" s="415">
        <v>343</v>
      </c>
      <c r="R1023" s="415" t="s">
        <v>3069</v>
      </c>
      <c r="S1023" s="415" t="s">
        <v>3332</v>
      </c>
      <c r="T1023" s="416">
        <v>138</v>
      </c>
      <c r="U1023" s="416">
        <v>138</v>
      </c>
      <c r="V1023" s="416">
        <v>132</v>
      </c>
      <c r="W1023" s="416">
        <v>126</v>
      </c>
      <c r="X1023" s="416">
        <v>122</v>
      </c>
      <c r="Y1023" s="416">
        <v>118</v>
      </c>
      <c r="Z1023" s="416">
        <v>111</v>
      </c>
      <c r="AA1023" s="416">
        <v>105</v>
      </c>
      <c r="AB1023" s="416">
        <v>99.8</v>
      </c>
      <c r="AC1023" s="416">
        <v>97.9</v>
      </c>
      <c r="AD1023" s="416">
        <v>96.1</v>
      </c>
      <c r="AE1023" s="416">
        <v>95</v>
      </c>
      <c r="AF1023" s="416">
        <v>94.4</v>
      </c>
      <c r="AG1023" s="416">
        <v>93.8</v>
      </c>
      <c r="AH1023" s="416">
        <v>93.2</v>
      </c>
      <c r="AI1023" s="416">
        <v>92.5</v>
      </c>
      <c r="AJ1023" s="416">
        <v>92.4</v>
      </c>
      <c r="AK1023" s="416">
        <v>92.4</v>
      </c>
      <c r="AL1023" s="416">
        <v>90.3</v>
      </c>
      <c r="AM1023" s="416">
        <v>77.2</v>
      </c>
      <c r="AN1023" s="416">
        <v>57.7</v>
      </c>
      <c r="AO1023" s="416">
        <v>39.9</v>
      </c>
      <c r="AP1023" s="416">
        <v>30</v>
      </c>
      <c r="AQ1023" s="416">
        <v>23.2</v>
      </c>
      <c r="AR1023" s="416">
        <v>16.3</v>
      </c>
      <c r="AS1023" s="416">
        <v>11.2</v>
      </c>
      <c r="AT1023" s="416">
        <v>8.93</v>
      </c>
      <c r="AU1023" s="416">
        <v>7.08</v>
      </c>
      <c r="AV1023" s="416">
        <v>5.77</v>
      </c>
      <c r="AW1023" s="416">
        <v>5.32</v>
      </c>
      <c r="AX1023" s="416">
        <v>0</v>
      </c>
      <c r="AY1023" s="416">
        <v>0</v>
      </c>
      <c r="AZ1023" s="416">
        <v>0</v>
      </c>
    </row>
    <row r="1024" spans="1:52" s="411" customFormat="1" x14ac:dyDescent="0.3">
      <c r="A1024" s="415" t="str">
        <f t="shared" si="15"/>
        <v>SA-403 Gr.348</v>
      </c>
      <c r="B1024" s="415">
        <v>1018</v>
      </c>
      <c r="C1024" s="415" t="s">
        <v>3324</v>
      </c>
      <c r="D1024" s="415" t="s">
        <v>2758</v>
      </c>
      <c r="E1024" s="415" t="s">
        <v>2229</v>
      </c>
      <c r="F1024" s="415">
        <v>348</v>
      </c>
      <c r="G1024" s="415" t="s">
        <v>3335</v>
      </c>
      <c r="H1024" s="415">
        <v>0</v>
      </c>
      <c r="I1024" s="415">
        <v>0</v>
      </c>
      <c r="J1024" s="415">
        <v>8</v>
      </c>
      <c r="K1024" s="415">
        <v>1</v>
      </c>
      <c r="L1024" s="415">
        <v>515</v>
      </c>
      <c r="M1024" s="415">
        <v>205</v>
      </c>
      <c r="N1024" s="415" t="s">
        <v>2675</v>
      </c>
      <c r="O1024" s="415">
        <v>427</v>
      </c>
      <c r="P1024" s="415">
        <v>816</v>
      </c>
      <c r="Q1024" s="415">
        <v>343</v>
      </c>
      <c r="R1024" s="415" t="s">
        <v>3069</v>
      </c>
      <c r="S1024" s="415" t="s">
        <v>3358</v>
      </c>
      <c r="T1024" s="416">
        <v>138</v>
      </c>
      <c r="U1024" s="416">
        <v>138</v>
      </c>
      <c r="V1024" s="416">
        <v>138</v>
      </c>
      <c r="W1024" s="416">
        <v>137</v>
      </c>
      <c r="X1024" s="416">
        <v>134</v>
      </c>
      <c r="Y1024" s="416">
        <v>129</v>
      </c>
      <c r="Z1024" s="416">
        <v>123</v>
      </c>
      <c r="AA1024" s="416">
        <v>119</v>
      </c>
      <c r="AB1024" s="416">
        <v>117</v>
      </c>
      <c r="AC1024" s="416">
        <v>116</v>
      </c>
      <c r="AD1024" s="416">
        <v>116</v>
      </c>
      <c r="AE1024" s="416">
        <v>116</v>
      </c>
      <c r="AF1024" s="416">
        <v>116</v>
      </c>
      <c r="AG1024" s="416">
        <v>116</v>
      </c>
      <c r="AH1024" s="416">
        <v>116</v>
      </c>
      <c r="AI1024" s="416">
        <v>115</v>
      </c>
      <c r="AJ1024" s="416">
        <v>115</v>
      </c>
      <c r="AK1024" s="416">
        <v>113</v>
      </c>
      <c r="AL1024" s="416">
        <v>99.8</v>
      </c>
      <c r="AM1024" s="416">
        <v>77.2</v>
      </c>
      <c r="AN1024" s="416">
        <v>57.7</v>
      </c>
      <c r="AO1024" s="416">
        <v>39.9</v>
      </c>
      <c r="AP1024" s="416">
        <v>30</v>
      </c>
      <c r="AQ1024" s="416">
        <v>23.2</v>
      </c>
      <c r="AR1024" s="416">
        <v>16.3</v>
      </c>
      <c r="AS1024" s="416">
        <v>11.2</v>
      </c>
      <c r="AT1024" s="416">
        <v>8.93</v>
      </c>
      <c r="AU1024" s="416">
        <v>7.08</v>
      </c>
      <c r="AV1024" s="416">
        <v>5.77</v>
      </c>
      <c r="AW1024" s="416">
        <v>5.32</v>
      </c>
      <c r="AX1024" s="416">
        <v>0</v>
      </c>
      <c r="AY1024" s="416">
        <v>0</v>
      </c>
      <c r="AZ1024" s="416">
        <v>0</v>
      </c>
    </row>
    <row r="1025" spans="1:52" s="411" customFormat="1" x14ac:dyDescent="0.3">
      <c r="A1025" s="415" t="str">
        <f t="shared" si="15"/>
        <v>SA-409 Gr.TP348</v>
      </c>
      <c r="B1025" s="415">
        <v>1019</v>
      </c>
      <c r="C1025" s="415" t="s">
        <v>3324</v>
      </c>
      <c r="D1025" s="415" t="s">
        <v>2680</v>
      </c>
      <c r="E1025" s="415" t="s">
        <v>2231</v>
      </c>
      <c r="F1025" s="415" t="s">
        <v>2580</v>
      </c>
      <c r="G1025" s="415" t="s">
        <v>3335</v>
      </c>
      <c r="H1025" s="415">
        <v>0</v>
      </c>
      <c r="I1025" s="415">
        <v>0</v>
      </c>
      <c r="J1025" s="415">
        <v>8</v>
      </c>
      <c r="K1025" s="415">
        <v>1</v>
      </c>
      <c r="L1025" s="415">
        <v>515</v>
      </c>
      <c r="M1025" s="415">
        <v>205</v>
      </c>
      <c r="N1025" s="415" t="s">
        <v>2675</v>
      </c>
      <c r="O1025" s="415">
        <v>427</v>
      </c>
      <c r="P1025" s="415" t="s">
        <v>2675</v>
      </c>
      <c r="Q1025" s="415" t="s">
        <v>2675</v>
      </c>
      <c r="R1025" s="415" t="s">
        <v>3069</v>
      </c>
      <c r="S1025" s="415" t="s">
        <v>3208</v>
      </c>
      <c r="T1025" s="416">
        <v>138</v>
      </c>
      <c r="U1025" s="416">
        <v>138</v>
      </c>
      <c r="V1025" s="416">
        <v>138</v>
      </c>
      <c r="W1025" s="416">
        <v>137</v>
      </c>
      <c r="X1025" s="416">
        <v>134</v>
      </c>
      <c r="Y1025" s="416">
        <v>129</v>
      </c>
      <c r="Z1025" s="416">
        <v>123</v>
      </c>
      <c r="AA1025" s="416">
        <v>119</v>
      </c>
      <c r="AB1025" s="416">
        <v>117</v>
      </c>
      <c r="AC1025" s="416">
        <v>116</v>
      </c>
      <c r="AD1025" s="416">
        <v>116</v>
      </c>
      <c r="AE1025" s="416">
        <v>116</v>
      </c>
      <c r="AF1025" s="416">
        <v>116</v>
      </c>
      <c r="AG1025" s="416">
        <v>116</v>
      </c>
      <c r="AH1025" s="416">
        <v>116</v>
      </c>
      <c r="AI1025" s="416">
        <v>0</v>
      </c>
      <c r="AJ1025" s="416">
        <v>0</v>
      </c>
      <c r="AK1025" s="416">
        <v>0</v>
      </c>
      <c r="AL1025" s="416">
        <v>0</v>
      </c>
      <c r="AM1025" s="416">
        <v>0</v>
      </c>
      <c r="AN1025" s="416">
        <v>0</v>
      </c>
      <c r="AO1025" s="416">
        <v>0</v>
      </c>
      <c r="AP1025" s="416">
        <v>0</v>
      </c>
      <c r="AQ1025" s="416">
        <v>0</v>
      </c>
      <c r="AR1025" s="416">
        <v>0</v>
      </c>
      <c r="AS1025" s="416">
        <v>0</v>
      </c>
      <c r="AT1025" s="416">
        <v>0</v>
      </c>
      <c r="AU1025" s="416">
        <v>0</v>
      </c>
      <c r="AV1025" s="416">
        <v>0</v>
      </c>
      <c r="AW1025" s="416">
        <v>0</v>
      </c>
      <c r="AX1025" s="416">
        <v>0</v>
      </c>
      <c r="AY1025" s="416">
        <v>0</v>
      </c>
      <c r="AZ1025" s="416">
        <v>0</v>
      </c>
    </row>
    <row r="1026" spans="1:52" s="411" customFormat="1" x14ac:dyDescent="0.3">
      <c r="A1026" s="415" t="str">
        <f t="shared" si="15"/>
        <v>SA-479 Gr.348</v>
      </c>
      <c r="B1026" s="415">
        <v>1020</v>
      </c>
      <c r="C1026" s="415" t="s">
        <v>3324</v>
      </c>
      <c r="D1026" s="415" t="s">
        <v>2677</v>
      </c>
      <c r="E1026" s="415" t="s">
        <v>2245</v>
      </c>
      <c r="F1026" s="415">
        <v>348</v>
      </c>
      <c r="G1026" s="415" t="s">
        <v>3335</v>
      </c>
      <c r="H1026" s="415">
        <v>0</v>
      </c>
      <c r="I1026" s="415">
        <v>0</v>
      </c>
      <c r="J1026" s="415">
        <v>8</v>
      </c>
      <c r="K1026" s="415">
        <v>1</v>
      </c>
      <c r="L1026" s="415">
        <v>515</v>
      </c>
      <c r="M1026" s="415">
        <v>205</v>
      </c>
      <c r="N1026" s="415">
        <v>816</v>
      </c>
      <c r="O1026" s="415">
        <v>427</v>
      </c>
      <c r="P1026" s="415">
        <v>816</v>
      </c>
      <c r="Q1026" s="415">
        <v>343</v>
      </c>
      <c r="R1026" s="415" t="s">
        <v>3069</v>
      </c>
      <c r="S1026" s="415" t="s">
        <v>3359</v>
      </c>
      <c r="T1026" s="416">
        <v>138</v>
      </c>
      <c r="U1026" s="416">
        <v>138</v>
      </c>
      <c r="V1026" s="416">
        <v>138</v>
      </c>
      <c r="W1026" s="416">
        <v>137</v>
      </c>
      <c r="X1026" s="416">
        <v>134</v>
      </c>
      <c r="Y1026" s="416">
        <v>129</v>
      </c>
      <c r="Z1026" s="416">
        <v>123</v>
      </c>
      <c r="AA1026" s="416">
        <v>119</v>
      </c>
      <c r="AB1026" s="416">
        <v>117</v>
      </c>
      <c r="AC1026" s="416">
        <v>116</v>
      </c>
      <c r="AD1026" s="416">
        <v>116</v>
      </c>
      <c r="AE1026" s="416">
        <v>116</v>
      </c>
      <c r="AF1026" s="416">
        <v>116</v>
      </c>
      <c r="AG1026" s="416">
        <v>116</v>
      </c>
      <c r="AH1026" s="416">
        <v>116</v>
      </c>
      <c r="AI1026" s="416">
        <v>115</v>
      </c>
      <c r="AJ1026" s="416">
        <v>115</v>
      </c>
      <c r="AK1026" s="416">
        <v>113</v>
      </c>
      <c r="AL1026" s="416">
        <v>99.8</v>
      </c>
      <c r="AM1026" s="416">
        <v>77.2</v>
      </c>
      <c r="AN1026" s="416">
        <v>57.7</v>
      </c>
      <c r="AO1026" s="416">
        <v>39.9</v>
      </c>
      <c r="AP1026" s="416">
        <v>30</v>
      </c>
      <c r="AQ1026" s="416">
        <v>23.2</v>
      </c>
      <c r="AR1026" s="416">
        <v>16.3</v>
      </c>
      <c r="AS1026" s="416">
        <v>11.2</v>
      </c>
      <c r="AT1026" s="416">
        <v>8.93</v>
      </c>
      <c r="AU1026" s="416">
        <v>7.08</v>
      </c>
      <c r="AV1026" s="416">
        <v>5.77</v>
      </c>
      <c r="AW1026" s="416">
        <v>5.32</v>
      </c>
      <c r="AX1026" s="416">
        <v>0</v>
      </c>
      <c r="AY1026" s="416">
        <v>0</v>
      </c>
      <c r="AZ1026" s="416">
        <v>0</v>
      </c>
    </row>
    <row r="1027" spans="1:52" s="411" customFormat="1" x14ac:dyDescent="0.3">
      <c r="A1027" s="415" t="str">
        <f t="shared" si="15"/>
        <v>SA-479 Gr.348</v>
      </c>
      <c r="B1027" s="415">
        <v>1021</v>
      </c>
      <c r="C1027" s="415" t="s">
        <v>3324</v>
      </c>
      <c r="D1027" s="415" t="s">
        <v>2677</v>
      </c>
      <c r="E1027" s="415" t="s">
        <v>2245</v>
      </c>
      <c r="F1027" s="415">
        <v>348</v>
      </c>
      <c r="G1027" s="415" t="s">
        <v>3335</v>
      </c>
      <c r="H1027" s="415">
        <v>0</v>
      </c>
      <c r="I1027" s="415">
        <v>0</v>
      </c>
      <c r="J1027" s="415">
        <v>8</v>
      </c>
      <c r="K1027" s="415">
        <v>1</v>
      </c>
      <c r="L1027" s="415">
        <v>515</v>
      </c>
      <c r="M1027" s="415">
        <v>205</v>
      </c>
      <c r="N1027" s="415">
        <v>816</v>
      </c>
      <c r="O1027" s="415" t="s">
        <v>2675</v>
      </c>
      <c r="P1027" s="415">
        <v>816</v>
      </c>
      <c r="Q1027" s="415">
        <v>343</v>
      </c>
      <c r="R1027" s="415" t="s">
        <v>3069</v>
      </c>
      <c r="S1027" s="415" t="s">
        <v>3360</v>
      </c>
      <c r="T1027" s="416">
        <v>138</v>
      </c>
      <c r="U1027" s="416">
        <v>138</v>
      </c>
      <c r="V1027" s="416">
        <v>132</v>
      </c>
      <c r="W1027" s="416">
        <v>126</v>
      </c>
      <c r="X1027" s="416">
        <v>122</v>
      </c>
      <c r="Y1027" s="416">
        <v>118</v>
      </c>
      <c r="Z1027" s="416">
        <v>111</v>
      </c>
      <c r="AA1027" s="416">
        <v>105</v>
      </c>
      <c r="AB1027" s="416">
        <v>99.8</v>
      </c>
      <c r="AC1027" s="416">
        <v>97.9</v>
      </c>
      <c r="AD1027" s="416">
        <v>96.1</v>
      </c>
      <c r="AE1027" s="416">
        <v>95</v>
      </c>
      <c r="AF1027" s="416">
        <v>94.4</v>
      </c>
      <c r="AG1027" s="416">
        <v>93.8</v>
      </c>
      <c r="AH1027" s="416">
        <v>93.2</v>
      </c>
      <c r="AI1027" s="416">
        <v>92.5</v>
      </c>
      <c r="AJ1027" s="416">
        <v>92.4</v>
      </c>
      <c r="AK1027" s="416">
        <v>92.4</v>
      </c>
      <c r="AL1027" s="416">
        <v>90.3</v>
      </c>
      <c r="AM1027" s="416">
        <v>77.2</v>
      </c>
      <c r="AN1027" s="416">
        <v>57.7</v>
      </c>
      <c r="AO1027" s="416">
        <v>39.9</v>
      </c>
      <c r="AP1027" s="416">
        <v>30</v>
      </c>
      <c r="AQ1027" s="416">
        <v>23.2</v>
      </c>
      <c r="AR1027" s="416">
        <v>16.3</v>
      </c>
      <c r="AS1027" s="416">
        <v>11.2</v>
      </c>
      <c r="AT1027" s="416">
        <v>8.93</v>
      </c>
      <c r="AU1027" s="416">
        <v>7.08</v>
      </c>
      <c r="AV1027" s="416">
        <v>5.77</v>
      </c>
      <c r="AW1027" s="416">
        <v>5.32</v>
      </c>
      <c r="AX1027" s="416">
        <v>0</v>
      </c>
      <c r="AY1027" s="416">
        <v>0</v>
      </c>
      <c r="AZ1027" s="416">
        <v>0</v>
      </c>
    </row>
    <row r="1028" spans="1:52" s="411" customFormat="1" x14ac:dyDescent="0.3">
      <c r="A1028" s="415" t="str">
        <f t="shared" si="15"/>
        <v>SA-813 Gr.TP348</v>
      </c>
      <c r="B1028" s="415">
        <v>1022</v>
      </c>
      <c r="C1028" s="415" t="s">
        <v>3324</v>
      </c>
      <c r="D1028" s="415" t="s">
        <v>2680</v>
      </c>
      <c r="E1028" s="415" t="s">
        <v>2328</v>
      </c>
      <c r="F1028" s="415" t="s">
        <v>2580</v>
      </c>
      <c r="G1028" s="415" t="s">
        <v>3335</v>
      </c>
      <c r="H1028" s="415">
        <v>0</v>
      </c>
      <c r="I1028" s="415">
        <v>0</v>
      </c>
      <c r="J1028" s="415">
        <v>8</v>
      </c>
      <c r="K1028" s="415">
        <v>1</v>
      </c>
      <c r="L1028" s="415">
        <v>515</v>
      </c>
      <c r="M1028" s="415">
        <v>205</v>
      </c>
      <c r="N1028" s="415" t="s">
        <v>2675</v>
      </c>
      <c r="O1028" s="415">
        <v>427</v>
      </c>
      <c r="P1028" s="415" t="s">
        <v>2675</v>
      </c>
      <c r="Q1028" s="415" t="s">
        <v>2675</v>
      </c>
      <c r="R1028" s="415" t="s">
        <v>3069</v>
      </c>
      <c r="S1028" s="415" t="s">
        <v>3345</v>
      </c>
      <c r="T1028" s="416">
        <v>138</v>
      </c>
      <c r="U1028" s="416">
        <v>138</v>
      </c>
      <c r="V1028" s="416">
        <v>138</v>
      </c>
      <c r="W1028" s="416">
        <v>137</v>
      </c>
      <c r="X1028" s="416">
        <v>134</v>
      </c>
      <c r="Y1028" s="416">
        <v>129</v>
      </c>
      <c r="Z1028" s="416">
        <v>123</v>
      </c>
      <c r="AA1028" s="416">
        <v>119</v>
      </c>
      <c r="AB1028" s="416">
        <v>117</v>
      </c>
      <c r="AC1028" s="416">
        <v>116</v>
      </c>
      <c r="AD1028" s="416">
        <v>116</v>
      </c>
      <c r="AE1028" s="416">
        <v>116</v>
      </c>
      <c r="AF1028" s="416">
        <v>116</v>
      </c>
      <c r="AG1028" s="416">
        <v>116</v>
      </c>
      <c r="AH1028" s="416">
        <v>116</v>
      </c>
      <c r="AI1028" s="416">
        <v>0</v>
      </c>
      <c r="AJ1028" s="416">
        <v>0</v>
      </c>
      <c r="AK1028" s="416">
        <v>0</v>
      </c>
      <c r="AL1028" s="416">
        <v>0</v>
      </c>
      <c r="AM1028" s="416">
        <v>0</v>
      </c>
      <c r="AN1028" s="416">
        <v>0</v>
      </c>
      <c r="AO1028" s="416">
        <v>0</v>
      </c>
      <c r="AP1028" s="416">
        <v>0</v>
      </c>
      <c r="AQ1028" s="416">
        <v>0</v>
      </c>
      <c r="AR1028" s="416">
        <v>0</v>
      </c>
      <c r="AS1028" s="416">
        <v>0</v>
      </c>
      <c r="AT1028" s="416">
        <v>0</v>
      </c>
      <c r="AU1028" s="416">
        <v>0</v>
      </c>
      <c r="AV1028" s="416">
        <v>0</v>
      </c>
      <c r="AW1028" s="416">
        <v>0</v>
      </c>
      <c r="AX1028" s="416">
        <v>0</v>
      </c>
      <c r="AY1028" s="416">
        <v>0</v>
      </c>
      <c r="AZ1028" s="416">
        <v>0</v>
      </c>
    </row>
    <row r="1029" spans="1:52" s="411" customFormat="1" x14ac:dyDescent="0.3">
      <c r="A1029" s="415" t="str">
        <f t="shared" si="15"/>
        <v>SA-814 Gr.TP348</v>
      </c>
      <c r="B1029" s="415">
        <v>1023</v>
      </c>
      <c r="C1029" s="415" t="s">
        <v>3324</v>
      </c>
      <c r="D1029" s="415" t="s">
        <v>2680</v>
      </c>
      <c r="E1029" s="415" t="s">
        <v>2330</v>
      </c>
      <c r="F1029" s="415" t="s">
        <v>2580</v>
      </c>
      <c r="G1029" s="415" t="s">
        <v>3335</v>
      </c>
      <c r="H1029" s="415">
        <v>0</v>
      </c>
      <c r="I1029" s="415">
        <v>0</v>
      </c>
      <c r="J1029" s="415">
        <v>8</v>
      </c>
      <c r="K1029" s="415">
        <v>1</v>
      </c>
      <c r="L1029" s="415">
        <v>515</v>
      </c>
      <c r="M1029" s="415">
        <v>205</v>
      </c>
      <c r="N1029" s="415" t="s">
        <v>2675</v>
      </c>
      <c r="O1029" s="415">
        <v>427</v>
      </c>
      <c r="P1029" s="415" t="s">
        <v>2675</v>
      </c>
      <c r="Q1029" s="415" t="s">
        <v>2675</v>
      </c>
      <c r="R1029" s="415" t="s">
        <v>3069</v>
      </c>
      <c r="S1029" s="415" t="s">
        <v>3208</v>
      </c>
      <c r="T1029" s="416">
        <v>138</v>
      </c>
      <c r="U1029" s="416">
        <v>138</v>
      </c>
      <c r="V1029" s="416">
        <v>138</v>
      </c>
      <c r="W1029" s="416">
        <v>137</v>
      </c>
      <c r="X1029" s="416">
        <v>134</v>
      </c>
      <c r="Y1029" s="416">
        <v>129</v>
      </c>
      <c r="Z1029" s="416">
        <v>123</v>
      </c>
      <c r="AA1029" s="416">
        <v>119</v>
      </c>
      <c r="AB1029" s="416">
        <v>117</v>
      </c>
      <c r="AC1029" s="416">
        <v>116</v>
      </c>
      <c r="AD1029" s="416">
        <v>116</v>
      </c>
      <c r="AE1029" s="416">
        <v>116</v>
      </c>
      <c r="AF1029" s="416">
        <v>116</v>
      </c>
      <c r="AG1029" s="416">
        <v>116</v>
      </c>
      <c r="AH1029" s="416">
        <v>116</v>
      </c>
      <c r="AI1029" s="416">
        <v>0</v>
      </c>
      <c r="AJ1029" s="416">
        <v>0</v>
      </c>
      <c r="AK1029" s="416">
        <v>0</v>
      </c>
      <c r="AL1029" s="416">
        <v>0</v>
      </c>
      <c r="AM1029" s="416">
        <v>0</v>
      </c>
      <c r="AN1029" s="416">
        <v>0</v>
      </c>
      <c r="AO1029" s="416">
        <v>0</v>
      </c>
      <c r="AP1029" s="416">
        <v>0</v>
      </c>
      <c r="AQ1029" s="416">
        <v>0</v>
      </c>
      <c r="AR1029" s="416">
        <v>0</v>
      </c>
      <c r="AS1029" s="416">
        <v>0</v>
      </c>
      <c r="AT1029" s="416">
        <v>0</v>
      </c>
      <c r="AU1029" s="416">
        <v>0</v>
      </c>
      <c r="AV1029" s="416">
        <v>0</v>
      </c>
      <c r="AW1029" s="416">
        <v>0</v>
      </c>
      <c r="AX1029" s="416">
        <v>0</v>
      </c>
      <c r="AY1029" s="416">
        <v>0</v>
      </c>
      <c r="AZ1029" s="416">
        <v>0</v>
      </c>
    </row>
    <row r="1030" spans="1:52" s="411" customFormat="1" x14ac:dyDescent="0.3">
      <c r="A1030" s="415" t="str">
        <f t="shared" si="15"/>
        <v>SA-182 Gr.F348H</v>
      </c>
      <c r="B1030" s="415">
        <v>1024</v>
      </c>
      <c r="C1030" s="415" t="s">
        <v>3324</v>
      </c>
      <c r="D1030" s="415" t="s">
        <v>2737</v>
      </c>
      <c r="E1030" s="415" t="s">
        <v>2188</v>
      </c>
      <c r="F1030" s="415" t="s">
        <v>2450</v>
      </c>
      <c r="G1030" s="415" t="s">
        <v>3325</v>
      </c>
      <c r="H1030" s="415">
        <v>0</v>
      </c>
      <c r="I1030" s="415" t="s">
        <v>3207</v>
      </c>
      <c r="J1030" s="415">
        <v>8</v>
      </c>
      <c r="K1030" s="415">
        <v>1</v>
      </c>
      <c r="L1030" s="415">
        <v>515</v>
      </c>
      <c r="M1030" s="415">
        <v>205</v>
      </c>
      <c r="N1030" s="415">
        <v>816</v>
      </c>
      <c r="O1030" s="415">
        <v>427</v>
      </c>
      <c r="P1030" s="415">
        <v>816</v>
      </c>
      <c r="Q1030" s="415" t="s">
        <v>2675</v>
      </c>
      <c r="R1030" s="415" t="s">
        <v>3069</v>
      </c>
      <c r="S1030" s="415" t="s">
        <v>3240</v>
      </c>
      <c r="T1030" s="416">
        <v>138</v>
      </c>
      <c r="U1030" s="416">
        <v>138</v>
      </c>
      <c r="V1030" s="416">
        <v>138</v>
      </c>
      <c r="W1030" s="416">
        <v>137</v>
      </c>
      <c r="X1030" s="416">
        <v>134</v>
      </c>
      <c r="Y1030" s="416">
        <v>129</v>
      </c>
      <c r="Z1030" s="416">
        <v>123</v>
      </c>
      <c r="AA1030" s="416">
        <v>119</v>
      </c>
      <c r="AB1030" s="416">
        <v>117</v>
      </c>
      <c r="AC1030" s="416">
        <v>116</v>
      </c>
      <c r="AD1030" s="416">
        <v>116</v>
      </c>
      <c r="AE1030" s="416">
        <v>116</v>
      </c>
      <c r="AF1030" s="416">
        <v>116</v>
      </c>
      <c r="AG1030" s="416">
        <v>116</v>
      </c>
      <c r="AH1030" s="416">
        <v>116</v>
      </c>
      <c r="AI1030" s="416">
        <v>115</v>
      </c>
      <c r="AJ1030" s="416">
        <v>115</v>
      </c>
      <c r="AK1030" s="416">
        <v>114</v>
      </c>
      <c r="AL1030" s="416">
        <v>113</v>
      </c>
      <c r="AM1030" s="416">
        <v>109</v>
      </c>
      <c r="AN1030" s="416">
        <v>92.3</v>
      </c>
      <c r="AO1030" s="416">
        <v>69.3</v>
      </c>
      <c r="AP1030" s="416">
        <v>53.9</v>
      </c>
      <c r="AQ1030" s="416">
        <v>41.4</v>
      </c>
      <c r="AR1030" s="416">
        <v>31.8</v>
      </c>
      <c r="AS1030" s="416">
        <v>23.9</v>
      </c>
      <c r="AT1030" s="416">
        <v>18.8</v>
      </c>
      <c r="AU1030" s="416">
        <v>14.6</v>
      </c>
      <c r="AV1030" s="416">
        <v>10.8</v>
      </c>
      <c r="AW1030" s="416">
        <v>7.83</v>
      </c>
      <c r="AX1030" s="416">
        <v>0</v>
      </c>
      <c r="AY1030" s="416">
        <v>0</v>
      </c>
      <c r="AZ1030" s="416">
        <v>0</v>
      </c>
    </row>
    <row r="1031" spans="1:52" s="411" customFormat="1" x14ac:dyDescent="0.3">
      <c r="A1031" s="415" t="str">
        <f t="shared" si="15"/>
        <v>SA-182 Gr.F348H</v>
      </c>
      <c r="B1031" s="415">
        <v>1025</v>
      </c>
      <c r="C1031" s="415" t="s">
        <v>3324</v>
      </c>
      <c r="D1031" s="415" t="s">
        <v>2737</v>
      </c>
      <c r="E1031" s="415" t="s">
        <v>2188</v>
      </c>
      <c r="F1031" s="415" t="s">
        <v>2450</v>
      </c>
      <c r="G1031" s="415" t="s">
        <v>3325</v>
      </c>
      <c r="H1031" s="415">
        <v>0</v>
      </c>
      <c r="I1031" s="415" t="s">
        <v>3207</v>
      </c>
      <c r="J1031" s="415">
        <v>8</v>
      </c>
      <c r="K1031" s="415">
        <v>1</v>
      </c>
      <c r="L1031" s="415">
        <v>515</v>
      </c>
      <c r="M1031" s="415">
        <v>205</v>
      </c>
      <c r="N1031" s="415">
        <v>816</v>
      </c>
      <c r="O1031" s="415" t="s">
        <v>2675</v>
      </c>
      <c r="P1031" s="415">
        <v>816</v>
      </c>
      <c r="Q1031" s="415" t="s">
        <v>2675</v>
      </c>
      <c r="R1031" s="415" t="s">
        <v>3069</v>
      </c>
      <c r="S1031" s="415" t="s">
        <v>2553</v>
      </c>
      <c r="T1031" s="416">
        <v>138</v>
      </c>
      <c r="U1031" s="416">
        <v>138</v>
      </c>
      <c r="V1031" s="416">
        <v>132</v>
      </c>
      <c r="W1031" s="416">
        <v>126</v>
      </c>
      <c r="X1031" s="416">
        <v>122</v>
      </c>
      <c r="Y1031" s="416">
        <v>118</v>
      </c>
      <c r="Z1031" s="416">
        <v>111</v>
      </c>
      <c r="AA1031" s="416">
        <v>105</v>
      </c>
      <c r="AB1031" s="416">
        <v>99.8</v>
      </c>
      <c r="AC1031" s="416">
        <v>97.9</v>
      </c>
      <c r="AD1031" s="416">
        <v>96.1</v>
      </c>
      <c r="AE1031" s="416">
        <v>95</v>
      </c>
      <c r="AF1031" s="416">
        <v>94.4</v>
      </c>
      <c r="AG1031" s="416">
        <v>93.8</v>
      </c>
      <c r="AH1031" s="416">
        <v>93.2</v>
      </c>
      <c r="AI1031" s="416">
        <v>92.5</v>
      </c>
      <c r="AJ1031" s="416">
        <v>92.4</v>
      </c>
      <c r="AK1031" s="416">
        <v>92.4</v>
      </c>
      <c r="AL1031" s="416">
        <v>92.4</v>
      </c>
      <c r="AM1031" s="416">
        <v>92.2</v>
      </c>
      <c r="AN1031" s="416">
        <v>89.1</v>
      </c>
      <c r="AO1031" s="416">
        <v>69.3</v>
      </c>
      <c r="AP1031" s="416">
        <v>53.9</v>
      </c>
      <c r="AQ1031" s="416">
        <v>41.4</v>
      </c>
      <c r="AR1031" s="416">
        <v>31.8</v>
      </c>
      <c r="AS1031" s="416">
        <v>23.9</v>
      </c>
      <c r="AT1031" s="416">
        <v>18.8</v>
      </c>
      <c r="AU1031" s="416">
        <v>14.6</v>
      </c>
      <c r="AV1031" s="416">
        <v>10.8</v>
      </c>
      <c r="AW1031" s="416">
        <v>7.83</v>
      </c>
      <c r="AX1031" s="416">
        <v>0</v>
      </c>
      <c r="AY1031" s="416">
        <v>0</v>
      </c>
      <c r="AZ1031" s="416">
        <v>0</v>
      </c>
    </row>
    <row r="1032" spans="1:52" s="411" customFormat="1" x14ac:dyDescent="0.3">
      <c r="A1032" s="415" t="str">
        <f t="shared" ref="A1032:A1095" si="16">CONCATENATE(E1032," Gr.",F1032)</f>
        <v>SA-213 Gr.TP348H</v>
      </c>
      <c r="B1032" s="415">
        <v>1026</v>
      </c>
      <c r="C1032" s="415" t="s">
        <v>3324</v>
      </c>
      <c r="D1032" s="415" t="s">
        <v>2693</v>
      </c>
      <c r="E1032" s="415" t="s">
        <v>2195</v>
      </c>
      <c r="F1032" s="415" t="s">
        <v>2581</v>
      </c>
      <c r="G1032" s="415" t="s">
        <v>3325</v>
      </c>
      <c r="H1032" s="415">
        <v>0</v>
      </c>
      <c r="I1032" s="415">
        <v>0</v>
      </c>
      <c r="J1032" s="415">
        <v>8</v>
      </c>
      <c r="K1032" s="415">
        <v>1</v>
      </c>
      <c r="L1032" s="415">
        <v>515</v>
      </c>
      <c r="M1032" s="415">
        <v>205</v>
      </c>
      <c r="N1032" s="415">
        <v>816</v>
      </c>
      <c r="O1032" s="415">
        <v>427</v>
      </c>
      <c r="P1032" s="415">
        <v>816</v>
      </c>
      <c r="Q1032" s="415" t="s">
        <v>2675</v>
      </c>
      <c r="R1032" s="415" t="s">
        <v>3069</v>
      </c>
      <c r="S1032" s="415" t="s">
        <v>3334</v>
      </c>
      <c r="T1032" s="416">
        <v>138</v>
      </c>
      <c r="U1032" s="416">
        <v>138</v>
      </c>
      <c r="V1032" s="416">
        <v>138</v>
      </c>
      <c r="W1032" s="416">
        <v>137</v>
      </c>
      <c r="X1032" s="416">
        <v>134</v>
      </c>
      <c r="Y1032" s="416">
        <v>129</v>
      </c>
      <c r="Z1032" s="416">
        <v>123</v>
      </c>
      <c r="AA1032" s="416">
        <v>119</v>
      </c>
      <c r="AB1032" s="416">
        <v>117</v>
      </c>
      <c r="AC1032" s="416">
        <v>116</v>
      </c>
      <c r="AD1032" s="416">
        <v>116</v>
      </c>
      <c r="AE1032" s="416">
        <v>116</v>
      </c>
      <c r="AF1032" s="416">
        <v>116</v>
      </c>
      <c r="AG1032" s="416">
        <v>116</v>
      </c>
      <c r="AH1032" s="416">
        <v>116</v>
      </c>
      <c r="AI1032" s="416">
        <v>115</v>
      </c>
      <c r="AJ1032" s="416">
        <v>115</v>
      </c>
      <c r="AK1032" s="416">
        <v>114</v>
      </c>
      <c r="AL1032" s="416">
        <v>113</v>
      </c>
      <c r="AM1032" s="416">
        <v>109</v>
      </c>
      <c r="AN1032" s="416">
        <v>92.3</v>
      </c>
      <c r="AO1032" s="416">
        <v>69.3</v>
      </c>
      <c r="AP1032" s="416">
        <v>53.9</v>
      </c>
      <c r="AQ1032" s="416">
        <v>41.4</v>
      </c>
      <c r="AR1032" s="416">
        <v>31.8</v>
      </c>
      <c r="AS1032" s="416">
        <v>23.9</v>
      </c>
      <c r="AT1032" s="416">
        <v>18.8</v>
      </c>
      <c r="AU1032" s="416">
        <v>14.6</v>
      </c>
      <c r="AV1032" s="416">
        <v>10.8</v>
      </c>
      <c r="AW1032" s="416">
        <v>7.83</v>
      </c>
      <c r="AX1032" s="416">
        <v>0</v>
      </c>
      <c r="AY1032" s="416">
        <v>0</v>
      </c>
      <c r="AZ1032" s="416">
        <v>0</v>
      </c>
    </row>
    <row r="1033" spans="1:52" s="411" customFormat="1" x14ac:dyDescent="0.3">
      <c r="A1033" s="415" t="str">
        <f t="shared" si="16"/>
        <v>SA-213 Gr.TP348H</v>
      </c>
      <c r="B1033" s="415">
        <v>1027</v>
      </c>
      <c r="C1033" s="415" t="s">
        <v>3324</v>
      </c>
      <c r="D1033" s="415" t="s">
        <v>2693</v>
      </c>
      <c r="E1033" s="415" t="s">
        <v>2195</v>
      </c>
      <c r="F1033" s="415" t="s">
        <v>2581</v>
      </c>
      <c r="G1033" s="415" t="s">
        <v>3325</v>
      </c>
      <c r="H1033" s="415">
        <v>0</v>
      </c>
      <c r="I1033" s="415">
        <v>0</v>
      </c>
      <c r="J1033" s="415">
        <v>8</v>
      </c>
      <c r="K1033" s="415">
        <v>1</v>
      </c>
      <c r="L1033" s="415">
        <v>515</v>
      </c>
      <c r="M1033" s="415">
        <v>205</v>
      </c>
      <c r="N1033" s="415">
        <v>816</v>
      </c>
      <c r="O1033" s="415" t="s">
        <v>2675</v>
      </c>
      <c r="P1033" s="415">
        <v>816</v>
      </c>
      <c r="Q1033" s="415" t="s">
        <v>2675</v>
      </c>
      <c r="R1033" s="415" t="s">
        <v>3069</v>
      </c>
      <c r="S1033" s="415" t="s">
        <v>3327</v>
      </c>
      <c r="T1033" s="416">
        <v>138</v>
      </c>
      <c r="U1033" s="416">
        <v>138</v>
      </c>
      <c r="V1033" s="416">
        <v>132</v>
      </c>
      <c r="W1033" s="416">
        <v>126</v>
      </c>
      <c r="X1033" s="416">
        <v>122</v>
      </c>
      <c r="Y1033" s="416">
        <v>118</v>
      </c>
      <c r="Z1033" s="416">
        <v>111</v>
      </c>
      <c r="AA1033" s="416">
        <v>105</v>
      </c>
      <c r="AB1033" s="416">
        <v>99.8</v>
      </c>
      <c r="AC1033" s="416">
        <v>97.9</v>
      </c>
      <c r="AD1033" s="416">
        <v>96.1</v>
      </c>
      <c r="AE1033" s="416">
        <v>95</v>
      </c>
      <c r="AF1033" s="416">
        <v>94.4</v>
      </c>
      <c r="AG1033" s="416">
        <v>93.8</v>
      </c>
      <c r="AH1033" s="416">
        <v>93.2</v>
      </c>
      <c r="AI1033" s="416">
        <v>92.5</v>
      </c>
      <c r="AJ1033" s="416">
        <v>92.4</v>
      </c>
      <c r="AK1033" s="416">
        <v>92.4</v>
      </c>
      <c r="AL1033" s="416">
        <v>92.4</v>
      </c>
      <c r="AM1033" s="416">
        <v>92.2</v>
      </c>
      <c r="AN1033" s="416">
        <v>89.1</v>
      </c>
      <c r="AO1033" s="416">
        <v>69.3</v>
      </c>
      <c r="AP1033" s="416">
        <v>53.9</v>
      </c>
      <c r="AQ1033" s="416">
        <v>41.4</v>
      </c>
      <c r="AR1033" s="416">
        <v>31.8</v>
      </c>
      <c r="AS1033" s="416">
        <v>23.9</v>
      </c>
      <c r="AT1033" s="416">
        <v>18.8</v>
      </c>
      <c r="AU1033" s="416">
        <v>14.6</v>
      </c>
      <c r="AV1033" s="416">
        <v>10.8</v>
      </c>
      <c r="AW1033" s="416">
        <v>7.83</v>
      </c>
      <c r="AX1033" s="416">
        <v>0</v>
      </c>
      <c r="AY1033" s="416">
        <v>0</v>
      </c>
      <c r="AZ1033" s="416">
        <v>0</v>
      </c>
    </row>
    <row r="1034" spans="1:52" s="411" customFormat="1" x14ac:dyDescent="0.3">
      <c r="A1034" s="415" t="str">
        <f t="shared" si="16"/>
        <v>SA-240 Gr.348H</v>
      </c>
      <c r="B1034" s="415">
        <v>1028</v>
      </c>
      <c r="C1034" s="415" t="s">
        <v>3324</v>
      </c>
      <c r="D1034" s="415" t="s">
        <v>2684</v>
      </c>
      <c r="E1034" s="415" t="s">
        <v>2165</v>
      </c>
      <c r="F1034" s="415" t="s">
        <v>2282</v>
      </c>
      <c r="G1034" s="415" t="s">
        <v>3325</v>
      </c>
      <c r="H1034" s="415">
        <v>0</v>
      </c>
      <c r="I1034" s="415">
        <v>0</v>
      </c>
      <c r="J1034" s="415">
        <v>8</v>
      </c>
      <c r="K1034" s="415">
        <v>1</v>
      </c>
      <c r="L1034" s="415">
        <v>515</v>
      </c>
      <c r="M1034" s="415">
        <v>205</v>
      </c>
      <c r="N1034" s="415" t="s">
        <v>2675</v>
      </c>
      <c r="O1034" s="415">
        <v>427</v>
      </c>
      <c r="P1034" s="415" t="s">
        <v>2675</v>
      </c>
      <c r="Q1034" s="415" t="s">
        <v>2675</v>
      </c>
      <c r="R1034" s="415" t="s">
        <v>3069</v>
      </c>
      <c r="S1034" s="415" t="s">
        <v>3361</v>
      </c>
      <c r="T1034" s="416">
        <v>138</v>
      </c>
      <c r="U1034" s="416">
        <v>138</v>
      </c>
      <c r="V1034" s="416">
        <v>138</v>
      </c>
      <c r="W1034" s="416">
        <v>137</v>
      </c>
      <c r="X1034" s="416">
        <v>134</v>
      </c>
      <c r="Y1034" s="416">
        <v>129</v>
      </c>
      <c r="Z1034" s="416">
        <v>123</v>
      </c>
      <c r="AA1034" s="416">
        <v>119</v>
      </c>
      <c r="AB1034" s="416">
        <v>117</v>
      </c>
      <c r="AC1034" s="416">
        <v>116</v>
      </c>
      <c r="AD1034" s="416">
        <v>116</v>
      </c>
      <c r="AE1034" s="416">
        <v>116</v>
      </c>
      <c r="AF1034" s="416">
        <v>116</v>
      </c>
      <c r="AG1034" s="416">
        <v>116</v>
      </c>
      <c r="AH1034" s="416">
        <v>116</v>
      </c>
      <c r="AI1034" s="416">
        <v>0</v>
      </c>
      <c r="AJ1034" s="416">
        <v>0</v>
      </c>
      <c r="AK1034" s="416">
        <v>0</v>
      </c>
      <c r="AL1034" s="416">
        <v>0</v>
      </c>
      <c r="AM1034" s="416">
        <v>0</v>
      </c>
      <c r="AN1034" s="416">
        <v>0</v>
      </c>
      <c r="AO1034" s="416">
        <v>0</v>
      </c>
      <c r="AP1034" s="416">
        <v>0</v>
      </c>
      <c r="AQ1034" s="416">
        <v>0</v>
      </c>
      <c r="AR1034" s="416">
        <v>0</v>
      </c>
      <c r="AS1034" s="416">
        <v>0</v>
      </c>
      <c r="AT1034" s="416">
        <v>0</v>
      </c>
      <c r="AU1034" s="416">
        <v>0</v>
      </c>
      <c r="AV1034" s="416">
        <v>0</v>
      </c>
      <c r="AW1034" s="416">
        <v>0</v>
      </c>
      <c r="AX1034" s="416">
        <v>0</v>
      </c>
      <c r="AY1034" s="416">
        <v>0</v>
      </c>
      <c r="AZ1034" s="416">
        <v>0</v>
      </c>
    </row>
    <row r="1035" spans="1:52" s="411" customFormat="1" x14ac:dyDescent="0.3">
      <c r="A1035" s="415" t="str">
        <f t="shared" si="16"/>
        <v>SA-249 Gr.TP348H</v>
      </c>
      <c r="B1035" s="415">
        <v>1029</v>
      </c>
      <c r="C1035" s="415" t="s">
        <v>3324</v>
      </c>
      <c r="D1035" s="415" t="s">
        <v>2689</v>
      </c>
      <c r="E1035" s="415" t="s">
        <v>2200</v>
      </c>
      <c r="F1035" s="415" t="s">
        <v>2581</v>
      </c>
      <c r="G1035" s="415" t="s">
        <v>3325</v>
      </c>
      <c r="H1035" s="415">
        <v>0</v>
      </c>
      <c r="I1035" s="415">
        <v>0</v>
      </c>
      <c r="J1035" s="415">
        <v>8</v>
      </c>
      <c r="K1035" s="415">
        <v>1</v>
      </c>
      <c r="L1035" s="415">
        <v>515</v>
      </c>
      <c r="M1035" s="415">
        <v>205</v>
      </c>
      <c r="N1035" s="415">
        <v>816</v>
      </c>
      <c r="O1035" s="415">
        <v>427</v>
      </c>
      <c r="P1035" s="415" t="s">
        <v>2675</v>
      </c>
      <c r="Q1035" s="415" t="s">
        <v>2675</v>
      </c>
      <c r="R1035" s="415" t="s">
        <v>3069</v>
      </c>
      <c r="S1035" s="415" t="s">
        <v>3244</v>
      </c>
      <c r="T1035" s="416">
        <v>138</v>
      </c>
      <c r="U1035" s="416">
        <v>138</v>
      </c>
      <c r="V1035" s="416">
        <v>138</v>
      </c>
      <c r="W1035" s="416">
        <v>137</v>
      </c>
      <c r="X1035" s="416">
        <v>134</v>
      </c>
      <c r="Y1035" s="416">
        <v>129</v>
      </c>
      <c r="Z1035" s="416">
        <v>123</v>
      </c>
      <c r="AA1035" s="416">
        <v>119</v>
      </c>
      <c r="AB1035" s="416">
        <v>117</v>
      </c>
      <c r="AC1035" s="416">
        <v>116</v>
      </c>
      <c r="AD1035" s="416">
        <v>116</v>
      </c>
      <c r="AE1035" s="416">
        <v>116</v>
      </c>
      <c r="AF1035" s="416">
        <v>116</v>
      </c>
      <c r="AG1035" s="416">
        <v>116</v>
      </c>
      <c r="AH1035" s="416">
        <v>116</v>
      </c>
      <c r="AI1035" s="416">
        <v>115</v>
      </c>
      <c r="AJ1035" s="416">
        <v>115</v>
      </c>
      <c r="AK1035" s="416">
        <v>114</v>
      </c>
      <c r="AL1035" s="416">
        <v>113</v>
      </c>
      <c r="AM1035" s="416">
        <v>109</v>
      </c>
      <c r="AN1035" s="416">
        <v>92.3</v>
      </c>
      <c r="AO1035" s="416">
        <v>69.3</v>
      </c>
      <c r="AP1035" s="416">
        <v>53.9</v>
      </c>
      <c r="AQ1035" s="416">
        <v>41.4</v>
      </c>
      <c r="AR1035" s="416">
        <v>31.8</v>
      </c>
      <c r="AS1035" s="416">
        <v>23.9</v>
      </c>
      <c r="AT1035" s="416">
        <v>18.8</v>
      </c>
      <c r="AU1035" s="416">
        <v>14.6</v>
      </c>
      <c r="AV1035" s="416">
        <v>10.8</v>
      </c>
      <c r="AW1035" s="416">
        <v>7.83</v>
      </c>
      <c r="AX1035" s="416">
        <v>0</v>
      </c>
      <c r="AY1035" s="416">
        <v>0</v>
      </c>
      <c r="AZ1035" s="416">
        <v>0</v>
      </c>
    </row>
    <row r="1036" spans="1:52" s="411" customFormat="1" x14ac:dyDescent="0.3">
      <c r="A1036" s="415" t="str">
        <f t="shared" si="16"/>
        <v>SA-249 Gr.TP348H</v>
      </c>
      <c r="B1036" s="415">
        <v>1030</v>
      </c>
      <c r="C1036" s="415" t="s">
        <v>3324</v>
      </c>
      <c r="D1036" s="415" t="s">
        <v>2689</v>
      </c>
      <c r="E1036" s="415" t="s">
        <v>2200</v>
      </c>
      <c r="F1036" s="415" t="s">
        <v>2581</v>
      </c>
      <c r="G1036" s="415" t="s">
        <v>3325</v>
      </c>
      <c r="H1036" s="415">
        <v>0</v>
      </c>
      <c r="I1036" s="415">
        <v>0</v>
      </c>
      <c r="J1036" s="415">
        <v>8</v>
      </c>
      <c r="K1036" s="415">
        <v>1</v>
      </c>
      <c r="L1036" s="415">
        <v>515</v>
      </c>
      <c r="M1036" s="415">
        <v>205</v>
      </c>
      <c r="N1036" s="415">
        <v>816</v>
      </c>
      <c r="O1036" s="415" t="s">
        <v>2675</v>
      </c>
      <c r="P1036" s="415" t="s">
        <v>2675</v>
      </c>
      <c r="Q1036" s="415" t="s">
        <v>2675</v>
      </c>
      <c r="R1036" s="415" t="s">
        <v>3069</v>
      </c>
      <c r="S1036" s="415" t="s">
        <v>3243</v>
      </c>
      <c r="T1036" s="416">
        <v>138</v>
      </c>
      <c r="U1036" s="416">
        <v>138</v>
      </c>
      <c r="V1036" s="416">
        <v>132</v>
      </c>
      <c r="W1036" s="416">
        <v>126</v>
      </c>
      <c r="X1036" s="416">
        <v>122</v>
      </c>
      <c r="Y1036" s="416">
        <v>118</v>
      </c>
      <c r="Z1036" s="416">
        <v>111</v>
      </c>
      <c r="AA1036" s="416">
        <v>105</v>
      </c>
      <c r="AB1036" s="416">
        <v>99.8</v>
      </c>
      <c r="AC1036" s="416">
        <v>97.9</v>
      </c>
      <c r="AD1036" s="416">
        <v>96.1</v>
      </c>
      <c r="AE1036" s="416">
        <v>95</v>
      </c>
      <c r="AF1036" s="416">
        <v>94.4</v>
      </c>
      <c r="AG1036" s="416">
        <v>93.8</v>
      </c>
      <c r="AH1036" s="416">
        <v>93.2</v>
      </c>
      <c r="AI1036" s="416">
        <v>92.5</v>
      </c>
      <c r="AJ1036" s="416">
        <v>92.4</v>
      </c>
      <c r="AK1036" s="416">
        <v>92.4</v>
      </c>
      <c r="AL1036" s="416">
        <v>92.4</v>
      </c>
      <c r="AM1036" s="416">
        <v>92.2</v>
      </c>
      <c r="AN1036" s="416">
        <v>89.1</v>
      </c>
      <c r="AO1036" s="416">
        <v>69.3</v>
      </c>
      <c r="AP1036" s="416">
        <v>53.9</v>
      </c>
      <c r="AQ1036" s="416">
        <v>41.4</v>
      </c>
      <c r="AR1036" s="416">
        <v>31.8</v>
      </c>
      <c r="AS1036" s="416">
        <v>23.9</v>
      </c>
      <c r="AT1036" s="416">
        <v>18.8</v>
      </c>
      <c r="AU1036" s="416">
        <v>14.6</v>
      </c>
      <c r="AV1036" s="416">
        <v>10.8</v>
      </c>
      <c r="AW1036" s="416">
        <v>7.83</v>
      </c>
      <c r="AX1036" s="416">
        <v>0</v>
      </c>
      <c r="AY1036" s="416">
        <v>0</v>
      </c>
      <c r="AZ1036" s="416">
        <v>0</v>
      </c>
    </row>
    <row r="1037" spans="1:52" s="411" customFormat="1" x14ac:dyDescent="0.3">
      <c r="A1037" s="415" t="str">
        <f t="shared" si="16"/>
        <v>SA-249 Gr.TP348H</v>
      </c>
      <c r="B1037" s="415">
        <v>1031</v>
      </c>
      <c r="C1037" s="415" t="s">
        <v>3324</v>
      </c>
      <c r="D1037" s="415" t="s">
        <v>2689</v>
      </c>
      <c r="E1037" s="415" t="s">
        <v>2200</v>
      </c>
      <c r="F1037" s="415" t="s">
        <v>2581</v>
      </c>
      <c r="G1037" s="415" t="s">
        <v>3325</v>
      </c>
      <c r="H1037" s="415">
        <v>0</v>
      </c>
      <c r="I1037" s="415">
        <v>0</v>
      </c>
      <c r="J1037" s="415">
        <v>8</v>
      </c>
      <c r="K1037" s="415">
        <v>1</v>
      </c>
      <c r="L1037" s="415">
        <v>515</v>
      </c>
      <c r="M1037" s="415">
        <v>205</v>
      </c>
      <c r="N1037" s="415">
        <v>816</v>
      </c>
      <c r="O1037" s="415" t="s">
        <v>2675</v>
      </c>
      <c r="P1037" s="415">
        <v>816</v>
      </c>
      <c r="Q1037" s="415" t="s">
        <v>2675</v>
      </c>
      <c r="R1037" s="415" t="s">
        <v>3069</v>
      </c>
      <c r="S1037" s="415" t="s">
        <v>3349</v>
      </c>
      <c r="T1037" s="416">
        <v>117</v>
      </c>
      <c r="U1037" s="416">
        <v>117</v>
      </c>
      <c r="V1037" s="416">
        <v>117</v>
      </c>
      <c r="W1037" s="416">
        <v>117</v>
      </c>
      <c r="X1037" s="416">
        <v>114</v>
      </c>
      <c r="Y1037" s="416">
        <v>110</v>
      </c>
      <c r="Z1037" s="416">
        <v>104</v>
      </c>
      <c r="AA1037" s="416">
        <v>101</v>
      </c>
      <c r="AB1037" s="416">
        <v>98.9</v>
      </c>
      <c r="AC1037" s="416">
        <v>98.6</v>
      </c>
      <c r="AD1037" s="416">
        <v>98.6</v>
      </c>
      <c r="AE1037" s="416">
        <v>98.6</v>
      </c>
      <c r="AF1037" s="416">
        <v>98.6</v>
      </c>
      <c r="AG1037" s="416">
        <v>98.6</v>
      </c>
      <c r="AH1037" s="416">
        <v>98.6</v>
      </c>
      <c r="AI1037" s="416">
        <v>98.1</v>
      </c>
      <c r="AJ1037" s="416">
        <v>97.5</v>
      </c>
      <c r="AK1037" s="416">
        <v>96.8</v>
      </c>
      <c r="AL1037" s="416">
        <v>96.2</v>
      </c>
      <c r="AM1037" s="416">
        <v>91.9</v>
      </c>
      <c r="AN1037" s="416">
        <v>77.900000000000006</v>
      </c>
      <c r="AO1037" s="416">
        <v>58.8</v>
      </c>
      <c r="AP1037" s="416">
        <v>45.7</v>
      </c>
      <c r="AQ1037" s="416">
        <v>35.1</v>
      </c>
      <c r="AR1037" s="416">
        <v>26.8</v>
      </c>
      <c r="AS1037" s="416">
        <v>20.100000000000001</v>
      </c>
      <c r="AT1037" s="416">
        <v>15.8</v>
      </c>
      <c r="AU1037" s="416">
        <v>12.6</v>
      </c>
      <c r="AV1037" s="416">
        <v>9.52</v>
      </c>
      <c r="AW1037" s="416">
        <v>6.41</v>
      </c>
      <c r="AX1037" s="416">
        <v>0</v>
      </c>
      <c r="AY1037" s="416">
        <v>0</v>
      </c>
      <c r="AZ1037" s="416">
        <v>0</v>
      </c>
    </row>
    <row r="1038" spans="1:52" s="411" customFormat="1" x14ac:dyDescent="0.3">
      <c r="A1038" s="415" t="str">
        <f t="shared" si="16"/>
        <v>SA-249 Gr.TP348H</v>
      </c>
      <c r="B1038" s="415">
        <v>1032</v>
      </c>
      <c r="C1038" s="415" t="s">
        <v>3324</v>
      </c>
      <c r="D1038" s="415" t="s">
        <v>2689</v>
      </c>
      <c r="E1038" s="415" t="s">
        <v>2200</v>
      </c>
      <c r="F1038" s="415" t="s">
        <v>2581</v>
      </c>
      <c r="G1038" s="415" t="s">
        <v>3325</v>
      </c>
      <c r="H1038" s="415">
        <v>0</v>
      </c>
      <c r="I1038" s="415">
        <v>0</v>
      </c>
      <c r="J1038" s="415">
        <v>8</v>
      </c>
      <c r="K1038" s="415">
        <v>1</v>
      </c>
      <c r="L1038" s="415">
        <v>515</v>
      </c>
      <c r="M1038" s="415">
        <v>205</v>
      </c>
      <c r="N1038" s="415">
        <v>816</v>
      </c>
      <c r="O1038" s="415" t="s">
        <v>2675</v>
      </c>
      <c r="P1038" s="415">
        <v>816</v>
      </c>
      <c r="Q1038" s="415" t="s">
        <v>2675</v>
      </c>
      <c r="R1038" s="415" t="s">
        <v>3069</v>
      </c>
      <c r="S1038" s="415" t="s">
        <v>3242</v>
      </c>
      <c r="T1038" s="416">
        <v>117</v>
      </c>
      <c r="U1038" s="416">
        <v>117</v>
      </c>
      <c r="V1038" s="416">
        <v>112</v>
      </c>
      <c r="W1038" s="416">
        <v>107</v>
      </c>
      <c r="X1038" s="416">
        <v>103</v>
      </c>
      <c r="Y1038" s="416">
        <v>101</v>
      </c>
      <c r="Z1038" s="416">
        <v>94.3</v>
      </c>
      <c r="AA1038" s="416">
        <v>89.1</v>
      </c>
      <c r="AB1038" s="416">
        <v>85.3</v>
      </c>
      <c r="AC1038" s="416">
        <v>83.3</v>
      </c>
      <c r="AD1038" s="416">
        <v>81.8</v>
      </c>
      <c r="AE1038" s="416">
        <v>81.2</v>
      </c>
      <c r="AF1038" s="416">
        <v>79.900000000000006</v>
      </c>
      <c r="AG1038" s="416">
        <v>79.3</v>
      </c>
      <c r="AH1038" s="416">
        <v>79.3</v>
      </c>
      <c r="AI1038" s="416">
        <v>78.7</v>
      </c>
      <c r="AJ1038" s="416">
        <v>78.599999999999994</v>
      </c>
      <c r="AK1038" s="416">
        <v>78.599999999999994</v>
      </c>
      <c r="AL1038" s="416">
        <v>78.599999999999994</v>
      </c>
      <c r="AM1038" s="416">
        <v>78.400000000000006</v>
      </c>
      <c r="AN1038" s="416">
        <v>75.7</v>
      </c>
      <c r="AO1038" s="416">
        <v>58.8</v>
      </c>
      <c r="AP1038" s="416">
        <v>45.7</v>
      </c>
      <c r="AQ1038" s="416">
        <v>35.1</v>
      </c>
      <c r="AR1038" s="416">
        <v>26.8</v>
      </c>
      <c r="AS1038" s="416">
        <v>20.100000000000001</v>
      </c>
      <c r="AT1038" s="416">
        <v>15.8</v>
      </c>
      <c r="AU1038" s="416">
        <v>12.6</v>
      </c>
      <c r="AV1038" s="416">
        <v>9.52</v>
      </c>
      <c r="AW1038" s="416">
        <v>6.41</v>
      </c>
      <c r="AX1038" s="416">
        <v>0</v>
      </c>
      <c r="AY1038" s="416">
        <v>0</v>
      </c>
      <c r="AZ1038" s="416">
        <v>0</v>
      </c>
    </row>
    <row r="1039" spans="1:52" s="411" customFormat="1" x14ac:dyDescent="0.3">
      <c r="A1039" s="415" t="str">
        <f t="shared" si="16"/>
        <v>SA-312 Gr.TP348H</v>
      </c>
      <c r="B1039" s="415">
        <v>1033</v>
      </c>
      <c r="C1039" s="415" t="s">
        <v>3324</v>
      </c>
      <c r="D1039" s="415" t="s">
        <v>2720</v>
      </c>
      <c r="E1039" s="415" t="s">
        <v>2208</v>
      </c>
      <c r="F1039" s="415" t="s">
        <v>2581</v>
      </c>
      <c r="G1039" s="415" t="s">
        <v>3325</v>
      </c>
      <c r="H1039" s="415">
        <v>0</v>
      </c>
      <c r="I1039" s="415">
        <v>0</v>
      </c>
      <c r="J1039" s="415">
        <v>8</v>
      </c>
      <c r="K1039" s="415">
        <v>1</v>
      </c>
      <c r="L1039" s="415">
        <v>515</v>
      </c>
      <c r="M1039" s="415">
        <v>205</v>
      </c>
      <c r="N1039" s="415">
        <v>816</v>
      </c>
      <c r="O1039" s="415">
        <v>427</v>
      </c>
      <c r="P1039" s="415">
        <v>816</v>
      </c>
      <c r="Q1039" s="415" t="s">
        <v>2675</v>
      </c>
      <c r="R1039" s="415" t="s">
        <v>3069</v>
      </c>
      <c r="S1039" s="415" t="s">
        <v>3354</v>
      </c>
      <c r="T1039" s="416">
        <v>138</v>
      </c>
      <c r="U1039" s="416">
        <v>138</v>
      </c>
      <c r="V1039" s="416">
        <v>138</v>
      </c>
      <c r="W1039" s="416">
        <v>137</v>
      </c>
      <c r="X1039" s="416">
        <v>134</v>
      </c>
      <c r="Y1039" s="416">
        <v>129</v>
      </c>
      <c r="Z1039" s="416">
        <v>123</v>
      </c>
      <c r="AA1039" s="416">
        <v>119</v>
      </c>
      <c r="AB1039" s="416">
        <v>117</v>
      </c>
      <c r="AC1039" s="416">
        <v>116</v>
      </c>
      <c r="AD1039" s="416">
        <v>116</v>
      </c>
      <c r="AE1039" s="416">
        <v>116</v>
      </c>
      <c r="AF1039" s="416">
        <v>116</v>
      </c>
      <c r="AG1039" s="416">
        <v>116</v>
      </c>
      <c r="AH1039" s="416">
        <v>116</v>
      </c>
      <c r="AI1039" s="416">
        <v>115</v>
      </c>
      <c r="AJ1039" s="416">
        <v>115</v>
      </c>
      <c r="AK1039" s="416">
        <v>114</v>
      </c>
      <c r="AL1039" s="416">
        <v>113</v>
      </c>
      <c r="AM1039" s="416">
        <v>109</v>
      </c>
      <c r="AN1039" s="416">
        <v>92.3</v>
      </c>
      <c r="AO1039" s="416">
        <v>69.3</v>
      </c>
      <c r="AP1039" s="416">
        <v>53.9</v>
      </c>
      <c r="AQ1039" s="416">
        <v>41.4</v>
      </c>
      <c r="AR1039" s="416">
        <v>31.8</v>
      </c>
      <c r="AS1039" s="416">
        <v>23.9</v>
      </c>
      <c r="AT1039" s="416">
        <v>18.8</v>
      </c>
      <c r="AU1039" s="416">
        <v>14.6</v>
      </c>
      <c r="AV1039" s="416">
        <v>10.8</v>
      </c>
      <c r="AW1039" s="416">
        <v>7.83</v>
      </c>
      <c r="AX1039" s="416">
        <v>0</v>
      </c>
      <c r="AY1039" s="416">
        <v>0</v>
      </c>
      <c r="AZ1039" s="416">
        <v>0</v>
      </c>
    </row>
    <row r="1040" spans="1:52" s="411" customFormat="1" x14ac:dyDescent="0.3">
      <c r="A1040" s="415" t="str">
        <f t="shared" si="16"/>
        <v>SA-312 Gr.TP348H</v>
      </c>
      <c r="B1040" s="415">
        <v>1034</v>
      </c>
      <c r="C1040" s="415" t="s">
        <v>3324</v>
      </c>
      <c r="D1040" s="415" t="s">
        <v>2703</v>
      </c>
      <c r="E1040" s="415" t="s">
        <v>2208</v>
      </c>
      <c r="F1040" s="415" t="s">
        <v>2581</v>
      </c>
      <c r="G1040" s="415" t="s">
        <v>3325</v>
      </c>
      <c r="H1040" s="415">
        <v>0</v>
      </c>
      <c r="I1040" s="415">
        <v>0</v>
      </c>
      <c r="J1040" s="415">
        <v>8</v>
      </c>
      <c r="K1040" s="415">
        <v>1</v>
      </c>
      <c r="L1040" s="415">
        <v>515</v>
      </c>
      <c r="M1040" s="415">
        <v>205</v>
      </c>
      <c r="N1040" s="415">
        <v>816</v>
      </c>
      <c r="O1040" s="415" t="s">
        <v>2675</v>
      </c>
      <c r="P1040" s="415">
        <v>816</v>
      </c>
      <c r="Q1040" s="415" t="s">
        <v>2675</v>
      </c>
      <c r="R1040" s="415" t="s">
        <v>3069</v>
      </c>
      <c r="S1040" s="415" t="s">
        <v>3327</v>
      </c>
      <c r="T1040" s="416">
        <v>138</v>
      </c>
      <c r="U1040" s="416">
        <v>138</v>
      </c>
      <c r="V1040" s="416">
        <v>132</v>
      </c>
      <c r="W1040" s="416">
        <v>126</v>
      </c>
      <c r="X1040" s="416">
        <v>122</v>
      </c>
      <c r="Y1040" s="416">
        <v>118</v>
      </c>
      <c r="Z1040" s="416">
        <v>111</v>
      </c>
      <c r="AA1040" s="416">
        <v>105</v>
      </c>
      <c r="AB1040" s="416">
        <v>99.8</v>
      </c>
      <c r="AC1040" s="416">
        <v>97.9</v>
      </c>
      <c r="AD1040" s="416">
        <v>96.1</v>
      </c>
      <c r="AE1040" s="416">
        <v>95</v>
      </c>
      <c r="AF1040" s="416">
        <v>94.4</v>
      </c>
      <c r="AG1040" s="416">
        <v>93.8</v>
      </c>
      <c r="AH1040" s="416">
        <v>93.2</v>
      </c>
      <c r="AI1040" s="416">
        <v>92.5</v>
      </c>
      <c r="AJ1040" s="416">
        <v>92.4</v>
      </c>
      <c r="AK1040" s="416">
        <v>92.4</v>
      </c>
      <c r="AL1040" s="416">
        <v>92.4</v>
      </c>
      <c r="AM1040" s="416">
        <v>92.2</v>
      </c>
      <c r="AN1040" s="416">
        <v>89.1</v>
      </c>
      <c r="AO1040" s="416">
        <v>69.3</v>
      </c>
      <c r="AP1040" s="416">
        <v>53.9</v>
      </c>
      <c r="AQ1040" s="416">
        <v>41.4</v>
      </c>
      <c r="AR1040" s="416">
        <v>31.8</v>
      </c>
      <c r="AS1040" s="416">
        <v>23.9</v>
      </c>
      <c r="AT1040" s="416">
        <v>18.8</v>
      </c>
      <c r="AU1040" s="416">
        <v>14.6</v>
      </c>
      <c r="AV1040" s="416">
        <v>10.8</v>
      </c>
      <c r="AW1040" s="416">
        <v>7.83</v>
      </c>
      <c r="AX1040" s="416">
        <v>0</v>
      </c>
      <c r="AY1040" s="416">
        <v>0</v>
      </c>
      <c r="AZ1040" s="416">
        <v>0</v>
      </c>
    </row>
    <row r="1041" spans="1:52" s="411" customFormat="1" x14ac:dyDescent="0.3">
      <c r="A1041" s="415" t="str">
        <f t="shared" si="16"/>
        <v>SA-312 Gr.TP348H</v>
      </c>
      <c r="B1041" s="415">
        <v>1035</v>
      </c>
      <c r="C1041" s="415" t="s">
        <v>3324</v>
      </c>
      <c r="D1041" s="415" t="s">
        <v>2680</v>
      </c>
      <c r="E1041" s="415" t="s">
        <v>2208</v>
      </c>
      <c r="F1041" s="415" t="s">
        <v>2581</v>
      </c>
      <c r="G1041" s="415" t="s">
        <v>3325</v>
      </c>
      <c r="H1041" s="415">
        <v>0</v>
      </c>
      <c r="I1041" s="415">
        <v>0</v>
      </c>
      <c r="J1041" s="415">
        <v>8</v>
      </c>
      <c r="K1041" s="415">
        <v>1</v>
      </c>
      <c r="L1041" s="415">
        <v>515</v>
      </c>
      <c r="M1041" s="415">
        <v>205</v>
      </c>
      <c r="N1041" s="415" t="s">
        <v>2675</v>
      </c>
      <c r="O1041" s="415" t="s">
        <v>2675</v>
      </c>
      <c r="P1041" s="415">
        <v>816</v>
      </c>
      <c r="Q1041" s="415" t="s">
        <v>2675</v>
      </c>
      <c r="R1041" s="415" t="s">
        <v>3069</v>
      </c>
      <c r="S1041" s="415" t="s">
        <v>3362</v>
      </c>
      <c r="T1041" s="416">
        <v>117</v>
      </c>
      <c r="U1041" s="416">
        <v>117</v>
      </c>
      <c r="V1041" s="416">
        <v>117</v>
      </c>
      <c r="W1041" s="416">
        <v>117</v>
      </c>
      <c r="X1041" s="416">
        <v>114</v>
      </c>
      <c r="Y1041" s="416">
        <v>110</v>
      </c>
      <c r="Z1041" s="416">
        <v>104</v>
      </c>
      <c r="AA1041" s="416">
        <v>101</v>
      </c>
      <c r="AB1041" s="416">
        <v>98.9</v>
      </c>
      <c r="AC1041" s="416">
        <v>98.6</v>
      </c>
      <c r="AD1041" s="416">
        <v>98.6</v>
      </c>
      <c r="AE1041" s="416">
        <v>98.6</v>
      </c>
      <c r="AF1041" s="416">
        <v>98.6</v>
      </c>
      <c r="AG1041" s="416">
        <v>98.6</v>
      </c>
      <c r="AH1041" s="416">
        <v>98.6</v>
      </c>
      <c r="AI1041" s="416">
        <v>98.1</v>
      </c>
      <c r="AJ1041" s="416">
        <v>97.5</v>
      </c>
      <c r="AK1041" s="416">
        <v>96.8</v>
      </c>
      <c r="AL1041" s="416">
        <v>96.2</v>
      </c>
      <c r="AM1041" s="416">
        <v>91.9</v>
      </c>
      <c r="AN1041" s="416">
        <v>77.900000000000006</v>
      </c>
      <c r="AO1041" s="416">
        <v>58.8</v>
      </c>
      <c r="AP1041" s="416">
        <v>45.7</v>
      </c>
      <c r="AQ1041" s="416">
        <v>35.1</v>
      </c>
      <c r="AR1041" s="416">
        <v>26.8</v>
      </c>
      <c r="AS1041" s="416">
        <v>20.100000000000001</v>
      </c>
      <c r="AT1041" s="416">
        <v>15.8</v>
      </c>
      <c r="AU1041" s="416">
        <v>12.6</v>
      </c>
      <c r="AV1041" s="416">
        <v>9.52</v>
      </c>
      <c r="AW1041" s="416">
        <v>6.41</v>
      </c>
      <c r="AX1041" s="416">
        <v>0</v>
      </c>
      <c r="AY1041" s="416">
        <v>0</v>
      </c>
      <c r="AZ1041" s="416">
        <v>0</v>
      </c>
    </row>
    <row r="1042" spans="1:52" s="411" customFormat="1" x14ac:dyDescent="0.3">
      <c r="A1042" s="415" t="str">
        <f t="shared" si="16"/>
        <v>SA-312 Gr.TP348H</v>
      </c>
      <c r="B1042" s="415">
        <v>1036</v>
      </c>
      <c r="C1042" s="415" t="s">
        <v>3324</v>
      </c>
      <c r="D1042" s="415" t="s">
        <v>2680</v>
      </c>
      <c r="E1042" s="415" t="s">
        <v>2208</v>
      </c>
      <c r="F1042" s="415" t="s">
        <v>2581</v>
      </c>
      <c r="G1042" s="415" t="s">
        <v>3325</v>
      </c>
      <c r="H1042" s="415">
        <v>0</v>
      </c>
      <c r="I1042" s="415">
        <v>0</v>
      </c>
      <c r="J1042" s="415">
        <v>8</v>
      </c>
      <c r="K1042" s="415">
        <v>1</v>
      </c>
      <c r="L1042" s="415">
        <v>515</v>
      </c>
      <c r="M1042" s="415">
        <v>205</v>
      </c>
      <c r="N1042" s="415" t="s">
        <v>2675</v>
      </c>
      <c r="O1042" s="415" t="s">
        <v>2675</v>
      </c>
      <c r="P1042" s="415">
        <v>816</v>
      </c>
      <c r="Q1042" s="415" t="s">
        <v>2675</v>
      </c>
      <c r="R1042" s="415" t="s">
        <v>3069</v>
      </c>
      <c r="S1042" s="415" t="s">
        <v>3363</v>
      </c>
      <c r="T1042" s="416">
        <v>117</v>
      </c>
      <c r="U1042" s="416">
        <v>117</v>
      </c>
      <c r="V1042" s="416">
        <v>112</v>
      </c>
      <c r="W1042" s="416">
        <v>107</v>
      </c>
      <c r="X1042" s="416">
        <v>103</v>
      </c>
      <c r="Y1042" s="416">
        <v>101</v>
      </c>
      <c r="Z1042" s="416">
        <v>94.3</v>
      </c>
      <c r="AA1042" s="416">
        <v>89.1</v>
      </c>
      <c r="AB1042" s="416">
        <v>85.3</v>
      </c>
      <c r="AC1042" s="416">
        <v>83.3</v>
      </c>
      <c r="AD1042" s="416">
        <v>81.8</v>
      </c>
      <c r="AE1042" s="416">
        <v>81.2</v>
      </c>
      <c r="AF1042" s="416">
        <v>79.900000000000006</v>
      </c>
      <c r="AG1042" s="416">
        <v>79.3</v>
      </c>
      <c r="AH1042" s="416">
        <v>79.3</v>
      </c>
      <c r="AI1042" s="416">
        <v>78.7</v>
      </c>
      <c r="AJ1042" s="416">
        <v>78.599999999999994</v>
      </c>
      <c r="AK1042" s="416">
        <v>78.599999999999994</v>
      </c>
      <c r="AL1042" s="416">
        <v>78.599999999999994</v>
      </c>
      <c r="AM1042" s="416">
        <v>78.400000000000006</v>
      </c>
      <c r="AN1042" s="416">
        <v>75.7</v>
      </c>
      <c r="AO1042" s="416">
        <v>58.8</v>
      </c>
      <c r="AP1042" s="416">
        <v>45.7</v>
      </c>
      <c r="AQ1042" s="416">
        <v>35.1</v>
      </c>
      <c r="AR1042" s="416">
        <v>26.8</v>
      </c>
      <c r="AS1042" s="416">
        <v>20.100000000000001</v>
      </c>
      <c r="AT1042" s="416">
        <v>15.8</v>
      </c>
      <c r="AU1042" s="416">
        <v>12.6</v>
      </c>
      <c r="AV1042" s="416">
        <v>9.52</v>
      </c>
      <c r="AW1042" s="416">
        <v>6.41</v>
      </c>
      <c r="AX1042" s="416">
        <v>0</v>
      </c>
      <c r="AY1042" s="416">
        <v>0</v>
      </c>
      <c r="AZ1042" s="416">
        <v>0</v>
      </c>
    </row>
    <row r="1043" spans="1:52" s="411" customFormat="1" x14ac:dyDescent="0.3">
      <c r="A1043" s="415" t="str">
        <f t="shared" si="16"/>
        <v>SA-403 Gr.348H</v>
      </c>
      <c r="B1043" s="415">
        <v>1037</v>
      </c>
      <c r="C1043" s="415" t="s">
        <v>3324</v>
      </c>
      <c r="D1043" s="415" t="s">
        <v>2758</v>
      </c>
      <c r="E1043" s="415" t="s">
        <v>2229</v>
      </c>
      <c r="F1043" s="415" t="s">
        <v>2282</v>
      </c>
      <c r="G1043" s="415" t="s">
        <v>3325</v>
      </c>
      <c r="H1043" s="415">
        <v>0</v>
      </c>
      <c r="I1043" s="415">
        <v>0</v>
      </c>
      <c r="J1043" s="415">
        <v>8</v>
      </c>
      <c r="K1043" s="415">
        <v>1</v>
      </c>
      <c r="L1043" s="415">
        <v>515</v>
      </c>
      <c r="M1043" s="415">
        <v>205</v>
      </c>
      <c r="N1043" s="415" t="s">
        <v>2675</v>
      </c>
      <c r="O1043" s="415">
        <v>427</v>
      </c>
      <c r="P1043" s="415">
        <v>816</v>
      </c>
      <c r="Q1043" s="415" t="s">
        <v>2675</v>
      </c>
      <c r="R1043" s="415" t="s">
        <v>3069</v>
      </c>
      <c r="S1043" s="415" t="s">
        <v>3354</v>
      </c>
      <c r="T1043" s="416">
        <v>138</v>
      </c>
      <c r="U1043" s="416">
        <v>138</v>
      </c>
      <c r="V1043" s="416">
        <v>138</v>
      </c>
      <c r="W1043" s="416">
        <v>137</v>
      </c>
      <c r="X1043" s="416">
        <v>134</v>
      </c>
      <c r="Y1043" s="416">
        <v>129</v>
      </c>
      <c r="Z1043" s="416">
        <v>123</v>
      </c>
      <c r="AA1043" s="416">
        <v>119</v>
      </c>
      <c r="AB1043" s="416">
        <v>117</v>
      </c>
      <c r="AC1043" s="416">
        <v>116</v>
      </c>
      <c r="AD1043" s="416">
        <v>116</v>
      </c>
      <c r="AE1043" s="416">
        <v>116</v>
      </c>
      <c r="AF1043" s="416">
        <v>116</v>
      </c>
      <c r="AG1043" s="416">
        <v>116</v>
      </c>
      <c r="AH1043" s="416">
        <v>116</v>
      </c>
      <c r="AI1043" s="416">
        <v>115</v>
      </c>
      <c r="AJ1043" s="416">
        <v>115</v>
      </c>
      <c r="AK1043" s="416">
        <v>114</v>
      </c>
      <c r="AL1043" s="416">
        <v>113</v>
      </c>
      <c r="AM1043" s="416">
        <v>109</v>
      </c>
      <c r="AN1043" s="416">
        <v>92.3</v>
      </c>
      <c r="AO1043" s="416">
        <v>69.3</v>
      </c>
      <c r="AP1043" s="416">
        <v>53.9</v>
      </c>
      <c r="AQ1043" s="416">
        <v>41.4</v>
      </c>
      <c r="AR1043" s="416">
        <v>31.8</v>
      </c>
      <c r="AS1043" s="416">
        <v>23.9</v>
      </c>
      <c r="AT1043" s="416">
        <v>18.8</v>
      </c>
      <c r="AU1043" s="416">
        <v>14.6</v>
      </c>
      <c r="AV1043" s="416">
        <v>10.8</v>
      </c>
      <c r="AW1043" s="416">
        <v>7.83</v>
      </c>
      <c r="AX1043" s="416">
        <v>0</v>
      </c>
      <c r="AY1043" s="416">
        <v>0</v>
      </c>
      <c r="AZ1043" s="416">
        <v>0</v>
      </c>
    </row>
    <row r="1044" spans="1:52" s="411" customFormat="1" x14ac:dyDescent="0.3">
      <c r="A1044" s="415" t="str">
        <f t="shared" si="16"/>
        <v>SA-479 Gr.348H</v>
      </c>
      <c r="B1044" s="415">
        <v>1038</v>
      </c>
      <c r="C1044" s="415" t="s">
        <v>3324</v>
      </c>
      <c r="D1044" s="415" t="s">
        <v>2677</v>
      </c>
      <c r="E1044" s="415" t="s">
        <v>2245</v>
      </c>
      <c r="F1044" s="415" t="s">
        <v>2282</v>
      </c>
      <c r="G1044" s="415" t="s">
        <v>3325</v>
      </c>
      <c r="H1044" s="415">
        <v>0</v>
      </c>
      <c r="I1044" s="415">
        <v>0</v>
      </c>
      <c r="J1044" s="415">
        <v>8</v>
      </c>
      <c r="K1044" s="415">
        <v>1</v>
      </c>
      <c r="L1044" s="415">
        <v>515</v>
      </c>
      <c r="M1044" s="415">
        <v>205</v>
      </c>
      <c r="N1044" s="415">
        <v>816</v>
      </c>
      <c r="O1044" s="415">
        <v>427</v>
      </c>
      <c r="P1044" s="415" t="s">
        <v>2675</v>
      </c>
      <c r="Q1044" s="415" t="s">
        <v>2675</v>
      </c>
      <c r="R1044" s="415" t="s">
        <v>3069</v>
      </c>
      <c r="S1044" s="415" t="s">
        <v>3334</v>
      </c>
      <c r="T1044" s="416">
        <v>138</v>
      </c>
      <c r="U1044" s="416">
        <v>138</v>
      </c>
      <c r="V1044" s="416">
        <v>138</v>
      </c>
      <c r="W1044" s="416">
        <v>137</v>
      </c>
      <c r="X1044" s="416">
        <v>134</v>
      </c>
      <c r="Y1044" s="416">
        <v>129</v>
      </c>
      <c r="Z1044" s="416">
        <v>123</v>
      </c>
      <c r="AA1044" s="416">
        <v>119</v>
      </c>
      <c r="AB1044" s="416">
        <v>117</v>
      </c>
      <c r="AC1044" s="416">
        <v>116</v>
      </c>
      <c r="AD1044" s="416">
        <v>116</v>
      </c>
      <c r="AE1044" s="416">
        <v>116</v>
      </c>
      <c r="AF1044" s="416">
        <v>116</v>
      </c>
      <c r="AG1044" s="416">
        <v>116</v>
      </c>
      <c r="AH1044" s="416">
        <v>116</v>
      </c>
      <c r="AI1044" s="416">
        <v>115</v>
      </c>
      <c r="AJ1044" s="416">
        <v>115</v>
      </c>
      <c r="AK1044" s="416">
        <v>114</v>
      </c>
      <c r="AL1044" s="416">
        <v>113</v>
      </c>
      <c r="AM1044" s="416">
        <v>109</v>
      </c>
      <c r="AN1044" s="416">
        <v>92.3</v>
      </c>
      <c r="AO1044" s="416">
        <v>69.3</v>
      </c>
      <c r="AP1044" s="416">
        <v>53.9</v>
      </c>
      <c r="AQ1044" s="416">
        <v>41.4</v>
      </c>
      <c r="AR1044" s="416">
        <v>31.8</v>
      </c>
      <c r="AS1044" s="416">
        <v>23.9</v>
      </c>
      <c r="AT1044" s="416">
        <v>18.8</v>
      </c>
      <c r="AU1044" s="416">
        <v>14.6</v>
      </c>
      <c r="AV1044" s="416">
        <v>10.8</v>
      </c>
      <c r="AW1044" s="416">
        <v>7.83</v>
      </c>
      <c r="AX1044" s="416">
        <v>0</v>
      </c>
      <c r="AY1044" s="416">
        <v>0</v>
      </c>
      <c r="AZ1044" s="416">
        <v>0</v>
      </c>
    </row>
    <row r="1045" spans="1:52" s="411" customFormat="1" x14ac:dyDescent="0.3">
      <c r="A1045" s="415" t="str">
        <f t="shared" si="16"/>
        <v>SA-479 Gr.348H</v>
      </c>
      <c r="B1045" s="415">
        <v>1039</v>
      </c>
      <c r="C1045" s="415" t="s">
        <v>3324</v>
      </c>
      <c r="D1045" s="415" t="s">
        <v>2677</v>
      </c>
      <c r="E1045" s="415" t="s">
        <v>2245</v>
      </c>
      <c r="F1045" s="415" t="s">
        <v>2282</v>
      </c>
      <c r="G1045" s="415" t="s">
        <v>3325</v>
      </c>
      <c r="H1045" s="415">
        <v>0</v>
      </c>
      <c r="I1045" s="415">
        <v>0</v>
      </c>
      <c r="J1045" s="415">
        <v>8</v>
      </c>
      <c r="K1045" s="415">
        <v>1</v>
      </c>
      <c r="L1045" s="415">
        <v>515</v>
      </c>
      <c r="M1045" s="415">
        <v>205</v>
      </c>
      <c r="N1045" s="415">
        <v>816</v>
      </c>
      <c r="O1045" s="415" t="s">
        <v>2675</v>
      </c>
      <c r="P1045" s="415" t="s">
        <v>2675</v>
      </c>
      <c r="Q1045" s="415" t="s">
        <v>2675</v>
      </c>
      <c r="R1045" s="415" t="s">
        <v>3069</v>
      </c>
      <c r="S1045" s="415" t="s">
        <v>3327</v>
      </c>
      <c r="T1045" s="416">
        <v>138</v>
      </c>
      <c r="U1045" s="416">
        <v>138</v>
      </c>
      <c r="V1045" s="416">
        <v>132</v>
      </c>
      <c r="W1045" s="416">
        <v>126</v>
      </c>
      <c r="X1045" s="416">
        <v>122</v>
      </c>
      <c r="Y1045" s="416">
        <v>118</v>
      </c>
      <c r="Z1045" s="416">
        <v>111</v>
      </c>
      <c r="AA1045" s="416">
        <v>105</v>
      </c>
      <c r="AB1045" s="416">
        <v>99.8</v>
      </c>
      <c r="AC1045" s="416">
        <v>97.9</v>
      </c>
      <c r="AD1045" s="416">
        <v>96.1</v>
      </c>
      <c r="AE1045" s="416">
        <v>95</v>
      </c>
      <c r="AF1045" s="416">
        <v>94.4</v>
      </c>
      <c r="AG1045" s="416">
        <v>93.8</v>
      </c>
      <c r="AH1045" s="416">
        <v>93.2</v>
      </c>
      <c r="AI1045" s="416">
        <v>92.5</v>
      </c>
      <c r="AJ1045" s="416">
        <v>92.4</v>
      </c>
      <c r="AK1045" s="416">
        <v>92.4</v>
      </c>
      <c r="AL1045" s="416">
        <v>92.4</v>
      </c>
      <c r="AM1045" s="416">
        <v>92.2</v>
      </c>
      <c r="AN1045" s="416">
        <v>89.1</v>
      </c>
      <c r="AO1045" s="416">
        <v>69.3</v>
      </c>
      <c r="AP1045" s="416">
        <v>53.9</v>
      </c>
      <c r="AQ1045" s="416">
        <v>41.4</v>
      </c>
      <c r="AR1045" s="416">
        <v>31.8</v>
      </c>
      <c r="AS1045" s="416">
        <v>23.9</v>
      </c>
      <c r="AT1045" s="416">
        <v>18.8</v>
      </c>
      <c r="AU1045" s="416">
        <v>14.6</v>
      </c>
      <c r="AV1045" s="416">
        <v>10.8</v>
      </c>
      <c r="AW1045" s="416">
        <v>7.83</v>
      </c>
      <c r="AX1045" s="416">
        <v>0</v>
      </c>
      <c r="AY1045" s="416">
        <v>0</v>
      </c>
      <c r="AZ1045" s="416">
        <v>0</v>
      </c>
    </row>
    <row r="1046" spans="1:52" s="411" customFormat="1" x14ac:dyDescent="0.3">
      <c r="A1046" s="415" t="str">
        <f t="shared" si="16"/>
        <v>SA-813 Gr.TP348H</v>
      </c>
      <c r="B1046" s="415">
        <v>1040</v>
      </c>
      <c r="C1046" s="415" t="s">
        <v>3324</v>
      </c>
      <c r="D1046" s="415" t="s">
        <v>2680</v>
      </c>
      <c r="E1046" s="415" t="s">
        <v>2328</v>
      </c>
      <c r="F1046" s="415" t="s">
        <v>2581</v>
      </c>
      <c r="G1046" s="415" t="s">
        <v>3325</v>
      </c>
      <c r="H1046" s="415">
        <v>0</v>
      </c>
      <c r="I1046" s="415">
        <v>0</v>
      </c>
      <c r="J1046" s="415">
        <v>8</v>
      </c>
      <c r="K1046" s="415">
        <v>1</v>
      </c>
      <c r="L1046" s="415">
        <v>515</v>
      </c>
      <c r="M1046" s="415">
        <v>205</v>
      </c>
      <c r="N1046" s="415" t="s">
        <v>2675</v>
      </c>
      <c r="O1046" s="415">
        <v>427</v>
      </c>
      <c r="P1046" s="415" t="s">
        <v>2675</v>
      </c>
      <c r="Q1046" s="415" t="s">
        <v>2675</v>
      </c>
      <c r="R1046" s="415" t="s">
        <v>3069</v>
      </c>
      <c r="S1046" s="415" t="s">
        <v>3355</v>
      </c>
      <c r="T1046" s="416">
        <v>138</v>
      </c>
      <c r="U1046" s="416">
        <v>138</v>
      </c>
      <c r="V1046" s="416">
        <v>138</v>
      </c>
      <c r="W1046" s="416">
        <v>137</v>
      </c>
      <c r="X1046" s="416">
        <v>134</v>
      </c>
      <c r="Y1046" s="416">
        <v>129</v>
      </c>
      <c r="Z1046" s="416">
        <v>123</v>
      </c>
      <c r="AA1046" s="416">
        <v>119</v>
      </c>
      <c r="AB1046" s="416">
        <v>117</v>
      </c>
      <c r="AC1046" s="416">
        <v>116</v>
      </c>
      <c r="AD1046" s="416">
        <v>116</v>
      </c>
      <c r="AE1046" s="416">
        <v>116</v>
      </c>
      <c r="AF1046" s="416">
        <v>116</v>
      </c>
      <c r="AG1046" s="416">
        <v>116</v>
      </c>
      <c r="AH1046" s="416">
        <v>116</v>
      </c>
      <c r="AI1046" s="416">
        <v>0</v>
      </c>
      <c r="AJ1046" s="416">
        <v>0</v>
      </c>
      <c r="AK1046" s="416">
        <v>0</v>
      </c>
      <c r="AL1046" s="416">
        <v>0</v>
      </c>
      <c r="AM1046" s="416">
        <v>0</v>
      </c>
      <c r="AN1046" s="416">
        <v>0</v>
      </c>
      <c r="AO1046" s="416">
        <v>0</v>
      </c>
      <c r="AP1046" s="416">
        <v>0</v>
      </c>
      <c r="AQ1046" s="416">
        <v>0</v>
      </c>
      <c r="AR1046" s="416">
        <v>0</v>
      </c>
      <c r="AS1046" s="416">
        <v>0</v>
      </c>
      <c r="AT1046" s="416">
        <v>0</v>
      </c>
      <c r="AU1046" s="416">
        <v>0</v>
      </c>
      <c r="AV1046" s="416">
        <v>0</v>
      </c>
      <c r="AW1046" s="416">
        <v>0</v>
      </c>
      <c r="AX1046" s="416">
        <v>0</v>
      </c>
      <c r="AY1046" s="416">
        <v>0</v>
      </c>
      <c r="AZ1046" s="416">
        <v>0</v>
      </c>
    </row>
    <row r="1047" spans="1:52" s="411" customFormat="1" x14ac:dyDescent="0.3">
      <c r="A1047" s="415" t="str">
        <f t="shared" si="16"/>
        <v>SA-814 Gr.TP348H</v>
      </c>
      <c r="B1047" s="415">
        <v>1041</v>
      </c>
      <c r="C1047" s="415" t="s">
        <v>3324</v>
      </c>
      <c r="D1047" s="415" t="s">
        <v>2680</v>
      </c>
      <c r="E1047" s="415" t="s">
        <v>2330</v>
      </c>
      <c r="F1047" s="415" t="s">
        <v>2581</v>
      </c>
      <c r="G1047" s="415" t="s">
        <v>3325</v>
      </c>
      <c r="H1047" s="415">
        <v>0</v>
      </c>
      <c r="I1047" s="415">
        <v>0</v>
      </c>
      <c r="J1047" s="415">
        <v>8</v>
      </c>
      <c r="K1047" s="415">
        <v>1</v>
      </c>
      <c r="L1047" s="415">
        <v>515</v>
      </c>
      <c r="M1047" s="415">
        <v>205</v>
      </c>
      <c r="N1047" s="415" t="s">
        <v>2675</v>
      </c>
      <c r="O1047" s="415">
        <v>427</v>
      </c>
      <c r="P1047" s="415" t="s">
        <v>2675</v>
      </c>
      <c r="Q1047" s="415" t="s">
        <v>2675</v>
      </c>
      <c r="R1047" s="415" t="s">
        <v>3069</v>
      </c>
      <c r="S1047" s="415" t="s">
        <v>3208</v>
      </c>
      <c r="T1047" s="416">
        <v>138</v>
      </c>
      <c r="U1047" s="416">
        <v>138</v>
      </c>
      <c r="V1047" s="416">
        <v>138</v>
      </c>
      <c r="W1047" s="416">
        <v>137</v>
      </c>
      <c r="X1047" s="416">
        <v>134</v>
      </c>
      <c r="Y1047" s="416">
        <v>129</v>
      </c>
      <c r="Z1047" s="416">
        <v>123</v>
      </c>
      <c r="AA1047" s="416">
        <v>119</v>
      </c>
      <c r="AB1047" s="416">
        <v>117</v>
      </c>
      <c r="AC1047" s="416">
        <v>116</v>
      </c>
      <c r="AD1047" s="416">
        <v>116</v>
      </c>
      <c r="AE1047" s="416">
        <v>116</v>
      </c>
      <c r="AF1047" s="416">
        <v>116</v>
      </c>
      <c r="AG1047" s="416">
        <v>116</v>
      </c>
      <c r="AH1047" s="416">
        <v>116</v>
      </c>
      <c r="AI1047" s="416">
        <v>0</v>
      </c>
      <c r="AJ1047" s="416">
        <v>0</v>
      </c>
      <c r="AK1047" s="416">
        <v>0</v>
      </c>
      <c r="AL1047" s="416">
        <v>0</v>
      </c>
      <c r="AM1047" s="416">
        <v>0</v>
      </c>
      <c r="AN1047" s="416">
        <v>0</v>
      </c>
      <c r="AO1047" s="416">
        <v>0</v>
      </c>
      <c r="AP1047" s="416">
        <v>0</v>
      </c>
      <c r="AQ1047" s="416">
        <v>0</v>
      </c>
      <c r="AR1047" s="416">
        <v>0</v>
      </c>
      <c r="AS1047" s="416">
        <v>0</v>
      </c>
      <c r="AT1047" s="416">
        <v>0</v>
      </c>
      <c r="AU1047" s="416">
        <v>0</v>
      </c>
      <c r="AV1047" s="416">
        <v>0</v>
      </c>
      <c r="AW1047" s="416">
        <v>0</v>
      </c>
      <c r="AX1047" s="416">
        <v>0</v>
      </c>
      <c r="AY1047" s="416">
        <v>0</v>
      </c>
      <c r="AZ1047" s="416">
        <v>0</v>
      </c>
    </row>
    <row r="1048" spans="1:52" s="411" customFormat="1" ht="28.8" x14ac:dyDescent="0.3">
      <c r="A1048" s="415" t="str">
        <f t="shared" si="16"/>
        <v>SA/JIS G4303 Gr.SUS347</v>
      </c>
      <c r="B1048" s="415">
        <v>1042</v>
      </c>
      <c r="C1048" s="415" t="s">
        <v>3324</v>
      </c>
      <c r="D1048" s="415" t="s">
        <v>2677</v>
      </c>
      <c r="E1048" s="415" t="s">
        <v>2176</v>
      </c>
      <c r="F1048" s="415" t="s">
        <v>2533</v>
      </c>
      <c r="G1048" s="415">
        <v>0</v>
      </c>
      <c r="H1048" s="415">
        <v>0</v>
      </c>
      <c r="I1048" s="415">
        <v>0</v>
      </c>
      <c r="J1048" s="415">
        <v>8</v>
      </c>
      <c r="K1048" s="415">
        <v>1</v>
      </c>
      <c r="L1048" s="415">
        <v>520</v>
      </c>
      <c r="M1048" s="415">
        <v>205</v>
      </c>
      <c r="N1048" s="415">
        <v>816</v>
      </c>
      <c r="O1048" s="415">
        <v>427</v>
      </c>
      <c r="P1048" s="415">
        <v>816</v>
      </c>
      <c r="Q1048" s="415" t="s">
        <v>2675</v>
      </c>
      <c r="R1048" s="415" t="s">
        <v>3069</v>
      </c>
      <c r="S1048" s="415" t="s">
        <v>3347</v>
      </c>
      <c r="T1048" s="416">
        <v>138</v>
      </c>
      <c r="U1048" s="416">
        <v>138</v>
      </c>
      <c r="V1048" s="416">
        <v>138</v>
      </c>
      <c r="W1048" s="416">
        <v>137</v>
      </c>
      <c r="X1048" s="416">
        <v>134</v>
      </c>
      <c r="Y1048" s="416">
        <v>129</v>
      </c>
      <c r="Z1048" s="416">
        <v>123</v>
      </c>
      <c r="AA1048" s="416">
        <v>119</v>
      </c>
      <c r="AB1048" s="416">
        <v>117</v>
      </c>
      <c r="AC1048" s="416">
        <v>116</v>
      </c>
      <c r="AD1048" s="416">
        <v>116</v>
      </c>
      <c r="AE1048" s="416">
        <v>116</v>
      </c>
      <c r="AF1048" s="416">
        <v>116</v>
      </c>
      <c r="AG1048" s="416">
        <v>116</v>
      </c>
      <c r="AH1048" s="416">
        <v>116</v>
      </c>
      <c r="AI1048" s="416">
        <v>115</v>
      </c>
      <c r="AJ1048" s="416">
        <v>115</v>
      </c>
      <c r="AK1048" s="416">
        <v>113</v>
      </c>
      <c r="AL1048" s="416">
        <v>99.8</v>
      </c>
      <c r="AM1048" s="416">
        <v>77.2</v>
      </c>
      <c r="AN1048" s="416">
        <v>57.7</v>
      </c>
      <c r="AO1048" s="416">
        <v>39.9</v>
      </c>
      <c r="AP1048" s="416">
        <v>30</v>
      </c>
      <c r="AQ1048" s="416">
        <v>23.2</v>
      </c>
      <c r="AR1048" s="416">
        <v>16.3</v>
      </c>
      <c r="AS1048" s="416">
        <v>11.2</v>
      </c>
      <c r="AT1048" s="416">
        <v>8.93</v>
      </c>
      <c r="AU1048" s="416">
        <v>7.08</v>
      </c>
      <c r="AV1048" s="416">
        <v>5.77</v>
      </c>
      <c r="AW1048" s="416">
        <v>5.32</v>
      </c>
      <c r="AX1048" s="416">
        <v>0</v>
      </c>
      <c r="AY1048" s="416">
        <v>0</v>
      </c>
      <c r="AZ1048" s="416">
        <v>0</v>
      </c>
    </row>
    <row r="1049" spans="1:52" s="411" customFormat="1" x14ac:dyDescent="0.3">
      <c r="A1049" s="415" t="str">
        <f t="shared" si="16"/>
        <v>SA-213 Gr.TP347HFG</v>
      </c>
      <c r="B1049" s="415">
        <v>1043</v>
      </c>
      <c r="C1049" s="415" t="s">
        <v>3324</v>
      </c>
      <c r="D1049" s="415" t="s">
        <v>2693</v>
      </c>
      <c r="E1049" s="415" t="s">
        <v>2195</v>
      </c>
      <c r="F1049" s="415" t="s">
        <v>2579</v>
      </c>
      <c r="G1049" s="415" t="s">
        <v>3364</v>
      </c>
      <c r="H1049" s="415">
        <v>0</v>
      </c>
      <c r="I1049" s="415">
        <v>0</v>
      </c>
      <c r="J1049" s="415">
        <v>8</v>
      </c>
      <c r="K1049" s="415">
        <v>1</v>
      </c>
      <c r="L1049" s="415">
        <v>550</v>
      </c>
      <c r="M1049" s="415">
        <v>205</v>
      </c>
      <c r="N1049" s="415">
        <v>732</v>
      </c>
      <c r="O1049" s="415" t="s">
        <v>2675</v>
      </c>
      <c r="P1049" s="415" t="s">
        <v>2675</v>
      </c>
      <c r="Q1049" s="415" t="s">
        <v>2675</v>
      </c>
      <c r="R1049" s="415" t="s">
        <v>3069</v>
      </c>
      <c r="S1049" s="415" t="s">
        <v>3240</v>
      </c>
      <c r="T1049" s="416">
        <v>138</v>
      </c>
      <c r="U1049" s="416">
        <v>138</v>
      </c>
      <c r="V1049" s="416">
        <v>138</v>
      </c>
      <c r="W1049" s="416">
        <v>138</v>
      </c>
      <c r="X1049" s="416">
        <v>138</v>
      </c>
      <c r="Y1049" s="416">
        <v>138</v>
      </c>
      <c r="Z1049" s="416">
        <v>138</v>
      </c>
      <c r="AA1049" s="416">
        <v>134</v>
      </c>
      <c r="AB1049" s="416">
        <v>132</v>
      </c>
      <c r="AC1049" s="416">
        <v>131</v>
      </c>
      <c r="AD1049" s="416">
        <v>131</v>
      </c>
      <c r="AE1049" s="416">
        <v>130</v>
      </c>
      <c r="AF1049" s="416">
        <v>130</v>
      </c>
      <c r="AG1049" s="416">
        <v>128</v>
      </c>
      <c r="AH1049" s="416">
        <v>127</v>
      </c>
      <c r="AI1049" s="416">
        <v>125</v>
      </c>
      <c r="AJ1049" s="416">
        <v>124</v>
      </c>
      <c r="AK1049" s="416">
        <v>123</v>
      </c>
      <c r="AL1049" s="416">
        <v>122</v>
      </c>
      <c r="AM1049" s="416">
        <v>120</v>
      </c>
      <c r="AN1049" s="416">
        <v>107</v>
      </c>
      <c r="AO1049" s="416">
        <v>85.4</v>
      </c>
      <c r="AP1049" s="416">
        <v>67</v>
      </c>
      <c r="AQ1049" s="416">
        <v>51.7</v>
      </c>
      <c r="AR1049" s="416">
        <v>39.299999999999997</v>
      </c>
      <c r="AS1049" s="416">
        <v>29.4</v>
      </c>
      <c r="AT1049" s="416">
        <v>21.7</v>
      </c>
      <c r="AU1049" s="416">
        <v>0</v>
      </c>
      <c r="AV1049" s="416">
        <v>0</v>
      </c>
      <c r="AW1049" s="416">
        <v>0</v>
      </c>
      <c r="AX1049" s="416">
        <v>0</v>
      </c>
      <c r="AY1049" s="416">
        <v>0</v>
      </c>
      <c r="AZ1049" s="416">
        <v>0</v>
      </c>
    </row>
    <row r="1050" spans="1:52" s="411" customFormat="1" x14ac:dyDescent="0.3">
      <c r="A1050" s="415" t="str">
        <f t="shared" si="16"/>
        <v>SA-213 Gr.TP347HFG</v>
      </c>
      <c r="B1050" s="415">
        <v>1044</v>
      </c>
      <c r="C1050" s="415" t="s">
        <v>3324</v>
      </c>
      <c r="D1050" s="415" t="s">
        <v>2693</v>
      </c>
      <c r="E1050" s="415" t="s">
        <v>2195</v>
      </c>
      <c r="F1050" s="415" t="s">
        <v>2579</v>
      </c>
      <c r="G1050" s="415" t="s">
        <v>3364</v>
      </c>
      <c r="H1050" s="415">
        <v>0</v>
      </c>
      <c r="I1050" s="415">
        <v>0</v>
      </c>
      <c r="J1050" s="415">
        <v>8</v>
      </c>
      <c r="K1050" s="415">
        <v>1</v>
      </c>
      <c r="L1050" s="415">
        <v>550</v>
      </c>
      <c r="M1050" s="415">
        <v>205</v>
      </c>
      <c r="N1050" s="415">
        <v>732</v>
      </c>
      <c r="O1050" s="415" t="s">
        <v>2675</v>
      </c>
      <c r="P1050" s="415" t="s">
        <v>2675</v>
      </c>
      <c r="Q1050" s="415" t="s">
        <v>2675</v>
      </c>
      <c r="R1050" s="415" t="s">
        <v>3069</v>
      </c>
      <c r="S1050" s="415" t="s">
        <v>2553</v>
      </c>
      <c r="T1050" s="416">
        <v>138</v>
      </c>
      <c r="U1050" s="416">
        <v>138</v>
      </c>
      <c r="V1050" s="416">
        <v>129</v>
      </c>
      <c r="W1050" s="416">
        <v>123</v>
      </c>
      <c r="X1050" s="416">
        <v>120</v>
      </c>
      <c r="Y1050" s="416">
        <v>116</v>
      </c>
      <c r="Z1050" s="416">
        <v>110</v>
      </c>
      <c r="AA1050" s="416">
        <v>105</v>
      </c>
      <c r="AB1050" s="416">
        <v>102</v>
      </c>
      <c r="AC1050" s="416">
        <v>100</v>
      </c>
      <c r="AD1050" s="416">
        <v>98.5</v>
      </c>
      <c r="AE1050" s="416">
        <v>97.2</v>
      </c>
      <c r="AF1050" s="416">
        <v>96</v>
      </c>
      <c r="AG1050" s="416">
        <v>94.9</v>
      </c>
      <c r="AH1050" s="416">
        <v>93.9</v>
      </c>
      <c r="AI1050" s="416">
        <v>92.9</v>
      </c>
      <c r="AJ1050" s="416">
        <v>92</v>
      </c>
      <c r="AK1050" s="416">
        <v>91</v>
      </c>
      <c r="AL1050" s="416">
        <v>90.1</v>
      </c>
      <c r="AM1050" s="416">
        <v>89</v>
      </c>
      <c r="AN1050" s="416">
        <v>88</v>
      </c>
      <c r="AO1050" s="416">
        <v>85.4</v>
      </c>
      <c r="AP1050" s="416">
        <v>67</v>
      </c>
      <c r="AQ1050" s="416">
        <v>51.7</v>
      </c>
      <c r="AR1050" s="416">
        <v>39.299999999999997</v>
      </c>
      <c r="AS1050" s="416">
        <v>29.4</v>
      </c>
      <c r="AT1050" s="416">
        <v>21.7</v>
      </c>
      <c r="AU1050" s="416">
        <v>0</v>
      </c>
      <c r="AV1050" s="416">
        <v>0</v>
      </c>
      <c r="AW1050" s="416">
        <v>0</v>
      </c>
      <c r="AX1050" s="416">
        <v>0</v>
      </c>
      <c r="AY1050" s="416">
        <v>0</v>
      </c>
      <c r="AZ1050" s="416">
        <v>0</v>
      </c>
    </row>
    <row r="1051" spans="1:52" s="411" customFormat="1" x14ac:dyDescent="0.3">
      <c r="A1051" s="415" t="str">
        <f t="shared" si="16"/>
        <v>SA-312 Gr.TP321</v>
      </c>
      <c r="B1051" s="415">
        <v>1045</v>
      </c>
      <c r="C1051" s="415" t="s">
        <v>3365</v>
      </c>
      <c r="D1051" s="415" t="s">
        <v>2703</v>
      </c>
      <c r="E1051" s="415" t="s">
        <v>2208</v>
      </c>
      <c r="F1051" s="415" t="s">
        <v>2575</v>
      </c>
      <c r="G1051" s="415" t="s">
        <v>3366</v>
      </c>
      <c r="H1051" s="415">
        <v>0</v>
      </c>
      <c r="I1051" s="415" t="s">
        <v>3367</v>
      </c>
      <c r="J1051" s="415">
        <v>8</v>
      </c>
      <c r="K1051" s="415">
        <v>1</v>
      </c>
      <c r="L1051" s="415">
        <v>485</v>
      </c>
      <c r="M1051" s="415">
        <v>170</v>
      </c>
      <c r="N1051" s="415">
        <v>816</v>
      </c>
      <c r="O1051" s="415">
        <v>427</v>
      </c>
      <c r="P1051" s="415">
        <v>816</v>
      </c>
      <c r="Q1051" s="415" t="s">
        <v>2675</v>
      </c>
      <c r="R1051" s="415" t="s">
        <v>3069</v>
      </c>
      <c r="S1051" s="415" t="s">
        <v>3252</v>
      </c>
      <c r="T1051" s="416">
        <v>115</v>
      </c>
      <c r="U1051" s="416">
        <v>115</v>
      </c>
      <c r="V1051" s="416">
        <v>115</v>
      </c>
      <c r="W1051" s="416">
        <v>115</v>
      </c>
      <c r="X1051" s="416">
        <v>115</v>
      </c>
      <c r="Y1051" s="416">
        <v>115</v>
      </c>
      <c r="Z1051" s="416">
        <v>115</v>
      </c>
      <c r="AA1051" s="416">
        <v>112</v>
      </c>
      <c r="AB1051" s="416">
        <v>106</v>
      </c>
      <c r="AC1051" s="416">
        <v>104</v>
      </c>
      <c r="AD1051" s="416">
        <v>102</v>
      </c>
      <c r="AE1051" s="416">
        <v>100</v>
      </c>
      <c r="AF1051" s="416">
        <v>98.5</v>
      </c>
      <c r="AG1051" s="416">
        <v>97.3</v>
      </c>
      <c r="AH1051" s="416">
        <v>96</v>
      </c>
      <c r="AI1051" s="416">
        <v>95.4</v>
      </c>
      <c r="AJ1051" s="416">
        <v>94.2</v>
      </c>
      <c r="AK1051" s="416">
        <v>93.3</v>
      </c>
      <c r="AL1051" s="416">
        <v>84.1</v>
      </c>
      <c r="AM1051" s="416">
        <v>61.6</v>
      </c>
      <c r="AN1051" s="416">
        <v>44.3</v>
      </c>
      <c r="AO1051" s="416">
        <v>33.1</v>
      </c>
      <c r="AP1051" s="416">
        <v>24.5</v>
      </c>
      <c r="AQ1051" s="416">
        <v>18.3</v>
      </c>
      <c r="AR1051" s="416">
        <v>12.6</v>
      </c>
      <c r="AS1051" s="416">
        <v>8.41</v>
      </c>
      <c r="AT1051" s="416">
        <v>6.18</v>
      </c>
      <c r="AU1051" s="416">
        <v>4.37</v>
      </c>
      <c r="AV1051" s="416">
        <v>2.77</v>
      </c>
      <c r="AW1051" s="416">
        <v>1.62</v>
      </c>
      <c r="AX1051" s="416">
        <v>0</v>
      </c>
      <c r="AY1051" s="416">
        <v>0</v>
      </c>
      <c r="AZ1051" s="416">
        <v>0</v>
      </c>
    </row>
    <row r="1052" spans="1:52" s="411" customFormat="1" x14ac:dyDescent="0.3">
      <c r="A1052" s="415" t="str">
        <f t="shared" si="16"/>
        <v>SA-312 Gr.TP321</v>
      </c>
      <c r="B1052" s="415">
        <v>1046</v>
      </c>
      <c r="C1052" s="415" t="s">
        <v>3365</v>
      </c>
      <c r="D1052" s="415" t="s">
        <v>2703</v>
      </c>
      <c r="E1052" s="415" t="s">
        <v>2208</v>
      </c>
      <c r="F1052" s="415" t="s">
        <v>2575</v>
      </c>
      <c r="G1052" s="415" t="s">
        <v>3366</v>
      </c>
      <c r="H1052" s="415">
        <v>0</v>
      </c>
      <c r="I1052" s="415" t="s">
        <v>3367</v>
      </c>
      <c r="J1052" s="415">
        <v>8</v>
      </c>
      <c r="K1052" s="415">
        <v>1</v>
      </c>
      <c r="L1052" s="415">
        <v>485</v>
      </c>
      <c r="M1052" s="415">
        <v>170</v>
      </c>
      <c r="N1052" s="415">
        <v>816</v>
      </c>
      <c r="O1052" s="415" t="s">
        <v>2675</v>
      </c>
      <c r="P1052" s="415">
        <v>816</v>
      </c>
      <c r="Q1052" s="415" t="s">
        <v>2675</v>
      </c>
      <c r="R1052" s="415" t="s">
        <v>3069</v>
      </c>
      <c r="S1052" s="415" t="s">
        <v>3338</v>
      </c>
      <c r="T1052" s="416">
        <v>115</v>
      </c>
      <c r="U1052" s="416">
        <v>115</v>
      </c>
      <c r="V1052" s="416">
        <v>109</v>
      </c>
      <c r="W1052" s="416">
        <v>102</v>
      </c>
      <c r="X1052" s="416">
        <v>98.7</v>
      </c>
      <c r="Y1052" s="416">
        <v>95</v>
      </c>
      <c r="Z1052" s="416">
        <v>88.8</v>
      </c>
      <c r="AA1052" s="416">
        <v>83</v>
      </c>
      <c r="AB1052" s="416">
        <v>79</v>
      </c>
      <c r="AC1052" s="416">
        <v>77.2</v>
      </c>
      <c r="AD1052" s="416">
        <v>75.5</v>
      </c>
      <c r="AE1052" s="416">
        <v>74.3</v>
      </c>
      <c r="AF1052" s="416">
        <v>73</v>
      </c>
      <c r="AG1052" s="416">
        <v>72.5</v>
      </c>
      <c r="AH1052" s="416">
        <v>71.2</v>
      </c>
      <c r="AI1052" s="416">
        <v>70.5</v>
      </c>
      <c r="AJ1052" s="416">
        <v>69.8</v>
      </c>
      <c r="AK1052" s="416">
        <v>69.5</v>
      </c>
      <c r="AL1052" s="416">
        <v>67.7</v>
      </c>
      <c r="AM1052" s="416">
        <v>61.6</v>
      </c>
      <c r="AN1052" s="416">
        <v>44.3</v>
      </c>
      <c r="AO1052" s="416">
        <v>33.1</v>
      </c>
      <c r="AP1052" s="416">
        <v>24.5</v>
      </c>
      <c r="AQ1052" s="416">
        <v>18.3</v>
      </c>
      <c r="AR1052" s="416">
        <v>12.6</v>
      </c>
      <c r="AS1052" s="416">
        <v>8.41</v>
      </c>
      <c r="AT1052" s="416">
        <v>6.18</v>
      </c>
      <c r="AU1052" s="416">
        <v>4.37</v>
      </c>
      <c r="AV1052" s="416">
        <v>2.77</v>
      </c>
      <c r="AW1052" s="416">
        <v>1.62</v>
      </c>
      <c r="AX1052" s="416">
        <v>0</v>
      </c>
      <c r="AY1052" s="416">
        <v>0</v>
      </c>
      <c r="AZ1052" s="416">
        <v>0</v>
      </c>
    </row>
    <row r="1053" spans="1:52" s="411" customFormat="1" x14ac:dyDescent="0.3">
      <c r="A1053" s="415" t="str">
        <f t="shared" si="16"/>
        <v>SA-312 Gr.TP321</v>
      </c>
      <c r="B1053" s="415">
        <v>1047</v>
      </c>
      <c r="C1053" s="415" t="s">
        <v>3365</v>
      </c>
      <c r="D1053" s="415" t="s">
        <v>2680</v>
      </c>
      <c r="E1053" s="415" t="s">
        <v>2208</v>
      </c>
      <c r="F1053" s="415" t="s">
        <v>2575</v>
      </c>
      <c r="G1053" s="415" t="s">
        <v>3366</v>
      </c>
      <c r="H1053" s="415">
        <v>0</v>
      </c>
      <c r="I1053" s="415" t="s">
        <v>3367</v>
      </c>
      <c r="J1053" s="415">
        <v>8</v>
      </c>
      <c r="K1053" s="415">
        <v>1</v>
      </c>
      <c r="L1053" s="415">
        <v>485</v>
      </c>
      <c r="M1053" s="415">
        <v>170</v>
      </c>
      <c r="N1053" s="415">
        <v>816</v>
      </c>
      <c r="O1053" s="415">
        <v>427</v>
      </c>
      <c r="P1053" s="415">
        <v>816</v>
      </c>
      <c r="Q1053" s="415" t="s">
        <v>2675</v>
      </c>
      <c r="R1053" s="415" t="s">
        <v>3069</v>
      </c>
      <c r="S1053" s="415" t="s">
        <v>3257</v>
      </c>
      <c r="T1053" s="416">
        <v>115</v>
      </c>
      <c r="U1053" s="416">
        <v>115</v>
      </c>
      <c r="V1053" s="416">
        <v>115</v>
      </c>
      <c r="W1053" s="416">
        <v>115</v>
      </c>
      <c r="X1053" s="416">
        <v>115</v>
      </c>
      <c r="Y1053" s="416">
        <v>115</v>
      </c>
      <c r="Z1053" s="416">
        <v>115</v>
      </c>
      <c r="AA1053" s="416">
        <v>112</v>
      </c>
      <c r="AB1053" s="416">
        <v>106</v>
      </c>
      <c r="AC1053" s="416">
        <v>104</v>
      </c>
      <c r="AD1053" s="416">
        <v>102</v>
      </c>
      <c r="AE1053" s="416">
        <v>100</v>
      </c>
      <c r="AF1053" s="416">
        <v>98.5</v>
      </c>
      <c r="AG1053" s="416">
        <v>97.3</v>
      </c>
      <c r="AH1053" s="416">
        <v>96</v>
      </c>
      <c r="AI1053" s="416">
        <v>95.4</v>
      </c>
      <c r="AJ1053" s="416">
        <v>94.2</v>
      </c>
      <c r="AK1053" s="416">
        <v>93.3</v>
      </c>
      <c r="AL1053" s="416">
        <v>84.1</v>
      </c>
      <c r="AM1053" s="416">
        <v>61.6</v>
      </c>
      <c r="AN1053" s="416">
        <v>44.3</v>
      </c>
      <c r="AO1053" s="416">
        <v>33.1</v>
      </c>
      <c r="AP1053" s="416">
        <v>24.5</v>
      </c>
      <c r="AQ1053" s="416">
        <v>18.3</v>
      </c>
      <c r="AR1053" s="416">
        <v>12.6</v>
      </c>
      <c r="AS1053" s="416">
        <v>8.41</v>
      </c>
      <c r="AT1053" s="416">
        <v>6.18</v>
      </c>
      <c r="AU1053" s="416">
        <v>4.37</v>
      </c>
      <c r="AV1053" s="416">
        <v>2.77</v>
      </c>
      <c r="AW1053" s="416">
        <v>1.62</v>
      </c>
      <c r="AX1053" s="416">
        <v>0</v>
      </c>
      <c r="AY1053" s="416">
        <v>0</v>
      </c>
      <c r="AZ1053" s="416">
        <v>0</v>
      </c>
    </row>
    <row r="1054" spans="1:52" s="411" customFormat="1" x14ac:dyDescent="0.3">
      <c r="A1054" s="415" t="str">
        <f t="shared" si="16"/>
        <v>SA-312 Gr.TP321</v>
      </c>
      <c r="B1054" s="415">
        <v>1048</v>
      </c>
      <c r="C1054" s="415" t="s">
        <v>3365</v>
      </c>
      <c r="D1054" s="415" t="s">
        <v>2680</v>
      </c>
      <c r="E1054" s="415" t="s">
        <v>2208</v>
      </c>
      <c r="F1054" s="415" t="s">
        <v>2575</v>
      </c>
      <c r="G1054" s="415" t="s">
        <v>3366</v>
      </c>
      <c r="H1054" s="415">
        <v>0</v>
      </c>
      <c r="I1054" s="415" t="s">
        <v>3367</v>
      </c>
      <c r="J1054" s="415">
        <v>8</v>
      </c>
      <c r="K1054" s="415">
        <v>1</v>
      </c>
      <c r="L1054" s="415">
        <v>485</v>
      </c>
      <c r="M1054" s="415">
        <v>170</v>
      </c>
      <c r="N1054" s="415">
        <v>816</v>
      </c>
      <c r="O1054" s="415" t="s">
        <v>2675</v>
      </c>
      <c r="P1054" s="415">
        <v>816</v>
      </c>
      <c r="Q1054" s="415" t="s">
        <v>2675</v>
      </c>
      <c r="R1054" s="415" t="s">
        <v>3069</v>
      </c>
      <c r="S1054" s="415" t="s">
        <v>3344</v>
      </c>
      <c r="T1054" s="416">
        <v>115</v>
      </c>
      <c r="U1054" s="416">
        <v>115</v>
      </c>
      <c r="V1054" s="416">
        <v>109</v>
      </c>
      <c r="W1054" s="416">
        <v>102</v>
      </c>
      <c r="X1054" s="416">
        <v>98.7</v>
      </c>
      <c r="Y1054" s="416">
        <v>95</v>
      </c>
      <c r="Z1054" s="416">
        <v>88.8</v>
      </c>
      <c r="AA1054" s="416">
        <v>83</v>
      </c>
      <c r="AB1054" s="416">
        <v>79</v>
      </c>
      <c r="AC1054" s="416">
        <v>77.2</v>
      </c>
      <c r="AD1054" s="416">
        <v>75.5</v>
      </c>
      <c r="AE1054" s="416">
        <v>74.3</v>
      </c>
      <c r="AF1054" s="416">
        <v>73</v>
      </c>
      <c r="AG1054" s="416">
        <v>72.5</v>
      </c>
      <c r="AH1054" s="416">
        <v>71.2</v>
      </c>
      <c r="AI1054" s="416">
        <v>70.5</v>
      </c>
      <c r="AJ1054" s="416">
        <v>69.8</v>
      </c>
      <c r="AK1054" s="416">
        <v>69.5</v>
      </c>
      <c r="AL1054" s="416">
        <v>67.7</v>
      </c>
      <c r="AM1054" s="416">
        <v>61.6</v>
      </c>
      <c r="AN1054" s="416">
        <v>44.3</v>
      </c>
      <c r="AO1054" s="416">
        <v>33.1</v>
      </c>
      <c r="AP1054" s="416">
        <v>24.5</v>
      </c>
      <c r="AQ1054" s="416">
        <v>18.3</v>
      </c>
      <c r="AR1054" s="416">
        <v>12.6</v>
      </c>
      <c r="AS1054" s="416">
        <v>8.41</v>
      </c>
      <c r="AT1054" s="416">
        <v>6.18</v>
      </c>
      <c r="AU1054" s="416">
        <v>4.37</v>
      </c>
      <c r="AV1054" s="416">
        <v>2.77</v>
      </c>
      <c r="AW1054" s="416">
        <v>1.62</v>
      </c>
      <c r="AX1054" s="416">
        <v>0</v>
      </c>
      <c r="AY1054" s="416">
        <v>0</v>
      </c>
      <c r="AZ1054" s="416">
        <v>0</v>
      </c>
    </row>
    <row r="1055" spans="1:52" s="411" customFormat="1" x14ac:dyDescent="0.3">
      <c r="A1055" s="415" t="str">
        <f t="shared" si="16"/>
        <v>SA-376 Gr.TP321</v>
      </c>
      <c r="B1055" s="415">
        <v>1049</v>
      </c>
      <c r="C1055" s="415" t="s">
        <v>3365</v>
      </c>
      <c r="D1055" s="415" t="s">
        <v>2703</v>
      </c>
      <c r="E1055" s="415" t="s">
        <v>2225</v>
      </c>
      <c r="F1055" s="415" t="s">
        <v>2575</v>
      </c>
      <c r="G1055" s="415" t="s">
        <v>3366</v>
      </c>
      <c r="H1055" s="415">
        <v>0</v>
      </c>
      <c r="I1055" s="415" t="s">
        <v>3367</v>
      </c>
      <c r="J1055" s="415">
        <v>8</v>
      </c>
      <c r="K1055" s="415">
        <v>1</v>
      </c>
      <c r="L1055" s="415">
        <v>485</v>
      </c>
      <c r="M1055" s="415">
        <v>170</v>
      </c>
      <c r="N1055" s="415" t="s">
        <v>2675</v>
      </c>
      <c r="O1055" s="415">
        <v>427</v>
      </c>
      <c r="P1055" s="415">
        <v>816</v>
      </c>
      <c r="Q1055" s="415">
        <v>343</v>
      </c>
      <c r="R1055" s="415" t="s">
        <v>3069</v>
      </c>
      <c r="S1055" s="415" t="s">
        <v>3259</v>
      </c>
      <c r="T1055" s="416">
        <v>115</v>
      </c>
      <c r="U1055" s="416">
        <v>115</v>
      </c>
      <c r="V1055" s="416">
        <v>115</v>
      </c>
      <c r="W1055" s="416">
        <v>115</v>
      </c>
      <c r="X1055" s="416">
        <v>115</v>
      </c>
      <c r="Y1055" s="416">
        <v>115</v>
      </c>
      <c r="Z1055" s="416">
        <v>115</v>
      </c>
      <c r="AA1055" s="416">
        <v>112</v>
      </c>
      <c r="AB1055" s="416">
        <v>106</v>
      </c>
      <c r="AC1055" s="416">
        <v>104</v>
      </c>
      <c r="AD1055" s="416">
        <v>102</v>
      </c>
      <c r="AE1055" s="416">
        <v>100</v>
      </c>
      <c r="AF1055" s="416">
        <v>98.5</v>
      </c>
      <c r="AG1055" s="416">
        <v>97.3</v>
      </c>
      <c r="AH1055" s="416">
        <v>96</v>
      </c>
      <c r="AI1055" s="416">
        <v>95.4</v>
      </c>
      <c r="AJ1055" s="416">
        <v>94.2</v>
      </c>
      <c r="AK1055" s="416">
        <v>93.3</v>
      </c>
      <c r="AL1055" s="416">
        <v>84.1</v>
      </c>
      <c r="AM1055" s="416">
        <v>61.6</v>
      </c>
      <c r="AN1055" s="416">
        <v>44.3</v>
      </c>
      <c r="AO1055" s="416">
        <v>33.1</v>
      </c>
      <c r="AP1055" s="416">
        <v>24.5</v>
      </c>
      <c r="AQ1055" s="416">
        <v>18.3</v>
      </c>
      <c r="AR1055" s="416">
        <v>12.6</v>
      </c>
      <c r="AS1055" s="416">
        <v>8.41</v>
      </c>
      <c r="AT1055" s="416">
        <v>6.18</v>
      </c>
      <c r="AU1055" s="416">
        <v>4.37</v>
      </c>
      <c r="AV1055" s="416">
        <v>2.77</v>
      </c>
      <c r="AW1055" s="416">
        <v>1.62</v>
      </c>
      <c r="AX1055" s="416">
        <v>0</v>
      </c>
      <c r="AY1055" s="416">
        <v>0</v>
      </c>
      <c r="AZ1055" s="416">
        <v>0</v>
      </c>
    </row>
    <row r="1056" spans="1:52" s="411" customFormat="1" x14ac:dyDescent="0.3">
      <c r="A1056" s="415" t="str">
        <f t="shared" si="16"/>
        <v>SA-376 Gr.TP321</v>
      </c>
      <c r="B1056" s="415">
        <v>1050</v>
      </c>
      <c r="C1056" s="415" t="s">
        <v>3365</v>
      </c>
      <c r="D1056" s="415" t="s">
        <v>2703</v>
      </c>
      <c r="E1056" s="415" t="s">
        <v>2225</v>
      </c>
      <c r="F1056" s="415" t="s">
        <v>2575</v>
      </c>
      <c r="G1056" s="415" t="s">
        <v>3366</v>
      </c>
      <c r="H1056" s="415">
        <v>0</v>
      </c>
      <c r="I1056" s="415" t="s">
        <v>3367</v>
      </c>
      <c r="J1056" s="415">
        <v>8</v>
      </c>
      <c r="K1056" s="415">
        <v>1</v>
      </c>
      <c r="L1056" s="415">
        <v>485</v>
      </c>
      <c r="M1056" s="415">
        <v>170</v>
      </c>
      <c r="N1056" s="415" t="s">
        <v>2675</v>
      </c>
      <c r="O1056" s="415" t="s">
        <v>2675</v>
      </c>
      <c r="P1056" s="415">
        <v>816</v>
      </c>
      <c r="Q1056" s="415">
        <v>343</v>
      </c>
      <c r="R1056" s="415" t="s">
        <v>3069</v>
      </c>
      <c r="S1056" s="415" t="s">
        <v>3332</v>
      </c>
      <c r="T1056" s="416">
        <v>115</v>
      </c>
      <c r="U1056" s="416">
        <v>115</v>
      </c>
      <c r="V1056" s="416">
        <v>109</v>
      </c>
      <c r="W1056" s="416">
        <v>102</v>
      </c>
      <c r="X1056" s="416">
        <v>98.7</v>
      </c>
      <c r="Y1056" s="416">
        <v>95</v>
      </c>
      <c r="Z1056" s="416">
        <v>88.8</v>
      </c>
      <c r="AA1056" s="416">
        <v>83</v>
      </c>
      <c r="AB1056" s="416">
        <v>79</v>
      </c>
      <c r="AC1056" s="416">
        <v>77.2</v>
      </c>
      <c r="AD1056" s="416">
        <v>75.5</v>
      </c>
      <c r="AE1056" s="416">
        <v>74.3</v>
      </c>
      <c r="AF1056" s="416">
        <v>73</v>
      </c>
      <c r="AG1056" s="416">
        <v>72.5</v>
      </c>
      <c r="AH1056" s="416">
        <v>71.2</v>
      </c>
      <c r="AI1056" s="416">
        <v>70.5</v>
      </c>
      <c r="AJ1056" s="416">
        <v>69.8</v>
      </c>
      <c r="AK1056" s="416">
        <v>69.5</v>
      </c>
      <c r="AL1056" s="416">
        <v>67.7</v>
      </c>
      <c r="AM1056" s="416">
        <v>61.6</v>
      </c>
      <c r="AN1056" s="416">
        <v>44.3</v>
      </c>
      <c r="AO1056" s="416">
        <v>33.1</v>
      </c>
      <c r="AP1056" s="416">
        <v>24.5</v>
      </c>
      <c r="AQ1056" s="416">
        <v>18.3</v>
      </c>
      <c r="AR1056" s="416">
        <v>12.6</v>
      </c>
      <c r="AS1056" s="416">
        <v>8.41</v>
      </c>
      <c r="AT1056" s="416">
        <v>6.18</v>
      </c>
      <c r="AU1056" s="416">
        <v>4.37</v>
      </c>
      <c r="AV1056" s="416">
        <v>2.77</v>
      </c>
      <c r="AW1056" s="416">
        <v>1.62</v>
      </c>
      <c r="AX1056" s="416">
        <v>0</v>
      </c>
      <c r="AY1056" s="416">
        <v>0</v>
      </c>
      <c r="AZ1056" s="416">
        <v>0</v>
      </c>
    </row>
    <row r="1057" spans="1:52" s="411" customFormat="1" x14ac:dyDescent="0.3">
      <c r="A1057" s="415" t="str">
        <f t="shared" si="16"/>
        <v>SA-312 Gr.TP321H</v>
      </c>
      <c r="B1057" s="415">
        <v>1051</v>
      </c>
      <c r="C1057" s="415" t="s">
        <v>3365</v>
      </c>
      <c r="D1057" s="415" t="s">
        <v>2703</v>
      </c>
      <c r="E1057" s="415" t="s">
        <v>2208</v>
      </c>
      <c r="F1057" s="415" t="s">
        <v>2576</v>
      </c>
      <c r="G1057" s="415" t="s">
        <v>3368</v>
      </c>
      <c r="H1057" s="415">
        <v>0</v>
      </c>
      <c r="I1057" s="415" t="s">
        <v>3369</v>
      </c>
      <c r="J1057" s="415">
        <v>8</v>
      </c>
      <c r="K1057" s="415">
        <v>1</v>
      </c>
      <c r="L1057" s="415">
        <v>485</v>
      </c>
      <c r="M1057" s="415">
        <v>170</v>
      </c>
      <c r="N1057" s="415">
        <v>816</v>
      </c>
      <c r="O1057" s="415">
        <v>427</v>
      </c>
      <c r="P1057" s="415">
        <v>816</v>
      </c>
      <c r="Q1057" s="415" t="s">
        <v>2675</v>
      </c>
      <c r="R1057" s="415" t="s">
        <v>3069</v>
      </c>
      <c r="S1057" s="415" t="s">
        <v>3240</v>
      </c>
      <c r="T1057" s="416">
        <v>115</v>
      </c>
      <c r="U1057" s="416">
        <v>115</v>
      </c>
      <c r="V1057" s="416">
        <v>115</v>
      </c>
      <c r="W1057" s="416">
        <v>115</v>
      </c>
      <c r="X1057" s="416">
        <v>115</v>
      </c>
      <c r="Y1057" s="416">
        <v>115</v>
      </c>
      <c r="Z1057" s="416">
        <v>115</v>
      </c>
      <c r="AA1057" s="416">
        <v>112</v>
      </c>
      <c r="AB1057" s="416">
        <v>106</v>
      </c>
      <c r="AC1057" s="416">
        <v>104</v>
      </c>
      <c r="AD1057" s="416">
        <v>102</v>
      </c>
      <c r="AE1057" s="416">
        <v>100</v>
      </c>
      <c r="AF1057" s="416">
        <v>98.5</v>
      </c>
      <c r="AG1057" s="416">
        <v>97.3</v>
      </c>
      <c r="AH1057" s="416">
        <v>96</v>
      </c>
      <c r="AI1057" s="416">
        <v>95.4</v>
      </c>
      <c r="AJ1057" s="416">
        <v>94.2</v>
      </c>
      <c r="AK1057" s="416">
        <v>93.6</v>
      </c>
      <c r="AL1057" s="416">
        <v>91.2</v>
      </c>
      <c r="AM1057" s="416">
        <v>78</v>
      </c>
      <c r="AN1057" s="416">
        <v>59.5</v>
      </c>
      <c r="AO1057" s="416">
        <v>46</v>
      </c>
      <c r="AP1057" s="416">
        <v>36.9</v>
      </c>
      <c r="AQ1057" s="416">
        <v>28.7</v>
      </c>
      <c r="AR1057" s="416">
        <v>22.9</v>
      </c>
      <c r="AS1057" s="416">
        <v>18.399999999999999</v>
      </c>
      <c r="AT1057" s="416">
        <v>14.4</v>
      </c>
      <c r="AU1057" s="416">
        <v>11.5</v>
      </c>
      <c r="AV1057" s="416">
        <v>9.16</v>
      </c>
      <c r="AW1057" s="416">
        <v>6.64</v>
      </c>
      <c r="AX1057" s="416">
        <v>0</v>
      </c>
      <c r="AY1057" s="416">
        <v>0</v>
      </c>
      <c r="AZ1057" s="416">
        <v>0</v>
      </c>
    </row>
    <row r="1058" spans="1:52" s="411" customFormat="1" x14ac:dyDescent="0.3">
      <c r="A1058" s="415" t="str">
        <f t="shared" si="16"/>
        <v>SA-312 Gr.TP321H</v>
      </c>
      <c r="B1058" s="415">
        <v>1052</v>
      </c>
      <c r="C1058" s="415" t="s">
        <v>3365</v>
      </c>
      <c r="D1058" s="415" t="s">
        <v>2703</v>
      </c>
      <c r="E1058" s="415" t="s">
        <v>2208</v>
      </c>
      <c r="F1058" s="415" t="s">
        <v>2576</v>
      </c>
      <c r="G1058" s="415" t="s">
        <v>3368</v>
      </c>
      <c r="H1058" s="415">
        <v>0</v>
      </c>
      <c r="I1058" s="415" t="s">
        <v>3369</v>
      </c>
      <c r="J1058" s="415">
        <v>8</v>
      </c>
      <c r="K1058" s="415">
        <v>1</v>
      </c>
      <c r="L1058" s="415">
        <v>485</v>
      </c>
      <c r="M1058" s="415">
        <v>170</v>
      </c>
      <c r="N1058" s="415">
        <v>816</v>
      </c>
      <c r="O1058" s="415" t="s">
        <v>2675</v>
      </c>
      <c r="P1058" s="415">
        <v>816</v>
      </c>
      <c r="Q1058" s="415" t="s">
        <v>2675</v>
      </c>
      <c r="R1058" s="415" t="s">
        <v>3069</v>
      </c>
      <c r="S1058" s="415" t="s">
        <v>3293</v>
      </c>
      <c r="T1058" s="416">
        <v>115</v>
      </c>
      <c r="U1058" s="416">
        <v>115</v>
      </c>
      <c r="V1058" s="416">
        <v>108</v>
      </c>
      <c r="W1058" s="416">
        <v>102</v>
      </c>
      <c r="X1058" s="416">
        <v>98.7</v>
      </c>
      <c r="Y1058" s="416">
        <v>95</v>
      </c>
      <c r="Z1058" s="416">
        <v>88.8</v>
      </c>
      <c r="AA1058" s="416">
        <v>83</v>
      </c>
      <c r="AB1058" s="416">
        <v>79</v>
      </c>
      <c r="AC1058" s="416">
        <v>77.2</v>
      </c>
      <c r="AD1058" s="416">
        <v>75.5</v>
      </c>
      <c r="AE1058" s="416">
        <v>74.3</v>
      </c>
      <c r="AF1058" s="416">
        <v>73</v>
      </c>
      <c r="AG1058" s="416">
        <v>72.5</v>
      </c>
      <c r="AH1058" s="416">
        <v>71.2</v>
      </c>
      <c r="AI1058" s="416">
        <v>70.5</v>
      </c>
      <c r="AJ1058" s="416">
        <v>69.900000000000006</v>
      </c>
      <c r="AK1058" s="416">
        <v>69.2</v>
      </c>
      <c r="AL1058" s="416">
        <v>68.8</v>
      </c>
      <c r="AM1058" s="416">
        <v>67.400000000000006</v>
      </c>
      <c r="AN1058" s="416">
        <v>59.5</v>
      </c>
      <c r="AO1058" s="416">
        <v>46</v>
      </c>
      <c r="AP1058" s="416">
        <v>36.9</v>
      </c>
      <c r="AQ1058" s="416">
        <v>28.7</v>
      </c>
      <c r="AR1058" s="416">
        <v>22.9</v>
      </c>
      <c r="AS1058" s="416">
        <v>18.399999999999999</v>
      </c>
      <c r="AT1058" s="416">
        <v>14.4</v>
      </c>
      <c r="AU1058" s="416">
        <v>11.5</v>
      </c>
      <c r="AV1058" s="416">
        <v>9.16</v>
      </c>
      <c r="AW1058" s="416">
        <v>6.64</v>
      </c>
      <c r="AX1058" s="416">
        <v>0</v>
      </c>
      <c r="AY1058" s="416">
        <v>0</v>
      </c>
      <c r="AZ1058" s="416">
        <v>0</v>
      </c>
    </row>
    <row r="1059" spans="1:52" x14ac:dyDescent="0.25">
      <c r="A1059" s="415" t="str">
        <f t="shared" si="16"/>
        <v>SA-312 Gr.TP321H</v>
      </c>
      <c r="B1059" s="415">
        <v>1053</v>
      </c>
      <c r="C1059" s="415" t="s">
        <v>3365</v>
      </c>
      <c r="D1059" s="415" t="s">
        <v>2680</v>
      </c>
      <c r="E1059" s="415" t="s">
        <v>2208</v>
      </c>
      <c r="F1059" s="415" t="s">
        <v>2576</v>
      </c>
      <c r="G1059" s="415" t="s">
        <v>3368</v>
      </c>
      <c r="H1059" s="415">
        <v>0</v>
      </c>
      <c r="I1059" s="415" t="s">
        <v>3369</v>
      </c>
      <c r="J1059" s="415">
        <v>8</v>
      </c>
      <c r="K1059" s="415">
        <v>1</v>
      </c>
      <c r="L1059" s="415">
        <v>485</v>
      </c>
      <c r="M1059" s="415">
        <v>170</v>
      </c>
      <c r="N1059" s="415">
        <v>816</v>
      </c>
      <c r="O1059" s="415">
        <v>427</v>
      </c>
      <c r="P1059" s="415">
        <v>816</v>
      </c>
      <c r="Q1059" s="415" t="s">
        <v>2675</v>
      </c>
      <c r="R1059" s="415" t="s">
        <v>3069</v>
      </c>
      <c r="S1059" s="415" t="s">
        <v>3370</v>
      </c>
      <c r="T1059" s="416">
        <v>115</v>
      </c>
      <c r="U1059" s="416">
        <v>115</v>
      </c>
      <c r="V1059" s="416">
        <v>115</v>
      </c>
      <c r="W1059" s="416">
        <v>115</v>
      </c>
      <c r="X1059" s="416">
        <v>115</v>
      </c>
      <c r="Y1059" s="416">
        <v>115</v>
      </c>
      <c r="Z1059" s="416">
        <v>115</v>
      </c>
      <c r="AA1059" s="416">
        <v>112</v>
      </c>
      <c r="AB1059" s="416">
        <v>106</v>
      </c>
      <c r="AC1059" s="416">
        <v>104</v>
      </c>
      <c r="AD1059" s="416">
        <v>102</v>
      </c>
      <c r="AE1059" s="416">
        <v>100</v>
      </c>
      <c r="AF1059" s="416">
        <v>98.5</v>
      </c>
      <c r="AG1059" s="416">
        <v>97.3</v>
      </c>
      <c r="AH1059" s="416">
        <v>96</v>
      </c>
      <c r="AI1059" s="416">
        <v>95.4</v>
      </c>
      <c r="AJ1059" s="416">
        <v>94.2</v>
      </c>
      <c r="AK1059" s="416">
        <v>93.6</v>
      </c>
      <c r="AL1059" s="416">
        <v>91.2</v>
      </c>
      <c r="AM1059" s="416">
        <v>78</v>
      </c>
      <c r="AN1059" s="416">
        <v>59.5</v>
      </c>
      <c r="AO1059" s="416">
        <v>46</v>
      </c>
      <c r="AP1059" s="416">
        <v>36.9</v>
      </c>
      <c r="AQ1059" s="416">
        <v>28.7</v>
      </c>
      <c r="AR1059" s="416">
        <v>22.9</v>
      </c>
      <c r="AS1059" s="416">
        <v>18.399999999999999</v>
      </c>
      <c r="AT1059" s="416">
        <v>14.4</v>
      </c>
      <c r="AU1059" s="416">
        <v>11.5</v>
      </c>
      <c r="AV1059" s="416">
        <v>9.16</v>
      </c>
      <c r="AW1059" s="416">
        <v>6.64</v>
      </c>
      <c r="AX1059" s="416">
        <v>0</v>
      </c>
      <c r="AY1059" s="416">
        <v>0</v>
      </c>
      <c r="AZ1059" s="416">
        <v>0</v>
      </c>
    </row>
    <row r="1060" spans="1:52" x14ac:dyDescent="0.25">
      <c r="A1060" s="415" t="str">
        <f t="shared" si="16"/>
        <v>SA-312 Gr.TP321H</v>
      </c>
      <c r="B1060" s="415">
        <v>1054</v>
      </c>
      <c r="C1060" s="415" t="s">
        <v>3365</v>
      </c>
      <c r="D1060" s="415" t="s">
        <v>2680</v>
      </c>
      <c r="E1060" s="415" t="s">
        <v>2208</v>
      </c>
      <c r="F1060" s="415" t="s">
        <v>2576</v>
      </c>
      <c r="G1060" s="415" t="s">
        <v>3368</v>
      </c>
      <c r="H1060" s="415">
        <v>0</v>
      </c>
      <c r="I1060" s="415" t="s">
        <v>3369</v>
      </c>
      <c r="J1060" s="415">
        <v>8</v>
      </c>
      <c r="K1060" s="415">
        <v>1</v>
      </c>
      <c r="L1060" s="415">
        <v>485</v>
      </c>
      <c r="M1060" s="415">
        <v>170</v>
      </c>
      <c r="N1060" s="415">
        <v>816</v>
      </c>
      <c r="O1060" s="415" t="s">
        <v>2675</v>
      </c>
      <c r="P1060" s="415">
        <v>816</v>
      </c>
      <c r="Q1060" s="415" t="s">
        <v>2675</v>
      </c>
      <c r="R1060" s="415" t="s">
        <v>3069</v>
      </c>
      <c r="S1060" s="415" t="s">
        <v>3306</v>
      </c>
      <c r="T1060" s="416">
        <v>115</v>
      </c>
      <c r="U1060" s="416">
        <v>115</v>
      </c>
      <c r="V1060" s="416">
        <v>108</v>
      </c>
      <c r="W1060" s="416">
        <v>102</v>
      </c>
      <c r="X1060" s="416">
        <v>98.7</v>
      </c>
      <c r="Y1060" s="416">
        <v>95</v>
      </c>
      <c r="Z1060" s="416">
        <v>88.8</v>
      </c>
      <c r="AA1060" s="416">
        <v>83</v>
      </c>
      <c r="AB1060" s="416">
        <v>79</v>
      </c>
      <c r="AC1060" s="416">
        <v>77.2</v>
      </c>
      <c r="AD1060" s="416">
        <v>75.5</v>
      </c>
      <c r="AE1060" s="416">
        <v>74.3</v>
      </c>
      <c r="AF1060" s="416">
        <v>73</v>
      </c>
      <c r="AG1060" s="416">
        <v>72.5</v>
      </c>
      <c r="AH1060" s="416">
        <v>71.2</v>
      </c>
      <c r="AI1060" s="416">
        <v>70.5</v>
      </c>
      <c r="AJ1060" s="416">
        <v>69.900000000000006</v>
      </c>
      <c r="AK1060" s="416">
        <v>69.2</v>
      </c>
      <c r="AL1060" s="416">
        <v>68.8</v>
      </c>
      <c r="AM1060" s="416">
        <v>67.400000000000006</v>
      </c>
      <c r="AN1060" s="416">
        <v>59.5</v>
      </c>
      <c r="AO1060" s="416">
        <v>46</v>
      </c>
      <c r="AP1060" s="416">
        <v>36.9</v>
      </c>
      <c r="AQ1060" s="416">
        <v>28.7</v>
      </c>
      <c r="AR1060" s="416">
        <v>22.9</v>
      </c>
      <c r="AS1060" s="416">
        <v>18.399999999999999</v>
      </c>
      <c r="AT1060" s="416">
        <v>14.4</v>
      </c>
      <c r="AU1060" s="416">
        <v>11.5</v>
      </c>
      <c r="AV1060" s="416">
        <v>9.16</v>
      </c>
      <c r="AW1060" s="416">
        <v>6.64</v>
      </c>
      <c r="AX1060" s="416">
        <v>0</v>
      </c>
      <c r="AY1060" s="416">
        <v>0</v>
      </c>
      <c r="AZ1060" s="416">
        <v>0</v>
      </c>
    </row>
    <row r="1061" spans="1:52" x14ac:dyDescent="0.25">
      <c r="A1061" s="415" t="str">
        <f t="shared" si="16"/>
        <v>SA-376 Gr.TP321H</v>
      </c>
      <c r="B1061" s="415">
        <v>1055</v>
      </c>
      <c r="C1061" s="415" t="s">
        <v>3365</v>
      </c>
      <c r="D1061" s="415" t="s">
        <v>2703</v>
      </c>
      <c r="E1061" s="415" t="s">
        <v>2225</v>
      </c>
      <c r="F1061" s="415" t="s">
        <v>2576</v>
      </c>
      <c r="G1061" s="415" t="s">
        <v>3368</v>
      </c>
      <c r="H1061" s="415">
        <v>0</v>
      </c>
      <c r="I1061" s="415" t="s">
        <v>3367</v>
      </c>
      <c r="J1061" s="415">
        <v>8</v>
      </c>
      <c r="K1061" s="415">
        <v>1</v>
      </c>
      <c r="L1061" s="415">
        <v>485</v>
      </c>
      <c r="M1061" s="415">
        <v>170</v>
      </c>
      <c r="N1061" s="415" t="s">
        <v>2675</v>
      </c>
      <c r="O1061" s="415">
        <v>427</v>
      </c>
      <c r="P1061" s="415">
        <v>816</v>
      </c>
      <c r="Q1061" s="415" t="s">
        <v>2675</v>
      </c>
      <c r="R1061" s="415" t="s">
        <v>3069</v>
      </c>
      <c r="S1061" s="415" t="s">
        <v>3334</v>
      </c>
      <c r="T1061" s="416">
        <v>115</v>
      </c>
      <c r="U1061" s="416">
        <v>115</v>
      </c>
      <c r="V1061" s="416">
        <v>115</v>
      </c>
      <c r="W1061" s="416">
        <v>115</v>
      </c>
      <c r="X1061" s="416">
        <v>115</v>
      </c>
      <c r="Y1061" s="416">
        <v>115</v>
      </c>
      <c r="Z1061" s="416">
        <v>115</v>
      </c>
      <c r="AA1061" s="416">
        <v>112</v>
      </c>
      <c r="AB1061" s="416">
        <v>106</v>
      </c>
      <c r="AC1061" s="416">
        <v>104</v>
      </c>
      <c r="AD1061" s="416">
        <v>102</v>
      </c>
      <c r="AE1061" s="416">
        <v>100</v>
      </c>
      <c r="AF1061" s="416">
        <v>98.5</v>
      </c>
      <c r="AG1061" s="416">
        <v>97.3</v>
      </c>
      <c r="AH1061" s="416">
        <v>96</v>
      </c>
      <c r="AI1061" s="416">
        <v>95.4</v>
      </c>
      <c r="AJ1061" s="416">
        <v>94.2</v>
      </c>
      <c r="AK1061" s="416">
        <v>93.6</v>
      </c>
      <c r="AL1061" s="416">
        <v>91.2</v>
      </c>
      <c r="AM1061" s="416">
        <v>78</v>
      </c>
      <c r="AN1061" s="416">
        <v>59.5</v>
      </c>
      <c r="AO1061" s="416">
        <v>46</v>
      </c>
      <c r="AP1061" s="416">
        <v>36.9</v>
      </c>
      <c r="AQ1061" s="416">
        <v>28.7</v>
      </c>
      <c r="AR1061" s="416">
        <v>22.9</v>
      </c>
      <c r="AS1061" s="416">
        <v>18.399999999999999</v>
      </c>
      <c r="AT1061" s="416">
        <v>14.4</v>
      </c>
      <c r="AU1061" s="416">
        <v>11.5</v>
      </c>
      <c r="AV1061" s="416">
        <v>9.16</v>
      </c>
      <c r="AW1061" s="416">
        <v>6.64</v>
      </c>
      <c r="AX1061" s="416">
        <v>0</v>
      </c>
      <c r="AY1061" s="416">
        <v>0</v>
      </c>
      <c r="AZ1061" s="416">
        <v>0</v>
      </c>
    </row>
    <row r="1062" spans="1:52" x14ac:dyDescent="0.25">
      <c r="A1062" s="415" t="str">
        <f t="shared" si="16"/>
        <v>SA-182 Gr.F321</v>
      </c>
      <c r="B1062" s="415">
        <v>1056</v>
      </c>
      <c r="C1062" s="415" t="s">
        <v>3365</v>
      </c>
      <c r="D1062" s="415" t="s">
        <v>2737</v>
      </c>
      <c r="E1062" s="415" t="s">
        <v>2188</v>
      </c>
      <c r="F1062" s="415" t="s">
        <v>2445</v>
      </c>
      <c r="G1062" s="415" t="s">
        <v>3366</v>
      </c>
      <c r="H1062" s="415">
        <v>0</v>
      </c>
      <c r="I1062" s="415" t="s">
        <v>3202</v>
      </c>
      <c r="J1062" s="415">
        <v>8</v>
      </c>
      <c r="K1062" s="415">
        <v>1</v>
      </c>
      <c r="L1062" s="415">
        <v>485</v>
      </c>
      <c r="M1062" s="415">
        <v>205</v>
      </c>
      <c r="N1062" s="415">
        <v>816</v>
      </c>
      <c r="O1062" s="415">
        <v>427</v>
      </c>
      <c r="P1062" s="415">
        <v>816</v>
      </c>
      <c r="Q1062" s="415" t="s">
        <v>2675</v>
      </c>
      <c r="R1062" s="415" t="s">
        <v>3069</v>
      </c>
      <c r="S1062" s="415" t="s">
        <v>3337</v>
      </c>
      <c r="T1062" s="416">
        <v>138</v>
      </c>
      <c r="U1062" s="416">
        <v>138</v>
      </c>
      <c r="V1062" s="416">
        <v>135</v>
      </c>
      <c r="W1062" s="416">
        <v>130</v>
      </c>
      <c r="X1062" s="416">
        <v>126</v>
      </c>
      <c r="Y1062" s="416">
        <v>123</v>
      </c>
      <c r="Z1062" s="416">
        <v>121</v>
      </c>
      <c r="AA1062" s="416">
        <v>121</v>
      </c>
      <c r="AB1062" s="416">
        <v>121</v>
      </c>
      <c r="AC1062" s="416">
        <v>121</v>
      </c>
      <c r="AD1062" s="416">
        <v>121</v>
      </c>
      <c r="AE1062" s="416">
        <v>121</v>
      </c>
      <c r="AF1062" s="416">
        <v>119</v>
      </c>
      <c r="AG1062" s="416">
        <v>117</v>
      </c>
      <c r="AH1062" s="416">
        <v>115</v>
      </c>
      <c r="AI1062" s="416">
        <v>114</v>
      </c>
      <c r="AJ1062" s="416">
        <v>113</v>
      </c>
      <c r="AK1062" s="416">
        <v>111</v>
      </c>
      <c r="AL1062" s="416">
        <v>87.4</v>
      </c>
      <c r="AM1062" s="416">
        <v>57.5</v>
      </c>
      <c r="AN1062" s="416">
        <v>44.4</v>
      </c>
      <c r="AO1062" s="416">
        <v>32.9</v>
      </c>
      <c r="AP1062" s="416">
        <v>24.5</v>
      </c>
      <c r="AQ1062" s="416">
        <v>18.3</v>
      </c>
      <c r="AR1062" s="416">
        <v>12.6</v>
      </c>
      <c r="AS1062" s="416">
        <v>8.41</v>
      </c>
      <c r="AT1062" s="416">
        <v>6.18</v>
      </c>
      <c r="AU1062" s="416">
        <v>4.37</v>
      </c>
      <c r="AV1062" s="416">
        <v>2.77</v>
      </c>
      <c r="AW1062" s="416">
        <v>1.62</v>
      </c>
      <c r="AX1062" s="416">
        <v>0</v>
      </c>
      <c r="AY1062" s="416">
        <v>0</v>
      </c>
      <c r="AZ1062" s="416">
        <v>0</v>
      </c>
    </row>
    <row r="1063" spans="1:52" x14ac:dyDescent="0.25">
      <c r="A1063" s="415" t="str">
        <f t="shared" si="16"/>
        <v>SA-182 Gr.F321</v>
      </c>
      <c r="B1063" s="415">
        <v>1057</v>
      </c>
      <c r="C1063" s="415" t="s">
        <v>3365</v>
      </c>
      <c r="D1063" s="415" t="s">
        <v>2737</v>
      </c>
      <c r="E1063" s="415" t="s">
        <v>2188</v>
      </c>
      <c r="F1063" s="415" t="s">
        <v>2445</v>
      </c>
      <c r="G1063" s="415" t="s">
        <v>3366</v>
      </c>
      <c r="H1063" s="415">
        <v>0</v>
      </c>
      <c r="I1063" s="415" t="s">
        <v>3202</v>
      </c>
      <c r="J1063" s="415">
        <v>8</v>
      </c>
      <c r="K1063" s="415">
        <v>1</v>
      </c>
      <c r="L1063" s="415">
        <v>485</v>
      </c>
      <c r="M1063" s="415">
        <v>205</v>
      </c>
      <c r="N1063" s="415">
        <v>816</v>
      </c>
      <c r="O1063" s="415" t="s">
        <v>2675</v>
      </c>
      <c r="P1063" s="415">
        <v>816</v>
      </c>
      <c r="Q1063" s="415" t="s">
        <v>2675</v>
      </c>
      <c r="R1063" s="415" t="s">
        <v>3069</v>
      </c>
      <c r="S1063" s="415" t="s">
        <v>3338</v>
      </c>
      <c r="T1063" s="416">
        <v>138</v>
      </c>
      <c r="U1063" s="416">
        <v>138</v>
      </c>
      <c r="V1063" s="416">
        <v>130</v>
      </c>
      <c r="W1063" s="416">
        <v>123</v>
      </c>
      <c r="X1063" s="416">
        <v>118</v>
      </c>
      <c r="Y1063" s="416">
        <v>114</v>
      </c>
      <c r="Z1063" s="416">
        <v>106</v>
      </c>
      <c r="AA1063" s="416">
        <v>99.7</v>
      </c>
      <c r="AB1063" s="416">
        <v>94.5</v>
      </c>
      <c r="AC1063" s="416">
        <v>92.3</v>
      </c>
      <c r="AD1063" s="416">
        <v>90.7</v>
      </c>
      <c r="AE1063" s="416">
        <v>89.4</v>
      </c>
      <c r="AF1063" s="416">
        <v>87.5</v>
      </c>
      <c r="AG1063" s="416">
        <v>86.9</v>
      </c>
      <c r="AH1063" s="416">
        <v>85.7</v>
      </c>
      <c r="AI1063" s="416">
        <v>85</v>
      </c>
      <c r="AJ1063" s="416">
        <v>83.9</v>
      </c>
      <c r="AK1063" s="416">
        <v>83</v>
      </c>
      <c r="AL1063" s="416">
        <v>77.599999999999994</v>
      </c>
      <c r="AM1063" s="416">
        <v>59.2</v>
      </c>
      <c r="AN1063" s="416">
        <v>44.8</v>
      </c>
      <c r="AO1063" s="416">
        <v>32.9</v>
      </c>
      <c r="AP1063" s="416">
        <v>24.5</v>
      </c>
      <c r="AQ1063" s="416">
        <v>18.3</v>
      </c>
      <c r="AR1063" s="416">
        <v>12.6</v>
      </c>
      <c r="AS1063" s="416">
        <v>8.41</v>
      </c>
      <c r="AT1063" s="416">
        <v>6.18</v>
      </c>
      <c r="AU1063" s="416">
        <v>4.37</v>
      </c>
      <c r="AV1063" s="416">
        <v>2.77</v>
      </c>
      <c r="AW1063" s="416">
        <v>1.62</v>
      </c>
      <c r="AX1063" s="416">
        <v>0</v>
      </c>
      <c r="AY1063" s="416">
        <v>0</v>
      </c>
      <c r="AZ1063" s="416">
        <v>0</v>
      </c>
    </row>
    <row r="1064" spans="1:52" x14ac:dyDescent="0.25">
      <c r="A1064" s="415" t="str">
        <f t="shared" si="16"/>
        <v>SA-965 Gr.F321</v>
      </c>
      <c r="B1064" s="415">
        <v>1058</v>
      </c>
      <c r="C1064" s="415" t="s">
        <v>3365</v>
      </c>
      <c r="D1064" s="415" t="s">
        <v>2737</v>
      </c>
      <c r="E1064" s="415" t="s">
        <v>2337</v>
      </c>
      <c r="F1064" s="415" t="s">
        <v>2445</v>
      </c>
      <c r="G1064" s="415" t="s">
        <v>3366</v>
      </c>
      <c r="H1064" s="415">
        <v>0</v>
      </c>
      <c r="I1064" s="415">
        <v>0</v>
      </c>
      <c r="J1064" s="415">
        <v>8</v>
      </c>
      <c r="K1064" s="415">
        <v>1</v>
      </c>
      <c r="L1064" s="415">
        <v>485</v>
      </c>
      <c r="M1064" s="415">
        <v>205</v>
      </c>
      <c r="N1064" s="415">
        <v>816</v>
      </c>
      <c r="O1064" s="415">
        <v>427</v>
      </c>
      <c r="P1064" s="415">
        <v>816</v>
      </c>
      <c r="Q1064" s="415">
        <v>343</v>
      </c>
      <c r="R1064" s="415" t="s">
        <v>3069</v>
      </c>
      <c r="S1064" s="415" t="s">
        <v>3336</v>
      </c>
      <c r="T1064" s="416">
        <v>138</v>
      </c>
      <c r="U1064" s="416">
        <v>138</v>
      </c>
      <c r="V1064" s="416">
        <v>135</v>
      </c>
      <c r="W1064" s="416">
        <v>130</v>
      </c>
      <c r="X1064" s="416">
        <v>126</v>
      </c>
      <c r="Y1064" s="416">
        <v>123</v>
      </c>
      <c r="Z1064" s="416">
        <v>121</v>
      </c>
      <c r="AA1064" s="416">
        <v>121</v>
      </c>
      <c r="AB1064" s="416">
        <v>121</v>
      </c>
      <c r="AC1064" s="416">
        <v>121</v>
      </c>
      <c r="AD1064" s="416">
        <v>121</v>
      </c>
      <c r="AE1064" s="416">
        <v>121</v>
      </c>
      <c r="AF1064" s="416">
        <v>119</v>
      </c>
      <c r="AG1064" s="416">
        <v>117</v>
      </c>
      <c r="AH1064" s="416">
        <v>115</v>
      </c>
      <c r="AI1064" s="416">
        <v>114</v>
      </c>
      <c r="AJ1064" s="416">
        <v>113</v>
      </c>
      <c r="AK1064" s="416">
        <v>111</v>
      </c>
      <c r="AL1064" s="416">
        <v>87.4</v>
      </c>
      <c r="AM1064" s="416">
        <v>57.5</v>
      </c>
      <c r="AN1064" s="416">
        <v>44.4</v>
      </c>
      <c r="AO1064" s="416">
        <v>32.9</v>
      </c>
      <c r="AP1064" s="416">
        <v>24.5</v>
      </c>
      <c r="AQ1064" s="416">
        <v>18.3</v>
      </c>
      <c r="AR1064" s="416">
        <v>12.6</v>
      </c>
      <c r="AS1064" s="416">
        <v>8.41</v>
      </c>
      <c r="AT1064" s="416">
        <v>6.18</v>
      </c>
      <c r="AU1064" s="416">
        <v>4.37</v>
      </c>
      <c r="AV1064" s="416">
        <v>2.77</v>
      </c>
      <c r="AW1064" s="416">
        <v>1.62</v>
      </c>
      <c r="AX1064" s="416">
        <v>0</v>
      </c>
      <c r="AY1064" s="416">
        <v>0</v>
      </c>
      <c r="AZ1064" s="416">
        <v>0</v>
      </c>
    </row>
    <row r="1065" spans="1:52" x14ac:dyDescent="0.25">
      <c r="A1065" s="415" t="str">
        <f t="shared" si="16"/>
        <v>SA-965 Gr.F321</v>
      </c>
      <c r="B1065" s="415">
        <v>1059</v>
      </c>
      <c r="C1065" s="415" t="s">
        <v>3365</v>
      </c>
      <c r="D1065" s="415" t="s">
        <v>2737</v>
      </c>
      <c r="E1065" s="415" t="s">
        <v>2337</v>
      </c>
      <c r="F1065" s="415" t="s">
        <v>2445</v>
      </c>
      <c r="G1065" s="415" t="s">
        <v>3366</v>
      </c>
      <c r="H1065" s="415">
        <v>0</v>
      </c>
      <c r="I1065" s="415">
        <v>0</v>
      </c>
      <c r="J1065" s="415">
        <v>8</v>
      </c>
      <c r="K1065" s="415">
        <v>1</v>
      </c>
      <c r="L1065" s="415">
        <v>485</v>
      </c>
      <c r="M1065" s="415">
        <v>205</v>
      </c>
      <c r="N1065" s="415">
        <v>816</v>
      </c>
      <c r="O1065" s="415" t="s">
        <v>2675</v>
      </c>
      <c r="P1065" s="415">
        <v>816</v>
      </c>
      <c r="Q1065" s="415">
        <v>343</v>
      </c>
      <c r="R1065" s="415" t="s">
        <v>3069</v>
      </c>
      <c r="S1065" s="415" t="s">
        <v>3332</v>
      </c>
      <c r="T1065" s="416">
        <v>138</v>
      </c>
      <c r="U1065" s="416">
        <v>138</v>
      </c>
      <c r="V1065" s="416">
        <v>130</v>
      </c>
      <c r="W1065" s="416">
        <v>123</v>
      </c>
      <c r="X1065" s="416">
        <v>118</v>
      </c>
      <c r="Y1065" s="416">
        <v>114</v>
      </c>
      <c r="Z1065" s="416">
        <v>106</v>
      </c>
      <c r="AA1065" s="416">
        <v>99.7</v>
      </c>
      <c r="AB1065" s="416">
        <v>94.5</v>
      </c>
      <c r="AC1065" s="416">
        <v>92.3</v>
      </c>
      <c r="AD1065" s="416">
        <v>90.7</v>
      </c>
      <c r="AE1065" s="416">
        <v>89.4</v>
      </c>
      <c r="AF1065" s="416">
        <v>87.5</v>
      </c>
      <c r="AG1065" s="416">
        <v>86.9</v>
      </c>
      <c r="AH1065" s="416">
        <v>85.7</v>
      </c>
      <c r="AI1065" s="416">
        <v>85</v>
      </c>
      <c r="AJ1065" s="416">
        <v>83.9</v>
      </c>
      <c r="AK1065" s="416">
        <v>83</v>
      </c>
      <c r="AL1065" s="416">
        <v>77.599999999999994</v>
      </c>
      <c r="AM1065" s="416">
        <v>59.2</v>
      </c>
      <c r="AN1065" s="416">
        <v>44.8</v>
      </c>
      <c r="AO1065" s="416">
        <v>32.9</v>
      </c>
      <c r="AP1065" s="416">
        <v>24.5</v>
      </c>
      <c r="AQ1065" s="416">
        <v>18.3</v>
      </c>
      <c r="AR1065" s="416">
        <v>12.6</v>
      </c>
      <c r="AS1065" s="416">
        <v>8.41</v>
      </c>
      <c r="AT1065" s="416">
        <v>6.18</v>
      </c>
      <c r="AU1065" s="416">
        <v>4.37</v>
      </c>
      <c r="AV1065" s="416">
        <v>2.77</v>
      </c>
      <c r="AW1065" s="416">
        <v>1.62</v>
      </c>
      <c r="AX1065" s="416">
        <v>0</v>
      </c>
      <c r="AY1065" s="416">
        <v>0</v>
      </c>
      <c r="AZ1065" s="416">
        <v>0</v>
      </c>
    </row>
    <row r="1066" spans="1:52" x14ac:dyDescent="0.25">
      <c r="A1066" s="415" t="str">
        <f t="shared" si="16"/>
        <v>SA-182 Gr.F321H</v>
      </c>
      <c r="B1066" s="415">
        <v>1060</v>
      </c>
      <c r="C1066" s="415" t="s">
        <v>3365</v>
      </c>
      <c r="D1066" s="415" t="s">
        <v>2737</v>
      </c>
      <c r="E1066" s="415" t="s">
        <v>2188</v>
      </c>
      <c r="F1066" s="415" t="s">
        <v>2446</v>
      </c>
      <c r="G1066" s="415" t="s">
        <v>3368</v>
      </c>
      <c r="H1066" s="415">
        <v>0</v>
      </c>
      <c r="I1066" s="415" t="s">
        <v>3202</v>
      </c>
      <c r="J1066" s="415">
        <v>8</v>
      </c>
      <c r="K1066" s="415">
        <v>1</v>
      </c>
      <c r="L1066" s="415">
        <v>485</v>
      </c>
      <c r="M1066" s="415">
        <v>205</v>
      </c>
      <c r="N1066" s="415">
        <v>816</v>
      </c>
      <c r="O1066" s="415">
        <v>427</v>
      </c>
      <c r="P1066" s="415">
        <v>816</v>
      </c>
      <c r="Q1066" s="415" t="s">
        <v>2675</v>
      </c>
      <c r="R1066" s="415" t="s">
        <v>3069</v>
      </c>
      <c r="S1066" s="415" t="s">
        <v>3334</v>
      </c>
      <c r="T1066" s="416">
        <v>138</v>
      </c>
      <c r="U1066" s="416">
        <v>138</v>
      </c>
      <c r="V1066" s="416">
        <v>135</v>
      </c>
      <c r="W1066" s="416">
        <v>130</v>
      </c>
      <c r="X1066" s="416">
        <v>126</v>
      </c>
      <c r="Y1066" s="416">
        <v>123</v>
      </c>
      <c r="Z1066" s="416">
        <v>121</v>
      </c>
      <c r="AA1066" s="416">
        <v>121</v>
      </c>
      <c r="AB1066" s="416">
        <v>121</v>
      </c>
      <c r="AC1066" s="416">
        <v>121</v>
      </c>
      <c r="AD1066" s="416">
        <v>121</v>
      </c>
      <c r="AE1066" s="416">
        <v>121</v>
      </c>
      <c r="AF1066" s="416">
        <v>119</v>
      </c>
      <c r="AG1066" s="416">
        <v>117</v>
      </c>
      <c r="AH1066" s="416">
        <v>115</v>
      </c>
      <c r="AI1066" s="416">
        <v>114</v>
      </c>
      <c r="AJ1066" s="416">
        <v>113</v>
      </c>
      <c r="AK1066" s="416">
        <v>112</v>
      </c>
      <c r="AL1066" s="416">
        <v>103</v>
      </c>
      <c r="AM1066" s="416">
        <v>77.7</v>
      </c>
      <c r="AN1066" s="416">
        <v>58.7</v>
      </c>
      <c r="AO1066" s="416">
        <v>46</v>
      </c>
      <c r="AP1066" s="416">
        <v>36.9</v>
      </c>
      <c r="AQ1066" s="416">
        <v>28.7</v>
      </c>
      <c r="AR1066" s="416">
        <v>22.9</v>
      </c>
      <c r="AS1066" s="416">
        <v>18.399999999999999</v>
      </c>
      <c r="AT1066" s="416">
        <v>14.4</v>
      </c>
      <c r="AU1066" s="416">
        <v>11.5</v>
      </c>
      <c r="AV1066" s="416">
        <v>9.16</v>
      </c>
      <c r="AW1066" s="416">
        <v>6.64</v>
      </c>
      <c r="AX1066" s="416">
        <v>0</v>
      </c>
      <c r="AY1066" s="416">
        <v>0</v>
      </c>
      <c r="AZ1066" s="416">
        <v>0</v>
      </c>
    </row>
    <row r="1067" spans="1:52" x14ac:dyDescent="0.25">
      <c r="A1067" s="415" t="str">
        <f t="shared" si="16"/>
        <v>SA-182 Gr.F321H</v>
      </c>
      <c r="B1067" s="415">
        <v>1061</v>
      </c>
      <c r="C1067" s="415" t="s">
        <v>3365</v>
      </c>
      <c r="D1067" s="415" t="s">
        <v>2737</v>
      </c>
      <c r="E1067" s="415" t="s">
        <v>2188</v>
      </c>
      <c r="F1067" s="415" t="s">
        <v>2446</v>
      </c>
      <c r="G1067" s="415" t="s">
        <v>3368</v>
      </c>
      <c r="H1067" s="415">
        <v>0</v>
      </c>
      <c r="I1067" s="415" t="s">
        <v>3202</v>
      </c>
      <c r="J1067" s="415">
        <v>8</v>
      </c>
      <c r="K1067" s="415">
        <v>1</v>
      </c>
      <c r="L1067" s="415">
        <v>485</v>
      </c>
      <c r="M1067" s="415">
        <v>205</v>
      </c>
      <c r="N1067" s="415">
        <v>816</v>
      </c>
      <c r="O1067" s="415" t="s">
        <v>2675</v>
      </c>
      <c r="P1067" s="415">
        <v>816</v>
      </c>
      <c r="Q1067" s="415" t="s">
        <v>2675</v>
      </c>
      <c r="R1067" s="415" t="s">
        <v>3069</v>
      </c>
      <c r="S1067" s="415" t="s">
        <v>3371</v>
      </c>
      <c r="T1067" s="416">
        <v>138</v>
      </c>
      <c r="U1067" s="416">
        <v>138</v>
      </c>
      <c r="V1067" s="416">
        <v>131</v>
      </c>
      <c r="W1067" s="416">
        <v>123</v>
      </c>
      <c r="X1067" s="416">
        <v>118</v>
      </c>
      <c r="Y1067" s="416">
        <v>114</v>
      </c>
      <c r="Z1067" s="416">
        <v>106</v>
      </c>
      <c r="AA1067" s="416">
        <v>99.7</v>
      </c>
      <c r="AB1067" s="416">
        <v>94.5</v>
      </c>
      <c r="AC1067" s="416">
        <v>92.3</v>
      </c>
      <c r="AD1067" s="416">
        <v>90.7</v>
      </c>
      <c r="AE1067" s="416">
        <v>89.4</v>
      </c>
      <c r="AF1067" s="416">
        <v>87.5</v>
      </c>
      <c r="AG1067" s="416">
        <v>86.9</v>
      </c>
      <c r="AH1067" s="416">
        <v>85.7</v>
      </c>
      <c r="AI1067" s="416">
        <v>85</v>
      </c>
      <c r="AJ1067" s="416">
        <v>83.9</v>
      </c>
      <c r="AK1067" s="416">
        <v>83</v>
      </c>
      <c r="AL1067" s="416">
        <v>82.4</v>
      </c>
      <c r="AM1067" s="416">
        <v>77.7</v>
      </c>
      <c r="AN1067" s="416">
        <v>58.7</v>
      </c>
      <c r="AO1067" s="416">
        <v>46</v>
      </c>
      <c r="AP1067" s="416">
        <v>36.9</v>
      </c>
      <c r="AQ1067" s="416">
        <v>28.7</v>
      </c>
      <c r="AR1067" s="416">
        <v>22.9</v>
      </c>
      <c r="AS1067" s="416">
        <v>18.399999999999999</v>
      </c>
      <c r="AT1067" s="416">
        <v>14.4</v>
      </c>
      <c r="AU1067" s="416">
        <v>11.5</v>
      </c>
      <c r="AV1067" s="416">
        <v>9.16</v>
      </c>
      <c r="AW1067" s="416">
        <v>6.64</v>
      </c>
      <c r="AX1067" s="416">
        <v>0</v>
      </c>
      <c r="AY1067" s="416">
        <v>0</v>
      </c>
      <c r="AZ1067" s="416">
        <v>0</v>
      </c>
    </row>
    <row r="1068" spans="1:52" x14ac:dyDescent="0.25">
      <c r="A1068" s="415" t="str">
        <f t="shared" si="16"/>
        <v>SA-965 Gr.F321H</v>
      </c>
      <c r="B1068" s="415">
        <v>1062</v>
      </c>
      <c r="C1068" s="415" t="s">
        <v>3365</v>
      </c>
      <c r="D1068" s="415" t="s">
        <v>2737</v>
      </c>
      <c r="E1068" s="415" t="s">
        <v>2337</v>
      </c>
      <c r="F1068" s="415" t="s">
        <v>2446</v>
      </c>
      <c r="G1068" s="415" t="s">
        <v>3368</v>
      </c>
      <c r="H1068" s="415">
        <v>0</v>
      </c>
      <c r="I1068" s="415">
        <v>0</v>
      </c>
      <c r="J1068" s="415">
        <v>8</v>
      </c>
      <c r="K1068" s="415">
        <v>1</v>
      </c>
      <c r="L1068" s="415">
        <v>485</v>
      </c>
      <c r="M1068" s="415">
        <v>205</v>
      </c>
      <c r="N1068" s="415" t="s">
        <v>2675</v>
      </c>
      <c r="O1068" s="415">
        <v>427</v>
      </c>
      <c r="P1068" s="415">
        <v>816</v>
      </c>
      <c r="Q1068" s="415" t="s">
        <v>2675</v>
      </c>
      <c r="R1068" s="415" t="s">
        <v>3069</v>
      </c>
      <c r="S1068" s="415" t="s">
        <v>3334</v>
      </c>
      <c r="T1068" s="416">
        <v>138</v>
      </c>
      <c r="U1068" s="416">
        <v>138</v>
      </c>
      <c r="V1068" s="416">
        <v>135</v>
      </c>
      <c r="W1068" s="416">
        <v>130</v>
      </c>
      <c r="X1068" s="416">
        <v>126</v>
      </c>
      <c r="Y1068" s="416">
        <v>123</v>
      </c>
      <c r="Z1068" s="416">
        <v>121</v>
      </c>
      <c r="AA1068" s="416">
        <v>121</v>
      </c>
      <c r="AB1068" s="416">
        <v>121</v>
      </c>
      <c r="AC1068" s="416">
        <v>121</v>
      </c>
      <c r="AD1068" s="416">
        <v>121</v>
      </c>
      <c r="AE1068" s="416">
        <v>121</v>
      </c>
      <c r="AF1068" s="416">
        <v>119</v>
      </c>
      <c r="AG1068" s="416">
        <v>117</v>
      </c>
      <c r="AH1068" s="416">
        <v>115</v>
      </c>
      <c r="AI1068" s="416">
        <v>114</v>
      </c>
      <c r="AJ1068" s="416">
        <v>113</v>
      </c>
      <c r="AK1068" s="416">
        <v>112</v>
      </c>
      <c r="AL1068" s="416">
        <v>103</v>
      </c>
      <c r="AM1068" s="416">
        <v>77.7</v>
      </c>
      <c r="AN1068" s="416">
        <v>58.7</v>
      </c>
      <c r="AO1068" s="416">
        <v>46</v>
      </c>
      <c r="AP1068" s="416">
        <v>36.9</v>
      </c>
      <c r="AQ1068" s="416">
        <v>28.7</v>
      </c>
      <c r="AR1068" s="416">
        <v>22.9</v>
      </c>
      <c r="AS1068" s="416">
        <v>18.399999999999999</v>
      </c>
      <c r="AT1068" s="416">
        <v>14.4</v>
      </c>
      <c r="AU1068" s="416">
        <v>11.5</v>
      </c>
      <c r="AV1068" s="416">
        <v>9.16</v>
      </c>
      <c r="AW1068" s="416">
        <v>6.64</v>
      </c>
      <c r="AX1068" s="416">
        <v>0</v>
      </c>
      <c r="AY1068" s="416">
        <v>0</v>
      </c>
      <c r="AZ1068" s="416">
        <v>0</v>
      </c>
    </row>
    <row r="1069" spans="1:52" x14ac:dyDescent="0.25">
      <c r="A1069" s="415" t="str">
        <f t="shared" si="16"/>
        <v>SA-965 Gr.F321H</v>
      </c>
      <c r="B1069" s="415">
        <v>1063</v>
      </c>
      <c r="C1069" s="415" t="s">
        <v>3365</v>
      </c>
      <c r="D1069" s="415" t="s">
        <v>2737</v>
      </c>
      <c r="E1069" s="415" t="s">
        <v>2337</v>
      </c>
      <c r="F1069" s="415" t="s">
        <v>2446</v>
      </c>
      <c r="G1069" s="415" t="s">
        <v>3368</v>
      </c>
      <c r="H1069" s="415">
        <v>0</v>
      </c>
      <c r="I1069" s="415">
        <v>0</v>
      </c>
      <c r="J1069" s="415">
        <v>8</v>
      </c>
      <c r="K1069" s="415">
        <v>1</v>
      </c>
      <c r="L1069" s="415">
        <v>485</v>
      </c>
      <c r="M1069" s="415">
        <v>205</v>
      </c>
      <c r="N1069" s="415" t="s">
        <v>2675</v>
      </c>
      <c r="O1069" s="415" t="s">
        <v>2675</v>
      </c>
      <c r="P1069" s="415">
        <v>816</v>
      </c>
      <c r="Q1069" s="415" t="s">
        <v>2675</v>
      </c>
      <c r="R1069" s="415" t="s">
        <v>3069</v>
      </c>
      <c r="S1069" s="415" t="s">
        <v>3371</v>
      </c>
      <c r="T1069" s="416">
        <v>138</v>
      </c>
      <c r="U1069" s="416">
        <v>138</v>
      </c>
      <c r="V1069" s="416">
        <v>131</v>
      </c>
      <c r="W1069" s="416">
        <v>123</v>
      </c>
      <c r="X1069" s="416">
        <v>118</v>
      </c>
      <c r="Y1069" s="416">
        <v>114</v>
      </c>
      <c r="Z1069" s="416">
        <v>106</v>
      </c>
      <c r="AA1069" s="416">
        <v>99.7</v>
      </c>
      <c r="AB1069" s="416">
        <v>94.5</v>
      </c>
      <c r="AC1069" s="416">
        <v>92.3</v>
      </c>
      <c r="AD1069" s="416">
        <v>90.7</v>
      </c>
      <c r="AE1069" s="416">
        <v>89.4</v>
      </c>
      <c r="AF1069" s="416">
        <v>87.5</v>
      </c>
      <c r="AG1069" s="416">
        <v>86.9</v>
      </c>
      <c r="AH1069" s="416">
        <v>85.7</v>
      </c>
      <c r="AI1069" s="416">
        <v>85</v>
      </c>
      <c r="AJ1069" s="416">
        <v>83.9</v>
      </c>
      <c r="AK1069" s="416">
        <v>83</v>
      </c>
      <c r="AL1069" s="416">
        <v>82.4</v>
      </c>
      <c r="AM1069" s="416">
        <v>77.7</v>
      </c>
      <c r="AN1069" s="416">
        <v>58.7</v>
      </c>
      <c r="AO1069" s="416">
        <v>46</v>
      </c>
      <c r="AP1069" s="416">
        <v>36.9</v>
      </c>
      <c r="AQ1069" s="416">
        <v>28.7</v>
      </c>
      <c r="AR1069" s="416">
        <v>22.9</v>
      </c>
      <c r="AS1069" s="416">
        <v>18.399999999999999</v>
      </c>
      <c r="AT1069" s="416">
        <v>14.4</v>
      </c>
      <c r="AU1069" s="416">
        <v>11.5</v>
      </c>
      <c r="AV1069" s="416">
        <v>9.16</v>
      </c>
      <c r="AW1069" s="416">
        <v>6.64</v>
      </c>
      <c r="AX1069" s="416">
        <v>0</v>
      </c>
      <c r="AY1069" s="416">
        <v>0</v>
      </c>
      <c r="AZ1069" s="416">
        <v>0</v>
      </c>
    </row>
    <row r="1070" spans="1:52" x14ac:dyDescent="0.25">
      <c r="A1070" s="415" t="str">
        <f t="shared" si="16"/>
        <v>SA-182 Gr.F321</v>
      </c>
      <c r="B1070" s="415">
        <v>1064</v>
      </c>
      <c r="C1070" s="415" t="s">
        <v>3365</v>
      </c>
      <c r="D1070" s="415" t="s">
        <v>2737</v>
      </c>
      <c r="E1070" s="415" t="s">
        <v>2188</v>
      </c>
      <c r="F1070" s="415" t="s">
        <v>2445</v>
      </c>
      <c r="G1070" s="415" t="s">
        <v>3366</v>
      </c>
      <c r="H1070" s="415">
        <v>0</v>
      </c>
      <c r="I1070" s="415" t="s">
        <v>3207</v>
      </c>
      <c r="J1070" s="415">
        <v>8</v>
      </c>
      <c r="K1070" s="415">
        <v>1</v>
      </c>
      <c r="L1070" s="415">
        <v>515</v>
      </c>
      <c r="M1070" s="415">
        <v>205</v>
      </c>
      <c r="N1070" s="415">
        <v>816</v>
      </c>
      <c r="O1070" s="415" t="s">
        <v>2675</v>
      </c>
      <c r="P1070" s="415" t="s">
        <v>2675</v>
      </c>
      <c r="Q1070" s="415" t="s">
        <v>2675</v>
      </c>
      <c r="R1070" s="415" t="s">
        <v>3069</v>
      </c>
      <c r="S1070" s="415" t="s">
        <v>3252</v>
      </c>
      <c r="T1070" s="416">
        <v>138</v>
      </c>
      <c r="U1070" s="416">
        <v>138</v>
      </c>
      <c r="V1070" s="416">
        <v>138</v>
      </c>
      <c r="W1070" s="416">
        <v>138</v>
      </c>
      <c r="X1070" s="416">
        <v>135</v>
      </c>
      <c r="Y1070" s="416">
        <v>132</v>
      </c>
      <c r="Z1070" s="416">
        <v>129</v>
      </c>
      <c r="AA1070" s="416">
        <v>129</v>
      </c>
      <c r="AB1070" s="416">
        <v>127</v>
      </c>
      <c r="AC1070" s="416">
        <v>125</v>
      </c>
      <c r="AD1070" s="416">
        <v>123</v>
      </c>
      <c r="AE1070" s="416">
        <v>120</v>
      </c>
      <c r="AF1070" s="416">
        <v>119</v>
      </c>
      <c r="AG1070" s="416">
        <v>117</v>
      </c>
      <c r="AH1070" s="416">
        <v>115</v>
      </c>
      <c r="AI1070" s="416">
        <v>114</v>
      </c>
      <c r="AJ1070" s="416">
        <v>113</v>
      </c>
      <c r="AK1070" s="416">
        <v>112</v>
      </c>
      <c r="AL1070" s="416">
        <v>94.6</v>
      </c>
      <c r="AM1070" s="416">
        <v>59.2</v>
      </c>
      <c r="AN1070" s="416">
        <v>44.8</v>
      </c>
      <c r="AO1070" s="416">
        <v>32.9</v>
      </c>
      <c r="AP1070" s="416">
        <v>24.5</v>
      </c>
      <c r="AQ1070" s="416">
        <v>18.3</v>
      </c>
      <c r="AR1070" s="416">
        <v>12.6</v>
      </c>
      <c r="AS1070" s="416">
        <v>8.41</v>
      </c>
      <c r="AT1070" s="416">
        <v>6.18</v>
      </c>
      <c r="AU1070" s="416">
        <v>4.37</v>
      </c>
      <c r="AV1070" s="416">
        <v>2.77</v>
      </c>
      <c r="AW1070" s="416">
        <v>1.62</v>
      </c>
      <c r="AX1070" s="416">
        <v>0</v>
      </c>
      <c r="AY1070" s="416">
        <v>0</v>
      </c>
      <c r="AZ1070" s="416">
        <v>0</v>
      </c>
    </row>
    <row r="1071" spans="1:52" x14ac:dyDescent="0.25">
      <c r="A1071" s="415" t="str">
        <f t="shared" si="16"/>
        <v>SA-182 Gr.F321</v>
      </c>
      <c r="B1071" s="415">
        <v>1065</v>
      </c>
      <c r="C1071" s="415" t="s">
        <v>3365</v>
      </c>
      <c r="D1071" s="415" t="s">
        <v>2737</v>
      </c>
      <c r="E1071" s="415" t="s">
        <v>2188</v>
      </c>
      <c r="F1071" s="415" t="s">
        <v>2445</v>
      </c>
      <c r="G1071" s="415" t="s">
        <v>3366</v>
      </c>
      <c r="H1071" s="415">
        <v>0</v>
      </c>
      <c r="I1071" s="415" t="s">
        <v>3207</v>
      </c>
      <c r="J1071" s="415">
        <v>8</v>
      </c>
      <c r="K1071" s="415">
        <v>1</v>
      </c>
      <c r="L1071" s="415">
        <v>515</v>
      </c>
      <c r="M1071" s="415">
        <v>205</v>
      </c>
      <c r="N1071" s="415">
        <v>816</v>
      </c>
      <c r="O1071" s="415" t="s">
        <v>2675</v>
      </c>
      <c r="P1071" s="415">
        <v>816</v>
      </c>
      <c r="Q1071" s="415">
        <v>343</v>
      </c>
      <c r="R1071" s="415" t="s">
        <v>3069</v>
      </c>
      <c r="S1071" s="415" t="s">
        <v>3338</v>
      </c>
      <c r="T1071" s="416">
        <v>138</v>
      </c>
      <c r="U1071" s="416">
        <v>138</v>
      </c>
      <c r="V1071" s="416">
        <v>130</v>
      </c>
      <c r="W1071" s="416">
        <v>123</v>
      </c>
      <c r="X1071" s="416">
        <v>118</v>
      </c>
      <c r="Y1071" s="416">
        <v>114</v>
      </c>
      <c r="Z1071" s="416">
        <v>106</v>
      </c>
      <c r="AA1071" s="416">
        <v>99.7</v>
      </c>
      <c r="AB1071" s="416">
        <v>94.5</v>
      </c>
      <c r="AC1071" s="416">
        <v>92.3</v>
      </c>
      <c r="AD1071" s="416">
        <v>90.7</v>
      </c>
      <c r="AE1071" s="416">
        <v>89.4</v>
      </c>
      <c r="AF1071" s="416">
        <v>87.5</v>
      </c>
      <c r="AG1071" s="416">
        <v>86.9</v>
      </c>
      <c r="AH1071" s="416">
        <v>85.7</v>
      </c>
      <c r="AI1071" s="416">
        <v>85</v>
      </c>
      <c r="AJ1071" s="416">
        <v>83.9</v>
      </c>
      <c r="AK1071" s="416">
        <v>83</v>
      </c>
      <c r="AL1071" s="416">
        <v>77.599999999999994</v>
      </c>
      <c r="AM1071" s="416">
        <v>59.2</v>
      </c>
      <c r="AN1071" s="416">
        <v>44.8</v>
      </c>
      <c r="AO1071" s="416">
        <v>32.9</v>
      </c>
      <c r="AP1071" s="416">
        <v>24.5</v>
      </c>
      <c r="AQ1071" s="416">
        <v>18.3</v>
      </c>
      <c r="AR1071" s="416">
        <v>12.6</v>
      </c>
      <c r="AS1071" s="416">
        <v>8.41</v>
      </c>
      <c r="AT1071" s="416">
        <v>6.18</v>
      </c>
      <c r="AU1071" s="416">
        <v>4.37</v>
      </c>
      <c r="AV1071" s="416">
        <v>2.77</v>
      </c>
      <c r="AW1071" s="416">
        <v>1.62</v>
      </c>
      <c r="AX1071" s="416">
        <v>0</v>
      </c>
      <c r="AY1071" s="416">
        <v>0</v>
      </c>
      <c r="AZ1071" s="416">
        <v>0</v>
      </c>
    </row>
    <row r="1072" spans="1:52" x14ac:dyDescent="0.25">
      <c r="A1072" s="415" t="str">
        <f t="shared" si="16"/>
        <v>SA-182 Gr.F321</v>
      </c>
      <c r="B1072" s="415">
        <v>1066</v>
      </c>
      <c r="C1072" s="415" t="s">
        <v>3365</v>
      </c>
      <c r="D1072" s="415" t="s">
        <v>2737</v>
      </c>
      <c r="E1072" s="415" t="s">
        <v>2188</v>
      </c>
      <c r="F1072" s="415" t="s">
        <v>2445</v>
      </c>
      <c r="G1072" s="415" t="s">
        <v>3366</v>
      </c>
      <c r="H1072" s="415">
        <v>0</v>
      </c>
      <c r="I1072" s="415" t="s">
        <v>3207</v>
      </c>
      <c r="J1072" s="415">
        <v>8</v>
      </c>
      <c r="K1072" s="415">
        <v>1</v>
      </c>
      <c r="L1072" s="415">
        <v>515</v>
      </c>
      <c r="M1072" s="415">
        <v>205</v>
      </c>
      <c r="N1072" s="415" t="s">
        <v>2675</v>
      </c>
      <c r="O1072" s="415">
        <v>427</v>
      </c>
      <c r="P1072" s="415">
        <v>816</v>
      </c>
      <c r="Q1072" s="415">
        <v>343</v>
      </c>
      <c r="R1072" s="415" t="s">
        <v>3069</v>
      </c>
      <c r="S1072" s="415" t="s">
        <v>3337</v>
      </c>
      <c r="T1072" s="416">
        <v>138</v>
      </c>
      <c r="U1072" s="416">
        <v>138</v>
      </c>
      <c r="V1072" s="416">
        <v>138</v>
      </c>
      <c r="W1072" s="416">
        <v>138</v>
      </c>
      <c r="X1072" s="416">
        <v>135</v>
      </c>
      <c r="Y1072" s="416">
        <v>132</v>
      </c>
      <c r="Z1072" s="416">
        <v>129</v>
      </c>
      <c r="AA1072" s="416">
        <v>129</v>
      </c>
      <c r="AB1072" s="416">
        <v>127</v>
      </c>
      <c r="AC1072" s="416">
        <v>125</v>
      </c>
      <c r="AD1072" s="416">
        <v>123</v>
      </c>
      <c r="AE1072" s="416">
        <v>121</v>
      </c>
      <c r="AF1072" s="416">
        <v>119</v>
      </c>
      <c r="AG1072" s="416">
        <v>117</v>
      </c>
      <c r="AH1072" s="416">
        <v>115</v>
      </c>
      <c r="AI1072" s="416">
        <v>114</v>
      </c>
      <c r="AJ1072" s="416">
        <v>113</v>
      </c>
      <c r="AK1072" s="416">
        <v>111</v>
      </c>
      <c r="AL1072" s="416">
        <v>87.4</v>
      </c>
      <c r="AM1072" s="416">
        <v>57.5</v>
      </c>
      <c r="AN1072" s="416">
        <v>44.4</v>
      </c>
      <c r="AO1072" s="416">
        <v>32.9</v>
      </c>
      <c r="AP1072" s="416">
        <v>24.5</v>
      </c>
      <c r="AQ1072" s="416">
        <v>18.3</v>
      </c>
      <c r="AR1072" s="416">
        <v>12.6</v>
      </c>
      <c r="AS1072" s="416">
        <v>8.41</v>
      </c>
      <c r="AT1072" s="416">
        <v>6.18</v>
      </c>
      <c r="AU1072" s="416">
        <v>4.37</v>
      </c>
      <c r="AV1072" s="416">
        <v>2.77</v>
      </c>
      <c r="AW1072" s="416">
        <v>1.62</v>
      </c>
      <c r="AX1072" s="416">
        <v>0</v>
      </c>
      <c r="AY1072" s="416">
        <v>0</v>
      </c>
      <c r="AZ1072" s="416">
        <v>0</v>
      </c>
    </row>
    <row r="1073" spans="1:52" x14ac:dyDescent="0.25">
      <c r="A1073" s="415" t="str">
        <f t="shared" si="16"/>
        <v>SA-213 Gr.TP321</v>
      </c>
      <c r="B1073" s="415">
        <v>1067</v>
      </c>
      <c r="C1073" s="415" t="s">
        <v>3365</v>
      </c>
      <c r="D1073" s="415" t="s">
        <v>2693</v>
      </c>
      <c r="E1073" s="415" t="s">
        <v>2195</v>
      </c>
      <c r="F1073" s="415" t="s">
        <v>2575</v>
      </c>
      <c r="G1073" s="415" t="s">
        <v>3366</v>
      </c>
      <c r="H1073" s="415">
        <v>0</v>
      </c>
      <c r="I1073" s="415">
        <v>0</v>
      </c>
      <c r="J1073" s="415">
        <v>8</v>
      </c>
      <c r="K1073" s="415">
        <v>1</v>
      </c>
      <c r="L1073" s="415">
        <v>515</v>
      </c>
      <c r="M1073" s="415">
        <v>205</v>
      </c>
      <c r="N1073" s="415">
        <v>816</v>
      </c>
      <c r="O1073" s="415" t="s">
        <v>2675</v>
      </c>
      <c r="P1073" s="415" t="s">
        <v>2675</v>
      </c>
      <c r="Q1073" s="415" t="s">
        <v>2675</v>
      </c>
      <c r="R1073" s="415" t="s">
        <v>3069</v>
      </c>
      <c r="S1073" s="415" t="s">
        <v>3252</v>
      </c>
      <c r="T1073" s="416">
        <v>138</v>
      </c>
      <c r="U1073" s="416">
        <v>138</v>
      </c>
      <c r="V1073" s="416">
        <v>138</v>
      </c>
      <c r="W1073" s="416">
        <v>138</v>
      </c>
      <c r="X1073" s="416">
        <v>135</v>
      </c>
      <c r="Y1073" s="416">
        <v>132</v>
      </c>
      <c r="Z1073" s="416">
        <v>129</v>
      </c>
      <c r="AA1073" s="416">
        <v>129</v>
      </c>
      <c r="AB1073" s="416">
        <v>127</v>
      </c>
      <c r="AC1073" s="416">
        <v>125</v>
      </c>
      <c r="AD1073" s="416">
        <v>123</v>
      </c>
      <c r="AE1073" s="416">
        <v>120</v>
      </c>
      <c r="AF1073" s="416">
        <v>119</v>
      </c>
      <c r="AG1073" s="416">
        <v>117</v>
      </c>
      <c r="AH1073" s="416">
        <v>115</v>
      </c>
      <c r="AI1073" s="416">
        <v>114</v>
      </c>
      <c r="AJ1073" s="416">
        <v>113</v>
      </c>
      <c r="AK1073" s="416">
        <v>112</v>
      </c>
      <c r="AL1073" s="416">
        <v>94.6</v>
      </c>
      <c r="AM1073" s="416">
        <v>59.2</v>
      </c>
      <c r="AN1073" s="416">
        <v>44.8</v>
      </c>
      <c r="AO1073" s="416">
        <v>32.9</v>
      </c>
      <c r="AP1073" s="416">
        <v>24.5</v>
      </c>
      <c r="AQ1073" s="416">
        <v>18.3</v>
      </c>
      <c r="AR1073" s="416">
        <v>12.6</v>
      </c>
      <c r="AS1073" s="416">
        <v>8.41</v>
      </c>
      <c r="AT1073" s="416">
        <v>6.18</v>
      </c>
      <c r="AU1073" s="416">
        <v>4.37</v>
      </c>
      <c r="AV1073" s="416">
        <v>2.77</v>
      </c>
      <c r="AW1073" s="416">
        <v>1.62</v>
      </c>
      <c r="AX1073" s="416">
        <v>0</v>
      </c>
      <c r="AY1073" s="416">
        <v>0</v>
      </c>
      <c r="AZ1073" s="416">
        <v>0</v>
      </c>
    </row>
    <row r="1074" spans="1:52" x14ac:dyDescent="0.25">
      <c r="A1074" s="415" t="str">
        <f t="shared" si="16"/>
        <v>SA-213 Gr.TP321</v>
      </c>
      <c r="B1074" s="415">
        <v>1068</v>
      </c>
      <c r="C1074" s="415" t="s">
        <v>3365</v>
      </c>
      <c r="D1074" s="415" t="s">
        <v>2693</v>
      </c>
      <c r="E1074" s="415" t="s">
        <v>2195</v>
      </c>
      <c r="F1074" s="415" t="s">
        <v>2575</v>
      </c>
      <c r="G1074" s="415" t="s">
        <v>3366</v>
      </c>
      <c r="H1074" s="415">
        <v>0</v>
      </c>
      <c r="I1074" s="415">
        <v>0</v>
      </c>
      <c r="J1074" s="415">
        <v>8</v>
      </c>
      <c r="K1074" s="415">
        <v>1</v>
      </c>
      <c r="L1074" s="415">
        <v>515</v>
      </c>
      <c r="M1074" s="415">
        <v>205</v>
      </c>
      <c r="N1074" s="415">
        <v>816</v>
      </c>
      <c r="O1074" s="415" t="s">
        <v>2675</v>
      </c>
      <c r="P1074" s="415">
        <v>816</v>
      </c>
      <c r="Q1074" s="415" t="s">
        <v>2675</v>
      </c>
      <c r="R1074" s="415" t="s">
        <v>3069</v>
      </c>
      <c r="S1074" s="415" t="s">
        <v>3338</v>
      </c>
      <c r="T1074" s="416">
        <v>138</v>
      </c>
      <c r="U1074" s="416">
        <v>138</v>
      </c>
      <c r="V1074" s="416">
        <v>130</v>
      </c>
      <c r="W1074" s="416">
        <v>123</v>
      </c>
      <c r="X1074" s="416">
        <v>118</v>
      </c>
      <c r="Y1074" s="416">
        <v>114</v>
      </c>
      <c r="Z1074" s="416">
        <v>106</v>
      </c>
      <c r="AA1074" s="416">
        <v>99.7</v>
      </c>
      <c r="AB1074" s="416">
        <v>94.5</v>
      </c>
      <c r="AC1074" s="416">
        <v>92.3</v>
      </c>
      <c r="AD1074" s="416">
        <v>90.7</v>
      </c>
      <c r="AE1074" s="416">
        <v>89.4</v>
      </c>
      <c r="AF1074" s="416">
        <v>87.5</v>
      </c>
      <c r="AG1074" s="416">
        <v>86.9</v>
      </c>
      <c r="AH1074" s="416">
        <v>85.7</v>
      </c>
      <c r="AI1074" s="416">
        <v>85</v>
      </c>
      <c r="AJ1074" s="416">
        <v>83.9</v>
      </c>
      <c r="AK1074" s="416">
        <v>83</v>
      </c>
      <c r="AL1074" s="416">
        <v>77.599999999999994</v>
      </c>
      <c r="AM1074" s="416">
        <v>59.2</v>
      </c>
      <c r="AN1074" s="416">
        <v>44.8</v>
      </c>
      <c r="AO1074" s="416">
        <v>32.9</v>
      </c>
      <c r="AP1074" s="416">
        <v>24.5</v>
      </c>
      <c r="AQ1074" s="416">
        <v>18.3</v>
      </c>
      <c r="AR1074" s="416">
        <v>12.6</v>
      </c>
      <c r="AS1074" s="416">
        <v>8.41</v>
      </c>
      <c r="AT1074" s="416">
        <v>6.18</v>
      </c>
      <c r="AU1074" s="416">
        <v>4.37</v>
      </c>
      <c r="AV1074" s="416">
        <v>2.77</v>
      </c>
      <c r="AW1074" s="416">
        <v>1.62</v>
      </c>
      <c r="AX1074" s="416">
        <v>0</v>
      </c>
      <c r="AY1074" s="416">
        <v>0</v>
      </c>
      <c r="AZ1074" s="416">
        <v>0</v>
      </c>
    </row>
    <row r="1075" spans="1:52" x14ac:dyDescent="0.25">
      <c r="A1075" s="415" t="str">
        <f t="shared" si="16"/>
        <v>SA-213 Gr.TP321</v>
      </c>
      <c r="B1075" s="415">
        <v>1069</v>
      </c>
      <c r="C1075" s="415" t="s">
        <v>3365</v>
      </c>
      <c r="D1075" s="415" t="s">
        <v>2693</v>
      </c>
      <c r="E1075" s="415" t="s">
        <v>2195</v>
      </c>
      <c r="F1075" s="415" t="s">
        <v>2575</v>
      </c>
      <c r="G1075" s="415" t="s">
        <v>3366</v>
      </c>
      <c r="H1075" s="415">
        <v>0</v>
      </c>
      <c r="I1075" s="415">
        <v>0</v>
      </c>
      <c r="J1075" s="415">
        <v>8</v>
      </c>
      <c r="K1075" s="415">
        <v>1</v>
      </c>
      <c r="L1075" s="415">
        <v>515</v>
      </c>
      <c r="M1075" s="415">
        <v>205</v>
      </c>
      <c r="N1075" s="415" t="s">
        <v>2675</v>
      </c>
      <c r="O1075" s="415">
        <v>427</v>
      </c>
      <c r="P1075" s="415">
        <v>816</v>
      </c>
      <c r="Q1075" s="415" t="s">
        <v>2675</v>
      </c>
      <c r="R1075" s="415" t="s">
        <v>3069</v>
      </c>
      <c r="S1075" s="415" t="s">
        <v>3337</v>
      </c>
      <c r="T1075" s="416">
        <v>138</v>
      </c>
      <c r="U1075" s="416">
        <v>138</v>
      </c>
      <c r="V1075" s="416">
        <v>138</v>
      </c>
      <c r="W1075" s="416">
        <v>138</v>
      </c>
      <c r="X1075" s="416">
        <v>135</v>
      </c>
      <c r="Y1075" s="416">
        <v>132</v>
      </c>
      <c r="Z1075" s="416">
        <v>129</v>
      </c>
      <c r="AA1075" s="416">
        <v>129</v>
      </c>
      <c r="AB1075" s="416">
        <v>127</v>
      </c>
      <c r="AC1075" s="416">
        <v>125</v>
      </c>
      <c r="AD1075" s="416">
        <v>123</v>
      </c>
      <c r="AE1075" s="416">
        <v>121</v>
      </c>
      <c r="AF1075" s="416">
        <v>119</v>
      </c>
      <c r="AG1075" s="416">
        <v>117</v>
      </c>
      <c r="AH1075" s="416">
        <v>115</v>
      </c>
      <c r="AI1075" s="416">
        <v>114</v>
      </c>
      <c r="AJ1075" s="416">
        <v>113</v>
      </c>
      <c r="AK1075" s="416">
        <v>111</v>
      </c>
      <c r="AL1075" s="416">
        <v>87.4</v>
      </c>
      <c r="AM1075" s="416">
        <v>57.5</v>
      </c>
      <c r="AN1075" s="416">
        <v>44.4</v>
      </c>
      <c r="AO1075" s="416">
        <v>32.9</v>
      </c>
      <c r="AP1075" s="416">
        <v>24.5</v>
      </c>
      <c r="AQ1075" s="416">
        <v>18.3</v>
      </c>
      <c r="AR1075" s="416">
        <v>12.6</v>
      </c>
      <c r="AS1075" s="416">
        <v>8.41</v>
      </c>
      <c r="AT1075" s="416">
        <v>6.18</v>
      </c>
      <c r="AU1075" s="416">
        <v>4.37</v>
      </c>
      <c r="AV1075" s="416">
        <v>2.77</v>
      </c>
      <c r="AW1075" s="416">
        <v>1.62</v>
      </c>
      <c r="AX1075" s="416">
        <v>0</v>
      </c>
      <c r="AY1075" s="416">
        <v>0</v>
      </c>
      <c r="AZ1075" s="416">
        <v>0</v>
      </c>
    </row>
    <row r="1076" spans="1:52" x14ac:dyDescent="0.25">
      <c r="A1076" s="415" t="str">
        <f t="shared" si="16"/>
        <v>SA-240 Gr.321</v>
      </c>
      <c r="B1076" s="415">
        <v>1070</v>
      </c>
      <c r="C1076" s="415" t="s">
        <v>3365</v>
      </c>
      <c r="D1076" s="415" t="s">
        <v>2684</v>
      </c>
      <c r="E1076" s="415" t="s">
        <v>2165</v>
      </c>
      <c r="F1076" s="415">
        <v>321</v>
      </c>
      <c r="G1076" s="415" t="s">
        <v>3366</v>
      </c>
      <c r="H1076" s="415">
        <v>0</v>
      </c>
      <c r="I1076" s="415">
        <v>0</v>
      </c>
      <c r="J1076" s="415">
        <v>8</v>
      </c>
      <c r="K1076" s="415">
        <v>1</v>
      </c>
      <c r="L1076" s="415">
        <v>515</v>
      </c>
      <c r="M1076" s="415">
        <v>205</v>
      </c>
      <c r="N1076" s="415">
        <v>816</v>
      </c>
      <c r="O1076" s="415" t="s">
        <v>2675</v>
      </c>
      <c r="P1076" s="415" t="s">
        <v>2675</v>
      </c>
      <c r="Q1076" s="415" t="s">
        <v>2675</v>
      </c>
      <c r="R1076" s="415" t="s">
        <v>3069</v>
      </c>
      <c r="S1076" s="415" t="s">
        <v>3252</v>
      </c>
      <c r="T1076" s="416">
        <v>138</v>
      </c>
      <c r="U1076" s="416">
        <v>138</v>
      </c>
      <c r="V1076" s="416">
        <v>138</v>
      </c>
      <c r="W1076" s="416">
        <v>138</v>
      </c>
      <c r="X1076" s="416">
        <v>135</v>
      </c>
      <c r="Y1076" s="416">
        <v>132</v>
      </c>
      <c r="Z1076" s="416">
        <v>129</v>
      </c>
      <c r="AA1076" s="416">
        <v>129</v>
      </c>
      <c r="AB1076" s="416">
        <v>127</v>
      </c>
      <c r="AC1076" s="416">
        <v>125</v>
      </c>
      <c r="AD1076" s="416">
        <v>123</v>
      </c>
      <c r="AE1076" s="416">
        <v>120</v>
      </c>
      <c r="AF1076" s="416">
        <v>119</v>
      </c>
      <c r="AG1076" s="416">
        <v>117</v>
      </c>
      <c r="AH1076" s="416">
        <v>115</v>
      </c>
      <c r="AI1076" s="416">
        <v>114</v>
      </c>
      <c r="AJ1076" s="416">
        <v>113</v>
      </c>
      <c r="AK1076" s="416">
        <v>112</v>
      </c>
      <c r="AL1076" s="416">
        <v>94.6</v>
      </c>
      <c r="AM1076" s="416">
        <v>59.2</v>
      </c>
      <c r="AN1076" s="416">
        <v>44.8</v>
      </c>
      <c r="AO1076" s="416">
        <v>32.9</v>
      </c>
      <c r="AP1076" s="416">
        <v>24.5</v>
      </c>
      <c r="AQ1076" s="416">
        <v>18.3</v>
      </c>
      <c r="AR1076" s="416">
        <v>12.6</v>
      </c>
      <c r="AS1076" s="416">
        <v>8.41</v>
      </c>
      <c r="AT1076" s="416">
        <v>6.18</v>
      </c>
      <c r="AU1076" s="416">
        <v>4.37</v>
      </c>
      <c r="AV1076" s="416">
        <v>2.77</v>
      </c>
      <c r="AW1076" s="416">
        <v>1.62</v>
      </c>
      <c r="AX1076" s="416">
        <v>0</v>
      </c>
      <c r="AY1076" s="416">
        <v>0</v>
      </c>
      <c r="AZ1076" s="416">
        <v>0</v>
      </c>
    </row>
    <row r="1077" spans="1:52" x14ac:dyDescent="0.25">
      <c r="A1077" s="415" t="str">
        <f t="shared" si="16"/>
        <v>SA-240 Gr.321</v>
      </c>
      <c r="B1077" s="415">
        <v>1071</v>
      </c>
      <c r="C1077" s="415" t="s">
        <v>3365</v>
      </c>
      <c r="D1077" s="415" t="s">
        <v>2684</v>
      </c>
      <c r="E1077" s="415" t="s">
        <v>2165</v>
      </c>
      <c r="F1077" s="415">
        <v>321</v>
      </c>
      <c r="G1077" s="415" t="s">
        <v>3366</v>
      </c>
      <c r="H1077" s="415">
        <v>0</v>
      </c>
      <c r="I1077" s="415">
        <v>0</v>
      </c>
      <c r="J1077" s="415">
        <v>8</v>
      </c>
      <c r="K1077" s="415">
        <v>1</v>
      </c>
      <c r="L1077" s="415">
        <v>515</v>
      </c>
      <c r="M1077" s="415">
        <v>205</v>
      </c>
      <c r="N1077" s="415">
        <v>816</v>
      </c>
      <c r="O1077" s="415" t="s">
        <v>2675</v>
      </c>
      <c r="P1077" s="415">
        <v>816</v>
      </c>
      <c r="Q1077" s="415">
        <v>343</v>
      </c>
      <c r="R1077" s="415" t="s">
        <v>3069</v>
      </c>
      <c r="S1077" s="415" t="s">
        <v>3338</v>
      </c>
      <c r="T1077" s="416">
        <v>138</v>
      </c>
      <c r="U1077" s="416">
        <v>138</v>
      </c>
      <c r="V1077" s="416">
        <v>130</v>
      </c>
      <c r="W1077" s="416">
        <v>123</v>
      </c>
      <c r="X1077" s="416">
        <v>118</v>
      </c>
      <c r="Y1077" s="416">
        <v>114</v>
      </c>
      <c r="Z1077" s="416">
        <v>106</v>
      </c>
      <c r="AA1077" s="416">
        <v>99.7</v>
      </c>
      <c r="AB1077" s="416">
        <v>94.5</v>
      </c>
      <c r="AC1077" s="416">
        <v>92.3</v>
      </c>
      <c r="AD1077" s="416">
        <v>90.7</v>
      </c>
      <c r="AE1077" s="416">
        <v>89.4</v>
      </c>
      <c r="AF1077" s="416">
        <v>87.5</v>
      </c>
      <c r="AG1077" s="416">
        <v>86.9</v>
      </c>
      <c r="AH1077" s="416">
        <v>85.7</v>
      </c>
      <c r="AI1077" s="416">
        <v>85</v>
      </c>
      <c r="AJ1077" s="416">
        <v>83.9</v>
      </c>
      <c r="AK1077" s="416">
        <v>83</v>
      </c>
      <c r="AL1077" s="416">
        <v>77.599999999999994</v>
      </c>
      <c r="AM1077" s="416">
        <v>59.2</v>
      </c>
      <c r="AN1077" s="416">
        <v>44.8</v>
      </c>
      <c r="AO1077" s="416">
        <v>32.9</v>
      </c>
      <c r="AP1077" s="416">
        <v>24.5</v>
      </c>
      <c r="AQ1077" s="416">
        <v>18.3</v>
      </c>
      <c r="AR1077" s="416">
        <v>12.6</v>
      </c>
      <c r="AS1077" s="416">
        <v>8.41</v>
      </c>
      <c r="AT1077" s="416">
        <v>6.18</v>
      </c>
      <c r="AU1077" s="416">
        <v>4.37</v>
      </c>
      <c r="AV1077" s="416">
        <v>2.77</v>
      </c>
      <c r="AW1077" s="416">
        <v>1.62</v>
      </c>
      <c r="AX1077" s="416">
        <v>0</v>
      </c>
      <c r="AY1077" s="416">
        <v>0</v>
      </c>
      <c r="AZ1077" s="416">
        <v>0</v>
      </c>
    </row>
    <row r="1078" spans="1:52" x14ac:dyDescent="0.25">
      <c r="A1078" s="415" t="str">
        <f t="shared" si="16"/>
        <v>SA-240 Gr.321</v>
      </c>
      <c r="B1078" s="415">
        <v>1072</v>
      </c>
      <c r="C1078" s="415" t="s">
        <v>3365</v>
      </c>
      <c r="D1078" s="415" t="s">
        <v>2684</v>
      </c>
      <c r="E1078" s="415" t="s">
        <v>2165</v>
      </c>
      <c r="F1078" s="415">
        <v>321</v>
      </c>
      <c r="G1078" s="415" t="s">
        <v>3366</v>
      </c>
      <c r="H1078" s="415">
        <v>0</v>
      </c>
      <c r="I1078" s="415">
        <v>0</v>
      </c>
      <c r="J1078" s="415">
        <v>8</v>
      </c>
      <c r="K1078" s="415">
        <v>1</v>
      </c>
      <c r="L1078" s="415">
        <v>515</v>
      </c>
      <c r="M1078" s="415">
        <v>205</v>
      </c>
      <c r="N1078" s="415" t="s">
        <v>2675</v>
      </c>
      <c r="O1078" s="415">
        <v>427</v>
      </c>
      <c r="P1078" s="415">
        <v>816</v>
      </c>
      <c r="Q1078" s="415">
        <v>343</v>
      </c>
      <c r="R1078" s="415" t="s">
        <v>3069</v>
      </c>
      <c r="S1078" s="415" t="s">
        <v>3337</v>
      </c>
      <c r="T1078" s="416">
        <v>138</v>
      </c>
      <c r="U1078" s="416">
        <v>138</v>
      </c>
      <c r="V1078" s="416">
        <v>138</v>
      </c>
      <c r="W1078" s="416">
        <v>138</v>
      </c>
      <c r="X1078" s="416">
        <v>135</v>
      </c>
      <c r="Y1078" s="416">
        <v>132</v>
      </c>
      <c r="Z1078" s="416">
        <v>129</v>
      </c>
      <c r="AA1078" s="416">
        <v>129</v>
      </c>
      <c r="AB1078" s="416">
        <v>127</v>
      </c>
      <c r="AC1078" s="416">
        <v>125</v>
      </c>
      <c r="AD1078" s="416">
        <v>123</v>
      </c>
      <c r="AE1078" s="416">
        <v>121</v>
      </c>
      <c r="AF1078" s="416">
        <v>119</v>
      </c>
      <c r="AG1078" s="416">
        <v>117</v>
      </c>
      <c r="AH1078" s="416">
        <v>115</v>
      </c>
      <c r="AI1078" s="416">
        <v>114</v>
      </c>
      <c r="AJ1078" s="416">
        <v>113</v>
      </c>
      <c r="AK1078" s="416">
        <v>111</v>
      </c>
      <c r="AL1078" s="416">
        <v>87.4</v>
      </c>
      <c r="AM1078" s="416">
        <v>57.5</v>
      </c>
      <c r="AN1078" s="416">
        <v>44.4</v>
      </c>
      <c r="AO1078" s="416">
        <v>32.9</v>
      </c>
      <c r="AP1078" s="416">
        <v>24.5</v>
      </c>
      <c r="AQ1078" s="416">
        <v>18.3</v>
      </c>
      <c r="AR1078" s="416">
        <v>12.6</v>
      </c>
      <c r="AS1078" s="416">
        <v>8.41</v>
      </c>
      <c r="AT1078" s="416">
        <v>6.18</v>
      </c>
      <c r="AU1078" s="416">
        <v>4.37</v>
      </c>
      <c r="AV1078" s="416">
        <v>2.77</v>
      </c>
      <c r="AW1078" s="416">
        <v>1.62</v>
      </c>
      <c r="AX1078" s="416">
        <v>0</v>
      </c>
      <c r="AY1078" s="416">
        <v>0</v>
      </c>
      <c r="AZ1078" s="416">
        <v>0</v>
      </c>
    </row>
    <row r="1079" spans="1:52" x14ac:dyDescent="0.25">
      <c r="A1079" s="415" t="str">
        <f t="shared" si="16"/>
        <v>SA-249 Gr.TP321</v>
      </c>
      <c r="B1079" s="415">
        <v>1073</v>
      </c>
      <c r="C1079" s="415" t="s">
        <v>3365</v>
      </c>
      <c r="D1079" s="415" t="s">
        <v>2689</v>
      </c>
      <c r="E1079" s="415" t="s">
        <v>2200</v>
      </c>
      <c r="F1079" s="415" t="s">
        <v>2575</v>
      </c>
      <c r="G1079" s="415" t="s">
        <v>3366</v>
      </c>
      <c r="H1079" s="415">
        <v>0</v>
      </c>
      <c r="I1079" s="415">
        <v>0</v>
      </c>
      <c r="J1079" s="415">
        <v>8</v>
      </c>
      <c r="K1079" s="415">
        <v>1</v>
      </c>
      <c r="L1079" s="415">
        <v>515</v>
      </c>
      <c r="M1079" s="415">
        <v>205</v>
      </c>
      <c r="N1079" s="415">
        <v>816</v>
      </c>
      <c r="O1079" s="415" t="s">
        <v>2675</v>
      </c>
      <c r="P1079" s="415" t="s">
        <v>2675</v>
      </c>
      <c r="Q1079" s="415" t="s">
        <v>2675</v>
      </c>
      <c r="R1079" s="415" t="s">
        <v>3069</v>
      </c>
      <c r="S1079" s="415" t="s">
        <v>3339</v>
      </c>
      <c r="T1079" s="416">
        <v>138</v>
      </c>
      <c r="U1079" s="416">
        <v>138</v>
      </c>
      <c r="V1079" s="416">
        <v>130</v>
      </c>
      <c r="W1079" s="416">
        <v>123</v>
      </c>
      <c r="X1079" s="416">
        <v>118</v>
      </c>
      <c r="Y1079" s="416">
        <v>114</v>
      </c>
      <c r="Z1079" s="416">
        <v>106</v>
      </c>
      <c r="AA1079" s="416">
        <v>99.7</v>
      </c>
      <c r="AB1079" s="416">
        <v>94.5</v>
      </c>
      <c r="AC1079" s="416">
        <v>92.3</v>
      </c>
      <c r="AD1079" s="416">
        <v>90.7</v>
      </c>
      <c r="AE1079" s="416">
        <v>89.4</v>
      </c>
      <c r="AF1079" s="416">
        <v>87.5</v>
      </c>
      <c r="AG1079" s="416">
        <v>86.9</v>
      </c>
      <c r="AH1079" s="416">
        <v>85.7</v>
      </c>
      <c r="AI1079" s="416">
        <v>85</v>
      </c>
      <c r="AJ1079" s="416">
        <v>83.9</v>
      </c>
      <c r="AK1079" s="416">
        <v>83</v>
      </c>
      <c r="AL1079" s="416">
        <v>77.599999999999994</v>
      </c>
      <c r="AM1079" s="416">
        <v>59.2</v>
      </c>
      <c r="AN1079" s="416">
        <v>44.8</v>
      </c>
      <c r="AO1079" s="416">
        <v>32.9</v>
      </c>
      <c r="AP1079" s="416">
        <v>24.5</v>
      </c>
      <c r="AQ1079" s="416">
        <v>18.3</v>
      </c>
      <c r="AR1079" s="416">
        <v>12.6</v>
      </c>
      <c r="AS1079" s="416">
        <v>8.41</v>
      </c>
      <c r="AT1079" s="416">
        <v>6.18</v>
      </c>
      <c r="AU1079" s="416">
        <v>4.37</v>
      </c>
      <c r="AV1079" s="416">
        <v>2.77</v>
      </c>
      <c r="AW1079" s="416">
        <v>1.62</v>
      </c>
      <c r="AX1079" s="416">
        <v>0</v>
      </c>
      <c r="AY1079" s="416">
        <v>0</v>
      </c>
      <c r="AZ1079" s="416">
        <v>0</v>
      </c>
    </row>
    <row r="1080" spans="1:52" x14ac:dyDescent="0.25">
      <c r="A1080" s="415" t="str">
        <f t="shared" si="16"/>
        <v>SA-249 Gr.TP321</v>
      </c>
      <c r="B1080" s="415">
        <v>1074</v>
      </c>
      <c r="C1080" s="415" t="s">
        <v>3365</v>
      </c>
      <c r="D1080" s="415" t="s">
        <v>2689</v>
      </c>
      <c r="E1080" s="415" t="s">
        <v>2200</v>
      </c>
      <c r="F1080" s="415" t="s">
        <v>2575</v>
      </c>
      <c r="G1080" s="415" t="s">
        <v>3366</v>
      </c>
      <c r="H1080" s="415">
        <v>0</v>
      </c>
      <c r="I1080" s="415">
        <v>0</v>
      </c>
      <c r="J1080" s="415">
        <v>8</v>
      </c>
      <c r="K1080" s="415">
        <v>1</v>
      </c>
      <c r="L1080" s="415">
        <v>515</v>
      </c>
      <c r="M1080" s="415">
        <v>205</v>
      </c>
      <c r="N1080" s="415">
        <v>816</v>
      </c>
      <c r="O1080" s="415">
        <v>427</v>
      </c>
      <c r="P1080" s="415" t="s">
        <v>2675</v>
      </c>
      <c r="Q1080" s="415" t="s">
        <v>2675</v>
      </c>
      <c r="R1080" s="415" t="s">
        <v>3069</v>
      </c>
      <c r="S1080" s="415" t="s">
        <v>3301</v>
      </c>
      <c r="T1080" s="416">
        <v>138</v>
      </c>
      <c r="U1080" s="416">
        <v>138</v>
      </c>
      <c r="V1080" s="416">
        <v>138</v>
      </c>
      <c r="W1080" s="416">
        <v>138</v>
      </c>
      <c r="X1080" s="416">
        <v>135</v>
      </c>
      <c r="Y1080" s="416">
        <v>132</v>
      </c>
      <c r="Z1080" s="416">
        <v>129</v>
      </c>
      <c r="AA1080" s="416">
        <v>129</v>
      </c>
      <c r="AB1080" s="416">
        <v>127</v>
      </c>
      <c r="AC1080" s="416">
        <v>125</v>
      </c>
      <c r="AD1080" s="416">
        <v>123</v>
      </c>
      <c r="AE1080" s="416">
        <v>120</v>
      </c>
      <c r="AF1080" s="416">
        <v>119</v>
      </c>
      <c r="AG1080" s="416">
        <v>117</v>
      </c>
      <c r="AH1080" s="416">
        <v>115</v>
      </c>
      <c r="AI1080" s="416">
        <v>114</v>
      </c>
      <c r="AJ1080" s="416">
        <v>113</v>
      </c>
      <c r="AK1080" s="416">
        <v>112</v>
      </c>
      <c r="AL1080" s="416">
        <v>94.6</v>
      </c>
      <c r="AM1080" s="416">
        <v>59.2</v>
      </c>
      <c r="AN1080" s="416">
        <v>44.8</v>
      </c>
      <c r="AO1080" s="416">
        <v>32.9</v>
      </c>
      <c r="AP1080" s="416">
        <v>24.5</v>
      </c>
      <c r="AQ1080" s="416">
        <v>18.3</v>
      </c>
      <c r="AR1080" s="416">
        <v>12.6</v>
      </c>
      <c r="AS1080" s="416">
        <v>8.41</v>
      </c>
      <c r="AT1080" s="416">
        <v>6.18</v>
      </c>
      <c r="AU1080" s="416">
        <v>4.37</v>
      </c>
      <c r="AV1080" s="416">
        <v>2.77</v>
      </c>
      <c r="AW1080" s="416">
        <v>1.62</v>
      </c>
      <c r="AX1080" s="416">
        <v>0</v>
      </c>
      <c r="AY1080" s="416">
        <v>0</v>
      </c>
      <c r="AZ1080" s="416">
        <v>0</v>
      </c>
    </row>
    <row r="1081" spans="1:52" x14ac:dyDescent="0.25">
      <c r="A1081" s="415" t="str">
        <f t="shared" si="16"/>
        <v>SA-249 Gr.TP321</v>
      </c>
      <c r="B1081" s="415">
        <v>1075</v>
      </c>
      <c r="C1081" s="415" t="s">
        <v>3365</v>
      </c>
      <c r="D1081" s="415" t="s">
        <v>2689</v>
      </c>
      <c r="E1081" s="415" t="s">
        <v>2200</v>
      </c>
      <c r="F1081" s="415" t="s">
        <v>2575</v>
      </c>
      <c r="G1081" s="415" t="s">
        <v>3366</v>
      </c>
      <c r="H1081" s="415">
        <v>0</v>
      </c>
      <c r="I1081" s="415">
        <v>0</v>
      </c>
      <c r="J1081" s="415">
        <v>8</v>
      </c>
      <c r="K1081" s="415">
        <v>1</v>
      </c>
      <c r="L1081" s="415">
        <v>515</v>
      </c>
      <c r="M1081" s="415">
        <v>205</v>
      </c>
      <c r="N1081" s="415">
        <v>816</v>
      </c>
      <c r="O1081" s="415" t="s">
        <v>2675</v>
      </c>
      <c r="P1081" s="415">
        <v>816</v>
      </c>
      <c r="Q1081" s="415">
        <v>343</v>
      </c>
      <c r="R1081" s="415" t="s">
        <v>3069</v>
      </c>
      <c r="S1081" s="415" t="s">
        <v>3227</v>
      </c>
      <c r="T1081" s="416">
        <v>117</v>
      </c>
      <c r="U1081" s="416">
        <v>117</v>
      </c>
      <c r="V1081" s="416">
        <v>117</v>
      </c>
      <c r="W1081" s="416">
        <v>117</v>
      </c>
      <c r="X1081" s="416">
        <v>114</v>
      </c>
      <c r="Y1081" s="416">
        <v>112</v>
      </c>
      <c r="Z1081" s="416">
        <v>110</v>
      </c>
      <c r="AA1081" s="416">
        <v>110</v>
      </c>
      <c r="AB1081" s="416">
        <v>108</v>
      </c>
      <c r="AC1081" s="416">
        <v>106</v>
      </c>
      <c r="AD1081" s="416">
        <v>104</v>
      </c>
      <c r="AE1081" s="416">
        <v>102</v>
      </c>
      <c r="AF1081" s="416">
        <v>101</v>
      </c>
      <c r="AG1081" s="416">
        <v>99.4</v>
      </c>
      <c r="AH1081" s="416">
        <v>98.1</v>
      </c>
      <c r="AI1081" s="416">
        <v>97.5</v>
      </c>
      <c r="AJ1081" s="416">
        <v>96.3</v>
      </c>
      <c r="AK1081" s="416">
        <v>95.2</v>
      </c>
      <c r="AL1081" s="416">
        <v>78.7</v>
      </c>
      <c r="AM1081" s="416">
        <v>51.2</v>
      </c>
      <c r="AN1081" s="416">
        <v>38</v>
      </c>
      <c r="AO1081" s="416">
        <v>28.4</v>
      </c>
      <c r="AP1081" s="416">
        <v>21.1</v>
      </c>
      <c r="AQ1081" s="416">
        <v>15.5</v>
      </c>
      <c r="AR1081" s="416">
        <v>10.4</v>
      </c>
      <c r="AS1081" s="416">
        <v>6.86</v>
      </c>
      <c r="AT1081" s="416">
        <v>5.18</v>
      </c>
      <c r="AU1081" s="416">
        <v>3.76</v>
      </c>
      <c r="AV1081" s="416">
        <v>2.39</v>
      </c>
      <c r="AW1081" s="416">
        <v>1.41</v>
      </c>
      <c r="AX1081" s="416">
        <v>0</v>
      </c>
      <c r="AY1081" s="416">
        <v>0</v>
      </c>
      <c r="AZ1081" s="416">
        <v>0</v>
      </c>
    </row>
    <row r="1082" spans="1:52" x14ac:dyDescent="0.25">
      <c r="A1082" s="415" t="str">
        <f t="shared" si="16"/>
        <v>SA-249 Gr.TP321</v>
      </c>
      <c r="B1082" s="415">
        <v>1076</v>
      </c>
      <c r="C1082" s="415" t="s">
        <v>3365</v>
      </c>
      <c r="D1082" s="415" t="s">
        <v>2689</v>
      </c>
      <c r="E1082" s="415" t="s">
        <v>2200</v>
      </c>
      <c r="F1082" s="415" t="s">
        <v>2575</v>
      </c>
      <c r="G1082" s="415" t="s">
        <v>3366</v>
      </c>
      <c r="H1082" s="415">
        <v>0</v>
      </c>
      <c r="I1082" s="415">
        <v>0</v>
      </c>
      <c r="J1082" s="415">
        <v>8</v>
      </c>
      <c r="K1082" s="415">
        <v>1</v>
      </c>
      <c r="L1082" s="415">
        <v>515</v>
      </c>
      <c r="M1082" s="415">
        <v>205</v>
      </c>
      <c r="N1082" s="415">
        <v>816</v>
      </c>
      <c r="O1082" s="415" t="s">
        <v>2675</v>
      </c>
      <c r="P1082" s="415">
        <v>816</v>
      </c>
      <c r="Q1082" s="415">
        <v>343</v>
      </c>
      <c r="R1082" s="415" t="s">
        <v>3069</v>
      </c>
      <c r="S1082" s="415" t="s">
        <v>3342</v>
      </c>
      <c r="T1082" s="416">
        <v>117</v>
      </c>
      <c r="U1082" s="416">
        <v>117</v>
      </c>
      <c r="V1082" s="416">
        <v>111</v>
      </c>
      <c r="W1082" s="416">
        <v>104</v>
      </c>
      <c r="X1082" s="416">
        <v>101</v>
      </c>
      <c r="Y1082" s="416">
        <v>97.1</v>
      </c>
      <c r="Z1082" s="416">
        <v>90.2</v>
      </c>
      <c r="AA1082" s="416">
        <v>85</v>
      </c>
      <c r="AB1082" s="416">
        <v>80.599999999999994</v>
      </c>
      <c r="AC1082" s="416">
        <v>78.5</v>
      </c>
      <c r="AD1082" s="416">
        <v>76.900000000000006</v>
      </c>
      <c r="AE1082" s="416">
        <v>75.599999999999994</v>
      </c>
      <c r="AF1082" s="416">
        <v>74.400000000000006</v>
      </c>
      <c r="AG1082" s="416">
        <v>73.8</v>
      </c>
      <c r="AH1082" s="416">
        <v>72.599999999999994</v>
      </c>
      <c r="AI1082" s="416">
        <v>71.900000000000006</v>
      </c>
      <c r="AJ1082" s="416">
        <v>71.2</v>
      </c>
      <c r="AK1082" s="416">
        <v>70.5</v>
      </c>
      <c r="AL1082" s="416">
        <v>64.2</v>
      </c>
      <c r="AM1082" s="416">
        <v>51.2</v>
      </c>
      <c r="AN1082" s="416">
        <v>38</v>
      </c>
      <c r="AO1082" s="416">
        <v>28.4</v>
      </c>
      <c r="AP1082" s="416">
        <v>21.1</v>
      </c>
      <c r="AQ1082" s="416">
        <v>15.5</v>
      </c>
      <c r="AR1082" s="416">
        <v>10.4</v>
      </c>
      <c r="AS1082" s="416">
        <v>6.86</v>
      </c>
      <c r="AT1082" s="416">
        <v>5.18</v>
      </c>
      <c r="AU1082" s="416">
        <v>3.76</v>
      </c>
      <c r="AV1082" s="416">
        <v>2.39</v>
      </c>
      <c r="AW1082" s="416">
        <v>1.41</v>
      </c>
      <c r="AX1082" s="416">
        <v>0</v>
      </c>
      <c r="AY1082" s="416">
        <v>0</v>
      </c>
      <c r="AZ1082" s="416">
        <v>0</v>
      </c>
    </row>
    <row r="1083" spans="1:52" x14ac:dyDescent="0.25">
      <c r="A1083" s="415" t="str">
        <f t="shared" si="16"/>
        <v>SA-312 Gr.TP321</v>
      </c>
      <c r="B1083" s="415">
        <v>1077</v>
      </c>
      <c r="C1083" s="415" t="s">
        <v>3365</v>
      </c>
      <c r="D1083" s="415" t="s">
        <v>2703</v>
      </c>
      <c r="E1083" s="415" t="s">
        <v>2208</v>
      </c>
      <c r="F1083" s="415" t="s">
        <v>2575</v>
      </c>
      <c r="G1083" s="415" t="s">
        <v>3366</v>
      </c>
      <c r="H1083" s="415">
        <v>0</v>
      </c>
      <c r="I1083" s="415" t="s">
        <v>2829</v>
      </c>
      <c r="J1083" s="415">
        <v>8</v>
      </c>
      <c r="K1083" s="415">
        <v>1</v>
      </c>
      <c r="L1083" s="415">
        <v>515</v>
      </c>
      <c r="M1083" s="415">
        <v>205</v>
      </c>
      <c r="N1083" s="415">
        <v>816</v>
      </c>
      <c r="O1083" s="415">
        <v>427</v>
      </c>
      <c r="P1083" s="415">
        <v>816</v>
      </c>
      <c r="Q1083" s="415">
        <v>343</v>
      </c>
      <c r="R1083" s="415" t="s">
        <v>3069</v>
      </c>
      <c r="S1083" s="415" t="s">
        <v>3252</v>
      </c>
      <c r="T1083" s="416">
        <v>138</v>
      </c>
      <c r="U1083" s="416">
        <v>138</v>
      </c>
      <c r="V1083" s="416">
        <v>138</v>
      </c>
      <c r="W1083" s="416">
        <v>138</v>
      </c>
      <c r="X1083" s="416">
        <v>135</v>
      </c>
      <c r="Y1083" s="416">
        <v>132</v>
      </c>
      <c r="Z1083" s="416">
        <v>129</v>
      </c>
      <c r="AA1083" s="416">
        <v>129</v>
      </c>
      <c r="AB1083" s="416">
        <v>127</v>
      </c>
      <c r="AC1083" s="416">
        <v>125</v>
      </c>
      <c r="AD1083" s="416">
        <v>123</v>
      </c>
      <c r="AE1083" s="416">
        <v>120</v>
      </c>
      <c r="AF1083" s="416">
        <v>119</v>
      </c>
      <c r="AG1083" s="416">
        <v>117</v>
      </c>
      <c r="AH1083" s="416">
        <v>115</v>
      </c>
      <c r="AI1083" s="416">
        <v>114</v>
      </c>
      <c r="AJ1083" s="416">
        <v>113</v>
      </c>
      <c r="AK1083" s="416">
        <v>112</v>
      </c>
      <c r="AL1083" s="416">
        <v>94.6</v>
      </c>
      <c r="AM1083" s="416">
        <v>59.2</v>
      </c>
      <c r="AN1083" s="416">
        <v>44.8</v>
      </c>
      <c r="AO1083" s="416">
        <v>32.9</v>
      </c>
      <c r="AP1083" s="416">
        <v>24.5</v>
      </c>
      <c r="AQ1083" s="416">
        <v>18.3</v>
      </c>
      <c r="AR1083" s="416">
        <v>12.6</v>
      </c>
      <c r="AS1083" s="416">
        <v>8.41</v>
      </c>
      <c r="AT1083" s="416">
        <v>6.18</v>
      </c>
      <c r="AU1083" s="416">
        <v>4.37</v>
      </c>
      <c r="AV1083" s="416">
        <v>2.77</v>
      </c>
      <c r="AW1083" s="416">
        <v>1.62</v>
      </c>
      <c r="AX1083" s="416">
        <v>0</v>
      </c>
      <c r="AY1083" s="416">
        <v>0</v>
      </c>
      <c r="AZ1083" s="416">
        <v>0</v>
      </c>
    </row>
    <row r="1084" spans="1:52" x14ac:dyDescent="0.25">
      <c r="A1084" s="415" t="str">
        <f t="shared" si="16"/>
        <v>SA-312 Gr.TP321</v>
      </c>
      <c r="B1084" s="415">
        <v>1078</v>
      </c>
      <c r="C1084" s="415" t="s">
        <v>3365</v>
      </c>
      <c r="D1084" s="415" t="s">
        <v>2703</v>
      </c>
      <c r="E1084" s="415" t="s">
        <v>2208</v>
      </c>
      <c r="F1084" s="415" t="s">
        <v>2575</v>
      </c>
      <c r="G1084" s="415" t="s">
        <v>3366</v>
      </c>
      <c r="H1084" s="415">
        <v>0</v>
      </c>
      <c r="I1084" s="415" t="s">
        <v>2829</v>
      </c>
      <c r="J1084" s="415">
        <v>8</v>
      </c>
      <c r="K1084" s="415">
        <v>1</v>
      </c>
      <c r="L1084" s="415">
        <v>515</v>
      </c>
      <c r="M1084" s="415">
        <v>205</v>
      </c>
      <c r="N1084" s="415">
        <v>816</v>
      </c>
      <c r="O1084" s="415" t="s">
        <v>2675</v>
      </c>
      <c r="P1084" s="415">
        <v>816</v>
      </c>
      <c r="Q1084" s="415">
        <v>343</v>
      </c>
      <c r="R1084" s="415" t="s">
        <v>3069</v>
      </c>
      <c r="S1084" s="415" t="s">
        <v>3338</v>
      </c>
      <c r="T1084" s="416">
        <v>138</v>
      </c>
      <c r="U1084" s="416">
        <v>138</v>
      </c>
      <c r="V1084" s="416">
        <v>130</v>
      </c>
      <c r="W1084" s="416">
        <v>123</v>
      </c>
      <c r="X1084" s="416">
        <v>118</v>
      </c>
      <c r="Y1084" s="416">
        <v>114</v>
      </c>
      <c r="Z1084" s="416">
        <v>106</v>
      </c>
      <c r="AA1084" s="416">
        <v>99.7</v>
      </c>
      <c r="AB1084" s="416">
        <v>94.5</v>
      </c>
      <c r="AC1084" s="416">
        <v>92.3</v>
      </c>
      <c r="AD1084" s="416">
        <v>90.7</v>
      </c>
      <c r="AE1084" s="416">
        <v>89.4</v>
      </c>
      <c r="AF1084" s="416">
        <v>87.5</v>
      </c>
      <c r="AG1084" s="416">
        <v>86.9</v>
      </c>
      <c r="AH1084" s="416">
        <v>85.7</v>
      </c>
      <c r="AI1084" s="416">
        <v>85</v>
      </c>
      <c r="AJ1084" s="416">
        <v>83.9</v>
      </c>
      <c r="AK1084" s="416">
        <v>83</v>
      </c>
      <c r="AL1084" s="416">
        <v>77.599999999999994</v>
      </c>
      <c r="AM1084" s="416">
        <v>59.2</v>
      </c>
      <c r="AN1084" s="416">
        <v>44.8</v>
      </c>
      <c r="AO1084" s="416">
        <v>32.9</v>
      </c>
      <c r="AP1084" s="416">
        <v>24.5</v>
      </c>
      <c r="AQ1084" s="416">
        <v>18.3</v>
      </c>
      <c r="AR1084" s="416">
        <v>12.6</v>
      </c>
      <c r="AS1084" s="416">
        <v>8.41</v>
      </c>
      <c r="AT1084" s="416">
        <v>6.18</v>
      </c>
      <c r="AU1084" s="416">
        <v>4.37</v>
      </c>
      <c r="AV1084" s="416">
        <v>2.77</v>
      </c>
      <c r="AW1084" s="416">
        <v>1.62</v>
      </c>
      <c r="AX1084" s="416">
        <v>0</v>
      </c>
      <c r="AY1084" s="416">
        <v>0</v>
      </c>
      <c r="AZ1084" s="416">
        <v>0</v>
      </c>
    </row>
    <row r="1085" spans="1:52" x14ac:dyDescent="0.25">
      <c r="A1085" s="415" t="str">
        <f t="shared" si="16"/>
        <v>SA-312 Gr.TP321</v>
      </c>
      <c r="B1085" s="415">
        <v>1079</v>
      </c>
      <c r="C1085" s="415" t="s">
        <v>3365</v>
      </c>
      <c r="D1085" s="415" t="s">
        <v>2680</v>
      </c>
      <c r="E1085" s="415" t="s">
        <v>2208</v>
      </c>
      <c r="F1085" s="415" t="s">
        <v>2575</v>
      </c>
      <c r="G1085" s="415" t="s">
        <v>3366</v>
      </c>
      <c r="H1085" s="415">
        <v>0</v>
      </c>
      <c r="I1085" s="415" t="s">
        <v>2829</v>
      </c>
      <c r="J1085" s="415">
        <v>8</v>
      </c>
      <c r="K1085" s="415">
        <v>1</v>
      </c>
      <c r="L1085" s="415">
        <v>515</v>
      </c>
      <c r="M1085" s="415">
        <v>205</v>
      </c>
      <c r="N1085" s="415">
        <v>816</v>
      </c>
      <c r="O1085" s="415">
        <v>427</v>
      </c>
      <c r="P1085" s="415">
        <v>816</v>
      </c>
      <c r="Q1085" s="415">
        <v>343</v>
      </c>
      <c r="R1085" s="415" t="s">
        <v>3069</v>
      </c>
      <c r="S1085" s="415" t="s">
        <v>3257</v>
      </c>
      <c r="T1085" s="416">
        <v>138</v>
      </c>
      <c r="U1085" s="416">
        <v>138</v>
      </c>
      <c r="V1085" s="416">
        <v>138</v>
      </c>
      <c r="W1085" s="416">
        <v>138</v>
      </c>
      <c r="X1085" s="416">
        <v>135</v>
      </c>
      <c r="Y1085" s="416">
        <v>132</v>
      </c>
      <c r="Z1085" s="416">
        <v>129</v>
      </c>
      <c r="AA1085" s="416">
        <v>129</v>
      </c>
      <c r="AB1085" s="416">
        <v>127</v>
      </c>
      <c r="AC1085" s="416">
        <v>125</v>
      </c>
      <c r="AD1085" s="416">
        <v>123</v>
      </c>
      <c r="AE1085" s="416">
        <v>120</v>
      </c>
      <c r="AF1085" s="416">
        <v>119</v>
      </c>
      <c r="AG1085" s="416">
        <v>117</v>
      </c>
      <c r="AH1085" s="416">
        <v>115</v>
      </c>
      <c r="AI1085" s="416">
        <v>114</v>
      </c>
      <c r="AJ1085" s="416">
        <v>113</v>
      </c>
      <c r="AK1085" s="416">
        <v>112</v>
      </c>
      <c r="AL1085" s="416">
        <v>94.6</v>
      </c>
      <c r="AM1085" s="416">
        <v>59.2</v>
      </c>
      <c r="AN1085" s="416">
        <v>44.8</v>
      </c>
      <c r="AO1085" s="416">
        <v>32.9</v>
      </c>
      <c r="AP1085" s="416">
        <v>24.5</v>
      </c>
      <c r="AQ1085" s="416">
        <v>18.3</v>
      </c>
      <c r="AR1085" s="416">
        <v>12.6</v>
      </c>
      <c r="AS1085" s="416">
        <v>8.41</v>
      </c>
      <c r="AT1085" s="416">
        <v>6.18</v>
      </c>
      <c r="AU1085" s="416">
        <v>4.37</v>
      </c>
      <c r="AV1085" s="416">
        <v>2.77</v>
      </c>
      <c r="AW1085" s="416">
        <v>1.62</v>
      </c>
      <c r="AX1085" s="416">
        <v>0</v>
      </c>
      <c r="AY1085" s="416">
        <v>0</v>
      </c>
      <c r="AZ1085" s="416">
        <v>0</v>
      </c>
    </row>
    <row r="1086" spans="1:52" x14ac:dyDescent="0.25">
      <c r="A1086" s="415" t="str">
        <f t="shared" si="16"/>
        <v>SA-312 Gr.TP321</v>
      </c>
      <c r="B1086" s="415">
        <v>1080</v>
      </c>
      <c r="C1086" s="415" t="s">
        <v>3365</v>
      </c>
      <c r="D1086" s="415" t="s">
        <v>2680</v>
      </c>
      <c r="E1086" s="415" t="s">
        <v>2208</v>
      </c>
      <c r="F1086" s="415" t="s">
        <v>2575</v>
      </c>
      <c r="G1086" s="415" t="s">
        <v>3366</v>
      </c>
      <c r="H1086" s="415">
        <v>0</v>
      </c>
      <c r="I1086" s="415" t="s">
        <v>2829</v>
      </c>
      <c r="J1086" s="415">
        <v>8</v>
      </c>
      <c r="K1086" s="415">
        <v>1</v>
      </c>
      <c r="L1086" s="415">
        <v>515</v>
      </c>
      <c r="M1086" s="415">
        <v>205</v>
      </c>
      <c r="N1086" s="415">
        <v>816</v>
      </c>
      <c r="O1086" s="415" t="s">
        <v>2675</v>
      </c>
      <c r="P1086" s="415">
        <v>816</v>
      </c>
      <c r="Q1086" s="415">
        <v>343</v>
      </c>
      <c r="R1086" s="415" t="s">
        <v>3069</v>
      </c>
      <c r="S1086" s="415" t="s">
        <v>3372</v>
      </c>
      <c r="T1086" s="416">
        <v>138</v>
      </c>
      <c r="U1086" s="416">
        <v>138</v>
      </c>
      <c r="V1086" s="416">
        <v>130</v>
      </c>
      <c r="W1086" s="416">
        <v>123</v>
      </c>
      <c r="X1086" s="416">
        <v>118</v>
      </c>
      <c r="Y1086" s="416">
        <v>114</v>
      </c>
      <c r="Z1086" s="416">
        <v>106</v>
      </c>
      <c r="AA1086" s="416">
        <v>99.7</v>
      </c>
      <c r="AB1086" s="416">
        <v>94.5</v>
      </c>
      <c r="AC1086" s="416">
        <v>92.3</v>
      </c>
      <c r="AD1086" s="416">
        <v>90.7</v>
      </c>
      <c r="AE1086" s="416">
        <v>89.4</v>
      </c>
      <c r="AF1086" s="416">
        <v>87.5</v>
      </c>
      <c r="AG1086" s="416">
        <v>86.9</v>
      </c>
      <c r="AH1086" s="416">
        <v>85.7</v>
      </c>
      <c r="AI1086" s="416">
        <v>85</v>
      </c>
      <c r="AJ1086" s="416">
        <v>83.9</v>
      </c>
      <c r="AK1086" s="416">
        <v>83</v>
      </c>
      <c r="AL1086" s="416">
        <v>77.599999999999994</v>
      </c>
      <c r="AM1086" s="416">
        <v>59.2</v>
      </c>
      <c r="AN1086" s="416">
        <v>44.8</v>
      </c>
      <c r="AO1086" s="416">
        <v>32.9</v>
      </c>
      <c r="AP1086" s="416">
        <v>24.5</v>
      </c>
      <c r="AQ1086" s="416">
        <v>18.3</v>
      </c>
      <c r="AR1086" s="416">
        <v>12.6</v>
      </c>
      <c r="AS1086" s="416">
        <v>8.41</v>
      </c>
      <c r="AT1086" s="416">
        <v>6.18</v>
      </c>
      <c r="AU1086" s="416">
        <v>4.37</v>
      </c>
      <c r="AV1086" s="416">
        <v>2.77</v>
      </c>
      <c r="AW1086" s="416">
        <v>1.62</v>
      </c>
      <c r="AX1086" s="416">
        <v>0</v>
      </c>
      <c r="AY1086" s="416">
        <v>0</v>
      </c>
      <c r="AZ1086" s="416">
        <v>0</v>
      </c>
    </row>
    <row r="1087" spans="1:52" x14ac:dyDescent="0.25">
      <c r="A1087" s="415" t="str">
        <f t="shared" si="16"/>
        <v>SA-358 Gr.321</v>
      </c>
      <c r="B1087" s="415">
        <v>1081</v>
      </c>
      <c r="C1087" s="415" t="s">
        <v>3365</v>
      </c>
      <c r="D1087" s="415" t="s">
        <v>2680</v>
      </c>
      <c r="E1087" s="415" t="s">
        <v>2217</v>
      </c>
      <c r="F1087" s="415">
        <v>321</v>
      </c>
      <c r="G1087" s="415" t="s">
        <v>3366</v>
      </c>
      <c r="H1087" s="415">
        <v>1</v>
      </c>
      <c r="I1087" s="415">
        <v>0</v>
      </c>
      <c r="J1087" s="415">
        <v>8</v>
      </c>
      <c r="K1087" s="415">
        <v>1</v>
      </c>
      <c r="L1087" s="415">
        <v>515</v>
      </c>
      <c r="M1087" s="415">
        <v>205</v>
      </c>
      <c r="N1087" s="415" t="s">
        <v>2675</v>
      </c>
      <c r="O1087" s="415">
        <v>427</v>
      </c>
      <c r="P1087" s="415" t="s">
        <v>2675</v>
      </c>
      <c r="Q1087" s="415" t="s">
        <v>2675</v>
      </c>
      <c r="R1087" s="415" t="s">
        <v>3069</v>
      </c>
      <c r="S1087" s="415" t="s">
        <v>3345</v>
      </c>
      <c r="T1087" s="416">
        <v>138</v>
      </c>
      <c r="U1087" s="416">
        <v>138</v>
      </c>
      <c r="V1087" s="416">
        <v>138</v>
      </c>
      <c r="W1087" s="416">
        <v>138</v>
      </c>
      <c r="X1087" s="416">
        <v>135</v>
      </c>
      <c r="Y1087" s="416">
        <v>132</v>
      </c>
      <c r="Z1087" s="416">
        <v>129</v>
      </c>
      <c r="AA1087" s="416">
        <v>129</v>
      </c>
      <c r="AB1087" s="416">
        <v>127</v>
      </c>
      <c r="AC1087" s="416">
        <v>125</v>
      </c>
      <c r="AD1087" s="416">
        <v>123</v>
      </c>
      <c r="AE1087" s="416">
        <v>120</v>
      </c>
      <c r="AF1087" s="416">
        <v>119</v>
      </c>
      <c r="AG1087" s="416">
        <v>117</v>
      </c>
      <c r="AH1087" s="416">
        <v>115</v>
      </c>
      <c r="AI1087" s="416">
        <v>0</v>
      </c>
      <c r="AJ1087" s="416">
        <v>0</v>
      </c>
      <c r="AK1087" s="416">
        <v>0</v>
      </c>
      <c r="AL1087" s="416">
        <v>0</v>
      </c>
      <c r="AM1087" s="416">
        <v>0</v>
      </c>
      <c r="AN1087" s="416">
        <v>0</v>
      </c>
      <c r="AO1087" s="416">
        <v>0</v>
      </c>
      <c r="AP1087" s="416">
        <v>0</v>
      </c>
      <c r="AQ1087" s="416">
        <v>0</v>
      </c>
      <c r="AR1087" s="416">
        <v>0</v>
      </c>
      <c r="AS1087" s="416">
        <v>0</v>
      </c>
      <c r="AT1087" s="416">
        <v>0</v>
      </c>
      <c r="AU1087" s="416">
        <v>0</v>
      </c>
      <c r="AV1087" s="416">
        <v>0</v>
      </c>
      <c r="AW1087" s="416">
        <v>0</v>
      </c>
      <c r="AX1087" s="416">
        <v>0</v>
      </c>
      <c r="AY1087" s="416">
        <v>0</v>
      </c>
      <c r="AZ1087" s="416">
        <v>0</v>
      </c>
    </row>
    <row r="1088" spans="1:52" x14ac:dyDescent="0.25">
      <c r="A1088" s="415" t="str">
        <f t="shared" si="16"/>
        <v>SA-376 Gr.TP321</v>
      </c>
      <c r="B1088" s="415">
        <v>1082</v>
      </c>
      <c r="C1088" s="415" t="s">
        <v>3365</v>
      </c>
      <c r="D1088" s="415" t="s">
        <v>2703</v>
      </c>
      <c r="E1088" s="415" t="s">
        <v>2225</v>
      </c>
      <c r="F1088" s="415" t="s">
        <v>2575</v>
      </c>
      <c r="G1088" s="415" t="s">
        <v>3366</v>
      </c>
      <c r="H1088" s="415">
        <v>0</v>
      </c>
      <c r="I1088" s="415" t="s">
        <v>2829</v>
      </c>
      <c r="J1088" s="415">
        <v>8</v>
      </c>
      <c r="K1088" s="415">
        <v>1</v>
      </c>
      <c r="L1088" s="415">
        <v>515</v>
      </c>
      <c r="M1088" s="415">
        <v>205</v>
      </c>
      <c r="N1088" s="415">
        <v>816</v>
      </c>
      <c r="O1088" s="415" t="s">
        <v>2675</v>
      </c>
      <c r="P1088" s="415" t="s">
        <v>2675</v>
      </c>
      <c r="Q1088" s="415" t="s">
        <v>2675</v>
      </c>
      <c r="R1088" s="415" t="s">
        <v>3069</v>
      </c>
      <c r="S1088" s="415" t="s">
        <v>3259</v>
      </c>
      <c r="T1088" s="416">
        <v>138</v>
      </c>
      <c r="U1088" s="416">
        <v>138</v>
      </c>
      <c r="V1088" s="416">
        <v>138</v>
      </c>
      <c r="W1088" s="416">
        <v>138</v>
      </c>
      <c r="X1088" s="416">
        <v>135</v>
      </c>
      <c r="Y1088" s="416">
        <v>132</v>
      </c>
      <c r="Z1088" s="416">
        <v>129</v>
      </c>
      <c r="AA1088" s="416">
        <v>129</v>
      </c>
      <c r="AB1088" s="416">
        <v>127</v>
      </c>
      <c r="AC1088" s="416">
        <v>125</v>
      </c>
      <c r="AD1088" s="416">
        <v>123</v>
      </c>
      <c r="AE1088" s="416">
        <v>120</v>
      </c>
      <c r="AF1088" s="416">
        <v>119</v>
      </c>
      <c r="AG1088" s="416">
        <v>117</v>
      </c>
      <c r="AH1088" s="416">
        <v>115</v>
      </c>
      <c r="AI1088" s="416">
        <v>114</v>
      </c>
      <c r="AJ1088" s="416">
        <v>113</v>
      </c>
      <c r="AK1088" s="416">
        <v>112</v>
      </c>
      <c r="AL1088" s="416">
        <v>94.6</v>
      </c>
      <c r="AM1088" s="416">
        <v>59.2</v>
      </c>
      <c r="AN1088" s="416">
        <v>44.8</v>
      </c>
      <c r="AO1088" s="416">
        <v>32.9</v>
      </c>
      <c r="AP1088" s="416">
        <v>24.5</v>
      </c>
      <c r="AQ1088" s="416">
        <v>18.3</v>
      </c>
      <c r="AR1088" s="416">
        <v>12.6</v>
      </c>
      <c r="AS1088" s="416">
        <v>8.41</v>
      </c>
      <c r="AT1088" s="416">
        <v>6.18</v>
      </c>
      <c r="AU1088" s="416">
        <v>4.37</v>
      </c>
      <c r="AV1088" s="416">
        <v>2.77</v>
      </c>
      <c r="AW1088" s="416">
        <v>1.62</v>
      </c>
      <c r="AX1088" s="416">
        <v>0</v>
      </c>
      <c r="AY1088" s="416">
        <v>0</v>
      </c>
      <c r="AZ1088" s="416">
        <v>0</v>
      </c>
    </row>
    <row r="1089" spans="1:52" x14ac:dyDescent="0.25">
      <c r="A1089" s="415" t="str">
        <f t="shared" si="16"/>
        <v>SA-376 Gr.TP321</v>
      </c>
      <c r="B1089" s="415">
        <v>1083</v>
      </c>
      <c r="C1089" s="415" t="s">
        <v>3365</v>
      </c>
      <c r="D1089" s="415" t="s">
        <v>2703</v>
      </c>
      <c r="E1089" s="415" t="s">
        <v>2225</v>
      </c>
      <c r="F1089" s="415" t="s">
        <v>2575</v>
      </c>
      <c r="G1089" s="415" t="s">
        <v>3366</v>
      </c>
      <c r="H1089" s="415">
        <v>0</v>
      </c>
      <c r="I1089" s="415" t="s">
        <v>2829</v>
      </c>
      <c r="J1089" s="415">
        <v>8</v>
      </c>
      <c r="K1089" s="415">
        <v>1</v>
      </c>
      <c r="L1089" s="415">
        <v>515</v>
      </c>
      <c r="M1089" s="415">
        <v>205</v>
      </c>
      <c r="N1089" s="415">
        <v>816</v>
      </c>
      <c r="O1089" s="415" t="s">
        <v>2675</v>
      </c>
      <c r="P1089" s="415">
        <v>816</v>
      </c>
      <c r="Q1089" s="415" t="s">
        <v>2675</v>
      </c>
      <c r="R1089" s="415" t="s">
        <v>3069</v>
      </c>
      <c r="S1089" s="415" t="s">
        <v>3332</v>
      </c>
      <c r="T1089" s="416">
        <v>138</v>
      </c>
      <c r="U1089" s="416">
        <v>138</v>
      </c>
      <c r="V1089" s="416">
        <v>130</v>
      </c>
      <c r="W1089" s="416">
        <v>123</v>
      </c>
      <c r="X1089" s="416">
        <v>118</v>
      </c>
      <c r="Y1089" s="416">
        <v>114</v>
      </c>
      <c r="Z1089" s="416">
        <v>106</v>
      </c>
      <c r="AA1089" s="416">
        <v>99.7</v>
      </c>
      <c r="AB1089" s="416">
        <v>94.5</v>
      </c>
      <c r="AC1089" s="416">
        <v>92.3</v>
      </c>
      <c r="AD1089" s="416">
        <v>90.7</v>
      </c>
      <c r="AE1089" s="416">
        <v>89.4</v>
      </c>
      <c r="AF1089" s="416">
        <v>87.5</v>
      </c>
      <c r="AG1089" s="416">
        <v>86.9</v>
      </c>
      <c r="AH1089" s="416">
        <v>85.7</v>
      </c>
      <c r="AI1089" s="416">
        <v>85</v>
      </c>
      <c r="AJ1089" s="416">
        <v>83.9</v>
      </c>
      <c r="AK1089" s="416">
        <v>83</v>
      </c>
      <c r="AL1089" s="416">
        <v>77.599999999999994</v>
      </c>
      <c r="AM1089" s="416">
        <v>59.2</v>
      </c>
      <c r="AN1089" s="416">
        <v>44.8</v>
      </c>
      <c r="AO1089" s="416">
        <v>32.9</v>
      </c>
      <c r="AP1089" s="416">
        <v>24.5</v>
      </c>
      <c r="AQ1089" s="416">
        <v>18.3</v>
      </c>
      <c r="AR1089" s="416">
        <v>12.6</v>
      </c>
      <c r="AS1089" s="416">
        <v>8.41</v>
      </c>
      <c r="AT1089" s="416">
        <v>6.18</v>
      </c>
      <c r="AU1089" s="416">
        <v>4.37</v>
      </c>
      <c r="AV1089" s="416">
        <v>2.77</v>
      </c>
      <c r="AW1089" s="416">
        <v>1.62</v>
      </c>
      <c r="AX1089" s="416">
        <v>0</v>
      </c>
      <c r="AY1089" s="416">
        <v>0</v>
      </c>
      <c r="AZ1089" s="416">
        <v>0</v>
      </c>
    </row>
    <row r="1090" spans="1:52" x14ac:dyDescent="0.25">
      <c r="A1090" s="415" t="str">
        <f t="shared" si="16"/>
        <v>SA-376 Gr.TP321</v>
      </c>
      <c r="B1090" s="415">
        <v>1084</v>
      </c>
      <c r="C1090" s="415" t="s">
        <v>3365</v>
      </c>
      <c r="D1090" s="415" t="s">
        <v>2703</v>
      </c>
      <c r="E1090" s="415" t="s">
        <v>2225</v>
      </c>
      <c r="F1090" s="415" t="s">
        <v>2575</v>
      </c>
      <c r="G1090" s="415" t="s">
        <v>3366</v>
      </c>
      <c r="H1090" s="415">
        <v>0</v>
      </c>
      <c r="I1090" s="415" t="s">
        <v>2829</v>
      </c>
      <c r="J1090" s="415">
        <v>8</v>
      </c>
      <c r="K1090" s="415">
        <v>1</v>
      </c>
      <c r="L1090" s="415">
        <v>515</v>
      </c>
      <c r="M1090" s="415">
        <v>205</v>
      </c>
      <c r="N1090" s="415" t="s">
        <v>2675</v>
      </c>
      <c r="O1090" s="415">
        <v>427</v>
      </c>
      <c r="P1090" s="415">
        <v>816</v>
      </c>
      <c r="Q1090" s="415" t="s">
        <v>2675</v>
      </c>
      <c r="R1090" s="415" t="s">
        <v>3069</v>
      </c>
      <c r="S1090" s="415" t="s">
        <v>3337</v>
      </c>
      <c r="T1090" s="416">
        <v>138</v>
      </c>
      <c r="U1090" s="416">
        <v>138</v>
      </c>
      <c r="V1090" s="416">
        <v>138</v>
      </c>
      <c r="W1090" s="416">
        <v>138</v>
      </c>
      <c r="X1090" s="416">
        <v>135</v>
      </c>
      <c r="Y1090" s="416">
        <v>132</v>
      </c>
      <c r="Z1090" s="416">
        <v>129</v>
      </c>
      <c r="AA1090" s="416">
        <v>129</v>
      </c>
      <c r="AB1090" s="416">
        <v>127</v>
      </c>
      <c r="AC1090" s="416">
        <v>125</v>
      </c>
      <c r="AD1090" s="416">
        <v>123</v>
      </c>
      <c r="AE1090" s="416">
        <v>121</v>
      </c>
      <c r="AF1090" s="416">
        <v>119</v>
      </c>
      <c r="AG1090" s="416">
        <v>117</v>
      </c>
      <c r="AH1090" s="416">
        <v>115</v>
      </c>
      <c r="AI1090" s="416">
        <v>114</v>
      </c>
      <c r="AJ1090" s="416">
        <v>113</v>
      </c>
      <c r="AK1090" s="416">
        <v>111</v>
      </c>
      <c r="AL1090" s="416">
        <v>87.4</v>
      </c>
      <c r="AM1090" s="416">
        <v>57.5</v>
      </c>
      <c r="AN1090" s="416">
        <v>44.4</v>
      </c>
      <c r="AO1090" s="416">
        <v>32.9</v>
      </c>
      <c r="AP1090" s="416">
        <v>24.5</v>
      </c>
      <c r="AQ1090" s="416">
        <v>18.3</v>
      </c>
      <c r="AR1090" s="416">
        <v>12.6</v>
      </c>
      <c r="AS1090" s="416">
        <v>8.41</v>
      </c>
      <c r="AT1090" s="416">
        <v>6.18</v>
      </c>
      <c r="AU1090" s="416">
        <v>4.37</v>
      </c>
      <c r="AV1090" s="416">
        <v>2.77</v>
      </c>
      <c r="AW1090" s="416">
        <v>1.62</v>
      </c>
      <c r="AX1090" s="416">
        <v>0</v>
      </c>
      <c r="AY1090" s="416">
        <v>0</v>
      </c>
      <c r="AZ1090" s="416">
        <v>0</v>
      </c>
    </row>
    <row r="1091" spans="1:52" x14ac:dyDescent="0.25">
      <c r="A1091" s="415" t="str">
        <f t="shared" si="16"/>
        <v>SA-403 Gr.321</v>
      </c>
      <c r="B1091" s="415">
        <v>1085</v>
      </c>
      <c r="C1091" s="415" t="s">
        <v>3365</v>
      </c>
      <c r="D1091" s="415" t="s">
        <v>2758</v>
      </c>
      <c r="E1091" s="415" t="s">
        <v>2229</v>
      </c>
      <c r="F1091" s="415">
        <v>321</v>
      </c>
      <c r="G1091" s="415" t="s">
        <v>3366</v>
      </c>
      <c r="H1091" s="415">
        <v>0</v>
      </c>
      <c r="I1091" s="415">
        <v>0</v>
      </c>
      <c r="J1091" s="415">
        <v>8</v>
      </c>
      <c r="K1091" s="415">
        <v>1</v>
      </c>
      <c r="L1091" s="415">
        <v>515</v>
      </c>
      <c r="M1091" s="415">
        <v>205</v>
      </c>
      <c r="N1091" s="415" t="s">
        <v>2675</v>
      </c>
      <c r="O1091" s="415">
        <v>427</v>
      </c>
      <c r="P1091" s="415">
        <v>816</v>
      </c>
      <c r="Q1091" s="415">
        <v>343</v>
      </c>
      <c r="R1091" s="415" t="s">
        <v>3069</v>
      </c>
      <c r="S1091" s="415" t="s">
        <v>3346</v>
      </c>
      <c r="T1091" s="416">
        <v>138</v>
      </c>
      <c r="U1091" s="416">
        <v>138</v>
      </c>
      <c r="V1091" s="416">
        <v>138</v>
      </c>
      <c r="W1091" s="416">
        <v>138</v>
      </c>
      <c r="X1091" s="416">
        <v>135</v>
      </c>
      <c r="Y1091" s="416">
        <v>132</v>
      </c>
      <c r="Z1091" s="416">
        <v>129</v>
      </c>
      <c r="AA1091" s="416">
        <v>129</v>
      </c>
      <c r="AB1091" s="416">
        <v>127</v>
      </c>
      <c r="AC1091" s="416">
        <v>125</v>
      </c>
      <c r="AD1091" s="416">
        <v>123</v>
      </c>
      <c r="AE1091" s="416">
        <v>121</v>
      </c>
      <c r="AF1091" s="416">
        <v>119</v>
      </c>
      <c r="AG1091" s="416">
        <v>117</v>
      </c>
      <c r="AH1091" s="416">
        <v>115</v>
      </c>
      <c r="AI1091" s="416">
        <v>114</v>
      </c>
      <c r="AJ1091" s="416">
        <v>113</v>
      </c>
      <c r="AK1091" s="416">
        <v>111</v>
      </c>
      <c r="AL1091" s="416">
        <v>87.4</v>
      </c>
      <c r="AM1091" s="416">
        <v>57.5</v>
      </c>
      <c r="AN1091" s="416">
        <v>44.4</v>
      </c>
      <c r="AO1091" s="416">
        <v>32.9</v>
      </c>
      <c r="AP1091" s="416">
        <v>24.5</v>
      </c>
      <c r="AQ1091" s="416">
        <v>18.3</v>
      </c>
      <c r="AR1091" s="416">
        <v>12.6</v>
      </c>
      <c r="AS1091" s="416">
        <v>8.41</v>
      </c>
      <c r="AT1091" s="416">
        <v>6.18</v>
      </c>
      <c r="AU1091" s="416">
        <v>4.37</v>
      </c>
      <c r="AV1091" s="416">
        <v>2.77</v>
      </c>
      <c r="AW1091" s="416">
        <v>1.62</v>
      </c>
      <c r="AX1091" s="416">
        <v>0</v>
      </c>
      <c r="AY1091" s="416">
        <v>0</v>
      </c>
      <c r="AZ1091" s="416">
        <v>0</v>
      </c>
    </row>
    <row r="1092" spans="1:52" x14ac:dyDescent="0.25">
      <c r="A1092" s="415" t="str">
        <f t="shared" si="16"/>
        <v>SA-409 Gr.TP321</v>
      </c>
      <c r="B1092" s="415">
        <v>1086</v>
      </c>
      <c r="C1092" s="415" t="s">
        <v>3365</v>
      </c>
      <c r="D1092" s="415" t="s">
        <v>2680</v>
      </c>
      <c r="E1092" s="415" t="s">
        <v>2231</v>
      </c>
      <c r="F1092" s="415" t="s">
        <v>2575</v>
      </c>
      <c r="G1092" s="415" t="s">
        <v>3366</v>
      </c>
      <c r="H1092" s="415">
        <v>0</v>
      </c>
      <c r="I1092" s="415">
        <v>0</v>
      </c>
      <c r="J1092" s="415">
        <v>8</v>
      </c>
      <c r="K1092" s="415">
        <v>1</v>
      </c>
      <c r="L1092" s="415">
        <v>515</v>
      </c>
      <c r="M1092" s="415">
        <v>205</v>
      </c>
      <c r="N1092" s="415" t="s">
        <v>2675</v>
      </c>
      <c r="O1092" s="415">
        <v>427</v>
      </c>
      <c r="P1092" s="415" t="s">
        <v>2675</v>
      </c>
      <c r="Q1092" s="415" t="s">
        <v>2675</v>
      </c>
      <c r="R1092" s="415" t="s">
        <v>3069</v>
      </c>
      <c r="S1092" s="415" t="s">
        <v>3208</v>
      </c>
      <c r="T1092" s="416">
        <v>138</v>
      </c>
      <c r="U1092" s="416">
        <v>138</v>
      </c>
      <c r="V1092" s="416">
        <v>138</v>
      </c>
      <c r="W1092" s="416">
        <v>138</v>
      </c>
      <c r="X1092" s="416">
        <v>135</v>
      </c>
      <c r="Y1092" s="416">
        <v>132</v>
      </c>
      <c r="Z1092" s="416">
        <v>129</v>
      </c>
      <c r="AA1092" s="416">
        <v>129</v>
      </c>
      <c r="AB1092" s="416">
        <v>127</v>
      </c>
      <c r="AC1092" s="416">
        <v>125</v>
      </c>
      <c r="AD1092" s="416">
        <v>123</v>
      </c>
      <c r="AE1092" s="416">
        <v>120</v>
      </c>
      <c r="AF1092" s="416">
        <v>119</v>
      </c>
      <c r="AG1092" s="416">
        <v>117</v>
      </c>
      <c r="AH1092" s="416">
        <v>115</v>
      </c>
      <c r="AI1092" s="416">
        <v>0</v>
      </c>
      <c r="AJ1092" s="416">
        <v>0</v>
      </c>
      <c r="AK1092" s="416">
        <v>0</v>
      </c>
      <c r="AL1092" s="416">
        <v>0</v>
      </c>
      <c r="AM1092" s="416">
        <v>0</v>
      </c>
      <c r="AN1092" s="416">
        <v>0</v>
      </c>
      <c r="AO1092" s="416">
        <v>0</v>
      </c>
      <c r="AP1092" s="416">
        <v>0</v>
      </c>
      <c r="AQ1092" s="416">
        <v>0</v>
      </c>
      <c r="AR1092" s="416">
        <v>0</v>
      </c>
      <c r="AS1092" s="416">
        <v>0</v>
      </c>
      <c r="AT1092" s="416">
        <v>0</v>
      </c>
      <c r="AU1092" s="416">
        <v>0</v>
      </c>
      <c r="AV1092" s="416">
        <v>0</v>
      </c>
      <c r="AW1092" s="416">
        <v>0</v>
      </c>
      <c r="AX1092" s="416">
        <v>0</v>
      </c>
      <c r="AY1092" s="416">
        <v>0</v>
      </c>
      <c r="AZ1092" s="416">
        <v>0</v>
      </c>
    </row>
    <row r="1093" spans="1:52" x14ac:dyDescent="0.25">
      <c r="A1093" s="415" t="str">
        <f t="shared" si="16"/>
        <v>SA-479 Gr.321</v>
      </c>
      <c r="B1093" s="415">
        <v>1087</v>
      </c>
      <c r="C1093" s="415" t="s">
        <v>3365</v>
      </c>
      <c r="D1093" s="415" t="s">
        <v>2677</v>
      </c>
      <c r="E1093" s="415" t="s">
        <v>2245</v>
      </c>
      <c r="F1093" s="415">
        <v>321</v>
      </c>
      <c r="G1093" s="415" t="s">
        <v>3366</v>
      </c>
      <c r="H1093" s="415">
        <v>0</v>
      </c>
      <c r="I1093" s="415">
        <v>0</v>
      </c>
      <c r="J1093" s="415">
        <v>8</v>
      </c>
      <c r="K1093" s="415">
        <v>1</v>
      </c>
      <c r="L1093" s="415">
        <v>515</v>
      </c>
      <c r="M1093" s="415">
        <v>205</v>
      </c>
      <c r="N1093" s="415">
        <v>816</v>
      </c>
      <c r="O1093" s="415" t="s">
        <v>2675</v>
      </c>
      <c r="P1093" s="415" t="s">
        <v>2675</v>
      </c>
      <c r="Q1093" s="415" t="s">
        <v>2675</v>
      </c>
      <c r="R1093" s="415" t="s">
        <v>3069</v>
      </c>
      <c r="S1093" s="415" t="s">
        <v>3259</v>
      </c>
      <c r="T1093" s="416">
        <v>138</v>
      </c>
      <c r="U1093" s="416">
        <v>138</v>
      </c>
      <c r="V1093" s="416">
        <v>138</v>
      </c>
      <c r="W1093" s="416">
        <v>138</v>
      </c>
      <c r="X1093" s="416">
        <v>135</v>
      </c>
      <c r="Y1093" s="416">
        <v>132</v>
      </c>
      <c r="Z1093" s="416">
        <v>129</v>
      </c>
      <c r="AA1093" s="416">
        <v>129</v>
      </c>
      <c r="AB1093" s="416">
        <v>127</v>
      </c>
      <c r="AC1093" s="416">
        <v>125</v>
      </c>
      <c r="AD1093" s="416">
        <v>123</v>
      </c>
      <c r="AE1093" s="416">
        <v>120</v>
      </c>
      <c r="AF1093" s="416">
        <v>119</v>
      </c>
      <c r="AG1093" s="416">
        <v>117</v>
      </c>
      <c r="AH1093" s="416">
        <v>115</v>
      </c>
      <c r="AI1093" s="416">
        <v>114</v>
      </c>
      <c r="AJ1093" s="416">
        <v>113</v>
      </c>
      <c r="AK1093" s="416">
        <v>112</v>
      </c>
      <c r="AL1093" s="416">
        <v>94.6</v>
      </c>
      <c r="AM1093" s="416">
        <v>59.2</v>
      </c>
      <c r="AN1093" s="416">
        <v>44.8</v>
      </c>
      <c r="AO1093" s="416">
        <v>32.9</v>
      </c>
      <c r="AP1093" s="416">
        <v>24.5</v>
      </c>
      <c r="AQ1093" s="416">
        <v>18.3</v>
      </c>
      <c r="AR1093" s="416">
        <v>12.6</v>
      </c>
      <c r="AS1093" s="416">
        <v>8.41</v>
      </c>
      <c r="AT1093" s="416">
        <v>6.18</v>
      </c>
      <c r="AU1093" s="416">
        <v>4.37</v>
      </c>
      <c r="AV1093" s="416">
        <v>2.77</v>
      </c>
      <c r="AW1093" s="416">
        <v>1.62</v>
      </c>
      <c r="AX1093" s="416">
        <v>0</v>
      </c>
      <c r="AY1093" s="416">
        <v>0</v>
      </c>
      <c r="AZ1093" s="416">
        <v>0</v>
      </c>
    </row>
    <row r="1094" spans="1:52" x14ac:dyDescent="0.25">
      <c r="A1094" s="415" t="str">
        <f t="shared" si="16"/>
        <v>SA-479 Gr.321</v>
      </c>
      <c r="B1094" s="415">
        <v>1088</v>
      </c>
      <c r="C1094" s="415" t="s">
        <v>3365</v>
      </c>
      <c r="D1094" s="415" t="s">
        <v>2677</v>
      </c>
      <c r="E1094" s="415" t="s">
        <v>2245</v>
      </c>
      <c r="F1094" s="415">
        <v>321</v>
      </c>
      <c r="G1094" s="415" t="s">
        <v>3366</v>
      </c>
      <c r="H1094" s="415">
        <v>0</v>
      </c>
      <c r="I1094" s="415">
        <v>0</v>
      </c>
      <c r="J1094" s="415">
        <v>8</v>
      </c>
      <c r="K1094" s="415">
        <v>1</v>
      </c>
      <c r="L1094" s="415">
        <v>515</v>
      </c>
      <c r="M1094" s="415">
        <v>205</v>
      </c>
      <c r="N1094" s="415">
        <v>816</v>
      </c>
      <c r="O1094" s="415" t="s">
        <v>2675</v>
      </c>
      <c r="P1094" s="415">
        <v>816</v>
      </c>
      <c r="Q1094" s="415">
        <v>343</v>
      </c>
      <c r="R1094" s="415" t="s">
        <v>3069</v>
      </c>
      <c r="S1094" s="415" t="s">
        <v>3360</v>
      </c>
      <c r="T1094" s="416">
        <v>138</v>
      </c>
      <c r="U1094" s="416">
        <v>138</v>
      </c>
      <c r="V1094" s="416">
        <v>130</v>
      </c>
      <c r="W1094" s="416">
        <v>123</v>
      </c>
      <c r="X1094" s="416">
        <v>118</v>
      </c>
      <c r="Y1094" s="416">
        <v>114</v>
      </c>
      <c r="Z1094" s="416">
        <v>106</v>
      </c>
      <c r="AA1094" s="416">
        <v>99.7</v>
      </c>
      <c r="AB1094" s="416">
        <v>94.5</v>
      </c>
      <c r="AC1094" s="416">
        <v>92.3</v>
      </c>
      <c r="AD1094" s="416">
        <v>90.7</v>
      </c>
      <c r="AE1094" s="416">
        <v>89.4</v>
      </c>
      <c r="AF1094" s="416">
        <v>87.5</v>
      </c>
      <c r="AG1094" s="416">
        <v>86.9</v>
      </c>
      <c r="AH1094" s="416">
        <v>85.7</v>
      </c>
      <c r="AI1094" s="416">
        <v>85</v>
      </c>
      <c r="AJ1094" s="416">
        <v>83.9</v>
      </c>
      <c r="AK1094" s="416">
        <v>83</v>
      </c>
      <c r="AL1094" s="416">
        <v>77.599999999999994</v>
      </c>
      <c r="AM1094" s="416">
        <v>59.2</v>
      </c>
      <c r="AN1094" s="416">
        <v>44.8</v>
      </c>
      <c r="AO1094" s="416">
        <v>32.9</v>
      </c>
      <c r="AP1094" s="416">
        <v>24.5</v>
      </c>
      <c r="AQ1094" s="416">
        <v>18.3</v>
      </c>
      <c r="AR1094" s="416">
        <v>12.6</v>
      </c>
      <c r="AS1094" s="416">
        <v>8.41</v>
      </c>
      <c r="AT1094" s="416">
        <v>6.18</v>
      </c>
      <c r="AU1094" s="416">
        <v>4.37</v>
      </c>
      <c r="AV1094" s="416">
        <v>2.77</v>
      </c>
      <c r="AW1094" s="416">
        <v>1.62</v>
      </c>
      <c r="AX1094" s="416">
        <v>0</v>
      </c>
      <c r="AY1094" s="416">
        <v>0</v>
      </c>
      <c r="AZ1094" s="416">
        <v>0</v>
      </c>
    </row>
    <row r="1095" spans="1:52" x14ac:dyDescent="0.25">
      <c r="A1095" s="415" t="str">
        <f t="shared" si="16"/>
        <v>SA-479 Gr.321</v>
      </c>
      <c r="B1095" s="415">
        <v>1089</v>
      </c>
      <c r="C1095" s="415" t="s">
        <v>3365</v>
      </c>
      <c r="D1095" s="415" t="s">
        <v>2677</v>
      </c>
      <c r="E1095" s="415" t="s">
        <v>2245</v>
      </c>
      <c r="F1095" s="415">
        <v>321</v>
      </c>
      <c r="G1095" s="415" t="s">
        <v>3366</v>
      </c>
      <c r="H1095" s="415">
        <v>0</v>
      </c>
      <c r="I1095" s="415">
        <v>0</v>
      </c>
      <c r="J1095" s="415">
        <v>8</v>
      </c>
      <c r="K1095" s="415">
        <v>1</v>
      </c>
      <c r="L1095" s="415">
        <v>515</v>
      </c>
      <c r="M1095" s="415">
        <v>205</v>
      </c>
      <c r="N1095" s="415" t="s">
        <v>2675</v>
      </c>
      <c r="O1095" s="415">
        <v>427</v>
      </c>
      <c r="P1095" s="415">
        <v>816</v>
      </c>
      <c r="Q1095" s="415">
        <v>343</v>
      </c>
      <c r="R1095" s="415" t="s">
        <v>3069</v>
      </c>
      <c r="S1095" s="415" t="s">
        <v>3359</v>
      </c>
      <c r="T1095" s="416">
        <v>138</v>
      </c>
      <c r="U1095" s="416">
        <v>138</v>
      </c>
      <c r="V1095" s="416">
        <v>138</v>
      </c>
      <c r="W1095" s="416">
        <v>138</v>
      </c>
      <c r="X1095" s="416">
        <v>135</v>
      </c>
      <c r="Y1095" s="416">
        <v>132</v>
      </c>
      <c r="Z1095" s="416">
        <v>129</v>
      </c>
      <c r="AA1095" s="416">
        <v>129</v>
      </c>
      <c r="AB1095" s="416">
        <v>127</v>
      </c>
      <c r="AC1095" s="416">
        <v>125</v>
      </c>
      <c r="AD1095" s="416">
        <v>123</v>
      </c>
      <c r="AE1095" s="416">
        <v>121</v>
      </c>
      <c r="AF1095" s="416">
        <v>119</v>
      </c>
      <c r="AG1095" s="416">
        <v>117</v>
      </c>
      <c r="AH1095" s="416">
        <v>115</v>
      </c>
      <c r="AI1095" s="416">
        <v>114</v>
      </c>
      <c r="AJ1095" s="416">
        <v>113</v>
      </c>
      <c r="AK1095" s="416">
        <v>111</v>
      </c>
      <c r="AL1095" s="416">
        <v>87.4</v>
      </c>
      <c r="AM1095" s="416">
        <v>57.5</v>
      </c>
      <c r="AN1095" s="416">
        <v>44.4</v>
      </c>
      <c r="AO1095" s="416">
        <v>32.9</v>
      </c>
      <c r="AP1095" s="416">
        <v>24.5</v>
      </c>
      <c r="AQ1095" s="416">
        <v>18.3</v>
      </c>
      <c r="AR1095" s="416">
        <v>12.6</v>
      </c>
      <c r="AS1095" s="416">
        <v>8.41</v>
      </c>
      <c r="AT1095" s="416">
        <v>6.18</v>
      </c>
      <c r="AU1095" s="416">
        <v>4.37</v>
      </c>
      <c r="AV1095" s="416">
        <v>2.77</v>
      </c>
      <c r="AW1095" s="416">
        <v>1.62</v>
      </c>
      <c r="AX1095" s="416">
        <v>0</v>
      </c>
      <c r="AY1095" s="416">
        <v>0</v>
      </c>
      <c r="AZ1095" s="416">
        <v>0</v>
      </c>
    </row>
    <row r="1096" spans="1:52" x14ac:dyDescent="0.25">
      <c r="A1096" s="415" t="str">
        <f t="shared" ref="A1096:A1159" si="17">CONCATENATE(E1096," Gr.",F1096)</f>
        <v>SA-813 Gr.TP321</v>
      </c>
      <c r="B1096" s="415">
        <v>1090</v>
      </c>
      <c r="C1096" s="415" t="s">
        <v>3365</v>
      </c>
      <c r="D1096" s="415" t="s">
        <v>2680</v>
      </c>
      <c r="E1096" s="415" t="s">
        <v>2328</v>
      </c>
      <c r="F1096" s="415" t="s">
        <v>2575</v>
      </c>
      <c r="G1096" s="415" t="s">
        <v>3366</v>
      </c>
      <c r="H1096" s="415">
        <v>0</v>
      </c>
      <c r="I1096" s="415">
        <v>0</v>
      </c>
      <c r="J1096" s="415">
        <v>8</v>
      </c>
      <c r="K1096" s="415">
        <v>1</v>
      </c>
      <c r="L1096" s="415">
        <v>515</v>
      </c>
      <c r="M1096" s="415">
        <v>205</v>
      </c>
      <c r="N1096" s="415" t="s">
        <v>2675</v>
      </c>
      <c r="O1096" s="415">
        <v>427</v>
      </c>
      <c r="P1096" s="415" t="s">
        <v>2675</v>
      </c>
      <c r="Q1096" s="415" t="s">
        <v>2675</v>
      </c>
      <c r="R1096" s="415" t="s">
        <v>3069</v>
      </c>
      <c r="S1096" s="415" t="s">
        <v>3345</v>
      </c>
      <c r="T1096" s="416">
        <v>138</v>
      </c>
      <c r="U1096" s="416">
        <v>138</v>
      </c>
      <c r="V1096" s="416">
        <v>138</v>
      </c>
      <c r="W1096" s="416">
        <v>138</v>
      </c>
      <c r="X1096" s="416">
        <v>135</v>
      </c>
      <c r="Y1096" s="416">
        <v>132</v>
      </c>
      <c r="Z1096" s="416">
        <v>129</v>
      </c>
      <c r="AA1096" s="416">
        <v>129</v>
      </c>
      <c r="AB1096" s="416">
        <v>127</v>
      </c>
      <c r="AC1096" s="416">
        <v>125</v>
      </c>
      <c r="AD1096" s="416">
        <v>123</v>
      </c>
      <c r="AE1096" s="416">
        <v>120</v>
      </c>
      <c r="AF1096" s="416">
        <v>119</v>
      </c>
      <c r="AG1096" s="416">
        <v>117</v>
      </c>
      <c r="AH1096" s="416">
        <v>115</v>
      </c>
      <c r="AI1096" s="416">
        <v>0</v>
      </c>
      <c r="AJ1096" s="416">
        <v>0</v>
      </c>
      <c r="AK1096" s="416">
        <v>0</v>
      </c>
      <c r="AL1096" s="416">
        <v>0</v>
      </c>
      <c r="AM1096" s="416">
        <v>0</v>
      </c>
      <c r="AN1096" s="416">
        <v>0</v>
      </c>
      <c r="AO1096" s="416">
        <v>0</v>
      </c>
      <c r="AP1096" s="416">
        <v>0</v>
      </c>
      <c r="AQ1096" s="416">
        <v>0</v>
      </c>
      <c r="AR1096" s="416">
        <v>0</v>
      </c>
      <c r="AS1096" s="416">
        <v>0</v>
      </c>
      <c r="AT1096" s="416">
        <v>0</v>
      </c>
      <c r="AU1096" s="416">
        <v>0</v>
      </c>
      <c r="AV1096" s="416">
        <v>0</v>
      </c>
      <c r="AW1096" s="416">
        <v>0</v>
      </c>
      <c r="AX1096" s="416">
        <v>0</v>
      </c>
      <c r="AY1096" s="416">
        <v>0</v>
      </c>
      <c r="AZ1096" s="416">
        <v>0</v>
      </c>
    </row>
    <row r="1097" spans="1:52" x14ac:dyDescent="0.25">
      <c r="A1097" s="415" t="str">
        <f t="shared" si="17"/>
        <v>SA-814 Gr.TP321</v>
      </c>
      <c r="B1097" s="415">
        <v>1091</v>
      </c>
      <c r="C1097" s="415" t="s">
        <v>3365</v>
      </c>
      <c r="D1097" s="415" t="s">
        <v>2680</v>
      </c>
      <c r="E1097" s="415" t="s">
        <v>2330</v>
      </c>
      <c r="F1097" s="415" t="s">
        <v>2575</v>
      </c>
      <c r="G1097" s="415" t="s">
        <v>3366</v>
      </c>
      <c r="H1097" s="415">
        <v>0</v>
      </c>
      <c r="I1097" s="415">
        <v>0</v>
      </c>
      <c r="J1097" s="415">
        <v>8</v>
      </c>
      <c r="K1097" s="415">
        <v>1</v>
      </c>
      <c r="L1097" s="415">
        <v>515</v>
      </c>
      <c r="M1097" s="415">
        <v>205</v>
      </c>
      <c r="N1097" s="415" t="s">
        <v>2675</v>
      </c>
      <c r="O1097" s="415">
        <v>427</v>
      </c>
      <c r="P1097" s="415" t="s">
        <v>2675</v>
      </c>
      <c r="Q1097" s="415" t="s">
        <v>2675</v>
      </c>
      <c r="R1097" s="415" t="s">
        <v>3069</v>
      </c>
      <c r="S1097" s="415" t="s">
        <v>3208</v>
      </c>
      <c r="T1097" s="416">
        <v>138</v>
      </c>
      <c r="U1097" s="416">
        <v>138</v>
      </c>
      <c r="V1097" s="416">
        <v>138</v>
      </c>
      <c r="W1097" s="416">
        <v>138</v>
      </c>
      <c r="X1097" s="416">
        <v>135</v>
      </c>
      <c r="Y1097" s="416">
        <v>132</v>
      </c>
      <c r="Z1097" s="416">
        <v>129</v>
      </c>
      <c r="AA1097" s="416">
        <v>129</v>
      </c>
      <c r="AB1097" s="416">
        <v>127</v>
      </c>
      <c r="AC1097" s="416">
        <v>125</v>
      </c>
      <c r="AD1097" s="416">
        <v>123</v>
      </c>
      <c r="AE1097" s="416">
        <v>120</v>
      </c>
      <c r="AF1097" s="416">
        <v>119</v>
      </c>
      <c r="AG1097" s="416">
        <v>117</v>
      </c>
      <c r="AH1097" s="416">
        <v>115</v>
      </c>
      <c r="AI1097" s="416">
        <v>0</v>
      </c>
      <c r="AJ1097" s="416">
        <v>0</v>
      </c>
      <c r="AK1097" s="416">
        <v>0</v>
      </c>
      <c r="AL1097" s="416">
        <v>0</v>
      </c>
      <c r="AM1097" s="416">
        <v>0</v>
      </c>
      <c r="AN1097" s="416">
        <v>0</v>
      </c>
      <c r="AO1097" s="416">
        <v>0</v>
      </c>
      <c r="AP1097" s="416">
        <v>0</v>
      </c>
      <c r="AQ1097" s="416">
        <v>0</v>
      </c>
      <c r="AR1097" s="416">
        <v>0</v>
      </c>
      <c r="AS1097" s="416">
        <v>0</v>
      </c>
      <c r="AT1097" s="416">
        <v>0</v>
      </c>
      <c r="AU1097" s="416">
        <v>0</v>
      </c>
      <c r="AV1097" s="416">
        <v>0</v>
      </c>
      <c r="AW1097" s="416">
        <v>0</v>
      </c>
      <c r="AX1097" s="416">
        <v>0</v>
      </c>
      <c r="AY1097" s="416">
        <v>0</v>
      </c>
      <c r="AZ1097" s="416">
        <v>0</v>
      </c>
    </row>
    <row r="1098" spans="1:52" x14ac:dyDescent="0.25">
      <c r="A1098" s="415" t="str">
        <f t="shared" si="17"/>
        <v>SA-182 Gr.F321H</v>
      </c>
      <c r="B1098" s="415">
        <v>1092</v>
      </c>
      <c r="C1098" s="415" t="s">
        <v>3365</v>
      </c>
      <c r="D1098" s="415" t="s">
        <v>2737</v>
      </c>
      <c r="E1098" s="415" t="s">
        <v>2188</v>
      </c>
      <c r="F1098" s="415" t="s">
        <v>2446</v>
      </c>
      <c r="G1098" s="415" t="s">
        <v>3368</v>
      </c>
      <c r="H1098" s="415">
        <v>0</v>
      </c>
      <c r="I1098" s="415" t="s">
        <v>3207</v>
      </c>
      <c r="J1098" s="415">
        <v>8</v>
      </c>
      <c r="K1098" s="415">
        <v>1</v>
      </c>
      <c r="L1098" s="415">
        <v>515</v>
      </c>
      <c r="M1098" s="415">
        <v>205</v>
      </c>
      <c r="N1098" s="415">
        <v>816</v>
      </c>
      <c r="O1098" s="415">
        <v>427</v>
      </c>
      <c r="P1098" s="415">
        <v>816</v>
      </c>
      <c r="Q1098" s="415" t="s">
        <v>2675</v>
      </c>
      <c r="R1098" s="415" t="s">
        <v>3069</v>
      </c>
      <c r="S1098" s="415" t="s">
        <v>3334</v>
      </c>
      <c r="T1098" s="416">
        <v>138</v>
      </c>
      <c r="U1098" s="416">
        <v>138</v>
      </c>
      <c r="V1098" s="416">
        <v>138</v>
      </c>
      <c r="W1098" s="416">
        <v>138</v>
      </c>
      <c r="X1098" s="416">
        <v>135</v>
      </c>
      <c r="Y1098" s="416">
        <v>132</v>
      </c>
      <c r="Z1098" s="416">
        <v>129</v>
      </c>
      <c r="AA1098" s="416">
        <v>129</v>
      </c>
      <c r="AB1098" s="416">
        <v>127</v>
      </c>
      <c r="AC1098" s="416">
        <v>125</v>
      </c>
      <c r="AD1098" s="416">
        <v>123</v>
      </c>
      <c r="AE1098" s="416">
        <v>121</v>
      </c>
      <c r="AF1098" s="416">
        <v>119</v>
      </c>
      <c r="AG1098" s="416">
        <v>117</v>
      </c>
      <c r="AH1098" s="416">
        <v>115</v>
      </c>
      <c r="AI1098" s="416">
        <v>114</v>
      </c>
      <c r="AJ1098" s="416">
        <v>113</v>
      </c>
      <c r="AK1098" s="416">
        <v>112</v>
      </c>
      <c r="AL1098" s="416">
        <v>103</v>
      </c>
      <c r="AM1098" s="416">
        <v>77.7</v>
      </c>
      <c r="AN1098" s="416">
        <v>58.7</v>
      </c>
      <c r="AO1098" s="416">
        <v>46</v>
      </c>
      <c r="AP1098" s="416">
        <v>36.9</v>
      </c>
      <c r="AQ1098" s="416">
        <v>28.7</v>
      </c>
      <c r="AR1098" s="416">
        <v>22.9</v>
      </c>
      <c r="AS1098" s="416">
        <v>18.399999999999999</v>
      </c>
      <c r="AT1098" s="416">
        <v>14.4</v>
      </c>
      <c r="AU1098" s="416">
        <v>11.5</v>
      </c>
      <c r="AV1098" s="416">
        <v>9.16</v>
      </c>
      <c r="AW1098" s="416">
        <v>6.64</v>
      </c>
      <c r="AX1098" s="416">
        <v>0</v>
      </c>
      <c r="AY1098" s="416">
        <v>0</v>
      </c>
      <c r="AZ1098" s="416">
        <v>0</v>
      </c>
    </row>
    <row r="1099" spans="1:52" x14ac:dyDescent="0.25">
      <c r="A1099" s="415" t="str">
        <f t="shared" si="17"/>
        <v>SA-182 Gr.F321H</v>
      </c>
      <c r="B1099" s="415">
        <v>1093</v>
      </c>
      <c r="C1099" s="415" t="s">
        <v>3365</v>
      </c>
      <c r="D1099" s="415" t="s">
        <v>2737</v>
      </c>
      <c r="E1099" s="415" t="s">
        <v>2188</v>
      </c>
      <c r="F1099" s="415" t="s">
        <v>2446</v>
      </c>
      <c r="G1099" s="415" t="s">
        <v>3368</v>
      </c>
      <c r="H1099" s="415">
        <v>0</v>
      </c>
      <c r="I1099" s="415" t="s">
        <v>3207</v>
      </c>
      <c r="J1099" s="415">
        <v>8</v>
      </c>
      <c r="K1099" s="415">
        <v>1</v>
      </c>
      <c r="L1099" s="415">
        <v>515</v>
      </c>
      <c r="M1099" s="415">
        <v>205</v>
      </c>
      <c r="N1099" s="415">
        <v>816</v>
      </c>
      <c r="O1099" s="415" t="s">
        <v>2675</v>
      </c>
      <c r="P1099" s="415">
        <v>816</v>
      </c>
      <c r="Q1099" s="415" t="s">
        <v>2675</v>
      </c>
      <c r="R1099" s="415" t="s">
        <v>3069</v>
      </c>
      <c r="S1099" s="415" t="s">
        <v>3371</v>
      </c>
      <c r="T1099" s="416">
        <v>138</v>
      </c>
      <c r="U1099" s="416">
        <v>138</v>
      </c>
      <c r="V1099" s="416">
        <v>131</v>
      </c>
      <c r="W1099" s="416">
        <v>123</v>
      </c>
      <c r="X1099" s="416">
        <v>118</v>
      </c>
      <c r="Y1099" s="416">
        <v>114</v>
      </c>
      <c r="Z1099" s="416">
        <v>106</v>
      </c>
      <c r="AA1099" s="416">
        <v>99.7</v>
      </c>
      <c r="AB1099" s="416">
        <v>94.5</v>
      </c>
      <c r="AC1099" s="416">
        <v>92.3</v>
      </c>
      <c r="AD1099" s="416">
        <v>90.7</v>
      </c>
      <c r="AE1099" s="416">
        <v>89.4</v>
      </c>
      <c r="AF1099" s="416">
        <v>87.5</v>
      </c>
      <c r="AG1099" s="416">
        <v>86.9</v>
      </c>
      <c r="AH1099" s="416">
        <v>85.7</v>
      </c>
      <c r="AI1099" s="416">
        <v>85</v>
      </c>
      <c r="AJ1099" s="416">
        <v>83.9</v>
      </c>
      <c r="AK1099" s="416">
        <v>83</v>
      </c>
      <c r="AL1099" s="416">
        <v>82.4</v>
      </c>
      <c r="AM1099" s="416">
        <v>77.7</v>
      </c>
      <c r="AN1099" s="416">
        <v>58.7</v>
      </c>
      <c r="AO1099" s="416">
        <v>46</v>
      </c>
      <c r="AP1099" s="416">
        <v>36.9</v>
      </c>
      <c r="AQ1099" s="416">
        <v>28.7</v>
      </c>
      <c r="AR1099" s="416">
        <v>22.9</v>
      </c>
      <c r="AS1099" s="416">
        <v>18.399999999999999</v>
      </c>
      <c r="AT1099" s="416">
        <v>14.4</v>
      </c>
      <c r="AU1099" s="416">
        <v>11.5</v>
      </c>
      <c r="AV1099" s="416">
        <v>9.16</v>
      </c>
      <c r="AW1099" s="416">
        <v>6.64</v>
      </c>
      <c r="AX1099" s="416">
        <v>0</v>
      </c>
      <c r="AY1099" s="416">
        <v>0</v>
      </c>
      <c r="AZ1099" s="416">
        <v>0</v>
      </c>
    </row>
    <row r="1100" spans="1:52" x14ac:dyDescent="0.25">
      <c r="A1100" s="415" t="str">
        <f t="shared" si="17"/>
        <v>SA-213 Gr.TP321H</v>
      </c>
      <c r="B1100" s="415">
        <v>1094</v>
      </c>
      <c r="C1100" s="415" t="s">
        <v>3365</v>
      </c>
      <c r="D1100" s="415" t="s">
        <v>2693</v>
      </c>
      <c r="E1100" s="415" t="s">
        <v>2195</v>
      </c>
      <c r="F1100" s="415" t="s">
        <v>2576</v>
      </c>
      <c r="G1100" s="415" t="s">
        <v>3368</v>
      </c>
      <c r="H1100" s="415">
        <v>0</v>
      </c>
      <c r="I1100" s="415">
        <v>0</v>
      </c>
      <c r="J1100" s="415">
        <v>8</v>
      </c>
      <c r="K1100" s="415">
        <v>1</v>
      </c>
      <c r="L1100" s="415">
        <v>515</v>
      </c>
      <c r="M1100" s="415">
        <v>205</v>
      </c>
      <c r="N1100" s="415">
        <v>816</v>
      </c>
      <c r="O1100" s="415">
        <v>427</v>
      </c>
      <c r="P1100" s="415">
        <v>816</v>
      </c>
      <c r="Q1100" s="415" t="s">
        <v>2675</v>
      </c>
      <c r="R1100" s="415" t="s">
        <v>3069</v>
      </c>
      <c r="S1100" s="415" t="s">
        <v>3334</v>
      </c>
      <c r="T1100" s="416">
        <v>138</v>
      </c>
      <c r="U1100" s="416">
        <v>138</v>
      </c>
      <c r="V1100" s="416">
        <v>138</v>
      </c>
      <c r="W1100" s="416">
        <v>138</v>
      </c>
      <c r="X1100" s="416">
        <v>135</v>
      </c>
      <c r="Y1100" s="416">
        <v>132</v>
      </c>
      <c r="Z1100" s="416">
        <v>129</v>
      </c>
      <c r="AA1100" s="416">
        <v>129</v>
      </c>
      <c r="AB1100" s="416">
        <v>127</v>
      </c>
      <c r="AC1100" s="416">
        <v>125</v>
      </c>
      <c r="AD1100" s="416">
        <v>123</v>
      </c>
      <c r="AE1100" s="416">
        <v>121</v>
      </c>
      <c r="AF1100" s="416">
        <v>119</v>
      </c>
      <c r="AG1100" s="416">
        <v>117</v>
      </c>
      <c r="AH1100" s="416">
        <v>115</v>
      </c>
      <c r="AI1100" s="416">
        <v>114</v>
      </c>
      <c r="AJ1100" s="416">
        <v>113</v>
      </c>
      <c r="AK1100" s="416">
        <v>112</v>
      </c>
      <c r="AL1100" s="416">
        <v>103</v>
      </c>
      <c r="AM1100" s="416">
        <v>77.7</v>
      </c>
      <c r="AN1100" s="416">
        <v>58.7</v>
      </c>
      <c r="AO1100" s="416">
        <v>46</v>
      </c>
      <c r="AP1100" s="416">
        <v>36.9</v>
      </c>
      <c r="AQ1100" s="416">
        <v>28.7</v>
      </c>
      <c r="AR1100" s="416">
        <v>22.9</v>
      </c>
      <c r="AS1100" s="416">
        <v>18.399999999999999</v>
      </c>
      <c r="AT1100" s="416">
        <v>14.4</v>
      </c>
      <c r="AU1100" s="416">
        <v>11.5</v>
      </c>
      <c r="AV1100" s="416">
        <v>9.16</v>
      </c>
      <c r="AW1100" s="416">
        <v>6.64</v>
      </c>
      <c r="AX1100" s="416">
        <v>0</v>
      </c>
      <c r="AY1100" s="416">
        <v>0</v>
      </c>
      <c r="AZ1100" s="416">
        <v>0</v>
      </c>
    </row>
    <row r="1101" spans="1:52" x14ac:dyDescent="0.25">
      <c r="A1101" s="415" t="str">
        <f t="shared" si="17"/>
        <v>SA-213 Gr.TP321H</v>
      </c>
      <c r="B1101" s="415">
        <v>1095</v>
      </c>
      <c r="C1101" s="415" t="s">
        <v>3365</v>
      </c>
      <c r="D1101" s="415" t="s">
        <v>2693</v>
      </c>
      <c r="E1101" s="415" t="s">
        <v>2195</v>
      </c>
      <c r="F1101" s="415" t="s">
        <v>2576</v>
      </c>
      <c r="G1101" s="415" t="s">
        <v>3368</v>
      </c>
      <c r="H1101" s="415">
        <v>0</v>
      </c>
      <c r="I1101" s="415">
        <v>0</v>
      </c>
      <c r="J1101" s="415">
        <v>8</v>
      </c>
      <c r="K1101" s="415">
        <v>1</v>
      </c>
      <c r="L1101" s="415">
        <v>515</v>
      </c>
      <c r="M1101" s="415">
        <v>205</v>
      </c>
      <c r="N1101" s="415">
        <v>816</v>
      </c>
      <c r="O1101" s="415" t="s">
        <v>2675</v>
      </c>
      <c r="P1101" s="415">
        <v>816</v>
      </c>
      <c r="Q1101" s="415" t="s">
        <v>2675</v>
      </c>
      <c r="R1101" s="415" t="s">
        <v>3069</v>
      </c>
      <c r="S1101" s="415" t="s">
        <v>3371</v>
      </c>
      <c r="T1101" s="416">
        <v>138</v>
      </c>
      <c r="U1101" s="416">
        <v>138</v>
      </c>
      <c r="V1101" s="416">
        <v>131</v>
      </c>
      <c r="W1101" s="416">
        <v>123</v>
      </c>
      <c r="X1101" s="416">
        <v>118</v>
      </c>
      <c r="Y1101" s="416">
        <v>114</v>
      </c>
      <c r="Z1101" s="416">
        <v>106</v>
      </c>
      <c r="AA1101" s="416">
        <v>99.7</v>
      </c>
      <c r="AB1101" s="416">
        <v>94.5</v>
      </c>
      <c r="AC1101" s="416">
        <v>92.3</v>
      </c>
      <c r="AD1101" s="416">
        <v>90.7</v>
      </c>
      <c r="AE1101" s="416">
        <v>89.4</v>
      </c>
      <c r="AF1101" s="416">
        <v>87.5</v>
      </c>
      <c r="AG1101" s="416">
        <v>86.9</v>
      </c>
      <c r="AH1101" s="416">
        <v>85.7</v>
      </c>
      <c r="AI1101" s="416">
        <v>85</v>
      </c>
      <c r="AJ1101" s="416">
        <v>83.9</v>
      </c>
      <c r="AK1101" s="416">
        <v>83</v>
      </c>
      <c r="AL1101" s="416">
        <v>82.4</v>
      </c>
      <c r="AM1101" s="416">
        <v>77.7</v>
      </c>
      <c r="AN1101" s="416">
        <v>58.7</v>
      </c>
      <c r="AO1101" s="416">
        <v>46</v>
      </c>
      <c r="AP1101" s="416">
        <v>36.9</v>
      </c>
      <c r="AQ1101" s="416">
        <v>28.7</v>
      </c>
      <c r="AR1101" s="416">
        <v>22.9</v>
      </c>
      <c r="AS1101" s="416">
        <v>18.399999999999999</v>
      </c>
      <c r="AT1101" s="416">
        <v>14.4</v>
      </c>
      <c r="AU1101" s="416">
        <v>11.5</v>
      </c>
      <c r="AV1101" s="416">
        <v>9.16</v>
      </c>
      <c r="AW1101" s="416">
        <v>6.64</v>
      </c>
      <c r="AX1101" s="416">
        <v>0</v>
      </c>
      <c r="AY1101" s="416">
        <v>0</v>
      </c>
      <c r="AZ1101" s="416">
        <v>0</v>
      </c>
    </row>
    <row r="1102" spans="1:52" x14ac:dyDescent="0.25">
      <c r="A1102" s="415" t="str">
        <f t="shared" si="17"/>
        <v>SA-240 Gr.321H</v>
      </c>
      <c r="B1102" s="415">
        <v>1096</v>
      </c>
      <c r="C1102" s="415" t="s">
        <v>3365</v>
      </c>
      <c r="D1102" s="415" t="s">
        <v>2684</v>
      </c>
      <c r="E1102" s="415" t="s">
        <v>2165</v>
      </c>
      <c r="F1102" s="415" t="s">
        <v>2278</v>
      </c>
      <c r="G1102" s="415" t="s">
        <v>3368</v>
      </c>
      <c r="H1102" s="415">
        <v>0</v>
      </c>
      <c r="I1102" s="415">
        <v>0</v>
      </c>
      <c r="J1102" s="415">
        <v>8</v>
      </c>
      <c r="K1102" s="415">
        <v>1</v>
      </c>
      <c r="L1102" s="415">
        <v>515</v>
      </c>
      <c r="M1102" s="415">
        <v>205</v>
      </c>
      <c r="N1102" s="415">
        <v>816</v>
      </c>
      <c r="O1102" s="415">
        <v>427</v>
      </c>
      <c r="P1102" s="415">
        <v>816</v>
      </c>
      <c r="Q1102" s="415" t="s">
        <v>2675</v>
      </c>
      <c r="R1102" s="415" t="s">
        <v>3069</v>
      </c>
      <c r="S1102" s="415" t="s">
        <v>3334</v>
      </c>
      <c r="T1102" s="416">
        <v>138</v>
      </c>
      <c r="U1102" s="416">
        <v>138</v>
      </c>
      <c r="V1102" s="416">
        <v>138</v>
      </c>
      <c r="W1102" s="416">
        <v>138</v>
      </c>
      <c r="X1102" s="416">
        <v>135</v>
      </c>
      <c r="Y1102" s="416">
        <v>132</v>
      </c>
      <c r="Z1102" s="416">
        <v>129</v>
      </c>
      <c r="AA1102" s="416">
        <v>129</v>
      </c>
      <c r="AB1102" s="416">
        <v>127</v>
      </c>
      <c r="AC1102" s="416">
        <v>125</v>
      </c>
      <c r="AD1102" s="416">
        <v>123</v>
      </c>
      <c r="AE1102" s="416">
        <v>121</v>
      </c>
      <c r="AF1102" s="416">
        <v>119</v>
      </c>
      <c r="AG1102" s="416">
        <v>117</v>
      </c>
      <c r="AH1102" s="416">
        <v>115</v>
      </c>
      <c r="AI1102" s="416">
        <v>114</v>
      </c>
      <c r="AJ1102" s="416">
        <v>113</v>
      </c>
      <c r="AK1102" s="416">
        <v>112</v>
      </c>
      <c r="AL1102" s="416">
        <v>103</v>
      </c>
      <c r="AM1102" s="416">
        <v>77.7</v>
      </c>
      <c r="AN1102" s="416">
        <v>58.7</v>
      </c>
      <c r="AO1102" s="416">
        <v>46</v>
      </c>
      <c r="AP1102" s="416">
        <v>36.9</v>
      </c>
      <c r="AQ1102" s="416">
        <v>28.7</v>
      </c>
      <c r="AR1102" s="416">
        <v>22.9</v>
      </c>
      <c r="AS1102" s="416">
        <v>18.399999999999999</v>
      </c>
      <c r="AT1102" s="416">
        <v>14.4</v>
      </c>
      <c r="AU1102" s="416">
        <v>11.5</v>
      </c>
      <c r="AV1102" s="416">
        <v>9.16</v>
      </c>
      <c r="AW1102" s="416">
        <v>6.64</v>
      </c>
      <c r="AX1102" s="416">
        <v>0</v>
      </c>
      <c r="AY1102" s="416">
        <v>0</v>
      </c>
      <c r="AZ1102" s="416">
        <v>0</v>
      </c>
    </row>
    <row r="1103" spans="1:52" x14ac:dyDescent="0.25">
      <c r="A1103" s="415" t="str">
        <f t="shared" si="17"/>
        <v>SA-240 Gr.321H</v>
      </c>
      <c r="B1103" s="415">
        <v>1097</v>
      </c>
      <c r="C1103" s="415" t="s">
        <v>3365</v>
      </c>
      <c r="D1103" s="415" t="s">
        <v>2684</v>
      </c>
      <c r="E1103" s="415" t="s">
        <v>2165</v>
      </c>
      <c r="F1103" s="415" t="s">
        <v>2278</v>
      </c>
      <c r="G1103" s="415" t="s">
        <v>3368</v>
      </c>
      <c r="H1103" s="415">
        <v>0</v>
      </c>
      <c r="I1103" s="415">
        <v>0</v>
      </c>
      <c r="J1103" s="415">
        <v>8</v>
      </c>
      <c r="K1103" s="415">
        <v>1</v>
      </c>
      <c r="L1103" s="415">
        <v>515</v>
      </c>
      <c r="M1103" s="415">
        <v>205</v>
      </c>
      <c r="N1103" s="415">
        <v>816</v>
      </c>
      <c r="O1103" s="415" t="s">
        <v>2675</v>
      </c>
      <c r="P1103" s="415">
        <v>816</v>
      </c>
      <c r="Q1103" s="415" t="s">
        <v>2675</v>
      </c>
      <c r="R1103" s="415" t="s">
        <v>3069</v>
      </c>
      <c r="S1103" s="415" t="s">
        <v>3371</v>
      </c>
      <c r="T1103" s="416">
        <v>138</v>
      </c>
      <c r="U1103" s="416">
        <v>138</v>
      </c>
      <c r="V1103" s="416">
        <v>131</v>
      </c>
      <c r="W1103" s="416">
        <v>123</v>
      </c>
      <c r="X1103" s="416">
        <v>118</v>
      </c>
      <c r="Y1103" s="416">
        <v>114</v>
      </c>
      <c r="Z1103" s="416">
        <v>106</v>
      </c>
      <c r="AA1103" s="416">
        <v>99.7</v>
      </c>
      <c r="AB1103" s="416">
        <v>94.5</v>
      </c>
      <c r="AC1103" s="416">
        <v>92.3</v>
      </c>
      <c r="AD1103" s="416">
        <v>90.7</v>
      </c>
      <c r="AE1103" s="416">
        <v>89.4</v>
      </c>
      <c r="AF1103" s="416">
        <v>87.5</v>
      </c>
      <c r="AG1103" s="416">
        <v>86.9</v>
      </c>
      <c r="AH1103" s="416">
        <v>85.7</v>
      </c>
      <c r="AI1103" s="416">
        <v>85</v>
      </c>
      <c r="AJ1103" s="416">
        <v>83.9</v>
      </c>
      <c r="AK1103" s="416">
        <v>83</v>
      </c>
      <c r="AL1103" s="416">
        <v>82.4</v>
      </c>
      <c r="AM1103" s="416">
        <v>77.7</v>
      </c>
      <c r="AN1103" s="416">
        <v>58.7</v>
      </c>
      <c r="AO1103" s="416">
        <v>46</v>
      </c>
      <c r="AP1103" s="416">
        <v>36.9</v>
      </c>
      <c r="AQ1103" s="416">
        <v>28.7</v>
      </c>
      <c r="AR1103" s="416">
        <v>22.9</v>
      </c>
      <c r="AS1103" s="416">
        <v>18.399999999999999</v>
      </c>
      <c r="AT1103" s="416">
        <v>14.4</v>
      </c>
      <c r="AU1103" s="416">
        <v>11.5</v>
      </c>
      <c r="AV1103" s="416">
        <v>9.16</v>
      </c>
      <c r="AW1103" s="416">
        <v>6.64</v>
      </c>
      <c r="AX1103" s="416">
        <v>0</v>
      </c>
      <c r="AY1103" s="416">
        <v>0</v>
      </c>
      <c r="AZ1103" s="416">
        <v>0</v>
      </c>
    </row>
    <row r="1104" spans="1:52" x14ac:dyDescent="0.25">
      <c r="A1104" s="415" t="str">
        <f t="shared" si="17"/>
        <v>SA-249 Gr.TP321H</v>
      </c>
      <c r="B1104" s="415">
        <v>1098</v>
      </c>
      <c r="C1104" s="415" t="s">
        <v>3365</v>
      </c>
      <c r="D1104" s="415" t="s">
        <v>2689</v>
      </c>
      <c r="E1104" s="415" t="s">
        <v>2200</v>
      </c>
      <c r="F1104" s="415" t="s">
        <v>2576</v>
      </c>
      <c r="G1104" s="415" t="s">
        <v>3368</v>
      </c>
      <c r="H1104" s="415">
        <v>0</v>
      </c>
      <c r="I1104" s="415">
        <v>0</v>
      </c>
      <c r="J1104" s="415">
        <v>8</v>
      </c>
      <c r="K1104" s="415">
        <v>1</v>
      </c>
      <c r="L1104" s="415">
        <v>515</v>
      </c>
      <c r="M1104" s="415">
        <v>205</v>
      </c>
      <c r="N1104" s="415">
        <v>816</v>
      </c>
      <c r="O1104" s="415" t="s">
        <v>2675</v>
      </c>
      <c r="P1104" s="415" t="s">
        <v>2675</v>
      </c>
      <c r="Q1104" s="415" t="s">
        <v>2675</v>
      </c>
      <c r="R1104" s="415" t="s">
        <v>3069</v>
      </c>
      <c r="S1104" s="415" t="s">
        <v>3302</v>
      </c>
      <c r="T1104" s="416">
        <v>138</v>
      </c>
      <c r="U1104" s="416">
        <v>138</v>
      </c>
      <c r="V1104" s="416">
        <v>131</v>
      </c>
      <c r="W1104" s="416">
        <v>123</v>
      </c>
      <c r="X1104" s="416">
        <v>118</v>
      </c>
      <c r="Y1104" s="416">
        <v>114</v>
      </c>
      <c r="Z1104" s="416">
        <v>106</v>
      </c>
      <c r="AA1104" s="416">
        <v>99.7</v>
      </c>
      <c r="AB1104" s="416">
        <v>94.5</v>
      </c>
      <c r="AC1104" s="416">
        <v>92.3</v>
      </c>
      <c r="AD1104" s="416">
        <v>90.7</v>
      </c>
      <c r="AE1104" s="416">
        <v>89.4</v>
      </c>
      <c r="AF1104" s="416">
        <v>87.5</v>
      </c>
      <c r="AG1104" s="416">
        <v>86.9</v>
      </c>
      <c r="AH1104" s="416">
        <v>85.7</v>
      </c>
      <c r="AI1104" s="416">
        <v>85</v>
      </c>
      <c r="AJ1104" s="416">
        <v>83.9</v>
      </c>
      <c r="AK1104" s="416">
        <v>83</v>
      </c>
      <c r="AL1104" s="416">
        <v>82.4</v>
      </c>
      <c r="AM1104" s="416">
        <v>77.7</v>
      </c>
      <c r="AN1104" s="416">
        <v>58.7</v>
      </c>
      <c r="AO1104" s="416">
        <v>46</v>
      </c>
      <c r="AP1104" s="416">
        <v>36.9</v>
      </c>
      <c r="AQ1104" s="416">
        <v>28.7</v>
      </c>
      <c r="AR1104" s="416">
        <v>22.9</v>
      </c>
      <c r="AS1104" s="416">
        <v>18.399999999999999</v>
      </c>
      <c r="AT1104" s="416">
        <v>14.4</v>
      </c>
      <c r="AU1104" s="416">
        <v>11.5</v>
      </c>
      <c r="AV1104" s="416">
        <v>9.16</v>
      </c>
      <c r="AW1104" s="416">
        <v>6.64</v>
      </c>
      <c r="AX1104" s="416">
        <v>0</v>
      </c>
      <c r="AY1104" s="416">
        <v>0</v>
      </c>
      <c r="AZ1104" s="416">
        <v>0</v>
      </c>
    </row>
    <row r="1105" spans="1:52" x14ac:dyDescent="0.25">
      <c r="A1105" s="415" t="str">
        <f t="shared" si="17"/>
        <v>SA-249 Gr.TP321H</v>
      </c>
      <c r="B1105" s="415">
        <v>1099</v>
      </c>
      <c r="C1105" s="415" t="s">
        <v>3365</v>
      </c>
      <c r="D1105" s="415" t="s">
        <v>2689</v>
      </c>
      <c r="E1105" s="415" t="s">
        <v>2200</v>
      </c>
      <c r="F1105" s="415" t="s">
        <v>2576</v>
      </c>
      <c r="G1105" s="415" t="s">
        <v>3368</v>
      </c>
      <c r="H1105" s="415">
        <v>0</v>
      </c>
      <c r="I1105" s="415">
        <v>0</v>
      </c>
      <c r="J1105" s="415">
        <v>8</v>
      </c>
      <c r="K1105" s="415">
        <v>1</v>
      </c>
      <c r="L1105" s="415">
        <v>515</v>
      </c>
      <c r="M1105" s="415">
        <v>205</v>
      </c>
      <c r="N1105" s="415">
        <v>816</v>
      </c>
      <c r="O1105" s="415">
        <v>427</v>
      </c>
      <c r="P1105" s="415" t="s">
        <v>2675</v>
      </c>
      <c r="Q1105" s="415" t="s">
        <v>2675</v>
      </c>
      <c r="R1105" s="415" t="s">
        <v>3069</v>
      </c>
      <c r="S1105" s="415" t="s">
        <v>3244</v>
      </c>
      <c r="T1105" s="416">
        <v>138</v>
      </c>
      <c r="U1105" s="416">
        <v>138</v>
      </c>
      <c r="V1105" s="416">
        <v>138</v>
      </c>
      <c r="W1105" s="416">
        <v>138</v>
      </c>
      <c r="X1105" s="416">
        <v>135</v>
      </c>
      <c r="Y1105" s="416">
        <v>132</v>
      </c>
      <c r="Z1105" s="416">
        <v>129</v>
      </c>
      <c r="AA1105" s="416">
        <v>129</v>
      </c>
      <c r="AB1105" s="416">
        <v>127</v>
      </c>
      <c r="AC1105" s="416">
        <v>125</v>
      </c>
      <c r="AD1105" s="416">
        <v>123</v>
      </c>
      <c r="AE1105" s="416">
        <v>121</v>
      </c>
      <c r="AF1105" s="416">
        <v>119</v>
      </c>
      <c r="AG1105" s="416">
        <v>117</v>
      </c>
      <c r="AH1105" s="416">
        <v>115</v>
      </c>
      <c r="AI1105" s="416">
        <v>114</v>
      </c>
      <c r="AJ1105" s="416">
        <v>113</v>
      </c>
      <c r="AK1105" s="416">
        <v>112</v>
      </c>
      <c r="AL1105" s="416">
        <v>103</v>
      </c>
      <c r="AM1105" s="416">
        <v>77.7</v>
      </c>
      <c r="AN1105" s="416">
        <v>58.7</v>
      </c>
      <c r="AO1105" s="416">
        <v>46</v>
      </c>
      <c r="AP1105" s="416">
        <v>36.9</v>
      </c>
      <c r="AQ1105" s="416">
        <v>28.7</v>
      </c>
      <c r="AR1105" s="416">
        <v>22.9</v>
      </c>
      <c r="AS1105" s="416">
        <v>18.399999999999999</v>
      </c>
      <c r="AT1105" s="416">
        <v>14.4</v>
      </c>
      <c r="AU1105" s="416">
        <v>11.5</v>
      </c>
      <c r="AV1105" s="416">
        <v>9.16</v>
      </c>
      <c r="AW1105" s="416">
        <v>6.64</v>
      </c>
      <c r="AX1105" s="416">
        <v>0</v>
      </c>
      <c r="AY1105" s="416">
        <v>0</v>
      </c>
      <c r="AZ1105" s="416">
        <v>0</v>
      </c>
    </row>
    <row r="1106" spans="1:52" x14ac:dyDescent="0.25">
      <c r="A1106" s="415" t="str">
        <f t="shared" si="17"/>
        <v>SA-249 Gr.TP321H</v>
      </c>
      <c r="B1106" s="415">
        <v>1100</v>
      </c>
      <c r="C1106" s="415" t="s">
        <v>3365</v>
      </c>
      <c r="D1106" s="415" t="s">
        <v>2689</v>
      </c>
      <c r="E1106" s="415" t="s">
        <v>2200</v>
      </c>
      <c r="F1106" s="415" t="s">
        <v>2576</v>
      </c>
      <c r="G1106" s="415" t="s">
        <v>3368</v>
      </c>
      <c r="H1106" s="415">
        <v>0</v>
      </c>
      <c r="I1106" s="415">
        <v>0</v>
      </c>
      <c r="J1106" s="415">
        <v>8</v>
      </c>
      <c r="K1106" s="415">
        <v>1</v>
      </c>
      <c r="L1106" s="415">
        <v>515</v>
      </c>
      <c r="M1106" s="415">
        <v>205</v>
      </c>
      <c r="N1106" s="415">
        <v>816</v>
      </c>
      <c r="O1106" s="415" t="s">
        <v>2675</v>
      </c>
      <c r="P1106" s="415">
        <v>816</v>
      </c>
      <c r="Q1106" s="415" t="s">
        <v>2675</v>
      </c>
      <c r="R1106" s="415" t="s">
        <v>3069</v>
      </c>
      <c r="S1106" s="415" t="s">
        <v>3349</v>
      </c>
      <c r="T1106" s="416">
        <v>117</v>
      </c>
      <c r="U1106" s="416">
        <v>117</v>
      </c>
      <c r="V1106" s="416">
        <v>117</v>
      </c>
      <c r="W1106" s="416">
        <v>117</v>
      </c>
      <c r="X1106" s="416">
        <v>114</v>
      </c>
      <c r="Y1106" s="416">
        <v>112</v>
      </c>
      <c r="Z1106" s="416">
        <v>110</v>
      </c>
      <c r="AA1106" s="416">
        <v>110</v>
      </c>
      <c r="AB1106" s="416">
        <v>108</v>
      </c>
      <c r="AC1106" s="416">
        <v>106</v>
      </c>
      <c r="AD1106" s="416">
        <v>104</v>
      </c>
      <c r="AE1106" s="416">
        <v>102</v>
      </c>
      <c r="AF1106" s="416">
        <v>101</v>
      </c>
      <c r="AG1106" s="416">
        <v>99.4</v>
      </c>
      <c r="AH1106" s="416">
        <v>98.1</v>
      </c>
      <c r="AI1106" s="416">
        <v>97.4</v>
      </c>
      <c r="AJ1106" s="416">
        <v>96.3</v>
      </c>
      <c r="AK1106" s="416">
        <v>95.4</v>
      </c>
      <c r="AL1106" s="416">
        <v>87.8</v>
      </c>
      <c r="AM1106" s="416">
        <v>64.400000000000006</v>
      </c>
      <c r="AN1106" s="416">
        <v>49.7</v>
      </c>
      <c r="AO1106" s="416">
        <v>39.299999999999997</v>
      </c>
      <c r="AP1106" s="416">
        <v>31.4</v>
      </c>
      <c r="AQ1106" s="416">
        <v>24.5</v>
      </c>
      <c r="AR1106" s="416">
        <v>19.399999999999999</v>
      </c>
      <c r="AS1106" s="416">
        <v>15.5</v>
      </c>
      <c r="AT1106" s="416">
        <v>12.1</v>
      </c>
      <c r="AU1106" s="416">
        <v>9.85</v>
      </c>
      <c r="AV1106" s="416">
        <v>7.93</v>
      </c>
      <c r="AW1106" s="416">
        <v>5.62</v>
      </c>
      <c r="AX1106" s="416">
        <v>0</v>
      </c>
      <c r="AY1106" s="416">
        <v>0</v>
      </c>
      <c r="AZ1106" s="416">
        <v>0</v>
      </c>
    </row>
    <row r="1107" spans="1:52" x14ac:dyDescent="0.25">
      <c r="A1107" s="415" t="str">
        <f t="shared" si="17"/>
        <v>SA-249 Gr.TP321H</v>
      </c>
      <c r="B1107" s="415">
        <v>1101</v>
      </c>
      <c r="C1107" s="415" t="s">
        <v>3365</v>
      </c>
      <c r="D1107" s="415" t="s">
        <v>2689</v>
      </c>
      <c r="E1107" s="415" t="s">
        <v>2200</v>
      </c>
      <c r="F1107" s="415" t="s">
        <v>2576</v>
      </c>
      <c r="G1107" s="415" t="s">
        <v>3368</v>
      </c>
      <c r="H1107" s="415">
        <v>0</v>
      </c>
      <c r="I1107" s="415">
        <v>0</v>
      </c>
      <c r="J1107" s="415">
        <v>8</v>
      </c>
      <c r="K1107" s="415">
        <v>1</v>
      </c>
      <c r="L1107" s="415">
        <v>515</v>
      </c>
      <c r="M1107" s="415">
        <v>205</v>
      </c>
      <c r="N1107" s="415">
        <v>816</v>
      </c>
      <c r="O1107" s="415" t="s">
        <v>2675</v>
      </c>
      <c r="P1107" s="415">
        <v>816</v>
      </c>
      <c r="Q1107" s="415" t="s">
        <v>2675</v>
      </c>
      <c r="R1107" s="415" t="s">
        <v>3069</v>
      </c>
      <c r="S1107" s="415" t="s">
        <v>3304</v>
      </c>
      <c r="T1107" s="416">
        <v>117</v>
      </c>
      <c r="U1107" s="416">
        <v>117</v>
      </c>
      <c r="V1107" s="416">
        <v>111</v>
      </c>
      <c r="W1107" s="416">
        <v>104</v>
      </c>
      <c r="X1107" s="416">
        <v>101</v>
      </c>
      <c r="Y1107" s="416">
        <v>97.1</v>
      </c>
      <c r="Z1107" s="416">
        <v>90.2</v>
      </c>
      <c r="AA1107" s="416">
        <v>85</v>
      </c>
      <c r="AB1107" s="416">
        <v>80.599999999999994</v>
      </c>
      <c r="AC1107" s="416">
        <v>78.5</v>
      </c>
      <c r="AD1107" s="416">
        <v>76.900000000000006</v>
      </c>
      <c r="AE1107" s="416">
        <v>75.599999999999994</v>
      </c>
      <c r="AF1107" s="416">
        <v>74.400000000000006</v>
      </c>
      <c r="AG1107" s="416">
        <v>73.8</v>
      </c>
      <c r="AH1107" s="416">
        <v>72.599999999999994</v>
      </c>
      <c r="AI1107" s="416">
        <v>71.8</v>
      </c>
      <c r="AJ1107" s="416">
        <v>71.3</v>
      </c>
      <c r="AK1107" s="416">
        <v>70.599999999999994</v>
      </c>
      <c r="AL1107" s="416">
        <v>69.900000000000006</v>
      </c>
      <c r="AM1107" s="416">
        <v>64</v>
      </c>
      <c r="AN1107" s="416">
        <v>49.7</v>
      </c>
      <c r="AO1107" s="416">
        <v>39.299999999999997</v>
      </c>
      <c r="AP1107" s="416">
        <v>31.4</v>
      </c>
      <c r="AQ1107" s="416">
        <v>24.5</v>
      </c>
      <c r="AR1107" s="416">
        <v>19.399999999999999</v>
      </c>
      <c r="AS1107" s="416">
        <v>15.5</v>
      </c>
      <c r="AT1107" s="416">
        <v>12.1</v>
      </c>
      <c r="AU1107" s="416">
        <v>9.85</v>
      </c>
      <c r="AV1107" s="416">
        <v>7.93</v>
      </c>
      <c r="AW1107" s="416">
        <v>5.62</v>
      </c>
      <c r="AX1107" s="416">
        <v>0</v>
      </c>
      <c r="AY1107" s="416">
        <v>0</v>
      </c>
      <c r="AZ1107" s="416">
        <v>0</v>
      </c>
    </row>
    <row r="1108" spans="1:52" x14ac:dyDescent="0.25">
      <c r="A1108" s="415" t="str">
        <f t="shared" si="17"/>
        <v>SA-312 Gr.TP321H</v>
      </c>
      <c r="B1108" s="415">
        <v>1102</v>
      </c>
      <c r="C1108" s="415" t="s">
        <v>3365</v>
      </c>
      <c r="D1108" s="415" t="s">
        <v>2703</v>
      </c>
      <c r="E1108" s="415" t="s">
        <v>2208</v>
      </c>
      <c r="F1108" s="415" t="s">
        <v>2576</v>
      </c>
      <c r="G1108" s="415" t="s">
        <v>3368</v>
      </c>
      <c r="H1108" s="415">
        <v>0</v>
      </c>
      <c r="I1108" s="415" t="s">
        <v>3059</v>
      </c>
      <c r="J1108" s="415">
        <v>8</v>
      </c>
      <c r="K1108" s="415">
        <v>1</v>
      </c>
      <c r="L1108" s="415">
        <v>515</v>
      </c>
      <c r="M1108" s="415">
        <v>205</v>
      </c>
      <c r="N1108" s="415">
        <v>816</v>
      </c>
      <c r="O1108" s="415">
        <v>427</v>
      </c>
      <c r="P1108" s="415">
        <v>816</v>
      </c>
      <c r="Q1108" s="415" t="s">
        <v>2675</v>
      </c>
      <c r="R1108" s="415" t="s">
        <v>3069</v>
      </c>
      <c r="S1108" s="415" t="s">
        <v>3240</v>
      </c>
      <c r="T1108" s="416">
        <v>138</v>
      </c>
      <c r="U1108" s="416">
        <v>138</v>
      </c>
      <c r="V1108" s="416">
        <v>138</v>
      </c>
      <c r="W1108" s="416">
        <v>138</v>
      </c>
      <c r="X1108" s="416">
        <v>135</v>
      </c>
      <c r="Y1108" s="416">
        <v>132</v>
      </c>
      <c r="Z1108" s="416">
        <v>129</v>
      </c>
      <c r="AA1108" s="416">
        <v>129</v>
      </c>
      <c r="AB1108" s="416">
        <v>127</v>
      </c>
      <c r="AC1108" s="416">
        <v>125</v>
      </c>
      <c r="AD1108" s="416">
        <v>123</v>
      </c>
      <c r="AE1108" s="416">
        <v>121</v>
      </c>
      <c r="AF1108" s="416">
        <v>119</v>
      </c>
      <c r="AG1108" s="416">
        <v>117</v>
      </c>
      <c r="AH1108" s="416">
        <v>115</v>
      </c>
      <c r="AI1108" s="416">
        <v>114</v>
      </c>
      <c r="AJ1108" s="416">
        <v>113</v>
      </c>
      <c r="AK1108" s="416">
        <v>112</v>
      </c>
      <c r="AL1108" s="416">
        <v>103</v>
      </c>
      <c r="AM1108" s="416">
        <v>77.7</v>
      </c>
      <c r="AN1108" s="416">
        <v>58.7</v>
      </c>
      <c r="AO1108" s="416">
        <v>46</v>
      </c>
      <c r="AP1108" s="416">
        <v>36.9</v>
      </c>
      <c r="AQ1108" s="416">
        <v>28.7</v>
      </c>
      <c r="AR1108" s="416">
        <v>22.9</v>
      </c>
      <c r="AS1108" s="416">
        <v>18.399999999999999</v>
      </c>
      <c r="AT1108" s="416">
        <v>14.4</v>
      </c>
      <c r="AU1108" s="416">
        <v>11.5</v>
      </c>
      <c r="AV1108" s="416">
        <v>9.16</v>
      </c>
      <c r="AW1108" s="416">
        <v>6.64</v>
      </c>
      <c r="AX1108" s="416">
        <v>0</v>
      </c>
      <c r="AY1108" s="416">
        <v>0</v>
      </c>
      <c r="AZ1108" s="416">
        <v>0</v>
      </c>
    </row>
    <row r="1109" spans="1:52" x14ac:dyDescent="0.25">
      <c r="A1109" s="415" t="str">
        <f t="shared" si="17"/>
        <v>SA-312 Gr.TP321H</v>
      </c>
      <c r="B1109" s="415">
        <v>1103</v>
      </c>
      <c r="C1109" s="415" t="s">
        <v>3365</v>
      </c>
      <c r="D1109" s="415" t="s">
        <v>2703</v>
      </c>
      <c r="E1109" s="415" t="s">
        <v>2208</v>
      </c>
      <c r="F1109" s="415" t="s">
        <v>2576</v>
      </c>
      <c r="G1109" s="415" t="s">
        <v>3368</v>
      </c>
      <c r="H1109" s="415">
        <v>0</v>
      </c>
      <c r="I1109" s="415" t="s">
        <v>3059</v>
      </c>
      <c r="J1109" s="415">
        <v>8</v>
      </c>
      <c r="K1109" s="415">
        <v>1</v>
      </c>
      <c r="L1109" s="415">
        <v>515</v>
      </c>
      <c r="M1109" s="415">
        <v>205</v>
      </c>
      <c r="N1109" s="415">
        <v>816</v>
      </c>
      <c r="O1109" s="415" t="s">
        <v>2675</v>
      </c>
      <c r="P1109" s="415">
        <v>816</v>
      </c>
      <c r="Q1109" s="415" t="s">
        <v>2675</v>
      </c>
      <c r="R1109" s="415" t="s">
        <v>3069</v>
      </c>
      <c r="S1109" s="415" t="s">
        <v>3293</v>
      </c>
      <c r="T1109" s="416">
        <v>138</v>
      </c>
      <c r="U1109" s="416">
        <v>138</v>
      </c>
      <c r="V1109" s="416">
        <v>131</v>
      </c>
      <c r="W1109" s="416">
        <v>123</v>
      </c>
      <c r="X1109" s="416">
        <v>118</v>
      </c>
      <c r="Y1109" s="416">
        <v>114</v>
      </c>
      <c r="Z1109" s="416">
        <v>106</v>
      </c>
      <c r="AA1109" s="416">
        <v>99.7</v>
      </c>
      <c r="AB1109" s="416">
        <v>94.5</v>
      </c>
      <c r="AC1109" s="416">
        <v>92.3</v>
      </c>
      <c r="AD1109" s="416">
        <v>90.7</v>
      </c>
      <c r="AE1109" s="416">
        <v>89.4</v>
      </c>
      <c r="AF1109" s="416">
        <v>87.5</v>
      </c>
      <c r="AG1109" s="416">
        <v>86.9</v>
      </c>
      <c r="AH1109" s="416">
        <v>85.7</v>
      </c>
      <c r="AI1109" s="416">
        <v>85</v>
      </c>
      <c r="AJ1109" s="416">
        <v>83.9</v>
      </c>
      <c r="AK1109" s="416">
        <v>83</v>
      </c>
      <c r="AL1109" s="416">
        <v>82.4</v>
      </c>
      <c r="AM1109" s="416">
        <v>77.7</v>
      </c>
      <c r="AN1109" s="416">
        <v>58.7</v>
      </c>
      <c r="AO1109" s="416">
        <v>46</v>
      </c>
      <c r="AP1109" s="416">
        <v>36.9</v>
      </c>
      <c r="AQ1109" s="416">
        <v>28.7</v>
      </c>
      <c r="AR1109" s="416">
        <v>22.9</v>
      </c>
      <c r="AS1109" s="416">
        <v>18.399999999999999</v>
      </c>
      <c r="AT1109" s="416">
        <v>14.4</v>
      </c>
      <c r="AU1109" s="416">
        <v>11.5</v>
      </c>
      <c r="AV1109" s="416">
        <v>9.16</v>
      </c>
      <c r="AW1109" s="416">
        <v>6.64</v>
      </c>
      <c r="AX1109" s="416">
        <v>0</v>
      </c>
      <c r="AY1109" s="416">
        <v>0</v>
      </c>
      <c r="AZ1109" s="416">
        <v>0</v>
      </c>
    </row>
    <row r="1110" spans="1:52" x14ac:dyDescent="0.25">
      <c r="A1110" s="415" t="str">
        <f t="shared" si="17"/>
        <v>SA-312 Gr.TP321H</v>
      </c>
      <c r="B1110" s="415">
        <v>1104</v>
      </c>
      <c r="C1110" s="415" t="s">
        <v>3365</v>
      </c>
      <c r="D1110" s="415" t="s">
        <v>2680</v>
      </c>
      <c r="E1110" s="415" t="s">
        <v>2208</v>
      </c>
      <c r="F1110" s="415" t="s">
        <v>2576</v>
      </c>
      <c r="G1110" s="415" t="s">
        <v>3368</v>
      </c>
      <c r="H1110" s="415">
        <v>0</v>
      </c>
      <c r="I1110" s="415" t="s">
        <v>3059</v>
      </c>
      <c r="J1110" s="415">
        <v>8</v>
      </c>
      <c r="K1110" s="415">
        <v>1</v>
      </c>
      <c r="L1110" s="415">
        <v>515</v>
      </c>
      <c r="M1110" s="415">
        <v>205</v>
      </c>
      <c r="N1110" s="415">
        <v>816</v>
      </c>
      <c r="O1110" s="415">
        <v>427</v>
      </c>
      <c r="P1110" s="415">
        <v>816</v>
      </c>
      <c r="Q1110" s="415" t="s">
        <v>2675</v>
      </c>
      <c r="R1110" s="415" t="s">
        <v>3069</v>
      </c>
      <c r="S1110" s="415" t="s">
        <v>3370</v>
      </c>
      <c r="T1110" s="416">
        <v>138</v>
      </c>
      <c r="U1110" s="416">
        <v>138</v>
      </c>
      <c r="V1110" s="416">
        <v>138</v>
      </c>
      <c r="W1110" s="416">
        <v>138</v>
      </c>
      <c r="X1110" s="416">
        <v>135</v>
      </c>
      <c r="Y1110" s="416">
        <v>132</v>
      </c>
      <c r="Z1110" s="416">
        <v>129</v>
      </c>
      <c r="AA1110" s="416">
        <v>129</v>
      </c>
      <c r="AB1110" s="416">
        <v>127</v>
      </c>
      <c r="AC1110" s="416">
        <v>125</v>
      </c>
      <c r="AD1110" s="416">
        <v>123</v>
      </c>
      <c r="AE1110" s="416">
        <v>121</v>
      </c>
      <c r="AF1110" s="416">
        <v>119</v>
      </c>
      <c r="AG1110" s="416">
        <v>117</v>
      </c>
      <c r="AH1110" s="416">
        <v>115</v>
      </c>
      <c r="AI1110" s="416">
        <v>114</v>
      </c>
      <c r="AJ1110" s="416">
        <v>113</v>
      </c>
      <c r="AK1110" s="416">
        <v>112</v>
      </c>
      <c r="AL1110" s="416">
        <v>103</v>
      </c>
      <c r="AM1110" s="416">
        <v>77.7</v>
      </c>
      <c r="AN1110" s="416">
        <v>58.7</v>
      </c>
      <c r="AO1110" s="416">
        <v>46</v>
      </c>
      <c r="AP1110" s="416">
        <v>36.9</v>
      </c>
      <c r="AQ1110" s="416">
        <v>28.7</v>
      </c>
      <c r="AR1110" s="416">
        <v>22.9</v>
      </c>
      <c r="AS1110" s="416">
        <v>18.399999999999999</v>
      </c>
      <c r="AT1110" s="416">
        <v>14.4</v>
      </c>
      <c r="AU1110" s="416">
        <v>11.5</v>
      </c>
      <c r="AV1110" s="416">
        <v>9.16</v>
      </c>
      <c r="AW1110" s="416">
        <v>6.64</v>
      </c>
      <c r="AX1110" s="416">
        <v>0</v>
      </c>
      <c r="AY1110" s="416">
        <v>0</v>
      </c>
      <c r="AZ1110" s="416">
        <v>0</v>
      </c>
    </row>
    <row r="1111" spans="1:52" x14ac:dyDescent="0.25">
      <c r="A1111" s="415" t="str">
        <f t="shared" si="17"/>
        <v>SA-312 Gr.TP321H</v>
      </c>
      <c r="B1111" s="415">
        <v>1105</v>
      </c>
      <c r="C1111" s="415" t="s">
        <v>3365</v>
      </c>
      <c r="D1111" s="415" t="s">
        <v>2680</v>
      </c>
      <c r="E1111" s="415" t="s">
        <v>2208</v>
      </c>
      <c r="F1111" s="415" t="s">
        <v>2576</v>
      </c>
      <c r="G1111" s="415" t="s">
        <v>3368</v>
      </c>
      <c r="H1111" s="415">
        <v>0</v>
      </c>
      <c r="I1111" s="415" t="s">
        <v>3059</v>
      </c>
      <c r="J1111" s="415">
        <v>8</v>
      </c>
      <c r="K1111" s="415">
        <v>1</v>
      </c>
      <c r="L1111" s="415">
        <v>515</v>
      </c>
      <c r="M1111" s="415">
        <v>205</v>
      </c>
      <c r="N1111" s="415">
        <v>816</v>
      </c>
      <c r="O1111" s="415" t="s">
        <v>2675</v>
      </c>
      <c r="P1111" s="415">
        <v>816</v>
      </c>
      <c r="Q1111" s="415" t="s">
        <v>2675</v>
      </c>
      <c r="R1111" s="415" t="s">
        <v>3069</v>
      </c>
      <c r="S1111" s="415" t="s">
        <v>3306</v>
      </c>
      <c r="T1111" s="416">
        <v>138</v>
      </c>
      <c r="U1111" s="416">
        <v>138</v>
      </c>
      <c r="V1111" s="416">
        <v>131</v>
      </c>
      <c r="W1111" s="416">
        <v>123</v>
      </c>
      <c r="X1111" s="416">
        <v>118</v>
      </c>
      <c r="Y1111" s="416">
        <v>114</v>
      </c>
      <c r="Z1111" s="416">
        <v>106</v>
      </c>
      <c r="AA1111" s="416">
        <v>99.7</v>
      </c>
      <c r="AB1111" s="416">
        <v>94.5</v>
      </c>
      <c r="AC1111" s="416">
        <v>92.3</v>
      </c>
      <c r="AD1111" s="416">
        <v>90.7</v>
      </c>
      <c r="AE1111" s="416">
        <v>89.4</v>
      </c>
      <c r="AF1111" s="416">
        <v>87.5</v>
      </c>
      <c r="AG1111" s="416">
        <v>86.9</v>
      </c>
      <c r="AH1111" s="416">
        <v>85.7</v>
      </c>
      <c r="AI1111" s="416">
        <v>85</v>
      </c>
      <c r="AJ1111" s="416">
        <v>83.9</v>
      </c>
      <c r="AK1111" s="416">
        <v>83</v>
      </c>
      <c r="AL1111" s="416">
        <v>82.4</v>
      </c>
      <c r="AM1111" s="416">
        <v>77.7</v>
      </c>
      <c r="AN1111" s="416">
        <v>58.7</v>
      </c>
      <c r="AO1111" s="416">
        <v>46</v>
      </c>
      <c r="AP1111" s="416">
        <v>36.9</v>
      </c>
      <c r="AQ1111" s="416">
        <v>28.7</v>
      </c>
      <c r="AR1111" s="416">
        <v>22.9</v>
      </c>
      <c r="AS1111" s="416">
        <v>18.399999999999999</v>
      </c>
      <c r="AT1111" s="416">
        <v>14.4</v>
      </c>
      <c r="AU1111" s="416">
        <v>11.5</v>
      </c>
      <c r="AV1111" s="416">
        <v>9.16</v>
      </c>
      <c r="AW1111" s="416">
        <v>6.64</v>
      </c>
      <c r="AX1111" s="416">
        <v>0</v>
      </c>
      <c r="AY1111" s="416">
        <v>0</v>
      </c>
      <c r="AZ1111" s="416">
        <v>0</v>
      </c>
    </row>
    <row r="1112" spans="1:52" x14ac:dyDescent="0.25">
      <c r="A1112" s="415" t="str">
        <f t="shared" si="17"/>
        <v>SA-376 Gr.TP321H</v>
      </c>
      <c r="B1112" s="415">
        <v>1106</v>
      </c>
      <c r="C1112" s="415" t="s">
        <v>3365</v>
      </c>
      <c r="D1112" s="415" t="s">
        <v>2703</v>
      </c>
      <c r="E1112" s="415" t="s">
        <v>2225</v>
      </c>
      <c r="F1112" s="415" t="s">
        <v>2576</v>
      </c>
      <c r="G1112" s="415" t="s">
        <v>3368</v>
      </c>
      <c r="H1112" s="415">
        <v>0</v>
      </c>
      <c r="I1112" s="415" t="s">
        <v>2829</v>
      </c>
      <c r="J1112" s="415">
        <v>8</v>
      </c>
      <c r="K1112" s="415">
        <v>1</v>
      </c>
      <c r="L1112" s="415">
        <v>515</v>
      </c>
      <c r="M1112" s="415">
        <v>205</v>
      </c>
      <c r="N1112" s="415">
        <v>816</v>
      </c>
      <c r="O1112" s="415">
        <v>427</v>
      </c>
      <c r="P1112" s="415">
        <v>816</v>
      </c>
      <c r="Q1112" s="415" t="s">
        <v>2675</v>
      </c>
      <c r="R1112" s="415" t="s">
        <v>3069</v>
      </c>
      <c r="S1112" s="415" t="s">
        <v>3334</v>
      </c>
      <c r="T1112" s="416">
        <v>138</v>
      </c>
      <c r="U1112" s="416">
        <v>138</v>
      </c>
      <c r="V1112" s="416">
        <v>138</v>
      </c>
      <c r="W1112" s="416">
        <v>138</v>
      </c>
      <c r="X1112" s="416">
        <v>135</v>
      </c>
      <c r="Y1112" s="416">
        <v>132</v>
      </c>
      <c r="Z1112" s="416">
        <v>129</v>
      </c>
      <c r="AA1112" s="416">
        <v>129</v>
      </c>
      <c r="AB1112" s="416">
        <v>127</v>
      </c>
      <c r="AC1112" s="416">
        <v>125</v>
      </c>
      <c r="AD1112" s="416">
        <v>123</v>
      </c>
      <c r="AE1112" s="416">
        <v>121</v>
      </c>
      <c r="AF1112" s="416">
        <v>119</v>
      </c>
      <c r="AG1112" s="416">
        <v>117</v>
      </c>
      <c r="AH1112" s="416">
        <v>115</v>
      </c>
      <c r="AI1112" s="416">
        <v>114</v>
      </c>
      <c r="AJ1112" s="416">
        <v>113</v>
      </c>
      <c r="AK1112" s="416">
        <v>112</v>
      </c>
      <c r="AL1112" s="416">
        <v>103</v>
      </c>
      <c r="AM1112" s="416">
        <v>77.7</v>
      </c>
      <c r="AN1112" s="416">
        <v>58.7</v>
      </c>
      <c r="AO1112" s="416">
        <v>46</v>
      </c>
      <c r="AP1112" s="416">
        <v>36.9</v>
      </c>
      <c r="AQ1112" s="416">
        <v>28.7</v>
      </c>
      <c r="AR1112" s="416">
        <v>22.9</v>
      </c>
      <c r="AS1112" s="416">
        <v>18.399999999999999</v>
      </c>
      <c r="AT1112" s="416">
        <v>14.4</v>
      </c>
      <c r="AU1112" s="416">
        <v>11.5</v>
      </c>
      <c r="AV1112" s="416">
        <v>9.16</v>
      </c>
      <c r="AW1112" s="416">
        <v>6.64</v>
      </c>
      <c r="AX1112" s="416">
        <v>0</v>
      </c>
      <c r="AY1112" s="416">
        <v>0</v>
      </c>
      <c r="AZ1112" s="416">
        <v>0</v>
      </c>
    </row>
    <row r="1113" spans="1:52" x14ac:dyDescent="0.25">
      <c r="A1113" s="415" t="str">
        <f t="shared" si="17"/>
        <v>SA-376 Gr.TP321H</v>
      </c>
      <c r="B1113" s="415">
        <v>1107</v>
      </c>
      <c r="C1113" s="415" t="s">
        <v>3365</v>
      </c>
      <c r="D1113" s="415" t="s">
        <v>2703</v>
      </c>
      <c r="E1113" s="415" t="s">
        <v>2225</v>
      </c>
      <c r="F1113" s="415" t="s">
        <v>2576</v>
      </c>
      <c r="G1113" s="415" t="s">
        <v>3368</v>
      </c>
      <c r="H1113" s="415">
        <v>0</v>
      </c>
      <c r="I1113" s="415" t="s">
        <v>2829</v>
      </c>
      <c r="J1113" s="415">
        <v>8</v>
      </c>
      <c r="K1113" s="415">
        <v>1</v>
      </c>
      <c r="L1113" s="415">
        <v>515</v>
      </c>
      <c r="M1113" s="415">
        <v>205</v>
      </c>
      <c r="N1113" s="415">
        <v>816</v>
      </c>
      <c r="O1113" s="415" t="s">
        <v>2675</v>
      </c>
      <c r="P1113" s="415">
        <v>816</v>
      </c>
      <c r="Q1113" s="415" t="s">
        <v>2675</v>
      </c>
      <c r="R1113" s="415" t="s">
        <v>3069</v>
      </c>
      <c r="S1113" s="415" t="s">
        <v>3371</v>
      </c>
      <c r="T1113" s="416">
        <v>138</v>
      </c>
      <c r="U1113" s="416">
        <v>138</v>
      </c>
      <c r="V1113" s="416">
        <v>131</v>
      </c>
      <c r="W1113" s="416">
        <v>123</v>
      </c>
      <c r="X1113" s="416">
        <v>118</v>
      </c>
      <c r="Y1113" s="416">
        <v>114</v>
      </c>
      <c r="Z1113" s="416">
        <v>106</v>
      </c>
      <c r="AA1113" s="416">
        <v>99.7</v>
      </c>
      <c r="AB1113" s="416">
        <v>94.5</v>
      </c>
      <c r="AC1113" s="416">
        <v>92.3</v>
      </c>
      <c r="AD1113" s="416">
        <v>90.7</v>
      </c>
      <c r="AE1113" s="416">
        <v>89.4</v>
      </c>
      <c r="AF1113" s="416">
        <v>87.5</v>
      </c>
      <c r="AG1113" s="416">
        <v>86.9</v>
      </c>
      <c r="AH1113" s="416">
        <v>85.7</v>
      </c>
      <c r="AI1113" s="416">
        <v>85</v>
      </c>
      <c r="AJ1113" s="416">
        <v>83.9</v>
      </c>
      <c r="AK1113" s="416">
        <v>83</v>
      </c>
      <c r="AL1113" s="416">
        <v>82.4</v>
      </c>
      <c r="AM1113" s="416">
        <v>77.7</v>
      </c>
      <c r="AN1113" s="416">
        <v>58.7</v>
      </c>
      <c r="AO1113" s="416">
        <v>46</v>
      </c>
      <c r="AP1113" s="416">
        <v>36.9</v>
      </c>
      <c r="AQ1113" s="416">
        <v>28.7</v>
      </c>
      <c r="AR1113" s="416">
        <v>22.9</v>
      </c>
      <c r="AS1113" s="416">
        <v>18.399999999999999</v>
      </c>
      <c r="AT1113" s="416">
        <v>14.4</v>
      </c>
      <c r="AU1113" s="416">
        <v>11.5</v>
      </c>
      <c r="AV1113" s="416">
        <v>9.16</v>
      </c>
      <c r="AW1113" s="416">
        <v>6.64</v>
      </c>
      <c r="AX1113" s="416">
        <v>0</v>
      </c>
      <c r="AY1113" s="416">
        <v>0</v>
      </c>
      <c r="AZ1113" s="416">
        <v>0</v>
      </c>
    </row>
    <row r="1114" spans="1:52" x14ac:dyDescent="0.25">
      <c r="A1114" s="415" t="str">
        <f t="shared" si="17"/>
        <v>SA-403 Gr.321H</v>
      </c>
      <c r="B1114" s="415">
        <v>1108</v>
      </c>
      <c r="C1114" s="415" t="s">
        <v>3365</v>
      </c>
      <c r="D1114" s="415" t="s">
        <v>2758</v>
      </c>
      <c r="E1114" s="415" t="s">
        <v>2229</v>
      </c>
      <c r="F1114" s="415" t="s">
        <v>2278</v>
      </c>
      <c r="G1114" s="415" t="s">
        <v>3368</v>
      </c>
      <c r="H1114" s="415">
        <v>0</v>
      </c>
      <c r="I1114" s="415">
        <v>0</v>
      </c>
      <c r="J1114" s="415">
        <v>8</v>
      </c>
      <c r="K1114" s="415">
        <v>1</v>
      </c>
      <c r="L1114" s="415">
        <v>515</v>
      </c>
      <c r="M1114" s="415">
        <v>205</v>
      </c>
      <c r="N1114" s="415" t="s">
        <v>2675</v>
      </c>
      <c r="O1114" s="415">
        <v>427</v>
      </c>
      <c r="P1114" s="415">
        <v>816</v>
      </c>
      <c r="Q1114" s="415" t="s">
        <v>2675</v>
      </c>
      <c r="R1114" s="415" t="s">
        <v>3069</v>
      </c>
      <c r="S1114" s="415" t="s">
        <v>3354</v>
      </c>
      <c r="T1114" s="416">
        <v>138</v>
      </c>
      <c r="U1114" s="416">
        <v>138</v>
      </c>
      <c r="V1114" s="416">
        <v>138</v>
      </c>
      <c r="W1114" s="416">
        <v>138</v>
      </c>
      <c r="X1114" s="416">
        <v>135</v>
      </c>
      <c r="Y1114" s="416">
        <v>132</v>
      </c>
      <c r="Z1114" s="416">
        <v>129</v>
      </c>
      <c r="AA1114" s="416">
        <v>129</v>
      </c>
      <c r="AB1114" s="416">
        <v>127</v>
      </c>
      <c r="AC1114" s="416">
        <v>125</v>
      </c>
      <c r="AD1114" s="416">
        <v>123</v>
      </c>
      <c r="AE1114" s="416">
        <v>121</v>
      </c>
      <c r="AF1114" s="416">
        <v>119</v>
      </c>
      <c r="AG1114" s="416">
        <v>117</v>
      </c>
      <c r="AH1114" s="416">
        <v>115</v>
      </c>
      <c r="AI1114" s="416">
        <v>114</v>
      </c>
      <c r="AJ1114" s="416">
        <v>113</v>
      </c>
      <c r="AK1114" s="416">
        <v>112</v>
      </c>
      <c r="AL1114" s="416">
        <v>103</v>
      </c>
      <c r="AM1114" s="416">
        <v>77.7</v>
      </c>
      <c r="AN1114" s="416">
        <v>58.7</v>
      </c>
      <c r="AO1114" s="416">
        <v>46</v>
      </c>
      <c r="AP1114" s="416">
        <v>36.9</v>
      </c>
      <c r="AQ1114" s="416">
        <v>28.7</v>
      </c>
      <c r="AR1114" s="416">
        <v>22.9</v>
      </c>
      <c r="AS1114" s="416">
        <v>18.399999999999999</v>
      </c>
      <c r="AT1114" s="416">
        <v>14.4</v>
      </c>
      <c r="AU1114" s="416">
        <v>11.5</v>
      </c>
      <c r="AV1114" s="416">
        <v>9.16</v>
      </c>
      <c r="AW1114" s="416">
        <v>6.64</v>
      </c>
      <c r="AX1114" s="416">
        <v>0</v>
      </c>
      <c r="AY1114" s="416">
        <v>0</v>
      </c>
      <c r="AZ1114" s="416">
        <v>0</v>
      </c>
    </row>
    <row r="1115" spans="1:52" x14ac:dyDescent="0.25">
      <c r="A1115" s="415" t="str">
        <f t="shared" si="17"/>
        <v>SA-479 Gr.321H</v>
      </c>
      <c r="B1115" s="415">
        <v>1109</v>
      </c>
      <c r="C1115" s="415" t="s">
        <v>3365</v>
      </c>
      <c r="D1115" s="415" t="s">
        <v>2677</v>
      </c>
      <c r="E1115" s="415" t="s">
        <v>2245</v>
      </c>
      <c r="F1115" s="415" t="s">
        <v>2278</v>
      </c>
      <c r="G1115" s="415" t="s">
        <v>3368</v>
      </c>
      <c r="H1115" s="415">
        <v>0</v>
      </c>
      <c r="I1115" s="415">
        <v>0</v>
      </c>
      <c r="J1115" s="415">
        <v>8</v>
      </c>
      <c r="K1115" s="415">
        <v>1</v>
      </c>
      <c r="L1115" s="415">
        <v>515</v>
      </c>
      <c r="M1115" s="415">
        <v>205</v>
      </c>
      <c r="N1115" s="415">
        <v>816</v>
      </c>
      <c r="O1115" s="415" t="s">
        <v>2675</v>
      </c>
      <c r="P1115" s="415">
        <v>816</v>
      </c>
      <c r="Q1115" s="415" t="s">
        <v>2675</v>
      </c>
      <c r="R1115" s="415" t="s">
        <v>3069</v>
      </c>
      <c r="S1115" s="415" t="s">
        <v>3371</v>
      </c>
      <c r="T1115" s="416">
        <v>138</v>
      </c>
      <c r="U1115" s="416">
        <v>138</v>
      </c>
      <c r="V1115" s="416">
        <v>131</v>
      </c>
      <c r="W1115" s="416">
        <v>123</v>
      </c>
      <c r="X1115" s="416">
        <v>118</v>
      </c>
      <c r="Y1115" s="416">
        <v>114</v>
      </c>
      <c r="Z1115" s="416">
        <v>106</v>
      </c>
      <c r="AA1115" s="416">
        <v>99.7</v>
      </c>
      <c r="AB1115" s="416">
        <v>94.5</v>
      </c>
      <c r="AC1115" s="416">
        <v>92.3</v>
      </c>
      <c r="AD1115" s="416">
        <v>90.7</v>
      </c>
      <c r="AE1115" s="416">
        <v>89.4</v>
      </c>
      <c r="AF1115" s="416">
        <v>87.5</v>
      </c>
      <c r="AG1115" s="416">
        <v>86.9</v>
      </c>
      <c r="AH1115" s="416">
        <v>85.7</v>
      </c>
      <c r="AI1115" s="416">
        <v>85</v>
      </c>
      <c r="AJ1115" s="416">
        <v>83.9</v>
      </c>
      <c r="AK1115" s="416">
        <v>83</v>
      </c>
      <c r="AL1115" s="416">
        <v>82.4</v>
      </c>
      <c r="AM1115" s="416">
        <v>77.7</v>
      </c>
      <c r="AN1115" s="416">
        <v>58.7</v>
      </c>
      <c r="AO1115" s="416">
        <v>46</v>
      </c>
      <c r="AP1115" s="416">
        <v>36.9</v>
      </c>
      <c r="AQ1115" s="416">
        <v>28.7</v>
      </c>
      <c r="AR1115" s="416">
        <v>22.9</v>
      </c>
      <c r="AS1115" s="416">
        <v>18.399999999999999</v>
      </c>
      <c r="AT1115" s="416">
        <v>14.4</v>
      </c>
      <c r="AU1115" s="416">
        <v>11.5</v>
      </c>
      <c r="AV1115" s="416">
        <v>9.16</v>
      </c>
      <c r="AW1115" s="416">
        <v>6.64</v>
      </c>
      <c r="AX1115" s="416">
        <v>0</v>
      </c>
      <c r="AY1115" s="416">
        <v>0</v>
      </c>
      <c r="AZ1115" s="416">
        <v>0</v>
      </c>
    </row>
    <row r="1116" spans="1:52" x14ac:dyDescent="0.25">
      <c r="A1116" s="415" t="str">
        <f t="shared" si="17"/>
        <v>SA-479 Gr.321H</v>
      </c>
      <c r="B1116" s="415">
        <v>1110</v>
      </c>
      <c r="C1116" s="415" t="s">
        <v>3365</v>
      </c>
      <c r="D1116" s="415" t="s">
        <v>2677</v>
      </c>
      <c r="E1116" s="415" t="s">
        <v>2245</v>
      </c>
      <c r="F1116" s="415" t="s">
        <v>2278</v>
      </c>
      <c r="G1116" s="415" t="s">
        <v>3368</v>
      </c>
      <c r="H1116" s="415">
        <v>0</v>
      </c>
      <c r="I1116" s="415">
        <v>0</v>
      </c>
      <c r="J1116" s="415">
        <v>8</v>
      </c>
      <c r="K1116" s="415">
        <v>1</v>
      </c>
      <c r="L1116" s="415">
        <v>515</v>
      </c>
      <c r="M1116" s="415">
        <v>205</v>
      </c>
      <c r="N1116" s="415">
        <v>816</v>
      </c>
      <c r="O1116" s="415">
        <v>427</v>
      </c>
      <c r="P1116" s="415">
        <v>816</v>
      </c>
      <c r="Q1116" s="415" t="s">
        <v>2675</v>
      </c>
      <c r="R1116" s="415" t="s">
        <v>3069</v>
      </c>
      <c r="S1116" s="415" t="s">
        <v>3334</v>
      </c>
      <c r="T1116" s="416">
        <v>138</v>
      </c>
      <c r="U1116" s="416">
        <v>138</v>
      </c>
      <c r="V1116" s="416">
        <v>138</v>
      </c>
      <c r="W1116" s="416">
        <v>138</v>
      </c>
      <c r="X1116" s="416">
        <v>135</v>
      </c>
      <c r="Y1116" s="416">
        <v>132</v>
      </c>
      <c r="Z1116" s="416">
        <v>129</v>
      </c>
      <c r="AA1116" s="416">
        <v>129</v>
      </c>
      <c r="AB1116" s="416">
        <v>127</v>
      </c>
      <c r="AC1116" s="416">
        <v>125</v>
      </c>
      <c r="AD1116" s="416">
        <v>123</v>
      </c>
      <c r="AE1116" s="416">
        <v>121</v>
      </c>
      <c r="AF1116" s="416">
        <v>119</v>
      </c>
      <c r="AG1116" s="416">
        <v>117</v>
      </c>
      <c r="AH1116" s="416">
        <v>115</v>
      </c>
      <c r="AI1116" s="416">
        <v>114</v>
      </c>
      <c r="AJ1116" s="416">
        <v>113</v>
      </c>
      <c r="AK1116" s="416">
        <v>112</v>
      </c>
      <c r="AL1116" s="416">
        <v>103</v>
      </c>
      <c r="AM1116" s="416">
        <v>77.7</v>
      </c>
      <c r="AN1116" s="416">
        <v>58.7</v>
      </c>
      <c r="AO1116" s="416">
        <v>46</v>
      </c>
      <c r="AP1116" s="416">
        <v>36.9</v>
      </c>
      <c r="AQ1116" s="416">
        <v>28.7</v>
      </c>
      <c r="AR1116" s="416">
        <v>22.9</v>
      </c>
      <c r="AS1116" s="416">
        <v>18.399999999999999</v>
      </c>
      <c r="AT1116" s="416">
        <v>14.4</v>
      </c>
      <c r="AU1116" s="416">
        <v>11.5</v>
      </c>
      <c r="AV1116" s="416">
        <v>9.16</v>
      </c>
      <c r="AW1116" s="416">
        <v>6.64</v>
      </c>
      <c r="AX1116" s="416">
        <v>0</v>
      </c>
      <c r="AY1116" s="416">
        <v>0</v>
      </c>
      <c r="AZ1116" s="416">
        <v>0</v>
      </c>
    </row>
    <row r="1117" spans="1:52" x14ac:dyDescent="0.25">
      <c r="A1117" s="415" t="str">
        <f t="shared" si="17"/>
        <v>SA-813 Gr.TP321H</v>
      </c>
      <c r="B1117" s="415">
        <v>1111</v>
      </c>
      <c r="C1117" s="415" t="s">
        <v>3365</v>
      </c>
      <c r="D1117" s="415" t="s">
        <v>2680</v>
      </c>
      <c r="E1117" s="415" t="s">
        <v>2328</v>
      </c>
      <c r="F1117" s="415" t="s">
        <v>2576</v>
      </c>
      <c r="G1117" s="415" t="s">
        <v>3368</v>
      </c>
      <c r="H1117" s="415">
        <v>0</v>
      </c>
      <c r="I1117" s="415">
        <v>0</v>
      </c>
      <c r="J1117" s="415">
        <v>8</v>
      </c>
      <c r="K1117" s="415">
        <v>1</v>
      </c>
      <c r="L1117" s="415">
        <v>515</v>
      </c>
      <c r="M1117" s="415">
        <v>205</v>
      </c>
      <c r="N1117" s="415" t="s">
        <v>2675</v>
      </c>
      <c r="O1117" s="415">
        <v>427</v>
      </c>
      <c r="P1117" s="415" t="s">
        <v>2675</v>
      </c>
      <c r="Q1117" s="415" t="s">
        <v>2675</v>
      </c>
      <c r="R1117" s="415" t="s">
        <v>3069</v>
      </c>
      <c r="S1117" s="415" t="s">
        <v>3355</v>
      </c>
      <c r="T1117" s="416">
        <v>138</v>
      </c>
      <c r="U1117" s="416">
        <v>138</v>
      </c>
      <c r="V1117" s="416">
        <v>138</v>
      </c>
      <c r="W1117" s="416">
        <v>138</v>
      </c>
      <c r="X1117" s="416">
        <v>135</v>
      </c>
      <c r="Y1117" s="416">
        <v>132</v>
      </c>
      <c r="Z1117" s="416">
        <v>129</v>
      </c>
      <c r="AA1117" s="416">
        <v>129</v>
      </c>
      <c r="AB1117" s="416">
        <v>127</v>
      </c>
      <c r="AC1117" s="416">
        <v>125</v>
      </c>
      <c r="AD1117" s="416">
        <v>123</v>
      </c>
      <c r="AE1117" s="416">
        <v>120</v>
      </c>
      <c r="AF1117" s="416">
        <v>119</v>
      </c>
      <c r="AG1117" s="416">
        <v>117</v>
      </c>
      <c r="AH1117" s="416">
        <v>115</v>
      </c>
      <c r="AI1117" s="416">
        <v>0</v>
      </c>
      <c r="AJ1117" s="416">
        <v>0</v>
      </c>
      <c r="AK1117" s="416">
        <v>0</v>
      </c>
      <c r="AL1117" s="416">
        <v>0</v>
      </c>
      <c r="AM1117" s="416">
        <v>0</v>
      </c>
      <c r="AN1117" s="416">
        <v>0</v>
      </c>
      <c r="AO1117" s="416">
        <v>0</v>
      </c>
      <c r="AP1117" s="416">
        <v>0</v>
      </c>
      <c r="AQ1117" s="416">
        <v>0</v>
      </c>
      <c r="AR1117" s="416">
        <v>0</v>
      </c>
      <c r="AS1117" s="416">
        <v>0</v>
      </c>
      <c r="AT1117" s="416">
        <v>0</v>
      </c>
      <c r="AU1117" s="416">
        <v>0</v>
      </c>
      <c r="AV1117" s="416">
        <v>0</v>
      </c>
      <c r="AW1117" s="416">
        <v>0</v>
      </c>
      <c r="AX1117" s="416">
        <v>0</v>
      </c>
      <c r="AY1117" s="416">
        <v>0</v>
      </c>
      <c r="AZ1117" s="416">
        <v>0</v>
      </c>
    </row>
    <row r="1118" spans="1:52" x14ac:dyDescent="0.25">
      <c r="A1118" s="415" t="str">
        <f t="shared" si="17"/>
        <v>SA-814 Gr.TP321H</v>
      </c>
      <c r="B1118" s="415">
        <v>1112</v>
      </c>
      <c r="C1118" s="415" t="s">
        <v>3365</v>
      </c>
      <c r="D1118" s="415" t="s">
        <v>2680</v>
      </c>
      <c r="E1118" s="415" t="s">
        <v>2330</v>
      </c>
      <c r="F1118" s="415" t="s">
        <v>2576</v>
      </c>
      <c r="G1118" s="415" t="s">
        <v>3368</v>
      </c>
      <c r="H1118" s="415">
        <v>0</v>
      </c>
      <c r="I1118" s="415">
        <v>0</v>
      </c>
      <c r="J1118" s="415">
        <v>8</v>
      </c>
      <c r="K1118" s="415">
        <v>1</v>
      </c>
      <c r="L1118" s="415">
        <v>515</v>
      </c>
      <c r="M1118" s="415">
        <v>205</v>
      </c>
      <c r="N1118" s="415" t="s">
        <v>2675</v>
      </c>
      <c r="O1118" s="415">
        <v>427</v>
      </c>
      <c r="P1118" s="415" t="s">
        <v>2675</v>
      </c>
      <c r="Q1118" s="415" t="s">
        <v>2675</v>
      </c>
      <c r="R1118" s="415" t="s">
        <v>3069</v>
      </c>
      <c r="S1118" s="415" t="s">
        <v>3208</v>
      </c>
      <c r="T1118" s="416">
        <v>138</v>
      </c>
      <c r="U1118" s="416">
        <v>138</v>
      </c>
      <c r="V1118" s="416">
        <v>138</v>
      </c>
      <c r="W1118" s="416">
        <v>138</v>
      </c>
      <c r="X1118" s="416">
        <v>135</v>
      </c>
      <c r="Y1118" s="416">
        <v>132</v>
      </c>
      <c r="Z1118" s="416">
        <v>129</v>
      </c>
      <c r="AA1118" s="416">
        <v>129</v>
      </c>
      <c r="AB1118" s="416">
        <v>127</v>
      </c>
      <c r="AC1118" s="416">
        <v>125</v>
      </c>
      <c r="AD1118" s="416">
        <v>123</v>
      </c>
      <c r="AE1118" s="416">
        <v>120</v>
      </c>
      <c r="AF1118" s="416">
        <v>119</v>
      </c>
      <c r="AG1118" s="416">
        <v>117</v>
      </c>
      <c r="AH1118" s="416">
        <v>115</v>
      </c>
      <c r="AI1118" s="416">
        <v>0</v>
      </c>
      <c r="AJ1118" s="416">
        <v>0</v>
      </c>
      <c r="AK1118" s="416">
        <v>0</v>
      </c>
      <c r="AL1118" s="416">
        <v>0</v>
      </c>
      <c r="AM1118" s="416">
        <v>0</v>
      </c>
      <c r="AN1118" s="416">
        <v>0</v>
      </c>
      <c r="AO1118" s="416">
        <v>0</v>
      </c>
      <c r="AP1118" s="416">
        <v>0</v>
      </c>
      <c r="AQ1118" s="416">
        <v>0</v>
      </c>
      <c r="AR1118" s="416">
        <v>0</v>
      </c>
      <c r="AS1118" s="416">
        <v>0</v>
      </c>
      <c r="AT1118" s="416">
        <v>0</v>
      </c>
      <c r="AU1118" s="416">
        <v>0</v>
      </c>
      <c r="AV1118" s="416">
        <v>0</v>
      </c>
      <c r="AW1118" s="416">
        <v>0</v>
      </c>
      <c r="AX1118" s="416">
        <v>0</v>
      </c>
      <c r="AY1118" s="416">
        <v>0</v>
      </c>
      <c r="AZ1118" s="416">
        <v>0</v>
      </c>
    </row>
    <row r="1119" spans="1:52" ht="28.8" x14ac:dyDescent="0.25">
      <c r="A1119" s="415" t="str">
        <f t="shared" si="17"/>
        <v>SA/JIS G4303 Gr.SUS321</v>
      </c>
      <c r="B1119" s="415">
        <v>1113</v>
      </c>
      <c r="C1119" s="415" t="s">
        <v>3365</v>
      </c>
      <c r="D1119" s="415" t="s">
        <v>2677</v>
      </c>
      <c r="E1119" s="415" t="s">
        <v>2176</v>
      </c>
      <c r="F1119" s="415" t="s">
        <v>2532</v>
      </c>
      <c r="G1119" s="415">
        <v>0</v>
      </c>
      <c r="H1119" s="415">
        <v>0</v>
      </c>
      <c r="I1119" s="415">
        <v>0</v>
      </c>
      <c r="J1119" s="415">
        <v>8</v>
      </c>
      <c r="K1119" s="415">
        <v>1</v>
      </c>
      <c r="L1119" s="415">
        <v>520</v>
      </c>
      <c r="M1119" s="415">
        <v>205</v>
      </c>
      <c r="N1119" s="415" t="s">
        <v>2675</v>
      </c>
      <c r="O1119" s="415">
        <v>427</v>
      </c>
      <c r="P1119" s="415">
        <v>816</v>
      </c>
      <c r="Q1119" s="415" t="s">
        <v>2675</v>
      </c>
      <c r="R1119" s="415" t="s">
        <v>3069</v>
      </c>
      <c r="S1119" s="415" t="s">
        <v>3359</v>
      </c>
      <c r="T1119" s="416">
        <v>138</v>
      </c>
      <c r="U1119" s="416">
        <v>138</v>
      </c>
      <c r="V1119" s="416">
        <v>138</v>
      </c>
      <c r="W1119" s="416">
        <v>138</v>
      </c>
      <c r="X1119" s="416">
        <v>135</v>
      </c>
      <c r="Y1119" s="416">
        <v>132</v>
      </c>
      <c r="Z1119" s="416">
        <v>129</v>
      </c>
      <c r="AA1119" s="416">
        <v>129</v>
      </c>
      <c r="AB1119" s="416">
        <v>127</v>
      </c>
      <c r="AC1119" s="416">
        <v>125</v>
      </c>
      <c r="AD1119" s="416">
        <v>123</v>
      </c>
      <c r="AE1119" s="416">
        <v>121</v>
      </c>
      <c r="AF1119" s="416">
        <v>119</v>
      </c>
      <c r="AG1119" s="416">
        <v>117</v>
      </c>
      <c r="AH1119" s="416">
        <v>115</v>
      </c>
      <c r="AI1119" s="416">
        <v>114</v>
      </c>
      <c r="AJ1119" s="416">
        <v>113</v>
      </c>
      <c r="AK1119" s="416">
        <v>111</v>
      </c>
      <c r="AL1119" s="416">
        <v>87.4</v>
      </c>
      <c r="AM1119" s="416">
        <v>57.5</v>
      </c>
      <c r="AN1119" s="416">
        <v>44.4</v>
      </c>
      <c r="AO1119" s="416">
        <v>32.9</v>
      </c>
      <c r="AP1119" s="416">
        <v>24.5</v>
      </c>
      <c r="AQ1119" s="416">
        <v>18.3</v>
      </c>
      <c r="AR1119" s="416">
        <v>12.6</v>
      </c>
      <c r="AS1119" s="416">
        <v>8.41</v>
      </c>
      <c r="AT1119" s="416">
        <v>6.18</v>
      </c>
      <c r="AU1119" s="416">
        <v>4.37</v>
      </c>
      <c r="AV1119" s="416">
        <v>2.77</v>
      </c>
      <c r="AW1119" s="416">
        <v>1.62</v>
      </c>
      <c r="AX1119" s="416">
        <v>0</v>
      </c>
      <c r="AY1119" s="416">
        <v>0</v>
      </c>
      <c r="AZ1119" s="416">
        <v>0</v>
      </c>
    </row>
    <row r="1120" spans="1:52" x14ac:dyDescent="0.25">
      <c r="A1120" s="415" t="str">
        <f t="shared" si="17"/>
        <v>SA-240 Gr.305</v>
      </c>
      <c r="B1120" s="415">
        <v>1114</v>
      </c>
      <c r="C1120" s="415" t="s">
        <v>3373</v>
      </c>
      <c r="D1120" s="415" t="s">
        <v>2684</v>
      </c>
      <c r="E1120" s="415" t="s">
        <v>2165</v>
      </c>
      <c r="F1120" s="415">
        <v>305</v>
      </c>
      <c r="G1120" s="415" t="s">
        <v>3374</v>
      </c>
      <c r="H1120" s="415">
        <v>0</v>
      </c>
      <c r="I1120" s="415">
        <v>0</v>
      </c>
      <c r="J1120" s="415">
        <v>8</v>
      </c>
      <c r="K1120" s="415">
        <v>1</v>
      </c>
      <c r="L1120" s="415">
        <v>515</v>
      </c>
      <c r="M1120" s="415">
        <v>205</v>
      </c>
      <c r="N1120" s="415" t="s">
        <v>2675</v>
      </c>
      <c r="O1120" s="415">
        <v>427</v>
      </c>
      <c r="P1120" s="415" t="s">
        <v>2675</v>
      </c>
      <c r="Q1120" s="415" t="s">
        <v>2675</v>
      </c>
      <c r="R1120" s="415" t="s">
        <v>3269</v>
      </c>
      <c r="S1120" s="415" t="s">
        <v>3189</v>
      </c>
      <c r="T1120" s="416">
        <v>138</v>
      </c>
      <c r="U1120" s="416">
        <v>138</v>
      </c>
      <c r="V1120" s="416">
        <v>138</v>
      </c>
      <c r="W1120" s="416">
        <v>137</v>
      </c>
      <c r="X1120" s="416">
        <v>134</v>
      </c>
      <c r="Y1120" s="416">
        <v>130</v>
      </c>
      <c r="Z1120" s="416">
        <v>126</v>
      </c>
      <c r="AA1120" s="416">
        <v>122</v>
      </c>
      <c r="AB1120" s="416">
        <v>116</v>
      </c>
      <c r="AC1120" s="416">
        <v>114</v>
      </c>
      <c r="AD1120" s="416">
        <v>111</v>
      </c>
      <c r="AE1120" s="416">
        <v>109</v>
      </c>
      <c r="AF1120" s="416">
        <v>107</v>
      </c>
      <c r="AG1120" s="416">
        <v>105</v>
      </c>
      <c r="AH1120" s="416">
        <v>103</v>
      </c>
      <c r="AI1120" s="416">
        <v>0</v>
      </c>
      <c r="AJ1120" s="416">
        <v>0</v>
      </c>
      <c r="AK1120" s="416">
        <v>0</v>
      </c>
      <c r="AL1120" s="416">
        <v>0</v>
      </c>
      <c r="AM1120" s="416">
        <v>0</v>
      </c>
      <c r="AN1120" s="416">
        <v>0</v>
      </c>
      <c r="AO1120" s="416">
        <v>0</v>
      </c>
      <c r="AP1120" s="416">
        <v>0</v>
      </c>
      <c r="AQ1120" s="416">
        <v>0</v>
      </c>
      <c r="AR1120" s="416">
        <v>0</v>
      </c>
      <c r="AS1120" s="416">
        <v>0</v>
      </c>
      <c r="AT1120" s="416">
        <v>0</v>
      </c>
      <c r="AU1120" s="416">
        <v>0</v>
      </c>
      <c r="AV1120" s="416">
        <v>0</v>
      </c>
      <c r="AW1120" s="416">
        <v>0</v>
      </c>
      <c r="AX1120" s="416">
        <v>0</v>
      </c>
      <c r="AY1120" s="416">
        <v>0</v>
      </c>
      <c r="AZ1120" s="416">
        <v>0</v>
      </c>
    </row>
    <row r="1121" spans="1:52" x14ac:dyDescent="0.25">
      <c r="A1121" s="415" t="str">
        <f t="shared" si="17"/>
        <v>SA-182 Gr.F317L</v>
      </c>
      <c r="B1121" s="415">
        <v>1115</v>
      </c>
      <c r="C1121" s="415" t="s">
        <v>3375</v>
      </c>
      <c r="D1121" s="415" t="s">
        <v>2737</v>
      </c>
      <c r="E1121" s="415" t="s">
        <v>2188</v>
      </c>
      <c r="F1121" s="415" t="s">
        <v>2444</v>
      </c>
      <c r="G1121" s="415" t="s">
        <v>3376</v>
      </c>
      <c r="H1121" s="415">
        <v>0</v>
      </c>
      <c r="I1121" s="415" t="s">
        <v>3202</v>
      </c>
      <c r="J1121" s="415">
        <v>8</v>
      </c>
      <c r="K1121" s="415">
        <v>1</v>
      </c>
      <c r="L1121" s="415">
        <v>450</v>
      </c>
      <c r="M1121" s="415">
        <v>170</v>
      </c>
      <c r="N1121" s="415" t="s">
        <v>2675</v>
      </c>
      <c r="O1121" s="415" t="s">
        <v>2675</v>
      </c>
      <c r="P1121" s="415">
        <v>454</v>
      </c>
      <c r="Q1121" s="415">
        <v>343</v>
      </c>
      <c r="R1121" s="415" t="s">
        <v>3203</v>
      </c>
      <c r="S1121" s="415" t="s">
        <v>3189</v>
      </c>
      <c r="T1121" s="416">
        <v>115</v>
      </c>
      <c r="U1121" s="416">
        <v>115</v>
      </c>
      <c r="V1121" s="416">
        <v>115</v>
      </c>
      <c r="W1121" s="416">
        <v>115</v>
      </c>
      <c r="X1121" s="416">
        <v>115</v>
      </c>
      <c r="Y1121" s="416">
        <v>115</v>
      </c>
      <c r="Z1121" s="416">
        <v>109</v>
      </c>
      <c r="AA1121" s="416">
        <v>103</v>
      </c>
      <c r="AB1121" s="416">
        <v>98</v>
      </c>
      <c r="AC1121" s="416">
        <v>95.7</v>
      </c>
      <c r="AD1121" s="416">
        <v>94.1</v>
      </c>
      <c r="AE1121" s="416">
        <v>92.8</v>
      </c>
      <c r="AF1121" s="416">
        <v>90.9</v>
      </c>
      <c r="AG1121" s="416">
        <v>89</v>
      </c>
      <c r="AH1121" s="416">
        <v>87.8</v>
      </c>
      <c r="AI1121" s="416">
        <v>86.6</v>
      </c>
      <c r="AJ1121" s="416">
        <v>0</v>
      </c>
      <c r="AK1121" s="416">
        <v>0</v>
      </c>
      <c r="AL1121" s="416">
        <v>0</v>
      </c>
      <c r="AM1121" s="416">
        <v>0</v>
      </c>
      <c r="AN1121" s="416">
        <v>0</v>
      </c>
      <c r="AO1121" s="416">
        <v>0</v>
      </c>
      <c r="AP1121" s="416">
        <v>0</v>
      </c>
      <c r="AQ1121" s="416">
        <v>0</v>
      </c>
      <c r="AR1121" s="416">
        <v>0</v>
      </c>
      <c r="AS1121" s="416">
        <v>0</v>
      </c>
      <c r="AT1121" s="416">
        <v>0</v>
      </c>
      <c r="AU1121" s="416">
        <v>0</v>
      </c>
      <c r="AV1121" s="416">
        <v>0</v>
      </c>
      <c r="AW1121" s="416">
        <v>0</v>
      </c>
      <c r="AX1121" s="416">
        <v>0</v>
      </c>
      <c r="AY1121" s="416">
        <v>0</v>
      </c>
      <c r="AZ1121" s="416">
        <v>0</v>
      </c>
    </row>
    <row r="1122" spans="1:52" x14ac:dyDescent="0.25">
      <c r="A1122" s="415" t="str">
        <f t="shared" si="17"/>
        <v>SA-182 Gr.F317L</v>
      </c>
      <c r="B1122" s="415">
        <v>1116</v>
      </c>
      <c r="C1122" s="415" t="s">
        <v>3375</v>
      </c>
      <c r="D1122" s="415" t="s">
        <v>2737</v>
      </c>
      <c r="E1122" s="415" t="s">
        <v>2188</v>
      </c>
      <c r="F1122" s="415" t="s">
        <v>2444</v>
      </c>
      <c r="G1122" s="415" t="s">
        <v>3376</v>
      </c>
      <c r="H1122" s="415">
        <v>0</v>
      </c>
      <c r="I1122" s="415" t="s">
        <v>3202</v>
      </c>
      <c r="J1122" s="415">
        <v>8</v>
      </c>
      <c r="K1122" s="415">
        <v>1</v>
      </c>
      <c r="L1122" s="415">
        <v>450</v>
      </c>
      <c r="M1122" s="415">
        <v>170</v>
      </c>
      <c r="N1122" s="415" t="s">
        <v>2675</v>
      </c>
      <c r="O1122" s="415" t="s">
        <v>2675</v>
      </c>
      <c r="P1122" s="415">
        <v>454</v>
      </c>
      <c r="Q1122" s="415">
        <v>343</v>
      </c>
      <c r="R1122" s="415" t="s">
        <v>3203</v>
      </c>
      <c r="S1122" s="415">
        <v>0</v>
      </c>
      <c r="T1122" s="416">
        <v>115</v>
      </c>
      <c r="U1122" s="416">
        <v>115</v>
      </c>
      <c r="V1122" s="416">
        <v>106</v>
      </c>
      <c r="W1122" s="416">
        <v>96.3</v>
      </c>
      <c r="X1122" s="416">
        <v>91.3</v>
      </c>
      <c r="Y1122" s="416">
        <v>87.4</v>
      </c>
      <c r="Z1122" s="416">
        <v>81.2</v>
      </c>
      <c r="AA1122" s="416">
        <v>76</v>
      </c>
      <c r="AB1122" s="416">
        <v>72.5</v>
      </c>
      <c r="AC1122" s="416">
        <v>71.2</v>
      </c>
      <c r="AD1122" s="416">
        <v>70</v>
      </c>
      <c r="AE1122" s="416">
        <v>68.8</v>
      </c>
      <c r="AF1122" s="416">
        <v>67.5</v>
      </c>
      <c r="AG1122" s="416">
        <v>66.3</v>
      </c>
      <c r="AH1122" s="416">
        <v>65</v>
      </c>
      <c r="AI1122" s="416">
        <v>63.8</v>
      </c>
      <c r="AJ1122" s="416">
        <v>0</v>
      </c>
      <c r="AK1122" s="416">
        <v>0</v>
      </c>
      <c r="AL1122" s="416">
        <v>0</v>
      </c>
      <c r="AM1122" s="416">
        <v>0</v>
      </c>
      <c r="AN1122" s="416">
        <v>0</v>
      </c>
      <c r="AO1122" s="416">
        <v>0</v>
      </c>
      <c r="AP1122" s="416">
        <v>0</v>
      </c>
      <c r="AQ1122" s="416">
        <v>0</v>
      </c>
      <c r="AR1122" s="416">
        <v>0</v>
      </c>
      <c r="AS1122" s="416">
        <v>0</v>
      </c>
      <c r="AT1122" s="416">
        <v>0</v>
      </c>
      <c r="AU1122" s="416">
        <v>0</v>
      </c>
      <c r="AV1122" s="416">
        <v>0</v>
      </c>
      <c r="AW1122" s="416">
        <v>0</v>
      </c>
      <c r="AX1122" s="416">
        <v>0</v>
      </c>
      <c r="AY1122" s="416">
        <v>0</v>
      </c>
      <c r="AZ1122" s="416">
        <v>0</v>
      </c>
    </row>
    <row r="1123" spans="1:52" x14ac:dyDescent="0.25">
      <c r="A1123" s="415" t="str">
        <f t="shared" si="17"/>
        <v>SA-182 Gr.F317L</v>
      </c>
      <c r="B1123" s="415">
        <v>1117</v>
      </c>
      <c r="C1123" s="415" t="s">
        <v>3375</v>
      </c>
      <c r="D1123" s="415" t="s">
        <v>2737</v>
      </c>
      <c r="E1123" s="415" t="s">
        <v>2188</v>
      </c>
      <c r="F1123" s="415" t="s">
        <v>2444</v>
      </c>
      <c r="G1123" s="415" t="s">
        <v>3376</v>
      </c>
      <c r="H1123" s="415">
        <v>0</v>
      </c>
      <c r="I1123" s="415" t="s">
        <v>3207</v>
      </c>
      <c r="J1123" s="415">
        <v>8</v>
      </c>
      <c r="K1123" s="415">
        <v>1</v>
      </c>
      <c r="L1123" s="415">
        <v>485</v>
      </c>
      <c r="M1123" s="415">
        <v>170</v>
      </c>
      <c r="N1123" s="415" t="s">
        <v>2675</v>
      </c>
      <c r="O1123" s="415" t="s">
        <v>2675</v>
      </c>
      <c r="P1123" s="415">
        <v>454</v>
      </c>
      <c r="Q1123" s="415">
        <v>343</v>
      </c>
      <c r="R1123" s="415" t="s">
        <v>3203</v>
      </c>
      <c r="S1123" s="415" t="s">
        <v>3189</v>
      </c>
      <c r="T1123" s="416">
        <v>115</v>
      </c>
      <c r="U1123" s="416">
        <v>115</v>
      </c>
      <c r="V1123" s="416">
        <v>115</v>
      </c>
      <c r="W1123" s="416">
        <v>115</v>
      </c>
      <c r="X1123" s="416">
        <v>115</v>
      </c>
      <c r="Y1123" s="416">
        <v>115</v>
      </c>
      <c r="Z1123" s="416">
        <v>109</v>
      </c>
      <c r="AA1123" s="416">
        <v>103</v>
      </c>
      <c r="AB1123" s="416">
        <v>98</v>
      </c>
      <c r="AC1123" s="416">
        <v>95.7</v>
      </c>
      <c r="AD1123" s="416">
        <v>94.1</v>
      </c>
      <c r="AE1123" s="416">
        <v>92.8</v>
      </c>
      <c r="AF1123" s="416">
        <v>90.9</v>
      </c>
      <c r="AG1123" s="416">
        <v>89</v>
      </c>
      <c r="AH1123" s="416">
        <v>87.8</v>
      </c>
      <c r="AI1123" s="416">
        <v>86.6</v>
      </c>
      <c r="AJ1123" s="416">
        <v>0</v>
      </c>
      <c r="AK1123" s="416">
        <v>0</v>
      </c>
      <c r="AL1123" s="416">
        <v>0</v>
      </c>
      <c r="AM1123" s="416">
        <v>0</v>
      </c>
      <c r="AN1123" s="416">
        <v>0</v>
      </c>
      <c r="AO1123" s="416">
        <v>0</v>
      </c>
      <c r="AP1123" s="416">
        <v>0</v>
      </c>
      <c r="AQ1123" s="416">
        <v>0</v>
      </c>
      <c r="AR1123" s="416">
        <v>0</v>
      </c>
      <c r="AS1123" s="416">
        <v>0</v>
      </c>
      <c r="AT1123" s="416">
        <v>0</v>
      </c>
      <c r="AU1123" s="416">
        <v>0</v>
      </c>
      <c r="AV1123" s="416">
        <v>0</v>
      </c>
      <c r="AW1123" s="416">
        <v>0</v>
      </c>
      <c r="AX1123" s="416">
        <v>0</v>
      </c>
      <c r="AY1123" s="416">
        <v>0</v>
      </c>
      <c r="AZ1123" s="416">
        <v>0</v>
      </c>
    </row>
    <row r="1124" spans="1:52" x14ac:dyDescent="0.25">
      <c r="A1124" s="415" t="str">
        <f t="shared" si="17"/>
        <v>SA-182 Gr.F317L</v>
      </c>
      <c r="B1124" s="415">
        <v>1118</v>
      </c>
      <c r="C1124" s="415" t="s">
        <v>3375</v>
      </c>
      <c r="D1124" s="415" t="s">
        <v>2737</v>
      </c>
      <c r="E1124" s="415" t="s">
        <v>2188</v>
      </c>
      <c r="F1124" s="415" t="s">
        <v>2444</v>
      </c>
      <c r="G1124" s="415" t="s">
        <v>3376</v>
      </c>
      <c r="H1124" s="415">
        <v>0</v>
      </c>
      <c r="I1124" s="415" t="s">
        <v>3207</v>
      </c>
      <c r="J1124" s="415">
        <v>8</v>
      </c>
      <c r="K1124" s="415">
        <v>1</v>
      </c>
      <c r="L1124" s="415">
        <v>485</v>
      </c>
      <c r="M1124" s="415">
        <v>170</v>
      </c>
      <c r="N1124" s="415" t="s">
        <v>2675</v>
      </c>
      <c r="O1124" s="415" t="s">
        <v>2675</v>
      </c>
      <c r="P1124" s="415">
        <v>454</v>
      </c>
      <c r="Q1124" s="415">
        <v>343</v>
      </c>
      <c r="R1124" s="415" t="s">
        <v>3203</v>
      </c>
      <c r="S1124" s="415">
        <v>0</v>
      </c>
      <c r="T1124" s="416">
        <v>115</v>
      </c>
      <c r="U1124" s="416">
        <v>115</v>
      </c>
      <c r="V1124" s="416">
        <v>106</v>
      </c>
      <c r="W1124" s="416">
        <v>96.3</v>
      </c>
      <c r="X1124" s="416">
        <v>91.3</v>
      </c>
      <c r="Y1124" s="416">
        <v>87.4</v>
      </c>
      <c r="Z1124" s="416">
        <v>81.2</v>
      </c>
      <c r="AA1124" s="416">
        <v>76</v>
      </c>
      <c r="AB1124" s="416">
        <v>72.5</v>
      </c>
      <c r="AC1124" s="416">
        <v>71.2</v>
      </c>
      <c r="AD1124" s="416">
        <v>70</v>
      </c>
      <c r="AE1124" s="416">
        <v>68.8</v>
      </c>
      <c r="AF1124" s="416">
        <v>67.5</v>
      </c>
      <c r="AG1124" s="416">
        <v>66.3</v>
      </c>
      <c r="AH1124" s="416">
        <v>65</v>
      </c>
      <c r="AI1124" s="416">
        <v>63.8</v>
      </c>
      <c r="AJ1124" s="416">
        <v>0</v>
      </c>
      <c r="AK1124" s="416">
        <v>0</v>
      </c>
      <c r="AL1124" s="416">
        <v>0</v>
      </c>
      <c r="AM1124" s="416">
        <v>0</v>
      </c>
      <c r="AN1124" s="416">
        <v>0</v>
      </c>
      <c r="AO1124" s="416">
        <v>0</v>
      </c>
      <c r="AP1124" s="416">
        <v>0</v>
      </c>
      <c r="AQ1124" s="416">
        <v>0</v>
      </c>
      <c r="AR1124" s="416">
        <v>0</v>
      </c>
      <c r="AS1124" s="416">
        <v>0</v>
      </c>
      <c r="AT1124" s="416">
        <v>0</v>
      </c>
      <c r="AU1124" s="416">
        <v>0</v>
      </c>
      <c r="AV1124" s="416">
        <v>0</v>
      </c>
      <c r="AW1124" s="416">
        <v>0</v>
      </c>
      <c r="AX1124" s="416">
        <v>0</v>
      </c>
      <c r="AY1124" s="416">
        <v>0</v>
      </c>
      <c r="AZ1124" s="416">
        <v>0</v>
      </c>
    </row>
    <row r="1125" spans="1:52" x14ac:dyDescent="0.25">
      <c r="A1125" s="415" t="str">
        <f t="shared" si="17"/>
        <v>SA-182 Gr.F317</v>
      </c>
      <c r="B1125" s="415">
        <v>1119</v>
      </c>
      <c r="C1125" s="415" t="s">
        <v>3375</v>
      </c>
      <c r="D1125" s="415" t="s">
        <v>2737</v>
      </c>
      <c r="E1125" s="415" t="s">
        <v>2188</v>
      </c>
      <c r="F1125" s="415" t="s">
        <v>2443</v>
      </c>
      <c r="G1125" s="415" t="s">
        <v>3377</v>
      </c>
      <c r="H1125" s="415">
        <v>0</v>
      </c>
      <c r="I1125" s="415" t="s">
        <v>3207</v>
      </c>
      <c r="J1125" s="415">
        <v>8</v>
      </c>
      <c r="K1125" s="415">
        <v>1</v>
      </c>
      <c r="L1125" s="415">
        <v>515</v>
      </c>
      <c r="M1125" s="415">
        <v>205</v>
      </c>
      <c r="N1125" s="415" t="s">
        <v>2675</v>
      </c>
      <c r="O1125" s="415" t="s">
        <v>2675</v>
      </c>
      <c r="P1125" s="415">
        <v>816</v>
      </c>
      <c r="Q1125" s="415">
        <v>343</v>
      </c>
      <c r="R1125" s="415" t="s">
        <v>3069</v>
      </c>
      <c r="S1125" s="415" t="s">
        <v>3223</v>
      </c>
      <c r="T1125" s="416">
        <v>138</v>
      </c>
      <c r="U1125" s="416">
        <v>138</v>
      </c>
      <c r="V1125" s="416">
        <v>138</v>
      </c>
      <c r="W1125" s="416">
        <v>138</v>
      </c>
      <c r="X1125" s="416">
        <v>138</v>
      </c>
      <c r="Y1125" s="416">
        <v>138</v>
      </c>
      <c r="Z1125" s="416">
        <v>134</v>
      </c>
      <c r="AA1125" s="416">
        <v>126</v>
      </c>
      <c r="AB1125" s="416">
        <v>119</v>
      </c>
      <c r="AC1125" s="416">
        <v>116</v>
      </c>
      <c r="AD1125" s="416">
        <v>114</v>
      </c>
      <c r="AE1125" s="416">
        <v>112</v>
      </c>
      <c r="AF1125" s="416">
        <v>111</v>
      </c>
      <c r="AG1125" s="416">
        <v>110</v>
      </c>
      <c r="AH1125" s="416">
        <v>108</v>
      </c>
      <c r="AI1125" s="416">
        <v>108</v>
      </c>
      <c r="AJ1125" s="416">
        <v>107</v>
      </c>
      <c r="AK1125" s="416">
        <v>106</v>
      </c>
      <c r="AL1125" s="416">
        <v>105</v>
      </c>
      <c r="AM1125" s="416">
        <v>99.8</v>
      </c>
      <c r="AN1125" s="416">
        <v>80.3</v>
      </c>
      <c r="AO1125" s="416">
        <v>65.5</v>
      </c>
      <c r="AP1125" s="416">
        <v>50.4</v>
      </c>
      <c r="AQ1125" s="416">
        <v>38.6</v>
      </c>
      <c r="AR1125" s="416">
        <v>29.6</v>
      </c>
      <c r="AS1125" s="416">
        <v>23</v>
      </c>
      <c r="AT1125" s="416">
        <v>17.7</v>
      </c>
      <c r="AU1125" s="416">
        <v>13.4</v>
      </c>
      <c r="AV1125" s="416">
        <v>10.4</v>
      </c>
      <c r="AW1125" s="416">
        <v>8.0500000000000007</v>
      </c>
      <c r="AX1125" s="416">
        <v>0</v>
      </c>
      <c r="AY1125" s="416">
        <v>0</v>
      </c>
      <c r="AZ1125" s="416">
        <v>0</v>
      </c>
    </row>
    <row r="1126" spans="1:52" x14ac:dyDescent="0.25">
      <c r="A1126" s="415" t="str">
        <f t="shared" si="17"/>
        <v>SA-182 Gr.F317</v>
      </c>
      <c r="B1126" s="415">
        <v>1120</v>
      </c>
      <c r="C1126" s="415" t="s">
        <v>3375</v>
      </c>
      <c r="D1126" s="415" t="s">
        <v>2737</v>
      </c>
      <c r="E1126" s="415" t="s">
        <v>2188</v>
      </c>
      <c r="F1126" s="415" t="s">
        <v>2443</v>
      </c>
      <c r="G1126" s="415" t="s">
        <v>3377</v>
      </c>
      <c r="H1126" s="415">
        <v>0</v>
      </c>
      <c r="I1126" s="415" t="s">
        <v>3207</v>
      </c>
      <c r="J1126" s="415">
        <v>8</v>
      </c>
      <c r="K1126" s="415">
        <v>1</v>
      </c>
      <c r="L1126" s="415">
        <v>515</v>
      </c>
      <c r="M1126" s="415">
        <v>205</v>
      </c>
      <c r="N1126" s="415" t="s">
        <v>2675</v>
      </c>
      <c r="O1126" s="415" t="s">
        <v>2675</v>
      </c>
      <c r="P1126" s="415">
        <v>816</v>
      </c>
      <c r="Q1126" s="415">
        <v>343</v>
      </c>
      <c r="R1126" s="415" t="s">
        <v>3069</v>
      </c>
      <c r="S1126" s="415" t="s">
        <v>3224</v>
      </c>
      <c r="T1126" s="416">
        <v>138</v>
      </c>
      <c r="U1126" s="416">
        <v>138</v>
      </c>
      <c r="V1126" s="416">
        <v>128</v>
      </c>
      <c r="W1126" s="416">
        <v>118</v>
      </c>
      <c r="X1126" s="416">
        <v>112</v>
      </c>
      <c r="Y1126" s="416">
        <v>107</v>
      </c>
      <c r="Z1126" s="416">
        <v>99.2</v>
      </c>
      <c r="AA1126" s="416">
        <v>92.8</v>
      </c>
      <c r="AB1126" s="416">
        <v>88.1</v>
      </c>
      <c r="AC1126" s="416">
        <v>86.1</v>
      </c>
      <c r="AD1126" s="416">
        <v>84.1</v>
      </c>
      <c r="AE1126" s="416">
        <v>82.9</v>
      </c>
      <c r="AF1126" s="416">
        <v>82</v>
      </c>
      <c r="AG1126" s="416">
        <v>81.400000000000006</v>
      </c>
      <c r="AH1126" s="416">
        <v>80.599999999999994</v>
      </c>
      <c r="AI1126" s="416">
        <v>79.8</v>
      </c>
      <c r="AJ1126" s="416">
        <v>79.2</v>
      </c>
      <c r="AK1126" s="416">
        <v>78.7</v>
      </c>
      <c r="AL1126" s="416">
        <v>77.8</v>
      </c>
      <c r="AM1126" s="416">
        <v>77.099999999999994</v>
      </c>
      <c r="AN1126" s="416">
        <v>75</v>
      </c>
      <c r="AO1126" s="416">
        <v>65.5</v>
      </c>
      <c r="AP1126" s="416">
        <v>50.4</v>
      </c>
      <c r="AQ1126" s="416">
        <v>38.6</v>
      </c>
      <c r="AR1126" s="416">
        <v>29.6</v>
      </c>
      <c r="AS1126" s="416">
        <v>23</v>
      </c>
      <c r="AT1126" s="416">
        <v>17.7</v>
      </c>
      <c r="AU1126" s="416">
        <v>13.4</v>
      </c>
      <c r="AV1126" s="416">
        <v>10.4</v>
      </c>
      <c r="AW1126" s="416">
        <v>8.0500000000000007</v>
      </c>
      <c r="AX1126" s="416">
        <v>0</v>
      </c>
      <c r="AY1126" s="416">
        <v>0</v>
      </c>
      <c r="AZ1126" s="416">
        <v>0</v>
      </c>
    </row>
    <row r="1127" spans="1:52" x14ac:dyDescent="0.25">
      <c r="A1127" s="415" t="str">
        <f t="shared" si="17"/>
        <v>SA-240 Gr.317</v>
      </c>
      <c r="B1127" s="415">
        <v>1121</v>
      </c>
      <c r="C1127" s="415" t="s">
        <v>3375</v>
      </c>
      <c r="D1127" s="415" t="s">
        <v>2684</v>
      </c>
      <c r="E1127" s="415" t="s">
        <v>2165</v>
      </c>
      <c r="F1127" s="415">
        <v>317</v>
      </c>
      <c r="G1127" s="415" t="s">
        <v>3377</v>
      </c>
      <c r="H1127" s="415">
        <v>0</v>
      </c>
      <c r="I1127" s="415">
        <v>0</v>
      </c>
      <c r="J1127" s="415">
        <v>8</v>
      </c>
      <c r="K1127" s="415">
        <v>1</v>
      </c>
      <c r="L1127" s="415">
        <v>515</v>
      </c>
      <c r="M1127" s="415">
        <v>205</v>
      </c>
      <c r="N1127" s="415" t="s">
        <v>2675</v>
      </c>
      <c r="O1127" s="415" t="s">
        <v>2675</v>
      </c>
      <c r="P1127" s="415">
        <v>816</v>
      </c>
      <c r="Q1127" s="415">
        <v>343</v>
      </c>
      <c r="R1127" s="415" t="s">
        <v>3069</v>
      </c>
      <c r="S1127" s="415" t="s">
        <v>3223</v>
      </c>
      <c r="T1127" s="416">
        <v>138</v>
      </c>
      <c r="U1127" s="416">
        <v>138</v>
      </c>
      <c r="V1127" s="416">
        <v>138</v>
      </c>
      <c r="W1127" s="416">
        <v>138</v>
      </c>
      <c r="X1127" s="416">
        <v>138</v>
      </c>
      <c r="Y1127" s="416">
        <v>138</v>
      </c>
      <c r="Z1127" s="416">
        <v>134</v>
      </c>
      <c r="AA1127" s="416">
        <v>126</v>
      </c>
      <c r="AB1127" s="416">
        <v>119</v>
      </c>
      <c r="AC1127" s="416">
        <v>116</v>
      </c>
      <c r="AD1127" s="416">
        <v>114</v>
      </c>
      <c r="AE1127" s="416">
        <v>112</v>
      </c>
      <c r="AF1127" s="416">
        <v>111</v>
      </c>
      <c r="AG1127" s="416">
        <v>110</v>
      </c>
      <c r="AH1127" s="416">
        <v>108</v>
      </c>
      <c r="AI1127" s="416">
        <v>108</v>
      </c>
      <c r="AJ1127" s="416">
        <v>107</v>
      </c>
      <c r="AK1127" s="416">
        <v>106</v>
      </c>
      <c r="AL1127" s="416">
        <v>105</v>
      </c>
      <c r="AM1127" s="416">
        <v>99.8</v>
      </c>
      <c r="AN1127" s="416">
        <v>80.3</v>
      </c>
      <c r="AO1127" s="416">
        <v>65.5</v>
      </c>
      <c r="AP1127" s="416">
        <v>50.4</v>
      </c>
      <c r="AQ1127" s="416">
        <v>38.6</v>
      </c>
      <c r="AR1127" s="416">
        <v>29.6</v>
      </c>
      <c r="AS1127" s="416">
        <v>23</v>
      </c>
      <c r="AT1127" s="416">
        <v>17.7</v>
      </c>
      <c r="AU1127" s="416">
        <v>13.4</v>
      </c>
      <c r="AV1127" s="416">
        <v>10.4</v>
      </c>
      <c r="AW1127" s="416">
        <v>8.0500000000000007</v>
      </c>
      <c r="AX1127" s="416">
        <v>0</v>
      </c>
      <c r="AY1127" s="416">
        <v>0</v>
      </c>
      <c r="AZ1127" s="416">
        <v>0</v>
      </c>
    </row>
    <row r="1128" spans="1:52" x14ac:dyDescent="0.25">
      <c r="A1128" s="415" t="str">
        <f t="shared" si="17"/>
        <v>SA-240 Gr.317</v>
      </c>
      <c r="B1128" s="415">
        <v>1122</v>
      </c>
      <c r="C1128" s="415" t="s">
        <v>3375</v>
      </c>
      <c r="D1128" s="415" t="s">
        <v>2684</v>
      </c>
      <c r="E1128" s="415" t="s">
        <v>2165</v>
      </c>
      <c r="F1128" s="415">
        <v>317</v>
      </c>
      <c r="G1128" s="415" t="s">
        <v>3377</v>
      </c>
      <c r="H1128" s="415">
        <v>0</v>
      </c>
      <c r="I1128" s="415">
        <v>0</v>
      </c>
      <c r="J1128" s="415">
        <v>8</v>
      </c>
      <c r="K1128" s="415">
        <v>1</v>
      </c>
      <c r="L1128" s="415">
        <v>515</v>
      </c>
      <c r="M1128" s="415">
        <v>205</v>
      </c>
      <c r="N1128" s="415" t="s">
        <v>2675</v>
      </c>
      <c r="O1128" s="415" t="s">
        <v>2675</v>
      </c>
      <c r="P1128" s="415">
        <v>816</v>
      </c>
      <c r="Q1128" s="415">
        <v>343</v>
      </c>
      <c r="R1128" s="415" t="s">
        <v>3069</v>
      </c>
      <c r="S1128" s="415" t="s">
        <v>3224</v>
      </c>
      <c r="T1128" s="416">
        <v>138</v>
      </c>
      <c r="U1128" s="416">
        <v>138</v>
      </c>
      <c r="V1128" s="416">
        <v>128</v>
      </c>
      <c r="W1128" s="416">
        <v>118</v>
      </c>
      <c r="X1128" s="416">
        <v>112</v>
      </c>
      <c r="Y1128" s="416">
        <v>107</v>
      </c>
      <c r="Z1128" s="416">
        <v>99.2</v>
      </c>
      <c r="AA1128" s="416">
        <v>92.8</v>
      </c>
      <c r="AB1128" s="416">
        <v>88.1</v>
      </c>
      <c r="AC1128" s="416">
        <v>86.1</v>
      </c>
      <c r="AD1128" s="416">
        <v>84.1</v>
      </c>
      <c r="AE1128" s="416">
        <v>82.9</v>
      </c>
      <c r="AF1128" s="416">
        <v>82</v>
      </c>
      <c r="AG1128" s="416">
        <v>81.400000000000006</v>
      </c>
      <c r="AH1128" s="416">
        <v>80.599999999999994</v>
      </c>
      <c r="AI1128" s="416">
        <v>79.8</v>
      </c>
      <c r="AJ1128" s="416">
        <v>79.2</v>
      </c>
      <c r="AK1128" s="416">
        <v>78.7</v>
      </c>
      <c r="AL1128" s="416">
        <v>77.8</v>
      </c>
      <c r="AM1128" s="416">
        <v>77.099999999999994</v>
      </c>
      <c r="AN1128" s="416">
        <v>75</v>
      </c>
      <c r="AO1128" s="416">
        <v>65.5</v>
      </c>
      <c r="AP1128" s="416">
        <v>50.4</v>
      </c>
      <c r="AQ1128" s="416">
        <v>38.6</v>
      </c>
      <c r="AR1128" s="416">
        <v>29.6</v>
      </c>
      <c r="AS1128" s="416">
        <v>23</v>
      </c>
      <c r="AT1128" s="416">
        <v>17.7</v>
      </c>
      <c r="AU1128" s="416">
        <v>13.4</v>
      </c>
      <c r="AV1128" s="416">
        <v>10.4</v>
      </c>
      <c r="AW1128" s="416">
        <v>8.0500000000000007</v>
      </c>
      <c r="AX1128" s="416">
        <v>0</v>
      </c>
      <c r="AY1128" s="416">
        <v>0</v>
      </c>
      <c r="AZ1128" s="416">
        <v>0</v>
      </c>
    </row>
    <row r="1129" spans="1:52" x14ac:dyDescent="0.25">
      <c r="A1129" s="415" t="str">
        <f t="shared" si="17"/>
        <v>SA-240 Gr.317L</v>
      </c>
      <c r="B1129" s="415">
        <v>1123</v>
      </c>
      <c r="C1129" s="415" t="s">
        <v>3375</v>
      </c>
      <c r="D1129" s="415" t="s">
        <v>2684</v>
      </c>
      <c r="E1129" s="415" t="s">
        <v>2165</v>
      </c>
      <c r="F1129" s="415" t="s">
        <v>2276</v>
      </c>
      <c r="G1129" s="415" t="s">
        <v>3376</v>
      </c>
      <c r="H1129" s="415">
        <v>0</v>
      </c>
      <c r="I1129" s="415">
        <v>0</v>
      </c>
      <c r="J1129" s="415">
        <v>8</v>
      </c>
      <c r="K1129" s="415">
        <v>1</v>
      </c>
      <c r="L1129" s="415">
        <v>515</v>
      </c>
      <c r="M1129" s="415">
        <v>205</v>
      </c>
      <c r="N1129" s="415" t="s">
        <v>2675</v>
      </c>
      <c r="O1129" s="415" t="s">
        <v>2675</v>
      </c>
      <c r="P1129" s="415">
        <v>454</v>
      </c>
      <c r="Q1129" s="415">
        <v>343</v>
      </c>
      <c r="R1129" s="415" t="s">
        <v>3203</v>
      </c>
      <c r="S1129" s="415" t="s">
        <v>3189</v>
      </c>
      <c r="T1129" s="416">
        <v>138</v>
      </c>
      <c r="U1129" s="416">
        <v>138</v>
      </c>
      <c r="V1129" s="416">
        <v>138</v>
      </c>
      <c r="W1129" s="416">
        <v>138</v>
      </c>
      <c r="X1129" s="416">
        <v>137</v>
      </c>
      <c r="Y1129" s="416">
        <v>135</v>
      </c>
      <c r="Z1129" s="416">
        <v>131</v>
      </c>
      <c r="AA1129" s="416">
        <v>123</v>
      </c>
      <c r="AB1129" s="416">
        <v>118</v>
      </c>
      <c r="AC1129" s="416">
        <v>116</v>
      </c>
      <c r="AD1129" s="416">
        <v>113</v>
      </c>
      <c r="AE1129" s="416">
        <v>111</v>
      </c>
      <c r="AF1129" s="416">
        <v>109</v>
      </c>
      <c r="AG1129" s="416">
        <v>107</v>
      </c>
      <c r="AH1129" s="416">
        <v>105</v>
      </c>
      <c r="AI1129" s="416">
        <v>103</v>
      </c>
      <c r="AJ1129" s="416">
        <v>0</v>
      </c>
      <c r="AK1129" s="416">
        <v>0</v>
      </c>
      <c r="AL1129" s="416">
        <v>0</v>
      </c>
      <c r="AM1129" s="416">
        <v>0</v>
      </c>
      <c r="AN1129" s="416">
        <v>0</v>
      </c>
      <c r="AO1129" s="416">
        <v>0</v>
      </c>
      <c r="AP1129" s="416">
        <v>0</v>
      </c>
      <c r="AQ1129" s="416">
        <v>0</v>
      </c>
      <c r="AR1129" s="416">
        <v>0</v>
      </c>
      <c r="AS1129" s="416">
        <v>0</v>
      </c>
      <c r="AT1129" s="416">
        <v>0</v>
      </c>
      <c r="AU1129" s="416">
        <v>0</v>
      </c>
      <c r="AV1129" s="416">
        <v>0</v>
      </c>
      <c r="AW1129" s="416">
        <v>0</v>
      </c>
      <c r="AX1129" s="416">
        <v>0</v>
      </c>
      <c r="AY1129" s="416">
        <v>0</v>
      </c>
      <c r="AZ1129" s="416">
        <v>0</v>
      </c>
    </row>
    <row r="1130" spans="1:52" x14ac:dyDescent="0.25">
      <c r="A1130" s="415" t="str">
        <f t="shared" si="17"/>
        <v>SA-240 Gr.317L</v>
      </c>
      <c r="B1130" s="415">
        <v>1124</v>
      </c>
      <c r="C1130" s="415" t="s">
        <v>3375</v>
      </c>
      <c r="D1130" s="415" t="s">
        <v>2684</v>
      </c>
      <c r="E1130" s="415" t="s">
        <v>2165</v>
      </c>
      <c r="F1130" s="415" t="s">
        <v>2276</v>
      </c>
      <c r="G1130" s="415" t="s">
        <v>3376</v>
      </c>
      <c r="H1130" s="415">
        <v>0</v>
      </c>
      <c r="I1130" s="415">
        <v>0</v>
      </c>
      <c r="J1130" s="415">
        <v>8</v>
      </c>
      <c r="K1130" s="415">
        <v>1</v>
      </c>
      <c r="L1130" s="415">
        <v>515</v>
      </c>
      <c r="M1130" s="415">
        <v>205</v>
      </c>
      <c r="N1130" s="415" t="s">
        <v>2675</v>
      </c>
      <c r="O1130" s="415" t="s">
        <v>2675</v>
      </c>
      <c r="P1130" s="415">
        <v>454</v>
      </c>
      <c r="Q1130" s="415">
        <v>343</v>
      </c>
      <c r="R1130" s="415" t="s">
        <v>3203</v>
      </c>
      <c r="S1130" s="415">
        <v>0</v>
      </c>
      <c r="T1130" s="416">
        <v>138</v>
      </c>
      <c r="U1130" s="416">
        <v>138</v>
      </c>
      <c r="V1130" s="416">
        <v>127</v>
      </c>
      <c r="W1130" s="416">
        <v>115</v>
      </c>
      <c r="X1130" s="416">
        <v>109</v>
      </c>
      <c r="Y1130" s="416">
        <v>105</v>
      </c>
      <c r="Z1130" s="416">
        <v>97.1</v>
      </c>
      <c r="AA1130" s="416">
        <v>91.2</v>
      </c>
      <c r="AB1130" s="416">
        <v>87.3</v>
      </c>
      <c r="AC1130" s="416">
        <v>85.4</v>
      </c>
      <c r="AD1130" s="416">
        <v>83.8</v>
      </c>
      <c r="AE1130" s="416">
        <v>82.5</v>
      </c>
      <c r="AF1130" s="416">
        <v>80.599999999999994</v>
      </c>
      <c r="AG1130" s="416">
        <v>79.400000000000006</v>
      </c>
      <c r="AH1130" s="416">
        <v>78.099999999999994</v>
      </c>
      <c r="AI1130" s="416">
        <v>76.900000000000006</v>
      </c>
      <c r="AJ1130" s="416">
        <v>0</v>
      </c>
      <c r="AK1130" s="416">
        <v>0</v>
      </c>
      <c r="AL1130" s="416">
        <v>0</v>
      </c>
      <c r="AM1130" s="416">
        <v>0</v>
      </c>
      <c r="AN1130" s="416">
        <v>0</v>
      </c>
      <c r="AO1130" s="416">
        <v>0</v>
      </c>
      <c r="AP1130" s="416">
        <v>0</v>
      </c>
      <c r="AQ1130" s="416">
        <v>0</v>
      </c>
      <c r="AR1130" s="416">
        <v>0</v>
      </c>
      <c r="AS1130" s="416">
        <v>0</v>
      </c>
      <c r="AT1130" s="416">
        <v>0</v>
      </c>
      <c r="AU1130" s="416">
        <v>0</v>
      </c>
      <c r="AV1130" s="416">
        <v>0</v>
      </c>
      <c r="AW1130" s="416">
        <v>0</v>
      </c>
      <c r="AX1130" s="416">
        <v>0</v>
      </c>
      <c r="AY1130" s="416">
        <v>0</v>
      </c>
      <c r="AZ1130" s="416">
        <v>0</v>
      </c>
    </row>
    <row r="1131" spans="1:52" x14ac:dyDescent="0.25">
      <c r="A1131" s="415" t="str">
        <f t="shared" si="17"/>
        <v>SA-249 Gr.TP317</v>
      </c>
      <c r="B1131" s="415">
        <v>1125</v>
      </c>
      <c r="C1131" s="415" t="s">
        <v>3375</v>
      </c>
      <c r="D1131" s="415" t="s">
        <v>2689</v>
      </c>
      <c r="E1131" s="415" t="s">
        <v>2200</v>
      </c>
      <c r="F1131" s="415" t="s">
        <v>2573</v>
      </c>
      <c r="G1131" s="415" t="s">
        <v>3377</v>
      </c>
      <c r="H1131" s="415">
        <v>0</v>
      </c>
      <c r="I1131" s="415">
        <v>0</v>
      </c>
      <c r="J1131" s="415">
        <v>8</v>
      </c>
      <c r="K1131" s="415">
        <v>1</v>
      </c>
      <c r="L1131" s="415">
        <v>515</v>
      </c>
      <c r="M1131" s="415">
        <v>205</v>
      </c>
      <c r="N1131" s="415" t="s">
        <v>2675</v>
      </c>
      <c r="O1131" s="415">
        <v>427</v>
      </c>
      <c r="P1131" s="415" t="s">
        <v>2675</v>
      </c>
      <c r="Q1131" s="415" t="s">
        <v>2675</v>
      </c>
      <c r="R1131" s="415" t="s">
        <v>3069</v>
      </c>
      <c r="S1131" s="415" t="s">
        <v>3208</v>
      </c>
      <c r="T1131" s="416">
        <v>138</v>
      </c>
      <c r="U1131" s="416">
        <v>138</v>
      </c>
      <c r="V1131" s="416">
        <v>138</v>
      </c>
      <c r="W1131" s="416">
        <v>138</v>
      </c>
      <c r="X1131" s="416">
        <v>138</v>
      </c>
      <c r="Y1131" s="416">
        <v>138</v>
      </c>
      <c r="Z1131" s="416">
        <v>134</v>
      </c>
      <c r="AA1131" s="416">
        <v>126</v>
      </c>
      <c r="AB1131" s="416">
        <v>119</v>
      </c>
      <c r="AC1131" s="416">
        <v>116</v>
      </c>
      <c r="AD1131" s="416">
        <v>114</v>
      </c>
      <c r="AE1131" s="416">
        <v>112</v>
      </c>
      <c r="AF1131" s="416">
        <v>111</v>
      </c>
      <c r="AG1131" s="416">
        <v>110</v>
      </c>
      <c r="AH1131" s="416">
        <v>108</v>
      </c>
      <c r="AI1131" s="416">
        <v>0</v>
      </c>
      <c r="AJ1131" s="416">
        <v>0</v>
      </c>
      <c r="AK1131" s="416">
        <v>0</v>
      </c>
      <c r="AL1131" s="416">
        <v>0</v>
      </c>
      <c r="AM1131" s="416">
        <v>0</v>
      </c>
      <c r="AN1131" s="416">
        <v>0</v>
      </c>
      <c r="AO1131" s="416">
        <v>0</v>
      </c>
      <c r="AP1131" s="416">
        <v>0</v>
      </c>
      <c r="AQ1131" s="416">
        <v>0</v>
      </c>
      <c r="AR1131" s="416">
        <v>0</v>
      </c>
      <c r="AS1131" s="416">
        <v>0</v>
      </c>
      <c r="AT1131" s="416">
        <v>0</v>
      </c>
      <c r="AU1131" s="416">
        <v>0</v>
      </c>
      <c r="AV1131" s="416">
        <v>0</v>
      </c>
      <c r="AW1131" s="416">
        <v>0</v>
      </c>
      <c r="AX1131" s="416">
        <v>0</v>
      </c>
      <c r="AY1131" s="416">
        <v>0</v>
      </c>
      <c r="AZ1131" s="416">
        <v>0</v>
      </c>
    </row>
    <row r="1132" spans="1:52" x14ac:dyDescent="0.25">
      <c r="A1132" s="415" t="str">
        <f t="shared" si="17"/>
        <v>SA-249 Gr.TP317</v>
      </c>
      <c r="B1132" s="415">
        <v>1126</v>
      </c>
      <c r="C1132" s="415" t="s">
        <v>3375</v>
      </c>
      <c r="D1132" s="415" t="s">
        <v>2689</v>
      </c>
      <c r="E1132" s="415" t="s">
        <v>2200</v>
      </c>
      <c r="F1132" s="415" t="s">
        <v>2573</v>
      </c>
      <c r="G1132" s="415" t="s">
        <v>3377</v>
      </c>
      <c r="H1132" s="415">
        <v>0</v>
      </c>
      <c r="I1132" s="415">
        <v>0</v>
      </c>
      <c r="J1132" s="415">
        <v>8</v>
      </c>
      <c r="K1132" s="415">
        <v>1</v>
      </c>
      <c r="L1132" s="415">
        <v>515</v>
      </c>
      <c r="M1132" s="415">
        <v>205</v>
      </c>
      <c r="N1132" s="415" t="s">
        <v>2675</v>
      </c>
      <c r="O1132" s="415" t="s">
        <v>2675</v>
      </c>
      <c r="P1132" s="415">
        <v>816</v>
      </c>
      <c r="Q1132" s="415">
        <v>343</v>
      </c>
      <c r="R1132" s="415" t="s">
        <v>3069</v>
      </c>
      <c r="S1132" s="415" t="s">
        <v>3378</v>
      </c>
      <c r="T1132" s="416">
        <v>117</v>
      </c>
      <c r="U1132" s="416">
        <v>117</v>
      </c>
      <c r="V1132" s="416">
        <v>117</v>
      </c>
      <c r="W1132" s="416">
        <v>117</v>
      </c>
      <c r="X1132" s="416">
        <v>117</v>
      </c>
      <c r="Y1132" s="416">
        <v>117</v>
      </c>
      <c r="Z1132" s="416">
        <v>114</v>
      </c>
      <c r="AA1132" s="416">
        <v>107</v>
      </c>
      <c r="AB1132" s="416">
        <v>101</v>
      </c>
      <c r="AC1132" s="416">
        <v>99</v>
      </c>
      <c r="AD1132" s="416">
        <v>96.8</v>
      </c>
      <c r="AE1132" s="416">
        <v>95.7</v>
      </c>
      <c r="AF1132" s="416">
        <v>94.4</v>
      </c>
      <c r="AG1132" s="416">
        <v>93.1</v>
      </c>
      <c r="AH1132" s="416">
        <v>92.5</v>
      </c>
      <c r="AI1132" s="416">
        <v>91.4</v>
      </c>
      <c r="AJ1132" s="416">
        <v>90.5</v>
      </c>
      <c r="AK1132" s="416">
        <v>89.9</v>
      </c>
      <c r="AL1132" s="416">
        <v>89.3</v>
      </c>
      <c r="AM1132" s="416">
        <v>85.3</v>
      </c>
      <c r="AN1132" s="416">
        <v>68.099999999999994</v>
      </c>
      <c r="AO1132" s="416">
        <v>55.6</v>
      </c>
      <c r="AP1132" s="416">
        <v>42.9</v>
      </c>
      <c r="AQ1132" s="416">
        <v>33</v>
      </c>
      <c r="AR1132" s="416">
        <v>25.3</v>
      </c>
      <c r="AS1132" s="416">
        <v>19.399999999999999</v>
      </c>
      <c r="AT1132" s="416">
        <v>14.7</v>
      </c>
      <c r="AU1132" s="416">
        <v>11.3</v>
      </c>
      <c r="AV1132" s="416">
        <v>8.9</v>
      </c>
      <c r="AW1132" s="416">
        <v>6.77</v>
      </c>
      <c r="AX1132" s="416">
        <v>0</v>
      </c>
      <c r="AY1132" s="416">
        <v>0</v>
      </c>
      <c r="AZ1132" s="416">
        <v>0</v>
      </c>
    </row>
    <row r="1133" spans="1:52" x14ac:dyDescent="0.25">
      <c r="A1133" s="415" t="str">
        <f t="shared" si="17"/>
        <v>SA-249 Gr.TP317</v>
      </c>
      <c r="B1133" s="415">
        <v>1127</v>
      </c>
      <c r="C1133" s="415" t="s">
        <v>3375</v>
      </c>
      <c r="D1133" s="415" t="s">
        <v>2689</v>
      </c>
      <c r="E1133" s="415" t="s">
        <v>2200</v>
      </c>
      <c r="F1133" s="415" t="s">
        <v>2573</v>
      </c>
      <c r="G1133" s="415" t="s">
        <v>3377</v>
      </c>
      <c r="H1133" s="415">
        <v>0</v>
      </c>
      <c r="I1133" s="415">
        <v>0</v>
      </c>
      <c r="J1133" s="415">
        <v>8</v>
      </c>
      <c r="K1133" s="415">
        <v>1</v>
      </c>
      <c r="L1133" s="415">
        <v>515</v>
      </c>
      <c r="M1133" s="415">
        <v>205</v>
      </c>
      <c r="N1133" s="415" t="s">
        <v>2675</v>
      </c>
      <c r="O1133" s="415" t="s">
        <v>2675</v>
      </c>
      <c r="P1133" s="415">
        <v>816</v>
      </c>
      <c r="Q1133" s="415">
        <v>343</v>
      </c>
      <c r="R1133" s="415" t="s">
        <v>3069</v>
      </c>
      <c r="S1133" s="415" t="s">
        <v>3237</v>
      </c>
      <c r="T1133" s="416">
        <v>117</v>
      </c>
      <c r="U1133" s="416">
        <v>117</v>
      </c>
      <c r="V1133" s="416">
        <v>109</v>
      </c>
      <c r="W1133" s="416">
        <v>99.8</v>
      </c>
      <c r="X1133" s="416">
        <v>94.9</v>
      </c>
      <c r="Y1133" s="416">
        <v>90.8</v>
      </c>
      <c r="Z1133" s="416">
        <v>84</v>
      </c>
      <c r="AA1133" s="416">
        <v>78.8</v>
      </c>
      <c r="AB1133" s="416">
        <v>74.7</v>
      </c>
      <c r="AC1133" s="416">
        <v>73.3</v>
      </c>
      <c r="AD1133" s="416">
        <v>72.099999999999994</v>
      </c>
      <c r="AE1133" s="416">
        <v>70.8</v>
      </c>
      <c r="AF1133" s="416">
        <v>69.599999999999994</v>
      </c>
      <c r="AG1133" s="416">
        <v>69</v>
      </c>
      <c r="AH1133" s="416">
        <v>68.400000000000006</v>
      </c>
      <c r="AI1133" s="416">
        <v>67.7</v>
      </c>
      <c r="AJ1133" s="416">
        <v>67.099999999999994</v>
      </c>
      <c r="AK1133" s="416">
        <v>66.5</v>
      </c>
      <c r="AL1133" s="416">
        <v>65.900000000000006</v>
      </c>
      <c r="AM1133" s="416">
        <v>65.3</v>
      </c>
      <c r="AN1133" s="416">
        <v>64</v>
      </c>
      <c r="AO1133" s="416">
        <v>55.6</v>
      </c>
      <c r="AP1133" s="416">
        <v>42.9</v>
      </c>
      <c r="AQ1133" s="416">
        <v>33</v>
      </c>
      <c r="AR1133" s="416">
        <v>25.3</v>
      </c>
      <c r="AS1133" s="416">
        <v>19.399999999999999</v>
      </c>
      <c r="AT1133" s="416">
        <v>14.7</v>
      </c>
      <c r="AU1133" s="416">
        <v>11.3</v>
      </c>
      <c r="AV1133" s="416">
        <v>8.9</v>
      </c>
      <c r="AW1133" s="416">
        <v>6.77</v>
      </c>
      <c r="AX1133" s="416">
        <v>0</v>
      </c>
      <c r="AY1133" s="416">
        <v>0</v>
      </c>
      <c r="AZ1133" s="416">
        <v>0</v>
      </c>
    </row>
    <row r="1134" spans="1:52" x14ac:dyDescent="0.25">
      <c r="A1134" s="415" t="str">
        <f t="shared" si="17"/>
        <v>SA-249 Gr.TP317L</v>
      </c>
      <c r="B1134" s="415">
        <v>1128</v>
      </c>
      <c r="C1134" s="415" t="s">
        <v>3375</v>
      </c>
      <c r="D1134" s="415" t="s">
        <v>2689</v>
      </c>
      <c r="E1134" s="415" t="s">
        <v>2200</v>
      </c>
      <c r="F1134" s="415" t="s">
        <v>2574</v>
      </c>
      <c r="G1134" s="415" t="s">
        <v>3376</v>
      </c>
      <c r="H1134" s="415">
        <v>0</v>
      </c>
      <c r="I1134" s="415">
        <v>0</v>
      </c>
      <c r="J1134" s="415">
        <v>8</v>
      </c>
      <c r="K1134" s="415">
        <v>1</v>
      </c>
      <c r="L1134" s="415">
        <v>515</v>
      </c>
      <c r="M1134" s="415">
        <v>205</v>
      </c>
      <c r="N1134" s="415" t="s">
        <v>2675</v>
      </c>
      <c r="O1134" s="415" t="s">
        <v>2675</v>
      </c>
      <c r="P1134" s="415">
        <v>454</v>
      </c>
      <c r="Q1134" s="415">
        <v>343</v>
      </c>
      <c r="R1134" s="415" t="s">
        <v>3203</v>
      </c>
      <c r="S1134" s="415" t="s">
        <v>3214</v>
      </c>
      <c r="T1134" s="416">
        <v>117</v>
      </c>
      <c r="U1134" s="416">
        <v>117</v>
      </c>
      <c r="V1134" s="416">
        <v>117</v>
      </c>
      <c r="W1134" s="416">
        <v>117</v>
      </c>
      <c r="X1134" s="416">
        <v>116</v>
      </c>
      <c r="Y1134" s="416">
        <v>115</v>
      </c>
      <c r="Z1134" s="416">
        <v>111</v>
      </c>
      <c r="AA1134" s="416">
        <v>105</v>
      </c>
      <c r="AB1134" s="416">
        <v>99.9</v>
      </c>
      <c r="AC1134" s="416">
        <v>97.9</v>
      </c>
      <c r="AD1134" s="416">
        <v>96</v>
      </c>
      <c r="AE1134" s="416">
        <v>94.2</v>
      </c>
      <c r="AF1134" s="416">
        <v>93</v>
      </c>
      <c r="AG1134" s="416">
        <v>91.1</v>
      </c>
      <c r="AH1134" s="416">
        <v>89.3</v>
      </c>
      <c r="AI1134" s="416">
        <v>87.4</v>
      </c>
      <c r="AJ1134" s="416">
        <v>0</v>
      </c>
      <c r="AK1134" s="416">
        <v>0</v>
      </c>
      <c r="AL1134" s="416">
        <v>0</v>
      </c>
      <c r="AM1134" s="416">
        <v>0</v>
      </c>
      <c r="AN1134" s="416">
        <v>0</v>
      </c>
      <c r="AO1134" s="416">
        <v>0</v>
      </c>
      <c r="AP1134" s="416">
        <v>0</v>
      </c>
      <c r="AQ1134" s="416">
        <v>0</v>
      </c>
      <c r="AR1134" s="416">
        <v>0</v>
      </c>
      <c r="AS1134" s="416">
        <v>0</v>
      </c>
      <c r="AT1134" s="416">
        <v>0</v>
      </c>
      <c r="AU1134" s="416">
        <v>0</v>
      </c>
      <c r="AV1134" s="416">
        <v>0</v>
      </c>
      <c r="AW1134" s="416">
        <v>0</v>
      </c>
      <c r="AX1134" s="416">
        <v>0</v>
      </c>
      <c r="AY1134" s="416">
        <v>0</v>
      </c>
      <c r="AZ1134" s="416">
        <v>0</v>
      </c>
    </row>
    <row r="1135" spans="1:52" x14ac:dyDescent="0.25">
      <c r="A1135" s="415" t="str">
        <f t="shared" si="17"/>
        <v>SA-249 Gr.TP317L</v>
      </c>
      <c r="B1135" s="415">
        <v>1129</v>
      </c>
      <c r="C1135" s="415" t="s">
        <v>3375</v>
      </c>
      <c r="D1135" s="415" t="s">
        <v>2689</v>
      </c>
      <c r="E1135" s="415" t="s">
        <v>2200</v>
      </c>
      <c r="F1135" s="415" t="s">
        <v>2574</v>
      </c>
      <c r="G1135" s="415" t="s">
        <v>3376</v>
      </c>
      <c r="H1135" s="415">
        <v>0</v>
      </c>
      <c r="I1135" s="415">
        <v>0</v>
      </c>
      <c r="J1135" s="415">
        <v>8</v>
      </c>
      <c r="K1135" s="415">
        <v>1</v>
      </c>
      <c r="L1135" s="415">
        <v>515</v>
      </c>
      <c r="M1135" s="415">
        <v>205</v>
      </c>
      <c r="N1135" s="415" t="s">
        <v>2675</v>
      </c>
      <c r="O1135" s="415" t="s">
        <v>2675</v>
      </c>
      <c r="P1135" s="415">
        <v>454</v>
      </c>
      <c r="Q1135" s="415">
        <v>343</v>
      </c>
      <c r="R1135" s="415" t="s">
        <v>3203</v>
      </c>
      <c r="S1135" s="415" t="s">
        <v>3004</v>
      </c>
      <c r="T1135" s="416">
        <v>117</v>
      </c>
      <c r="U1135" s="416">
        <v>117</v>
      </c>
      <c r="V1135" s="416">
        <v>108</v>
      </c>
      <c r="W1135" s="416">
        <v>98.3</v>
      </c>
      <c r="X1135" s="416">
        <v>93</v>
      </c>
      <c r="Y1135" s="416">
        <v>88.8</v>
      </c>
      <c r="Z1135" s="416">
        <v>82.5</v>
      </c>
      <c r="AA1135" s="416">
        <v>78</v>
      </c>
      <c r="AB1135" s="416">
        <v>74.099999999999994</v>
      </c>
      <c r="AC1135" s="416">
        <v>72.599999999999994</v>
      </c>
      <c r="AD1135" s="416">
        <v>71.400000000000006</v>
      </c>
      <c r="AE1135" s="416">
        <v>70.099999999999994</v>
      </c>
      <c r="AF1135" s="416">
        <v>68.900000000000006</v>
      </c>
      <c r="AG1135" s="416">
        <v>67.7</v>
      </c>
      <c r="AH1135" s="416">
        <v>66.400000000000006</v>
      </c>
      <c r="AI1135" s="416">
        <v>65.2</v>
      </c>
      <c r="AJ1135" s="416">
        <v>0</v>
      </c>
      <c r="AK1135" s="416">
        <v>0</v>
      </c>
      <c r="AL1135" s="416">
        <v>0</v>
      </c>
      <c r="AM1135" s="416">
        <v>0</v>
      </c>
      <c r="AN1135" s="416">
        <v>0</v>
      </c>
      <c r="AO1135" s="416">
        <v>0</v>
      </c>
      <c r="AP1135" s="416">
        <v>0</v>
      </c>
      <c r="AQ1135" s="416">
        <v>0</v>
      </c>
      <c r="AR1135" s="416">
        <v>0</v>
      </c>
      <c r="AS1135" s="416">
        <v>0</v>
      </c>
      <c r="AT1135" s="416">
        <v>0</v>
      </c>
      <c r="AU1135" s="416">
        <v>0</v>
      </c>
      <c r="AV1135" s="416">
        <v>0</v>
      </c>
      <c r="AW1135" s="416">
        <v>0</v>
      </c>
      <c r="AX1135" s="416">
        <v>0</v>
      </c>
      <c r="AY1135" s="416">
        <v>0</v>
      </c>
      <c r="AZ1135" s="416">
        <v>0</v>
      </c>
    </row>
    <row r="1136" spans="1:52" x14ac:dyDescent="0.25">
      <c r="A1136" s="415" t="str">
        <f t="shared" si="17"/>
        <v>SA-312 Gr.TP317</v>
      </c>
      <c r="B1136" s="415">
        <v>1130</v>
      </c>
      <c r="C1136" s="415" t="s">
        <v>3375</v>
      </c>
      <c r="D1136" s="415" t="s">
        <v>2720</v>
      </c>
      <c r="E1136" s="415" t="s">
        <v>2208</v>
      </c>
      <c r="F1136" s="415" t="s">
        <v>2573</v>
      </c>
      <c r="G1136" s="415" t="s">
        <v>3377</v>
      </c>
      <c r="H1136" s="415">
        <v>0</v>
      </c>
      <c r="I1136" s="415">
        <v>0</v>
      </c>
      <c r="J1136" s="415">
        <v>8</v>
      </c>
      <c r="K1136" s="415">
        <v>1</v>
      </c>
      <c r="L1136" s="415">
        <v>515</v>
      </c>
      <c r="M1136" s="415">
        <v>205</v>
      </c>
      <c r="N1136" s="415" t="s">
        <v>2675</v>
      </c>
      <c r="O1136" s="415">
        <v>427</v>
      </c>
      <c r="P1136" s="415">
        <v>816</v>
      </c>
      <c r="Q1136" s="415">
        <v>343</v>
      </c>
      <c r="R1136" s="415" t="s">
        <v>3069</v>
      </c>
      <c r="S1136" s="415" t="s">
        <v>3233</v>
      </c>
      <c r="T1136" s="416">
        <v>138</v>
      </c>
      <c r="U1136" s="416">
        <v>138</v>
      </c>
      <c r="V1136" s="416">
        <v>138</v>
      </c>
      <c r="W1136" s="416">
        <v>138</v>
      </c>
      <c r="X1136" s="416">
        <v>138</v>
      </c>
      <c r="Y1136" s="416">
        <v>138</v>
      </c>
      <c r="Z1136" s="416">
        <v>134</v>
      </c>
      <c r="AA1136" s="416">
        <v>126</v>
      </c>
      <c r="AB1136" s="416">
        <v>119</v>
      </c>
      <c r="AC1136" s="416">
        <v>116</v>
      </c>
      <c r="AD1136" s="416">
        <v>114</v>
      </c>
      <c r="AE1136" s="416">
        <v>112</v>
      </c>
      <c r="AF1136" s="416">
        <v>111</v>
      </c>
      <c r="AG1136" s="416">
        <v>110</v>
      </c>
      <c r="AH1136" s="416">
        <v>108</v>
      </c>
      <c r="AI1136" s="416">
        <v>108</v>
      </c>
      <c r="AJ1136" s="416">
        <v>107</v>
      </c>
      <c r="AK1136" s="416">
        <v>106</v>
      </c>
      <c r="AL1136" s="416">
        <v>105</v>
      </c>
      <c r="AM1136" s="416">
        <v>99.8</v>
      </c>
      <c r="AN1136" s="416">
        <v>80.3</v>
      </c>
      <c r="AO1136" s="416">
        <v>65.5</v>
      </c>
      <c r="AP1136" s="416">
        <v>50.4</v>
      </c>
      <c r="AQ1136" s="416">
        <v>38.6</v>
      </c>
      <c r="AR1136" s="416">
        <v>29.6</v>
      </c>
      <c r="AS1136" s="416">
        <v>23</v>
      </c>
      <c r="AT1136" s="416">
        <v>17.7</v>
      </c>
      <c r="AU1136" s="416">
        <v>13.4</v>
      </c>
      <c r="AV1136" s="416">
        <v>10.4</v>
      </c>
      <c r="AW1136" s="416">
        <v>8.0500000000000007</v>
      </c>
      <c r="AX1136" s="416">
        <v>0</v>
      </c>
      <c r="AY1136" s="416">
        <v>0</v>
      </c>
      <c r="AZ1136" s="416">
        <v>0</v>
      </c>
    </row>
    <row r="1137" spans="1:52" x14ac:dyDescent="0.25">
      <c r="A1137" s="415" t="str">
        <f t="shared" si="17"/>
        <v>SA-312 Gr.TP317</v>
      </c>
      <c r="B1137" s="415">
        <v>1131</v>
      </c>
      <c r="C1137" s="415" t="s">
        <v>3375</v>
      </c>
      <c r="D1137" s="415" t="s">
        <v>2703</v>
      </c>
      <c r="E1137" s="415" t="s">
        <v>2208</v>
      </c>
      <c r="F1137" s="415" t="s">
        <v>2573</v>
      </c>
      <c r="G1137" s="415" t="s">
        <v>3377</v>
      </c>
      <c r="H1137" s="415">
        <v>0</v>
      </c>
      <c r="I1137" s="415">
        <v>0</v>
      </c>
      <c r="J1137" s="415">
        <v>8</v>
      </c>
      <c r="K1137" s="415">
        <v>1</v>
      </c>
      <c r="L1137" s="415">
        <v>515</v>
      </c>
      <c r="M1137" s="415">
        <v>205</v>
      </c>
      <c r="N1137" s="415" t="s">
        <v>2675</v>
      </c>
      <c r="O1137" s="415" t="s">
        <v>2675</v>
      </c>
      <c r="P1137" s="415">
        <v>816</v>
      </c>
      <c r="Q1137" s="415">
        <v>343</v>
      </c>
      <c r="R1137" s="415" t="s">
        <v>3069</v>
      </c>
      <c r="S1137" s="415" t="s">
        <v>3224</v>
      </c>
      <c r="T1137" s="416">
        <v>138</v>
      </c>
      <c r="U1137" s="416">
        <v>138</v>
      </c>
      <c r="V1137" s="416">
        <v>128</v>
      </c>
      <c r="W1137" s="416">
        <v>118</v>
      </c>
      <c r="X1137" s="416">
        <v>112</v>
      </c>
      <c r="Y1137" s="416">
        <v>107</v>
      </c>
      <c r="Z1137" s="416">
        <v>99.2</v>
      </c>
      <c r="AA1137" s="416">
        <v>92.8</v>
      </c>
      <c r="AB1137" s="416">
        <v>88.1</v>
      </c>
      <c r="AC1137" s="416">
        <v>86.1</v>
      </c>
      <c r="AD1137" s="416">
        <v>84.1</v>
      </c>
      <c r="AE1137" s="416">
        <v>82.9</v>
      </c>
      <c r="AF1137" s="416">
        <v>82</v>
      </c>
      <c r="AG1137" s="416">
        <v>81.400000000000006</v>
      </c>
      <c r="AH1137" s="416">
        <v>80.599999999999994</v>
      </c>
      <c r="AI1137" s="416">
        <v>79.8</v>
      </c>
      <c r="AJ1137" s="416">
        <v>79.2</v>
      </c>
      <c r="AK1137" s="416">
        <v>78.7</v>
      </c>
      <c r="AL1137" s="416">
        <v>77.8</v>
      </c>
      <c r="AM1137" s="416">
        <v>77.099999999999994</v>
      </c>
      <c r="AN1137" s="416">
        <v>75</v>
      </c>
      <c r="AO1137" s="416">
        <v>65.5</v>
      </c>
      <c r="AP1137" s="416">
        <v>50.4</v>
      </c>
      <c r="AQ1137" s="416">
        <v>38.6</v>
      </c>
      <c r="AR1137" s="416">
        <v>29.6</v>
      </c>
      <c r="AS1137" s="416">
        <v>23</v>
      </c>
      <c r="AT1137" s="416">
        <v>17.7</v>
      </c>
      <c r="AU1137" s="416">
        <v>13.4</v>
      </c>
      <c r="AV1137" s="416">
        <v>10.4</v>
      </c>
      <c r="AW1137" s="416">
        <v>8.0500000000000007</v>
      </c>
      <c r="AX1137" s="416">
        <v>0</v>
      </c>
      <c r="AY1137" s="416">
        <v>0</v>
      </c>
      <c r="AZ1137" s="416">
        <v>0</v>
      </c>
    </row>
    <row r="1138" spans="1:52" x14ac:dyDescent="0.25">
      <c r="A1138" s="415" t="str">
        <f t="shared" si="17"/>
        <v>SA-312 Gr.TP317</v>
      </c>
      <c r="B1138" s="415">
        <v>1132</v>
      </c>
      <c r="C1138" s="415" t="s">
        <v>3375</v>
      </c>
      <c r="D1138" s="415" t="s">
        <v>2680</v>
      </c>
      <c r="E1138" s="415" t="s">
        <v>2208</v>
      </c>
      <c r="F1138" s="415" t="s">
        <v>2573</v>
      </c>
      <c r="G1138" s="415" t="s">
        <v>3377</v>
      </c>
      <c r="H1138" s="415">
        <v>0</v>
      </c>
      <c r="I1138" s="415">
        <v>0</v>
      </c>
      <c r="J1138" s="415">
        <v>8</v>
      </c>
      <c r="K1138" s="415">
        <v>1</v>
      </c>
      <c r="L1138" s="415">
        <v>515</v>
      </c>
      <c r="M1138" s="415">
        <v>205</v>
      </c>
      <c r="N1138" s="415" t="s">
        <v>2675</v>
      </c>
      <c r="O1138" s="415" t="s">
        <v>2675</v>
      </c>
      <c r="P1138" s="415">
        <v>816</v>
      </c>
      <c r="Q1138" s="415">
        <v>343</v>
      </c>
      <c r="R1138" s="415" t="s">
        <v>3069</v>
      </c>
      <c r="S1138" s="415" t="s">
        <v>3378</v>
      </c>
      <c r="T1138" s="416">
        <v>117</v>
      </c>
      <c r="U1138" s="416">
        <v>117</v>
      </c>
      <c r="V1138" s="416">
        <v>117</v>
      </c>
      <c r="W1138" s="416">
        <v>117</v>
      </c>
      <c r="X1138" s="416">
        <v>117</v>
      </c>
      <c r="Y1138" s="416">
        <v>117</v>
      </c>
      <c r="Z1138" s="416">
        <v>114</v>
      </c>
      <c r="AA1138" s="416">
        <v>107</v>
      </c>
      <c r="AB1138" s="416">
        <v>101</v>
      </c>
      <c r="AC1138" s="416">
        <v>99</v>
      </c>
      <c r="AD1138" s="416">
        <v>96.8</v>
      </c>
      <c r="AE1138" s="416">
        <v>95.7</v>
      </c>
      <c r="AF1138" s="416">
        <v>94.4</v>
      </c>
      <c r="AG1138" s="416">
        <v>93.1</v>
      </c>
      <c r="AH1138" s="416">
        <v>92.5</v>
      </c>
      <c r="AI1138" s="416">
        <v>91.4</v>
      </c>
      <c r="AJ1138" s="416">
        <v>90.5</v>
      </c>
      <c r="AK1138" s="416">
        <v>89.9</v>
      </c>
      <c r="AL1138" s="416">
        <v>89.3</v>
      </c>
      <c r="AM1138" s="416">
        <v>85.3</v>
      </c>
      <c r="AN1138" s="416">
        <v>68.099999999999994</v>
      </c>
      <c r="AO1138" s="416">
        <v>55.6</v>
      </c>
      <c r="AP1138" s="416">
        <v>42.9</v>
      </c>
      <c r="AQ1138" s="416">
        <v>33</v>
      </c>
      <c r="AR1138" s="416">
        <v>25.3</v>
      </c>
      <c r="AS1138" s="416">
        <v>19.399999999999999</v>
      </c>
      <c r="AT1138" s="416">
        <v>14.7</v>
      </c>
      <c r="AU1138" s="416">
        <v>11.3</v>
      </c>
      <c r="AV1138" s="416">
        <v>8.9</v>
      </c>
      <c r="AW1138" s="416">
        <v>6.77</v>
      </c>
      <c r="AX1138" s="416">
        <v>0</v>
      </c>
      <c r="AY1138" s="416">
        <v>0</v>
      </c>
      <c r="AZ1138" s="416">
        <v>0</v>
      </c>
    </row>
    <row r="1139" spans="1:52" x14ac:dyDescent="0.25">
      <c r="A1139" s="415" t="str">
        <f t="shared" si="17"/>
        <v>SA-312 Gr.TP317</v>
      </c>
      <c r="B1139" s="415">
        <v>1133</v>
      </c>
      <c r="C1139" s="415" t="s">
        <v>3375</v>
      </c>
      <c r="D1139" s="415" t="s">
        <v>2680</v>
      </c>
      <c r="E1139" s="415" t="s">
        <v>2208</v>
      </c>
      <c r="F1139" s="415" t="s">
        <v>2573</v>
      </c>
      <c r="G1139" s="415" t="s">
        <v>3377</v>
      </c>
      <c r="H1139" s="415">
        <v>0</v>
      </c>
      <c r="I1139" s="415">
        <v>0</v>
      </c>
      <c r="J1139" s="415">
        <v>8</v>
      </c>
      <c r="K1139" s="415">
        <v>1</v>
      </c>
      <c r="L1139" s="415">
        <v>515</v>
      </c>
      <c r="M1139" s="415">
        <v>205</v>
      </c>
      <c r="N1139" s="415" t="s">
        <v>2675</v>
      </c>
      <c r="O1139" s="415" t="s">
        <v>2675</v>
      </c>
      <c r="P1139" s="415">
        <v>816</v>
      </c>
      <c r="Q1139" s="415">
        <v>343</v>
      </c>
      <c r="R1139" s="415" t="s">
        <v>3069</v>
      </c>
      <c r="S1139" s="415" t="s">
        <v>3237</v>
      </c>
      <c r="T1139" s="416">
        <v>117</v>
      </c>
      <c r="U1139" s="416">
        <v>117</v>
      </c>
      <c r="V1139" s="416">
        <v>109</v>
      </c>
      <c r="W1139" s="416">
        <v>99.8</v>
      </c>
      <c r="X1139" s="416">
        <v>94.9</v>
      </c>
      <c r="Y1139" s="416">
        <v>90.8</v>
      </c>
      <c r="Z1139" s="416">
        <v>84</v>
      </c>
      <c r="AA1139" s="416">
        <v>78.8</v>
      </c>
      <c r="AB1139" s="416">
        <v>74.7</v>
      </c>
      <c r="AC1139" s="416">
        <v>73.3</v>
      </c>
      <c r="AD1139" s="416">
        <v>72.099999999999994</v>
      </c>
      <c r="AE1139" s="416">
        <v>70.8</v>
      </c>
      <c r="AF1139" s="416">
        <v>69.599999999999994</v>
      </c>
      <c r="AG1139" s="416">
        <v>69</v>
      </c>
      <c r="AH1139" s="416">
        <v>68.400000000000006</v>
      </c>
      <c r="AI1139" s="416">
        <v>67.7</v>
      </c>
      <c r="AJ1139" s="416">
        <v>67.099999999999994</v>
      </c>
      <c r="AK1139" s="416">
        <v>66.5</v>
      </c>
      <c r="AL1139" s="416">
        <v>65.900000000000006</v>
      </c>
      <c r="AM1139" s="416">
        <v>65.3</v>
      </c>
      <c r="AN1139" s="416">
        <v>64</v>
      </c>
      <c r="AO1139" s="416">
        <v>55.6</v>
      </c>
      <c r="AP1139" s="416">
        <v>42.9</v>
      </c>
      <c r="AQ1139" s="416">
        <v>33</v>
      </c>
      <c r="AR1139" s="416">
        <v>25.3</v>
      </c>
      <c r="AS1139" s="416">
        <v>19.399999999999999</v>
      </c>
      <c r="AT1139" s="416">
        <v>14.7</v>
      </c>
      <c r="AU1139" s="416">
        <v>11.3</v>
      </c>
      <c r="AV1139" s="416">
        <v>8.9</v>
      </c>
      <c r="AW1139" s="416">
        <v>6.77</v>
      </c>
      <c r="AX1139" s="416">
        <v>0</v>
      </c>
      <c r="AY1139" s="416">
        <v>0</v>
      </c>
      <c r="AZ1139" s="416">
        <v>0</v>
      </c>
    </row>
    <row r="1140" spans="1:52" x14ac:dyDescent="0.25">
      <c r="A1140" s="415" t="str">
        <f t="shared" si="17"/>
        <v>SA-312 Gr.TP317L</v>
      </c>
      <c r="B1140" s="415">
        <v>1134</v>
      </c>
      <c r="C1140" s="415" t="s">
        <v>3375</v>
      </c>
      <c r="D1140" s="415" t="s">
        <v>2703</v>
      </c>
      <c r="E1140" s="415" t="s">
        <v>2208</v>
      </c>
      <c r="F1140" s="415" t="s">
        <v>2574</v>
      </c>
      <c r="G1140" s="415" t="s">
        <v>3376</v>
      </c>
      <c r="H1140" s="415">
        <v>0</v>
      </c>
      <c r="I1140" s="415">
        <v>0</v>
      </c>
      <c r="J1140" s="415">
        <v>8</v>
      </c>
      <c r="K1140" s="415">
        <v>1</v>
      </c>
      <c r="L1140" s="415">
        <v>515</v>
      </c>
      <c r="M1140" s="415">
        <v>205</v>
      </c>
      <c r="N1140" s="415" t="s">
        <v>2675</v>
      </c>
      <c r="O1140" s="415" t="s">
        <v>2675</v>
      </c>
      <c r="P1140" s="415">
        <v>454</v>
      </c>
      <c r="Q1140" s="415">
        <v>343</v>
      </c>
      <c r="R1140" s="415" t="s">
        <v>3203</v>
      </c>
      <c r="S1140" s="415" t="s">
        <v>3189</v>
      </c>
      <c r="T1140" s="416">
        <v>138</v>
      </c>
      <c r="U1140" s="416">
        <v>138</v>
      </c>
      <c r="V1140" s="416">
        <v>138</v>
      </c>
      <c r="W1140" s="416">
        <v>138</v>
      </c>
      <c r="X1140" s="416">
        <v>138</v>
      </c>
      <c r="Y1140" s="416">
        <v>135</v>
      </c>
      <c r="Z1140" s="416">
        <v>131</v>
      </c>
      <c r="AA1140" s="416">
        <v>123</v>
      </c>
      <c r="AB1140" s="416">
        <v>118</v>
      </c>
      <c r="AC1140" s="416">
        <v>116</v>
      </c>
      <c r="AD1140" s="416">
        <v>113</v>
      </c>
      <c r="AE1140" s="416">
        <v>111</v>
      </c>
      <c r="AF1140" s="416">
        <v>109</v>
      </c>
      <c r="AG1140" s="416">
        <v>107</v>
      </c>
      <c r="AH1140" s="416">
        <v>105</v>
      </c>
      <c r="AI1140" s="416">
        <v>103</v>
      </c>
      <c r="AJ1140" s="416">
        <v>0</v>
      </c>
      <c r="AK1140" s="416">
        <v>0</v>
      </c>
      <c r="AL1140" s="416">
        <v>0</v>
      </c>
      <c r="AM1140" s="416">
        <v>0</v>
      </c>
      <c r="AN1140" s="416">
        <v>0</v>
      </c>
      <c r="AO1140" s="416">
        <v>0</v>
      </c>
      <c r="AP1140" s="416">
        <v>0</v>
      </c>
      <c r="AQ1140" s="416">
        <v>0</v>
      </c>
      <c r="AR1140" s="416">
        <v>0</v>
      </c>
      <c r="AS1140" s="416">
        <v>0</v>
      </c>
      <c r="AT1140" s="416">
        <v>0</v>
      </c>
      <c r="AU1140" s="416">
        <v>0</v>
      </c>
      <c r="AV1140" s="416">
        <v>0</v>
      </c>
      <c r="AW1140" s="416">
        <v>0</v>
      </c>
      <c r="AX1140" s="416">
        <v>0</v>
      </c>
      <c r="AY1140" s="416">
        <v>0</v>
      </c>
      <c r="AZ1140" s="416">
        <v>0</v>
      </c>
    </row>
    <row r="1141" spans="1:52" x14ac:dyDescent="0.25">
      <c r="A1141" s="415" t="str">
        <f t="shared" si="17"/>
        <v>SA-312 Gr.TP317L</v>
      </c>
      <c r="B1141" s="415">
        <v>1135</v>
      </c>
      <c r="C1141" s="415" t="s">
        <v>3375</v>
      </c>
      <c r="D1141" s="415" t="s">
        <v>2703</v>
      </c>
      <c r="E1141" s="415" t="s">
        <v>2208</v>
      </c>
      <c r="F1141" s="415" t="s">
        <v>2574</v>
      </c>
      <c r="G1141" s="415" t="s">
        <v>3376</v>
      </c>
      <c r="H1141" s="415">
        <v>0</v>
      </c>
      <c r="I1141" s="415">
        <v>0</v>
      </c>
      <c r="J1141" s="415">
        <v>8</v>
      </c>
      <c r="K1141" s="415">
        <v>1</v>
      </c>
      <c r="L1141" s="415">
        <v>515</v>
      </c>
      <c r="M1141" s="415">
        <v>205</v>
      </c>
      <c r="N1141" s="415" t="s">
        <v>2675</v>
      </c>
      <c r="O1141" s="415" t="s">
        <v>2675</v>
      </c>
      <c r="P1141" s="415">
        <v>454</v>
      </c>
      <c r="Q1141" s="415">
        <v>343</v>
      </c>
      <c r="R1141" s="415" t="s">
        <v>3203</v>
      </c>
      <c r="S1141" s="415">
        <v>0</v>
      </c>
      <c r="T1141" s="416">
        <v>138</v>
      </c>
      <c r="U1141" s="416">
        <v>138</v>
      </c>
      <c r="V1141" s="416">
        <v>126</v>
      </c>
      <c r="W1141" s="416">
        <v>115</v>
      </c>
      <c r="X1141" s="416">
        <v>109</v>
      </c>
      <c r="Y1141" s="416">
        <v>105</v>
      </c>
      <c r="Z1141" s="416">
        <v>97.1</v>
      </c>
      <c r="AA1141" s="416">
        <v>91.3</v>
      </c>
      <c r="AB1141" s="416">
        <v>87.3</v>
      </c>
      <c r="AC1141" s="416">
        <v>85.4</v>
      </c>
      <c r="AD1141" s="416">
        <v>83.8</v>
      </c>
      <c r="AE1141" s="416">
        <v>82.5</v>
      </c>
      <c r="AF1141" s="416">
        <v>80.599999999999994</v>
      </c>
      <c r="AG1141" s="416">
        <v>79.400000000000006</v>
      </c>
      <c r="AH1141" s="416">
        <v>78.099999999999994</v>
      </c>
      <c r="AI1141" s="416">
        <v>76.900000000000006</v>
      </c>
      <c r="AJ1141" s="416">
        <v>0</v>
      </c>
      <c r="AK1141" s="416">
        <v>0</v>
      </c>
      <c r="AL1141" s="416">
        <v>0</v>
      </c>
      <c r="AM1141" s="416">
        <v>0</v>
      </c>
      <c r="AN1141" s="416">
        <v>0</v>
      </c>
      <c r="AO1141" s="416">
        <v>0</v>
      </c>
      <c r="AP1141" s="416">
        <v>0</v>
      </c>
      <c r="AQ1141" s="416">
        <v>0</v>
      </c>
      <c r="AR1141" s="416">
        <v>0</v>
      </c>
      <c r="AS1141" s="416">
        <v>0</v>
      </c>
      <c r="AT1141" s="416">
        <v>0</v>
      </c>
      <c r="AU1141" s="416">
        <v>0</v>
      </c>
      <c r="AV1141" s="416">
        <v>0</v>
      </c>
      <c r="AW1141" s="416">
        <v>0</v>
      </c>
      <c r="AX1141" s="416">
        <v>0</v>
      </c>
      <c r="AY1141" s="416">
        <v>0</v>
      </c>
      <c r="AZ1141" s="416">
        <v>0</v>
      </c>
    </row>
    <row r="1142" spans="1:52" x14ac:dyDescent="0.25">
      <c r="A1142" s="415" t="str">
        <f t="shared" si="17"/>
        <v>SA-312 Gr.TP317L</v>
      </c>
      <c r="B1142" s="415">
        <v>1136</v>
      </c>
      <c r="C1142" s="415" t="s">
        <v>3375</v>
      </c>
      <c r="D1142" s="415" t="s">
        <v>2680</v>
      </c>
      <c r="E1142" s="415" t="s">
        <v>2208</v>
      </c>
      <c r="F1142" s="415" t="s">
        <v>2574</v>
      </c>
      <c r="G1142" s="415" t="s">
        <v>3376</v>
      </c>
      <c r="H1142" s="415">
        <v>0</v>
      </c>
      <c r="I1142" s="415">
        <v>0</v>
      </c>
      <c r="J1142" s="415">
        <v>8</v>
      </c>
      <c r="K1142" s="415">
        <v>1</v>
      </c>
      <c r="L1142" s="415">
        <v>515</v>
      </c>
      <c r="M1142" s="415">
        <v>205</v>
      </c>
      <c r="N1142" s="415" t="s">
        <v>2675</v>
      </c>
      <c r="O1142" s="415" t="s">
        <v>2675</v>
      </c>
      <c r="P1142" s="415">
        <v>454</v>
      </c>
      <c r="Q1142" s="415">
        <v>343</v>
      </c>
      <c r="R1142" s="415" t="s">
        <v>3203</v>
      </c>
      <c r="S1142" s="415" t="s">
        <v>3214</v>
      </c>
      <c r="T1142" s="416">
        <v>117</v>
      </c>
      <c r="U1142" s="416">
        <v>117</v>
      </c>
      <c r="V1142" s="416">
        <v>117</v>
      </c>
      <c r="W1142" s="416">
        <v>117</v>
      </c>
      <c r="X1142" s="416">
        <v>117</v>
      </c>
      <c r="Y1142" s="416">
        <v>115</v>
      </c>
      <c r="Z1142" s="416">
        <v>111</v>
      </c>
      <c r="AA1142" s="416">
        <v>105</v>
      </c>
      <c r="AB1142" s="416">
        <v>99.9</v>
      </c>
      <c r="AC1142" s="416">
        <v>97.9</v>
      </c>
      <c r="AD1142" s="416">
        <v>96</v>
      </c>
      <c r="AE1142" s="416">
        <v>94.2</v>
      </c>
      <c r="AF1142" s="416">
        <v>93</v>
      </c>
      <c r="AG1142" s="416">
        <v>91.1</v>
      </c>
      <c r="AH1142" s="416">
        <v>89.3</v>
      </c>
      <c r="AI1142" s="416">
        <v>87.4</v>
      </c>
      <c r="AJ1142" s="416">
        <v>0</v>
      </c>
      <c r="AK1142" s="416">
        <v>0</v>
      </c>
      <c r="AL1142" s="416">
        <v>0</v>
      </c>
      <c r="AM1142" s="416">
        <v>0</v>
      </c>
      <c r="AN1142" s="416">
        <v>0</v>
      </c>
      <c r="AO1142" s="416">
        <v>0</v>
      </c>
      <c r="AP1142" s="416">
        <v>0</v>
      </c>
      <c r="AQ1142" s="416">
        <v>0</v>
      </c>
      <c r="AR1142" s="416">
        <v>0</v>
      </c>
      <c r="AS1142" s="416">
        <v>0</v>
      </c>
      <c r="AT1142" s="416">
        <v>0</v>
      </c>
      <c r="AU1142" s="416">
        <v>0</v>
      </c>
      <c r="AV1142" s="416">
        <v>0</v>
      </c>
      <c r="AW1142" s="416">
        <v>0</v>
      </c>
      <c r="AX1142" s="416">
        <v>0</v>
      </c>
      <c r="AY1142" s="416">
        <v>0</v>
      </c>
      <c r="AZ1142" s="416">
        <v>0</v>
      </c>
    </row>
    <row r="1143" spans="1:52" x14ac:dyDescent="0.25">
      <c r="A1143" s="415" t="str">
        <f t="shared" si="17"/>
        <v>SA-312 Gr.TP317L</v>
      </c>
      <c r="B1143" s="415">
        <v>1137</v>
      </c>
      <c r="C1143" s="415" t="s">
        <v>3375</v>
      </c>
      <c r="D1143" s="415" t="s">
        <v>2680</v>
      </c>
      <c r="E1143" s="415" t="s">
        <v>2208</v>
      </c>
      <c r="F1143" s="415" t="s">
        <v>2574</v>
      </c>
      <c r="G1143" s="415" t="s">
        <v>3376</v>
      </c>
      <c r="H1143" s="415">
        <v>0</v>
      </c>
      <c r="I1143" s="415">
        <v>0</v>
      </c>
      <c r="J1143" s="415">
        <v>8</v>
      </c>
      <c r="K1143" s="415">
        <v>1</v>
      </c>
      <c r="L1143" s="415">
        <v>515</v>
      </c>
      <c r="M1143" s="415">
        <v>205</v>
      </c>
      <c r="N1143" s="415" t="s">
        <v>2675</v>
      </c>
      <c r="O1143" s="415" t="s">
        <v>2675</v>
      </c>
      <c r="P1143" s="415">
        <v>454</v>
      </c>
      <c r="Q1143" s="415">
        <v>343</v>
      </c>
      <c r="R1143" s="415" t="s">
        <v>3203</v>
      </c>
      <c r="S1143" s="415" t="s">
        <v>3004</v>
      </c>
      <c r="T1143" s="416">
        <v>117</v>
      </c>
      <c r="U1143" s="416">
        <v>117</v>
      </c>
      <c r="V1143" s="416">
        <v>107</v>
      </c>
      <c r="W1143" s="416">
        <v>98.5</v>
      </c>
      <c r="X1143" s="416">
        <v>93</v>
      </c>
      <c r="Y1143" s="416">
        <v>88.8</v>
      </c>
      <c r="Z1143" s="416">
        <v>82.5</v>
      </c>
      <c r="AA1143" s="416">
        <v>78</v>
      </c>
      <c r="AB1143" s="416">
        <v>74.099999999999994</v>
      </c>
      <c r="AC1143" s="416">
        <v>72.599999999999994</v>
      </c>
      <c r="AD1143" s="416">
        <v>71.400000000000006</v>
      </c>
      <c r="AE1143" s="416">
        <v>70.099999999999994</v>
      </c>
      <c r="AF1143" s="416">
        <v>68.900000000000006</v>
      </c>
      <c r="AG1143" s="416">
        <v>67.7</v>
      </c>
      <c r="AH1143" s="416">
        <v>66.400000000000006</v>
      </c>
      <c r="AI1143" s="416">
        <v>65.2</v>
      </c>
      <c r="AJ1143" s="416">
        <v>0</v>
      </c>
      <c r="AK1143" s="416">
        <v>0</v>
      </c>
      <c r="AL1143" s="416">
        <v>0</v>
      </c>
      <c r="AM1143" s="416">
        <v>0</v>
      </c>
      <c r="AN1143" s="416">
        <v>0</v>
      </c>
      <c r="AO1143" s="416">
        <v>0</v>
      </c>
      <c r="AP1143" s="416">
        <v>0</v>
      </c>
      <c r="AQ1143" s="416">
        <v>0</v>
      </c>
      <c r="AR1143" s="416">
        <v>0</v>
      </c>
      <c r="AS1143" s="416">
        <v>0</v>
      </c>
      <c r="AT1143" s="416">
        <v>0</v>
      </c>
      <c r="AU1143" s="416">
        <v>0</v>
      </c>
      <c r="AV1143" s="416">
        <v>0</v>
      </c>
      <c r="AW1143" s="416">
        <v>0</v>
      </c>
      <c r="AX1143" s="416">
        <v>0</v>
      </c>
      <c r="AY1143" s="416">
        <v>0</v>
      </c>
      <c r="AZ1143" s="416">
        <v>0</v>
      </c>
    </row>
    <row r="1144" spans="1:52" x14ac:dyDescent="0.25">
      <c r="A1144" s="415" t="str">
        <f t="shared" si="17"/>
        <v>SA-403 Gr.317</v>
      </c>
      <c r="B1144" s="415">
        <v>1138</v>
      </c>
      <c r="C1144" s="415" t="s">
        <v>3375</v>
      </c>
      <c r="D1144" s="415" t="s">
        <v>2758</v>
      </c>
      <c r="E1144" s="415" t="s">
        <v>2229</v>
      </c>
      <c r="F1144" s="415">
        <v>317</v>
      </c>
      <c r="G1144" s="415" t="s">
        <v>3377</v>
      </c>
      <c r="H1144" s="415">
        <v>0</v>
      </c>
      <c r="I1144" s="415">
        <v>0</v>
      </c>
      <c r="J1144" s="415">
        <v>8</v>
      </c>
      <c r="K1144" s="415">
        <v>1</v>
      </c>
      <c r="L1144" s="415">
        <v>515</v>
      </c>
      <c r="M1144" s="415">
        <v>205</v>
      </c>
      <c r="N1144" s="415" t="s">
        <v>2675</v>
      </c>
      <c r="O1144" s="415" t="s">
        <v>2675</v>
      </c>
      <c r="P1144" s="415">
        <v>816</v>
      </c>
      <c r="Q1144" s="415">
        <v>343</v>
      </c>
      <c r="R1144" s="415" t="s">
        <v>3069</v>
      </c>
      <c r="S1144" s="415" t="s">
        <v>3379</v>
      </c>
      <c r="T1144" s="416">
        <v>138</v>
      </c>
      <c r="U1144" s="416">
        <v>138</v>
      </c>
      <c r="V1144" s="416">
        <v>138</v>
      </c>
      <c r="W1144" s="416">
        <v>138</v>
      </c>
      <c r="X1144" s="416">
        <v>138</v>
      </c>
      <c r="Y1144" s="416">
        <v>138</v>
      </c>
      <c r="Z1144" s="416">
        <v>134</v>
      </c>
      <c r="AA1144" s="416">
        <v>126</v>
      </c>
      <c r="AB1144" s="416">
        <v>119</v>
      </c>
      <c r="AC1144" s="416">
        <v>116</v>
      </c>
      <c r="AD1144" s="416">
        <v>114</v>
      </c>
      <c r="AE1144" s="416">
        <v>112</v>
      </c>
      <c r="AF1144" s="416">
        <v>111</v>
      </c>
      <c r="AG1144" s="416">
        <v>110</v>
      </c>
      <c r="AH1144" s="416">
        <v>108</v>
      </c>
      <c r="AI1144" s="416">
        <v>108</v>
      </c>
      <c r="AJ1144" s="416">
        <v>107</v>
      </c>
      <c r="AK1144" s="416">
        <v>106</v>
      </c>
      <c r="AL1144" s="416">
        <v>105</v>
      </c>
      <c r="AM1144" s="416">
        <v>99.8</v>
      </c>
      <c r="AN1144" s="416">
        <v>80.3</v>
      </c>
      <c r="AO1144" s="416">
        <v>65.5</v>
      </c>
      <c r="AP1144" s="416">
        <v>50.4</v>
      </c>
      <c r="AQ1144" s="416">
        <v>38.6</v>
      </c>
      <c r="AR1144" s="416">
        <v>29.6</v>
      </c>
      <c r="AS1144" s="416">
        <v>23</v>
      </c>
      <c r="AT1144" s="416">
        <v>17.7</v>
      </c>
      <c r="AU1144" s="416">
        <v>13.4</v>
      </c>
      <c r="AV1144" s="416">
        <v>10.4</v>
      </c>
      <c r="AW1144" s="416">
        <v>8.0500000000000007</v>
      </c>
      <c r="AX1144" s="416">
        <v>0</v>
      </c>
      <c r="AY1144" s="416">
        <v>0</v>
      </c>
      <c r="AZ1144" s="416">
        <v>0</v>
      </c>
    </row>
    <row r="1145" spans="1:52" x14ac:dyDescent="0.25">
      <c r="A1145" s="415" t="str">
        <f t="shared" si="17"/>
        <v>SA-403 Gr.317L</v>
      </c>
      <c r="B1145" s="415">
        <v>1139</v>
      </c>
      <c r="C1145" s="415" t="s">
        <v>3375</v>
      </c>
      <c r="D1145" s="415" t="s">
        <v>913</v>
      </c>
      <c r="E1145" s="415" t="s">
        <v>2229</v>
      </c>
      <c r="F1145" s="415" t="s">
        <v>2276</v>
      </c>
      <c r="G1145" s="415" t="s">
        <v>3376</v>
      </c>
      <c r="H1145" s="415" t="s">
        <v>3380</v>
      </c>
      <c r="I1145" s="415">
        <v>0</v>
      </c>
      <c r="J1145" s="415">
        <v>8</v>
      </c>
      <c r="K1145" s="415">
        <v>1</v>
      </c>
      <c r="L1145" s="415">
        <v>515</v>
      </c>
      <c r="M1145" s="415">
        <v>205</v>
      </c>
      <c r="N1145" s="415" t="s">
        <v>2675</v>
      </c>
      <c r="O1145" s="415" t="s">
        <v>2675</v>
      </c>
      <c r="P1145" s="415">
        <v>454</v>
      </c>
      <c r="Q1145" s="415">
        <v>343</v>
      </c>
      <c r="R1145" s="415" t="s">
        <v>3203</v>
      </c>
      <c r="S1145" s="415" t="s">
        <v>3214</v>
      </c>
      <c r="T1145" s="416">
        <v>117</v>
      </c>
      <c r="U1145" s="416">
        <v>117</v>
      </c>
      <c r="V1145" s="416">
        <v>117</v>
      </c>
      <c r="W1145" s="416">
        <v>117</v>
      </c>
      <c r="X1145" s="416">
        <v>116</v>
      </c>
      <c r="Y1145" s="416">
        <v>115</v>
      </c>
      <c r="Z1145" s="416">
        <v>111</v>
      </c>
      <c r="AA1145" s="416">
        <v>105</v>
      </c>
      <c r="AB1145" s="416">
        <v>99.9</v>
      </c>
      <c r="AC1145" s="416">
        <v>97.9</v>
      </c>
      <c r="AD1145" s="416">
        <v>96</v>
      </c>
      <c r="AE1145" s="416">
        <v>94.2</v>
      </c>
      <c r="AF1145" s="416">
        <v>93</v>
      </c>
      <c r="AG1145" s="416">
        <v>91.1</v>
      </c>
      <c r="AH1145" s="416">
        <v>89.3</v>
      </c>
      <c r="AI1145" s="416">
        <v>87.4</v>
      </c>
      <c r="AJ1145" s="416">
        <v>0</v>
      </c>
      <c r="AK1145" s="416">
        <v>0</v>
      </c>
      <c r="AL1145" s="416">
        <v>0</v>
      </c>
      <c r="AM1145" s="416">
        <v>0</v>
      </c>
      <c r="AN1145" s="416">
        <v>0</v>
      </c>
      <c r="AO1145" s="416">
        <v>0</v>
      </c>
      <c r="AP1145" s="416">
        <v>0</v>
      </c>
      <c r="AQ1145" s="416">
        <v>0</v>
      </c>
      <c r="AR1145" s="416">
        <v>0</v>
      </c>
      <c r="AS1145" s="416">
        <v>0</v>
      </c>
      <c r="AT1145" s="416">
        <v>0</v>
      </c>
      <c r="AU1145" s="416">
        <v>0</v>
      </c>
      <c r="AV1145" s="416">
        <v>0</v>
      </c>
      <c r="AW1145" s="416">
        <v>0</v>
      </c>
      <c r="AX1145" s="416">
        <v>0</v>
      </c>
      <c r="AY1145" s="416">
        <v>0</v>
      </c>
      <c r="AZ1145" s="416">
        <v>0</v>
      </c>
    </row>
    <row r="1146" spans="1:52" x14ac:dyDescent="0.25">
      <c r="A1146" s="415" t="str">
        <f t="shared" si="17"/>
        <v>SA-403 Gr.317L</v>
      </c>
      <c r="B1146" s="415">
        <v>1140</v>
      </c>
      <c r="C1146" s="415" t="s">
        <v>3375</v>
      </c>
      <c r="D1146" s="415" t="s">
        <v>913</v>
      </c>
      <c r="E1146" s="415" t="s">
        <v>2229</v>
      </c>
      <c r="F1146" s="415" t="s">
        <v>2276</v>
      </c>
      <c r="G1146" s="415" t="s">
        <v>3376</v>
      </c>
      <c r="H1146" s="415" t="s">
        <v>3380</v>
      </c>
      <c r="I1146" s="415">
        <v>0</v>
      </c>
      <c r="J1146" s="415">
        <v>8</v>
      </c>
      <c r="K1146" s="415">
        <v>1</v>
      </c>
      <c r="L1146" s="415">
        <v>515</v>
      </c>
      <c r="M1146" s="415">
        <v>205</v>
      </c>
      <c r="N1146" s="415" t="s">
        <v>2675</v>
      </c>
      <c r="O1146" s="415" t="s">
        <v>2675</v>
      </c>
      <c r="P1146" s="415">
        <v>454</v>
      </c>
      <c r="Q1146" s="415">
        <v>343</v>
      </c>
      <c r="R1146" s="415" t="s">
        <v>3203</v>
      </c>
      <c r="S1146" s="415" t="s">
        <v>3004</v>
      </c>
      <c r="T1146" s="416">
        <v>117</v>
      </c>
      <c r="U1146" s="416">
        <v>117</v>
      </c>
      <c r="V1146" s="416">
        <v>108</v>
      </c>
      <c r="W1146" s="416">
        <v>98.3</v>
      </c>
      <c r="X1146" s="416">
        <v>93</v>
      </c>
      <c r="Y1146" s="416">
        <v>88.8</v>
      </c>
      <c r="Z1146" s="416">
        <v>82.5</v>
      </c>
      <c r="AA1146" s="416">
        <v>78</v>
      </c>
      <c r="AB1146" s="416">
        <v>74.099999999999994</v>
      </c>
      <c r="AC1146" s="416">
        <v>72.599999999999994</v>
      </c>
      <c r="AD1146" s="416">
        <v>71.400000000000006</v>
      </c>
      <c r="AE1146" s="416">
        <v>70.099999999999994</v>
      </c>
      <c r="AF1146" s="416">
        <v>68.900000000000006</v>
      </c>
      <c r="AG1146" s="416">
        <v>67.7</v>
      </c>
      <c r="AH1146" s="416">
        <v>66.400000000000006</v>
      </c>
      <c r="AI1146" s="416">
        <v>65.2</v>
      </c>
      <c r="AJ1146" s="416">
        <v>0</v>
      </c>
      <c r="AK1146" s="416">
        <v>0</v>
      </c>
      <c r="AL1146" s="416">
        <v>0</v>
      </c>
      <c r="AM1146" s="416">
        <v>0</v>
      </c>
      <c r="AN1146" s="416">
        <v>0</v>
      </c>
      <c r="AO1146" s="416">
        <v>0</v>
      </c>
      <c r="AP1146" s="416">
        <v>0</v>
      </c>
      <c r="AQ1146" s="416">
        <v>0</v>
      </c>
      <c r="AR1146" s="416">
        <v>0</v>
      </c>
      <c r="AS1146" s="416">
        <v>0</v>
      </c>
      <c r="AT1146" s="416">
        <v>0</v>
      </c>
      <c r="AU1146" s="416">
        <v>0</v>
      </c>
      <c r="AV1146" s="416">
        <v>0</v>
      </c>
      <c r="AW1146" s="416">
        <v>0</v>
      </c>
      <c r="AX1146" s="416">
        <v>0</v>
      </c>
      <c r="AY1146" s="416">
        <v>0</v>
      </c>
      <c r="AZ1146" s="416">
        <v>0</v>
      </c>
    </row>
    <row r="1147" spans="1:52" x14ac:dyDescent="0.25">
      <c r="A1147" s="415" t="str">
        <f t="shared" si="17"/>
        <v>SA-403 Gr.317L</v>
      </c>
      <c r="B1147" s="415">
        <v>1141</v>
      </c>
      <c r="C1147" s="415" t="s">
        <v>3375</v>
      </c>
      <c r="D1147" s="415" t="s">
        <v>913</v>
      </c>
      <c r="E1147" s="415" t="s">
        <v>2229</v>
      </c>
      <c r="F1147" s="415" t="s">
        <v>2276</v>
      </c>
      <c r="G1147" s="415" t="s">
        <v>3376</v>
      </c>
      <c r="H1147" s="415" t="s">
        <v>3381</v>
      </c>
      <c r="I1147" s="415">
        <v>0</v>
      </c>
      <c r="J1147" s="415">
        <v>8</v>
      </c>
      <c r="K1147" s="415">
        <v>1</v>
      </c>
      <c r="L1147" s="415">
        <v>515</v>
      </c>
      <c r="M1147" s="415">
        <v>205</v>
      </c>
      <c r="N1147" s="415" t="s">
        <v>2675</v>
      </c>
      <c r="O1147" s="415" t="s">
        <v>2675</v>
      </c>
      <c r="P1147" s="415">
        <v>454</v>
      </c>
      <c r="Q1147" s="415">
        <v>343</v>
      </c>
      <c r="R1147" s="415" t="s">
        <v>3203</v>
      </c>
      <c r="S1147" s="415" t="s">
        <v>3189</v>
      </c>
      <c r="T1147" s="416">
        <v>138</v>
      </c>
      <c r="U1147" s="416">
        <v>138</v>
      </c>
      <c r="V1147" s="416">
        <v>138</v>
      </c>
      <c r="W1147" s="416">
        <v>138</v>
      </c>
      <c r="X1147" s="416">
        <v>137</v>
      </c>
      <c r="Y1147" s="416">
        <v>135</v>
      </c>
      <c r="Z1147" s="416">
        <v>131</v>
      </c>
      <c r="AA1147" s="416">
        <v>123</v>
      </c>
      <c r="AB1147" s="416">
        <v>118</v>
      </c>
      <c r="AC1147" s="416">
        <v>116</v>
      </c>
      <c r="AD1147" s="416">
        <v>113</v>
      </c>
      <c r="AE1147" s="416">
        <v>111</v>
      </c>
      <c r="AF1147" s="416">
        <v>109</v>
      </c>
      <c r="AG1147" s="416">
        <v>107</v>
      </c>
      <c r="AH1147" s="416">
        <v>105</v>
      </c>
      <c r="AI1147" s="416">
        <v>103</v>
      </c>
      <c r="AJ1147" s="416">
        <v>0</v>
      </c>
      <c r="AK1147" s="416">
        <v>0</v>
      </c>
      <c r="AL1147" s="416">
        <v>0</v>
      </c>
      <c r="AM1147" s="416">
        <v>0</v>
      </c>
      <c r="AN1147" s="416">
        <v>0</v>
      </c>
      <c r="AO1147" s="416">
        <v>0</v>
      </c>
      <c r="AP1147" s="416">
        <v>0</v>
      </c>
      <c r="AQ1147" s="416">
        <v>0</v>
      </c>
      <c r="AR1147" s="416">
        <v>0</v>
      </c>
      <c r="AS1147" s="416">
        <v>0</v>
      </c>
      <c r="AT1147" s="416">
        <v>0</v>
      </c>
      <c r="AU1147" s="416">
        <v>0</v>
      </c>
      <c r="AV1147" s="416">
        <v>0</v>
      </c>
      <c r="AW1147" s="416">
        <v>0</v>
      </c>
      <c r="AX1147" s="416">
        <v>0</v>
      </c>
      <c r="AY1147" s="416">
        <v>0</v>
      </c>
      <c r="AZ1147" s="416">
        <v>0</v>
      </c>
    </row>
    <row r="1148" spans="1:52" x14ac:dyDescent="0.25">
      <c r="A1148" s="415" t="str">
        <f t="shared" si="17"/>
        <v>SA-403 Gr.317L</v>
      </c>
      <c r="B1148" s="415">
        <v>1142</v>
      </c>
      <c r="C1148" s="415" t="s">
        <v>3375</v>
      </c>
      <c r="D1148" s="415" t="s">
        <v>913</v>
      </c>
      <c r="E1148" s="415" t="s">
        <v>2229</v>
      </c>
      <c r="F1148" s="415" t="s">
        <v>2276</v>
      </c>
      <c r="G1148" s="415" t="s">
        <v>3376</v>
      </c>
      <c r="H1148" s="415" t="s">
        <v>3381</v>
      </c>
      <c r="I1148" s="415">
        <v>0</v>
      </c>
      <c r="J1148" s="415">
        <v>8</v>
      </c>
      <c r="K1148" s="415">
        <v>1</v>
      </c>
      <c r="L1148" s="415">
        <v>515</v>
      </c>
      <c r="M1148" s="415">
        <v>205</v>
      </c>
      <c r="N1148" s="415" t="s">
        <v>2675</v>
      </c>
      <c r="O1148" s="415" t="s">
        <v>2675</v>
      </c>
      <c r="P1148" s="415">
        <v>454</v>
      </c>
      <c r="Q1148" s="415">
        <v>343</v>
      </c>
      <c r="R1148" s="415" t="s">
        <v>3203</v>
      </c>
      <c r="S1148" s="415">
        <v>0</v>
      </c>
      <c r="T1148" s="416">
        <v>138</v>
      </c>
      <c r="U1148" s="416">
        <v>138</v>
      </c>
      <c r="V1148" s="416">
        <v>127</v>
      </c>
      <c r="W1148" s="416">
        <v>115</v>
      </c>
      <c r="X1148" s="416">
        <v>109</v>
      </c>
      <c r="Y1148" s="416">
        <v>105</v>
      </c>
      <c r="Z1148" s="416">
        <v>97.1</v>
      </c>
      <c r="AA1148" s="416">
        <v>91.2</v>
      </c>
      <c r="AB1148" s="416">
        <v>87.3</v>
      </c>
      <c r="AC1148" s="416">
        <v>85.4</v>
      </c>
      <c r="AD1148" s="416">
        <v>83.8</v>
      </c>
      <c r="AE1148" s="416">
        <v>82.5</v>
      </c>
      <c r="AF1148" s="416">
        <v>80.599999999999994</v>
      </c>
      <c r="AG1148" s="416">
        <v>79.400000000000006</v>
      </c>
      <c r="AH1148" s="416">
        <v>78.099999999999994</v>
      </c>
      <c r="AI1148" s="416">
        <v>76.900000000000006</v>
      </c>
      <c r="AJ1148" s="416">
        <v>0</v>
      </c>
      <c r="AK1148" s="416">
        <v>0</v>
      </c>
      <c r="AL1148" s="416">
        <v>0</v>
      </c>
      <c r="AM1148" s="416">
        <v>0</v>
      </c>
      <c r="AN1148" s="416">
        <v>0</v>
      </c>
      <c r="AO1148" s="416">
        <v>0</v>
      </c>
      <c r="AP1148" s="416">
        <v>0</v>
      </c>
      <c r="AQ1148" s="416">
        <v>0</v>
      </c>
      <c r="AR1148" s="416">
        <v>0</v>
      </c>
      <c r="AS1148" s="416">
        <v>0</v>
      </c>
      <c r="AT1148" s="416">
        <v>0</v>
      </c>
      <c r="AU1148" s="416">
        <v>0</v>
      </c>
      <c r="AV1148" s="416">
        <v>0</v>
      </c>
      <c r="AW1148" s="416">
        <v>0</v>
      </c>
      <c r="AX1148" s="416">
        <v>0</v>
      </c>
      <c r="AY1148" s="416">
        <v>0</v>
      </c>
      <c r="AZ1148" s="416">
        <v>0</v>
      </c>
    </row>
    <row r="1149" spans="1:52" x14ac:dyDescent="0.25">
      <c r="A1149" s="415" t="str">
        <f t="shared" si="17"/>
        <v>SA-403 Gr.317L</v>
      </c>
      <c r="B1149" s="415">
        <v>1143</v>
      </c>
      <c r="C1149" s="415" t="s">
        <v>3375</v>
      </c>
      <c r="D1149" s="415" t="s">
        <v>913</v>
      </c>
      <c r="E1149" s="415" t="s">
        <v>2229</v>
      </c>
      <c r="F1149" s="415" t="s">
        <v>2276</v>
      </c>
      <c r="G1149" s="415" t="s">
        <v>3376</v>
      </c>
      <c r="H1149" s="415" t="s">
        <v>3382</v>
      </c>
      <c r="I1149" s="415">
        <v>0</v>
      </c>
      <c r="J1149" s="415">
        <v>8</v>
      </c>
      <c r="K1149" s="415">
        <v>1</v>
      </c>
      <c r="L1149" s="415">
        <v>515</v>
      </c>
      <c r="M1149" s="415">
        <v>205</v>
      </c>
      <c r="N1149" s="415" t="s">
        <v>2675</v>
      </c>
      <c r="O1149" s="415" t="s">
        <v>2675</v>
      </c>
      <c r="P1149" s="415">
        <v>454</v>
      </c>
      <c r="Q1149" s="415">
        <v>343</v>
      </c>
      <c r="R1149" s="415" t="s">
        <v>3203</v>
      </c>
      <c r="S1149" s="415" t="s">
        <v>3214</v>
      </c>
      <c r="T1149" s="416">
        <v>117</v>
      </c>
      <c r="U1149" s="416">
        <v>117</v>
      </c>
      <c r="V1149" s="416">
        <v>117</v>
      </c>
      <c r="W1149" s="416">
        <v>117</v>
      </c>
      <c r="X1149" s="416">
        <v>116</v>
      </c>
      <c r="Y1149" s="416">
        <v>115</v>
      </c>
      <c r="Z1149" s="416">
        <v>111</v>
      </c>
      <c r="AA1149" s="416">
        <v>105</v>
      </c>
      <c r="AB1149" s="416">
        <v>99.9</v>
      </c>
      <c r="AC1149" s="416">
        <v>97.9</v>
      </c>
      <c r="AD1149" s="416">
        <v>96</v>
      </c>
      <c r="AE1149" s="416">
        <v>94.2</v>
      </c>
      <c r="AF1149" s="416">
        <v>93</v>
      </c>
      <c r="AG1149" s="416">
        <v>91.1</v>
      </c>
      <c r="AH1149" s="416">
        <v>89.3</v>
      </c>
      <c r="AI1149" s="416">
        <v>87.4</v>
      </c>
      <c r="AJ1149" s="416">
        <v>0</v>
      </c>
      <c r="AK1149" s="416">
        <v>0</v>
      </c>
      <c r="AL1149" s="416">
        <v>0</v>
      </c>
      <c r="AM1149" s="416">
        <v>0</v>
      </c>
      <c r="AN1149" s="416">
        <v>0</v>
      </c>
      <c r="AO1149" s="416">
        <v>0</v>
      </c>
      <c r="AP1149" s="416">
        <v>0</v>
      </c>
      <c r="AQ1149" s="416">
        <v>0</v>
      </c>
      <c r="AR1149" s="416">
        <v>0</v>
      </c>
      <c r="AS1149" s="416">
        <v>0</v>
      </c>
      <c r="AT1149" s="416">
        <v>0</v>
      </c>
      <c r="AU1149" s="416">
        <v>0</v>
      </c>
      <c r="AV1149" s="416">
        <v>0</v>
      </c>
      <c r="AW1149" s="416">
        <v>0</v>
      </c>
      <c r="AX1149" s="416">
        <v>0</v>
      </c>
      <c r="AY1149" s="416">
        <v>0</v>
      </c>
      <c r="AZ1149" s="416">
        <v>0</v>
      </c>
    </row>
    <row r="1150" spans="1:52" x14ac:dyDescent="0.25">
      <c r="A1150" s="415" t="str">
        <f t="shared" si="17"/>
        <v>SA-403 Gr.317L</v>
      </c>
      <c r="B1150" s="415">
        <v>1144</v>
      </c>
      <c r="C1150" s="415" t="s">
        <v>3375</v>
      </c>
      <c r="D1150" s="415" t="s">
        <v>913</v>
      </c>
      <c r="E1150" s="415" t="s">
        <v>2229</v>
      </c>
      <c r="F1150" s="415" t="s">
        <v>2276</v>
      </c>
      <c r="G1150" s="415" t="s">
        <v>3376</v>
      </c>
      <c r="H1150" s="415" t="s">
        <v>3382</v>
      </c>
      <c r="I1150" s="415">
        <v>0</v>
      </c>
      <c r="J1150" s="415">
        <v>8</v>
      </c>
      <c r="K1150" s="415">
        <v>1</v>
      </c>
      <c r="L1150" s="415">
        <v>515</v>
      </c>
      <c r="M1150" s="415">
        <v>205</v>
      </c>
      <c r="N1150" s="415" t="s">
        <v>2675</v>
      </c>
      <c r="O1150" s="415" t="s">
        <v>2675</v>
      </c>
      <c r="P1150" s="415">
        <v>454</v>
      </c>
      <c r="Q1150" s="415">
        <v>343</v>
      </c>
      <c r="R1150" s="415" t="s">
        <v>3203</v>
      </c>
      <c r="S1150" s="415" t="s">
        <v>3004</v>
      </c>
      <c r="T1150" s="416">
        <v>117</v>
      </c>
      <c r="U1150" s="416">
        <v>117</v>
      </c>
      <c r="V1150" s="416">
        <v>108</v>
      </c>
      <c r="W1150" s="416">
        <v>98.3</v>
      </c>
      <c r="X1150" s="416">
        <v>93</v>
      </c>
      <c r="Y1150" s="416">
        <v>88.8</v>
      </c>
      <c r="Z1150" s="416">
        <v>82.5</v>
      </c>
      <c r="AA1150" s="416">
        <v>78</v>
      </c>
      <c r="AB1150" s="416">
        <v>74.099999999999994</v>
      </c>
      <c r="AC1150" s="416">
        <v>72.599999999999994</v>
      </c>
      <c r="AD1150" s="416">
        <v>71.400000000000006</v>
      </c>
      <c r="AE1150" s="416">
        <v>70.099999999999994</v>
      </c>
      <c r="AF1150" s="416">
        <v>68.900000000000006</v>
      </c>
      <c r="AG1150" s="416">
        <v>67.7</v>
      </c>
      <c r="AH1150" s="416">
        <v>66.400000000000006</v>
      </c>
      <c r="AI1150" s="416">
        <v>65.2</v>
      </c>
      <c r="AJ1150" s="416">
        <v>0</v>
      </c>
      <c r="AK1150" s="416">
        <v>0</v>
      </c>
      <c r="AL1150" s="416">
        <v>0</v>
      </c>
      <c r="AM1150" s="416">
        <v>0</v>
      </c>
      <c r="AN1150" s="416">
        <v>0</v>
      </c>
      <c r="AO1150" s="416">
        <v>0</v>
      </c>
      <c r="AP1150" s="416">
        <v>0</v>
      </c>
      <c r="AQ1150" s="416">
        <v>0</v>
      </c>
      <c r="AR1150" s="416">
        <v>0</v>
      </c>
      <c r="AS1150" s="416">
        <v>0</v>
      </c>
      <c r="AT1150" s="416">
        <v>0</v>
      </c>
      <c r="AU1150" s="416">
        <v>0</v>
      </c>
      <c r="AV1150" s="416">
        <v>0</v>
      </c>
      <c r="AW1150" s="416">
        <v>0</v>
      </c>
      <c r="AX1150" s="416">
        <v>0</v>
      </c>
      <c r="AY1150" s="416">
        <v>0</v>
      </c>
      <c r="AZ1150" s="416">
        <v>0</v>
      </c>
    </row>
    <row r="1151" spans="1:52" x14ac:dyDescent="0.25">
      <c r="A1151" s="415" t="str">
        <f t="shared" si="17"/>
        <v>SA-403 Gr.317L</v>
      </c>
      <c r="B1151" s="415">
        <v>1145</v>
      </c>
      <c r="C1151" s="415" t="s">
        <v>3375</v>
      </c>
      <c r="D1151" s="415" t="s">
        <v>913</v>
      </c>
      <c r="E1151" s="415" t="s">
        <v>2229</v>
      </c>
      <c r="F1151" s="415" t="s">
        <v>2276</v>
      </c>
      <c r="G1151" s="415" t="s">
        <v>3376</v>
      </c>
      <c r="H1151" s="415" t="s">
        <v>3383</v>
      </c>
      <c r="I1151" s="415">
        <v>0</v>
      </c>
      <c r="J1151" s="415">
        <v>8</v>
      </c>
      <c r="K1151" s="415">
        <v>1</v>
      </c>
      <c r="L1151" s="415">
        <v>515</v>
      </c>
      <c r="M1151" s="415">
        <v>205</v>
      </c>
      <c r="N1151" s="415" t="s">
        <v>2675</v>
      </c>
      <c r="O1151" s="415" t="s">
        <v>2675</v>
      </c>
      <c r="P1151" s="415">
        <v>454</v>
      </c>
      <c r="Q1151" s="415">
        <v>343</v>
      </c>
      <c r="R1151" s="415" t="s">
        <v>3203</v>
      </c>
      <c r="S1151" s="415" t="s">
        <v>3214</v>
      </c>
      <c r="T1151" s="416">
        <v>117</v>
      </c>
      <c r="U1151" s="416">
        <v>117</v>
      </c>
      <c r="V1151" s="416">
        <v>117</v>
      </c>
      <c r="W1151" s="416">
        <v>117</v>
      </c>
      <c r="X1151" s="416">
        <v>116</v>
      </c>
      <c r="Y1151" s="416">
        <v>115</v>
      </c>
      <c r="Z1151" s="416">
        <v>111</v>
      </c>
      <c r="AA1151" s="416">
        <v>105</v>
      </c>
      <c r="AB1151" s="416">
        <v>99.9</v>
      </c>
      <c r="AC1151" s="416">
        <v>97.9</v>
      </c>
      <c r="AD1151" s="416">
        <v>96</v>
      </c>
      <c r="AE1151" s="416">
        <v>94.2</v>
      </c>
      <c r="AF1151" s="416">
        <v>93</v>
      </c>
      <c r="AG1151" s="416">
        <v>91.1</v>
      </c>
      <c r="AH1151" s="416">
        <v>89.3</v>
      </c>
      <c r="AI1151" s="416">
        <v>87.4</v>
      </c>
      <c r="AJ1151" s="416">
        <v>0</v>
      </c>
      <c r="AK1151" s="416">
        <v>0</v>
      </c>
      <c r="AL1151" s="416">
        <v>0</v>
      </c>
      <c r="AM1151" s="416">
        <v>0</v>
      </c>
      <c r="AN1151" s="416">
        <v>0</v>
      </c>
      <c r="AO1151" s="416">
        <v>0</v>
      </c>
      <c r="AP1151" s="416">
        <v>0</v>
      </c>
      <c r="AQ1151" s="416">
        <v>0</v>
      </c>
      <c r="AR1151" s="416">
        <v>0</v>
      </c>
      <c r="AS1151" s="416">
        <v>0</v>
      </c>
      <c r="AT1151" s="416">
        <v>0</v>
      </c>
      <c r="AU1151" s="416">
        <v>0</v>
      </c>
      <c r="AV1151" s="416">
        <v>0</v>
      </c>
      <c r="AW1151" s="416">
        <v>0</v>
      </c>
      <c r="AX1151" s="416">
        <v>0</v>
      </c>
      <c r="AY1151" s="416">
        <v>0</v>
      </c>
      <c r="AZ1151" s="416">
        <v>0</v>
      </c>
    </row>
    <row r="1152" spans="1:52" x14ac:dyDescent="0.25">
      <c r="A1152" s="415" t="str">
        <f t="shared" si="17"/>
        <v>SA-403 Gr.317L</v>
      </c>
      <c r="B1152" s="415">
        <v>1146</v>
      </c>
      <c r="C1152" s="415" t="s">
        <v>3375</v>
      </c>
      <c r="D1152" s="415" t="s">
        <v>913</v>
      </c>
      <c r="E1152" s="415" t="s">
        <v>2229</v>
      </c>
      <c r="F1152" s="415" t="s">
        <v>2276</v>
      </c>
      <c r="G1152" s="415" t="s">
        <v>3376</v>
      </c>
      <c r="H1152" s="415" t="s">
        <v>3383</v>
      </c>
      <c r="I1152" s="415">
        <v>0</v>
      </c>
      <c r="J1152" s="415">
        <v>8</v>
      </c>
      <c r="K1152" s="415">
        <v>1</v>
      </c>
      <c r="L1152" s="415">
        <v>515</v>
      </c>
      <c r="M1152" s="415">
        <v>205</v>
      </c>
      <c r="N1152" s="415" t="s">
        <v>2675</v>
      </c>
      <c r="O1152" s="415" t="s">
        <v>2675</v>
      </c>
      <c r="P1152" s="415">
        <v>454</v>
      </c>
      <c r="Q1152" s="415">
        <v>343</v>
      </c>
      <c r="R1152" s="415" t="s">
        <v>3203</v>
      </c>
      <c r="S1152" s="415" t="s">
        <v>3004</v>
      </c>
      <c r="T1152" s="416">
        <v>117</v>
      </c>
      <c r="U1152" s="416">
        <v>117</v>
      </c>
      <c r="V1152" s="416">
        <v>108</v>
      </c>
      <c r="W1152" s="416">
        <v>98.3</v>
      </c>
      <c r="X1152" s="416">
        <v>93</v>
      </c>
      <c r="Y1152" s="416">
        <v>88.8</v>
      </c>
      <c r="Z1152" s="416">
        <v>82.5</v>
      </c>
      <c r="AA1152" s="416">
        <v>78</v>
      </c>
      <c r="AB1152" s="416">
        <v>74.099999999999994</v>
      </c>
      <c r="AC1152" s="416">
        <v>72.599999999999994</v>
      </c>
      <c r="AD1152" s="416">
        <v>71.400000000000006</v>
      </c>
      <c r="AE1152" s="416">
        <v>70.099999999999994</v>
      </c>
      <c r="AF1152" s="416">
        <v>68.900000000000006</v>
      </c>
      <c r="AG1152" s="416">
        <v>67.7</v>
      </c>
      <c r="AH1152" s="416">
        <v>66.400000000000006</v>
      </c>
      <c r="AI1152" s="416">
        <v>65.2</v>
      </c>
      <c r="AJ1152" s="416">
        <v>0</v>
      </c>
      <c r="AK1152" s="416">
        <v>0</v>
      </c>
      <c r="AL1152" s="416">
        <v>0</v>
      </c>
      <c r="AM1152" s="416">
        <v>0</v>
      </c>
      <c r="AN1152" s="416">
        <v>0</v>
      </c>
      <c r="AO1152" s="416">
        <v>0</v>
      </c>
      <c r="AP1152" s="416">
        <v>0</v>
      </c>
      <c r="AQ1152" s="416">
        <v>0</v>
      </c>
      <c r="AR1152" s="416">
        <v>0</v>
      </c>
      <c r="AS1152" s="416">
        <v>0</v>
      </c>
      <c r="AT1152" s="416">
        <v>0</v>
      </c>
      <c r="AU1152" s="416">
        <v>0</v>
      </c>
      <c r="AV1152" s="416">
        <v>0</v>
      </c>
      <c r="AW1152" s="416">
        <v>0</v>
      </c>
      <c r="AX1152" s="416">
        <v>0</v>
      </c>
      <c r="AY1152" s="416">
        <v>0</v>
      </c>
      <c r="AZ1152" s="416">
        <v>0</v>
      </c>
    </row>
    <row r="1153" spans="1:52" x14ac:dyDescent="0.25">
      <c r="A1153" s="415" t="str">
        <f t="shared" si="17"/>
        <v>SA-403 Gr.317L</v>
      </c>
      <c r="B1153" s="415">
        <v>1147</v>
      </c>
      <c r="C1153" s="415" t="s">
        <v>3375</v>
      </c>
      <c r="D1153" s="415" t="s">
        <v>913</v>
      </c>
      <c r="E1153" s="415" t="s">
        <v>2229</v>
      </c>
      <c r="F1153" s="415" t="s">
        <v>2276</v>
      </c>
      <c r="G1153" s="415" t="s">
        <v>3376</v>
      </c>
      <c r="H1153" s="415" t="s">
        <v>3384</v>
      </c>
      <c r="I1153" s="415">
        <v>0</v>
      </c>
      <c r="J1153" s="415">
        <v>8</v>
      </c>
      <c r="K1153" s="415">
        <v>1</v>
      </c>
      <c r="L1153" s="415">
        <v>515</v>
      </c>
      <c r="M1153" s="415">
        <v>205</v>
      </c>
      <c r="N1153" s="415" t="s">
        <v>2675</v>
      </c>
      <c r="O1153" s="415" t="s">
        <v>2675</v>
      </c>
      <c r="P1153" s="415">
        <v>454</v>
      </c>
      <c r="Q1153" s="415">
        <v>343</v>
      </c>
      <c r="R1153" s="415" t="s">
        <v>3203</v>
      </c>
      <c r="S1153" s="415" t="s">
        <v>3214</v>
      </c>
      <c r="T1153" s="416">
        <v>117</v>
      </c>
      <c r="U1153" s="416">
        <v>117</v>
      </c>
      <c r="V1153" s="416">
        <v>117</v>
      </c>
      <c r="W1153" s="416">
        <v>117</v>
      </c>
      <c r="X1153" s="416">
        <v>116</v>
      </c>
      <c r="Y1153" s="416">
        <v>115</v>
      </c>
      <c r="Z1153" s="416">
        <v>111</v>
      </c>
      <c r="AA1153" s="416">
        <v>105</v>
      </c>
      <c r="AB1153" s="416">
        <v>99.9</v>
      </c>
      <c r="AC1153" s="416">
        <v>97.9</v>
      </c>
      <c r="AD1153" s="416">
        <v>96</v>
      </c>
      <c r="AE1153" s="416">
        <v>94.2</v>
      </c>
      <c r="AF1153" s="416">
        <v>93</v>
      </c>
      <c r="AG1153" s="416">
        <v>91.1</v>
      </c>
      <c r="AH1153" s="416">
        <v>89.3</v>
      </c>
      <c r="AI1153" s="416">
        <v>87.4</v>
      </c>
      <c r="AJ1153" s="416">
        <v>0</v>
      </c>
      <c r="AK1153" s="416">
        <v>0</v>
      </c>
      <c r="AL1153" s="416">
        <v>0</v>
      </c>
      <c r="AM1153" s="416">
        <v>0</v>
      </c>
      <c r="AN1153" s="416">
        <v>0</v>
      </c>
      <c r="AO1153" s="416">
        <v>0</v>
      </c>
      <c r="AP1153" s="416">
        <v>0</v>
      </c>
      <c r="AQ1153" s="416">
        <v>0</v>
      </c>
      <c r="AR1153" s="416">
        <v>0</v>
      </c>
      <c r="AS1153" s="416">
        <v>0</v>
      </c>
      <c r="AT1153" s="416">
        <v>0</v>
      </c>
      <c r="AU1153" s="416">
        <v>0</v>
      </c>
      <c r="AV1153" s="416">
        <v>0</v>
      </c>
      <c r="AW1153" s="416">
        <v>0</v>
      </c>
      <c r="AX1153" s="416">
        <v>0</v>
      </c>
      <c r="AY1153" s="416">
        <v>0</v>
      </c>
      <c r="AZ1153" s="416">
        <v>0</v>
      </c>
    </row>
    <row r="1154" spans="1:52" x14ac:dyDescent="0.25">
      <c r="A1154" s="415" t="str">
        <f t="shared" si="17"/>
        <v>SA-403 Gr.317L</v>
      </c>
      <c r="B1154" s="415">
        <v>1148</v>
      </c>
      <c r="C1154" s="415" t="s">
        <v>3375</v>
      </c>
      <c r="D1154" s="415" t="s">
        <v>913</v>
      </c>
      <c r="E1154" s="415" t="s">
        <v>2229</v>
      </c>
      <c r="F1154" s="415" t="s">
        <v>2276</v>
      </c>
      <c r="G1154" s="415" t="s">
        <v>3376</v>
      </c>
      <c r="H1154" s="415" t="s">
        <v>3384</v>
      </c>
      <c r="I1154" s="415">
        <v>0</v>
      </c>
      <c r="J1154" s="415">
        <v>8</v>
      </c>
      <c r="K1154" s="415">
        <v>1</v>
      </c>
      <c r="L1154" s="415">
        <v>515</v>
      </c>
      <c r="M1154" s="415">
        <v>205</v>
      </c>
      <c r="N1154" s="415" t="s">
        <v>2675</v>
      </c>
      <c r="O1154" s="415" t="s">
        <v>2675</v>
      </c>
      <c r="P1154" s="415">
        <v>454</v>
      </c>
      <c r="Q1154" s="415">
        <v>343</v>
      </c>
      <c r="R1154" s="415" t="s">
        <v>3203</v>
      </c>
      <c r="S1154" s="415" t="s">
        <v>3004</v>
      </c>
      <c r="T1154" s="416">
        <v>117</v>
      </c>
      <c r="U1154" s="416">
        <v>117</v>
      </c>
      <c r="V1154" s="416">
        <v>108</v>
      </c>
      <c r="W1154" s="416">
        <v>98.3</v>
      </c>
      <c r="X1154" s="416">
        <v>93</v>
      </c>
      <c r="Y1154" s="416">
        <v>88.8</v>
      </c>
      <c r="Z1154" s="416">
        <v>82.5</v>
      </c>
      <c r="AA1154" s="416">
        <v>78</v>
      </c>
      <c r="AB1154" s="416">
        <v>74.099999999999994</v>
      </c>
      <c r="AC1154" s="416">
        <v>72.599999999999994</v>
      </c>
      <c r="AD1154" s="416">
        <v>71.400000000000006</v>
      </c>
      <c r="AE1154" s="416">
        <v>70.099999999999994</v>
      </c>
      <c r="AF1154" s="416">
        <v>68.900000000000006</v>
      </c>
      <c r="AG1154" s="416">
        <v>67.7</v>
      </c>
      <c r="AH1154" s="416">
        <v>66.400000000000006</v>
      </c>
      <c r="AI1154" s="416">
        <v>65.2</v>
      </c>
      <c r="AJ1154" s="416">
        <v>0</v>
      </c>
      <c r="AK1154" s="416">
        <v>0</v>
      </c>
      <c r="AL1154" s="416">
        <v>0</v>
      </c>
      <c r="AM1154" s="416">
        <v>0</v>
      </c>
      <c r="AN1154" s="416">
        <v>0</v>
      </c>
      <c r="AO1154" s="416">
        <v>0</v>
      </c>
      <c r="AP1154" s="416">
        <v>0</v>
      </c>
      <c r="AQ1154" s="416">
        <v>0</v>
      </c>
      <c r="AR1154" s="416">
        <v>0</v>
      </c>
      <c r="AS1154" s="416">
        <v>0</v>
      </c>
      <c r="AT1154" s="416">
        <v>0</v>
      </c>
      <c r="AU1154" s="416">
        <v>0</v>
      </c>
      <c r="AV1154" s="416">
        <v>0</v>
      </c>
      <c r="AW1154" s="416">
        <v>0</v>
      </c>
      <c r="AX1154" s="416">
        <v>0</v>
      </c>
      <c r="AY1154" s="416">
        <v>0</v>
      </c>
      <c r="AZ1154" s="416">
        <v>0</v>
      </c>
    </row>
    <row r="1155" spans="1:52" x14ac:dyDescent="0.25">
      <c r="A1155" s="415" t="str">
        <f t="shared" si="17"/>
        <v>SA-213 Gr.XM-15</v>
      </c>
      <c r="B1155" s="415">
        <v>1149</v>
      </c>
      <c r="C1155" s="415" t="s">
        <v>3385</v>
      </c>
      <c r="D1155" s="415" t="s">
        <v>2693</v>
      </c>
      <c r="E1155" s="415" t="s">
        <v>2195</v>
      </c>
      <c r="F1155" s="415" t="s">
        <v>2620</v>
      </c>
      <c r="G1155" s="415" t="s">
        <v>3386</v>
      </c>
      <c r="H1155" s="415">
        <v>0</v>
      </c>
      <c r="I1155" s="415">
        <v>0</v>
      </c>
      <c r="J1155" s="415">
        <v>8</v>
      </c>
      <c r="K1155" s="415">
        <v>1</v>
      </c>
      <c r="L1155" s="415">
        <v>515</v>
      </c>
      <c r="M1155" s="415">
        <v>205</v>
      </c>
      <c r="N1155" s="415" t="s">
        <v>2675</v>
      </c>
      <c r="O1155" s="415" t="s">
        <v>2675</v>
      </c>
      <c r="P1155" s="415">
        <v>538</v>
      </c>
      <c r="Q1155" s="415">
        <v>343</v>
      </c>
      <c r="R1155" s="415" t="s">
        <v>3069</v>
      </c>
      <c r="S1155" s="415" t="s">
        <v>3189</v>
      </c>
      <c r="T1155" s="416">
        <v>138</v>
      </c>
      <c r="U1155" s="416">
        <v>138</v>
      </c>
      <c r="V1155" s="416">
        <v>138</v>
      </c>
      <c r="W1155" s="416">
        <v>137</v>
      </c>
      <c r="X1155" s="416">
        <v>134</v>
      </c>
      <c r="Y1155" s="416">
        <v>130</v>
      </c>
      <c r="Z1155" s="416">
        <v>126</v>
      </c>
      <c r="AA1155" s="416">
        <v>122</v>
      </c>
      <c r="AB1155" s="416">
        <v>116</v>
      </c>
      <c r="AC1155" s="416">
        <v>114</v>
      </c>
      <c r="AD1155" s="416">
        <v>111</v>
      </c>
      <c r="AE1155" s="416">
        <v>109</v>
      </c>
      <c r="AF1155" s="416">
        <v>107</v>
      </c>
      <c r="AG1155" s="416">
        <v>105</v>
      </c>
      <c r="AH1155" s="416">
        <v>103</v>
      </c>
      <c r="AI1155" s="416">
        <v>101</v>
      </c>
      <c r="AJ1155" s="416">
        <v>99.3</v>
      </c>
      <c r="AK1155" s="416">
        <v>98</v>
      </c>
      <c r="AL1155" s="416">
        <v>93.3</v>
      </c>
      <c r="AM1155" s="416">
        <v>0</v>
      </c>
      <c r="AN1155" s="416">
        <v>0</v>
      </c>
      <c r="AO1155" s="416">
        <v>0</v>
      </c>
      <c r="AP1155" s="416">
        <v>0</v>
      </c>
      <c r="AQ1155" s="416">
        <v>0</v>
      </c>
      <c r="AR1155" s="416">
        <v>0</v>
      </c>
      <c r="AS1155" s="416">
        <v>0</v>
      </c>
      <c r="AT1155" s="416">
        <v>0</v>
      </c>
      <c r="AU1155" s="416">
        <v>0</v>
      </c>
      <c r="AV1155" s="416">
        <v>0</v>
      </c>
      <c r="AW1155" s="416">
        <v>0</v>
      </c>
      <c r="AX1155" s="416">
        <v>0</v>
      </c>
      <c r="AY1155" s="416">
        <v>0</v>
      </c>
      <c r="AZ1155" s="416">
        <v>0</v>
      </c>
    </row>
    <row r="1156" spans="1:52" x14ac:dyDescent="0.25">
      <c r="A1156" s="415" t="str">
        <f t="shared" si="17"/>
        <v>SA-213 Gr.XM-15</v>
      </c>
      <c r="B1156" s="415">
        <v>1150</v>
      </c>
      <c r="C1156" s="415" t="s">
        <v>3385</v>
      </c>
      <c r="D1156" s="415" t="s">
        <v>2693</v>
      </c>
      <c r="E1156" s="415" t="s">
        <v>2195</v>
      </c>
      <c r="F1156" s="415" t="s">
        <v>2620</v>
      </c>
      <c r="G1156" s="415" t="s">
        <v>3386</v>
      </c>
      <c r="H1156" s="415">
        <v>0</v>
      </c>
      <c r="I1156" s="415">
        <v>0</v>
      </c>
      <c r="J1156" s="415">
        <v>8</v>
      </c>
      <c r="K1156" s="415">
        <v>1</v>
      </c>
      <c r="L1156" s="415">
        <v>515</v>
      </c>
      <c r="M1156" s="415">
        <v>205</v>
      </c>
      <c r="N1156" s="415" t="s">
        <v>2675</v>
      </c>
      <c r="O1156" s="415" t="s">
        <v>2675</v>
      </c>
      <c r="P1156" s="415">
        <v>538</v>
      </c>
      <c r="Q1156" s="415">
        <v>343</v>
      </c>
      <c r="R1156" s="415" t="s">
        <v>3069</v>
      </c>
      <c r="S1156" s="415">
        <v>0</v>
      </c>
      <c r="T1156" s="416">
        <v>138</v>
      </c>
      <c r="U1156" s="416">
        <v>138</v>
      </c>
      <c r="V1156" s="416">
        <v>126</v>
      </c>
      <c r="W1156" s="416">
        <v>113</v>
      </c>
      <c r="X1156" s="416">
        <v>107</v>
      </c>
      <c r="Y1156" s="416">
        <v>103</v>
      </c>
      <c r="Z1156" s="416">
        <v>95.7</v>
      </c>
      <c r="AA1156" s="416">
        <v>89.9</v>
      </c>
      <c r="AB1156" s="416">
        <v>85.9</v>
      </c>
      <c r="AC1156" s="416">
        <v>84.1</v>
      </c>
      <c r="AD1156" s="416">
        <v>82.2</v>
      </c>
      <c r="AE1156" s="416">
        <v>80.5</v>
      </c>
      <c r="AF1156" s="416">
        <v>79.2</v>
      </c>
      <c r="AG1156" s="416">
        <v>77.3</v>
      </c>
      <c r="AH1156" s="416">
        <v>76</v>
      </c>
      <c r="AI1156" s="416">
        <v>74.8</v>
      </c>
      <c r="AJ1156" s="416">
        <v>73.599999999999994</v>
      </c>
      <c r="AK1156" s="416">
        <v>72.400000000000006</v>
      </c>
      <c r="AL1156" s="416">
        <v>70.8</v>
      </c>
      <c r="AM1156" s="416">
        <v>0</v>
      </c>
      <c r="AN1156" s="416">
        <v>0</v>
      </c>
      <c r="AO1156" s="416">
        <v>0</v>
      </c>
      <c r="AP1156" s="416">
        <v>0</v>
      </c>
      <c r="AQ1156" s="416">
        <v>0</v>
      </c>
      <c r="AR1156" s="416">
        <v>0</v>
      </c>
      <c r="AS1156" s="416">
        <v>0</v>
      </c>
      <c r="AT1156" s="416">
        <v>0</v>
      </c>
      <c r="AU1156" s="416">
        <v>0</v>
      </c>
      <c r="AV1156" s="416">
        <v>0</v>
      </c>
      <c r="AW1156" s="416">
        <v>0</v>
      </c>
      <c r="AX1156" s="416">
        <v>0</v>
      </c>
      <c r="AY1156" s="416">
        <v>0</v>
      </c>
      <c r="AZ1156" s="416">
        <v>0</v>
      </c>
    </row>
    <row r="1157" spans="1:52" x14ac:dyDescent="0.25">
      <c r="A1157" s="415" t="str">
        <f t="shared" si="17"/>
        <v>SA-240 Gr.XM-15</v>
      </c>
      <c r="B1157" s="415">
        <v>1151</v>
      </c>
      <c r="C1157" s="415" t="s">
        <v>3385</v>
      </c>
      <c r="D1157" s="415" t="s">
        <v>2684</v>
      </c>
      <c r="E1157" s="415" t="s">
        <v>2165</v>
      </c>
      <c r="F1157" s="415" t="s">
        <v>2620</v>
      </c>
      <c r="G1157" s="415" t="s">
        <v>3386</v>
      </c>
      <c r="H1157" s="415">
        <v>0</v>
      </c>
      <c r="I1157" s="415">
        <v>0</v>
      </c>
      <c r="J1157" s="415">
        <v>8</v>
      </c>
      <c r="K1157" s="415">
        <v>1</v>
      </c>
      <c r="L1157" s="415">
        <v>515</v>
      </c>
      <c r="M1157" s="415">
        <v>205</v>
      </c>
      <c r="N1157" s="415" t="s">
        <v>2675</v>
      </c>
      <c r="O1157" s="415" t="s">
        <v>2675</v>
      </c>
      <c r="P1157" s="415">
        <v>538</v>
      </c>
      <c r="Q1157" s="415">
        <v>343</v>
      </c>
      <c r="R1157" s="415" t="s">
        <v>3069</v>
      </c>
      <c r="S1157" s="415" t="s">
        <v>3189</v>
      </c>
      <c r="T1157" s="416">
        <v>138</v>
      </c>
      <c r="U1157" s="416">
        <v>138</v>
      </c>
      <c r="V1157" s="416">
        <v>138</v>
      </c>
      <c r="W1157" s="416">
        <v>137</v>
      </c>
      <c r="X1157" s="416">
        <v>134</v>
      </c>
      <c r="Y1157" s="416">
        <v>130</v>
      </c>
      <c r="Z1157" s="416">
        <v>126</v>
      </c>
      <c r="AA1157" s="416">
        <v>122</v>
      </c>
      <c r="AB1157" s="416">
        <v>116</v>
      </c>
      <c r="AC1157" s="416">
        <v>114</v>
      </c>
      <c r="AD1157" s="416">
        <v>111</v>
      </c>
      <c r="AE1157" s="416">
        <v>109</v>
      </c>
      <c r="AF1157" s="416">
        <v>107</v>
      </c>
      <c r="AG1157" s="416">
        <v>105</v>
      </c>
      <c r="AH1157" s="416">
        <v>103</v>
      </c>
      <c r="AI1157" s="416">
        <v>101</v>
      </c>
      <c r="AJ1157" s="416">
        <v>99.3</v>
      </c>
      <c r="AK1157" s="416">
        <v>98</v>
      </c>
      <c r="AL1157" s="416">
        <v>93.3</v>
      </c>
      <c r="AM1157" s="416">
        <v>0</v>
      </c>
      <c r="AN1157" s="416">
        <v>0</v>
      </c>
      <c r="AO1157" s="416">
        <v>0</v>
      </c>
      <c r="AP1157" s="416">
        <v>0</v>
      </c>
      <c r="AQ1157" s="416">
        <v>0</v>
      </c>
      <c r="AR1157" s="416">
        <v>0</v>
      </c>
      <c r="AS1157" s="416">
        <v>0</v>
      </c>
      <c r="AT1157" s="416">
        <v>0</v>
      </c>
      <c r="AU1157" s="416">
        <v>0</v>
      </c>
      <c r="AV1157" s="416">
        <v>0</v>
      </c>
      <c r="AW1157" s="416">
        <v>0</v>
      </c>
      <c r="AX1157" s="416">
        <v>0</v>
      </c>
      <c r="AY1157" s="416">
        <v>0</v>
      </c>
      <c r="AZ1157" s="416">
        <v>0</v>
      </c>
    </row>
    <row r="1158" spans="1:52" x14ac:dyDescent="0.25">
      <c r="A1158" s="415" t="str">
        <f t="shared" si="17"/>
        <v>SA-240 Gr.XM-15</v>
      </c>
      <c r="B1158" s="415">
        <v>1152</v>
      </c>
      <c r="C1158" s="415" t="s">
        <v>3385</v>
      </c>
      <c r="D1158" s="415" t="s">
        <v>2684</v>
      </c>
      <c r="E1158" s="415" t="s">
        <v>2165</v>
      </c>
      <c r="F1158" s="415" t="s">
        <v>2620</v>
      </c>
      <c r="G1158" s="415" t="s">
        <v>3386</v>
      </c>
      <c r="H1158" s="415">
        <v>0</v>
      </c>
      <c r="I1158" s="415">
        <v>0</v>
      </c>
      <c r="J1158" s="415">
        <v>8</v>
      </c>
      <c r="K1158" s="415">
        <v>1</v>
      </c>
      <c r="L1158" s="415">
        <v>515</v>
      </c>
      <c r="M1158" s="415">
        <v>205</v>
      </c>
      <c r="N1158" s="415" t="s">
        <v>2675</v>
      </c>
      <c r="O1158" s="415" t="s">
        <v>2675</v>
      </c>
      <c r="P1158" s="415">
        <v>538</v>
      </c>
      <c r="Q1158" s="415">
        <v>343</v>
      </c>
      <c r="R1158" s="415" t="s">
        <v>3069</v>
      </c>
      <c r="S1158" s="415">
        <v>0</v>
      </c>
      <c r="T1158" s="416">
        <v>138</v>
      </c>
      <c r="U1158" s="416">
        <v>138</v>
      </c>
      <c r="V1158" s="416">
        <v>126</v>
      </c>
      <c r="W1158" s="416">
        <v>113</v>
      </c>
      <c r="X1158" s="416">
        <v>107</v>
      </c>
      <c r="Y1158" s="416">
        <v>103</v>
      </c>
      <c r="Z1158" s="416">
        <v>95.7</v>
      </c>
      <c r="AA1158" s="416">
        <v>89.9</v>
      </c>
      <c r="AB1158" s="416">
        <v>85.9</v>
      </c>
      <c r="AC1158" s="416">
        <v>84.1</v>
      </c>
      <c r="AD1158" s="416">
        <v>82.2</v>
      </c>
      <c r="AE1158" s="416">
        <v>80.5</v>
      </c>
      <c r="AF1158" s="416">
        <v>79.2</v>
      </c>
      <c r="AG1158" s="416">
        <v>77.3</v>
      </c>
      <c r="AH1158" s="416">
        <v>76</v>
      </c>
      <c r="AI1158" s="416">
        <v>74.8</v>
      </c>
      <c r="AJ1158" s="416">
        <v>73.599999999999994</v>
      </c>
      <c r="AK1158" s="416">
        <v>72.400000000000006</v>
      </c>
      <c r="AL1158" s="416">
        <v>70.8</v>
      </c>
      <c r="AM1158" s="416">
        <v>0</v>
      </c>
      <c r="AN1158" s="416">
        <v>0</v>
      </c>
      <c r="AO1158" s="416">
        <v>0</v>
      </c>
      <c r="AP1158" s="416">
        <v>0</v>
      </c>
      <c r="AQ1158" s="416">
        <v>0</v>
      </c>
      <c r="AR1158" s="416">
        <v>0</v>
      </c>
      <c r="AS1158" s="416">
        <v>0</v>
      </c>
      <c r="AT1158" s="416">
        <v>0</v>
      </c>
      <c r="AU1158" s="416">
        <v>0</v>
      </c>
      <c r="AV1158" s="416">
        <v>0</v>
      </c>
      <c r="AW1158" s="416">
        <v>0</v>
      </c>
      <c r="AX1158" s="416">
        <v>0</v>
      </c>
      <c r="AY1158" s="416">
        <v>0</v>
      </c>
      <c r="AZ1158" s="416">
        <v>0</v>
      </c>
    </row>
    <row r="1159" spans="1:52" x14ac:dyDescent="0.25">
      <c r="A1159" s="415" t="str">
        <f t="shared" si="17"/>
        <v>SA-249 Gr.TPXM-15</v>
      </c>
      <c r="B1159" s="415">
        <v>1153</v>
      </c>
      <c r="C1159" s="415" t="s">
        <v>3385</v>
      </c>
      <c r="D1159" s="415" t="s">
        <v>2689</v>
      </c>
      <c r="E1159" s="415" t="s">
        <v>2200</v>
      </c>
      <c r="F1159" s="415" t="s">
        <v>2591</v>
      </c>
      <c r="G1159" s="415" t="s">
        <v>3386</v>
      </c>
      <c r="H1159" s="415">
        <v>0</v>
      </c>
      <c r="I1159" s="415">
        <v>0</v>
      </c>
      <c r="J1159" s="415">
        <v>8</v>
      </c>
      <c r="K1159" s="415">
        <v>1</v>
      </c>
      <c r="L1159" s="415">
        <v>515</v>
      </c>
      <c r="M1159" s="415">
        <v>205</v>
      </c>
      <c r="N1159" s="415" t="s">
        <v>2675</v>
      </c>
      <c r="O1159" s="415" t="s">
        <v>2675</v>
      </c>
      <c r="P1159" s="415">
        <v>538</v>
      </c>
      <c r="Q1159" s="415">
        <v>343</v>
      </c>
      <c r="R1159" s="415" t="s">
        <v>3069</v>
      </c>
      <c r="S1159" s="415" t="s">
        <v>3214</v>
      </c>
      <c r="T1159" s="416">
        <v>117</v>
      </c>
      <c r="U1159" s="416">
        <v>117</v>
      </c>
      <c r="V1159" s="416">
        <v>117</v>
      </c>
      <c r="W1159" s="416">
        <v>117</v>
      </c>
      <c r="X1159" s="416">
        <v>114</v>
      </c>
      <c r="Y1159" s="416">
        <v>111</v>
      </c>
      <c r="Z1159" s="416">
        <v>107</v>
      </c>
      <c r="AA1159" s="416">
        <v>103</v>
      </c>
      <c r="AB1159" s="416">
        <v>98.5</v>
      </c>
      <c r="AC1159" s="416">
        <v>96.5</v>
      </c>
      <c r="AD1159" s="416">
        <v>94.7</v>
      </c>
      <c r="AE1159" s="416">
        <v>92.8</v>
      </c>
      <c r="AF1159" s="416">
        <v>90.9</v>
      </c>
      <c r="AG1159" s="416">
        <v>89.1</v>
      </c>
      <c r="AH1159" s="416">
        <v>87.1</v>
      </c>
      <c r="AI1159" s="416">
        <v>85.9</v>
      </c>
      <c r="AJ1159" s="416">
        <v>84</v>
      </c>
      <c r="AK1159" s="416">
        <v>83.2</v>
      </c>
      <c r="AL1159" s="416">
        <v>79</v>
      </c>
      <c r="AM1159" s="416">
        <v>0</v>
      </c>
      <c r="AN1159" s="416">
        <v>0</v>
      </c>
      <c r="AO1159" s="416">
        <v>0</v>
      </c>
      <c r="AP1159" s="416">
        <v>0</v>
      </c>
      <c r="AQ1159" s="416">
        <v>0</v>
      </c>
      <c r="AR1159" s="416">
        <v>0</v>
      </c>
      <c r="AS1159" s="416">
        <v>0</v>
      </c>
      <c r="AT1159" s="416">
        <v>0</v>
      </c>
      <c r="AU1159" s="416">
        <v>0</v>
      </c>
      <c r="AV1159" s="416">
        <v>0</v>
      </c>
      <c r="AW1159" s="416">
        <v>0</v>
      </c>
      <c r="AX1159" s="416">
        <v>0</v>
      </c>
      <c r="AY1159" s="416">
        <v>0</v>
      </c>
      <c r="AZ1159" s="416">
        <v>0</v>
      </c>
    </row>
    <row r="1160" spans="1:52" x14ac:dyDescent="0.25">
      <c r="A1160" s="415" t="str">
        <f t="shared" ref="A1160:A1223" si="18">CONCATENATE(E1160," Gr.",F1160)</f>
        <v>SA-249 Gr.TPXM-15</v>
      </c>
      <c r="B1160" s="415">
        <v>1154</v>
      </c>
      <c r="C1160" s="415" t="s">
        <v>3385</v>
      </c>
      <c r="D1160" s="415" t="s">
        <v>2689</v>
      </c>
      <c r="E1160" s="415" t="s">
        <v>2200</v>
      </c>
      <c r="F1160" s="415" t="s">
        <v>2591</v>
      </c>
      <c r="G1160" s="415" t="s">
        <v>3386</v>
      </c>
      <c r="H1160" s="415">
        <v>0</v>
      </c>
      <c r="I1160" s="415">
        <v>0</v>
      </c>
      <c r="J1160" s="415">
        <v>8</v>
      </c>
      <c r="K1160" s="415">
        <v>1</v>
      </c>
      <c r="L1160" s="415">
        <v>515</v>
      </c>
      <c r="M1160" s="415">
        <v>205</v>
      </c>
      <c r="N1160" s="415" t="s">
        <v>2675</v>
      </c>
      <c r="O1160" s="415" t="s">
        <v>2675</v>
      </c>
      <c r="P1160" s="415">
        <v>538</v>
      </c>
      <c r="Q1160" s="415">
        <v>343</v>
      </c>
      <c r="R1160" s="415" t="s">
        <v>3069</v>
      </c>
      <c r="S1160" s="415" t="s">
        <v>3004</v>
      </c>
      <c r="T1160" s="416">
        <v>117</v>
      </c>
      <c r="U1160" s="416">
        <v>117</v>
      </c>
      <c r="V1160" s="416">
        <v>107</v>
      </c>
      <c r="W1160" s="416">
        <v>96.2</v>
      </c>
      <c r="X1160" s="416">
        <v>91.2</v>
      </c>
      <c r="Y1160" s="416">
        <v>87.4</v>
      </c>
      <c r="Z1160" s="416">
        <v>81.099999999999994</v>
      </c>
      <c r="AA1160" s="416">
        <v>76.599999999999994</v>
      </c>
      <c r="AB1160" s="416">
        <v>72.7</v>
      </c>
      <c r="AC1160" s="416">
        <v>71.2</v>
      </c>
      <c r="AD1160" s="416">
        <v>70</v>
      </c>
      <c r="AE1160" s="416">
        <v>68.8</v>
      </c>
      <c r="AF1160" s="416">
        <v>67.5</v>
      </c>
      <c r="AG1160" s="416">
        <v>66.3</v>
      </c>
      <c r="AH1160" s="416">
        <v>65</v>
      </c>
      <c r="AI1160" s="416">
        <v>63.8</v>
      </c>
      <c r="AJ1160" s="416">
        <v>62.6</v>
      </c>
      <c r="AK1160" s="416">
        <v>61.3</v>
      </c>
      <c r="AL1160" s="416">
        <v>60.1</v>
      </c>
      <c r="AM1160" s="416">
        <v>0</v>
      </c>
      <c r="AN1160" s="416">
        <v>0</v>
      </c>
      <c r="AO1160" s="416">
        <v>0</v>
      </c>
      <c r="AP1160" s="416">
        <v>0</v>
      </c>
      <c r="AQ1160" s="416">
        <v>0</v>
      </c>
      <c r="AR1160" s="416">
        <v>0</v>
      </c>
      <c r="AS1160" s="416">
        <v>0</v>
      </c>
      <c r="AT1160" s="416">
        <v>0</v>
      </c>
      <c r="AU1160" s="416">
        <v>0</v>
      </c>
      <c r="AV1160" s="416">
        <v>0</v>
      </c>
      <c r="AW1160" s="416">
        <v>0</v>
      </c>
      <c r="AX1160" s="416">
        <v>0</v>
      </c>
      <c r="AY1160" s="416">
        <v>0</v>
      </c>
      <c r="AZ1160" s="416">
        <v>0</v>
      </c>
    </row>
    <row r="1161" spans="1:52" x14ac:dyDescent="0.25">
      <c r="A1161" s="415" t="str">
        <f t="shared" si="18"/>
        <v>SA-312 Gr.TPXM-15</v>
      </c>
      <c r="B1161" s="415">
        <v>1155</v>
      </c>
      <c r="C1161" s="415" t="s">
        <v>3385</v>
      </c>
      <c r="D1161" s="415" t="s">
        <v>2680</v>
      </c>
      <c r="E1161" s="415" t="s">
        <v>2208</v>
      </c>
      <c r="F1161" s="415" t="s">
        <v>2591</v>
      </c>
      <c r="G1161" s="415" t="s">
        <v>3386</v>
      </c>
      <c r="H1161" s="415">
        <v>0</v>
      </c>
      <c r="I1161" s="415">
        <v>0</v>
      </c>
      <c r="J1161" s="415">
        <v>8</v>
      </c>
      <c r="K1161" s="415">
        <v>1</v>
      </c>
      <c r="L1161" s="415">
        <v>515</v>
      </c>
      <c r="M1161" s="415">
        <v>205</v>
      </c>
      <c r="N1161" s="415" t="s">
        <v>2675</v>
      </c>
      <c r="O1161" s="415" t="s">
        <v>2675</v>
      </c>
      <c r="P1161" s="415">
        <v>510</v>
      </c>
      <c r="Q1161" s="415">
        <v>343</v>
      </c>
      <c r="R1161" s="415" t="s">
        <v>3069</v>
      </c>
      <c r="S1161" s="415" t="s">
        <v>3214</v>
      </c>
      <c r="T1161" s="416">
        <v>117</v>
      </c>
      <c r="U1161" s="416">
        <v>117</v>
      </c>
      <c r="V1161" s="416">
        <v>117</v>
      </c>
      <c r="W1161" s="416">
        <v>117</v>
      </c>
      <c r="X1161" s="416">
        <v>114</v>
      </c>
      <c r="Y1161" s="416">
        <v>111</v>
      </c>
      <c r="Z1161" s="416">
        <v>107</v>
      </c>
      <c r="AA1161" s="416">
        <v>103</v>
      </c>
      <c r="AB1161" s="416">
        <v>98.5</v>
      </c>
      <c r="AC1161" s="416">
        <v>96.5</v>
      </c>
      <c r="AD1161" s="416">
        <v>94.7</v>
      </c>
      <c r="AE1161" s="416">
        <v>92.8</v>
      </c>
      <c r="AF1161" s="416">
        <v>90.9</v>
      </c>
      <c r="AG1161" s="416">
        <v>89.1</v>
      </c>
      <c r="AH1161" s="416">
        <v>87.1</v>
      </c>
      <c r="AI1161" s="416">
        <v>85.9</v>
      </c>
      <c r="AJ1161" s="416">
        <v>84</v>
      </c>
      <c r="AK1161" s="416">
        <v>83.2</v>
      </c>
      <c r="AL1161" s="416">
        <v>0</v>
      </c>
      <c r="AM1161" s="416">
        <v>0</v>
      </c>
      <c r="AN1161" s="416">
        <v>0</v>
      </c>
      <c r="AO1161" s="416">
        <v>0</v>
      </c>
      <c r="AP1161" s="416">
        <v>0</v>
      </c>
      <c r="AQ1161" s="416">
        <v>0</v>
      </c>
      <c r="AR1161" s="416">
        <v>0</v>
      </c>
      <c r="AS1161" s="416">
        <v>0</v>
      </c>
      <c r="AT1161" s="416">
        <v>0</v>
      </c>
      <c r="AU1161" s="416">
        <v>0</v>
      </c>
      <c r="AV1161" s="416">
        <v>0</v>
      </c>
      <c r="AW1161" s="416">
        <v>0</v>
      </c>
      <c r="AX1161" s="416">
        <v>0</v>
      </c>
      <c r="AY1161" s="416">
        <v>0</v>
      </c>
      <c r="AZ1161" s="416">
        <v>0</v>
      </c>
    </row>
    <row r="1162" spans="1:52" x14ac:dyDescent="0.25">
      <c r="A1162" s="415" t="str">
        <f t="shared" si="18"/>
        <v>SA-312 Gr.TPXM-15</v>
      </c>
      <c r="B1162" s="415">
        <v>1156</v>
      </c>
      <c r="C1162" s="415" t="s">
        <v>3385</v>
      </c>
      <c r="D1162" s="415" t="s">
        <v>2680</v>
      </c>
      <c r="E1162" s="415" t="s">
        <v>2208</v>
      </c>
      <c r="F1162" s="415" t="s">
        <v>2591</v>
      </c>
      <c r="G1162" s="415" t="s">
        <v>3386</v>
      </c>
      <c r="H1162" s="415">
        <v>0</v>
      </c>
      <c r="I1162" s="415">
        <v>0</v>
      </c>
      <c r="J1162" s="415">
        <v>8</v>
      </c>
      <c r="K1162" s="415">
        <v>1</v>
      </c>
      <c r="L1162" s="415">
        <v>515</v>
      </c>
      <c r="M1162" s="415">
        <v>205</v>
      </c>
      <c r="N1162" s="415" t="s">
        <v>2675</v>
      </c>
      <c r="O1162" s="415" t="s">
        <v>2675</v>
      </c>
      <c r="P1162" s="415">
        <v>538</v>
      </c>
      <c r="Q1162" s="415">
        <v>343</v>
      </c>
      <c r="R1162" s="415" t="s">
        <v>3069</v>
      </c>
      <c r="S1162" s="415" t="s">
        <v>3004</v>
      </c>
      <c r="T1162" s="416">
        <v>117</v>
      </c>
      <c r="U1162" s="416">
        <v>117</v>
      </c>
      <c r="V1162" s="416">
        <v>107</v>
      </c>
      <c r="W1162" s="416">
        <v>96.2</v>
      </c>
      <c r="X1162" s="416">
        <v>91.2</v>
      </c>
      <c r="Y1162" s="416">
        <v>87.4</v>
      </c>
      <c r="Z1162" s="416">
        <v>81.099999999999994</v>
      </c>
      <c r="AA1162" s="416">
        <v>76.599999999999994</v>
      </c>
      <c r="AB1162" s="416">
        <v>72.7</v>
      </c>
      <c r="AC1162" s="416">
        <v>71.2</v>
      </c>
      <c r="AD1162" s="416">
        <v>70</v>
      </c>
      <c r="AE1162" s="416">
        <v>68.8</v>
      </c>
      <c r="AF1162" s="416">
        <v>67.5</v>
      </c>
      <c r="AG1162" s="416">
        <v>66.3</v>
      </c>
      <c r="AH1162" s="416">
        <v>65</v>
      </c>
      <c r="AI1162" s="416">
        <v>63.8</v>
      </c>
      <c r="AJ1162" s="416">
        <v>62.6</v>
      </c>
      <c r="AK1162" s="416">
        <v>61.3</v>
      </c>
      <c r="AL1162" s="416">
        <v>60.1</v>
      </c>
      <c r="AM1162" s="416">
        <v>0</v>
      </c>
      <c r="AN1162" s="416">
        <v>0</v>
      </c>
      <c r="AO1162" s="416">
        <v>0</v>
      </c>
      <c r="AP1162" s="416">
        <v>0</v>
      </c>
      <c r="AQ1162" s="416">
        <v>0</v>
      </c>
      <c r="AR1162" s="416">
        <v>0</v>
      </c>
      <c r="AS1162" s="416">
        <v>0</v>
      </c>
      <c r="AT1162" s="416">
        <v>0</v>
      </c>
      <c r="AU1162" s="416">
        <v>0</v>
      </c>
      <c r="AV1162" s="416">
        <v>0</v>
      </c>
      <c r="AW1162" s="416">
        <v>0</v>
      </c>
      <c r="AX1162" s="416">
        <v>0</v>
      </c>
      <c r="AY1162" s="416">
        <v>0</v>
      </c>
      <c r="AZ1162" s="416">
        <v>0</v>
      </c>
    </row>
    <row r="1163" spans="1:52" x14ac:dyDescent="0.25">
      <c r="A1163" s="415" t="str">
        <f t="shared" si="18"/>
        <v>SA-351 Gr.CF10</v>
      </c>
      <c r="B1163" s="415">
        <v>1157</v>
      </c>
      <c r="C1163" s="415" t="s">
        <v>3387</v>
      </c>
      <c r="D1163" s="415" t="s">
        <v>2739</v>
      </c>
      <c r="E1163" s="415" t="s">
        <v>2213</v>
      </c>
      <c r="F1163" s="415" t="s">
        <v>2370</v>
      </c>
      <c r="G1163" s="415" t="s">
        <v>3388</v>
      </c>
      <c r="H1163" s="415">
        <v>0</v>
      </c>
      <c r="I1163" s="415">
        <v>0</v>
      </c>
      <c r="J1163" s="415">
        <v>8</v>
      </c>
      <c r="K1163" s="415">
        <v>1</v>
      </c>
      <c r="L1163" s="415">
        <v>485</v>
      </c>
      <c r="M1163" s="415">
        <v>205</v>
      </c>
      <c r="N1163" s="415" t="s">
        <v>2675</v>
      </c>
      <c r="O1163" s="415" t="s">
        <v>2675</v>
      </c>
      <c r="P1163" s="415">
        <v>816</v>
      </c>
      <c r="Q1163" s="415">
        <v>343</v>
      </c>
      <c r="R1163" s="415" t="s">
        <v>3269</v>
      </c>
      <c r="S1163" s="415" t="s">
        <v>3389</v>
      </c>
      <c r="T1163" s="416">
        <v>138</v>
      </c>
      <c r="U1163" s="416">
        <v>138</v>
      </c>
      <c r="V1163" s="416">
        <v>134</v>
      </c>
      <c r="W1163" s="416">
        <v>130</v>
      </c>
      <c r="X1163" s="416">
        <v>126</v>
      </c>
      <c r="Y1163" s="416">
        <v>122</v>
      </c>
      <c r="Z1163" s="416">
        <v>119</v>
      </c>
      <c r="AA1163" s="416">
        <v>118</v>
      </c>
      <c r="AB1163" s="416">
        <v>115</v>
      </c>
      <c r="AC1163" s="416">
        <v>114</v>
      </c>
      <c r="AD1163" s="416">
        <v>111</v>
      </c>
      <c r="AE1163" s="416">
        <v>109</v>
      </c>
      <c r="AF1163" s="416">
        <v>107</v>
      </c>
      <c r="AG1163" s="416">
        <v>105</v>
      </c>
      <c r="AH1163" s="416">
        <v>103</v>
      </c>
      <c r="AI1163" s="416">
        <v>101</v>
      </c>
      <c r="AJ1163" s="416">
        <v>99.5</v>
      </c>
      <c r="AK1163" s="416">
        <v>92.8</v>
      </c>
      <c r="AL1163" s="416">
        <v>75.599999999999994</v>
      </c>
      <c r="AM1163" s="416">
        <v>61.2</v>
      </c>
      <c r="AN1163" s="416">
        <v>49</v>
      </c>
      <c r="AO1163" s="416">
        <v>40.1</v>
      </c>
      <c r="AP1163" s="416">
        <v>32.799999999999997</v>
      </c>
      <c r="AQ1163" s="416">
        <v>27.2</v>
      </c>
      <c r="AR1163" s="416">
        <v>23.4</v>
      </c>
      <c r="AS1163" s="416">
        <v>19.600000000000001</v>
      </c>
      <c r="AT1163" s="416">
        <v>16.7</v>
      </c>
      <c r="AU1163" s="416">
        <v>14.7</v>
      </c>
      <c r="AV1163" s="416">
        <v>12.9</v>
      </c>
      <c r="AW1163" s="416">
        <v>11</v>
      </c>
      <c r="AX1163" s="416">
        <v>0</v>
      </c>
      <c r="AY1163" s="416">
        <v>0</v>
      </c>
      <c r="AZ1163" s="416">
        <v>0</v>
      </c>
    </row>
    <row r="1164" spans="1:52" x14ac:dyDescent="0.25">
      <c r="A1164" s="415" t="str">
        <f t="shared" si="18"/>
        <v>SA-351 Gr.CF10</v>
      </c>
      <c r="B1164" s="415">
        <v>1158</v>
      </c>
      <c r="C1164" s="415" t="s">
        <v>3387</v>
      </c>
      <c r="D1164" s="415" t="s">
        <v>2739</v>
      </c>
      <c r="E1164" s="415" t="s">
        <v>2213</v>
      </c>
      <c r="F1164" s="415" t="s">
        <v>2370</v>
      </c>
      <c r="G1164" s="415" t="s">
        <v>3388</v>
      </c>
      <c r="H1164" s="415">
        <v>0</v>
      </c>
      <c r="I1164" s="415">
        <v>0</v>
      </c>
      <c r="J1164" s="415">
        <v>8</v>
      </c>
      <c r="K1164" s="415">
        <v>1</v>
      </c>
      <c r="L1164" s="415">
        <v>485</v>
      </c>
      <c r="M1164" s="415">
        <v>205</v>
      </c>
      <c r="N1164" s="415" t="s">
        <v>2675</v>
      </c>
      <c r="O1164" s="415" t="s">
        <v>2675</v>
      </c>
      <c r="P1164" s="415">
        <v>816</v>
      </c>
      <c r="Q1164" s="415">
        <v>343</v>
      </c>
      <c r="R1164" s="415" t="s">
        <v>3269</v>
      </c>
      <c r="S1164" s="415" t="s">
        <v>3390</v>
      </c>
      <c r="T1164" s="416">
        <v>138</v>
      </c>
      <c r="U1164" s="416">
        <v>138</v>
      </c>
      <c r="V1164" s="416">
        <v>126</v>
      </c>
      <c r="W1164" s="416">
        <v>113</v>
      </c>
      <c r="X1164" s="416">
        <v>107</v>
      </c>
      <c r="Y1164" s="416">
        <v>103</v>
      </c>
      <c r="Z1164" s="416">
        <v>95.7</v>
      </c>
      <c r="AA1164" s="416">
        <v>90</v>
      </c>
      <c r="AB1164" s="416">
        <v>85.6</v>
      </c>
      <c r="AC1164" s="416">
        <v>83.9</v>
      </c>
      <c r="AD1164" s="416">
        <v>82.3</v>
      </c>
      <c r="AE1164" s="416">
        <v>80.5</v>
      </c>
      <c r="AF1164" s="416">
        <v>79.2</v>
      </c>
      <c r="AG1164" s="416">
        <v>77.7</v>
      </c>
      <c r="AH1164" s="416">
        <v>76.400000000000006</v>
      </c>
      <c r="AI1164" s="416">
        <v>74.900000000000006</v>
      </c>
      <c r="AJ1164" s="416">
        <v>73.599999999999994</v>
      </c>
      <c r="AK1164" s="416">
        <v>72.599999999999994</v>
      </c>
      <c r="AL1164" s="416">
        <v>70</v>
      </c>
      <c r="AM1164" s="416">
        <v>61.2</v>
      </c>
      <c r="AN1164" s="416">
        <v>49</v>
      </c>
      <c r="AO1164" s="416">
        <v>40.1</v>
      </c>
      <c r="AP1164" s="416">
        <v>32.799999999999997</v>
      </c>
      <c r="AQ1164" s="416">
        <v>27.2</v>
      </c>
      <c r="AR1164" s="416">
        <v>23.4</v>
      </c>
      <c r="AS1164" s="416">
        <v>19.600000000000001</v>
      </c>
      <c r="AT1164" s="416">
        <v>16.7</v>
      </c>
      <c r="AU1164" s="416">
        <v>14.7</v>
      </c>
      <c r="AV1164" s="416">
        <v>12.9</v>
      </c>
      <c r="AW1164" s="416">
        <v>11</v>
      </c>
      <c r="AX1164" s="416">
        <v>0</v>
      </c>
      <c r="AY1164" s="416">
        <v>0</v>
      </c>
      <c r="AZ1164" s="416">
        <v>0</v>
      </c>
    </row>
    <row r="1165" spans="1:52" x14ac:dyDescent="0.25">
      <c r="A1165" s="415" t="str">
        <f t="shared" si="18"/>
        <v>SA-351 Gr.CF10M</v>
      </c>
      <c r="B1165" s="415">
        <v>1159</v>
      </c>
      <c r="C1165" s="415" t="s">
        <v>3391</v>
      </c>
      <c r="D1165" s="415" t="s">
        <v>2739</v>
      </c>
      <c r="E1165" s="415" t="s">
        <v>2213</v>
      </c>
      <c r="F1165" s="415" t="s">
        <v>2371</v>
      </c>
      <c r="G1165" s="415">
        <v>0</v>
      </c>
      <c r="H1165" s="415">
        <v>0</v>
      </c>
      <c r="I1165" s="415">
        <v>0</v>
      </c>
      <c r="J1165" s="415">
        <v>8</v>
      </c>
      <c r="K1165" s="415">
        <v>1</v>
      </c>
      <c r="L1165" s="415">
        <v>485</v>
      </c>
      <c r="M1165" s="415">
        <v>205</v>
      </c>
      <c r="N1165" s="415" t="s">
        <v>2675</v>
      </c>
      <c r="O1165" s="415" t="s">
        <v>2675</v>
      </c>
      <c r="P1165" s="415">
        <v>816</v>
      </c>
      <c r="Q1165" s="415" t="s">
        <v>2675</v>
      </c>
      <c r="R1165" s="415" t="s">
        <v>3069</v>
      </c>
      <c r="S1165" s="415" t="s">
        <v>3389</v>
      </c>
      <c r="T1165" s="416">
        <v>138</v>
      </c>
      <c r="U1165" s="416">
        <v>138</v>
      </c>
      <c r="V1165" s="416">
        <v>138</v>
      </c>
      <c r="W1165" s="416">
        <v>138</v>
      </c>
      <c r="X1165" s="416">
        <v>136</v>
      </c>
      <c r="Y1165" s="416">
        <v>134</v>
      </c>
      <c r="Z1165" s="416">
        <v>133</v>
      </c>
      <c r="AA1165" s="416">
        <v>125</v>
      </c>
      <c r="AB1165" s="416">
        <v>119</v>
      </c>
      <c r="AC1165" s="416">
        <v>116</v>
      </c>
      <c r="AD1165" s="416">
        <v>114</v>
      </c>
      <c r="AE1165" s="416">
        <v>112</v>
      </c>
      <c r="AF1165" s="416">
        <v>111</v>
      </c>
      <c r="AG1165" s="416">
        <v>110</v>
      </c>
      <c r="AH1165" s="416">
        <v>108</v>
      </c>
      <c r="AI1165" s="416">
        <v>107</v>
      </c>
      <c r="AJ1165" s="416">
        <v>107</v>
      </c>
      <c r="AK1165" s="416">
        <v>104</v>
      </c>
      <c r="AL1165" s="416">
        <v>94.7</v>
      </c>
      <c r="AM1165" s="416">
        <v>73.7</v>
      </c>
      <c r="AN1165" s="416">
        <v>57.9</v>
      </c>
      <c r="AO1165" s="416">
        <v>46</v>
      </c>
      <c r="AP1165" s="416">
        <v>36.9</v>
      </c>
      <c r="AQ1165" s="416">
        <v>30.1</v>
      </c>
      <c r="AR1165" s="416">
        <v>24.3</v>
      </c>
      <c r="AS1165" s="416">
        <v>20.3</v>
      </c>
      <c r="AT1165" s="416">
        <v>17</v>
      </c>
      <c r="AU1165" s="416">
        <v>14.3</v>
      </c>
      <c r="AV1165" s="416">
        <v>12.1</v>
      </c>
      <c r="AW1165" s="416">
        <v>10.3</v>
      </c>
      <c r="AX1165" s="416">
        <v>0</v>
      </c>
      <c r="AY1165" s="416">
        <v>0</v>
      </c>
      <c r="AZ1165" s="416">
        <v>0</v>
      </c>
    </row>
    <row r="1166" spans="1:52" x14ac:dyDescent="0.25">
      <c r="A1166" s="415" t="str">
        <f t="shared" si="18"/>
        <v>SA-351 Gr.CF10M</v>
      </c>
      <c r="B1166" s="415">
        <v>1160</v>
      </c>
      <c r="C1166" s="415" t="s">
        <v>3391</v>
      </c>
      <c r="D1166" s="415" t="s">
        <v>2739</v>
      </c>
      <c r="E1166" s="415" t="s">
        <v>2213</v>
      </c>
      <c r="F1166" s="415" t="s">
        <v>2371</v>
      </c>
      <c r="G1166" s="415">
        <v>0</v>
      </c>
      <c r="H1166" s="415">
        <v>0</v>
      </c>
      <c r="I1166" s="415">
        <v>0</v>
      </c>
      <c r="J1166" s="415">
        <v>8</v>
      </c>
      <c r="K1166" s="415">
        <v>1</v>
      </c>
      <c r="L1166" s="415">
        <v>485</v>
      </c>
      <c r="M1166" s="415">
        <v>205</v>
      </c>
      <c r="N1166" s="415" t="s">
        <v>2675</v>
      </c>
      <c r="O1166" s="415" t="s">
        <v>2675</v>
      </c>
      <c r="P1166" s="415">
        <v>816</v>
      </c>
      <c r="Q1166" s="415" t="s">
        <v>2675</v>
      </c>
      <c r="R1166" s="415" t="s">
        <v>3069</v>
      </c>
      <c r="S1166" s="415" t="s">
        <v>3392</v>
      </c>
      <c r="T1166" s="416">
        <v>138</v>
      </c>
      <c r="U1166" s="416">
        <v>138</v>
      </c>
      <c r="V1166" s="416">
        <v>129</v>
      </c>
      <c r="W1166" s="416">
        <v>119</v>
      </c>
      <c r="X1166" s="416">
        <v>113</v>
      </c>
      <c r="Y1166" s="416">
        <v>108</v>
      </c>
      <c r="Z1166" s="416">
        <v>99.3</v>
      </c>
      <c r="AA1166" s="416">
        <v>92.7</v>
      </c>
      <c r="AB1166" s="416">
        <v>88.1</v>
      </c>
      <c r="AC1166" s="416">
        <v>86.1</v>
      </c>
      <c r="AD1166" s="416">
        <v>84.4</v>
      </c>
      <c r="AE1166" s="416">
        <v>83.2</v>
      </c>
      <c r="AF1166" s="416">
        <v>82</v>
      </c>
      <c r="AG1166" s="416">
        <v>81.099999999999994</v>
      </c>
      <c r="AH1166" s="416">
        <v>80.2</v>
      </c>
      <c r="AI1166" s="416">
        <v>79.5</v>
      </c>
      <c r="AJ1166" s="416">
        <v>78.900000000000006</v>
      </c>
      <c r="AK1166" s="416">
        <v>78.2</v>
      </c>
      <c r="AL1166" s="416">
        <v>77.599999999999994</v>
      </c>
      <c r="AM1166" s="416">
        <v>73.7</v>
      </c>
      <c r="AN1166" s="416">
        <v>57.9</v>
      </c>
      <c r="AO1166" s="416">
        <v>46</v>
      </c>
      <c r="AP1166" s="416">
        <v>36.9</v>
      </c>
      <c r="AQ1166" s="416">
        <v>30.1</v>
      </c>
      <c r="AR1166" s="416">
        <v>24.3</v>
      </c>
      <c r="AS1166" s="416">
        <v>20.3</v>
      </c>
      <c r="AT1166" s="416">
        <v>17</v>
      </c>
      <c r="AU1166" s="416">
        <v>14.3</v>
      </c>
      <c r="AV1166" s="416">
        <v>12.1</v>
      </c>
      <c r="AW1166" s="416">
        <v>10.3</v>
      </c>
      <c r="AX1166" s="416">
        <v>0</v>
      </c>
      <c r="AY1166" s="416">
        <v>0</v>
      </c>
      <c r="AZ1166" s="416">
        <v>0</v>
      </c>
    </row>
    <row r="1167" spans="1:52" x14ac:dyDescent="0.25">
      <c r="A1167" s="415" t="str">
        <f t="shared" si="18"/>
        <v>SA-351 Gr.CG8M</v>
      </c>
      <c r="B1167" s="415">
        <v>1161</v>
      </c>
      <c r="C1167" s="415" t="s">
        <v>3393</v>
      </c>
      <c r="D1167" s="415" t="s">
        <v>2739</v>
      </c>
      <c r="E1167" s="415" t="s">
        <v>2213</v>
      </c>
      <c r="F1167" s="415" t="s">
        <v>2380</v>
      </c>
      <c r="G1167" s="415" t="s">
        <v>3394</v>
      </c>
      <c r="H1167" s="415">
        <v>0</v>
      </c>
      <c r="I1167" s="415">
        <v>0</v>
      </c>
      <c r="J1167" s="415">
        <v>8</v>
      </c>
      <c r="K1167" s="415">
        <v>1</v>
      </c>
      <c r="L1167" s="415">
        <v>515</v>
      </c>
      <c r="M1167" s="415">
        <v>240</v>
      </c>
      <c r="N1167" s="415" t="s">
        <v>2675</v>
      </c>
      <c r="O1167" s="415" t="s">
        <v>2675</v>
      </c>
      <c r="P1167" s="415">
        <v>538</v>
      </c>
      <c r="Q1167" s="415">
        <v>343</v>
      </c>
      <c r="R1167" s="415" t="s">
        <v>3069</v>
      </c>
      <c r="S1167" s="415" t="s">
        <v>3395</v>
      </c>
      <c r="T1167" s="416">
        <v>148</v>
      </c>
      <c r="U1167" s="416">
        <v>148</v>
      </c>
      <c r="V1167" s="416">
        <v>146</v>
      </c>
      <c r="W1167" s="416">
        <v>143</v>
      </c>
      <c r="X1167" s="416">
        <v>139</v>
      </c>
      <c r="Y1167" s="416">
        <v>135</v>
      </c>
      <c r="Z1167" s="416">
        <v>132</v>
      </c>
      <c r="AA1167" s="416">
        <v>128</v>
      </c>
      <c r="AB1167" s="416">
        <v>122</v>
      </c>
      <c r="AC1167" s="416">
        <v>120</v>
      </c>
      <c r="AD1167" s="416">
        <v>117</v>
      </c>
      <c r="AE1167" s="416">
        <v>116</v>
      </c>
      <c r="AF1167" s="416">
        <v>114</v>
      </c>
      <c r="AG1167" s="416">
        <v>113</v>
      </c>
      <c r="AH1167" s="416">
        <v>112</v>
      </c>
      <c r="AI1167" s="416">
        <v>111</v>
      </c>
      <c r="AJ1167" s="416">
        <v>109</v>
      </c>
      <c r="AK1167" s="416">
        <v>97.7</v>
      </c>
      <c r="AL1167" s="416">
        <v>72.599999999999994</v>
      </c>
      <c r="AM1167" s="416">
        <v>0</v>
      </c>
      <c r="AN1167" s="416">
        <v>0</v>
      </c>
      <c r="AO1167" s="416">
        <v>0</v>
      </c>
      <c r="AP1167" s="416">
        <v>0</v>
      </c>
      <c r="AQ1167" s="416">
        <v>0</v>
      </c>
      <c r="AR1167" s="416">
        <v>0</v>
      </c>
      <c r="AS1167" s="416">
        <v>0</v>
      </c>
      <c r="AT1167" s="416">
        <v>0</v>
      </c>
      <c r="AU1167" s="416">
        <v>0</v>
      </c>
      <c r="AV1167" s="416">
        <v>0</v>
      </c>
      <c r="AW1167" s="416">
        <v>0</v>
      </c>
      <c r="AX1167" s="416">
        <v>0</v>
      </c>
      <c r="AY1167" s="416">
        <v>0</v>
      </c>
      <c r="AZ1167" s="416">
        <v>0</v>
      </c>
    </row>
    <row r="1168" spans="1:52" x14ac:dyDescent="0.25">
      <c r="A1168" s="415" t="str">
        <f t="shared" si="18"/>
        <v>SA-351 Gr.CG8M</v>
      </c>
      <c r="B1168" s="415">
        <v>1162</v>
      </c>
      <c r="C1168" s="415" t="s">
        <v>3393</v>
      </c>
      <c r="D1168" s="415" t="s">
        <v>2739</v>
      </c>
      <c r="E1168" s="415" t="s">
        <v>2213</v>
      </c>
      <c r="F1168" s="415" t="s">
        <v>2380</v>
      </c>
      <c r="G1168" s="415" t="s">
        <v>3394</v>
      </c>
      <c r="H1168" s="415">
        <v>0</v>
      </c>
      <c r="I1168" s="415">
        <v>0</v>
      </c>
      <c r="J1168" s="415">
        <v>8</v>
      </c>
      <c r="K1168" s="415">
        <v>1</v>
      </c>
      <c r="L1168" s="415">
        <v>515</v>
      </c>
      <c r="M1168" s="415">
        <v>240</v>
      </c>
      <c r="N1168" s="415" t="s">
        <v>2675</v>
      </c>
      <c r="O1168" s="415" t="s">
        <v>2675</v>
      </c>
      <c r="P1168" s="415">
        <v>538</v>
      </c>
      <c r="Q1168" s="415">
        <v>343</v>
      </c>
      <c r="R1168" s="415" t="s">
        <v>3069</v>
      </c>
      <c r="S1168" s="415" t="s">
        <v>3217</v>
      </c>
      <c r="T1168" s="416">
        <v>148</v>
      </c>
      <c r="U1168" s="416">
        <v>148</v>
      </c>
      <c r="V1168" s="416">
        <v>139</v>
      </c>
      <c r="W1168" s="416">
        <v>127</v>
      </c>
      <c r="X1168" s="416">
        <v>120</v>
      </c>
      <c r="Y1168" s="416">
        <v>113</v>
      </c>
      <c r="Z1168" s="416">
        <v>102</v>
      </c>
      <c r="AA1168" s="416">
        <v>94.9</v>
      </c>
      <c r="AB1168" s="416">
        <v>90</v>
      </c>
      <c r="AC1168" s="416">
        <v>88.4</v>
      </c>
      <c r="AD1168" s="416">
        <v>87.2</v>
      </c>
      <c r="AE1168" s="416">
        <v>86</v>
      </c>
      <c r="AF1168" s="416">
        <v>84.7</v>
      </c>
      <c r="AG1168" s="416">
        <v>83.5</v>
      </c>
      <c r="AH1168" s="416">
        <v>82.9</v>
      </c>
      <c r="AI1168" s="416">
        <v>81.7</v>
      </c>
      <c r="AJ1168" s="416">
        <v>80.5</v>
      </c>
      <c r="AK1168" s="416">
        <v>78.900000000000006</v>
      </c>
      <c r="AL1168" s="416">
        <v>77</v>
      </c>
      <c r="AM1168" s="416">
        <v>0</v>
      </c>
      <c r="AN1168" s="416">
        <v>0</v>
      </c>
      <c r="AO1168" s="416">
        <v>0</v>
      </c>
      <c r="AP1168" s="416">
        <v>0</v>
      </c>
      <c r="AQ1168" s="416">
        <v>0</v>
      </c>
      <c r="AR1168" s="416">
        <v>0</v>
      </c>
      <c r="AS1168" s="416">
        <v>0</v>
      </c>
      <c r="AT1168" s="416">
        <v>0</v>
      </c>
      <c r="AU1168" s="416">
        <v>0</v>
      </c>
      <c r="AV1168" s="416">
        <v>0</v>
      </c>
      <c r="AW1168" s="416">
        <v>0</v>
      </c>
      <c r="AX1168" s="416">
        <v>0</v>
      </c>
      <c r="AY1168" s="416">
        <v>0</v>
      </c>
      <c r="AZ1168" s="416">
        <v>0</v>
      </c>
    </row>
    <row r="1169" spans="1:52" x14ac:dyDescent="0.25">
      <c r="A1169" s="415" t="str">
        <f t="shared" si="18"/>
        <v>SA-213 Gr.0</v>
      </c>
      <c r="B1169" s="415">
        <v>1163</v>
      </c>
      <c r="C1169" s="415" t="s">
        <v>3396</v>
      </c>
      <c r="D1169" s="415" t="s">
        <v>2693</v>
      </c>
      <c r="E1169" s="415" t="s">
        <v>2195</v>
      </c>
      <c r="F1169" s="415">
        <v>0</v>
      </c>
      <c r="G1169" s="415" t="s">
        <v>3397</v>
      </c>
      <c r="H1169" s="415">
        <v>0</v>
      </c>
      <c r="I1169" s="415">
        <v>0</v>
      </c>
      <c r="J1169" s="415">
        <v>8</v>
      </c>
      <c r="K1169" s="415">
        <v>4</v>
      </c>
      <c r="L1169" s="415">
        <v>515</v>
      </c>
      <c r="M1169" s="415">
        <v>205</v>
      </c>
      <c r="N1169" s="415" t="s">
        <v>2675</v>
      </c>
      <c r="O1169" s="415" t="s">
        <v>2675</v>
      </c>
      <c r="P1169" s="415">
        <v>204</v>
      </c>
      <c r="Q1169" s="415">
        <v>204</v>
      </c>
      <c r="R1169" s="415" t="s">
        <v>3203</v>
      </c>
      <c r="S1169" s="415" t="s">
        <v>3189</v>
      </c>
      <c r="T1169" s="416">
        <v>138</v>
      </c>
      <c r="U1169" s="416">
        <v>138</v>
      </c>
      <c r="V1169" s="416">
        <v>138</v>
      </c>
      <c r="W1169" s="416">
        <v>138</v>
      </c>
      <c r="X1169" s="416">
        <v>137</v>
      </c>
      <c r="Y1169" s="416">
        <v>135</v>
      </c>
      <c r="Z1169" s="416">
        <v>131</v>
      </c>
      <c r="AA1169" s="416">
        <v>0</v>
      </c>
      <c r="AB1169" s="416">
        <v>0</v>
      </c>
      <c r="AC1169" s="416">
        <v>0</v>
      </c>
      <c r="AD1169" s="416">
        <v>0</v>
      </c>
      <c r="AE1169" s="416">
        <v>0</v>
      </c>
      <c r="AF1169" s="416">
        <v>0</v>
      </c>
      <c r="AG1169" s="416">
        <v>0</v>
      </c>
      <c r="AH1169" s="416">
        <v>0</v>
      </c>
      <c r="AI1169" s="416">
        <v>0</v>
      </c>
      <c r="AJ1169" s="416">
        <v>0</v>
      </c>
      <c r="AK1169" s="416">
        <v>0</v>
      </c>
      <c r="AL1169" s="416">
        <v>0</v>
      </c>
      <c r="AM1169" s="416">
        <v>0</v>
      </c>
      <c r="AN1169" s="416">
        <v>0</v>
      </c>
      <c r="AO1169" s="416">
        <v>0</v>
      </c>
      <c r="AP1169" s="416">
        <v>0</v>
      </c>
      <c r="AQ1169" s="416">
        <v>0</v>
      </c>
      <c r="AR1169" s="416">
        <v>0</v>
      </c>
      <c r="AS1169" s="416">
        <v>0</v>
      </c>
      <c r="AT1169" s="416">
        <v>0</v>
      </c>
      <c r="AU1169" s="416">
        <v>0</v>
      </c>
      <c r="AV1169" s="416">
        <v>0</v>
      </c>
      <c r="AW1169" s="416">
        <v>0</v>
      </c>
      <c r="AX1169" s="416">
        <v>0</v>
      </c>
      <c r="AY1169" s="416">
        <v>0</v>
      </c>
      <c r="AZ1169" s="416">
        <v>0</v>
      </c>
    </row>
    <row r="1170" spans="1:52" x14ac:dyDescent="0.25">
      <c r="A1170" s="415" t="str">
        <f t="shared" si="18"/>
        <v>SA-213 Gr.0</v>
      </c>
      <c r="B1170" s="415">
        <v>1164</v>
      </c>
      <c r="C1170" s="415" t="s">
        <v>3396</v>
      </c>
      <c r="D1170" s="415" t="s">
        <v>2693</v>
      </c>
      <c r="E1170" s="415" t="s">
        <v>2195</v>
      </c>
      <c r="F1170" s="415">
        <v>0</v>
      </c>
      <c r="G1170" s="415" t="s">
        <v>3397</v>
      </c>
      <c r="H1170" s="415">
        <v>0</v>
      </c>
      <c r="I1170" s="415">
        <v>0</v>
      </c>
      <c r="J1170" s="415">
        <v>8</v>
      </c>
      <c r="K1170" s="415">
        <v>4</v>
      </c>
      <c r="L1170" s="415">
        <v>515</v>
      </c>
      <c r="M1170" s="415">
        <v>205</v>
      </c>
      <c r="N1170" s="415" t="s">
        <v>2675</v>
      </c>
      <c r="O1170" s="415" t="s">
        <v>2675</v>
      </c>
      <c r="P1170" s="415">
        <v>204</v>
      </c>
      <c r="Q1170" s="415">
        <v>204</v>
      </c>
      <c r="R1170" s="415" t="s">
        <v>3203</v>
      </c>
      <c r="S1170" s="415">
        <v>0</v>
      </c>
      <c r="T1170" s="416">
        <v>138</v>
      </c>
      <c r="U1170" s="416">
        <v>138</v>
      </c>
      <c r="V1170" s="416">
        <v>127</v>
      </c>
      <c r="W1170" s="416">
        <v>115</v>
      </c>
      <c r="X1170" s="416">
        <v>109</v>
      </c>
      <c r="Y1170" s="416">
        <v>105</v>
      </c>
      <c r="Z1170" s="416">
        <v>97.2</v>
      </c>
      <c r="AA1170" s="416">
        <v>0</v>
      </c>
      <c r="AB1170" s="416">
        <v>0</v>
      </c>
      <c r="AC1170" s="416">
        <v>0</v>
      </c>
      <c r="AD1170" s="416">
        <v>0</v>
      </c>
      <c r="AE1170" s="416">
        <v>0</v>
      </c>
      <c r="AF1170" s="416">
        <v>0</v>
      </c>
      <c r="AG1170" s="416">
        <v>0</v>
      </c>
      <c r="AH1170" s="416">
        <v>0</v>
      </c>
      <c r="AI1170" s="416">
        <v>0</v>
      </c>
      <c r="AJ1170" s="416">
        <v>0</v>
      </c>
      <c r="AK1170" s="416">
        <v>0</v>
      </c>
      <c r="AL1170" s="416">
        <v>0</v>
      </c>
      <c r="AM1170" s="416">
        <v>0</v>
      </c>
      <c r="AN1170" s="416">
        <v>0</v>
      </c>
      <c r="AO1170" s="416">
        <v>0</v>
      </c>
      <c r="AP1170" s="416">
        <v>0</v>
      </c>
      <c r="AQ1170" s="416">
        <v>0</v>
      </c>
      <c r="AR1170" s="416">
        <v>0</v>
      </c>
      <c r="AS1170" s="416">
        <v>0</v>
      </c>
      <c r="AT1170" s="416">
        <v>0</v>
      </c>
      <c r="AU1170" s="416">
        <v>0</v>
      </c>
      <c r="AV1170" s="416">
        <v>0</v>
      </c>
      <c r="AW1170" s="416">
        <v>0</v>
      </c>
      <c r="AX1170" s="416">
        <v>0</v>
      </c>
      <c r="AY1170" s="416">
        <v>0</v>
      </c>
      <c r="AZ1170" s="416">
        <v>0</v>
      </c>
    </row>
    <row r="1171" spans="1:52" x14ac:dyDescent="0.25">
      <c r="A1171" s="415" t="str">
        <f t="shared" si="18"/>
        <v>SA-240 Gr.0</v>
      </c>
      <c r="B1171" s="415">
        <v>1165</v>
      </c>
      <c r="C1171" s="415" t="s">
        <v>3396</v>
      </c>
      <c r="D1171" s="415" t="s">
        <v>2684</v>
      </c>
      <c r="E1171" s="415" t="s">
        <v>2165</v>
      </c>
      <c r="F1171" s="415">
        <v>0</v>
      </c>
      <c r="G1171" s="415" t="s">
        <v>3397</v>
      </c>
      <c r="H1171" s="415">
        <v>0</v>
      </c>
      <c r="I1171" s="415">
        <v>0</v>
      </c>
      <c r="J1171" s="415">
        <v>8</v>
      </c>
      <c r="K1171" s="415">
        <v>4</v>
      </c>
      <c r="L1171" s="415">
        <v>515</v>
      </c>
      <c r="M1171" s="415">
        <v>205</v>
      </c>
      <c r="N1171" s="415" t="s">
        <v>2675</v>
      </c>
      <c r="O1171" s="415" t="s">
        <v>2675</v>
      </c>
      <c r="P1171" s="415">
        <v>204</v>
      </c>
      <c r="Q1171" s="415">
        <v>204</v>
      </c>
      <c r="R1171" s="415" t="s">
        <v>3203</v>
      </c>
      <c r="S1171" s="415" t="s">
        <v>3189</v>
      </c>
      <c r="T1171" s="416">
        <v>138</v>
      </c>
      <c r="U1171" s="416">
        <v>138</v>
      </c>
      <c r="V1171" s="416">
        <v>138</v>
      </c>
      <c r="W1171" s="416">
        <v>138</v>
      </c>
      <c r="X1171" s="416">
        <v>137</v>
      </c>
      <c r="Y1171" s="416">
        <v>135</v>
      </c>
      <c r="Z1171" s="416">
        <v>131</v>
      </c>
      <c r="AA1171" s="416">
        <v>0</v>
      </c>
      <c r="AB1171" s="416">
        <v>0</v>
      </c>
      <c r="AC1171" s="416">
        <v>0</v>
      </c>
      <c r="AD1171" s="416">
        <v>0</v>
      </c>
      <c r="AE1171" s="416">
        <v>0</v>
      </c>
      <c r="AF1171" s="416">
        <v>0</v>
      </c>
      <c r="AG1171" s="416">
        <v>0</v>
      </c>
      <c r="AH1171" s="416">
        <v>0</v>
      </c>
      <c r="AI1171" s="416">
        <v>0</v>
      </c>
      <c r="AJ1171" s="416">
        <v>0</v>
      </c>
      <c r="AK1171" s="416">
        <v>0</v>
      </c>
      <c r="AL1171" s="416">
        <v>0</v>
      </c>
      <c r="AM1171" s="416">
        <v>0</v>
      </c>
      <c r="AN1171" s="416">
        <v>0</v>
      </c>
      <c r="AO1171" s="416">
        <v>0</v>
      </c>
      <c r="AP1171" s="416">
        <v>0</v>
      </c>
      <c r="AQ1171" s="416">
        <v>0</v>
      </c>
      <c r="AR1171" s="416">
        <v>0</v>
      </c>
      <c r="AS1171" s="416">
        <v>0</v>
      </c>
      <c r="AT1171" s="416">
        <v>0</v>
      </c>
      <c r="AU1171" s="416">
        <v>0</v>
      </c>
      <c r="AV1171" s="416">
        <v>0</v>
      </c>
      <c r="AW1171" s="416">
        <v>0</v>
      </c>
      <c r="AX1171" s="416">
        <v>0</v>
      </c>
      <c r="AY1171" s="416">
        <v>0</v>
      </c>
      <c r="AZ1171" s="416">
        <v>0</v>
      </c>
    </row>
    <row r="1172" spans="1:52" x14ac:dyDescent="0.25">
      <c r="A1172" s="415" t="str">
        <f t="shared" si="18"/>
        <v>SA-240 Gr.0</v>
      </c>
      <c r="B1172" s="415">
        <v>1166</v>
      </c>
      <c r="C1172" s="415" t="s">
        <v>3396</v>
      </c>
      <c r="D1172" s="415" t="s">
        <v>2684</v>
      </c>
      <c r="E1172" s="415" t="s">
        <v>2165</v>
      </c>
      <c r="F1172" s="415">
        <v>0</v>
      </c>
      <c r="G1172" s="415" t="s">
        <v>3397</v>
      </c>
      <c r="H1172" s="415">
        <v>0</v>
      </c>
      <c r="I1172" s="415">
        <v>0</v>
      </c>
      <c r="J1172" s="415">
        <v>8</v>
      </c>
      <c r="K1172" s="415">
        <v>4</v>
      </c>
      <c r="L1172" s="415">
        <v>515</v>
      </c>
      <c r="M1172" s="415">
        <v>205</v>
      </c>
      <c r="N1172" s="415" t="s">
        <v>2675</v>
      </c>
      <c r="O1172" s="415" t="s">
        <v>2675</v>
      </c>
      <c r="P1172" s="415">
        <v>204</v>
      </c>
      <c r="Q1172" s="415">
        <v>204</v>
      </c>
      <c r="R1172" s="415" t="s">
        <v>3203</v>
      </c>
      <c r="S1172" s="415">
        <v>0</v>
      </c>
      <c r="T1172" s="416">
        <v>138</v>
      </c>
      <c r="U1172" s="416">
        <v>138</v>
      </c>
      <c r="V1172" s="416">
        <v>127</v>
      </c>
      <c r="W1172" s="416">
        <v>115</v>
      </c>
      <c r="X1172" s="416">
        <v>109</v>
      </c>
      <c r="Y1172" s="416">
        <v>105</v>
      </c>
      <c r="Z1172" s="416">
        <v>97.2</v>
      </c>
      <c r="AA1172" s="416">
        <v>0</v>
      </c>
      <c r="AB1172" s="416">
        <v>0</v>
      </c>
      <c r="AC1172" s="416">
        <v>0</v>
      </c>
      <c r="AD1172" s="416">
        <v>0</v>
      </c>
      <c r="AE1172" s="416">
        <v>0</v>
      </c>
      <c r="AF1172" s="416">
        <v>0</v>
      </c>
      <c r="AG1172" s="416">
        <v>0</v>
      </c>
      <c r="AH1172" s="416">
        <v>0</v>
      </c>
      <c r="AI1172" s="416">
        <v>0</v>
      </c>
      <c r="AJ1172" s="416">
        <v>0</v>
      </c>
      <c r="AK1172" s="416">
        <v>0</v>
      </c>
      <c r="AL1172" s="416">
        <v>0</v>
      </c>
      <c r="AM1172" s="416">
        <v>0</v>
      </c>
      <c r="AN1172" s="416">
        <v>0</v>
      </c>
      <c r="AO1172" s="416">
        <v>0</v>
      </c>
      <c r="AP1172" s="416">
        <v>0</v>
      </c>
      <c r="AQ1172" s="416">
        <v>0</v>
      </c>
      <c r="AR1172" s="416">
        <v>0</v>
      </c>
      <c r="AS1172" s="416">
        <v>0</v>
      </c>
      <c r="AT1172" s="416">
        <v>0</v>
      </c>
      <c r="AU1172" s="416">
        <v>0</v>
      </c>
      <c r="AV1172" s="416">
        <v>0</v>
      </c>
      <c r="AW1172" s="416">
        <v>0</v>
      </c>
      <c r="AX1172" s="416">
        <v>0</v>
      </c>
      <c r="AY1172" s="416">
        <v>0</v>
      </c>
      <c r="AZ1172" s="416">
        <v>0</v>
      </c>
    </row>
    <row r="1173" spans="1:52" x14ac:dyDescent="0.25">
      <c r="A1173" s="415" t="str">
        <f t="shared" si="18"/>
        <v>SA-249 Gr.0</v>
      </c>
      <c r="B1173" s="415">
        <v>1167</v>
      </c>
      <c r="C1173" s="415" t="s">
        <v>3396</v>
      </c>
      <c r="D1173" s="415" t="s">
        <v>2689</v>
      </c>
      <c r="E1173" s="415" t="s">
        <v>2200</v>
      </c>
      <c r="F1173" s="415">
        <v>0</v>
      </c>
      <c r="G1173" s="415" t="s">
        <v>3397</v>
      </c>
      <c r="H1173" s="415">
        <v>0</v>
      </c>
      <c r="I1173" s="415">
        <v>0</v>
      </c>
      <c r="J1173" s="415">
        <v>8</v>
      </c>
      <c r="K1173" s="415">
        <v>4</v>
      </c>
      <c r="L1173" s="415">
        <v>515</v>
      </c>
      <c r="M1173" s="415">
        <v>205</v>
      </c>
      <c r="N1173" s="415" t="s">
        <v>2675</v>
      </c>
      <c r="O1173" s="415" t="s">
        <v>2675</v>
      </c>
      <c r="P1173" s="415">
        <v>204</v>
      </c>
      <c r="Q1173" s="415">
        <v>204</v>
      </c>
      <c r="R1173" s="415" t="s">
        <v>3203</v>
      </c>
      <c r="S1173" s="415" t="s">
        <v>3214</v>
      </c>
      <c r="T1173" s="416">
        <v>117</v>
      </c>
      <c r="U1173" s="416">
        <v>117</v>
      </c>
      <c r="V1173" s="416">
        <v>117</v>
      </c>
      <c r="W1173" s="416">
        <v>117</v>
      </c>
      <c r="X1173" s="416">
        <v>116</v>
      </c>
      <c r="Y1173" s="416">
        <v>114</v>
      </c>
      <c r="Z1173" s="416">
        <v>111</v>
      </c>
      <c r="AA1173" s="416">
        <v>0</v>
      </c>
      <c r="AB1173" s="416">
        <v>0</v>
      </c>
      <c r="AC1173" s="416">
        <v>0</v>
      </c>
      <c r="AD1173" s="416">
        <v>0</v>
      </c>
      <c r="AE1173" s="416">
        <v>0</v>
      </c>
      <c r="AF1173" s="416">
        <v>0</v>
      </c>
      <c r="AG1173" s="416">
        <v>0</v>
      </c>
      <c r="AH1173" s="416">
        <v>0</v>
      </c>
      <c r="AI1173" s="416">
        <v>0</v>
      </c>
      <c r="AJ1173" s="416">
        <v>0</v>
      </c>
      <c r="AK1173" s="416">
        <v>0</v>
      </c>
      <c r="AL1173" s="416">
        <v>0</v>
      </c>
      <c r="AM1173" s="416">
        <v>0</v>
      </c>
      <c r="AN1173" s="416">
        <v>0</v>
      </c>
      <c r="AO1173" s="416">
        <v>0</v>
      </c>
      <c r="AP1173" s="416">
        <v>0</v>
      </c>
      <c r="AQ1173" s="416">
        <v>0</v>
      </c>
      <c r="AR1173" s="416">
        <v>0</v>
      </c>
      <c r="AS1173" s="416">
        <v>0</v>
      </c>
      <c r="AT1173" s="416">
        <v>0</v>
      </c>
      <c r="AU1173" s="416">
        <v>0</v>
      </c>
      <c r="AV1173" s="416">
        <v>0</v>
      </c>
      <c r="AW1173" s="416">
        <v>0</v>
      </c>
      <c r="AX1173" s="416">
        <v>0</v>
      </c>
      <c r="AY1173" s="416">
        <v>0</v>
      </c>
      <c r="AZ1173" s="416">
        <v>0</v>
      </c>
    </row>
    <row r="1174" spans="1:52" x14ac:dyDescent="0.25">
      <c r="A1174" s="415" t="str">
        <f t="shared" si="18"/>
        <v>SA-249 Gr.0</v>
      </c>
      <c r="B1174" s="415">
        <v>1168</v>
      </c>
      <c r="C1174" s="415" t="s">
        <v>3396</v>
      </c>
      <c r="D1174" s="415" t="s">
        <v>2689</v>
      </c>
      <c r="E1174" s="415" t="s">
        <v>2200</v>
      </c>
      <c r="F1174" s="415">
        <v>0</v>
      </c>
      <c r="G1174" s="415" t="s">
        <v>3397</v>
      </c>
      <c r="H1174" s="415">
        <v>0</v>
      </c>
      <c r="I1174" s="415">
        <v>0</v>
      </c>
      <c r="J1174" s="415">
        <v>8</v>
      </c>
      <c r="K1174" s="415">
        <v>4</v>
      </c>
      <c r="L1174" s="415">
        <v>515</v>
      </c>
      <c r="M1174" s="415">
        <v>205</v>
      </c>
      <c r="N1174" s="415" t="s">
        <v>2675</v>
      </c>
      <c r="O1174" s="415" t="s">
        <v>2675</v>
      </c>
      <c r="P1174" s="415">
        <v>204</v>
      </c>
      <c r="Q1174" s="415">
        <v>204</v>
      </c>
      <c r="R1174" s="415" t="s">
        <v>3203</v>
      </c>
      <c r="S1174" s="415" t="s">
        <v>3004</v>
      </c>
      <c r="T1174" s="416">
        <v>117</v>
      </c>
      <c r="U1174" s="416">
        <v>117</v>
      </c>
      <c r="V1174" s="416">
        <v>108</v>
      </c>
      <c r="W1174" s="416">
        <v>97.6</v>
      </c>
      <c r="X1174" s="416">
        <v>92.6</v>
      </c>
      <c r="Y1174" s="416">
        <v>88.8</v>
      </c>
      <c r="Z1174" s="416">
        <v>82.6</v>
      </c>
      <c r="AA1174" s="416">
        <v>0</v>
      </c>
      <c r="AB1174" s="416">
        <v>0</v>
      </c>
      <c r="AC1174" s="416">
        <v>0</v>
      </c>
      <c r="AD1174" s="416">
        <v>0</v>
      </c>
      <c r="AE1174" s="416">
        <v>0</v>
      </c>
      <c r="AF1174" s="416">
        <v>0</v>
      </c>
      <c r="AG1174" s="416">
        <v>0</v>
      </c>
      <c r="AH1174" s="416">
        <v>0</v>
      </c>
      <c r="AI1174" s="416">
        <v>0</v>
      </c>
      <c r="AJ1174" s="416">
        <v>0</v>
      </c>
      <c r="AK1174" s="416">
        <v>0</v>
      </c>
      <c r="AL1174" s="416">
        <v>0</v>
      </c>
      <c r="AM1174" s="416">
        <v>0</v>
      </c>
      <c r="AN1174" s="416">
        <v>0</v>
      </c>
      <c r="AO1174" s="416">
        <v>0</v>
      </c>
      <c r="AP1174" s="416">
        <v>0</v>
      </c>
      <c r="AQ1174" s="416">
        <v>0</v>
      </c>
      <c r="AR1174" s="416">
        <v>0</v>
      </c>
      <c r="AS1174" s="416">
        <v>0</v>
      </c>
      <c r="AT1174" s="416">
        <v>0</v>
      </c>
      <c r="AU1174" s="416">
        <v>0</v>
      </c>
      <c r="AV1174" s="416">
        <v>0</v>
      </c>
      <c r="AW1174" s="416">
        <v>0</v>
      </c>
      <c r="AX1174" s="416">
        <v>0</v>
      </c>
      <c r="AY1174" s="416">
        <v>0</v>
      </c>
      <c r="AZ1174" s="416">
        <v>0</v>
      </c>
    </row>
    <row r="1175" spans="1:52" x14ac:dyDescent="0.25">
      <c r="A1175" s="415" t="str">
        <f t="shared" si="18"/>
        <v>SA-312 Gr.0</v>
      </c>
      <c r="B1175" s="415">
        <v>1169</v>
      </c>
      <c r="C1175" s="415" t="s">
        <v>3396</v>
      </c>
      <c r="D1175" s="415" t="s">
        <v>2703</v>
      </c>
      <c r="E1175" s="415" t="s">
        <v>2208</v>
      </c>
      <c r="F1175" s="415">
        <v>0</v>
      </c>
      <c r="G1175" s="415" t="s">
        <v>3397</v>
      </c>
      <c r="H1175" s="415">
        <v>0</v>
      </c>
      <c r="I1175" s="415">
        <v>0</v>
      </c>
      <c r="J1175" s="415">
        <v>8</v>
      </c>
      <c r="K1175" s="415">
        <v>4</v>
      </c>
      <c r="L1175" s="415">
        <v>515</v>
      </c>
      <c r="M1175" s="415">
        <v>205</v>
      </c>
      <c r="N1175" s="415" t="s">
        <v>2675</v>
      </c>
      <c r="O1175" s="415" t="s">
        <v>2675</v>
      </c>
      <c r="P1175" s="415">
        <v>204</v>
      </c>
      <c r="Q1175" s="415" t="s">
        <v>2675</v>
      </c>
      <c r="R1175" s="415" t="s">
        <v>3203</v>
      </c>
      <c r="S1175" s="415" t="s">
        <v>3189</v>
      </c>
      <c r="T1175" s="416">
        <v>138</v>
      </c>
      <c r="U1175" s="416">
        <v>138</v>
      </c>
      <c r="V1175" s="416">
        <v>138</v>
      </c>
      <c r="W1175" s="416">
        <v>138</v>
      </c>
      <c r="X1175" s="416">
        <v>137</v>
      </c>
      <c r="Y1175" s="416">
        <v>135</v>
      </c>
      <c r="Z1175" s="416">
        <v>131</v>
      </c>
      <c r="AA1175" s="416">
        <v>0</v>
      </c>
      <c r="AB1175" s="416">
        <v>0</v>
      </c>
      <c r="AC1175" s="416">
        <v>0</v>
      </c>
      <c r="AD1175" s="416">
        <v>0</v>
      </c>
      <c r="AE1175" s="416">
        <v>0</v>
      </c>
      <c r="AF1175" s="416">
        <v>0</v>
      </c>
      <c r="AG1175" s="416">
        <v>0</v>
      </c>
      <c r="AH1175" s="416">
        <v>0</v>
      </c>
      <c r="AI1175" s="416">
        <v>0</v>
      </c>
      <c r="AJ1175" s="416">
        <v>0</v>
      </c>
      <c r="AK1175" s="416">
        <v>0</v>
      </c>
      <c r="AL1175" s="416">
        <v>0</v>
      </c>
      <c r="AM1175" s="416">
        <v>0</v>
      </c>
      <c r="AN1175" s="416">
        <v>0</v>
      </c>
      <c r="AO1175" s="416">
        <v>0</v>
      </c>
      <c r="AP1175" s="416">
        <v>0</v>
      </c>
      <c r="AQ1175" s="416">
        <v>0</v>
      </c>
      <c r="AR1175" s="416">
        <v>0</v>
      </c>
      <c r="AS1175" s="416">
        <v>0</v>
      </c>
      <c r="AT1175" s="416">
        <v>0</v>
      </c>
      <c r="AU1175" s="416">
        <v>0</v>
      </c>
      <c r="AV1175" s="416">
        <v>0</v>
      </c>
      <c r="AW1175" s="416">
        <v>0</v>
      </c>
      <c r="AX1175" s="416">
        <v>0</v>
      </c>
      <c r="AY1175" s="416">
        <v>0</v>
      </c>
      <c r="AZ1175" s="416">
        <v>0</v>
      </c>
    </row>
    <row r="1176" spans="1:52" x14ac:dyDescent="0.25">
      <c r="A1176" s="415" t="str">
        <f t="shared" si="18"/>
        <v>SA-312 Gr.0</v>
      </c>
      <c r="B1176" s="415">
        <v>1170</v>
      </c>
      <c r="C1176" s="415" t="s">
        <v>3396</v>
      </c>
      <c r="D1176" s="415" t="s">
        <v>2703</v>
      </c>
      <c r="E1176" s="415" t="s">
        <v>2208</v>
      </c>
      <c r="F1176" s="415">
        <v>0</v>
      </c>
      <c r="G1176" s="415" t="s">
        <v>3397</v>
      </c>
      <c r="H1176" s="415">
        <v>0</v>
      </c>
      <c r="I1176" s="415">
        <v>0</v>
      </c>
      <c r="J1176" s="415">
        <v>8</v>
      </c>
      <c r="K1176" s="415">
        <v>4</v>
      </c>
      <c r="L1176" s="415">
        <v>515</v>
      </c>
      <c r="M1176" s="415">
        <v>205</v>
      </c>
      <c r="N1176" s="415" t="s">
        <v>2675</v>
      </c>
      <c r="O1176" s="415" t="s">
        <v>2675</v>
      </c>
      <c r="P1176" s="415">
        <v>204</v>
      </c>
      <c r="Q1176" s="415" t="s">
        <v>2675</v>
      </c>
      <c r="R1176" s="415" t="s">
        <v>3203</v>
      </c>
      <c r="S1176" s="415">
        <v>0</v>
      </c>
      <c r="T1176" s="416">
        <v>138</v>
      </c>
      <c r="U1176" s="416">
        <v>138</v>
      </c>
      <c r="V1176" s="416">
        <v>127</v>
      </c>
      <c r="W1176" s="416">
        <v>115</v>
      </c>
      <c r="X1176" s="416">
        <v>109</v>
      </c>
      <c r="Y1176" s="416">
        <v>105</v>
      </c>
      <c r="Z1176" s="416">
        <v>97.2</v>
      </c>
      <c r="AA1176" s="416">
        <v>0</v>
      </c>
      <c r="AB1176" s="416">
        <v>0</v>
      </c>
      <c r="AC1176" s="416">
        <v>0</v>
      </c>
      <c r="AD1176" s="416">
        <v>0</v>
      </c>
      <c r="AE1176" s="416">
        <v>0</v>
      </c>
      <c r="AF1176" s="416">
        <v>0</v>
      </c>
      <c r="AG1176" s="416">
        <v>0</v>
      </c>
      <c r="AH1176" s="416">
        <v>0</v>
      </c>
      <c r="AI1176" s="416">
        <v>0</v>
      </c>
      <c r="AJ1176" s="416">
        <v>0</v>
      </c>
      <c r="AK1176" s="416">
        <v>0</v>
      </c>
      <c r="AL1176" s="416">
        <v>0</v>
      </c>
      <c r="AM1176" s="416">
        <v>0</v>
      </c>
      <c r="AN1176" s="416">
        <v>0</v>
      </c>
      <c r="AO1176" s="416">
        <v>0</v>
      </c>
      <c r="AP1176" s="416">
        <v>0</v>
      </c>
      <c r="AQ1176" s="416">
        <v>0</v>
      </c>
      <c r="AR1176" s="416">
        <v>0</v>
      </c>
      <c r="AS1176" s="416">
        <v>0</v>
      </c>
      <c r="AT1176" s="416">
        <v>0</v>
      </c>
      <c r="AU1176" s="416">
        <v>0</v>
      </c>
      <c r="AV1176" s="416">
        <v>0</v>
      </c>
      <c r="AW1176" s="416">
        <v>0</v>
      </c>
      <c r="AX1176" s="416">
        <v>0</v>
      </c>
      <c r="AY1176" s="416">
        <v>0</v>
      </c>
      <c r="AZ1176" s="416">
        <v>0</v>
      </c>
    </row>
    <row r="1177" spans="1:52" x14ac:dyDescent="0.25">
      <c r="A1177" s="415" t="str">
        <f t="shared" si="18"/>
        <v>SA-312 Gr.0</v>
      </c>
      <c r="B1177" s="415">
        <v>1171</v>
      </c>
      <c r="C1177" s="415" t="s">
        <v>3396</v>
      </c>
      <c r="D1177" s="415" t="s">
        <v>2680</v>
      </c>
      <c r="E1177" s="415" t="s">
        <v>2208</v>
      </c>
      <c r="F1177" s="415">
        <v>0</v>
      </c>
      <c r="G1177" s="415" t="s">
        <v>3397</v>
      </c>
      <c r="H1177" s="415">
        <v>0</v>
      </c>
      <c r="I1177" s="415">
        <v>0</v>
      </c>
      <c r="J1177" s="415">
        <v>8</v>
      </c>
      <c r="K1177" s="415">
        <v>4</v>
      </c>
      <c r="L1177" s="415">
        <v>515</v>
      </c>
      <c r="M1177" s="415">
        <v>205</v>
      </c>
      <c r="N1177" s="415" t="s">
        <v>2675</v>
      </c>
      <c r="O1177" s="415" t="s">
        <v>2675</v>
      </c>
      <c r="P1177" s="415">
        <v>204</v>
      </c>
      <c r="Q1177" s="415" t="s">
        <v>2675</v>
      </c>
      <c r="R1177" s="415" t="s">
        <v>3203</v>
      </c>
      <c r="S1177" s="415" t="s">
        <v>3214</v>
      </c>
      <c r="T1177" s="416">
        <v>117</v>
      </c>
      <c r="U1177" s="416">
        <v>117</v>
      </c>
      <c r="V1177" s="416">
        <v>117</v>
      </c>
      <c r="W1177" s="416">
        <v>117</v>
      </c>
      <c r="X1177" s="416">
        <v>116</v>
      </c>
      <c r="Y1177" s="416">
        <v>114</v>
      </c>
      <c r="Z1177" s="416">
        <v>111</v>
      </c>
      <c r="AA1177" s="416">
        <v>0</v>
      </c>
      <c r="AB1177" s="416">
        <v>0</v>
      </c>
      <c r="AC1177" s="416">
        <v>0</v>
      </c>
      <c r="AD1177" s="416">
        <v>0</v>
      </c>
      <c r="AE1177" s="416">
        <v>0</v>
      </c>
      <c r="AF1177" s="416">
        <v>0</v>
      </c>
      <c r="AG1177" s="416">
        <v>0</v>
      </c>
      <c r="AH1177" s="416">
        <v>0</v>
      </c>
      <c r="AI1177" s="416">
        <v>0</v>
      </c>
      <c r="AJ1177" s="416">
        <v>0</v>
      </c>
      <c r="AK1177" s="416">
        <v>0</v>
      </c>
      <c r="AL1177" s="416">
        <v>0</v>
      </c>
      <c r="AM1177" s="416">
        <v>0</v>
      </c>
      <c r="AN1177" s="416">
        <v>0</v>
      </c>
      <c r="AO1177" s="416">
        <v>0</v>
      </c>
      <c r="AP1177" s="416">
        <v>0</v>
      </c>
      <c r="AQ1177" s="416">
        <v>0</v>
      </c>
      <c r="AR1177" s="416">
        <v>0</v>
      </c>
      <c r="AS1177" s="416">
        <v>0</v>
      </c>
      <c r="AT1177" s="416">
        <v>0</v>
      </c>
      <c r="AU1177" s="416">
        <v>0</v>
      </c>
      <c r="AV1177" s="416">
        <v>0</v>
      </c>
      <c r="AW1177" s="416">
        <v>0</v>
      </c>
      <c r="AX1177" s="416">
        <v>0</v>
      </c>
      <c r="AY1177" s="416">
        <v>0</v>
      </c>
      <c r="AZ1177" s="416">
        <v>0</v>
      </c>
    </row>
    <row r="1178" spans="1:52" x14ac:dyDescent="0.25">
      <c r="A1178" s="415" t="str">
        <f t="shared" si="18"/>
        <v>SA-312 Gr.0</v>
      </c>
      <c r="B1178" s="415">
        <v>1172</v>
      </c>
      <c r="C1178" s="415" t="s">
        <v>3396</v>
      </c>
      <c r="D1178" s="415" t="s">
        <v>2680</v>
      </c>
      <c r="E1178" s="415" t="s">
        <v>2208</v>
      </c>
      <c r="F1178" s="415">
        <v>0</v>
      </c>
      <c r="G1178" s="415" t="s">
        <v>3397</v>
      </c>
      <c r="H1178" s="415">
        <v>0</v>
      </c>
      <c r="I1178" s="415">
        <v>0</v>
      </c>
      <c r="J1178" s="415">
        <v>8</v>
      </c>
      <c r="K1178" s="415">
        <v>4</v>
      </c>
      <c r="L1178" s="415">
        <v>515</v>
      </c>
      <c r="M1178" s="415">
        <v>205</v>
      </c>
      <c r="N1178" s="415" t="s">
        <v>2675</v>
      </c>
      <c r="O1178" s="415" t="s">
        <v>2675</v>
      </c>
      <c r="P1178" s="415">
        <v>204</v>
      </c>
      <c r="Q1178" s="415" t="s">
        <v>2675</v>
      </c>
      <c r="R1178" s="415" t="s">
        <v>3203</v>
      </c>
      <c r="S1178" s="415" t="s">
        <v>3004</v>
      </c>
      <c r="T1178" s="416">
        <v>117</v>
      </c>
      <c r="U1178" s="416">
        <v>117</v>
      </c>
      <c r="V1178" s="416">
        <v>108</v>
      </c>
      <c r="W1178" s="416">
        <v>97.6</v>
      </c>
      <c r="X1178" s="416">
        <v>92.6</v>
      </c>
      <c r="Y1178" s="416">
        <v>88.8</v>
      </c>
      <c r="Z1178" s="416">
        <v>82.6</v>
      </c>
      <c r="AA1178" s="416">
        <v>0</v>
      </c>
      <c r="AB1178" s="416">
        <v>0</v>
      </c>
      <c r="AC1178" s="416">
        <v>0</v>
      </c>
      <c r="AD1178" s="416">
        <v>0</v>
      </c>
      <c r="AE1178" s="416">
        <v>0</v>
      </c>
      <c r="AF1178" s="416">
        <v>0</v>
      </c>
      <c r="AG1178" s="416">
        <v>0</v>
      </c>
      <c r="AH1178" s="416">
        <v>0</v>
      </c>
      <c r="AI1178" s="416">
        <v>0</v>
      </c>
      <c r="AJ1178" s="416">
        <v>0</v>
      </c>
      <c r="AK1178" s="416">
        <v>0</v>
      </c>
      <c r="AL1178" s="416">
        <v>0</v>
      </c>
      <c r="AM1178" s="416">
        <v>0</v>
      </c>
      <c r="AN1178" s="416">
        <v>0</v>
      </c>
      <c r="AO1178" s="416">
        <v>0</v>
      </c>
      <c r="AP1178" s="416">
        <v>0</v>
      </c>
      <c r="AQ1178" s="416">
        <v>0</v>
      </c>
      <c r="AR1178" s="416">
        <v>0</v>
      </c>
      <c r="AS1178" s="416">
        <v>0</v>
      </c>
      <c r="AT1178" s="416">
        <v>0</v>
      </c>
      <c r="AU1178" s="416">
        <v>0</v>
      </c>
      <c r="AV1178" s="416">
        <v>0</v>
      </c>
      <c r="AW1178" s="416">
        <v>0</v>
      </c>
      <c r="AX1178" s="416">
        <v>0</v>
      </c>
      <c r="AY1178" s="416">
        <v>0</v>
      </c>
      <c r="AZ1178" s="416">
        <v>0</v>
      </c>
    </row>
    <row r="1179" spans="1:52" x14ac:dyDescent="0.25">
      <c r="A1179" s="415" t="str">
        <f t="shared" si="18"/>
        <v>SA-358 Gr.0</v>
      </c>
      <c r="B1179" s="415">
        <v>1173</v>
      </c>
      <c r="C1179" s="415" t="s">
        <v>3396</v>
      </c>
      <c r="D1179" s="415" t="s">
        <v>2680</v>
      </c>
      <c r="E1179" s="415" t="s">
        <v>2217</v>
      </c>
      <c r="F1179" s="415">
        <v>0</v>
      </c>
      <c r="G1179" s="415" t="s">
        <v>3397</v>
      </c>
      <c r="H1179" s="415">
        <v>0</v>
      </c>
      <c r="I1179" s="415">
        <v>0</v>
      </c>
      <c r="J1179" s="415">
        <v>8</v>
      </c>
      <c r="K1179" s="415">
        <v>4</v>
      </c>
      <c r="L1179" s="415">
        <v>515</v>
      </c>
      <c r="M1179" s="415">
        <v>205</v>
      </c>
      <c r="N1179" s="415" t="s">
        <v>2675</v>
      </c>
      <c r="O1179" s="415" t="s">
        <v>2675</v>
      </c>
      <c r="P1179" s="415">
        <v>204</v>
      </c>
      <c r="Q1179" s="415">
        <v>204</v>
      </c>
      <c r="R1179" s="415" t="s">
        <v>3203</v>
      </c>
      <c r="S1179" s="415" t="s">
        <v>3214</v>
      </c>
      <c r="T1179" s="416">
        <v>117</v>
      </c>
      <c r="U1179" s="416">
        <v>117</v>
      </c>
      <c r="V1179" s="416">
        <v>117</v>
      </c>
      <c r="W1179" s="416">
        <v>117</v>
      </c>
      <c r="X1179" s="416">
        <v>116</v>
      </c>
      <c r="Y1179" s="416">
        <v>114</v>
      </c>
      <c r="Z1179" s="416">
        <v>111</v>
      </c>
      <c r="AA1179" s="416">
        <v>0</v>
      </c>
      <c r="AB1179" s="416">
        <v>0</v>
      </c>
      <c r="AC1179" s="416">
        <v>0</v>
      </c>
      <c r="AD1179" s="416">
        <v>0</v>
      </c>
      <c r="AE1179" s="416">
        <v>0</v>
      </c>
      <c r="AF1179" s="416">
        <v>0</v>
      </c>
      <c r="AG1179" s="416">
        <v>0</v>
      </c>
      <c r="AH1179" s="416">
        <v>0</v>
      </c>
      <c r="AI1179" s="416">
        <v>0</v>
      </c>
      <c r="AJ1179" s="416">
        <v>0</v>
      </c>
      <c r="AK1179" s="416">
        <v>0</v>
      </c>
      <c r="AL1179" s="416">
        <v>0</v>
      </c>
      <c r="AM1179" s="416">
        <v>0</v>
      </c>
      <c r="AN1179" s="416">
        <v>0</v>
      </c>
      <c r="AO1179" s="416">
        <v>0</v>
      </c>
      <c r="AP1179" s="416">
        <v>0</v>
      </c>
      <c r="AQ1179" s="416">
        <v>0</v>
      </c>
      <c r="AR1179" s="416">
        <v>0</v>
      </c>
      <c r="AS1179" s="416">
        <v>0</v>
      </c>
      <c r="AT1179" s="416">
        <v>0</v>
      </c>
      <c r="AU1179" s="416">
        <v>0</v>
      </c>
      <c r="AV1179" s="416">
        <v>0</v>
      </c>
      <c r="AW1179" s="416">
        <v>0</v>
      </c>
      <c r="AX1179" s="416">
        <v>0</v>
      </c>
      <c r="AY1179" s="416">
        <v>0</v>
      </c>
      <c r="AZ1179" s="416">
        <v>0</v>
      </c>
    </row>
    <row r="1180" spans="1:52" x14ac:dyDescent="0.25">
      <c r="A1180" s="415" t="str">
        <f t="shared" si="18"/>
        <v>SA-358 Gr.0</v>
      </c>
      <c r="B1180" s="415">
        <v>1174</v>
      </c>
      <c r="C1180" s="415" t="s">
        <v>3396</v>
      </c>
      <c r="D1180" s="415" t="s">
        <v>2680</v>
      </c>
      <c r="E1180" s="415" t="s">
        <v>2217</v>
      </c>
      <c r="F1180" s="415">
        <v>0</v>
      </c>
      <c r="G1180" s="415" t="s">
        <v>3397</v>
      </c>
      <c r="H1180" s="415">
        <v>0</v>
      </c>
      <c r="I1180" s="415">
        <v>0</v>
      </c>
      <c r="J1180" s="415">
        <v>8</v>
      </c>
      <c r="K1180" s="415">
        <v>4</v>
      </c>
      <c r="L1180" s="415">
        <v>515</v>
      </c>
      <c r="M1180" s="415">
        <v>205</v>
      </c>
      <c r="N1180" s="415" t="s">
        <v>2675</v>
      </c>
      <c r="O1180" s="415" t="s">
        <v>2675</v>
      </c>
      <c r="P1180" s="415">
        <v>204</v>
      </c>
      <c r="Q1180" s="415">
        <v>204</v>
      </c>
      <c r="R1180" s="415" t="s">
        <v>3203</v>
      </c>
      <c r="S1180" s="415" t="s">
        <v>3004</v>
      </c>
      <c r="T1180" s="416">
        <v>117</v>
      </c>
      <c r="U1180" s="416">
        <v>117</v>
      </c>
      <c r="V1180" s="416">
        <v>108</v>
      </c>
      <c r="W1180" s="416">
        <v>97.6</v>
      </c>
      <c r="X1180" s="416">
        <v>92.6</v>
      </c>
      <c r="Y1180" s="416">
        <v>88.8</v>
      </c>
      <c r="Z1180" s="416">
        <v>82.6</v>
      </c>
      <c r="AA1180" s="416">
        <v>0</v>
      </c>
      <c r="AB1180" s="416">
        <v>0</v>
      </c>
      <c r="AC1180" s="416">
        <v>0</v>
      </c>
      <c r="AD1180" s="416">
        <v>0</v>
      </c>
      <c r="AE1180" s="416">
        <v>0</v>
      </c>
      <c r="AF1180" s="416">
        <v>0</v>
      </c>
      <c r="AG1180" s="416">
        <v>0</v>
      </c>
      <c r="AH1180" s="416">
        <v>0</v>
      </c>
      <c r="AI1180" s="416">
        <v>0</v>
      </c>
      <c r="AJ1180" s="416">
        <v>0</v>
      </c>
      <c r="AK1180" s="416">
        <v>0</v>
      </c>
      <c r="AL1180" s="416">
        <v>0</v>
      </c>
      <c r="AM1180" s="416">
        <v>0</v>
      </c>
      <c r="AN1180" s="416">
        <v>0</v>
      </c>
      <c r="AO1180" s="416">
        <v>0</v>
      </c>
      <c r="AP1180" s="416">
        <v>0</v>
      </c>
      <c r="AQ1180" s="416">
        <v>0</v>
      </c>
      <c r="AR1180" s="416">
        <v>0</v>
      </c>
      <c r="AS1180" s="416">
        <v>0</v>
      </c>
      <c r="AT1180" s="416">
        <v>0</v>
      </c>
      <c r="AU1180" s="416">
        <v>0</v>
      </c>
      <c r="AV1180" s="416">
        <v>0</v>
      </c>
      <c r="AW1180" s="416">
        <v>0</v>
      </c>
      <c r="AX1180" s="416">
        <v>0</v>
      </c>
      <c r="AY1180" s="416">
        <v>0</v>
      </c>
      <c r="AZ1180" s="416">
        <v>0</v>
      </c>
    </row>
    <row r="1181" spans="1:52" x14ac:dyDescent="0.25">
      <c r="A1181" s="415" t="str">
        <f t="shared" si="18"/>
        <v>SA-376 Gr.0</v>
      </c>
      <c r="B1181" s="415">
        <v>1175</v>
      </c>
      <c r="C1181" s="415" t="s">
        <v>3396</v>
      </c>
      <c r="D1181" s="415" t="s">
        <v>2703</v>
      </c>
      <c r="E1181" s="415" t="s">
        <v>2225</v>
      </c>
      <c r="F1181" s="415">
        <v>0</v>
      </c>
      <c r="G1181" s="415" t="s">
        <v>3397</v>
      </c>
      <c r="H1181" s="415">
        <v>0</v>
      </c>
      <c r="I1181" s="415">
        <v>0</v>
      </c>
      <c r="J1181" s="415">
        <v>8</v>
      </c>
      <c r="K1181" s="415">
        <v>4</v>
      </c>
      <c r="L1181" s="415">
        <v>515</v>
      </c>
      <c r="M1181" s="415">
        <v>205</v>
      </c>
      <c r="N1181" s="415" t="s">
        <v>2675</v>
      </c>
      <c r="O1181" s="415" t="s">
        <v>2675</v>
      </c>
      <c r="P1181" s="415">
        <v>204</v>
      </c>
      <c r="Q1181" s="415">
        <v>204</v>
      </c>
      <c r="R1181" s="415" t="s">
        <v>3203</v>
      </c>
      <c r="S1181" s="415" t="s">
        <v>3189</v>
      </c>
      <c r="T1181" s="416">
        <v>138</v>
      </c>
      <c r="U1181" s="416">
        <v>138</v>
      </c>
      <c r="V1181" s="416">
        <v>138</v>
      </c>
      <c r="W1181" s="416">
        <v>138</v>
      </c>
      <c r="X1181" s="416">
        <v>137</v>
      </c>
      <c r="Y1181" s="416">
        <v>135</v>
      </c>
      <c r="Z1181" s="416">
        <v>131</v>
      </c>
      <c r="AA1181" s="416">
        <v>0</v>
      </c>
      <c r="AB1181" s="416">
        <v>0</v>
      </c>
      <c r="AC1181" s="416">
        <v>0</v>
      </c>
      <c r="AD1181" s="416">
        <v>0</v>
      </c>
      <c r="AE1181" s="416">
        <v>0</v>
      </c>
      <c r="AF1181" s="416">
        <v>0</v>
      </c>
      <c r="AG1181" s="416">
        <v>0</v>
      </c>
      <c r="AH1181" s="416">
        <v>0</v>
      </c>
      <c r="AI1181" s="416">
        <v>0</v>
      </c>
      <c r="AJ1181" s="416">
        <v>0</v>
      </c>
      <c r="AK1181" s="416">
        <v>0</v>
      </c>
      <c r="AL1181" s="416">
        <v>0</v>
      </c>
      <c r="AM1181" s="416">
        <v>0</v>
      </c>
      <c r="AN1181" s="416">
        <v>0</v>
      </c>
      <c r="AO1181" s="416">
        <v>0</v>
      </c>
      <c r="AP1181" s="416">
        <v>0</v>
      </c>
      <c r="AQ1181" s="416">
        <v>0</v>
      </c>
      <c r="AR1181" s="416">
        <v>0</v>
      </c>
      <c r="AS1181" s="416">
        <v>0</v>
      </c>
      <c r="AT1181" s="416">
        <v>0</v>
      </c>
      <c r="AU1181" s="416">
        <v>0</v>
      </c>
      <c r="AV1181" s="416">
        <v>0</v>
      </c>
      <c r="AW1181" s="416">
        <v>0</v>
      </c>
      <c r="AX1181" s="416">
        <v>0</v>
      </c>
      <c r="AY1181" s="416">
        <v>0</v>
      </c>
      <c r="AZ1181" s="416">
        <v>0</v>
      </c>
    </row>
    <row r="1182" spans="1:52" x14ac:dyDescent="0.25">
      <c r="A1182" s="415" t="str">
        <f t="shared" si="18"/>
        <v>SA-376 Gr.0</v>
      </c>
      <c r="B1182" s="415">
        <v>1176</v>
      </c>
      <c r="C1182" s="415" t="s">
        <v>3396</v>
      </c>
      <c r="D1182" s="415" t="s">
        <v>2703</v>
      </c>
      <c r="E1182" s="415" t="s">
        <v>2225</v>
      </c>
      <c r="F1182" s="415">
        <v>0</v>
      </c>
      <c r="G1182" s="415" t="s">
        <v>3397</v>
      </c>
      <c r="H1182" s="415">
        <v>0</v>
      </c>
      <c r="I1182" s="415">
        <v>0</v>
      </c>
      <c r="J1182" s="415">
        <v>8</v>
      </c>
      <c r="K1182" s="415">
        <v>4</v>
      </c>
      <c r="L1182" s="415">
        <v>515</v>
      </c>
      <c r="M1182" s="415">
        <v>205</v>
      </c>
      <c r="N1182" s="415" t="s">
        <v>2675</v>
      </c>
      <c r="O1182" s="415" t="s">
        <v>2675</v>
      </c>
      <c r="P1182" s="415">
        <v>204</v>
      </c>
      <c r="Q1182" s="415">
        <v>204</v>
      </c>
      <c r="R1182" s="415" t="s">
        <v>3203</v>
      </c>
      <c r="S1182" s="415">
        <v>0</v>
      </c>
      <c r="T1182" s="416">
        <v>138</v>
      </c>
      <c r="U1182" s="416">
        <v>138</v>
      </c>
      <c r="V1182" s="416">
        <v>127</v>
      </c>
      <c r="W1182" s="416">
        <v>115</v>
      </c>
      <c r="X1182" s="416">
        <v>109</v>
      </c>
      <c r="Y1182" s="416">
        <v>105</v>
      </c>
      <c r="Z1182" s="416">
        <v>97.2</v>
      </c>
      <c r="AA1182" s="416">
        <v>0</v>
      </c>
      <c r="AB1182" s="416">
        <v>0</v>
      </c>
      <c r="AC1182" s="416">
        <v>0</v>
      </c>
      <c r="AD1182" s="416">
        <v>0</v>
      </c>
      <c r="AE1182" s="416">
        <v>0</v>
      </c>
      <c r="AF1182" s="416">
        <v>0</v>
      </c>
      <c r="AG1182" s="416">
        <v>0</v>
      </c>
      <c r="AH1182" s="416">
        <v>0</v>
      </c>
      <c r="AI1182" s="416">
        <v>0</v>
      </c>
      <c r="AJ1182" s="416">
        <v>0</v>
      </c>
      <c r="AK1182" s="416">
        <v>0</v>
      </c>
      <c r="AL1182" s="416">
        <v>0</v>
      </c>
      <c r="AM1182" s="416">
        <v>0</v>
      </c>
      <c r="AN1182" s="416">
        <v>0</v>
      </c>
      <c r="AO1182" s="416">
        <v>0</v>
      </c>
      <c r="AP1182" s="416">
        <v>0</v>
      </c>
      <c r="AQ1182" s="416">
        <v>0</v>
      </c>
      <c r="AR1182" s="416">
        <v>0</v>
      </c>
      <c r="AS1182" s="416">
        <v>0</v>
      </c>
      <c r="AT1182" s="416">
        <v>0</v>
      </c>
      <c r="AU1182" s="416">
        <v>0</v>
      </c>
      <c r="AV1182" s="416">
        <v>0</v>
      </c>
      <c r="AW1182" s="416">
        <v>0</v>
      </c>
      <c r="AX1182" s="416">
        <v>0</v>
      </c>
      <c r="AY1182" s="416">
        <v>0</v>
      </c>
      <c r="AZ1182" s="416">
        <v>0</v>
      </c>
    </row>
    <row r="1183" spans="1:52" x14ac:dyDescent="0.25">
      <c r="A1183" s="415" t="str">
        <f t="shared" si="18"/>
        <v>SA-409 Gr.0</v>
      </c>
      <c r="B1183" s="415">
        <v>1177</v>
      </c>
      <c r="C1183" s="415" t="s">
        <v>3396</v>
      </c>
      <c r="D1183" s="415" t="s">
        <v>2680</v>
      </c>
      <c r="E1183" s="415" t="s">
        <v>2231</v>
      </c>
      <c r="F1183" s="415">
        <v>0</v>
      </c>
      <c r="G1183" s="415" t="s">
        <v>3397</v>
      </c>
      <c r="H1183" s="415">
        <v>0</v>
      </c>
      <c r="I1183" s="415">
        <v>0</v>
      </c>
      <c r="J1183" s="415">
        <v>8</v>
      </c>
      <c r="K1183" s="415">
        <v>4</v>
      </c>
      <c r="L1183" s="415">
        <v>515</v>
      </c>
      <c r="M1183" s="415">
        <v>205</v>
      </c>
      <c r="N1183" s="415" t="s">
        <v>2675</v>
      </c>
      <c r="O1183" s="415" t="s">
        <v>2675</v>
      </c>
      <c r="P1183" s="415">
        <v>204</v>
      </c>
      <c r="Q1183" s="415">
        <v>204</v>
      </c>
      <c r="R1183" s="415" t="s">
        <v>3203</v>
      </c>
      <c r="S1183" s="415" t="s">
        <v>3214</v>
      </c>
      <c r="T1183" s="416">
        <v>117</v>
      </c>
      <c r="U1183" s="416">
        <v>117</v>
      </c>
      <c r="V1183" s="416">
        <v>117</v>
      </c>
      <c r="W1183" s="416">
        <v>117</v>
      </c>
      <c r="X1183" s="416">
        <v>116</v>
      </c>
      <c r="Y1183" s="416">
        <v>114</v>
      </c>
      <c r="Z1183" s="416">
        <v>111</v>
      </c>
      <c r="AA1183" s="416">
        <v>0</v>
      </c>
      <c r="AB1183" s="416">
        <v>0</v>
      </c>
      <c r="AC1183" s="416">
        <v>0</v>
      </c>
      <c r="AD1183" s="416">
        <v>0</v>
      </c>
      <c r="AE1183" s="416">
        <v>0</v>
      </c>
      <c r="AF1183" s="416">
        <v>0</v>
      </c>
      <c r="AG1183" s="416">
        <v>0</v>
      </c>
      <c r="AH1183" s="416">
        <v>0</v>
      </c>
      <c r="AI1183" s="416">
        <v>0</v>
      </c>
      <c r="AJ1183" s="416">
        <v>0</v>
      </c>
      <c r="AK1183" s="416">
        <v>0</v>
      </c>
      <c r="AL1183" s="416">
        <v>0</v>
      </c>
      <c r="AM1183" s="416">
        <v>0</v>
      </c>
      <c r="AN1183" s="416">
        <v>0</v>
      </c>
      <c r="AO1183" s="416">
        <v>0</v>
      </c>
      <c r="AP1183" s="416">
        <v>0</v>
      </c>
      <c r="AQ1183" s="416">
        <v>0</v>
      </c>
      <c r="AR1183" s="416">
        <v>0</v>
      </c>
      <c r="AS1183" s="416">
        <v>0</v>
      </c>
      <c r="AT1183" s="416">
        <v>0</v>
      </c>
      <c r="AU1183" s="416">
        <v>0</v>
      </c>
      <c r="AV1183" s="416">
        <v>0</v>
      </c>
      <c r="AW1183" s="416">
        <v>0</v>
      </c>
      <c r="AX1183" s="416">
        <v>0</v>
      </c>
      <c r="AY1183" s="416">
        <v>0</v>
      </c>
      <c r="AZ1183" s="416">
        <v>0</v>
      </c>
    </row>
    <row r="1184" spans="1:52" x14ac:dyDescent="0.25">
      <c r="A1184" s="415" t="str">
        <f t="shared" si="18"/>
        <v>SA-409 Gr.0</v>
      </c>
      <c r="B1184" s="415">
        <v>1178</v>
      </c>
      <c r="C1184" s="415" t="s">
        <v>3396</v>
      </c>
      <c r="D1184" s="415" t="s">
        <v>2680</v>
      </c>
      <c r="E1184" s="415" t="s">
        <v>2231</v>
      </c>
      <c r="F1184" s="415">
        <v>0</v>
      </c>
      <c r="G1184" s="415" t="s">
        <v>3397</v>
      </c>
      <c r="H1184" s="415">
        <v>0</v>
      </c>
      <c r="I1184" s="415">
        <v>0</v>
      </c>
      <c r="J1184" s="415">
        <v>8</v>
      </c>
      <c r="K1184" s="415">
        <v>4</v>
      </c>
      <c r="L1184" s="415">
        <v>515</v>
      </c>
      <c r="M1184" s="415">
        <v>205</v>
      </c>
      <c r="N1184" s="415" t="s">
        <v>2675</v>
      </c>
      <c r="O1184" s="415" t="s">
        <v>2675</v>
      </c>
      <c r="P1184" s="415">
        <v>204</v>
      </c>
      <c r="Q1184" s="415">
        <v>204</v>
      </c>
      <c r="R1184" s="415" t="s">
        <v>3203</v>
      </c>
      <c r="S1184" s="415" t="s">
        <v>3004</v>
      </c>
      <c r="T1184" s="416">
        <v>117</v>
      </c>
      <c r="U1184" s="416">
        <v>117</v>
      </c>
      <c r="V1184" s="416">
        <v>108</v>
      </c>
      <c r="W1184" s="416">
        <v>97.6</v>
      </c>
      <c r="X1184" s="416">
        <v>92.6</v>
      </c>
      <c r="Y1184" s="416">
        <v>88.8</v>
      </c>
      <c r="Z1184" s="416">
        <v>82.6</v>
      </c>
      <c r="AA1184" s="416">
        <v>0</v>
      </c>
      <c r="AB1184" s="416">
        <v>0</v>
      </c>
      <c r="AC1184" s="416">
        <v>0</v>
      </c>
      <c r="AD1184" s="416">
        <v>0</v>
      </c>
      <c r="AE1184" s="416">
        <v>0</v>
      </c>
      <c r="AF1184" s="416">
        <v>0</v>
      </c>
      <c r="AG1184" s="416">
        <v>0</v>
      </c>
      <c r="AH1184" s="416">
        <v>0</v>
      </c>
      <c r="AI1184" s="416">
        <v>0</v>
      </c>
      <c r="AJ1184" s="416">
        <v>0</v>
      </c>
      <c r="AK1184" s="416">
        <v>0</v>
      </c>
      <c r="AL1184" s="416">
        <v>0</v>
      </c>
      <c r="AM1184" s="416">
        <v>0</v>
      </c>
      <c r="AN1184" s="416">
        <v>0</v>
      </c>
      <c r="AO1184" s="416">
        <v>0</v>
      </c>
      <c r="AP1184" s="416">
        <v>0</v>
      </c>
      <c r="AQ1184" s="416">
        <v>0</v>
      </c>
      <c r="AR1184" s="416">
        <v>0</v>
      </c>
      <c r="AS1184" s="416">
        <v>0</v>
      </c>
      <c r="AT1184" s="416">
        <v>0</v>
      </c>
      <c r="AU1184" s="416">
        <v>0</v>
      </c>
      <c r="AV1184" s="416">
        <v>0</v>
      </c>
      <c r="AW1184" s="416">
        <v>0</v>
      </c>
      <c r="AX1184" s="416">
        <v>0</v>
      </c>
      <c r="AY1184" s="416">
        <v>0</v>
      </c>
      <c r="AZ1184" s="416">
        <v>0</v>
      </c>
    </row>
    <row r="1185" spans="1:52" x14ac:dyDescent="0.25">
      <c r="A1185" s="415" t="str">
        <f t="shared" si="18"/>
        <v>SA-479 Gr.0</v>
      </c>
      <c r="B1185" s="415">
        <v>1179</v>
      </c>
      <c r="C1185" s="415" t="s">
        <v>3396</v>
      </c>
      <c r="D1185" s="415" t="s">
        <v>2677</v>
      </c>
      <c r="E1185" s="415" t="s">
        <v>2245</v>
      </c>
      <c r="F1185" s="415">
        <v>0</v>
      </c>
      <c r="G1185" s="415" t="s">
        <v>3397</v>
      </c>
      <c r="H1185" s="415">
        <v>0</v>
      </c>
      <c r="I1185" s="415">
        <v>0</v>
      </c>
      <c r="J1185" s="415">
        <v>8</v>
      </c>
      <c r="K1185" s="415">
        <v>4</v>
      </c>
      <c r="L1185" s="415">
        <v>515</v>
      </c>
      <c r="M1185" s="415">
        <v>205</v>
      </c>
      <c r="N1185" s="415" t="s">
        <v>2675</v>
      </c>
      <c r="O1185" s="415" t="s">
        <v>2675</v>
      </c>
      <c r="P1185" s="415">
        <v>204</v>
      </c>
      <c r="Q1185" s="415">
        <v>204</v>
      </c>
      <c r="R1185" s="415" t="s">
        <v>3203</v>
      </c>
      <c r="S1185" s="415" t="s">
        <v>3189</v>
      </c>
      <c r="T1185" s="416">
        <v>138</v>
      </c>
      <c r="U1185" s="416">
        <v>138</v>
      </c>
      <c r="V1185" s="416">
        <v>138</v>
      </c>
      <c r="W1185" s="416">
        <v>138</v>
      </c>
      <c r="X1185" s="416">
        <v>137</v>
      </c>
      <c r="Y1185" s="416">
        <v>135</v>
      </c>
      <c r="Z1185" s="416">
        <v>131</v>
      </c>
      <c r="AA1185" s="416">
        <v>0</v>
      </c>
      <c r="AB1185" s="416">
        <v>0</v>
      </c>
      <c r="AC1185" s="416">
        <v>0</v>
      </c>
      <c r="AD1185" s="416">
        <v>0</v>
      </c>
      <c r="AE1185" s="416">
        <v>0</v>
      </c>
      <c r="AF1185" s="416">
        <v>0</v>
      </c>
      <c r="AG1185" s="416">
        <v>0</v>
      </c>
      <c r="AH1185" s="416">
        <v>0</v>
      </c>
      <c r="AI1185" s="416">
        <v>0</v>
      </c>
      <c r="AJ1185" s="416">
        <v>0</v>
      </c>
      <c r="AK1185" s="416">
        <v>0</v>
      </c>
      <c r="AL1185" s="416">
        <v>0</v>
      </c>
      <c r="AM1185" s="416">
        <v>0</v>
      </c>
      <c r="AN1185" s="416">
        <v>0</v>
      </c>
      <c r="AO1185" s="416">
        <v>0</v>
      </c>
      <c r="AP1185" s="416">
        <v>0</v>
      </c>
      <c r="AQ1185" s="416">
        <v>0</v>
      </c>
      <c r="AR1185" s="416">
        <v>0</v>
      </c>
      <c r="AS1185" s="416">
        <v>0</v>
      </c>
      <c r="AT1185" s="416">
        <v>0</v>
      </c>
      <c r="AU1185" s="416">
        <v>0</v>
      </c>
      <c r="AV1185" s="416">
        <v>0</v>
      </c>
      <c r="AW1185" s="416">
        <v>0</v>
      </c>
      <c r="AX1185" s="416">
        <v>0</v>
      </c>
      <c r="AY1185" s="416">
        <v>0</v>
      </c>
      <c r="AZ1185" s="416">
        <v>0</v>
      </c>
    </row>
    <row r="1186" spans="1:52" x14ac:dyDescent="0.25">
      <c r="A1186" s="415" t="str">
        <f t="shared" si="18"/>
        <v>SA-479 Gr.0</v>
      </c>
      <c r="B1186" s="415">
        <v>1180</v>
      </c>
      <c r="C1186" s="415" t="s">
        <v>3396</v>
      </c>
      <c r="D1186" s="415" t="s">
        <v>2677</v>
      </c>
      <c r="E1186" s="415" t="s">
        <v>2245</v>
      </c>
      <c r="F1186" s="415">
        <v>0</v>
      </c>
      <c r="G1186" s="415" t="s">
        <v>3397</v>
      </c>
      <c r="H1186" s="415">
        <v>0</v>
      </c>
      <c r="I1186" s="415">
        <v>0</v>
      </c>
      <c r="J1186" s="415">
        <v>8</v>
      </c>
      <c r="K1186" s="415">
        <v>4</v>
      </c>
      <c r="L1186" s="415">
        <v>515</v>
      </c>
      <c r="M1186" s="415">
        <v>205</v>
      </c>
      <c r="N1186" s="415" t="s">
        <v>2675</v>
      </c>
      <c r="O1186" s="415" t="s">
        <v>2675</v>
      </c>
      <c r="P1186" s="415">
        <v>204</v>
      </c>
      <c r="Q1186" s="415">
        <v>204</v>
      </c>
      <c r="R1186" s="415" t="s">
        <v>3203</v>
      </c>
      <c r="S1186" s="415">
        <v>0</v>
      </c>
      <c r="T1186" s="416">
        <v>138</v>
      </c>
      <c r="U1186" s="416">
        <v>138</v>
      </c>
      <c r="V1186" s="416">
        <v>127</v>
      </c>
      <c r="W1186" s="416">
        <v>115</v>
      </c>
      <c r="X1186" s="416">
        <v>109</v>
      </c>
      <c r="Y1186" s="416">
        <v>105</v>
      </c>
      <c r="Z1186" s="416">
        <v>97.2</v>
      </c>
      <c r="AA1186" s="416">
        <v>0</v>
      </c>
      <c r="AB1186" s="416">
        <v>0</v>
      </c>
      <c r="AC1186" s="416">
        <v>0</v>
      </c>
      <c r="AD1186" s="416">
        <v>0</v>
      </c>
      <c r="AE1186" s="416">
        <v>0</v>
      </c>
      <c r="AF1186" s="416">
        <v>0</v>
      </c>
      <c r="AG1186" s="416">
        <v>0</v>
      </c>
      <c r="AH1186" s="416">
        <v>0</v>
      </c>
      <c r="AI1186" s="416">
        <v>0</v>
      </c>
      <c r="AJ1186" s="416">
        <v>0</v>
      </c>
      <c r="AK1186" s="416">
        <v>0</v>
      </c>
      <c r="AL1186" s="416">
        <v>0</v>
      </c>
      <c r="AM1186" s="416">
        <v>0</v>
      </c>
      <c r="AN1186" s="416">
        <v>0</v>
      </c>
      <c r="AO1186" s="416">
        <v>0</v>
      </c>
      <c r="AP1186" s="416">
        <v>0</v>
      </c>
      <c r="AQ1186" s="416">
        <v>0</v>
      </c>
      <c r="AR1186" s="416">
        <v>0</v>
      </c>
      <c r="AS1186" s="416">
        <v>0</v>
      </c>
      <c r="AT1186" s="416">
        <v>0</v>
      </c>
      <c r="AU1186" s="416">
        <v>0</v>
      </c>
      <c r="AV1186" s="416">
        <v>0</v>
      </c>
      <c r="AW1186" s="416">
        <v>0</v>
      </c>
      <c r="AX1186" s="416">
        <v>0</v>
      </c>
      <c r="AY1186" s="416">
        <v>0</v>
      </c>
      <c r="AZ1186" s="416">
        <v>0</v>
      </c>
    </row>
    <row r="1187" spans="1:52" x14ac:dyDescent="0.25">
      <c r="A1187" s="415" t="str">
        <f t="shared" si="18"/>
        <v>SA-479 Gr.ER308</v>
      </c>
      <c r="B1187" s="415">
        <v>1181</v>
      </c>
      <c r="C1187" s="415" t="s">
        <v>3398</v>
      </c>
      <c r="D1187" s="415" t="s">
        <v>2677</v>
      </c>
      <c r="E1187" s="415" t="s">
        <v>2245</v>
      </c>
      <c r="F1187" s="415" t="s">
        <v>2422</v>
      </c>
      <c r="G1187" s="415" t="s">
        <v>3399</v>
      </c>
      <c r="H1187" s="415">
        <v>0</v>
      </c>
      <c r="I1187" s="415">
        <v>0</v>
      </c>
      <c r="J1187" s="415">
        <v>0</v>
      </c>
      <c r="K1187" s="415">
        <v>0</v>
      </c>
      <c r="L1187" s="415">
        <v>515</v>
      </c>
      <c r="M1187" s="415">
        <v>205</v>
      </c>
      <c r="N1187" s="415" t="s">
        <v>2675</v>
      </c>
      <c r="O1187" s="415">
        <v>427</v>
      </c>
      <c r="P1187" s="415" t="s">
        <v>2675</v>
      </c>
      <c r="Q1187" s="415" t="s">
        <v>2675</v>
      </c>
      <c r="R1187" s="415" t="s">
        <v>3069</v>
      </c>
      <c r="S1187" s="415" t="s">
        <v>3189</v>
      </c>
      <c r="T1187" s="416">
        <v>138</v>
      </c>
      <c r="U1187" s="416">
        <v>138</v>
      </c>
      <c r="V1187" s="416">
        <v>138</v>
      </c>
      <c r="W1187" s="416">
        <v>137</v>
      </c>
      <c r="X1187" s="416">
        <v>134</v>
      </c>
      <c r="Y1187" s="416">
        <v>130</v>
      </c>
      <c r="Z1187" s="416">
        <v>126</v>
      </c>
      <c r="AA1187" s="416">
        <v>122</v>
      </c>
      <c r="AB1187" s="416">
        <v>116</v>
      </c>
      <c r="AC1187" s="416">
        <v>114</v>
      </c>
      <c r="AD1187" s="416">
        <v>111</v>
      </c>
      <c r="AE1187" s="416">
        <v>109</v>
      </c>
      <c r="AF1187" s="416">
        <v>107</v>
      </c>
      <c r="AG1187" s="416">
        <v>105</v>
      </c>
      <c r="AH1187" s="416">
        <v>103</v>
      </c>
      <c r="AI1187" s="416">
        <v>0</v>
      </c>
      <c r="AJ1187" s="416">
        <v>0</v>
      </c>
      <c r="AK1187" s="416">
        <v>0</v>
      </c>
      <c r="AL1187" s="416">
        <v>0</v>
      </c>
      <c r="AM1187" s="416">
        <v>0</v>
      </c>
      <c r="AN1187" s="416">
        <v>0</v>
      </c>
      <c r="AO1187" s="416">
        <v>0</v>
      </c>
      <c r="AP1187" s="416">
        <v>0</v>
      </c>
      <c r="AQ1187" s="416">
        <v>0</v>
      </c>
      <c r="AR1187" s="416">
        <v>0</v>
      </c>
      <c r="AS1187" s="416">
        <v>0</v>
      </c>
      <c r="AT1187" s="416">
        <v>0</v>
      </c>
      <c r="AU1187" s="416">
        <v>0</v>
      </c>
      <c r="AV1187" s="416">
        <v>0</v>
      </c>
      <c r="AW1187" s="416">
        <v>0</v>
      </c>
      <c r="AX1187" s="416">
        <v>0</v>
      </c>
      <c r="AY1187" s="416">
        <v>0</v>
      </c>
      <c r="AZ1187" s="416">
        <v>0</v>
      </c>
    </row>
    <row r="1188" spans="1:52" x14ac:dyDescent="0.25">
      <c r="A1188" s="415" t="str">
        <f t="shared" si="18"/>
        <v>SA-351 Gr.CK3MCuN</v>
      </c>
      <c r="B1188" s="415">
        <v>1182</v>
      </c>
      <c r="C1188" s="415" t="s">
        <v>3400</v>
      </c>
      <c r="D1188" s="415" t="s">
        <v>2739</v>
      </c>
      <c r="E1188" s="415" t="s">
        <v>2213</v>
      </c>
      <c r="F1188" s="415" t="s">
        <v>2384</v>
      </c>
      <c r="G1188" s="415" t="s">
        <v>3401</v>
      </c>
      <c r="H1188" s="415">
        <v>0</v>
      </c>
      <c r="I1188" s="415">
        <v>0</v>
      </c>
      <c r="J1188" s="415">
        <v>8</v>
      </c>
      <c r="K1188" s="415">
        <v>4</v>
      </c>
      <c r="L1188" s="415">
        <v>550</v>
      </c>
      <c r="M1188" s="415">
        <v>260</v>
      </c>
      <c r="N1188" s="415" t="s">
        <v>2675</v>
      </c>
      <c r="O1188" s="415">
        <v>399</v>
      </c>
      <c r="P1188" s="415">
        <v>399</v>
      </c>
      <c r="Q1188" s="415">
        <v>343</v>
      </c>
      <c r="R1188" s="415" t="s">
        <v>3069</v>
      </c>
      <c r="S1188" s="415" t="s">
        <v>3195</v>
      </c>
      <c r="T1188" s="416">
        <v>158</v>
      </c>
      <c r="U1188" s="416">
        <v>158</v>
      </c>
      <c r="V1188" s="416">
        <v>158</v>
      </c>
      <c r="W1188" s="416">
        <v>158</v>
      </c>
      <c r="X1188" s="416">
        <v>154</v>
      </c>
      <c r="Y1188" s="416">
        <v>149</v>
      </c>
      <c r="Z1188" s="416">
        <v>143</v>
      </c>
      <c r="AA1188" s="416">
        <v>139</v>
      </c>
      <c r="AB1188" s="416">
        <v>136</v>
      </c>
      <c r="AC1188" s="416">
        <v>135</v>
      </c>
      <c r="AD1188" s="416">
        <v>134</v>
      </c>
      <c r="AE1188" s="416">
        <v>133</v>
      </c>
      <c r="AF1188" s="416">
        <v>132</v>
      </c>
      <c r="AG1188" s="416">
        <v>0</v>
      </c>
      <c r="AH1188" s="416">
        <v>0</v>
      </c>
      <c r="AI1188" s="416">
        <v>0</v>
      </c>
      <c r="AJ1188" s="416">
        <v>0</v>
      </c>
      <c r="AK1188" s="416">
        <v>0</v>
      </c>
      <c r="AL1188" s="416">
        <v>0</v>
      </c>
      <c r="AM1188" s="416">
        <v>0</v>
      </c>
      <c r="AN1188" s="416">
        <v>0</v>
      </c>
      <c r="AO1188" s="416">
        <v>0</v>
      </c>
      <c r="AP1188" s="416">
        <v>0</v>
      </c>
      <c r="AQ1188" s="416">
        <v>0</v>
      </c>
      <c r="AR1188" s="416">
        <v>0</v>
      </c>
      <c r="AS1188" s="416">
        <v>0</v>
      </c>
      <c r="AT1188" s="416">
        <v>0</v>
      </c>
      <c r="AU1188" s="416">
        <v>0</v>
      </c>
      <c r="AV1188" s="416">
        <v>0</v>
      </c>
      <c r="AW1188" s="416">
        <v>0</v>
      </c>
      <c r="AX1188" s="416">
        <v>0</v>
      </c>
      <c r="AY1188" s="416">
        <v>0</v>
      </c>
      <c r="AZ1188" s="416">
        <v>0</v>
      </c>
    </row>
    <row r="1189" spans="1:52" x14ac:dyDescent="0.25">
      <c r="A1189" s="415" t="str">
        <f t="shared" si="18"/>
        <v>SA-351 Gr.CK3MCuN</v>
      </c>
      <c r="B1189" s="415">
        <v>1183</v>
      </c>
      <c r="C1189" s="415" t="s">
        <v>3400</v>
      </c>
      <c r="D1189" s="415" t="s">
        <v>2739</v>
      </c>
      <c r="E1189" s="415" t="s">
        <v>2213</v>
      </c>
      <c r="F1189" s="415" t="s">
        <v>2384</v>
      </c>
      <c r="G1189" s="415" t="s">
        <v>3401</v>
      </c>
      <c r="H1189" s="415">
        <v>0</v>
      </c>
      <c r="I1189" s="415">
        <v>0</v>
      </c>
      <c r="J1189" s="415">
        <v>8</v>
      </c>
      <c r="K1189" s="415">
        <v>4</v>
      </c>
      <c r="L1189" s="415">
        <v>550</v>
      </c>
      <c r="M1189" s="415">
        <v>260</v>
      </c>
      <c r="N1189" s="415" t="s">
        <v>2675</v>
      </c>
      <c r="O1189" s="415" t="s">
        <v>2675</v>
      </c>
      <c r="P1189" s="415">
        <v>399</v>
      </c>
      <c r="Q1189" s="415">
        <v>343</v>
      </c>
      <c r="R1189" s="415" t="s">
        <v>3069</v>
      </c>
      <c r="S1189" s="415" t="s">
        <v>3086</v>
      </c>
      <c r="T1189" s="416">
        <v>158</v>
      </c>
      <c r="U1189" s="416">
        <v>158</v>
      </c>
      <c r="V1189" s="416">
        <v>151</v>
      </c>
      <c r="W1189" s="416">
        <v>141</v>
      </c>
      <c r="X1189" s="416">
        <v>134</v>
      </c>
      <c r="Y1189" s="416">
        <v>127</v>
      </c>
      <c r="Z1189" s="416">
        <v>119</v>
      </c>
      <c r="AA1189" s="416">
        <v>112</v>
      </c>
      <c r="AB1189" s="416">
        <v>107</v>
      </c>
      <c r="AC1189" s="416">
        <v>106</v>
      </c>
      <c r="AD1189" s="416">
        <v>105</v>
      </c>
      <c r="AE1189" s="416">
        <v>104</v>
      </c>
      <c r="AF1189" s="416">
        <v>103</v>
      </c>
      <c r="AG1189" s="416">
        <v>0</v>
      </c>
      <c r="AH1189" s="416">
        <v>0</v>
      </c>
      <c r="AI1189" s="416">
        <v>0</v>
      </c>
      <c r="AJ1189" s="416">
        <v>0</v>
      </c>
      <c r="AK1189" s="416">
        <v>0</v>
      </c>
      <c r="AL1189" s="416">
        <v>0</v>
      </c>
      <c r="AM1189" s="416">
        <v>0</v>
      </c>
      <c r="AN1189" s="416">
        <v>0</v>
      </c>
      <c r="AO1189" s="416">
        <v>0</v>
      </c>
      <c r="AP1189" s="416">
        <v>0</v>
      </c>
      <c r="AQ1189" s="416">
        <v>0</v>
      </c>
      <c r="AR1189" s="416">
        <v>0</v>
      </c>
      <c r="AS1189" s="416">
        <v>0</v>
      </c>
      <c r="AT1189" s="416">
        <v>0</v>
      </c>
      <c r="AU1189" s="416">
        <v>0</v>
      </c>
      <c r="AV1189" s="416">
        <v>0</v>
      </c>
      <c r="AW1189" s="416">
        <v>0</v>
      </c>
      <c r="AX1189" s="416">
        <v>0</v>
      </c>
      <c r="AY1189" s="416">
        <v>0</v>
      </c>
      <c r="AZ1189" s="416">
        <v>0</v>
      </c>
    </row>
    <row r="1190" spans="1:52" x14ac:dyDescent="0.25">
      <c r="A1190" s="415" t="str">
        <f t="shared" si="18"/>
        <v>SA-182 Gr.F44</v>
      </c>
      <c r="B1190" s="415">
        <v>1184</v>
      </c>
      <c r="C1190" s="415" t="s">
        <v>3400</v>
      </c>
      <c r="D1190" s="415" t="s">
        <v>2737</v>
      </c>
      <c r="E1190" s="415" t="s">
        <v>2188</v>
      </c>
      <c r="F1190" s="415" t="s">
        <v>2453</v>
      </c>
      <c r="G1190" s="415" t="s">
        <v>3402</v>
      </c>
      <c r="H1190" s="415">
        <v>0</v>
      </c>
      <c r="I1190" s="415">
        <v>0</v>
      </c>
      <c r="J1190" s="415">
        <v>8</v>
      </c>
      <c r="K1190" s="415">
        <v>4</v>
      </c>
      <c r="L1190" s="415">
        <v>650</v>
      </c>
      <c r="M1190" s="415">
        <v>305</v>
      </c>
      <c r="N1190" s="415" t="s">
        <v>2675</v>
      </c>
      <c r="O1190" s="415">
        <v>399</v>
      </c>
      <c r="P1190" s="415">
        <v>399</v>
      </c>
      <c r="Q1190" s="415">
        <v>343</v>
      </c>
      <c r="R1190" s="415" t="s">
        <v>3069</v>
      </c>
      <c r="S1190" s="415" t="s">
        <v>3189</v>
      </c>
      <c r="T1190" s="416">
        <v>185</v>
      </c>
      <c r="U1190" s="416">
        <v>185</v>
      </c>
      <c r="V1190" s="416">
        <v>185</v>
      </c>
      <c r="W1190" s="416">
        <v>185</v>
      </c>
      <c r="X1190" s="416">
        <v>181</v>
      </c>
      <c r="Y1190" s="416">
        <v>176</v>
      </c>
      <c r="Z1190" s="416">
        <v>168</v>
      </c>
      <c r="AA1190" s="416">
        <v>163</v>
      </c>
      <c r="AB1190" s="416">
        <v>159</v>
      </c>
      <c r="AC1190" s="416">
        <v>158</v>
      </c>
      <c r="AD1190" s="416">
        <v>157</v>
      </c>
      <c r="AE1190" s="416">
        <v>156</v>
      </c>
      <c r="AF1190" s="416">
        <v>156</v>
      </c>
      <c r="AG1190" s="416">
        <v>0</v>
      </c>
      <c r="AH1190" s="416">
        <v>0</v>
      </c>
      <c r="AI1190" s="416">
        <v>0</v>
      </c>
      <c r="AJ1190" s="416">
        <v>0</v>
      </c>
      <c r="AK1190" s="416">
        <v>0</v>
      </c>
      <c r="AL1190" s="416">
        <v>0</v>
      </c>
      <c r="AM1190" s="416">
        <v>0</v>
      </c>
      <c r="AN1190" s="416">
        <v>0</v>
      </c>
      <c r="AO1190" s="416">
        <v>0</v>
      </c>
      <c r="AP1190" s="416">
        <v>0</v>
      </c>
      <c r="AQ1190" s="416">
        <v>0</v>
      </c>
      <c r="AR1190" s="416">
        <v>0</v>
      </c>
      <c r="AS1190" s="416">
        <v>0</v>
      </c>
      <c r="AT1190" s="416">
        <v>0</v>
      </c>
      <c r="AU1190" s="416">
        <v>0</v>
      </c>
      <c r="AV1190" s="416">
        <v>0</v>
      </c>
      <c r="AW1190" s="416">
        <v>0</v>
      </c>
      <c r="AX1190" s="416">
        <v>0</v>
      </c>
      <c r="AY1190" s="416">
        <v>0</v>
      </c>
      <c r="AZ1190" s="416">
        <v>0</v>
      </c>
    </row>
    <row r="1191" spans="1:52" x14ac:dyDescent="0.25">
      <c r="A1191" s="415" t="str">
        <f t="shared" si="18"/>
        <v>SA-182 Gr.F44</v>
      </c>
      <c r="B1191" s="415">
        <v>1185</v>
      </c>
      <c r="C1191" s="415" t="s">
        <v>3400</v>
      </c>
      <c r="D1191" s="415" t="s">
        <v>2737</v>
      </c>
      <c r="E1191" s="415" t="s">
        <v>2188</v>
      </c>
      <c r="F1191" s="415" t="s">
        <v>2453</v>
      </c>
      <c r="G1191" s="415" t="s">
        <v>3402</v>
      </c>
      <c r="H1191" s="415">
        <v>0</v>
      </c>
      <c r="I1191" s="415">
        <v>0</v>
      </c>
      <c r="J1191" s="415">
        <v>8</v>
      </c>
      <c r="K1191" s="415">
        <v>4</v>
      </c>
      <c r="L1191" s="415">
        <v>650</v>
      </c>
      <c r="M1191" s="415">
        <v>305</v>
      </c>
      <c r="N1191" s="415" t="s">
        <v>2675</v>
      </c>
      <c r="O1191" s="415" t="s">
        <v>2675</v>
      </c>
      <c r="P1191" s="415">
        <v>399</v>
      </c>
      <c r="Q1191" s="415">
        <v>343</v>
      </c>
      <c r="R1191" s="415" t="s">
        <v>3069</v>
      </c>
      <c r="S1191" s="415">
        <v>0</v>
      </c>
      <c r="T1191" s="416">
        <v>185</v>
      </c>
      <c r="U1191" s="416">
        <v>185</v>
      </c>
      <c r="V1191" s="416">
        <v>175</v>
      </c>
      <c r="W1191" s="416">
        <v>162</v>
      </c>
      <c r="X1191" s="416">
        <v>154</v>
      </c>
      <c r="Y1191" s="416">
        <v>147</v>
      </c>
      <c r="Z1191" s="416">
        <v>137</v>
      </c>
      <c r="AA1191" s="416">
        <v>129</v>
      </c>
      <c r="AB1191" s="416">
        <v>125</v>
      </c>
      <c r="AC1191" s="416">
        <v>123</v>
      </c>
      <c r="AD1191" s="416">
        <v>121</v>
      </c>
      <c r="AE1191" s="416">
        <v>120</v>
      </c>
      <c r="AF1191" s="416">
        <v>119</v>
      </c>
      <c r="AG1191" s="416">
        <v>0</v>
      </c>
      <c r="AH1191" s="416">
        <v>0</v>
      </c>
      <c r="AI1191" s="416">
        <v>0</v>
      </c>
      <c r="AJ1191" s="416">
        <v>0</v>
      </c>
      <c r="AK1191" s="416">
        <v>0</v>
      </c>
      <c r="AL1191" s="416">
        <v>0</v>
      </c>
      <c r="AM1191" s="416">
        <v>0</v>
      </c>
      <c r="AN1191" s="416">
        <v>0</v>
      </c>
      <c r="AO1191" s="416">
        <v>0</v>
      </c>
      <c r="AP1191" s="416">
        <v>0</v>
      </c>
      <c r="AQ1191" s="416">
        <v>0</v>
      </c>
      <c r="AR1191" s="416">
        <v>0</v>
      </c>
      <c r="AS1191" s="416">
        <v>0</v>
      </c>
      <c r="AT1191" s="416">
        <v>0</v>
      </c>
      <c r="AU1191" s="416">
        <v>0</v>
      </c>
      <c r="AV1191" s="416">
        <v>0</v>
      </c>
      <c r="AW1191" s="416">
        <v>0</v>
      </c>
      <c r="AX1191" s="416">
        <v>0</v>
      </c>
      <c r="AY1191" s="416">
        <v>0</v>
      </c>
      <c r="AZ1191" s="416">
        <v>0</v>
      </c>
    </row>
    <row r="1192" spans="1:52" x14ac:dyDescent="0.25">
      <c r="A1192" s="415" t="str">
        <f t="shared" si="18"/>
        <v>SA-249 Gr.0</v>
      </c>
      <c r="B1192" s="415">
        <v>1186</v>
      </c>
      <c r="C1192" s="415" t="s">
        <v>3400</v>
      </c>
      <c r="D1192" s="415" t="s">
        <v>2689</v>
      </c>
      <c r="E1192" s="415" t="s">
        <v>2200</v>
      </c>
      <c r="F1192" s="415">
        <v>0</v>
      </c>
      <c r="G1192" s="415" t="s">
        <v>3402</v>
      </c>
      <c r="H1192" s="415">
        <v>0</v>
      </c>
      <c r="I1192" s="415">
        <v>0</v>
      </c>
      <c r="J1192" s="415">
        <v>8</v>
      </c>
      <c r="K1192" s="415">
        <v>4</v>
      </c>
      <c r="L1192" s="415">
        <v>650</v>
      </c>
      <c r="M1192" s="415">
        <v>305</v>
      </c>
      <c r="N1192" s="415" t="s">
        <v>2675</v>
      </c>
      <c r="O1192" s="415">
        <v>399</v>
      </c>
      <c r="P1192" s="415">
        <v>399</v>
      </c>
      <c r="Q1192" s="415">
        <v>343</v>
      </c>
      <c r="R1192" s="415" t="s">
        <v>3069</v>
      </c>
      <c r="S1192" s="415" t="s">
        <v>3214</v>
      </c>
      <c r="T1192" s="416">
        <v>157</v>
      </c>
      <c r="U1192" s="416">
        <v>157</v>
      </c>
      <c r="V1192" s="416">
        <v>157</v>
      </c>
      <c r="W1192" s="416">
        <v>157</v>
      </c>
      <c r="X1192" s="416">
        <v>154</v>
      </c>
      <c r="Y1192" s="416">
        <v>149</v>
      </c>
      <c r="Z1192" s="416">
        <v>143</v>
      </c>
      <c r="AA1192" s="416">
        <v>139</v>
      </c>
      <c r="AB1192" s="416">
        <v>135</v>
      </c>
      <c r="AC1192" s="416">
        <v>134</v>
      </c>
      <c r="AD1192" s="416">
        <v>134</v>
      </c>
      <c r="AE1192" s="416">
        <v>133</v>
      </c>
      <c r="AF1192" s="416">
        <v>132</v>
      </c>
      <c r="AG1192" s="416">
        <v>0</v>
      </c>
      <c r="AH1192" s="416">
        <v>0</v>
      </c>
      <c r="AI1192" s="416">
        <v>0</v>
      </c>
      <c r="AJ1192" s="416">
        <v>0</v>
      </c>
      <c r="AK1192" s="416">
        <v>0</v>
      </c>
      <c r="AL1192" s="416">
        <v>0</v>
      </c>
      <c r="AM1192" s="416">
        <v>0</v>
      </c>
      <c r="AN1192" s="416">
        <v>0</v>
      </c>
      <c r="AO1192" s="416">
        <v>0</v>
      </c>
      <c r="AP1192" s="416">
        <v>0</v>
      </c>
      <c r="AQ1192" s="416">
        <v>0</v>
      </c>
      <c r="AR1192" s="416">
        <v>0</v>
      </c>
      <c r="AS1192" s="416">
        <v>0</v>
      </c>
      <c r="AT1192" s="416">
        <v>0</v>
      </c>
      <c r="AU1192" s="416">
        <v>0</v>
      </c>
      <c r="AV1192" s="416">
        <v>0</v>
      </c>
      <c r="AW1192" s="416">
        <v>0</v>
      </c>
      <c r="AX1192" s="416">
        <v>0</v>
      </c>
      <c r="AY1192" s="416">
        <v>0</v>
      </c>
      <c r="AZ1192" s="416">
        <v>0</v>
      </c>
    </row>
    <row r="1193" spans="1:52" x14ac:dyDescent="0.25">
      <c r="A1193" s="415" t="str">
        <f t="shared" si="18"/>
        <v>SA-249 Gr.0</v>
      </c>
      <c r="B1193" s="415">
        <v>1187</v>
      </c>
      <c r="C1193" s="415" t="s">
        <v>3400</v>
      </c>
      <c r="D1193" s="415" t="s">
        <v>2689</v>
      </c>
      <c r="E1193" s="415" t="s">
        <v>2200</v>
      </c>
      <c r="F1193" s="415">
        <v>0</v>
      </c>
      <c r="G1193" s="415" t="s">
        <v>3402</v>
      </c>
      <c r="H1193" s="415">
        <v>0</v>
      </c>
      <c r="I1193" s="415">
        <v>0</v>
      </c>
      <c r="J1193" s="415">
        <v>8</v>
      </c>
      <c r="K1193" s="415">
        <v>4</v>
      </c>
      <c r="L1193" s="415">
        <v>650</v>
      </c>
      <c r="M1193" s="415">
        <v>305</v>
      </c>
      <c r="N1193" s="415" t="s">
        <v>2675</v>
      </c>
      <c r="O1193" s="415" t="s">
        <v>2675</v>
      </c>
      <c r="P1193" s="415">
        <v>399</v>
      </c>
      <c r="Q1193" s="415">
        <v>343</v>
      </c>
      <c r="R1193" s="415" t="s">
        <v>3069</v>
      </c>
      <c r="S1193" s="415" t="s">
        <v>3004</v>
      </c>
      <c r="T1193" s="416">
        <v>157</v>
      </c>
      <c r="U1193" s="416">
        <v>157</v>
      </c>
      <c r="V1193" s="416">
        <v>149</v>
      </c>
      <c r="W1193" s="416">
        <v>138</v>
      </c>
      <c r="X1193" s="416">
        <v>131</v>
      </c>
      <c r="Y1193" s="416">
        <v>125</v>
      </c>
      <c r="Z1193" s="416">
        <v>116</v>
      </c>
      <c r="AA1193" s="416">
        <v>110</v>
      </c>
      <c r="AB1193" s="416">
        <v>106</v>
      </c>
      <c r="AC1193" s="416">
        <v>104</v>
      </c>
      <c r="AD1193" s="416">
        <v>103</v>
      </c>
      <c r="AE1193" s="416">
        <v>102</v>
      </c>
      <c r="AF1193" s="416">
        <v>101</v>
      </c>
      <c r="AG1193" s="416">
        <v>0</v>
      </c>
      <c r="AH1193" s="416">
        <v>0</v>
      </c>
      <c r="AI1193" s="416">
        <v>0</v>
      </c>
      <c r="AJ1193" s="416">
        <v>0</v>
      </c>
      <c r="AK1193" s="416">
        <v>0</v>
      </c>
      <c r="AL1193" s="416">
        <v>0</v>
      </c>
      <c r="AM1193" s="416">
        <v>0</v>
      </c>
      <c r="AN1193" s="416">
        <v>0</v>
      </c>
      <c r="AO1193" s="416">
        <v>0</v>
      </c>
      <c r="AP1193" s="416">
        <v>0</v>
      </c>
      <c r="AQ1193" s="416">
        <v>0</v>
      </c>
      <c r="AR1193" s="416">
        <v>0</v>
      </c>
      <c r="AS1193" s="416">
        <v>0</v>
      </c>
      <c r="AT1193" s="416">
        <v>0</v>
      </c>
      <c r="AU1193" s="416">
        <v>0</v>
      </c>
      <c r="AV1193" s="416">
        <v>0</v>
      </c>
      <c r="AW1193" s="416">
        <v>0</v>
      </c>
      <c r="AX1193" s="416">
        <v>0</v>
      </c>
      <c r="AY1193" s="416">
        <v>0</v>
      </c>
      <c r="AZ1193" s="416">
        <v>0</v>
      </c>
    </row>
    <row r="1194" spans="1:52" x14ac:dyDescent="0.25">
      <c r="A1194" s="415" t="str">
        <f t="shared" si="18"/>
        <v>SA-312 Gr.0</v>
      </c>
      <c r="B1194" s="415">
        <v>1188</v>
      </c>
      <c r="C1194" s="415" t="s">
        <v>3400</v>
      </c>
      <c r="D1194" s="415" t="s">
        <v>2703</v>
      </c>
      <c r="E1194" s="415" t="s">
        <v>2208</v>
      </c>
      <c r="F1194" s="415">
        <v>0</v>
      </c>
      <c r="G1194" s="415" t="s">
        <v>3402</v>
      </c>
      <c r="H1194" s="415">
        <v>0</v>
      </c>
      <c r="I1194" s="415">
        <v>0</v>
      </c>
      <c r="J1194" s="415">
        <v>8</v>
      </c>
      <c r="K1194" s="415">
        <v>4</v>
      </c>
      <c r="L1194" s="415">
        <v>650</v>
      </c>
      <c r="M1194" s="415">
        <v>305</v>
      </c>
      <c r="N1194" s="415" t="s">
        <v>2675</v>
      </c>
      <c r="O1194" s="415">
        <v>399</v>
      </c>
      <c r="P1194" s="415">
        <v>399</v>
      </c>
      <c r="Q1194" s="415" t="s">
        <v>2675</v>
      </c>
      <c r="R1194" s="415" t="s">
        <v>3069</v>
      </c>
      <c r="S1194" s="415" t="s">
        <v>3189</v>
      </c>
      <c r="T1194" s="416">
        <v>185</v>
      </c>
      <c r="U1194" s="416">
        <v>185</v>
      </c>
      <c r="V1194" s="416">
        <v>185</v>
      </c>
      <c r="W1194" s="416">
        <v>185</v>
      </c>
      <c r="X1194" s="416">
        <v>181</v>
      </c>
      <c r="Y1194" s="416">
        <v>176</v>
      </c>
      <c r="Z1194" s="416">
        <v>168</v>
      </c>
      <c r="AA1194" s="416">
        <v>163</v>
      </c>
      <c r="AB1194" s="416">
        <v>159</v>
      </c>
      <c r="AC1194" s="416">
        <v>158</v>
      </c>
      <c r="AD1194" s="416">
        <v>157</v>
      </c>
      <c r="AE1194" s="416">
        <v>156</v>
      </c>
      <c r="AF1194" s="416">
        <v>156</v>
      </c>
      <c r="AG1194" s="416">
        <v>0</v>
      </c>
      <c r="AH1194" s="416">
        <v>0</v>
      </c>
      <c r="AI1194" s="416">
        <v>0</v>
      </c>
      <c r="AJ1194" s="416">
        <v>0</v>
      </c>
      <c r="AK1194" s="416">
        <v>0</v>
      </c>
      <c r="AL1194" s="416">
        <v>0</v>
      </c>
      <c r="AM1194" s="416">
        <v>0</v>
      </c>
      <c r="AN1194" s="416">
        <v>0</v>
      </c>
      <c r="AO1194" s="416">
        <v>0</v>
      </c>
      <c r="AP1194" s="416">
        <v>0</v>
      </c>
      <c r="AQ1194" s="416">
        <v>0</v>
      </c>
      <c r="AR1194" s="416">
        <v>0</v>
      </c>
      <c r="AS1194" s="416">
        <v>0</v>
      </c>
      <c r="AT1194" s="416">
        <v>0</v>
      </c>
      <c r="AU1194" s="416">
        <v>0</v>
      </c>
      <c r="AV1194" s="416">
        <v>0</v>
      </c>
      <c r="AW1194" s="416">
        <v>0</v>
      </c>
      <c r="AX1194" s="416">
        <v>0</v>
      </c>
      <c r="AY1194" s="416">
        <v>0</v>
      </c>
      <c r="AZ1194" s="416">
        <v>0</v>
      </c>
    </row>
    <row r="1195" spans="1:52" x14ac:dyDescent="0.25">
      <c r="A1195" s="415" t="str">
        <f t="shared" si="18"/>
        <v>SA-312 Gr.0</v>
      </c>
      <c r="B1195" s="415">
        <v>1189</v>
      </c>
      <c r="C1195" s="415" t="s">
        <v>3400</v>
      </c>
      <c r="D1195" s="415" t="s">
        <v>2703</v>
      </c>
      <c r="E1195" s="415" t="s">
        <v>2208</v>
      </c>
      <c r="F1195" s="415">
        <v>0</v>
      </c>
      <c r="G1195" s="415" t="s">
        <v>3402</v>
      </c>
      <c r="H1195" s="415">
        <v>0</v>
      </c>
      <c r="I1195" s="415">
        <v>0</v>
      </c>
      <c r="J1195" s="415">
        <v>8</v>
      </c>
      <c r="K1195" s="415">
        <v>4</v>
      </c>
      <c r="L1195" s="415">
        <v>650</v>
      </c>
      <c r="M1195" s="415">
        <v>305</v>
      </c>
      <c r="N1195" s="415" t="s">
        <v>2675</v>
      </c>
      <c r="O1195" s="415" t="s">
        <v>2675</v>
      </c>
      <c r="P1195" s="415">
        <v>399</v>
      </c>
      <c r="Q1195" s="415" t="s">
        <v>2675</v>
      </c>
      <c r="R1195" s="415" t="s">
        <v>3069</v>
      </c>
      <c r="S1195" s="415">
        <v>0</v>
      </c>
      <c r="T1195" s="416">
        <v>185</v>
      </c>
      <c r="U1195" s="416">
        <v>185</v>
      </c>
      <c r="V1195" s="416">
        <v>175</v>
      </c>
      <c r="W1195" s="416">
        <v>162</v>
      </c>
      <c r="X1195" s="416">
        <v>154</v>
      </c>
      <c r="Y1195" s="416">
        <v>147</v>
      </c>
      <c r="Z1195" s="416">
        <v>137</v>
      </c>
      <c r="AA1195" s="416">
        <v>129</v>
      </c>
      <c r="AB1195" s="416">
        <v>125</v>
      </c>
      <c r="AC1195" s="416">
        <v>123</v>
      </c>
      <c r="AD1195" s="416">
        <v>121</v>
      </c>
      <c r="AE1195" s="416">
        <v>120</v>
      </c>
      <c r="AF1195" s="416">
        <v>119</v>
      </c>
      <c r="AG1195" s="416">
        <v>0</v>
      </c>
      <c r="AH1195" s="416">
        <v>0</v>
      </c>
      <c r="AI1195" s="416">
        <v>0</v>
      </c>
      <c r="AJ1195" s="416">
        <v>0</v>
      </c>
      <c r="AK1195" s="416">
        <v>0</v>
      </c>
      <c r="AL1195" s="416">
        <v>0</v>
      </c>
      <c r="AM1195" s="416">
        <v>0</v>
      </c>
      <c r="AN1195" s="416">
        <v>0</v>
      </c>
      <c r="AO1195" s="416">
        <v>0</v>
      </c>
      <c r="AP1195" s="416">
        <v>0</v>
      </c>
      <c r="AQ1195" s="416">
        <v>0</v>
      </c>
      <c r="AR1195" s="416">
        <v>0</v>
      </c>
      <c r="AS1195" s="416">
        <v>0</v>
      </c>
      <c r="AT1195" s="416">
        <v>0</v>
      </c>
      <c r="AU1195" s="416">
        <v>0</v>
      </c>
      <c r="AV1195" s="416">
        <v>0</v>
      </c>
      <c r="AW1195" s="416">
        <v>0</v>
      </c>
      <c r="AX1195" s="416">
        <v>0</v>
      </c>
      <c r="AY1195" s="416">
        <v>0</v>
      </c>
      <c r="AZ1195" s="416">
        <v>0</v>
      </c>
    </row>
    <row r="1196" spans="1:52" x14ac:dyDescent="0.25">
      <c r="A1196" s="415" t="str">
        <f t="shared" si="18"/>
        <v>SA-312 Gr.0</v>
      </c>
      <c r="B1196" s="415">
        <v>1190</v>
      </c>
      <c r="C1196" s="415" t="s">
        <v>3400</v>
      </c>
      <c r="D1196" s="415" t="s">
        <v>2680</v>
      </c>
      <c r="E1196" s="415" t="s">
        <v>2208</v>
      </c>
      <c r="F1196" s="415">
        <v>0</v>
      </c>
      <c r="G1196" s="415" t="s">
        <v>3402</v>
      </c>
      <c r="H1196" s="415">
        <v>0</v>
      </c>
      <c r="I1196" s="415">
        <v>0</v>
      </c>
      <c r="J1196" s="415">
        <v>8</v>
      </c>
      <c r="K1196" s="415">
        <v>4</v>
      </c>
      <c r="L1196" s="415">
        <v>650</v>
      </c>
      <c r="M1196" s="415">
        <v>305</v>
      </c>
      <c r="N1196" s="415" t="s">
        <v>2675</v>
      </c>
      <c r="O1196" s="415">
        <v>399</v>
      </c>
      <c r="P1196" s="415">
        <v>399</v>
      </c>
      <c r="Q1196" s="415" t="s">
        <v>2675</v>
      </c>
      <c r="R1196" s="415" t="s">
        <v>3069</v>
      </c>
      <c r="S1196" s="415" t="s">
        <v>3214</v>
      </c>
      <c r="T1196" s="416">
        <v>157</v>
      </c>
      <c r="U1196" s="416">
        <v>157</v>
      </c>
      <c r="V1196" s="416">
        <v>157</v>
      </c>
      <c r="W1196" s="416">
        <v>157</v>
      </c>
      <c r="X1196" s="416">
        <v>154</v>
      </c>
      <c r="Y1196" s="416">
        <v>149</v>
      </c>
      <c r="Z1196" s="416">
        <v>143</v>
      </c>
      <c r="AA1196" s="416">
        <v>139</v>
      </c>
      <c r="AB1196" s="416">
        <v>135</v>
      </c>
      <c r="AC1196" s="416">
        <v>134</v>
      </c>
      <c r="AD1196" s="416">
        <v>134</v>
      </c>
      <c r="AE1196" s="416">
        <v>133</v>
      </c>
      <c r="AF1196" s="416">
        <v>132</v>
      </c>
      <c r="AG1196" s="416">
        <v>0</v>
      </c>
      <c r="AH1196" s="416">
        <v>0</v>
      </c>
      <c r="AI1196" s="416">
        <v>0</v>
      </c>
      <c r="AJ1196" s="416">
        <v>0</v>
      </c>
      <c r="AK1196" s="416">
        <v>0</v>
      </c>
      <c r="AL1196" s="416">
        <v>0</v>
      </c>
      <c r="AM1196" s="416">
        <v>0</v>
      </c>
      <c r="AN1196" s="416">
        <v>0</v>
      </c>
      <c r="AO1196" s="416">
        <v>0</v>
      </c>
      <c r="AP1196" s="416">
        <v>0</v>
      </c>
      <c r="AQ1196" s="416">
        <v>0</v>
      </c>
      <c r="AR1196" s="416">
        <v>0</v>
      </c>
      <c r="AS1196" s="416">
        <v>0</v>
      </c>
      <c r="AT1196" s="416">
        <v>0</v>
      </c>
      <c r="AU1196" s="416">
        <v>0</v>
      </c>
      <c r="AV1196" s="416">
        <v>0</v>
      </c>
      <c r="AW1196" s="416">
        <v>0</v>
      </c>
      <c r="AX1196" s="416">
        <v>0</v>
      </c>
      <c r="AY1196" s="416">
        <v>0</v>
      </c>
      <c r="AZ1196" s="416">
        <v>0</v>
      </c>
    </row>
    <row r="1197" spans="1:52" x14ac:dyDescent="0.25">
      <c r="A1197" s="415" t="str">
        <f t="shared" si="18"/>
        <v>SA-312 Gr.0</v>
      </c>
      <c r="B1197" s="415">
        <v>1191</v>
      </c>
      <c r="C1197" s="415" t="s">
        <v>3400</v>
      </c>
      <c r="D1197" s="415" t="s">
        <v>2680</v>
      </c>
      <c r="E1197" s="415" t="s">
        <v>2208</v>
      </c>
      <c r="F1197" s="415">
        <v>0</v>
      </c>
      <c r="G1197" s="415" t="s">
        <v>3402</v>
      </c>
      <c r="H1197" s="415">
        <v>0</v>
      </c>
      <c r="I1197" s="415">
        <v>0</v>
      </c>
      <c r="J1197" s="415">
        <v>8</v>
      </c>
      <c r="K1197" s="415">
        <v>4</v>
      </c>
      <c r="L1197" s="415">
        <v>650</v>
      </c>
      <c r="M1197" s="415">
        <v>305</v>
      </c>
      <c r="N1197" s="415" t="s">
        <v>2675</v>
      </c>
      <c r="O1197" s="415" t="s">
        <v>2675</v>
      </c>
      <c r="P1197" s="415">
        <v>399</v>
      </c>
      <c r="Q1197" s="415" t="s">
        <v>2675</v>
      </c>
      <c r="R1197" s="415" t="s">
        <v>3069</v>
      </c>
      <c r="S1197" s="415" t="s">
        <v>3004</v>
      </c>
      <c r="T1197" s="416">
        <v>157</v>
      </c>
      <c r="U1197" s="416">
        <v>157</v>
      </c>
      <c r="V1197" s="416">
        <v>149</v>
      </c>
      <c r="W1197" s="416">
        <v>138</v>
      </c>
      <c r="X1197" s="416">
        <v>131</v>
      </c>
      <c r="Y1197" s="416">
        <v>125</v>
      </c>
      <c r="Z1197" s="416">
        <v>116</v>
      </c>
      <c r="AA1197" s="416">
        <v>110</v>
      </c>
      <c r="AB1197" s="416">
        <v>106</v>
      </c>
      <c r="AC1197" s="416">
        <v>104</v>
      </c>
      <c r="AD1197" s="416">
        <v>103</v>
      </c>
      <c r="AE1197" s="416">
        <v>102</v>
      </c>
      <c r="AF1197" s="416">
        <v>101</v>
      </c>
      <c r="AG1197" s="416">
        <v>0</v>
      </c>
      <c r="AH1197" s="416">
        <v>0</v>
      </c>
      <c r="AI1197" s="416">
        <v>0</v>
      </c>
      <c r="AJ1197" s="416">
        <v>0</v>
      </c>
      <c r="AK1197" s="416">
        <v>0</v>
      </c>
      <c r="AL1197" s="416">
        <v>0</v>
      </c>
      <c r="AM1197" s="416">
        <v>0</v>
      </c>
      <c r="AN1197" s="416">
        <v>0</v>
      </c>
      <c r="AO1197" s="416">
        <v>0</v>
      </c>
      <c r="AP1197" s="416">
        <v>0</v>
      </c>
      <c r="AQ1197" s="416">
        <v>0</v>
      </c>
      <c r="AR1197" s="416">
        <v>0</v>
      </c>
      <c r="AS1197" s="416">
        <v>0</v>
      </c>
      <c r="AT1197" s="416">
        <v>0</v>
      </c>
      <c r="AU1197" s="416">
        <v>0</v>
      </c>
      <c r="AV1197" s="416">
        <v>0</v>
      </c>
      <c r="AW1197" s="416">
        <v>0</v>
      </c>
      <c r="AX1197" s="416">
        <v>0</v>
      </c>
      <c r="AY1197" s="416">
        <v>0</v>
      </c>
      <c r="AZ1197" s="416">
        <v>0</v>
      </c>
    </row>
    <row r="1198" spans="1:52" x14ac:dyDescent="0.25">
      <c r="A1198" s="415" t="str">
        <f t="shared" si="18"/>
        <v>SA-358 Gr.0</v>
      </c>
      <c r="B1198" s="415">
        <v>1192</v>
      </c>
      <c r="C1198" s="415" t="s">
        <v>3400</v>
      </c>
      <c r="D1198" s="415" t="s">
        <v>2680</v>
      </c>
      <c r="E1198" s="415" t="s">
        <v>2217</v>
      </c>
      <c r="F1198" s="415">
        <v>0</v>
      </c>
      <c r="G1198" s="415" t="s">
        <v>3402</v>
      </c>
      <c r="H1198" s="415">
        <v>0</v>
      </c>
      <c r="I1198" s="415">
        <v>0</v>
      </c>
      <c r="J1198" s="415">
        <v>8</v>
      </c>
      <c r="K1198" s="415">
        <v>4</v>
      </c>
      <c r="L1198" s="415">
        <v>650</v>
      </c>
      <c r="M1198" s="415">
        <v>305</v>
      </c>
      <c r="N1198" s="415" t="s">
        <v>2675</v>
      </c>
      <c r="O1198" s="415">
        <v>399</v>
      </c>
      <c r="P1198" s="415">
        <v>399</v>
      </c>
      <c r="Q1198" s="415">
        <v>343</v>
      </c>
      <c r="R1198" s="415" t="s">
        <v>3069</v>
      </c>
      <c r="S1198" s="415" t="s">
        <v>3214</v>
      </c>
      <c r="T1198" s="416">
        <v>157</v>
      </c>
      <c r="U1198" s="416">
        <v>157</v>
      </c>
      <c r="V1198" s="416">
        <v>157</v>
      </c>
      <c r="W1198" s="416">
        <v>157</v>
      </c>
      <c r="X1198" s="416">
        <v>154</v>
      </c>
      <c r="Y1198" s="416">
        <v>149</v>
      </c>
      <c r="Z1198" s="416">
        <v>143</v>
      </c>
      <c r="AA1198" s="416">
        <v>139</v>
      </c>
      <c r="AB1198" s="416">
        <v>135</v>
      </c>
      <c r="AC1198" s="416">
        <v>134</v>
      </c>
      <c r="AD1198" s="416">
        <v>134</v>
      </c>
      <c r="AE1198" s="416">
        <v>133</v>
      </c>
      <c r="AF1198" s="416">
        <v>132</v>
      </c>
      <c r="AG1198" s="416">
        <v>0</v>
      </c>
      <c r="AH1198" s="416">
        <v>0</v>
      </c>
      <c r="AI1198" s="416">
        <v>0</v>
      </c>
      <c r="AJ1198" s="416">
        <v>0</v>
      </c>
      <c r="AK1198" s="416">
        <v>0</v>
      </c>
      <c r="AL1198" s="416">
        <v>0</v>
      </c>
      <c r="AM1198" s="416">
        <v>0</v>
      </c>
      <c r="AN1198" s="416">
        <v>0</v>
      </c>
      <c r="AO1198" s="416">
        <v>0</v>
      </c>
      <c r="AP1198" s="416">
        <v>0</v>
      </c>
      <c r="AQ1198" s="416">
        <v>0</v>
      </c>
      <c r="AR1198" s="416">
        <v>0</v>
      </c>
      <c r="AS1198" s="416">
        <v>0</v>
      </c>
      <c r="AT1198" s="416">
        <v>0</v>
      </c>
      <c r="AU1198" s="416">
        <v>0</v>
      </c>
      <c r="AV1198" s="416">
        <v>0</v>
      </c>
      <c r="AW1198" s="416">
        <v>0</v>
      </c>
      <c r="AX1198" s="416">
        <v>0</v>
      </c>
      <c r="AY1198" s="416">
        <v>0</v>
      </c>
      <c r="AZ1198" s="416">
        <v>0</v>
      </c>
    </row>
    <row r="1199" spans="1:52" x14ac:dyDescent="0.25">
      <c r="A1199" s="415" t="str">
        <f t="shared" si="18"/>
        <v>SA-358 Gr.0</v>
      </c>
      <c r="B1199" s="415">
        <v>1193</v>
      </c>
      <c r="C1199" s="415" t="s">
        <v>3400</v>
      </c>
      <c r="D1199" s="415" t="s">
        <v>2680</v>
      </c>
      <c r="E1199" s="415" t="s">
        <v>2217</v>
      </c>
      <c r="F1199" s="415">
        <v>0</v>
      </c>
      <c r="G1199" s="415" t="s">
        <v>3402</v>
      </c>
      <c r="H1199" s="415">
        <v>0</v>
      </c>
      <c r="I1199" s="415">
        <v>0</v>
      </c>
      <c r="J1199" s="415">
        <v>8</v>
      </c>
      <c r="K1199" s="415">
        <v>4</v>
      </c>
      <c r="L1199" s="415">
        <v>650</v>
      </c>
      <c r="M1199" s="415">
        <v>305</v>
      </c>
      <c r="N1199" s="415" t="s">
        <v>2675</v>
      </c>
      <c r="O1199" s="415" t="s">
        <v>2675</v>
      </c>
      <c r="P1199" s="415">
        <v>399</v>
      </c>
      <c r="Q1199" s="415">
        <v>343</v>
      </c>
      <c r="R1199" s="415" t="s">
        <v>3069</v>
      </c>
      <c r="S1199" s="415" t="s">
        <v>3004</v>
      </c>
      <c r="T1199" s="416">
        <v>157</v>
      </c>
      <c r="U1199" s="416">
        <v>157</v>
      </c>
      <c r="V1199" s="416">
        <v>149</v>
      </c>
      <c r="W1199" s="416">
        <v>138</v>
      </c>
      <c r="X1199" s="416">
        <v>131</v>
      </c>
      <c r="Y1199" s="416">
        <v>125</v>
      </c>
      <c r="Z1199" s="416">
        <v>116</v>
      </c>
      <c r="AA1199" s="416">
        <v>110</v>
      </c>
      <c r="AB1199" s="416">
        <v>106</v>
      </c>
      <c r="AC1199" s="416">
        <v>104</v>
      </c>
      <c r="AD1199" s="416">
        <v>103</v>
      </c>
      <c r="AE1199" s="416">
        <v>102</v>
      </c>
      <c r="AF1199" s="416">
        <v>101</v>
      </c>
      <c r="AG1199" s="416">
        <v>0</v>
      </c>
      <c r="AH1199" s="416">
        <v>0</v>
      </c>
      <c r="AI1199" s="416">
        <v>0</v>
      </c>
      <c r="AJ1199" s="416">
        <v>0</v>
      </c>
      <c r="AK1199" s="416">
        <v>0</v>
      </c>
      <c r="AL1199" s="416">
        <v>0</v>
      </c>
      <c r="AM1199" s="416">
        <v>0</v>
      </c>
      <c r="AN1199" s="416">
        <v>0</v>
      </c>
      <c r="AO1199" s="416">
        <v>0</v>
      </c>
      <c r="AP1199" s="416">
        <v>0</v>
      </c>
      <c r="AQ1199" s="416">
        <v>0</v>
      </c>
      <c r="AR1199" s="416">
        <v>0</v>
      </c>
      <c r="AS1199" s="416">
        <v>0</v>
      </c>
      <c r="AT1199" s="416">
        <v>0</v>
      </c>
      <c r="AU1199" s="416">
        <v>0</v>
      </c>
      <c r="AV1199" s="416">
        <v>0</v>
      </c>
      <c r="AW1199" s="416">
        <v>0</v>
      </c>
      <c r="AX1199" s="416">
        <v>0</v>
      </c>
      <c r="AY1199" s="416">
        <v>0</v>
      </c>
      <c r="AZ1199" s="416">
        <v>0</v>
      </c>
    </row>
    <row r="1200" spans="1:52" x14ac:dyDescent="0.25">
      <c r="A1200" s="415" t="str">
        <f t="shared" si="18"/>
        <v>SA-403 Gr.0</v>
      </c>
      <c r="B1200" s="415">
        <v>1194</v>
      </c>
      <c r="C1200" s="415" t="s">
        <v>3400</v>
      </c>
      <c r="D1200" s="415" t="s">
        <v>913</v>
      </c>
      <c r="E1200" s="415" t="s">
        <v>2229</v>
      </c>
      <c r="F1200" s="415">
        <v>0</v>
      </c>
      <c r="G1200" s="415" t="s">
        <v>3402</v>
      </c>
      <c r="H1200" s="415">
        <v>0</v>
      </c>
      <c r="I1200" s="415">
        <v>0</v>
      </c>
      <c r="J1200" s="415">
        <v>8</v>
      </c>
      <c r="K1200" s="415">
        <v>4</v>
      </c>
      <c r="L1200" s="415">
        <v>650</v>
      </c>
      <c r="M1200" s="415">
        <v>305</v>
      </c>
      <c r="N1200" s="415" t="s">
        <v>2675</v>
      </c>
      <c r="O1200" s="415">
        <v>399</v>
      </c>
      <c r="P1200" s="415" t="s">
        <v>2675</v>
      </c>
      <c r="Q1200" s="415" t="s">
        <v>2675</v>
      </c>
      <c r="R1200" s="415" t="s">
        <v>3069</v>
      </c>
      <c r="S1200" s="415" t="s">
        <v>3208</v>
      </c>
      <c r="T1200" s="416">
        <v>185</v>
      </c>
      <c r="U1200" s="416">
        <v>185</v>
      </c>
      <c r="V1200" s="416">
        <v>185</v>
      </c>
      <c r="W1200" s="416">
        <v>185</v>
      </c>
      <c r="X1200" s="416">
        <v>181</v>
      </c>
      <c r="Y1200" s="416">
        <v>176</v>
      </c>
      <c r="Z1200" s="416">
        <v>168</v>
      </c>
      <c r="AA1200" s="416">
        <v>163</v>
      </c>
      <c r="AB1200" s="416">
        <v>159</v>
      </c>
      <c r="AC1200" s="416">
        <v>158</v>
      </c>
      <c r="AD1200" s="416">
        <v>157</v>
      </c>
      <c r="AE1200" s="416">
        <v>156</v>
      </c>
      <c r="AF1200" s="416">
        <v>156</v>
      </c>
      <c r="AG1200" s="416">
        <v>0</v>
      </c>
      <c r="AH1200" s="416">
        <v>0</v>
      </c>
      <c r="AI1200" s="416">
        <v>0</v>
      </c>
      <c r="AJ1200" s="416">
        <v>0</v>
      </c>
      <c r="AK1200" s="416">
        <v>0</v>
      </c>
      <c r="AL1200" s="416">
        <v>0</v>
      </c>
      <c r="AM1200" s="416">
        <v>0</v>
      </c>
      <c r="AN1200" s="416">
        <v>0</v>
      </c>
      <c r="AO1200" s="416">
        <v>0</v>
      </c>
      <c r="AP1200" s="416">
        <v>0</v>
      </c>
      <c r="AQ1200" s="416">
        <v>0</v>
      </c>
      <c r="AR1200" s="416">
        <v>0</v>
      </c>
      <c r="AS1200" s="416">
        <v>0</v>
      </c>
      <c r="AT1200" s="416">
        <v>0</v>
      </c>
      <c r="AU1200" s="416">
        <v>0</v>
      </c>
      <c r="AV1200" s="416">
        <v>0</v>
      </c>
      <c r="AW1200" s="416">
        <v>0</v>
      </c>
      <c r="AX1200" s="416">
        <v>0</v>
      </c>
      <c r="AY1200" s="416">
        <v>0</v>
      </c>
      <c r="AZ1200" s="416">
        <v>0</v>
      </c>
    </row>
    <row r="1201" spans="1:52" x14ac:dyDescent="0.25">
      <c r="A1201" s="415" t="str">
        <f t="shared" si="18"/>
        <v>SA-240 Gr.0</v>
      </c>
      <c r="B1201" s="415">
        <v>1195</v>
      </c>
      <c r="C1201" s="415" t="s">
        <v>3400</v>
      </c>
      <c r="D1201" s="415" t="s">
        <v>2684</v>
      </c>
      <c r="E1201" s="415" t="s">
        <v>2165</v>
      </c>
      <c r="F1201" s="415">
        <v>0</v>
      </c>
      <c r="G1201" s="415" t="s">
        <v>3402</v>
      </c>
      <c r="H1201" s="415">
        <v>0</v>
      </c>
      <c r="I1201" s="415" t="s">
        <v>3369</v>
      </c>
      <c r="J1201" s="415">
        <v>8</v>
      </c>
      <c r="K1201" s="415">
        <v>4</v>
      </c>
      <c r="L1201" s="415">
        <v>655</v>
      </c>
      <c r="M1201" s="415">
        <v>310</v>
      </c>
      <c r="N1201" s="415" t="s">
        <v>2675</v>
      </c>
      <c r="O1201" s="415">
        <v>399</v>
      </c>
      <c r="P1201" s="415">
        <v>399</v>
      </c>
      <c r="Q1201" s="415">
        <v>343</v>
      </c>
      <c r="R1201" s="415" t="s">
        <v>3069</v>
      </c>
      <c r="S1201" s="415" t="s">
        <v>3189</v>
      </c>
      <c r="T1201" s="416">
        <v>187</v>
      </c>
      <c r="U1201" s="416">
        <v>187</v>
      </c>
      <c r="V1201" s="416">
        <v>187</v>
      </c>
      <c r="W1201" s="416">
        <v>186</v>
      </c>
      <c r="X1201" s="416">
        <v>183</v>
      </c>
      <c r="Y1201" s="416">
        <v>178</v>
      </c>
      <c r="Z1201" s="416">
        <v>170</v>
      </c>
      <c r="AA1201" s="416">
        <v>164</v>
      </c>
      <c r="AB1201" s="416">
        <v>161</v>
      </c>
      <c r="AC1201" s="416">
        <v>160</v>
      </c>
      <c r="AD1201" s="416">
        <v>159</v>
      </c>
      <c r="AE1201" s="416">
        <v>158</v>
      </c>
      <c r="AF1201" s="416">
        <v>158</v>
      </c>
      <c r="AG1201" s="416">
        <v>0</v>
      </c>
      <c r="AH1201" s="416">
        <v>0</v>
      </c>
      <c r="AI1201" s="416">
        <v>0</v>
      </c>
      <c r="AJ1201" s="416">
        <v>0</v>
      </c>
      <c r="AK1201" s="416">
        <v>0</v>
      </c>
      <c r="AL1201" s="416">
        <v>0</v>
      </c>
      <c r="AM1201" s="416">
        <v>0</v>
      </c>
      <c r="AN1201" s="416">
        <v>0</v>
      </c>
      <c r="AO1201" s="416">
        <v>0</v>
      </c>
      <c r="AP1201" s="416">
        <v>0</v>
      </c>
      <c r="AQ1201" s="416">
        <v>0</v>
      </c>
      <c r="AR1201" s="416">
        <v>0</v>
      </c>
      <c r="AS1201" s="416">
        <v>0</v>
      </c>
      <c r="AT1201" s="416">
        <v>0</v>
      </c>
      <c r="AU1201" s="416">
        <v>0</v>
      </c>
      <c r="AV1201" s="416">
        <v>0</v>
      </c>
      <c r="AW1201" s="416">
        <v>0</v>
      </c>
      <c r="AX1201" s="416">
        <v>0</v>
      </c>
      <c r="AY1201" s="416">
        <v>0</v>
      </c>
      <c r="AZ1201" s="416">
        <v>0</v>
      </c>
    </row>
    <row r="1202" spans="1:52" x14ac:dyDescent="0.25">
      <c r="A1202" s="415" t="str">
        <f t="shared" si="18"/>
        <v>SA-240 Gr.0</v>
      </c>
      <c r="B1202" s="415">
        <v>1196</v>
      </c>
      <c r="C1202" s="415" t="s">
        <v>3400</v>
      </c>
      <c r="D1202" s="415" t="s">
        <v>2684</v>
      </c>
      <c r="E1202" s="415" t="s">
        <v>2165</v>
      </c>
      <c r="F1202" s="415">
        <v>0</v>
      </c>
      <c r="G1202" s="415" t="s">
        <v>3402</v>
      </c>
      <c r="H1202" s="415">
        <v>0</v>
      </c>
      <c r="I1202" s="415" t="s">
        <v>3369</v>
      </c>
      <c r="J1202" s="415">
        <v>8</v>
      </c>
      <c r="K1202" s="415">
        <v>4</v>
      </c>
      <c r="L1202" s="415">
        <v>655</v>
      </c>
      <c r="M1202" s="415">
        <v>310</v>
      </c>
      <c r="N1202" s="415" t="s">
        <v>2675</v>
      </c>
      <c r="O1202" s="415" t="s">
        <v>2675</v>
      </c>
      <c r="P1202" s="415">
        <v>399</v>
      </c>
      <c r="Q1202" s="415">
        <v>343</v>
      </c>
      <c r="R1202" s="415" t="s">
        <v>3069</v>
      </c>
      <c r="S1202" s="415">
        <v>0</v>
      </c>
      <c r="T1202" s="416">
        <v>187</v>
      </c>
      <c r="U1202" s="416">
        <v>187</v>
      </c>
      <c r="V1202" s="416">
        <v>178</v>
      </c>
      <c r="W1202" s="416">
        <v>167</v>
      </c>
      <c r="X1202" s="416">
        <v>158</v>
      </c>
      <c r="Y1202" s="416">
        <v>151</v>
      </c>
      <c r="Z1202" s="416">
        <v>140</v>
      </c>
      <c r="AA1202" s="416">
        <v>133</v>
      </c>
      <c r="AB1202" s="416">
        <v>128</v>
      </c>
      <c r="AC1202" s="416">
        <v>125</v>
      </c>
      <c r="AD1202" s="416">
        <v>124</v>
      </c>
      <c r="AE1202" s="416">
        <v>123</v>
      </c>
      <c r="AF1202" s="416">
        <v>122</v>
      </c>
      <c r="AG1202" s="416">
        <v>0</v>
      </c>
      <c r="AH1202" s="416">
        <v>0</v>
      </c>
      <c r="AI1202" s="416">
        <v>0</v>
      </c>
      <c r="AJ1202" s="416">
        <v>0</v>
      </c>
      <c r="AK1202" s="416">
        <v>0</v>
      </c>
      <c r="AL1202" s="416">
        <v>0</v>
      </c>
      <c r="AM1202" s="416">
        <v>0</v>
      </c>
      <c r="AN1202" s="416">
        <v>0</v>
      </c>
      <c r="AO1202" s="416">
        <v>0</v>
      </c>
      <c r="AP1202" s="416">
        <v>0</v>
      </c>
      <c r="AQ1202" s="416">
        <v>0</v>
      </c>
      <c r="AR1202" s="416">
        <v>0</v>
      </c>
      <c r="AS1202" s="416">
        <v>0</v>
      </c>
      <c r="AT1202" s="416">
        <v>0</v>
      </c>
      <c r="AU1202" s="416">
        <v>0</v>
      </c>
      <c r="AV1202" s="416">
        <v>0</v>
      </c>
      <c r="AW1202" s="416">
        <v>0</v>
      </c>
      <c r="AX1202" s="416">
        <v>0</v>
      </c>
      <c r="AY1202" s="416">
        <v>0</v>
      </c>
      <c r="AZ1202" s="416">
        <v>0</v>
      </c>
    </row>
    <row r="1203" spans="1:52" x14ac:dyDescent="0.25">
      <c r="A1203" s="415" t="str">
        <f t="shared" si="18"/>
        <v>SA-240 Gr.0</v>
      </c>
      <c r="B1203" s="415">
        <v>1197</v>
      </c>
      <c r="C1203" s="415" t="s">
        <v>3400</v>
      </c>
      <c r="D1203" s="415" t="s">
        <v>2684</v>
      </c>
      <c r="E1203" s="415" t="s">
        <v>2165</v>
      </c>
      <c r="F1203" s="415">
        <v>0</v>
      </c>
      <c r="G1203" s="415" t="s">
        <v>3402</v>
      </c>
      <c r="H1203" s="415">
        <v>0</v>
      </c>
      <c r="I1203" s="415" t="s">
        <v>3059</v>
      </c>
      <c r="J1203" s="415">
        <v>8</v>
      </c>
      <c r="K1203" s="415">
        <v>4</v>
      </c>
      <c r="L1203" s="415">
        <v>690</v>
      </c>
      <c r="M1203" s="415">
        <v>310</v>
      </c>
      <c r="N1203" s="415" t="s">
        <v>2675</v>
      </c>
      <c r="O1203" s="415">
        <v>399</v>
      </c>
      <c r="P1203" s="415">
        <v>399</v>
      </c>
      <c r="Q1203" s="415">
        <v>343</v>
      </c>
      <c r="R1203" s="415" t="s">
        <v>3069</v>
      </c>
      <c r="S1203" s="415" t="s">
        <v>3189</v>
      </c>
      <c r="T1203" s="416">
        <v>197</v>
      </c>
      <c r="U1203" s="416">
        <v>197</v>
      </c>
      <c r="V1203" s="416">
        <v>197</v>
      </c>
      <c r="W1203" s="416">
        <v>197</v>
      </c>
      <c r="X1203" s="416">
        <v>193</v>
      </c>
      <c r="Y1203" s="416">
        <v>187</v>
      </c>
      <c r="Z1203" s="416">
        <v>179</v>
      </c>
      <c r="AA1203" s="416">
        <v>173</v>
      </c>
      <c r="AB1203" s="416">
        <v>169</v>
      </c>
      <c r="AC1203" s="416">
        <v>168</v>
      </c>
      <c r="AD1203" s="416">
        <v>167</v>
      </c>
      <c r="AE1203" s="416">
        <v>166</v>
      </c>
      <c r="AF1203" s="416">
        <v>165</v>
      </c>
      <c r="AG1203" s="416">
        <v>0</v>
      </c>
      <c r="AH1203" s="416">
        <v>0</v>
      </c>
      <c r="AI1203" s="416">
        <v>0</v>
      </c>
      <c r="AJ1203" s="416">
        <v>0</v>
      </c>
      <c r="AK1203" s="416">
        <v>0</v>
      </c>
      <c r="AL1203" s="416">
        <v>0</v>
      </c>
      <c r="AM1203" s="416">
        <v>0</v>
      </c>
      <c r="AN1203" s="416">
        <v>0</v>
      </c>
      <c r="AO1203" s="416">
        <v>0</v>
      </c>
      <c r="AP1203" s="416">
        <v>0</v>
      </c>
      <c r="AQ1203" s="416">
        <v>0</v>
      </c>
      <c r="AR1203" s="416">
        <v>0</v>
      </c>
      <c r="AS1203" s="416">
        <v>0</v>
      </c>
      <c r="AT1203" s="416">
        <v>0</v>
      </c>
      <c r="AU1203" s="416">
        <v>0</v>
      </c>
      <c r="AV1203" s="416">
        <v>0</v>
      </c>
      <c r="AW1203" s="416">
        <v>0</v>
      </c>
      <c r="AX1203" s="416">
        <v>0</v>
      </c>
      <c r="AY1203" s="416">
        <v>0</v>
      </c>
      <c r="AZ1203" s="416">
        <v>0</v>
      </c>
    </row>
    <row r="1204" spans="1:52" x14ac:dyDescent="0.25">
      <c r="A1204" s="415" t="str">
        <f t="shared" si="18"/>
        <v>SA-240 Gr.0</v>
      </c>
      <c r="B1204" s="415">
        <v>1198</v>
      </c>
      <c r="C1204" s="415" t="s">
        <v>3400</v>
      </c>
      <c r="D1204" s="415" t="s">
        <v>2684</v>
      </c>
      <c r="E1204" s="415" t="s">
        <v>2165</v>
      </c>
      <c r="F1204" s="415">
        <v>0</v>
      </c>
      <c r="G1204" s="415" t="s">
        <v>3402</v>
      </c>
      <c r="H1204" s="415">
        <v>0</v>
      </c>
      <c r="I1204" s="415" t="s">
        <v>3059</v>
      </c>
      <c r="J1204" s="415">
        <v>8</v>
      </c>
      <c r="K1204" s="415">
        <v>4</v>
      </c>
      <c r="L1204" s="415">
        <v>690</v>
      </c>
      <c r="M1204" s="415">
        <v>310</v>
      </c>
      <c r="N1204" s="415" t="s">
        <v>2675</v>
      </c>
      <c r="O1204" s="415" t="s">
        <v>2675</v>
      </c>
      <c r="P1204" s="415">
        <v>399</v>
      </c>
      <c r="Q1204" s="415">
        <v>343</v>
      </c>
      <c r="R1204" s="415" t="s">
        <v>3069</v>
      </c>
      <c r="S1204" s="415">
        <v>0</v>
      </c>
      <c r="T1204" s="416">
        <v>197</v>
      </c>
      <c r="U1204" s="416">
        <v>197</v>
      </c>
      <c r="V1204" s="416">
        <v>182</v>
      </c>
      <c r="W1204" s="416">
        <v>166</v>
      </c>
      <c r="X1204" s="416">
        <v>158</v>
      </c>
      <c r="Y1204" s="416">
        <v>151</v>
      </c>
      <c r="Z1204" s="416">
        <v>140</v>
      </c>
      <c r="AA1204" s="416">
        <v>133</v>
      </c>
      <c r="AB1204" s="416">
        <v>128</v>
      </c>
      <c r="AC1204" s="416">
        <v>125</v>
      </c>
      <c r="AD1204" s="416">
        <v>124</v>
      </c>
      <c r="AE1204" s="416">
        <v>123</v>
      </c>
      <c r="AF1204" s="416">
        <v>122</v>
      </c>
      <c r="AG1204" s="416">
        <v>0</v>
      </c>
      <c r="AH1204" s="416">
        <v>0</v>
      </c>
      <c r="AI1204" s="416">
        <v>0</v>
      </c>
      <c r="AJ1204" s="416">
        <v>0</v>
      </c>
      <c r="AK1204" s="416">
        <v>0</v>
      </c>
      <c r="AL1204" s="416">
        <v>0</v>
      </c>
      <c r="AM1204" s="416">
        <v>0</v>
      </c>
      <c r="AN1204" s="416">
        <v>0</v>
      </c>
      <c r="AO1204" s="416">
        <v>0</v>
      </c>
      <c r="AP1204" s="416">
        <v>0</v>
      </c>
      <c r="AQ1204" s="416">
        <v>0</v>
      </c>
      <c r="AR1204" s="416">
        <v>0</v>
      </c>
      <c r="AS1204" s="416">
        <v>0</v>
      </c>
      <c r="AT1204" s="416">
        <v>0</v>
      </c>
      <c r="AU1204" s="416">
        <v>0</v>
      </c>
      <c r="AV1204" s="416">
        <v>0</v>
      </c>
      <c r="AW1204" s="416">
        <v>0</v>
      </c>
      <c r="AX1204" s="416">
        <v>0</v>
      </c>
      <c r="AY1204" s="416">
        <v>0</v>
      </c>
      <c r="AZ1204" s="416">
        <v>0</v>
      </c>
    </row>
    <row r="1205" spans="1:52" x14ac:dyDescent="0.25">
      <c r="A1205" s="415" t="str">
        <f t="shared" si="18"/>
        <v>SA-182 Gr.FXM-11</v>
      </c>
      <c r="B1205" s="415">
        <v>1199</v>
      </c>
      <c r="C1205" s="415" t="s">
        <v>3403</v>
      </c>
      <c r="D1205" s="415" t="s">
        <v>2737</v>
      </c>
      <c r="E1205" s="415" t="s">
        <v>2188</v>
      </c>
      <c r="F1205" s="415" t="s">
        <v>2476</v>
      </c>
      <c r="G1205" s="415" t="s">
        <v>3404</v>
      </c>
      <c r="H1205" s="415">
        <v>0</v>
      </c>
      <c r="I1205" s="415">
        <v>0</v>
      </c>
      <c r="J1205" s="415">
        <v>8</v>
      </c>
      <c r="K1205" s="415">
        <v>3</v>
      </c>
      <c r="L1205" s="415">
        <v>620</v>
      </c>
      <c r="M1205" s="415">
        <v>345</v>
      </c>
      <c r="N1205" s="415" t="s">
        <v>2675</v>
      </c>
      <c r="O1205" s="415" t="s">
        <v>2675</v>
      </c>
      <c r="P1205" s="415">
        <v>316</v>
      </c>
      <c r="Q1205" s="415">
        <v>316</v>
      </c>
      <c r="R1205" s="415" t="s">
        <v>3073</v>
      </c>
      <c r="S1205" s="415">
        <v>0</v>
      </c>
      <c r="T1205" s="416">
        <v>177</v>
      </c>
      <c r="U1205" s="416">
        <v>177</v>
      </c>
      <c r="V1205" s="416">
        <v>177</v>
      </c>
      <c r="W1205" s="416">
        <v>176</v>
      </c>
      <c r="X1205" s="416">
        <v>165</v>
      </c>
      <c r="Y1205" s="416">
        <v>151</v>
      </c>
      <c r="Z1205" s="416">
        <v>136</v>
      </c>
      <c r="AA1205" s="416">
        <v>126</v>
      </c>
      <c r="AB1205" s="416">
        <v>120</v>
      </c>
      <c r="AC1205" s="416">
        <v>117</v>
      </c>
      <c r="AD1205" s="416">
        <v>0</v>
      </c>
      <c r="AE1205" s="416">
        <v>0</v>
      </c>
      <c r="AF1205" s="416">
        <v>0</v>
      </c>
      <c r="AG1205" s="416">
        <v>0</v>
      </c>
      <c r="AH1205" s="416">
        <v>0</v>
      </c>
      <c r="AI1205" s="416">
        <v>0</v>
      </c>
      <c r="AJ1205" s="416">
        <v>0</v>
      </c>
      <c r="AK1205" s="416">
        <v>0</v>
      </c>
      <c r="AL1205" s="416">
        <v>0</v>
      </c>
      <c r="AM1205" s="416">
        <v>0</v>
      </c>
      <c r="AN1205" s="416">
        <v>0</v>
      </c>
      <c r="AO1205" s="416">
        <v>0</v>
      </c>
      <c r="AP1205" s="416">
        <v>0</v>
      </c>
      <c r="AQ1205" s="416">
        <v>0</v>
      </c>
      <c r="AR1205" s="416">
        <v>0</v>
      </c>
      <c r="AS1205" s="416">
        <v>0</v>
      </c>
      <c r="AT1205" s="416">
        <v>0</v>
      </c>
      <c r="AU1205" s="416">
        <v>0</v>
      </c>
      <c r="AV1205" s="416">
        <v>0</v>
      </c>
      <c r="AW1205" s="416">
        <v>0</v>
      </c>
      <c r="AX1205" s="416">
        <v>0</v>
      </c>
      <c r="AY1205" s="416">
        <v>0</v>
      </c>
      <c r="AZ1205" s="416">
        <v>0</v>
      </c>
    </row>
    <row r="1206" spans="1:52" x14ac:dyDescent="0.25">
      <c r="A1206" s="415" t="str">
        <f t="shared" si="18"/>
        <v>SA-312 Gr.TPXM-11</v>
      </c>
      <c r="B1206" s="415">
        <v>1200</v>
      </c>
      <c r="C1206" s="415" t="s">
        <v>3403</v>
      </c>
      <c r="D1206" s="415" t="s">
        <v>2703</v>
      </c>
      <c r="E1206" s="415" t="s">
        <v>2208</v>
      </c>
      <c r="F1206" s="415" t="s">
        <v>2590</v>
      </c>
      <c r="G1206" s="415" t="s">
        <v>3404</v>
      </c>
      <c r="H1206" s="415">
        <v>0</v>
      </c>
      <c r="I1206" s="415">
        <v>0</v>
      </c>
      <c r="J1206" s="415">
        <v>8</v>
      </c>
      <c r="K1206" s="415">
        <v>3</v>
      </c>
      <c r="L1206" s="415">
        <v>620</v>
      </c>
      <c r="M1206" s="415">
        <v>345</v>
      </c>
      <c r="N1206" s="415" t="s">
        <v>2675</v>
      </c>
      <c r="O1206" s="415" t="s">
        <v>2675</v>
      </c>
      <c r="P1206" s="415">
        <v>316</v>
      </c>
      <c r="Q1206" s="415">
        <v>316</v>
      </c>
      <c r="R1206" s="415" t="s">
        <v>3073</v>
      </c>
      <c r="S1206" s="415" t="s">
        <v>3189</v>
      </c>
      <c r="T1206" s="416">
        <v>177</v>
      </c>
      <c r="U1206" s="416">
        <v>177</v>
      </c>
      <c r="V1206" s="416">
        <v>177</v>
      </c>
      <c r="W1206" s="416">
        <v>177</v>
      </c>
      <c r="X1206" s="416">
        <v>172</v>
      </c>
      <c r="Y1206" s="416">
        <v>165</v>
      </c>
      <c r="Z1206" s="416">
        <v>158</v>
      </c>
      <c r="AA1206" s="416">
        <v>153</v>
      </c>
      <c r="AB1206" s="416">
        <v>149</v>
      </c>
      <c r="AC1206" s="416">
        <v>148</v>
      </c>
      <c r="AD1206" s="416">
        <v>0</v>
      </c>
      <c r="AE1206" s="416">
        <v>0</v>
      </c>
      <c r="AF1206" s="416">
        <v>0</v>
      </c>
      <c r="AG1206" s="416">
        <v>0</v>
      </c>
      <c r="AH1206" s="416">
        <v>0</v>
      </c>
      <c r="AI1206" s="416">
        <v>0</v>
      </c>
      <c r="AJ1206" s="416">
        <v>0</v>
      </c>
      <c r="AK1206" s="416">
        <v>0</v>
      </c>
      <c r="AL1206" s="416">
        <v>0</v>
      </c>
      <c r="AM1206" s="416">
        <v>0</v>
      </c>
      <c r="AN1206" s="416">
        <v>0</v>
      </c>
      <c r="AO1206" s="416">
        <v>0</v>
      </c>
      <c r="AP1206" s="416">
        <v>0</v>
      </c>
      <c r="AQ1206" s="416">
        <v>0</v>
      </c>
      <c r="AR1206" s="416">
        <v>0</v>
      </c>
      <c r="AS1206" s="416">
        <v>0</v>
      </c>
      <c r="AT1206" s="416">
        <v>0</v>
      </c>
      <c r="AU1206" s="416">
        <v>0</v>
      </c>
      <c r="AV1206" s="416">
        <v>0</v>
      </c>
      <c r="AW1206" s="416">
        <v>0</v>
      </c>
      <c r="AX1206" s="416">
        <v>0</v>
      </c>
      <c r="AY1206" s="416">
        <v>0</v>
      </c>
      <c r="AZ1206" s="416">
        <v>0</v>
      </c>
    </row>
    <row r="1207" spans="1:52" x14ac:dyDescent="0.25">
      <c r="A1207" s="415" t="str">
        <f t="shared" si="18"/>
        <v>SA-312 Gr.TPXM-11</v>
      </c>
      <c r="B1207" s="415">
        <v>1201</v>
      </c>
      <c r="C1207" s="415" t="s">
        <v>3403</v>
      </c>
      <c r="D1207" s="415" t="s">
        <v>2703</v>
      </c>
      <c r="E1207" s="415" t="s">
        <v>2208</v>
      </c>
      <c r="F1207" s="415" t="s">
        <v>2590</v>
      </c>
      <c r="G1207" s="415" t="s">
        <v>3404</v>
      </c>
      <c r="H1207" s="415">
        <v>0</v>
      </c>
      <c r="I1207" s="415">
        <v>0</v>
      </c>
      <c r="J1207" s="415">
        <v>8</v>
      </c>
      <c r="K1207" s="415">
        <v>3</v>
      </c>
      <c r="L1207" s="415">
        <v>620</v>
      </c>
      <c r="M1207" s="415">
        <v>345</v>
      </c>
      <c r="N1207" s="415" t="s">
        <v>2675</v>
      </c>
      <c r="O1207" s="415" t="s">
        <v>2675</v>
      </c>
      <c r="P1207" s="415">
        <v>316</v>
      </c>
      <c r="Q1207" s="415">
        <v>316</v>
      </c>
      <c r="R1207" s="415" t="s">
        <v>3073</v>
      </c>
      <c r="S1207" s="415">
        <v>0</v>
      </c>
      <c r="T1207" s="416">
        <v>177</v>
      </c>
      <c r="U1207" s="416">
        <v>177</v>
      </c>
      <c r="V1207" s="416">
        <v>177</v>
      </c>
      <c r="W1207" s="416">
        <v>176</v>
      </c>
      <c r="X1207" s="416">
        <v>165</v>
      </c>
      <c r="Y1207" s="416">
        <v>151</v>
      </c>
      <c r="Z1207" s="416">
        <v>136</v>
      </c>
      <c r="AA1207" s="416">
        <v>126</v>
      </c>
      <c r="AB1207" s="416">
        <v>120</v>
      </c>
      <c r="AC1207" s="416">
        <v>117</v>
      </c>
      <c r="AD1207" s="416">
        <v>0</v>
      </c>
      <c r="AE1207" s="416">
        <v>0</v>
      </c>
      <c r="AF1207" s="416">
        <v>0</v>
      </c>
      <c r="AG1207" s="416">
        <v>0</v>
      </c>
      <c r="AH1207" s="416">
        <v>0</v>
      </c>
      <c r="AI1207" s="416">
        <v>0</v>
      </c>
      <c r="AJ1207" s="416">
        <v>0</v>
      </c>
      <c r="AK1207" s="416">
        <v>0</v>
      </c>
      <c r="AL1207" s="416">
        <v>0</v>
      </c>
      <c r="AM1207" s="416">
        <v>0</v>
      </c>
      <c r="AN1207" s="416">
        <v>0</v>
      </c>
      <c r="AO1207" s="416">
        <v>0</v>
      </c>
      <c r="AP1207" s="416">
        <v>0</v>
      </c>
      <c r="AQ1207" s="416">
        <v>0</v>
      </c>
      <c r="AR1207" s="416">
        <v>0</v>
      </c>
      <c r="AS1207" s="416">
        <v>0</v>
      </c>
      <c r="AT1207" s="416">
        <v>0</v>
      </c>
      <c r="AU1207" s="416">
        <v>0</v>
      </c>
      <c r="AV1207" s="416">
        <v>0</v>
      </c>
      <c r="AW1207" s="416">
        <v>0</v>
      </c>
      <c r="AX1207" s="416">
        <v>0</v>
      </c>
      <c r="AY1207" s="416">
        <v>0</v>
      </c>
      <c r="AZ1207" s="416">
        <v>0</v>
      </c>
    </row>
    <row r="1208" spans="1:52" x14ac:dyDescent="0.25">
      <c r="A1208" s="415" t="str">
        <f t="shared" si="18"/>
        <v>SA-312 Gr.TPXM-11</v>
      </c>
      <c r="B1208" s="415">
        <v>1202</v>
      </c>
      <c r="C1208" s="415" t="s">
        <v>3403</v>
      </c>
      <c r="D1208" s="415" t="s">
        <v>2680</v>
      </c>
      <c r="E1208" s="415" t="s">
        <v>2208</v>
      </c>
      <c r="F1208" s="415" t="s">
        <v>2590</v>
      </c>
      <c r="G1208" s="415" t="s">
        <v>3404</v>
      </c>
      <c r="H1208" s="415">
        <v>0</v>
      </c>
      <c r="I1208" s="415">
        <v>0</v>
      </c>
      <c r="J1208" s="415">
        <v>8</v>
      </c>
      <c r="K1208" s="415">
        <v>3</v>
      </c>
      <c r="L1208" s="415">
        <v>620</v>
      </c>
      <c r="M1208" s="415">
        <v>345</v>
      </c>
      <c r="N1208" s="415" t="s">
        <v>2675</v>
      </c>
      <c r="O1208" s="415" t="s">
        <v>2675</v>
      </c>
      <c r="P1208" s="415">
        <v>316</v>
      </c>
      <c r="Q1208" s="415">
        <v>316</v>
      </c>
      <c r="R1208" s="415" t="s">
        <v>3073</v>
      </c>
      <c r="S1208" s="415" t="s">
        <v>3214</v>
      </c>
      <c r="T1208" s="416">
        <v>151</v>
      </c>
      <c r="U1208" s="416">
        <v>151</v>
      </c>
      <c r="V1208" s="416">
        <v>151</v>
      </c>
      <c r="W1208" s="416">
        <v>151</v>
      </c>
      <c r="X1208" s="416">
        <v>146</v>
      </c>
      <c r="Y1208" s="416">
        <v>140</v>
      </c>
      <c r="Z1208" s="416">
        <v>134</v>
      </c>
      <c r="AA1208" s="416">
        <v>130</v>
      </c>
      <c r="AB1208" s="416">
        <v>127</v>
      </c>
      <c r="AC1208" s="416">
        <v>126</v>
      </c>
      <c r="AD1208" s="416">
        <v>0</v>
      </c>
      <c r="AE1208" s="416">
        <v>0</v>
      </c>
      <c r="AF1208" s="416">
        <v>0</v>
      </c>
      <c r="AG1208" s="416">
        <v>0</v>
      </c>
      <c r="AH1208" s="416">
        <v>0</v>
      </c>
      <c r="AI1208" s="416">
        <v>0</v>
      </c>
      <c r="AJ1208" s="416">
        <v>0</v>
      </c>
      <c r="AK1208" s="416">
        <v>0</v>
      </c>
      <c r="AL1208" s="416">
        <v>0</v>
      </c>
      <c r="AM1208" s="416">
        <v>0</v>
      </c>
      <c r="AN1208" s="416">
        <v>0</v>
      </c>
      <c r="AO1208" s="416">
        <v>0</v>
      </c>
      <c r="AP1208" s="416">
        <v>0</v>
      </c>
      <c r="AQ1208" s="416">
        <v>0</v>
      </c>
      <c r="AR1208" s="416">
        <v>0</v>
      </c>
      <c r="AS1208" s="416">
        <v>0</v>
      </c>
      <c r="AT1208" s="416">
        <v>0</v>
      </c>
      <c r="AU1208" s="416">
        <v>0</v>
      </c>
      <c r="AV1208" s="416">
        <v>0</v>
      </c>
      <c r="AW1208" s="416">
        <v>0</v>
      </c>
      <c r="AX1208" s="416">
        <v>0</v>
      </c>
      <c r="AY1208" s="416">
        <v>0</v>
      </c>
      <c r="AZ1208" s="416">
        <v>0</v>
      </c>
    </row>
    <row r="1209" spans="1:52" x14ac:dyDescent="0.25">
      <c r="A1209" s="415" t="str">
        <f t="shared" si="18"/>
        <v>SA-312 Gr.TPXM-11</v>
      </c>
      <c r="B1209" s="415">
        <v>1203</v>
      </c>
      <c r="C1209" s="415" t="s">
        <v>3403</v>
      </c>
      <c r="D1209" s="415" t="s">
        <v>2680</v>
      </c>
      <c r="E1209" s="415" t="s">
        <v>2208</v>
      </c>
      <c r="F1209" s="415" t="s">
        <v>2590</v>
      </c>
      <c r="G1209" s="415" t="s">
        <v>3404</v>
      </c>
      <c r="H1209" s="415">
        <v>0</v>
      </c>
      <c r="I1209" s="415">
        <v>0</v>
      </c>
      <c r="J1209" s="415">
        <v>8</v>
      </c>
      <c r="K1209" s="415">
        <v>3</v>
      </c>
      <c r="L1209" s="415">
        <v>620</v>
      </c>
      <c r="M1209" s="415">
        <v>345</v>
      </c>
      <c r="N1209" s="415" t="s">
        <v>2675</v>
      </c>
      <c r="O1209" s="415" t="s">
        <v>2675</v>
      </c>
      <c r="P1209" s="415">
        <v>316</v>
      </c>
      <c r="Q1209" s="415">
        <v>316</v>
      </c>
      <c r="R1209" s="415" t="s">
        <v>3073</v>
      </c>
      <c r="S1209" s="415" t="s">
        <v>3004</v>
      </c>
      <c r="T1209" s="416">
        <v>151</v>
      </c>
      <c r="U1209" s="416">
        <v>151</v>
      </c>
      <c r="V1209" s="416">
        <v>151</v>
      </c>
      <c r="W1209" s="416">
        <v>150</v>
      </c>
      <c r="X1209" s="416">
        <v>140</v>
      </c>
      <c r="Y1209" s="416">
        <v>128</v>
      </c>
      <c r="Z1209" s="416">
        <v>115</v>
      </c>
      <c r="AA1209" s="416">
        <v>107</v>
      </c>
      <c r="AB1209" s="416">
        <v>102</v>
      </c>
      <c r="AC1209" s="416">
        <v>99.9</v>
      </c>
      <c r="AD1209" s="416">
        <v>0</v>
      </c>
      <c r="AE1209" s="416">
        <v>0</v>
      </c>
      <c r="AF1209" s="416">
        <v>0</v>
      </c>
      <c r="AG1209" s="416">
        <v>0</v>
      </c>
      <c r="AH1209" s="416">
        <v>0</v>
      </c>
      <c r="AI1209" s="416">
        <v>0</v>
      </c>
      <c r="AJ1209" s="416">
        <v>0</v>
      </c>
      <c r="AK1209" s="416">
        <v>0</v>
      </c>
      <c r="AL1209" s="416">
        <v>0</v>
      </c>
      <c r="AM1209" s="416">
        <v>0</v>
      </c>
      <c r="AN1209" s="416">
        <v>0</v>
      </c>
      <c r="AO1209" s="416">
        <v>0</v>
      </c>
      <c r="AP1209" s="416">
        <v>0</v>
      </c>
      <c r="AQ1209" s="416">
        <v>0</v>
      </c>
      <c r="AR1209" s="416">
        <v>0</v>
      </c>
      <c r="AS1209" s="416">
        <v>0</v>
      </c>
      <c r="AT1209" s="416">
        <v>0</v>
      </c>
      <c r="AU1209" s="416">
        <v>0</v>
      </c>
      <c r="AV1209" s="416">
        <v>0</v>
      </c>
      <c r="AW1209" s="416">
        <v>0</v>
      </c>
      <c r="AX1209" s="416">
        <v>0</v>
      </c>
      <c r="AY1209" s="416">
        <v>0</v>
      </c>
      <c r="AZ1209" s="416">
        <v>0</v>
      </c>
    </row>
    <row r="1210" spans="1:52" x14ac:dyDescent="0.25">
      <c r="A1210" s="415" t="str">
        <f t="shared" si="18"/>
        <v>SA-666 Gr.XM-11</v>
      </c>
      <c r="B1210" s="415">
        <v>1204</v>
      </c>
      <c r="C1210" s="415" t="s">
        <v>3403</v>
      </c>
      <c r="D1210" s="415" t="s">
        <v>2684</v>
      </c>
      <c r="E1210" s="415" t="s">
        <v>2293</v>
      </c>
      <c r="F1210" s="415" t="s">
        <v>2619</v>
      </c>
      <c r="G1210" s="415" t="s">
        <v>3404</v>
      </c>
      <c r="H1210" s="415">
        <v>0</v>
      </c>
      <c r="I1210" s="415">
        <v>0</v>
      </c>
      <c r="J1210" s="415">
        <v>8</v>
      </c>
      <c r="K1210" s="415">
        <v>3</v>
      </c>
      <c r="L1210" s="415">
        <v>620</v>
      </c>
      <c r="M1210" s="415">
        <v>345</v>
      </c>
      <c r="N1210" s="415" t="s">
        <v>2675</v>
      </c>
      <c r="O1210" s="415" t="s">
        <v>2675</v>
      </c>
      <c r="P1210" s="415">
        <v>316</v>
      </c>
      <c r="Q1210" s="415">
        <v>316</v>
      </c>
      <c r="R1210" s="415" t="s">
        <v>3073</v>
      </c>
      <c r="S1210" s="415" t="s">
        <v>3189</v>
      </c>
      <c r="T1210" s="416">
        <v>177</v>
      </c>
      <c r="U1210" s="416">
        <v>177</v>
      </c>
      <c r="V1210" s="416">
        <v>177</v>
      </c>
      <c r="W1210" s="416">
        <v>177</v>
      </c>
      <c r="X1210" s="416">
        <v>172</v>
      </c>
      <c r="Y1210" s="416">
        <v>165</v>
      </c>
      <c r="Z1210" s="416">
        <v>158</v>
      </c>
      <c r="AA1210" s="416">
        <v>153</v>
      </c>
      <c r="AB1210" s="416">
        <v>149</v>
      </c>
      <c r="AC1210" s="416">
        <v>148</v>
      </c>
      <c r="AD1210" s="416">
        <v>0</v>
      </c>
      <c r="AE1210" s="416">
        <v>0</v>
      </c>
      <c r="AF1210" s="416">
        <v>0</v>
      </c>
      <c r="AG1210" s="416">
        <v>0</v>
      </c>
      <c r="AH1210" s="416">
        <v>0</v>
      </c>
      <c r="AI1210" s="416">
        <v>0</v>
      </c>
      <c r="AJ1210" s="416">
        <v>0</v>
      </c>
      <c r="AK1210" s="416">
        <v>0</v>
      </c>
      <c r="AL1210" s="416">
        <v>0</v>
      </c>
      <c r="AM1210" s="416">
        <v>0</v>
      </c>
      <c r="AN1210" s="416">
        <v>0</v>
      </c>
      <c r="AO1210" s="416">
        <v>0</v>
      </c>
      <c r="AP1210" s="416">
        <v>0</v>
      </c>
      <c r="AQ1210" s="416">
        <v>0</v>
      </c>
      <c r="AR1210" s="416">
        <v>0</v>
      </c>
      <c r="AS1210" s="416">
        <v>0</v>
      </c>
      <c r="AT1210" s="416">
        <v>0</v>
      </c>
      <c r="AU1210" s="416">
        <v>0</v>
      </c>
      <c r="AV1210" s="416">
        <v>0</v>
      </c>
      <c r="AW1210" s="416">
        <v>0</v>
      </c>
      <c r="AX1210" s="416">
        <v>0</v>
      </c>
      <c r="AY1210" s="416">
        <v>0</v>
      </c>
      <c r="AZ1210" s="416">
        <v>0</v>
      </c>
    </row>
    <row r="1211" spans="1:52" x14ac:dyDescent="0.25">
      <c r="A1211" s="415" t="str">
        <f t="shared" si="18"/>
        <v>SA-666 Gr.XM-11</v>
      </c>
      <c r="B1211" s="415">
        <v>1205</v>
      </c>
      <c r="C1211" s="415" t="s">
        <v>3403</v>
      </c>
      <c r="D1211" s="415" t="s">
        <v>2684</v>
      </c>
      <c r="E1211" s="415" t="s">
        <v>2293</v>
      </c>
      <c r="F1211" s="415" t="s">
        <v>2619</v>
      </c>
      <c r="G1211" s="415" t="s">
        <v>3404</v>
      </c>
      <c r="H1211" s="415">
        <v>0</v>
      </c>
      <c r="I1211" s="415">
        <v>0</v>
      </c>
      <c r="J1211" s="415">
        <v>8</v>
      </c>
      <c r="K1211" s="415">
        <v>3</v>
      </c>
      <c r="L1211" s="415">
        <v>620</v>
      </c>
      <c r="M1211" s="415">
        <v>345</v>
      </c>
      <c r="N1211" s="415" t="s">
        <v>2675</v>
      </c>
      <c r="O1211" s="415" t="s">
        <v>2675</v>
      </c>
      <c r="P1211" s="415">
        <v>316</v>
      </c>
      <c r="Q1211" s="415">
        <v>316</v>
      </c>
      <c r="R1211" s="415" t="s">
        <v>3073</v>
      </c>
      <c r="S1211" s="415">
        <v>0</v>
      </c>
      <c r="T1211" s="416">
        <v>177</v>
      </c>
      <c r="U1211" s="416">
        <v>177</v>
      </c>
      <c r="V1211" s="416">
        <v>177</v>
      </c>
      <c r="W1211" s="416">
        <v>176</v>
      </c>
      <c r="X1211" s="416">
        <v>165</v>
      </c>
      <c r="Y1211" s="416">
        <v>151</v>
      </c>
      <c r="Z1211" s="416">
        <v>136</v>
      </c>
      <c r="AA1211" s="416">
        <v>126</v>
      </c>
      <c r="AB1211" s="416">
        <v>120</v>
      </c>
      <c r="AC1211" s="416">
        <v>117</v>
      </c>
      <c r="AD1211" s="416">
        <v>0</v>
      </c>
      <c r="AE1211" s="416">
        <v>0</v>
      </c>
      <c r="AF1211" s="416">
        <v>0</v>
      </c>
      <c r="AG1211" s="416">
        <v>0</v>
      </c>
      <c r="AH1211" s="416">
        <v>0</v>
      </c>
      <c r="AI1211" s="416">
        <v>0</v>
      </c>
      <c r="AJ1211" s="416">
        <v>0</v>
      </c>
      <c r="AK1211" s="416">
        <v>0</v>
      </c>
      <c r="AL1211" s="416">
        <v>0</v>
      </c>
      <c r="AM1211" s="416">
        <v>0</v>
      </c>
      <c r="AN1211" s="416">
        <v>0</v>
      </c>
      <c r="AO1211" s="416">
        <v>0</v>
      </c>
      <c r="AP1211" s="416">
        <v>0</v>
      </c>
      <c r="AQ1211" s="416">
        <v>0</v>
      </c>
      <c r="AR1211" s="416">
        <v>0</v>
      </c>
      <c r="AS1211" s="416">
        <v>0</v>
      </c>
      <c r="AT1211" s="416">
        <v>0</v>
      </c>
      <c r="AU1211" s="416">
        <v>0</v>
      </c>
      <c r="AV1211" s="416">
        <v>0</v>
      </c>
      <c r="AW1211" s="416">
        <v>0</v>
      </c>
      <c r="AX1211" s="416">
        <v>0</v>
      </c>
      <c r="AY1211" s="416">
        <v>0</v>
      </c>
      <c r="AZ1211" s="416">
        <v>0</v>
      </c>
    </row>
    <row r="1212" spans="1:52" x14ac:dyDescent="0.25">
      <c r="A1212" s="415" t="str">
        <f t="shared" si="18"/>
        <v>SA-965 Gr.FXM-11</v>
      </c>
      <c r="B1212" s="415">
        <v>1206</v>
      </c>
      <c r="C1212" s="415" t="s">
        <v>3403</v>
      </c>
      <c r="D1212" s="415" t="s">
        <v>2737</v>
      </c>
      <c r="E1212" s="415" t="s">
        <v>2337</v>
      </c>
      <c r="F1212" s="415" t="s">
        <v>2476</v>
      </c>
      <c r="G1212" s="415" t="s">
        <v>3404</v>
      </c>
      <c r="H1212" s="415">
        <v>0</v>
      </c>
      <c r="I1212" s="415">
        <v>0</v>
      </c>
      <c r="J1212" s="415">
        <v>8</v>
      </c>
      <c r="K1212" s="415">
        <v>3</v>
      </c>
      <c r="L1212" s="415">
        <v>620</v>
      </c>
      <c r="M1212" s="415">
        <v>345</v>
      </c>
      <c r="N1212" s="415" t="s">
        <v>2675</v>
      </c>
      <c r="O1212" s="415" t="s">
        <v>2675</v>
      </c>
      <c r="P1212" s="415">
        <v>316</v>
      </c>
      <c r="Q1212" s="415">
        <v>316</v>
      </c>
      <c r="R1212" s="415" t="s">
        <v>3073</v>
      </c>
      <c r="S1212" s="415" t="s">
        <v>3189</v>
      </c>
      <c r="T1212" s="416">
        <v>177</v>
      </c>
      <c r="U1212" s="416">
        <v>177</v>
      </c>
      <c r="V1212" s="416">
        <v>177</v>
      </c>
      <c r="W1212" s="416">
        <v>177</v>
      </c>
      <c r="X1212" s="416">
        <v>172</v>
      </c>
      <c r="Y1212" s="416">
        <v>165</v>
      </c>
      <c r="Z1212" s="416">
        <v>158</v>
      </c>
      <c r="AA1212" s="416">
        <v>153</v>
      </c>
      <c r="AB1212" s="416">
        <v>149</v>
      </c>
      <c r="AC1212" s="416">
        <v>148</v>
      </c>
      <c r="AD1212" s="416">
        <v>0</v>
      </c>
      <c r="AE1212" s="416">
        <v>0</v>
      </c>
      <c r="AF1212" s="416">
        <v>0</v>
      </c>
      <c r="AG1212" s="416">
        <v>0</v>
      </c>
      <c r="AH1212" s="416">
        <v>0</v>
      </c>
      <c r="AI1212" s="416">
        <v>0</v>
      </c>
      <c r="AJ1212" s="416">
        <v>0</v>
      </c>
      <c r="AK1212" s="416">
        <v>0</v>
      </c>
      <c r="AL1212" s="416">
        <v>0</v>
      </c>
      <c r="AM1212" s="416">
        <v>0</v>
      </c>
      <c r="AN1212" s="416">
        <v>0</v>
      </c>
      <c r="AO1212" s="416">
        <v>0</v>
      </c>
      <c r="AP1212" s="416">
        <v>0</v>
      </c>
      <c r="AQ1212" s="416">
        <v>0</v>
      </c>
      <c r="AR1212" s="416">
        <v>0</v>
      </c>
      <c r="AS1212" s="416">
        <v>0</v>
      </c>
      <c r="AT1212" s="416">
        <v>0</v>
      </c>
      <c r="AU1212" s="416">
        <v>0</v>
      </c>
      <c r="AV1212" s="416">
        <v>0</v>
      </c>
      <c r="AW1212" s="416">
        <v>0</v>
      </c>
      <c r="AX1212" s="416">
        <v>0</v>
      </c>
      <c r="AY1212" s="416">
        <v>0</v>
      </c>
      <c r="AZ1212" s="416">
        <v>0</v>
      </c>
    </row>
    <row r="1213" spans="1:52" x14ac:dyDescent="0.25">
      <c r="A1213" s="415" t="str">
        <f t="shared" si="18"/>
        <v>SA-965 Gr.FXM-11</v>
      </c>
      <c r="B1213" s="415">
        <v>1207</v>
      </c>
      <c r="C1213" s="415" t="s">
        <v>3403</v>
      </c>
      <c r="D1213" s="415" t="s">
        <v>2737</v>
      </c>
      <c r="E1213" s="415" t="s">
        <v>2337</v>
      </c>
      <c r="F1213" s="415" t="s">
        <v>2476</v>
      </c>
      <c r="G1213" s="415" t="s">
        <v>3404</v>
      </c>
      <c r="H1213" s="415">
        <v>0</v>
      </c>
      <c r="I1213" s="415">
        <v>0</v>
      </c>
      <c r="J1213" s="415">
        <v>8</v>
      </c>
      <c r="K1213" s="415">
        <v>3</v>
      </c>
      <c r="L1213" s="415">
        <v>620</v>
      </c>
      <c r="M1213" s="415">
        <v>345</v>
      </c>
      <c r="N1213" s="415" t="s">
        <v>2675</v>
      </c>
      <c r="O1213" s="415" t="s">
        <v>2675</v>
      </c>
      <c r="P1213" s="415">
        <v>316</v>
      </c>
      <c r="Q1213" s="415">
        <v>316</v>
      </c>
      <c r="R1213" s="415" t="s">
        <v>3073</v>
      </c>
      <c r="S1213" s="415">
        <v>0</v>
      </c>
      <c r="T1213" s="416">
        <v>177</v>
      </c>
      <c r="U1213" s="416">
        <v>177</v>
      </c>
      <c r="V1213" s="416">
        <v>177</v>
      </c>
      <c r="W1213" s="416">
        <v>176</v>
      </c>
      <c r="X1213" s="416">
        <v>165</v>
      </c>
      <c r="Y1213" s="416">
        <v>151</v>
      </c>
      <c r="Z1213" s="416">
        <v>136</v>
      </c>
      <c r="AA1213" s="416">
        <v>126</v>
      </c>
      <c r="AB1213" s="416">
        <v>120</v>
      </c>
      <c r="AC1213" s="416">
        <v>117</v>
      </c>
      <c r="AD1213" s="416">
        <v>0</v>
      </c>
      <c r="AE1213" s="416">
        <v>0</v>
      </c>
      <c r="AF1213" s="416">
        <v>0</v>
      </c>
      <c r="AG1213" s="416">
        <v>0</v>
      </c>
      <c r="AH1213" s="416">
        <v>0</v>
      </c>
      <c r="AI1213" s="416">
        <v>0</v>
      </c>
      <c r="AJ1213" s="416">
        <v>0</v>
      </c>
      <c r="AK1213" s="416">
        <v>0</v>
      </c>
      <c r="AL1213" s="416">
        <v>0</v>
      </c>
      <c r="AM1213" s="416">
        <v>0</v>
      </c>
      <c r="AN1213" s="416">
        <v>0</v>
      </c>
      <c r="AO1213" s="416">
        <v>0</v>
      </c>
      <c r="AP1213" s="416">
        <v>0</v>
      </c>
      <c r="AQ1213" s="416">
        <v>0</v>
      </c>
      <c r="AR1213" s="416">
        <v>0</v>
      </c>
      <c r="AS1213" s="416">
        <v>0</v>
      </c>
      <c r="AT1213" s="416">
        <v>0</v>
      </c>
      <c r="AU1213" s="416">
        <v>0</v>
      </c>
      <c r="AV1213" s="416">
        <v>0</v>
      </c>
      <c r="AW1213" s="416">
        <v>0</v>
      </c>
      <c r="AX1213" s="416">
        <v>0</v>
      </c>
      <c r="AY1213" s="416">
        <v>0</v>
      </c>
      <c r="AZ1213" s="416">
        <v>0</v>
      </c>
    </row>
    <row r="1214" spans="1:52" x14ac:dyDescent="0.25">
      <c r="A1214" s="415" t="str">
        <f t="shared" si="18"/>
        <v>SA-182 Gr.F45</v>
      </c>
      <c r="B1214" s="415">
        <v>1208</v>
      </c>
      <c r="C1214" s="415" t="s">
        <v>3405</v>
      </c>
      <c r="D1214" s="415" t="s">
        <v>2737</v>
      </c>
      <c r="E1214" s="415" t="s">
        <v>2188</v>
      </c>
      <c r="F1214" s="415" t="s">
        <v>2454</v>
      </c>
      <c r="G1214" s="415" t="s">
        <v>3406</v>
      </c>
      <c r="H1214" s="415">
        <v>0</v>
      </c>
      <c r="I1214" s="415">
        <v>0</v>
      </c>
      <c r="J1214" s="415">
        <v>8</v>
      </c>
      <c r="K1214" s="415">
        <v>2</v>
      </c>
      <c r="L1214" s="415">
        <v>600</v>
      </c>
      <c r="M1214" s="415">
        <v>310</v>
      </c>
      <c r="N1214" s="415">
        <v>899</v>
      </c>
      <c r="O1214" s="415" t="s">
        <v>2675</v>
      </c>
      <c r="P1214" s="415">
        <v>899</v>
      </c>
      <c r="Q1214" s="415">
        <v>343</v>
      </c>
      <c r="R1214" s="415" t="s">
        <v>3073</v>
      </c>
      <c r="S1214" s="415" t="s">
        <v>3407</v>
      </c>
      <c r="T1214" s="416">
        <v>172</v>
      </c>
      <c r="U1214" s="416">
        <v>172</v>
      </c>
      <c r="V1214" s="416">
        <v>171</v>
      </c>
      <c r="W1214" s="416">
        <v>170</v>
      </c>
      <c r="X1214" s="416">
        <v>165</v>
      </c>
      <c r="Y1214" s="416">
        <v>160</v>
      </c>
      <c r="Z1214" s="416">
        <v>155</v>
      </c>
      <c r="AA1214" s="416">
        <v>151</v>
      </c>
      <c r="AB1214" s="416">
        <v>148</v>
      </c>
      <c r="AC1214" s="416">
        <v>147</v>
      </c>
      <c r="AD1214" s="416">
        <v>146</v>
      </c>
      <c r="AE1214" s="416">
        <v>145</v>
      </c>
      <c r="AF1214" s="416">
        <v>143</v>
      </c>
      <c r="AG1214" s="416">
        <v>142</v>
      </c>
      <c r="AH1214" s="416">
        <v>140</v>
      </c>
      <c r="AI1214" s="416">
        <v>138</v>
      </c>
      <c r="AJ1214" s="416">
        <v>136</v>
      </c>
      <c r="AK1214" s="416">
        <v>117</v>
      </c>
      <c r="AL1214" s="416">
        <v>93.4</v>
      </c>
      <c r="AM1214" s="416">
        <v>73.599999999999994</v>
      </c>
      <c r="AN1214" s="416">
        <v>58.4</v>
      </c>
      <c r="AO1214" s="416">
        <v>45.8</v>
      </c>
      <c r="AP1214" s="416">
        <v>35.5</v>
      </c>
      <c r="AQ1214" s="416">
        <v>28</v>
      </c>
      <c r="AR1214" s="416">
        <v>22.3</v>
      </c>
      <c r="AS1214" s="416">
        <v>17.7</v>
      </c>
      <c r="AT1214" s="416">
        <v>14.2</v>
      </c>
      <c r="AU1214" s="416">
        <v>11.9</v>
      </c>
      <c r="AV1214" s="416">
        <v>10.199999999999999</v>
      </c>
      <c r="AW1214" s="416">
        <v>8.19</v>
      </c>
      <c r="AX1214" s="416">
        <v>6.58</v>
      </c>
      <c r="AY1214" s="416">
        <v>5.8</v>
      </c>
      <c r="AZ1214" s="416">
        <v>4.8499999999999996</v>
      </c>
    </row>
    <row r="1215" spans="1:52" x14ac:dyDescent="0.25">
      <c r="A1215" s="415" t="str">
        <f t="shared" si="18"/>
        <v>SA-182 Gr.F45</v>
      </c>
      <c r="B1215" s="415">
        <v>1209</v>
      </c>
      <c r="C1215" s="415" t="s">
        <v>3405</v>
      </c>
      <c r="D1215" s="415" t="s">
        <v>2737</v>
      </c>
      <c r="E1215" s="415" t="s">
        <v>2188</v>
      </c>
      <c r="F1215" s="415" t="s">
        <v>2454</v>
      </c>
      <c r="G1215" s="415" t="s">
        <v>3406</v>
      </c>
      <c r="H1215" s="415">
        <v>0</v>
      </c>
      <c r="I1215" s="415">
        <v>0</v>
      </c>
      <c r="J1215" s="415">
        <v>8</v>
      </c>
      <c r="K1215" s="415">
        <v>2</v>
      </c>
      <c r="L1215" s="415">
        <v>600</v>
      </c>
      <c r="M1215" s="415">
        <v>310</v>
      </c>
      <c r="N1215" s="415">
        <v>899</v>
      </c>
      <c r="O1215" s="415" t="s">
        <v>2675</v>
      </c>
      <c r="P1215" s="415">
        <v>899</v>
      </c>
      <c r="Q1215" s="415">
        <v>343</v>
      </c>
      <c r="R1215" s="415" t="s">
        <v>3073</v>
      </c>
      <c r="S1215" s="415" t="s">
        <v>3408</v>
      </c>
      <c r="T1215" s="416">
        <v>172</v>
      </c>
      <c r="U1215" s="416">
        <v>172</v>
      </c>
      <c r="V1215" s="416">
        <v>171</v>
      </c>
      <c r="W1215" s="416">
        <v>169</v>
      </c>
      <c r="X1215" s="416">
        <v>161</v>
      </c>
      <c r="Y1215" s="416">
        <v>151</v>
      </c>
      <c r="Z1215" s="416">
        <v>138</v>
      </c>
      <c r="AA1215" s="416">
        <v>129</v>
      </c>
      <c r="AB1215" s="416">
        <v>123</v>
      </c>
      <c r="AC1215" s="416">
        <v>121</v>
      </c>
      <c r="AD1215" s="416">
        <v>120</v>
      </c>
      <c r="AE1215" s="416">
        <v>118</v>
      </c>
      <c r="AF1215" s="416">
        <v>117</v>
      </c>
      <c r="AG1215" s="416">
        <v>116</v>
      </c>
      <c r="AH1215" s="416">
        <v>115</v>
      </c>
      <c r="AI1215" s="416">
        <v>113</v>
      </c>
      <c r="AJ1215" s="416">
        <v>112</v>
      </c>
      <c r="AK1215" s="416">
        <v>109</v>
      </c>
      <c r="AL1215" s="416">
        <v>93.4</v>
      </c>
      <c r="AM1215" s="416">
        <v>73.599999999999994</v>
      </c>
      <c r="AN1215" s="416">
        <v>58.4</v>
      </c>
      <c r="AO1215" s="416">
        <v>45.8</v>
      </c>
      <c r="AP1215" s="416">
        <v>35.5</v>
      </c>
      <c r="AQ1215" s="416">
        <v>28</v>
      </c>
      <c r="AR1215" s="416">
        <v>22.3</v>
      </c>
      <c r="AS1215" s="416">
        <v>17.7</v>
      </c>
      <c r="AT1215" s="416">
        <v>14.2</v>
      </c>
      <c r="AU1215" s="416">
        <v>11.9</v>
      </c>
      <c r="AV1215" s="416">
        <v>10.199999999999999</v>
      </c>
      <c r="AW1215" s="416">
        <v>8.19</v>
      </c>
      <c r="AX1215" s="416">
        <v>6.58</v>
      </c>
      <c r="AY1215" s="416">
        <v>5.8</v>
      </c>
      <c r="AZ1215" s="416">
        <v>4.8499999999999996</v>
      </c>
    </row>
    <row r="1216" spans="1:52" x14ac:dyDescent="0.25">
      <c r="A1216" s="415" t="str">
        <f t="shared" si="18"/>
        <v>SA-213 Gr.0</v>
      </c>
      <c r="B1216" s="415">
        <v>1210</v>
      </c>
      <c r="C1216" s="415" t="s">
        <v>3405</v>
      </c>
      <c r="D1216" s="415" t="s">
        <v>2693</v>
      </c>
      <c r="E1216" s="415" t="s">
        <v>2195</v>
      </c>
      <c r="F1216" s="415">
        <v>0</v>
      </c>
      <c r="G1216" s="415" t="s">
        <v>3406</v>
      </c>
      <c r="H1216" s="415">
        <v>0</v>
      </c>
      <c r="I1216" s="415">
        <v>0</v>
      </c>
      <c r="J1216" s="415">
        <v>8</v>
      </c>
      <c r="K1216" s="415">
        <v>2</v>
      </c>
      <c r="L1216" s="415">
        <v>600</v>
      </c>
      <c r="M1216" s="415">
        <v>310</v>
      </c>
      <c r="N1216" s="415">
        <v>899</v>
      </c>
      <c r="O1216" s="415" t="s">
        <v>2675</v>
      </c>
      <c r="P1216" s="415">
        <v>899</v>
      </c>
      <c r="Q1216" s="415">
        <v>343</v>
      </c>
      <c r="R1216" s="415" t="s">
        <v>3073</v>
      </c>
      <c r="S1216" s="415" t="s">
        <v>3407</v>
      </c>
      <c r="T1216" s="416">
        <v>172</v>
      </c>
      <c r="U1216" s="416">
        <v>172</v>
      </c>
      <c r="V1216" s="416">
        <v>171</v>
      </c>
      <c r="W1216" s="416">
        <v>170</v>
      </c>
      <c r="X1216" s="416">
        <v>165</v>
      </c>
      <c r="Y1216" s="416">
        <v>160</v>
      </c>
      <c r="Z1216" s="416">
        <v>155</v>
      </c>
      <c r="AA1216" s="416">
        <v>151</v>
      </c>
      <c r="AB1216" s="416">
        <v>148</v>
      </c>
      <c r="AC1216" s="416">
        <v>147</v>
      </c>
      <c r="AD1216" s="416">
        <v>146</v>
      </c>
      <c r="AE1216" s="416">
        <v>145</v>
      </c>
      <c r="AF1216" s="416">
        <v>143</v>
      </c>
      <c r="AG1216" s="416">
        <v>142</v>
      </c>
      <c r="AH1216" s="416">
        <v>140</v>
      </c>
      <c r="AI1216" s="416">
        <v>138</v>
      </c>
      <c r="AJ1216" s="416">
        <v>136</v>
      </c>
      <c r="AK1216" s="416">
        <v>117</v>
      </c>
      <c r="AL1216" s="416">
        <v>93.4</v>
      </c>
      <c r="AM1216" s="416">
        <v>73.599999999999994</v>
      </c>
      <c r="AN1216" s="416">
        <v>58.4</v>
      </c>
      <c r="AO1216" s="416">
        <v>45.8</v>
      </c>
      <c r="AP1216" s="416">
        <v>35.5</v>
      </c>
      <c r="AQ1216" s="416">
        <v>28</v>
      </c>
      <c r="AR1216" s="416">
        <v>22.3</v>
      </c>
      <c r="AS1216" s="416">
        <v>17.7</v>
      </c>
      <c r="AT1216" s="416">
        <v>14.2</v>
      </c>
      <c r="AU1216" s="416">
        <v>11.9</v>
      </c>
      <c r="AV1216" s="416">
        <v>10.199999999999999</v>
      </c>
      <c r="AW1216" s="416">
        <v>8.19</v>
      </c>
      <c r="AX1216" s="416">
        <v>6.58</v>
      </c>
      <c r="AY1216" s="416">
        <v>5.8</v>
      </c>
      <c r="AZ1216" s="416">
        <v>4.8499999999999996</v>
      </c>
    </row>
    <row r="1217" spans="1:52" x14ac:dyDescent="0.25">
      <c r="A1217" s="415" t="str">
        <f t="shared" si="18"/>
        <v>SA-213 Gr.0</v>
      </c>
      <c r="B1217" s="415">
        <v>1211</v>
      </c>
      <c r="C1217" s="415" t="s">
        <v>3405</v>
      </c>
      <c r="D1217" s="415" t="s">
        <v>2693</v>
      </c>
      <c r="E1217" s="415" t="s">
        <v>2195</v>
      </c>
      <c r="F1217" s="415">
        <v>0</v>
      </c>
      <c r="G1217" s="415" t="s">
        <v>3406</v>
      </c>
      <c r="H1217" s="415">
        <v>0</v>
      </c>
      <c r="I1217" s="415">
        <v>0</v>
      </c>
      <c r="J1217" s="415">
        <v>8</v>
      </c>
      <c r="K1217" s="415">
        <v>2</v>
      </c>
      <c r="L1217" s="415">
        <v>600</v>
      </c>
      <c r="M1217" s="415">
        <v>310</v>
      </c>
      <c r="N1217" s="415">
        <v>899</v>
      </c>
      <c r="O1217" s="415" t="s">
        <v>2675</v>
      </c>
      <c r="P1217" s="415">
        <v>899</v>
      </c>
      <c r="Q1217" s="415">
        <v>343</v>
      </c>
      <c r="R1217" s="415" t="s">
        <v>3073</v>
      </c>
      <c r="S1217" s="415" t="s">
        <v>3408</v>
      </c>
      <c r="T1217" s="416">
        <v>172</v>
      </c>
      <c r="U1217" s="416">
        <v>172</v>
      </c>
      <c r="V1217" s="416">
        <v>171</v>
      </c>
      <c r="W1217" s="416">
        <v>169</v>
      </c>
      <c r="X1217" s="416">
        <v>161</v>
      </c>
      <c r="Y1217" s="416">
        <v>151</v>
      </c>
      <c r="Z1217" s="416">
        <v>138</v>
      </c>
      <c r="AA1217" s="416">
        <v>129</v>
      </c>
      <c r="AB1217" s="416">
        <v>123</v>
      </c>
      <c r="AC1217" s="416">
        <v>121</v>
      </c>
      <c r="AD1217" s="416">
        <v>120</v>
      </c>
      <c r="AE1217" s="416">
        <v>118</v>
      </c>
      <c r="AF1217" s="416">
        <v>117</v>
      </c>
      <c r="AG1217" s="416">
        <v>116</v>
      </c>
      <c r="AH1217" s="416">
        <v>115</v>
      </c>
      <c r="AI1217" s="416">
        <v>113</v>
      </c>
      <c r="AJ1217" s="416">
        <v>112</v>
      </c>
      <c r="AK1217" s="416">
        <v>109</v>
      </c>
      <c r="AL1217" s="416">
        <v>93.4</v>
      </c>
      <c r="AM1217" s="416">
        <v>73.599999999999994</v>
      </c>
      <c r="AN1217" s="416">
        <v>58.4</v>
      </c>
      <c r="AO1217" s="416">
        <v>45.8</v>
      </c>
      <c r="AP1217" s="416">
        <v>35.5</v>
      </c>
      <c r="AQ1217" s="416">
        <v>28</v>
      </c>
      <c r="AR1217" s="416">
        <v>22.3</v>
      </c>
      <c r="AS1217" s="416">
        <v>17.7</v>
      </c>
      <c r="AT1217" s="416">
        <v>14.2</v>
      </c>
      <c r="AU1217" s="416">
        <v>11.9</v>
      </c>
      <c r="AV1217" s="416">
        <v>10.199999999999999</v>
      </c>
      <c r="AW1217" s="416">
        <v>8.19</v>
      </c>
      <c r="AX1217" s="416">
        <v>6.58</v>
      </c>
      <c r="AY1217" s="416">
        <v>5.8</v>
      </c>
      <c r="AZ1217" s="416">
        <v>4.8499999999999996</v>
      </c>
    </row>
    <row r="1218" spans="1:52" x14ac:dyDescent="0.25">
      <c r="A1218" s="415" t="str">
        <f t="shared" si="18"/>
        <v>SA-240 Gr.0</v>
      </c>
      <c r="B1218" s="415">
        <v>1212</v>
      </c>
      <c r="C1218" s="415" t="s">
        <v>3405</v>
      </c>
      <c r="D1218" s="415" t="s">
        <v>2684</v>
      </c>
      <c r="E1218" s="415" t="s">
        <v>2165</v>
      </c>
      <c r="F1218" s="415">
        <v>0</v>
      </c>
      <c r="G1218" s="415" t="s">
        <v>3406</v>
      </c>
      <c r="H1218" s="415">
        <v>0</v>
      </c>
      <c r="I1218" s="415">
        <v>0</v>
      </c>
      <c r="J1218" s="415">
        <v>8</v>
      </c>
      <c r="K1218" s="415">
        <v>2</v>
      </c>
      <c r="L1218" s="415">
        <v>600</v>
      </c>
      <c r="M1218" s="415">
        <v>310</v>
      </c>
      <c r="N1218" s="415">
        <v>899</v>
      </c>
      <c r="O1218" s="415" t="s">
        <v>2675</v>
      </c>
      <c r="P1218" s="415">
        <v>899</v>
      </c>
      <c r="Q1218" s="415">
        <v>343</v>
      </c>
      <c r="R1218" s="415" t="s">
        <v>3073</v>
      </c>
      <c r="S1218" s="415" t="s">
        <v>3407</v>
      </c>
      <c r="T1218" s="416">
        <v>172</v>
      </c>
      <c r="U1218" s="416">
        <v>172</v>
      </c>
      <c r="V1218" s="416">
        <v>171</v>
      </c>
      <c r="W1218" s="416">
        <v>170</v>
      </c>
      <c r="X1218" s="416">
        <v>165</v>
      </c>
      <c r="Y1218" s="416">
        <v>160</v>
      </c>
      <c r="Z1218" s="416">
        <v>155</v>
      </c>
      <c r="AA1218" s="416">
        <v>151</v>
      </c>
      <c r="AB1218" s="416">
        <v>148</v>
      </c>
      <c r="AC1218" s="416">
        <v>147</v>
      </c>
      <c r="AD1218" s="416">
        <v>146</v>
      </c>
      <c r="AE1218" s="416">
        <v>145</v>
      </c>
      <c r="AF1218" s="416">
        <v>143</v>
      </c>
      <c r="AG1218" s="416">
        <v>142</v>
      </c>
      <c r="AH1218" s="416">
        <v>140</v>
      </c>
      <c r="AI1218" s="416">
        <v>138</v>
      </c>
      <c r="AJ1218" s="416">
        <v>136</v>
      </c>
      <c r="AK1218" s="416">
        <v>117</v>
      </c>
      <c r="AL1218" s="416">
        <v>93.4</v>
      </c>
      <c r="AM1218" s="416">
        <v>73.599999999999994</v>
      </c>
      <c r="AN1218" s="416">
        <v>58.4</v>
      </c>
      <c r="AO1218" s="416">
        <v>45.8</v>
      </c>
      <c r="AP1218" s="416">
        <v>35.5</v>
      </c>
      <c r="AQ1218" s="416">
        <v>28</v>
      </c>
      <c r="AR1218" s="416">
        <v>22.3</v>
      </c>
      <c r="AS1218" s="416">
        <v>17.7</v>
      </c>
      <c r="AT1218" s="416">
        <v>14.2</v>
      </c>
      <c r="AU1218" s="416">
        <v>11.9</v>
      </c>
      <c r="AV1218" s="416">
        <v>10.199999999999999</v>
      </c>
      <c r="AW1218" s="416">
        <v>8.19</v>
      </c>
      <c r="AX1218" s="416">
        <v>6.58</v>
      </c>
      <c r="AY1218" s="416">
        <v>5.8</v>
      </c>
      <c r="AZ1218" s="416">
        <v>4.8499999999999996</v>
      </c>
    </row>
    <row r="1219" spans="1:52" x14ac:dyDescent="0.25">
      <c r="A1219" s="415" t="str">
        <f t="shared" si="18"/>
        <v>SA-240 Gr.0</v>
      </c>
      <c r="B1219" s="415">
        <v>1213</v>
      </c>
      <c r="C1219" s="415" t="s">
        <v>3405</v>
      </c>
      <c r="D1219" s="415" t="s">
        <v>2684</v>
      </c>
      <c r="E1219" s="415" t="s">
        <v>2165</v>
      </c>
      <c r="F1219" s="415">
        <v>0</v>
      </c>
      <c r="G1219" s="415" t="s">
        <v>3406</v>
      </c>
      <c r="H1219" s="415">
        <v>0</v>
      </c>
      <c r="I1219" s="415">
        <v>0</v>
      </c>
      <c r="J1219" s="415">
        <v>8</v>
      </c>
      <c r="K1219" s="415">
        <v>2</v>
      </c>
      <c r="L1219" s="415">
        <v>600</v>
      </c>
      <c r="M1219" s="415">
        <v>310</v>
      </c>
      <c r="N1219" s="415">
        <v>899</v>
      </c>
      <c r="O1219" s="415" t="s">
        <v>2675</v>
      </c>
      <c r="P1219" s="415">
        <v>899</v>
      </c>
      <c r="Q1219" s="415">
        <v>343</v>
      </c>
      <c r="R1219" s="415" t="s">
        <v>3073</v>
      </c>
      <c r="S1219" s="415" t="s">
        <v>3408</v>
      </c>
      <c r="T1219" s="416">
        <v>172</v>
      </c>
      <c r="U1219" s="416">
        <v>172</v>
      </c>
      <c r="V1219" s="416">
        <v>171</v>
      </c>
      <c r="W1219" s="416">
        <v>169</v>
      </c>
      <c r="X1219" s="416">
        <v>161</v>
      </c>
      <c r="Y1219" s="416">
        <v>151</v>
      </c>
      <c r="Z1219" s="416">
        <v>138</v>
      </c>
      <c r="AA1219" s="416">
        <v>129</v>
      </c>
      <c r="AB1219" s="416">
        <v>123</v>
      </c>
      <c r="AC1219" s="416">
        <v>121</v>
      </c>
      <c r="AD1219" s="416">
        <v>120</v>
      </c>
      <c r="AE1219" s="416">
        <v>118</v>
      </c>
      <c r="AF1219" s="416">
        <v>117</v>
      </c>
      <c r="AG1219" s="416">
        <v>116</v>
      </c>
      <c r="AH1219" s="416">
        <v>115</v>
      </c>
      <c r="AI1219" s="416">
        <v>113</v>
      </c>
      <c r="AJ1219" s="416">
        <v>112</v>
      </c>
      <c r="AK1219" s="416">
        <v>109</v>
      </c>
      <c r="AL1219" s="416">
        <v>93.4</v>
      </c>
      <c r="AM1219" s="416">
        <v>73.599999999999994</v>
      </c>
      <c r="AN1219" s="416">
        <v>58.4</v>
      </c>
      <c r="AO1219" s="416">
        <v>45.8</v>
      </c>
      <c r="AP1219" s="416">
        <v>35.5</v>
      </c>
      <c r="AQ1219" s="416">
        <v>28</v>
      </c>
      <c r="AR1219" s="416">
        <v>22.3</v>
      </c>
      <c r="AS1219" s="416">
        <v>17.7</v>
      </c>
      <c r="AT1219" s="416">
        <v>14.2</v>
      </c>
      <c r="AU1219" s="416">
        <v>11.9</v>
      </c>
      <c r="AV1219" s="416">
        <v>10.199999999999999</v>
      </c>
      <c r="AW1219" s="416">
        <v>8.19</v>
      </c>
      <c r="AX1219" s="416">
        <v>6.58</v>
      </c>
      <c r="AY1219" s="416">
        <v>5.8</v>
      </c>
      <c r="AZ1219" s="416">
        <v>4.8499999999999996</v>
      </c>
    </row>
    <row r="1220" spans="1:52" x14ac:dyDescent="0.25">
      <c r="A1220" s="415" t="str">
        <f t="shared" si="18"/>
        <v>SA-249 Gr.0</v>
      </c>
      <c r="B1220" s="415">
        <v>1214</v>
      </c>
      <c r="C1220" s="415" t="s">
        <v>3405</v>
      </c>
      <c r="D1220" s="415" t="s">
        <v>2689</v>
      </c>
      <c r="E1220" s="415" t="s">
        <v>2200</v>
      </c>
      <c r="F1220" s="415">
        <v>0</v>
      </c>
      <c r="G1220" s="415" t="s">
        <v>3406</v>
      </c>
      <c r="H1220" s="415">
        <v>0</v>
      </c>
      <c r="I1220" s="415">
        <v>0</v>
      </c>
      <c r="J1220" s="415">
        <v>8</v>
      </c>
      <c r="K1220" s="415">
        <v>2</v>
      </c>
      <c r="L1220" s="415">
        <v>600</v>
      </c>
      <c r="M1220" s="415">
        <v>310</v>
      </c>
      <c r="N1220" s="415">
        <v>899</v>
      </c>
      <c r="O1220" s="415" t="s">
        <v>2675</v>
      </c>
      <c r="P1220" s="415">
        <v>899</v>
      </c>
      <c r="Q1220" s="415">
        <v>343</v>
      </c>
      <c r="R1220" s="415" t="s">
        <v>3073</v>
      </c>
      <c r="S1220" s="415" t="s">
        <v>3409</v>
      </c>
      <c r="T1220" s="416">
        <v>145</v>
      </c>
      <c r="U1220" s="416">
        <v>145</v>
      </c>
      <c r="V1220" s="416">
        <v>145</v>
      </c>
      <c r="W1220" s="416">
        <v>144</v>
      </c>
      <c r="X1220" s="416">
        <v>141</v>
      </c>
      <c r="Y1220" s="416">
        <v>136</v>
      </c>
      <c r="Z1220" s="416">
        <v>132</v>
      </c>
      <c r="AA1220" s="416">
        <v>128</v>
      </c>
      <c r="AB1220" s="416">
        <v>126</v>
      </c>
      <c r="AC1220" s="416">
        <v>125</v>
      </c>
      <c r="AD1220" s="416">
        <v>124</v>
      </c>
      <c r="AE1220" s="416">
        <v>123</v>
      </c>
      <c r="AF1220" s="416">
        <v>122</v>
      </c>
      <c r="AG1220" s="416">
        <v>121</v>
      </c>
      <c r="AH1220" s="416">
        <v>119</v>
      </c>
      <c r="AI1220" s="416">
        <v>118</v>
      </c>
      <c r="AJ1220" s="416">
        <v>114</v>
      </c>
      <c r="AK1220" s="416">
        <v>101</v>
      </c>
      <c r="AL1220" s="416">
        <v>79.599999999999994</v>
      </c>
      <c r="AM1220" s="416">
        <v>62.9</v>
      </c>
      <c r="AN1220" s="416">
        <v>50</v>
      </c>
      <c r="AO1220" s="416">
        <v>39.1</v>
      </c>
      <c r="AP1220" s="416">
        <v>30</v>
      </c>
      <c r="AQ1220" s="416">
        <v>23.8</v>
      </c>
      <c r="AR1220" s="416">
        <v>18.7</v>
      </c>
      <c r="AS1220" s="416">
        <v>14.7</v>
      </c>
      <c r="AT1220" s="416">
        <v>11.8</v>
      </c>
      <c r="AU1220" s="416">
        <v>10.3</v>
      </c>
      <c r="AV1220" s="416">
        <v>8.82</v>
      </c>
      <c r="AW1220" s="416">
        <v>6.89</v>
      </c>
      <c r="AX1220" s="416">
        <v>5.61</v>
      </c>
      <c r="AY1220" s="416">
        <v>4.92</v>
      </c>
      <c r="AZ1220" s="416">
        <v>4.0999999999999996</v>
      </c>
    </row>
    <row r="1221" spans="1:52" x14ac:dyDescent="0.25">
      <c r="A1221" s="415" t="str">
        <f t="shared" si="18"/>
        <v>SA-249 Gr.0</v>
      </c>
      <c r="B1221" s="415">
        <v>1215</v>
      </c>
      <c r="C1221" s="415" t="s">
        <v>3405</v>
      </c>
      <c r="D1221" s="415" t="s">
        <v>2689</v>
      </c>
      <c r="E1221" s="415" t="s">
        <v>2200</v>
      </c>
      <c r="F1221" s="415">
        <v>0</v>
      </c>
      <c r="G1221" s="415" t="s">
        <v>3406</v>
      </c>
      <c r="H1221" s="415">
        <v>0</v>
      </c>
      <c r="I1221" s="415">
        <v>0</v>
      </c>
      <c r="J1221" s="415">
        <v>8</v>
      </c>
      <c r="K1221" s="415">
        <v>2</v>
      </c>
      <c r="L1221" s="415">
        <v>600</v>
      </c>
      <c r="M1221" s="415">
        <v>310</v>
      </c>
      <c r="N1221" s="415">
        <v>899</v>
      </c>
      <c r="O1221" s="415" t="s">
        <v>2675</v>
      </c>
      <c r="P1221" s="415">
        <v>899</v>
      </c>
      <c r="Q1221" s="415">
        <v>343</v>
      </c>
      <c r="R1221" s="415" t="s">
        <v>3073</v>
      </c>
      <c r="S1221" s="415" t="s">
        <v>3410</v>
      </c>
      <c r="T1221" s="416">
        <v>145</v>
      </c>
      <c r="U1221" s="416">
        <v>145</v>
      </c>
      <c r="V1221" s="416">
        <v>145</v>
      </c>
      <c r="W1221" s="416">
        <v>144</v>
      </c>
      <c r="X1221" s="416">
        <v>137</v>
      </c>
      <c r="Y1221" s="416">
        <v>129</v>
      </c>
      <c r="Z1221" s="416">
        <v>117</v>
      </c>
      <c r="AA1221" s="416">
        <v>110</v>
      </c>
      <c r="AB1221" s="416">
        <v>105</v>
      </c>
      <c r="AC1221" s="416">
        <v>103</v>
      </c>
      <c r="AD1221" s="416">
        <v>102</v>
      </c>
      <c r="AE1221" s="416">
        <v>101</v>
      </c>
      <c r="AF1221" s="416">
        <v>99.9</v>
      </c>
      <c r="AG1221" s="416">
        <v>98.7</v>
      </c>
      <c r="AH1221" s="416">
        <v>98</v>
      </c>
      <c r="AI1221" s="416">
        <v>96.9</v>
      </c>
      <c r="AJ1221" s="416">
        <v>95.6</v>
      </c>
      <c r="AK1221" s="416">
        <v>92.7</v>
      </c>
      <c r="AL1221" s="416">
        <v>79.599999999999994</v>
      </c>
      <c r="AM1221" s="416">
        <v>62.9</v>
      </c>
      <c r="AN1221" s="416">
        <v>50</v>
      </c>
      <c r="AO1221" s="416">
        <v>39.1</v>
      </c>
      <c r="AP1221" s="416">
        <v>30</v>
      </c>
      <c r="AQ1221" s="416">
        <v>23.8</v>
      </c>
      <c r="AR1221" s="416">
        <v>18.7</v>
      </c>
      <c r="AS1221" s="416">
        <v>14.7</v>
      </c>
      <c r="AT1221" s="416">
        <v>11.8</v>
      </c>
      <c r="AU1221" s="416">
        <v>10.3</v>
      </c>
      <c r="AV1221" s="416">
        <v>8.82</v>
      </c>
      <c r="AW1221" s="416">
        <v>6.89</v>
      </c>
      <c r="AX1221" s="416">
        <v>5.61</v>
      </c>
      <c r="AY1221" s="416">
        <v>4.92</v>
      </c>
      <c r="AZ1221" s="416">
        <v>4.0999999999999996</v>
      </c>
    </row>
    <row r="1222" spans="1:52" x14ac:dyDescent="0.25">
      <c r="A1222" s="415" t="str">
        <f t="shared" si="18"/>
        <v>SA-312 Gr.0</v>
      </c>
      <c r="B1222" s="415">
        <v>1216</v>
      </c>
      <c r="C1222" s="415" t="s">
        <v>3405</v>
      </c>
      <c r="D1222" s="415" t="s">
        <v>2703</v>
      </c>
      <c r="E1222" s="415" t="s">
        <v>2208</v>
      </c>
      <c r="F1222" s="415">
        <v>0</v>
      </c>
      <c r="G1222" s="415" t="s">
        <v>3406</v>
      </c>
      <c r="H1222" s="415">
        <v>0</v>
      </c>
      <c r="I1222" s="415">
        <v>0</v>
      </c>
      <c r="J1222" s="415">
        <v>8</v>
      </c>
      <c r="K1222" s="415">
        <v>2</v>
      </c>
      <c r="L1222" s="415">
        <v>600</v>
      </c>
      <c r="M1222" s="415">
        <v>310</v>
      </c>
      <c r="N1222" s="415">
        <v>899</v>
      </c>
      <c r="O1222" s="415" t="s">
        <v>2675</v>
      </c>
      <c r="P1222" s="415">
        <v>899</v>
      </c>
      <c r="Q1222" s="415">
        <v>343</v>
      </c>
      <c r="R1222" s="415" t="s">
        <v>3073</v>
      </c>
      <c r="S1222" s="415" t="s">
        <v>3407</v>
      </c>
      <c r="T1222" s="416">
        <v>172</v>
      </c>
      <c r="U1222" s="416">
        <v>172</v>
      </c>
      <c r="V1222" s="416">
        <v>171</v>
      </c>
      <c r="W1222" s="416">
        <v>170</v>
      </c>
      <c r="X1222" s="416">
        <v>165</v>
      </c>
      <c r="Y1222" s="416">
        <v>160</v>
      </c>
      <c r="Z1222" s="416">
        <v>155</v>
      </c>
      <c r="AA1222" s="416">
        <v>151</v>
      </c>
      <c r="AB1222" s="416">
        <v>148</v>
      </c>
      <c r="AC1222" s="416">
        <v>147</v>
      </c>
      <c r="AD1222" s="416">
        <v>146</v>
      </c>
      <c r="AE1222" s="416">
        <v>145</v>
      </c>
      <c r="AF1222" s="416">
        <v>143</v>
      </c>
      <c r="AG1222" s="416">
        <v>142</v>
      </c>
      <c r="AH1222" s="416">
        <v>140</v>
      </c>
      <c r="AI1222" s="416">
        <v>138</v>
      </c>
      <c r="AJ1222" s="416">
        <v>136</v>
      </c>
      <c r="AK1222" s="416">
        <v>117</v>
      </c>
      <c r="AL1222" s="416">
        <v>93.4</v>
      </c>
      <c r="AM1222" s="416">
        <v>73.599999999999994</v>
      </c>
      <c r="AN1222" s="416">
        <v>58.4</v>
      </c>
      <c r="AO1222" s="416">
        <v>45.8</v>
      </c>
      <c r="AP1222" s="416">
        <v>35.5</v>
      </c>
      <c r="AQ1222" s="416">
        <v>28</v>
      </c>
      <c r="AR1222" s="416">
        <v>22.3</v>
      </c>
      <c r="AS1222" s="416">
        <v>17.7</v>
      </c>
      <c r="AT1222" s="416">
        <v>14.2</v>
      </c>
      <c r="AU1222" s="416">
        <v>11.9</v>
      </c>
      <c r="AV1222" s="416">
        <v>10.199999999999999</v>
      </c>
      <c r="AW1222" s="416">
        <v>8.19</v>
      </c>
      <c r="AX1222" s="416">
        <v>6.58</v>
      </c>
      <c r="AY1222" s="416">
        <v>5.8</v>
      </c>
      <c r="AZ1222" s="416">
        <v>4.8499999999999996</v>
      </c>
    </row>
    <row r="1223" spans="1:52" x14ac:dyDescent="0.25">
      <c r="A1223" s="415" t="str">
        <f t="shared" si="18"/>
        <v>SA-312 Gr.0</v>
      </c>
      <c r="B1223" s="415">
        <v>1217</v>
      </c>
      <c r="C1223" s="415" t="s">
        <v>3405</v>
      </c>
      <c r="D1223" s="415" t="s">
        <v>2703</v>
      </c>
      <c r="E1223" s="415" t="s">
        <v>2208</v>
      </c>
      <c r="F1223" s="415">
        <v>0</v>
      </c>
      <c r="G1223" s="415" t="s">
        <v>3406</v>
      </c>
      <c r="H1223" s="415">
        <v>0</v>
      </c>
      <c r="I1223" s="415">
        <v>0</v>
      </c>
      <c r="J1223" s="415">
        <v>8</v>
      </c>
      <c r="K1223" s="415">
        <v>2</v>
      </c>
      <c r="L1223" s="415">
        <v>600</v>
      </c>
      <c r="M1223" s="415">
        <v>310</v>
      </c>
      <c r="N1223" s="415">
        <v>899</v>
      </c>
      <c r="O1223" s="415" t="s">
        <v>2675</v>
      </c>
      <c r="P1223" s="415">
        <v>899</v>
      </c>
      <c r="Q1223" s="415">
        <v>343</v>
      </c>
      <c r="R1223" s="415" t="s">
        <v>3073</v>
      </c>
      <c r="S1223" s="415" t="s">
        <v>3408</v>
      </c>
      <c r="T1223" s="416">
        <v>172</v>
      </c>
      <c r="U1223" s="416">
        <v>172</v>
      </c>
      <c r="V1223" s="416">
        <v>171</v>
      </c>
      <c r="W1223" s="416">
        <v>169</v>
      </c>
      <c r="X1223" s="416">
        <v>161</v>
      </c>
      <c r="Y1223" s="416">
        <v>151</v>
      </c>
      <c r="Z1223" s="416">
        <v>138</v>
      </c>
      <c r="AA1223" s="416">
        <v>129</v>
      </c>
      <c r="AB1223" s="416">
        <v>123</v>
      </c>
      <c r="AC1223" s="416">
        <v>121</v>
      </c>
      <c r="AD1223" s="416">
        <v>120</v>
      </c>
      <c r="AE1223" s="416">
        <v>118</v>
      </c>
      <c r="AF1223" s="416">
        <v>117</v>
      </c>
      <c r="AG1223" s="416">
        <v>116</v>
      </c>
      <c r="AH1223" s="416">
        <v>115</v>
      </c>
      <c r="AI1223" s="416">
        <v>113</v>
      </c>
      <c r="AJ1223" s="416">
        <v>112</v>
      </c>
      <c r="AK1223" s="416">
        <v>109</v>
      </c>
      <c r="AL1223" s="416">
        <v>93.4</v>
      </c>
      <c r="AM1223" s="416">
        <v>73.599999999999994</v>
      </c>
      <c r="AN1223" s="416">
        <v>58.4</v>
      </c>
      <c r="AO1223" s="416">
        <v>45.8</v>
      </c>
      <c r="AP1223" s="416">
        <v>35.5</v>
      </c>
      <c r="AQ1223" s="416">
        <v>28</v>
      </c>
      <c r="AR1223" s="416">
        <v>22.3</v>
      </c>
      <c r="AS1223" s="416">
        <v>17.7</v>
      </c>
      <c r="AT1223" s="416">
        <v>14.2</v>
      </c>
      <c r="AU1223" s="416">
        <v>11.9</v>
      </c>
      <c r="AV1223" s="416">
        <v>10.199999999999999</v>
      </c>
      <c r="AW1223" s="416">
        <v>8.19</v>
      </c>
      <c r="AX1223" s="416">
        <v>6.58</v>
      </c>
      <c r="AY1223" s="416">
        <v>5.8</v>
      </c>
      <c r="AZ1223" s="416">
        <v>4.8499999999999996</v>
      </c>
    </row>
    <row r="1224" spans="1:52" x14ac:dyDescent="0.25">
      <c r="A1224" s="415" t="str">
        <f t="shared" ref="A1224:A1287" si="19">CONCATENATE(E1224," Gr.",F1224)</f>
        <v>SA-312 Gr.0</v>
      </c>
      <c r="B1224" s="415">
        <v>1218</v>
      </c>
      <c r="C1224" s="415" t="s">
        <v>3405</v>
      </c>
      <c r="D1224" s="415" t="s">
        <v>2680</v>
      </c>
      <c r="E1224" s="415" t="s">
        <v>2208</v>
      </c>
      <c r="F1224" s="415">
        <v>0</v>
      </c>
      <c r="G1224" s="415" t="s">
        <v>3406</v>
      </c>
      <c r="H1224" s="415">
        <v>0</v>
      </c>
      <c r="I1224" s="415">
        <v>0</v>
      </c>
      <c r="J1224" s="415">
        <v>8</v>
      </c>
      <c r="K1224" s="415">
        <v>2</v>
      </c>
      <c r="L1224" s="415">
        <v>600</v>
      </c>
      <c r="M1224" s="415">
        <v>310</v>
      </c>
      <c r="N1224" s="415">
        <v>899</v>
      </c>
      <c r="O1224" s="415" t="s">
        <v>2675</v>
      </c>
      <c r="P1224" s="415">
        <v>899</v>
      </c>
      <c r="Q1224" s="415">
        <v>343</v>
      </c>
      <c r="R1224" s="415" t="s">
        <v>3073</v>
      </c>
      <c r="S1224" s="415" t="s">
        <v>3409</v>
      </c>
      <c r="T1224" s="416">
        <v>145</v>
      </c>
      <c r="U1224" s="416">
        <v>145</v>
      </c>
      <c r="V1224" s="416">
        <v>145</v>
      </c>
      <c r="W1224" s="416">
        <v>144</v>
      </c>
      <c r="X1224" s="416">
        <v>141</v>
      </c>
      <c r="Y1224" s="416">
        <v>136</v>
      </c>
      <c r="Z1224" s="416">
        <v>132</v>
      </c>
      <c r="AA1224" s="416">
        <v>128</v>
      </c>
      <c r="AB1224" s="416">
        <v>126</v>
      </c>
      <c r="AC1224" s="416">
        <v>125</v>
      </c>
      <c r="AD1224" s="416">
        <v>124</v>
      </c>
      <c r="AE1224" s="416">
        <v>123</v>
      </c>
      <c r="AF1224" s="416">
        <v>122</v>
      </c>
      <c r="AG1224" s="416">
        <v>121</v>
      </c>
      <c r="AH1224" s="416">
        <v>119</v>
      </c>
      <c r="AI1224" s="416">
        <v>118</v>
      </c>
      <c r="AJ1224" s="416">
        <v>114</v>
      </c>
      <c r="AK1224" s="416">
        <v>101</v>
      </c>
      <c r="AL1224" s="416">
        <v>79.599999999999994</v>
      </c>
      <c r="AM1224" s="416">
        <v>62.9</v>
      </c>
      <c r="AN1224" s="416">
        <v>50</v>
      </c>
      <c r="AO1224" s="416">
        <v>39.1</v>
      </c>
      <c r="AP1224" s="416">
        <v>30</v>
      </c>
      <c r="AQ1224" s="416">
        <v>23.8</v>
      </c>
      <c r="AR1224" s="416">
        <v>18.7</v>
      </c>
      <c r="AS1224" s="416">
        <v>14.7</v>
      </c>
      <c r="AT1224" s="416">
        <v>11.8</v>
      </c>
      <c r="AU1224" s="416">
        <v>10.3</v>
      </c>
      <c r="AV1224" s="416">
        <v>8.82</v>
      </c>
      <c r="AW1224" s="416">
        <v>6.89</v>
      </c>
      <c r="AX1224" s="416">
        <v>5.61</v>
      </c>
      <c r="AY1224" s="416">
        <v>4.92</v>
      </c>
      <c r="AZ1224" s="416">
        <v>4.0999999999999996</v>
      </c>
    </row>
    <row r="1225" spans="1:52" x14ac:dyDescent="0.25">
      <c r="A1225" s="415" t="str">
        <f t="shared" si="19"/>
        <v>SA-312 Gr.0</v>
      </c>
      <c r="B1225" s="415">
        <v>1219</v>
      </c>
      <c r="C1225" s="415" t="s">
        <v>3405</v>
      </c>
      <c r="D1225" s="415" t="s">
        <v>2680</v>
      </c>
      <c r="E1225" s="415" t="s">
        <v>2208</v>
      </c>
      <c r="F1225" s="415">
        <v>0</v>
      </c>
      <c r="G1225" s="415" t="s">
        <v>3406</v>
      </c>
      <c r="H1225" s="415">
        <v>0</v>
      </c>
      <c r="I1225" s="415">
        <v>0</v>
      </c>
      <c r="J1225" s="415">
        <v>8</v>
      </c>
      <c r="K1225" s="415">
        <v>2</v>
      </c>
      <c r="L1225" s="415">
        <v>600</v>
      </c>
      <c r="M1225" s="415">
        <v>310</v>
      </c>
      <c r="N1225" s="415">
        <v>899</v>
      </c>
      <c r="O1225" s="415" t="s">
        <v>2675</v>
      </c>
      <c r="P1225" s="415">
        <v>899</v>
      </c>
      <c r="Q1225" s="415">
        <v>343</v>
      </c>
      <c r="R1225" s="415" t="s">
        <v>3073</v>
      </c>
      <c r="S1225" s="415" t="s">
        <v>3410</v>
      </c>
      <c r="T1225" s="416">
        <v>145</v>
      </c>
      <c r="U1225" s="416">
        <v>145</v>
      </c>
      <c r="V1225" s="416">
        <v>145</v>
      </c>
      <c r="W1225" s="416">
        <v>144</v>
      </c>
      <c r="X1225" s="416">
        <v>137</v>
      </c>
      <c r="Y1225" s="416">
        <v>129</v>
      </c>
      <c r="Z1225" s="416">
        <v>117</v>
      </c>
      <c r="AA1225" s="416">
        <v>110</v>
      </c>
      <c r="AB1225" s="416">
        <v>105</v>
      </c>
      <c r="AC1225" s="416">
        <v>103</v>
      </c>
      <c r="AD1225" s="416">
        <v>102</v>
      </c>
      <c r="AE1225" s="416">
        <v>101</v>
      </c>
      <c r="AF1225" s="416">
        <v>99.9</v>
      </c>
      <c r="AG1225" s="416">
        <v>98.7</v>
      </c>
      <c r="AH1225" s="416">
        <v>98</v>
      </c>
      <c r="AI1225" s="416">
        <v>96.9</v>
      </c>
      <c r="AJ1225" s="416">
        <v>95.6</v>
      </c>
      <c r="AK1225" s="416">
        <v>92.7</v>
      </c>
      <c r="AL1225" s="416">
        <v>79.599999999999994</v>
      </c>
      <c r="AM1225" s="416">
        <v>62.9</v>
      </c>
      <c r="AN1225" s="416">
        <v>50</v>
      </c>
      <c r="AO1225" s="416">
        <v>39.1</v>
      </c>
      <c r="AP1225" s="416">
        <v>30</v>
      </c>
      <c r="AQ1225" s="416">
        <v>23.8</v>
      </c>
      <c r="AR1225" s="416">
        <v>18.7</v>
      </c>
      <c r="AS1225" s="416">
        <v>14.7</v>
      </c>
      <c r="AT1225" s="416">
        <v>11.8</v>
      </c>
      <c r="AU1225" s="416">
        <v>10.3</v>
      </c>
      <c r="AV1225" s="416">
        <v>8.82</v>
      </c>
      <c r="AW1225" s="416">
        <v>6.89</v>
      </c>
      <c r="AX1225" s="416">
        <v>5.61</v>
      </c>
      <c r="AY1225" s="416">
        <v>4.92</v>
      </c>
      <c r="AZ1225" s="416">
        <v>4.0999999999999996</v>
      </c>
    </row>
    <row r="1226" spans="1:52" x14ac:dyDescent="0.25">
      <c r="A1226" s="415" t="str">
        <f t="shared" si="19"/>
        <v>SA-479 Gr.0</v>
      </c>
      <c r="B1226" s="415">
        <v>1220</v>
      </c>
      <c r="C1226" s="415" t="s">
        <v>3405</v>
      </c>
      <c r="D1226" s="415" t="s">
        <v>2677</v>
      </c>
      <c r="E1226" s="415" t="s">
        <v>2245</v>
      </c>
      <c r="F1226" s="415">
        <v>0</v>
      </c>
      <c r="G1226" s="415" t="s">
        <v>3406</v>
      </c>
      <c r="H1226" s="415">
        <v>0</v>
      </c>
      <c r="I1226" s="415">
        <v>0</v>
      </c>
      <c r="J1226" s="415">
        <v>8</v>
      </c>
      <c r="K1226" s="415">
        <v>2</v>
      </c>
      <c r="L1226" s="415">
        <v>600</v>
      </c>
      <c r="M1226" s="415">
        <v>310</v>
      </c>
      <c r="N1226" s="415">
        <v>899</v>
      </c>
      <c r="O1226" s="415" t="s">
        <v>2675</v>
      </c>
      <c r="P1226" s="415">
        <v>899</v>
      </c>
      <c r="Q1226" s="415">
        <v>343</v>
      </c>
      <c r="R1226" s="415" t="s">
        <v>3073</v>
      </c>
      <c r="S1226" s="415" t="s">
        <v>3407</v>
      </c>
      <c r="T1226" s="416">
        <v>172</v>
      </c>
      <c r="U1226" s="416">
        <v>172</v>
      </c>
      <c r="V1226" s="416">
        <v>171</v>
      </c>
      <c r="W1226" s="416">
        <v>170</v>
      </c>
      <c r="X1226" s="416">
        <v>165</v>
      </c>
      <c r="Y1226" s="416">
        <v>160</v>
      </c>
      <c r="Z1226" s="416">
        <v>155</v>
      </c>
      <c r="AA1226" s="416">
        <v>151</v>
      </c>
      <c r="AB1226" s="416">
        <v>148</v>
      </c>
      <c r="AC1226" s="416">
        <v>147</v>
      </c>
      <c r="AD1226" s="416">
        <v>146</v>
      </c>
      <c r="AE1226" s="416">
        <v>145</v>
      </c>
      <c r="AF1226" s="416">
        <v>143</v>
      </c>
      <c r="AG1226" s="416">
        <v>142</v>
      </c>
      <c r="AH1226" s="416">
        <v>140</v>
      </c>
      <c r="AI1226" s="416">
        <v>138</v>
      </c>
      <c r="AJ1226" s="416">
        <v>136</v>
      </c>
      <c r="AK1226" s="416">
        <v>117</v>
      </c>
      <c r="AL1226" s="416">
        <v>93.4</v>
      </c>
      <c r="AM1226" s="416">
        <v>73.599999999999994</v>
      </c>
      <c r="AN1226" s="416">
        <v>58.4</v>
      </c>
      <c r="AO1226" s="416">
        <v>45.8</v>
      </c>
      <c r="AP1226" s="416">
        <v>35.5</v>
      </c>
      <c r="AQ1226" s="416">
        <v>28</v>
      </c>
      <c r="AR1226" s="416">
        <v>22.3</v>
      </c>
      <c r="AS1226" s="416">
        <v>17.7</v>
      </c>
      <c r="AT1226" s="416">
        <v>14.2</v>
      </c>
      <c r="AU1226" s="416">
        <v>11.9</v>
      </c>
      <c r="AV1226" s="416">
        <v>10.199999999999999</v>
      </c>
      <c r="AW1226" s="416">
        <v>8.19</v>
      </c>
      <c r="AX1226" s="416">
        <v>6.58</v>
      </c>
      <c r="AY1226" s="416">
        <v>5.8</v>
      </c>
      <c r="AZ1226" s="416">
        <v>4.8499999999999996</v>
      </c>
    </row>
    <row r="1227" spans="1:52" x14ac:dyDescent="0.25">
      <c r="A1227" s="415" t="str">
        <f t="shared" si="19"/>
        <v>SA-479 Gr.0</v>
      </c>
      <c r="B1227" s="415">
        <v>1221</v>
      </c>
      <c r="C1227" s="415" t="s">
        <v>3405</v>
      </c>
      <c r="D1227" s="415" t="s">
        <v>2677</v>
      </c>
      <c r="E1227" s="415" t="s">
        <v>2245</v>
      </c>
      <c r="F1227" s="415">
        <v>0</v>
      </c>
      <c r="G1227" s="415" t="s">
        <v>3406</v>
      </c>
      <c r="H1227" s="415">
        <v>0</v>
      </c>
      <c r="I1227" s="415">
        <v>0</v>
      </c>
      <c r="J1227" s="415">
        <v>8</v>
      </c>
      <c r="K1227" s="415">
        <v>2</v>
      </c>
      <c r="L1227" s="415">
        <v>600</v>
      </c>
      <c r="M1227" s="415">
        <v>310</v>
      </c>
      <c r="N1227" s="415">
        <v>899</v>
      </c>
      <c r="O1227" s="415" t="s">
        <v>2675</v>
      </c>
      <c r="P1227" s="415">
        <v>899</v>
      </c>
      <c r="Q1227" s="415">
        <v>343</v>
      </c>
      <c r="R1227" s="415" t="s">
        <v>3073</v>
      </c>
      <c r="S1227" s="415" t="s">
        <v>3408</v>
      </c>
      <c r="T1227" s="416">
        <v>172</v>
      </c>
      <c r="U1227" s="416">
        <v>172</v>
      </c>
      <c r="V1227" s="416">
        <v>171</v>
      </c>
      <c r="W1227" s="416">
        <v>169</v>
      </c>
      <c r="X1227" s="416">
        <v>161</v>
      </c>
      <c r="Y1227" s="416">
        <v>151</v>
      </c>
      <c r="Z1227" s="416">
        <v>138</v>
      </c>
      <c r="AA1227" s="416">
        <v>129</v>
      </c>
      <c r="AB1227" s="416">
        <v>123</v>
      </c>
      <c r="AC1227" s="416">
        <v>121</v>
      </c>
      <c r="AD1227" s="416">
        <v>120</v>
      </c>
      <c r="AE1227" s="416">
        <v>118</v>
      </c>
      <c r="AF1227" s="416">
        <v>117</v>
      </c>
      <c r="AG1227" s="416">
        <v>116</v>
      </c>
      <c r="AH1227" s="416">
        <v>115</v>
      </c>
      <c r="AI1227" s="416">
        <v>113</v>
      </c>
      <c r="AJ1227" s="416">
        <v>112</v>
      </c>
      <c r="AK1227" s="416">
        <v>109</v>
      </c>
      <c r="AL1227" s="416">
        <v>93.4</v>
      </c>
      <c r="AM1227" s="416">
        <v>73.599999999999994</v>
      </c>
      <c r="AN1227" s="416">
        <v>58.4</v>
      </c>
      <c r="AO1227" s="416">
        <v>45.8</v>
      </c>
      <c r="AP1227" s="416">
        <v>35.5</v>
      </c>
      <c r="AQ1227" s="416">
        <v>28</v>
      </c>
      <c r="AR1227" s="416">
        <v>22.3</v>
      </c>
      <c r="AS1227" s="416">
        <v>17.7</v>
      </c>
      <c r="AT1227" s="416">
        <v>14.2</v>
      </c>
      <c r="AU1227" s="416">
        <v>11.9</v>
      </c>
      <c r="AV1227" s="416">
        <v>10.199999999999999</v>
      </c>
      <c r="AW1227" s="416">
        <v>8.19</v>
      </c>
      <c r="AX1227" s="416">
        <v>6.58</v>
      </c>
      <c r="AY1227" s="416">
        <v>5.8</v>
      </c>
      <c r="AZ1227" s="416">
        <v>4.8499999999999996</v>
      </c>
    </row>
    <row r="1228" spans="1:52" x14ac:dyDescent="0.25">
      <c r="A1228" s="415" t="str">
        <f t="shared" si="19"/>
        <v>SA-182 Gr.F51</v>
      </c>
      <c r="B1228" s="415">
        <v>1222</v>
      </c>
      <c r="C1228" s="415" t="s">
        <v>3411</v>
      </c>
      <c r="D1228" s="415" t="s">
        <v>2737</v>
      </c>
      <c r="E1228" s="415" t="s">
        <v>2188</v>
      </c>
      <c r="F1228" s="415" t="s">
        <v>2456</v>
      </c>
      <c r="G1228" s="415" t="s">
        <v>3412</v>
      </c>
      <c r="H1228" s="415">
        <v>0</v>
      </c>
      <c r="I1228" s="415">
        <v>0</v>
      </c>
      <c r="J1228" s="415" t="s">
        <v>3276</v>
      </c>
      <c r="K1228" s="415">
        <v>1</v>
      </c>
      <c r="L1228" s="415">
        <v>620</v>
      </c>
      <c r="M1228" s="415">
        <v>450</v>
      </c>
      <c r="N1228" s="415">
        <v>316</v>
      </c>
      <c r="O1228" s="415" t="s">
        <v>2675</v>
      </c>
      <c r="P1228" s="415">
        <v>316</v>
      </c>
      <c r="Q1228" s="415">
        <v>316</v>
      </c>
      <c r="R1228" s="415" t="s">
        <v>3061</v>
      </c>
      <c r="S1228" s="415" t="s">
        <v>3012</v>
      </c>
      <c r="T1228" s="416">
        <v>177</v>
      </c>
      <c r="U1228" s="416">
        <v>177</v>
      </c>
      <c r="V1228" s="416">
        <v>177</v>
      </c>
      <c r="W1228" s="416">
        <v>177</v>
      </c>
      <c r="X1228" s="416">
        <v>174</v>
      </c>
      <c r="Y1228" s="416">
        <v>171</v>
      </c>
      <c r="Z1228" s="416">
        <v>165</v>
      </c>
      <c r="AA1228" s="416">
        <v>161</v>
      </c>
      <c r="AB1228" s="416">
        <v>160</v>
      </c>
      <c r="AC1228" s="416">
        <v>159</v>
      </c>
      <c r="AD1228" s="416">
        <v>0</v>
      </c>
      <c r="AE1228" s="416">
        <v>0</v>
      </c>
      <c r="AF1228" s="416">
        <v>0</v>
      </c>
      <c r="AG1228" s="416">
        <v>0</v>
      </c>
      <c r="AH1228" s="416">
        <v>0</v>
      </c>
      <c r="AI1228" s="416">
        <v>0</v>
      </c>
      <c r="AJ1228" s="416">
        <v>0</v>
      </c>
      <c r="AK1228" s="416">
        <v>0</v>
      </c>
      <c r="AL1228" s="416">
        <v>0</v>
      </c>
      <c r="AM1228" s="416">
        <v>0</v>
      </c>
      <c r="AN1228" s="416">
        <v>0</v>
      </c>
      <c r="AO1228" s="416">
        <v>0</v>
      </c>
      <c r="AP1228" s="416">
        <v>0</v>
      </c>
      <c r="AQ1228" s="416">
        <v>0</v>
      </c>
      <c r="AR1228" s="416">
        <v>0</v>
      </c>
      <c r="AS1228" s="416">
        <v>0</v>
      </c>
      <c r="AT1228" s="416">
        <v>0</v>
      </c>
      <c r="AU1228" s="416">
        <v>0</v>
      </c>
      <c r="AV1228" s="416">
        <v>0</v>
      </c>
      <c r="AW1228" s="416">
        <v>0</v>
      </c>
      <c r="AX1228" s="416">
        <v>0</v>
      </c>
      <c r="AY1228" s="416">
        <v>0</v>
      </c>
      <c r="AZ1228" s="416">
        <v>0</v>
      </c>
    </row>
    <row r="1229" spans="1:52" x14ac:dyDescent="0.25">
      <c r="A1229" s="415" t="str">
        <f t="shared" si="19"/>
        <v>SA-240 Gr.0</v>
      </c>
      <c r="B1229" s="415">
        <v>1223</v>
      </c>
      <c r="C1229" s="415" t="s">
        <v>3411</v>
      </c>
      <c r="D1229" s="415" t="s">
        <v>2684</v>
      </c>
      <c r="E1229" s="415" t="s">
        <v>2165</v>
      </c>
      <c r="F1229" s="415">
        <v>0</v>
      </c>
      <c r="G1229" s="415" t="s">
        <v>3412</v>
      </c>
      <c r="H1229" s="415">
        <v>0</v>
      </c>
      <c r="I1229" s="415">
        <v>0</v>
      </c>
      <c r="J1229" s="415" t="s">
        <v>3276</v>
      </c>
      <c r="K1229" s="415">
        <v>1</v>
      </c>
      <c r="L1229" s="415">
        <v>620</v>
      </c>
      <c r="M1229" s="415">
        <v>450</v>
      </c>
      <c r="N1229" s="415">
        <v>316</v>
      </c>
      <c r="O1229" s="415" t="s">
        <v>2675</v>
      </c>
      <c r="P1229" s="415">
        <v>316</v>
      </c>
      <c r="Q1229" s="415">
        <v>316</v>
      </c>
      <c r="R1229" s="415" t="s">
        <v>3061</v>
      </c>
      <c r="S1229" s="415" t="s">
        <v>3012</v>
      </c>
      <c r="T1229" s="416">
        <v>177</v>
      </c>
      <c r="U1229" s="416">
        <v>177</v>
      </c>
      <c r="V1229" s="416">
        <v>177</v>
      </c>
      <c r="W1229" s="416">
        <v>177</v>
      </c>
      <c r="X1229" s="416">
        <v>174</v>
      </c>
      <c r="Y1229" s="416">
        <v>171</v>
      </c>
      <c r="Z1229" s="416">
        <v>165</v>
      </c>
      <c r="AA1229" s="416">
        <v>161</v>
      </c>
      <c r="AB1229" s="416">
        <v>160</v>
      </c>
      <c r="AC1229" s="416">
        <v>159</v>
      </c>
      <c r="AD1229" s="416">
        <v>0</v>
      </c>
      <c r="AE1229" s="416">
        <v>0</v>
      </c>
      <c r="AF1229" s="416">
        <v>0</v>
      </c>
      <c r="AG1229" s="416">
        <v>0</v>
      </c>
      <c r="AH1229" s="416">
        <v>0</v>
      </c>
      <c r="AI1229" s="416">
        <v>0</v>
      </c>
      <c r="AJ1229" s="416">
        <v>0</v>
      </c>
      <c r="AK1229" s="416">
        <v>0</v>
      </c>
      <c r="AL1229" s="416">
        <v>0</v>
      </c>
      <c r="AM1229" s="416">
        <v>0</v>
      </c>
      <c r="AN1229" s="416">
        <v>0</v>
      </c>
      <c r="AO1229" s="416">
        <v>0</v>
      </c>
      <c r="AP1229" s="416">
        <v>0</v>
      </c>
      <c r="AQ1229" s="416">
        <v>0</v>
      </c>
      <c r="AR1229" s="416">
        <v>0</v>
      </c>
      <c r="AS1229" s="416">
        <v>0</v>
      </c>
      <c r="AT1229" s="416">
        <v>0</v>
      </c>
      <c r="AU1229" s="416">
        <v>0</v>
      </c>
      <c r="AV1229" s="416">
        <v>0</v>
      </c>
      <c r="AW1229" s="416">
        <v>0</v>
      </c>
      <c r="AX1229" s="416">
        <v>0</v>
      </c>
      <c r="AY1229" s="416">
        <v>0</v>
      </c>
      <c r="AZ1229" s="416">
        <v>0</v>
      </c>
    </row>
    <row r="1230" spans="1:52" x14ac:dyDescent="0.25">
      <c r="A1230" s="415" t="str">
        <f t="shared" si="19"/>
        <v>SA-479 Gr.0</v>
      </c>
      <c r="B1230" s="415">
        <v>1224</v>
      </c>
      <c r="C1230" s="415" t="s">
        <v>3411</v>
      </c>
      <c r="D1230" s="415" t="s">
        <v>2677</v>
      </c>
      <c r="E1230" s="415" t="s">
        <v>2245</v>
      </c>
      <c r="F1230" s="415">
        <v>0</v>
      </c>
      <c r="G1230" s="415" t="s">
        <v>3412</v>
      </c>
      <c r="H1230" s="415">
        <v>0</v>
      </c>
      <c r="I1230" s="415">
        <v>0</v>
      </c>
      <c r="J1230" s="415" t="s">
        <v>3276</v>
      </c>
      <c r="K1230" s="415">
        <v>1</v>
      </c>
      <c r="L1230" s="415">
        <v>620</v>
      </c>
      <c r="M1230" s="415">
        <v>450</v>
      </c>
      <c r="N1230" s="415">
        <v>316</v>
      </c>
      <c r="O1230" s="415" t="s">
        <v>2675</v>
      </c>
      <c r="P1230" s="415">
        <v>316</v>
      </c>
      <c r="Q1230" s="415" t="s">
        <v>2675</v>
      </c>
      <c r="R1230" s="415" t="s">
        <v>3061</v>
      </c>
      <c r="S1230" s="415" t="s">
        <v>3012</v>
      </c>
      <c r="T1230" s="416">
        <v>177</v>
      </c>
      <c r="U1230" s="416">
        <v>177</v>
      </c>
      <c r="V1230" s="416">
        <v>177</v>
      </c>
      <c r="W1230" s="416">
        <v>177</v>
      </c>
      <c r="X1230" s="416">
        <v>174</v>
      </c>
      <c r="Y1230" s="416">
        <v>171</v>
      </c>
      <c r="Z1230" s="416">
        <v>165</v>
      </c>
      <c r="AA1230" s="416">
        <v>161</v>
      </c>
      <c r="AB1230" s="416">
        <v>160</v>
      </c>
      <c r="AC1230" s="416">
        <v>159</v>
      </c>
      <c r="AD1230" s="416">
        <v>0</v>
      </c>
      <c r="AE1230" s="416">
        <v>0</v>
      </c>
      <c r="AF1230" s="416">
        <v>0</v>
      </c>
      <c r="AG1230" s="416">
        <v>0</v>
      </c>
      <c r="AH1230" s="416">
        <v>0</v>
      </c>
      <c r="AI1230" s="416">
        <v>0</v>
      </c>
      <c r="AJ1230" s="416">
        <v>0</v>
      </c>
      <c r="AK1230" s="416">
        <v>0</v>
      </c>
      <c r="AL1230" s="416">
        <v>0</v>
      </c>
      <c r="AM1230" s="416">
        <v>0</v>
      </c>
      <c r="AN1230" s="416">
        <v>0</v>
      </c>
      <c r="AO1230" s="416">
        <v>0</v>
      </c>
      <c r="AP1230" s="416">
        <v>0</v>
      </c>
      <c r="AQ1230" s="416">
        <v>0</v>
      </c>
      <c r="AR1230" s="416">
        <v>0</v>
      </c>
      <c r="AS1230" s="416">
        <v>0</v>
      </c>
      <c r="AT1230" s="416">
        <v>0</v>
      </c>
      <c r="AU1230" s="416">
        <v>0</v>
      </c>
      <c r="AV1230" s="416">
        <v>0</v>
      </c>
      <c r="AW1230" s="416">
        <v>0</v>
      </c>
      <c r="AX1230" s="416">
        <v>0</v>
      </c>
      <c r="AY1230" s="416">
        <v>0</v>
      </c>
      <c r="AZ1230" s="416">
        <v>0</v>
      </c>
    </row>
    <row r="1231" spans="1:52" x14ac:dyDescent="0.25">
      <c r="A1231" s="415" t="str">
        <f t="shared" si="19"/>
        <v>SA-789 Gr.0</v>
      </c>
      <c r="B1231" s="415">
        <v>1225</v>
      </c>
      <c r="C1231" s="415" t="s">
        <v>3411</v>
      </c>
      <c r="D1231" s="415" t="s">
        <v>2693</v>
      </c>
      <c r="E1231" s="415" t="s">
        <v>2322</v>
      </c>
      <c r="F1231" s="415">
        <v>0</v>
      </c>
      <c r="G1231" s="415" t="s">
        <v>3412</v>
      </c>
      <c r="H1231" s="415">
        <v>0</v>
      </c>
      <c r="I1231" s="415">
        <v>0</v>
      </c>
      <c r="J1231" s="415" t="s">
        <v>3276</v>
      </c>
      <c r="K1231" s="415">
        <v>1</v>
      </c>
      <c r="L1231" s="415">
        <v>620</v>
      </c>
      <c r="M1231" s="415">
        <v>450</v>
      </c>
      <c r="N1231" s="415">
        <v>316</v>
      </c>
      <c r="O1231" s="415" t="s">
        <v>2675</v>
      </c>
      <c r="P1231" s="415">
        <v>316</v>
      </c>
      <c r="Q1231" s="415">
        <v>316</v>
      </c>
      <c r="R1231" s="415" t="s">
        <v>3061</v>
      </c>
      <c r="S1231" s="415" t="s">
        <v>3012</v>
      </c>
      <c r="T1231" s="416">
        <v>177</v>
      </c>
      <c r="U1231" s="416">
        <v>177</v>
      </c>
      <c r="V1231" s="416">
        <v>177</v>
      </c>
      <c r="W1231" s="416">
        <v>177</v>
      </c>
      <c r="X1231" s="416">
        <v>174</v>
      </c>
      <c r="Y1231" s="416">
        <v>171</v>
      </c>
      <c r="Z1231" s="416">
        <v>165</v>
      </c>
      <c r="AA1231" s="416">
        <v>161</v>
      </c>
      <c r="AB1231" s="416">
        <v>160</v>
      </c>
      <c r="AC1231" s="416">
        <v>159</v>
      </c>
      <c r="AD1231" s="416">
        <v>0</v>
      </c>
      <c r="AE1231" s="416">
        <v>0</v>
      </c>
      <c r="AF1231" s="416">
        <v>0</v>
      </c>
      <c r="AG1231" s="416">
        <v>0</v>
      </c>
      <c r="AH1231" s="416">
        <v>0</v>
      </c>
      <c r="AI1231" s="416">
        <v>0</v>
      </c>
      <c r="AJ1231" s="416">
        <v>0</v>
      </c>
      <c r="AK1231" s="416">
        <v>0</v>
      </c>
      <c r="AL1231" s="416">
        <v>0</v>
      </c>
      <c r="AM1231" s="416">
        <v>0</v>
      </c>
      <c r="AN1231" s="416">
        <v>0</v>
      </c>
      <c r="AO1231" s="416">
        <v>0</v>
      </c>
      <c r="AP1231" s="416">
        <v>0</v>
      </c>
      <c r="AQ1231" s="416">
        <v>0</v>
      </c>
      <c r="AR1231" s="416">
        <v>0</v>
      </c>
      <c r="AS1231" s="416">
        <v>0</v>
      </c>
      <c r="AT1231" s="416">
        <v>0</v>
      </c>
      <c r="AU1231" s="416">
        <v>0</v>
      </c>
      <c r="AV1231" s="416">
        <v>0</v>
      </c>
      <c r="AW1231" s="416">
        <v>0</v>
      </c>
      <c r="AX1231" s="416">
        <v>0</v>
      </c>
      <c r="AY1231" s="416">
        <v>0</v>
      </c>
      <c r="AZ1231" s="416">
        <v>0</v>
      </c>
    </row>
    <row r="1232" spans="1:52" x14ac:dyDescent="0.25">
      <c r="A1232" s="415" t="str">
        <f t="shared" si="19"/>
        <v>SA-789 Gr.0</v>
      </c>
      <c r="B1232" s="415">
        <v>1226</v>
      </c>
      <c r="C1232" s="415" t="s">
        <v>3411</v>
      </c>
      <c r="D1232" s="415" t="s">
        <v>2689</v>
      </c>
      <c r="E1232" s="415" t="s">
        <v>2322</v>
      </c>
      <c r="F1232" s="415">
        <v>0</v>
      </c>
      <c r="G1232" s="415" t="s">
        <v>3412</v>
      </c>
      <c r="H1232" s="415">
        <v>0</v>
      </c>
      <c r="I1232" s="415">
        <v>0</v>
      </c>
      <c r="J1232" s="415" t="s">
        <v>3276</v>
      </c>
      <c r="K1232" s="415">
        <v>1</v>
      </c>
      <c r="L1232" s="415">
        <v>620</v>
      </c>
      <c r="M1232" s="415">
        <v>450</v>
      </c>
      <c r="N1232" s="415">
        <v>316</v>
      </c>
      <c r="O1232" s="415" t="s">
        <v>2675</v>
      </c>
      <c r="P1232" s="415">
        <v>316</v>
      </c>
      <c r="Q1232" s="415">
        <v>316</v>
      </c>
      <c r="R1232" s="415" t="s">
        <v>3061</v>
      </c>
      <c r="S1232" s="415" t="s">
        <v>3053</v>
      </c>
      <c r="T1232" s="416">
        <v>151</v>
      </c>
      <c r="U1232" s="416">
        <v>151</v>
      </c>
      <c r="V1232" s="416">
        <v>151</v>
      </c>
      <c r="W1232" s="416">
        <v>151</v>
      </c>
      <c r="X1232" s="416">
        <v>148</v>
      </c>
      <c r="Y1232" s="416">
        <v>145</v>
      </c>
      <c r="Z1232" s="416">
        <v>140</v>
      </c>
      <c r="AA1232" s="416">
        <v>137</v>
      </c>
      <c r="AB1232" s="416">
        <v>135</v>
      </c>
      <c r="AC1232" s="416">
        <v>135</v>
      </c>
      <c r="AD1232" s="416">
        <v>0</v>
      </c>
      <c r="AE1232" s="416">
        <v>0</v>
      </c>
      <c r="AF1232" s="416">
        <v>0</v>
      </c>
      <c r="AG1232" s="416">
        <v>0</v>
      </c>
      <c r="AH1232" s="416">
        <v>0</v>
      </c>
      <c r="AI1232" s="416">
        <v>0</v>
      </c>
      <c r="AJ1232" s="416">
        <v>0</v>
      </c>
      <c r="AK1232" s="416">
        <v>0</v>
      </c>
      <c r="AL1232" s="416">
        <v>0</v>
      </c>
      <c r="AM1232" s="416">
        <v>0</v>
      </c>
      <c r="AN1232" s="416">
        <v>0</v>
      </c>
      <c r="AO1232" s="416">
        <v>0</v>
      </c>
      <c r="AP1232" s="416">
        <v>0</v>
      </c>
      <c r="AQ1232" s="416">
        <v>0</v>
      </c>
      <c r="AR1232" s="416">
        <v>0</v>
      </c>
      <c r="AS1232" s="416">
        <v>0</v>
      </c>
      <c r="AT1232" s="416">
        <v>0</v>
      </c>
      <c r="AU1232" s="416">
        <v>0</v>
      </c>
      <c r="AV1232" s="416">
        <v>0</v>
      </c>
      <c r="AW1232" s="416">
        <v>0</v>
      </c>
      <c r="AX1232" s="416">
        <v>0</v>
      </c>
      <c r="AY1232" s="416">
        <v>0</v>
      </c>
      <c r="AZ1232" s="416">
        <v>0</v>
      </c>
    </row>
    <row r="1233" spans="1:52" x14ac:dyDescent="0.25">
      <c r="A1233" s="415" t="str">
        <f t="shared" si="19"/>
        <v>SA-790 Gr.0</v>
      </c>
      <c r="B1233" s="415">
        <v>1227</v>
      </c>
      <c r="C1233" s="415" t="s">
        <v>3411</v>
      </c>
      <c r="D1233" s="415" t="s">
        <v>2703</v>
      </c>
      <c r="E1233" s="415" t="s">
        <v>2324</v>
      </c>
      <c r="F1233" s="415">
        <v>0</v>
      </c>
      <c r="G1233" s="415" t="s">
        <v>3412</v>
      </c>
      <c r="H1233" s="415">
        <v>0</v>
      </c>
      <c r="I1233" s="415">
        <v>0</v>
      </c>
      <c r="J1233" s="415" t="s">
        <v>3276</v>
      </c>
      <c r="K1233" s="415">
        <v>1</v>
      </c>
      <c r="L1233" s="415">
        <v>620</v>
      </c>
      <c r="M1233" s="415">
        <v>450</v>
      </c>
      <c r="N1233" s="415">
        <v>316</v>
      </c>
      <c r="O1233" s="415" t="s">
        <v>2675</v>
      </c>
      <c r="P1233" s="415">
        <v>316</v>
      </c>
      <c r="Q1233" s="415">
        <v>316</v>
      </c>
      <c r="R1233" s="415" t="s">
        <v>3061</v>
      </c>
      <c r="S1233" s="415" t="s">
        <v>3012</v>
      </c>
      <c r="T1233" s="416">
        <v>177</v>
      </c>
      <c r="U1233" s="416">
        <v>177</v>
      </c>
      <c r="V1233" s="416">
        <v>177</v>
      </c>
      <c r="W1233" s="416">
        <v>177</v>
      </c>
      <c r="X1233" s="416">
        <v>174</v>
      </c>
      <c r="Y1233" s="416">
        <v>171</v>
      </c>
      <c r="Z1233" s="416">
        <v>165</v>
      </c>
      <c r="AA1233" s="416">
        <v>161</v>
      </c>
      <c r="AB1233" s="416">
        <v>160</v>
      </c>
      <c r="AC1233" s="416">
        <v>159</v>
      </c>
      <c r="AD1233" s="416">
        <v>0</v>
      </c>
      <c r="AE1233" s="416">
        <v>0</v>
      </c>
      <c r="AF1233" s="416">
        <v>0</v>
      </c>
      <c r="AG1233" s="416">
        <v>0</v>
      </c>
      <c r="AH1233" s="416">
        <v>0</v>
      </c>
      <c r="AI1233" s="416">
        <v>0</v>
      </c>
      <c r="AJ1233" s="416">
        <v>0</v>
      </c>
      <c r="AK1233" s="416">
        <v>0</v>
      </c>
      <c r="AL1233" s="416">
        <v>0</v>
      </c>
      <c r="AM1233" s="416">
        <v>0</v>
      </c>
      <c r="AN1233" s="416">
        <v>0</v>
      </c>
      <c r="AO1233" s="416">
        <v>0</v>
      </c>
      <c r="AP1233" s="416">
        <v>0</v>
      </c>
      <c r="AQ1233" s="416">
        <v>0</v>
      </c>
      <c r="AR1233" s="416">
        <v>0</v>
      </c>
      <c r="AS1233" s="416">
        <v>0</v>
      </c>
      <c r="AT1233" s="416">
        <v>0</v>
      </c>
      <c r="AU1233" s="416">
        <v>0</v>
      </c>
      <c r="AV1233" s="416">
        <v>0</v>
      </c>
      <c r="AW1233" s="416">
        <v>0</v>
      </c>
      <c r="AX1233" s="416">
        <v>0</v>
      </c>
      <c r="AY1233" s="416">
        <v>0</v>
      </c>
      <c r="AZ1233" s="416">
        <v>0</v>
      </c>
    </row>
    <row r="1234" spans="1:52" x14ac:dyDescent="0.25">
      <c r="A1234" s="415" t="str">
        <f t="shared" si="19"/>
        <v>SA-790 Gr.0</v>
      </c>
      <c r="B1234" s="415">
        <v>1228</v>
      </c>
      <c r="C1234" s="415" t="s">
        <v>3411</v>
      </c>
      <c r="D1234" s="415" t="s">
        <v>2680</v>
      </c>
      <c r="E1234" s="415" t="s">
        <v>2324</v>
      </c>
      <c r="F1234" s="415">
        <v>0</v>
      </c>
      <c r="G1234" s="415" t="s">
        <v>3412</v>
      </c>
      <c r="H1234" s="415">
        <v>0</v>
      </c>
      <c r="I1234" s="415">
        <v>0</v>
      </c>
      <c r="J1234" s="415" t="s">
        <v>3276</v>
      </c>
      <c r="K1234" s="415">
        <v>1</v>
      </c>
      <c r="L1234" s="415">
        <v>620</v>
      </c>
      <c r="M1234" s="415">
        <v>450</v>
      </c>
      <c r="N1234" s="415">
        <v>316</v>
      </c>
      <c r="O1234" s="415" t="s">
        <v>2675</v>
      </c>
      <c r="P1234" s="415">
        <v>316</v>
      </c>
      <c r="Q1234" s="415">
        <v>316</v>
      </c>
      <c r="R1234" s="415" t="s">
        <v>3061</v>
      </c>
      <c r="S1234" s="415" t="s">
        <v>3053</v>
      </c>
      <c r="T1234" s="416">
        <v>151</v>
      </c>
      <c r="U1234" s="416">
        <v>151</v>
      </c>
      <c r="V1234" s="416">
        <v>151</v>
      </c>
      <c r="W1234" s="416">
        <v>151</v>
      </c>
      <c r="X1234" s="416">
        <v>148</v>
      </c>
      <c r="Y1234" s="416">
        <v>145</v>
      </c>
      <c r="Z1234" s="416">
        <v>140</v>
      </c>
      <c r="AA1234" s="416">
        <v>137</v>
      </c>
      <c r="AB1234" s="416">
        <v>135</v>
      </c>
      <c r="AC1234" s="416">
        <v>135</v>
      </c>
      <c r="AD1234" s="416">
        <v>0</v>
      </c>
      <c r="AE1234" s="416">
        <v>0</v>
      </c>
      <c r="AF1234" s="416">
        <v>0</v>
      </c>
      <c r="AG1234" s="416">
        <v>0</v>
      </c>
      <c r="AH1234" s="416">
        <v>0</v>
      </c>
      <c r="AI1234" s="416">
        <v>0</v>
      </c>
      <c r="AJ1234" s="416">
        <v>0</v>
      </c>
      <c r="AK1234" s="416">
        <v>0</v>
      </c>
      <c r="AL1234" s="416">
        <v>0</v>
      </c>
      <c r="AM1234" s="416">
        <v>0</v>
      </c>
      <c r="AN1234" s="416">
        <v>0</v>
      </c>
      <c r="AO1234" s="416">
        <v>0</v>
      </c>
      <c r="AP1234" s="416">
        <v>0</v>
      </c>
      <c r="AQ1234" s="416">
        <v>0</v>
      </c>
      <c r="AR1234" s="416">
        <v>0</v>
      </c>
      <c r="AS1234" s="416">
        <v>0</v>
      </c>
      <c r="AT1234" s="416">
        <v>0</v>
      </c>
      <c r="AU1234" s="416">
        <v>0</v>
      </c>
      <c r="AV1234" s="416">
        <v>0</v>
      </c>
      <c r="AW1234" s="416">
        <v>0</v>
      </c>
      <c r="AX1234" s="416">
        <v>0</v>
      </c>
      <c r="AY1234" s="416">
        <v>0</v>
      </c>
      <c r="AZ1234" s="416">
        <v>0</v>
      </c>
    </row>
    <row r="1235" spans="1:52" x14ac:dyDescent="0.25">
      <c r="A1235" s="415" t="str">
        <f t="shared" si="19"/>
        <v>SA-815 Gr.0</v>
      </c>
      <c r="B1235" s="415">
        <v>1229</v>
      </c>
      <c r="C1235" s="415" t="s">
        <v>3411</v>
      </c>
      <c r="D1235" s="415" t="s">
        <v>3413</v>
      </c>
      <c r="E1235" s="415" t="s">
        <v>2332</v>
      </c>
      <c r="F1235" s="415">
        <v>0</v>
      </c>
      <c r="G1235" s="415" t="s">
        <v>3412</v>
      </c>
      <c r="H1235" s="415">
        <v>0</v>
      </c>
      <c r="I1235" s="415">
        <v>0</v>
      </c>
      <c r="J1235" s="415" t="s">
        <v>3276</v>
      </c>
      <c r="K1235" s="415">
        <v>1</v>
      </c>
      <c r="L1235" s="415">
        <v>620</v>
      </c>
      <c r="M1235" s="415">
        <v>450</v>
      </c>
      <c r="N1235" s="415">
        <v>316</v>
      </c>
      <c r="O1235" s="415" t="s">
        <v>2675</v>
      </c>
      <c r="P1235" s="415" t="s">
        <v>2675</v>
      </c>
      <c r="Q1235" s="415" t="s">
        <v>2675</v>
      </c>
      <c r="R1235" s="415" t="s">
        <v>3061</v>
      </c>
      <c r="S1235" s="415" t="s">
        <v>3012</v>
      </c>
      <c r="T1235" s="416">
        <v>177</v>
      </c>
      <c r="U1235" s="416">
        <v>177</v>
      </c>
      <c r="V1235" s="416">
        <v>177</v>
      </c>
      <c r="W1235" s="416">
        <v>177</v>
      </c>
      <c r="X1235" s="416">
        <v>174</v>
      </c>
      <c r="Y1235" s="416">
        <v>171</v>
      </c>
      <c r="Z1235" s="416">
        <v>165</v>
      </c>
      <c r="AA1235" s="416">
        <v>161</v>
      </c>
      <c r="AB1235" s="416">
        <v>160</v>
      </c>
      <c r="AC1235" s="416">
        <v>159</v>
      </c>
      <c r="AD1235" s="416">
        <v>0</v>
      </c>
      <c r="AE1235" s="416">
        <v>0</v>
      </c>
      <c r="AF1235" s="416">
        <v>0</v>
      </c>
      <c r="AG1235" s="416">
        <v>0</v>
      </c>
      <c r="AH1235" s="416">
        <v>0</v>
      </c>
      <c r="AI1235" s="416">
        <v>0</v>
      </c>
      <c r="AJ1235" s="416">
        <v>0</v>
      </c>
      <c r="AK1235" s="416">
        <v>0</v>
      </c>
      <c r="AL1235" s="416">
        <v>0</v>
      </c>
      <c r="AM1235" s="416">
        <v>0</v>
      </c>
      <c r="AN1235" s="416">
        <v>0</v>
      </c>
      <c r="AO1235" s="416">
        <v>0</v>
      </c>
      <c r="AP1235" s="416">
        <v>0</v>
      </c>
      <c r="AQ1235" s="416">
        <v>0</v>
      </c>
      <c r="AR1235" s="416">
        <v>0</v>
      </c>
      <c r="AS1235" s="416">
        <v>0</v>
      </c>
      <c r="AT1235" s="416">
        <v>0</v>
      </c>
      <c r="AU1235" s="416">
        <v>0</v>
      </c>
      <c r="AV1235" s="416">
        <v>0</v>
      </c>
      <c r="AW1235" s="416">
        <v>0</v>
      </c>
      <c r="AX1235" s="416">
        <v>0</v>
      </c>
      <c r="AY1235" s="416">
        <v>0</v>
      </c>
      <c r="AZ1235" s="416">
        <v>0</v>
      </c>
    </row>
    <row r="1236" spans="1:52" x14ac:dyDescent="0.25">
      <c r="A1236" s="415" t="str">
        <f t="shared" si="19"/>
        <v>SA-815 Gr.0</v>
      </c>
      <c r="B1236" s="415">
        <v>1230</v>
      </c>
      <c r="C1236" s="415" t="s">
        <v>3411</v>
      </c>
      <c r="D1236" s="415" t="s">
        <v>3414</v>
      </c>
      <c r="E1236" s="415" t="s">
        <v>2332</v>
      </c>
      <c r="F1236" s="415">
        <v>0</v>
      </c>
      <c r="G1236" s="415" t="s">
        <v>3412</v>
      </c>
      <c r="H1236" s="415">
        <v>0</v>
      </c>
      <c r="I1236" s="415">
        <v>0</v>
      </c>
      <c r="J1236" s="415" t="s">
        <v>3276</v>
      </c>
      <c r="K1236" s="415">
        <v>1</v>
      </c>
      <c r="L1236" s="415">
        <v>620</v>
      </c>
      <c r="M1236" s="415">
        <v>450</v>
      </c>
      <c r="N1236" s="415">
        <v>316</v>
      </c>
      <c r="O1236" s="415" t="s">
        <v>2675</v>
      </c>
      <c r="P1236" s="415" t="s">
        <v>2675</v>
      </c>
      <c r="Q1236" s="415" t="s">
        <v>2675</v>
      </c>
      <c r="R1236" s="415" t="s">
        <v>3061</v>
      </c>
      <c r="S1236" s="415" t="s">
        <v>3053</v>
      </c>
      <c r="T1236" s="416">
        <v>151</v>
      </c>
      <c r="U1236" s="416">
        <v>151</v>
      </c>
      <c r="V1236" s="416">
        <v>151</v>
      </c>
      <c r="W1236" s="416">
        <v>151</v>
      </c>
      <c r="X1236" s="416">
        <v>148</v>
      </c>
      <c r="Y1236" s="416">
        <v>145</v>
      </c>
      <c r="Z1236" s="416">
        <v>140</v>
      </c>
      <c r="AA1236" s="416">
        <v>137</v>
      </c>
      <c r="AB1236" s="416">
        <v>135</v>
      </c>
      <c r="AC1236" s="416">
        <v>135</v>
      </c>
      <c r="AD1236" s="416">
        <v>0</v>
      </c>
      <c r="AE1236" s="416">
        <v>0</v>
      </c>
      <c r="AF1236" s="416">
        <v>0</v>
      </c>
      <c r="AG1236" s="416">
        <v>0</v>
      </c>
      <c r="AH1236" s="416">
        <v>0</v>
      </c>
      <c r="AI1236" s="416">
        <v>0</v>
      </c>
      <c r="AJ1236" s="416">
        <v>0</v>
      </c>
      <c r="AK1236" s="416">
        <v>0</v>
      </c>
      <c r="AL1236" s="416">
        <v>0</v>
      </c>
      <c r="AM1236" s="416">
        <v>0</v>
      </c>
      <c r="AN1236" s="416">
        <v>0</v>
      </c>
      <c r="AO1236" s="416">
        <v>0</v>
      </c>
      <c r="AP1236" s="416">
        <v>0</v>
      </c>
      <c r="AQ1236" s="416">
        <v>0</v>
      </c>
      <c r="AR1236" s="416">
        <v>0</v>
      </c>
      <c r="AS1236" s="416">
        <v>0</v>
      </c>
      <c r="AT1236" s="416">
        <v>0</v>
      </c>
      <c r="AU1236" s="416">
        <v>0</v>
      </c>
      <c r="AV1236" s="416">
        <v>0</v>
      </c>
      <c r="AW1236" s="416">
        <v>0</v>
      </c>
      <c r="AX1236" s="416">
        <v>0</v>
      </c>
      <c r="AY1236" s="416">
        <v>0</v>
      </c>
      <c r="AZ1236" s="416">
        <v>0</v>
      </c>
    </row>
    <row r="1237" spans="1:52" x14ac:dyDescent="0.25">
      <c r="A1237" s="415" t="str">
        <f t="shared" si="19"/>
        <v>SA-815 Gr.0</v>
      </c>
      <c r="B1237" s="415">
        <v>1231</v>
      </c>
      <c r="C1237" s="415" t="s">
        <v>3411</v>
      </c>
      <c r="D1237" s="415" t="s">
        <v>2758</v>
      </c>
      <c r="E1237" s="415" t="s">
        <v>2332</v>
      </c>
      <c r="F1237" s="415">
        <v>0</v>
      </c>
      <c r="G1237" s="415" t="s">
        <v>3412</v>
      </c>
      <c r="H1237" s="415">
        <v>0</v>
      </c>
      <c r="I1237" s="415">
        <v>0</v>
      </c>
      <c r="J1237" s="415" t="s">
        <v>3276</v>
      </c>
      <c r="K1237" s="415">
        <v>1</v>
      </c>
      <c r="L1237" s="415">
        <v>620</v>
      </c>
      <c r="M1237" s="415">
        <v>450</v>
      </c>
      <c r="N1237" s="415" t="s">
        <v>2675</v>
      </c>
      <c r="O1237" s="415" t="s">
        <v>2675</v>
      </c>
      <c r="P1237" s="415">
        <v>316</v>
      </c>
      <c r="Q1237" s="415">
        <v>316</v>
      </c>
      <c r="R1237" s="415" t="s">
        <v>3061</v>
      </c>
      <c r="S1237" s="415" t="s">
        <v>3017</v>
      </c>
      <c r="T1237" s="416">
        <v>177</v>
      </c>
      <c r="U1237" s="416">
        <v>177</v>
      </c>
      <c r="V1237" s="416">
        <v>177</v>
      </c>
      <c r="W1237" s="416">
        <v>177</v>
      </c>
      <c r="X1237" s="416">
        <v>174</v>
      </c>
      <c r="Y1237" s="416">
        <v>171</v>
      </c>
      <c r="Z1237" s="416">
        <v>165</v>
      </c>
      <c r="AA1237" s="416">
        <v>161</v>
      </c>
      <c r="AB1237" s="416">
        <v>160</v>
      </c>
      <c r="AC1237" s="416">
        <v>159</v>
      </c>
      <c r="AD1237" s="416">
        <v>0</v>
      </c>
      <c r="AE1237" s="416">
        <v>0</v>
      </c>
      <c r="AF1237" s="416">
        <v>0</v>
      </c>
      <c r="AG1237" s="416">
        <v>0</v>
      </c>
      <c r="AH1237" s="416">
        <v>0</v>
      </c>
      <c r="AI1237" s="416">
        <v>0</v>
      </c>
      <c r="AJ1237" s="416">
        <v>0</v>
      </c>
      <c r="AK1237" s="416">
        <v>0</v>
      </c>
      <c r="AL1237" s="416">
        <v>0</v>
      </c>
      <c r="AM1237" s="416">
        <v>0</v>
      </c>
      <c r="AN1237" s="416">
        <v>0</v>
      </c>
      <c r="AO1237" s="416">
        <v>0</v>
      </c>
      <c r="AP1237" s="416">
        <v>0</v>
      </c>
      <c r="AQ1237" s="416">
        <v>0</v>
      </c>
      <c r="AR1237" s="416">
        <v>0</v>
      </c>
      <c r="AS1237" s="416">
        <v>0</v>
      </c>
      <c r="AT1237" s="416">
        <v>0</v>
      </c>
      <c r="AU1237" s="416">
        <v>0</v>
      </c>
      <c r="AV1237" s="416">
        <v>0</v>
      </c>
      <c r="AW1237" s="416">
        <v>0</v>
      </c>
      <c r="AX1237" s="416">
        <v>0</v>
      </c>
      <c r="AY1237" s="416">
        <v>0</v>
      </c>
      <c r="AZ1237" s="416">
        <v>0</v>
      </c>
    </row>
    <row r="1238" spans="1:52" x14ac:dyDescent="0.25">
      <c r="A1238" s="415" t="str">
        <f t="shared" si="19"/>
        <v>SA-351 Gr.CG6MMN</v>
      </c>
      <c r="B1238" s="415">
        <v>1232</v>
      </c>
      <c r="C1238" s="415" t="s">
        <v>3415</v>
      </c>
      <c r="D1238" s="415" t="s">
        <v>2739</v>
      </c>
      <c r="E1238" s="415" t="s">
        <v>2213</v>
      </c>
      <c r="F1238" s="415" t="s">
        <v>2379</v>
      </c>
      <c r="G1238" s="415" t="s">
        <v>3416</v>
      </c>
      <c r="H1238" s="415">
        <v>0</v>
      </c>
      <c r="I1238" s="415">
        <v>0</v>
      </c>
      <c r="J1238" s="415">
        <v>8</v>
      </c>
      <c r="K1238" s="415">
        <v>3</v>
      </c>
      <c r="L1238" s="415">
        <v>585</v>
      </c>
      <c r="M1238" s="415">
        <v>295</v>
      </c>
      <c r="N1238" s="415" t="s">
        <v>2675</v>
      </c>
      <c r="O1238" s="415" t="s">
        <v>2675</v>
      </c>
      <c r="P1238" s="415">
        <v>566</v>
      </c>
      <c r="Q1238" s="415">
        <v>343</v>
      </c>
      <c r="R1238" s="415" t="s">
        <v>3069</v>
      </c>
      <c r="S1238" s="415" t="s">
        <v>3086</v>
      </c>
      <c r="T1238" s="416">
        <v>134</v>
      </c>
      <c r="U1238" s="416">
        <v>134</v>
      </c>
      <c r="V1238" s="416">
        <v>133</v>
      </c>
      <c r="W1238" s="416">
        <v>132</v>
      </c>
      <c r="X1238" s="416">
        <v>128</v>
      </c>
      <c r="Y1238" s="416">
        <v>123</v>
      </c>
      <c r="Z1238" s="416">
        <v>116</v>
      </c>
      <c r="AA1238" s="416">
        <v>111</v>
      </c>
      <c r="AB1238" s="416">
        <v>107</v>
      </c>
      <c r="AC1238" s="416">
        <v>106</v>
      </c>
      <c r="AD1238" s="416">
        <v>104</v>
      </c>
      <c r="AE1238" s="416">
        <v>102</v>
      </c>
      <c r="AF1238" s="416">
        <v>101</v>
      </c>
      <c r="AG1238" s="416">
        <v>101</v>
      </c>
      <c r="AH1238" s="416">
        <v>99.5</v>
      </c>
      <c r="AI1238" s="416">
        <v>98.2</v>
      </c>
      <c r="AJ1238" s="416">
        <v>97.5</v>
      </c>
      <c r="AK1238" s="416">
        <v>96.6</v>
      </c>
      <c r="AL1238" s="416">
        <v>95</v>
      </c>
      <c r="AM1238" s="416">
        <v>93.1</v>
      </c>
      <c r="AN1238" s="416">
        <v>0</v>
      </c>
      <c r="AO1238" s="416">
        <v>0</v>
      </c>
      <c r="AP1238" s="416">
        <v>0</v>
      </c>
      <c r="AQ1238" s="416">
        <v>0</v>
      </c>
      <c r="AR1238" s="416">
        <v>0</v>
      </c>
      <c r="AS1238" s="416">
        <v>0</v>
      </c>
      <c r="AT1238" s="416">
        <v>0</v>
      </c>
      <c r="AU1238" s="416">
        <v>0</v>
      </c>
      <c r="AV1238" s="416">
        <v>0</v>
      </c>
      <c r="AW1238" s="416">
        <v>0</v>
      </c>
      <c r="AX1238" s="416">
        <v>0</v>
      </c>
      <c r="AY1238" s="416">
        <v>0</v>
      </c>
      <c r="AZ1238" s="416">
        <v>0</v>
      </c>
    </row>
    <row r="1239" spans="1:52" x14ac:dyDescent="0.25">
      <c r="A1239" s="415" t="str">
        <f t="shared" si="19"/>
        <v>SA-182 Gr.FXM-19</v>
      </c>
      <c r="B1239" s="415">
        <v>1233</v>
      </c>
      <c r="C1239" s="415" t="s">
        <v>3415</v>
      </c>
      <c r="D1239" s="415" t="s">
        <v>2737</v>
      </c>
      <c r="E1239" s="415" t="s">
        <v>2188</v>
      </c>
      <c r="F1239" s="415" t="s">
        <v>2477</v>
      </c>
      <c r="G1239" s="415" t="s">
        <v>3417</v>
      </c>
      <c r="H1239" s="415">
        <v>0</v>
      </c>
      <c r="I1239" s="415">
        <v>0</v>
      </c>
      <c r="J1239" s="415">
        <v>8</v>
      </c>
      <c r="K1239" s="415">
        <v>3</v>
      </c>
      <c r="L1239" s="415">
        <v>690</v>
      </c>
      <c r="M1239" s="415">
        <v>380</v>
      </c>
      <c r="N1239" s="415" t="s">
        <v>2675</v>
      </c>
      <c r="O1239" s="415">
        <v>427</v>
      </c>
      <c r="P1239" s="415">
        <v>649</v>
      </c>
      <c r="Q1239" s="415">
        <v>343</v>
      </c>
      <c r="R1239" s="415" t="s">
        <v>3073</v>
      </c>
      <c r="S1239" s="415" t="s">
        <v>3240</v>
      </c>
      <c r="T1239" s="416">
        <v>197</v>
      </c>
      <c r="U1239" s="416">
        <v>197</v>
      </c>
      <c r="V1239" s="416">
        <v>196</v>
      </c>
      <c r="W1239" s="416">
        <v>195</v>
      </c>
      <c r="X1239" s="416">
        <v>191</v>
      </c>
      <c r="Y1239" s="416">
        <v>185</v>
      </c>
      <c r="Z1239" s="416">
        <v>180</v>
      </c>
      <c r="AA1239" s="416">
        <v>176</v>
      </c>
      <c r="AB1239" s="416">
        <v>174</v>
      </c>
      <c r="AC1239" s="416">
        <v>173</v>
      </c>
      <c r="AD1239" s="416">
        <v>171</v>
      </c>
      <c r="AE1239" s="416">
        <v>170</v>
      </c>
      <c r="AF1239" s="416">
        <v>169</v>
      </c>
      <c r="AG1239" s="416">
        <v>167</v>
      </c>
      <c r="AH1239" s="416">
        <v>165</v>
      </c>
      <c r="AI1239" s="416">
        <v>163</v>
      </c>
      <c r="AJ1239" s="416">
        <v>161</v>
      </c>
      <c r="AK1239" s="416">
        <v>158</v>
      </c>
      <c r="AL1239" s="416">
        <v>157</v>
      </c>
      <c r="AM1239" s="416">
        <v>152</v>
      </c>
      <c r="AN1239" s="416">
        <v>132</v>
      </c>
      <c r="AO1239" s="416">
        <v>83.6</v>
      </c>
      <c r="AP1239" s="416">
        <v>56.1</v>
      </c>
      <c r="AQ1239" s="416">
        <v>0</v>
      </c>
      <c r="AR1239" s="416">
        <v>0</v>
      </c>
      <c r="AS1239" s="416">
        <v>0</v>
      </c>
      <c r="AT1239" s="416">
        <v>0</v>
      </c>
      <c r="AU1239" s="416">
        <v>0</v>
      </c>
      <c r="AV1239" s="416">
        <v>0</v>
      </c>
      <c r="AW1239" s="416">
        <v>0</v>
      </c>
      <c r="AX1239" s="416">
        <v>0</v>
      </c>
      <c r="AY1239" s="416">
        <v>0</v>
      </c>
      <c r="AZ1239" s="416">
        <v>0</v>
      </c>
    </row>
    <row r="1240" spans="1:52" x14ac:dyDescent="0.25">
      <c r="A1240" s="415" t="str">
        <f t="shared" si="19"/>
        <v>SA-213 Gr.XM-19</v>
      </c>
      <c r="B1240" s="415">
        <v>1234</v>
      </c>
      <c r="C1240" s="415" t="s">
        <v>3415</v>
      </c>
      <c r="D1240" s="415" t="s">
        <v>2693</v>
      </c>
      <c r="E1240" s="415" t="s">
        <v>2195</v>
      </c>
      <c r="F1240" s="415" t="s">
        <v>2621</v>
      </c>
      <c r="G1240" s="415" t="s">
        <v>3417</v>
      </c>
      <c r="H1240" s="415">
        <v>0</v>
      </c>
      <c r="I1240" s="415">
        <v>0</v>
      </c>
      <c r="J1240" s="415">
        <v>8</v>
      </c>
      <c r="K1240" s="415">
        <v>3</v>
      </c>
      <c r="L1240" s="415">
        <v>690</v>
      </c>
      <c r="M1240" s="415">
        <v>380</v>
      </c>
      <c r="N1240" s="415" t="s">
        <v>2675</v>
      </c>
      <c r="O1240" s="415" t="s">
        <v>2675</v>
      </c>
      <c r="P1240" s="415">
        <v>649</v>
      </c>
      <c r="Q1240" s="415" t="s">
        <v>2675</v>
      </c>
      <c r="R1240" s="415" t="s">
        <v>3073</v>
      </c>
      <c r="S1240" s="415" t="s">
        <v>3293</v>
      </c>
      <c r="T1240" s="416">
        <v>197</v>
      </c>
      <c r="U1240" s="416">
        <v>197</v>
      </c>
      <c r="V1240" s="416">
        <v>196</v>
      </c>
      <c r="W1240" s="416">
        <v>195</v>
      </c>
      <c r="X1240" s="416">
        <v>191</v>
      </c>
      <c r="Y1240" s="416">
        <v>185</v>
      </c>
      <c r="Z1240" s="416">
        <v>180</v>
      </c>
      <c r="AA1240" s="416">
        <v>176</v>
      </c>
      <c r="AB1240" s="416">
        <v>174</v>
      </c>
      <c r="AC1240" s="416">
        <v>172</v>
      </c>
      <c r="AD1240" s="416">
        <v>169</v>
      </c>
      <c r="AE1240" s="416">
        <v>167</v>
      </c>
      <c r="AF1240" s="416">
        <v>165</v>
      </c>
      <c r="AG1240" s="416">
        <v>162</v>
      </c>
      <c r="AH1240" s="416">
        <v>161</v>
      </c>
      <c r="AI1240" s="416">
        <v>159</v>
      </c>
      <c r="AJ1240" s="416">
        <v>157</v>
      </c>
      <c r="AK1240" s="416">
        <v>156</v>
      </c>
      <c r="AL1240" s="416">
        <v>154</v>
      </c>
      <c r="AM1240" s="416">
        <v>152</v>
      </c>
      <c r="AN1240" s="416">
        <v>132</v>
      </c>
      <c r="AO1240" s="416">
        <v>83.6</v>
      </c>
      <c r="AP1240" s="416">
        <v>56.1</v>
      </c>
      <c r="AQ1240" s="416">
        <v>0</v>
      </c>
      <c r="AR1240" s="416">
        <v>0</v>
      </c>
      <c r="AS1240" s="416">
        <v>0</v>
      </c>
      <c r="AT1240" s="416">
        <v>0</v>
      </c>
      <c r="AU1240" s="416">
        <v>0</v>
      </c>
      <c r="AV1240" s="416">
        <v>0</v>
      </c>
      <c r="AW1240" s="416">
        <v>0</v>
      </c>
      <c r="AX1240" s="416">
        <v>0</v>
      </c>
      <c r="AY1240" s="416">
        <v>0</v>
      </c>
      <c r="AZ1240" s="416">
        <v>0</v>
      </c>
    </row>
    <row r="1241" spans="1:52" x14ac:dyDescent="0.25">
      <c r="A1241" s="415" t="str">
        <f t="shared" si="19"/>
        <v>SA-240 Gr.XM-19</v>
      </c>
      <c r="B1241" s="415">
        <v>1235</v>
      </c>
      <c r="C1241" s="415" t="s">
        <v>3415</v>
      </c>
      <c r="D1241" s="415" t="s">
        <v>2684</v>
      </c>
      <c r="E1241" s="415" t="s">
        <v>2165</v>
      </c>
      <c r="F1241" s="415" t="s">
        <v>2621</v>
      </c>
      <c r="G1241" s="415" t="s">
        <v>3417</v>
      </c>
      <c r="H1241" s="415">
        <v>0</v>
      </c>
      <c r="I1241" s="415">
        <v>0</v>
      </c>
      <c r="J1241" s="415">
        <v>8</v>
      </c>
      <c r="K1241" s="415">
        <v>3</v>
      </c>
      <c r="L1241" s="415">
        <v>690</v>
      </c>
      <c r="M1241" s="415">
        <v>380</v>
      </c>
      <c r="N1241" s="415" t="s">
        <v>2675</v>
      </c>
      <c r="O1241" s="415">
        <v>427</v>
      </c>
      <c r="P1241" s="415">
        <v>649</v>
      </c>
      <c r="Q1241" s="415">
        <v>343</v>
      </c>
      <c r="R1241" s="415" t="s">
        <v>3073</v>
      </c>
      <c r="S1241" s="415" t="s">
        <v>3240</v>
      </c>
      <c r="T1241" s="416">
        <v>197</v>
      </c>
      <c r="U1241" s="416">
        <v>197</v>
      </c>
      <c r="V1241" s="416">
        <v>196</v>
      </c>
      <c r="W1241" s="416">
        <v>195</v>
      </c>
      <c r="X1241" s="416">
        <v>191</v>
      </c>
      <c r="Y1241" s="416">
        <v>185</v>
      </c>
      <c r="Z1241" s="416">
        <v>180</v>
      </c>
      <c r="AA1241" s="416">
        <v>176</v>
      </c>
      <c r="AB1241" s="416">
        <v>174</v>
      </c>
      <c r="AC1241" s="416">
        <v>173</v>
      </c>
      <c r="AD1241" s="416">
        <v>171</v>
      </c>
      <c r="AE1241" s="416">
        <v>170</v>
      </c>
      <c r="AF1241" s="416">
        <v>169</v>
      </c>
      <c r="AG1241" s="416">
        <v>167</v>
      </c>
      <c r="AH1241" s="416">
        <v>165</v>
      </c>
      <c r="AI1241" s="416">
        <v>163</v>
      </c>
      <c r="AJ1241" s="416">
        <v>161</v>
      </c>
      <c r="AK1241" s="416">
        <v>158</v>
      </c>
      <c r="AL1241" s="416">
        <v>157</v>
      </c>
      <c r="AM1241" s="416">
        <v>152</v>
      </c>
      <c r="AN1241" s="416">
        <v>132</v>
      </c>
      <c r="AO1241" s="416">
        <v>83.6</v>
      </c>
      <c r="AP1241" s="416">
        <v>56.1</v>
      </c>
      <c r="AQ1241" s="416">
        <v>0</v>
      </c>
      <c r="AR1241" s="416">
        <v>0</v>
      </c>
      <c r="AS1241" s="416">
        <v>0</v>
      </c>
      <c r="AT1241" s="416">
        <v>0</v>
      </c>
      <c r="AU1241" s="416">
        <v>0</v>
      </c>
      <c r="AV1241" s="416">
        <v>0</v>
      </c>
      <c r="AW1241" s="416">
        <v>0</v>
      </c>
      <c r="AX1241" s="416">
        <v>0</v>
      </c>
      <c r="AY1241" s="416">
        <v>0</v>
      </c>
      <c r="AZ1241" s="416">
        <v>0</v>
      </c>
    </row>
    <row r="1242" spans="1:52" x14ac:dyDescent="0.25">
      <c r="A1242" s="415" t="str">
        <f t="shared" si="19"/>
        <v>SA-249 Gr.TPXM-19</v>
      </c>
      <c r="B1242" s="415">
        <v>1236</v>
      </c>
      <c r="C1242" s="415" t="s">
        <v>3415</v>
      </c>
      <c r="D1242" s="415" t="s">
        <v>2689</v>
      </c>
      <c r="E1242" s="415" t="s">
        <v>2200</v>
      </c>
      <c r="F1242" s="415" t="s">
        <v>2592</v>
      </c>
      <c r="G1242" s="415" t="s">
        <v>3417</v>
      </c>
      <c r="H1242" s="415">
        <v>0</v>
      </c>
      <c r="I1242" s="415">
        <v>0</v>
      </c>
      <c r="J1242" s="415">
        <v>8</v>
      </c>
      <c r="K1242" s="415">
        <v>3</v>
      </c>
      <c r="L1242" s="415">
        <v>690</v>
      </c>
      <c r="M1242" s="415">
        <v>380</v>
      </c>
      <c r="N1242" s="415" t="s">
        <v>2675</v>
      </c>
      <c r="O1242" s="415">
        <v>427</v>
      </c>
      <c r="P1242" s="415" t="s">
        <v>2675</v>
      </c>
      <c r="Q1242" s="415" t="s">
        <v>2675</v>
      </c>
      <c r="R1242" s="415" t="s">
        <v>3073</v>
      </c>
      <c r="S1242" s="415" t="s">
        <v>3208</v>
      </c>
      <c r="T1242" s="416">
        <v>197</v>
      </c>
      <c r="U1242" s="416">
        <v>197</v>
      </c>
      <c r="V1242" s="416">
        <v>196</v>
      </c>
      <c r="W1242" s="416">
        <v>195</v>
      </c>
      <c r="X1242" s="416">
        <v>191</v>
      </c>
      <c r="Y1242" s="416">
        <v>185</v>
      </c>
      <c r="Z1242" s="416">
        <v>180</v>
      </c>
      <c r="AA1242" s="416">
        <v>176</v>
      </c>
      <c r="AB1242" s="416">
        <v>174</v>
      </c>
      <c r="AC1242" s="416">
        <v>173</v>
      </c>
      <c r="AD1242" s="416">
        <v>171</v>
      </c>
      <c r="AE1242" s="416">
        <v>170</v>
      </c>
      <c r="AF1242" s="416">
        <v>169</v>
      </c>
      <c r="AG1242" s="416">
        <v>167</v>
      </c>
      <c r="AH1242" s="416">
        <v>165</v>
      </c>
      <c r="AI1242" s="416">
        <v>0</v>
      </c>
      <c r="AJ1242" s="416">
        <v>0</v>
      </c>
      <c r="AK1242" s="416">
        <v>0</v>
      </c>
      <c r="AL1242" s="416">
        <v>0</v>
      </c>
      <c r="AM1242" s="416">
        <v>0</v>
      </c>
      <c r="AN1242" s="416">
        <v>0</v>
      </c>
      <c r="AO1242" s="416">
        <v>0</v>
      </c>
      <c r="AP1242" s="416">
        <v>0</v>
      </c>
      <c r="AQ1242" s="416">
        <v>0</v>
      </c>
      <c r="AR1242" s="416">
        <v>0</v>
      </c>
      <c r="AS1242" s="416">
        <v>0</v>
      </c>
      <c r="AT1242" s="416">
        <v>0</v>
      </c>
      <c r="AU1242" s="416">
        <v>0</v>
      </c>
      <c r="AV1242" s="416">
        <v>0</v>
      </c>
      <c r="AW1242" s="416">
        <v>0</v>
      </c>
      <c r="AX1242" s="416">
        <v>0</v>
      </c>
      <c r="AY1242" s="416">
        <v>0</v>
      </c>
      <c r="AZ1242" s="416">
        <v>0</v>
      </c>
    </row>
    <row r="1243" spans="1:52" x14ac:dyDescent="0.25">
      <c r="A1243" s="415" t="str">
        <f t="shared" si="19"/>
        <v>SA-249 Gr.TPXM-19</v>
      </c>
      <c r="B1243" s="415">
        <v>1237</v>
      </c>
      <c r="C1243" s="415" t="s">
        <v>3415</v>
      </c>
      <c r="D1243" s="415" t="s">
        <v>2689</v>
      </c>
      <c r="E1243" s="415" t="s">
        <v>2200</v>
      </c>
      <c r="F1243" s="415" t="s">
        <v>2592</v>
      </c>
      <c r="G1243" s="415" t="s">
        <v>3417</v>
      </c>
      <c r="H1243" s="415">
        <v>0</v>
      </c>
      <c r="I1243" s="415">
        <v>0</v>
      </c>
      <c r="J1243" s="415">
        <v>8</v>
      </c>
      <c r="K1243" s="415">
        <v>3</v>
      </c>
      <c r="L1243" s="415">
        <v>690</v>
      </c>
      <c r="M1243" s="415">
        <v>380</v>
      </c>
      <c r="N1243" s="415" t="s">
        <v>2675</v>
      </c>
      <c r="O1243" s="415" t="s">
        <v>2675</v>
      </c>
      <c r="P1243" s="415">
        <v>649</v>
      </c>
      <c r="Q1243" s="415">
        <v>343</v>
      </c>
      <c r="R1243" s="415" t="s">
        <v>3073</v>
      </c>
      <c r="S1243" s="415" t="s">
        <v>3418</v>
      </c>
      <c r="T1243" s="416">
        <v>168</v>
      </c>
      <c r="U1243" s="416">
        <v>168</v>
      </c>
      <c r="V1243" s="416">
        <v>167</v>
      </c>
      <c r="W1243" s="416">
        <v>165</v>
      </c>
      <c r="X1243" s="416">
        <v>162</v>
      </c>
      <c r="Y1243" s="416">
        <v>158</v>
      </c>
      <c r="Z1243" s="416">
        <v>153</v>
      </c>
      <c r="AA1243" s="416">
        <v>149</v>
      </c>
      <c r="AB1243" s="416">
        <v>147</v>
      </c>
      <c r="AC1243" s="416">
        <v>146</v>
      </c>
      <c r="AD1243" s="416">
        <v>144</v>
      </c>
      <c r="AE1243" s="416">
        <v>142</v>
      </c>
      <c r="AF1243" s="416">
        <v>140</v>
      </c>
      <c r="AG1243" s="416">
        <v>138</v>
      </c>
      <c r="AH1243" s="416">
        <v>137</v>
      </c>
      <c r="AI1243" s="416">
        <v>135</v>
      </c>
      <c r="AJ1243" s="416">
        <v>134</v>
      </c>
      <c r="AK1243" s="416">
        <v>132</v>
      </c>
      <c r="AL1243" s="416">
        <v>131</v>
      </c>
      <c r="AM1243" s="416">
        <v>129</v>
      </c>
      <c r="AN1243" s="416">
        <v>111</v>
      </c>
      <c r="AO1243" s="416">
        <v>71.400000000000006</v>
      </c>
      <c r="AP1243" s="416">
        <v>48</v>
      </c>
      <c r="AQ1243" s="416">
        <v>0</v>
      </c>
      <c r="AR1243" s="416">
        <v>0</v>
      </c>
      <c r="AS1243" s="416">
        <v>0</v>
      </c>
      <c r="AT1243" s="416">
        <v>0</v>
      </c>
      <c r="AU1243" s="416">
        <v>0</v>
      </c>
      <c r="AV1243" s="416">
        <v>0</v>
      </c>
      <c r="AW1243" s="416">
        <v>0</v>
      </c>
      <c r="AX1243" s="416">
        <v>0</v>
      </c>
      <c r="AY1243" s="416">
        <v>0</v>
      </c>
      <c r="AZ1243" s="416">
        <v>0</v>
      </c>
    </row>
    <row r="1244" spans="1:52" x14ac:dyDescent="0.25">
      <c r="A1244" s="415" t="str">
        <f t="shared" si="19"/>
        <v>SA-312 Gr.TPXM-19</v>
      </c>
      <c r="B1244" s="415">
        <v>1238</v>
      </c>
      <c r="C1244" s="415" t="s">
        <v>3415</v>
      </c>
      <c r="D1244" s="415" t="s">
        <v>2720</v>
      </c>
      <c r="E1244" s="415" t="s">
        <v>2208</v>
      </c>
      <c r="F1244" s="415" t="s">
        <v>2592</v>
      </c>
      <c r="G1244" s="415" t="s">
        <v>3417</v>
      </c>
      <c r="H1244" s="415">
        <v>0</v>
      </c>
      <c r="I1244" s="415">
        <v>0</v>
      </c>
      <c r="J1244" s="415">
        <v>8</v>
      </c>
      <c r="K1244" s="415">
        <v>3</v>
      </c>
      <c r="L1244" s="415">
        <v>690</v>
      </c>
      <c r="M1244" s="415">
        <v>380</v>
      </c>
      <c r="N1244" s="415" t="s">
        <v>2675</v>
      </c>
      <c r="O1244" s="415">
        <v>427</v>
      </c>
      <c r="P1244" s="415" t="s">
        <v>2675</v>
      </c>
      <c r="Q1244" s="415" t="s">
        <v>2675</v>
      </c>
      <c r="R1244" s="415" t="s">
        <v>3073</v>
      </c>
      <c r="S1244" s="415" t="s">
        <v>3208</v>
      </c>
      <c r="T1244" s="416">
        <v>197</v>
      </c>
      <c r="U1244" s="416">
        <v>197</v>
      </c>
      <c r="V1244" s="416">
        <v>196</v>
      </c>
      <c r="W1244" s="416">
        <v>195</v>
      </c>
      <c r="X1244" s="416">
        <v>191</v>
      </c>
      <c r="Y1244" s="416">
        <v>185</v>
      </c>
      <c r="Z1244" s="416">
        <v>180</v>
      </c>
      <c r="AA1244" s="416">
        <v>176</v>
      </c>
      <c r="AB1244" s="416">
        <v>174</v>
      </c>
      <c r="AC1244" s="416">
        <v>173</v>
      </c>
      <c r="AD1244" s="416">
        <v>171</v>
      </c>
      <c r="AE1244" s="416">
        <v>170</v>
      </c>
      <c r="AF1244" s="416">
        <v>169</v>
      </c>
      <c r="AG1244" s="416">
        <v>167</v>
      </c>
      <c r="AH1244" s="416">
        <v>165</v>
      </c>
      <c r="AI1244" s="416">
        <v>0</v>
      </c>
      <c r="AJ1244" s="416">
        <v>0</v>
      </c>
      <c r="AK1244" s="416">
        <v>0</v>
      </c>
      <c r="AL1244" s="416">
        <v>0</v>
      </c>
      <c r="AM1244" s="416">
        <v>0</v>
      </c>
      <c r="AN1244" s="416">
        <v>0</v>
      </c>
      <c r="AO1244" s="416">
        <v>0</v>
      </c>
      <c r="AP1244" s="416">
        <v>0</v>
      </c>
      <c r="AQ1244" s="416">
        <v>0</v>
      </c>
      <c r="AR1244" s="416">
        <v>0</v>
      </c>
      <c r="AS1244" s="416">
        <v>0</v>
      </c>
      <c r="AT1244" s="416">
        <v>0</v>
      </c>
      <c r="AU1244" s="416">
        <v>0</v>
      </c>
      <c r="AV1244" s="416">
        <v>0</v>
      </c>
      <c r="AW1244" s="416">
        <v>0</v>
      </c>
      <c r="AX1244" s="416">
        <v>0</v>
      </c>
      <c r="AY1244" s="416">
        <v>0</v>
      </c>
      <c r="AZ1244" s="416">
        <v>0</v>
      </c>
    </row>
    <row r="1245" spans="1:52" x14ac:dyDescent="0.25">
      <c r="A1245" s="415" t="str">
        <f t="shared" si="19"/>
        <v>SA-312 Gr.TPXM-19</v>
      </c>
      <c r="B1245" s="415">
        <v>1239</v>
      </c>
      <c r="C1245" s="415" t="s">
        <v>3415</v>
      </c>
      <c r="D1245" s="415" t="s">
        <v>2703</v>
      </c>
      <c r="E1245" s="415" t="s">
        <v>2208</v>
      </c>
      <c r="F1245" s="415" t="s">
        <v>2592</v>
      </c>
      <c r="G1245" s="415" t="s">
        <v>3417</v>
      </c>
      <c r="H1245" s="415">
        <v>0</v>
      </c>
      <c r="I1245" s="415">
        <v>0</v>
      </c>
      <c r="J1245" s="415">
        <v>8</v>
      </c>
      <c r="K1245" s="415">
        <v>3</v>
      </c>
      <c r="L1245" s="415">
        <v>690</v>
      </c>
      <c r="M1245" s="415">
        <v>380</v>
      </c>
      <c r="N1245" s="415" t="s">
        <v>2675</v>
      </c>
      <c r="O1245" s="415" t="s">
        <v>2675</v>
      </c>
      <c r="P1245" s="415">
        <v>649</v>
      </c>
      <c r="Q1245" s="415">
        <v>343</v>
      </c>
      <c r="R1245" s="415" t="s">
        <v>3073</v>
      </c>
      <c r="S1245" s="415" t="s">
        <v>3293</v>
      </c>
      <c r="T1245" s="416">
        <v>197</v>
      </c>
      <c r="U1245" s="416">
        <v>197</v>
      </c>
      <c r="V1245" s="416">
        <v>196</v>
      </c>
      <c r="W1245" s="416">
        <v>195</v>
      </c>
      <c r="X1245" s="416">
        <v>191</v>
      </c>
      <c r="Y1245" s="416">
        <v>185</v>
      </c>
      <c r="Z1245" s="416">
        <v>180</v>
      </c>
      <c r="AA1245" s="416">
        <v>176</v>
      </c>
      <c r="AB1245" s="416">
        <v>174</v>
      </c>
      <c r="AC1245" s="416">
        <v>172</v>
      </c>
      <c r="AD1245" s="416">
        <v>169</v>
      </c>
      <c r="AE1245" s="416">
        <v>167</v>
      </c>
      <c r="AF1245" s="416">
        <v>165</v>
      </c>
      <c r="AG1245" s="416">
        <v>162</v>
      </c>
      <c r="AH1245" s="416">
        <v>161</v>
      </c>
      <c r="AI1245" s="416">
        <v>159</v>
      </c>
      <c r="AJ1245" s="416">
        <v>157</v>
      </c>
      <c r="AK1245" s="416">
        <v>156</v>
      </c>
      <c r="AL1245" s="416">
        <v>154</v>
      </c>
      <c r="AM1245" s="416">
        <v>152</v>
      </c>
      <c r="AN1245" s="416">
        <v>132</v>
      </c>
      <c r="AO1245" s="416">
        <v>83.6</v>
      </c>
      <c r="AP1245" s="416">
        <v>56.1</v>
      </c>
      <c r="AQ1245" s="416">
        <v>0</v>
      </c>
      <c r="AR1245" s="416">
        <v>0</v>
      </c>
      <c r="AS1245" s="416">
        <v>0</v>
      </c>
      <c r="AT1245" s="416">
        <v>0</v>
      </c>
      <c r="AU1245" s="416">
        <v>0</v>
      </c>
      <c r="AV1245" s="416">
        <v>0</v>
      </c>
      <c r="AW1245" s="416">
        <v>0</v>
      </c>
      <c r="AX1245" s="416">
        <v>0</v>
      </c>
      <c r="AY1245" s="416">
        <v>0</v>
      </c>
      <c r="AZ1245" s="416">
        <v>0</v>
      </c>
    </row>
    <row r="1246" spans="1:52" x14ac:dyDescent="0.25">
      <c r="A1246" s="415" t="str">
        <f t="shared" si="19"/>
        <v>SA-312 Gr.TPXM-19</v>
      </c>
      <c r="B1246" s="415">
        <v>1240</v>
      </c>
      <c r="C1246" s="415" t="s">
        <v>3415</v>
      </c>
      <c r="D1246" s="415" t="s">
        <v>2680</v>
      </c>
      <c r="E1246" s="415" t="s">
        <v>2208</v>
      </c>
      <c r="F1246" s="415" t="s">
        <v>2592</v>
      </c>
      <c r="G1246" s="415" t="s">
        <v>3417</v>
      </c>
      <c r="H1246" s="415">
        <v>0</v>
      </c>
      <c r="I1246" s="415">
        <v>0</v>
      </c>
      <c r="J1246" s="415">
        <v>8</v>
      </c>
      <c r="K1246" s="415">
        <v>3</v>
      </c>
      <c r="L1246" s="415">
        <v>690</v>
      </c>
      <c r="M1246" s="415">
        <v>380</v>
      </c>
      <c r="N1246" s="415" t="s">
        <v>2675</v>
      </c>
      <c r="O1246" s="415" t="s">
        <v>2675</v>
      </c>
      <c r="P1246" s="415">
        <v>649</v>
      </c>
      <c r="Q1246" s="415">
        <v>343</v>
      </c>
      <c r="R1246" s="415" t="s">
        <v>3073</v>
      </c>
      <c r="S1246" s="415" t="s">
        <v>3418</v>
      </c>
      <c r="T1246" s="416">
        <v>168</v>
      </c>
      <c r="U1246" s="416">
        <v>168</v>
      </c>
      <c r="V1246" s="416">
        <v>167</v>
      </c>
      <c r="W1246" s="416">
        <v>165</v>
      </c>
      <c r="X1246" s="416">
        <v>162</v>
      </c>
      <c r="Y1246" s="416">
        <v>158</v>
      </c>
      <c r="Z1246" s="416">
        <v>153</v>
      </c>
      <c r="AA1246" s="416">
        <v>149</v>
      </c>
      <c r="AB1246" s="416">
        <v>147</v>
      </c>
      <c r="AC1246" s="416">
        <v>146</v>
      </c>
      <c r="AD1246" s="416">
        <v>144</v>
      </c>
      <c r="AE1246" s="416">
        <v>142</v>
      </c>
      <c r="AF1246" s="416">
        <v>140</v>
      </c>
      <c r="AG1246" s="416">
        <v>138</v>
      </c>
      <c r="AH1246" s="416">
        <v>137</v>
      </c>
      <c r="AI1246" s="416">
        <v>135</v>
      </c>
      <c r="AJ1246" s="416">
        <v>134</v>
      </c>
      <c r="AK1246" s="416">
        <v>132</v>
      </c>
      <c r="AL1246" s="416">
        <v>131</v>
      </c>
      <c r="AM1246" s="416">
        <v>129</v>
      </c>
      <c r="AN1246" s="416">
        <v>111</v>
      </c>
      <c r="AO1246" s="416">
        <v>71.400000000000006</v>
      </c>
      <c r="AP1246" s="416">
        <v>48</v>
      </c>
      <c r="AQ1246" s="416">
        <v>0</v>
      </c>
      <c r="AR1246" s="416">
        <v>0</v>
      </c>
      <c r="AS1246" s="416">
        <v>0</v>
      </c>
      <c r="AT1246" s="416">
        <v>0</v>
      </c>
      <c r="AU1246" s="416">
        <v>0</v>
      </c>
      <c r="AV1246" s="416">
        <v>0</v>
      </c>
      <c r="AW1246" s="416">
        <v>0</v>
      </c>
      <c r="AX1246" s="416">
        <v>0</v>
      </c>
      <c r="AY1246" s="416">
        <v>0</v>
      </c>
      <c r="AZ1246" s="416">
        <v>0</v>
      </c>
    </row>
    <row r="1247" spans="1:52" x14ac:dyDescent="0.25">
      <c r="A1247" s="415" t="str">
        <f t="shared" si="19"/>
        <v>SA-358 Gr.XM-19</v>
      </c>
      <c r="B1247" s="415">
        <v>1241</v>
      </c>
      <c r="C1247" s="415" t="s">
        <v>3415</v>
      </c>
      <c r="D1247" s="415" t="s">
        <v>2680</v>
      </c>
      <c r="E1247" s="415" t="s">
        <v>2217</v>
      </c>
      <c r="F1247" s="415" t="s">
        <v>2621</v>
      </c>
      <c r="G1247" s="415" t="s">
        <v>3417</v>
      </c>
      <c r="H1247" s="415">
        <v>1</v>
      </c>
      <c r="I1247" s="415">
        <v>0</v>
      </c>
      <c r="J1247" s="415">
        <v>8</v>
      </c>
      <c r="K1247" s="415">
        <v>3</v>
      </c>
      <c r="L1247" s="415">
        <v>690</v>
      </c>
      <c r="M1247" s="415">
        <v>380</v>
      </c>
      <c r="N1247" s="415" t="s">
        <v>2675</v>
      </c>
      <c r="O1247" s="415">
        <v>427</v>
      </c>
      <c r="P1247" s="415" t="s">
        <v>2675</v>
      </c>
      <c r="Q1247" s="415" t="s">
        <v>2675</v>
      </c>
      <c r="R1247" s="415" t="s">
        <v>3073</v>
      </c>
      <c r="S1247" s="415" t="s">
        <v>3208</v>
      </c>
      <c r="T1247" s="416">
        <v>197</v>
      </c>
      <c r="U1247" s="416">
        <v>197</v>
      </c>
      <c r="V1247" s="416">
        <v>196</v>
      </c>
      <c r="W1247" s="416">
        <v>195</v>
      </c>
      <c r="X1247" s="416">
        <v>191</v>
      </c>
      <c r="Y1247" s="416">
        <v>185</v>
      </c>
      <c r="Z1247" s="416">
        <v>180</v>
      </c>
      <c r="AA1247" s="416">
        <v>176</v>
      </c>
      <c r="AB1247" s="416">
        <v>174</v>
      </c>
      <c r="AC1247" s="416">
        <v>173</v>
      </c>
      <c r="AD1247" s="416">
        <v>171</v>
      </c>
      <c r="AE1247" s="416">
        <v>170</v>
      </c>
      <c r="AF1247" s="416">
        <v>169</v>
      </c>
      <c r="AG1247" s="416">
        <v>167</v>
      </c>
      <c r="AH1247" s="416">
        <v>165</v>
      </c>
      <c r="AI1247" s="416">
        <v>0</v>
      </c>
      <c r="AJ1247" s="416">
        <v>0</v>
      </c>
      <c r="AK1247" s="416">
        <v>0</v>
      </c>
      <c r="AL1247" s="416">
        <v>0</v>
      </c>
      <c r="AM1247" s="416">
        <v>0</v>
      </c>
      <c r="AN1247" s="416">
        <v>0</v>
      </c>
      <c r="AO1247" s="416">
        <v>0</v>
      </c>
      <c r="AP1247" s="416">
        <v>0</v>
      </c>
      <c r="AQ1247" s="416">
        <v>0</v>
      </c>
      <c r="AR1247" s="416">
        <v>0</v>
      </c>
      <c r="AS1247" s="416">
        <v>0</v>
      </c>
      <c r="AT1247" s="416">
        <v>0</v>
      </c>
      <c r="AU1247" s="416">
        <v>0</v>
      </c>
      <c r="AV1247" s="416">
        <v>0</v>
      </c>
      <c r="AW1247" s="416">
        <v>0</v>
      </c>
      <c r="AX1247" s="416">
        <v>0</v>
      </c>
      <c r="AY1247" s="416">
        <v>0</v>
      </c>
      <c r="AZ1247" s="416">
        <v>0</v>
      </c>
    </row>
    <row r="1248" spans="1:52" x14ac:dyDescent="0.25">
      <c r="A1248" s="415" t="str">
        <f t="shared" si="19"/>
        <v>SA-403 Gr.XM-19</v>
      </c>
      <c r="B1248" s="415">
        <v>1242</v>
      </c>
      <c r="C1248" s="415" t="s">
        <v>3415</v>
      </c>
      <c r="D1248" s="415" t="s">
        <v>2758</v>
      </c>
      <c r="E1248" s="415" t="s">
        <v>2229</v>
      </c>
      <c r="F1248" s="415" t="s">
        <v>2621</v>
      </c>
      <c r="G1248" s="415" t="s">
        <v>3417</v>
      </c>
      <c r="H1248" s="415">
        <v>0</v>
      </c>
      <c r="I1248" s="415">
        <v>0</v>
      </c>
      <c r="J1248" s="415">
        <v>8</v>
      </c>
      <c r="K1248" s="415">
        <v>3</v>
      </c>
      <c r="L1248" s="415">
        <v>690</v>
      </c>
      <c r="M1248" s="415">
        <v>380</v>
      </c>
      <c r="N1248" s="415" t="s">
        <v>2675</v>
      </c>
      <c r="O1248" s="415">
        <v>427</v>
      </c>
      <c r="P1248" s="415">
        <v>649</v>
      </c>
      <c r="Q1248" s="415">
        <v>343</v>
      </c>
      <c r="R1248" s="415" t="s">
        <v>3073</v>
      </c>
      <c r="S1248" s="415" t="s">
        <v>3419</v>
      </c>
      <c r="T1248" s="416">
        <v>197</v>
      </c>
      <c r="U1248" s="416">
        <v>197</v>
      </c>
      <c r="V1248" s="416">
        <v>196</v>
      </c>
      <c r="W1248" s="416">
        <v>195</v>
      </c>
      <c r="X1248" s="416">
        <v>191</v>
      </c>
      <c r="Y1248" s="416">
        <v>185</v>
      </c>
      <c r="Z1248" s="416">
        <v>180</v>
      </c>
      <c r="AA1248" s="416">
        <v>176</v>
      </c>
      <c r="AB1248" s="416">
        <v>174</v>
      </c>
      <c r="AC1248" s="416">
        <v>173</v>
      </c>
      <c r="AD1248" s="416">
        <v>171</v>
      </c>
      <c r="AE1248" s="416">
        <v>170</v>
      </c>
      <c r="AF1248" s="416">
        <v>169</v>
      </c>
      <c r="AG1248" s="416">
        <v>167</v>
      </c>
      <c r="AH1248" s="416">
        <v>165</v>
      </c>
      <c r="AI1248" s="416">
        <v>163</v>
      </c>
      <c r="AJ1248" s="416">
        <v>161</v>
      </c>
      <c r="AK1248" s="416">
        <v>158</v>
      </c>
      <c r="AL1248" s="416">
        <v>157</v>
      </c>
      <c r="AM1248" s="416">
        <v>152</v>
      </c>
      <c r="AN1248" s="416">
        <v>132</v>
      </c>
      <c r="AO1248" s="416">
        <v>83.6</v>
      </c>
      <c r="AP1248" s="416">
        <v>56.1</v>
      </c>
      <c r="AQ1248" s="416">
        <v>0</v>
      </c>
      <c r="AR1248" s="416">
        <v>0</v>
      </c>
      <c r="AS1248" s="416">
        <v>0</v>
      </c>
      <c r="AT1248" s="416">
        <v>0</v>
      </c>
      <c r="AU1248" s="416">
        <v>0</v>
      </c>
      <c r="AV1248" s="416">
        <v>0</v>
      </c>
      <c r="AW1248" s="416">
        <v>0</v>
      </c>
      <c r="AX1248" s="416">
        <v>0</v>
      </c>
      <c r="AY1248" s="416">
        <v>0</v>
      </c>
      <c r="AZ1248" s="416">
        <v>0</v>
      </c>
    </row>
    <row r="1249" spans="1:52" x14ac:dyDescent="0.25">
      <c r="A1249" s="415" t="str">
        <f t="shared" si="19"/>
        <v>SA-479 Gr.XM-19</v>
      </c>
      <c r="B1249" s="415">
        <v>1243</v>
      </c>
      <c r="C1249" s="415" t="s">
        <v>3415</v>
      </c>
      <c r="D1249" s="415" t="s">
        <v>2677</v>
      </c>
      <c r="E1249" s="415" t="s">
        <v>2245</v>
      </c>
      <c r="F1249" s="415" t="s">
        <v>2621</v>
      </c>
      <c r="G1249" s="415" t="s">
        <v>3417</v>
      </c>
      <c r="H1249" s="415">
        <v>0</v>
      </c>
      <c r="I1249" s="415">
        <v>0</v>
      </c>
      <c r="J1249" s="415">
        <v>8</v>
      </c>
      <c r="K1249" s="415">
        <v>3</v>
      </c>
      <c r="L1249" s="415">
        <v>690</v>
      </c>
      <c r="M1249" s="415">
        <v>380</v>
      </c>
      <c r="N1249" s="415" t="s">
        <v>2675</v>
      </c>
      <c r="O1249" s="415">
        <v>427</v>
      </c>
      <c r="P1249" s="415">
        <v>649</v>
      </c>
      <c r="Q1249" s="415">
        <v>343</v>
      </c>
      <c r="R1249" s="415" t="s">
        <v>3073</v>
      </c>
      <c r="S1249" s="415" t="s">
        <v>3420</v>
      </c>
      <c r="T1249" s="416">
        <v>197</v>
      </c>
      <c r="U1249" s="416">
        <v>197</v>
      </c>
      <c r="V1249" s="416">
        <v>196</v>
      </c>
      <c r="W1249" s="416">
        <v>195</v>
      </c>
      <c r="X1249" s="416">
        <v>191</v>
      </c>
      <c r="Y1249" s="416">
        <v>185</v>
      </c>
      <c r="Z1249" s="416">
        <v>180</v>
      </c>
      <c r="AA1249" s="416">
        <v>176</v>
      </c>
      <c r="AB1249" s="416">
        <v>174</v>
      </c>
      <c r="AC1249" s="416">
        <v>173</v>
      </c>
      <c r="AD1249" s="416">
        <v>171</v>
      </c>
      <c r="AE1249" s="416">
        <v>170</v>
      </c>
      <c r="AF1249" s="416">
        <v>169</v>
      </c>
      <c r="AG1249" s="416">
        <v>167</v>
      </c>
      <c r="AH1249" s="416">
        <v>165</v>
      </c>
      <c r="AI1249" s="416">
        <v>163</v>
      </c>
      <c r="AJ1249" s="416">
        <v>161</v>
      </c>
      <c r="AK1249" s="416">
        <v>158</v>
      </c>
      <c r="AL1249" s="416">
        <v>157</v>
      </c>
      <c r="AM1249" s="416">
        <v>152</v>
      </c>
      <c r="AN1249" s="416">
        <v>132</v>
      </c>
      <c r="AO1249" s="416">
        <v>83.6</v>
      </c>
      <c r="AP1249" s="416">
        <v>56.1</v>
      </c>
      <c r="AQ1249" s="416">
        <v>0</v>
      </c>
      <c r="AR1249" s="416">
        <v>0</v>
      </c>
      <c r="AS1249" s="416">
        <v>0</v>
      </c>
      <c r="AT1249" s="416">
        <v>0</v>
      </c>
      <c r="AU1249" s="416">
        <v>0</v>
      </c>
      <c r="AV1249" s="416">
        <v>0</v>
      </c>
      <c r="AW1249" s="416">
        <v>0</v>
      </c>
      <c r="AX1249" s="416">
        <v>0</v>
      </c>
      <c r="AY1249" s="416">
        <v>0</v>
      </c>
      <c r="AZ1249" s="416">
        <v>0</v>
      </c>
    </row>
    <row r="1250" spans="1:52" x14ac:dyDescent="0.25">
      <c r="A1250" s="415" t="str">
        <f t="shared" si="19"/>
        <v>SA-813 Gr.TPXM-19</v>
      </c>
      <c r="B1250" s="415">
        <v>1244</v>
      </c>
      <c r="C1250" s="415" t="s">
        <v>3415</v>
      </c>
      <c r="D1250" s="415" t="s">
        <v>2680</v>
      </c>
      <c r="E1250" s="415" t="s">
        <v>2328</v>
      </c>
      <c r="F1250" s="415" t="s">
        <v>2592</v>
      </c>
      <c r="G1250" s="415" t="s">
        <v>3417</v>
      </c>
      <c r="H1250" s="415">
        <v>0</v>
      </c>
      <c r="I1250" s="415">
        <v>0</v>
      </c>
      <c r="J1250" s="415">
        <v>8</v>
      </c>
      <c r="K1250" s="415">
        <v>3</v>
      </c>
      <c r="L1250" s="415">
        <v>690</v>
      </c>
      <c r="M1250" s="415">
        <v>380</v>
      </c>
      <c r="N1250" s="415" t="s">
        <v>2675</v>
      </c>
      <c r="O1250" s="415">
        <v>427</v>
      </c>
      <c r="P1250" s="415" t="s">
        <v>2675</v>
      </c>
      <c r="Q1250" s="415" t="s">
        <v>2675</v>
      </c>
      <c r="R1250" s="415" t="s">
        <v>3073</v>
      </c>
      <c r="S1250" s="415" t="s">
        <v>3208</v>
      </c>
      <c r="T1250" s="416">
        <v>197</v>
      </c>
      <c r="U1250" s="416">
        <v>197</v>
      </c>
      <c r="V1250" s="416">
        <v>196</v>
      </c>
      <c r="W1250" s="416">
        <v>195</v>
      </c>
      <c r="X1250" s="416">
        <v>191</v>
      </c>
      <c r="Y1250" s="416">
        <v>185</v>
      </c>
      <c r="Z1250" s="416">
        <v>180</v>
      </c>
      <c r="AA1250" s="416">
        <v>176</v>
      </c>
      <c r="AB1250" s="416">
        <v>174</v>
      </c>
      <c r="AC1250" s="416">
        <v>173</v>
      </c>
      <c r="AD1250" s="416">
        <v>171</v>
      </c>
      <c r="AE1250" s="416">
        <v>170</v>
      </c>
      <c r="AF1250" s="416">
        <v>169</v>
      </c>
      <c r="AG1250" s="416">
        <v>167</v>
      </c>
      <c r="AH1250" s="416">
        <v>165</v>
      </c>
      <c r="AI1250" s="416">
        <v>0</v>
      </c>
      <c r="AJ1250" s="416">
        <v>0</v>
      </c>
      <c r="AK1250" s="416">
        <v>0</v>
      </c>
      <c r="AL1250" s="416">
        <v>0</v>
      </c>
      <c r="AM1250" s="416">
        <v>0</v>
      </c>
      <c r="AN1250" s="416">
        <v>0</v>
      </c>
      <c r="AO1250" s="416">
        <v>0</v>
      </c>
      <c r="AP1250" s="416">
        <v>0</v>
      </c>
      <c r="AQ1250" s="416">
        <v>0</v>
      </c>
      <c r="AR1250" s="416">
        <v>0</v>
      </c>
      <c r="AS1250" s="416">
        <v>0</v>
      </c>
      <c r="AT1250" s="416">
        <v>0</v>
      </c>
      <c r="AU1250" s="416">
        <v>0</v>
      </c>
      <c r="AV1250" s="416">
        <v>0</v>
      </c>
      <c r="AW1250" s="416">
        <v>0</v>
      </c>
      <c r="AX1250" s="416">
        <v>0</v>
      </c>
      <c r="AY1250" s="416">
        <v>0</v>
      </c>
      <c r="AZ1250" s="416">
        <v>0</v>
      </c>
    </row>
    <row r="1251" spans="1:52" x14ac:dyDescent="0.25">
      <c r="A1251" s="415" t="str">
        <f t="shared" si="19"/>
        <v>SA-814 Gr.TPXM-19</v>
      </c>
      <c r="B1251" s="415">
        <v>1245</v>
      </c>
      <c r="C1251" s="415" t="s">
        <v>3415</v>
      </c>
      <c r="D1251" s="415" t="s">
        <v>2680</v>
      </c>
      <c r="E1251" s="415" t="s">
        <v>2330</v>
      </c>
      <c r="F1251" s="415" t="s">
        <v>2592</v>
      </c>
      <c r="G1251" s="415" t="s">
        <v>3417</v>
      </c>
      <c r="H1251" s="415">
        <v>0</v>
      </c>
      <c r="I1251" s="415">
        <v>0</v>
      </c>
      <c r="J1251" s="415">
        <v>8</v>
      </c>
      <c r="K1251" s="415">
        <v>3</v>
      </c>
      <c r="L1251" s="415">
        <v>690</v>
      </c>
      <c r="M1251" s="415">
        <v>380</v>
      </c>
      <c r="N1251" s="415" t="s">
        <v>2675</v>
      </c>
      <c r="O1251" s="415">
        <v>427</v>
      </c>
      <c r="P1251" s="415" t="s">
        <v>2675</v>
      </c>
      <c r="Q1251" s="415" t="s">
        <v>2675</v>
      </c>
      <c r="R1251" s="415" t="s">
        <v>3073</v>
      </c>
      <c r="S1251" s="415" t="s">
        <v>3208</v>
      </c>
      <c r="T1251" s="416">
        <v>197</v>
      </c>
      <c r="U1251" s="416">
        <v>197</v>
      </c>
      <c r="V1251" s="416">
        <v>196</v>
      </c>
      <c r="W1251" s="416">
        <v>195</v>
      </c>
      <c r="X1251" s="416">
        <v>191</v>
      </c>
      <c r="Y1251" s="416">
        <v>185</v>
      </c>
      <c r="Z1251" s="416">
        <v>180</v>
      </c>
      <c r="AA1251" s="416">
        <v>176</v>
      </c>
      <c r="AB1251" s="416">
        <v>174</v>
      </c>
      <c r="AC1251" s="416">
        <v>173</v>
      </c>
      <c r="AD1251" s="416">
        <v>171</v>
      </c>
      <c r="AE1251" s="416">
        <v>170</v>
      </c>
      <c r="AF1251" s="416">
        <v>169</v>
      </c>
      <c r="AG1251" s="416">
        <v>167</v>
      </c>
      <c r="AH1251" s="416">
        <v>165</v>
      </c>
      <c r="AI1251" s="416">
        <v>0</v>
      </c>
      <c r="AJ1251" s="416">
        <v>0</v>
      </c>
      <c r="AK1251" s="416">
        <v>0</v>
      </c>
      <c r="AL1251" s="416">
        <v>0</v>
      </c>
      <c r="AM1251" s="416">
        <v>0</v>
      </c>
      <c r="AN1251" s="416">
        <v>0</v>
      </c>
      <c r="AO1251" s="416">
        <v>0</v>
      </c>
      <c r="AP1251" s="416">
        <v>0</v>
      </c>
      <c r="AQ1251" s="416">
        <v>0</v>
      </c>
      <c r="AR1251" s="416">
        <v>0</v>
      </c>
      <c r="AS1251" s="416">
        <v>0</v>
      </c>
      <c r="AT1251" s="416">
        <v>0</v>
      </c>
      <c r="AU1251" s="416">
        <v>0</v>
      </c>
      <c r="AV1251" s="416">
        <v>0</v>
      </c>
      <c r="AW1251" s="416">
        <v>0</v>
      </c>
      <c r="AX1251" s="416">
        <v>0</v>
      </c>
      <c r="AY1251" s="416">
        <v>0</v>
      </c>
      <c r="AZ1251" s="416">
        <v>0</v>
      </c>
    </row>
    <row r="1252" spans="1:52" x14ac:dyDescent="0.25">
      <c r="A1252" s="415" t="str">
        <f t="shared" si="19"/>
        <v>SA-240 Gr.0</v>
      </c>
      <c r="B1252" s="415">
        <v>1246</v>
      </c>
      <c r="C1252" s="415" t="s">
        <v>3421</v>
      </c>
      <c r="D1252" s="415" t="s">
        <v>2684</v>
      </c>
      <c r="E1252" s="415" t="s">
        <v>2165</v>
      </c>
      <c r="F1252" s="415">
        <v>0</v>
      </c>
      <c r="G1252" s="415" t="s">
        <v>3422</v>
      </c>
      <c r="H1252" s="415">
        <v>0</v>
      </c>
      <c r="I1252" s="415">
        <v>0</v>
      </c>
      <c r="J1252" s="415" t="s">
        <v>3276</v>
      </c>
      <c r="K1252" s="415">
        <v>1</v>
      </c>
      <c r="L1252" s="415">
        <v>600</v>
      </c>
      <c r="M1252" s="415">
        <v>400</v>
      </c>
      <c r="N1252" s="415" t="s">
        <v>2675</v>
      </c>
      <c r="O1252" s="415" t="s">
        <v>2675</v>
      </c>
      <c r="P1252" s="415">
        <v>316</v>
      </c>
      <c r="Q1252" s="415">
        <v>316</v>
      </c>
      <c r="R1252" s="415" t="s">
        <v>3073</v>
      </c>
      <c r="S1252" s="415" t="s">
        <v>3012</v>
      </c>
      <c r="T1252" s="416">
        <v>172</v>
      </c>
      <c r="U1252" s="416">
        <v>172</v>
      </c>
      <c r="V1252" s="416">
        <v>169</v>
      </c>
      <c r="W1252" s="416">
        <v>164</v>
      </c>
      <c r="X1252" s="416">
        <v>159</v>
      </c>
      <c r="Y1252" s="416">
        <v>155</v>
      </c>
      <c r="Z1252" s="416">
        <v>150</v>
      </c>
      <c r="AA1252" s="416">
        <v>147</v>
      </c>
      <c r="AB1252" s="416">
        <v>145</v>
      </c>
      <c r="AC1252" s="416">
        <v>144</v>
      </c>
      <c r="AD1252" s="416">
        <v>0</v>
      </c>
      <c r="AE1252" s="416">
        <v>0</v>
      </c>
      <c r="AF1252" s="416">
        <v>0</v>
      </c>
      <c r="AG1252" s="416">
        <v>0</v>
      </c>
      <c r="AH1252" s="416">
        <v>0</v>
      </c>
      <c r="AI1252" s="416">
        <v>0</v>
      </c>
      <c r="AJ1252" s="416">
        <v>0</v>
      </c>
      <c r="AK1252" s="416">
        <v>0</v>
      </c>
      <c r="AL1252" s="416">
        <v>0</v>
      </c>
      <c r="AM1252" s="416">
        <v>0</v>
      </c>
      <c r="AN1252" s="416">
        <v>0</v>
      </c>
      <c r="AO1252" s="416">
        <v>0</v>
      </c>
      <c r="AP1252" s="416">
        <v>0</v>
      </c>
      <c r="AQ1252" s="416">
        <v>0</v>
      </c>
      <c r="AR1252" s="416">
        <v>0</v>
      </c>
      <c r="AS1252" s="416">
        <v>0</v>
      </c>
      <c r="AT1252" s="416">
        <v>0</v>
      </c>
      <c r="AU1252" s="416">
        <v>0</v>
      </c>
      <c r="AV1252" s="416">
        <v>0</v>
      </c>
      <c r="AW1252" s="416">
        <v>0</v>
      </c>
      <c r="AX1252" s="416">
        <v>0</v>
      </c>
      <c r="AY1252" s="416">
        <v>0</v>
      </c>
      <c r="AZ1252" s="416">
        <v>0</v>
      </c>
    </row>
    <row r="1253" spans="1:52" x14ac:dyDescent="0.25">
      <c r="A1253" s="415" t="str">
        <f t="shared" si="19"/>
        <v>SA-789 Gr.0</v>
      </c>
      <c r="B1253" s="415">
        <v>1247</v>
      </c>
      <c r="C1253" s="415" t="s">
        <v>3421</v>
      </c>
      <c r="D1253" s="415" t="s">
        <v>2693</v>
      </c>
      <c r="E1253" s="415" t="s">
        <v>2322</v>
      </c>
      <c r="F1253" s="415">
        <v>0</v>
      </c>
      <c r="G1253" s="415" t="s">
        <v>3422</v>
      </c>
      <c r="H1253" s="415">
        <v>0</v>
      </c>
      <c r="I1253" s="415" t="s">
        <v>2831</v>
      </c>
      <c r="J1253" s="415" t="s">
        <v>3276</v>
      </c>
      <c r="K1253" s="415">
        <v>1</v>
      </c>
      <c r="L1253" s="415">
        <v>600</v>
      </c>
      <c r="M1253" s="415">
        <v>400</v>
      </c>
      <c r="N1253" s="415" t="s">
        <v>2675</v>
      </c>
      <c r="O1253" s="415" t="s">
        <v>2675</v>
      </c>
      <c r="P1253" s="415">
        <v>316</v>
      </c>
      <c r="Q1253" s="415">
        <v>316</v>
      </c>
      <c r="R1253" s="415" t="s">
        <v>3073</v>
      </c>
      <c r="S1253" s="415" t="s">
        <v>3012</v>
      </c>
      <c r="T1253" s="416">
        <v>172</v>
      </c>
      <c r="U1253" s="416">
        <v>172</v>
      </c>
      <c r="V1253" s="416">
        <v>169</v>
      </c>
      <c r="W1253" s="416">
        <v>164</v>
      </c>
      <c r="X1253" s="416">
        <v>159</v>
      </c>
      <c r="Y1253" s="416">
        <v>155</v>
      </c>
      <c r="Z1253" s="416">
        <v>150</v>
      </c>
      <c r="AA1253" s="416">
        <v>147</v>
      </c>
      <c r="AB1253" s="416">
        <v>145</v>
      </c>
      <c r="AC1253" s="416">
        <v>144</v>
      </c>
      <c r="AD1253" s="416">
        <v>0</v>
      </c>
      <c r="AE1253" s="416">
        <v>0</v>
      </c>
      <c r="AF1253" s="416">
        <v>0</v>
      </c>
      <c r="AG1253" s="416">
        <v>0</v>
      </c>
      <c r="AH1253" s="416">
        <v>0</v>
      </c>
      <c r="AI1253" s="416">
        <v>0</v>
      </c>
      <c r="AJ1253" s="416">
        <v>0</v>
      </c>
      <c r="AK1253" s="416">
        <v>0</v>
      </c>
      <c r="AL1253" s="416">
        <v>0</v>
      </c>
      <c r="AM1253" s="416">
        <v>0</v>
      </c>
      <c r="AN1253" s="416">
        <v>0</v>
      </c>
      <c r="AO1253" s="416">
        <v>0</v>
      </c>
      <c r="AP1253" s="416">
        <v>0</v>
      </c>
      <c r="AQ1253" s="416">
        <v>0</v>
      </c>
      <c r="AR1253" s="416">
        <v>0</v>
      </c>
      <c r="AS1253" s="416">
        <v>0</v>
      </c>
      <c r="AT1253" s="416">
        <v>0</v>
      </c>
      <c r="AU1253" s="416">
        <v>0</v>
      </c>
      <c r="AV1253" s="416">
        <v>0</v>
      </c>
      <c r="AW1253" s="416">
        <v>0</v>
      </c>
      <c r="AX1253" s="416">
        <v>0</v>
      </c>
      <c r="AY1253" s="416">
        <v>0</v>
      </c>
      <c r="AZ1253" s="416">
        <v>0</v>
      </c>
    </row>
    <row r="1254" spans="1:52" x14ac:dyDescent="0.25">
      <c r="A1254" s="415" t="str">
        <f t="shared" si="19"/>
        <v>SA-789 Gr.0</v>
      </c>
      <c r="B1254" s="415">
        <v>1248</v>
      </c>
      <c r="C1254" s="415" t="s">
        <v>3421</v>
      </c>
      <c r="D1254" s="415" t="s">
        <v>2689</v>
      </c>
      <c r="E1254" s="415" t="s">
        <v>2322</v>
      </c>
      <c r="F1254" s="415">
        <v>0</v>
      </c>
      <c r="G1254" s="415" t="s">
        <v>3422</v>
      </c>
      <c r="H1254" s="415">
        <v>0</v>
      </c>
      <c r="I1254" s="415" t="s">
        <v>2831</v>
      </c>
      <c r="J1254" s="415" t="s">
        <v>3276</v>
      </c>
      <c r="K1254" s="415">
        <v>1</v>
      </c>
      <c r="L1254" s="415">
        <v>600</v>
      </c>
      <c r="M1254" s="415">
        <v>400</v>
      </c>
      <c r="N1254" s="415" t="s">
        <v>2675</v>
      </c>
      <c r="O1254" s="415" t="s">
        <v>2675</v>
      </c>
      <c r="P1254" s="415">
        <v>316</v>
      </c>
      <c r="Q1254" s="415">
        <v>316</v>
      </c>
      <c r="R1254" s="415" t="s">
        <v>3073</v>
      </c>
      <c r="S1254" s="415" t="s">
        <v>3053</v>
      </c>
      <c r="T1254" s="416">
        <v>145</v>
      </c>
      <c r="U1254" s="416">
        <v>145</v>
      </c>
      <c r="V1254" s="416">
        <v>144</v>
      </c>
      <c r="W1254" s="416">
        <v>140</v>
      </c>
      <c r="X1254" s="416">
        <v>135</v>
      </c>
      <c r="Y1254" s="416">
        <v>132</v>
      </c>
      <c r="Z1254" s="416">
        <v>128</v>
      </c>
      <c r="AA1254" s="416">
        <v>125</v>
      </c>
      <c r="AB1254" s="416">
        <v>124</v>
      </c>
      <c r="AC1254" s="416">
        <v>123</v>
      </c>
      <c r="AD1254" s="416">
        <v>0</v>
      </c>
      <c r="AE1254" s="416">
        <v>0</v>
      </c>
      <c r="AF1254" s="416">
        <v>0</v>
      </c>
      <c r="AG1254" s="416">
        <v>0</v>
      </c>
      <c r="AH1254" s="416">
        <v>0</v>
      </c>
      <c r="AI1254" s="416">
        <v>0</v>
      </c>
      <c r="AJ1254" s="416">
        <v>0</v>
      </c>
      <c r="AK1254" s="416">
        <v>0</v>
      </c>
      <c r="AL1254" s="416">
        <v>0</v>
      </c>
      <c r="AM1254" s="416">
        <v>0</v>
      </c>
      <c r="AN1254" s="416">
        <v>0</v>
      </c>
      <c r="AO1254" s="416">
        <v>0</v>
      </c>
      <c r="AP1254" s="416">
        <v>0</v>
      </c>
      <c r="AQ1254" s="416">
        <v>0</v>
      </c>
      <c r="AR1254" s="416">
        <v>0</v>
      </c>
      <c r="AS1254" s="416">
        <v>0</v>
      </c>
      <c r="AT1254" s="416">
        <v>0</v>
      </c>
      <c r="AU1254" s="416">
        <v>0</v>
      </c>
      <c r="AV1254" s="416">
        <v>0</v>
      </c>
      <c r="AW1254" s="416">
        <v>0</v>
      </c>
      <c r="AX1254" s="416">
        <v>0</v>
      </c>
      <c r="AY1254" s="416">
        <v>0</v>
      </c>
      <c r="AZ1254" s="416">
        <v>0</v>
      </c>
    </row>
    <row r="1255" spans="1:52" x14ac:dyDescent="0.25">
      <c r="A1255" s="415" t="str">
        <f t="shared" si="19"/>
        <v>SA-790 Gr.0</v>
      </c>
      <c r="B1255" s="415">
        <v>1249</v>
      </c>
      <c r="C1255" s="415" t="s">
        <v>3421</v>
      </c>
      <c r="D1255" s="415" t="s">
        <v>2703</v>
      </c>
      <c r="E1255" s="415" t="s">
        <v>2324</v>
      </c>
      <c r="F1255" s="415">
        <v>0</v>
      </c>
      <c r="G1255" s="415" t="s">
        <v>3422</v>
      </c>
      <c r="H1255" s="415">
        <v>0</v>
      </c>
      <c r="I1255" s="415">
        <v>0</v>
      </c>
      <c r="J1255" s="415" t="s">
        <v>3276</v>
      </c>
      <c r="K1255" s="415">
        <v>1</v>
      </c>
      <c r="L1255" s="415">
        <v>600</v>
      </c>
      <c r="M1255" s="415">
        <v>400</v>
      </c>
      <c r="N1255" s="415" t="s">
        <v>2675</v>
      </c>
      <c r="O1255" s="415" t="s">
        <v>2675</v>
      </c>
      <c r="P1255" s="415">
        <v>316</v>
      </c>
      <c r="Q1255" s="415">
        <v>316</v>
      </c>
      <c r="R1255" s="415" t="s">
        <v>3073</v>
      </c>
      <c r="S1255" s="415" t="s">
        <v>3012</v>
      </c>
      <c r="T1255" s="416">
        <v>172</v>
      </c>
      <c r="U1255" s="416">
        <v>172</v>
      </c>
      <c r="V1255" s="416">
        <v>169</v>
      </c>
      <c r="W1255" s="416">
        <v>164</v>
      </c>
      <c r="X1255" s="416">
        <v>159</v>
      </c>
      <c r="Y1255" s="416">
        <v>155</v>
      </c>
      <c r="Z1255" s="416">
        <v>150</v>
      </c>
      <c r="AA1255" s="416">
        <v>147</v>
      </c>
      <c r="AB1255" s="416">
        <v>145</v>
      </c>
      <c r="AC1255" s="416">
        <v>144</v>
      </c>
      <c r="AD1255" s="416">
        <v>0</v>
      </c>
      <c r="AE1255" s="416">
        <v>0</v>
      </c>
      <c r="AF1255" s="416">
        <v>0</v>
      </c>
      <c r="AG1255" s="416">
        <v>0</v>
      </c>
      <c r="AH1255" s="416">
        <v>0</v>
      </c>
      <c r="AI1255" s="416">
        <v>0</v>
      </c>
      <c r="AJ1255" s="416">
        <v>0</v>
      </c>
      <c r="AK1255" s="416">
        <v>0</v>
      </c>
      <c r="AL1255" s="416">
        <v>0</v>
      </c>
      <c r="AM1255" s="416">
        <v>0</v>
      </c>
      <c r="AN1255" s="416">
        <v>0</v>
      </c>
      <c r="AO1255" s="416">
        <v>0</v>
      </c>
      <c r="AP1255" s="416">
        <v>0</v>
      </c>
      <c r="AQ1255" s="416">
        <v>0</v>
      </c>
      <c r="AR1255" s="416">
        <v>0</v>
      </c>
      <c r="AS1255" s="416">
        <v>0</v>
      </c>
      <c r="AT1255" s="416">
        <v>0</v>
      </c>
      <c r="AU1255" s="416">
        <v>0</v>
      </c>
      <c r="AV1255" s="416">
        <v>0</v>
      </c>
      <c r="AW1255" s="416">
        <v>0</v>
      </c>
      <c r="AX1255" s="416">
        <v>0</v>
      </c>
      <c r="AY1255" s="416">
        <v>0</v>
      </c>
      <c r="AZ1255" s="416">
        <v>0</v>
      </c>
    </row>
    <row r="1256" spans="1:52" x14ac:dyDescent="0.25">
      <c r="A1256" s="415" t="str">
        <f t="shared" si="19"/>
        <v>SA-790 Gr.0</v>
      </c>
      <c r="B1256" s="415">
        <v>1250</v>
      </c>
      <c r="C1256" s="415" t="s">
        <v>3421</v>
      </c>
      <c r="D1256" s="415" t="s">
        <v>2680</v>
      </c>
      <c r="E1256" s="415" t="s">
        <v>2324</v>
      </c>
      <c r="F1256" s="415">
        <v>0</v>
      </c>
      <c r="G1256" s="415" t="s">
        <v>3422</v>
      </c>
      <c r="H1256" s="415">
        <v>0</v>
      </c>
      <c r="I1256" s="415">
        <v>0</v>
      </c>
      <c r="J1256" s="415" t="s">
        <v>3276</v>
      </c>
      <c r="K1256" s="415">
        <v>1</v>
      </c>
      <c r="L1256" s="415">
        <v>600</v>
      </c>
      <c r="M1256" s="415">
        <v>400</v>
      </c>
      <c r="N1256" s="415" t="s">
        <v>2675</v>
      </c>
      <c r="O1256" s="415" t="s">
        <v>2675</v>
      </c>
      <c r="P1256" s="415">
        <v>316</v>
      </c>
      <c r="Q1256" s="415">
        <v>316</v>
      </c>
      <c r="R1256" s="415" t="s">
        <v>3073</v>
      </c>
      <c r="S1256" s="415" t="s">
        <v>3053</v>
      </c>
      <c r="T1256" s="416">
        <v>145</v>
      </c>
      <c r="U1256" s="416">
        <v>145</v>
      </c>
      <c r="V1256" s="416">
        <v>144</v>
      </c>
      <c r="W1256" s="416">
        <v>140</v>
      </c>
      <c r="X1256" s="416">
        <v>135</v>
      </c>
      <c r="Y1256" s="416">
        <v>132</v>
      </c>
      <c r="Z1256" s="416">
        <v>128</v>
      </c>
      <c r="AA1256" s="416">
        <v>125</v>
      </c>
      <c r="AB1256" s="416">
        <v>124</v>
      </c>
      <c r="AC1256" s="416">
        <v>123</v>
      </c>
      <c r="AD1256" s="416">
        <v>0</v>
      </c>
      <c r="AE1256" s="416">
        <v>0</v>
      </c>
      <c r="AF1256" s="416">
        <v>0</v>
      </c>
      <c r="AG1256" s="416">
        <v>0</v>
      </c>
      <c r="AH1256" s="416">
        <v>0</v>
      </c>
      <c r="AI1256" s="416">
        <v>0</v>
      </c>
      <c r="AJ1256" s="416">
        <v>0</v>
      </c>
      <c r="AK1256" s="416">
        <v>0</v>
      </c>
      <c r="AL1256" s="416">
        <v>0</v>
      </c>
      <c r="AM1256" s="416">
        <v>0</v>
      </c>
      <c r="AN1256" s="416">
        <v>0</v>
      </c>
      <c r="AO1256" s="416">
        <v>0</v>
      </c>
      <c r="AP1256" s="416">
        <v>0</v>
      </c>
      <c r="AQ1256" s="416">
        <v>0</v>
      </c>
      <c r="AR1256" s="416">
        <v>0</v>
      </c>
      <c r="AS1256" s="416">
        <v>0</v>
      </c>
      <c r="AT1256" s="416">
        <v>0</v>
      </c>
      <c r="AU1256" s="416">
        <v>0</v>
      </c>
      <c r="AV1256" s="416">
        <v>0</v>
      </c>
      <c r="AW1256" s="416">
        <v>0</v>
      </c>
      <c r="AX1256" s="416">
        <v>0</v>
      </c>
      <c r="AY1256" s="416">
        <v>0</v>
      </c>
      <c r="AZ1256" s="416">
        <v>0</v>
      </c>
    </row>
    <row r="1257" spans="1:52" x14ac:dyDescent="0.25">
      <c r="A1257" s="415" t="str">
        <f t="shared" si="19"/>
        <v>SA-789 Gr.0</v>
      </c>
      <c r="B1257" s="415">
        <v>1251</v>
      </c>
      <c r="C1257" s="415" t="s">
        <v>3421</v>
      </c>
      <c r="D1257" s="415" t="s">
        <v>2693</v>
      </c>
      <c r="E1257" s="415" t="s">
        <v>2322</v>
      </c>
      <c r="F1257" s="415">
        <v>0</v>
      </c>
      <c r="G1257" s="415" t="s">
        <v>3422</v>
      </c>
      <c r="H1257" s="415">
        <v>0</v>
      </c>
      <c r="I1257" s="415" t="s">
        <v>2832</v>
      </c>
      <c r="J1257" s="415" t="s">
        <v>3276</v>
      </c>
      <c r="K1257" s="415">
        <v>1</v>
      </c>
      <c r="L1257" s="415">
        <v>690</v>
      </c>
      <c r="M1257" s="415">
        <v>450</v>
      </c>
      <c r="N1257" s="415" t="s">
        <v>2675</v>
      </c>
      <c r="O1257" s="415" t="s">
        <v>2675</v>
      </c>
      <c r="P1257" s="415">
        <v>316</v>
      </c>
      <c r="Q1257" s="415">
        <v>316</v>
      </c>
      <c r="R1257" s="415" t="s">
        <v>3061</v>
      </c>
      <c r="S1257" s="415" t="s">
        <v>3012</v>
      </c>
      <c r="T1257" s="416">
        <v>197</v>
      </c>
      <c r="U1257" s="416">
        <v>197</v>
      </c>
      <c r="V1257" s="416">
        <v>194</v>
      </c>
      <c r="W1257" s="416">
        <v>189</v>
      </c>
      <c r="X1257" s="416">
        <v>184</v>
      </c>
      <c r="Y1257" s="416">
        <v>178</v>
      </c>
      <c r="Z1257" s="416">
        <v>173</v>
      </c>
      <c r="AA1257" s="416">
        <v>170</v>
      </c>
      <c r="AB1257" s="416">
        <v>168</v>
      </c>
      <c r="AC1257" s="416">
        <v>167</v>
      </c>
      <c r="AD1257" s="416">
        <v>0</v>
      </c>
      <c r="AE1257" s="416">
        <v>0</v>
      </c>
      <c r="AF1257" s="416">
        <v>0</v>
      </c>
      <c r="AG1257" s="416">
        <v>0</v>
      </c>
      <c r="AH1257" s="416">
        <v>0</v>
      </c>
      <c r="AI1257" s="416">
        <v>0</v>
      </c>
      <c r="AJ1257" s="416">
        <v>0</v>
      </c>
      <c r="AK1257" s="416">
        <v>0</v>
      </c>
      <c r="AL1257" s="416">
        <v>0</v>
      </c>
      <c r="AM1257" s="416">
        <v>0</v>
      </c>
      <c r="AN1257" s="416">
        <v>0</v>
      </c>
      <c r="AO1257" s="416">
        <v>0</v>
      </c>
      <c r="AP1257" s="416">
        <v>0</v>
      </c>
      <c r="AQ1257" s="416">
        <v>0</v>
      </c>
      <c r="AR1257" s="416">
        <v>0</v>
      </c>
      <c r="AS1257" s="416">
        <v>0</v>
      </c>
      <c r="AT1257" s="416">
        <v>0</v>
      </c>
      <c r="AU1257" s="416">
        <v>0</v>
      </c>
      <c r="AV1257" s="416">
        <v>0</v>
      </c>
      <c r="AW1257" s="416">
        <v>0</v>
      </c>
      <c r="AX1257" s="416">
        <v>0</v>
      </c>
      <c r="AY1257" s="416">
        <v>0</v>
      </c>
      <c r="AZ1257" s="416">
        <v>0</v>
      </c>
    </row>
    <row r="1258" spans="1:52" x14ac:dyDescent="0.25">
      <c r="A1258" s="415" t="str">
        <f t="shared" si="19"/>
        <v>SA-789 Gr.0</v>
      </c>
      <c r="B1258" s="415">
        <v>1252</v>
      </c>
      <c r="C1258" s="415" t="s">
        <v>3421</v>
      </c>
      <c r="D1258" s="415" t="s">
        <v>2689</v>
      </c>
      <c r="E1258" s="415" t="s">
        <v>2322</v>
      </c>
      <c r="F1258" s="415">
        <v>0</v>
      </c>
      <c r="G1258" s="415" t="s">
        <v>3422</v>
      </c>
      <c r="H1258" s="415">
        <v>0</v>
      </c>
      <c r="I1258" s="415" t="s">
        <v>2832</v>
      </c>
      <c r="J1258" s="415" t="s">
        <v>3276</v>
      </c>
      <c r="K1258" s="415">
        <v>1</v>
      </c>
      <c r="L1258" s="415">
        <v>690</v>
      </c>
      <c r="M1258" s="415">
        <v>450</v>
      </c>
      <c r="N1258" s="415" t="s">
        <v>2675</v>
      </c>
      <c r="O1258" s="415" t="s">
        <v>2675</v>
      </c>
      <c r="P1258" s="415">
        <v>316</v>
      </c>
      <c r="Q1258" s="415">
        <v>316</v>
      </c>
      <c r="R1258" s="415" t="s">
        <v>3061</v>
      </c>
      <c r="S1258" s="415" t="s">
        <v>3053</v>
      </c>
      <c r="T1258" s="416">
        <v>168</v>
      </c>
      <c r="U1258" s="416">
        <v>168</v>
      </c>
      <c r="V1258" s="416">
        <v>165</v>
      </c>
      <c r="W1258" s="416">
        <v>160</v>
      </c>
      <c r="X1258" s="416">
        <v>156</v>
      </c>
      <c r="Y1258" s="416">
        <v>152</v>
      </c>
      <c r="Z1258" s="416">
        <v>147</v>
      </c>
      <c r="AA1258" s="416">
        <v>145</v>
      </c>
      <c r="AB1258" s="416">
        <v>143</v>
      </c>
      <c r="AC1258" s="416">
        <v>142</v>
      </c>
      <c r="AD1258" s="416">
        <v>0</v>
      </c>
      <c r="AE1258" s="416">
        <v>0</v>
      </c>
      <c r="AF1258" s="416">
        <v>0</v>
      </c>
      <c r="AG1258" s="416">
        <v>0</v>
      </c>
      <c r="AH1258" s="416">
        <v>0</v>
      </c>
      <c r="AI1258" s="416">
        <v>0</v>
      </c>
      <c r="AJ1258" s="416">
        <v>0</v>
      </c>
      <c r="AK1258" s="416">
        <v>0</v>
      </c>
      <c r="AL1258" s="416">
        <v>0</v>
      </c>
      <c r="AM1258" s="416">
        <v>0</v>
      </c>
      <c r="AN1258" s="416">
        <v>0</v>
      </c>
      <c r="AO1258" s="416">
        <v>0</v>
      </c>
      <c r="AP1258" s="416">
        <v>0</v>
      </c>
      <c r="AQ1258" s="416">
        <v>0</v>
      </c>
      <c r="AR1258" s="416">
        <v>0</v>
      </c>
      <c r="AS1258" s="416">
        <v>0</v>
      </c>
      <c r="AT1258" s="416">
        <v>0</v>
      </c>
      <c r="AU1258" s="416">
        <v>0</v>
      </c>
      <c r="AV1258" s="416">
        <v>0</v>
      </c>
      <c r="AW1258" s="416">
        <v>0</v>
      </c>
      <c r="AX1258" s="416">
        <v>0</v>
      </c>
      <c r="AY1258" s="416">
        <v>0</v>
      </c>
      <c r="AZ1258" s="416">
        <v>0</v>
      </c>
    </row>
    <row r="1259" spans="1:52" x14ac:dyDescent="0.25">
      <c r="A1259" s="415" t="str">
        <f t="shared" si="19"/>
        <v>SA-403 Gr.309</v>
      </c>
      <c r="B1259" s="415">
        <v>1253</v>
      </c>
      <c r="C1259" s="415" t="s">
        <v>3423</v>
      </c>
      <c r="D1259" s="415" t="s">
        <v>2758</v>
      </c>
      <c r="E1259" s="415" t="s">
        <v>2229</v>
      </c>
      <c r="F1259" s="415">
        <v>309</v>
      </c>
      <c r="G1259" s="415" t="s">
        <v>3424</v>
      </c>
      <c r="H1259" s="415">
        <v>0</v>
      </c>
      <c r="I1259" s="415">
        <v>0</v>
      </c>
      <c r="J1259" s="415">
        <v>8</v>
      </c>
      <c r="K1259" s="415">
        <v>2</v>
      </c>
      <c r="L1259" s="415">
        <v>515</v>
      </c>
      <c r="M1259" s="415">
        <v>205</v>
      </c>
      <c r="N1259" s="415" t="s">
        <v>2675</v>
      </c>
      <c r="O1259" s="415">
        <v>427</v>
      </c>
      <c r="P1259" s="415">
        <v>816</v>
      </c>
      <c r="Q1259" s="415">
        <v>343</v>
      </c>
      <c r="R1259" s="415" t="s">
        <v>3069</v>
      </c>
      <c r="S1259" s="415" t="s">
        <v>3425</v>
      </c>
      <c r="T1259" s="416">
        <v>138</v>
      </c>
      <c r="U1259" s="416">
        <v>138</v>
      </c>
      <c r="V1259" s="416">
        <v>138</v>
      </c>
      <c r="W1259" s="416">
        <v>138</v>
      </c>
      <c r="X1259" s="416">
        <v>138</v>
      </c>
      <c r="Y1259" s="416">
        <v>138</v>
      </c>
      <c r="Z1259" s="416">
        <v>138</v>
      </c>
      <c r="AA1259" s="416">
        <v>135</v>
      </c>
      <c r="AB1259" s="416">
        <v>131</v>
      </c>
      <c r="AC1259" s="416">
        <v>129</v>
      </c>
      <c r="AD1259" s="416">
        <v>127</v>
      </c>
      <c r="AE1259" s="416">
        <v>125</v>
      </c>
      <c r="AF1259" s="416">
        <v>124</v>
      </c>
      <c r="AG1259" s="416">
        <v>122</v>
      </c>
      <c r="AH1259" s="416">
        <v>121</v>
      </c>
      <c r="AI1259" s="416">
        <v>119</v>
      </c>
      <c r="AJ1259" s="416">
        <v>115</v>
      </c>
      <c r="AK1259" s="416">
        <v>89.4</v>
      </c>
      <c r="AL1259" s="416">
        <v>59.2</v>
      </c>
      <c r="AM1259" s="416">
        <v>44.2</v>
      </c>
      <c r="AN1259" s="416">
        <v>31.8</v>
      </c>
      <c r="AO1259" s="416">
        <v>23.7</v>
      </c>
      <c r="AP1259" s="416">
        <v>16.899999999999999</v>
      </c>
      <c r="AQ1259" s="416">
        <v>10.7</v>
      </c>
      <c r="AR1259" s="416">
        <v>6.1</v>
      </c>
      <c r="AS1259" s="416">
        <v>3.78</v>
      </c>
      <c r="AT1259" s="416">
        <v>2.96</v>
      </c>
      <c r="AU1259" s="416">
        <v>2.4</v>
      </c>
      <c r="AV1259" s="416">
        <v>1.76</v>
      </c>
      <c r="AW1259" s="416">
        <v>1.1499999999999999</v>
      </c>
      <c r="AX1259" s="416">
        <v>0</v>
      </c>
      <c r="AY1259" s="416">
        <v>0</v>
      </c>
      <c r="AZ1259" s="416">
        <v>0</v>
      </c>
    </row>
    <row r="1260" spans="1:52" x14ac:dyDescent="0.25">
      <c r="A1260" s="415" t="str">
        <f t="shared" si="19"/>
        <v>SA-213 Gr.TP309S</v>
      </c>
      <c r="B1260" s="415">
        <v>1254</v>
      </c>
      <c r="C1260" s="415" t="s">
        <v>3423</v>
      </c>
      <c r="D1260" s="415" t="s">
        <v>2693</v>
      </c>
      <c r="E1260" s="415" t="s">
        <v>2195</v>
      </c>
      <c r="F1260" s="415" t="s">
        <v>2562</v>
      </c>
      <c r="G1260" s="415" t="s">
        <v>3426</v>
      </c>
      <c r="H1260" s="415">
        <v>0</v>
      </c>
      <c r="I1260" s="415">
        <v>0</v>
      </c>
      <c r="J1260" s="415">
        <v>8</v>
      </c>
      <c r="K1260" s="415">
        <v>2</v>
      </c>
      <c r="L1260" s="415">
        <v>515</v>
      </c>
      <c r="M1260" s="415">
        <v>205</v>
      </c>
      <c r="N1260" s="415">
        <v>816</v>
      </c>
      <c r="O1260" s="415" t="s">
        <v>2675</v>
      </c>
      <c r="P1260" s="415">
        <v>816</v>
      </c>
      <c r="Q1260" s="415">
        <v>343</v>
      </c>
      <c r="R1260" s="415" t="s">
        <v>3069</v>
      </c>
      <c r="S1260" s="415" t="s">
        <v>3427</v>
      </c>
      <c r="T1260" s="416">
        <v>138</v>
      </c>
      <c r="U1260" s="416">
        <v>138</v>
      </c>
      <c r="V1260" s="416">
        <v>138</v>
      </c>
      <c r="W1260" s="416">
        <v>138</v>
      </c>
      <c r="X1260" s="416">
        <v>138</v>
      </c>
      <c r="Y1260" s="416">
        <v>138</v>
      </c>
      <c r="Z1260" s="416">
        <v>138</v>
      </c>
      <c r="AA1260" s="416">
        <v>135</v>
      </c>
      <c r="AB1260" s="416">
        <v>131</v>
      </c>
      <c r="AC1260" s="416">
        <v>129</v>
      </c>
      <c r="AD1260" s="416">
        <v>127</v>
      </c>
      <c r="AE1260" s="416">
        <v>125</v>
      </c>
      <c r="AF1260" s="416">
        <v>124</v>
      </c>
      <c r="AG1260" s="416">
        <v>122</v>
      </c>
      <c r="AH1260" s="416">
        <v>121</v>
      </c>
      <c r="AI1260" s="416">
        <v>119</v>
      </c>
      <c r="AJ1260" s="416">
        <v>115</v>
      </c>
      <c r="AK1260" s="416">
        <v>89.4</v>
      </c>
      <c r="AL1260" s="416">
        <v>59.2</v>
      </c>
      <c r="AM1260" s="416">
        <v>44.2</v>
      </c>
      <c r="AN1260" s="416">
        <v>31.8</v>
      </c>
      <c r="AO1260" s="416">
        <v>23.7</v>
      </c>
      <c r="AP1260" s="416">
        <v>16.899999999999999</v>
      </c>
      <c r="AQ1260" s="416">
        <v>10.7</v>
      </c>
      <c r="AR1260" s="416">
        <v>6.1</v>
      </c>
      <c r="AS1260" s="416">
        <v>3.78</v>
      </c>
      <c r="AT1260" s="416">
        <v>2.96</v>
      </c>
      <c r="AU1260" s="416">
        <v>2.4</v>
      </c>
      <c r="AV1260" s="416">
        <v>1.76</v>
      </c>
      <c r="AW1260" s="416">
        <v>1.1499999999999999</v>
      </c>
      <c r="AX1260" s="416">
        <v>0</v>
      </c>
      <c r="AY1260" s="416">
        <v>0</v>
      </c>
      <c r="AZ1260" s="416">
        <v>0</v>
      </c>
    </row>
    <row r="1261" spans="1:52" x14ac:dyDescent="0.25">
      <c r="A1261" s="415" t="str">
        <f t="shared" si="19"/>
        <v>SA-213 Gr.TP309S</v>
      </c>
      <c r="B1261" s="415">
        <v>1255</v>
      </c>
      <c r="C1261" s="415" t="s">
        <v>3423</v>
      </c>
      <c r="D1261" s="415" t="s">
        <v>2693</v>
      </c>
      <c r="E1261" s="415" t="s">
        <v>2195</v>
      </c>
      <c r="F1261" s="415" t="s">
        <v>2562</v>
      </c>
      <c r="G1261" s="415" t="s">
        <v>3426</v>
      </c>
      <c r="H1261" s="415">
        <v>0</v>
      </c>
      <c r="I1261" s="415">
        <v>0</v>
      </c>
      <c r="J1261" s="415">
        <v>8</v>
      </c>
      <c r="K1261" s="415">
        <v>2</v>
      </c>
      <c r="L1261" s="415">
        <v>515</v>
      </c>
      <c r="M1261" s="415">
        <v>205</v>
      </c>
      <c r="N1261" s="415">
        <v>816</v>
      </c>
      <c r="O1261" s="415" t="s">
        <v>2675</v>
      </c>
      <c r="P1261" s="415">
        <v>816</v>
      </c>
      <c r="Q1261" s="415">
        <v>343</v>
      </c>
      <c r="R1261" s="415" t="s">
        <v>3069</v>
      </c>
      <c r="S1261" s="415" t="s">
        <v>3428</v>
      </c>
      <c r="T1261" s="416">
        <v>138</v>
      </c>
      <c r="U1261" s="416">
        <v>138</v>
      </c>
      <c r="V1261" s="416">
        <v>129</v>
      </c>
      <c r="W1261" s="416">
        <v>120</v>
      </c>
      <c r="X1261" s="416">
        <v>115</v>
      </c>
      <c r="Y1261" s="416">
        <v>111</v>
      </c>
      <c r="Z1261" s="416">
        <v>105</v>
      </c>
      <c r="AA1261" s="416">
        <v>100</v>
      </c>
      <c r="AB1261" s="416">
        <v>96.7</v>
      </c>
      <c r="AC1261" s="416">
        <v>95.4</v>
      </c>
      <c r="AD1261" s="416">
        <v>94.1</v>
      </c>
      <c r="AE1261" s="416">
        <v>92.9</v>
      </c>
      <c r="AF1261" s="416">
        <v>91.6</v>
      </c>
      <c r="AG1261" s="416">
        <v>90.4</v>
      </c>
      <c r="AH1261" s="416">
        <v>89.2</v>
      </c>
      <c r="AI1261" s="416">
        <v>87.9</v>
      </c>
      <c r="AJ1261" s="416">
        <v>86.7</v>
      </c>
      <c r="AK1261" s="416">
        <v>78.5</v>
      </c>
      <c r="AL1261" s="416">
        <v>59.2</v>
      </c>
      <c r="AM1261" s="416">
        <v>44.2</v>
      </c>
      <c r="AN1261" s="416">
        <v>31.8</v>
      </c>
      <c r="AO1261" s="416">
        <v>23.7</v>
      </c>
      <c r="AP1261" s="416">
        <v>16.899999999999999</v>
      </c>
      <c r="AQ1261" s="416">
        <v>10.7</v>
      </c>
      <c r="AR1261" s="416">
        <v>6.1</v>
      </c>
      <c r="AS1261" s="416">
        <v>3.78</v>
      </c>
      <c r="AT1261" s="416">
        <v>2.96</v>
      </c>
      <c r="AU1261" s="416">
        <v>2.4</v>
      </c>
      <c r="AV1261" s="416">
        <v>1.76</v>
      </c>
      <c r="AW1261" s="416">
        <v>1.1499999999999999</v>
      </c>
      <c r="AX1261" s="416">
        <v>0</v>
      </c>
      <c r="AY1261" s="416">
        <v>0</v>
      </c>
      <c r="AZ1261" s="416">
        <v>0</v>
      </c>
    </row>
    <row r="1262" spans="1:52" x14ac:dyDescent="0.25">
      <c r="A1262" s="415" t="str">
        <f t="shared" si="19"/>
        <v>SA-240 Gr.309S</v>
      </c>
      <c r="B1262" s="415">
        <v>1256</v>
      </c>
      <c r="C1262" s="415" t="s">
        <v>3423</v>
      </c>
      <c r="D1262" s="415" t="s">
        <v>2684</v>
      </c>
      <c r="E1262" s="415" t="s">
        <v>2165</v>
      </c>
      <c r="F1262" s="415" t="s">
        <v>2255</v>
      </c>
      <c r="G1262" s="415" t="s">
        <v>3426</v>
      </c>
      <c r="H1262" s="415">
        <v>0</v>
      </c>
      <c r="I1262" s="415">
        <v>0</v>
      </c>
      <c r="J1262" s="415">
        <v>8</v>
      </c>
      <c r="K1262" s="415">
        <v>2</v>
      </c>
      <c r="L1262" s="415">
        <v>515</v>
      </c>
      <c r="M1262" s="415">
        <v>205</v>
      </c>
      <c r="N1262" s="415">
        <v>816</v>
      </c>
      <c r="O1262" s="415">
        <v>427</v>
      </c>
      <c r="P1262" s="415">
        <v>816</v>
      </c>
      <c r="Q1262" s="415">
        <v>343</v>
      </c>
      <c r="R1262" s="415" t="s">
        <v>3069</v>
      </c>
      <c r="S1262" s="415" t="s">
        <v>3427</v>
      </c>
      <c r="T1262" s="416">
        <v>138</v>
      </c>
      <c r="U1262" s="416">
        <v>138</v>
      </c>
      <c r="V1262" s="416">
        <v>138</v>
      </c>
      <c r="W1262" s="416">
        <v>138</v>
      </c>
      <c r="X1262" s="416">
        <v>138</v>
      </c>
      <c r="Y1262" s="416">
        <v>138</v>
      </c>
      <c r="Z1262" s="416">
        <v>138</v>
      </c>
      <c r="AA1262" s="416">
        <v>135</v>
      </c>
      <c r="AB1262" s="416">
        <v>131</v>
      </c>
      <c r="AC1262" s="416">
        <v>129</v>
      </c>
      <c r="AD1262" s="416">
        <v>127</v>
      </c>
      <c r="AE1262" s="416">
        <v>125</v>
      </c>
      <c r="AF1262" s="416">
        <v>124</v>
      </c>
      <c r="AG1262" s="416">
        <v>122</v>
      </c>
      <c r="AH1262" s="416">
        <v>121</v>
      </c>
      <c r="AI1262" s="416">
        <v>119</v>
      </c>
      <c r="AJ1262" s="416">
        <v>115</v>
      </c>
      <c r="AK1262" s="416">
        <v>89.4</v>
      </c>
      <c r="AL1262" s="416">
        <v>59.2</v>
      </c>
      <c r="AM1262" s="416">
        <v>44.2</v>
      </c>
      <c r="AN1262" s="416">
        <v>31.8</v>
      </c>
      <c r="AO1262" s="416">
        <v>23.7</v>
      </c>
      <c r="AP1262" s="416">
        <v>16.899999999999999</v>
      </c>
      <c r="AQ1262" s="416">
        <v>10.7</v>
      </c>
      <c r="AR1262" s="416">
        <v>6.1</v>
      </c>
      <c r="AS1262" s="416">
        <v>3.78</v>
      </c>
      <c r="AT1262" s="416">
        <v>2.96</v>
      </c>
      <c r="AU1262" s="416">
        <v>2.4</v>
      </c>
      <c r="AV1262" s="416">
        <v>1.76</v>
      </c>
      <c r="AW1262" s="416">
        <v>1.1499999999999999</v>
      </c>
      <c r="AX1262" s="416">
        <v>0</v>
      </c>
      <c r="AY1262" s="416">
        <v>0</v>
      </c>
      <c r="AZ1262" s="416">
        <v>0</v>
      </c>
    </row>
    <row r="1263" spans="1:52" x14ac:dyDescent="0.25">
      <c r="A1263" s="415" t="str">
        <f t="shared" si="19"/>
        <v>SA-240 Gr.309S</v>
      </c>
      <c r="B1263" s="415">
        <v>1257</v>
      </c>
      <c r="C1263" s="415" t="s">
        <v>3423</v>
      </c>
      <c r="D1263" s="415" t="s">
        <v>2684</v>
      </c>
      <c r="E1263" s="415" t="s">
        <v>2165</v>
      </c>
      <c r="F1263" s="415" t="s">
        <v>2255</v>
      </c>
      <c r="G1263" s="415" t="s">
        <v>3426</v>
      </c>
      <c r="H1263" s="415">
        <v>0</v>
      </c>
      <c r="I1263" s="415">
        <v>0</v>
      </c>
      <c r="J1263" s="415">
        <v>8</v>
      </c>
      <c r="K1263" s="415">
        <v>2</v>
      </c>
      <c r="L1263" s="415">
        <v>515</v>
      </c>
      <c r="M1263" s="415">
        <v>205</v>
      </c>
      <c r="N1263" s="415">
        <v>816</v>
      </c>
      <c r="O1263" s="415" t="s">
        <v>2675</v>
      </c>
      <c r="P1263" s="415">
        <v>816</v>
      </c>
      <c r="Q1263" s="415">
        <v>343</v>
      </c>
      <c r="R1263" s="415" t="s">
        <v>3069</v>
      </c>
      <c r="S1263" s="415" t="s">
        <v>3428</v>
      </c>
      <c r="T1263" s="416">
        <v>138</v>
      </c>
      <c r="U1263" s="416">
        <v>138</v>
      </c>
      <c r="V1263" s="416">
        <v>129</v>
      </c>
      <c r="W1263" s="416">
        <v>120</v>
      </c>
      <c r="X1263" s="416">
        <v>115</v>
      </c>
      <c r="Y1263" s="416">
        <v>111</v>
      </c>
      <c r="Z1263" s="416">
        <v>105</v>
      </c>
      <c r="AA1263" s="416">
        <v>100</v>
      </c>
      <c r="AB1263" s="416">
        <v>96.7</v>
      </c>
      <c r="AC1263" s="416">
        <v>95.4</v>
      </c>
      <c r="AD1263" s="416">
        <v>94.1</v>
      </c>
      <c r="AE1263" s="416">
        <v>92.9</v>
      </c>
      <c r="AF1263" s="416">
        <v>91.6</v>
      </c>
      <c r="AG1263" s="416">
        <v>90.4</v>
      </c>
      <c r="AH1263" s="416">
        <v>89.2</v>
      </c>
      <c r="AI1263" s="416">
        <v>87.9</v>
      </c>
      <c r="AJ1263" s="416">
        <v>86.7</v>
      </c>
      <c r="AK1263" s="416">
        <v>78.5</v>
      </c>
      <c r="AL1263" s="416">
        <v>59.2</v>
      </c>
      <c r="AM1263" s="416">
        <v>44.2</v>
      </c>
      <c r="AN1263" s="416">
        <v>31.8</v>
      </c>
      <c r="AO1263" s="416">
        <v>23.7</v>
      </c>
      <c r="AP1263" s="416">
        <v>16.899999999999999</v>
      </c>
      <c r="AQ1263" s="416">
        <v>10.7</v>
      </c>
      <c r="AR1263" s="416">
        <v>6.1</v>
      </c>
      <c r="AS1263" s="416">
        <v>3.78</v>
      </c>
      <c r="AT1263" s="416">
        <v>2.96</v>
      </c>
      <c r="AU1263" s="416">
        <v>2.4</v>
      </c>
      <c r="AV1263" s="416">
        <v>1.76</v>
      </c>
      <c r="AW1263" s="416">
        <v>1.1499999999999999</v>
      </c>
      <c r="AX1263" s="416">
        <v>0</v>
      </c>
      <c r="AY1263" s="416">
        <v>0</v>
      </c>
      <c r="AZ1263" s="416">
        <v>0</v>
      </c>
    </row>
    <row r="1264" spans="1:52" x14ac:dyDescent="0.25">
      <c r="A1264" s="415" t="str">
        <f t="shared" si="19"/>
        <v>SA-249 Gr.TP309S</v>
      </c>
      <c r="B1264" s="415">
        <v>1258</v>
      </c>
      <c r="C1264" s="415" t="s">
        <v>3423</v>
      </c>
      <c r="D1264" s="415" t="s">
        <v>2689</v>
      </c>
      <c r="E1264" s="415" t="s">
        <v>2200</v>
      </c>
      <c r="F1264" s="415" t="s">
        <v>2562</v>
      </c>
      <c r="G1264" s="415" t="s">
        <v>3426</v>
      </c>
      <c r="H1264" s="415">
        <v>0</v>
      </c>
      <c r="I1264" s="415">
        <v>0</v>
      </c>
      <c r="J1264" s="415">
        <v>8</v>
      </c>
      <c r="K1264" s="415">
        <v>2</v>
      </c>
      <c r="L1264" s="415">
        <v>515</v>
      </c>
      <c r="M1264" s="415">
        <v>205</v>
      </c>
      <c r="N1264" s="415" t="s">
        <v>2675</v>
      </c>
      <c r="O1264" s="415" t="s">
        <v>2675</v>
      </c>
      <c r="P1264" s="415">
        <v>816</v>
      </c>
      <c r="Q1264" s="415">
        <v>343</v>
      </c>
      <c r="R1264" s="415" t="s">
        <v>3069</v>
      </c>
      <c r="S1264" s="415" t="s">
        <v>3320</v>
      </c>
      <c r="T1264" s="416">
        <v>117</v>
      </c>
      <c r="U1264" s="416">
        <v>117</v>
      </c>
      <c r="V1264" s="416">
        <v>117</v>
      </c>
      <c r="W1264" s="416">
        <v>117</v>
      </c>
      <c r="X1264" s="416">
        <v>117</v>
      </c>
      <c r="Y1264" s="416">
        <v>117</v>
      </c>
      <c r="Z1264" s="416">
        <v>117</v>
      </c>
      <c r="AA1264" s="416">
        <v>115</v>
      </c>
      <c r="AB1264" s="416">
        <v>111</v>
      </c>
      <c r="AC1264" s="416">
        <v>109</v>
      </c>
      <c r="AD1264" s="416">
        <v>108</v>
      </c>
      <c r="AE1264" s="416">
        <v>107</v>
      </c>
      <c r="AF1264" s="416">
        <v>105</v>
      </c>
      <c r="AG1264" s="416">
        <v>104</v>
      </c>
      <c r="AH1264" s="416">
        <v>102</v>
      </c>
      <c r="AI1264" s="416">
        <v>101</v>
      </c>
      <c r="AJ1264" s="416">
        <v>98.9</v>
      </c>
      <c r="AK1264" s="416">
        <v>74.7</v>
      </c>
      <c r="AL1264" s="416">
        <v>50.6</v>
      </c>
      <c r="AM1264" s="416">
        <v>37.4</v>
      </c>
      <c r="AN1264" s="416">
        <v>27.5</v>
      </c>
      <c r="AO1264" s="416">
        <v>20.399999999999999</v>
      </c>
      <c r="AP1264" s="416">
        <v>14.2</v>
      </c>
      <c r="AQ1264" s="416">
        <v>9.27</v>
      </c>
      <c r="AR1264" s="416">
        <v>5.22</v>
      </c>
      <c r="AS1264" s="416">
        <v>3.23</v>
      </c>
      <c r="AT1264" s="416">
        <v>2.5299999999999998</v>
      </c>
      <c r="AU1264" s="416">
        <v>2.06</v>
      </c>
      <c r="AV1264" s="416">
        <v>1.52</v>
      </c>
      <c r="AW1264" s="416">
        <v>0.96</v>
      </c>
      <c r="AX1264" s="416">
        <v>0</v>
      </c>
      <c r="AY1264" s="416">
        <v>0</v>
      </c>
      <c r="AZ1264" s="416">
        <v>0</v>
      </c>
    </row>
    <row r="1265" spans="1:52" x14ac:dyDescent="0.25">
      <c r="A1265" s="415" t="str">
        <f t="shared" si="19"/>
        <v>SA-249 Gr.TP309S</v>
      </c>
      <c r="B1265" s="415">
        <v>1259</v>
      </c>
      <c r="C1265" s="415" t="s">
        <v>3423</v>
      </c>
      <c r="D1265" s="415" t="s">
        <v>2689</v>
      </c>
      <c r="E1265" s="415" t="s">
        <v>2200</v>
      </c>
      <c r="F1265" s="415" t="s">
        <v>2562</v>
      </c>
      <c r="G1265" s="415" t="s">
        <v>3426</v>
      </c>
      <c r="H1265" s="415">
        <v>0</v>
      </c>
      <c r="I1265" s="415">
        <v>0</v>
      </c>
      <c r="J1265" s="415">
        <v>8</v>
      </c>
      <c r="K1265" s="415">
        <v>2</v>
      </c>
      <c r="L1265" s="415">
        <v>515</v>
      </c>
      <c r="M1265" s="415">
        <v>205</v>
      </c>
      <c r="N1265" s="415" t="s">
        <v>2675</v>
      </c>
      <c r="O1265" s="415" t="s">
        <v>2675</v>
      </c>
      <c r="P1265" s="415">
        <v>816</v>
      </c>
      <c r="Q1265" s="415">
        <v>343</v>
      </c>
      <c r="R1265" s="415" t="s">
        <v>3069</v>
      </c>
      <c r="S1265" s="415" t="s">
        <v>3429</v>
      </c>
      <c r="T1265" s="416">
        <v>117</v>
      </c>
      <c r="U1265" s="416">
        <v>117</v>
      </c>
      <c r="V1265" s="416">
        <v>110</v>
      </c>
      <c r="W1265" s="416">
        <v>101</v>
      </c>
      <c r="X1265" s="416">
        <v>97.5</v>
      </c>
      <c r="Y1265" s="416">
        <v>94.3</v>
      </c>
      <c r="Z1265" s="416">
        <v>88.7</v>
      </c>
      <c r="AA1265" s="416">
        <v>84.7</v>
      </c>
      <c r="AB1265" s="416">
        <v>82.1</v>
      </c>
      <c r="AC1265" s="416">
        <v>80.8</v>
      </c>
      <c r="AD1265" s="416">
        <v>79.8</v>
      </c>
      <c r="AE1265" s="416">
        <v>79.099999999999994</v>
      </c>
      <c r="AF1265" s="416">
        <v>77.900000000000006</v>
      </c>
      <c r="AG1265" s="416">
        <v>77.3</v>
      </c>
      <c r="AH1265" s="416">
        <v>76.099999999999994</v>
      </c>
      <c r="AI1265" s="416">
        <v>74.8</v>
      </c>
      <c r="AJ1265" s="416">
        <v>73.5</v>
      </c>
      <c r="AK1265" s="416">
        <v>64.8</v>
      </c>
      <c r="AL1265" s="416">
        <v>50.6</v>
      </c>
      <c r="AM1265" s="416">
        <v>37.4</v>
      </c>
      <c r="AN1265" s="416">
        <v>27.5</v>
      </c>
      <c r="AO1265" s="416">
        <v>20.399999999999999</v>
      </c>
      <c r="AP1265" s="416">
        <v>14.2</v>
      </c>
      <c r="AQ1265" s="416">
        <v>9.27</v>
      </c>
      <c r="AR1265" s="416">
        <v>5.22</v>
      </c>
      <c r="AS1265" s="416">
        <v>3.23</v>
      </c>
      <c r="AT1265" s="416">
        <v>2.5299999999999998</v>
      </c>
      <c r="AU1265" s="416">
        <v>2.06</v>
      </c>
      <c r="AV1265" s="416">
        <v>1.52</v>
      </c>
      <c r="AW1265" s="416">
        <v>0.96</v>
      </c>
      <c r="AX1265" s="416">
        <v>0</v>
      </c>
      <c r="AY1265" s="416">
        <v>0</v>
      </c>
      <c r="AZ1265" s="416">
        <v>0</v>
      </c>
    </row>
    <row r="1266" spans="1:52" x14ac:dyDescent="0.25">
      <c r="A1266" s="415" t="str">
        <f t="shared" si="19"/>
        <v>SA-312 Gr.TP309S</v>
      </c>
      <c r="B1266" s="415">
        <v>1260</v>
      </c>
      <c r="C1266" s="415" t="s">
        <v>3423</v>
      </c>
      <c r="D1266" s="415" t="s">
        <v>2720</v>
      </c>
      <c r="E1266" s="415" t="s">
        <v>2208</v>
      </c>
      <c r="F1266" s="415" t="s">
        <v>2562</v>
      </c>
      <c r="G1266" s="415" t="s">
        <v>3426</v>
      </c>
      <c r="H1266" s="415">
        <v>0</v>
      </c>
      <c r="I1266" s="415">
        <v>0</v>
      </c>
      <c r="J1266" s="415">
        <v>8</v>
      </c>
      <c r="K1266" s="415">
        <v>2</v>
      </c>
      <c r="L1266" s="415">
        <v>515</v>
      </c>
      <c r="M1266" s="415">
        <v>205</v>
      </c>
      <c r="N1266" s="415">
        <v>816</v>
      </c>
      <c r="O1266" s="415">
        <v>427</v>
      </c>
      <c r="P1266" s="415">
        <v>816</v>
      </c>
      <c r="Q1266" s="415">
        <v>343</v>
      </c>
      <c r="R1266" s="415" t="s">
        <v>3069</v>
      </c>
      <c r="S1266" s="415" t="s">
        <v>3425</v>
      </c>
      <c r="T1266" s="416">
        <v>138</v>
      </c>
      <c r="U1266" s="416">
        <v>138</v>
      </c>
      <c r="V1266" s="416">
        <v>138</v>
      </c>
      <c r="W1266" s="416">
        <v>138</v>
      </c>
      <c r="X1266" s="416">
        <v>138</v>
      </c>
      <c r="Y1266" s="416">
        <v>138</v>
      </c>
      <c r="Z1266" s="416">
        <v>138</v>
      </c>
      <c r="AA1266" s="416">
        <v>135</v>
      </c>
      <c r="AB1266" s="416">
        <v>131</v>
      </c>
      <c r="AC1266" s="416">
        <v>129</v>
      </c>
      <c r="AD1266" s="416">
        <v>127</v>
      </c>
      <c r="AE1266" s="416">
        <v>125</v>
      </c>
      <c r="AF1266" s="416">
        <v>124</v>
      </c>
      <c r="AG1266" s="416">
        <v>122</v>
      </c>
      <c r="AH1266" s="416">
        <v>121</v>
      </c>
      <c r="AI1266" s="416">
        <v>119</v>
      </c>
      <c r="AJ1266" s="416">
        <v>115</v>
      </c>
      <c r="AK1266" s="416">
        <v>89.4</v>
      </c>
      <c r="AL1266" s="416">
        <v>59.2</v>
      </c>
      <c r="AM1266" s="416">
        <v>44.2</v>
      </c>
      <c r="AN1266" s="416">
        <v>31.8</v>
      </c>
      <c r="AO1266" s="416">
        <v>23.7</v>
      </c>
      <c r="AP1266" s="416">
        <v>16.899999999999999</v>
      </c>
      <c r="AQ1266" s="416">
        <v>10.7</v>
      </c>
      <c r="AR1266" s="416">
        <v>6.1</v>
      </c>
      <c r="AS1266" s="416">
        <v>3.78</v>
      </c>
      <c r="AT1266" s="416">
        <v>2.96</v>
      </c>
      <c r="AU1266" s="416">
        <v>2.4</v>
      </c>
      <c r="AV1266" s="416">
        <v>1.76</v>
      </c>
      <c r="AW1266" s="416">
        <v>1.1499999999999999</v>
      </c>
      <c r="AX1266" s="416">
        <v>0</v>
      </c>
      <c r="AY1266" s="416">
        <v>0</v>
      </c>
      <c r="AZ1266" s="416">
        <v>0</v>
      </c>
    </row>
    <row r="1267" spans="1:52" x14ac:dyDescent="0.25">
      <c r="A1267" s="415" t="str">
        <f t="shared" si="19"/>
        <v>SA-312 Gr.TP309S</v>
      </c>
      <c r="B1267" s="415">
        <v>1261</v>
      </c>
      <c r="C1267" s="415" t="s">
        <v>3423</v>
      </c>
      <c r="D1267" s="415" t="s">
        <v>2703</v>
      </c>
      <c r="E1267" s="415" t="s">
        <v>2208</v>
      </c>
      <c r="F1267" s="415" t="s">
        <v>2562</v>
      </c>
      <c r="G1267" s="415" t="s">
        <v>3426</v>
      </c>
      <c r="H1267" s="415">
        <v>0</v>
      </c>
      <c r="I1267" s="415">
        <v>0</v>
      </c>
      <c r="J1267" s="415">
        <v>8</v>
      </c>
      <c r="K1267" s="415">
        <v>2</v>
      </c>
      <c r="L1267" s="415">
        <v>515</v>
      </c>
      <c r="M1267" s="415">
        <v>205</v>
      </c>
      <c r="N1267" s="415">
        <v>816</v>
      </c>
      <c r="O1267" s="415" t="s">
        <v>2675</v>
      </c>
      <c r="P1267" s="415">
        <v>816</v>
      </c>
      <c r="Q1267" s="415">
        <v>343</v>
      </c>
      <c r="R1267" s="415" t="s">
        <v>3069</v>
      </c>
      <c r="S1267" s="415" t="s">
        <v>3428</v>
      </c>
      <c r="T1267" s="416">
        <v>138</v>
      </c>
      <c r="U1267" s="416">
        <v>138</v>
      </c>
      <c r="V1267" s="416">
        <v>129</v>
      </c>
      <c r="W1267" s="416">
        <v>120</v>
      </c>
      <c r="X1267" s="416">
        <v>115</v>
      </c>
      <c r="Y1267" s="416">
        <v>111</v>
      </c>
      <c r="Z1267" s="416">
        <v>105</v>
      </c>
      <c r="AA1267" s="416">
        <v>100</v>
      </c>
      <c r="AB1267" s="416">
        <v>96.7</v>
      </c>
      <c r="AC1267" s="416">
        <v>95.4</v>
      </c>
      <c r="AD1267" s="416">
        <v>94.1</v>
      </c>
      <c r="AE1267" s="416">
        <v>92.9</v>
      </c>
      <c r="AF1267" s="416">
        <v>91.6</v>
      </c>
      <c r="AG1267" s="416">
        <v>90.4</v>
      </c>
      <c r="AH1267" s="416">
        <v>89.2</v>
      </c>
      <c r="AI1267" s="416">
        <v>87.9</v>
      </c>
      <c r="AJ1267" s="416">
        <v>86.7</v>
      </c>
      <c r="AK1267" s="416">
        <v>78.5</v>
      </c>
      <c r="AL1267" s="416">
        <v>59.2</v>
      </c>
      <c r="AM1267" s="416">
        <v>44.2</v>
      </c>
      <c r="AN1267" s="416">
        <v>31.8</v>
      </c>
      <c r="AO1267" s="416">
        <v>23.7</v>
      </c>
      <c r="AP1267" s="416">
        <v>16.899999999999999</v>
      </c>
      <c r="AQ1267" s="416">
        <v>10.7</v>
      </c>
      <c r="AR1267" s="416">
        <v>6.1</v>
      </c>
      <c r="AS1267" s="416">
        <v>3.78</v>
      </c>
      <c r="AT1267" s="416">
        <v>2.96</v>
      </c>
      <c r="AU1267" s="416">
        <v>2.4</v>
      </c>
      <c r="AV1267" s="416">
        <v>1.76</v>
      </c>
      <c r="AW1267" s="416">
        <v>1.1499999999999999</v>
      </c>
      <c r="AX1267" s="416">
        <v>0</v>
      </c>
      <c r="AY1267" s="416">
        <v>0</v>
      </c>
      <c r="AZ1267" s="416">
        <v>0</v>
      </c>
    </row>
    <row r="1268" spans="1:52" x14ac:dyDescent="0.25">
      <c r="A1268" s="415" t="str">
        <f t="shared" si="19"/>
        <v>SA-312 Gr.TP309S</v>
      </c>
      <c r="B1268" s="415">
        <v>1262</v>
      </c>
      <c r="C1268" s="415" t="s">
        <v>3423</v>
      </c>
      <c r="D1268" s="415" t="s">
        <v>2680</v>
      </c>
      <c r="E1268" s="415" t="s">
        <v>2208</v>
      </c>
      <c r="F1268" s="415" t="s">
        <v>2562</v>
      </c>
      <c r="G1268" s="415" t="s">
        <v>3426</v>
      </c>
      <c r="H1268" s="415">
        <v>0</v>
      </c>
      <c r="I1268" s="415">
        <v>0</v>
      </c>
      <c r="J1268" s="415">
        <v>8</v>
      </c>
      <c r="K1268" s="415">
        <v>2</v>
      </c>
      <c r="L1268" s="415">
        <v>515</v>
      </c>
      <c r="M1268" s="415">
        <v>205</v>
      </c>
      <c r="N1268" s="415">
        <v>816</v>
      </c>
      <c r="O1268" s="415" t="s">
        <v>2675</v>
      </c>
      <c r="P1268" s="415" t="s">
        <v>2675</v>
      </c>
      <c r="Q1268" s="415" t="s">
        <v>2675</v>
      </c>
      <c r="R1268" s="415" t="s">
        <v>3069</v>
      </c>
      <c r="S1268" s="415" t="s">
        <v>3430</v>
      </c>
      <c r="T1268" s="416">
        <v>138</v>
      </c>
      <c r="U1268" s="416">
        <v>138</v>
      </c>
      <c r="V1268" s="416">
        <v>138</v>
      </c>
      <c r="W1268" s="416">
        <v>138</v>
      </c>
      <c r="X1268" s="416">
        <v>138</v>
      </c>
      <c r="Y1268" s="416">
        <v>138</v>
      </c>
      <c r="Z1268" s="416">
        <v>138</v>
      </c>
      <c r="AA1268" s="416">
        <v>135</v>
      </c>
      <c r="AB1268" s="416">
        <v>131</v>
      </c>
      <c r="AC1268" s="416">
        <v>129</v>
      </c>
      <c r="AD1268" s="416">
        <v>127</v>
      </c>
      <c r="AE1268" s="416">
        <v>125</v>
      </c>
      <c r="AF1268" s="416">
        <v>124</v>
      </c>
      <c r="AG1268" s="416">
        <v>122</v>
      </c>
      <c r="AH1268" s="416">
        <v>121</v>
      </c>
      <c r="AI1268" s="416">
        <v>119</v>
      </c>
      <c r="AJ1268" s="416">
        <v>115</v>
      </c>
      <c r="AK1268" s="416">
        <v>89.4</v>
      </c>
      <c r="AL1268" s="416">
        <v>59.2</v>
      </c>
      <c r="AM1268" s="416">
        <v>44.2</v>
      </c>
      <c r="AN1268" s="416">
        <v>31.8</v>
      </c>
      <c r="AO1268" s="416">
        <v>23.7</v>
      </c>
      <c r="AP1268" s="416">
        <v>16.899999999999999</v>
      </c>
      <c r="AQ1268" s="416">
        <v>10.7</v>
      </c>
      <c r="AR1268" s="416">
        <v>6.1</v>
      </c>
      <c r="AS1268" s="416">
        <v>3.78</v>
      </c>
      <c r="AT1268" s="416">
        <v>2.96</v>
      </c>
      <c r="AU1268" s="416">
        <v>2.4</v>
      </c>
      <c r="AV1268" s="416">
        <v>1.76</v>
      </c>
      <c r="AW1268" s="416">
        <v>1.1499999999999999</v>
      </c>
      <c r="AX1268" s="416">
        <v>0</v>
      </c>
      <c r="AY1268" s="416">
        <v>0</v>
      </c>
      <c r="AZ1268" s="416">
        <v>0</v>
      </c>
    </row>
    <row r="1269" spans="1:52" x14ac:dyDescent="0.25">
      <c r="A1269" s="415" t="str">
        <f t="shared" si="19"/>
        <v>SA-312 Gr.TP309S</v>
      </c>
      <c r="B1269" s="415">
        <v>1263</v>
      </c>
      <c r="C1269" s="415" t="s">
        <v>3423</v>
      </c>
      <c r="D1269" s="415" t="s">
        <v>2680</v>
      </c>
      <c r="E1269" s="415" t="s">
        <v>2208</v>
      </c>
      <c r="F1269" s="415" t="s">
        <v>2562</v>
      </c>
      <c r="G1269" s="415" t="s">
        <v>3426</v>
      </c>
      <c r="H1269" s="415">
        <v>0</v>
      </c>
      <c r="I1269" s="415">
        <v>0</v>
      </c>
      <c r="J1269" s="415">
        <v>8</v>
      </c>
      <c r="K1269" s="415">
        <v>2</v>
      </c>
      <c r="L1269" s="415">
        <v>515</v>
      </c>
      <c r="M1269" s="415">
        <v>205</v>
      </c>
      <c r="N1269" s="415">
        <v>816</v>
      </c>
      <c r="O1269" s="415" t="s">
        <v>2675</v>
      </c>
      <c r="P1269" s="415" t="s">
        <v>2675</v>
      </c>
      <c r="Q1269" s="415" t="s">
        <v>2675</v>
      </c>
      <c r="R1269" s="415" t="s">
        <v>3069</v>
      </c>
      <c r="S1269" s="415" t="s">
        <v>3431</v>
      </c>
      <c r="T1269" s="416">
        <v>138</v>
      </c>
      <c r="U1269" s="416">
        <v>138</v>
      </c>
      <c r="V1269" s="416">
        <v>129</v>
      </c>
      <c r="W1269" s="416">
        <v>120</v>
      </c>
      <c r="X1269" s="416">
        <v>115</v>
      </c>
      <c r="Y1269" s="416">
        <v>111</v>
      </c>
      <c r="Z1269" s="416">
        <v>105</v>
      </c>
      <c r="AA1269" s="416">
        <v>100</v>
      </c>
      <c r="AB1269" s="416">
        <v>96.7</v>
      </c>
      <c r="AC1269" s="416">
        <v>95.4</v>
      </c>
      <c r="AD1269" s="416">
        <v>94.1</v>
      </c>
      <c r="AE1269" s="416">
        <v>92.9</v>
      </c>
      <c r="AF1269" s="416">
        <v>91.6</v>
      </c>
      <c r="AG1269" s="416">
        <v>90.4</v>
      </c>
      <c r="AH1269" s="416">
        <v>89.2</v>
      </c>
      <c r="AI1269" s="416">
        <v>87.9</v>
      </c>
      <c r="AJ1269" s="416">
        <v>86.7</v>
      </c>
      <c r="AK1269" s="416">
        <v>78.5</v>
      </c>
      <c r="AL1269" s="416">
        <v>59.2</v>
      </c>
      <c r="AM1269" s="416">
        <v>44.2</v>
      </c>
      <c r="AN1269" s="416">
        <v>31.8</v>
      </c>
      <c r="AO1269" s="416">
        <v>23.7</v>
      </c>
      <c r="AP1269" s="416">
        <v>16.899999999999999</v>
      </c>
      <c r="AQ1269" s="416">
        <v>10.7</v>
      </c>
      <c r="AR1269" s="416">
        <v>6.1</v>
      </c>
      <c r="AS1269" s="416">
        <v>3.78</v>
      </c>
      <c r="AT1269" s="416">
        <v>2.96</v>
      </c>
      <c r="AU1269" s="416">
        <v>2.4</v>
      </c>
      <c r="AV1269" s="416">
        <v>1.76</v>
      </c>
      <c r="AW1269" s="416">
        <v>1.1499999999999999</v>
      </c>
      <c r="AX1269" s="416">
        <v>0</v>
      </c>
      <c r="AY1269" s="416">
        <v>0</v>
      </c>
      <c r="AZ1269" s="416">
        <v>0</v>
      </c>
    </row>
    <row r="1270" spans="1:52" x14ac:dyDescent="0.25">
      <c r="A1270" s="415" t="str">
        <f t="shared" si="19"/>
        <v>SA-312 Gr.TP309S</v>
      </c>
      <c r="B1270" s="415">
        <v>1264</v>
      </c>
      <c r="C1270" s="415" t="s">
        <v>3423</v>
      </c>
      <c r="D1270" s="415" t="s">
        <v>2680</v>
      </c>
      <c r="E1270" s="415" t="s">
        <v>2208</v>
      </c>
      <c r="F1270" s="415" t="s">
        <v>2562</v>
      </c>
      <c r="G1270" s="415" t="s">
        <v>3426</v>
      </c>
      <c r="H1270" s="415">
        <v>0</v>
      </c>
      <c r="I1270" s="415">
        <v>0</v>
      </c>
      <c r="J1270" s="415">
        <v>8</v>
      </c>
      <c r="K1270" s="415">
        <v>2</v>
      </c>
      <c r="L1270" s="415">
        <v>515</v>
      </c>
      <c r="M1270" s="415">
        <v>205</v>
      </c>
      <c r="N1270" s="415">
        <v>816</v>
      </c>
      <c r="O1270" s="415" t="s">
        <v>2675</v>
      </c>
      <c r="P1270" s="415">
        <v>816</v>
      </c>
      <c r="Q1270" s="415">
        <v>343</v>
      </c>
      <c r="R1270" s="415" t="s">
        <v>3069</v>
      </c>
      <c r="S1270" s="415" t="s">
        <v>3321</v>
      </c>
      <c r="T1270" s="416">
        <v>117</v>
      </c>
      <c r="U1270" s="416">
        <v>117</v>
      </c>
      <c r="V1270" s="416">
        <v>117</v>
      </c>
      <c r="W1270" s="416">
        <v>117</v>
      </c>
      <c r="X1270" s="416">
        <v>117</v>
      </c>
      <c r="Y1270" s="416">
        <v>117</v>
      </c>
      <c r="Z1270" s="416">
        <v>117</v>
      </c>
      <c r="AA1270" s="416">
        <v>115</v>
      </c>
      <c r="AB1270" s="416">
        <v>111</v>
      </c>
      <c r="AC1270" s="416">
        <v>109</v>
      </c>
      <c r="AD1270" s="416">
        <v>108</v>
      </c>
      <c r="AE1270" s="416">
        <v>107</v>
      </c>
      <c r="AF1270" s="416">
        <v>105</v>
      </c>
      <c r="AG1270" s="416">
        <v>104</v>
      </c>
      <c r="AH1270" s="416">
        <v>102</v>
      </c>
      <c r="AI1270" s="416">
        <v>101</v>
      </c>
      <c r="AJ1270" s="416">
        <v>98.9</v>
      </c>
      <c r="AK1270" s="416">
        <v>74.7</v>
      </c>
      <c r="AL1270" s="416">
        <v>50.6</v>
      </c>
      <c r="AM1270" s="416">
        <v>37.4</v>
      </c>
      <c r="AN1270" s="416">
        <v>27.5</v>
      </c>
      <c r="AO1270" s="416">
        <v>20.399999999999999</v>
      </c>
      <c r="AP1270" s="416">
        <v>14.2</v>
      </c>
      <c r="AQ1270" s="416">
        <v>9.27</v>
      </c>
      <c r="AR1270" s="416">
        <v>5.22</v>
      </c>
      <c r="AS1270" s="416">
        <v>3.23</v>
      </c>
      <c r="AT1270" s="416">
        <v>2.5299999999999998</v>
      </c>
      <c r="AU1270" s="416">
        <v>2.06</v>
      </c>
      <c r="AV1270" s="416">
        <v>1.52</v>
      </c>
      <c r="AW1270" s="416">
        <v>0.96</v>
      </c>
      <c r="AX1270" s="416">
        <v>0</v>
      </c>
      <c r="AY1270" s="416">
        <v>0</v>
      </c>
      <c r="AZ1270" s="416">
        <v>0</v>
      </c>
    </row>
    <row r="1271" spans="1:52" x14ac:dyDescent="0.25">
      <c r="A1271" s="415" t="str">
        <f t="shared" si="19"/>
        <v>SA-312 Gr.TP309S</v>
      </c>
      <c r="B1271" s="415">
        <v>1265</v>
      </c>
      <c r="C1271" s="415" t="s">
        <v>3423</v>
      </c>
      <c r="D1271" s="415" t="s">
        <v>2680</v>
      </c>
      <c r="E1271" s="415" t="s">
        <v>2208</v>
      </c>
      <c r="F1271" s="415" t="s">
        <v>2562</v>
      </c>
      <c r="G1271" s="415" t="s">
        <v>3426</v>
      </c>
      <c r="H1271" s="415">
        <v>0</v>
      </c>
      <c r="I1271" s="415">
        <v>0</v>
      </c>
      <c r="J1271" s="415">
        <v>8</v>
      </c>
      <c r="K1271" s="415">
        <v>2</v>
      </c>
      <c r="L1271" s="415">
        <v>515</v>
      </c>
      <c r="M1271" s="415">
        <v>205</v>
      </c>
      <c r="N1271" s="415">
        <v>816</v>
      </c>
      <c r="O1271" s="415" t="s">
        <v>2675</v>
      </c>
      <c r="P1271" s="415">
        <v>816</v>
      </c>
      <c r="Q1271" s="415">
        <v>343</v>
      </c>
      <c r="R1271" s="415" t="s">
        <v>3069</v>
      </c>
      <c r="S1271" s="415" t="s">
        <v>3432</v>
      </c>
      <c r="T1271" s="416">
        <v>117</v>
      </c>
      <c r="U1271" s="416">
        <v>117</v>
      </c>
      <c r="V1271" s="416">
        <v>110</v>
      </c>
      <c r="W1271" s="416">
        <v>101</v>
      </c>
      <c r="X1271" s="416">
        <v>97.5</v>
      </c>
      <c r="Y1271" s="416">
        <v>94.3</v>
      </c>
      <c r="Z1271" s="416">
        <v>88.7</v>
      </c>
      <c r="AA1271" s="416">
        <v>84.7</v>
      </c>
      <c r="AB1271" s="416">
        <v>82.1</v>
      </c>
      <c r="AC1271" s="416">
        <v>80.8</v>
      </c>
      <c r="AD1271" s="416">
        <v>79.8</v>
      </c>
      <c r="AE1271" s="416">
        <v>79.099999999999994</v>
      </c>
      <c r="AF1271" s="416">
        <v>77.900000000000006</v>
      </c>
      <c r="AG1271" s="416">
        <v>77.3</v>
      </c>
      <c r="AH1271" s="416">
        <v>76.099999999999994</v>
      </c>
      <c r="AI1271" s="416">
        <v>74.8</v>
      </c>
      <c r="AJ1271" s="416">
        <v>73.5</v>
      </c>
      <c r="AK1271" s="416">
        <v>64.8</v>
      </c>
      <c r="AL1271" s="416">
        <v>50.6</v>
      </c>
      <c r="AM1271" s="416">
        <v>37.4</v>
      </c>
      <c r="AN1271" s="416">
        <v>27.5</v>
      </c>
      <c r="AO1271" s="416">
        <v>20.399999999999999</v>
      </c>
      <c r="AP1271" s="416">
        <v>14.2</v>
      </c>
      <c r="AQ1271" s="416">
        <v>9.27</v>
      </c>
      <c r="AR1271" s="416">
        <v>5.22</v>
      </c>
      <c r="AS1271" s="416">
        <v>3.23</v>
      </c>
      <c r="AT1271" s="416">
        <v>2.5299999999999998</v>
      </c>
      <c r="AU1271" s="416">
        <v>2.06</v>
      </c>
      <c r="AV1271" s="416">
        <v>1.52</v>
      </c>
      <c r="AW1271" s="416">
        <v>0.96</v>
      </c>
      <c r="AX1271" s="416">
        <v>0</v>
      </c>
      <c r="AY1271" s="416">
        <v>0</v>
      </c>
      <c r="AZ1271" s="416">
        <v>0</v>
      </c>
    </row>
    <row r="1272" spans="1:52" x14ac:dyDescent="0.25">
      <c r="A1272" s="415" t="str">
        <f t="shared" si="19"/>
        <v>SA-358 Gr.309S</v>
      </c>
      <c r="B1272" s="415">
        <v>1266</v>
      </c>
      <c r="C1272" s="415" t="s">
        <v>3423</v>
      </c>
      <c r="D1272" s="415" t="s">
        <v>2680</v>
      </c>
      <c r="E1272" s="415" t="s">
        <v>2217</v>
      </c>
      <c r="F1272" s="415" t="s">
        <v>2255</v>
      </c>
      <c r="G1272" s="415" t="s">
        <v>3426</v>
      </c>
      <c r="H1272" s="415">
        <v>1</v>
      </c>
      <c r="I1272" s="415">
        <v>0</v>
      </c>
      <c r="J1272" s="415">
        <v>8</v>
      </c>
      <c r="K1272" s="415">
        <v>2</v>
      </c>
      <c r="L1272" s="415">
        <v>515</v>
      </c>
      <c r="M1272" s="415">
        <v>205</v>
      </c>
      <c r="N1272" s="415" t="s">
        <v>2675</v>
      </c>
      <c r="O1272" s="415">
        <v>427</v>
      </c>
      <c r="P1272" s="415" t="s">
        <v>2675</v>
      </c>
      <c r="Q1272" s="415" t="s">
        <v>2675</v>
      </c>
      <c r="R1272" s="415" t="s">
        <v>3069</v>
      </c>
      <c r="S1272" s="415" t="s">
        <v>3208</v>
      </c>
      <c r="T1272" s="416">
        <v>138</v>
      </c>
      <c r="U1272" s="416">
        <v>138</v>
      </c>
      <c r="V1272" s="416">
        <v>138</v>
      </c>
      <c r="W1272" s="416">
        <v>138</v>
      </c>
      <c r="X1272" s="416">
        <v>138</v>
      </c>
      <c r="Y1272" s="416">
        <v>138</v>
      </c>
      <c r="Z1272" s="416">
        <v>138</v>
      </c>
      <c r="AA1272" s="416">
        <v>135</v>
      </c>
      <c r="AB1272" s="416">
        <v>131</v>
      </c>
      <c r="AC1272" s="416">
        <v>129</v>
      </c>
      <c r="AD1272" s="416">
        <v>127</v>
      </c>
      <c r="AE1272" s="416">
        <v>125</v>
      </c>
      <c r="AF1272" s="416">
        <v>124</v>
      </c>
      <c r="AG1272" s="416">
        <v>122</v>
      </c>
      <c r="AH1272" s="416">
        <v>121</v>
      </c>
      <c r="AI1272" s="416">
        <v>0</v>
      </c>
      <c r="AJ1272" s="416">
        <v>0</v>
      </c>
      <c r="AK1272" s="416">
        <v>0</v>
      </c>
      <c r="AL1272" s="416">
        <v>0</v>
      </c>
      <c r="AM1272" s="416">
        <v>0</v>
      </c>
      <c r="AN1272" s="416">
        <v>0</v>
      </c>
      <c r="AO1272" s="416">
        <v>0</v>
      </c>
      <c r="AP1272" s="416">
        <v>0</v>
      </c>
      <c r="AQ1272" s="416">
        <v>0</v>
      </c>
      <c r="AR1272" s="416">
        <v>0</v>
      </c>
      <c r="AS1272" s="416">
        <v>0</v>
      </c>
      <c r="AT1272" s="416">
        <v>0</v>
      </c>
      <c r="AU1272" s="416">
        <v>0</v>
      </c>
      <c r="AV1272" s="416">
        <v>0</v>
      </c>
      <c r="AW1272" s="416">
        <v>0</v>
      </c>
      <c r="AX1272" s="416">
        <v>0</v>
      </c>
      <c r="AY1272" s="416">
        <v>0</v>
      </c>
      <c r="AZ1272" s="416">
        <v>0</v>
      </c>
    </row>
    <row r="1273" spans="1:52" x14ac:dyDescent="0.25">
      <c r="A1273" s="415" t="str">
        <f t="shared" si="19"/>
        <v>SA-479 Gr.309S</v>
      </c>
      <c r="B1273" s="415">
        <v>1267</v>
      </c>
      <c r="C1273" s="415" t="s">
        <v>3423</v>
      </c>
      <c r="D1273" s="415" t="s">
        <v>2677</v>
      </c>
      <c r="E1273" s="415" t="s">
        <v>2245</v>
      </c>
      <c r="F1273" s="415" t="s">
        <v>2255</v>
      </c>
      <c r="G1273" s="415" t="s">
        <v>3426</v>
      </c>
      <c r="H1273" s="415">
        <v>0</v>
      </c>
      <c r="I1273" s="415">
        <v>0</v>
      </c>
      <c r="J1273" s="415">
        <v>8</v>
      </c>
      <c r="K1273" s="415">
        <v>2</v>
      </c>
      <c r="L1273" s="415">
        <v>515</v>
      </c>
      <c r="M1273" s="415">
        <v>205</v>
      </c>
      <c r="N1273" s="415">
        <v>538</v>
      </c>
      <c r="O1273" s="415" t="s">
        <v>2675</v>
      </c>
      <c r="P1273" s="415">
        <v>538</v>
      </c>
      <c r="Q1273" s="415">
        <v>343</v>
      </c>
      <c r="R1273" s="415" t="s">
        <v>3069</v>
      </c>
      <c r="S1273" s="415" t="s">
        <v>3433</v>
      </c>
      <c r="T1273" s="416">
        <v>138</v>
      </c>
      <c r="U1273" s="416">
        <v>138</v>
      </c>
      <c r="V1273" s="416">
        <v>138</v>
      </c>
      <c r="W1273" s="416">
        <v>138</v>
      </c>
      <c r="X1273" s="416">
        <v>138</v>
      </c>
      <c r="Y1273" s="416">
        <v>138</v>
      </c>
      <c r="Z1273" s="416">
        <v>138</v>
      </c>
      <c r="AA1273" s="416">
        <v>135</v>
      </c>
      <c r="AB1273" s="416">
        <v>131</v>
      </c>
      <c r="AC1273" s="416">
        <v>129</v>
      </c>
      <c r="AD1273" s="416">
        <v>127</v>
      </c>
      <c r="AE1273" s="416">
        <v>125</v>
      </c>
      <c r="AF1273" s="416">
        <v>124</v>
      </c>
      <c r="AG1273" s="416">
        <v>122</v>
      </c>
      <c r="AH1273" s="416">
        <v>121</v>
      </c>
      <c r="AI1273" s="416">
        <v>119</v>
      </c>
      <c r="AJ1273" s="416">
        <v>115</v>
      </c>
      <c r="AK1273" s="416">
        <v>89.4</v>
      </c>
      <c r="AL1273" s="416">
        <v>59.2</v>
      </c>
      <c r="AM1273" s="416">
        <v>0</v>
      </c>
      <c r="AN1273" s="416">
        <v>0</v>
      </c>
      <c r="AO1273" s="416">
        <v>0</v>
      </c>
      <c r="AP1273" s="416">
        <v>0</v>
      </c>
      <c r="AQ1273" s="416">
        <v>0</v>
      </c>
      <c r="AR1273" s="416">
        <v>0</v>
      </c>
      <c r="AS1273" s="416">
        <v>0</v>
      </c>
      <c r="AT1273" s="416">
        <v>0</v>
      </c>
      <c r="AU1273" s="416">
        <v>0</v>
      </c>
      <c r="AV1273" s="416">
        <v>0</v>
      </c>
      <c r="AW1273" s="416">
        <v>0</v>
      </c>
      <c r="AX1273" s="416">
        <v>0</v>
      </c>
      <c r="AY1273" s="416">
        <v>0</v>
      </c>
      <c r="AZ1273" s="416">
        <v>0</v>
      </c>
    </row>
    <row r="1274" spans="1:52" x14ac:dyDescent="0.25">
      <c r="A1274" s="415" t="str">
        <f t="shared" si="19"/>
        <v>SA-479 Gr.309S</v>
      </c>
      <c r="B1274" s="415">
        <v>1268</v>
      </c>
      <c r="C1274" s="415" t="s">
        <v>3423</v>
      </c>
      <c r="D1274" s="415" t="s">
        <v>2677</v>
      </c>
      <c r="E1274" s="415" t="s">
        <v>2245</v>
      </c>
      <c r="F1274" s="415" t="s">
        <v>2255</v>
      </c>
      <c r="G1274" s="415" t="s">
        <v>3426</v>
      </c>
      <c r="H1274" s="415">
        <v>0</v>
      </c>
      <c r="I1274" s="415">
        <v>0</v>
      </c>
      <c r="J1274" s="415">
        <v>8</v>
      </c>
      <c r="K1274" s="415">
        <v>2</v>
      </c>
      <c r="L1274" s="415">
        <v>515</v>
      </c>
      <c r="M1274" s="415">
        <v>205</v>
      </c>
      <c r="N1274" s="415">
        <v>538</v>
      </c>
      <c r="O1274" s="415" t="s">
        <v>2675</v>
      </c>
      <c r="P1274" s="415">
        <v>538</v>
      </c>
      <c r="Q1274" s="415">
        <v>343</v>
      </c>
      <c r="R1274" s="415" t="s">
        <v>3069</v>
      </c>
      <c r="S1274" s="415" t="s">
        <v>3434</v>
      </c>
      <c r="T1274" s="416">
        <v>138</v>
      </c>
      <c r="U1274" s="416">
        <v>138</v>
      </c>
      <c r="V1274" s="416">
        <v>129</v>
      </c>
      <c r="W1274" s="416">
        <v>120</v>
      </c>
      <c r="X1274" s="416">
        <v>115</v>
      </c>
      <c r="Y1274" s="416">
        <v>111</v>
      </c>
      <c r="Z1274" s="416">
        <v>105</v>
      </c>
      <c r="AA1274" s="416">
        <v>100</v>
      </c>
      <c r="AB1274" s="416">
        <v>96.7</v>
      </c>
      <c r="AC1274" s="416">
        <v>95.4</v>
      </c>
      <c r="AD1274" s="416">
        <v>94.1</v>
      </c>
      <c r="AE1274" s="416">
        <v>92.9</v>
      </c>
      <c r="AF1274" s="416">
        <v>91.6</v>
      </c>
      <c r="AG1274" s="416">
        <v>90.4</v>
      </c>
      <c r="AH1274" s="416">
        <v>89.2</v>
      </c>
      <c r="AI1274" s="416">
        <v>87.9</v>
      </c>
      <c r="AJ1274" s="416">
        <v>86.7</v>
      </c>
      <c r="AK1274" s="416">
        <v>78.5</v>
      </c>
      <c r="AL1274" s="416">
        <v>59.2</v>
      </c>
      <c r="AM1274" s="416">
        <v>0</v>
      </c>
      <c r="AN1274" s="416">
        <v>0</v>
      </c>
      <c r="AO1274" s="416">
        <v>0</v>
      </c>
      <c r="AP1274" s="416">
        <v>0</v>
      </c>
      <c r="AQ1274" s="416">
        <v>0</v>
      </c>
      <c r="AR1274" s="416">
        <v>0</v>
      </c>
      <c r="AS1274" s="416">
        <v>0</v>
      </c>
      <c r="AT1274" s="416">
        <v>0</v>
      </c>
      <c r="AU1274" s="416">
        <v>0</v>
      </c>
      <c r="AV1274" s="416">
        <v>0</v>
      </c>
      <c r="AW1274" s="416">
        <v>0</v>
      </c>
      <c r="AX1274" s="416">
        <v>0</v>
      </c>
      <c r="AY1274" s="416">
        <v>0</v>
      </c>
      <c r="AZ1274" s="416">
        <v>0</v>
      </c>
    </row>
    <row r="1275" spans="1:52" x14ac:dyDescent="0.25">
      <c r="A1275" s="415" t="str">
        <f t="shared" si="19"/>
        <v>SA-813 Gr.TP309S</v>
      </c>
      <c r="B1275" s="415">
        <v>1269</v>
      </c>
      <c r="C1275" s="415" t="s">
        <v>3423</v>
      </c>
      <c r="D1275" s="415" t="s">
        <v>2680</v>
      </c>
      <c r="E1275" s="415" t="s">
        <v>2328</v>
      </c>
      <c r="F1275" s="415" t="s">
        <v>2562</v>
      </c>
      <c r="G1275" s="415" t="s">
        <v>3426</v>
      </c>
      <c r="H1275" s="415">
        <v>0</v>
      </c>
      <c r="I1275" s="415">
        <v>0</v>
      </c>
      <c r="J1275" s="415">
        <v>8</v>
      </c>
      <c r="K1275" s="415">
        <v>2</v>
      </c>
      <c r="L1275" s="415">
        <v>515</v>
      </c>
      <c r="M1275" s="415">
        <v>205</v>
      </c>
      <c r="N1275" s="415" t="s">
        <v>2675</v>
      </c>
      <c r="O1275" s="415" t="s">
        <v>2675</v>
      </c>
      <c r="P1275" s="415">
        <v>816</v>
      </c>
      <c r="Q1275" s="415">
        <v>343</v>
      </c>
      <c r="R1275" s="415" t="s">
        <v>3069</v>
      </c>
      <c r="S1275" s="415" t="s">
        <v>3320</v>
      </c>
      <c r="T1275" s="416">
        <v>117</v>
      </c>
      <c r="U1275" s="416">
        <v>117</v>
      </c>
      <c r="V1275" s="416">
        <v>117</v>
      </c>
      <c r="W1275" s="416">
        <v>117</v>
      </c>
      <c r="X1275" s="416">
        <v>117</v>
      </c>
      <c r="Y1275" s="416">
        <v>117</v>
      </c>
      <c r="Z1275" s="416">
        <v>117</v>
      </c>
      <c r="AA1275" s="416">
        <v>115</v>
      </c>
      <c r="AB1275" s="416">
        <v>111</v>
      </c>
      <c r="AC1275" s="416">
        <v>109</v>
      </c>
      <c r="AD1275" s="416">
        <v>108</v>
      </c>
      <c r="AE1275" s="416">
        <v>107</v>
      </c>
      <c r="AF1275" s="416">
        <v>105</v>
      </c>
      <c r="AG1275" s="416">
        <v>104</v>
      </c>
      <c r="AH1275" s="416">
        <v>102</v>
      </c>
      <c r="AI1275" s="416">
        <v>101</v>
      </c>
      <c r="AJ1275" s="416">
        <v>98.9</v>
      </c>
      <c r="AK1275" s="416">
        <v>74.7</v>
      </c>
      <c r="AL1275" s="416">
        <v>50.6</v>
      </c>
      <c r="AM1275" s="416">
        <v>37.4</v>
      </c>
      <c r="AN1275" s="416">
        <v>27.5</v>
      </c>
      <c r="AO1275" s="416">
        <v>20.399999999999999</v>
      </c>
      <c r="AP1275" s="416">
        <v>14.2</v>
      </c>
      <c r="AQ1275" s="416">
        <v>9.27</v>
      </c>
      <c r="AR1275" s="416">
        <v>5.22</v>
      </c>
      <c r="AS1275" s="416">
        <v>3.23</v>
      </c>
      <c r="AT1275" s="416">
        <v>2.5299999999999998</v>
      </c>
      <c r="AU1275" s="416">
        <v>2.06</v>
      </c>
      <c r="AV1275" s="416">
        <v>1.52</v>
      </c>
      <c r="AW1275" s="416">
        <v>0.96</v>
      </c>
      <c r="AX1275" s="416">
        <v>0</v>
      </c>
      <c r="AY1275" s="416">
        <v>0</v>
      </c>
      <c r="AZ1275" s="416">
        <v>0</v>
      </c>
    </row>
    <row r="1276" spans="1:52" x14ac:dyDescent="0.25">
      <c r="A1276" s="415" t="str">
        <f t="shared" si="19"/>
        <v>SA-813 Gr.TP309S</v>
      </c>
      <c r="B1276" s="415">
        <v>1270</v>
      </c>
      <c r="C1276" s="415" t="s">
        <v>3423</v>
      </c>
      <c r="D1276" s="415" t="s">
        <v>2680</v>
      </c>
      <c r="E1276" s="415" t="s">
        <v>2328</v>
      </c>
      <c r="F1276" s="415" t="s">
        <v>2562</v>
      </c>
      <c r="G1276" s="415" t="s">
        <v>3426</v>
      </c>
      <c r="H1276" s="415">
        <v>0</v>
      </c>
      <c r="I1276" s="415">
        <v>0</v>
      </c>
      <c r="J1276" s="415">
        <v>8</v>
      </c>
      <c r="K1276" s="415">
        <v>2</v>
      </c>
      <c r="L1276" s="415">
        <v>515</v>
      </c>
      <c r="M1276" s="415">
        <v>205</v>
      </c>
      <c r="N1276" s="415" t="s">
        <v>2675</v>
      </c>
      <c r="O1276" s="415" t="s">
        <v>2675</v>
      </c>
      <c r="P1276" s="415">
        <v>816</v>
      </c>
      <c r="Q1276" s="415">
        <v>343</v>
      </c>
      <c r="R1276" s="415" t="s">
        <v>3069</v>
      </c>
      <c r="S1276" s="415" t="s">
        <v>3429</v>
      </c>
      <c r="T1276" s="416">
        <v>117</v>
      </c>
      <c r="U1276" s="416">
        <v>117</v>
      </c>
      <c r="V1276" s="416">
        <v>110</v>
      </c>
      <c r="W1276" s="416">
        <v>101</v>
      </c>
      <c r="X1276" s="416">
        <v>97.5</v>
      </c>
      <c r="Y1276" s="416">
        <v>94.3</v>
      </c>
      <c r="Z1276" s="416">
        <v>88.7</v>
      </c>
      <c r="AA1276" s="416">
        <v>84.7</v>
      </c>
      <c r="AB1276" s="416">
        <v>82.1</v>
      </c>
      <c r="AC1276" s="416">
        <v>80.8</v>
      </c>
      <c r="AD1276" s="416">
        <v>79.8</v>
      </c>
      <c r="AE1276" s="416">
        <v>79.099999999999994</v>
      </c>
      <c r="AF1276" s="416">
        <v>77.900000000000006</v>
      </c>
      <c r="AG1276" s="416">
        <v>77.3</v>
      </c>
      <c r="AH1276" s="416">
        <v>76.099999999999994</v>
      </c>
      <c r="AI1276" s="416">
        <v>74.8</v>
      </c>
      <c r="AJ1276" s="416">
        <v>73.5</v>
      </c>
      <c r="AK1276" s="416">
        <v>64.8</v>
      </c>
      <c r="AL1276" s="416">
        <v>50.6</v>
      </c>
      <c r="AM1276" s="416">
        <v>37.4</v>
      </c>
      <c r="AN1276" s="416">
        <v>27.5</v>
      </c>
      <c r="AO1276" s="416">
        <v>20.399999999999999</v>
      </c>
      <c r="AP1276" s="416">
        <v>14.2</v>
      </c>
      <c r="AQ1276" s="416">
        <v>9.27</v>
      </c>
      <c r="AR1276" s="416">
        <v>5.22</v>
      </c>
      <c r="AS1276" s="416">
        <v>3.23</v>
      </c>
      <c r="AT1276" s="416">
        <v>2.5299999999999998</v>
      </c>
      <c r="AU1276" s="416">
        <v>2.06</v>
      </c>
      <c r="AV1276" s="416">
        <v>1.52</v>
      </c>
      <c r="AW1276" s="416">
        <v>0.96</v>
      </c>
      <c r="AX1276" s="416">
        <v>0</v>
      </c>
      <c r="AY1276" s="416">
        <v>0</v>
      </c>
      <c r="AZ1276" s="416">
        <v>0</v>
      </c>
    </row>
    <row r="1277" spans="1:52" x14ac:dyDescent="0.25">
      <c r="A1277" s="415" t="str">
        <f t="shared" si="19"/>
        <v>SA-814 Gr.TP309S</v>
      </c>
      <c r="B1277" s="415">
        <v>1271</v>
      </c>
      <c r="C1277" s="415" t="s">
        <v>3423</v>
      </c>
      <c r="D1277" s="415" t="s">
        <v>2680</v>
      </c>
      <c r="E1277" s="415" t="s">
        <v>2330</v>
      </c>
      <c r="F1277" s="415" t="s">
        <v>2562</v>
      </c>
      <c r="G1277" s="415" t="s">
        <v>3426</v>
      </c>
      <c r="H1277" s="415">
        <v>0</v>
      </c>
      <c r="I1277" s="415">
        <v>0</v>
      </c>
      <c r="J1277" s="415">
        <v>8</v>
      </c>
      <c r="K1277" s="415">
        <v>2</v>
      </c>
      <c r="L1277" s="415">
        <v>515</v>
      </c>
      <c r="M1277" s="415">
        <v>205</v>
      </c>
      <c r="N1277" s="415" t="s">
        <v>2675</v>
      </c>
      <c r="O1277" s="415" t="s">
        <v>2675</v>
      </c>
      <c r="P1277" s="415">
        <v>816</v>
      </c>
      <c r="Q1277" s="415">
        <v>343</v>
      </c>
      <c r="R1277" s="415" t="s">
        <v>3069</v>
      </c>
      <c r="S1277" s="415" t="s">
        <v>3320</v>
      </c>
      <c r="T1277" s="416">
        <v>117</v>
      </c>
      <c r="U1277" s="416">
        <v>117</v>
      </c>
      <c r="V1277" s="416">
        <v>117</v>
      </c>
      <c r="W1277" s="416">
        <v>117</v>
      </c>
      <c r="X1277" s="416">
        <v>117</v>
      </c>
      <c r="Y1277" s="416">
        <v>117</v>
      </c>
      <c r="Z1277" s="416">
        <v>117</v>
      </c>
      <c r="AA1277" s="416">
        <v>115</v>
      </c>
      <c r="AB1277" s="416">
        <v>111</v>
      </c>
      <c r="AC1277" s="416">
        <v>109</v>
      </c>
      <c r="AD1277" s="416">
        <v>108</v>
      </c>
      <c r="AE1277" s="416">
        <v>107</v>
      </c>
      <c r="AF1277" s="416">
        <v>105</v>
      </c>
      <c r="AG1277" s="416">
        <v>104</v>
      </c>
      <c r="AH1277" s="416">
        <v>102</v>
      </c>
      <c r="AI1277" s="416">
        <v>101</v>
      </c>
      <c r="AJ1277" s="416">
        <v>98.9</v>
      </c>
      <c r="AK1277" s="416">
        <v>74.7</v>
      </c>
      <c r="AL1277" s="416">
        <v>50.6</v>
      </c>
      <c r="AM1277" s="416">
        <v>37.4</v>
      </c>
      <c r="AN1277" s="416">
        <v>27.5</v>
      </c>
      <c r="AO1277" s="416">
        <v>20.399999999999999</v>
      </c>
      <c r="AP1277" s="416">
        <v>14.2</v>
      </c>
      <c r="AQ1277" s="416">
        <v>9.27</v>
      </c>
      <c r="AR1277" s="416">
        <v>5.22</v>
      </c>
      <c r="AS1277" s="416">
        <v>3.23</v>
      </c>
      <c r="AT1277" s="416">
        <v>2.5299999999999998</v>
      </c>
      <c r="AU1277" s="416">
        <v>2.06</v>
      </c>
      <c r="AV1277" s="416">
        <v>1.52</v>
      </c>
      <c r="AW1277" s="416">
        <v>0.96</v>
      </c>
      <c r="AX1277" s="416">
        <v>0</v>
      </c>
      <c r="AY1277" s="416">
        <v>0</v>
      </c>
      <c r="AZ1277" s="416">
        <v>0</v>
      </c>
    </row>
    <row r="1278" spans="1:52" x14ac:dyDescent="0.25">
      <c r="A1278" s="415" t="str">
        <f t="shared" si="19"/>
        <v>SA-814 Gr.TP309S</v>
      </c>
      <c r="B1278" s="415">
        <v>1272</v>
      </c>
      <c r="C1278" s="415" t="s">
        <v>3423</v>
      </c>
      <c r="D1278" s="415" t="s">
        <v>2680</v>
      </c>
      <c r="E1278" s="415" t="s">
        <v>2330</v>
      </c>
      <c r="F1278" s="415" t="s">
        <v>2562</v>
      </c>
      <c r="G1278" s="415" t="s">
        <v>3426</v>
      </c>
      <c r="H1278" s="415">
        <v>0</v>
      </c>
      <c r="I1278" s="415">
        <v>0</v>
      </c>
      <c r="J1278" s="415">
        <v>8</v>
      </c>
      <c r="K1278" s="415">
        <v>2</v>
      </c>
      <c r="L1278" s="415">
        <v>515</v>
      </c>
      <c r="M1278" s="415">
        <v>205</v>
      </c>
      <c r="N1278" s="415" t="s">
        <v>2675</v>
      </c>
      <c r="O1278" s="415" t="s">
        <v>2675</v>
      </c>
      <c r="P1278" s="415">
        <v>816</v>
      </c>
      <c r="Q1278" s="415">
        <v>343</v>
      </c>
      <c r="R1278" s="415" t="s">
        <v>3069</v>
      </c>
      <c r="S1278" s="415" t="s">
        <v>3429</v>
      </c>
      <c r="T1278" s="416">
        <v>117</v>
      </c>
      <c r="U1278" s="416">
        <v>117</v>
      </c>
      <c r="V1278" s="416">
        <v>110</v>
      </c>
      <c r="W1278" s="416">
        <v>101</v>
      </c>
      <c r="X1278" s="416">
        <v>97.5</v>
      </c>
      <c r="Y1278" s="416">
        <v>94.3</v>
      </c>
      <c r="Z1278" s="416">
        <v>88.7</v>
      </c>
      <c r="AA1278" s="416">
        <v>84.7</v>
      </c>
      <c r="AB1278" s="416">
        <v>82.1</v>
      </c>
      <c r="AC1278" s="416">
        <v>80.8</v>
      </c>
      <c r="AD1278" s="416">
        <v>79.8</v>
      </c>
      <c r="AE1278" s="416">
        <v>79.099999999999994</v>
      </c>
      <c r="AF1278" s="416">
        <v>77.900000000000006</v>
      </c>
      <c r="AG1278" s="416">
        <v>77.3</v>
      </c>
      <c r="AH1278" s="416">
        <v>76.099999999999994</v>
      </c>
      <c r="AI1278" s="416">
        <v>74.8</v>
      </c>
      <c r="AJ1278" s="416">
        <v>73.5</v>
      </c>
      <c r="AK1278" s="416">
        <v>64.8</v>
      </c>
      <c r="AL1278" s="416">
        <v>50.6</v>
      </c>
      <c r="AM1278" s="416">
        <v>37.4</v>
      </c>
      <c r="AN1278" s="416">
        <v>27.5</v>
      </c>
      <c r="AO1278" s="416">
        <v>20.399999999999999</v>
      </c>
      <c r="AP1278" s="416">
        <v>14.2</v>
      </c>
      <c r="AQ1278" s="416">
        <v>9.27</v>
      </c>
      <c r="AR1278" s="416">
        <v>5.22</v>
      </c>
      <c r="AS1278" s="416">
        <v>3.23</v>
      </c>
      <c r="AT1278" s="416">
        <v>2.5299999999999998</v>
      </c>
      <c r="AU1278" s="416">
        <v>2.06</v>
      </c>
      <c r="AV1278" s="416">
        <v>1.52</v>
      </c>
      <c r="AW1278" s="416">
        <v>0.96</v>
      </c>
      <c r="AX1278" s="416">
        <v>0</v>
      </c>
      <c r="AY1278" s="416">
        <v>0</v>
      </c>
      <c r="AZ1278" s="416">
        <v>0</v>
      </c>
    </row>
    <row r="1279" spans="1:52" x14ac:dyDescent="0.25">
      <c r="A1279" s="415" t="str">
        <f t="shared" si="19"/>
        <v>SA-213 Gr.TP309H</v>
      </c>
      <c r="B1279" s="415">
        <v>1273</v>
      </c>
      <c r="C1279" s="415" t="s">
        <v>3423</v>
      </c>
      <c r="D1279" s="415" t="s">
        <v>2693</v>
      </c>
      <c r="E1279" s="415" t="s">
        <v>2195</v>
      </c>
      <c r="F1279" s="415" t="s">
        <v>2561</v>
      </c>
      <c r="G1279" s="415" t="s">
        <v>3435</v>
      </c>
      <c r="H1279" s="415">
        <v>0</v>
      </c>
      <c r="I1279" s="415">
        <v>0</v>
      </c>
      <c r="J1279" s="415">
        <v>8</v>
      </c>
      <c r="K1279" s="415">
        <v>2</v>
      </c>
      <c r="L1279" s="415">
        <v>515</v>
      </c>
      <c r="M1279" s="415">
        <v>205</v>
      </c>
      <c r="N1279" s="415">
        <v>816</v>
      </c>
      <c r="O1279" s="415" t="s">
        <v>2675</v>
      </c>
      <c r="P1279" s="415">
        <v>816</v>
      </c>
      <c r="Q1279" s="415" t="s">
        <v>2675</v>
      </c>
      <c r="R1279" s="415" t="s">
        <v>3069</v>
      </c>
      <c r="S1279" s="415" t="s">
        <v>3436</v>
      </c>
      <c r="T1279" s="416">
        <v>138</v>
      </c>
      <c r="U1279" s="416">
        <v>138</v>
      </c>
      <c r="V1279" s="416">
        <v>138</v>
      </c>
      <c r="W1279" s="416">
        <v>138</v>
      </c>
      <c r="X1279" s="416">
        <v>138</v>
      </c>
      <c r="Y1279" s="416">
        <v>138</v>
      </c>
      <c r="Z1279" s="416">
        <v>138</v>
      </c>
      <c r="AA1279" s="416">
        <v>135</v>
      </c>
      <c r="AB1279" s="416">
        <v>131</v>
      </c>
      <c r="AC1279" s="416">
        <v>129</v>
      </c>
      <c r="AD1279" s="416">
        <v>127</v>
      </c>
      <c r="AE1279" s="416">
        <v>125</v>
      </c>
      <c r="AF1279" s="416">
        <v>124</v>
      </c>
      <c r="AG1279" s="416">
        <v>122</v>
      </c>
      <c r="AH1279" s="416">
        <v>121</v>
      </c>
      <c r="AI1279" s="416">
        <v>119</v>
      </c>
      <c r="AJ1279" s="416">
        <v>117</v>
      </c>
      <c r="AK1279" s="416">
        <v>107</v>
      </c>
      <c r="AL1279" s="416">
        <v>83.8</v>
      </c>
      <c r="AM1279" s="416">
        <v>65.2</v>
      </c>
      <c r="AN1279" s="416">
        <v>48.6</v>
      </c>
      <c r="AO1279" s="416">
        <v>36.299999999999997</v>
      </c>
      <c r="AP1279" s="416">
        <v>27.3</v>
      </c>
      <c r="AQ1279" s="416">
        <v>21.1</v>
      </c>
      <c r="AR1279" s="416">
        <v>15.9</v>
      </c>
      <c r="AS1279" s="416">
        <v>12.5</v>
      </c>
      <c r="AT1279" s="416">
        <v>9.89</v>
      </c>
      <c r="AU1279" s="416">
        <v>7.77</v>
      </c>
      <c r="AV1279" s="416">
        <v>6.12</v>
      </c>
      <c r="AW1279" s="416">
        <v>4.59</v>
      </c>
      <c r="AX1279" s="416">
        <v>0</v>
      </c>
      <c r="AY1279" s="416">
        <v>0</v>
      </c>
      <c r="AZ1279" s="416">
        <v>0</v>
      </c>
    </row>
    <row r="1280" spans="1:52" x14ac:dyDescent="0.25">
      <c r="A1280" s="415" t="str">
        <f t="shared" si="19"/>
        <v>SA-213 Gr.TP309H</v>
      </c>
      <c r="B1280" s="415">
        <v>1274</v>
      </c>
      <c r="C1280" s="415" t="s">
        <v>3423</v>
      </c>
      <c r="D1280" s="415" t="s">
        <v>2693</v>
      </c>
      <c r="E1280" s="415" t="s">
        <v>2195</v>
      </c>
      <c r="F1280" s="415" t="s">
        <v>2561</v>
      </c>
      <c r="G1280" s="415" t="s">
        <v>3435</v>
      </c>
      <c r="H1280" s="415">
        <v>0</v>
      </c>
      <c r="I1280" s="415">
        <v>0</v>
      </c>
      <c r="J1280" s="415">
        <v>8</v>
      </c>
      <c r="K1280" s="415">
        <v>2</v>
      </c>
      <c r="L1280" s="415">
        <v>515</v>
      </c>
      <c r="M1280" s="415">
        <v>205</v>
      </c>
      <c r="N1280" s="415">
        <v>816</v>
      </c>
      <c r="O1280" s="415" t="s">
        <v>2675</v>
      </c>
      <c r="P1280" s="415">
        <v>816</v>
      </c>
      <c r="Q1280" s="415" t="s">
        <v>2675</v>
      </c>
      <c r="R1280" s="415" t="s">
        <v>3069</v>
      </c>
      <c r="S1280" s="415" t="s">
        <v>2552</v>
      </c>
      <c r="T1280" s="416">
        <v>138</v>
      </c>
      <c r="U1280" s="416">
        <v>138</v>
      </c>
      <c r="V1280" s="416">
        <v>129</v>
      </c>
      <c r="W1280" s="416">
        <v>119</v>
      </c>
      <c r="X1280" s="416">
        <v>114</v>
      </c>
      <c r="Y1280" s="416">
        <v>111</v>
      </c>
      <c r="Z1280" s="416">
        <v>105</v>
      </c>
      <c r="AA1280" s="416">
        <v>100</v>
      </c>
      <c r="AB1280" s="416">
        <v>96.7</v>
      </c>
      <c r="AC1280" s="416">
        <v>95.4</v>
      </c>
      <c r="AD1280" s="416">
        <v>94.1</v>
      </c>
      <c r="AE1280" s="416">
        <v>92.9</v>
      </c>
      <c r="AF1280" s="416">
        <v>91.6</v>
      </c>
      <c r="AG1280" s="416">
        <v>90.4</v>
      </c>
      <c r="AH1280" s="416">
        <v>89.2</v>
      </c>
      <c r="AI1280" s="416">
        <v>87.9</v>
      </c>
      <c r="AJ1280" s="416">
        <v>86.7</v>
      </c>
      <c r="AK1280" s="416">
        <v>85.4</v>
      </c>
      <c r="AL1280" s="416">
        <v>78.900000000000006</v>
      </c>
      <c r="AM1280" s="416">
        <v>65.2</v>
      </c>
      <c r="AN1280" s="416">
        <v>48.6</v>
      </c>
      <c r="AO1280" s="416">
        <v>36.299999999999997</v>
      </c>
      <c r="AP1280" s="416">
        <v>27.3</v>
      </c>
      <c r="AQ1280" s="416">
        <v>21.1</v>
      </c>
      <c r="AR1280" s="416">
        <v>15.9</v>
      </c>
      <c r="AS1280" s="416">
        <v>12.5</v>
      </c>
      <c r="AT1280" s="416">
        <v>9.89</v>
      </c>
      <c r="AU1280" s="416">
        <v>7.77</v>
      </c>
      <c r="AV1280" s="416">
        <v>6.12</v>
      </c>
      <c r="AW1280" s="416">
        <v>4.59</v>
      </c>
      <c r="AX1280" s="416">
        <v>0</v>
      </c>
      <c r="AY1280" s="416">
        <v>0</v>
      </c>
      <c r="AZ1280" s="416">
        <v>0</v>
      </c>
    </row>
    <row r="1281" spans="1:52" x14ac:dyDescent="0.25">
      <c r="A1281" s="415" t="str">
        <f t="shared" si="19"/>
        <v>SA-240 Gr.309H</v>
      </c>
      <c r="B1281" s="415">
        <v>1275</v>
      </c>
      <c r="C1281" s="415" t="s">
        <v>3423</v>
      </c>
      <c r="D1281" s="415" t="s">
        <v>2684</v>
      </c>
      <c r="E1281" s="415" t="s">
        <v>2165</v>
      </c>
      <c r="F1281" s="415" t="s">
        <v>2253</v>
      </c>
      <c r="G1281" s="415" t="s">
        <v>3435</v>
      </c>
      <c r="H1281" s="415">
        <v>0</v>
      </c>
      <c r="I1281" s="415">
        <v>0</v>
      </c>
      <c r="J1281" s="415">
        <v>8</v>
      </c>
      <c r="K1281" s="415">
        <v>2</v>
      </c>
      <c r="L1281" s="415">
        <v>515</v>
      </c>
      <c r="M1281" s="415">
        <v>205</v>
      </c>
      <c r="N1281" s="415">
        <v>816</v>
      </c>
      <c r="O1281" s="415" t="s">
        <v>2675</v>
      </c>
      <c r="P1281" s="415">
        <v>816</v>
      </c>
      <c r="Q1281" s="415" t="s">
        <v>2675</v>
      </c>
      <c r="R1281" s="415" t="s">
        <v>3069</v>
      </c>
      <c r="S1281" s="415" t="s">
        <v>3437</v>
      </c>
      <c r="T1281" s="416">
        <v>138</v>
      </c>
      <c r="U1281" s="416">
        <v>138</v>
      </c>
      <c r="V1281" s="416">
        <v>138</v>
      </c>
      <c r="W1281" s="416">
        <v>138</v>
      </c>
      <c r="X1281" s="416">
        <v>138</v>
      </c>
      <c r="Y1281" s="416">
        <v>138</v>
      </c>
      <c r="Z1281" s="416">
        <v>138</v>
      </c>
      <c r="AA1281" s="416">
        <v>135</v>
      </c>
      <c r="AB1281" s="416">
        <v>131</v>
      </c>
      <c r="AC1281" s="416">
        <v>129</v>
      </c>
      <c r="AD1281" s="416">
        <v>127</v>
      </c>
      <c r="AE1281" s="416">
        <v>125</v>
      </c>
      <c r="AF1281" s="416">
        <v>124</v>
      </c>
      <c r="AG1281" s="416">
        <v>122</v>
      </c>
      <c r="AH1281" s="416">
        <v>121</v>
      </c>
      <c r="AI1281" s="416">
        <v>119</v>
      </c>
      <c r="AJ1281" s="416">
        <v>117</v>
      </c>
      <c r="AK1281" s="416">
        <v>107</v>
      </c>
      <c r="AL1281" s="416">
        <v>83.8</v>
      </c>
      <c r="AM1281" s="416">
        <v>65.2</v>
      </c>
      <c r="AN1281" s="416">
        <v>48.6</v>
      </c>
      <c r="AO1281" s="416">
        <v>36.299999999999997</v>
      </c>
      <c r="AP1281" s="416">
        <v>27.3</v>
      </c>
      <c r="AQ1281" s="416">
        <v>21.1</v>
      </c>
      <c r="AR1281" s="416">
        <v>15.9</v>
      </c>
      <c r="AS1281" s="416">
        <v>12.5</v>
      </c>
      <c r="AT1281" s="416">
        <v>9.89</v>
      </c>
      <c r="AU1281" s="416">
        <v>7.77</v>
      </c>
      <c r="AV1281" s="416">
        <v>6.12</v>
      </c>
      <c r="AW1281" s="416">
        <v>4.59</v>
      </c>
      <c r="AX1281" s="416">
        <v>0</v>
      </c>
      <c r="AY1281" s="416">
        <v>0</v>
      </c>
      <c r="AZ1281" s="416">
        <v>0</v>
      </c>
    </row>
    <row r="1282" spans="1:52" x14ac:dyDescent="0.25">
      <c r="A1282" s="415" t="str">
        <f t="shared" si="19"/>
        <v>SA-240 Gr.309H</v>
      </c>
      <c r="B1282" s="415">
        <v>1276</v>
      </c>
      <c r="C1282" s="415" t="s">
        <v>3423</v>
      </c>
      <c r="D1282" s="415" t="s">
        <v>2684</v>
      </c>
      <c r="E1282" s="415" t="s">
        <v>2165</v>
      </c>
      <c r="F1282" s="415" t="s">
        <v>2253</v>
      </c>
      <c r="G1282" s="415" t="s">
        <v>3435</v>
      </c>
      <c r="H1282" s="415">
        <v>0</v>
      </c>
      <c r="I1282" s="415">
        <v>0</v>
      </c>
      <c r="J1282" s="415">
        <v>8</v>
      </c>
      <c r="K1282" s="415">
        <v>2</v>
      </c>
      <c r="L1282" s="415">
        <v>515</v>
      </c>
      <c r="M1282" s="415">
        <v>205</v>
      </c>
      <c r="N1282" s="415">
        <v>816</v>
      </c>
      <c r="O1282" s="415" t="s">
        <v>2675</v>
      </c>
      <c r="P1282" s="415">
        <v>816</v>
      </c>
      <c r="Q1282" s="415" t="s">
        <v>2675</v>
      </c>
      <c r="R1282" s="415" t="s">
        <v>3069</v>
      </c>
      <c r="S1282" s="415" t="s">
        <v>3438</v>
      </c>
      <c r="T1282" s="416">
        <v>138</v>
      </c>
      <c r="U1282" s="416">
        <v>138</v>
      </c>
      <c r="V1282" s="416">
        <v>129</v>
      </c>
      <c r="W1282" s="416">
        <v>119</v>
      </c>
      <c r="X1282" s="416">
        <v>114</v>
      </c>
      <c r="Y1282" s="416">
        <v>111</v>
      </c>
      <c r="Z1282" s="416">
        <v>105</v>
      </c>
      <c r="AA1282" s="416">
        <v>100</v>
      </c>
      <c r="AB1282" s="416">
        <v>96.7</v>
      </c>
      <c r="AC1282" s="416">
        <v>95.4</v>
      </c>
      <c r="AD1282" s="416">
        <v>94.1</v>
      </c>
      <c r="AE1282" s="416">
        <v>92.9</v>
      </c>
      <c r="AF1282" s="416">
        <v>91.6</v>
      </c>
      <c r="AG1282" s="416">
        <v>90.4</v>
      </c>
      <c r="AH1282" s="416">
        <v>89.2</v>
      </c>
      <c r="AI1282" s="416">
        <v>87.9</v>
      </c>
      <c r="AJ1282" s="416">
        <v>86.7</v>
      </c>
      <c r="AK1282" s="416">
        <v>85.4</v>
      </c>
      <c r="AL1282" s="416">
        <v>78.900000000000006</v>
      </c>
      <c r="AM1282" s="416">
        <v>65.2</v>
      </c>
      <c r="AN1282" s="416">
        <v>48.6</v>
      </c>
      <c r="AO1282" s="416">
        <v>36.299999999999997</v>
      </c>
      <c r="AP1282" s="416">
        <v>27.3</v>
      </c>
      <c r="AQ1282" s="416">
        <v>21.1</v>
      </c>
      <c r="AR1282" s="416">
        <v>15.9</v>
      </c>
      <c r="AS1282" s="416">
        <v>12.5</v>
      </c>
      <c r="AT1282" s="416">
        <v>9.89</v>
      </c>
      <c r="AU1282" s="416">
        <v>7.77</v>
      </c>
      <c r="AV1282" s="416">
        <v>6.12</v>
      </c>
      <c r="AW1282" s="416">
        <v>4.59</v>
      </c>
      <c r="AX1282" s="416">
        <v>0</v>
      </c>
      <c r="AY1282" s="416">
        <v>0</v>
      </c>
      <c r="AZ1282" s="416">
        <v>0</v>
      </c>
    </row>
    <row r="1283" spans="1:52" x14ac:dyDescent="0.25">
      <c r="A1283" s="415" t="str">
        <f t="shared" si="19"/>
        <v>SA-249 Gr.TP309H</v>
      </c>
      <c r="B1283" s="415">
        <v>1277</v>
      </c>
      <c r="C1283" s="415" t="s">
        <v>3423</v>
      </c>
      <c r="D1283" s="415" t="s">
        <v>2689</v>
      </c>
      <c r="E1283" s="415" t="s">
        <v>2200</v>
      </c>
      <c r="F1283" s="415" t="s">
        <v>2561</v>
      </c>
      <c r="G1283" s="415" t="s">
        <v>3435</v>
      </c>
      <c r="H1283" s="415">
        <v>0</v>
      </c>
      <c r="I1283" s="415">
        <v>0</v>
      </c>
      <c r="J1283" s="415">
        <v>8</v>
      </c>
      <c r="K1283" s="415">
        <v>2</v>
      </c>
      <c r="L1283" s="415">
        <v>515</v>
      </c>
      <c r="M1283" s="415">
        <v>205</v>
      </c>
      <c r="N1283" s="415" t="s">
        <v>2675</v>
      </c>
      <c r="O1283" s="415">
        <v>427</v>
      </c>
      <c r="P1283" s="415" t="s">
        <v>2675</v>
      </c>
      <c r="Q1283" s="415" t="s">
        <v>2675</v>
      </c>
      <c r="R1283" s="415" t="s">
        <v>3069</v>
      </c>
      <c r="S1283" s="415" t="s">
        <v>3208</v>
      </c>
      <c r="T1283" s="416">
        <v>138</v>
      </c>
      <c r="U1283" s="416">
        <v>138</v>
      </c>
      <c r="V1283" s="416">
        <v>138</v>
      </c>
      <c r="W1283" s="416">
        <v>138</v>
      </c>
      <c r="X1283" s="416">
        <v>138</v>
      </c>
      <c r="Y1283" s="416">
        <v>138</v>
      </c>
      <c r="Z1283" s="416">
        <v>138</v>
      </c>
      <c r="AA1283" s="416">
        <v>135</v>
      </c>
      <c r="AB1283" s="416">
        <v>131</v>
      </c>
      <c r="AC1283" s="416">
        <v>129</v>
      </c>
      <c r="AD1283" s="416">
        <v>127</v>
      </c>
      <c r="AE1283" s="416">
        <v>125</v>
      </c>
      <c r="AF1283" s="416">
        <v>124</v>
      </c>
      <c r="AG1283" s="416">
        <v>122</v>
      </c>
      <c r="AH1283" s="416">
        <v>121</v>
      </c>
      <c r="AI1283" s="416">
        <v>0</v>
      </c>
      <c r="AJ1283" s="416">
        <v>0</v>
      </c>
      <c r="AK1283" s="416">
        <v>0</v>
      </c>
      <c r="AL1283" s="416">
        <v>0</v>
      </c>
      <c r="AM1283" s="416">
        <v>0</v>
      </c>
      <c r="AN1283" s="416">
        <v>0</v>
      </c>
      <c r="AO1283" s="416">
        <v>0</v>
      </c>
      <c r="AP1283" s="416">
        <v>0</v>
      </c>
      <c r="AQ1283" s="416">
        <v>0</v>
      </c>
      <c r="AR1283" s="416">
        <v>0</v>
      </c>
      <c r="AS1283" s="416">
        <v>0</v>
      </c>
      <c r="AT1283" s="416">
        <v>0</v>
      </c>
      <c r="AU1283" s="416">
        <v>0</v>
      </c>
      <c r="AV1283" s="416">
        <v>0</v>
      </c>
      <c r="AW1283" s="416">
        <v>0</v>
      </c>
      <c r="AX1283" s="416">
        <v>0</v>
      </c>
      <c r="AY1283" s="416">
        <v>0</v>
      </c>
      <c r="AZ1283" s="416">
        <v>0</v>
      </c>
    </row>
    <row r="1284" spans="1:52" x14ac:dyDescent="0.25">
      <c r="A1284" s="415" t="str">
        <f t="shared" si="19"/>
        <v>SA-249 Gr.TP309H</v>
      </c>
      <c r="B1284" s="415">
        <v>1278</v>
      </c>
      <c r="C1284" s="415" t="s">
        <v>3423</v>
      </c>
      <c r="D1284" s="415" t="s">
        <v>2689</v>
      </c>
      <c r="E1284" s="415" t="s">
        <v>2200</v>
      </c>
      <c r="F1284" s="415" t="s">
        <v>2561</v>
      </c>
      <c r="G1284" s="415" t="s">
        <v>3435</v>
      </c>
      <c r="H1284" s="415">
        <v>0</v>
      </c>
      <c r="I1284" s="415">
        <v>0</v>
      </c>
      <c r="J1284" s="415">
        <v>8</v>
      </c>
      <c r="K1284" s="415">
        <v>2</v>
      </c>
      <c r="L1284" s="415">
        <v>515</v>
      </c>
      <c r="M1284" s="415">
        <v>205</v>
      </c>
      <c r="N1284" s="415" t="s">
        <v>2675</v>
      </c>
      <c r="O1284" s="415" t="s">
        <v>2675</v>
      </c>
      <c r="P1284" s="415">
        <v>816</v>
      </c>
      <c r="Q1284" s="415" t="s">
        <v>2675</v>
      </c>
      <c r="R1284" s="415" t="s">
        <v>3069</v>
      </c>
      <c r="S1284" s="415" t="s">
        <v>3439</v>
      </c>
      <c r="T1284" s="416">
        <v>117</v>
      </c>
      <c r="U1284" s="416">
        <v>117</v>
      </c>
      <c r="V1284" s="416">
        <v>117</v>
      </c>
      <c r="W1284" s="416">
        <v>117</v>
      </c>
      <c r="X1284" s="416">
        <v>117</v>
      </c>
      <c r="Y1284" s="416">
        <v>117</v>
      </c>
      <c r="Z1284" s="416">
        <v>117</v>
      </c>
      <c r="AA1284" s="416">
        <v>115</v>
      </c>
      <c r="AB1284" s="416">
        <v>111</v>
      </c>
      <c r="AC1284" s="416">
        <v>109</v>
      </c>
      <c r="AD1284" s="416">
        <v>108</v>
      </c>
      <c r="AE1284" s="416">
        <v>107</v>
      </c>
      <c r="AF1284" s="416">
        <v>105</v>
      </c>
      <c r="AG1284" s="416">
        <v>104</v>
      </c>
      <c r="AH1284" s="416">
        <v>102</v>
      </c>
      <c r="AI1284" s="416">
        <v>101</v>
      </c>
      <c r="AJ1284" s="416">
        <v>99.8</v>
      </c>
      <c r="AK1284" s="416">
        <v>91.3</v>
      </c>
      <c r="AL1284" s="416">
        <v>71.2</v>
      </c>
      <c r="AM1284" s="416">
        <v>55.8</v>
      </c>
      <c r="AN1284" s="416">
        <v>41.5</v>
      </c>
      <c r="AO1284" s="416">
        <v>31</v>
      </c>
      <c r="AP1284" s="416">
        <v>23.2</v>
      </c>
      <c r="AQ1284" s="416">
        <v>18.2</v>
      </c>
      <c r="AR1284" s="416">
        <v>13.8</v>
      </c>
      <c r="AS1284" s="416">
        <v>10.4</v>
      </c>
      <c r="AT1284" s="416">
        <v>8.27</v>
      </c>
      <c r="AU1284" s="416">
        <v>6.5</v>
      </c>
      <c r="AV1284" s="416">
        <v>5.05</v>
      </c>
      <c r="AW1284" s="416">
        <v>4.01</v>
      </c>
      <c r="AX1284" s="416">
        <v>0</v>
      </c>
      <c r="AY1284" s="416">
        <v>0</v>
      </c>
      <c r="AZ1284" s="416">
        <v>0</v>
      </c>
    </row>
    <row r="1285" spans="1:52" x14ac:dyDescent="0.25">
      <c r="A1285" s="415" t="str">
        <f t="shared" si="19"/>
        <v>SA-249 Gr.TP309H</v>
      </c>
      <c r="B1285" s="415">
        <v>1279</v>
      </c>
      <c r="C1285" s="415" t="s">
        <v>3423</v>
      </c>
      <c r="D1285" s="415" t="s">
        <v>2689</v>
      </c>
      <c r="E1285" s="415" t="s">
        <v>2200</v>
      </c>
      <c r="F1285" s="415" t="s">
        <v>2561</v>
      </c>
      <c r="G1285" s="415" t="s">
        <v>3435</v>
      </c>
      <c r="H1285" s="415">
        <v>0</v>
      </c>
      <c r="I1285" s="415">
        <v>0</v>
      </c>
      <c r="J1285" s="415">
        <v>8</v>
      </c>
      <c r="K1285" s="415">
        <v>2</v>
      </c>
      <c r="L1285" s="415">
        <v>515</v>
      </c>
      <c r="M1285" s="415">
        <v>205</v>
      </c>
      <c r="N1285" s="415" t="s">
        <v>2675</v>
      </c>
      <c r="O1285" s="415" t="s">
        <v>2675</v>
      </c>
      <c r="P1285" s="415">
        <v>816</v>
      </c>
      <c r="Q1285" s="415" t="s">
        <v>2675</v>
      </c>
      <c r="R1285" s="415" t="s">
        <v>3069</v>
      </c>
      <c r="S1285" s="415" t="s">
        <v>3440</v>
      </c>
      <c r="T1285" s="416">
        <v>117</v>
      </c>
      <c r="U1285" s="416">
        <v>117</v>
      </c>
      <c r="V1285" s="416">
        <v>110</v>
      </c>
      <c r="W1285" s="416">
        <v>101</v>
      </c>
      <c r="X1285" s="416">
        <v>97.5</v>
      </c>
      <c r="Y1285" s="416">
        <v>94.3</v>
      </c>
      <c r="Z1285" s="416">
        <v>88.7</v>
      </c>
      <c r="AA1285" s="416">
        <v>84.7</v>
      </c>
      <c r="AB1285" s="416">
        <v>82.1</v>
      </c>
      <c r="AC1285" s="416">
        <v>80.8</v>
      </c>
      <c r="AD1285" s="416">
        <v>79.8</v>
      </c>
      <c r="AE1285" s="416">
        <v>79.099999999999994</v>
      </c>
      <c r="AF1285" s="416">
        <v>77.900000000000006</v>
      </c>
      <c r="AG1285" s="416">
        <v>77.3</v>
      </c>
      <c r="AH1285" s="416">
        <v>76.099999999999994</v>
      </c>
      <c r="AI1285" s="416">
        <v>74.8</v>
      </c>
      <c r="AJ1285" s="416">
        <v>73.599999999999994</v>
      </c>
      <c r="AK1285" s="416">
        <v>72.3</v>
      </c>
      <c r="AL1285" s="416">
        <v>66.8</v>
      </c>
      <c r="AM1285" s="416">
        <v>55.7</v>
      </c>
      <c r="AN1285" s="416">
        <v>41.5</v>
      </c>
      <c r="AO1285" s="416">
        <v>31</v>
      </c>
      <c r="AP1285" s="416">
        <v>23.2</v>
      </c>
      <c r="AQ1285" s="416">
        <v>18.2</v>
      </c>
      <c r="AR1285" s="416">
        <v>13.8</v>
      </c>
      <c r="AS1285" s="416">
        <v>10.4</v>
      </c>
      <c r="AT1285" s="416">
        <v>8.27</v>
      </c>
      <c r="AU1285" s="416">
        <v>6.5</v>
      </c>
      <c r="AV1285" s="416">
        <v>5.05</v>
      </c>
      <c r="AW1285" s="416">
        <v>4.01</v>
      </c>
      <c r="AX1285" s="416">
        <v>0</v>
      </c>
      <c r="AY1285" s="416">
        <v>0</v>
      </c>
      <c r="AZ1285" s="416">
        <v>0</v>
      </c>
    </row>
    <row r="1286" spans="1:52" x14ac:dyDescent="0.25">
      <c r="A1286" s="415" t="str">
        <f t="shared" si="19"/>
        <v>SA-312 Gr.TP309H</v>
      </c>
      <c r="B1286" s="415">
        <v>1280</v>
      </c>
      <c r="C1286" s="415" t="s">
        <v>3423</v>
      </c>
      <c r="D1286" s="415" t="s">
        <v>2703</v>
      </c>
      <c r="E1286" s="415" t="s">
        <v>2208</v>
      </c>
      <c r="F1286" s="415" t="s">
        <v>2561</v>
      </c>
      <c r="G1286" s="415" t="s">
        <v>3435</v>
      </c>
      <c r="H1286" s="415">
        <v>0</v>
      </c>
      <c r="I1286" s="415">
        <v>0</v>
      </c>
      <c r="J1286" s="415">
        <v>8</v>
      </c>
      <c r="K1286" s="415">
        <v>2</v>
      </c>
      <c r="L1286" s="415">
        <v>515</v>
      </c>
      <c r="M1286" s="415">
        <v>205</v>
      </c>
      <c r="N1286" s="415">
        <v>816</v>
      </c>
      <c r="O1286" s="415" t="s">
        <v>2675</v>
      </c>
      <c r="P1286" s="415">
        <v>816</v>
      </c>
      <c r="Q1286" s="415" t="s">
        <v>2675</v>
      </c>
      <c r="R1286" s="415" t="s">
        <v>3069</v>
      </c>
      <c r="S1286" s="415" t="s">
        <v>3436</v>
      </c>
      <c r="T1286" s="416">
        <v>138</v>
      </c>
      <c r="U1286" s="416">
        <v>138</v>
      </c>
      <c r="V1286" s="416">
        <v>138</v>
      </c>
      <c r="W1286" s="416">
        <v>138</v>
      </c>
      <c r="X1286" s="416">
        <v>138</v>
      </c>
      <c r="Y1286" s="416">
        <v>138</v>
      </c>
      <c r="Z1286" s="416">
        <v>138</v>
      </c>
      <c r="AA1286" s="416">
        <v>135</v>
      </c>
      <c r="AB1286" s="416">
        <v>131</v>
      </c>
      <c r="AC1286" s="416">
        <v>129</v>
      </c>
      <c r="AD1286" s="416">
        <v>127</v>
      </c>
      <c r="AE1286" s="416">
        <v>125</v>
      </c>
      <c r="AF1286" s="416">
        <v>124</v>
      </c>
      <c r="AG1286" s="416">
        <v>122</v>
      </c>
      <c r="AH1286" s="416">
        <v>121</v>
      </c>
      <c r="AI1286" s="416">
        <v>119</v>
      </c>
      <c r="AJ1286" s="416">
        <v>117</v>
      </c>
      <c r="AK1286" s="416">
        <v>107</v>
      </c>
      <c r="AL1286" s="416">
        <v>83.8</v>
      </c>
      <c r="AM1286" s="416">
        <v>65.2</v>
      </c>
      <c r="AN1286" s="416">
        <v>48.6</v>
      </c>
      <c r="AO1286" s="416">
        <v>36.299999999999997</v>
      </c>
      <c r="AP1286" s="416">
        <v>27.3</v>
      </c>
      <c r="AQ1286" s="416">
        <v>21.1</v>
      </c>
      <c r="AR1286" s="416">
        <v>15.9</v>
      </c>
      <c r="AS1286" s="416">
        <v>12.5</v>
      </c>
      <c r="AT1286" s="416">
        <v>9.89</v>
      </c>
      <c r="AU1286" s="416">
        <v>7.77</v>
      </c>
      <c r="AV1286" s="416">
        <v>6.12</v>
      </c>
      <c r="AW1286" s="416">
        <v>4.59</v>
      </c>
      <c r="AX1286" s="416">
        <v>0</v>
      </c>
      <c r="AY1286" s="416">
        <v>0</v>
      </c>
      <c r="AZ1286" s="416">
        <v>0</v>
      </c>
    </row>
    <row r="1287" spans="1:52" x14ac:dyDescent="0.25">
      <c r="A1287" s="415" t="str">
        <f t="shared" si="19"/>
        <v>SA-312 Gr.TP309H</v>
      </c>
      <c r="B1287" s="415">
        <v>1281</v>
      </c>
      <c r="C1287" s="415" t="s">
        <v>3423</v>
      </c>
      <c r="D1287" s="415" t="s">
        <v>2703</v>
      </c>
      <c r="E1287" s="415" t="s">
        <v>2208</v>
      </c>
      <c r="F1287" s="415" t="s">
        <v>2561</v>
      </c>
      <c r="G1287" s="415" t="s">
        <v>3435</v>
      </c>
      <c r="H1287" s="415">
        <v>0</v>
      </c>
      <c r="I1287" s="415">
        <v>0</v>
      </c>
      <c r="J1287" s="415">
        <v>8</v>
      </c>
      <c r="K1287" s="415">
        <v>2</v>
      </c>
      <c r="L1287" s="415">
        <v>515</v>
      </c>
      <c r="M1287" s="415">
        <v>205</v>
      </c>
      <c r="N1287" s="415">
        <v>816</v>
      </c>
      <c r="O1287" s="415" t="s">
        <v>2675</v>
      </c>
      <c r="P1287" s="415">
        <v>816</v>
      </c>
      <c r="Q1287" s="415" t="s">
        <v>2675</v>
      </c>
      <c r="R1287" s="415" t="s">
        <v>3069</v>
      </c>
      <c r="S1287" s="415" t="s">
        <v>2552</v>
      </c>
      <c r="T1287" s="416">
        <v>138</v>
      </c>
      <c r="U1287" s="416">
        <v>138</v>
      </c>
      <c r="V1287" s="416">
        <v>129</v>
      </c>
      <c r="W1287" s="416">
        <v>119</v>
      </c>
      <c r="X1287" s="416">
        <v>114</v>
      </c>
      <c r="Y1287" s="416">
        <v>111</v>
      </c>
      <c r="Z1287" s="416">
        <v>105</v>
      </c>
      <c r="AA1287" s="416">
        <v>100</v>
      </c>
      <c r="AB1287" s="416">
        <v>96.7</v>
      </c>
      <c r="AC1287" s="416">
        <v>95.4</v>
      </c>
      <c r="AD1287" s="416">
        <v>94.1</v>
      </c>
      <c r="AE1287" s="416">
        <v>92.9</v>
      </c>
      <c r="AF1287" s="416">
        <v>91.6</v>
      </c>
      <c r="AG1287" s="416">
        <v>90.4</v>
      </c>
      <c r="AH1287" s="416">
        <v>89.2</v>
      </c>
      <c r="AI1287" s="416">
        <v>87.9</v>
      </c>
      <c r="AJ1287" s="416">
        <v>86.7</v>
      </c>
      <c r="AK1287" s="416">
        <v>85.4</v>
      </c>
      <c r="AL1287" s="416">
        <v>78.900000000000006</v>
      </c>
      <c r="AM1287" s="416">
        <v>65.2</v>
      </c>
      <c r="AN1287" s="416">
        <v>48.6</v>
      </c>
      <c r="AO1287" s="416">
        <v>36.299999999999997</v>
      </c>
      <c r="AP1287" s="416">
        <v>27.3</v>
      </c>
      <c r="AQ1287" s="416">
        <v>21.1</v>
      </c>
      <c r="AR1287" s="416">
        <v>15.9</v>
      </c>
      <c r="AS1287" s="416">
        <v>12.5</v>
      </c>
      <c r="AT1287" s="416">
        <v>9.89</v>
      </c>
      <c r="AU1287" s="416">
        <v>7.77</v>
      </c>
      <c r="AV1287" s="416">
        <v>6.12</v>
      </c>
      <c r="AW1287" s="416">
        <v>4.59</v>
      </c>
      <c r="AX1287" s="416">
        <v>0</v>
      </c>
      <c r="AY1287" s="416">
        <v>0</v>
      </c>
      <c r="AZ1287" s="416">
        <v>0</v>
      </c>
    </row>
    <row r="1288" spans="1:52" x14ac:dyDescent="0.25">
      <c r="A1288" s="415" t="str">
        <f t="shared" ref="A1288:A1351" si="20">CONCATENATE(E1288," Gr.",F1288)</f>
        <v>SA-312 Gr.TP309H</v>
      </c>
      <c r="B1288" s="415">
        <v>1282</v>
      </c>
      <c r="C1288" s="415" t="s">
        <v>3423</v>
      </c>
      <c r="D1288" s="415" t="s">
        <v>2680</v>
      </c>
      <c r="E1288" s="415" t="s">
        <v>2208</v>
      </c>
      <c r="F1288" s="415" t="s">
        <v>2561</v>
      </c>
      <c r="G1288" s="415" t="s">
        <v>3435</v>
      </c>
      <c r="H1288" s="415">
        <v>0</v>
      </c>
      <c r="I1288" s="415">
        <v>0</v>
      </c>
      <c r="J1288" s="415">
        <v>8</v>
      </c>
      <c r="K1288" s="415">
        <v>2</v>
      </c>
      <c r="L1288" s="415">
        <v>515</v>
      </c>
      <c r="M1288" s="415">
        <v>205</v>
      </c>
      <c r="N1288" s="415">
        <v>816</v>
      </c>
      <c r="O1288" s="415" t="s">
        <v>2675</v>
      </c>
      <c r="P1288" s="415">
        <v>816</v>
      </c>
      <c r="Q1288" s="415" t="s">
        <v>2675</v>
      </c>
      <c r="R1288" s="415" t="s">
        <v>3069</v>
      </c>
      <c r="S1288" s="415" t="s">
        <v>3441</v>
      </c>
      <c r="T1288" s="416">
        <v>117</v>
      </c>
      <c r="U1288" s="416">
        <v>117</v>
      </c>
      <c r="V1288" s="416">
        <v>117</v>
      </c>
      <c r="W1288" s="416">
        <v>117</v>
      </c>
      <c r="X1288" s="416">
        <v>117</v>
      </c>
      <c r="Y1288" s="416">
        <v>117</v>
      </c>
      <c r="Z1288" s="416">
        <v>117</v>
      </c>
      <c r="AA1288" s="416">
        <v>115</v>
      </c>
      <c r="AB1288" s="416">
        <v>111</v>
      </c>
      <c r="AC1288" s="416">
        <v>109</v>
      </c>
      <c r="AD1288" s="416">
        <v>108</v>
      </c>
      <c r="AE1288" s="416">
        <v>107</v>
      </c>
      <c r="AF1288" s="416">
        <v>105</v>
      </c>
      <c r="AG1288" s="416">
        <v>104</v>
      </c>
      <c r="AH1288" s="416">
        <v>102</v>
      </c>
      <c r="AI1288" s="416">
        <v>101</v>
      </c>
      <c r="AJ1288" s="416">
        <v>99.8</v>
      </c>
      <c r="AK1288" s="416">
        <v>91.3</v>
      </c>
      <c r="AL1288" s="416">
        <v>71.2</v>
      </c>
      <c r="AM1288" s="416">
        <v>55.8</v>
      </c>
      <c r="AN1288" s="416">
        <v>41.5</v>
      </c>
      <c r="AO1288" s="416">
        <v>31</v>
      </c>
      <c r="AP1288" s="416">
        <v>23.2</v>
      </c>
      <c r="AQ1288" s="416">
        <v>18.2</v>
      </c>
      <c r="AR1288" s="416">
        <v>13.8</v>
      </c>
      <c r="AS1288" s="416">
        <v>10.4</v>
      </c>
      <c r="AT1288" s="416">
        <v>8.27</v>
      </c>
      <c r="AU1288" s="416">
        <v>6.5</v>
      </c>
      <c r="AV1288" s="416">
        <v>5.05</v>
      </c>
      <c r="AW1288" s="416">
        <v>4.01</v>
      </c>
      <c r="AX1288" s="416">
        <v>0</v>
      </c>
      <c r="AY1288" s="416">
        <v>0</v>
      </c>
      <c r="AZ1288" s="416">
        <v>0</v>
      </c>
    </row>
    <row r="1289" spans="1:52" x14ac:dyDescent="0.25">
      <c r="A1289" s="415" t="str">
        <f t="shared" si="20"/>
        <v>SA-312 Gr.TP309H</v>
      </c>
      <c r="B1289" s="415">
        <v>1283</v>
      </c>
      <c r="C1289" s="415" t="s">
        <v>3423</v>
      </c>
      <c r="D1289" s="415" t="s">
        <v>2680</v>
      </c>
      <c r="E1289" s="415" t="s">
        <v>2208</v>
      </c>
      <c r="F1289" s="415" t="s">
        <v>2561</v>
      </c>
      <c r="G1289" s="415" t="s">
        <v>3435</v>
      </c>
      <c r="H1289" s="415">
        <v>0</v>
      </c>
      <c r="I1289" s="415">
        <v>0</v>
      </c>
      <c r="J1289" s="415">
        <v>8</v>
      </c>
      <c r="K1289" s="415">
        <v>2</v>
      </c>
      <c r="L1289" s="415">
        <v>515</v>
      </c>
      <c r="M1289" s="415">
        <v>205</v>
      </c>
      <c r="N1289" s="415">
        <v>816</v>
      </c>
      <c r="O1289" s="415" t="s">
        <v>2675</v>
      </c>
      <c r="P1289" s="415">
        <v>816</v>
      </c>
      <c r="Q1289" s="415" t="s">
        <v>2675</v>
      </c>
      <c r="R1289" s="415" t="s">
        <v>3069</v>
      </c>
      <c r="S1289" s="415" t="s">
        <v>3442</v>
      </c>
      <c r="T1289" s="416">
        <v>117</v>
      </c>
      <c r="U1289" s="416">
        <v>117</v>
      </c>
      <c r="V1289" s="416">
        <v>110</v>
      </c>
      <c r="W1289" s="416">
        <v>101</v>
      </c>
      <c r="X1289" s="416">
        <v>97.5</v>
      </c>
      <c r="Y1289" s="416">
        <v>94.3</v>
      </c>
      <c r="Z1289" s="416">
        <v>88.7</v>
      </c>
      <c r="AA1289" s="416">
        <v>84.7</v>
      </c>
      <c r="AB1289" s="416">
        <v>82.1</v>
      </c>
      <c r="AC1289" s="416">
        <v>80.8</v>
      </c>
      <c r="AD1289" s="416">
        <v>79.8</v>
      </c>
      <c r="AE1289" s="416">
        <v>79.099999999999994</v>
      </c>
      <c r="AF1289" s="416">
        <v>77.900000000000006</v>
      </c>
      <c r="AG1289" s="416">
        <v>77.3</v>
      </c>
      <c r="AH1289" s="416">
        <v>76.099999999999994</v>
      </c>
      <c r="AI1289" s="416">
        <v>74.8</v>
      </c>
      <c r="AJ1289" s="416">
        <v>73.599999999999994</v>
      </c>
      <c r="AK1289" s="416">
        <v>72.3</v>
      </c>
      <c r="AL1289" s="416">
        <v>66.8</v>
      </c>
      <c r="AM1289" s="416">
        <v>55.7</v>
      </c>
      <c r="AN1289" s="416">
        <v>41.5</v>
      </c>
      <c r="AO1289" s="416">
        <v>31</v>
      </c>
      <c r="AP1289" s="416">
        <v>23.2</v>
      </c>
      <c r="AQ1289" s="416">
        <v>18.2</v>
      </c>
      <c r="AR1289" s="416">
        <v>13.8</v>
      </c>
      <c r="AS1289" s="416">
        <v>10.4</v>
      </c>
      <c r="AT1289" s="416">
        <v>8.27</v>
      </c>
      <c r="AU1289" s="416">
        <v>6.5</v>
      </c>
      <c r="AV1289" s="416">
        <v>5.05</v>
      </c>
      <c r="AW1289" s="416">
        <v>4.01</v>
      </c>
      <c r="AX1289" s="416">
        <v>0</v>
      </c>
      <c r="AY1289" s="416">
        <v>0</v>
      </c>
      <c r="AZ1289" s="416">
        <v>0</v>
      </c>
    </row>
    <row r="1290" spans="1:52" x14ac:dyDescent="0.25">
      <c r="A1290" s="415" t="str">
        <f t="shared" si="20"/>
        <v>SA-479 Gr.309H</v>
      </c>
      <c r="B1290" s="415">
        <v>1284</v>
      </c>
      <c r="C1290" s="415" t="s">
        <v>3423</v>
      </c>
      <c r="D1290" s="415" t="s">
        <v>2677</v>
      </c>
      <c r="E1290" s="415" t="s">
        <v>2245</v>
      </c>
      <c r="F1290" s="415" t="s">
        <v>2253</v>
      </c>
      <c r="G1290" s="415" t="s">
        <v>3435</v>
      </c>
      <c r="H1290" s="415">
        <v>0</v>
      </c>
      <c r="I1290" s="415">
        <v>0</v>
      </c>
      <c r="J1290" s="415">
        <v>8</v>
      </c>
      <c r="K1290" s="415">
        <v>2</v>
      </c>
      <c r="L1290" s="415">
        <v>515</v>
      </c>
      <c r="M1290" s="415">
        <v>205</v>
      </c>
      <c r="N1290" s="415">
        <v>816</v>
      </c>
      <c r="O1290" s="415" t="s">
        <v>2675</v>
      </c>
      <c r="P1290" s="415">
        <v>816</v>
      </c>
      <c r="Q1290" s="415" t="s">
        <v>2675</v>
      </c>
      <c r="R1290" s="415" t="s">
        <v>3069</v>
      </c>
      <c r="S1290" s="415" t="s">
        <v>3436</v>
      </c>
      <c r="T1290" s="416">
        <v>138</v>
      </c>
      <c r="U1290" s="416">
        <v>138</v>
      </c>
      <c r="V1290" s="416">
        <v>138</v>
      </c>
      <c r="W1290" s="416">
        <v>138</v>
      </c>
      <c r="X1290" s="416">
        <v>138</v>
      </c>
      <c r="Y1290" s="416">
        <v>138</v>
      </c>
      <c r="Z1290" s="416">
        <v>138</v>
      </c>
      <c r="AA1290" s="416">
        <v>135</v>
      </c>
      <c r="AB1290" s="416">
        <v>131</v>
      </c>
      <c r="AC1290" s="416">
        <v>129</v>
      </c>
      <c r="AD1290" s="416">
        <v>127</v>
      </c>
      <c r="AE1290" s="416">
        <v>125</v>
      </c>
      <c r="AF1290" s="416">
        <v>124</v>
      </c>
      <c r="AG1290" s="416">
        <v>122</v>
      </c>
      <c r="AH1290" s="416">
        <v>121</v>
      </c>
      <c r="AI1290" s="416">
        <v>119</v>
      </c>
      <c r="AJ1290" s="416">
        <v>117</v>
      </c>
      <c r="AK1290" s="416">
        <v>107</v>
      </c>
      <c r="AL1290" s="416">
        <v>83.8</v>
      </c>
      <c r="AM1290" s="416">
        <v>65.2</v>
      </c>
      <c r="AN1290" s="416">
        <v>48.6</v>
      </c>
      <c r="AO1290" s="416">
        <v>36.299999999999997</v>
      </c>
      <c r="AP1290" s="416">
        <v>27.3</v>
      </c>
      <c r="AQ1290" s="416">
        <v>21.1</v>
      </c>
      <c r="AR1290" s="416">
        <v>15.9</v>
      </c>
      <c r="AS1290" s="416">
        <v>12.5</v>
      </c>
      <c r="AT1290" s="416">
        <v>9.89</v>
      </c>
      <c r="AU1290" s="416">
        <v>7.77</v>
      </c>
      <c r="AV1290" s="416">
        <v>6.12</v>
      </c>
      <c r="AW1290" s="416">
        <v>4.59</v>
      </c>
      <c r="AX1290" s="416">
        <v>0</v>
      </c>
      <c r="AY1290" s="416">
        <v>0</v>
      </c>
      <c r="AZ1290" s="416">
        <v>0</v>
      </c>
    </row>
    <row r="1291" spans="1:52" x14ac:dyDescent="0.25">
      <c r="A1291" s="415" t="str">
        <f t="shared" si="20"/>
        <v>SA-479 Gr.309H</v>
      </c>
      <c r="B1291" s="415">
        <v>1285</v>
      </c>
      <c r="C1291" s="415" t="s">
        <v>3423</v>
      </c>
      <c r="D1291" s="415" t="s">
        <v>2677</v>
      </c>
      <c r="E1291" s="415" t="s">
        <v>2245</v>
      </c>
      <c r="F1291" s="415" t="s">
        <v>2253</v>
      </c>
      <c r="G1291" s="415" t="s">
        <v>3435</v>
      </c>
      <c r="H1291" s="415">
        <v>0</v>
      </c>
      <c r="I1291" s="415">
        <v>0</v>
      </c>
      <c r="J1291" s="415">
        <v>8</v>
      </c>
      <c r="K1291" s="415">
        <v>2</v>
      </c>
      <c r="L1291" s="415">
        <v>515</v>
      </c>
      <c r="M1291" s="415">
        <v>205</v>
      </c>
      <c r="N1291" s="415">
        <v>816</v>
      </c>
      <c r="O1291" s="415" t="s">
        <v>2675</v>
      </c>
      <c r="P1291" s="415">
        <v>816</v>
      </c>
      <c r="Q1291" s="415" t="s">
        <v>2675</v>
      </c>
      <c r="R1291" s="415" t="s">
        <v>3069</v>
      </c>
      <c r="S1291" s="415" t="s">
        <v>2552</v>
      </c>
      <c r="T1291" s="416">
        <v>138</v>
      </c>
      <c r="U1291" s="416">
        <v>138</v>
      </c>
      <c r="V1291" s="416">
        <v>129</v>
      </c>
      <c r="W1291" s="416">
        <v>119</v>
      </c>
      <c r="X1291" s="416">
        <v>114</v>
      </c>
      <c r="Y1291" s="416">
        <v>111</v>
      </c>
      <c r="Z1291" s="416">
        <v>105</v>
      </c>
      <c r="AA1291" s="416">
        <v>100</v>
      </c>
      <c r="AB1291" s="416">
        <v>96.7</v>
      </c>
      <c r="AC1291" s="416">
        <v>95.4</v>
      </c>
      <c r="AD1291" s="416">
        <v>94.1</v>
      </c>
      <c r="AE1291" s="416">
        <v>92.9</v>
      </c>
      <c r="AF1291" s="416">
        <v>91.6</v>
      </c>
      <c r="AG1291" s="416">
        <v>90.4</v>
      </c>
      <c r="AH1291" s="416">
        <v>89.2</v>
      </c>
      <c r="AI1291" s="416">
        <v>87.9</v>
      </c>
      <c r="AJ1291" s="416">
        <v>86.7</v>
      </c>
      <c r="AK1291" s="416">
        <v>85.4</v>
      </c>
      <c r="AL1291" s="416">
        <v>78.900000000000006</v>
      </c>
      <c r="AM1291" s="416">
        <v>65.2</v>
      </c>
      <c r="AN1291" s="416">
        <v>48.6</v>
      </c>
      <c r="AO1291" s="416">
        <v>36.299999999999997</v>
      </c>
      <c r="AP1291" s="416">
        <v>27.3</v>
      </c>
      <c r="AQ1291" s="416">
        <v>21.1</v>
      </c>
      <c r="AR1291" s="416">
        <v>15.9</v>
      </c>
      <c r="AS1291" s="416">
        <v>12.5</v>
      </c>
      <c r="AT1291" s="416">
        <v>9.89</v>
      </c>
      <c r="AU1291" s="416">
        <v>7.77</v>
      </c>
      <c r="AV1291" s="416">
        <v>6.12</v>
      </c>
      <c r="AW1291" s="416">
        <v>4.59</v>
      </c>
      <c r="AX1291" s="416">
        <v>0</v>
      </c>
      <c r="AY1291" s="416">
        <v>0</v>
      </c>
      <c r="AZ1291" s="416">
        <v>0</v>
      </c>
    </row>
    <row r="1292" spans="1:52" x14ac:dyDescent="0.25">
      <c r="A1292" s="415" t="str">
        <f t="shared" si="20"/>
        <v>SA-213 Gr.TP309Cb</v>
      </c>
      <c r="B1292" s="415">
        <v>1286</v>
      </c>
      <c r="C1292" s="415" t="s">
        <v>3443</v>
      </c>
      <c r="D1292" s="415" t="s">
        <v>2693</v>
      </c>
      <c r="E1292" s="415" t="s">
        <v>2195</v>
      </c>
      <c r="F1292" s="415" t="s">
        <v>2560</v>
      </c>
      <c r="G1292" s="415" t="s">
        <v>3444</v>
      </c>
      <c r="H1292" s="415">
        <v>0</v>
      </c>
      <c r="I1292" s="415">
        <v>0</v>
      </c>
      <c r="J1292" s="415">
        <v>8</v>
      </c>
      <c r="K1292" s="415">
        <v>2</v>
      </c>
      <c r="L1292" s="415">
        <v>515</v>
      </c>
      <c r="M1292" s="415">
        <v>205</v>
      </c>
      <c r="N1292" s="415" t="s">
        <v>2675</v>
      </c>
      <c r="O1292" s="415" t="s">
        <v>2675</v>
      </c>
      <c r="P1292" s="415">
        <v>816</v>
      </c>
      <c r="Q1292" s="415">
        <v>343</v>
      </c>
      <c r="R1292" s="415" t="s">
        <v>3069</v>
      </c>
      <c r="S1292" s="415" t="s">
        <v>3427</v>
      </c>
      <c r="T1292" s="416">
        <v>138</v>
      </c>
      <c r="U1292" s="416">
        <v>138</v>
      </c>
      <c r="V1292" s="416">
        <v>138</v>
      </c>
      <c r="W1292" s="416">
        <v>138</v>
      </c>
      <c r="X1292" s="416">
        <v>138</v>
      </c>
      <c r="Y1292" s="416">
        <v>138</v>
      </c>
      <c r="Z1292" s="416">
        <v>138</v>
      </c>
      <c r="AA1292" s="416">
        <v>135</v>
      </c>
      <c r="AB1292" s="416">
        <v>131</v>
      </c>
      <c r="AC1292" s="416">
        <v>129</v>
      </c>
      <c r="AD1292" s="416">
        <v>127</v>
      </c>
      <c r="AE1292" s="416">
        <v>125</v>
      </c>
      <c r="AF1292" s="416">
        <v>124</v>
      </c>
      <c r="AG1292" s="416">
        <v>122</v>
      </c>
      <c r="AH1292" s="416">
        <v>121</v>
      </c>
      <c r="AI1292" s="416">
        <v>119</v>
      </c>
      <c r="AJ1292" s="416">
        <v>115</v>
      </c>
      <c r="AK1292" s="416">
        <v>89.4</v>
      </c>
      <c r="AL1292" s="416">
        <v>59.2</v>
      </c>
      <c r="AM1292" s="416">
        <v>44.2</v>
      </c>
      <c r="AN1292" s="416">
        <v>31.8</v>
      </c>
      <c r="AO1292" s="416">
        <v>23.7</v>
      </c>
      <c r="AP1292" s="416">
        <v>16.899999999999999</v>
      </c>
      <c r="AQ1292" s="416">
        <v>10.7</v>
      </c>
      <c r="AR1292" s="416">
        <v>6.1</v>
      </c>
      <c r="AS1292" s="416">
        <v>3.78</v>
      </c>
      <c r="AT1292" s="416">
        <v>2.96</v>
      </c>
      <c r="AU1292" s="416">
        <v>2.4</v>
      </c>
      <c r="AV1292" s="416">
        <v>1.76</v>
      </c>
      <c r="AW1292" s="416">
        <v>1.1499999999999999</v>
      </c>
      <c r="AX1292" s="416">
        <v>0</v>
      </c>
      <c r="AY1292" s="416">
        <v>0</v>
      </c>
      <c r="AZ1292" s="416">
        <v>0</v>
      </c>
    </row>
    <row r="1293" spans="1:52" x14ac:dyDescent="0.25">
      <c r="A1293" s="415" t="str">
        <f t="shared" si="20"/>
        <v>SA-213 Gr.TP309Cb</v>
      </c>
      <c r="B1293" s="415">
        <v>1287</v>
      </c>
      <c r="C1293" s="415" t="s">
        <v>3443</v>
      </c>
      <c r="D1293" s="415" t="s">
        <v>2693</v>
      </c>
      <c r="E1293" s="415" t="s">
        <v>2195</v>
      </c>
      <c r="F1293" s="415" t="s">
        <v>2560</v>
      </c>
      <c r="G1293" s="415" t="s">
        <v>3444</v>
      </c>
      <c r="H1293" s="415">
        <v>0</v>
      </c>
      <c r="I1293" s="415">
        <v>0</v>
      </c>
      <c r="J1293" s="415">
        <v>8</v>
      </c>
      <c r="K1293" s="415">
        <v>2</v>
      </c>
      <c r="L1293" s="415">
        <v>515</v>
      </c>
      <c r="M1293" s="415">
        <v>205</v>
      </c>
      <c r="N1293" s="415" t="s">
        <v>2675</v>
      </c>
      <c r="O1293" s="415" t="s">
        <v>2675</v>
      </c>
      <c r="P1293" s="415">
        <v>816</v>
      </c>
      <c r="Q1293" s="415">
        <v>343</v>
      </c>
      <c r="R1293" s="415" t="s">
        <v>3069</v>
      </c>
      <c r="S1293" s="415" t="s">
        <v>3428</v>
      </c>
      <c r="T1293" s="416">
        <v>138</v>
      </c>
      <c r="U1293" s="416">
        <v>138</v>
      </c>
      <c r="V1293" s="416">
        <v>129</v>
      </c>
      <c r="W1293" s="416">
        <v>120</v>
      </c>
      <c r="X1293" s="416">
        <v>115</v>
      </c>
      <c r="Y1293" s="416">
        <v>111</v>
      </c>
      <c r="Z1293" s="416">
        <v>105</v>
      </c>
      <c r="AA1293" s="416">
        <v>100</v>
      </c>
      <c r="AB1293" s="416">
        <v>96.7</v>
      </c>
      <c r="AC1293" s="416">
        <v>95.4</v>
      </c>
      <c r="AD1293" s="416">
        <v>94.1</v>
      </c>
      <c r="AE1293" s="416">
        <v>92.9</v>
      </c>
      <c r="AF1293" s="416">
        <v>91.6</v>
      </c>
      <c r="AG1293" s="416">
        <v>90.4</v>
      </c>
      <c r="AH1293" s="416">
        <v>89.2</v>
      </c>
      <c r="AI1293" s="416">
        <v>87.9</v>
      </c>
      <c r="AJ1293" s="416">
        <v>86.7</v>
      </c>
      <c r="AK1293" s="416">
        <v>78.5</v>
      </c>
      <c r="AL1293" s="416">
        <v>59.2</v>
      </c>
      <c r="AM1293" s="416">
        <v>44.2</v>
      </c>
      <c r="AN1293" s="416">
        <v>31.8</v>
      </c>
      <c r="AO1293" s="416">
        <v>23.7</v>
      </c>
      <c r="AP1293" s="416">
        <v>16.899999999999999</v>
      </c>
      <c r="AQ1293" s="416">
        <v>10.7</v>
      </c>
      <c r="AR1293" s="416">
        <v>6.1</v>
      </c>
      <c r="AS1293" s="416">
        <v>3.78</v>
      </c>
      <c r="AT1293" s="416">
        <v>2.96</v>
      </c>
      <c r="AU1293" s="416">
        <v>2.4</v>
      </c>
      <c r="AV1293" s="416">
        <v>1.76</v>
      </c>
      <c r="AW1293" s="416">
        <v>1.1499999999999999</v>
      </c>
      <c r="AX1293" s="416">
        <v>0</v>
      </c>
      <c r="AY1293" s="416">
        <v>0</v>
      </c>
      <c r="AZ1293" s="416">
        <v>0</v>
      </c>
    </row>
    <row r="1294" spans="1:52" x14ac:dyDescent="0.25">
      <c r="A1294" s="415" t="str">
        <f t="shared" si="20"/>
        <v>SA-240 Gr.309Cb</v>
      </c>
      <c r="B1294" s="415">
        <v>1288</v>
      </c>
      <c r="C1294" s="415" t="s">
        <v>3443</v>
      </c>
      <c r="D1294" s="415" t="s">
        <v>2684</v>
      </c>
      <c r="E1294" s="415" t="s">
        <v>2165</v>
      </c>
      <c r="F1294" s="415" t="s">
        <v>2252</v>
      </c>
      <c r="G1294" s="415" t="s">
        <v>3444</v>
      </c>
      <c r="H1294" s="415">
        <v>0</v>
      </c>
      <c r="I1294" s="415">
        <v>0</v>
      </c>
      <c r="J1294" s="415">
        <v>8</v>
      </c>
      <c r="K1294" s="415">
        <v>2</v>
      </c>
      <c r="L1294" s="415">
        <v>515</v>
      </c>
      <c r="M1294" s="415">
        <v>205</v>
      </c>
      <c r="N1294" s="415" t="s">
        <v>2675</v>
      </c>
      <c r="O1294" s="415" t="s">
        <v>2675</v>
      </c>
      <c r="P1294" s="415">
        <v>816</v>
      </c>
      <c r="Q1294" s="415">
        <v>343</v>
      </c>
      <c r="R1294" s="415" t="s">
        <v>3069</v>
      </c>
      <c r="S1294" s="415" t="s">
        <v>3427</v>
      </c>
      <c r="T1294" s="416">
        <v>138</v>
      </c>
      <c r="U1294" s="416">
        <v>138</v>
      </c>
      <c r="V1294" s="416">
        <v>138</v>
      </c>
      <c r="W1294" s="416">
        <v>138</v>
      </c>
      <c r="X1294" s="416">
        <v>138</v>
      </c>
      <c r="Y1294" s="416">
        <v>138</v>
      </c>
      <c r="Z1294" s="416">
        <v>138</v>
      </c>
      <c r="AA1294" s="416">
        <v>135</v>
      </c>
      <c r="AB1294" s="416">
        <v>131</v>
      </c>
      <c r="AC1294" s="416">
        <v>129</v>
      </c>
      <c r="AD1294" s="416">
        <v>127</v>
      </c>
      <c r="AE1294" s="416">
        <v>125</v>
      </c>
      <c r="AF1294" s="416">
        <v>124</v>
      </c>
      <c r="AG1294" s="416">
        <v>122</v>
      </c>
      <c r="AH1294" s="416">
        <v>121</v>
      </c>
      <c r="AI1294" s="416">
        <v>119</v>
      </c>
      <c r="AJ1294" s="416">
        <v>115</v>
      </c>
      <c r="AK1294" s="416">
        <v>89.4</v>
      </c>
      <c r="AL1294" s="416">
        <v>59.2</v>
      </c>
      <c r="AM1294" s="416">
        <v>44.2</v>
      </c>
      <c r="AN1294" s="416">
        <v>31.8</v>
      </c>
      <c r="AO1294" s="416">
        <v>23.7</v>
      </c>
      <c r="AP1294" s="416">
        <v>16.899999999999999</v>
      </c>
      <c r="AQ1294" s="416">
        <v>10.7</v>
      </c>
      <c r="AR1294" s="416">
        <v>6.1</v>
      </c>
      <c r="AS1294" s="416">
        <v>3.78</v>
      </c>
      <c r="AT1294" s="416">
        <v>2.96</v>
      </c>
      <c r="AU1294" s="416">
        <v>2.4</v>
      </c>
      <c r="AV1294" s="416">
        <v>1.76</v>
      </c>
      <c r="AW1294" s="416">
        <v>1.1499999999999999</v>
      </c>
      <c r="AX1294" s="416">
        <v>0</v>
      </c>
      <c r="AY1294" s="416">
        <v>0</v>
      </c>
      <c r="AZ1294" s="416">
        <v>0</v>
      </c>
    </row>
    <row r="1295" spans="1:52" x14ac:dyDescent="0.25">
      <c r="A1295" s="415" t="str">
        <f t="shared" si="20"/>
        <v>SA-240 Gr.309Cb</v>
      </c>
      <c r="B1295" s="415">
        <v>1289</v>
      </c>
      <c r="C1295" s="415" t="s">
        <v>3443</v>
      </c>
      <c r="D1295" s="415" t="s">
        <v>2684</v>
      </c>
      <c r="E1295" s="415" t="s">
        <v>2165</v>
      </c>
      <c r="F1295" s="415" t="s">
        <v>2252</v>
      </c>
      <c r="G1295" s="415" t="s">
        <v>3444</v>
      </c>
      <c r="H1295" s="415">
        <v>0</v>
      </c>
      <c r="I1295" s="415">
        <v>0</v>
      </c>
      <c r="J1295" s="415">
        <v>8</v>
      </c>
      <c r="K1295" s="415">
        <v>2</v>
      </c>
      <c r="L1295" s="415">
        <v>515</v>
      </c>
      <c r="M1295" s="415">
        <v>205</v>
      </c>
      <c r="N1295" s="415" t="s">
        <v>2675</v>
      </c>
      <c r="O1295" s="415" t="s">
        <v>2675</v>
      </c>
      <c r="P1295" s="415">
        <v>816</v>
      </c>
      <c r="Q1295" s="415">
        <v>343</v>
      </c>
      <c r="R1295" s="415" t="s">
        <v>3069</v>
      </c>
      <c r="S1295" s="415" t="s">
        <v>3428</v>
      </c>
      <c r="T1295" s="416">
        <v>138</v>
      </c>
      <c r="U1295" s="416">
        <v>138</v>
      </c>
      <c r="V1295" s="416">
        <v>129</v>
      </c>
      <c r="W1295" s="416">
        <v>120</v>
      </c>
      <c r="X1295" s="416">
        <v>115</v>
      </c>
      <c r="Y1295" s="416">
        <v>111</v>
      </c>
      <c r="Z1295" s="416">
        <v>105</v>
      </c>
      <c r="AA1295" s="416">
        <v>100</v>
      </c>
      <c r="AB1295" s="416">
        <v>96.7</v>
      </c>
      <c r="AC1295" s="416">
        <v>95.4</v>
      </c>
      <c r="AD1295" s="416">
        <v>94.1</v>
      </c>
      <c r="AE1295" s="416">
        <v>92.9</v>
      </c>
      <c r="AF1295" s="416">
        <v>91.6</v>
      </c>
      <c r="AG1295" s="416">
        <v>90.4</v>
      </c>
      <c r="AH1295" s="416">
        <v>89.2</v>
      </c>
      <c r="AI1295" s="416">
        <v>87.9</v>
      </c>
      <c r="AJ1295" s="416">
        <v>86.7</v>
      </c>
      <c r="AK1295" s="416">
        <v>78.5</v>
      </c>
      <c r="AL1295" s="416">
        <v>59.2</v>
      </c>
      <c r="AM1295" s="416">
        <v>44.2</v>
      </c>
      <c r="AN1295" s="416">
        <v>31.8</v>
      </c>
      <c r="AO1295" s="416">
        <v>23.7</v>
      </c>
      <c r="AP1295" s="416">
        <v>16.899999999999999</v>
      </c>
      <c r="AQ1295" s="416">
        <v>10.7</v>
      </c>
      <c r="AR1295" s="416">
        <v>6.1</v>
      </c>
      <c r="AS1295" s="416">
        <v>3.78</v>
      </c>
      <c r="AT1295" s="416">
        <v>2.96</v>
      </c>
      <c r="AU1295" s="416">
        <v>2.4</v>
      </c>
      <c r="AV1295" s="416">
        <v>1.76</v>
      </c>
      <c r="AW1295" s="416">
        <v>1.1499999999999999</v>
      </c>
      <c r="AX1295" s="416">
        <v>0</v>
      </c>
      <c r="AY1295" s="416">
        <v>0</v>
      </c>
      <c r="AZ1295" s="416">
        <v>0</v>
      </c>
    </row>
    <row r="1296" spans="1:52" x14ac:dyDescent="0.25">
      <c r="A1296" s="415" t="str">
        <f t="shared" si="20"/>
        <v>SA-249 Gr.TP309Cb</v>
      </c>
      <c r="B1296" s="415">
        <v>1290</v>
      </c>
      <c r="C1296" s="415" t="s">
        <v>3443</v>
      </c>
      <c r="D1296" s="415" t="s">
        <v>2689</v>
      </c>
      <c r="E1296" s="415" t="s">
        <v>2200</v>
      </c>
      <c r="F1296" s="415" t="s">
        <v>2560</v>
      </c>
      <c r="G1296" s="415" t="s">
        <v>3444</v>
      </c>
      <c r="H1296" s="415">
        <v>0</v>
      </c>
      <c r="I1296" s="415">
        <v>0</v>
      </c>
      <c r="J1296" s="415">
        <v>8</v>
      </c>
      <c r="K1296" s="415">
        <v>2</v>
      </c>
      <c r="L1296" s="415">
        <v>515</v>
      </c>
      <c r="M1296" s="415">
        <v>205</v>
      </c>
      <c r="N1296" s="415" t="s">
        <v>2675</v>
      </c>
      <c r="O1296" s="415" t="s">
        <v>2675</v>
      </c>
      <c r="P1296" s="415">
        <v>816</v>
      </c>
      <c r="Q1296" s="415">
        <v>343</v>
      </c>
      <c r="R1296" s="415" t="s">
        <v>3069</v>
      </c>
      <c r="S1296" s="415" t="s">
        <v>3320</v>
      </c>
      <c r="T1296" s="416">
        <v>117</v>
      </c>
      <c r="U1296" s="416">
        <v>117</v>
      </c>
      <c r="V1296" s="416">
        <v>117</v>
      </c>
      <c r="W1296" s="416">
        <v>117</v>
      </c>
      <c r="X1296" s="416">
        <v>117</v>
      </c>
      <c r="Y1296" s="416">
        <v>117</v>
      </c>
      <c r="Z1296" s="416">
        <v>117</v>
      </c>
      <c r="AA1296" s="416">
        <v>115</v>
      </c>
      <c r="AB1296" s="416">
        <v>111</v>
      </c>
      <c r="AC1296" s="416">
        <v>109</v>
      </c>
      <c r="AD1296" s="416">
        <v>108</v>
      </c>
      <c r="AE1296" s="416">
        <v>107</v>
      </c>
      <c r="AF1296" s="416">
        <v>105</v>
      </c>
      <c r="AG1296" s="416">
        <v>104</v>
      </c>
      <c r="AH1296" s="416">
        <v>102</v>
      </c>
      <c r="AI1296" s="416">
        <v>101</v>
      </c>
      <c r="AJ1296" s="416">
        <v>98.9</v>
      </c>
      <c r="AK1296" s="416">
        <v>74.7</v>
      </c>
      <c r="AL1296" s="416">
        <v>50.6</v>
      </c>
      <c r="AM1296" s="416">
        <v>37.4</v>
      </c>
      <c r="AN1296" s="416">
        <v>27.5</v>
      </c>
      <c r="AO1296" s="416">
        <v>20.399999999999999</v>
      </c>
      <c r="AP1296" s="416">
        <v>14.2</v>
      </c>
      <c r="AQ1296" s="416">
        <v>9.27</v>
      </c>
      <c r="AR1296" s="416">
        <v>5.22</v>
      </c>
      <c r="AS1296" s="416">
        <v>3.23</v>
      </c>
      <c r="AT1296" s="416">
        <v>2.5299999999999998</v>
      </c>
      <c r="AU1296" s="416">
        <v>2.06</v>
      </c>
      <c r="AV1296" s="416">
        <v>1.52</v>
      </c>
      <c r="AW1296" s="416">
        <v>0.96</v>
      </c>
      <c r="AX1296" s="416">
        <v>0</v>
      </c>
      <c r="AY1296" s="416">
        <v>0</v>
      </c>
      <c r="AZ1296" s="416">
        <v>0</v>
      </c>
    </row>
    <row r="1297" spans="1:52" x14ac:dyDescent="0.25">
      <c r="A1297" s="415" t="str">
        <f t="shared" si="20"/>
        <v>SA-249 Gr.TP309Cb</v>
      </c>
      <c r="B1297" s="415">
        <v>1291</v>
      </c>
      <c r="C1297" s="415" t="s">
        <v>3443</v>
      </c>
      <c r="D1297" s="415" t="s">
        <v>2689</v>
      </c>
      <c r="E1297" s="415" t="s">
        <v>2200</v>
      </c>
      <c r="F1297" s="415" t="s">
        <v>2560</v>
      </c>
      <c r="G1297" s="415" t="s">
        <v>3444</v>
      </c>
      <c r="H1297" s="415">
        <v>0</v>
      </c>
      <c r="I1297" s="415">
        <v>0</v>
      </c>
      <c r="J1297" s="415">
        <v>8</v>
      </c>
      <c r="K1297" s="415">
        <v>2</v>
      </c>
      <c r="L1297" s="415">
        <v>515</v>
      </c>
      <c r="M1297" s="415">
        <v>205</v>
      </c>
      <c r="N1297" s="415" t="s">
        <v>2675</v>
      </c>
      <c r="O1297" s="415" t="s">
        <v>2675</v>
      </c>
      <c r="P1297" s="415">
        <v>816</v>
      </c>
      <c r="Q1297" s="415">
        <v>343</v>
      </c>
      <c r="R1297" s="415" t="s">
        <v>3069</v>
      </c>
      <c r="S1297" s="415" t="s">
        <v>3429</v>
      </c>
      <c r="T1297" s="416">
        <v>117</v>
      </c>
      <c r="U1297" s="416">
        <v>117</v>
      </c>
      <c r="V1297" s="416">
        <v>110</v>
      </c>
      <c r="W1297" s="416">
        <v>101</v>
      </c>
      <c r="X1297" s="416">
        <v>97.5</v>
      </c>
      <c r="Y1297" s="416">
        <v>94.3</v>
      </c>
      <c r="Z1297" s="416">
        <v>88.7</v>
      </c>
      <c r="AA1297" s="416">
        <v>84.7</v>
      </c>
      <c r="AB1297" s="416">
        <v>82.1</v>
      </c>
      <c r="AC1297" s="416">
        <v>80.8</v>
      </c>
      <c r="AD1297" s="416">
        <v>79.8</v>
      </c>
      <c r="AE1297" s="416">
        <v>79.099999999999994</v>
      </c>
      <c r="AF1297" s="416">
        <v>77.900000000000006</v>
      </c>
      <c r="AG1297" s="416">
        <v>77.3</v>
      </c>
      <c r="AH1297" s="416">
        <v>76.099999999999994</v>
      </c>
      <c r="AI1297" s="416">
        <v>74.8</v>
      </c>
      <c r="AJ1297" s="416">
        <v>73.5</v>
      </c>
      <c r="AK1297" s="416">
        <v>64.8</v>
      </c>
      <c r="AL1297" s="416">
        <v>50.6</v>
      </c>
      <c r="AM1297" s="416">
        <v>37.4</v>
      </c>
      <c r="AN1297" s="416">
        <v>27.5</v>
      </c>
      <c r="AO1297" s="416">
        <v>20.399999999999999</v>
      </c>
      <c r="AP1297" s="416">
        <v>14.2</v>
      </c>
      <c r="AQ1297" s="416">
        <v>9.27</v>
      </c>
      <c r="AR1297" s="416">
        <v>5.22</v>
      </c>
      <c r="AS1297" s="416">
        <v>3.23</v>
      </c>
      <c r="AT1297" s="416">
        <v>2.5299999999999998</v>
      </c>
      <c r="AU1297" s="416">
        <v>2.06</v>
      </c>
      <c r="AV1297" s="416">
        <v>1.52</v>
      </c>
      <c r="AW1297" s="416">
        <v>0.96</v>
      </c>
      <c r="AX1297" s="416">
        <v>0</v>
      </c>
      <c r="AY1297" s="416">
        <v>0</v>
      </c>
      <c r="AZ1297" s="416">
        <v>0</v>
      </c>
    </row>
    <row r="1298" spans="1:52" x14ac:dyDescent="0.25">
      <c r="A1298" s="415" t="str">
        <f t="shared" si="20"/>
        <v>SA-312 Gr.TP309Cb</v>
      </c>
      <c r="B1298" s="415">
        <v>1292</v>
      </c>
      <c r="C1298" s="415" t="s">
        <v>3443</v>
      </c>
      <c r="D1298" s="415" t="s">
        <v>2720</v>
      </c>
      <c r="E1298" s="415" t="s">
        <v>2208</v>
      </c>
      <c r="F1298" s="415" t="s">
        <v>2560</v>
      </c>
      <c r="G1298" s="415" t="s">
        <v>3444</v>
      </c>
      <c r="H1298" s="415">
        <v>0</v>
      </c>
      <c r="I1298" s="415">
        <v>0</v>
      </c>
      <c r="J1298" s="415">
        <v>8</v>
      </c>
      <c r="K1298" s="415">
        <v>2</v>
      </c>
      <c r="L1298" s="415">
        <v>515</v>
      </c>
      <c r="M1298" s="415">
        <v>205</v>
      </c>
      <c r="N1298" s="415" t="s">
        <v>2675</v>
      </c>
      <c r="O1298" s="415">
        <v>427</v>
      </c>
      <c r="P1298" s="415">
        <v>816</v>
      </c>
      <c r="Q1298" s="415">
        <v>343</v>
      </c>
      <c r="R1298" s="415" t="s">
        <v>3069</v>
      </c>
      <c r="S1298" s="415" t="s">
        <v>3445</v>
      </c>
      <c r="T1298" s="416">
        <v>138</v>
      </c>
      <c r="U1298" s="416">
        <v>138</v>
      </c>
      <c r="V1298" s="416">
        <v>138</v>
      </c>
      <c r="W1298" s="416">
        <v>138</v>
      </c>
      <c r="X1298" s="416">
        <v>138</v>
      </c>
      <c r="Y1298" s="416">
        <v>138</v>
      </c>
      <c r="Z1298" s="416">
        <v>138</v>
      </c>
      <c r="AA1298" s="416">
        <v>135</v>
      </c>
      <c r="AB1298" s="416">
        <v>131</v>
      </c>
      <c r="AC1298" s="416">
        <v>129</v>
      </c>
      <c r="AD1298" s="416">
        <v>127</v>
      </c>
      <c r="AE1298" s="416">
        <v>125</v>
      </c>
      <c r="AF1298" s="416">
        <v>124</v>
      </c>
      <c r="AG1298" s="416">
        <v>122</v>
      </c>
      <c r="AH1298" s="416">
        <v>121</v>
      </c>
      <c r="AI1298" s="416">
        <v>119</v>
      </c>
      <c r="AJ1298" s="416">
        <v>115</v>
      </c>
      <c r="AK1298" s="416">
        <v>89.4</v>
      </c>
      <c r="AL1298" s="416">
        <v>59.2</v>
      </c>
      <c r="AM1298" s="416">
        <v>44.2</v>
      </c>
      <c r="AN1298" s="416">
        <v>31.8</v>
      </c>
      <c r="AO1298" s="416">
        <v>23.7</v>
      </c>
      <c r="AP1298" s="416">
        <v>16.899999999999999</v>
      </c>
      <c r="AQ1298" s="416">
        <v>10.7</v>
      </c>
      <c r="AR1298" s="416">
        <v>6.1</v>
      </c>
      <c r="AS1298" s="416">
        <v>3.78</v>
      </c>
      <c r="AT1298" s="416">
        <v>2.96</v>
      </c>
      <c r="AU1298" s="416">
        <v>2.4</v>
      </c>
      <c r="AV1298" s="416">
        <v>1.76</v>
      </c>
      <c r="AW1298" s="416">
        <v>1.1499999999999999</v>
      </c>
      <c r="AX1298" s="416">
        <v>0</v>
      </c>
      <c r="AY1298" s="416">
        <v>0</v>
      </c>
      <c r="AZ1298" s="416">
        <v>0</v>
      </c>
    </row>
    <row r="1299" spans="1:52" x14ac:dyDescent="0.25">
      <c r="A1299" s="415" t="str">
        <f t="shared" si="20"/>
        <v>SA-312 Gr.TP309Cb</v>
      </c>
      <c r="B1299" s="415">
        <v>1293</v>
      </c>
      <c r="C1299" s="415" t="s">
        <v>3443</v>
      </c>
      <c r="D1299" s="415" t="s">
        <v>2703</v>
      </c>
      <c r="E1299" s="415" t="s">
        <v>2208</v>
      </c>
      <c r="F1299" s="415" t="s">
        <v>2560</v>
      </c>
      <c r="G1299" s="415" t="s">
        <v>3444</v>
      </c>
      <c r="H1299" s="415">
        <v>0</v>
      </c>
      <c r="I1299" s="415">
        <v>0</v>
      </c>
      <c r="J1299" s="415">
        <v>8</v>
      </c>
      <c r="K1299" s="415">
        <v>2</v>
      </c>
      <c r="L1299" s="415">
        <v>515</v>
      </c>
      <c r="M1299" s="415">
        <v>205</v>
      </c>
      <c r="N1299" s="415" t="s">
        <v>2675</v>
      </c>
      <c r="O1299" s="415" t="s">
        <v>2675</v>
      </c>
      <c r="P1299" s="415">
        <v>816</v>
      </c>
      <c r="Q1299" s="415">
        <v>343</v>
      </c>
      <c r="R1299" s="415" t="s">
        <v>3069</v>
      </c>
      <c r="S1299" s="415" t="s">
        <v>3428</v>
      </c>
      <c r="T1299" s="416">
        <v>138</v>
      </c>
      <c r="U1299" s="416">
        <v>138</v>
      </c>
      <c r="V1299" s="416">
        <v>129</v>
      </c>
      <c r="W1299" s="416">
        <v>120</v>
      </c>
      <c r="X1299" s="416">
        <v>115</v>
      </c>
      <c r="Y1299" s="416">
        <v>111</v>
      </c>
      <c r="Z1299" s="416">
        <v>105</v>
      </c>
      <c r="AA1299" s="416">
        <v>100</v>
      </c>
      <c r="AB1299" s="416">
        <v>96.7</v>
      </c>
      <c r="AC1299" s="416">
        <v>95.4</v>
      </c>
      <c r="AD1299" s="416">
        <v>94.1</v>
      </c>
      <c r="AE1299" s="416">
        <v>92.9</v>
      </c>
      <c r="AF1299" s="416">
        <v>91.6</v>
      </c>
      <c r="AG1299" s="416">
        <v>90.4</v>
      </c>
      <c r="AH1299" s="416">
        <v>89.2</v>
      </c>
      <c r="AI1299" s="416">
        <v>87.9</v>
      </c>
      <c r="AJ1299" s="416">
        <v>86.7</v>
      </c>
      <c r="AK1299" s="416">
        <v>78.5</v>
      </c>
      <c r="AL1299" s="416">
        <v>59.2</v>
      </c>
      <c r="AM1299" s="416">
        <v>44.2</v>
      </c>
      <c r="AN1299" s="416">
        <v>31.8</v>
      </c>
      <c r="AO1299" s="416">
        <v>23.7</v>
      </c>
      <c r="AP1299" s="416">
        <v>16.899999999999999</v>
      </c>
      <c r="AQ1299" s="416">
        <v>10.7</v>
      </c>
      <c r="AR1299" s="416">
        <v>6.1</v>
      </c>
      <c r="AS1299" s="416">
        <v>3.78</v>
      </c>
      <c r="AT1299" s="416">
        <v>2.96</v>
      </c>
      <c r="AU1299" s="416">
        <v>2.4</v>
      </c>
      <c r="AV1299" s="416">
        <v>1.76</v>
      </c>
      <c r="AW1299" s="416">
        <v>1.1499999999999999</v>
      </c>
      <c r="AX1299" s="416">
        <v>0</v>
      </c>
      <c r="AY1299" s="416">
        <v>0</v>
      </c>
      <c r="AZ1299" s="416">
        <v>0</v>
      </c>
    </row>
    <row r="1300" spans="1:52" x14ac:dyDescent="0.25">
      <c r="A1300" s="415" t="str">
        <f t="shared" si="20"/>
        <v>SA-312 Gr.TP309Cb</v>
      </c>
      <c r="B1300" s="415">
        <v>1294</v>
      </c>
      <c r="C1300" s="415" t="s">
        <v>3443</v>
      </c>
      <c r="D1300" s="415" t="s">
        <v>2680</v>
      </c>
      <c r="E1300" s="415" t="s">
        <v>2208</v>
      </c>
      <c r="F1300" s="415" t="s">
        <v>2560</v>
      </c>
      <c r="G1300" s="415" t="s">
        <v>3444</v>
      </c>
      <c r="H1300" s="415">
        <v>0</v>
      </c>
      <c r="I1300" s="415">
        <v>0</v>
      </c>
      <c r="J1300" s="415">
        <v>8</v>
      </c>
      <c r="K1300" s="415">
        <v>2</v>
      </c>
      <c r="L1300" s="415">
        <v>515</v>
      </c>
      <c r="M1300" s="415">
        <v>205</v>
      </c>
      <c r="N1300" s="415" t="s">
        <v>2675</v>
      </c>
      <c r="O1300" s="415" t="s">
        <v>2675</v>
      </c>
      <c r="P1300" s="415">
        <v>816</v>
      </c>
      <c r="Q1300" s="415">
        <v>343</v>
      </c>
      <c r="R1300" s="415" t="s">
        <v>3069</v>
      </c>
      <c r="S1300" s="415" t="s">
        <v>3320</v>
      </c>
      <c r="T1300" s="416">
        <v>117</v>
      </c>
      <c r="U1300" s="416">
        <v>117</v>
      </c>
      <c r="V1300" s="416">
        <v>117</v>
      </c>
      <c r="W1300" s="416">
        <v>117</v>
      </c>
      <c r="X1300" s="416">
        <v>117</v>
      </c>
      <c r="Y1300" s="416">
        <v>117</v>
      </c>
      <c r="Z1300" s="416">
        <v>117</v>
      </c>
      <c r="AA1300" s="416">
        <v>115</v>
      </c>
      <c r="AB1300" s="416">
        <v>111</v>
      </c>
      <c r="AC1300" s="416">
        <v>109</v>
      </c>
      <c r="AD1300" s="416">
        <v>108</v>
      </c>
      <c r="AE1300" s="416">
        <v>107</v>
      </c>
      <c r="AF1300" s="416">
        <v>105</v>
      </c>
      <c r="AG1300" s="416">
        <v>104</v>
      </c>
      <c r="AH1300" s="416">
        <v>102</v>
      </c>
      <c r="AI1300" s="416">
        <v>101</v>
      </c>
      <c r="AJ1300" s="416">
        <v>98.9</v>
      </c>
      <c r="AK1300" s="416">
        <v>74.7</v>
      </c>
      <c r="AL1300" s="416">
        <v>50.6</v>
      </c>
      <c r="AM1300" s="416">
        <v>37.4</v>
      </c>
      <c r="AN1300" s="416">
        <v>27.5</v>
      </c>
      <c r="AO1300" s="416">
        <v>20.399999999999999</v>
      </c>
      <c r="AP1300" s="416">
        <v>14.2</v>
      </c>
      <c r="AQ1300" s="416">
        <v>9.27</v>
      </c>
      <c r="AR1300" s="416">
        <v>5.22</v>
      </c>
      <c r="AS1300" s="416">
        <v>3.23</v>
      </c>
      <c r="AT1300" s="416">
        <v>2.5299999999999998</v>
      </c>
      <c r="AU1300" s="416">
        <v>2.06</v>
      </c>
      <c r="AV1300" s="416">
        <v>1.52</v>
      </c>
      <c r="AW1300" s="416">
        <v>0.96</v>
      </c>
      <c r="AX1300" s="416">
        <v>0</v>
      </c>
      <c r="AY1300" s="416">
        <v>0</v>
      </c>
      <c r="AZ1300" s="416">
        <v>0</v>
      </c>
    </row>
    <row r="1301" spans="1:52" x14ac:dyDescent="0.25">
      <c r="A1301" s="415" t="str">
        <f t="shared" si="20"/>
        <v>SA-312 Gr.TP309Cb</v>
      </c>
      <c r="B1301" s="415">
        <v>1295</v>
      </c>
      <c r="C1301" s="415" t="s">
        <v>3443</v>
      </c>
      <c r="D1301" s="415" t="s">
        <v>2680</v>
      </c>
      <c r="E1301" s="415" t="s">
        <v>2208</v>
      </c>
      <c r="F1301" s="415" t="s">
        <v>2560</v>
      </c>
      <c r="G1301" s="415" t="s">
        <v>3444</v>
      </c>
      <c r="H1301" s="415">
        <v>0</v>
      </c>
      <c r="I1301" s="415">
        <v>0</v>
      </c>
      <c r="J1301" s="415">
        <v>8</v>
      </c>
      <c r="K1301" s="415">
        <v>2</v>
      </c>
      <c r="L1301" s="415">
        <v>515</v>
      </c>
      <c r="M1301" s="415">
        <v>205</v>
      </c>
      <c r="N1301" s="415" t="s">
        <v>2675</v>
      </c>
      <c r="O1301" s="415" t="s">
        <v>2675</v>
      </c>
      <c r="P1301" s="415">
        <v>816</v>
      </c>
      <c r="Q1301" s="415">
        <v>343</v>
      </c>
      <c r="R1301" s="415" t="s">
        <v>3069</v>
      </c>
      <c r="S1301" s="415" t="s">
        <v>3429</v>
      </c>
      <c r="T1301" s="416">
        <v>117</v>
      </c>
      <c r="U1301" s="416">
        <v>117</v>
      </c>
      <c r="V1301" s="416">
        <v>110</v>
      </c>
      <c r="W1301" s="416">
        <v>101</v>
      </c>
      <c r="X1301" s="416">
        <v>97.5</v>
      </c>
      <c r="Y1301" s="416">
        <v>94.3</v>
      </c>
      <c r="Z1301" s="416">
        <v>88.7</v>
      </c>
      <c r="AA1301" s="416">
        <v>84.7</v>
      </c>
      <c r="AB1301" s="416">
        <v>82.1</v>
      </c>
      <c r="AC1301" s="416">
        <v>80.8</v>
      </c>
      <c r="AD1301" s="416">
        <v>79.8</v>
      </c>
      <c r="AE1301" s="416">
        <v>79.099999999999994</v>
      </c>
      <c r="AF1301" s="416">
        <v>77.900000000000006</v>
      </c>
      <c r="AG1301" s="416">
        <v>77.3</v>
      </c>
      <c r="AH1301" s="416">
        <v>76.099999999999994</v>
      </c>
      <c r="AI1301" s="416">
        <v>74.8</v>
      </c>
      <c r="AJ1301" s="416">
        <v>73.5</v>
      </c>
      <c r="AK1301" s="416">
        <v>64.8</v>
      </c>
      <c r="AL1301" s="416">
        <v>50.6</v>
      </c>
      <c r="AM1301" s="416">
        <v>37.4</v>
      </c>
      <c r="AN1301" s="416">
        <v>27.5</v>
      </c>
      <c r="AO1301" s="416">
        <v>20.399999999999999</v>
      </c>
      <c r="AP1301" s="416">
        <v>14.2</v>
      </c>
      <c r="AQ1301" s="416">
        <v>9.27</v>
      </c>
      <c r="AR1301" s="416">
        <v>5.22</v>
      </c>
      <c r="AS1301" s="416">
        <v>3.23</v>
      </c>
      <c r="AT1301" s="416">
        <v>2.5299999999999998</v>
      </c>
      <c r="AU1301" s="416">
        <v>2.06</v>
      </c>
      <c r="AV1301" s="416">
        <v>1.52</v>
      </c>
      <c r="AW1301" s="416">
        <v>0.96</v>
      </c>
      <c r="AX1301" s="416">
        <v>0</v>
      </c>
      <c r="AY1301" s="416">
        <v>0</v>
      </c>
      <c r="AZ1301" s="416">
        <v>0</v>
      </c>
    </row>
    <row r="1302" spans="1:52" x14ac:dyDescent="0.25">
      <c r="A1302" s="415" t="str">
        <f t="shared" si="20"/>
        <v>SA-479 Gr.309Cb</v>
      </c>
      <c r="B1302" s="415">
        <v>1296</v>
      </c>
      <c r="C1302" s="415" t="s">
        <v>3443</v>
      </c>
      <c r="D1302" s="415" t="s">
        <v>2677</v>
      </c>
      <c r="E1302" s="415" t="s">
        <v>2245</v>
      </c>
      <c r="F1302" s="415" t="s">
        <v>2252</v>
      </c>
      <c r="G1302" s="415" t="s">
        <v>3444</v>
      </c>
      <c r="H1302" s="415">
        <v>0</v>
      </c>
      <c r="I1302" s="415">
        <v>0</v>
      </c>
      <c r="J1302" s="415">
        <v>8</v>
      </c>
      <c r="K1302" s="415">
        <v>2</v>
      </c>
      <c r="L1302" s="415">
        <v>515</v>
      </c>
      <c r="M1302" s="415">
        <v>205</v>
      </c>
      <c r="N1302" s="415" t="s">
        <v>2675</v>
      </c>
      <c r="O1302" s="415" t="s">
        <v>2675</v>
      </c>
      <c r="P1302" s="415">
        <v>538</v>
      </c>
      <c r="Q1302" s="415">
        <v>343</v>
      </c>
      <c r="R1302" s="415" t="s">
        <v>3069</v>
      </c>
      <c r="S1302" s="415" t="s">
        <v>3446</v>
      </c>
      <c r="T1302" s="416">
        <v>138</v>
      </c>
      <c r="U1302" s="416">
        <v>138</v>
      </c>
      <c r="V1302" s="416">
        <v>138</v>
      </c>
      <c r="W1302" s="416">
        <v>138</v>
      </c>
      <c r="X1302" s="416">
        <v>138</v>
      </c>
      <c r="Y1302" s="416">
        <v>138</v>
      </c>
      <c r="Z1302" s="416">
        <v>138</v>
      </c>
      <c r="AA1302" s="416">
        <v>135</v>
      </c>
      <c r="AB1302" s="416">
        <v>131</v>
      </c>
      <c r="AC1302" s="416">
        <v>129</v>
      </c>
      <c r="AD1302" s="416">
        <v>127</v>
      </c>
      <c r="AE1302" s="416">
        <v>125</v>
      </c>
      <c r="AF1302" s="416">
        <v>124</v>
      </c>
      <c r="AG1302" s="416">
        <v>122</v>
      </c>
      <c r="AH1302" s="416">
        <v>121</v>
      </c>
      <c r="AI1302" s="416">
        <v>119</v>
      </c>
      <c r="AJ1302" s="416">
        <v>115</v>
      </c>
      <c r="AK1302" s="416">
        <v>89.4</v>
      </c>
      <c r="AL1302" s="416">
        <v>59.2</v>
      </c>
      <c r="AM1302" s="416">
        <v>0</v>
      </c>
      <c r="AN1302" s="416">
        <v>0</v>
      </c>
      <c r="AO1302" s="416">
        <v>0</v>
      </c>
      <c r="AP1302" s="416">
        <v>0</v>
      </c>
      <c r="AQ1302" s="416">
        <v>0</v>
      </c>
      <c r="AR1302" s="416">
        <v>0</v>
      </c>
      <c r="AS1302" s="416">
        <v>0</v>
      </c>
      <c r="AT1302" s="416">
        <v>0</v>
      </c>
      <c r="AU1302" s="416">
        <v>0</v>
      </c>
      <c r="AV1302" s="416">
        <v>0</v>
      </c>
      <c r="AW1302" s="416">
        <v>0</v>
      </c>
      <c r="AX1302" s="416">
        <v>0</v>
      </c>
      <c r="AY1302" s="416">
        <v>0</v>
      </c>
      <c r="AZ1302" s="416">
        <v>0</v>
      </c>
    </row>
    <row r="1303" spans="1:52" x14ac:dyDescent="0.25">
      <c r="A1303" s="415" t="str">
        <f t="shared" si="20"/>
        <v>SA-479 Gr.309Cb</v>
      </c>
      <c r="B1303" s="415">
        <v>1297</v>
      </c>
      <c r="C1303" s="415" t="s">
        <v>3443</v>
      </c>
      <c r="D1303" s="415" t="s">
        <v>2677</v>
      </c>
      <c r="E1303" s="415" t="s">
        <v>2245</v>
      </c>
      <c r="F1303" s="415" t="s">
        <v>2252</v>
      </c>
      <c r="G1303" s="415" t="s">
        <v>3444</v>
      </c>
      <c r="H1303" s="415">
        <v>0</v>
      </c>
      <c r="I1303" s="415">
        <v>0</v>
      </c>
      <c r="J1303" s="415">
        <v>8</v>
      </c>
      <c r="K1303" s="415">
        <v>2</v>
      </c>
      <c r="L1303" s="415">
        <v>515</v>
      </c>
      <c r="M1303" s="415">
        <v>205</v>
      </c>
      <c r="N1303" s="415" t="s">
        <v>2675</v>
      </c>
      <c r="O1303" s="415" t="s">
        <v>2675</v>
      </c>
      <c r="P1303" s="415">
        <v>538</v>
      </c>
      <c r="Q1303" s="415">
        <v>343</v>
      </c>
      <c r="R1303" s="415" t="s">
        <v>3069</v>
      </c>
      <c r="S1303" s="415" t="s">
        <v>3447</v>
      </c>
      <c r="T1303" s="416">
        <v>138</v>
      </c>
      <c r="U1303" s="416">
        <v>138</v>
      </c>
      <c r="V1303" s="416">
        <v>129</v>
      </c>
      <c r="W1303" s="416">
        <v>120</v>
      </c>
      <c r="X1303" s="416">
        <v>115</v>
      </c>
      <c r="Y1303" s="416">
        <v>111</v>
      </c>
      <c r="Z1303" s="416">
        <v>105</v>
      </c>
      <c r="AA1303" s="416">
        <v>100</v>
      </c>
      <c r="AB1303" s="416">
        <v>96.7</v>
      </c>
      <c r="AC1303" s="416">
        <v>95.4</v>
      </c>
      <c r="AD1303" s="416">
        <v>94.1</v>
      </c>
      <c r="AE1303" s="416">
        <v>92.9</v>
      </c>
      <c r="AF1303" s="416">
        <v>91.6</v>
      </c>
      <c r="AG1303" s="416">
        <v>90.4</v>
      </c>
      <c r="AH1303" s="416">
        <v>89.2</v>
      </c>
      <c r="AI1303" s="416">
        <v>87.9</v>
      </c>
      <c r="AJ1303" s="416">
        <v>86.7</v>
      </c>
      <c r="AK1303" s="416">
        <v>78.5</v>
      </c>
      <c r="AL1303" s="416">
        <v>59.2</v>
      </c>
      <c r="AM1303" s="416">
        <v>0</v>
      </c>
      <c r="AN1303" s="416">
        <v>0</v>
      </c>
      <c r="AO1303" s="416">
        <v>0</v>
      </c>
      <c r="AP1303" s="416">
        <v>0</v>
      </c>
      <c r="AQ1303" s="416">
        <v>0</v>
      </c>
      <c r="AR1303" s="416">
        <v>0</v>
      </c>
      <c r="AS1303" s="416">
        <v>0</v>
      </c>
      <c r="AT1303" s="416">
        <v>0</v>
      </c>
      <c r="AU1303" s="416">
        <v>0</v>
      </c>
      <c r="AV1303" s="416">
        <v>0</v>
      </c>
      <c r="AW1303" s="416">
        <v>0</v>
      </c>
      <c r="AX1303" s="416">
        <v>0</v>
      </c>
      <c r="AY1303" s="416">
        <v>0</v>
      </c>
      <c r="AZ1303" s="416">
        <v>0</v>
      </c>
    </row>
    <row r="1304" spans="1:52" x14ac:dyDescent="0.25">
      <c r="A1304" s="415" t="str">
        <f t="shared" si="20"/>
        <v>SA-813 Gr.TP309Cb</v>
      </c>
      <c r="B1304" s="415">
        <v>1298</v>
      </c>
      <c r="C1304" s="415" t="s">
        <v>3443</v>
      </c>
      <c r="D1304" s="415" t="s">
        <v>2680</v>
      </c>
      <c r="E1304" s="415" t="s">
        <v>2328</v>
      </c>
      <c r="F1304" s="415" t="s">
        <v>2560</v>
      </c>
      <c r="G1304" s="415" t="s">
        <v>3444</v>
      </c>
      <c r="H1304" s="415">
        <v>0</v>
      </c>
      <c r="I1304" s="415">
        <v>0</v>
      </c>
      <c r="J1304" s="415">
        <v>8</v>
      </c>
      <c r="K1304" s="415">
        <v>2</v>
      </c>
      <c r="L1304" s="415">
        <v>515</v>
      </c>
      <c r="M1304" s="415">
        <v>205</v>
      </c>
      <c r="N1304" s="415" t="s">
        <v>2675</v>
      </c>
      <c r="O1304" s="415" t="s">
        <v>2675</v>
      </c>
      <c r="P1304" s="415">
        <v>816</v>
      </c>
      <c r="Q1304" s="415">
        <v>343</v>
      </c>
      <c r="R1304" s="415" t="s">
        <v>3069</v>
      </c>
      <c r="S1304" s="415" t="s">
        <v>3320</v>
      </c>
      <c r="T1304" s="416">
        <v>117</v>
      </c>
      <c r="U1304" s="416">
        <v>117</v>
      </c>
      <c r="V1304" s="416">
        <v>117</v>
      </c>
      <c r="W1304" s="416">
        <v>117</v>
      </c>
      <c r="X1304" s="416">
        <v>117</v>
      </c>
      <c r="Y1304" s="416">
        <v>117</v>
      </c>
      <c r="Z1304" s="416">
        <v>117</v>
      </c>
      <c r="AA1304" s="416">
        <v>115</v>
      </c>
      <c r="AB1304" s="416">
        <v>111</v>
      </c>
      <c r="AC1304" s="416">
        <v>109</v>
      </c>
      <c r="AD1304" s="416">
        <v>108</v>
      </c>
      <c r="AE1304" s="416">
        <v>107</v>
      </c>
      <c r="AF1304" s="416">
        <v>105</v>
      </c>
      <c r="AG1304" s="416">
        <v>104</v>
      </c>
      <c r="AH1304" s="416">
        <v>102</v>
      </c>
      <c r="AI1304" s="416">
        <v>101</v>
      </c>
      <c r="AJ1304" s="416">
        <v>98.9</v>
      </c>
      <c r="AK1304" s="416">
        <v>74.7</v>
      </c>
      <c r="AL1304" s="416">
        <v>50.6</v>
      </c>
      <c r="AM1304" s="416">
        <v>37.4</v>
      </c>
      <c r="AN1304" s="416">
        <v>27.5</v>
      </c>
      <c r="AO1304" s="416">
        <v>20.399999999999999</v>
      </c>
      <c r="AP1304" s="416">
        <v>14.2</v>
      </c>
      <c r="AQ1304" s="416">
        <v>9.27</v>
      </c>
      <c r="AR1304" s="416">
        <v>5.22</v>
      </c>
      <c r="AS1304" s="416">
        <v>3.23</v>
      </c>
      <c r="AT1304" s="416">
        <v>2.5299999999999998</v>
      </c>
      <c r="AU1304" s="416">
        <v>2.06</v>
      </c>
      <c r="AV1304" s="416">
        <v>1.52</v>
      </c>
      <c r="AW1304" s="416">
        <v>0.96</v>
      </c>
      <c r="AX1304" s="416">
        <v>0</v>
      </c>
      <c r="AY1304" s="416">
        <v>0</v>
      </c>
      <c r="AZ1304" s="416">
        <v>0</v>
      </c>
    </row>
    <row r="1305" spans="1:52" x14ac:dyDescent="0.25">
      <c r="A1305" s="415" t="str">
        <f t="shared" si="20"/>
        <v>SA-813 Gr.TP309Cb</v>
      </c>
      <c r="B1305" s="415">
        <v>1299</v>
      </c>
      <c r="C1305" s="415" t="s">
        <v>3443</v>
      </c>
      <c r="D1305" s="415" t="s">
        <v>2680</v>
      </c>
      <c r="E1305" s="415" t="s">
        <v>2328</v>
      </c>
      <c r="F1305" s="415" t="s">
        <v>2560</v>
      </c>
      <c r="G1305" s="415" t="s">
        <v>3444</v>
      </c>
      <c r="H1305" s="415">
        <v>0</v>
      </c>
      <c r="I1305" s="415">
        <v>0</v>
      </c>
      <c r="J1305" s="415">
        <v>8</v>
      </c>
      <c r="K1305" s="415">
        <v>2</v>
      </c>
      <c r="L1305" s="415">
        <v>515</v>
      </c>
      <c r="M1305" s="415">
        <v>205</v>
      </c>
      <c r="N1305" s="415" t="s">
        <v>2675</v>
      </c>
      <c r="O1305" s="415" t="s">
        <v>2675</v>
      </c>
      <c r="P1305" s="415">
        <v>816</v>
      </c>
      <c r="Q1305" s="415">
        <v>343</v>
      </c>
      <c r="R1305" s="415" t="s">
        <v>3069</v>
      </c>
      <c r="S1305" s="415" t="s">
        <v>3429</v>
      </c>
      <c r="T1305" s="416">
        <v>117</v>
      </c>
      <c r="U1305" s="416">
        <v>117</v>
      </c>
      <c r="V1305" s="416">
        <v>110</v>
      </c>
      <c r="W1305" s="416">
        <v>101</v>
      </c>
      <c r="X1305" s="416">
        <v>97.5</v>
      </c>
      <c r="Y1305" s="416">
        <v>94.3</v>
      </c>
      <c r="Z1305" s="416">
        <v>88.7</v>
      </c>
      <c r="AA1305" s="416">
        <v>84.7</v>
      </c>
      <c r="AB1305" s="416">
        <v>82.1</v>
      </c>
      <c r="AC1305" s="416">
        <v>80.8</v>
      </c>
      <c r="AD1305" s="416">
        <v>79.8</v>
      </c>
      <c r="AE1305" s="416">
        <v>79.099999999999994</v>
      </c>
      <c r="AF1305" s="416">
        <v>77.900000000000006</v>
      </c>
      <c r="AG1305" s="416">
        <v>77.3</v>
      </c>
      <c r="AH1305" s="416">
        <v>76.099999999999994</v>
      </c>
      <c r="AI1305" s="416">
        <v>74.8</v>
      </c>
      <c r="AJ1305" s="416">
        <v>73.5</v>
      </c>
      <c r="AK1305" s="416">
        <v>64.8</v>
      </c>
      <c r="AL1305" s="416">
        <v>50.6</v>
      </c>
      <c r="AM1305" s="416">
        <v>37.4</v>
      </c>
      <c r="AN1305" s="416">
        <v>27.5</v>
      </c>
      <c r="AO1305" s="416">
        <v>20.399999999999999</v>
      </c>
      <c r="AP1305" s="416">
        <v>14.2</v>
      </c>
      <c r="AQ1305" s="416">
        <v>9.27</v>
      </c>
      <c r="AR1305" s="416">
        <v>5.22</v>
      </c>
      <c r="AS1305" s="416">
        <v>3.23</v>
      </c>
      <c r="AT1305" s="416">
        <v>2.5299999999999998</v>
      </c>
      <c r="AU1305" s="416">
        <v>2.06</v>
      </c>
      <c r="AV1305" s="416">
        <v>1.52</v>
      </c>
      <c r="AW1305" s="416">
        <v>0.96</v>
      </c>
      <c r="AX1305" s="416">
        <v>0</v>
      </c>
      <c r="AY1305" s="416">
        <v>0</v>
      </c>
      <c r="AZ1305" s="416">
        <v>0</v>
      </c>
    </row>
    <row r="1306" spans="1:52" x14ac:dyDescent="0.25">
      <c r="A1306" s="415" t="str">
        <f t="shared" si="20"/>
        <v>SA-814 Gr.TP309Cb</v>
      </c>
      <c r="B1306" s="415">
        <v>1300</v>
      </c>
      <c r="C1306" s="415" t="s">
        <v>3443</v>
      </c>
      <c r="D1306" s="415" t="s">
        <v>2680</v>
      </c>
      <c r="E1306" s="415" t="s">
        <v>2330</v>
      </c>
      <c r="F1306" s="415" t="s">
        <v>2560</v>
      </c>
      <c r="G1306" s="415" t="s">
        <v>3444</v>
      </c>
      <c r="H1306" s="415">
        <v>0</v>
      </c>
      <c r="I1306" s="415">
        <v>0</v>
      </c>
      <c r="J1306" s="415">
        <v>8</v>
      </c>
      <c r="K1306" s="415">
        <v>2</v>
      </c>
      <c r="L1306" s="415">
        <v>515</v>
      </c>
      <c r="M1306" s="415">
        <v>205</v>
      </c>
      <c r="N1306" s="415" t="s">
        <v>2675</v>
      </c>
      <c r="O1306" s="415" t="s">
        <v>2675</v>
      </c>
      <c r="P1306" s="415">
        <v>816</v>
      </c>
      <c r="Q1306" s="415">
        <v>343</v>
      </c>
      <c r="R1306" s="415" t="s">
        <v>3069</v>
      </c>
      <c r="S1306" s="415" t="s">
        <v>3448</v>
      </c>
      <c r="T1306" s="416">
        <v>117</v>
      </c>
      <c r="U1306" s="416">
        <v>117</v>
      </c>
      <c r="V1306" s="416">
        <v>117</v>
      </c>
      <c r="W1306" s="416">
        <v>117</v>
      </c>
      <c r="X1306" s="416">
        <v>117</v>
      </c>
      <c r="Y1306" s="416">
        <v>117</v>
      </c>
      <c r="Z1306" s="416">
        <v>117</v>
      </c>
      <c r="AA1306" s="416">
        <v>115</v>
      </c>
      <c r="AB1306" s="416">
        <v>111</v>
      </c>
      <c r="AC1306" s="416">
        <v>109</v>
      </c>
      <c r="AD1306" s="416">
        <v>108</v>
      </c>
      <c r="AE1306" s="416">
        <v>107</v>
      </c>
      <c r="AF1306" s="416">
        <v>105</v>
      </c>
      <c r="AG1306" s="416">
        <v>104</v>
      </c>
      <c r="AH1306" s="416">
        <v>102</v>
      </c>
      <c r="AI1306" s="416">
        <v>101</v>
      </c>
      <c r="AJ1306" s="416">
        <v>98.9</v>
      </c>
      <c r="AK1306" s="416">
        <v>74.7</v>
      </c>
      <c r="AL1306" s="416">
        <v>50.6</v>
      </c>
      <c r="AM1306" s="416">
        <v>37.4</v>
      </c>
      <c r="AN1306" s="416">
        <v>27.5</v>
      </c>
      <c r="AO1306" s="416">
        <v>20.399999999999999</v>
      </c>
      <c r="AP1306" s="416">
        <v>14.2</v>
      </c>
      <c r="AQ1306" s="416">
        <v>9.27</v>
      </c>
      <c r="AR1306" s="416">
        <v>5.22</v>
      </c>
      <c r="AS1306" s="416">
        <v>3.23</v>
      </c>
      <c r="AT1306" s="416">
        <v>2.5299999999999998</v>
      </c>
      <c r="AU1306" s="416">
        <v>2.06</v>
      </c>
      <c r="AV1306" s="416">
        <v>1.52</v>
      </c>
      <c r="AW1306" s="416">
        <v>0.96</v>
      </c>
      <c r="AX1306" s="416">
        <v>0</v>
      </c>
      <c r="AY1306" s="416">
        <v>0</v>
      </c>
      <c r="AZ1306" s="416">
        <v>0</v>
      </c>
    </row>
    <row r="1307" spans="1:52" x14ac:dyDescent="0.25">
      <c r="A1307" s="415" t="str">
        <f t="shared" si="20"/>
        <v>SA-814 Gr.TP309Cb</v>
      </c>
      <c r="B1307" s="415">
        <v>1301</v>
      </c>
      <c r="C1307" s="415" t="s">
        <v>3443</v>
      </c>
      <c r="D1307" s="415" t="s">
        <v>2680</v>
      </c>
      <c r="E1307" s="415" t="s">
        <v>2330</v>
      </c>
      <c r="F1307" s="415" t="s">
        <v>2560</v>
      </c>
      <c r="G1307" s="415" t="s">
        <v>3444</v>
      </c>
      <c r="H1307" s="415">
        <v>0</v>
      </c>
      <c r="I1307" s="415">
        <v>0</v>
      </c>
      <c r="J1307" s="415">
        <v>8</v>
      </c>
      <c r="K1307" s="415">
        <v>2</v>
      </c>
      <c r="L1307" s="415">
        <v>515</v>
      </c>
      <c r="M1307" s="415">
        <v>205</v>
      </c>
      <c r="N1307" s="415" t="s">
        <v>2675</v>
      </c>
      <c r="O1307" s="415" t="s">
        <v>2675</v>
      </c>
      <c r="P1307" s="415">
        <v>816</v>
      </c>
      <c r="Q1307" s="415">
        <v>343</v>
      </c>
      <c r="R1307" s="415" t="s">
        <v>3069</v>
      </c>
      <c r="S1307" s="415" t="s">
        <v>3429</v>
      </c>
      <c r="T1307" s="416">
        <v>117</v>
      </c>
      <c r="U1307" s="416">
        <v>117</v>
      </c>
      <c r="V1307" s="416">
        <v>110</v>
      </c>
      <c r="W1307" s="416">
        <v>101</v>
      </c>
      <c r="X1307" s="416">
        <v>97.5</v>
      </c>
      <c r="Y1307" s="416">
        <v>94.3</v>
      </c>
      <c r="Z1307" s="416">
        <v>88.7</v>
      </c>
      <c r="AA1307" s="416">
        <v>84.7</v>
      </c>
      <c r="AB1307" s="416">
        <v>82.1</v>
      </c>
      <c r="AC1307" s="416">
        <v>80.8</v>
      </c>
      <c r="AD1307" s="416">
        <v>79.8</v>
      </c>
      <c r="AE1307" s="416">
        <v>79.099999999999994</v>
      </c>
      <c r="AF1307" s="416">
        <v>77.900000000000006</v>
      </c>
      <c r="AG1307" s="416">
        <v>77.3</v>
      </c>
      <c r="AH1307" s="416">
        <v>76.099999999999994</v>
      </c>
      <c r="AI1307" s="416">
        <v>74.8</v>
      </c>
      <c r="AJ1307" s="416">
        <v>73.5</v>
      </c>
      <c r="AK1307" s="416">
        <v>64.8</v>
      </c>
      <c r="AL1307" s="416">
        <v>50.6</v>
      </c>
      <c r="AM1307" s="416">
        <v>37.4</v>
      </c>
      <c r="AN1307" s="416">
        <v>27.5</v>
      </c>
      <c r="AO1307" s="416">
        <v>20.399999999999999</v>
      </c>
      <c r="AP1307" s="416">
        <v>14.2</v>
      </c>
      <c r="AQ1307" s="416">
        <v>9.27</v>
      </c>
      <c r="AR1307" s="416">
        <v>5.22</v>
      </c>
      <c r="AS1307" s="416">
        <v>3.23</v>
      </c>
      <c r="AT1307" s="416">
        <v>2.5299999999999998</v>
      </c>
      <c r="AU1307" s="416">
        <v>2.06</v>
      </c>
      <c r="AV1307" s="416">
        <v>1.52</v>
      </c>
      <c r="AW1307" s="416">
        <v>0.96</v>
      </c>
      <c r="AX1307" s="416">
        <v>0</v>
      </c>
      <c r="AY1307" s="416">
        <v>0</v>
      </c>
      <c r="AZ1307" s="416">
        <v>0</v>
      </c>
    </row>
    <row r="1308" spans="1:52" x14ac:dyDescent="0.25">
      <c r="A1308" s="415" t="str">
        <f t="shared" si="20"/>
        <v>SA-995 Gr.2A</v>
      </c>
      <c r="B1308" s="415">
        <v>1302</v>
      </c>
      <c r="C1308" s="415" t="s">
        <v>3449</v>
      </c>
      <c r="D1308" s="415" t="s">
        <v>2739</v>
      </c>
      <c r="E1308" s="415" t="s">
        <v>2338</v>
      </c>
      <c r="F1308" s="415" t="s">
        <v>2242</v>
      </c>
      <c r="G1308" s="415" t="s">
        <v>3450</v>
      </c>
      <c r="H1308" s="415">
        <v>0</v>
      </c>
      <c r="I1308" s="415">
        <v>0</v>
      </c>
      <c r="J1308" s="415" t="s">
        <v>3276</v>
      </c>
      <c r="K1308" s="415">
        <v>1</v>
      </c>
      <c r="L1308" s="415">
        <v>655</v>
      </c>
      <c r="M1308" s="415">
        <v>450</v>
      </c>
      <c r="N1308" s="415" t="s">
        <v>2675</v>
      </c>
      <c r="O1308" s="415" t="s">
        <v>2675</v>
      </c>
      <c r="P1308" s="415">
        <v>316</v>
      </c>
      <c r="Q1308" s="415">
        <v>316</v>
      </c>
      <c r="R1308" s="415" t="s">
        <v>3061</v>
      </c>
      <c r="S1308" s="415" t="s">
        <v>3217</v>
      </c>
      <c r="T1308" s="416">
        <v>187</v>
      </c>
      <c r="U1308" s="416">
        <v>187</v>
      </c>
      <c r="V1308" s="416">
        <v>187</v>
      </c>
      <c r="W1308" s="416">
        <v>186</v>
      </c>
      <c r="X1308" s="416">
        <v>180</v>
      </c>
      <c r="Y1308" s="416">
        <v>173</v>
      </c>
      <c r="Z1308" s="416">
        <v>167</v>
      </c>
      <c r="AA1308" s="416">
        <v>167</v>
      </c>
      <c r="AB1308" s="416">
        <v>167</v>
      </c>
      <c r="AC1308" s="416">
        <v>167</v>
      </c>
      <c r="AD1308" s="416">
        <v>0</v>
      </c>
      <c r="AE1308" s="416">
        <v>0</v>
      </c>
      <c r="AF1308" s="416">
        <v>0</v>
      </c>
      <c r="AG1308" s="416">
        <v>0</v>
      </c>
      <c r="AH1308" s="416">
        <v>0</v>
      </c>
      <c r="AI1308" s="416">
        <v>0</v>
      </c>
      <c r="AJ1308" s="416">
        <v>0</v>
      </c>
      <c r="AK1308" s="416">
        <v>0</v>
      </c>
      <c r="AL1308" s="416">
        <v>0</v>
      </c>
      <c r="AM1308" s="416">
        <v>0</v>
      </c>
      <c r="AN1308" s="416">
        <v>0</v>
      </c>
      <c r="AO1308" s="416">
        <v>0</v>
      </c>
      <c r="AP1308" s="416">
        <v>0</v>
      </c>
      <c r="AQ1308" s="416">
        <v>0</v>
      </c>
      <c r="AR1308" s="416">
        <v>0</v>
      </c>
      <c r="AS1308" s="416">
        <v>0</v>
      </c>
      <c r="AT1308" s="416">
        <v>0</v>
      </c>
      <c r="AU1308" s="416">
        <v>0</v>
      </c>
      <c r="AV1308" s="416">
        <v>0</v>
      </c>
      <c r="AW1308" s="416">
        <v>0</v>
      </c>
      <c r="AX1308" s="416">
        <v>0</v>
      </c>
      <c r="AY1308" s="416">
        <v>0</v>
      </c>
      <c r="AZ1308" s="416">
        <v>0</v>
      </c>
    </row>
    <row r="1309" spans="1:52" x14ac:dyDescent="0.25">
      <c r="A1309" s="415" t="str">
        <f t="shared" si="20"/>
        <v>SA-240 Gr.0</v>
      </c>
      <c r="B1309" s="415">
        <v>1303</v>
      </c>
      <c r="C1309" s="415" t="s">
        <v>3451</v>
      </c>
      <c r="D1309" s="415" t="s">
        <v>2684</v>
      </c>
      <c r="E1309" s="415" t="s">
        <v>2165</v>
      </c>
      <c r="F1309" s="415">
        <v>0</v>
      </c>
      <c r="G1309" s="415" t="s">
        <v>3452</v>
      </c>
      <c r="H1309" s="415">
        <v>0</v>
      </c>
      <c r="I1309" s="415">
        <v>0</v>
      </c>
      <c r="J1309" s="415" t="s">
        <v>3066</v>
      </c>
      <c r="K1309" s="415">
        <v>1</v>
      </c>
      <c r="L1309" s="415">
        <v>620</v>
      </c>
      <c r="M1309" s="415">
        <v>515</v>
      </c>
      <c r="N1309" s="415" t="s">
        <v>2675</v>
      </c>
      <c r="O1309" s="415" t="s">
        <v>2675</v>
      </c>
      <c r="P1309" s="415">
        <v>260</v>
      </c>
      <c r="Q1309" s="415">
        <v>260</v>
      </c>
      <c r="R1309" s="415" t="s">
        <v>3061</v>
      </c>
      <c r="S1309" s="415" t="s">
        <v>3012</v>
      </c>
      <c r="T1309" s="416">
        <v>177</v>
      </c>
      <c r="U1309" s="416">
        <v>177</v>
      </c>
      <c r="V1309" s="416">
        <v>175</v>
      </c>
      <c r="W1309" s="416">
        <v>171</v>
      </c>
      <c r="X1309" s="416">
        <v>166</v>
      </c>
      <c r="Y1309" s="416">
        <v>162</v>
      </c>
      <c r="Z1309" s="416">
        <v>156</v>
      </c>
      <c r="AA1309" s="416">
        <v>152</v>
      </c>
      <c r="AB1309" s="416">
        <v>0</v>
      </c>
      <c r="AC1309" s="416">
        <v>0</v>
      </c>
      <c r="AD1309" s="416">
        <v>0</v>
      </c>
      <c r="AE1309" s="416">
        <v>0</v>
      </c>
      <c r="AF1309" s="416">
        <v>0</v>
      </c>
      <c r="AG1309" s="416">
        <v>0</v>
      </c>
      <c r="AH1309" s="416">
        <v>0</v>
      </c>
      <c r="AI1309" s="416">
        <v>0</v>
      </c>
      <c r="AJ1309" s="416">
        <v>0</v>
      </c>
      <c r="AK1309" s="416">
        <v>0</v>
      </c>
      <c r="AL1309" s="416">
        <v>0</v>
      </c>
      <c r="AM1309" s="416">
        <v>0</v>
      </c>
      <c r="AN1309" s="416">
        <v>0</v>
      </c>
      <c r="AO1309" s="416">
        <v>0</v>
      </c>
      <c r="AP1309" s="416">
        <v>0</v>
      </c>
      <c r="AQ1309" s="416">
        <v>0</v>
      </c>
      <c r="AR1309" s="416">
        <v>0</v>
      </c>
      <c r="AS1309" s="416">
        <v>0</v>
      </c>
      <c r="AT1309" s="416">
        <v>0</v>
      </c>
      <c r="AU1309" s="416">
        <v>0</v>
      </c>
      <c r="AV1309" s="416">
        <v>0</v>
      </c>
      <c r="AW1309" s="416">
        <v>0</v>
      </c>
      <c r="AX1309" s="416">
        <v>0</v>
      </c>
      <c r="AY1309" s="416">
        <v>0</v>
      </c>
      <c r="AZ1309" s="416">
        <v>0</v>
      </c>
    </row>
    <row r="1310" spans="1:52" x14ac:dyDescent="0.25">
      <c r="A1310" s="415" t="str">
        <f t="shared" si="20"/>
        <v>SA-268 Gr.0</v>
      </c>
      <c r="B1310" s="415">
        <v>1304</v>
      </c>
      <c r="C1310" s="415" t="s">
        <v>3451</v>
      </c>
      <c r="D1310" s="415" t="s">
        <v>2689</v>
      </c>
      <c r="E1310" s="415" t="s">
        <v>2203</v>
      </c>
      <c r="F1310" s="415">
        <v>0</v>
      </c>
      <c r="G1310" s="415" t="s">
        <v>3452</v>
      </c>
      <c r="H1310" s="415">
        <v>0</v>
      </c>
      <c r="I1310" s="415">
        <v>0</v>
      </c>
      <c r="J1310" s="415" t="s">
        <v>3066</v>
      </c>
      <c r="K1310" s="415">
        <v>1</v>
      </c>
      <c r="L1310" s="415">
        <v>620</v>
      </c>
      <c r="M1310" s="415">
        <v>515</v>
      </c>
      <c r="N1310" s="415" t="s">
        <v>2675</v>
      </c>
      <c r="O1310" s="415" t="s">
        <v>2675</v>
      </c>
      <c r="P1310" s="415">
        <v>260</v>
      </c>
      <c r="Q1310" s="415">
        <v>260</v>
      </c>
      <c r="R1310" s="415" t="s">
        <v>3061</v>
      </c>
      <c r="S1310" s="415" t="s">
        <v>3053</v>
      </c>
      <c r="T1310" s="416">
        <v>151</v>
      </c>
      <c r="U1310" s="416">
        <v>151</v>
      </c>
      <c r="V1310" s="416">
        <v>149</v>
      </c>
      <c r="W1310" s="416">
        <v>145</v>
      </c>
      <c r="X1310" s="416">
        <v>141</v>
      </c>
      <c r="Y1310" s="416">
        <v>137</v>
      </c>
      <c r="Z1310" s="416">
        <v>132</v>
      </c>
      <c r="AA1310" s="416">
        <v>129</v>
      </c>
      <c r="AB1310" s="416">
        <v>0</v>
      </c>
      <c r="AC1310" s="416">
        <v>0</v>
      </c>
      <c r="AD1310" s="416">
        <v>0</v>
      </c>
      <c r="AE1310" s="416">
        <v>0</v>
      </c>
      <c r="AF1310" s="416">
        <v>0</v>
      </c>
      <c r="AG1310" s="416">
        <v>0</v>
      </c>
      <c r="AH1310" s="416">
        <v>0</v>
      </c>
      <c r="AI1310" s="416">
        <v>0</v>
      </c>
      <c r="AJ1310" s="416">
        <v>0</v>
      </c>
      <c r="AK1310" s="416">
        <v>0</v>
      </c>
      <c r="AL1310" s="416">
        <v>0</v>
      </c>
      <c r="AM1310" s="416">
        <v>0</v>
      </c>
      <c r="AN1310" s="416">
        <v>0</v>
      </c>
      <c r="AO1310" s="416">
        <v>0</v>
      </c>
      <c r="AP1310" s="416">
        <v>0</v>
      </c>
      <c r="AQ1310" s="416">
        <v>0</v>
      </c>
      <c r="AR1310" s="416">
        <v>0</v>
      </c>
      <c r="AS1310" s="416">
        <v>0</v>
      </c>
      <c r="AT1310" s="416">
        <v>0</v>
      </c>
      <c r="AU1310" s="416">
        <v>0</v>
      </c>
      <c r="AV1310" s="416">
        <v>0</v>
      </c>
      <c r="AW1310" s="416">
        <v>0</v>
      </c>
      <c r="AX1310" s="416">
        <v>0</v>
      </c>
      <c r="AY1310" s="416">
        <v>0</v>
      </c>
      <c r="AZ1310" s="416">
        <v>0</v>
      </c>
    </row>
    <row r="1311" spans="1:52" x14ac:dyDescent="0.25">
      <c r="A1311" s="415" t="str">
        <f t="shared" si="20"/>
        <v>SA-995 Gr.1B</v>
      </c>
      <c r="B1311" s="415">
        <v>1305</v>
      </c>
      <c r="C1311" s="415" t="s">
        <v>3453</v>
      </c>
      <c r="D1311" s="415" t="s">
        <v>2739</v>
      </c>
      <c r="E1311" s="415" t="s">
        <v>2338</v>
      </c>
      <c r="F1311" s="415" t="s">
        <v>2224</v>
      </c>
      <c r="G1311" s="415" t="s">
        <v>3454</v>
      </c>
      <c r="H1311" s="415">
        <v>0</v>
      </c>
      <c r="I1311" s="415">
        <v>0</v>
      </c>
      <c r="J1311" s="415" t="s">
        <v>3276</v>
      </c>
      <c r="K1311" s="415">
        <v>1</v>
      </c>
      <c r="L1311" s="415">
        <v>690</v>
      </c>
      <c r="M1311" s="415">
        <v>485</v>
      </c>
      <c r="N1311" s="415" t="s">
        <v>2675</v>
      </c>
      <c r="O1311" s="415">
        <v>316</v>
      </c>
      <c r="P1311" s="415" t="s">
        <v>2675</v>
      </c>
      <c r="Q1311" s="415" t="s">
        <v>2675</v>
      </c>
      <c r="R1311" s="415" t="s">
        <v>3061</v>
      </c>
      <c r="S1311" s="415" t="s">
        <v>3455</v>
      </c>
      <c r="T1311" s="416">
        <v>197</v>
      </c>
      <c r="U1311" s="416">
        <v>197</v>
      </c>
      <c r="V1311" s="416">
        <v>197</v>
      </c>
      <c r="W1311" s="416">
        <v>197</v>
      </c>
      <c r="X1311" s="416">
        <v>195</v>
      </c>
      <c r="Y1311" s="416">
        <v>192</v>
      </c>
      <c r="Z1311" s="416">
        <v>190</v>
      </c>
      <c r="AA1311" s="416">
        <v>190</v>
      </c>
      <c r="AB1311" s="416">
        <v>189</v>
      </c>
      <c r="AC1311" s="416">
        <v>189</v>
      </c>
      <c r="AD1311" s="416">
        <v>0</v>
      </c>
      <c r="AE1311" s="416">
        <v>0</v>
      </c>
      <c r="AF1311" s="416">
        <v>0</v>
      </c>
      <c r="AG1311" s="416">
        <v>0</v>
      </c>
      <c r="AH1311" s="416">
        <v>0</v>
      </c>
      <c r="AI1311" s="416">
        <v>0</v>
      </c>
      <c r="AJ1311" s="416">
        <v>0</v>
      </c>
      <c r="AK1311" s="416">
        <v>0</v>
      </c>
      <c r="AL1311" s="416">
        <v>0</v>
      </c>
      <c r="AM1311" s="416">
        <v>0</v>
      </c>
      <c r="AN1311" s="416">
        <v>0</v>
      </c>
      <c r="AO1311" s="416">
        <v>0</v>
      </c>
      <c r="AP1311" s="416">
        <v>0</v>
      </c>
      <c r="AQ1311" s="416">
        <v>0</v>
      </c>
      <c r="AR1311" s="416">
        <v>0</v>
      </c>
      <c r="AS1311" s="416">
        <v>0</v>
      </c>
      <c r="AT1311" s="416">
        <v>0</v>
      </c>
      <c r="AU1311" s="416">
        <v>0</v>
      </c>
      <c r="AV1311" s="416">
        <v>0</v>
      </c>
      <c r="AW1311" s="416">
        <v>0</v>
      </c>
      <c r="AX1311" s="416">
        <v>0</v>
      </c>
      <c r="AY1311" s="416">
        <v>0</v>
      </c>
      <c r="AZ1311" s="416">
        <v>0</v>
      </c>
    </row>
    <row r="1312" spans="1:52" x14ac:dyDescent="0.25">
      <c r="A1312" s="415" t="str">
        <f t="shared" si="20"/>
        <v>SA-240 Gr.0</v>
      </c>
      <c r="B1312" s="415">
        <v>1306</v>
      </c>
      <c r="C1312" s="415" t="s">
        <v>3453</v>
      </c>
      <c r="D1312" s="415" t="s">
        <v>2684</v>
      </c>
      <c r="E1312" s="415" t="s">
        <v>2165</v>
      </c>
      <c r="F1312" s="415">
        <v>0</v>
      </c>
      <c r="G1312" s="415" t="s">
        <v>3456</v>
      </c>
      <c r="H1312" s="415">
        <v>0</v>
      </c>
      <c r="I1312" s="415">
        <v>0</v>
      </c>
      <c r="J1312" s="415" t="s">
        <v>3276</v>
      </c>
      <c r="K1312" s="415">
        <v>1</v>
      </c>
      <c r="L1312" s="415">
        <v>760</v>
      </c>
      <c r="M1312" s="415">
        <v>550</v>
      </c>
      <c r="N1312" s="415" t="s">
        <v>2675</v>
      </c>
      <c r="O1312" s="415" t="s">
        <v>2675</v>
      </c>
      <c r="P1312" s="415">
        <v>260</v>
      </c>
      <c r="Q1312" s="415">
        <v>260</v>
      </c>
      <c r="R1312" s="415" t="s">
        <v>3061</v>
      </c>
      <c r="S1312" s="415" t="s">
        <v>3012</v>
      </c>
      <c r="T1312" s="416">
        <v>216</v>
      </c>
      <c r="U1312" s="416">
        <v>216</v>
      </c>
      <c r="V1312" s="416">
        <v>216</v>
      </c>
      <c r="W1312" s="416">
        <v>215</v>
      </c>
      <c r="X1312" s="416">
        <v>209</v>
      </c>
      <c r="Y1312" s="416">
        <v>203</v>
      </c>
      <c r="Z1312" s="416">
        <v>198</v>
      </c>
      <c r="AA1312" s="416">
        <v>195</v>
      </c>
      <c r="AB1312" s="416">
        <v>0</v>
      </c>
      <c r="AC1312" s="416">
        <v>0</v>
      </c>
      <c r="AD1312" s="416">
        <v>0</v>
      </c>
      <c r="AE1312" s="416">
        <v>0</v>
      </c>
      <c r="AF1312" s="416">
        <v>0</v>
      </c>
      <c r="AG1312" s="416">
        <v>0</v>
      </c>
      <c r="AH1312" s="416">
        <v>0</v>
      </c>
      <c r="AI1312" s="416">
        <v>0</v>
      </c>
      <c r="AJ1312" s="416">
        <v>0</v>
      </c>
      <c r="AK1312" s="416">
        <v>0</v>
      </c>
      <c r="AL1312" s="416">
        <v>0</v>
      </c>
      <c r="AM1312" s="416">
        <v>0</v>
      </c>
      <c r="AN1312" s="416">
        <v>0</v>
      </c>
      <c r="AO1312" s="416">
        <v>0</v>
      </c>
      <c r="AP1312" s="416">
        <v>0</v>
      </c>
      <c r="AQ1312" s="416">
        <v>0</v>
      </c>
      <c r="AR1312" s="416">
        <v>0</v>
      </c>
      <c r="AS1312" s="416">
        <v>0</v>
      </c>
      <c r="AT1312" s="416">
        <v>0</v>
      </c>
      <c r="AU1312" s="416">
        <v>0</v>
      </c>
      <c r="AV1312" s="416">
        <v>0</v>
      </c>
      <c r="AW1312" s="416">
        <v>0</v>
      </c>
      <c r="AX1312" s="416">
        <v>0</v>
      </c>
      <c r="AY1312" s="416">
        <v>0</v>
      </c>
      <c r="AZ1312" s="416">
        <v>0</v>
      </c>
    </row>
    <row r="1313" spans="1:52" x14ac:dyDescent="0.25">
      <c r="A1313" s="415" t="str">
        <f t="shared" si="20"/>
        <v>SA-479 Gr.0</v>
      </c>
      <c r="B1313" s="415">
        <v>1307</v>
      </c>
      <c r="C1313" s="415" t="s">
        <v>3453</v>
      </c>
      <c r="D1313" s="415" t="s">
        <v>2677</v>
      </c>
      <c r="E1313" s="415" t="s">
        <v>2245</v>
      </c>
      <c r="F1313" s="415">
        <v>0</v>
      </c>
      <c r="G1313" s="415" t="s">
        <v>3456</v>
      </c>
      <c r="H1313" s="415">
        <v>0</v>
      </c>
      <c r="I1313" s="415">
        <v>0</v>
      </c>
      <c r="J1313" s="415" t="s">
        <v>3276</v>
      </c>
      <c r="K1313" s="415">
        <v>1</v>
      </c>
      <c r="L1313" s="415">
        <v>760</v>
      </c>
      <c r="M1313" s="415">
        <v>550</v>
      </c>
      <c r="N1313" s="415" t="s">
        <v>2675</v>
      </c>
      <c r="O1313" s="415" t="s">
        <v>2675</v>
      </c>
      <c r="P1313" s="415">
        <v>260</v>
      </c>
      <c r="Q1313" s="415">
        <v>260</v>
      </c>
      <c r="R1313" s="415" t="s">
        <v>3061</v>
      </c>
      <c r="S1313" s="415" t="s">
        <v>3012</v>
      </c>
      <c r="T1313" s="416">
        <v>216</v>
      </c>
      <c r="U1313" s="416">
        <v>216</v>
      </c>
      <c r="V1313" s="416">
        <v>216</v>
      </c>
      <c r="W1313" s="416">
        <v>215</v>
      </c>
      <c r="X1313" s="416">
        <v>209</v>
      </c>
      <c r="Y1313" s="416">
        <v>203</v>
      </c>
      <c r="Z1313" s="416">
        <v>198</v>
      </c>
      <c r="AA1313" s="416">
        <v>195</v>
      </c>
      <c r="AB1313" s="416">
        <v>0</v>
      </c>
      <c r="AC1313" s="416">
        <v>0</v>
      </c>
      <c r="AD1313" s="416">
        <v>0</v>
      </c>
      <c r="AE1313" s="416">
        <v>0</v>
      </c>
      <c r="AF1313" s="416">
        <v>0</v>
      </c>
      <c r="AG1313" s="416">
        <v>0</v>
      </c>
      <c r="AH1313" s="416">
        <v>0</v>
      </c>
      <c r="AI1313" s="416">
        <v>0</v>
      </c>
      <c r="AJ1313" s="416">
        <v>0</v>
      </c>
      <c r="AK1313" s="416">
        <v>0</v>
      </c>
      <c r="AL1313" s="416">
        <v>0</v>
      </c>
      <c r="AM1313" s="416">
        <v>0</v>
      </c>
      <c r="AN1313" s="416">
        <v>0</v>
      </c>
      <c r="AO1313" s="416">
        <v>0</v>
      </c>
      <c r="AP1313" s="416">
        <v>0</v>
      </c>
      <c r="AQ1313" s="416">
        <v>0</v>
      </c>
      <c r="AR1313" s="416">
        <v>0</v>
      </c>
      <c r="AS1313" s="416">
        <v>0</v>
      </c>
      <c r="AT1313" s="416">
        <v>0</v>
      </c>
      <c r="AU1313" s="416">
        <v>0</v>
      </c>
      <c r="AV1313" s="416">
        <v>0</v>
      </c>
      <c r="AW1313" s="416">
        <v>0</v>
      </c>
      <c r="AX1313" s="416">
        <v>0</v>
      </c>
      <c r="AY1313" s="416">
        <v>0</v>
      </c>
      <c r="AZ1313" s="416">
        <v>0</v>
      </c>
    </row>
    <row r="1314" spans="1:52" x14ac:dyDescent="0.25">
      <c r="A1314" s="415" t="str">
        <f t="shared" si="20"/>
        <v>SA-789 Gr.0</v>
      </c>
      <c r="B1314" s="415">
        <v>1308</v>
      </c>
      <c r="C1314" s="415" t="s">
        <v>3453</v>
      </c>
      <c r="D1314" s="415" t="s">
        <v>2693</v>
      </c>
      <c r="E1314" s="415" t="s">
        <v>2322</v>
      </c>
      <c r="F1314" s="415">
        <v>0</v>
      </c>
      <c r="G1314" s="415" t="s">
        <v>3456</v>
      </c>
      <c r="H1314" s="415">
        <v>0</v>
      </c>
      <c r="I1314" s="415">
        <v>0</v>
      </c>
      <c r="J1314" s="415" t="s">
        <v>3276</v>
      </c>
      <c r="K1314" s="415">
        <v>1</v>
      </c>
      <c r="L1314" s="415">
        <v>760</v>
      </c>
      <c r="M1314" s="415">
        <v>550</v>
      </c>
      <c r="N1314" s="415" t="s">
        <v>2675</v>
      </c>
      <c r="O1314" s="415" t="s">
        <v>2675</v>
      </c>
      <c r="P1314" s="415">
        <v>260</v>
      </c>
      <c r="Q1314" s="415">
        <v>260</v>
      </c>
      <c r="R1314" s="415" t="s">
        <v>3061</v>
      </c>
      <c r="S1314" s="415" t="s">
        <v>3012</v>
      </c>
      <c r="T1314" s="416">
        <v>216</v>
      </c>
      <c r="U1314" s="416">
        <v>216</v>
      </c>
      <c r="V1314" s="416">
        <v>216</v>
      </c>
      <c r="W1314" s="416">
        <v>215</v>
      </c>
      <c r="X1314" s="416">
        <v>209</v>
      </c>
      <c r="Y1314" s="416">
        <v>203</v>
      </c>
      <c r="Z1314" s="416">
        <v>198</v>
      </c>
      <c r="AA1314" s="416">
        <v>195</v>
      </c>
      <c r="AB1314" s="416">
        <v>0</v>
      </c>
      <c r="AC1314" s="416">
        <v>0</v>
      </c>
      <c r="AD1314" s="416">
        <v>0</v>
      </c>
      <c r="AE1314" s="416">
        <v>0</v>
      </c>
      <c r="AF1314" s="416">
        <v>0</v>
      </c>
      <c r="AG1314" s="416">
        <v>0</v>
      </c>
      <c r="AH1314" s="416">
        <v>0</v>
      </c>
      <c r="AI1314" s="416">
        <v>0</v>
      </c>
      <c r="AJ1314" s="416">
        <v>0</v>
      </c>
      <c r="AK1314" s="416">
        <v>0</v>
      </c>
      <c r="AL1314" s="416">
        <v>0</v>
      </c>
      <c r="AM1314" s="416">
        <v>0</v>
      </c>
      <c r="AN1314" s="416">
        <v>0</v>
      </c>
      <c r="AO1314" s="416">
        <v>0</v>
      </c>
      <c r="AP1314" s="416">
        <v>0</v>
      </c>
      <c r="AQ1314" s="416">
        <v>0</v>
      </c>
      <c r="AR1314" s="416">
        <v>0</v>
      </c>
      <c r="AS1314" s="416">
        <v>0</v>
      </c>
      <c r="AT1314" s="416">
        <v>0</v>
      </c>
      <c r="AU1314" s="416">
        <v>0</v>
      </c>
      <c r="AV1314" s="416">
        <v>0</v>
      </c>
      <c r="AW1314" s="416">
        <v>0</v>
      </c>
      <c r="AX1314" s="416">
        <v>0</v>
      </c>
      <c r="AY1314" s="416">
        <v>0</v>
      </c>
      <c r="AZ1314" s="416">
        <v>0</v>
      </c>
    </row>
    <row r="1315" spans="1:52" x14ac:dyDescent="0.25">
      <c r="A1315" s="415" t="str">
        <f t="shared" si="20"/>
        <v>SA-789 Gr.0</v>
      </c>
      <c r="B1315" s="415">
        <v>1309</v>
      </c>
      <c r="C1315" s="415" t="s">
        <v>3453</v>
      </c>
      <c r="D1315" s="415" t="s">
        <v>2689</v>
      </c>
      <c r="E1315" s="415" t="s">
        <v>2322</v>
      </c>
      <c r="F1315" s="415">
        <v>0</v>
      </c>
      <c r="G1315" s="415" t="s">
        <v>3456</v>
      </c>
      <c r="H1315" s="415">
        <v>0</v>
      </c>
      <c r="I1315" s="415">
        <v>0</v>
      </c>
      <c r="J1315" s="415" t="s">
        <v>3276</v>
      </c>
      <c r="K1315" s="415">
        <v>1</v>
      </c>
      <c r="L1315" s="415">
        <v>760</v>
      </c>
      <c r="M1315" s="415">
        <v>550</v>
      </c>
      <c r="N1315" s="415" t="s">
        <v>2675</v>
      </c>
      <c r="O1315" s="415" t="s">
        <v>2675</v>
      </c>
      <c r="P1315" s="415">
        <v>260</v>
      </c>
      <c r="Q1315" s="415">
        <v>260</v>
      </c>
      <c r="R1315" s="415" t="s">
        <v>3061</v>
      </c>
      <c r="S1315" s="415" t="s">
        <v>3053</v>
      </c>
      <c r="T1315" s="416">
        <v>184</v>
      </c>
      <c r="U1315" s="416">
        <v>184</v>
      </c>
      <c r="V1315" s="416">
        <v>184</v>
      </c>
      <c r="W1315" s="416">
        <v>183</v>
      </c>
      <c r="X1315" s="416">
        <v>178</v>
      </c>
      <c r="Y1315" s="416">
        <v>173</v>
      </c>
      <c r="Z1315" s="416">
        <v>168</v>
      </c>
      <c r="AA1315" s="416">
        <v>166</v>
      </c>
      <c r="AB1315" s="416">
        <v>0</v>
      </c>
      <c r="AC1315" s="416">
        <v>0</v>
      </c>
      <c r="AD1315" s="416">
        <v>0</v>
      </c>
      <c r="AE1315" s="416">
        <v>0</v>
      </c>
      <c r="AF1315" s="416">
        <v>0</v>
      </c>
      <c r="AG1315" s="416">
        <v>0</v>
      </c>
      <c r="AH1315" s="416">
        <v>0</v>
      </c>
      <c r="AI1315" s="416">
        <v>0</v>
      </c>
      <c r="AJ1315" s="416">
        <v>0</v>
      </c>
      <c r="AK1315" s="416">
        <v>0</v>
      </c>
      <c r="AL1315" s="416">
        <v>0</v>
      </c>
      <c r="AM1315" s="416">
        <v>0</v>
      </c>
      <c r="AN1315" s="416">
        <v>0</v>
      </c>
      <c r="AO1315" s="416">
        <v>0</v>
      </c>
      <c r="AP1315" s="416">
        <v>0</v>
      </c>
      <c r="AQ1315" s="416">
        <v>0</v>
      </c>
      <c r="AR1315" s="416">
        <v>0</v>
      </c>
      <c r="AS1315" s="416">
        <v>0</v>
      </c>
      <c r="AT1315" s="416">
        <v>0</v>
      </c>
      <c r="AU1315" s="416">
        <v>0</v>
      </c>
      <c r="AV1315" s="416">
        <v>0</v>
      </c>
      <c r="AW1315" s="416">
        <v>0</v>
      </c>
      <c r="AX1315" s="416">
        <v>0</v>
      </c>
      <c r="AY1315" s="416">
        <v>0</v>
      </c>
      <c r="AZ1315" s="416">
        <v>0</v>
      </c>
    </row>
    <row r="1316" spans="1:52" x14ac:dyDescent="0.25">
      <c r="A1316" s="415" t="str">
        <f t="shared" si="20"/>
        <v>SA-790 Gr.0</v>
      </c>
      <c r="B1316" s="415">
        <v>1310</v>
      </c>
      <c r="C1316" s="415" t="s">
        <v>3453</v>
      </c>
      <c r="D1316" s="415" t="s">
        <v>2703</v>
      </c>
      <c r="E1316" s="415" t="s">
        <v>2324</v>
      </c>
      <c r="F1316" s="415">
        <v>0</v>
      </c>
      <c r="G1316" s="415" t="s">
        <v>3456</v>
      </c>
      <c r="H1316" s="415">
        <v>0</v>
      </c>
      <c r="I1316" s="415">
        <v>0</v>
      </c>
      <c r="J1316" s="415" t="s">
        <v>3276</v>
      </c>
      <c r="K1316" s="415">
        <v>1</v>
      </c>
      <c r="L1316" s="415">
        <v>760</v>
      </c>
      <c r="M1316" s="415">
        <v>550</v>
      </c>
      <c r="N1316" s="415" t="s">
        <v>2675</v>
      </c>
      <c r="O1316" s="415" t="s">
        <v>2675</v>
      </c>
      <c r="P1316" s="415">
        <v>260</v>
      </c>
      <c r="Q1316" s="415">
        <v>260</v>
      </c>
      <c r="R1316" s="415" t="s">
        <v>3061</v>
      </c>
      <c r="S1316" s="415" t="s">
        <v>3012</v>
      </c>
      <c r="T1316" s="416">
        <v>216</v>
      </c>
      <c r="U1316" s="416">
        <v>216</v>
      </c>
      <c r="V1316" s="416">
        <v>216</v>
      </c>
      <c r="W1316" s="416">
        <v>215</v>
      </c>
      <c r="X1316" s="416">
        <v>209</v>
      </c>
      <c r="Y1316" s="416">
        <v>203</v>
      </c>
      <c r="Z1316" s="416">
        <v>198</v>
      </c>
      <c r="AA1316" s="416">
        <v>195</v>
      </c>
      <c r="AB1316" s="416">
        <v>0</v>
      </c>
      <c r="AC1316" s="416">
        <v>0</v>
      </c>
      <c r="AD1316" s="416">
        <v>0</v>
      </c>
      <c r="AE1316" s="416">
        <v>0</v>
      </c>
      <c r="AF1316" s="416">
        <v>0</v>
      </c>
      <c r="AG1316" s="416">
        <v>0</v>
      </c>
      <c r="AH1316" s="416">
        <v>0</v>
      </c>
      <c r="AI1316" s="416">
        <v>0</v>
      </c>
      <c r="AJ1316" s="416">
        <v>0</v>
      </c>
      <c r="AK1316" s="416">
        <v>0</v>
      </c>
      <c r="AL1316" s="416">
        <v>0</v>
      </c>
      <c r="AM1316" s="416">
        <v>0</v>
      </c>
      <c r="AN1316" s="416">
        <v>0</v>
      </c>
      <c r="AO1316" s="416">
        <v>0</v>
      </c>
      <c r="AP1316" s="416">
        <v>0</v>
      </c>
      <c r="AQ1316" s="416">
        <v>0</v>
      </c>
      <c r="AR1316" s="416">
        <v>0</v>
      </c>
      <c r="AS1316" s="416">
        <v>0</v>
      </c>
      <c r="AT1316" s="416">
        <v>0</v>
      </c>
      <c r="AU1316" s="416">
        <v>0</v>
      </c>
      <c r="AV1316" s="416">
        <v>0</v>
      </c>
      <c r="AW1316" s="416">
        <v>0</v>
      </c>
      <c r="AX1316" s="416">
        <v>0</v>
      </c>
      <c r="AY1316" s="416">
        <v>0</v>
      </c>
      <c r="AZ1316" s="416">
        <v>0</v>
      </c>
    </row>
    <row r="1317" spans="1:52" x14ac:dyDescent="0.25">
      <c r="A1317" s="415" t="str">
        <f t="shared" si="20"/>
        <v>SA-790 Gr.0</v>
      </c>
      <c r="B1317" s="415">
        <v>1311</v>
      </c>
      <c r="C1317" s="415" t="s">
        <v>3453</v>
      </c>
      <c r="D1317" s="415" t="s">
        <v>2680</v>
      </c>
      <c r="E1317" s="415" t="s">
        <v>2324</v>
      </c>
      <c r="F1317" s="415">
        <v>0</v>
      </c>
      <c r="G1317" s="415" t="s">
        <v>3456</v>
      </c>
      <c r="H1317" s="415">
        <v>0</v>
      </c>
      <c r="I1317" s="415">
        <v>0</v>
      </c>
      <c r="J1317" s="415" t="s">
        <v>3276</v>
      </c>
      <c r="K1317" s="415">
        <v>1</v>
      </c>
      <c r="L1317" s="415">
        <v>760</v>
      </c>
      <c r="M1317" s="415">
        <v>550</v>
      </c>
      <c r="N1317" s="415" t="s">
        <v>2675</v>
      </c>
      <c r="O1317" s="415" t="s">
        <v>2675</v>
      </c>
      <c r="P1317" s="415">
        <v>260</v>
      </c>
      <c r="Q1317" s="415">
        <v>260</v>
      </c>
      <c r="R1317" s="415" t="s">
        <v>3061</v>
      </c>
      <c r="S1317" s="415" t="s">
        <v>3053</v>
      </c>
      <c r="T1317" s="416">
        <v>184</v>
      </c>
      <c r="U1317" s="416">
        <v>184</v>
      </c>
      <c r="V1317" s="416">
        <v>184</v>
      </c>
      <c r="W1317" s="416">
        <v>183</v>
      </c>
      <c r="X1317" s="416">
        <v>178</v>
      </c>
      <c r="Y1317" s="416">
        <v>173</v>
      </c>
      <c r="Z1317" s="416">
        <v>168</v>
      </c>
      <c r="AA1317" s="416">
        <v>166</v>
      </c>
      <c r="AB1317" s="416">
        <v>0</v>
      </c>
      <c r="AC1317" s="416">
        <v>0</v>
      </c>
      <c r="AD1317" s="416">
        <v>0</v>
      </c>
      <c r="AE1317" s="416">
        <v>0</v>
      </c>
      <c r="AF1317" s="416">
        <v>0</v>
      </c>
      <c r="AG1317" s="416">
        <v>0</v>
      </c>
      <c r="AH1317" s="416">
        <v>0</v>
      </c>
      <c r="AI1317" s="416">
        <v>0</v>
      </c>
      <c r="AJ1317" s="416">
        <v>0</v>
      </c>
      <c r="AK1317" s="416">
        <v>0</v>
      </c>
      <c r="AL1317" s="416">
        <v>0</v>
      </c>
      <c r="AM1317" s="416">
        <v>0</v>
      </c>
      <c r="AN1317" s="416">
        <v>0</v>
      </c>
      <c r="AO1317" s="416">
        <v>0</v>
      </c>
      <c r="AP1317" s="416">
        <v>0</v>
      </c>
      <c r="AQ1317" s="416">
        <v>0</v>
      </c>
      <c r="AR1317" s="416">
        <v>0</v>
      </c>
      <c r="AS1317" s="416">
        <v>0</v>
      </c>
      <c r="AT1317" s="416">
        <v>0</v>
      </c>
      <c r="AU1317" s="416">
        <v>0</v>
      </c>
      <c r="AV1317" s="416">
        <v>0</v>
      </c>
      <c r="AW1317" s="416">
        <v>0</v>
      </c>
      <c r="AX1317" s="416">
        <v>0</v>
      </c>
      <c r="AY1317" s="416">
        <v>0</v>
      </c>
      <c r="AZ1317" s="416">
        <v>0</v>
      </c>
    </row>
    <row r="1318" spans="1:52" x14ac:dyDescent="0.25">
      <c r="A1318" s="415" t="str">
        <f t="shared" si="20"/>
        <v>SA-240 Gr.0</v>
      </c>
      <c r="B1318" s="415">
        <v>1312</v>
      </c>
      <c r="C1318" s="415" t="s">
        <v>3457</v>
      </c>
      <c r="D1318" s="415" t="s">
        <v>2684</v>
      </c>
      <c r="E1318" s="415" t="s">
        <v>2165</v>
      </c>
      <c r="F1318" s="415">
        <v>0</v>
      </c>
      <c r="G1318" s="415" t="s">
        <v>3458</v>
      </c>
      <c r="H1318" s="415">
        <v>0</v>
      </c>
      <c r="I1318" s="415">
        <v>0</v>
      </c>
      <c r="J1318" s="415" t="s">
        <v>3276</v>
      </c>
      <c r="K1318" s="415">
        <v>1</v>
      </c>
      <c r="L1318" s="415">
        <v>690</v>
      </c>
      <c r="M1318" s="415">
        <v>450</v>
      </c>
      <c r="N1318" s="415" t="s">
        <v>2675</v>
      </c>
      <c r="O1318" s="415" t="s">
        <v>2675</v>
      </c>
      <c r="P1318" s="415">
        <v>316</v>
      </c>
      <c r="Q1318" s="415">
        <v>316</v>
      </c>
      <c r="R1318" s="415" t="s">
        <v>3061</v>
      </c>
      <c r="S1318" s="415" t="s">
        <v>3012</v>
      </c>
      <c r="T1318" s="416">
        <v>197</v>
      </c>
      <c r="U1318" s="416">
        <v>197</v>
      </c>
      <c r="V1318" s="416">
        <v>197</v>
      </c>
      <c r="W1318" s="416">
        <v>197</v>
      </c>
      <c r="X1318" s="416">
        <v>192</v>
      </c>
      <c r="Y1318" s="416">
        <v>187</v>
      </c>
      <c r="Z1318" s="416">
        <v>182</v>
      </c>
      <c r="AA1318" s="416">
        <v>180</v>
      </c>
      <c r="AB1318" s="416">
        <v>180</v>
      </c>
      <c r="AC1318" s="416">
        <v>180</v>
      </c>
      <c r="AD1318" s="416">
        <v>0</v>
      </c>
      <c r="AE1318" s="416">
        <v>0</v>
      </c>
      <c r="AF1318" s="416">
        <v>0</v>
      </c>
      <c r="AG1318" s="416">
        <v>0</v>
      </c>
      <c r="AH1318" s="416">
        <v>0</v>
      </c>
      <c r="AI1318" s="416">
        <v>0</v>
      </c>
      <c r="AJ1318" s="416">
        <v>0</v>
      </c>
      <c r="AK1318" s="416">
        <v>0</v>
      </c>
      <c r="AL1318" s="416">
        <v>0</v>
      </c>
      <c r="AM1318" s="416">
        <v>0</v>
      </c>
      <c r="AN1318" s="416">
        <v>0</v>
      </c>
      <c r="AO1318" s="416">
        <v>0</v>
      </c>
      <c r="AP1318" s="416">
        <v>0</v>
      </c>
      <c r="AQ1318" s="416">
        <v>0</v>
      </c>
      <c r="AR1318" s="416">
        <v>0</v>
      </c>
      <c r="AS1318" s="416">
        <v>0</v>
      </c>
      <c r="AT1318" s="416">
        <v>0</v>
      </c>
      <c r="AU1318" s="416">
        <v>0</v>
      </c>
      <c r="AV1318" s="416">
        <v>0</v>
      </c>
      <c r="AW1318" s="416">
        <v>0</v>
      </c>
      <c r="AX1318" s="416">
        <v>0</v>
      </c>
      <c r="AY1318" s="416">
        <v>0</v>
      </c>
      <c r="AZ1318" s="416">
        <v>0</v>
      </c>
    </row>
    <row r="1319" spans="1:52" x14ac:dyDescent="0.25">
      <c r="A1319" s="415" t="str">
        <f t="shared" si="20"/>
        <v>SA-789 Gr.0</v>
      </c>
      <c r="B1319" s="415">
        <v>1313</v>
      </c>
      <c r="C1319" s="415" t="s">
        <v>3459</v>
      </c>
      <c r="D1319" s="415" t="s">
        <v>2693</v>
      </c>
      <c r="E1319" s="415" t="s">
        <v>2322</v>
      </c>
      <c r="F1319" s="415">
        <v>0</v>
      </c>
      <c r="G1319" s="415" t="s">
        <v>3460</v>
      </c>
      <c r="H1319" s="415">
        <v>0</v>
      </c>
      <c r="I1319" s="415">
        <v>0</v>
      </c>
      <c r="J1319" s="415" t="s">
        <v>3276</v>
      </c>
      <c r="K1319" s="415">
        <v>1</v>
      </c>
      <c r="L1319" s="415">
        <v>690</v>
      </c>
      <c r="M1319" s="415">
        <v>450</v>
      </c>
      <c r="N1319" s="415" t="s">
        <v>2675</v>
      </c>
      <c r="O1319" s="415" t="s">
        <v>2675</v>
      </c>
      <c r="P1319" s="415">
        <v>343</v>
      </c>
      <c r="Q1319" s="415">
        <v>343</v>
      </c>
      <c r="R1319" s="415" t="s">
        <v>3061</v>
      </c>
      <c r="S1319" s="415" t="s">
        <v>3012</v>
      </c>
      <c r="T1319" s="416">
        <v>197</v>
      </c>
      <c r="U1319" s="416">
        <v>197</v>
      </c>
      <c r="V1319" s="416">
        <v>197</v>
      </c>
      <c r="W1319" s="416">
        <v>196</v>
      </c>
      <c r="X1319" s="416">
        <v>192</v>
      </c>
      <c r="Y1319" s="416">
        <v>187</v>
      </c>
      <c r="Z1319" s="416">
        <v>182</v>
      </c>
      <c r="AA1319" s="416">
        <v>181</v>
      </c>
      <c r="AB1319" s="416">
        <v>181</v>
      </c>
      <c r="AC1319" s="416">
        <v>181</v>
      </c>
      <c r="AD1319" s="416">
        <v>181</v>
      </c>
      <c r="AE1319" s="416">
        <v>0</v>
      </c>
      <c r="AF1319" s="416">
        <v>0</v>
      </c>
      <c r="AG1319" s="416">
        <v>0</v>
      </c>
      <c r="AH1319" s="416">
        <v>0</v>
      </c>
      <c r="AI1319" s="416">
        <v>0</v>
      </c>
      <c r="AJ1319" s="416">
        <v>0</v>
      </c>
      <c r="AK1319" s="416">
        <v>0</v>
      </c>
      <c r="AL1319" s="416">
        <v>0</v>
      </c>
      <c r="AM1319" s="416">
        <v>0</v>
      </c>
      <c r="AN1319" s="416">
        <v>0</v>
      </c>
      <c r="AO1319" s="416">
        <v>0</v>
      </c>
      <c r="AP1319" s="416">
        <v>0</v>
      </c>
      <c r="AQ1319" s="416">
        <v>0</v>
      </c>
      <c r="AR1319" s="416">
        <v>0</v>
      </c>
      <c r="AS1319" s="416">
        <v>0</v>
      </c>
      <c r="AT1319" s="416">
        <v>0</v>
      </c>
      <c r="AU1319" s="416">
        <v>0</v>
      </c>
      <c r="AV1319" s="416">
        <v>0</v>
      </c>
      <c r="AW1319" s="416">
        <v>0</v>
      </c>
      <c r="AX1319" s="416">
        <v>0</v>
      </c>
      <c r="AY1319" s="416">
        <v>0</v>
      </c>
      <c r="AZ1319" s="416">
        <v>0</v>
      </c>
    </row>
    <row r="1320" spans="1:52" x14ac:dyDescent="0.25">
      <c r="A1320" s="415" t="str">
        <f t="shared" si="20"/>
        <v>SA-789 Gr.0</v>
      </c>
      <c r="B1320" s="415">
        <v>1314</v>
      </c>
      <c r="C1320" s="415" t="s">
        <v>3459</v>
      </c>
      <c r="D1320" s="415" t="s">
        <v>2689</v>
      </c>
      <c r="E1320" s="415" t="s">
        <v>2322</v>
      </c>
      <c r="F1320" s="415">
        <v>0</v>
      </c>
      <c r="G1320" s="415" t="s">
        <v>3460</v>
      </c>
      <c r="H1320" s="415">
        <v>0</v>
      </c>
      <c r="I1320" s="415">
        <v>0</v>
      </c>
      <c r="J1320" s="415" t="s">
        <v>3276</v>
      </c>
      <c r="K1320" s="415">
        <v>1</v>
      </c>
      <c r="L1320" s="415">
        <v>690</v>
      </c>
      <c r="M1320" s="415">
        <v>450</v>
      </c>
      <c r="N1320" s="415" t="s">
        <v>2675</v>
      </c>
      <c r="O1320" s="415" t="s">
        <v>2675</v>
      </c>
      <c r="P1320" s="415">
        <v>343</v>
      </c>
      <c r="Q1320" s="415">
        <v>343</v>
      </c>
      <c r="R1320" s="415" t="s">
        <v>3061</v>
      </c>
      <c r="S1320" s="415" t="s">
        <v>3053</v>
      </c>
      <c r="T1320" s="416">
        <v>168</v>
      </c>
      <c r="U1320" s="416">
        <v>168</v>
      </c>
      <c r="V1320" s="416">
        <v>168</v>
      </c>
      <c r="W1320" s="416">
        <v>167</v>
      </c>
      <c r="X1320" s="416">
        <v>163</v>
      </c>
      <c r="Y1320" s="416">
        <v>158</v>
      </c>
      <c r="Z1320" s="416">
        <v>155</v>
      </c>
      <c r="AA1320" s="416">
        <v>155</v>
      </c>
      <c r="AB1320" s="416">
        <v>154</v>
      </c>
      <c r="AC1320" s="416">
        <v>154</v>
      </c>
      <c r="AD1320" s="416">
        <v>154</v>
      </c>
      <c r="AE1320" s="416">
        <v>0</v>
      </c>
      <c r="AF1320" s="416">
        <v>0</v>
      </c>
      <c r="AG1320" s="416">
        <v>0</v>
      </c>
      <c r="AH1320" s="416">
        <v>0</v>
      </c>
      <c r="AI1320" s="416">
        <v>0</v>
      </c>
      <c r="AJ1320" s="416">
        <v>0</v>
      </c>
      <c r="AK1320" s="416">
        <v>0</v>
      </c>
      <c r="AL1320" s="416">
        <v>0</v>
      </c>
      <c r="AM1320" s="416">
        <v>0</v>
      </c>
      <c r="AN1320" s="416">
        <v>0</v>
      </c>
      <c r="AO1320" s="416">
        <v>0</v>
      </c>
      <c r="AP1320" s="416">
        <v>0</v>
      </c>
      <c r="AQ1320" s="416">
        <v>0</v>
      </c>
      <c r="AR1320" s="416">
        <v>0</v>
      </c>
      <c r="AS1320" s="416">
        <v>0</v>
      </c>
      <c r="AT1320" s="416">
        <v>0</v>
      </c>
      <c r="AU1320" s="416">
        <v>0</v>
      </c>
      <c r="AV1320" s="416">
        <v>0</v>
      </c>
      <c r="AW1320" s="416">
        <v>0</v>
      </c>
      <c r="AX1320" s="416">
        <v>0</v>
      </c>
      <c r="AY1320" s="416">
        <v>0</v>
      </c>
      <c r="AZ1320" s="416">
        <v>0</v>
      </c>
    </row>
    <row r="1321" spans="1:52" x14ac:dyDescent="0.25">
      <c r="A1321" s="415" t="str">
        <f t="shared" si="20"/>
        <v>SA-790 Gr.0</v>
      </c>
      <c r="B1321" s="415">
        <v>1315</v>
      </c>
      <c r="C1321" s="415" t="s">
        <v>3459</v>
      </c>
      <c r="D1321" s="415" t="s">
        <v>2703</v>
      </c>
      <c r="E1321" s="415" t="s">
        <v>2324</v>
      </c>
      <c r="F1321" s="415">
        <v>0</v>
      </c>
      <c r="G1321" s="415" t="s">
        <v>3460</v>
      </c>
      <c r="H1321" s="415">
        <v>0</v>
      </c>
      <c r="I1321" s="415">
        <v>0</v>
      </c>
      <c r="J1321" s="415" t="s">
        <v>3276</v>
      </c>
      <c r="K1321" s="415">
        <v>1</v>
      </c>
      <c r="L1321" s="415">
        <v>690</v>
      </c>
      <c r="M1321" s="415">
        <v>450</v>
      </c>
      <c r="N1321" s="415" t="s">
        <v>2675</v>
      </c>
      <c r="O1321" s="415" t="s">
        <v>2675</v>
      </c>
      <c r="P1321" s="415">
        <v>343</v>
      </c>
      <c r="Q1321" s="415">
        <v>343</v>
      </c>
      <c r="R1321" s="415" t="s">
        <v>3061</v>
      </c>
      <c r="S1321" s="415" t="s">
        <v>3012</v>
      </c>
      <c r="T1321" s="416">
        <v>197</v>
      </c>
      <c r="U1321" s="416">
        <v>197</v>
      </c>
      <c r="V1321" s="416">
        <v>197</v>
      </c>
      <c r="W1321" s="416">
        <v>196</v>
      </c>
      <c r="X1321" s="416">
        <v>192</v>
      </c>
      <c r="Y1321" s="416">
        <v>187</v>
      </c>
      <c r="Z1321" s="416">
        <v>182</v>
      </c>
      <c r="AA1321" s="416">
        <v>181</v>
      </c>
      <c r="AB1321" s="416">
        <v>181</v>
      </c>
      <c r="AC1321" s="416">
        <v>181</v>
      </c>
      <c r="AD1321" s="416">
        <v>181</v>
      </c>
      <c r="AE1321" s="416">
        <v>0</v>
      </c>
      <c r="AF1321" s="416">
        <v>0</v>
      </c>
      <c r="AG1321" s="416">
        <v>0</v>
      </c>
      <c r="AH1321" s="416">
        <v>0</v>
      </c>
      <c r="AI1321" s="416">
        <v>0</v>
      </c>
      <c r="AJ1321" s="416">
        <v>0</v>
      </c>
      <c r="AK1321" s="416">
        <v>0</v>
      </c>
      <c r="AL1321" s="416">
        <v>0</v>
      </c>
      <c r="AM1321" s="416">
        <v>0</v>
      </c>
      <c r="AN1321" s="416">
        <v>0</v>
      </c>
      <c r="AO1321" s="416">
        <v>0</v>
      </c>
      <c r="AP1321" s="416">
        <v>0</v>
      </c>
      <c r="AQ1321" s="416">
        <v>0</v>
      </c>
      <c r="AR1321" s="416">
        <v>0</v>
      </c>
      <c r="AS1321" s="416">
        <v>0</v>
      </c>
      <c r="AT1321" s="416">
        <v>0</v>
      </c>
      <c r="AU1321" s="416">
        <v>0</v>
      </c>
      <c r="AV1321" s="416">
        <v>0</v>
      </c>
      <c r="AW1321" s="416">
        <v>0</v>
      </c>
      <c r="AX1321" s="416">
        <v>0</v>
      </c>
      <c r="AY1321" s="416">
        <v>0</v>
      </c>
      <c r="AZ1321" s="416">
        <v>0</v>
      </c>
    </row>
    <row r="1322" spans="1:52" x14ac:dyDescent="0.25">
      <c r="A1322" s="415" t="str">
        <f t="shared" si="20"/>
        <v>SA-790 Gr.0</v>
      </c>
      <c r="B1322" s="415">
        <v>1316</v>
      </c>
      <c r="C1322" s="415" t="s">
        <v>3459</v>
      </c>
      <c r="D1322" s="415" t="s">
        <v>2680</v>
      </c>
      <c r="E1322" s="415" t="s">
        <v>2324</v>
      </c>
      <c r="F1322" s="415">
        <v>0</v>
      </c>
      <c r="G1322" s="415" t="s">
        <v>3460</v>
      </c>
      <c r="H1322" s="415">
        <v>0</v>
      </c>
      <c r="I1322" s="415">
        <v>0</v>
      </c>
      <c r="J1322" s="415" t="s">
        <v>3276</v>
      </c>
      <c r="K1322" s="415">
        <v>1</v>
      </c>
      <c r="L1322" s="415">
        <v>690</v>
      </c>
      <c r="M1322" s="415">
        <v>450</v>
      </c>
      <c r="N1322" s="415" t="s">
        <v>2675</v>
      </c>
      <c r="O1322" s="415" t="s">
        <v>2675</v>
      </c>
      <c r="P1322" s="415">
        <v>343</v>
      </c>
      <c r="Q1322" s="415">
        <v>343</v>
      </c>
      <c r="R1322" s="415" t="s">
        <v>3061</v>
      </c>
      <c r="S1322" s="415" t="s">
        <v>3053</v>
      </c>
      <c r="T1322" s="416">
        <v>168</v>
      </c>
      <c r="U1322" s="416">
        <v>168</v>
      </c>
      <c r="V1322" s="416">
        <v>168</v>
      </c>
      <c r="W1322" s="416">
        <v>167</v>
      </c>
      <c r="X1322" s="416">
        <v>163</v>
      </c>
      <c r="Y1322" s="416">
        <v>158</v>
      </c>
      <c r="Z1322" s="416">
        <v>155</v>
      </c>
      <c r="AA1322" s="416">
        <v>155</v>
      </c>
      <c r="AB1322" s="416">
        <v>154</v>
      </c>
      <c r="AC1322" s="416">
        <v>154</v>
      </c>
      <c r="AD1322" s="416">
        <v>154</v>
      </c>
      <c r="AE1322" s="416">
        <v>0</v>
      </c>
      <c r="AF1322" s="416">
        <v>0</v>
      </c>
      <c r="AG1322" s="416">
        <v>0</v>
      </c>
      <c r="AH1322" s="416">
        <v>0</v>
      </c>
      <c r="AI1322" s="416">
        <v>0</v>
      </c>
      <c r="AJ1322" s="416">
        <v>0</v>
      </c>
      <c r="AK1322" s="416">
        <v>0</v>
      </c>
      <c r="AL1322" s="416">
        <v>0</v>
      </c>
      <c r="AM1322" s="416">
        <v>0</v>
      </c>
      <c r="AN1322" s="416">
        <v>0</v>
      </c>
      <c r="AO1322" s="416">
        <v>0</v>
      </c>
      <c r="AP1322" s="416">
        <v>0</v>
      </c>
      <c r="AQ1322" s="416">
        <v>0</v>
      </c>
      <c r="AR1322" s="416">
        <v>0</v>
      </c>
      <c r="AS1322" s="416">
        <v>0</v>
      </c>
      <c r="AT1322" s="416">
        <v>0</v>
      </c>
      <c r="AU1322" s="416">
        <v>0</v>
      </c>
      <c r="AV1322" s="416">
        <v>0</v>
      </c>
      <c r="AW1322" s="416">
        <v>0</v>
      </c>
      <c r="AX1322" s="416">
        <v>0</v>
      </c>
      <c r="AY1322" s="416">
        <v>0</v>
      </c>
      <c r="AZ1322" s="416">
        <v>0</v>
      </c>
    </row>
    <row r="1323" spans="1:52" x14ac:dyDescent="0.25">
      <c r="A1323" s="415" t="str">
        <f t="shared" si="20"/>
        <v>SA-240 Gr.0</v>
      </c>
      <c r="B1323" s="415">
        <v>1317</v>
      </c>
      <c r="C1323" s="415" t="s">
        <v>3459</v>
      </c>
      <c r="D1323" s="415" t="s">
        <v>2684</v>
      </c>
      <c r="E1323" s="415" t="s">
        <v>2165</v>
      </c>
      <c r="F1323" s="415">
        <v>0</v>
      </c>
      <c r="G1323" s="415" t="s">
        <v>3460</v>
      </c>
      <c r="H1323" s="415">
        <v>0</v>
      </c>
      <c r="I1323" s="415">
        <v>0</v>
      </c>
      <c r="J1323" s="415" t="s">
        <v>3276</v>
      </c>
      <c r="K1323" s="415">
        <v>1</v>
      </c>
      <c r="L1323" s="415">
        <v>690</v>
      </c>
      <c r="M1323" s="415">
        <v>485</v>
      </c>
      <c r="N1323" s="415" t="s">
        <v>2675</v>
      </c>
      <c r="O1323" s="415" t="s">
        <v>2675</v>
      </c>
      <c r="P1323" s="415">
        <v>343</v>
      </c>
      <c r="Q1323" s="415">
        <v>343</v>
      </c>
      <c r="R1323" s="415" t="s">
        <v>3061</v>
      </c>
      <c r="S1323" s="415" t="s">
        <v>3012</v>
      </c>
      <c r="T1323" s="416">
        <v>197</v>
      </c>
      <c r="U1323" s="416">
        <v>197</v>
      </c>
      <c r="V1323" s="416">
        <v>197</v>
      </c>
      <c r="W1323" s="416">
        <v>196</v>
      </c>
      <c r="X1323" s="416">
        <v>192</v>
      </c>
      <c r="Y1323" s="416">
        <v>187</v>
      </c>
      <c r="Z1323" s="416">
        <v>182</v>
      </c>
      <c r="AA1323" s="416">
        <v>181</v>
      </c>
      <c r="AB1323" s="416">
        <v>181</v>
      </c>
      <c r="AC1323" s="416">
        <v>181</v>
      </c>
      <c r="AD1323" s="416">
        <v>181</v>
      </c>
      <c r="AE1323" s="416">
        <v>0</v>
      </c>
      <c r="AF1323" s="416">
        <v>0</v>
      </c>
      <c r="AG1323" s="416">
        <v>0</v>
      </c>
      <c r="AH1323" s="416">
        <v>0</v>
      </c>
      <c r="AI1323" s="416">
        <v>0</v>
      </c>
      <c r="AJ1323" s="416">
        <v>0</v>
      </c>
      <c r="AK1323" s="416">
        <v>0</v>
      </c>
      <c r="AL1323" s="416">
        <v>0</v>
      </c>
      <c r="AM1323" s="416">
        <v>0</v>
      </c>
      <c r="AN1323" s="416">
        <v>0</v>
      </c>
      <c r="AO1323" s="416">
        <v>0</v>
      </c>
      <c r="AP1323" s="416">
        <v>0</v>
      </c>
      <c r="AQ1323" s="416">
        <v>0</v>
      </c>
      <c r="AR1323" s="416">
        <v>0</v>
      </c>
      <c r="AS1323" s="416">
        <v>0</v>
      </c>
      <c r="AT1323" s="416">
        <v>0</v>
      </c>
      <c r="AU1323" s="416">
        <v>0</v>
      </c>
      <c r="AV1323" s="416">
        <v>0</v>
      </c>
      <c r="AW1323" s="416">
        <v>0</v>
      </c>
      <c r="AX1323" s="416">
        <v>0</v>
      </c>
      <c r="AY1323" s="416">
        <v>0</v>
      </c>
      <c r="AZ1323" s="416">
        <v>0</v>
      </c>
    </row>
    <row r="1324" spans="1:52" x14ac:dyDescent="0.25">
      <c r="A1324" s="415" t="str">
        <f t="shared" si="20"/>
        <v>SA-182 Gr.F54</v>
      </c>
      <c r="B1324" s="415">
        <v>1318</v>
      </c>
      <c r="C1324" s="415" t="s">
        <v>3461</v>
      </c>
      <c r="D1324" s="415" t="s">
        <v>2737</v>
      </c>
      <c r="E1324" s="415" t="s">
        <v>2188</v>
      </c>
      <c r="F1324" s="415" t="s">
        <v>2458</v>
      </c>
      <c r="G1324" s="415" t="s">
        <v>3462</v>
      </c>
      <c r="H1324" s="415">
        <v>0</v>
      </c>
      <c r="I1324" s="415">
        <v>0</v>
      </c>
      <c r="J1324" s="415" t="s">
        <v>3276</v>
      </c>
      <c r="K1324" s="415">
        <v>1</v>
      </c>
      <c r="L1324" s="415">
        <v>800</v>
      </c>
      <c r="M1324" s="415">
        <v>550</v>
      </c>
      <c r="N1324" s="415" t="s">
        <v>2675</v>
      </c>
      <c r="O1324" s="415" t="s">
        <v>2675</v>
      </c>
      <c r="P1324" s="415">
        <v>329</v>
      </c>
      <c r="Q1324" s="415">
        <v>329</v>
      </c>
      <c r="R1324" s="415" t="s">
        <v>3463</v>
      </c>
      <c r="S1324" s="415" t="s">
        <v>3012</v>
      </c>
      <c r="T1324" s="416">
        <v>229</v>
      </c>
      <c r="U1324" s="416">
        <v>229</v>
      </c>
      <c r="V1324" s="416">
        <v>229</v>
      </c>
      <c r="W1324" s="416">
        <v>227</v>
      </c>
      <c r="X1324" s="416">
        <v>221</v>
      </c>
      <c r="Y1324" s="416">
        <v>218</v>
      </c>
      <c r="Z1324" s="416">
        <v>216</v>
      </c>
      <c r="AA1324" s="416">
        <v>216</v>
      </c>
      <c r="AB1324" s="416">
        <v>216</v>
      </c>
      <c r="AC1324" s="416">
        <v>216</v>
      </c>
      <c r="AD1324" s="416">
        <v>216</v>
      </c>
      <c r="AE1324" s="416">
        <v>0</v>
      </c>
      <c r="AF1324" s="416">
        <v>0</v>
      </c>
      <c r="AG1324" s="416">
        <v>0</v>
      </c>
      <c r="AH1324" s="416">
        <v>0</v>
      </c>
      <c r="AI1324" s="416">
        <v>0</v>
      </c>
      <c r="AJ1324" s="416">
        <v>0</v>
      </c>
      <c r="AK1324" s="416">
        <v>0</v>
      </c>
      <c r="AL1324" s="416">
        <v>0</v>
      </c>
      <c r="AM1324" s="416">
        <v>0</v>
      </c>
      <c r="AN1324" s="416">
        <v>0</v>
      </c>
      <c r="AO1324" s="416">
        <v>0</v>
      </c>
      <c r="AP1324" s="416">
        <v>0</v>
      </c>
      <c r="AQ1324" s="416">
        <v>0</v>
      </c>
      <c r="AR1324" s="416">
        <v>0</v>
      </c>
      <c r="AS1324" s="416">
        <v>0</v>
      </c>
      <c r="AT1324" s="416">
        <v>0</v>
      </c>
      <c r="AU1324" s="416">
        <v>0</v>
      </c>
      <c r="AV1324" s="416">
        <v>0</v>
      </c>
      <c r="AW1324" s="416">
        <v>0</v>
      </c>
      <c r="AX1324" s="416">
        <v>0</v>
      </c>
      <c r="AY1324" s="416">
        <v>0</v>
      </c>
      <c r="AZ1324" s="416">
        <v>0</v>
      </c>
    </row>
    <row r="1325" spans="1:52" x14ac:dyDescent="0.25">
      <c r="A1325" s="415" t="str">
        <f t="shared" si="20"/>
        <v>SA-789 Gr.0</v>
      </c>
      <c r="B1325" s="415">
        <v>1319</v>
      </c>
      <c r="C1325" s="415" t="s">
        <v>3461</v>
      </c>
      <c r="D1325" s="415" t="s">
        <v>2693</v>
      </c>
      <c r="E1325" s="415" t="s">
        <v>2322</v>
      </c>
      <c r="F1325" s="415">
        <v>0</v>
      </c>
      <c r="G1325" s="415" t="s">
        <v>3462</v>
      </c>
      <c r="H1325" s="415">
        <v>0</v>
      </c>
      <c r="I1325" s="415">
        <v>0</v>
      </c>
      <c r="J1325" s="415" t="s">
        <v>3276</v>
      </c>
      <c r="K1325" s="415">
        <v>1</v>
      </c>
      <c r="L1325" s="415">
        <v>800</v>
      </c>
      <c r="M1325" s="415">
        <v>550</v>
      </c>
      <c r="N1325" s="415" t="s">
        <v>2675</v>
      </c>
      <c r="O1325" s="415" t="s">
        <v>2675</v>
      </c>
      <c r="P1325" s="415">
        <v>329</v>
      </c>
      <c r="Q1325" s="415">
        <v>329</v>
      </c>
      <c r="R1325" s="415" t="s">
        <v>3463</v>
      </c>
      <c r="S1325" s="415" t="s">
        <v>3012</v>
      </c>
      <c r="T1325" s="416">
        <v>229</v>
      </c>
      <c r="U1325" s="416">
        <v>229</v>
      </c>
      <c r="V1325" s="416">
        <v>229</v>
      </c>
      <c r="W1325" s="416">
        <v>227</v>
      </c>
      <c r="X1325" s="416">
        <v>221</v>
      </c>
      <c r="Y1325" s="416">
        <v>218</v>
      </c>
      <c r="Z1325" s="416">
        <v>216</v>
      </c>
      <c r="AA1325" s="416">
        <v>216</v>
      </c>
      <c r="AB1325" s="416">
        <v>216</v>
      </c>
      <c r="AC1325" s="416">
        <v>216</v>
      </c>
      <c r="AD1325" s="416">
        <v>216</v>
      </c>
      <c r="AE1325" s="416">
        <v>0</v>
      </c>
      <c r="AF1325" s="416">
        <v>0</v>
      </c>
      <c r="AG1325" s="416">
        <v>0</v>
      </c>
      <c r="AH1325" s="416">
        <v>0</v>
      </c>
      <c r="AI1325" s="416">
        <v>0</v>
      </c>
      <c r="AJ1325" s="416">
        <v>0</v>
      </c>
      <c r="AK1325" s="416">
        <v>0</v>
      </c>
      <c r="AL1325" s="416">
        <v>0</v>
      </c>
      <c r="AM1325" s="416">
        <v>0</v>
      </c>
      <c r="AN1325" s="416">
        <v>0</v>
      </c>
      <c r="AO1325" s="416">
        <v>0</v>
      </c>
      <c r="AP1325" s="416">
        <v>0</v>
      </c>
      <c r="AQ1325" s="416">
        <v>0</v>
      </c>
      <c r="AR1325" s="416">
        <v>0</v>
      </c>
      <c r="AS1325" s="416">
        <v>0</v>
      </c>
      <c r="AT1325" s="416">
        <v>0</v>
      </c>
      <c r="AU1325" s="416">
        <v>0</v>
      </c>
      <c r="AV1325" s="416">
        <v>0</v>
      </c>
      <c r="AW1325" s="416">
        <v>0</v>
      </c>
      <c r="AX1325" s="416">
        <v>0</v>
      </c>
      <c r="AY1325" s="416">
        <v>0</v>
      </c>
      <c r="AZ1325" s="416">
        <v>0</v>
      </c>
    </row>
    <row r="1326" spans="1:52" x14ac:dyDescent="0.25">
      <c r="A1326" s="415" t="str">
        <f t="shared" si="20"/>
        <v>SA-789 Gr.0</v>
      </c>
      <c r="B1326" s="415">
        <v>1320</v>
      </c>
      <c r="C1326" s="415" t="s">
        <v>3461</v>
      </c>
      <c r="D1326" s="415" t="s">
        <v>2689</v>
      </c>
      <c r="E1326" s="415" t="s">
        <v>2322</v>
      </c>
      <c r="F1326" s="415">
        <v>0</v>
      </c>
      <c r="G1326" s="415" t="s">
        <v>3462</v>
      </c>
      <c r="H1326" s="415">
        <v>0</v>
      </c>
      <c r="I1326" s="415">
        <v>0</v>
      </c>
      <c r="J1326" s="415" t="s">
        <v>3276</v>
      </c>
      <c r="K1326" s="415">
        <v>1</v>
      </c>
      <c r="L1326" s="415">
        <v>800</v>
      </c>
      <c r="M1326" s="415">
        <v>550</v>
      </c>
      <c r="N1326" s="415" t="s">
        <v>2675</v>
      </c>
      <c r="O1326" s="415" t="s">
        <v>2675</v>
      </c>
      <c r="P1326" s="415">
        <v>329</v>
      </c>
      <c r="Q1326" s="415">
        <v>329</v>
      </c>
      <c r="R1326" s="415" t="s">
        <v>3463</v>
      </c>
      <c r="S1326" s="415" t="s">
        <v>3053</v>
      </c>
      <c r="T1326" s="416">
        <v>194</v>
      </c>
      <c r="U1326" s="416">
        <v>194</v>
      </c>
      <c r="V1326" s="416">
        <v>194</v>
      </c>
      <c r="W1326" s="416">
        <v>193</v>
      </c>
      <c r="X1326" s="416">
        <v>188</v>
      </c>
      <c r="Y1326" s="416">
        <v>185</v>
      </c>
      <c r="Z1326" s="416">
        <v>184</v>
      </c>
      <c r="AA1326" s="416">
        <v>184</v>
      </c>
      <c r="AB1326" s="416">
        <v>184</v>
      </c>
      <c r="AC1326" s="416">
        <v>184</v>
      </c>
      <c r="AD1326" s="416">
        <v>184</v>
      </c>
      <c r="AE1326" s="416">
        <v>0</v>
      </c>
      <c r="AF1326" s="416">
        <v>0</v>
      </c>
      <c r="AG1326" s="416">
        <v>0</v>
      </c>
      <c r="AH1326" s="416">
        <v>0</v>
      </c>
      <c r="AI1326" s="416">
        <v>0</v>
      </c>
      <c r="AJ1326" s="416">
        <v>0</v>
      </c>
      <c r="AK1326" s="416">
        <v>0</v>
      </c>
      <c r="AL1326" s="416">
        <v>0</v>
      </c>
      <c r="AM1326" s="416">
        <v>0</v>
      </c>
      <c r="AN1326" s="416">
        <v>0</v>
      </c>
      <c r="AO1326" s="416">
        <v>0</v>
      </c>
      <c r="AP1326" s="416">
        <v>0</v>
      </c>
      <c r="AQ1326" s="416">
        <v>0</v>
      </c>
      <c r="AR1326" s="416">
        <v>0</v>
      </c>
      <c r="AS1326" s="416">
        <v>0</v>
      </c>
      <c r="AT1326" s="416">
        <v>0</v>
      </c>
      <c r="AU1326" s="416">
        <v>0</v>
      </c>
      <c r="AV1326" s="416">
        <v>0</v>
      </c>
      <c r="AW1326" s="416">
        <v>0</v>
      </c>
      <c r="AX1326" s="416">
        <v>0</v>
      </c>
      <c r="AY1326" s="416">
        <v>0</v>
      </c>
      <c r="AZ1326" s="416">
        <v>0</v>
      </c>
    </row>
    <row r="1327" spans="1:52" x14ac:dyDescent="0.25">
      <c r="A1327" s="415" t="str">
        <f t="shared" si="20"/>
        <v>SA-790 Gr.0</v>
      </c>
      <c r="B1327" s="415">
        <v>1321</v>
      </c>
      <c r="C1327" s="415" t="s">
        <v>3461</v>
      </c>
      <c r="D1327" s="415" t="s">
        <v>2703</v>
      </c>
      <c r="E1327" s="415" t="s">
        <v>2324</v>
      </c>
      <c r="F1327" s="415">
        <v>0</v>
      </c>
      <c r="G1327" s="415" t="s">
        <v>3462</v>
      </c>
      <c r="H1327" s="415">
        <v>0</v>
      </c>
      <c r="I1327" s="415">
        <v>0</v>
      </c>
      <c r="J1327" s="415" t="s">
        <v>3276</v>
      </c>
      <c r="K1327" s="415">
        <v>1</v>
      </c>
      <c r="L1327" s="415">
        <v>800</v>
      </c>
      <c r="M1327" s="415">
        <v>550</v>
      </c>
      <c r="N1327" s="415" t="s">
        <v>2675</v>
      </c>
      <c r="O1327" s="415" t="s">
        <v>2675</v>
      </c>
      <c r="P1327" s="415">
        <v>329</v>
      </c>
      <c r="Q1327" s="415">
        <v>329</v>
      </c>
      <c r="R1327" s="415" t="s">
        <v>3463</v>
      </c>
      <c r="S1327" s="415" t="s">
        <v>3012</v>
      </c>
      <c r="T1327" s="416">
        <v>229</v>
      </c>
      <c r="U1327" s="416">
        <v>229</v>
      </c>
      <c r="V1327" s="416">
        <v>229</v>
      </c>
      <c r="W1327" s="416">
        <v>227</v>
      </c>
      <c r="X1327" s="416">
        <v>221</v>
      </c>
      <c r="Y1327" s="416">
        <v>218</v>
      </c>
      <c r="Z1327" s="416">
        <v>216</v>
      </c>
      <c r="AA1327" s="416">
        <v>216</v>
      </c>
      <c r="AB1327" s="416">
        <v>216</v>
      </c>
      <c r="AC1327" s="416">
        <v>216</v>
      </c>
      <c r="AD1327" s="416">
        <v>216</v>
      </c>
      <c r="AE1327" s="416">
        <v>0</v>
      </c>
      <c r="AF1327" s="416">
        <v>0</v>
      </c>
      <c r="AG1327" s="416">
        <v>0</v>
      </c>
      <c r="AH1327" s="416">
        <v>0</v>
      </c>
      <c r="AI1327" s="416">
        <v>0</v>
      </c>
      <c r="AJ1327" s="416">
        <v>0</v>
      </c>
      <c r="AK1327" s="416">
        <v>0</v>
      </c>
      <c r="AL1327" s="416">
        <v>0</v>
      </c>
      <c r="AM1327" s="416">
        <v>0</v>
      </c>
      <c r="AN1327" s="416">
        <v>0</v>
      </c>
      <c r="AO1327" s="416">
        <v>0</v>
      </c>
      <c r="AP1327" s="416">
        <v>0</v>
      </c>
      <c r="AQ1327" s="416">
        <v>0</v>
      </c>
      <c r="AR1327" s="416">
        <v>0</v>
      </c>
      <c r="AS1327" s="416">
        <v>0</v>
      </c>
      <c r="AT1327" s="416">
        <v>0</v>
      </c>
      <c r="AU1327" s="416">
        <v>0</v>
      </c>
      <c r="AV1327" s="416">
        <v>0</v>
      </c>
      <c r="AW1327" s="416">
        <v>0</v>
      </c>
      <c r="AX1327" s="416">
        <v>0</v>
      </c>
      <c r="AY1327" s="416">
        <v>0</v>
      </c>
      <c r="AZ1327" s="416">
        <v>0</v>
      </c>
    </row>
    <row r="1328" spans="1:52" x14ac:dyDescent="0.25">
      <c r="A1328" s="415" t="str">
        <f t="shared" si="20"/>
        <v>SA-790 Gr.0</v>
      </c>
      <c r="B1328" s="415">
        <v>1322</v>
      </c>
      <c r="C1328" s="415" t="s">
        <v>3461</v>
      </c>
      <c r="D1328" s="415" t="s">
        <v>2680</v>
      </c>
      <c r="E1328" s="415" t="s">
        <v>2324</v>
      </c>
      <c r="F1328" s="415">
        <v>0</v>
      </c>
      <c r="G1328" s="415" t="s">
        <v>3462</v>
      </c>
      <c r="H1328" s="415">
        <v>0</v>
      </c>
      <c r="I1328" s="415">
        <v>0</v>
      </c>
      <c r="J1328" s="415" t="s">
        <v>3276</v>
      </c>
      <c r="K1328" s="415">
        <v>1</v>
      </c>
      <c r="L1328" s="415">
        <v>800</v>
      </c>
      <c r="M1328" s="415">
        <v>550</v>
      </c>
      <c r="N1328" s="415" t="s">
        <v>2675</v>
      </c>
      <c r="O1328" s="415" t="s">
        <v>2675</v>
      </c>
      <c r="P1328" s="415">
        <v>329</v>
      </c>
      <c r="Q1328" s="415">
        <v>329</v>
      </c>
      <c r="R1328" s="415" t="s">
        <v>3463</v>
      </c>
      <c r="S1328" s="415" t="s">
        <v>3053</v>
      </c>
      <c r="T1328" s="416">
        <v>194</v>
      </c>
      <c r="U1328" s="416">
        <v>194</v>
      </c>
      <c r="V1328" s="416">
        <v>194</v>
      </c>
      <c r="W1328" s="416">
        <v>193</v>
      </c>
      <c r="X1328" s="416">
        <v>188</v>
      </c>
      <c r="Y1328" s="416">
        <v>185</v>
      </c>
      <c r="Z1328" s="416">
        <v>184</v>
      </c>
      <c r="AA1328" s="416">
        <v>184</v>
      </c>
      <c r="AB1328" s="416">
        <v>184</v>
      </c>
      <c r="AC1328" s="416">
        <v>184</v>
      </c>
      <c r="AD1328" s="416">
        <v>184</v>
      </c>
      <c r="AE1328" s="416">
        <v>0</v>
      </c>
      <c r="AF1328" s="416">
        <v>0</v>
      </c>
      <c r="AG1328" s="416">
        <v>0</v>
      </c>
      <c r="AH1328" s="416">
        <v>0</v>
      </c>
      <c r="AI1328" s="416">
        <v>0</v>
      </c>
      <c r="AJ1328" s="416">
        <v>0</v>
      </c>
      <c r="AK1328" s="416">
        <v>0</v>
      </c>
      <c r="AL1328" s="416">
        <v>0</v>
      </c>
      <c r="AM1328" s="416">
        <v>0</v>
      </c>
      <c r="AN1328" s="416">
        <v>0</v>
      </c>
      <c r="AO1328" s="416">
        <v>0</v>
      </c>
      <c r="AP1328" s="416">
        <v>0</v>
      </c>
      <c r="AQ1328" s="416">
        <v>0</v>
      </c>
      <c r="AR1328" s="416">
        <v>0</v>
      </c>
      <c r="AS1328" s="416">
        <v>0</v>
      </c>
      <c r="AT1328" s="416">
        <v>0</v>
      </c>
      <c r="AU1328" s="416">
        <v>0</v>
      </c>
      <c r="AV1328" s="416">
        <v>0</v>
      </c>
      <c r="AW1328" s="416">
        <v>0</v>
      </c>
      <c r="AX1328" s="416">
        <v>0</v>
      </c>
      <c r="AY1328" s="416">
        <v>0</v>
      </c>
      <c r="AZ1328" s="416">
        <v>0</v>
      </c>
    </row>
    <row r="1329" spans="1:52" x14ac:dyDescent="0.25">
      <c r="A1329" s="415" t="str">
        <f t="shared" si="20"/>
        <v>SA-182 Gr.F53</v>
      </c>
      <c r="B1329" s="415">
        <v>1323</v>
      </c>
      <c r="C1329" s="415" t="s">
        <v>3464</v>
      </c>
      <c r="D1329" s="415" t="s">
        <v>2737</v>
      </c>
      <c r="E1329" s="415" t="s">
        <v>2188</v>
      </c>
      <c r="F1329" s="415" t="s">
        <v>2457</v>
      </c>
      <c r="G1329" s="415" t="s">
        <v>3465</v>
      </c>
      <c r="H1329" s="415">
        <v>0</v>
      </c>
      <c r="I1329" s="415">
        <v>0</v>
      </c>
      <c r="J1329" s="415" t="s">
        <v>3276</v>
      </c>
      <c r="K1329" s="415">
        <v>1</v>
      </c>
      <c r="L1329" s="415">
        <v>800</v>
      </c>
      <c r="M1329" s="415">
        <v>550</v>
      </c>
      <c r="N1329" s="415" t="s">
        <v>2675</v>
      </c>
      <c r="O1329" s="415" t="s">
        <v>2675</v>
      </c>
      <c r="P1329" s="415">
        <v>316</v>
      </c>
      <c r="Q1329" s="415" t="s">
        <v>2675</v>
      </c>
      <c r="R1329" s="415" t="s">
        <v>3061</v>
      </c>
      <c r="S1329" s="415" t="s">
        <v>3012</v>
      </c>
      <c r="T1329" s="416">
        <v>228</v>
      </c>
      <c r="U1329" s="416">
        <v>228</v>
      </c>
      <c r="V1329" s="416">
        <v>228</v>
      </c>
      <c r="W1329" s="416">
        <v>227</v>
      </c>
      <c r="X1329" s="416">
        <v>221</v>
      </c>
      <c r="Y1329" s="416">
        <v>215</v>
      </c>
      <c r="Z1329" s="416">
        <v>208</v>
      </c>
      <c r="AA1329" s="416">
        <v>205</v>
      </c>
      <c r="AB1329" s="416">
        <v>203</v>
      </c>
      <c r="AC1329" s="416">
        <v>202</v>
      </c>
      <c r="AD1329" s="416">
        <v>0</v>
      </c>
      <c r="AE1329" s="416">
        <v>0</v>
      </c>
      <c r="AF1329" s="416">
        <v>0</v>
      </c>
      <c r="AG1329" s="416">
        <v>0</v>
      </c>
      <c r="AH1329" s="416">
        <v>0</v>
      </c>
      <c r="AI1329" s="416">
        <v>0</v>
      </c>
      <c r="AJ1329" s="416">
        <v>0</v>
      </c>
      <c r="AK1329" s="416">
        <v>0</v>
      </c>
      <c r="AL1329" s="416">
        <v>0</v>
      </c>
      <c r="AM1329" s="416">
        <v>0</v>
      </c>
      <c r="AN1329" s="416">
        <v>0</v>
      </c>
      <c r="AO1329" s="416">
        <v>0</v>
      </c>
      <c r="AP1329" s="416">
        <v>0</v>
      </c>
      <c r="AQ1329" s="416">
        <v>0</v>
      </c>
      <c r="AR1329" s="416">
        <v>0</v>
      </c>
      <c r="AS1329" s="416">
        <v>0</v>
      </c>
      <c r="AT1329" s="416">
        <v>0</v>
      </c>
      <c r="AU1329" s="416">
        <v>0</v>
      </c>
      <c r="AV1329" s="416">
        <v>0</v>
      </c>
      <c r="AW1329" s="416">
        <v>0</v>
      </c>
      <c r="AX1329" s="416">
        <v>0</v>
      </c>
      <c r="AY1329" s="416">
        <v>0</v>
      </c>
      <c r="AZ1329" s="416">
        <v>0</v>
      </c>
    </row>
    <row r="1330" spans="1:52" x14ac:dyDescent="0.25">
      <c r="A1330" s="415" t="str">
        <f t="shared" si="20"/>
        <v>SA-240 Gr.0</v>
      </c>
      <c r="B1330" s="415">
        <v>1324</v>
      </c>
      <c r="C1330" s="415" t="s">
        <v>3464</v>
      </c>
      <c r="D1330" s="415" t="s">
        <v>2734</v>
      </c>
      <c r="E1330" s="415" t="s">
        <v>2165</v>
      </c>
      <c r="F1330" s="415">
        <v>0</v>
      </c>
      <c r="G1330" s="415" t="s">
        <v>3465</v>
      </c>
      <c r="H1330" s="415">
        <v>0</v>
      </c>
      <c r="I1330" s="415">
        <v>0</v>
      </c>
      <c r="J1330" s="415" t="s">
        <v>3276</v>
      </c>
      <c r="K1330" s="415">
        <v>1</v>
      </c>
      <c r="L1330" s="415">
        <v>800</v>
      </c>
      <c r="M1330" s="415">
        <v>550</v>
      </c>
      <c r="N1330" s="415" t="s">
        <v>2675</v>
      </c>
      <c r="O1330" s="415" t="s">
        <v>2675</v>
      </c>
      <c r="P1330" s="415">
        <v>316</v>
      </c>
      <c r="Q1330" s="415" t="s">
        <v>2675</v>
      </c>
      <c r="R1330" s="415" t="s">
        <v>3061</v>
      </c>
      <c r="S1330" s="415" t="s">
        <v>3012</v>
      </c>
      <c r="T1330" s="416">
        <v>228</v>
      </c>
      <c r="U1330" s="416">
        <v>228</v>
      </c>
      <c r="V1330" s="416">
        <v>228</v>
      </c>
      <c r="W1330" s="416">
        <v>227</v>
      </c>
      <c r="X1330" s="416">
        <v>221</v>
      </c>
      <c r="Y1330" s="416">
        <v>215</v>
      </c>
      <c r="Z1330" s="416">
        <v>208</v>
      </c>
      <c r="AA1330" s="416">
        <v>205</v>
      </c>
      <c r="AB1330" s="416">
        <v>203</v>
      </c>
      <c r="AC1330" s="416">
        <v>202</v>
      </c>
      <c r="AD1330" s="416">
        <v>0</v>
      </c>
      <c r="AE1330" s="416">
        <v>0</v>
      </c>
      <c r="AF1330" s="416">
        <v>0</v>
      </c>
      <c r="AG1330" s="416">
        <v>0</v>
      </c>
      <c r="AH1330" s="416">
        <v>0</v>
      </c>
      <c r="AI1330" s="416">
        <v>0</v>
      </c>
      <c r="AJ1330" s="416">
        <v>0</v>
      </c>
      <c r="AK1330" s="416">
        <v>0</v>
      </c>
      <c r="AL1330" s="416">
        <v>0</v>
      </c>
      <c r="AM1330" s="416">
        <v>0</v>
      </c>
      <c r="AN1330" s="416">
        <v>0</v>
      </c>
      <c r="AO1330" s="416">
        <v>0</v>
      </c>
      <c r="AP1330" s="416">
        <v>0</v>
      </c>
      <c r="AQ1330" s="416">
        <v>0</v>
      </c>
      <c r="AR1330" s="416">
        <v>0</v>
      </c>
      <c r="AS1330" s="416">
        <v>0</v>
      </c>
      <c r="AT1330" s="416">
        <v>0</v>
      </c>
      <c r="AU1330" s="416">
        <v>0</v>
      </c>
      <c r="AV1330" s="416">
        <v>0</v>
      </c>
      <c r="AW1330" s="416">
        <v>0</v>
      </c>
      <c r="AX1330" s="416">
        <v>0</v>
      </c>
      <c r="AY1330" s="416">
        <v>0</v>
      </c>
      <c r="AZ1330" s="416">
        <v>0</v>
      </c>
    </row>
    <row r="1331" spans="1:52" x14ac:dyDescent="0.25">
      <c r="A1331" s="415" t="str">
        <f t="shared" si="20"/>
        <v>SA-789 Gr.0</v>
      </c>
      <c r="B1331" s="415">
        <v>1325</v>
      </c>
      <c r="C1331" s="415" t="s">
        <v>3464</v>
      </c>
      <c r="D1331" s="415" t="s">
        <v>2693</v>
      </c>
      <c r="E1331" s="415" t="s">
        <v>2322</v>
      </c>
      <c r="F1331" s="415">
        <v>0</v>
      </c>
      <c r="G1331" s="415" t="s">
        <v>3465</v>
      </c>
      <c r="H1331" s="415">
        <v>0</v>
      </c>
      <c r="I1331" s="415" t="s">
        <v>2832</v>
      </c>
      <c r="J1331" s="415" t="s">
        <v>3276</v>
      </c>
      <c r="K1331" s="415">
        <v>1</v>
      </c>
      <c r="L1331" s="415">
        <v>800</v>
      </c>
      <c r="M1331" s="415">
        <v>550</v>
      </c>
      <c r="N1331" s="415" t="s">
        <v>2675</v>
      </c>
      <c r="O1331" s="415" t="s">
        <v>2675</v>
      </c>
      <c r="P1331" s="415">
        <v>316</v>
      </c>
      <c r="Q1331" s="415">
        <v>316</v>
      </c>
      <c r="R1331" s="415" t="s">
        <v>3061</v>
      </c>
      <c r="S1331" s="415" t="s">
        <v>3012</v>
      </c>
      <c r="T1331" s="416">
        <v>228</v>
      </c>
      <c r="U1331" s="416">
        <v>228</v>
      </c>
      <c r="V1331" s="416">
        <v>228</v>
      </c>
      <c r="W1331" s="416">
        <v>227</v>
      </c>
      <c r="X1331" s="416">
        <v>221</v>
      </c>
      <c r="Y1331" s="416">
        <v>215</v>
      </c>
      <c r="Z1331" s="416">
        <v>208</v>
      </c>
      <c r="AA1331" s="416">
        <v>205</v>
      </c>
      <c r="AB1331" s="416">
        <v>203</v>
      </c>
      <c r="AC1331" s="416">
        <v>202</v>
      </c>
      <c r="AD1331" s="416">
        <v>0</v>
      </c>
      <c r="AE1331" s="416">
        <v>0</v>
      </c>
      <c r="AF1331" s="416">
        <v>0</v>
      </c>
      <c r="AG1331" s="416">
        <v>0</v>
      </c>
      <c r="AH1331" s="416">
        <v>0</v>
      </c>
      <c r="AI1331" s="416">
        <v>0</v>
      </c>
      <c r="AJ1331" s="416">
        <v>0</v>
      </c>
      <c r="AK1331" s="416">
        <v>0</v>
      </c>
      <c r="AL1331" s="416">
        <v>0</v>
      </c>
      <c r="AM1331" s="416">
        <v>0</v>
      </c>
      <c r="AN1331" s="416">
        <v>0</v>
      </c>
      <c r="AO1331" s="416">
        <v>0</v>
      </c>
      <c r="AP1331" s="416">
        <v>0</v>
      </c>
      <c r="AQ1331" s="416">
        <v>0</v>
      </c>
      <c r="AR1331" s="416">
        <v>0</v>
      </c>
      <c r="AS1331" s="416">
        <v>0</v>
      </c>
      <c r="AT1331" s="416">
        <v>0</v>
      </c>
      <c r="AU1331" s="416">
        <v>0</v>
      </c>
      <c r="AV1331" s="416">
        <v>0</v>
      </c>
      <c r="AW1331" s="416">
        <v>0</v>
      </c>
      <c r="AX1331" s="416">
        <v>0</v>
      </c>
      <c r="AY1331" s="416">
        <v>0</v>
      </c>
      <c r="AZ1331" s="416">
        <v>0</v>
      </c>
    </row>
    <row r="1332" spans="1:52" x14ac:dyDescent="0.25">
      <c r="A1332" s="415" t="str">
        <f t="shared" si="20"/>
        <v>SA-789 Gr.0</v>
      </c>
      <c r="B1332" s="415">
        <v>1326</v>
      </c>
      <c r="C1332" s="415" t="s">
        <v>3464</v>
      </c>
      <c r="D1332" s="415" t="s">
        <v>2689</v>
      </c>
      <c r="E1332" s="415" t="s">
        <v>2322</v>
      </c>
      <c r="F1332" s="415">
        <v>0</v>
      </c>
      <c r="G1332" s="415" t="s">
        <v>3465</v>
      </c>
      <c r="H1332" s="415">
        <v>0</v>
      </c>
      <c r="I1332" s="415" t="s">
        <v>2832</v>
      </c>
      <c r="J1332" s="415" t="s">
        <v>3276</v>
      </c>
      <c r="K1332" s="415">
        <v>1</v>
      </c>
      <c r="L1332" s="415">
        <v>800</v>
      </c>
      <c r="M1332" s="415">
        <v>550</v>
      </c>
      <c r="N1332" s="415" t="s">
        <v>2675</v>
      </c>
      <c r="O1332" s="415" t="s">
        <v>2675</v>
      </c>
      <c r="P1332" s="415">
        <v>316</v>
      </c>
      <c r="Q1332" s="415">
        <v>316</v>
      </c>
      <c r="R1332" s="415" t="s">
        <v>3061</v>
      </c>
      <c r="S1332" s="415" t="s">
        <v>3053</v>
      </c>
      <c r="T1332" s="416">
        <v>194</v>
      </c>
      <c r="U1332" s="416">
        <v>194</v>
      </c>
      <c r="V1332" s="416">
        <v>194</v>
      </c>
      <c r="W1332" s="416">
        <v>192</v>
      </c>
      <c r="X1332" s="416">
        <v>188</v>
      </c>
      <c r="Y1332" s="416">
        <v>183</v>
      </c>
      <c r="Z1332" s="416">
        <v>177</v>
      </c>
      <c r="AA1332" s="416">
        <v>174</v>
      </c>
      <c r="AB1332" s="416">
        <v>173</v>
      </c>
      <c r="AC1332" s="416">
        <v>172</v>
      </c>
      <c r="AD1332" s="416">
        <v>0</v>
      </c>
      <c r="AE1332" s="416">
        <v>0</v>
      </c>
      <c r="AF1332" s="416">
        <v>0</v>
      </c>
      <c r="AG1332" s="416">
        <v>0</v>
      </c>
      <c r="AH1332" s="416">
        <v>0</v>
      </c>
      <c r="AI1332" s="416">
        <v>0</v>
      </c>
      <c r="AJ1332" s="416">
        <v>0</v>
      </c>
      <c r="AK1332" s="416">
        <v>0</v>
      </c>
      <c r="AL1332" s="416">
        <v>0</v>
      </c>
      <c r="AM1332" s="416">
        <v>0</v>
      </c>
      <c r="AN1332" s="416">
        <v>0</v>
      </c>
      <c r="AO1332" s="416">
        <v>0</v>
      </c>
      <c r="AP1332" s="416">
        <v>0</v>
      </c>
      <c r="AQ1332" s="416">
        <v>0</v>
      </c>
      <c r="AR1332" s="416">
        <v>0</v>
      </c>
      <c r="AS1332" s="416">
        <v>0</v>
      </c>
      <c r="AT1332" s="416">
        <v>0</v>
      </c>
      <c r="AU1332" s="416">
        <v>0</v>
      </c>
      <c r="AV1332" s="416">
        <v>0</v>
      </c>
      <c r="AW1332" s="416">
        <v>0</v>
      </c>
      <c r="AX1332" s="416">
        <v>0</v>
      </c>
      <c r="AY1332" s="416">
        <v>0</v>
      </c>
      <c r="AZ1332" s="416">
        <v>0</v>
      </c>
    </row>
    <row r="1333" spans="1:52" x14ac:dyDescent="0.25">
      <c r="A1333" s="415" t="str">
        <f t="shared" si="20"/>
        <v>SA-790 Gr.0</v>
      </c>
      <c r="B1333" s="415">
        <v>1327</v>
      </c>
      <c r="C1333" s="415" t="s">
        <v>3464</v>
      </c>
      <c r="D1333" s="415" t="s">
        <v>2703</v>
      </c>
      <c r="E1333" s="415" t="s">
        <v>2324</v>
      </c>
      <c r="F1333" s="415">
        <v>0</v>
      </c>
      <c r="G1333" s="415" t="s">
        <v>3465</v>
      </c>
      <c r="H1333" s="415">
        <v>0</v>
      </c>
      <c r="I1333" s="415" t="s">
        <v>2832</v>
      </c>
      <c r="J1333" s="415" t="s">
        <v>3276</v>
      </c>
      <c r="K1333" s="415">
        <v>1</v>
      </c>
      <c r="L1333" s="415">
        <v>800</v>
      </c>
      <c r="M1333" s="415">
        <v>550</v>
      </c>
      <c r="N1333" s="415" t="s">
        <v>2675</v>
      </c>
      <c r="O1333" s="415" t="s">
        <v>2675</v>
      </c>
      <c r="P1333" s="415">
        <v>316</v>
      </c>
      <c r="Q1333" s="415">
        <v>316</v>
      </c>
      <c r="R1333" s="415" t="s">
        <v>3061</v>
      </c>
      <c r="S1333" s="415" t="s">
        <v>3012</v>
      </c>
      <c r="T1333" s="416">
        <v>228</v>
      </c>
      <c r="U1333" s="416">
        <v>228</v>
      </c>
      <c r="V1333" s="416">
        <v>228</v>
      </c>
      <c r="W1333" s="416">
        <v>227</v>
      </c>
      <c r="X1333" s="416">
        <v>221</v>
      </c>
      <c r="Y1333" s="416">
        <v>215</v>
      </c>
      <c r="Z1333" s="416">
        <v>208</v>
      </c>
      <c r="AA1333" s="416">
        <v>205</v>
      </c>
      <c r="AB1333" s="416">
        <v>203</v>
      </c>
      <c r="AC1333" s="416">
        <v>202</v>
      </c>
      <c r="AD1333" s="416">
        <v>0</v>
      </c>
      <c r="AE1333" s="416">
        <v>0</v>
      </c>
      <c r="AF1333" s="416">
        <v>0</v>
      </c>
      <c r="AG1333" s="416">
        <v>0</v>
      </c>
      <c r="AH1333" s="416">
        <v>0</v>
      </c>
      <c r="AI1333" s="416">
        <v>0</v>
      </c>
      <c r="AJ1333" s="416">
        <v>0</v>
      </c>
      <c r="AK1333" s="416">
        <v>0</v>
      </c>
      <c r="AL1333" s="416">
        <v>0</v>
      </c>
      <c r="AM1333" s="416">
        <v>0</v>
      </c>
      <c r="AN1333" s="416">
        <v>0</v>
      </c>
      <c r="AO1333" s="416">
        <v>0</v>
      </c>
      <c r="AP1333" s="416">
        <v>0</v>
      </c>
      <c r="AQ1333" s="416">
        <v>0</v>
      </c>
      <c r="AR1333" s="416">
        <v>0</v>
      </c>
      <c r="AS1333" s="416">
        <v>0</v>
      </c>
      <c r="AT1333" s="416">
        <v>0</v>
      </c>
      <c r="AU1333" s="416">
        <v>0</v>
      </c>
      <c r="AV1333" s="416">
        <v>0</v>
      </c>
      <c r="AW1333" s="416">
        <v>0</v>
      </c>
      <c r="AX1333" s="416">
        <v>0</v>
      </c>
      <c r="AY1333" s="416">
        <v>0</v>
      </c>
      <c r="AZ1333" s="416">
        <v>0</v>
      </c>
    </row>
    <row r="1334" spans="1:52" x14ac:dyDescent="0.25">
      <c r="A1334" s="415" t="str">
        <f t="shared" si="20"/>
        <v>SA-790 Gr.0</v>
      </c>
      <c r="B1334" s="415">
        <v>1328</v>
      </c>
      <c r="C1334" s="415" t="s">
        <v>3464</v>
      </c>
      <c r="D1334" s="415" t="s">
        <v>2680</v>
      </c>
      <c r="E1334" s="415" t="s">
        <v>2324</v>
      </c>
      <c r="F1334" s="415">
        <v>0</v>
      </c>
      <c r="G1334" s="415" t="s">
        <v>3465</v>
      </c>
      <c r="H1334" s="415">
        <v>0</v>
      </c>
      <c r="I1334" s="415" t="s">
        <v>2832</v>
      </c>
      <c r="J1334" s="415" t="s">
        <v>3276</v>
      </c>
      <c r="K1334" s="415">
        <v>1</v>
      </c>
      <c r="L1334" s="415">
        <v>800</v>
      </c>
      <c r="M1334" s="415">
        <v>550</v>
      </c>
      <c r="N1334" s="415" t="s">
        <v>2675</v>
      </c>
      <c r="O1334" s="415" t="s">
        <v>2675</v>
      </c>
      <c r="P1334" s="415">
        <v>316</v>
      </c>
      <c r="Q1334" s="415">
        <v>316</v>
      </c>
      <c r="R1334" s="415" t="s">
        <v>3061</v>
      </c>
      <c r="S1334" s="415" t="s">
        <v>3053</v>
      </c>
      <c r="T1334" s="416">
        <v>194</v>
      </c>
      <c r="U1334" s="416">
        <v>194</v>
      </c>
      <c r="V1334" s="416">
        <v>194</v>
      </c>
      <c r="W1334" s="416">
        <v>192</v>
      </c>
      <c r="X1334" s="416">
        <v>188</v>
      </c>
      <c r="Y1334" s="416">
        <v>183</v>
      </c>
      <c r="Z1334" s="416">
        <v>177</v>
      </c>
      <c r="AA1334" s="416">
        <v>174</v>
      </c>
      <c r="AB1334" s="416">
        <v>173</v>
      </c>
      <c r="AC1334" s="416">
        <v>172</v>
      </c>
      <c r="AD1334" s="416">
        <v>0</v>
      </c>
      <c r="AE1334" s="416">
        <v>0</v>
      </c>
      <c r="AF1334" s="416">
        <v>0</v>
      </c>
      <c r="AG1334" s="416">
        <v>0</v>
      </c>
      <c r="AH1334" s="416">
        <v>0</v>
      </c>
      <c r="AI1334" s="416">
        <v>0</v>
      </c>
      <c r="AJ1334" s="416">
        <v>0</v>
      </c>
      <c r="AK1334" s="416">
        <v>0</v>
      </c>
      <c r="AL1334" s="416">
        <v>0</v>
      </c>
      <c r="AM1334" s="416">
        <v>0</v>
      </c>
      <c r="AN1334" s="416">
        <v>0</v>
      </c>
      <c r="AO1334" s="416">
        <v>0</v>
      </c>
      <c r="AP1334" s="416">
        <v>0</v>
      </c>
      <c r="AQ1334" s="416">
        <v>0</v>
      </c>
      <c r="AR1334" s="416">
        <v>0</v>
      </c>
      <c r="AS1334" s="416">
        <v>0</v>
      </c>
      <c r="AT1334" s="416">
        <v>0</v>
      </c>
      <c r="AU1334" s="416">
        <v>0</v>
      </c>
      <c r="AV1334" s="416">
        <v>0</v>
      </c>
      <c r="AW1334" s="416">
        <v>0</v>
      </c>
      <c r="AX1334" s="416">
        <v>0</v>
      </c>
      <c r="AY1334" s="416">
        <v>0</v>
      </c>
      <c r="AZ1334" s="416">
        <v>0</v>
      </c>
    </row>
    <row r="1335" spans="1:52" x14ac:dyDescent="0.25">
      <c r="A1335" s="415" t="str">
        <f t="shared" si="20"/>
        <v>SA-351 Gr.CH8</v>
      </c>
      <c r="B1335" s="415">
        <v>1329</v>
      </c>
      <c r="C1335" s="415" t="s">
        <v>3466</v>
      </c>
      <c r="D1335" s="415" t="s">
        <v>2739</v>
      </c>
      <c r="E1335" s="415" t="s">
        <v>2213</v>
      </c>
      <c r="F1335" s="415" t="s">
        <v>2382</v>
      </c>
      <c r="G1335" s="415" t="s">
        <v>3467</v>
      </c>
      <c r="H1335" s="415">
        <v>0</v>
      </c>
      <c r="I1335" s="415">
        <v>0</v>
      </c>
      <c r="J1335" s="415">
        <v>8</v>
      </c>
      <c r="K1335" s="415">
        <v>2</v>
      </c>
      <c r="L1335" s="415">
        <v>450</v>
      </c>
      <c r="M1335" s="415">
        <v>195</v>
      </c>
      <c r="N1335" s="415" t="s">
        <v>2675</v>
      </c>
      <c r="O1335" s="415">
        <v>427</v>
      </c>
      <c r="P1335" s="415">
        <v>816</v>
      </c>
      <c r="Q1335" s="415">
        <v>343</v>
      </c>
      <c r="R1335" s="415" t="s">
        <v>3279</v>
      </c>
      <c r="S1335" s="415" t="s">
        <v>3468</v>
      </c>
      <c r="T1335" s="416">
        <v>128</v>
      </c>
      <c r="U1335" s="416">
        <v>128</v>
      </c>
      <c r="V1335" s="416">
        <v>123</v>
      </c>
      <c r="W1335" s="416">
        <v>116</v>
      </c>
      <c r="X1335" s="416">
        <v>112</v>
      </c>
      <c r="Y1335" s="416">
        <v>109</v>
      </c>
      <c r="Z1335" s="416">
        <v>106</v>
      </c>
      <c r="AA1335" s="416">
        <v>106</v>
      </c>
      <c r="AB1335" s="416">
        <v>106</v>
      </c>
      <c r="AC1335" s="416">
        <v>106</v>
      </c>
      <c r="AD1335" s="416">
        <v>105</v>
      </c>
      <c r="AE1335" s="416">
        <v>105</v>
      </c>
      <c r="AF1335" s="416">
        <v>103</v>
      </c>
      <c r="AG1335" s="416">
        <v>102</v>
      </c>
      <c r="AH1335" s="416">
        <v>99.8</v>
      </c>
      <c r="AI1335" s="416">
        <v>96.9</v>
      </c>
      <c r="AJ1335" s="416">
        <v>92.7</v>
      </c>
      <c r="AK1335" s="416">
        <v>84.6</v>
      </c>
      <c r="AL1335" s="416">
        <v>68.400000000000006</v>
      </c>
      <c r="AM1335" s="416">
        <v>54.3</v>
      </c>
      <c r="AN1335" s="416">
        <v>42.1</v>
      </c>
      <c r="AO1335" s="416">
        <v>33.200000000000003</v>
      </c>
      <c r="AP1335" s="416">
        <v>25.9</v>
      </c>
      <c r="AQ1335" s="416">
        <v>20.3</v>
      </c>
      <c r="AR1335" s="416">
        <v>16.399999999999999</v>
      </c>
      <c r="AS1335" s="416">
        <v>13.3</v>
      </c>
      <c r="AT1335" s="416">
        <v>10.199999999999999</v>
      </c>
      <c r="AU1335" s="416">
        <v>7.25</v>
      </c>
      <c r="AV1335" s="416">
        <v>5.74</v>
      </c>
      <c r="AW1335" s="416">
        <v>5.33</v>
      </c>
      <c r="AX1335" s="416">
        <v>0</v>
      </c>
      <c r="AY1335" s="416">
        <v>0</v>
      </c>
      <c r="AZ1335" s="416">
        <v>0</v>
      </c>
    </row>
    <row r="1336" spans="1:52" x14ac:dyDescent="0.25">
      <c r="A1336" s="415" t="str">
        <f t="shared" si="20"/>
        <v>SA-351 Gr.CH8</v>
      </c>
      <c r="B1336" s="415">
        <v>1330</v>
      </c>
      <c r="C1336" s="415" t="s">
        <v>3466</v>
      </c>
      <c r="D1336" s="415" t="s">
        <v>2739</v>
      </c>
      <c r="E1336" s="415" t="s">
        <v>2213</v>
      </c>
      <c r="F1336" s="415" t="s">
        <v>2382</v>
      </c>
      <c r="G1336" s="415" t="s">
        <v>3467</v>
      </c>
      <c r="H1336" s="415">
        <v>0</v>
      </c>
      <c r="I1336" s="415">
        <v>0</v>
      </c>
      <c r="J1336" s="415">
        <v>8</v>
      </c>
      <c r="K1336" s="415">
        <v>2</v>
      </c>
      <c r="L1336" s="415">
        <v>450</v>
      </c>
      <c r="M1336" s="415">
        <v>195</v>
      </c>
      <c r="N1336" s="415" t="s">
        <v>2675</v>
      </c>
      <c r="O1336" s="415" t="s">
        <v>2675</v>
      </c>
      <c r="P1336" s="415">
        <v>816</v>
      </c>
      <c r="Q1336" s="415">
        <v>343</v>
      </c>
      <c r="R1336" s="415" t="s">
        <v>3279</v>
      </c>
      <c r="S1336" s="415" t="s">
        <v>3330</v>
      </c>
      <c r="T1336" s="416">
        <v>128</v>
      </c>
      <c r="U1336" s="416">
        <v>128</v>
      </c>
      <c r="V1336" s="416">
        <v>116</v>
      </c>
      <c r="W1336" s="416">
        <v>104</v>
      </c>
      <c r="X1336" s="416">
        <v>99.5</v>
      </c>
      <c r="Y1336" s="416">
        <v>97.1</v>
      </c>
      <c r="Z1336" s="416">
        <v>93.4</v>
      </c>
      <c r="AA1336" s="416">
        <v>90.7</v>
      </c>
      <c r="AB1336" s="416">
        <v>88.5</v>
      </c>
      <c r="AC1336" s="416">
        <v>86.9</v>
      </c>
      <c r="AD1336" s="416">
        <v>85</v>
      </c>
      <c r="AE1336" s="416">
        <v>83.2</v>
      </c>
      <c r="AF1336" s="416">
        <v>81.3</v>
      </c>
      <c r="AG1336" s="416">
        <v>78.8</v>
      </c>
      <c r="AH1336" s="416">
        <v>76.2</v>
      </c>
      <c r="AI1336" s="416">
        <v>74.3</v>
      </c>
      <c r="AJ1336" s="416">
        <v>72</v>
      </c>
      <c r="AK1336" s="416">
        <v>69.5</v>
      </c>
      <c r="AL1336" s="416">
        <v>63.9</v>
      </c>
      <c r="AM1336" s="416">
        <v>54.3</v>
      </c>
      <c r="AN1336" s="416">
        <v>42.1</v>
      </c>
      <c r="AO1336" s="416">
        <v>33.200000000000003</v>
      </c>
      <c r="AP1336" s="416">
        <v>25.9</v>
      </c>
      <c r="AQ1336" s="416">
        <v>20.3</v>
      </c>
      <c r="AR1336" s="416">
        <v>16.399999999999999</v>
      </c>
      <c r="AS1336" s="416">
        <v>13.3</v>
      </c>
      <c r="AT1336" s="416">
        <v>10.199999999999999</v>
      </c>
      <c r="AU1336" s="416">
        <v>7.25</v>
      </c>
      <c r="AV1336" s="416">
        <v>5.74</v>
      </c>
      <c r="AW1336" s="416">
        <v>5.33</v>
      </c>
      <c r="AX1336" s="416">
        <v>0</v>
      </c>
      <c r="AY1336" s="416">
        <v>0</v>
      </c>
      <c r="AZ1336" s="416">
        <v>0</v>
      </c>
    </row>
    <row r="1337" spans="1:52" x14ac:dyDescent="0.25">
      <c r="A1337" s="415" t="str">
        <f t="shared" si="20"/>
        <v>SA-451 Gr.CPH8</v>
      </c>
      <c r="B1337" s="415">
        <v>1331</v>
      </c>
      <c r="C1337" s="415" t="s">
        <v>3466</v>
      </c>
      <c r="D1337" s="415" t="s">
        <v>2746</v>
      </c>
      <c r="E1337" s="415" t="s">
        <v>2241</v>
      </c>
      <c r="F1337" s="415" t="s">
        <v>2410</v>
      </c>
      <c r="G1337" s="415" t="s">
        <v>3467</v>
      </c>
      <c r="H1337" s="415">
        <v>0</v>
      </c>
      <c r="I1337" s="415">
        <v>0</v>
      </c>
      <c r="J1337" s="415">
        <v>8</v>
      </c>
      <c r="K1337" s="415">
        <v>2</v>
      </c>
      <c r="L1337" s="415">
        <v>450</v>
      </c>
      <c r="M1337" s="415">
        <v>195</v>
      </c>
      <c r="N1337" s="415" t="s">
        <v>2675</v>
      </c>
      <c r="O1337" s="415">
        <v>427</v>
      </c>
      <c r="P1337" s="415" t="s">
        <v>2675</v>
      </c>
      <c r="Q1337" s="415" t="s">
        <v>2675</v>
      </c>
      <c r="R1337" s="415" t="s">
        <v>3279</v>
      </c>
      <c r="S1337" s="415" t="s">
        <v>3218</v>
      </c>
      <c r="T1337" s="416">
        <v>128</v>
      </c>
      <c r="U1337" s="416">
        <v>128</v>
      </c>
      <c r="V1337" s="416">
        <v>123</v>
      </c>
      <c r="W1337" s="416">
        <v>116</v>
      </c>
      <c r="X1337" s="416">
        <v>112</v>
      </c>
      <c r="Y1337" s="416">
        <v>109</v>
      </c>
      <c r="Z1337" s="416">
        <v>106</v>
      </c>
      <c r="AA1337" s="416">
        <v>106</v>
      </c>
      <c r="AB1337" s="416">
        <v>106</v>
      </c>
      <c r="AC1337" s="416">
        <v>106</v>
      </c>
      <c r="AD1337" s="416">
        <v>105</v>
      </c>
      <c r="AE1337" s="416">
        <v>105</v>
      </c>
      <c r="AF1337" s="416">
        <v>103</v>
      </c>
      <c r="AG1337" s="416">
        <v>102</v>
      </c>
      <c r="AH1337" s="416">
        <v>99.8</v>
      </c>
      <c r="AI1337" s="416">
        <v>0</v>
      </c>
      <c r="AJ1337" s="416">
        <v>0</v>
      </c>
      <c r="AK1337" s="416">
        <v>0</v>
      </c>
      <c r="AL1337" s="416">
        <v>0</v>
      </c>
      <c r="AM1337" s="416">
        <v>0</v>
      </c>
      <c r="AN1337" s="416">
        <v>0</v>
      </c>
      <c r="AO1337" s="416">
        <v>0</v>
      </c>
      <c r="AP1337" s="416">
        <v>0</v>
      </c>
      <c r="AQ1337" s="416">
        <v>0</v>
      </c>
      <c r="AR1337" s="416">
        <v>0</v>
      </c>
      <c r="AS1337" s="416">
        <v>0</v>
      </c>
      <c r="AT1337" s="416">
        <v>0</v>
      </c>
      <c r="AU1337" s="416">
        <v>0</v>
      </c>
      <c r="AV1337" s="416">
        <v>0</v>
      </c>
      <c r="AW1337" s="416">
        <v>0</v>
      </c>
      <c r="AX1337" s="416">
        <v>0</v>
      </c>
      <c r="AY1337" s="416">
        <v>0</v>
      </c>
      <c r="AZ1337" s="416">
        <v>0</v>
      </c>
    </row>
    <row r="1338" spans="1:52" x14ac:dyDescent="0.25">
      <c r="A1338" s="415" t="str">
        <f t="shared" si="20"/>
        <v>SA-351 Gr.CH20</v>
      </c>
      <c r="B1338" s="415">
        <v>1332</v>
      </c>
      <c r="C1338" s="415" t="s">
        <v>3466</v>
      </c>
      <c r="D1338" s="415" t="s">
        <v>2739</v>
      </c>
      <c r="E1338" s="415" t="s">
        <v>2213</v>
      </c>
      <c r="F1338" s="415" t="s">
        <v>2381</v>
      </c>
      <c r="G1338" s="415" t="s">
        <v>3469</v>
      </c>
      <c r="H1338" s="415">
        <v>0</v>
      </c>
      <c r="I1338" s="415">
        <v>0</v>
      </c>
      <c r="J1338" s="415">
        <v>8</v>
      </c>
      <c r="K1338" s="415">
        <v>2</v>
      </c>
      <c r="L1338" s="415">
        <v>485</v>
      </c>
      <c r="M1338" s="415">
        <v>205</v>
      </c>
      <c r="N1338" s="415" t="s">
        <v>2675</v>
      </c>
      <c r="O1338" s="415">
        <v>427</v>
      </c>
      <c r="P1338" s="415">
        <v>816</v>
      </c>
      <c r="Q1338" s="415">
        <v>343</v>
      </c>
      <c r="R1338" s="415" t="s">
        <v>3069</v>
      </c>
      <c r="S1338" s="415" t="s">
        <v>3470</v>
      </c>
      <c r="T1338" s="416">
        <v>138</v>
      </c>
      <c r="U1338" s="416">
        <v>138</v>
      </c>
      <c r="V1338" s="416">
        <v>132</v>
      </c>
      <c r="W1338" s="416">
        <v>125</v>
      </c>
      <c r="X1338" s="416">
        <v>120</v>
      </c>
      <c r="Y1338" s="416">
        <v>117</v>
      </c>
      <c r="Z1338" s="416">
        <v>114</v>
      </c>
      <c r="AA1338" s="416">
        <v>114</v>
      </c>
      <c r="AB1338" s="416">
        <v>114</v>
      </c>
      <c r="AC1338" s="416">
        <v>114</v>
      </c>
      <c r="AD1338" s="416">
        <v>114</v>
      </c>
      <c r="AE1338" s="416">
        <v>113</v>
      </c>
      <c r="AF1338" s="416">
        <v>112</v>
      </c>
      <c r="AG1338" s="416">
        <v>110</v>
      </c>
      <c r="AH1338" s="416">
        <v>107</v>
      </c>
      <c r="AI1338" s="416">
        <v>104</v>
      </c>
      <c r="AJ1338" s="416">
        <v>100</v>
      </c>
      <c r="AK1338" s="416">
        <v>88.5</v>
      </c>
      <c r="AL1338" s="416">
        <v>68.2</v>
      </c>
      <c r="AM1338" s="416">
        <v>53.7</v>
      </c>
      <c r="AN1338" s="416">
        <v>42.1</v>
      </c>
      <c r="AO1338" s="416">
        <v>33.200000000000003</v>
      </c>
      <c r="AP1338" s="416">
        <v>25.9</v>
      </c>
      <c r="AQ1338" s="416">
        <v>20.3</v>
      </c>
      <c r="AR1338" s="416">
        <v>16.399999999999999</v>
      </c>
      <c r="AS1338" s="416">
        <v>13.3</v>
      </c>
      <c r="AT1338" s="416">
        <v>10.199999999999999</v>
      </c>
      <c r="AU1338" s="416">
        <v>7.25</v>
      </c>
      <c r="AV1338" s="416">
        <v>5.74</v>
      </c>
      <c r="AW1338" s="416">
        <v>5.33</v>
      </c>
      <c r="AX1338" s="416">
        <v>0</v>
      </c>
      <c r="AY1338" s="416">
        <v>0</v>
      </c>
      <c r="AZ1338" s="416">
        <v>0</v>
      </c>
    </row>
    <row r="1339" spans="1:52" x14ac:dyDescent="0.25">
      <c r="A1339" s="415" t="str">
        <f t="shared" si="20"/>
        <v>SA-351 Gr.CH20</v>
      </c>
      <c r="B1339" s="415">
        <v>1333</v>
      </c>
      <c r="C1339" s="415" t="s">
        <v>3466</v>
      </c>
      <c r="D1339" s="415" t="s">
        <v>2739</v>
      </c>
      <c r="E1339" s="415" t="s">
        <v>2213</v>
      </c>
      <c r="F1339" s="415" t="s">
        <v>2381</v>
      </c>
      <c r="G1339" s="415" t="s">
        <v>3469</v>
      </c>
      <c r="H1339" s="415">
        <v>0</v>
      </c>
      <c r="I1339" s="415">
        <v>0</v>
      </c>
      <c r="J1339" s="415">
        <v>8</v>
      </c>
      <c r="K1339" s="415">
        <v>2</v>
      </c>
      <c r="L1339" s="415">
        <v>485</v>
      </c>
      <c r="M1339" s="415">
        <v>205</v>
      </c>
      <c r="N1339" s="415" t="s">
        <v>2675</v>
      </c>
      <c r="O1339" s="415" t="s">
        <v>2675</v>
      </c>
      <c r="P1339" s="415">
        <v>816</v>
      </c>
      <c r="Q1339" s="415">
        <v>343</v>
      </c>
      <c r="R1339" s="415" t="s">
        <v>3069</v>
      </c>
      <c r="S1339" s="415" t="s">
        <v>3471</v>
      </c>
      <c r="T1339" s="416">
        <v>138</v>
      </c>
      <c r="U1339" s="416">
        <v>138</v>
      </c>
      <c r="V1339" s="416">
        <v>124</v>
      </c>
      <c r="W1339" s="416">
        <v>111</v>
      </c>
      <c r="X1339" s="416">
        <v>106</v>
      </c>
      <c r="Y1339" s="416">
        <v>104</v>
      </c>
      <c r="Z1339" s="416">
        <v>100</v>
      </c>
      <c r="AA1339" s="416">
        <v>97.1</v>
      </c>
      <c r="AB1339" s="416">
        <v>94.6</v>
      </c>
      <c r="AC1339" s="416">
        <v>93.2</v>
      </c>
      <c r="AD1339" s="416">
        <v>91</v>
      </c>
      <c r="AE1339" s="416">
        <v>88.6</v>
      </c>
      <c r="AF1339" s="416">
        <v>86.8</v>
      </c>
      <c r="AG1339" s="416">
        <v>84.3</v>
      </c>
      <c r="AH1339" s="416">
        <v>81.8</v>
      </c>
      <c r="AI1339" s="416">
        <v>79.3</v>
      </c>
      <c r="AJ1339" s="416">
        <v>76.8</v>
      </c>
      <c r="AK1339" s="416">
        <v>74.3</v>
      </c>
      <c r="AL1339" s="416">
        <v>68.2</v>
      </c>
      <c r="AM1339" s="416">
        <v>53.7</v>
      </c>
      <c r="AN1339" s="416">
        <v>42.1</v>
      </c>
      <c r="AO1339" s="416">
        <v>33.200000000000003</v>
      </c>
      <c r="AP1339" s="416">
        <v>25.9</v>
      </c>
      <c r="AQ1339" s="416">
        <v>20.3</v>
      </c>
      <c r="AR1339" s="416">
        <v>16.399999999999999</v>
      </c>
      <c r="AS1339" s="416">
        <v>13.3</v>
      </c>
      <c r="AT1339" s="416">
        <v>10.199999999999999</v>
      </c>
      <c r="AU1339" s="416">
        <v>7.25</v>
      </c>
      <c r="AV1339" s="416">
        <v>5.74</v>
      </c>
      <c r="AW1339" s="416">
        <v>5.33</v>
      </c>
      <c r="AX1339" s="416">
        <v>0</v>
      </c>
      <c r="AY1339" s="416">
        <v>0</v>
      </c>
      <c r="AZ1339" s="416">
        <v>0</v>
      </c>
    </row>
    <row r="1340" spans="1:52" x14ac:dyDescent="0.25">
      <c r="A1340" s="415" t="str">
        <f t="shared" si="20"/>
        <v>SA-451 Gr.CPH20</v>
      </c>
      <c r="B1340" s="415">
        <v>1334</v>
      </c>
      <c r="C1340" s="415" t="s">
        <v>3466</v>
      </c>
      <c r="D1340" s="415" t="s">
        <v>2746</v>
      </c>
      <c r="E1340" s="415" t="s">
        <v>2241</v>
      </c>
      <c r="F1340" s="415" t="s">
        <v>2409</v>
      </c>
      <c r="G1340" s="415" t="s">
        <v>3469</v>
      </c>
      <c r="H1340" s="415">
        <v>0</v>
      </c>
      <c r="I1340" s="415">
        <v>0</v>
      </c>
      <c r="J1340" s="415">
        <v>8</v>
      </c>
      <c r="K1340" s="415">
        <v>2</v>
      </c>
      <c r="L1340" s="415">
        <v>485</v>
      </c>
      <c r="M1340" s="415">
        <v>205</v>
      </c>
      <c r="N1340" s="415" t="s">
        <v>2675</v>
      </c>
      <c r="O1340" s="415">
        <v>427</v>
      </c>
      <c r="P1340" s="415" t="s">
        <v>2675</v>
      </c>
      <c r="Q1340" s="415" t="s">
        <v>2675</v>
      </c>
      <c r="R1340" s="415" t="s">
        <v>3069</v>
      </c>
      <c r="S1340" s="415" t="s">
        <v>3472</v>
      </c>
      <c r="T1340" s="416">
        <v>138</v>
      </c>
      <c r="U1340" s="416">
        <v>138</v>
      </c>
      <c r="V1340" s="416">
        <v>132</v>
      </c>
      <c r="W1340" s="416">
        <v>125</v>
      </c>
      <c r="X1340" s="416">
        <v>120</v>
      </c>
      <c r="Y1340" s="416">
        <v>117</v>
      </c>
      <c r="Z1340" s="416">
        <v>114</v>
      </c>
      <c r="AA1340" s="416">
        <v>114</v>
      </c>
      <c r="AB1340" s="416">
        <v>114</v>
      </c>
      <c r="AC1340" s="416">
        <v>114</v>
      </c>
      <c r="AD1340" s="416">
        <v>114</v>
      </c>
      <c r="AE1340" s="416">
        <v>113</v>
      </c>
      <c r="AF1340" s="416">
        <v>112</v>
      </c>
      <c r="AG1340" s="416">
        <v>110</v>
      </c>
      <c r="AH1340" s="416">
        <v>107</v>
      </c>
      <c r="AI1340" s="416">
        <v>0</v>
      </c>
      <c r="AJ1340" s="416">
        <v>0</v>
      </c>
      <c r="AK1340" s="416">
        <v>0</v>
      </c>
      <c r="AL1340" s="416">
        <v>0</v>
      </c>
      <c r="AM1340" s="416">
        <v>0</v>
      </c>
      <c r="AN1340" s="416">
        <v>0</v>
      </c>
      <c r="AO1340" s="416">
        <v>0</v>
      </c>
      <c r="AP1340" s="416">
        <v>0</v>
      </c>
      <c r="AQ1340" s="416">
        <v>0</v>
      </c>
      <c r="AR1340" s="416">
        <v>0</v>
      </c>
      <c r="AS1340" s="416">
        <v>0</v>
      </c>
      <c r="AT1340" s="416">
        <v>0</v>
      </c>
      <c r="AU1340" s="416">
        <v>0</v>
      </c>
      <c r="AV1340" s="416">
        <v>0</v>
      </c>
      <c r="AW1340" s="416">
        <v>0</v>
      </c>
      <c r="AX1340" s="416">
        <v>0</v>
      </c>
      <c r="AY1340" s="416">
        <v>0</v>
      </c>
      <c r="AZ1340" s="416">
        <v>0</v>
      </c>
    </row>
    <row r="1341" spans="1:52" x14ac:dyDescent="0.25">
      <c r="A1341" s="415" t="str">
        <f t="shared" si="20"/>
        <v>SA-351 Gr.CK20</v>
      </c>
      <c r="B1341" s="415">
        <v>1335</v>
      </c>
      <c r="C1341" s="415" t="s">
        <v>3473</v>
      </c>
      <c r="D1341" s="415" t="s">
        <v>2739</v>
      </c>
      <c r="E1341" s="415" t="s">
        <v>2213</v>
      </c>
      <c r="F1341" s="415" t="s">
        <v>2383</v>
      </c>
      <c r="G1341" s="415" t="s">
        <v>3474</v>
      </c>
      <c r="H1341" s="415">
        <v>0</v>
      </c>
      <c r="I1341" s="415">
        <v>0</v>
      </c>
      <c r="J1341" s="415">
        <v>8</v>
      </c>
      <c r="K1341" s="415">
        <v>2</v>
      </c>
      <c r="L1341" s="415">
        <v>450</v>
      </c>
      <c r="M1341" s="415">
        <v>195</v>
      </c>
      <c r="N1341" s="415" t="s">
        <v>2675</v>
      </c>
      <c r="O1341" s="415">
        <v>427</v>
      </c>
      <c r="P1341" s="415">
        <v>816</v>
      </c>
      <c r="Q1341" s="415">
        <v>343</v>
      </c>
      <c r="R1341" s="415" t="s">
        <v>3279</v>
      </c>
      <c r="S1341" s="415" t="s">
        <v>3470</v>
      </c>
      <c r="T1341" s="416">
        <v>128</v>
      </c>
      <c r="U1341" s="416">
        <v>128</v>
      </c>
      <c r="V1341" s="416">
        <v>123</v>
      </c>
      <c r="W1341" s="416">
        <v>116</v>
      </c>
      <c r="X1341" s="416">
        <v>112</v>
      </c>
      <c r="Y1341" s="416">
        <v>109</v>
      </c>
      <c r="Z1341" s="416">
        <v>106</v>
      </c>
      <c r="AA1341" s="416">
        <v>106</v>
      </c>
      <c r="AB1341" s="416">
        <v>106</v>
      </c>
      <c r="AC1341" s="416">
        <v>106</v>
      </c>
      <c r="AD1341" s="416">
        <v>105</v>
      </c>
      <c r="AE1341" s="416">
        <v>105</v>
      </c>
      <c r="AF1341" s="416">
        <v>103</v>
      </c>
      <c r="AG1341" s="416">
        <v>102</v>
      </c>
      <c r="AH1341" s="416">
        <v>99.8</v>
      </c>
      <c r="AI1341" s="416">
        <v>96.9</v>
      </c>
      <c r="AJ1341" s="416">
        <v>92.7</v>
      </c>
      <c r="AK1341" s="416">
        <v>84.7</v>
      </c>
      <c r="AL1341" s="416">
        <v>72.8</v>
      </c>
      <c r="AM1341" s="416">
        <v>64.5</v>
      </c>
      <c r="AN1341" s="416">
        <v>56.8</v>
      </c>
      <c r="AO1341" s="416">
        <v>49.1</v>
      </c>
      <c r="AP1341" s="416">
        <v>41</v>
      </c>
      <c r="AQ1341" s="416">
        <v>33.6</v>
      </c>
      <c r="AR1341" s="416">
        <v>25.5</v>
      </c>
      <c r="AS1341" s="416">
        <v>18.3</v>
      </c>
      <c r="AT1341" s="416">
        <v>12.8</v>
      </c>
      <c r="AU1341" s="416">
        <v>8.93</v>
      </c>
      <c r="AV1341" s="416">
        <v>6.59</v>
      </c>
      <c r="AW1341" s="416">
        <v>4.84</v>
      </c>
      <c r="AX1341" s="416">
        <v>0</v>
      </c>
      <c r="AY1341" s="416">
        <v>0</v>
      </c>
      <c r="AZ1341" s="416">
        <v>0</v>
      </c>
    </row>
    <row r="1342" spans="1:52" x14ac:dyDescent="0.25">
      <c r="A1342" s="415" t="str">
        <f t="shared" si="20"/>
        <v>SA-351 Gr.CK20</v>
      </c>
      <c r="B1342" s="415">
        <v>1336</v>
      </c>
      <c r="C1342" s="415" t="s">
        <v>3473</v>
      </c>
      <c r="D1342" s="415" t="s">
        <v>2739</v>
      </c>
      <c r="E1342" s="415" t="s">
        <v>2213</v>
      </c>
      <c r="F1342" s="415" t="s">
        <v>2383</v>
      </c>
      <c r="G1342" s="415" t="s">
        <v>3474</v>
      </c>
      <c r="H1342" s="415">
        <v>0</v>
      </c>
      <c r="I1342" s="415">
        <v>0</v>
      </c>
      <c r="J1342" s="415">
        <v>8</v>
      </c>
      <c r="K1342" s="415">
        <v>2</v>
      </c>
      <c r="L1342" s="415">
        <v>450</v>
      </c>
      <c r="M1342" s="415">
        <v>195</v>
      </c>
      <c r="N1342" s="415" t="s">
        <v>2675</v>
      </c>
      <c r="O1342" s="415" t="s">
        <v>2675</v>
      </c>
      <c r="P1342" s="415">
        <v>816</v>
      </c>
      <c r="Q1342" s="415">
        <v>343</v>
      </c>
      <c r="R1342" s="415" t="s">
        <v>3279</v>
      </c>
      <c r="S1342" s="415" t="s">
        <v>3475</v>
      </c>
      <c r="T1342" s="416">
        <v>128</v>
      </c>
      <c r="U1342" s="416">
        <v>128</v>
      </c>
      <c r="V1342" s="416">
        <v>116</v>
      </c>
      <c r="W1342" s="416">
        <v>104</v>
      </c>
      <c r="X1342" s="416">
        <v>99.5</v>
      </c>
      <c r="Y1342" s="416">
        <v>97.1</v>
      </c>
      <c r="Z1342" s="416">
        <v>93.4</v>
      </c>
      <c r="AA1342" s="416">
        <v>90.7</v>
      </c>
      <c r="AB1342" s="416">
        <v>88.5</v>
      </c>
      <c r="AC1342" s="416">
        <v>86.9</v>
      </c>
      <c r="AD1342" s="416">
        <v>85</v>
      </c>
      <c r="AE1342" s="416">
        <v>83.2</v>
      </c>
      <c r="AF1342" s="416">
        <v>81.3</v>
      </c>
      <c r="AG1342" s="416">
        <v>78.8</v>
      </c>
      <c r="AH1342" s="416">
        <v>76.2</v>
      </c>
      <c r="AI1342" s="416">
        <v>74.3</v>
      </c>
      <c r="AJ1342" s="416">
        <v>72.099999999999994</v>
      </c>
      <c r="AK1342" s="416">
        <v>69.5</v>
      </c>
      <c r="AL1342" s="416">
        <v>67</v>
      </c>
      <c r="AM1342" s="416">
        <v>63.2</v>
      </c>
      <c r="AN1342" s="416">
        <v>56.8</v>
      </c>
      <c r="AO1342" s="416">
        <v>49.1</v>
      </c>
      <c r="AP1342" s="416">
        <v>41</v>
      </c>
      <c r="AQ1342" s="416">
        <v>33.6</v>
      </c>
      <c r="AR1342" s="416">
        <v>25.5</v>
      </c>
      <c r="AS1342" s="416">
        <v>18.3</v>
      </c>
      <c r="AT1342" s="416">
        <v>12.8</v>
      </c>
      <c r="AU1342" s="416">
        <v>8.93</v>
      </c>
      <c r="AV1342" s="416">
        <v>6.59</v>
      </c>
      <c r="AW1342" s="416">
        <v>4.84</v>
      </c>
      <c r="AX1342" s="416">
        <v>0</v>
      </c>
      <c r="AY1342" s="416">
        <v>0</v>
      </c>
      <c r="AZ1342" s="416">
        <v>0</v>
      </c>
    </row>
    <row r="1343" spans="1:52" x14ac:dyDescent="0.25">
      <c r="A1343" s="415" t="str">
        <f t="shared" si="20"/>
        <v>SA-451 Gr.CPK20</v>
      </c>
      <c r="B1343" s="415">
        <v>1337</v>
      </c>
      <c r="C1343" s="415" t="s">
        <v>3473</v>
      </c>
      <c r="D1343" s="415" t="s">
        <v>2746</v>
      </c>
      <c r="E1343" s="415" t="s">
        <v>2241</v>
      </c>
      <c r="F1343" s="415" t="s">
        <v>2411</v>
      </c>
      <c r="G1343" s="415" t="s">
        <v>3474</v>
      </c>
      <c r="H1343" s="415">
        <v>0</v>
      </c>
      <c r="I1343" s="415">
        <v>0</v>
      </c>
      <c r="J1343" s="415">
        <v>8</v>
      </c>
      <c r="K1343" s="415">
        <v>2</v>
      </c>
      <c r="L1343" s="415">
        <v>450</v>
      </c>
      <c r="M1343" s="415">
        <v>195</v>
      </c>
      <c r="N1343" s="415" t="s">
        <v>2675</v>
      </c>
      <c r="O1343" s="415">
        <v>427</v>
      </c>
      <c r="P1343" s="415" t="s">
        <v>2675</v>
      </c>
      <c r="Q1343" s="415" t="s">
        <v>2675</v>
      </c>
      <c r="R1343" s="415" t="s">
        <v>3279</v>
      </c>
      <c r="S1343" s="415" t="s">
        <v>3472</v>
      </c>
      <c r="T1343" s="416">
        <v>128</v>
      </c>
      <c r="U1343" s="416">
        <v>128</v>
      </c>
      <c r="V1343" s="416">
        <v>123</v>
      </c>
      <c r="W1343" s="416">
        <v>116</v>
      </c>
      <c r="X1343" s="416">
        <v>112</v>
      </c>
      <c r="Y1343" s="416">
        <v>109</v>
      </c>
      <c r="Z1343" s="416">
        <v>106</v>
      </c>
      <c r="AA1343" s="416">
        <v>106</v>
      </c>
      <c r="AB1343" s="416">
        <v>106</v>
      </c>
      <c r="AC1343" s="416">
        <v>106</v>
      </c>
      <c r="AD1343" s="416">
        <v>105</v>
      </c>
      <c r="AE1343" s="416">
        <v>105</v>
      </c>
      <c r="AF1343" s="416">
        <v>103</v>
      </c>
      <c r="AG1343" s="416">
        <v>102</v>
      </c>
      <c r="AH1343" s="416">
        <v>99.8</v>
      </c>
      <c r="AI1343" s="416">
        <v>0</v>
      </c>
      <c r="AJ1343" s="416">
        <v>0</v>
      </c>
      <c r="AK1343" s="416">
        <v>0</v>
      </c>
      <c r="AL1343" s="416">
        <v>0</v>
      </c>
      <c r="AM1343" s="416">
        <v>0</v>
      </c>
      <c r="AN1343" s="416">
        <v>0</v>
      </c>
      <c r="AO1343" s="416">
        <v>0</v>
      </c>
      <c r="AP1343" s="416">
        <v>0</v>
      </c>
      <c r="AQ1343" s="416">
        <v>0</v>
      </c>
      <c r="AR1343" s="416">
        <v>0</v>
      </c>
      <c r="AS1343" s="416">
        <v>0</v>
      </c>
      <c r="AT1343" s="416">
        <v>0</v>
      </c>
      <c r="AU1343" s="416">
        <v>0</v>
      </c>
      <c r="AV1343" s="416">
        <v>0</v>
      </c>
      <c r="AW1343" s="416">
        <v>0</v>
      </c>
      <c r="AX1343" s="416">
        <v>0</v>
      </c>
      <c r="AY1343" s="416">
        <v>0</v>
      </c>
      <c r="AZ1343" s="416">
        <v>0</v>
      </c>
    </row>
    <row r="1344" spans="1:52" x14ac:dyDescent="0.25">
      <c r="A1344" s="415" t="str">
        <f t="shared" si="20"/>
        <v>SA-182 Gr.F310</v>
      </c>
      <c r="B1344" s="415">
        <v>1338</v>
      </c>
      <c r="C1344" s="415" t="s">
        <v>3473</v>
      </c>
      <c r="D1344" s="415" t="s">
        <v>2737</v>
      </c>
      <c r="E1344" s="415" t="s">
        <v>2188</v>
      </c>
      <c r="F1344" s="415" t="s">
        <v>2437</v>
      </c>
      <c r="G1344" s="415" t="s">
        <v>3476</v>
      </c>
      <c r="H1344" s="415">
        <v>0</v>
      </c>
      <c r="I1344" s="415" t="s">
        <v>3202</v>
      </c>
      <c r="J1344" s="415">
        <v>8</v>
      </c>
      <c r="K1344" s="415">
        <v>2</v>
      </c>
      <c r="L1344" s="415">
        <v>485</v>
      </c>
      <c r="M1344" s="415">
        <v>205</v>
      </c>
      <c r="N1344" s="415" t="s">
        <v>2675</v>
      </c>
      <c r="O1344" s="415">
        <v>427</v>
      </c>
      <c r="P1344" s="415" t="s">
        <v>2675</v>
      </c>
      <c r="Q1344" s="415" t="s">
        <v>2675</v>
      </c>
      <c r="R1344" s="415" t="s">
        <v>3069</v>
      </c>
      <c r="S1344" s="415" t="s">
        <v>3189</v>
      </c>
      <c r="T1344" s="416">
        <v>138</v>
      </c>
      <c r="U1344" s="416">
        <v>138</v>
      </c>
      <c r="V1344" s="416">
        <v>138</v>
      </c>
      <c r="W1344" s="416">
        <v>136</v>
      </c>
      <c r="X1344" s="416">
        <v>133</v>
      </c>
      <c r="Y1344" s="416">
        <v>130</v>
      </c>
      <c r="Z1344" s="416">
        <v>128</v>
      </c>
      <c r="AA1344" s="416">
        <v>128</v>
      </c>
      <c r="AB1344" s="416">
        <v>128</v>
      </c>
      <c r="AC1344" s="416">
        <v>127</v>
      </c>
      <c r="AD1344" s="416">
        <v>125</v>
      </c>
      <c r="AE1344" s="416">
        <v>123</v>
      </c>
      <c r="AF1344" s="416">
        <v>122</v>
      </c>
      <c r="AG1344" s="416">
        <v>120</v>
      </c>
      <c r="AH1344" s="416">
        <v>118</v>
      </c>
      <c r="AI1344" s="416">
        <v>0</v>
      </c>
      <c r="AJ1344" s="416">
        <v>0</v>
      </c>
      <c r="AK1344" s="416">
        <v>0</v>
      </c>
      <c r="AL1344" s="416">
        <v>0</v>
      </c>
      <c r="AM1344" s="416">
        <v>0</v>
      </c>
      <c r="AN1344" s="416">
        <v>0</v>
      </c>
      <c r="AO1344" s="416">
        <v>0</v>
      </c>
      <c r="AP1344" s="416">
        <v>0</v>
      </c>
      <c r="AQ1344" s="416">
        <v>0</v>
      </c>
      <c r="AR1344" s="416">
        <v>0</v>
      </c>
      <c r="AS1344" s="416">
        <v>0</v>
      </c>
      <c r="AT1344" s="416">
        <v>0</v>
      </c>
      <c r="AU1344" s="416">
        <v>0</v>
      </c>
      <c r="AV1344" s="416">
        <v>0</v>
      </c>
      <c r="AW1344" s="416">
        <v>0</v>
      </c>
      <c r="AX1344" s="416">
        <v>0</v>
      </c>
      <c r="AY1344" s="416">
        <v>0</v>
      </c>
      <c r="AZ1344" s="416">
        <v>0</v>
      </c>
    </row>
    <row r="1345" spans="1:52" x14ac:dyDescent="0.25">
      <c r="A1345" s="415" t="str">
        <f t="shared" si="20"/>
        <v>SA-182 Gr.F310</v>
      </c>
      <c r="B1345" s="415">
        <v>1339</v>
      </c>
      <c r="C1345" s="415" t="s">
        <v>3473</v>
      </c>
      <c r="D1345" s="415" t="s">
        <v>2737</v>
      </c>
      <c r="E1345" s="415" t="s">
        <v>2188</v>
      </c>
      <c r="F1345" s="415" t="s">
        <v>2437</v>
      </c>
      <c r="G1345" s="415" t="s">
        <v>3476</v>
      </c>
      <c r="H1345" s="415">
        <v>0</v>
      </c>
      <c r="I1345" s="415" t="s">
        <v>3207</v>
      </c>
      <c r="J1345" s="415">
        <v>8</v>
      </c>
      <c r="K1345" s="415">
        <v>2</v>
      </c>
      <c r="L1345" s="415">
        <v>515</v>
      </c>
      <c r="M1345" s="415">
        <v>205</v>
      </c>
      <c r="N1345" s="415" t="s">
        <v>2675</v>
      </c>
      <c r="O1345" s="415">
        <v>427</v>
      </c>
      <c r="P1345" s="415">
        <v>816</v>
      </c>
      <c r="Q1345" s="415">
        <v>343</v>
      </c>
      <c r="R1345" s="415" t="s">
        <v>3069</v>
      </c>
      <c r="S1345" s="415" t="s">
        <v>3477</v>
      </c>
      <c r="T1345" s="416">
        <v>138</v>
      </c>
      <c r="U1345" s="416">
        <v>138</v>
      </c>
      <c r="V1345" s="416">
        <v>138</v>
      </c>
      <c r="W1345" s="416">
        <v>138</v>
      </c>
      <c r="X1345" s="416">
        <v>138</v>
      </c>
      <c r="Y1345" s="416">
        <v>138</v>
      </c>
      <c r="Z1345" s="416">
        <v>138</v>
      </c>
      <c r="AA1345" s="416">
        <v>135</v>
      </c>
      <c r="AB1345" s="416">
        <v>129</v>
      </c>
      <c r="AC1345" s="416">
        <v>127</v>
      </c>
      <c r="AD1345" s="416">
        <v>125</v>
      </c>
      <c r="AE1345" s="416">
        <v>123</v>
      </c>
      <c r="AF1345" s="416">
        <v>122</v>
      </c>
      <c r="AG1345" s="416">
        <v>120</v>
      </c>
      <c r="AH1345" s="416">
        <v>119</v>
      </c>
      <c r="AI1345" s="416">
        <v>117</v>
      </c>
      <c r="AJ1345" s="416">
        <v>112</v>
      </c>
      <c r="AK1345" s="416">
        <v>87.2</v>
      </c>
      <c r="AL1345" s="416">
        <v>59.2</v>
      </c>
      <c r="AM1345" s="416">
        <v>44.2</v>
      </c>
      <c r="AN1345" s="416">
        <v>31.8</v>
      </c>
      <c r="AO1345" s="416">
        <v>23.7</v>
      </c>
      <c r="AP1345" s="416">
        <v>16.899999999999999</v>
      </c>
      <c r="AQ1345" s="416">
        <v>10.7</v>
      </c>
      <c r="AR1345" s="416">
        <v>6.1</v>
      </c>
      <c r="AS1345" s="416">
        <v>3.78</v>
      </c>
      <c r="AT1345" s="416">
        <v>2.96</v>
      </c>
      <c r="AU1345" s="416">
        <v>2.4</v>
      </c>
      <c r="AV1345" s="416">
        <v>1.76</v>
      </c>
      <c r="AW1345" s="416">
        <v>1.1499999999999999</v>
      </c>
      <c r="AX1345" s="416">
        <v>0</v>
      </c>
      <c r="AY1345" s="416">
        <v>0</v>
      </c>
      <c r="AZ1345" s="416">
        <v>0</v>
      </c>
    </row>
    <row r="1346" spans="1:52" x14ac:dyDescent="0.25">
      <c r="A1346" s="415" t="str">
        <f t="shared" si="20"/>
        <v>SA-965 Gr.F310</v>
      </c>
      <c r="B1346" s="415">
        <v>1340</v>
      </c>
      <c r="C1346" s="415" t="s">
        <v>3473</v>
      </c>
      <c r="D1346" s="415" t="s">
        <v>2737</v>
      </c>
      <c r="E1346" s="415" t="s">
        <v>2337</v>
      </c>
      <c r="F1346" s="415" t="s">
        <v>2437</v>
      </c>
      <c r="G1346" s="415" t="s">
        <v>3476</v>
      </c>
      <c r="H1346" s="415">
        <v>0</v>
      </c>
      <c r="I1346" s="415">
        <v>0</v>
      </c>
      <c r="J1346" s="415">
        <v>8</v>
      </c>
      <c r="K1346" s="415">
        <v>2</v>
      </c>
      <c r="L1346" s="415">
        <v>515</v>
      </c>
      <c r="M1346" s="415">
        <v>205</v>
      </c>
      <c r="N1346" s="415" t="s">
        <v>2675</v>
      </c>
      <c r="O1346" s="415">
        <v>427</v>
      </c>
      <c r="P1346" s="415">
        <v>816</v>
      </c>
      <c r="Q1346" s="415">
        <v>343</v>
      </c>
      <c r="R1346" s="415" t="s">
        <v>3069</v>
      </c>
      <c r="S1346" s="415" t="s">
        <v>3427</v>
      </c>
      <c r="T1346" s="416">
        <v>138</v>
      </c>
      <c r="U1346" s="416">
        <v>138</v>
      </c>
      <c r="V1346" s="416">
        <v>138</v>
      </c>
      <c r="W1346" s="416">
        <v>138</v>
      </c>
      <c r="X1346" s="416">
        <v>138</v>
      </c>
      <c r="Y1346" s="416">
        <v>138</v>
      </c>
      <c r="Z1346" s="416">
        <v>138</v>
      </c>
      <c r="AA1346" s="416">
        <v>135</v>
      </c>
      <c r="AB1346" s="416">
        <v>129</v>
      </c>
      <c r="AC1346" s="416">
        <v>127</v>
      </c>
      <c r="AD1346" s="416">
        <v>125</v>
      </c>
      <c r="AE1346" s="416">
        <v>123</v>
      </c>
      <c r="AF1346" s="416">
        <v>122</v>
      </c>
      <c r="AG1346" s="416">
        <v>120</v>
      </c>
      <c r="AH1346" s="416">
        <v>119</v>
      </c>
      <c r="AI1346" s="416">
        <v>117</v>
      </c>
      <c r="AJ1346" s="416">
        <v>112</v>
      </c>
      <c r="AK1346" s="416">
        <v>87.2</v>
      </c>
      <c r="AL1346" s="416">
        <v>59.2</v>
      </c>
      <c r="AM1346" s="416">
        <v>44.2</v>
      </c>
      <c r="AN1346" s="416">
        <v>31.8</v>
      </c>
      <c r="AO1346" s="416">
        <v>23.7</v>
      </c>
      <c r="AP1346" s="416">
        <v>16.899999999999999</v>
      </c>
      <c r="AQ1346" s="416">
        <v>10.7</v>
      </c>
      <c r="AR1346" s="416">
        <v>6.1</v>
      </c>
      <c r="AS1346" s="416">
        <v>3.78</v>
      </c>
      <c r="AT1346" s="416">
        <v>2.96</v>
      </c>
      <c r="AU1346" s="416">
        <v>2.4</v>
      </c>
      <c r="AV1346" s="416">
        <v>1.76</v>
      </c>
      <c r="AW1346" s="416">
        <v>1.1499999999999999</v>
      </c>
      <c r="AX1346" s="416">
        <v>0</v>
      </c>
      <c r="AY1346" s="416">
        <v>0</v>
      </c>
      <c r="AZ1346" s="416">
        <v>0</v>
      </c>
    </row>
    <row r="1347" spans="1:52" x14ac:dyDescent="0.25">
      <c r="A1347" s="415" t="str">
        <f t="shared" si="20"/>
        <v>SA-213 Gr.TP310S</v>
      </c>
      <c r="B1347" s="415">
        <v>1341</v>
      </c>
      <c r="C1347" s="415" t="s">
        <v>3473</v>
      </c>
      <c r="D1347" s="415" t="s">
        <v>2693</v>
      </c>
      <c r="E1347" s="415" t="s">
        <v>2195</v>
      </c>
      <c r="F1347" s="415" t="s">
        <v>2567</v>
      </c>
      <c r="G1347" s="415" t="s">
        <v>3478</v>
      </c>
      <c r="H1347" s="415">
        <v>0</v>
      </c>
      <c r="I1347" s="415">
        <v>0</v>
      </c>
      <c r="J1347" s="415">
        <v>8</v>
      </c>
      <c r="K1347" s="415">
        <v>2</v>
      </c>
      <c r="L1347" s="415">
        <v>515</v>
      </c>
      <c r="M1347" s="415">
        <v>205</v>
      </c>
      <c r="N1347" s="415">
        <v>816</v>
      </c>
      <c r="O1347" s="415" t="s">
        <v>2675</v>
      </c>
      <c r="P1347" s="415">
        <v>816</v>
      </c>
      <c r="Q1347" s="415">
        <v>343</v>
      </c>
      <c r="R1347" s="415" t="s">
        <v>3069</v>
      </c>
      <c r="S1347" s="415" t="s">
        <v>3427</v>
      </c>
      <c r="T1347" s="416">
        <v>138</v>
      </c>
      <c r="U1347" s="416">
        <v>138</v>
      </c>
      <c r="V1347" s="416">
        <v>138</v>
      </c>
      <c r="W1347" s="416">
        <v>138</v>
      </c>
      <c r="X1347" s="416">
        <v>138</v>
      </c>
      <c r="Y1347" s="416">
        <v>138</v>
      </c>
      <c r="Z1347" s="416">
        <v>138</v>
      </c>
      <c r="AA1347" s="416">
        <v>135</v>
      </c>
      <c r="AB1347" s="416">
        <v>129</v>
      </c>
      <c r="AC1347" s="416">
        <v>127</v>
      </c>
      <c r="AD1347" s="416">
        <v>125</v>
      </c>
      <c r="AE1347" s="416">
        <v>123</v>
      </c>
      <c r="AF1347" s="416">
        <v>122</v>
      </c>
      <c r="AG1347" s="416">
        <v>120</v>
      </c>
      <c r="AH1347" s="416">
        <v>119</v>
      </c>
      <c r="AI1347" s="416">
        <v>117</v>
      </c>
      <c r="AJ1347" s="416">
        <v>112</v>
      </c>
      <c r="AK1347" s="416">
        <v>87.2</v>
      </c>
      <c r="AL1347" s="416">
        <v>59.2</v>
      </c>
      <c r="AM1347" s="416">
        <v>44.2</v>
      </c>
      <c r="AN1347" s="416">
        <v>31.8</v>
      </c>
      <c r="AO1347" s="416">
        <v>23.7</v>
      </c>
      <c r="AP1347" s="416">
        <v>16.899999999999999</v>
      </c>
      <c r="AQ1347" s="416">
        <v>10.7</v>
      </c>
      <c r="AR1347" s="416">
        <v>6.1</v>
      </c>
      <c r="AS1347" s="416">
        <v>3.78</v>
      </c>
      <c r="AT1347" s="416">
        <v>2.96</v>
      </c>
      <c r="AU1347" s="416">
        <v>2.4</v>
      </c>
      <c r="AV1347" s="416">
        <v>1.76</v>
      </c>
      <c r="AW1347" s="416">
        <v>1.1499999999999999</v>
      </c>
      <c r="AX1347" s="416">
        <v>0</v>
      </c>
      <c r="AY1347" s="416">
        <v>0</v>
      </c>
      <c r="AZ1347" s="416">
        <v>0</v>
      </c>
    </row>
    <row r="1348" spans="1:52" x14ac:dyDescent="0.25">
      <c r="A1348" s="415" t="str">
        <f t="shared" si="20"/>
        <v>SA-213 Gr.TP310S</v>
      </c>
      <c r="B1348" s="415">
        <v>1342</v>
      </c>
      <c r="C1348" s="415" t="s">
        <v>3473</v>
      </c>
      <c r="D1348" s="415" t="s">
        <v>2693</v>
      </c>
      <c r="E1348" s="415" t="s">
        <v>2195</v>
      </c>
      <c r="F1348" s="415" t="s">
        <v>2567</v>
      </c>
      <c r="G1348" s="415" t="s">
        <v>3478</v>
      </c>
      <c r="H1348" s="415">
        <v>0</v>
      </c>
      <c r="I1348" s="415">
        <v>0</v>
      </c>
      <c r="J1348" s="415">
        <v>8</v>
      </c>
      <c r="K1348" s="415">
        <v>2</v>
      </c>
      <c r="L1348" s="415">
        <v>515</v>
      </c>
      <c r="M1348" s="415">
        <v>205</v>
      </c>
      <c r="N1348" s="415">
        <v>816</v>
      </c>
      <c r="O1348" s="415" t="s">
        <v>2675</v>
      </c>
      <c r="P1348" s="415">
        <v>816</v>
      </c>
      <c r="Q1348" s="415">
        <v>343</v>
      </c>
      <c r="R1348" s="415" t="s">
        <v>3069</v>
      </c>
      <c r="S1348" s="415" t="s">
        <v>3428</v>
      </c>
      <c r="T1348" s="416">
        <v>138</v>
      </c>
      <c r="U1348" s="416">
        <v>138</v>
      </c>
      <c r="V1348" s="416">
        <v>129</v>
      </c>
      <c r="W1348" s="416">
        <v>120</v>
      </c>
      <c r="X1348" s="416">
        <v>115</v>
      </c>
      <c r="Y1348" s="416">
        <v>111</v>
      </c>
      <c r="Z1348" s="416">
        <v>105</v>
      </c>
      <c r="AA1348" s="416">
        <v>100</v>
      </c>
      <c r="AB1348" s="416">
        <v>95.4</v>
      </c>
      <c r="AC1348" s="416">
        <v>94</v>
      </c>
      <c r="AD1348" s="416">
        <v>92.8</v>
      </c>
      <c r="AE1348" s="416">
        <v>91.5</v>
      </c>
      <c r="AF1348" s="416">
        <v>90.3</v>
      </c>
      <c r="AG1348" s="416">
        <v>89</v>
      </c>
      <c r="AH1348" s="416">
        <v>87.8</v>
      </c>
      <c r="AI1348" s="416">
        <v>86.5</v>
      </c>
      <c r="AJ1348" s="416">
        <v>85.3</v>
      </c>
      <c r="AK1348" s="416">
        <v>77.8</v>
      </c>
      <c r="AL1348" s="416">
        <v>59.2</v>
      </c>
      <c r="AM1348" s="416">
        <v>44.2</v>
      </c>
      <c r="AN1348" s="416">
        <v>31.8</v>
      </c>
      <c r="AO1348" s="416">
        <v>23.7</v>
      </c>
      <c r="AP1348" s="416">
        <v>16.899999999999999</v>
      </c>
      <c r="AQ1348" s="416">
        <v>10.7</v>
      </c>
      <c r="AR1348" s="416">
        <v>6.1</v>
      </c>
      <c r="AS1348" s="416">
        <v>3.78</v>
      </c>
      <c r="AT1348" s="416">
        <v>2.96</v>
      </c>
      <c r="AU1348" s="416">
        <v>2.4</v>
      </c>
      <c r="AV1348" s="416">
        <v>1.76</v>
      </c>
      <c r="AW1348" s="416">
        <v>1.1499999999999999</v>
      </c>
      <c r="AX1348" s="416">
        <v>0</v>
      </c>
      <c r="AY1348" s="416">
        <v>0</v>
      </c>
      <c r="AZ1348" s="416">
        <v>0</v>
      </c>
    </row>
    <row r="1349" spans="1:52" x14ac:dyDescent="0.25">
      <c r="A1349" s="415" t="str">
        <f t="shared" si="20"/>
        <v>SA-240 Gr.310S</v>
      </c>
      <c r="B1349" s="415">
        <v>1343</v>
      </c>
      <c r="C1349" s="415" t="s">
        <v>3473</v>
      </c>
      <c r="D1349" s="415" t="s">
        <v>2684</v>
      </c>
      <c r="E1349" s="415" t="s">
        <v>2165</v>
      </c>
      <c r="F1349" s="415" t="s">
        <v>2264</v>
      </c>
      <c r="G1349" s="415" t="s">
        <v>3478</v>
      </c>
      <c r="H1349" s="415">
        <v>0</v>
      </c>
      <c r="I1349" s="415">
        <v>0</v>
      </c>
      <c r="J1349" s="415">
        <v>8</v>
      </c>
      <c r="K1349" s="415">
        <v>2</v>
      </c>
      <c r="L1349" s="415">
        <v>515</v>
      </c>
      <c r="M1349" s="415">
        <v>205</v>
      </c>
      <c r="N1349" s="415">
        <v>816</v>
      </c>
      <c r="O1349" s="415">
        <v>427</v>
      </c>
      <c r="P1349" s="415">
        <v>816</v>
      </c>
      <c r="Q1349" s="415">
        <v>343</v>
      </c>
      <c r="R1349" s="415" t="s">
        <v>3069</v>
      </c>
      <c r="S1349" s="415" t="s">
        <v>3427</v>
      </c>
      <c r="T1349" s="416">
        <v>138</v>
      </c>
      <c r="U1349" s="416">
        <v>138</v>
      </c>
      <c r="V1349" s="416">
        <v>138</v>
      </c>
      <c r="W1349" s="416">
        <v>138</v>
      </c>
      <c r="X1349" s="416">
        <v>138</v>
      </c>
      <c r="Y1349" s="416">
        <v>138</v>
      </c>
      <c r="Z1349" s="416">
        <v>138</v>
      </c>
      <c r="AA1349" s="416">
        <v>135</v>
      </c>
      <c r="AB1349" s="416">
        <v>129</v>
      </c>
      <c r="AC1349" s="416">
        <v>127</v>
      </c>
      <c r="AD1349" s="416">
        <v>125</v>
      </c>
      <c r="AE1349" s="416">
        <v>123</v>
      </c>
      <c r="AF1349" s="416">
        <v>122</v>
      </c>
      <c r="AG1349" s="416">
        <v>120</v>
      </c>
      <c r="AH1349" s="416">
        <v>119</v>
      </c>
      <c r="AI1349" s="416">
        <v>117</v>
      </c>
      <c r="AJ1349" s="416">
        <v>112</v>
      </c>
      <c r="AK1349" s="416">
        <v>87.2</v>
      </c>
      <c r="AL1349" s="416">
        <v>59.2</v>
      </c>
      <c r="AM1349" s="416">
        <v>44.2</v>
      </c>
      <c r="AN1349" s="416">
        <v>31.8</v>
      </c>
      <c r="AO1349" s="416">
        <v>23.7</v>
      </c>
      <c r="AP1349" s="416">
        <v>16.899999999999999</v>
      </c>
      <c r="AQ1349" s="416">
        <v>10.7</v>
      </c>
      <c r="AR1349" s="416">
        <v>6.1</v>
      </c>
      <c r="AS1349" s="416">
        <v>3.78</v>
      </c>
      <c r="AT1349" s="416">
        <v>2.96</v>
      </c>
      <c r="AU1349" s="416">
        <v>2.4</v>
      </c>
      <c r="AV1349" s="416">
        <v>1.76</v>
      </c>
      <c r="AW1349" s="416">
        <v>1.1499999999999999</v>
      </c>
      <c r="AX1349" s="416">
        <v>0</v>
      </c>
      <c r="AY1349" s="416">
        <v>0</v>
      </c>
      <c r="AZ1349" s="416">
        <v>0</v>
      </c>
    </row>
    <row r="1350" spans="1:52" x14ac:dyDescent="0.25">
      <c r="A1350" s="415" t="str">
        <f t="shared" si="20"/>
        <v>SA-240 Gr.310S</v>
      </c>
      <c r="B1350" s="415">
        <v>1344</v>
      </c>
      <c r="C1350" s="415" t="s">
        <v>3473</v>
      </c>
      <c r="D1350" s="415" t="s">
        <v>2684</v>
      </c>
      <c r="E1350" s="415" t="s">
        <v>2165</v>
      </c>
      <c r="F1350" s="415" t="s">
        <v>2264</v>
      </c>
      <c r="G1350" s="415" t="s">
        <v>3478</v>
      </c>
      <c r="H1350" s="415">
        <v>0</v>
      </c>
      <c r="I1350" s="415">
        <v>0</v>
      </c>
      <c r="J1350" s="415">
        <v>8</v>
      </c>
      <c r="K1350" s="415">
        <v>2</v>
      </c>
      <c r="L1350" s="415">
        <v>515</v>
      </c>
      <c r="M1350" s="415">
        <v>205</v>
      </c>
      <c r="N1350" s="415">
        <v>816</v>
      </c>
      <c r="O1350" s="415" t="s">
        <v>2675</v>
      </c>
      <c r="P1350" s="415">
        <v>816</v>
      </c>
      <c r="Q1350" s="415">
        <v>343</v>
      </c>
      <c r="R1350" s="415" t="s">
        <v>3069</v>
      </c>
      <c r="S1350" s="415" t="s">
        <v>3428</v>
      </c>
      <c r="T1350" s="416">
        <v>138</v>
      </c>
      <c r="U1350" s="416">
        <v>138</v>
      </c>
      <c r="V1350" s="416">
        <v>129</v>
      </c>
      <c r="W1350" s="416">
        <v>120</v>
      </c>
      <c r="X1350" s="416">
        <v>115</v>
      </c>
      <c r="Y1350" s="416">
        <v>111</v>
      </c>
      <c r="Z1350" s="416">
        <v>105</v>
      </c>
      <c r="AA1350" s="416">
        <v>100</v>
      </c>
      <c r="AB1350" s="416">
        <v>95.4</v>
      </c>
      <c r="AC1350" s="416">
        <v>94</v>
      </c>
      <c r="AD1350" s="416">
        <v>92.8</v>
      </c>
      <c r="AE1350" s="416">
        <v>91.5</v>
      </c>
      <c r="AF1350" s="416">
        <v>90.3</v>
      </c>
      <c r="AG1350" s="416">
        <v>89</v>
      </c>
      <c r="AH1350" s="416">
        <v>87.8</v>
      </c>
      <c r="AI1350" s="416">
        <v>86.5</v>
      </c>
      <c r="AJ1350" s="416">
        <v>85.3</v>
      </c>
      <c r="AK1350" s="416">
        <v>77.8</v>
      </c>
      <c r="AL1350" s="416">
        <v>59.2</v>
      </c>
      <c r="AM1350" s="416">
        <v>44.2</v>
      </c>
      <c r="AN1350" s="416">
        <v>31.8</v>
      </c>
      <c r="AO1350" s="416">
        <v>23.7</v>
      </c>
      <c r="AP1350" s="416">
        <v>16.899999999999999</v>
      </c>
      <c r="AQ1350" s="416">
        <v>10.7</v>
      </c>
      <c r="AR1350" s="416">
        <v>6.1</v>
      </c>
      <c r="AS1350" s="416">
        <v>3.78</v>
      </c>
      <c r="AT1350" s="416">
        <v>2.96</v>
      </c>
      <c r="AU1350" s="416">
        <v>2.4</v>
      </c>
      <c r="AV1350" s="416">
        <v>1.76</v>
      </c>
      <c r="AW1350" s="416">
        <v>1.1499999999999999</v>
      </c>
      <c r="AX1350" s="416">
        <v>0</v>
      </c>
      <c r="AY1350" s="416">
        <v>0</v>
      </c>
      <c r="AZ1350" s="416">
        <v>0</v>
      </c>
    </row>
    <row r="1351" spans="1:52" x14ac:dyDescent="0.25">
      <c r="A1351" s="415" t="str">
        <f t="shared" si="20"/>
        <v>SA-249 Gr.TP310S</v>
      </c>
      <c r="B1351" s="415">
        <v>1345</v>
      </c>
      <c r="C1351" s="415" t="s">
        <v>3473</v>
      </c>
      <c r="D1351" s="415" t="s">
        <v>2689</v>
      </c>
      <c r="E1351" s="415" t="s">
        <v>2200</v>
      </c>
      <c r="F1351" s="415" t="s">
        <v>2567</v>
      </c>
      <c r="G1351" s="415" t="s">
        <v>3478</v>
      </c>
      <c r="H1351" s="415">
        <v>0</v>
      </c>
      <c r="I1351" s="415">
        <v>0</v>
      </c>
      <c r="J1351" s="415">
        <v>8</v>
      </c>
      <c r="K1351" s="415">
        <v>2</v>
      </c>
      <c r="L1351" s="415">
        <v>515</v>
      </c>
      <c r="M1351" s="415">
        <v>205</v>
      </c>
      <c r="N1351" s="415" t="s">
        <v>2675</v>
      </c>
      <c r="O1351" s="415" t="s">
        <v>2675</v>
      </c>
      <c r="P1351" s="415">
        <v>816</v>
      </c>
      <c r="Q1351" s="415">
        <v>343</v>
      </c>
      <c r="R1351" s="415" t="s">
        <v>3069</v>
      </c>
      <c r="S1351" s="415" t="s">
        <v>3320</v>
      </c>
      <c r="T1351" s="416">
        <v>117</v>
      </c>
      <c r="U1351" s="416">
        <v>117</v>
      </c>
      <c r="V1351" s="416">
        <v>117</v>
      </c>
      <c r="W1351" s="416">
        <v>117</v>
      </c>
      <c r="X1351" s="416">
        <v>117</v>
      </c>
      <c r="Y1351" s="416">
        <v>117</v>
      </c>
      <c r="Z1351" s="416">
        <v>117</v>
      </c>
      <c r="AA1351" s="416">
        <v>114</v>
      </c>
      <c r="AB1351" s="416">
        <v>109</v>
      </c>
      <c r="AC1351" s="416">
        <v>108</v>
      </c>
      <c r="AD1351" s="416">
        <v>106</v>
      </c>
      <c r="AE1351" s="416">
        <v>105</v>
      </c>
      <c r="AF1351" s="416">
        <v>103</v>
      </c>
      <c r="AG1351" s="416">
        <v>102</v>
      </c>
      <c r="AH1351" s="416">
        <v>101</v>
      </c>
      <c r="AI1351" s="416">
        <v>99.3</v>
      </c>
      <c r="AJ1351" s="416">
        <v>98.5</v>
      </c>
      <c r="AK1351" s="416">
        <v>74.7</v>
      </c>
      <c r="AL1351" s="416">
        <v>50.6</v>
      </c>
      <c r="AM1351" s="416">
        <v>37.4</v>
      </c>
      <c r="AN1351" s="416">
        <v>27.5</v>
      </c>
      <c r="AO1351" s="416">
        <v>20.399999999999999</v>
      </c>
      <c r="AP1351" s="416">
        <v>14.2</v>
      </c>
      <c r="AQ1351" s="416">
        <v>9.27</v>
      </c>
      <c r="AR1351" s="416">
        <v>5.22</v>
      </c>
      <c r="AS1351" s="416">
        <v>3.23</v>
      </c>
      <c r="AT1351" s="416">
        <v>2.5299999999999998</v>
      </c>
      <c r="AU1351" s="416">
        <v>2.06</v>
      </c>
      <c r="AV1351" s="416">
        <v>1.52</v>
      </c>
      <c r="AW1351" s="416">
        <v>0.96</v>
      </c>
      <c r="AX1351" s="416">
        <v>0</v>
      </c>
      <c r="AY1351" s="416">
        <v>0</v>
      </c>
      <c r="AZ1351" s="416">
        <v>0</v>
      </c>
    </row>
    <row r="1352" spans="1:52" x14ac:dyDescent="0.25">
      <c r="A1352" s="415" t="str">
        <f t="shared" ref="A1352:A1415" si="21">CONCATENATE(E1352," Gr.",F1352)</f>
        <v>SA-249 Gr.TP310S</v>
      </c>
      <c r="B1352" s="415">
        <v>1346</v>
      </c>
      <c r="C1352" s="415" t="s">
        <v>3473</v>
      </c>
      <c r="D1352" s="415" t="s">
        <v>2689</v>
      </c>
      <c r="E1352" s="415" t="s">
        <v>2200</v>
      </c>
      <c r="F1352" s="415" t="s">
        <v>2567</v>
      </c>
      <c r="G1352" s="415" t="s">
        <v>3478</v>
      </c>
      <c r="H1352" s="415">
        <v>0</v>
      </c>
      <c r="I1352" s="415">
        <v>0</v>
      </c>
      <c r="J1352" s="415">
        <v>8</v>
      </c>
      <c r="K1352" s="415">
        <v>2</v>
      </c>
      <c r="L1352" s="415">
        <v>515</v>
      </c>
      <c r="M1352" s="415">
        <v>205</v>
      </c>
      <c r="N1352" s="415" t="s">
        <v>2675</v>
      </c>
      <c r="O1352" s="415" t="s">
        <v>2675</v>
      </c>
      <c r="P1352" s="415">
        <v>816</v>
      </c>
      <c r="Q1352" s="415">
        <v>343</v>
      </c>
      <c r="R1352" s="415" t="s">
        <v>3069</v>
      </c>
      <c r="S1352" s="415" t="s">
        <v>3429</v>
      </c>
      <c r="T1352" s="416">
        <v>117</v>
      </c>
      <c r="U1352" s="416">
        <v>117</v>
      </c>
      <c r="V1352" s="416">
        <v>110</v>
      </c>
      <c r="W1352" s="416">
        <v>102</v>
      </c>
      <c r="X1352" s="416">
        <v>97.8</v>
      </c>
      <c r="Y1352" s="416">
        <v>94.3</v>
      </c>
      <c r="Z1352" s="416">
        <v>88.7</v>
      </c>
      <c r="AA1352" s="416">
        <v>84.1</v>
      </c>
      <c r="AB1352" s="416">
        <v>81.400000000000006</v>
      </c>
      <c r="AC1352" s="416">
        <v>80.2</v>
      </c>
      <c r="AD1352" s="416">
        <v>79</v>
      </c>
      <c r="AE1352" s="416">
        <v>77.7</v>
      </c>
      <c r="AF1352" s="416">
        <v>76.5</v>
      </c>
      <c r="AG1352" s="416">
        <v>75.900000000000006</v>
      </c>
      <c r="AH1352" s="416">
        <v>74.7</v>
      </c>
      <c r="AI1352" s="416">
        <v>74</v>
      </c>
      <c r="AJ1352" s="416">
        <v>72.8</v>
      </c>
      <c r="AK1352" s="416">
        <v>64.5</v>
      </c>
      <c r="AL1352" s="416">
        <v>50.6</v>
      </c>
      <c r="AM1352" s="416">
        <v>37.4</v>
      </c>
      <c r="AN1352" s="416">
        <v>27.5</v>
      </c>
      <c r="AO1352" s="416">
        <v>20.399999999999999</v>
      </c>
      <c r="AP1352" s="416">
        <v>14.2</v>
      </c>
      <c r="AQ1352" s="416">
        <v>9.27</v>
      </c>
      <c r="AR1352" s="416">
        <v>5.22</v>
      </c>
      <c r="AS1352" s="416">
        <v>3.23</v>
      </c>
      <c r="AT1352" s="416">
        <v>2.5299999999999998</v>
      </c>
      <c r="AU1352" s="416">
        <v>2.06</v>
      </c>
      <c r="AV1352" s="416">
        <v>1.52</v>
      </c>
      <c r="AW1352" s="416">
        <v>0.96</v>
      </c>
      <c r="AX1352" s="416">
        <v>0</v>
      </c>
      <c r="AY1352" s="416">
        <v>0</v>
      </c>
      <c r="AZ1352" s="416">
        <v>0</v>
      </c>
    </row>
    <row r="1353" spans="1:52" x14ac:dyDescent="0.25">
      <c r="A1353" s="415" t="str">
        <f t="shared" si="21"/>
        <v>SA-312 Gr.TP310S</v>
      </c>
      <c r="B1353" s="415">
        <v>1347</v>
      </c>
      <c r="C1353" s="415" t="s">
        <v>3473</v>
      </c>
      <c r="D1353" s="415" t="s">
        <v>2720</v>
      </c>
      <c r="E1353" s="415" t="s">
        <v>2208</v>
      </c>
      <c r="F1353" s="415" t="s">
        <v>2567</v>
      </c>
      <c r="G1353" s="415" t="s">
        <v>3478</v>
      </c>
      <c r="H1353" s="415">
        <v>0</v>
      </c>
      <c r="I1353" s="415">
        <v>0</v>
      </c>
      <c r="J1353" s="415">
        <v>8</v>
      </c>
      <c r="K1353" s="415">
        <v>2</v>
      </c>
      <c r="L1353" s="415">
        <v>515</v>
      </c>
      <c r="M1353" s="415">
        <v>205</v>
      </c>
      <c r="N1353" s="415">
        <v>816</v>
      </c>
      <c r="O1353" s="415">
        <v>427</v>
      </c>
      <c r="P1353" s="415">
        <v>816</v>
      </c>
      <c r="Q1353" s="415">
        <v>343</v>
      </c>
      <c r="R1353" s="415" t="s">
        <v>3069</v>
      </c>
      <c r="S1353" s="415" t="s">
        <v>3425</v>
      </c>
      <c r="T1353" s="416">
        <v>138</v>
      </c>
      <c r="U1353" s="416">
        <v>138</v>
      </c>
      <c r="V1353" s="416">
        <v>138</v>
      </c>
      <c r="W1353" s="416">
        <v>138</v>
      </c>
      <c r="X1353" s="416">
        <v>138</v>
      </c>
      <c r="Y1353" s="416">
        <v>138</v>
      </c>
      <c r="Z1353" s="416">
        <v>138</v>
      </c>
      <c r="AA1353" s="416">
        <v>135</v>
      </c>
      <c r="AB1353" s="416">
        <v>129</v>
      </c>
      <c r="AC1353" s="416">
        <v>127</v>
      </c>
      <c r="AD1353" s="416">
        <v>125</v>
      </c>
      <c r="AE1353" s="416">
        <v>123</v>
      </c>
      <c r="AF1353" s="416">
        <v>122</v>
      </c>
      <c r="AG1353" s="416">
        <v>120</v>
      </c>
      <c r="AH1353" s="416">
        <v>119</v>
      </c>
      <c r="AI1353" s="416">
        <v>117</v>
      </c>
      <c r="AJ1353" s="416">
        <v>112</v>
      </c>
      <c r="AK1353" s="416">
        <v>87.2</v>
      </c>
      <c r="AL1353" s="416">
        <v>59.2</v>
      </c>
      <c r="AM1353" s="416">
        <v>44.2</v>
      </c>
      <c r="AN1353" s="416">
        <v>31.8</v>
      </c>
      <c r="AO1353" s="416">
        <v>23.7</v>
      </c>
      <c r="AP1353" s="416">
        <v>16.899999999999999</v>
      </c>
      <c r="AQ1353" s="416">
        <v>10.7</v>
      </c>
      <c r="AR1353" s="416">
        <v>6.1</v>
      </c>
      <c r="AS1353" s="416">
        <v>3.78</v>
      </c>
      <c r="AT1353" s="416">
        <v>2.96</v>
      </c>
      <c r="AU1353" s="416">
        <v>2.4</v>
      </c>
      <c r="AV1353" s="416">
        <v>1.76</v>
      </c>
      <c r="AW1353" s="416">
        <v>1.1499999999999999</v>
      </c>
      <c r="AX1353" s="416">
        <v>0</v>
      </c>
      <c r="AY1353" s="416">
        <v>0</v>
      </c>
      <c r="AZ1353" s="416">
        <v>0</v>
      </c>
    </row>
    <row r="1354" spans="1:52" x14ac:dyDescent="0.25">
      <c r="A1354" s="415" t="str">
        <f t="shared" si="21"/>
        <v>SA-312 Gr.TP310S</v>
      </c>
      <c r="B1354" s="415">
        <v>1348</v>
      </c>
      <c r="C1354" s="415" t="s">
        <v>3473</v>
      </c>
      <c r="D1354" s="415" t="s">
        <v>2703</v>
      </c>
      <c r="E1354" s="415" t="s">
        <v>2208</v>
      </c>
      <c r="F1354" s="415" t="s">
        <v>2567</v>
      </c>
      <c r="G1354" s="415" t="s">
        <v>3478</v>
      </c>
      <c r="H1354" s="415">
        <v>0</v>
      </c>
      <c r="I1354" s="415">
        <v>0</v>
      </c>
      <c r="J1354" s="415">
        <v>8</v>
      </c>
      <c r="K1354" s="415">
        <v>2</v>
      </c>
      <c r="L1354" s="415">
        <v>515</v>
      </c>
      <c r="M1354" s="415">
        <v>205</v>
      </c>
      <c r="N1354" s="415">
        <v>816</v>
      </c>
      <c r="O1354" s="415" t="s">
        <v>2675</v>
      </c>
      <c r="P1354" s="415">
        <v>816</v>
      </c>
      <c r="Q1354" s="415">
        <v>343</v>
      </c>
      <c r="R1354" s="415" t="s">
        <v>3069</v>
      </c>
      <c r="S1354" s="415" t="s">
        <v>3428</v>
      </c>
      <c r="T1354" s="416">
        <v>138</v>
      </c>
      <c r="U1354" s="416">
        <v>138</v>
      </c>
      <c r="V1354" s="416">
        <v>129</v>
      </c>
      <c r="W1354" s="416">
        <v>120</v>
      </c>
      <c r="X1354" s="416">
        <v>115</v>
      </c>
      <c r="Y1354" s="416">
        <v>111</v>
      </c>
      <c r="Z1354" s="416">
        <v>105</v>
      </c>
      <c r="AA1354" s="416">
        <v>100</v>
      </c>
      <c r="AB1354" s="416">
        <v>95.4</v>
      </c>
      <c r="AC1354" s="416">
        <v>94</v>
      </c>
      <c r="AD1354" s="416">
        <v>92.8</v>
      </c>
      <c r="AE1354" s="416">
        <v>91.5</v>
      </c>
      <c r="AF1354" s="416">
        <v>90.3</v>
      </c>
      <c r="AG1354" s="416">
        <v>89</v>
      </c>
      <c r="AH1354" s="416">
        <v>87.8</v>
      </c>
      <c r="AI1354" s="416">
        <v>86.5</v>
      </c>
      <c r="AJ1354" s="416">
        <v>85.3</v>
      </c>
      <c r="AK1354" s="416">
        <v>77.8</v>
      </c>
      <c r="AL1354" s="416">
        <v>59.2</v>
      </c>
      <c r="AM1354" s="416">
        <v>44.2</v>
      </c>
      <c r="AN1354" s="416">
        <v>31.8</v>
      </c>
      <c r="AO1354" s="416">
        <v>23.7</v>
      </c>
      <c r="AP1354" s="416">
        <v>16.899999999999999</v>
      </c>
      <c r="AQ1354" s="416">
        <v>10.7</v>
      </c>
      <c r="AR1354" s="416">
        <v>6.1</v>
      </c>
      <c r="AS1354" s="416">
        <v>3.78</v>
      </c>
      <c r="AT1354" s="416">
        <v>2.96</v>
      </c>
      <c r="AU1354" s="416">
        <v>2.4</v>
      </c>
      <c r="AV1354" s="416">
        <v>1.76</v>
      </c>
      <c r="AW1354" s="416">
        <v>1.1499999999999999</v>
      </c>
      <c r="AX1354" s="416">
        <v>0</v>
      </c>
      <c r="AY1354" s="416">
        <v>0</v>
      </c>
      <c r="AZ1354" s="416">
        <v>0</v>
      </c>
    </row>
    <row r="1355" spans="1:52" x14ac:dyDescent="0.25">
      <c r="A1355" s="415" t="str">
        <f t="shared" si="21"/>
        <v>SA-312 Gr.TP310S</v>
      </c>
      <c r="B1355" s="415">
        <v>1349</v>
      </c>
      <c r="C1355" s="415" t="s">
        <v>3473</v>
      </c>
      <c r="D1355" s="415" t="s">
        <v>2680</v>
      </c>
      <c r="E1355" s="415" t="s">
        <v>2208</v>
      </c>
      <c r="F1355" s="415" t="s">
        <v>2567</v>
      </c>
      <c r="G1355" s="415" t="s">
        <v>3478</v>
      </c>
      <c r="H1355" s="415">
        <v>0</v>
      </c>
      <c r="I1355" s="415">
        <v>0</v>
      </c>
      <c r="J1355" s="415">
        <v>8</v>
      </c>
      <c r="K1355" s="415">
        <v>2</v>
      </c>
      <c r="L1355" s="415">
        <v>515</v>
      </c>
      <c r="M1355" s="415">
        <v>205</v>
      </c>
      <c r="N1355" s="415">
        <v>816</v>
      </c>
      <c r="O1355" s="415" t="s">
        <v>2675</v>
      </c>
      <c r="P1355" s="415">
        <v>816</v>
      </c>
      <c r="Q1355" s="415">
        <v>343</v>
      </c>
      <c r="R1355" s="415" t="s">
        <v>3069</v>
      </c>
      <c r="S1355" s="415" t="s">
        <v>3479</v>
      </c>
      <c r="T1355" s="416">
        <v>117</v>
      </c>
      <c r="U1355" s="416">
        <v>117</v>
      </c>
      <c r="V1355" s="416">
        <v>117</v>
      </c>
      <c r="W1355" s="416">
        <v>117</v>
      </c>
      <c r="X1355" s="416">
        <v>117</v>
      </c>
      <c r="Y1355" s="416">
        <v>117</v>
      </c>
      <c r="Z1355" s="416">
        <v>117</v>
      </c>
      <c r="AA1355" s="416">
        <v>114</v>
      </c>
      <c r="AB1355" s="416">
        <v>109</v>
      </c>
      <c r="AC1355" s="416">
        <v>108</v>
      </c>
      <c r="AD1355" s="416">
        <v>106</v>
      </c>
      <c r="AE1355" s="416">
        <v>105</v>
      </c>
      <c r="AF1355" s="416">
        <v>103</v>
      </c>
      <c r="AG1355" s="416">
        <v>102</v>
      </c>
      <c r="AH1355" s="416">
        <v>101</v>
      </c>
      <c r="AI1355" s="416">
        <v>99.3</v>
      </c>
      <c r="AJ1355" s="416">
        <v>98.5</v>
      </c>
      <c r="AK1355" s="416">
        <v>74.7</v>
      </c>
      <c r="AL1355" s="416">
        <v>50.6</v>
      </c>
      <c r="AM1355" s="416">
        <v>37.4</v>
      </c>
      <c r="AN1355" s="416">
        <v>27.5</v>
      </c>
      <c r="AO1355" s="416">
        <v>20.399999999999999</v>
      </c>
      <c r="AP1355" s="416">
        <v>14.2</v>
      </c>
      <c r="AQ1355" s="416">
        <v>9.27</v>
      </c>
      <c r="AR1355" s="416">
        <v>5.22</v>
      </c>
      <c r="AS1355" s="416">
        <v>3.23</v>
      </c>
      <c r="AT1355" s="416">
        <v>2.5299999999999998</v>
      </c>
      <c r="AU1355" s="416">
        <v>2.06</v>
      </c>
      <c r="AV1355" s="416">
        <v>1.52</v>
      </c>
      <c r="AW1355" s="416">
        <v>0.96</v>
      </c>
      <c r="AX1355" s="416">
        <v>0</v>
      </c>
      <c r="AY1355" s="416">
        <v>0</v>
      </c>
      <c r="AZ1355" s="416">
        <v>0</v>
      </c>
    </row>
    <row r="1356" spans="1:52" x14ac:dyDescent="0.25">
      <c r="A1356" s="415" t="str">
        <f t="shared" si="21"/>
        <v>SA-312 Gr.TP310S</v>
      </c>
      <c r="B1356" s="415">
        <v>1350</v>
      </c>
      <c r="C1356" s="415" t="s">
        <v>3473</v>
      </c>
      <c r="D1356" s="415" t="s">
        <v>2680</v>
      </c>
      <c r="E1356" s="415" t="s">
        <v>2208</v>
      </c>
      <c r="F1356" s="415" t="s">
        <v>2567</v>
      </c>
      <c r="G1356" s="415" t="s">
        <v>3478</v>
      </c>
      <c r="H1356" s="415">
        <v>0</v>
      </c>
      <c r="I1356" s="415">
        <v>0</v>
      </c>
      <c r="J1356" s="415">
        <v>8</v>
      </c>
      <c r="K1356" s="415">
        <v>2</v>
      </c>
      <c r="L1356" s="415">
        <v>515</v>
      </c>
      <c r="M1356" s="415">
        <v>205</v>
      </c>
      <c r="N1356" s="415">
        <v>816</v>
      </c>
      <c r="O1356" s="415" t="s">
        <v>2675</v>
      </c>
      <c r="P1356" s="415">
        <v>816</v>
      </c>
      <c r="Q1356" s="415">
        <v>343</v>
      </c>
      <c r="R1356" s="415" t="s">
        <v>3069</v>
      </c>
      <c r="S1356" s="415" t="s">
        <v>3480</v>
      </c>
      <c r="T1356" s="416">
        <v>117</v>
      </c>
      <c r="U1356" s="416">
        <v>117</v>
      </c>
      <c r="V1356" s="416">
        <v>110</v>
      </c>
      <c r="W1356" s="416">
        <v>102</v>
      </c>
      <c r="X1356" s="416">
        <v>97.8</v>
      </c>
      <c r="Y1356" s="416">
        <v>94.3</v>
      </c>
      <c r="Z1356" s="416">
        <v>88.7</v>
      </c>
      <c r="AA1356" s="416">
        <v>84.1</v>
      </c>
      <c r="AB1356" s="416">
        <v>81.400000000000006</v>
      </c>
      <c r="AC1356" s="416">
        <v>80.2</v>
      </c>
      <c r="AD1356" s="416">
        <v>79</v>
      </c>
      <c r="AE1356" s="416">
        <v>77.7</v>
      </c>
      <c r="AF1356" s="416">
        <v>76.5</v>
      </c>
      <c r="AG1356" s="416">
        <v>75.900000000000006</v>
      </c>
      <c r="AH1356" s="416">
        <v>74.7</v>
      </c>
      <c r="AI1356" s="416">
        <v>74</v>
      </c>
      <c r="AJ1356" s="416">
        <v>72.8</v>
      </c>
      <c r="AK1356" s="416">
        <v>64.5</v>
      </c>
      <c r="AL1356" s="416">
        <v>50.6</v>
      </c>
      <c r="AM1356" s="416">
        <v>37.4</v>
      </c>
      <c r="AN1356" s="416">
        <v>27.5</v>
      </c>
      <c r="AO1356" s="416">
        <v>20.399999999999999</v>
      </c>
      <c r="AP1356" s="416">
        <v>14.2</v>
      </c>
      <c r="AQ1356" s="416">
        <v>9.27</v>
      </c>
      <c r="AR1356" s="416">
        <v>5.22</v>
      </c>
      <c r="AS1356" s="416">
        <v>3.23</v>
      </c>
      <c r="AT1356" s="416">
        <v>2.5299999999999998</v>
      </c>
      <c r="AU1356" s="416">
        <v>2.06</v>
      </c>
      <c r="AV1356" s="416">
        <v>1.52</v>
      </c>
      <c r="AW1356" s="416">
        <v>0.96</v>
      </c>
      <c r="AX1356" s="416">
        <v>0</v>
      </c>
      <c r="AY1356" s="416">
        <v>0</v>
      </c>
      <c r="AZ1356" s="416">
        <v>0</v>
      </c>
    </row>
    <row r="1357" spans="1:52" x14ac:dyDescent="0.25">
      <c r="A1357" s="415" t="str">
        <f t="shared" si="21"/>
        <v>SA-358 Gr.310S</v>
      </c>
      <c r="B1357" s="415">
        <v>1351</v>
      </c>
      <c r="C1357" s="415" t="s">
        <v>3473</v>
      </c>
      <c r="D1357" s="415" t="s">
        <v>2680</v>
      </c>
      <c r="E1357" s="415" t="s">
        <v>2217</v>
      </c>
      <c r="F1357" s="415" t="s">
        <v>2264</v>
      </c>
      <c r="G1357" s="415" t="s">
        <v>3478</v>
      </c>
      <c r="H1357" s="415">
        <v>1</v>
      </c>
      <c r="I1357" s="415">
        <v>0</v>
      </c>
      <c r="J1357" s="415">
        <v>8</v>
      </c>
      <c r="K1357" s="415">
        <v>2</v>
      </c>
      <c r="L1357" s="415">
        <v>515</v>
      </c>
      <c r="M1357" s="415">
        <v>205</v>
      </c>
      <c r="N1357" s="415" t="s">
        <v>2675</v>
      </c>
      <c r="O1357" s="415">
        <v>427</v>
      </c>
      <c r="P1357" s="415" t="s">
        <v>2675</v>
      </c>
      <c r="Q1357" s="415" t="s">
        <v>2675</v>
      </c>
      <c r="R1357" s="415" t="s">
        <v>3069</v>
      </c>
      <c r="S1357" s="415" t="s">
        <v>3208</v>
      </c>
      <c r="T1357" s="416">
        <v>138</v>
      </c>
      <c r="U1357" s="416">
        <v>138</v>
      </c>
      <c r="V1357" s="416">
        <v>138</v>
      </c>
      <c r="W1357" s="416">
        <v>138</v>
      </c>
      <c r="X1357" s="416">
        <v>138</v>
      </c>
      <c r="Y1357" s="416">
        <v>138</v>
      </c>
      <c r="Z1357" s="416">
        <v>138</v>
      </c>
      <c r="AA1357" s="416">
        <v>135</v>
      </c>
      <c r="AB1357" s="416">
        <v>129</v>
      </c>
      <c r="AC1357" s="416">
        <v>127</v>
      </c>
      <c r="AD1357" s="416">
        <v>125</v>
      </c>
      <c r="AE1357" s="416">
        <v>123</v>
      </c>
      <c r="AF1357" s="416">
        <v>122</v>
      </c>
      <c r="AG1357" s="416">
        <v>120</v>
      </c>
      <c r="AH1357" s="416">
        <v>119</v>
      </c>
      <c r="AI1357" s="416">
        <v>0</v>
      </c>
      <c r="AJ1357" s="416">
        <v>0</v>
      </c>
      <c r="AK1357" s="416">
        <v>0</v>
      </c>
      <c r="AL1357" s="416">
        <v>0</v>
      </c>
      <c r="AM1357" s="416">
        <v>0</v>
      </c>
      <c r="AN1357" s="416">
        <v>0</v>
      </c>
      <c r="AO1357" s="416">
        <v>0</v>
      </c>
      <c r="AP1357" s="416">
        <v>0</v>
      </c>
      <c r="AQ1357" s="416">
        <v>0</v>
      </c>
      <c r="AR1357" s="416">
        <v>0</v>
      </c>
      <c r="AS1357" s="416">
        <v>0</v>
      </c>
      <c r="AT1357" s="416">
        <v>0</v>
      </c>
      <c r="AU1357" s="416">
        <v>0</v>
      </c>
      <c r="AV1357" s="416">
        <v>0</v>
      </c>
      <c r="AW1357" s="416">
        <v>0</v>
      </c>
      <c r="AX1357" s="416">
        <v>0</v>
      </c>
      <c r="AY1357" s="416">
        <v>0</v>
      </c>
      <c r="AZ1357" s="416">
        <v>0</v>
      </c>
    </row>
    <row r="1358" spans="1:52" x14ac:dyDescent="0.25">
      <c r="A1358" s="415" t="str">
        <f t="shared" si="21"/>
        <v>SA-403 Gr.310S</v>
      </c>
      <c r="B1358" s="415">
        <v>1352</v>
      </c>
      <c r="C1358" s="415" t="s">
        <v>3473</v>
      </c>
      <c r="D1358" s="415" t="s">
        <v>2758</v>
      </c>
      <c r="E1358" s="415" t="s">
        <v>2229</v>
      </c>
      <c r="F1358" s="415" t="s">
        <v>2264</v>
      </c>
      <c r="G1358" s="415" t="s">
        <v>3478</v>
      </c>
      <c r="H1358" s="415">
        <v>0</v>
      </c>
      <c r="I1358" s="415">
        <v>0</v>
      </c>
      <c r="J1358" s="415">
        <v>8</v>
      </c>
      <c r="K1358" s="415">
        <v>2</v>
      </c>
      <c r="L1358" s="415">
        <v>515</v>
      </c>
      <c r="M1358" s="415">
        <v>205</v>
      </c>
      <c r="N1358" s="415" t="s">
        <v>2675</v>
      </c>
      <c r="O1358" s="415">
        <v>427</v>
      </c>
      <c r="P1358" s="415">
        <v>816</v>
      </c>
      <c r="Q1358" s="415">
        <v>343</v>
      </c>
      <c r="R1358" s="415" t="s">
        <v>3069</v>
      </c>
      <c r="S1358" s="415" t="s">
        <v>3425</v>
      </c>
      <c r="T1358" s="416">
        <v>138</v>
      </c>
      <c r="U1358" s="416">
        <v>138</v>
      </c>
      <c r="V1358" s="416">
        <v>138</v>
      </c>
      <c r="W1358" s="416">
        <v>138</v>
      </c>
      <c r="X1358" s="416">
        <v>138</v>
      </c>
      <c r="Y1358" s="416">
        <v>138</v>
      </c>
      <c r="Z1358" s="416">
        <v>138</v>
      </c>
      <c r="AA1358" s="416">
        <v>135</v>
      </c>
      <c r="AB1358" s="416">
        <v>129</v>
      </c>
      <c r="AC1358" s="416">
        <v>127</v>
      </c>
      <c r="AD1358" s="416">
        <v>125</v>
      </c>
      <c r="AE1358" s="416">
        <v>123</v>
      </c>
      <c r="AF1358" s="416">
        <v>122</v>
      </c>
      <c r="AG1358" s="416">
        <v>120</v>
      </c>
      <c r="AH1358" s="416">
        <v>119</v>
      </c>
      <c r="AI1358" s="416">
        <v>117</v>
      </c>
      <c r="AJ1358" s="416">
        <v>112</v>
      </c>
      <c r="AK1358" s="416">
        <v>87.2</v>
      </c>
      <c r="AL1358" s="416">
        <v>59.2</v>
      </c>
      <c r="AM1358" s="416">
        <v>44.2</v>
      </c>
      <c r="AN1358" s="416">
        <v>31.8</v>
      </c>
      <c r="AO1358" s="416">
        <v>23.7</v>
      </c>
      <c r="AP1358" s="416">
        <v>16.899999999999999</v>
      </c>
      <c r="AQ1358" s="416">
        <v>10.7</v>
      </c>
      <c r="AR1358" s="416">
        <v>6.1</v>
      </c>
      <c r="AS1358" s="416">
        <v>3.78</v>
      </c>
      <c r="AT1358" s="416">
        <v>2.96</v>
      </c>
      <c r="AU1358" s="416">
        <v>2.4</v>
      </c>
      <c r="AV1358" s="416">
        <v>1.76</v>
      </c>
      <c r="AW1358" s="416">
        <v>1.1499999999999999</v>
      </c>
      <c r="AX1358" s="416">
        <v>0</v>
      </c>
      <c r="AY1358" s="416">
        <v>0</v>
      </c>
      <c r="AZ1358" s="416">
        <v>0</v>
      </c>
    </row>
    <row r="1359" spans="1:52" x14ac:dyDescent="0.25">
      <c r="A1359" s="415" t="str">
        <f t="shared" si="21"/>
        <v>SA-479 Gr.310S</v>
      </c>
      <c r="B1359" s="415">
        <v>1353</v>
      </c>
      <c r="C1359" s="415" t="s">
        <v>3473</v>
      </c>
      <c r="D1359" s="415" t="s">
        <v>2677</v>
      </c>
      <c r="E1359" s="415" t="s">
        <v>2245</v>
      </c>
      <c r="F1359" s="415" t="s">
        <v>2264</v>
      </c>
      <c r="G1359" s="415" t="s">
        <v>3478</v>
      </c>
      <c r="H1359" s="415">
        <v>0</v>
      </c>
      <c r="I1359" s="415">
        <v>0</v>
      </c>
      <c r="J1359" s="415">
        <v>8</v>
      </c>
      <c r="K1359" s="415">
        <v>2</v>
      </c>
      <c r="L1359" s="415">
        <v>515</v>
      </c>
      <c r="M1359" s="415">
        <v>205</v>
      </c>
      <c r="N1359" s="415">
        <v>538</v>
      </c>
      <c r="O1359" s="415" t="s">
        <v>2675</v>
      </c>
      <c r="P1359" s="415">
        <v>538</v>
      </c>
      <c r="Q1359" s="415">
        <v>343</v>
      </c>
      <c r="R1359" s="415" t="s">
        <v>3069</v>
      </c>
      <c r="S1359" s="415" t="s">
        <v>3434</v>
      </c>
      <c r="T1359" s="416">
        <v>138</v>
      </c>
      <c r="U1359" s="416">
        <v>138</v>
      </c>
      <c r="V1359" s="416">
        <v>129</v>
      </c>
      <c r="W1359" s="416">
        <v>120</v>
      </c>
      <c r="X1359" s="416">
        <v>115</v>
      </c>
      <c r="Y1359" s="416">
        <v>111</v>
      </c>
      <c r="Z1359" s="416">
        <v>105</v>
      </c>
      <c r="AA1359" s="416">
        <v>100</v>
      </c>
      <c r="AB1359" s="416">
        <v>95.4</v>
      </c>
      <c r="AC1359" s="416">
        <v>94</v>
      </c>
      <c r="AD1359" s="416">
        <v>92.8</v>
      </c>
      <c r="AE1359" s="416">
        <v>91.5</v>
      </c>
      <c r="AF1359" s="416">
        <v>90.3</v>
      </c>
      <c r="AG1359" s="416">
        <v>89</v>
      </c>
      <c r="AH1359" s="416">
        <v>87.8</v>
      </c>
      <c r="AI1359" s="416">
        <v>86.5</v>
      </c>
      <c r="AJ1359" s="416">
        <v>85.3</v>
      </c>
      <c r="AK1359" s="416">
        <v>77.8</v>
      </c>
      <c r="AL1359" s="416">
        <v>59.2</v>
      </c>
      <c r="AM1359" s="416">
        <v>0</v>
      </c>
      <c r="AN1359" s="416">
        <v>0</v>
      </c>
      <c r="AO1359" s="416">
        <v>0</v>
      </c>
      <c r="AP1359" s="416">
        <v>0</v>
      </c>
      <c r="AQ1359" s="416">
        <v>0</v>
      </c>
      <c r="AR1359" s="416">
        <v>0</v>
      </c>
      <c r="AS1359" s="416">
        <v>0</v>
      </c>
      <c r="AT1359" s="416">
        <v>0</v>
      </c>
      <c r="AU1359" s="416">
        <v>0</v>
      </c>
      <c r="AV1359" s="416">
        <v>0</v>
      </c>
      <c r="AW1359" s="416">
        <v>0</v>
      </c>
      <c r="AX1359" s="416">
        <v>0</v>
      </c>
      <c r="AY1359" s="416">
        <v>0</v>
      </c>
      <c r="AZ1359" s="416">
        <v>0</v>
      </c>
    </row>
    <row r="1360" spans="1:52" x14ac:dyDescent="0.25">
      <c r="A1360" s="415" t="str">
        <f t="shared" si="21"/>
        <v>SA-479 Gr.310S</v>
      </c>
      <c r="B1360" s="415">
        <v>1354</v>
      </c>
      <c r="C1360" s="415" t="s">
        <v>3473</v>
      </c>
      <c r="D1360" s="415" t="s">
        <v>2677</v>
      </c>
      <c r="E1360" s="415" t="s">
        <v>2245</v>
      </c>
      <c r="F1360" s="415" t="s">
        <v>2264</v>
      </c>
      <c r="G1360" s="415" t="s">
        <v>3478</v>
      </c>
      <c r="H1360" s="415">
        <v>0</v>
      </c>
      <c r="I1360" s="415">
        <v>0</v>
      </c>
      <c r="J1360" s="415">
        <v>8</v>
      </c>
      <c r="K1360" s="415">
        <v>2</v>
      </c>
      <c r="L1360" s="415">
        <v>515</v>
      </c>
      <c r="M1360" s="415">
        <v>205</v>
      </c>
      <c r="N1360" s="415">
        <v>538</v>
      </c>
      <c r="O1360" s="415">
        <v>427</v>
      </c>
      <c r="P1360" s="415">
        <v>538</v>
      </c>
      <c r="Q1360" s="415">
        <v>343</v>
      </c>
      <c r="R1360" s="415" t="s">
        <v>3069</v>
      </c>
      <c r="S1360" s="415" t="s">
        <v>3433</v>
      </c>
      <c r="T1360" s="416">
        <v>138</v>
      </c>
      <c r="U1360" s="416">
        <v>138</v>
      </c>
      <c r="V1360" s="416">
        <v>138</v>
      </c>
      <c r="W1360" s="416">
        <v>138</v>
      </c>
      <c r="X1360" s="416">
        <v>138</v>
      </c>
      <c r="Y1360" s="416">
        <v>138</v>
      </c>
      <c r="Z1360" s="416">
        <v>138</v>
      </c>
      <c r="AA1360" s="416">
        <v>135</v>
      </c>
      <c r="AB1360" s="416">
        <v>129</v>
      </c>
      <c r="AC1360" s="416">
        <v>127</v>
      </c>
      <c r="AD1360" s="416">
        <v>125</v>
      </c>
      <c r="AE1360" s="416">
        <v>123</v>
      </c>
      <c r="AF1360" s="416">
        <v>122</v>
      </c>
      <c r="AG1360" s="416">
        <v>120</v>
      </c>
      <c r="AH1360" s="416">
        <v>119</v>
      </c>
      <c r="AI1360" s="416">
        <v>117</v>
      </c>
      <c r="AJ1360" s="416">
        <v>112</v>
      </c>
      <c r="AK1360" s="416">
        <v>87.2</v>
      </c>
      <c r="AL1360" s="416">
        <v>59.2</v>
      </c>
      <c r="AM1360" s="416">
        <v>0</v>
      </c>
      <c r="AN1360" s="416">
        <v>0</v>
      </c>
      <c r="AO1360" s="416">
        <v>0</v>
      </c>
      <c r="AP1360" s="416">
        <v>0</v>
      </c>
      <c r="AQ1360" s="416">
        <v>0</v>
      </c>
      <c r="AR1360" s="416">
        <v>0</v>
      </c>
      <c r="AS1360" s="416">
        <v>0</v>
      </c>
      <c r="AT1360" s="416">
        <v>0</v>
      </c>
      <c r="AU1360" s="416">
        <v>0</v>
      </c>
      <c r="AV1360" s="416">
        <v>0</v>
      </c>
      <c r="AW1360" s="416">
        <v>0</v>
      </c>
      <c r="AX1360" s="416">
        <v>0</v>
      </c>
      <c r="AY1360" s="416">
        <v>0</v>
      </c>
      <c r="AZ1360" s="416">
        <v>0</v>
      </c>
    </row>
    <row r="1361" spans="1:52" x14ac:dyDescent="0.25">
      <c r="A1361" s="415" t="str">
        <f t="shared" si="21"/>
        <v>SA-813 Gr.TP310S</v>
      </c>
      <c r="B1361" s="415">
        <v>1355</v>
      </c>
      <c r="C1361" s="415" t="s">
        <v>3473</v>
      </c>
      <c r="D1361" s="415" t="s">
        <v>2680</v>
      </c>
      <c r="E1361" s="415" t="s">
        <v>2328</v>
      </c>
      <c r="F1361" s="415" t="s">
        <v>2567</v>
      </c>
      <c r="G1361" s="415" t="s">
        <v>3478</v>
      </c>
      <c r="H1361" s="415">
        <v>0</v>
      </c>
      <c r="I1361" s="415">
        <v>0</v>
      </c>
      <c r="J1361" s="415">
        <v>8</v>
      </c>
      <c r="K1361" s="415">
        <v>2</v>
      </c>
      <c r="L1361" s="415">
        <v>515</v>
      </c>
      <c r="M1361" s="415">
        <v>205</v>
      </c>
      <c r="N1361" s="415" t="s">
        <v>2675</v>
      </c>
      <c r="O1361" s="415" t="s">
        <v>2675</v>
      </c>
      <c r="P1361" s="415">
        <v>816</v>
      </c>
      <c r="Q1361" s="415">
        <v>343</v>
      </c>
      <c r="R1361" s="415" t="s">
        <v>3069</v>
      </c>
      <c r="S1361" s="415" t="s">
        <v>3320</v>
      </c>
      <c r="T1361" s="416">
        <v>117</v>
      </c>
      <c r="U1361" s="416">
        <v>117</v>
      </c>
      <c r="V1361" s="416">
        <v>117</v>
      </c>
      <c r="W1361" s="416">
        <v>117</v>
      </c>
      <c r="X1361" s="416">
        <v>117</v>
      </c>
      <c r="Y1361" s="416">
        <v>117</v>
      </c>
      <c r="Z1361" s="416">
        <v>117</v>
      </c>
      <c r="AA1361" s="416">
        <v>114</v>
      </c>
      <c r="AB1361" s="416">
        <v>109</v>
      </c>
      <c r="AC1361" s="416">
        <v>108</v>
      </c>
      <c r="AD1361" s="416">
        <v>106</v>
      </c>
      <c r="AE1361" s="416">
        <v>105</v>
      </c>
      <c r="AF1361" s="416">
        <v>103</v>
      </c>
      <c r="AG1361" s="416">
        <v>102</v>
      </c>
      <c r="AH1361" s="416">
        <v>101</v>
      </c>
      <c r="AI1361" s="416">
        <v>99.3</v>
      </c>
      <c r="AJ1361" s="416">
        <v>98.5</v>
      </c>
      <c r="AK1361" s="416">
        <v>74.7</v>
      </c>
      <c r="AL1361" s="416">
        <v>50.6</v>
      </c>
      <c r="AM1361" s="416">
        <v>37.4</v>
      </c>
      <c r="AN1361" s="416">
        <v>27.5</v>
      </c>
      <c r="AO1361" s="416">
        <v>20.399999999999999</v>
      </c>
      <c r="AP1361" s="416">
        <v>14.2</v>
      </c>
      <c r="AQ1361" s="416">
        <v>9.27</v>
      </c>
      <c r="AR1361" s="416">
        <v>5.22</v>
      </c>
      <c r="AS1361" s="416">
        <v>3.23</v>
      </c>
      <c r="AT1361" s="416">
        <v>2.5299999999999998</v>
      </c>
      <c r="AU1361" s="416">
        <v>2.06</v>
      </c>
      <c r="AV1361" s="416">
        <v>1.52</v>
      </c>
      <c r="AW1361" s="416">
        <v>0.96</v>
      </c>
      <c r="AX1361" s="416">
        <v>0</v>
      </c>
      <c r="AY1361" s="416">
        <v>0</v>
      </c>
      <c r="AZ1361" s="416">
        <v>0</v>
      </c>
    </row>
    <row r="1362" spans="1:52" x14ac:dyDescent="0.25">
      <c r="A1362" s="415" t="str">
        <f t="shared" si="21"/>
        <v>SA-813 Gr.TP310S</v>
      </c>
      <c r="B1362" s="415">
        <v>1356</v>
      </c>
      <c r="C1362" s="415" t="s">
        <v>3473</v>
      </c>
      <c r="D1362" s="415" t="s">
        <v>2680</v>
      </c>
      <c r="E1362" s="415" t="s">
        <v>2328</v>
      </c>
      <c r="F1362" s="415" t="s">
        <v>2567</v>
      </c>
      <c r="G1362" s="415" t="s">
        <v>3478</v>
      </c>
      <c r="H1362" s="415">
        <v>0</v>
      </c>
      <c r="I1362" s="415">
        <v>0</v>
      </c>
      <c r="J1362" s="415">
        <v>8</v>
      </c>
      <c r="K1362" s="415">
        <v>2</v>
      </c>
      <c r="L1362" s="415">
        <v>515</v>
      </c>
      <c r="M1362" s="415">
        <v>205</v>
      </c>
      <c r="N1362" s="415" t="s">
        <v>2675</v>
      </c>
      <c r="O1362" s="415" t="s">
        <v>2675</v>
      </c>
      <c r="P1362" s="415">
        <v>816</v>
      </c>
      <c r="Q1362" s="415">
        <v>343</v>
      </c>
      <c r="R1362" s="415" t="s">
        <v>3069</v>
      </c>
      <c r="S1362" s="415" t="s">
        <v>3429</v>
      </c>
      <c r="T1362" s="416">
        <v>117</v>
      </c>
      <c r="U1362" s="416">
        <v>117</v>
      </c>
      <c r="V1362" s="416">
        <v>110</v>
      </c>
      <c r="W1362" s="416">
        <v>102</v>
      </c>
      <c r="X1362" s="416">
        <v>97.8</v>
      </c>
      <c r="Y1362" s="416">
        <v>94.3</v>
      </c>
      <c r="Z1362" s="416">
        <v>88.7</v>
      </c>
      <c r="AA1362" s="416">
        <v>84.1</v>
      </c>
      <c r="AB1362" s="416">
        <v>81.400000000000006</v>
      </c>
      <c r="AC1362" s="416">
        <v>80.2</v>
      </c>
      <c r="AD1362" s="416">
        <v>79</v>
      </c>
      <c r="AE1362" s="416">
        <v>77.7</v>
      </c>
      <c r="AF1362" s="416">
        <v>76.5</v>
      </c>
      <c r="AG1362" s="416">
        <v>75.900000000000006</v>
      </c>
      <c r="AH1362" s="416">
        <v>74.7</v>
      </c>
      <c r="AI1362" s="416">
        <v>74</v>
      </c>
      <c r="AJ1362" s="416">
        <v>72.8</v>
      </c>
      <c r="AK1362" s="416">
        <v>64.5</v>
      </c>
      <c r="AL1362" s="416">
        <v>50.6</v>
      </c>
      <c r="AM1362" s="416">
        <v>37.4</v>
      </c>
      <c r="AN1362" s="416">
        <v>27.5</v>
      </c>
      <c r="AO1362" s="416">
        <v>20.399999999999999</v>
      </c>
      <c r="AP1362" s="416">
        <v>14.2</v>
      </c>
      <c r="AQ1362" s="416">
        <v>9.27</v>
      </c>
      <c r="AR1362" s="416">
        <v>5.22</v>
      </c>
      <c r="AS1362" s="416">
        <v>3.23</v>
      </c>
      <c r="AT1362" s="416">
        <v>2.5299999999999998</v>
      </c>
      <c r="AU1362" s="416">
        <v>2.06</v>
      </c>
      <c r="AV1362" s="416">
        <v>1.52</v>
      </c>
      <c r="AW1362" s="416">
        <v>0.96</v>
      </c>
      <c r="AX1362" s="416">
        <v>0</v>
      </c>
      <c r="AY1362" s="416">
        <v>0</v>
      </c>
      <c r="AZ1362" s="416">
        <v>0</v>
      </c>
    </row>
    <row r="1363" spans="1:52" x14ac:dyDescent="0.25">
      <c r="A1363" s="415" t="str">
        <f t="shared" si="21"/>
        <v>SA-814 Gr.TP310S</v>
      </c>
      <c r="B1363" s="415">
        <v>1357</v>
      </c>
      <c r="C1363" s="415" t="s">
        <v>3473</v>
      </c>
      <c r="D1363" s="415" t="s">
        <v>2680</v>
      </c>
      <c r="E1363" s="415" t="s">
        <v>2330</v>
      </c>
      <c r="F1363" s="415" t="s">
        <v>2567</v>
      </c>
      <c r="G1363" s="415" t="s">
        <v>3478</v>
      </c>
      <c r="H1363" s="415">
        <v>0</v>
      </c>
      <c r="I1363" s="415">
        <v>0</v>
      </c>
      <c r="J1363" s="415">
        <v>8</v>
      </c>
      <c r="K1363" s="415">
        <v>2</v>
      </c>
      <c r="L1363" s="415">
        <v>515</v>
      </c>
      <c r="M1363" s="415">
        <v>205</v>
      </c>
      <c r="N1363" s="415" t="s">
        <v>2675</v>
      </c>
      <c r="O1363" s="415" t="s">
        <v>2675</v>
      </c>
      <c r="P1363" s="415">
        <v>816</v>
      </c>
      <c r="Q1363" s="415">
        <v>343</v>
      </c>
      <c r="R1363" s="415" t="s">
        <v>3069</v>
      </c>
      <c r="S1363" s="415" t="s">
        <v>3320</v>
      </c>
      <c r="T1363" s="416">
        <v>117</v>
      </c>
      <c r="U1363" s="416">
        <v>117</v>
      </c>
      <c r="V1363" s="416">
        <v>117</v>
      </c>
      <c r="W1363" s="416">
        <v>117</v>
      </c>
      <c r="X1363" s="416">
        <v>117</v>
      </c>
      <c r="Y1363" s="416">
        <v>117</v>
      </c>
      <c r="Z1363" s="416">
        <v>117</v>
      </c>
      <c r="AA1363" s="416">
        <v>114</v>
      </c>
      <c r="AB1363" s="416">
        <v>109</v>
      </c>
      <c r="AC1363" s="416">
        <v>108</v>
      </c>
      <c r="AD1363" s="416">
        <v>106</v>
      </c>
      <c r="AE1363" s="416">
        <v>105</v>
      </c>
      <c r="AF1363" s="416">
        <v>103</v>
      </c>
      <c r="AG1363" s="416">
        <v>102</v>
      </c>
      <c r="AH1363" s="416">
        <v>101</v>
      </c>
      <c r="AI1363" s="416">
        <v>99.3</v>
      </c>
      <c r="AJ1363" s="416">
        <v>98.5</v>
      </c>
      <c r="AK1363" s="416">
        <v>74.7</v>
      </c>
      <c r="AL1363" s="416">
        <v>50.6</v>
      </c>
      <c r="AM1363" s="416">
        <v>37.4</v>
      </c>
      <c r="AN1363" s="416">
        <v>27.5</v>
      </c>
      <c r="AO1363" s="416">
        <v>20.399999999999999</v>
      </c>
      <c r="AP1363" s="416">
        <v>14.2</v>
      </c>
      <c r="AQ1363" s="416">
        <v>9.27</v>
      </c>
      <c r="AR1363" s="416">
        <v>5.22</v>
      </c>
      <c r="AS1363" s="416">
        <v>3.23</v>
      </c>
      <c r="AT1363" s="416">
        <v>2.5299999999999998</v>
      </c>
      <c r="AU1363" s="416">
        <v>2.06</v>
      </c>
      <c r="AV1363" s="416">
        <v>1.52</v>
      </c>
      <c r="AW1363" s="416">
        <v>0.96</v>
      </c>
      <c r="AX1363" s="416">
        <v>0</v>
      </c>
      <c r="AY1363" s="416">
        <v>0</v>
      </c>
      <c r="AZ1363" s="416">
        <v>0</v>
      </c>
    </row>
    <row r="1364" spans="1:52" x14ac:dyDescent="0.25">
      <c r="A1364" s="415" t="str">
        <f t="shared" si="21"/>
        <v>SA-814 Gr.TP310S</v>
      </c>
      <c r="B1364" s="415">
        <v>1358</v>
      </c>
      <c r="C1364" s="415" t="s">
        <v>3473</v>
      </c>
      <c r="D1364" s="415" t="s">
        <v>2680</v>
      </c>
      <c r="E1364" s="415" t="s">
        <v>2330</v>
      </c>
      <c r="F1364" s="415" t="s">
        <v>2567</v>
      </c>
      <c r="G1364" s="415" t="s">
        <v>3478</v>
      </c>
      <c r="H1364" s="415">
        <v>0</v>
      </c>
      <c r="I1364" s="415">
        <v>0</v>
      </c>
      <c r="J1364" s="415">
        <v>8</v>
      </c>
      <c r="K1364" s="415">
        <v>2</v>
      </c>
      <c r="L1364" s="415">
        <v>515</v>
      </c>
      <c r="M1364" s="415">
        <v>205</v>
      </c>
      <c r="N1364" s="415" t="s">
        <v>2675</v>
      </c>
      <c r="O1364" s="415" t="s">
        <v>2675</v>
      </c>
      <c r="P1364" s="415">
        <v>816</v>
      </c>
      <c r="Q1364" s="415">
        <v>343</v>
      </c>
      <c r="R1364" s="415" t="s">
        <v>3069</v>
      </c>
      <c r="S1364" s="415" t="s">
        <v>3429</v>
      </c>
      <c r="T1364" s="416">
        <v>117</v>
      </c>
      <c r="U1364" s="416">
        <v>117</v>
      </c>
      <c r="V1364" s="416">
        <v>110</v>
      </c>
      <c r="W1364" s="416">
        <v>102</v>
      </c>
      <c r="X1364" s="416">
        <v>97.8</v>
      </c>
      <c r="Y1364" s="416">
        <v>94.3</v>
      </c>
      <c r="Z1364" s="416">
        <v>88.7</v>
      </c>
      <c r="AA1364" s="416">
        <v>84.1</v>
      </c>
      <c r="AB1364" s="416">
        <v>81.400000000000006</v>
      </c>
      <c r="AC1364" s="416">
        <v>80.2</v>
      </c>
      <c r="AD1364" s="416">
        <v>79</v>
      </c>
      <c r="AE1364" s="416">
        <v>77.7</v>
      </c>
      <c r="AF1364" s="416">
        <v>76.5</v>
      </c>
      <c r="AG1364" s="416">
        <v>75.900000000000006</v>
      </c>
      <c r="AH1364" s="416">
        <v>74.7</v>
      </c>
      <c r="AI1364" s="416">
        <v>74</v>
      </c>
      <c r="AJ1364" s="416">
        <v>72.8</v>
      </c>
      <c r="AK1364" s="416">
        <v>64.5</v>
      </c>
      <c r="AL1364" s="416">
        <v>50.6</v>
      </c>
      <c r="AM1364" s="416">
        <v>37.4</v>
      </c>
      <c r="AN1364" s="416">
        <v>27.5</v>
      </c>
      <c r="AO1364" s="416">
        <v>20.399999999999999</v>
      </c>
      <c r="AP1364" s="416">
        <v>14.2</v>
      </c>
      <c r="AQ1364" s="416">
        <v>9.27</v>
      </c>
      <c r="AR1364" s="416">
        <v>5.22</v>
      </c>
      <c r="AS1364" s="416">
        <v>3.23</v>
      </c>
      <c r="AT1364" s="416">
        <v>2.5299999999999998</v>
      </c>
      <c r="AU1364" s="416">
        <v>2.06</v>
      </c>
      <c r="AV1364" s="416">
        <v>1.52</v>
      </c>
      <c r="AW1364" s="416">
        <v>0.96</v>
      </c>
      <c r="AX1364" s="416">
        <v>0</v>
      </c>
      <c r="AY1364" s="416">
        <v>0</v>
      </c>
      <c r="AZ1364" s="416">
        <v>0</v>
      </c>
    </row>
    <row r="1365" spans="1:52" x14ac:dyDescent="0.25">
      <c r="A1365" s="415" t="str">
        <f t="shared" si="21"/>
        <v>SA-213 Gr.TP310H</v>
      </c>
      <c r="B1365" s="415">
        <v>1359</v>
      </c>
      <c r="C1365" s="415" t="s">
        <v>3473</v>
      </c>
      <c r="D1365" s="415" t="s">
        <v>2693</v>
      </c>
      <c r="E1365" s="415" t="s">
        <v>2195</v>
      </c>
      <c r="F1365" s="415" t="s">
        <v>2564</v>
      </c>
      <c r="G1365" s="415" t="s">
        <v>3481</v>
      </c>
      <c r="H1365" s="415">
        <v>0</v>
      </c>
      <c r="I1365" s="415">
        <v>0</v>
      </c>
      <c r="J1365" s="415">
        <v>8</v>
      </c>
      <c r="K1365" s="415">
        <v>2</v>
      </c>
      <c r="L1365" s="415">
        <v>515</v>
      </c>
      <c r="M1365" s="415">
        <v>205</v>
      </c>
      <c r="N1365" s="415">
        <v>816</v>
      </c>
      <c r="O1365" s="415">
        <v>427</v>
      </c>
      <c r="P1365" s="415">
        <v>816</v>
      </c>
      <c r="Q1365" s="415" t="s">
        <v>2675</v>
      </c>
      <c r="R1365" s="415" t="s">
        <v>3069</v>
      </c>
      <c r="S1365" s="415" t="s">
        <v>3436</v>
      </c>
      <c r="T1365" s="416">
        <v>138</v>
      </c>
      <c r="U1365" s="416">
        <v>138</v>
      </c>
      <c r="V1365" s="416">
        <v>138</v>
      </c>
      <c r="W1365" s="416">
        <v>138</v>
      </c>
      <c r="X1365" s="416">
        <v>138</v>
      </c>
      <c r="Y1365" s="416">
        <v>138</v>
      </c>
      <c r="Z1365" s="416">
        <v>137</v>
      </c>
      <c r="AA1365" s="416">
        <v>134</v>
      </c>
      <c r="AB1365" s="416">
        <v>129</v>
      </c>
      <c r="AC1365" s="416">
        <v>127</v>
      </c>
      <c r="AD1365" s="416">
        <v>125</v>
      </c>
      <c r="AE1365" s="416">
        <v>123</v>
      </c>
      <c r="AF1365" s="416">
        <v>122</v>
      </c>
      <c r="AG1365" s="416">
        <v>120</v>
      </c>
      <c r="AH1365" s="416">
        <v>119</v>
      </c>
      <c r="AI1365" s="416">
        <v>117</v>
      </c>
      <c r="AJ1365" s="416">
        <v>116</v>
      </c>
      <c r="AK1365" s="416">
        <v>104</v>
      </c>
      <c r="AL1365" s="416">
        <v>84.7</v>
      </c>
      <c r="AM1365" s="416">
        <v>64.7</v>
      </c>
      <c r="AN1365" s="416">
        <v>48.6</v>
      </c>
      <c r="AO1365" s="416">
        <v>36.200000000000003</v>
      </c>
      <c r="AP1365" s="416">
        <v>27.3</v>
      </c>
      <c r="AQ1365" s="416">
        <v>21.1</v>
      </c>
      <c r="AR1365" s="416">
        <v>15.9</v>
      </c>
      <c r="AS1365" s="416">
        <v>12.5</v>
      </c>
      <c r="AT1365" s="416">
        <v>9.92</v>
      </c>
      <c r="AU1365" s="416">
        <v>7.64</v>
      </c>
      <c r="AV1365" s="416">
        <v>5.97</v>
      </c>
      <c r="AW1365" s="416">
        <v>4.67</v>
      </c>
      <c r="AX1365" s="416">
        <v>0</v>
      </c>
      <c r="AY1365" s="416">
        <v>0</v>
      </c>
      <c r="AZ1365" s="416">
        <v>0</v>
      </c>
    </row>
    <row r="1366" spans="1:52" x14ac:dyDescent="0.25">
      <c r="A1366" s="415" t="str">
        <f t="shared" si="21"/>
        <v>SA-240 Gr.310H</v>
      </c>
      <c r="B1366" s="415">
        <v>1360</v>
      </c>
      <c r="C1366" s="415" t="s">
        <v>3473</v>
      </c>
      <c r="D1366" s="415" t="s">
        <v>2684</v>
      </c>
      <c r="E1366" s="415" t="s">
        <v>2165</v>
      </c>
      <c r="F1366" s="415" t="s">
        <v>2259</v>
      </c>
      <c r="G1366" s="415" t="s">
        <v>3481</v>
      </c>
      <c r="H1366" s="415">
        <v>0</v>
      </c>
      <c r="I1366" s="415">
        <v>0</v>
      </c>
      <c r="J1366" s="415">
        <v>8</v>
      </c>
      <c r="K1366" s="415">
        <v>2</v>
      </c>
      <c r="L1366" s="415">
        <v>515</v>
      </c>
      <c r="M1366" s="415">
        <v>205</v>
      </c>
      <c r="N1366" s="415">
        <v>816</v>
      </c>
      <c r="O1366" s="415" t="s">
        <v>2675</v>
      </c>
      <c r="P1366" s="415">
        <v>816</v>
      </c>
      <c r="Q1366" s="415" t="s">
        <v>2675</v>
      </c>
      <c r="R1366" s="415" t="s">
        <v>3069</v>
      </c>
      <c r="S1366" s="415" t="s">
        <v>3436</v>
      </c>
      <c r="T1366" s="416">
        <v>138</v>
      </c>
      <c r="U1366" s="416">
        <v>138</v>
      </c>
      <c r="V1366" s="416">
        <v>138</v>
      </c>
      <c r="W1366" s="416">
        <v>138</v>
      </c>
      <c r="X1366" s="416">
        <v>138</v>
      </c>
      <c r="Y1366" s="416">
        <v>138</v>
      </c>
      <c r="Z1366" s="416">
        <v>137</v>
      </c>
      <c r="AA1366" s="416">
        <v>134</v>
      </c>
      <c r="AB1366" s="416">
        <v>129</v>
      </c>
      <c r="AC1366" s="416">
        <v>127</v>
      </c>
      <c r="AD1366" s="416">
        <v>125</v>
      </c>
      <c r="AE1366" s="416">
        <v>123</v>
      </c>
      <c r="AF1366" s="416">
        <v>122</v>
      </c>
      <c r="AG1366" s="416">
        <v>120</v>
      </c>
      <c r="AH1366" s="416">
        <v>119</v>
      </c>
      <c r="AI1366" s="416">
        <v>117</v>
      </c>
      <c r="AJ1366" s="416">
        <v>116</v>
      </c>
      <c r="AK1366" s="416">
        <v>104</v>
      </c>
      <c r="AL1366" s="416">
        <v>84.7</v>
      </c>
      <c r="AM1366" s="416">
        <v>64.7</v>
      </c>
      <c r="AN1366" s="416">
        <v>48.6</v>
      </c>
      <c r="AO1366" s="416">
        <v>36.200000000000003</v>
      </c>
      <c r="AP1366" s="416">
        <v>27.3</v>
      </c>
      <c r="AQ1366" s="416">
        <v>21.1</v>
      </c>
      <c r="AR1366" s="416">
        <v>15.9</v>
      </c>
      <c r="AS1366" s="416">
        <v>12.5</v>
      </c>
      <c r="AT1366" s="416">
        <v>9.92</v>
      </c>
      <c r="AU1366" s="416">
        <v>7.64</v>
      </c>
      <c r="AV1366" s="416">
        <v>5.97</v>
      </c>
      <c r="AW1366" s="416">
        <v>4.67</v>
      </c>
      <c r="AX1366" s="416">
        <v>0</v>
      </c>
      <c r="AY1366" s="416">
        <v>0</v>
      </c>
      <c r="AZ1366" s="416">
        <v>0</v>
      </c>
    </row>
    <row r="1367" spans="1:52" x14ac:dyDescent="0.25">
      <c r="A1367" s="415" t="str">
        <f t="shared" si="21"/>
        <v>SA-240 Gr.310H</v>
      </c>
      <c r="B1367" s="415">
        <v>1361</v>
      </c>
      <c r="C1367" s="415" t="s">
        <v>3473</v>
      </c>
      <c r="D1367" s="415" t="s">
        <v>2684</v>
      </c>
      <c r="E1367" s="415" t="s">
        <v>2165</v>
      </c>
      <c r="F1367" s="415" t="s">
        <v>2259</v>
      </c>
      <c r="G1367" s="415" t="s">
        <v>3481</v>
      </c>
      <c r="H1367" s="415">
        <v>0</v>
      </c>
      <c r="I1367" s="415">
        <v>0</v>
      </c>
      <c r="J1367" s="415">
        <v>8</v>
      </c>
      <c r="K1367" s="415">
        <v>2</v>
      </c>
      <c r="L1367" s="415">
        <v>515</v>
      </c>
      <c r="M1367" s="415">
        <v>205</v>
      </c>
      <c r="N1367" s="415">
        <v>816</v>
      </c>
      <c r="O1367" s="415" t="s">
        <v>2675</v>
      </c>
      <c r="P1367" s="415">
        <v>816</v>
      </c>
      <c r="Q1367" s="415" t="s">
        <v>2675</v>
      </c>
      <c r="R1367" s="415" t="s">
        <v>3069</v>
      </c>
      <c r="S1367" s="415" t="s">
        <v>2552</v>
      </c>
      <c r="T1367" s="416">
        <v>138</v>
      </c>
      <c r="U1367" s="416">
        <v>138</v>
      </c>
      <c r="V1367" s="416">
        <v>129</v>
      </c>
      <c r="W1367" s="416">
        <v>120</v>
      </c>
      <c r="X1367" s="416">
        <v>115</v>
      </c>
      <c r="Y1367" s="416">
        <v>111</v>
      </c>
      <c r="Z1367" s="416">
        <v>105</v>
      </c>
      <c r="AA1367" s="416">
        <v>99.5</v>
      </c>
      <c r="AB1367" s="416">
        <v>95.4</v>
      </c>
      <c r="AC1367" s="416">
        <v>94</v>
      </c>
      <c r="AD1367" s="416">
        <v>92.8</v>
      </c>
      <c r="AE1367" s="416">
        <v>91.5</v>
      </c>
      <c r="AF1367" s="416">
        <v>90.3</v>
      </c>
      <c r="AG1367" s="416">
        <v>89</v>
      </c>
      <c r="AH1367" s="416">
        <v>87.8</v>
      </c>
      <c r="AI1367" s="416">
        <v>86.5</v>
      </c>
      <c r="AJ1367" s="416">
        <v>85.3</v>
      </c>
      <c r="AK1367" s="416">
        <v>84</v>
      </c>
      <c r="AL1367" s="416">
        <v>79.8</v>
      </c>
      <c r="AM1367" s="416">
        <v>64.7</v>
      </c>
      <c r="AN1367" s="416">
        <v>48.6</v>
      </c>
      <c r="AO1367" s="416">
        <v>36.200000000000003</v>
      </c>
      <c r="AP1367" s="416">
        <v>27.3</v>
      </c>
      <c r="AQ1367" s="416">
        <v>21.1</v>
      </c>
      <c r="AR1367" s="416">
        <v>15.9</v>
      </c>
      <c r="AS1367" s="416">
        <v>12.5</v>
      </c>
      <c r="AT1367" s="416">
        <v>9.92</v>
      </c>
      <c r="AU1367" s="416">
        <v>7.64</v>
      </c>
      <c r="AV1367" s="416">
        <v>5.97</v>
      </c>
      <c r="AW1367" s="416">
        <v>4.67</v>
      </c>
      <c r="AX1367" s="416">
        <v>0</v>
      </c>
      <c r="AY1367" s="416">
        <v>0</v>
      </c>
      <c r="AZ1367" s="416">
        <v>0</v>
      </c>
    </row>
    <row r="1368" spans="1:52" x14ac:dyDescent="0.25">
      <c r="A1368" s="415" t="str">
        <f t="shared" si="21"/>
        <v>SA-249 Gr.TP310H</v>
      </c>
      <c r="B1368" s="415">
        <v>1362</v>
      </c>
      <c r="C1368" s="415" t="s">
        <v>3473</v>
      </c>
      <c r="D1368" s="415" t="s">
        <v>2689</v>
      </c>
      <c r="E1368" s="415" t="s">
        <v>2200</v>
      </c>
      <c r="F1368" s="415" t="s">
        <v>2564</v>
      </c>
      <c r="G1368" s="415" t="s">
        <v>3481</v>
      </c>
      <c r="H1368" s="415">
        <v>0</v>
      </c>
      <c r="I1368" s="415">
        <v>0</v>
      </c>
      <c r="J1368" s="415">
        <v>8</v>
      </c>
      <c r="K1368" s="415">
        <v>2</v>
      </c>
      <c r="L1368" s="415">
        <v>515</v>
      </c>
      <c r="M1368" s="415">
        <v>205</v>
      </c>
      <c r="N1368" s="415" t="s">
        <v>2675</v>
      </c>
      <c r="O1368" s="415">
        <v>427</v>
      </c>
      <c r="P1368" s="415" t="s">
        <v>2675</v>
      </c>
      <c r="Q1368" s="415" t="s">
        <v>2675</v>
      </c>
      <c r="R1368" s="415" t="s">
        <v>3069</v>
      </c>
      <c r="S1368" s="415" t="s">
        <v>3208</v>
      </c>
      <c r="T1368" s="416">
        <v>138</v>
      </c>
      <c r="U1368" s="416">
        <v>138</v>
      </c>
      <c r="V1368" s="416">
        <v>138</v>
      </c>
      <c r="W1368" s="416">
        <v>138</v>
      </c>
      <c r="X1368" s="416">
        <v>138</v>
      </c>
      <c r="Y1368" s="416">
        <v>138</v>
      </c>
      <c r="Z1368" s="416">
        <v>138</v>
      </c>
      <c r="AA1368" s="416">
        <v>135</v>
      </c>
      <c r="AB1368" s="416">
        <v>129</v>
      </c>
      <c r="AC1368" s="416">
        <v>127</v>
      </c>
      <c r="AD1368" s="416">
        <v>125</v>
      </c>
      <c r="AE1368" s="416">
        <v>123</v>
      </c>
      <c r="AF1368" s="416">
        <v>122</v>
      </c>
      <c r="AG1368" s="416">
        <v>120</v>
      </c>
      <c r="AH1368" s="416">
        <v>119</v>
      </c>
      <c r="AI1368" s="416">
        <v>0</v>
      </c>
      <c r="AJ1368" s="416">
        <v>0</v>
      </c>
      <c r="AK1368" s="416">
        <v>0</v>
      </c>
      <c r="AL1368" s="416">
        <v>0</v>
      </c>
      <c r="AM1368" s="416">
        <v>0</v>
      </c>
      <c r="AN1368" s="416">
        <v>0</v>
      </c>
      <c r="AO1368" s="416">
        <v>0</v>
      </c>
      <c r="AP1368" s="416">
        <v>0</v>
      </c>
      <c r="AQ1368" s="416">
        <v>0</v>
      </c>
      <c r="AR1368" s="416">
        <v>0</v>
      </c>
      <c r="AS1368" s="416">
        <v>0</v>
      </c>
      <c r="AT1368" s="416">
        <v>0</v>
      </c>
      <c r="AU1368" s="416">
        <v>0</v>
      </c>
      <c r="AV1368" s="416">
        <v>0</v>
      </c>
      <c r="AW1368" s="416">
        <v>0</v>
      </c>
      <c r="AX1368" s="416">
        <v>0</v>
      </c>
      <c r="AY1368" s="416">
        <v>0</v>
      </c>
      <c r="AZ1368" s="416">
        <v>0</v>
      </c>
    </row>
    <row r="1369" spans="1:52" x14ac:dyDescent="0.25">
      <c r="A1369" s="415" t="str">
        <f t="shared" si="21"/>
        <v>SA-249 Gr.TP310H</v>
      </c>
      <c r="B1369" s="415">
        <v>1363</v>
      </c>
      <c r="C1369" s="415" t="s">
        <v>3473</v>
      </c>
      <c r="D1369" s="415" t="s">
        <v>2689</v>
      </c>
      <c r="E1369" s="415" t="s">
        <v>2200</v>
      </c>
      <c r="F1369" s="415" t="s">
        <v>2564</v>
      </c>
      <c r="G1369" s="415" t="s">
        <v>3481</v>
      </c>
      <c r="H1369" s="415">
        <v>0</v>
      </c>
      <c r="I1369" s="415">
        <v>0</v>
      </c>
      <c r="J1369" s="415">
        <v>8</v>
      </c>
      <c r="K1369" s="415">
        <v>2</v>
      </c>
      <c r="L1369" s="415">
        <v>515</v>
      </c>
      <c r="M1369" s="415">
        <v>205</v>
      </c>
      <c r="N1369" s="415" t="s">
        <v>2675</v>
      </c>
      <c r="O1369" s="415" t="s">
        <v>2675</v>
      </c>
      <c r="P1369" s="415">
        <v>816</v>
      </c>
      <c r="Q1369" s="415" t="s">
        <v>2675</v>
      </c>
      <c r="R1369" s="415" t="s">
        <v>3069</v>
      </c>
      <c r="S1369" s="415" t="s">
        <v>3356</v>
      </c>
      <c r="T1369" s="416">
        <v>117</v>
      </c>
      <c r="U1369" s="416">
        <v>117</v>
      </c>
      <c r="V1369" s="416">
        <v>117</v>
      </c>
      <c r="W1369" s="416">
        <v>117</v>
      </c>
      <c r="X1369" s="416">
        <v>117</v>
      </c>
      <c r="Y1369" s="416">
        <v>117</v>
      </c>
      <c r="Z1369" s="416">
        <v>117</v>
      </c>
      <c r="AA1369" s="416">
        <v>114</v>
      </c>
      <c r="AB1369" s="416">
        <v>109</v>
      </c>
      <c r="AC1369" s="416">
        <v>108</v>
      </c>
      <c r="AD1369" s="416">
        <v>106</v>
      </c>
      <c r="AE1369" s="416">
        <v>105</v>
      </c>
      <c r="AF1369" s="416">
        <v>103</v>
      </c>
      <c r="AG1369" s="416">
        <v>102</v>
      </c>
      <c r="AH1369" s="416">
        <v>101</v>
      </c>
      <c r="AI1369" s="416">
        <v>99.6</v>
      </c>
      <c r="AJ1369" s="416">
        <v>98.4</v>
      </c>
      <c r="AK1369" s="416">
        <v>90.6</v>
      </c>
      <c r="AL1369" s="416">
        <v>71.3</v>
      </c>
      <c r="AM1369" s="416">
        <v>55.7</v>
      </c>
      <c r="AN1369" s="416">
        <v>41.5</v>
      </c>
      <c r="AO1369" s="416">
        <v>31</v>
      </c>
      <c r="AP1369" s="416">
        <v>23.2</v>
      </c>
      <c r="AQ1369" s="416">
        <v>18.2</v>
      </c>
      <c r="AR1369" s="416">
        <v>13.8</v>
      </c>
      <c r="AS1369" s="416">
        <v>10.4</v>
      </c>
      <c r="AT1369" s="416">
        <v>8.27</v>
      </c>
      <c r="AU1369" s="416">
        <v>6.5</v>
      </c>
      <c r="AV1369" s="416">
        <v>5.05</v>
      </c>
      <c r="AW1369" s="416">
        <v>4.01</v>
      </c>
      <c r="AX1369" s="416">
        <v>0</v>
      </c>
      <c r="AY1369" s="416">
        <v>0</v>
      </c>
      <c r="AZ1369" s="416">
        <v>0</v>
      </c>
    </row>
    <row r="1370" spans="1:52" x14ac:dyDescent="0.25">
      <c r="A1370" s="415" t="str">
        <f t="shared" si="21"/>
        <v>SA-249 Gr.TP310H</v>
      </c>
      <c r="B1370" s="415">
        <v>1364</v>
      </c>
      <c r="C1370" s="415" t="s">
        <v>3473</v>
      </c>
      <c r="D1370" s="415" t="s">
        <v>2689</v>
      </c>
      <c r="E1370" s="415" t="s">
        <v>2200</v>
      </c>
      <c r="F1370" s="415" t="s">
        <v>2564</v>
      </c>
      <c r="G1370" s="415" t="s">
        <v>3481</v>
      </c>
      <c r="H1370" s="415">
        <v>0</v>
      </c>
      <c r="I1370" s="415">
        <v>0</v>
      </c>
      <c r="J1370" s="415">
        <v>8</v>
      </c>
      <c r="K1370" s="415">
        <v>2</v>
      </c>
      <c r="L1370" s="415">
        <v>515</v>
      </c>
      <c r="M1370" s="415">
        <v>205</v>
      </c>
      <c r="N1370" s="415" t="s">
        <v>2675</v>
      </c>
      <c r="O1370" s="415" t="s">
        <v>2675</v>
      </c>
      <c r="P1370" s="415">
        <v>816</v>
      </c>
      <c r="Q1370" s="415" t="s">
        <v>2675</v>
      </c>
      <c r="R1370" s="415" t="s">
        <v>3069</v>
      </c>
      <c r="S1370" s="415" t="s">
        <v>3357</v>
      </c>
      <c r="T1370" s="416">
        <v>117</v>
      </c>
      <c r="U1370" s="416">
        <v>117</v>
      </c>
      <c r="V1370" s="416">
        <v>110</v>
      </c>
      <c r="W1370" s="416">
        <v>102</v>
      </c>
      <c r="X1370" s="416">
        <v>97.8</v>
      </c>
      <c r="Y1370" s="416">
        <v>94.3</v>
      </c>
      <c r="Z1370" s="416">
        <v>88.7</v>
      </c>
      <c r="AA1370" s="416">
        <v>84.1</v>
      </c>
      <c r="AB1370" s="416">
        <v>81.400000000000006</v>
      </c>
      <c r="AC1370" s="416">
        <v>80.2</v>
      </c>
      <c r="AD1370" s="416">
        <v>79</v>
      </c>
      <c r="AE1370" s="416">
        <v>77.7</v>
      </c>
      <c r="AF1370" s="416">
        <v>76.5</v>
      </c>
      <c r="AG1370" s="416">
        <v>75.900000000000006</v>
      </c>
      <c r="AH1370" s="416">
        <v>74.7</v>
      </c>
      <c r="AI1370" s="416">
        <v>74</v>
      </c>
      <c r="AJ1370" s="416">
        <v>72.900000000000006</v>
      </c>
      <c r="AK1370" s="416">
        <v>71.599999999999994</v>
      </c>
      <c r="AL1370" s="416">
        <v>66.5</v>
      </c>
      <c r="AM1370" s="416">
        <v>55.8</v>
      </c>
      <c r="AN1370" s="416">
        <v>41.5</v>
      </c>
      <c r="AO1370" s="416">
        <v>31</v>
      </c>
      <c r="AP1370" s="416">
        <v>23.2</v>
      </c>
      <c r="AQ1370" s="416">
        <v>18.2</v>
      </c>
      <c r="AR1370" s="416">
        <v>13.8</v>
      </c>
      <c r="AS1370" s="416">
        <v>10.4</v>
      </c>
      <c r="AT1370" s="416">
        <v>8.27</v>
      </c>
      <c r="AU1370" s="416">
        <v>6.5</v>
      </c>
      <c r="AV1370" s="416">
        <v>5.05</v>
      </c>
      <c r="AW1370" s="416">
        <v>4.01</v>
      </c>
      <c r="AX1370" s="416">
        <v>0</v>
      </c>
      <c r="AY1370" s="416">
        <v>0</v>
      </c>
      <c r="AZ1370" s="416">
        <v>0</v>
      </c>
    </row>
    <row r="1371" spans="1:52" x14ac:dyDescent="0.25">
      <c r="A1371" s="415" t="str">
        <f t="shared" si="21"/>
        <v>SA-312 Gr.TP310H</v>
      </c>
      <c r="B1371" s="415">
        <v>1365</v>
      </c>
      <c r="C1371" s="415" t="s">
        <v>3473</v>
      </c>
      <c r="D1371" s="415" t="s">
        <v>2703</v>
      </c>
      <c r="E1371" s="415" t="s">
        <v>2208</v>
      </c>
      <c r="F1371" s="415" t="s">
        <v>2564</v>
      </c>
      <c r="G1371" s="415" t="s">
        <v>3481</v>
      </c>
      <c r="H1371" s="415">
        <v>0</v>
      </c>
      <c r="I1371" s="415">
        <v>0</v>
      </c>
      <c r="J1371" s="415">
        <v>8</v>
      </c>
      <c r="K1371" s="415">
        <v>2</v>
      </c>
      <c r="L1371" s="415">
        <v>515</v>
      </c>
      <c r="M1371" s="415">
        <v>205</v>
      </c>
      <c r="N1371" s="415">
        <v>816</v>
      </c>
      <c r="O1371" s="415" t="s">
        <v>2675</v>
      </c>
      <c r="P1371" s="415">
        <v>816</v>
      </c>
      <c r="Q1371" s="415" t="s">
        <v>2675</v>
      </c>
      <c r="R1371" s="415" t="s">
        <v>3069</v>
      </c>
      <c r="S1371" s="415" t="s">
        <v>3436</v>
      </c>
      <c r="T1371" s="416">
        <v>138</v>
      </c>
      <c r="U1371" s="416">
        <v>138</v>
      </c>
      <c r="V1371" s="416">
        <v>138</v>
      </c>
      <c r="W1371" s="416">
        <v>138</v>
      </c>
      <c r="X1371" s="416">
        <v>138</v>
      </c>
      <c r="Y1371" s="416">
        <v>138</v>
      </c>
      <c r="Z1371" s="416">
        <v>137</v>
      </c>
      <c r="AA1371" s="416">
        <v>134</v>
      </c>
      <c r="AB1371" s="416">
        <v>129</v>
      </c>
      <c r="AC1371" s="416">
        <v>127</v>
      </c>
      <c r="AD1371" s="416">
        <v>125</v>
      </c>
      <c r="AE1371" s="416">
        <v>123</v>
      </c>
      <c r="AF1371" s="416">
        <v>122</v>
      </c>
      <c r="AG1371" s="416">
        <v>120</v>
      </c>
      <c r="AH1371" s="416">
        <v>119</v>
      </c>
      <c r="AI1371" s="416">
        <v>117</v>
      </c>
      <c r="AJ1371" s="416">
        <v>116</v>
      </c>
      <c r="AK1371" s="416">
        <v>104</v>
      </c>
      <c r="AL1371" s="416">
        <v>84.7</v>
      </c>
      <c r="AM1371" s="416">
        <v>64.7</v>
      </c>
      <c r="AN1371" s="416">
        <v>48.6</v>
      </c>
      <c r="AO1371" s="416">
        <v>36.200000000000003</v>
      </c>
      <c r="AP1371" s="416">
        <v>27.3</v>
      </c>
      <c r="AQ1371" s="416">
        <v>21.1</v>
      </c>
      <c r="AR1371" s="416">
        <v>15.9</v>
      </c>
      <c r="AS1371" s="416">
        <v>12.5</v>
      </c>
      <c r="AT1371" s="416">
        <v>9.92</v>
      </c>
      <c r="AU1371" s="416">
        <v>7.64</v>
      </c>
      <c r="AV1371" s="416">
        <v>5.97</v>
      </c>
      <c r="AW1371" s="416">
        <v>4.67</v>
      </c>
      <c r="AX1371" s="416">
        <v>0</v>
      </c>
      <c r="AY1371" s="416">
        <v>0</v>
      </c>
      <c r="AZ1371" s="416">
        <v>0</v>
      </c>
    </row>
    <row r="1372" spans="1:52" x14ac:dyDescent="0.25">
      <c r="A1372" s="415" t="str">
        <f t="shared" si="21"/>
        <v>SA-312 Gr.TP310H</v>
      </c>
      <c r="B1372" s="415">
        <v>1366</v>
      </c>
      <c r="C1372" s="415" t="s">
        <v>3473</v>
      </c>
      <c r="D1372" s="415" t="s">
        <v>2703</v>
      </c>
      <c r="E1372" s="415" t="s">
        <v>2208</v>
      </c>
      <c r="F1372" s="415" t="s">
        <v>2564</v>
      </c>
      <c r="G1372" s="415" t="s">
        <v>3481</v>
      </c>
      <c r="H1372" s="415">
        <v>0</v>
      </c>
      <c r="I1372" s="415">
        <v>0</v>
      </c>
      <c r="J1372" s="415">
        <v>8</v>
      </c>
      <c r="K1372" s="415">
        <v>2</v>
      </c>
      <c r="L1372" s="415">
        <v>515</v>
      </c>
      <c r="M1372" s="415">
        <v>205</v>
      </c>
      <c r="N1372" s="415">
        <v>816</v>
      </c>
      <c r="O1372" s="415" t="s">
        <v>2675</v>
      </c>
      <c r="P1372" s="415">
        <v>816</v>
      </c>
      <c r="Q1372" s="415" t="s">
        <v>2675</v>
      </c>
      <c r="R1372" s="415" t="s">
        <v>3069</v>
      </c>
      <c r="S1372" s="415" t="s">
        <v>2552</v>
      </c>
      <c r="T1372" s="416">
        <v>138</v>
      </c>
      <c r="U1372" s="416">
        <v>138</v>
      </c>
      <c r="V1372" s="416">
        <v>129</v>
      </c>
      <c r="W1372" s="416">
        <v>120</v>
      </c>
      <c r="X1372" s="416">
        <v>115</v>
      </c>
      <c r="Y1372" s="416">
        <v>111</v>
      </c>
      <c r="Z1372" s="416">
        <v>105</v>
      </c>
      <c r="AA1372" s="416">
        <v>99.5</v>
      </c>
      <c r="AB1372" s="416">
        <v>95.4</v>
      </c>
      <c r="AC1372" s="416">
        <v>94</v>
      </c>
      <c r="AD1372" s="416">
        <v>92.8</v>
      </c>
      <c r="AE1372" s="416">
        <v>91.5</v>
      </c>
      <c r="AF1372" s="416">
        <v>90.3</v>
      </c>
      <c r="AG1372" s="416">
        <v>89</v>
      </c>
      <c r="AH1372" s="416">
        <v>87.8</v>
      </c>
      <c r="AI1372" s="416">
        <v>86.5</v>
      </c>
      <c r="AJ1372" s="416">
        <v>85.3</v>
      </c>
      <c r="AK1372" s="416">
        <v>84</v>
      </c>
      <c r="AL1372" s="416">
        <v>79.8</v>
      </c>
      <c r="AM1372" s="416">
        <v>64.7</v>
      </c>
      <c r="AN1372" s="416">
        <v>48.6</v>
      </c>
      <c r="AO1372" s="416">
        <v>36.200000000000003</v>
      </c>
      <c r="AP1372" s="416">
        <v>27.3</v>
      </c>
      <c r="AQ1372" s="416">
        <v>21.1</v>
      </c>
      <c r="AR1372" s="416">
        <v>15.9</v>
      </c>
      <c r="AS1372" s="416">
        <v>12.5</v>
      </c>
      <c r="AT1372" s="416">
        <v>9.92</v>
      </c>
      <c r="AU1372" s="416">
        <v>7.64</v>
      </c>
      <c r="AV1372" s="416">
        <v>5.97</v>
      </c>
      <c r="AW1372" s="416">
        <v>4.67</v>
      </c>
      <c r="AX1372" s="416">
        <v>0</v>
      </c>
      <c r="AY1372" s="416">
        <v>0</v>
      </c>
      <c r="AZ1372" s="416">
        <v>0</v>
      </c>
    </row>
    <row r="1373" spans="1:52" x14ac:dyDescent="0.25">
      <c r="A1373" s="415" t="str">
        <f t="shared" si="21"/>
        <v>SA-312 Gr.TP310H</v>
      </c>
      <c r="B1373" s="415">
        <v>1367</v>
      </c>
      <c r="C1373" s="415" t="s">
        <v>3473</v>
      </c>
      <c r="D1373" s="415" t="s">
        <v>2680</v>
      </c>
      <c r="E1373" s="415" t="s">
        <v>2208</v>
      </c>
      <c r="F1373" s="415" t="s">
        <v>2564</v>
      </c>
      <c r="G1373" s="415" t="s">
        <v>3481</v>
      </c>
      <c r="H1373" s="415">
        <v>0</v>
      </c>
      <c r="I1373" s="415">
        <v>0</v>
      </c>
      <c r="J1373" s="415">
        <v>8</v>
      </c>
      <c r="K1373" s="415">
        <v>2</v>
      </c>
      <c r="L1373" s="415">
        <v>515</v>
      </c>
      <c r="M1373" s="415">
        <v>205</v>
      </c>
      <c r="N1373" s="415">
        <v>816</v>
      </c>
      <c r="O1373" s="415" t="s">
        <v>2675</v>
      </c>
      <c r="P1373" s="415">
        <v>816</v>
      </c>
      <c r="Q1373" s="415" t="s">
        <v>2675</v>
      </c>
      <c r="R1373" s="415" t="s">
        <v>3069</v>
      </c>
      <c r="S1373" s="415" t="s">
        <v>3441</v>
      </c>
      <c r="T1373" s="416">
        <v>117</v>
      </c>
      <c r="U1373" s="416">
        <v>117</v>
      </c>
      <c r="V1373" s="416">
        <v>117</v>
      </c>
      <c r="W1373" s="416">
        <v>117</v>
      </c>
      <c r="X1373" s="416">
        <v>117</v>
      </c>
      <c r="Y1373" s="416">
        <v>117</v>
      </c>
      <c r="Z1373" s="416">
        <v>117</v>
      </c>
      <c r="AA1373" s="416">
        <v>114</v>
      </c>
      <c r="AB1373" s="416">
        <v>109</v>
      </c>
      <c r="AC1373" s="416">
        <v>108</v>
      </c>
      <c r="AD1373" s="416">
        <v>106</v>
      </c>
      <c r="AE1373" s="416">
        <v>105</v>
      </c>
      <c r="AF1373" s="416">
        <v>103</v>
      </c>
      <c r="AG1373" s="416">
        <v>102</v>
      </c>
      <c r="AH1373" s="416">
        <v>101</v>
      </c>
      <c r="AI1373" s="416">
        <v>99.6</v>
      </c>
      <c r="AJ1373" s="416">
        <v>98.4</v>
      </c>
      <c r="AK1373" s="416">
        <v>90.6</v>
      </c>
      <c r="AL1373" s="416">
        <v>71.3</v>
      </c>
      <c r="AM1373" s="416">
        <v>55.7</v>
      </c>
      <c r="AN1373" s="416">
        <v>41.5</v>
      </c>
      <c r="AO1373" s="416">
        <v>31</v>
      </c>
      <c r="AP1373" s="416">
        <v>23.2</v>
      </c>
      <c r="AQ1373" s="416">
        <v>18.2</v>
      </c>
      <c r="AR1373" s="416">
        <v>13.8</v>
      </c>
      <c r="AS1373" s="416">
        <v>10.4</v>
      </c>
      <c r="AT1373" s="416">
        <v>8.27</v>
      </c>
      <c r="AU1373" s="416">
        <v>6.5</v>
      </c>
      <c r="AV1373" s="416">
        <v>5.05</v>
      </c>
      <c r="AW1373" s="416">
        <v>4.01</v>
      </c>
      <c r="AX1373" s="416">
        <v>0</v>
      </c>
      <c r="AY1373" s="416">
        <v>0</v>
      </c>
      <c r="AZ1373" s="416">
        <v>0</v>
      </c>
    </row>
    <row r="1374" spans="1:52" x14ac:dyDescent="0.25">
      <c r="A1374" s="415" t="str">
        <f t="shared" si="21"/>
        <v>SA-312 Gr.TP310H</v>
      </c>
      <c r="B1374" s="415">
        <v>1368</v>
      </c>
      <c r="C1374" s="415" t="s">
        <v>3473</v>
      </c>
      <c r="D1374" s="415" t="s">
        <v>2680</v>
      </c>
      <c r="E1374" s="415" t="s">
        <v>2208</v>
      </c>
      <c r="F1374" s="415" t="s">
        <v>2564</v>
      </c>
      <c r="G1374" s="415" t="s">
        <v>3481</v>
      </c>
      <c r="H1374" s="415">
        <v>0</v>
      </c>
      <c r="I1374" s="415">
        <v>0</v>
      </c>
      <c r="J1374" s="415">
        <v>8</v>
      </c>
      <c r="K1374" s="415">
        <v>2</v>
      </c>
      <c r="L1374" s="415">
        <v>515</v>
      </c>
      <c r="M1374" s="415">
        <v>205</v>
      </c>
      <c r="N1374" s="415">
        <v>816</v>
      </c>
      <c r="O1374" s="415" t="s">
        <v>2675</v>
      </c>
      <c r="P1374" s="415">
        <v>816</v>
      </c>
      <c r="Q1374" s="415" t="s">
        <v>2675</v>
      </c>
      <c r="R1374" s="415" t="s">
        <v>3069</v>
      </c>
      <c r="S1374" s="415" t="s">
        <v>3442</v>
      </c>
      <c r="T1374" s="416">
        <v>117</v>
      </c>
      <c r="U1374" s="416">
        <v>117</v>
      </c>
      <c r="V1374" s="416">
        <v>110</v>
      </c>
      <c r="W1374" s="416">
        <v>102</v>
      </c>
      <c r="X1374" s="416">
        <v>97.8</v>
      </c>
      <c r="Y1374" s="416">
        <v>94.3</v>
      </c>
      <c r="Z1374" s="416">
        <v>88.7</v>
      </c>
      <c r="AA1374" s="416">
        <v>84.1</v>
      </c>
      <c r="AB1374" s="416">
        <v>81.400000000000006</v>
      </c>
      <c r="AC1374" s="416">
        <v>80.2</v>
      </c>
      <c r="AD1374" s="416">
        <v>79</v>
      </c>
      <c r="AE1374" s="416">
        <v>77.7</v>
      </c>
      <c r="AF1374" s="416">
        <v>76.5</v>
      </c>
      <c r="AG1374" s="416">
        <v>75.900000000000006</v>
      </c>
      <c r="AH1374" s="416">
        <v>74.7</v>
      </c>
      <c r="AI1374" s="416">
        <v>74</v>
      </c>
      <c r="AJ1374" s="416">
        <v>72.900000000000006</v>
      </c>
      <c r="AK1374" s="416">
        <v>71.599999999999994</v>
      </c>
      <c r="AL1374" s="416">
        <v>66.5</v>
      </c>
      <c r="AM1374" s="416">
        <v>55.8</v>
      </c>
      <c r="AN1374" s="416">
        <v>41.5</v>
      </c>
      <c r="AO1374" s="416">
        <v>31</v>
      </c>
      <c r="AP1374" s="416">
        <v>23.2</v>
      </c>
      <c r="AQ1374" s="416">
        <v>18.2</v>
      </c>
      <c r="AR1374" s="416">
        <v>13.8</v>
      </c>
      <c r="AS1374" s="416">
        <v>10.4</v>
      </c>
      <c r="AT1374" s="416">
        <v>8.27</v>
      </c>
      <c r="AU1374" s="416">
        <v>6.5</v>
      </c>
      <c r="AV1374" s="416">
        <v>5.05</v>
      </c>
      <c r="AW1374" s="416">
        <v>4.01</v>
      </c>
      <c r="AX1374" s="416">
        <v>0</v>
      </c>
      <c r="AY1374" s="416">
        <v>0</v>
      </c>
      <c r="AZ1374" s="416">
        <v>0</v>
      </c>
    </row>
    <row r="1375" spans="1:52" x14ac:dyDescent="0.25">
      <c r="A1375" s="415" t="str">
        <f t="shared" si="21"/>
        <v>SA-479 Gr.310H</v>
      </c>
      <c r="B1375" s="415">
        <v>1369</v>
      </c>
      <c r="C1375" s="415" t="s">
        <v>3473</v>
      </c>
      <c r="D1375" s="415" t="s">
        <v>2677</v>
      </c>
      <c r="E1375" s="415" t="s">
        <v>2245</v>
      </c>
      <c r="F1375" s="415" t="s">
        <v>2259</v>
      </c>
      <c r="G1375" s="415" t="s">
        <v>3481</v>
      </c>
      <c r="H1375" s="415">
        <v>0</v>
      </c>
      <c r="I1375" s="415">
        <v>0</v>
      </c>
      <c r="J1375" s="415">
        <v>8</v>
      </c>
      <c r="K1375" s="415">
        <v>2</v>
      </c>
      <c r="L1375" s="415">
        <v>515</v>
      </c>
      <c r="M1375" s="415">
        <v>205</v>
      </c>
      <c r="N1375" s="415">
        <v>816</v>
      </c>
      <c r="O1375" s="415" t="s">
        <v>2675</v>
      </c>
      <c r="P1375" s="415">
        <v>816</v>
      </c>
      <c r="Q1375" s="415" t="s">
        <v>2675</v>
      </c>
      <c r="R1375" s="415" t="s">
        <v>3069</v>
      </c>
      <c r="S1375" s="415" t="s">
        <v>3436</v>
      </c>
      <c r="T1375" s="416">
        <v>138</v>
      </c>
      <c r="U1375" s="416">
        <v>138</v>
      </c>
      <c r="V1375" s="416">
        <v>138</v>
      </c>
      <c r="W1375" s="416">
        <v>138</v>
      </c>
      <c r="X1375" s="416">
        <v>138</v>
      </c>
      <c r="Y1375" s="416">
        <v>138</v>
      </c>
      <c r="Z1375" s="416">
        <v>137</v>
      </c>
      <c r="AA1375" s="416">
        <v>134</v>
      </c>
      <c r="AB1375" s="416">
        <v>129</v>
      </c>
      <c r="AC1375" s="416">
        <v>127</v>
      </c>
      <c r="AD1375" s="416">
        <v>125</v>
      </c>
      <c r="AE1375" s="416">
        <v>123</v>
      </c>
      <c r="AF1375" s="416">
        <v>122</v>
      </c>
      <c r="AG1375" s="416">
        <v>120</v>
      </c>
      <c r="AH1375" s="416">
        <v>119</v>
      </c>
      <c r="AI1375" s="416">
        <v>117</v>
      </c>
      <c r="AJ1375" s="416">
        <v>116</v>
      </c>
      <c r="AK1375" s="416">
        <v>104</v>
      </c>
      <c r="AL1375" s="416">
        <v>84.7</v>
      </c>
      <c r="AM1375" s="416">
        <v>64.7</v>
      </c>
      <c r="AN1375" s="416">
        <v>48.6</v>
      </c>
      <c r="AO1375" s="416">
        <v>36.200000000000003</v>
      </c>
      <c r="AP1375" s="416">
        <v>27.3</v>
      </c>
      <c r="AQ1375" s="416">
        <v>21.1</v>
      </c>
      <c r="AR1375" s="416">
        <v>15.9</v>
      </c>
      <c r="AS1375" s="416">
        <v>12.5</v>
      </c>
      <c r="AT1375" s="416">
        <v>9.92</v>
      </c>
      <c r="AU1375" s="416">
        <v>7.64</v>
      </c>
      <c r="AV1375" s="416">
        <v>5.97</v>
      </c>
      <c r="AW1375" s="416">
        <v>4.67</v>
      </c>
      <c r="AX1375" s="416">
        <v>0</v>
      </c>
      <c r="AY1375" s="416">
        <v>0</v>
      </c>
      <c r="AZ1375" s="416">
        <v>0</v>
      </c>
    </row>
    <row r="1376" spans="1:52" x14ac:dyDescent="0.25">
      <c r="A1376" s="415" t="str">
        <f t="shared" si="21"/>
        <v>SA-479 Gr.310H</v>
      </c>
      <c r="B1376" s="415">
        <v>1370</v>
      </c>
      <c r="C1376" s="415" t="s">
        <v>3473</v>
      </c>
      <c r="D1376" s="415" t="s">
        <v>2677</v>
      </c>
      <c r="E1376" s="415" t="s">
        <v>2245</v>
      </c>
      <c r="F1376" s="415" t="s">
        <v>2259</v>
      </c>
      <c r="G1376" s="415" t="s">
        <v>3481</v>
      </c>
      <c r="H1376" s="415">
        <v>0</v>
      </c>
      <c r="I1376" s="415">
        <v>0</v>
      </c>
      <c r="J1376" s="415">
        <v>8</v>
      </c>
      <c r="K1376" s="415">
        <v>2</v>
      </c>
      <c r="L1376" s="415">
        <v>515</v>
      </c>
      <c r="M1376" s="415">
        <v>205</v>
      </c>
      <c r="N1376" s="415">
        <v>816</v>
      </c>
      <c r="O1376" s="415" t="s">
        <v>2675</v>
      </c>
      <c r="P1376" s="415">
        <v>816</v>
      </c>
      <c r="Q1376" s="415" t="s">
        <v>2675</v>
      </c>
      <c r="R1376" s="415" t="s">
        <v>3069</v>
      </c>
      <c r="S1376" s="415" t="s">
        <v>2552</v>
      </c>
      <c r="T1376" s="416">
        <v>138</v>
      </c>
      <c r="U1376" s="416">
        <v>138</v>
      </c>
      <c r="V1376" s="416">
        <v>129</v>
      </c>
      <c r="W1376" s="416">
        <v>120</v>
      </c>
      <c r="X1376" s="416">
        <v>115</v>
      </c>
      <c r="Y1376" s="416">
        <v>111</v>
      </c>
      <c r="Z1376" s="416">
        <v>105</v>
      </c>
      <c r="AA1376" s="416">
        <v>99.5</v>
      </c>
      <c r="AB1376" s="416">
        <v>95.4</v>
      </c>
      <c r="AC1376" s="416">
        <v>94</v>
      </c>
      <c r="AD1376" s="416">
        <v>92.8</v>
      </c>
      <c r="AE1376" s="416">
        <v>91.5</v>
      </c>
      <c r="AF1376" s="416">
        <v>90.3</v>
      </c>
      <c r="AG1376" s="416">
        <v>89</v>
      </c>
      <c r="AH1376" s="416">
        <v>87.8</v>
      </c>
      <c r="AI1376" s="416">
        <v>86.5</v>
      </c>
      <c r="AJ1376" s="416">
        <v>85.3</v>
      </c>
      <c r="AK1376" s="416">
        <v>84</v>
      </c>
      <c r="AL1376" s="416">
        <v>79.8</v>
      </c>
      <c r="AM1376" s="416">
        <v>64.7</v>
      </c>
      <c r="AN1376" s="416">
        <v>48.6</v>
      </c>
      <c r="AO1376" s="416">
        <v>36.200000000000003</v>
      </c>
      <c r="AP1376" s="416">
        <v>27.3</v>
      </c>
      <c r="AQ1376" s="416">
        <v>21.1</v>
      </c>
      <c r="AR1376" s="416">
        <v>15.9</v>
      </c>
      <c r="AS1376" s="416">
        <v>12.5</v>
      </c>
      <c r="AT1376" s="416">
        <v>9.92</v>
      </c>
      <c r="AU1376" s="416">
        <v>7.64</v>
      </c>
      <c r="AV1376" s="416">
        <v>5.97</v>
      </c>
      <c r="AW1376" s="416">
        <v>4.67</v>
      </c>
      <c r="AX1376" s="416">
        <v>0</v>
      </c>
      <c r="AY1376" s="416">
        <v>0</v>
      </c>
      <c r="AZ1376" s="416">
        <v>0</v>
      </c>
    </row>
    <row r="1377" spans="1:52" ht="28.8" x14ac:dyDescent="0.25">
      <c r="A1377" s="415" t="str">
        <f t="shared" si="21"/>
        <v>SA/JIS G4303 Gr.SUS310S</v>
      </c>
      <c r="B1377" s="415">
        <v>1371</v>
      </c>
      <c r="C1377" s="415" t="s">
        <v>3473</v>
      </c>
      <c r="D1377" s="415" t="s">
        <v>2677</v>
      </c>
      <c r="E1377" s="415" t="s">
        <v>2176</v>
      </c>
      <c r="F1377" s="415" t="s">
        <v>2529</v>
      </c>
      <c r="G1377" s="415">
        <v>0</v>
      </c>
      <c r="H1377" s="415">
        <v>0</v>
      </c>
      <c r="I1377" s="415">
        <v>0</v>
      </c>
      <c r="J1377" s="415">
        <v>8</v>
      </c>
      <c r="K1377" s="415">
        <v>2</v>
      </c>
      <c r="L1377" s="415">
        <v>520</v>
      </c>
      <c r="M1377" s="415">
        <v>205</v>
      </c>
      <c r="N1377" s="415">
        <v>538</v>
      </c>
      <c r="O1377" s="415">
        <v>427</v>
      </c>
      <c r="P1377" s="415">
        <v>538</v>
      </c>
      <c r="Q1377" s="415" t="s">
        <v>2675</v>
      </c>
      <c r="R1377" s="415" t="s">
        <v>3069</v>
      </c>
      <c r="S1377" s="415" t="s">
        <v>3433</v>
      </c>
      <c r="T1377" s="416">
        <v>138</v>
      </c>
      <c r="U1377" s="416">
        <v>138</v>
      </c>
      <c r="V1377" s="416">
        <v>138</v>
      </c>
      <c r="W1377" s="416">
        <v>138</v>
      </c>
      <c r="X1377" s="416">
        <v>138</v>
      </c>
      <c r="Y1377" s="416">
        <v>138</v>
      </c>
      <c r="Z1377" s="416">
        <v>138</v>
      </c>
      <c r="AA1377" s="416">
        <v>135</v>
      </c>
      <c r="AB1377" s="416">
        <v>129</v>
      </c>
      <c r="AC1377" s="416">
        <v>127</v>
      </c>
      <c r="AD1377" s="416">
        <v>125</v>
      </c>
      <c r="AE1377" s="416">
        <v>123</v>
      </c>
      <c r="AF1377" s="416">
        <v>122</v>
      </c>
      <c r="AG1377" s="416">
        <v>120</v>
      </c>
      <c r="AH1377" s="416">
        <v>119</v>
      </c>
      <c r="AI1377" s="416">
        <v>117</v>
      </c>
      <c r="AJ1377" s="416">
        <v>112</v>
      </c>
      <c r="AK1377" s="416">
        <v>87.2</v>
      </c>
      <c r="AL1377" s="416">
        <v>59.2</v>
      </c>
      <c r="AM1377" s="416">
        <v>0</v>
      </c>
      <c r="AN1377" s="416">
        <v>0</v>
      </c>
      <c r="AO1377" s="416">
        <v>0</v>
      </c>
      <c r="AP1377" s="416">
        <v>0</v>
      </c>
      <c r="AQ1377" s="416">
        <v>0</v>
      </c>
      <c r="AR1377" s="416">
        <v>0</v>
      </c>
      <c r="AS1377" s="416">
        <v>0</v>
      </c>
      <c r="AT1377" s="416">
        <v>0</v>
      </c>
      <c r="AU1377" s="416">
        <v>0</v>
      </c>
      <c r="AV1377" s="416">
        <v>0</v>
      </c>
      <c r="AW1377" s="416">
        <v>0</v>
      </c>
      <c r="AX1377" s="416">
        <v>0</v>
      </c>
      <c r="AY1377" s="416">
        <v>0</v>
      </c>
      <c r="AZ1377" s="416">
        <v>0</v>
      </c>
    </row>
    <row r="1378" spans="1:52" x14ac:dyDescent="0.25">
      <c r="A1378" s="415" t="str">
        <f t="shared" si="21"/>
        <v>SA-213 Gr.TP310Cb</v>
      </c>
      <c r="B1378" s="415">
        <v>1372</v>
      </c>
      <c r="C1378" s="415" t="s">
        <v>3482</v>
      </c>
      <c r="D1378" s="415" t="s">
        <v>2693</v>
      </c>
      <c r="E1378" s="415" t="s">
        <v>2195</v>
      </c>
      <c r="F1378" s="415" t="s">
        <v>2563</v>
      </c>
      <c r="G1378" s="415" t="s">
        <v>3483</v>
      </c>
      <c r="H1378" s="415">
        <v>0</v>
      </c>
      <c r="I1378" s="415">
        <v>0</v>
      </c>
      <c r="J1378" s="415">
        <v>8</v>
      </c>
      <c r="K1378" s="415">
        <v>2</v>
      </c>
      <c r="L1378" s="415">
        <v>515</v>
      </c>
      <c r="M1378" s="415">
        <v>205</v>
      </c>
      <c r="N1378" s="415" t="s">
        <v>2675</v>
      </c>
      <c r="O1378" s="415" t="s">
        <v>2675</v>
      </c>
      <c r="P1378" s="415">
        <v>816</v>
      </c>
      <c r="Q1378" s="415">
        <v>343</v>
      </c>
      <c r="R1378" s="415" t="s">
        <v>3069</v>
      </c>
      <c r="S1378" s="415" t="s">
        <v>3427</v>
      </c>
      <c r="T1378" s="416">
        <v>138</v>
      </c>
      <c r="U1378" s="416">
        <v>138</v>
      </c>
      <c r="V1378" s="416">
        <v>138</v>
      </c>
      <c r="W1378" s="416">
        <v>138</v>
      </c>
      <c r="X1378" s="416">
        <v>138</v>
      </c>
      <c r="Y1378" s="416">
        <v>138</v>
      </c>
      <c r="Z1378" s="416">
        <v>138</v>
      </c>
      <c r="AA1378" s="416">
        <v>135</v>
      </c>
      <c r="AB1378" s="416">
        <v>129</v>
      </c>
      <c r="AC1378" s="416">
        <v>127</v>
      </c>
      <c r="AD1378" s="416">
        <v>125</v>
      </c>
      <c r="AE1378" s="416">
        <v>123</v>
      </c>
      <c r="AF1378" s="416">
        <v>122</v>
      </c>
      <c r="AG1378" s="416">
        <v>120</v>
      </c>
      <c r="AH1378" s="416">
        <v>119</v>
      </c>
      <c r="AI1378" s="416">
        <v>117</v>
      </c>
      <c r="AJ1378" s="416">
        <v>112</v>
      </c>
      <c r="AK1378" s="416">
        <v>87.2</v>
      </c>
      <c r="AL1378" s="416">
        <v>59.2</v>
      </c>
      <c r="AM1378" s="416">
        <v>44.2</v>
      </c>
      <c r="AN1378" s="416">
        <v>31.8</v>
      </c>
      <c r="AO1378" s="416">
        <v>23.7</v>
      </c>
      <c r="AP1378" s="416">
        <v>16.899999999999999</v>
      </c>
      <c r="AQ1378" s="416">
        <v>10.7</v>
      </c>
      <c r="AR1378" s="416">
        <v>6.1</v>
      </c>
      <c r="AS1378" s="416">
        <v>3.78</v>
      </c>
      <c r="AT1378" s="416">
        <v>2.96</v>
      </c>
      <c r="AU1378" s="416">
        <v>2.4</v>
      </c>
      <c r="AV1378" s="416">
        <v>1.76</v>
      </c>
      <c r="AW1378" s="416">
        <v>1.1499999999999999</v>
      </c>
      <c r="AX1378" s="416">
        <v>0</v>
      </c>
      <c r="AY1378" s="416">
        <v>0</v>
      </c>
      <c r="AZ1378" s="416">
        <v>0</v>
      </c>
    </row>
    <row r="1379" spans="1:52" x14ac:dyDescent="0.25">
      <c r="A1379" s="415" t="str">
        <f t="shared" si="21"/>
        <v>SA-213 Gr.TP310Cb</v>
      </c>
      <c r="B1379" s="415">
        <v>1373</v>
      </c>
      <c r="C1379" s="415" t="s">
        <v>3482</v>
      </c>
      <c r="D1379" s="415" t="s">
        <v>2693</v>
      </c>
      <c r="E1379" s="415" t="s">
        <v>2195</v>
      </c>
      <c r="F1379" s="415" t="s">
        <v>2563</v>
      </c>
      <c r="G1379" s="415" t="s">
        <v>3483</v>
      </c>
      <c r="H1379" s="415">
        <v>0</v>
      </c>
      <c r="I1379" s="415">
        <v>0</v>
      </c>
      <c r="J1379" s="415">
        <v>8</v>
      </c>
      <c r="K1379" s="415">
        <v>2</v>
      </c>
      <c r="L1379" s="415">
        <v>515</v>
      </c>
      <c r="M1379" s="415">
        <v>205</v>
      </c>
      <c r="N1379" s="415" t="s">
        <v>2675</v>
      </c>
      <c r="O1379" s="415" t="s">
        <v>2675</v>
      </c>
      <c r="P1379" s="415">
        <v>816</v>
      </c>
      <c r="Q1379" s="415">
        <v>343</v>
      </c>
      <c r="R1379" s="415" t="s">
        <v>3069</v>
      </c>
      <c r="S1379" s="415" t="s">
        <v>3428</v>
      </c>
      <c r="T1379" s="416">
        <v>138</v>
      </c>
      <c r="U1379" s="416">
        <v>138</v>
      </c>
      <c r="V1379" s="416">
        <v>129</v>
      </c>
      <c r="W1379" s="416">
        <v>120</v>
      </c>
      <c r="X1379" s="416">
        <v>115</v>
      </c>
      <c r="Y1379" s="416">
        <v>111</v>
      </c>
      <c r="Z1379" s="416">
        <v>105</v>
      </c>
      <c r="AA1379" s="416">
        <v>100</v>
      </c>
      <c r="AB1379" s="416">
        <v>95.4</v>
      </c>
      <c r="AC1379" s="416">
        <v>94</v>
      </c>
      <c r="AD1379" s="416">
        <v>92.8</v>
      </c>
      <c r="AE1379" s="416">
        <v>91.5</v>
      </c>
      <c r="AF1379" s="416">
        <v>90.3</v>
      </c>
      <c r="AG1379" s="416">
        <v>89</v>
      </c>
      <c r="AH1379" s="416">
        <v>87.8</v>
      </c>
      <c r="AI1379" s="416">
        <v>86.5</v>
      </c>
      <c r="AJ1379" s="416">
        <v>85.3</v>
      </c>
      <c r="AK1379" s="416">
        <v>77.8</v>
      </c>
      <c r="AL1379" s="416">
        <v>59.2</v>
      </c>
      <c r="AM1379" s="416">
        <v>44.2</v>
      </c>
      <c r="AN1379" s="416">
        <v>31.8</v>
      </c>
      <c r="AO1379" s="416">
        <v>23.7</v>
      </c>
      <c r="AP1379" s="416">
        <v>16.899999999999999</v>
      </c>
      <c r="AQ1379" s="416">
        <v>10.7</v>
      </c>
      <c r="AR1379" s="416">
        <v>6.1</v>
      </c>
      <c r="AS1379" s="416">
        <v>3.78</v>
      </c>
      <c r="AT1379" s="416">
        <v>2.96</v>
      </c>
      <c r="AU1379" s="416">
        <v>2.4</v>
      </c>
      <c r="AV1379" s="416">
        <v>1.76</v>
      </c>
      <c r="AW1379" s="416">
        <v>1.1499999999999999</v>
      </c>
      <c r="AX1379" s="416">
        <v>0</v>
      </c>
      <c r="AY1379" s="416">
        <v>0</v>
      </c>
      <c r="AZ1379" s="416">
        <v>0</v>
      </c>
    </row>
    <row r="1380" spans="1:52" x14ac:dyDescent="0.25">
      <c r="A1380" s="415" t="str">
        <f t="shared" si="21"/>
        <v>SA-240 Gr.310Cb</v>
      </c>
      <c r="B1380" s="415">
        <v>1374</v>
      </c>
      <c r="C1380" s="415" t="s">
        <v>3482</v>
      </c>
      <c r="D1380" s="415" t="s">
        <v>2684</v>
      </c>
      <c r="E1380" s="415" t="s">
        <v>2165</v>
      </c>
      <c r="F1380" s="415" t="s">
        <v>2257</v>
      </c>
      <c r="G1380" s="415" t="s">
        <v>3483</v>
      </c>
      <c r="H1380" s="415">
        <v>0</v>
      </c>
      <c r="I1380" s="415">
        <v>0</v>
      </c>
      <c r="J1380" s="415">
        <v>8</v>
      </c>
      <c r="K1380" s="415">
        <v>2</v>
      </c>
      <c r="L1380" s="415">
        <v>515</v>
      </c>
      <c r="M1380" s="415">
        <v>205</v>
      </c>
      <c r="N1380" s="415" t="s">
        <v>2675</v>
      </c>
      <c r="O1380" s="415" t="s">
        <v>2675</v>
      </c>
      <c r="P1380" s="415">
        <v>816</v>
      </c>
      <c r="Q1380" s="415">
        <v>343</v>
      </c>
      <c r="R1380" s="415" t="s">
        <v>3069</v>
      </c>
      <c r="S1380" s="415" t="s">
        <v>3427</v>
      </c>
      <c r="T1380" s="416">
        <v>138</v>
      </c>
      <c r="U1380" s="416">
        <v>138</v>
      </c>
      <c r="V1380" s="416">
        <v>138</v>
      </c>
      <c r="W1380" s="416">
        <v>138</v>
      </c>
      <c r="X1380" s="416">
        <v>138</v>
      </c>
      <c r="Y1380" s="416">
        <v>138</v>
      </c>
      <c r="Z1380" s="416">
        <v>138</v>
      </c>
      <c r="AA1380" s="416">
        <v>135</v>
      </c>
      <c r="AB1380" s="416">
        <v>129</v>
      </c>
      <c r="AC1380" s="416">
        <v>127</v>
      </c>
      <c r="AD1380" s="416">
        <v>125</v>
      </c>
      <c r="AE1380" s="416">
        <v>123</v>
      </c>
      <c r="AF1380" s="416">
        <v>122</v>
      </c>
      <c r="AG1380" s="416">
        <v>120</v>
      </c>
      <c r="AH1380" s="416">
        <v>119</v>
      </c>
      <c r="AI1380" s="416">
        <v>117</v>
      </c>
      <c r="AJ1380" s="416">
        <v>112</v>
      </c>
      <c r="AK1380" s="416">
        <v>87.2</v>
      </c>
      <c r="AL1380" s="416">
        <v>59.2</v>
      </c>
      <c r="AM1380" s="416">
        <v>44.2</v>
      </c>
      <c r="AN1380" s="416">
        <v>31.8</v>
      </c>
      <c r="AO1380" s="416">
        <v>23.7</v>
      </c>
      <c r="AP1380" s="416">
        <v>16.899999999999999</v>
      </c>
      <c r="AQ1380" s="416">
        <v>10.7</v>
      </c>
      <c r="AR1380" s="416">
        <v>6.1</v>
      </c>
      <c r="AS1380" s="416">
        <v>3.78</v>
      </c>
      <c r="AT1380" s="416">
        <v>2.96</v>
      </c>
      <c r="AU1380" s="416">
        <v>2.4</v>
      </c>
      <c r="AV1380" s="416">
        <v>1.76</v>
      </c>
      <c r="AW1380" s="416">
        <v>1.1499999999999999</v>
      </c>
      <c r="AX1380" s="416">
        <v>0</v>
      </c>
      <c r="AY1380" s="416">
        <v>0</v>
      </c>
      <c r="AZ1380" s="416">
        <v>0</v>
      </c>
    </row>
    <row r="1381" spans="1:52" x14ac:dyDescent="0.25">
      <c r="A1381" s="415" t="str">
        <f t="shared" si="21"/>
        <v>SA-240 Gr.310Cb</v>
      </c>
      <c r="B1381" s="415">
        <v>1375</v>
      </c>
      <c r="C1381" s="415" t="s">
        <v>3482</v>
      </c>
      <c r="D1381" s="415" t="s">
        <v>2684</v>
      </c>
      <c r="E1381" s="415" t="s">
        <v>2165</v>
      </c>
      <c r="F1381" s="415" t="s">
        <v>2257</v>
      </c>
      <c r="G1381" s="415" t="s">
        <v>3483</v>
      </c>
      <c r="H1381" s="415">
        <v>0</v>
      </c>
      <c r="I1381" s="415">
        <v>0</v>
      </c>
      <c r="J1381" s="415">
        <v>8</v>
      </c>
      <c r="K1381" s="415">
        <v>2</v>
      </c>
      <c r="L1381" s="415">
        <v>515</v>
      </c>
      <c r="M1381" s="415">
        <v>205</v>
      </c>
      <c r="N1381" s="415" t="s">
        <v>2675</v>
      </c>
      <c r="O1381" s="415" t="s">
        <v>2675</v>
      </c>
      <c r="P1381" s="415">
        <v>816</v>
      </c>
      <c r="Q1381" s="415">
        <v>343</v>
      </c>
      <c r="R1381" s="415" t="s">
        <v>3069</v>
      </c>
      <c r="S1381" s="415" t="s">
        <v>3428</v>
      </c>
      <c r="T1381" s="416">
        <v>138</v>
      </c>
      <c r="U1381" s="416">
        <v>138</v>
      </c>
      <c r="V1381" s="416">
        <v>129</v>
      </c>
      <c r="W1381" s="416">
        <v>120</v>
      </c>
      <c r="X1381" s="416">
        <v>115</v>
      </c>
      <c r="Y1381" s="416">
        <v>111</v>
      </c>
      <c r="Z1381" s="416">
        <v>105</v>
      </c>
      <c r="AA1381" s="416">
        <v>100</v>
      </c>
      <c r="AB1381" s="416">
        <v>95.4</v>
      </c>
      <c r="AC1381" s="416">
        <v>94</v>
      </c>
      <c r="AD1381" s="416">
        <v>92.8</v>
      </c>
      <c r="AE1381" s="416">
        <v>91.5</v>
      </c>
      <c r="AF1381" s="416">
        <v>90.3</v>
      </c>
      <c r="AG1381" s="416">
        <v>89</v>
      </c>
      <c r="AH1381" s="416">
        <v>87.8</v>
      </c>
      <c r="AI1381" s="416">
        <v>86.5</v>
      </c>
      <c r="AJ1381" s="416">
        <v>85.3</v>
      </c>
      <c r="AK1381" s="416">
        <v>77.8</v>
      </c>
      <c r="AL1381" s="416">
        <v>59.2</v>
      </c>
      <c r="AM1381" s="416">
        <v>44.2</v>
      </c>
      <c r="AN1381" s="416">
        <v>31.8</v>
      </c>
      <c r="AO1381" s="416">
        <v>23.7</v>
      </c>
      <c r="AP1381" s="416">
        <v>16.899999999999999</v>
      </c>
      <c r="AQ1381" s="416">
        <v>10.7</v>
      </c>
      <c r="AR1381" s="416">
        <v>6.1</v>
      </c>
      <c r="AS1381" s="416">
        <v>3.78</v>
      </c>
      <c r="AT1381" s="416">
        <v>2.96</v>
      </c>
      <c r="AU1381" s="416">
        <v>2.4</v>
      </c>
      <c r="AV1381" s="416">
        <v>1.76</v>
      </c>
      <c r="AW1381" s="416">
        <v>1.1499999999999999</v>
      </c>
      <c r="AX1381" s="416">
        <v>0</v>
      </c>
      <c r="AY1381" s="416">
        <v>0</v>
      </c>
      <c r="AZ1381" s="416">
        <v>0</v>
      </c>
    </row>
    <row r="1382" spans="1:52" x14ac:dyDescent="0.25">
      <c r="A1382" s="415" t="str">
        <f t="shared" si="21"/>
        <v>SA-249 Gr.TP310Cb</v>
      </c>
      <c r="B1382" s="415">
        <v>1376</v>
      </c>
      <c r="C1382" s="415" t="s">
        <v>3482</v>
      </c>
      <c r="D1382" s="415" t="s">
        <v>2689</v>
      </c>
      <c r="E1382" s="415" t="s">
        <v>2200</v>
      </c>
      <c r="F1382" s="415" t="s">
        <v>2563</v>
      </c>
      <c r="G1382" s="415" t="s">
        <v>3483</v>
      </c>
      <c r="H1382" s="415">
        <v>0</v>
      </c>
      <c r="I1382" s="415">
        <v>0</v>
      </c>
      <c r="J1382" s="415">
        <v>8</v>
      </c>
      <c r="K1382" s="415">
        <v>2</v>
      </c>
      <c r="L1382" s="415">
        <v>515</v>
      </c>
      <c r="M1382" s="415">
        <v>205</v>
      </c>
      <c r="N1382" s="415" t="s">
        <v>2675</v>
      </c>
      <c r="O1382" s="415" t="s">
        <v>2675</v>
      </c>
      <c r="P1382" s="415">
        <v>816</v>
      </c>
      <c r="Q1382" s="415">
        <v>343</v>
      </c>
      <c r="R1382" s="415" t="s">
        <v>3069</v>
      </c>
      <c r="S1382" s="415" t="s">
        <v>3320</v>
      </c>
      <c r="T1382" s="416">
        <v>117</v>
      </c>
      <c r="U1382" s="416">
        <v>117</v>
      </c>
      <c r="V1382" s="416">
        <v>117</v>
      </c>
      <c r="W1382" s="416">
        <v>117</v>
      </c>
      <c r="X1382" s="416">
        <v>117</v>
      </c>
      <c r="Y1382" s="416">
        <v>117</v>
      </c>
      <c r="Z1382" s="416">
        <v>117</v>
      </c>
      <c r="AA1382" s="416">
        <v>114</v>
      </c>
      <c r="AB1382" s="416">
        <v>109</v>
      </c>
      <c r="AC1382" s="416">
        <v>108</v>
      </c>
      <c r="AD1382" s="416">
        <v>106</v>
      </c>
      <c r="AE1382" s="416">
        <v>105</v>
      </c>
      <c r="AF1382" s="416">
        <v>103</v>
      </c>
      <c r="AG1382" s="416">
        <v>102</v>
      </c>
      <c r="AH1382" s="416">
        <v>101</v>
      </c>
      <c r="AI1382" s="416">
        <v>99.3</v>
      </c>
      <c r="AJ1382" s="416">
        <v>98.5</v>
      </c>
      <c r="AK1382" s="416">
        <v>74.7</v>
      </c>
      <c r="AL1382" s="416">
        <v>50.6</v>
      </c>
      <c r="AM1382" s="416">
        <v>37.4</v>
      </c>
      <c r="AN1382" s="416">
        <v>27.5</v>
      </c>
      <c r="AO1382" s="416">
        <v>20.399999999999999</v>
      </c>
      <c r="AP1382" s="416">
        <v>14.2</v>
      </c>
      <c r="AQ1382" s="416">
        <v>9.27</v>
      </c>
      <c r="AR1382" s="416">
        <v>5.22</v>
      </c>
      <c r="AS1382" s="416">
        <v>3.23</v>
      </c>
      <c r="AT1382" s="416">
        <v>2.5299999999999998</v>
      </c>
      <c r="AU1382" s="416">
        <v>2.06</v>
      </c>
      <c r="AV1382" s="416">
        <v>1.52</v>
      </c>
      <c r="AW1382" s="416">
        <v>0.96</v>
      </c>
      <c r="AX1382" s="416">
        <v>0</v>
      </c>
      <c r="AY1382" s="416">
        <v>0</v>
      </c>
      <c r="AZ1382" s="416">
        <v>0</v>
      </c>
    </row>
    <row r="1383" spans="1:52" x14ac:dyDescent="0.25">
      <c r="A1383" s="415" t="str">
        <f t="shared" si="21"/>
        <v>SA-249 Gr.TP310Cb</v>
      </c>
      <c r="B1383" s="415">
        <v>1377</v>
      </c>
      <c r="C1383" s="415" t="s">
        <v>3482</v>
      </c>
      <c r="D1383" s="415" t="s">
        <v>2689</v>
      </c>
      <c r="E1383" s="415" t="s">
        <v>2200</v>
      </c>
      <c r="F1383" s="415" t="s">
        <v>2563</v>
      </c>
      <c r="G1383" s="415" t="s">
        <v>3483</v>
      </c>
      <c r="H1383" s="415">
        <v>0</v>
      </c>
      <c r="I1383" s="415">
        <v>0</v>
      </c>
      <c r="J1383" s="415">
        <v>8</v>
      </c>
      <c r="K1383" s="415">
        <v>2</v>
      </c>
      <c r="L1383" s="415">
        <v>515</v>
      </c>
      <c r="M1383" s="415">
        <v>205</v>
      </c>
      <c r="N1383" s="415" t="s">
        <v>2675</v>
      </c>
      <c r="O1383" s="415" t="s">
        <v>2675</v>
      </c>
      <c r="P1383" s="415">
        <v>816</v>
      </c>
      <c r="Q1383" s="415">
        <v>343</v>
      </c>
      <c r="R1383" s="415" t="s">
        <v>3069</v>
      </c>
      <c r="S1383" s="415" t="s">
        <v>3429</v>
      </c>
      <c r="T1383" s="416">
        <v>117</v>
      </c>
      <c r="U1383" s="416">
        <v>117</v>
      </c>
      <c r="V1383" s="416">
        <v>110</v>
      </c>
      <c r="W1383" s="416">
        <v>102</v>
      </c>
      <c r="X1383" s="416">
        <v>97.8</v>
      </c>
      <c r="Y1383" s="416">
        <v>94.3</v>
      </c>
      <c r="Z1383" s="416">
        <v>88.7</v>
      </c>
      <c r="AA1383" s="416">
        <v>84.1</v>
      </c>
      <c r="AB1383" s="416">
        <v>81.400000000000006</v>
      </c>
      <c r="AC1383" s="416">
        <v>80.2</v>
      </c>
      <c r="AD1383" s="416">
        <v>79</v>
      </c>
      <c r="AE1383" s="416">
        <v>77.7</v>
      </c>
      <c r="AF1383" s="416">
        <v>76.5</v>
      </c>
      <c r="AG1383" s="416">
        <v>75.900000000000006</v>
      </c>
      <c r="AH1383" s="416">
        <v>74.7</v>
      </c>
      <c r="AI1383" s="416">
        <v>74</v>
      </c>
      <c r="AJ1383" s="416">
        <v>72.8</v>
      </c>
      <c r="AK1383" s="416">
        <v>64.5</v>
      </c>
      <c r="AL1383" s="416">
        <v>50.6</v>
      </c>
      <c r="AM1383" s="416">
        <v>37.4</v>
      </c>
      <c r="AN1383" s="416">
        <v>27.5</v>
      </c>
      <c r="AO1383" s="416">
        <v>20.399999999999999</v>
      </c>
      <c r="AP1383" s="416">
        <v>14.2</v>
      </c>
      <c r="AQ1383" s="416">
        <v>9.27</v>
      </c>
      <c r="AR1383" s="416">
        <v>5.22</v>
      </c>
      <c r="AS1383" s="416">
        <v>3.23</v>
      </c>
      <c r="AT1383" s="416">
        <v>2.5299999999999998</v>
      </c>
      <c r="AU1383" s="416">
        <v>2.06</v>
      </c>
      <c r="AV1383" s="416">
        <v>1.52</v>
      </c>
      <c r="AW1383" s="416">
        <v>0.96</v>
      </c>
      <c r="AX1383" s="416">
        <v>0</v>
      </c>
      <c r="AY1383" s="416">
        <v>0</v>
      </c>
      <c r="AZ1383" s="416">
        <v>0</v>
      </c>
    </row>
    <row r="1384" spans="1:52" x14ac:dyDescent="0.25">
      <c r="A1384" s="415" t="str">
        <f t="shared" si="21"/>
        <v>SA-312 Gr.TP310Cb</v>
      </c>
      <c r="B1384" s="415">
        <v>1378</v>
      </c>
      <c r="C1384" s="415" t="s">
        <v>3482</v>
      </c>
      <c r="D1384" s="415" t="s">
        <v>2720</v>
      </c>
      <c r="E1384" s="415" t="s">
        <v>2208</v>
      </c>
      <c r="F1384" s="415" t="s">
        <v>2563</v>
      </c>
      <c r="G1384" s="415" t="s">
        <v>3483</v>
      </c>
      <c r="H1384" s="415">
        <v>0</v>
      </c>
      <c r="I1384" s="415">
        <v>0</v>
      </c>
      <c r="J1384" s="415">
        <v>8</v>
      </c>
      <c r="K1384" s="415">
        <v>2</v>
      </c>
      <c r="L1384" s="415">
        <v>515</v>
      </c>
      <c r="M1384" s="415">
        <v>205</v>
      </c>
      <c r="N1384" s="415" t="s">
        <v>2675</v>
      </c>
      <c r="O1384" s="415">
        <v>427</v>
      </c>
      <c r="P1384" s="415">
        <v>816</v>
      </c>
      <c r="Q1384" s="415">
        <v>343</v>
      </c>
      <c r="R1384" s="415" t="s">
        <v>3069</v>
      </c>
      <c r="S1384" s="415" t="s">
        <v>3425</v>
      </c>
      <c r="T1384" s="416">
        <v>138</v>
      </c>
      <c r="U1384" s="416">
        <v>138</v>
      </c>
      <c r="V1384" s="416">
        <v>138</v>
      </c>
      <c r="W1384" s="416">
        <v>138</v>
      </c>
      <c r="X1384" s="416">
        <v>138</v>
      </c>
      <c r="Y1384" s="416">
        <v>138</v>
      </c>
      <c r="Z1384" s="416">
        <v>138</v>
      </c>
      <c r="AA1384" s="416">
        <v>135</v>
      </c>
      <c r="AB1384" s="416">
        <v>129</v>
      </c>
      <c r="AC1384" s="416">
        <v>127</v>
      </c>
      <c r="AD1384" s="416">
        <v>125</v>
      </c>
      <c r="AE1384" s="416">
        <v>123</v>
      </c>
      <c r="AF1384" s="416">
        <v>122</v>
      </c>
      <c r="AG1384" s="416">
        <v>120</v>
      </c>
      <c r="AH1384" s="416">
        <v>119</v>
      </c>
      <c r="AI1384" s="416">
        <v>117</v>
      </c>
      <c r="AJ1384" s="416">
        <v>112</v>
      </c>
      <c r="AK1384" s="416">
        <v>87.2</v>
      </c>
      <c r="AL1384" s="416">
        <v>59.2</v>
      </c>
      <c r="AM1384" s="416">
        <v>44.2</v>
      </c>
      <c r="AN1384" s="416">
        <v>31.8</v>
      </c>
      <c r="AO1384" s="416">
        <v>23.7</v>
      </c>
      <c r="AP1384" s="416">
        <v>16.899999999999999</v>
      </c>
      <c r="AQ1384" s="416">
        <v>10.7</v>
      </c>
      <c r="AR1384" s="416">
        <v>6.1</v>
      </c>
      <c r="AS1384" s="416">
        <v>3.78</v>
      </c>
      <c r="AT1384" s="416">
        <v>2.96</v>
      </c>
      <c r="AU1384" s="416">
        <v>2.4</v>
      </c>
      <c r="AV1384" s="416">
        <v>1.76</v>
      </c>
      <c r="AW1384" s="416">
        <v>1.1499999999999999</v>
      </c>
      <c r="AX1384" s="416">
        <v>0</v>
      </c>
      <c r="AY1384" s="416">
        <v>0</v>
      </c>
      <c r="AZ1384" s="416">
        <v>0</v>
      </c>
    </row>
    <row r="1385" spans="1:52" x14ac:dyDescent="0.25">
      <c r="A1385" s="415" t="str">
        <f t="shared" si="21"/>
        <v>SA-312 Gr.TP310Cb</v>
      </c>
      <c r="B1385" s="415">
        <v>1379</v>
      </c>
      <c r="C1385" s="415" t="s">
        <v>3482</v>
      </c>
      <c r="D1385" s="415" t="s">
        <v>2703</v>
      </c>
      <c r="E1385" s="415" t="s">
        <v>2208</v>
      </c>
      <c r="F1385" s="415" t="s">
        <v>2563</v>
      </c>
      <c r="G1385" s="415" t="s">
        <v>3483</v>
      </c>
      <c r="H1385" s="415">
        <v>0</v>
      </c>
      <c r="I1385" s="415">
        <v>0</v>
      </c>
      <c r="J1385" s="415">
        <v>8</v>
      </c>
      <c r="K1385" s="415">
        <v>2</v>
      </c>
      <c r="L1385" s="415">
        <v>515</v>
      </c>
      <c r="M1385" s="415">
        <v>205</v>
      </c>
      <c r="N1385" s="415" t="s">
        <v>2675</v>
      </c>
      <c r="O1385" s="415" t="s">
        <v>2675</v>
      </c>
      <c r="P1385" s="415">
        <v>816</v>
      </c>
      <c r="Q1385" s="415">
        <v>343</v>
      </c>
      <c r="R1385" s="415" t="s">
        <v>3069</v>
      </c>
      <c r="S1385" s="415" t="s">
        <v>3428</v>
      </c>
      <c r="T1385" s="416">
        <v>138</v>
      </c>
      <c r="U1385" s="416">
        <v>138</v>
      </c>
      <c r="V1385" s="416">
        <v>129</v>
      </c>
      <c r="W1385" s="416">
        <v>120</v>
      </c>
      <c r="X1385" s="416">
        <v>115</v>
      </c>
      <c r="Y1385" s="416">
        <v>111</v>
      </c>
      <c r="Z1385" s="416">
        <v>105</v>
      </c>
      <c r="AA1385" s="416">
        <v>100</v>
      </c>
      <c r="AB1385" s="416">
        <v>95.4</v>
      </c>
      <c r="AC1385" s="416">
        <v>94</v>
      </c>
      <c r="AD1385" s="416">
        <v>92.8</v>
      </c>
      <c r="AE1385" s="416">
        <v>91.5</v>
      </c>
      <c r="AF1385" s="416">
        <v>90.3</v>
      </c>
      <c r="AG1385" s="416">
        <v>89</v>
      </c>
      <c r="AH1385" s="416">
        <v>87.8</v>
      </c>
      <c r="AI1385" s="416">
        <v>86.5</v>
      </c>
      <c r="AJ1385" s="416">
        <v>85.3</v>
      </c>
      <c r="AK1385" s="416">
        <v>77.8</v>
      </c>
      <c r="AL1385" s="416">
        <v>59.2</v>
      </c>
      <c r="AM1385" s="416">
        <v>44.2</v>
      </c>
      <c r="AN1385" s="416">
        <v>31.8</v>
      </c>
      <c r="AO1385" s="416">
        <v>23.7</v>
      </c>
      <c r="AP1385" s="416">
        <v>16.899999999999999</v>
      </c>
      <c r="AQ1385" s="416">
        <v>10.7</v>
      </c>
      <c r="AR1385" s="416">
        <v>6.1</v>
      </c>
      <c r="AS1385" s="416">
        <v>3.78</v>
      </c>
      <c r="AT1385" s="416">
        <v>2.96</v>
      </c>
      <c r="AU1385" s="416">
        <v>2.4</v>
      </c>
      <c r="AV1385" s="416">
        <v>1.76</v>
      </c>
      <c r="AW1385" s="416">
        <v>1.1499999999999999</v>
      </c>
      <c r="AX1385" s="416">
        <v>0</v>
      </c>
      <c r="AY1385" s="416">
        <v>0</v>
      </c>
      <c r="AZ1385" s="416">
        <v>0</v>
      </c>
    </row>
    <row r="1386" spans="1:52" x14ac:dyDescent="0.25">
      <c r="A1386" s="415" t="str">
        <f t="shared" si="21"/>
        <v>SA-312 Gr.TP310Cb</v>
      </c>
      <c r="B1386" s="415">
        <v>1380</v>
      </c>
      <c r="C1386" s="415" t="s">
        <v>3482</v>
      </c>
      <c r="D1386" s="415" t="s">
        <v>2680</v>
      </c>
      <c r="E1386" s="415" t="s">
        <v>2208</v>
      </c>
      <c r="F1386" s="415" t="s">
        <v>2563</v>
      </c>
      <c r="G1386" s="415" t="s">
        <v>3483</v>
      </c>
      <c r="H1386" s="415">
        <v>0</v>
      </c>
      <c r="I1386" s="415">
        <v>0</v>
      </c>
      <c r="J1386" s="415">
        <v>8</v>
      </c>
      <c r="K1386" s="415">
        <v>2</v>
      </c>
      <c r="L1386" s="415">
        <v>515</v>
      </c>
      <c r="M1386" s="415">
        <v>205</v>
      </c>
      <c r="N1386" s="415" t="s">
        <v>2675</v>
      </c>
      <c r="O1386" s="415" t="s">
        <v>2675</v>
      </c>
      <c r="P1386" s="415">
        <v>816</v>
      </c>
      <c r="Q1386" s="415">
        <v>343</v>
      </c>
      <c r="R1386" s="415" t="s">
        <v>3069</v>
      </c>
      <c r="S1386" s="415" t="s">
        <v>3320</v>
      </c>
      <c r="T1386" s="416">
        <v>117</v>
      </c>
      <c r="U1386" s="416">
        <v>117</v>
      </c>
      <c r="V1386" s="416">
        <v>117</v>
      </c>
      <c r="W1386" s="416">
        <v>117</v>
      </c>
      <c r="X1386" s="416">
        <v>117</v>
      </c>
      <c r="Y1386" s="416">
        <v>117</v>
      </c>
      <c r="Z1386" s="416">
        <v>117</v>
      </c>
      <c r="AA1386" s="416">
        <v>114</v>
      </c>
      <c r="AB1386" s="416">
        <v>109</v>
      </c>
      <c r="AC1386" s="416">
        <v>108</v>
      </c>
      <c r="AD1386" s="416">
        <v>106</v>
      </c>
      <c r="AE1386" s="416">
        <v>105</v>
      </c>
      <c r="AF1386" s="416">
        <v>103</v>
      </c>
      <c r="AG1386" s="416">
        <v>102</v>
      </c>
      <c r="AH1386" s="416">
        <v>101</v>
      </c>
      <c r="AI1386" s="416">
        <v>99.3</v>
      </c>
      <c r="AJ1386" s="416">
        <v>98.5</v>
      </c>
      <c r="AK1386" s="416">
        <v>74.7</v>
      </c>
      <c r="AL1386" s="416">
        <v>50.6</v>
      </c>
      <c r="AM1386" s="416">
        <v>37.4</v>
      </c>
      <c r="AN1386" s="416">
        <v>27.5</v>
      </c>
      <c r="AO1386" s="416">
        <v>20.399999999999999</v>
      </c>
      <c r="AP1386" s="416">
        <v>14.2</v>
      </c>
      <c r="AQ1386" s="416">
        <v>9.27</v>
      </c>
      <c r="AR1386" s="416">
        <v>5.22</v>
      </c>
      <c r="AS1386" s="416">
        <v>3.23</v>
      </c>
      <c r="AT1386" s="416">
        <v>2.5299999999999998</v>
      </c>
      <c r="AU1386" s="416">
        <v>2.06</v>
      </c>
      <c r="AV1386" s="416">
        <v>1.52</v>
      </c>
      <c r="AW1386" s="416">
        <v>0.96</v>
      </c>
      <c r="AX1386" s="416">
        <v>0</v>
      </c>
      <c r="AY1386" s="416">
        <v>0</v>
      </c>
      <c r="AZ1386" s="416">
        <v>0</v>
      </c>
    </row>
    <row r="1387" spans="1:52" x14ac:dyDescent="0.25">
      <c r="A1387" s="415" t="str">
        <f t="shared" si="21"/>
        <v>SA-312 Gr.TP310Cb</v>
      </c>
      <c r="B1387" s="415">
        <v>1381</v>
      </c>
      <c r="C1387" s="415" t="s">
        <v>3482</v>
      </c>
      <c r="D1387" s="415" t="s">
        <v>2680</v>
      </c>
      <c r="E1387" s="415" t="s">
        <v>2208</v>
      </c>
      <c r="F1387" s="415" t="s">
        <v>2563</v>
      </c>
      <c r="G1387" s="415" t="s">
        <v>3483</v>
      </c>
      <c r="H1387" s="415">
        <v>0</v>
      </c>
      <c r="I1387" s="415">
        <v>0</v>
      </c>
      <c r="J1387" s="415">
        <v>8</v>
      </c>
      <c r="K1387" s="415">
        <v>2</v>
      </c>
      <c r="L1387" s="415">
        <v>515</v>
      </c>
      <c r="M1387" s="415">
        <v>205</v>
      </c>
      <c r="N1387" s="415" t="s">
        <v>2675</v>
      </c>
      <c r="O1387" s="415" t="s">
        <v>2675</v>
      </c>
      <c r="P1387" s="415">
        <v>816</v>
      </c>
      <c r="Q1387" s="415">
        <v>343</v>
      </c>
      <c r="R1387" s="415" t="s">
        <v>3069</v>
      </c>
      <c r="S1387" s="415" t="s">
        <v>3484</v>
      </c>
      <c r="T1387" s="416">
        <v>117</v>
      </c>
      <c r="U1387" s="416">
        <v>117</v>
      </c>
      <c r="V1387" s="416">
        <v>110</v>
      </c>
      <c r="W1387" s="416">
        <v>102</v>
      </c>
      <c r="X1387" s="416">
        <v>97.8</v>
      </c>
      <c r="Y1387" s="416">
        <v>94.3</v>
      </c>
      <c r="Z1387" s="416">
        <v>88.7</v>
      </c>
      <c r="AA1387" s="416">
        <v>84.1</v>
      </c>
      <c r="AB1387" s="416">
        <v>81.400000000000006</v>
      </c>
      <c r="AC1387" s="416">
        <v>80.2</v>
      </c>
      <c r="AD1387" s="416">
        <v>79</v>
      </c>
      <c r="AE1387" s="416">
        <v>77.7</v>
      </c>
      <c r="AF1387" s="416">
        <v>76.5</v>
      </c>
      <c r="AG1387" s="416">
        <v>75.900000000000006</v>
      </c>
      <c r="AH1387" s="416">
        <v>74.7</v>
      </c>
      <c r="AI1387" s="416">
        <v>74</v>
      </c>
      <c r="AJ1387" s="416">
        <v>72.8</v>
      </c>
      <c r="AK1387" s="416">
        <v>64.5</v>
      </c>
      <c r="AL1387" s="416">
        <v>50.6</v>
      </c>
      <c r="AM1387" s="416">
        <v>37.4</v>
      </c>
      <c r="AN1387" s="416">
        <v>27.5</v>
      </c>
      <c r="AO1387" s="416">
        <v>20.399999999999999</v>
      </c>
      <c r="AP1387" s="416">
        <v>14.2</v>
      </c>
      <c r="AQ1387" s="416">
        <v>9.27</v>
      </c>
      <c r="AR1387" s="416">
        <v>5.22</v>
      </c>
      <c r="AS1387" s="416">
        <v>3.23</v>
      </c>
      <c r="AT1387" s="416">
        <v>2.5299999999999998</v>
      </c>
      <c r="AU1387" s="416">
        <v>2.06</v>
      </c>
      <c r="AV1387" s="416">
        <v>1.52</v>
      </c>
      <c r="AW1387" s="416">
        <v>0.96</v>
      </c>
      <c r="AX1387" s="416">
        <v>0</v>
      </c>
      <c r="AY1387" s="416">
        <v>0</v>
      </c>
      <c r="AZ1387" s="416">
        <v>0</v>
      </c>
    </row>
    <row r="1388" spans="1:52" x14ac:dyDescent="0.25">
      <c r="A1388" s="415" t="str">
        <f t="shared" si="21"/>
        <v>SA-479 Gr.310Cb</v>
      </c>
      <c r="B1388" s="415">
        <v>1382</v>
      </c>
      <c r="C1388" s="415" t="s">
        <v>3482</v>
      </c>
      <c r="D1388" s="415" t="s">
        <v>2677</v>
      </c>
      <c r="E1388" s="415" t="s">
        <v>2245</v>
      </c>
      <c r="F1388" s="415" t="s">
        <v>2257</v>
      </c>
      <c r="G1388" s="415" t="s">
        <v>3483</v>
      </c>
      <c r="H1388" s="415">
        <v>0</v>
      </c>
      <c r="I1388" s="415">
        <v>0</v>
      </c>
      <c r="J1388" s="415">
        <v>8</v>
      </c>
      <c r="K1388" s="415">
        <v>2</v>
      </c>
      <c r="L1388" s="415">
        <v>515</v>
      </c>
      <c r="M1388" s="415">
        <v>205</v>
      </c>
      <c r="N1388" s="415" t="s">
        <v>2675</v>
      </c>
      <c r="O1388" s="415" t="s">
        <v>2675</v>
      </c>
      <c r="P1388" s="415">
        <v>538</v>
      </c>
      <c r="Q1388" s="415">
        <v>343</v>
      </c>
      <c r="R1388" s="415" t="s">
        <v>3069</v>
      </c>
      <c r="S1388" s="415" t="s">
        <v>3433</v>
      </c>
      <c r="T1388" s="416">
        <v>138</v>
      </c>
      <c r="U1388" s="416">
        <v>138</v>
      </c>
      <c r="V1388" s="416">
        <v>138</v>
      </c>
      <c r="W1388" s="416">
        <v>138</v>
      </c>
      <c r="X1388" s="416">
        <v>138</v>
      </c>
      <c r="Y1388" s="416">
        <v>138</v>
      </c>
      <c r="Z1388" s="416">
        <v>138</v>
      </c>
      <c r="AA1388" s="416">
        <v>135</v>
      </c>
      <c r="AB1388" s="416">
        <v>129</v>
      </c>
      <c r="AC1388" s="416">
        <v>127</v>
      </c>
      <c r="AD1388" s="416">
        <v>125</v>
      </c>
      <c r="AE1388" s="416">
        <v>123</v>
      </c>
      <c r="AF1388" s="416">
        <v>122</v>
      </c>
      <c r="AG1388" s="416">
        <v>120</v>
      </c>
      <c r="AH1388" s="416">
        <v>119</v>
      </c>
      <c r="AI1388" s="416">
        <v>117</v>
      </c>
      <c r="AJ1388" s="416">
        <v>112</v>
      </c>
      <c r="AK1388" s="416">
        <v>87.2</v>
      </c>
      <c r="AL1388" s="416">
        <v>59.2</v>
      </c>
      <c r="AM1388" s="416">
        <v>0</v>
      </c>
      <c r="AN1388" s="416">
        <v>0</v>
      </c>
      <c r="AO1388" s="416">
        <v>0</v>
      </c>
      <c r="AP1388" s="416">
        <v>0</v>
      </c>
      <c r="AQ1388" s="416">
        <v>0</v>
      </c>
      <c r="AR1388" s="416">
        <v>0</v>
      </c>
      <c r="AS1388" s="416">
        <v>0</v>
      </c>
      <c r="AT1388" s="416">
        <v>0</v>
      </c>
      <c r="AU1388" s="416">
        <v>0</v>
      </c>
      <c r="AV1388" s="416">
        <v>0</v>
      </c>
      <c r="AW1388" s="416">
        <v>0</v>
      </c>
      <c r="AX1388" s="416">
        <v>0</v>
      </c>
      <c r="AY1388" s="416">
        <v>0</v>
      </c>
      <c r="AZ1388" s="416">
        <v>0</v>
      </c>
    </row>
    <row r="1389" spans="1:52" x14ac:dyDescent="0.25">
      <c r="A1389" s="415" t="str">
        <f t="shared" si="21"/>
        <v>SA-479 Gr.310Cb</v>
      </c>
      <c r="B1389" s="415">
        <v>1383</v>
      </c>
      <c r="C1389" s="415" t="s">
        <v>3482</v>
      </c>
      <c r="D1389" s="415" t="s">
        <v>2677</v>
      </c>
      <c r="E1389" s="415" t="s">
        <v>2245</v>
      </c>
      <c r="F1389" s="415" t="s">
        <v>2257</v>
      </c>
      <c r="G1389" s="415" t="s">
        <v>3483</v>
      </c>
      <c r="H1389" s="415">
        <v>0</v>
      </c>
      <c r="I1389" s="415">
        <v>0</v>
      </c>
      <c r="J1389" s="415">
        <v>8</v>
      </c>
      <c r="K1389" s="415">
        <v>2</v>
      </c>
      <c r="L1389" s="415">
        <v>515</v>
      </c>
      <c r="M1389" s="415">
        <v>205</v>
      </c>
      <c r="N1389" s="415" t="s">
        <v>2675</v>
      </c>
      <c r="O1389" s="415" t="s">
        <v>2675</v>
      </c>
      <c r="P1389" s="415">
        <v>538</v>
      </c>
      <c r="Q1389" s="415">
        <v>343</v>
      </c>
      <c r="R1389" s="415" t="s">
        <v>3069</v>
      </c>
      <c r="S1389" s="415" t="s">
        <v>3434</v>
      </c>
      <c r="T1389" s="416">
        <v>138</v>
      </c>
      <c r="U1389" s="416">
        <v>138</v>
      </c>
      <c r="V1389" s="416">
        <v>129</v>
      </c>
      <c r="W1389" s="416">
        <v>120</v>
      </c>
      <c r="X1389" s="416">
        <v>115</v>
      </c>
      <c r="Y1389" s="416">
        <v>111</v>
      </c>
      <c r="Z1389" s="416">
        <v>105</v>
      </c>
      <c r="AA1389" s="416">
        <v>100</v>
      </c>
      <c r="AB1389" s="416">
        <v>95.4</v>
      </c>
      <c r="AC1389" s="416">
        <v>94</v>
      </c>
      <c r="AD1389" s="416">
        <v>92.8</v>
      </c>
      <c r="AE1389" s="416">
        <v>91.5</v>
      </c>
      <c r="AF1389" s="416">
        <v>90.3</v>
      </c>
      <c r="AG1389" s="416">
        <v>89</v>
      </c>
      <c r="AH1389" s="416">
        <v>87.8</v>
      </c>
      <c r="AI1389" s="416">
        <v>86.5</v>
      </c>
      <c r="AJ1389" s="416">
        <v>85.3</v>
      </c>
      <c r="AK1389" s="416">
        <v>77.8</v>
      </c>
      <c r="AL1389" s="416">
        <v>59.2</v>
      </c>
      <c r="AM1389" s="416">
        <v>0</v>
      </c>
      <c r="AN1389" s="416">
        <v>0</v>
      </c>
      <c r="AO1389" s="416">
        <v>0</v>
      </c>
      <c r="AP1389" s="416">
        <v>0</v>
      </c>
      <c r="AQ1389" s="416">
        <v>0</v>
      </c>
      <c r="AR1389" s="416">
        <v>0</v>
      </c>
      <c r="AS1389" s="416">
        <v>0</v>
      </c>
      <c r="AT1389" s="416">
        <v>0</v>
      </c>
      <c r="AU1389" s="416">
        <v>0</v>
      </c>
      <c r="AV1389" s="416">
        <v>0</v>
      </c>
      <c r="AW1389" s="416">
        <v>0</v>
      </c>
      <c r="AX1389" s="416">
        <v>0</v>
      </c>
      <c r="AY1389" s="416">
        <v>0</v>
      </c>
      <c r="AZ1389" s="416">
        <v>0</v>
      </c>
    </row>
    <row r="1390" spans="1:52" x14ac:dyDescent="0.25">
      <c r="A1390" s="415" t="str">
        <f t="shared" si="21"/>
        <v>SA-813 Gr.TP310Cb</v>
      </c>
      <c r="B1390" s="415">
        <v>1384</v>
      </c>
      <c r="C1390" s="415" t="s">
        <v>3482</v>
      </c>
      <c r="D1390" s="415" t="s">
        <v>2680</v>
      </c>
      <c r="E1390" s="415" t="s">
        <v>2328</v>
      </c>
      <c r="F1390" s="415" t="s">
        <v>2563</v>
      </c>
      <c r="G1390" s="415" t="s">
        <v>3483</v>
      </c>
      <c r="H1390" s="415">
        <v>0</v>
      </c>
      <c r="I1390" s="415">
        <v>0</v>
      </c>
      <c r="J1390" s="415">
        <v>8</v>
      </c>
      <c r="K1390" s="415">
        <v>2</v>
      </c>
      <c r="L1390" s="415">
        <v>515</v>
      </c>
      <c r="M1390" s="415">
        <v>205</v>
      </c>
      <c r="N1390" s="415" t="s">
        <v>2675</v>
      </c>
      <c r="O1390" s="415" t="s">
        <v>2675</v>
      </c>
      <c r="P1390" s="415">
        <v>816</v>
      </c>
      <c r="Q1390" s="415">
        <v>343</v>
      </c>
      <c r="R1390" s="415" t="s">
        <v>3069</v>
      </c>
      <c r="S1390" s="415" t="s">
        <v>3320</v>
      </c>
      <c r="T1390" s="416">
        <v>117</v>
      </c>
      <c r="U1390" s="416">
        <v>117</v>
      </c>
      <c r="V1390" s="416">
        <v>117</v>
      </c>
      <c r="W1390" s="416">
        <v>117</v>
      </c>
      <c r="X1390" s="416">
        <v>117</v>
      </c>
      <c r="Y1390" s="416">
        <v>117</v>
      </c>
      <c r="Z1390" s="416">
        <v>117</v>
      </c>
      <c r="AA1390" s="416">
        <v>114</v>
      </c>
      <c r="AB1390" s="416">
        <v>109</v>
      </c>
      <c r="AC1390" s="416">
        <v>108</v>
      </c>
      <c r="AD1390" s="416">
        <v>106</v>
      </c>
      <c r="AE1390" s="416">
        <v>105</v>
      </c>
      <c r="AF1390" s="416">
        <v>103</v>
      </c>
      <c r="AG1390" s="416">
        <v>102</v>
      </c>
      <c r="AH1390" s="416">
        <v>101</v>
      </c>
      <c r="AI1390" s="416">
        <v>99.3</v>
      </c>
      <c r="AJ1390" s="416">
        <v>98.5</v>
      </c>
      <c r="AK1390" s="416">
        <v>74.7</v>
      </c>
      <c r="AL1390" s="416">
        <v>50.6</v>
      </c>
      <c r="AM1390" s="416">
        <v>37.4</v>
      </c>
      <c r="AN1390" s="416">
        <v>27.5</v>
      </c>
      <c r="AO1390" s="416">
        <v>20.399999999999999</v>
      </c>
      <c r="AP1390" s="416">
        <v>14.2</v>
      </c>
      <c r="AQ1390" s="416">
        <v>9.27</v>
      </c>
      <c r="AR1390" s="416">
        <v>5.22</v>
      </c>
      <c r="AS1390" s="416">
        <v>3.23</v>
      </c>
      <c r="AT1390" s="416">
        <v>2.5299999999999998</v>
      </c>
      <c r="AU1390" s="416">
        <v>2.06</v>
      </c>
      <c r="AV1390" s="416">
        <v>1.52</v>
      </c>
      <c r="AW1390" s="416">
        <v>0.96</v>
      </c>
      <c r="AX1390" s="416">
        <v>0</v>
      </c>
      <c r="AY1390" s="416">
        <v>0</v>
      </c>
      <c r="AZ1390" s="416">
        <v>0</v>
      </c>
    </row>
    <row r="1391" spans="1:52" x14ac:dyDescent="0.25">
      <c r="A1391" s="415" t="str">
        <f t="shared" si="21"/>
        <v>SA-813 Gr.TP310Cb</v>
      </c>
      <c r="B1391" s="415">
        <v>1385</v>
      </c>
      <c r="C1391" s="415" t="s">
        <v>3482</v>
      </c>
      <c r="D1391" s="415" t="s">
        <v>2680</v>
      </c>
      <c r="E1391" s="415" t="s">
        <v>2328</v>
      </c>
      <c r="F1391" s="415" t="s">
        <v>2563</v>
      </c>
      <c r="G1391" s="415" t="s">
        <v>3483</v>
      </c>
      <c r="H1391" s="415">
        <v>0</v>
      </c>
      <c r="I1391" s="415">
        <v>0</v>
      </c>
      <c r="J1391" s="415">
        <v>8</v>
      </c>
      <c r="K1391" s="415">
        <v>2</v>
      </c>
      <c r="L1391" s="415">
        <v>515</v>
      </c>
      <c r="M1391" s="415">
        <v>205</v>
      </c>
      <c r="N1391" s="415" t="s">
        <v>2675</v>
      </c>
      <c r="O1391" s="415" t="s">
        <v>2675</v>
      </c>
      <c r="P1391" s="415">
        <v>816</v>
      </c>
      <c r="Q1391" s="415">
        <v>343</v>
      </c>
      <c r="R1391" s="415" t="s">
        <v>3069</v>
      </c>
      <c r="S1391" s="415" t="s">
        <v>3429</v>
      </c>
      <c r="T1391" s="416">
        <v>117</v>
      </c>
      <c r="U1391" s="416">
        <v>117</v>
      </c>
      <c r="V1391" s="416">
        <v>110</v>
      </c>
      <c r="W1391" s="416">
        <v>102</v>
      </c>
      <c r="X1391" s="416">
        <v>97.8</v>
      </c>
      <c r="Y1391" s="416">
        <v>94.3</v>
      </c>
      <c r="Z1391" s="416">
        <v>88.7</v>
      </c>
      <c r="AA1391" s="416">
        <v>84.1</v>
      </c>
      <c r="AB1391" s="416">
        <v>81.400000000000006</v>
      </c>
      <c r="AC1391" s="416">
        <v>80.2</v>
      </c>
      <c r="AD1391" s="416">
        <v>79</v>
      </c>
      <c r="AE1391" s="416">
        <v>77.7</v>
      </c>
      <c r="AF1391" s="416">
        <v>76.5</v>
      </c>
      <c r="AG1391" s="416">
        <v>75.900000000000006</v>
      </c>
      <c r="AH1391" s="416">
        <v>74.7</v>
      </c>
      <c r="AI1391" s="416">
        <v>74</v>
      </c>
      <c r="AJ1391" s="416">
        <v>72.8</v>
      </c>
      <c r="AK1391" s="416">
        <v>64.5</v>
      </c>
      <c r="AL1391" s="416">
        <v>50.6</v>
      </c>
      <c r="AM1391" s="416">
        <v>37.4</v>
      </c>
      <c r="AN1391" s="416">
        <v>27.5</v>
      </c>
      <c r="AO1391" s="416">
        <v>20.399999999999999</v>
      </c>
      <c r="AP1391" s="416">
        <v>14.2</v>
      </c>
      <c r="AQ1391" s="416">
        <v>9.27</v>
      </c>
      <c r="AR1391" s="416">
        <v>5.22</v>
      </c>
      <c r="AS1391" s="416">
        <v>3.23</v>
      </c>
      <c r="AT1391" s="416">
        <v>2.5299999999999998</v>
      </c>
      <c r="AU1391" s="416">
        <v>2.06</v>
      </c>
      <c r="AV1391" s="416">
        <v>1.52</v>
      </c>
      <c r="AW1391" s="416">
        <v>0.96</v>
      </c>
      <c r="AX1391" s="416">
        <v>0</v>
      </c>
      <c r="AY1391" s="416">
        <v>0</v>
      </c>
      <c r="AZ1391" s="416">
        <v>0</v>
      </c>
    </row>
    <row r="1392" spans="1:52" x14ac:dyDescent="0.25">
      <c r="A1392" s="415" t="str">
        <f t="shared" si="21"/>
        <v>SA-814 Gr.TP310Cb</v>
      </c>
      <c r="B1392" s="415">
        <v>1386</v>
      </c>
      <c r="C1392" s="415" t="s">
        <v>3482</v>
      </c>
      <c r="D1392" s="415" t="s">
        <v>2680</v>
      </c>
      <c r="E1392" s="415" t="s">
        <v>2330</v>
      </c>
      <c r="F1392" s="415" t="s">
        <v>2563</v>
      </c>
      <c r="G1392" s="415" t="s">
        <v>3483</v>
      </c>
      <c r="H1392" s="415">
        <v>0</v>
      </c>
      <c r="I1392" s="415">
        <v>0</v>
      </c>
      <c r="J1392" s="415">
        <v>8</v>
      </c>
      <c r="K1392" s="415">
        <v>2</v>
      </c>
      <c r="L1392" s="415">
        <v>515</v>
      </c>
      <c r="M1392" s="415">
        <v>205</v>
      </c>
      <c r="N1392" s="415" t="s">
        <v>2675</v>
      </c>
      <c r="O1392" s="415" t="s">
        <v>2675</v>
      </c>
      <c r="P1392" s="415">
        <v>816</v>
      </c>
      <c r="Q1392" s="415">
        <v>343</v>
      </c>
      <c r="R1392" s="415" t="s">
        <v>3069</v>
      </c>
      <c r="S1392" s="415" t="s">
        <v>3320</v>
      </c>
      <c r="T1392" s="416">
        <v>117</v>
      </c>
      <c r="U1392" s="416">
        <v>117</v>
      </c>
      <c r="V1392" s="416">
        <v>117</v>
      </c>
      <c r="W1392" s="416">
        <v>117</v>
      </c>
      <c r="X1392" s="416">
        <v>117</v>
      </c>
      <c r="Y1392" s="416">
        <v>117</v>
      </c>
      <c r="Z1392" s="416">
        <v>117</v>
      </c>
      <c r="AA1392" s="416">
        <v>114</v>
      </c>
      <c r="AB1392" s="416">
        <v>109</v>
      </c>
      <c r="AC1392" s="416">
        <v>108</v>
      </c>
      <c r="AD1392" s="416">
        <v>106</v>
      </c>
      <c r="AE1392" s="416">
        <v>105</v>
      </c>
      <c r="AF1392" s="416">
        <v>103</v>
      </c>
      <c r="AG1392" s="416">
        <v>102</v>
      </c>
      <c r="AH1392" s="416">
        <v>101</v>
      </c>
      <c r="AI1392" s="416">
        <v>99.3</v>
      </c>
      <c r="AJ1392" s="416">
        <v>98.5</v>
      </c>
      <c r="AK1392" s="416">
        <v>74.7</v>
      </c>
      <c r="AL1392" s="416">
        <v>50.6</v>
      </c>
      <c r="AM1392" s="416">
        <v>37.4</v>
      </c>
      <c r="AN1392" s="416">
        <v>27.5</v>
      </c>
      <c r="AO1392" s="416">
        <v>20.399999999999999</v>
      </c>
      <c r="AP1392" s="416">
        <v>14.2</v>
      </c>
      <c r="AQ1392" s="416">
        <v>9.27</v>
      </c>
      <c r="AR1392" s="416">
        <v>5.22</v>
      </c>
      <c r="AS1392" s="416">
        <v>3.23</v>
      </c>
      <c r="AT1392" s="416">
        <v>2.5299999999999998</v>
      </c>
      <c r="AU1392" s="416">
        <v>2.06</v>
      </c>
      <c r="AV1392" s="416">
        <v>1.52</v>
      </c>
      <c r="AW1392" s="416">
        <v>0.96</v>
      </c>
      <c r="AX1392" s="416">
        <v>0</v>
      </c>
      <c r="AY1392" s="416">
        <v>0</v>
      </c>
      <c r="AZ1392" s="416">
        <v>0</v>
      </c>
    </row>
    <row r="1393" spans="1:52" x14ac:dyDescent="0.25">
      <c r="A1393" s="415" t="str">
        <f t="shared" si="21"/>
        <v>SA-814 Gr.TP310Cb</v>
      </c>
      <c r="B1393" s="415">
        <v>1387</v>
      </c>
      <c r="C1393" s="415" t="s">
        <v>3482</v>
      </c>
      <c r="D1393" s="415" t="s">
        <v>2680</v>
      </c>
      <c r="E1393" s="415" t="s">
        <v>2330</v>
      </c>
      <c r="F1393" s="415" t="s">
        <v>2563</v>
      </c>
      <c r="G1393" s="415" t="s">
        <v>3483</v>
      </c>
      <c r="H1393" s="415">
        <v>0</v>
      </c>
      <c r="I1393" s="415">
        <v>0</v>
      </c>
      <c r="J1393" s="415">
        <v>8</v>
      </c>
      <c r="K1393" s="415">
        <v>2</v>
      </c>
      <c r="L1393" s="415">
        <v>515</v>
      </c>
      <c r="M1393" s="415">
        <v>205</v>
      </c>
      <c r="N1393" s="415" t="s">
        <v>2675</v>
      </c>
      <c r="O1393" s="415" t="s">
        <v>2675</v>
      </c>
      <c r="P1393" s="415">
        <v>816</v>
      </c>
      <c r="Q1393" s="415">
        <v>343</v>
      </c>
      <c r="R1393" s="415" t="s">
        <v>3069</v>
      </c>
      <c r="S1393" s="415" t="s">
        <v>3429</v>
      </c>
      <c r="T1393" s="416">
        <v>117</v>
      </c>
      <c r="U1393" s="416">
        <v>117</v>
      </c>
      <c r="V1393" s="416">
        <v>110</v>
      </c>
      <c r="W1393" s="416">
        <v>102</v>
      </c>
      <c r="X1393" s="416">
        <v>97.8</v>
      </c>
      <c r="Y1393" s="416">
        <v>94.3</v>
      </c>
      <c r="Z1393" s="416">
        <v>88.7</v>
      </c>
      <c r="AA1393" s="416">
        <v>84.1</v>
      </c>
      <c r="AB1393" s="416">
        <v>81.400000000000006</v>
      </c>
      <c r="AC1393" s="416">
        <v>80.2</v>
      </c>
      <c r="AD1393" s="416">
        <v>79</v>
      </c>
      <c r="AE1393" s="416">
        <v>77.7</v>
      </c>
      <c r="AF1393" s="416">
        <v>76.5</v>
      </c>
      <c r="AG1393" s="416">
        <v>75.900000000000006</v>
      </c>
      <c r="AH1393" s="416">
        <v>74.7</v>
      </c>
      <c r="AI1393" s="416">
        <v>74</v>
      </c>
      <c r="AJ1393" s="416">
        <v>72.8</v>
      </c>
      <c r="AK1393" s="416">
        <v>64.5</v>
      </c>
      <c r="AL1393" s="416">
        <v>50.6</v>
      </c>
      <c r="AM1393" s="416">
        <v>37.4</v>
      </c>
      <c r="AN1393" s="416">
        <v>27.5</v>
      </c>
      <c r="AO1393" s="416">
        <v>20.399999999999999</v>
      </c>
      <c r="AP1393" s="416">
        <v>14.2</v>
      </c>
      <c r="AQ1393" s="416">
        <v>9.27</v>
      </c>
      <c r="AR1393" s="416">
        <v>5.22</v>
      </c>
      <c r="AS1393" s="416">
        <v>3.23</v>
      </c>
      <c r="AT1393" s="416">
        <v>2.5299999999999998</v>
      </c>
      <c r="AU1393" s="416">
        <v>2.06</v>
      </c>
      <c r="AV1393" s="416">
        <v>1.52</v>
      </c>
      <c r="AW1393" s="416">
        <v>0.96</v>
      </c>
      <c r="AX1393" s="416">
        <v>0</v>
      </c>
      <c r="AY1393" s="416">
        <v>0</v>
      </c>
      <c r="AZ1393" s="416">
        <v>0</v>
      </c>
    </row>
    <row r="1394" spans="1:52" x14ac:dyDescent="0.25">
      <c r="A1394" s="415" t="str">
        <f t="shared" si="21"/>
        <v>SA-213 Gr.TP310HCbN</v>
      </c>
      <c r="B1394" s="415">
        <v>1388</v>
      </c>
      <c r="C1394" s="415" t="s">
        <v>3485</v>
      </c>
      <c r="D1394" s="415" t="s">
        <v>2693</v>
      </c>
      <c r="E1394" s="415" t="s">
        <v>2195</v>
      </c>
      <c r="F1394" s="415" t="s">
        <v>2565</v>
      </c>
      <c r="G1394" s="415" t="s">
        <v>3486</v>
      </c>
      <c r="H1394" s="415">
        <v>0</v>
      </c>
      <c r="I1394" s="415">
        <v>0</v>
      </c>
      <c r="J1394" s="415">
        <v>8</v>
      </c>
      <c r="K1394" s="415">
        <v>3</v>
      </c>
      <c r="L1394" s="415">
        <v>655</v>
      </c>
      <c r="M1394" s="415">
        <v>295</v>
      </c>
      <c r="N1394" s="415">
        <v>732</v>
      </c>
      <c r="O1394" s="415" t="s">
        <v>2675</v>
      </c>
      <c r="P1394" s="415" t="s">
        <v>2675</v>
      </c>
      <c r="Q1394" s="415" t="s">
        <v>2675</v>
      </c>
      <c r="R1394" s="415" t="s">
        <v>3069</v>
      </c>
      <c r="S1394" s="415" t="s">
        <v>3487</v>
      </c>
      <c r="T1394" s="416">
        <v>187</v>
      </c>
      <c r="U1394" s="416">
        <v>187</v>
      </c>
      <c r="V1394" s="416">
        <v>187</v>
      </c>
      <c r="W1394" s="416">
        <v>184</v>
      </c>
      <c r="X1394" s="416">
        <v>179</v>
      </c>
      <c r="Y1394" s="416">
        <v>175</v>
      </c>
      <c r="Z1394" s="416">
        <v>170</v>
      </c>
      <c r="AA1394" s="416">
        <v>167</v>
      </c>
      <c r="AB1394" s="416">
        <v>165</v>
      </c>
      <c r="AC1394" s="416">
        <v>165</v>
      </c>
      <c r="AD1394" s="416">
        <v>165</v>
      </c>
      <c r="AE1394" s="416">
        <v>164</v>
      </c>
      <c r="AF1394" s="416">
        <v>164</v>
      </c>
      <c r="AG1394" s="416">
        <v>163</v>
      </c>
      <c r="AH1394" s="416">
        <v>162</v>
      </c>
      <c r="AI1394" s="416">
        <v>160</v>
      </c>
      <c r="AJ1394" s="416">
        <v>158</v>
      </c>
      <c r="AK1394" s="416">
        <v>156</v>
      </c>
      <c r="AL1394" s="416">
        <v>153</v>
      </c>
      <c r="AM1394" s="416">
        <v>150</v>
      </c>
      <c r="AN1394" s="416">
        <v>118</v>
      </c>
      <c r="AO1394" s="416">
        <v>90.2</v>
      </c>
      <c r="AP1394" s="416">
        <v>68.900000000000006</v>
      </c>
      <c r="AQ1394" s="416">
        <v>52.9</v>
      </c>
      <c r="AR1394" s="416">
        <v>41.1</v>
      </c>
      <c r="AS1394" s="416">
        <v>32.200000000000003</v>
      </c>
      <c r="AT1394" s="416">
        <v>25.2</v>
      </c>
      <c r="AU1394" s="416">
        <v>0</v>
      </c>
      <c r="AV1394" s="416">
        <v>0</v>
      </c>
      <c r="AW1394" s="416">
        <v>0</v>
      </c>
      <c r="AX1394" s="416">
        <v>0</v>
      </c>
      <c r="AY1394" s="416">
        <v>0</v>
      </c>
      <c r="AZ1394" s="416">
        <v>0</v>
      </c>
    </row>
    <row r="1395" spans="1:52" x14ac:dyDescent="0.25">
      <c r="A1395" s="415" t="str">
        <f t="shared" si="21"/>
        <v>SA-213 Gr.TP310HCbN</v>
      </c>
      <c r="B1395" s="415">
        <v>1389</v>
      </c>
      <c r="C1395" s="415" t="s">
        <v>3485</v>
      </c>
      <c r="D1395" s="415" t="s">
        <v>2693</v>
      </c>
      <c r="E1395" s="415" t="s">
        <v>2195</v>
      </c>
      <c r="F1395" s="415" t="s">
        <v>2565</v>
      </c>
      <c r="G1395" s="415" t="s">
        <v>3486</v>
      </c>
      <c r="H1395" s="415">
        <v>0</v>
      </c>
      <c r="I1395" s="415">
        <v>0</v>
      </c>
      <c r="J1395" s="415">
        <v>8</v>
      </c>
      <c r="K1395" s="415">
        <v>3</v>
      </c>
      <c r="L1395" s="415">
        <v>655</v>
      </c>
      <c r="M1395" s="415">
        <v>295</v>
      </c>
      <c r="N1395" s="415">
        <v>732</v>
      </c>
      <c r="O1395" s="415" t="s">
        <v>2675</v>
      </c>
      <c r="P1395" s="415" t="s">
        <v>2675</v>
      </c>
      <c r="Q1395" s="415" t="s">
        <v>2675</v>
      </c>
      <c r="R1395" s="415" t="s">
        <v>3069</v>
      </c>
      <c r="S1395" s="415" t="s">
        <v>3488</v>
      </c>
      <c r="T1395" s="416">
        <v>187</v>
      </c>
      <c r="U1395" s="416">
        <v>187</v>
      </c>
      <c r="V1395" s="416">
        <v>177</v>
      </c>
      <c r="W1395" s="416">
        <v>163</v>
      </c>
      <c r="X1395" s="416">
        <v>156</v>
      </c>
      <c r="Y1395" s="416">
        <v>149</v>
      </c>
      <c r="Z1395" s="416">
        <v>140</v>
      </c>
      <c r="AA1395" s="416">
        <v>133</v>
      </c>
      <c r="AB1395" s="416">
        <v>129</v>
      </c>
      <c r="AC1395" s="416">
        <v>127</v>
      </c>
      <c r="AD1395" s="416">
        <v>126</v>
      </c>
      <c r="AE1395" s="416">
        <v>124</v>
      </c>
      <c r="AF1395" s="416">
        <v>123</v>
      </c>
      <c r="AG1395" s="416">
        <v>121</v>
      </c>
      <c r="AH1395" s="416">
        <v>120</v>
      </c>
      <c r="AI1395" s="416">
        <v>119</v>
      </c>
      <c r="AJ1395" s="416">
        <v>117</v>
      </c>
      <c r="AK1395" s="416">
        <v>115</v>
      </c>
      <c r="AL1395" s="416">
        <v>114</v>
      </c>
      <c r="AM1395" s="416">
        <v>112</v>
      </c>
      <c r="AN1395" s="416">
        <v>110</v>
      </c>
      <c r="AO1395" s="416">
        <v>90.2</v>
      </c>
      <c r="AP1395" s="416">
        <v>68.900000000000006</v>
      </c>
      <c r="AQ1395" s="416">
        <v>52.9</v>
      </c>
      <c r="AR1395" s="416">
        <v>41.1</v>
      </c>
      <c r="AS1395" s="416">
        <v>32.200000000000003</v>
      </c>
      <c r="AT1395" s="416">
        <v>25.2</v>
      </c>
      <c r="AU1395" s="416">
        <v>0</v>
      </c>
      <c r="AV1395" s="416">
        <v>0</v>
      </c>
      <c r="AW1395" s="416">
        <v>0</v>
      </c>
      <c r="AX1395" s="416">
        <v>0</v>
      </c>
      <c r="AY1395" s="416">
        <v>0</v>
      </c>
      <c r="AZ1395" s="416">
        <v>0</v>
      </c>
    </row>
    <row r="1396" spans="1:52" x14ac:dyDescent="0.25">
      <c r="A1396" s="415" t="str">
        <f t="shared" si="21"/>
        <v>SA-182 Gr.F310MoLN</v>
      </c>
      <c r="B1396" s="415">
        <v>1390</v>
      </c>
      <c r="C1396" s="415" t="s">
        <v>3489</v>
      </c>
      <c r="D1396" s="415" t="s">
        <v>2737</v>
      </c>
      <c r="E1396" s="415" t="s">
        <v>2188</v>
      </c>
      <c r="F1396" s="415" t="s">
        <v>2438</v>
      </c>
      <c r="G1396" s="415" t="s">
        <v>3490</v>
      </c>
      <c r="H1396" s="415">
        <v>0</v>
      </c>
      <c r="I1396" s="415">
        <v>0</v>
      </c>
      <c r="J1396" s="415">
        <v>8</v>
      </c>
      <c r="K1396" s="415">
        <v>2</v>
      </c>
      <c r="L1396" s="415">
        <v>540</v>
      </c>
      <c r="M1396" s="415">
        <v>255</v>
      </c>
      <c r="N1396" s="415" t="s">
        <v>2675</v>
      </c>
      <c r="O1396" s="415" t="s">
        <v>2675</v>
      </c>
      <c r="P1396" s="415">
        <v>316</v>
      </c>
      <c r="Q1396" s="415">
        <v>316</v>
      </c>
      <c r="R1396" s="415" t="s">
        <v>3069</v>
      </c>
      <c r="S1396" s="415" t="s">
        <v>3189</v>
      </c>
      <c r="T1396" s="416">
        <v>154</v>
      </c>
      <c r="U1396" s="416">
        <v>154</v>
      </c>
      <c r="V1396" s="416">
        <v>153</v>
      </c>
      <c r="W1396" s="416">
        <v>151</v>
      </c>
      <c r="X1396" s="416">
        <v>147</v>
      </c>
      <c r="Y1396" s="416">
        <v>143</v>
      </c>
      <c r="Z1396" s="416">
        <v>138</v>
      </c>
      <c r="AA1396" s="416">
        <v>135</v>
      </c>
      <c r="AB1396" s="416">
        <v>132</v>
      </c>
      <c r="AC1396" s="416">
        <v>130</v>
      </c>
      <c r="AD1396" s="416">
        <v>0</v>
      </c>
      <c r="AE1396" s="416">
        <v>0</v>
      </c>
      <c r="AF1396" s="416">
        <v>0</v>
      </c>
      <c r="AG1396" s="416">
        <v>0</v>
      </c>
      <c r="AH1396" s="416">
        <v>0</v>
      </c>
      <c r="AI1396" s="416">
        <v>0</v>
      </c>
      <c r="AJ1396" s="416">
        <v>0</v>
      </c>
      <c r="AK1396" s="416">
        <v>0</v>
      </c>
      <c r="AL1396" s="416">
        <v>0</v>
      </c>
      <c r="AM1396" s="416">
        <v>0</v>
      </c>
      <c r="AN1396" s="416">
        <v>0</v>
      </c>
      <c r="AO1396" s="416">
        <v>0</v>
      </c>
      <c r="AP1396" s="416">
        <v>0</v>
      </c>
      <c r="AQ1396" s="416">
        <v>0</v>
      </c>
      <c r="AR1396" s="416">
        <v>0</v>
      </c>
      <c r="AS1396" s="416">
        <v>0</v>
      </c>
      <c r="AT1396" s="416">
        <v>0</v>
      </c>
      <c r="AU1396" s="416">
        <v>0</v>
      </c>
      <c r="AV1396" s="416">
        <v>0</v>
      </c>
      <c r="AW1396" s="416">
        <v>0</v>
      </c>
      <c r="AX1396" s="416">
        <v>0</v>
      </c>
      <c r="AY1396" s="416">
        <v>0</v>
      </c>
      <c r="AZ1396" s="416">
        <v>0</v>
      </c>
    </row>
    <row r="1397" spans="1:52" x14ac:dyDescent="0.25">
      <c r="A1397" s="415" t="str">
        <f t="shared" si="21"/>
        <v>SA-182 Gr.F310MoLN</v>
      </c>
      <c r="B1397" s="415">
        <v>1391</v>
      </c>
      <c r="C1397" s="415" t="s">
        <v>3489</v>
      </c>
      <c r="D1397" s="415" t="s">
        <v>2737</v>
      </c>
      <c r="E1397" s="415" t="s">
        <v>2188</v>
      </c>
      <c r="F1397" s="415" t="s">
        <v>2438</v>
      </c>
      <c r="G1397" s="415" t="s">
        <v>3490</v>
      </c>
      <c r="H1397" s="415">
        <v>0</v>
      </c>
      <c r="I1397" s="415">
        <v>0</v>
      </c>
      <c r="J1397" s="415">
        <v>8</v>
      </c>
      <c r="K1397" s="415">
        <v>2</v>
      </c>
      <c r="L1397" s="415">
        <v>540</v>
      </c>
      <c r="M1397" s="415">
        <v>255</v>
      </c>
      <c r="N1397" s="415" t="s">
        <v>2675</v>
      </c>
      <c r="O1397" s="415" t="s">
        <v>2675</v>
      </c>
      <c r="P1397" s="415">
        <v>316</v>
      </c>
      <c r="Q1397" s="415">
        <v>316</v>
      </c>
      <c r="R1397" s="415" t="s">
        <v>3069</v>
      </c>
      <c r="S1397" s="415">
        <v>0</v>
      </c>
      <c r="T1397" s="416">
        <v>154</v>
      </c>
      <c r="U1397" s="416">
        <v>154</v>
      </c>
      <c r="V1397" s="416">
        <v>150</v>
      </c>
      <c r="W1397" s="416">
        <v>143</v>
      </c>
      <c r="X1397" s="416">
        <v>137</v>
      </c>
      <c r="Y1397" s="416">
        <v>131</v>
      </c>
      <c r="Z1397" s="416">
        <v>123</v>
      </c>
      <c r="AA1397" s="416">
        <v>117</v>
      </c>
      <c r="AB1397" s="416">
        <v>111</v>
      </c>
      <c r="AC1397" s="416">
        <v>109</v>
      </c>
      <c r="AD1397" s="416">
        <v>0</v>
      </c>
      <c r="AE1397" s="416">
        <v>0</v>
      </c>
      <c r="AF1397" s="416">
        <v>0</v>
      </c>
      <c r="AG1397" s="416">
        <v>0</v>
      </c>
      <c r="AH1397" s="416">
        <v>0</v>
      </c>
      <c r="AI1397" s="416">
        <v>0</v>
      </c>
      <c r="AJ1397" s="416">
        <v>0</v>
      </c>
      <c r="AK1397" s="416">
        <v>0</v>
      </c>
      <c r="AL1397" s="416">
        <v>0</v>
      </c>
      <c r="AM1397" s="416">
        <v>0</v>
      </c>
      <c r="AN1397" s="416">
        <v>0</v>
      </c>
      <c r="AO1397" s="416">
        <v>0</v>
      </c>
      <c r="AP1397" s="416">
        <v>0</v>
      </c>
      <c r="AQ1397" s="416">
        <v>0</v>
      </c>
      <c r="AR1397" s="416">
        <v>0</v>
      </c>
      <c r="AS1397" s="416">
        <v>0</v>
      </c>
      <c r="AT1397" s="416">
        <v>0</v>
      </c>
      <c r="AU1397" s="416">
        <v>0</v>
      </c>
      <c r="AV1397" s="416">
        <v>0</v>
      </c>
      <c r="AW1397" s="416">
        <v>0</v>
      </c>
      <c r="AX1397" s="416">
        <v>0</v>
      </c>
      <c r="AY1397" s="416">
        <v>0</v>
      </c>
      <c r="AZ1397" s="416">
        <v>0</v>
      </c>
    </row>
    <row r="1398" spans="1:52" x14ac:dyDescent="0.25">
      <c r="A1398" s="415" t="str">
        <f t="shared" si="21"/>
        <v>SA-213 Gr.TP310MoLN</v>
      </c>
      <c r="B1398" s="415">
        <v>1392</v>
      </c>
      <c r="C1398" s="415" t="s">
        <v>3489</v>
      </c>
      <c r="D1398" s="415" t="s">
        <v>2693</v>
      </c>
      <c r="E1398" s="415" t="s">
        <v>2195</v>
      </c>
      <c r="F1398" s="415" t="s">
        <v>2566</v>
      </c>
      <c r="G1398" s="415" t="s">
        <v>3490</v>
      </c>
      <c r="H1398" s="415">
        <v>0</v>
      </c>
      <c r="I1398" s="415" t="s">
        <v>3491</v>
      </c>
      <c r="J1398" s="415">
        <v>8</v>
      </c>
      <c r="K1398" s="415">
        <v>2</v>
      </c>
      <c r="L1398" s="415">
        <v>540</v>
      </c>
      <c r="M1398" s="415">
        <v>255</v>
      </c>
      <c r="N1398" s="415" t="s">
        <v>2675</v>
      </c>
      <c r="O1398" s="415" t="s">
        <v>2675</v>
      </c>
      <c r="P1398" s="415">
        <v>482</v>
      </c>
      <c r="Q1398" s="415">
        <v>343</v>
      </c>
      <c r="R1398" s="415" t="s">
        <v>3069</v>
      </c>
      <c r="S1398" s="415" t="s">
        <v>3189</v>
      </c>
      <c r="T1398" s="416">
        <v>154</v>
      </c>
      <c r="U1398" s="416">
        <v>154</v>
      </c>
      <c r="V1398" s="416">
        <v>153</v>
      </c>
      <c r="W1398" s="416">
        <v>151</v>
      </c>
      <c r="X1398" s="416">
        <v>147</v>
      </c>
      <c r="Y1398" s="416">
        <v>143</v>
      </c>
      <c r="Z1398" s="416">
        <v>138</v>
      </c>
      <c r="AA1398" s="416">
        <v>135</v>
      </c>
      <c r="AB1398" s="416">
        <v>132</v>
      </c>
      <c r="AC1398" s="416">
        <v>130</v>
      </c>
      <c r="AD1398" s="416">
        <v>129</v>
      </c>
      <c r="AE1398" s="416">
        <v>129</v>
      </c>
      <c r="AF1398" s="416">
        <v>128</v>
      </c>
      <c r="AG1398" s="416">
        <v>127</v>
      </c>
      <c r="AH1398" s="416">
        <v>126</v>
      </c>
      <c r="AI1398" s="416">
        <v>124</v>
      </c>
      <c r="AJ1398" s="416">
        <v>122</v>
      </c>
      <c r="AK1398" s="416">
        <v>0</v>
      </c>
      <c r="AL1398" s="416">
        <v>0</v>
      </c>
      <c r="AM1398" s="416">
        <v>0</v>
      </c>
      <c r="AN1398" s="416">
        <v>0</v>
      </c>
      <c r="AO1398" s="416">
        <v>0</v>
      </c>
      <c r="AP1398" s="416">
        <v>0</v>
      </c>
      <c r="AQ1398" s="416">
        <v>0</v>
      </c>
      <c r="AR1398" s="416">
        <v>0</v>
      </c>
      <c r="AS1398" s="416">
        <v>0</v>
      </c>
      <c r="AT1398" s="416">
        <v>0</v>
      </c>
      <c r="AU1398" s="416">
        <v>0</v>
      </c>
      <c r="AV1398" s="416">
        <v>0</v>
      </c>
      <c r="AW1398" s="416">
        <v>0</v>
      </c>
      <c r="AX1398" s="416">
        <v>0</v>
      </c>
      <c r="AY1398" s="416">
        <v>0</v>
      </c>
      <c r="AZ1398" s="416">
        <v>0</v>
      </c>
    </row>
    <row r="1399" spans="1:52" x14ac:dyDescent="0.25">
      <c r="A1399" s="415" t="str">
        <f t="shared" si="21"/>
        <v>SA-213 Gr.TP310MoLN</v>
      </c>
      <c r="B1399" s="415">
        <v>1393</v>
      </c>
      <c r="C1399" s="415" t="s">
        <v>3489</v>
      </c>
      <c r="D1399" s="415" t="s">
        <v>2693</v>
      </c>
      <c r="E1399" s="415" t="s">
        <v>2195</v>
      </c>
      <c r="F1399" s="415" t="s">
        <v>2566</v>
      </c>
      <c r="G1399" s="415" t="s">
        <v>3490</v>
      </c>
      <c r="H1399" s="415">
        <v>0</v>
      </c>
      <c r="I1399" s="415" t="s">
        <v>3491</v>
      </c>
      <c r="J1399" s="415">
        <v>8</v>
      </c>
      <c r="K1399" s="415">
        <v>2</v>
      </c>
      <c r="L1399" s="415">
        <v>540</v>
      </c>
      <c r="M1399" s="415">
        <v>255</v>
      </c>
      <c r="N1399" s="415" t="s">
        <v>2675</v>
      </c>
      <c r="O1399" s="415" t="s">
        <v>2675</v>
      </c>
      <c r="P1399" s="415">
        <v>482</v>
      </c>
      <c r="Q1399" s="415">
        <v>343</v>
      </c>
      <c r="R1399" s="415" t="s">
        <v>3069</v>
      </c>
      <c r="S1399" s="415">
        <v>0</v>
      </c>
      <c r="T1399" s="416">
        <v>154</v>
      </c>
      <c r="U1399" s="416">
        <v>154</v>
      </c>
      <c r="V1399" s="416">
        <v>150</v>
      </c>
      <c r="W1399" s="416">
        <v>143</v>
      </c>
      <c r="X1399" s="416">
        <v>137</v>
      </c>
      <c r="Y1399" s="416">
        <v>131</v>
      </c>
      <c r="Z1399" s="416">
        <v>123</v>
      </c>
      <c r="AA1399" s="416">
        <v>117</v>
      </c>
      <c r="AB1399" s="416">
        <v>111</v>
      </c>
      <c r="AC1399" s="416">
        <v>109</v>
      </c>
      <c r="AD1399" s="416">
        <v>106</v>
      </c>
      <c r="AE1399" s="416">
        <v>104</v>
      </c>
      <c r="AF1399" s="416">
        <v>102</v>
      </c>
      <c r="AG1399" s="416">
        <v>99.5</v>
      </c>
      <c r="AH1399" s="416">
        <v>96.9</v>
      </c>
      <c r="AI1399" s="416">
        <v>95</v>
      </c>
      <c r="AJ1399" s="416">
        <v>93.1</v>
      </c>
      <c r="AK1399" s="416">
        <v>0</v>
      </c>
      <c r="AL1399" s="416">
        <v>0</v>
      </c>
      <c r="AM1399" s="416">
        <v>0</v>
      </c>
      <c r="AN1399" s="416">
        <v>0</v>
      </c>
      <c r="AO1399" s="416">
        <v>0</v>
      </c>
      <c r="AP1399" s="416">
        <v>0</v>
      </c>
      <c r="AQ1399" s="416">
        <v>0</v>
      </c>
      <c r="AR1399" s="416">
        <v>0</v>
      </c>
      <c r="AS1399" s="416">
        <v>0</v>
      </c>
      <c r="AT1399" s="416">
        <v>0</v>
      </c>
      <c r="AU1399" s="416">
        <v>0</v>
      </c>
      <c r="AV1399" s="416">
        <v>0</v>
      </c>
      <c r="AW1399" s="416">
        <v>0</v>
      </c>
      <c r="AX1399" s="416">
        <v>0</v>
      </c>
      <c r="AY1399" s="416">
        <v>0</v>
      </c>
      <c r="AZ1399" s="416">
        <v>0</v>
      </c>
    </row>
    <row r="1400" spans="1:52" x14ac:dyDescent="0.25">
      <c r="A1400" s="415" t="str">
        <f t="shared" si="21"/>
        <v>SA-249 Gr.TP310MoLN</v>
      </c>
      <c r="B1400" s="415">
        <v>1394</v>
      </c>
      <c r="C1400" s="415" t="s">
        <v>3489</v>
      </c>
      <c r="D1400" s="415" t="s">
        <v>2689</v>
      </c>
      <c r="E1400" s="415" t="s">
        <v>2200</v>
      </c>
      <c r="F1400" s="415" t="s">
        <v>2566</v>
      </c>
      <c r="G1400" s="415" t="s">
        <v>3490</v>
      </c>
      <c r="H1400" s="415">
        <v>0</v>
      </c>
      <c r="I1400" s="415" t="s">
        <v>3491</v>
      </c>
      <c r="J1400" s="415">
        <v>8</v>
      </c>
      <c r="K1400" s="415">
        <v>2</v>
      </c>
      <c r="L1400" s="415">
        <v>540</v>
      </c>
      <c r="M1400" s="415">
        <v>255</v>
      </c>
      <c r="N1400" s="415" t="s">
        <v>2675</v>
      </c>
      <c r="O1400" s="415" t="s">
        <v>2675</v>
      </c>
      <c r="P1400" s="415">
        <v>482</v>
      </c>
      <c r="Q1400" s="415">
        <v>343</v>
      </c>
      <c r="R1400" s="415" t="s">
        <v>3069</v>
      </c>
      <c r="S1400" s="415" t="s">
        <v>3214</v>
      </c>
      <c r="T1400" s="416">
        <v>130</v>
      </c>
      <c r="U1400" s="416">
        <v>130</v>
      </c>
      <c r="V1400" s="416">
        <v>130</v>
      </c>
      <c r="W1400" s="416">
        <v>128</v>
      </c>
      <c r="X1400" s="416">
        <v>125</v>
      </c>
      <c r="Y1400" s="416">
        <v>122</v>
      </c>
      <c r="Z1400" s="416">
        <v>118</v>
      </c>
      <c r="AA1400" s="416">
        <v>114</v>
      </c>
      <c r="AB1400" s="416">
        <v>112</v>
      </c>
      <c r="AC1400" s="416">
        <v>111</v>
      </c>
      <c r="AD1400" s="416">
        <v>110</v>
      </c>
      <c r="AE1400" s="416">
        <v>110</v>
      </c>
      <c r="AF1400" s="416">
        <v>109</v>
      </c>
      <c r="AG1400" s="416">
        <v>108</v>
      </c>
      <c r="AH1400" s="416">
        <v>107</v>
      </c>
      <c r="AI1400" s="416">
        <v>105</v>
      </c>
      <c r="AJ1400" s="416">
        <v>103</v>
      </c>
      <c r="AK1400" s="416">
        <v>0</v>
      </c>
      <c r="AL1400" s="416">
        <v>0</v>
      </c>
      <c r="AM1400" s="416">
        <v>0</v>
      </c>
      <c r="AN1400" s="416">
        <v>0</v>
      </c>
      <c r="AO1400" s="416">
        <v>0</v>
      </c>
      <c r="AP1400" s="416">
        <v>0</v>
      </c>
      <c r="AQ1400" s="416">
        <v>0</v>
      </c>
      <c r="AR1400" s="416">
        <v>0</v>
      </c>
      <c r="AS1400" s="416">
        <v>0</v>
      </c>
      <c r="AT1400" s="416">
        <v>0</v>
      </c>
      <c r="AU1400" s="416">
        <v>0</v>
      </c>
      <c r="AV1400" s="416">
        <v>0</v>
      </c>
      <c r="AW1400" s="416">
        <v>0</v>
      </c>
      <c r="AX1400" s="416">
        <v>0</v>
      </c>
      <c r="AY1400" s="416">
        <v>0</v>
      </c>
      <c r="AZ1400" s="416">
        <v>0</v>
      </c>
    </row>
    <row r="1401" spans="1:52" x14ac:dyDescent="0.25">
      <c r="A1401" s="415" t="str">
        <f t="shared" si="21"/>
        <v>SA-249 Gr.TP310MoLN</v>
      </c>
      <c r="B1401" s="415">
        <v>1395</v>
      </c>
      <c r="C1401" s="415" t="s">
        <v>3489</v>
      </c>
      <c r="D1401" s="415" t="s">
        <v>2689</v>
      </c>
      <c r="E1401" s="415" t="s">
        <v>2200</v>
      </c>
      <c r="F1401" s="415" t="s">
        <v>2566</v>
      </c>
      <c r="G1401" s="415" t="s">
        <v>3490</v>
      </c>
      <c r="H1401" s="415">
        <v>0</v>
      </c>
      <c r="I1401" s="415" t="s">
        <v>3491</v>
      </c>
      <c r="J1401" s="415">
        <v>8</v>
      </c>
      <c r="K1401" s="415">
        <v>2</v>
      </c>
      <c r="L1401" s="415">
        <v>540</v>
      </c>
      <c r="M1401" s="415">
        <v>255</v>
      </c>
      <c r="N1401" s="415" t="s">
        <v>2675</v>
      </c>
      <c r="O1401" s="415" t="s">
        <v>2675</v>
      </c>
      <c r="P1401" s="415">
        <v>482</v>
      </c>
      <c r="Q1401" s="415">
        <v>343</v>
      </c>
      <c r="R1401" s="415" t="s">
        <v>3069</v>
      </c>
      <c r="S1401" s="415" t="s">
        <v>3004</v>
      </c>
      <c r="T1401" s="416">
        <v>130</v>
      </c>
      <c r="U1401" s="416">
        <v>130</v>
      </c>
      <c r="V1401" s="416">
        <v>127</v>
      </c>
      <c r="W1401" s="416">
        <v>121</v>
      </c>
      <c r="X1401" s="416">
        <v>116</v>
      </c>
      <c r="Y1401" s="416">
        <v>111</v>
      </c>
      <c r="Z1401" s="416">
        <v>105</v>
      </c>
      <c r="AA1401" s="416">
        <v>99.6</v>
      </c>
      <c r="AB1401" s="416">
        <v>94.5</v>
      </c>
      <c r="AC1401" s="416">
        <v>92.3</v>
      </c>
      <c r="AD1401" s="416">
        <v>90.6</v>
      </c>
      <c r="AE1401" s="416">
        <v>88.6</v>
      </c>
      <c r="AF1401" s="416">
        <v>86.1</v>
      </c>
      <c r="AG1401" s="416">
        <v>84.2</v>
      </c>
      <c r="AH1401" s="416">
        <v>82.3</v>
      </c>
      <c r="AI1401" s="416">
        <v>81</v>
      </c>
      <c r="AJ1401" s="416">
        <v>79.8</v>
      </c>
      <c r="AK1401" s="416">
        <v>0</v>
      </c>
      <c r="AL1401" s="416">
        <v>0</v>
      </c>
      <c r="AM1401" s="416">
        <v>0</v>
      </c>
      <c r="AN1401" s="416">
        <v>0</v>
      </c>
      <c r="AO1401" s="416">
        <v>0</v>
      </c>
      <c r="AP1401" s="416">
        <v>0</v>
      </c>
      <c r="AQ1401" s="416">
        <v>0</v>
      </c>
      <c r="AR1401" s="416">
        <v>0</v>
      </c>
      <c r="AS1401" s="416">
        <v>0</v>
      </c>
      <c r="AT1401" s="416">
        <v>0</v>
      </c>
      <c r="AU1401" s="416">
        <v>0</v>
      </c>
      <c r="AV1401" s="416">
        <v>0</v>
      </c>
      <c r="AW1401" s="416">
        <v>0</v>
      </c>
      <c r="AX1401" s="416">
        <v>0</v>
      </c>
      <c r="AY1401" s="416">
        <v>0</v>
      </c>
      <c r="AZ1401" s="416">
        <v>0</v>
      </c>
    </row>
    <row r="1402" spans="1:52" x14ac:dyDescent="0.25">
      <c r="A1402" s="415" t="str">
        <f t="shared" si="21"/>
        <v>SA-312 Gr.TP310MoLN</v>
      </c>
      <c r="B1402" s="415">
        <v>1396</v>
      </c>
      <c r="C1402" s="415" t="s">
        <v>3489</v>
      </c>
      <c r="D1402" s="415" t="s">
        <v>2680</v>
      </c>
      <c r="E1402" s="415" t="s">
        <v>2208</v>
      </c>
      <c r="F1402" s="415" t="s">
        <v>2566</v>
      </c>
      <c r="G1402" s="415" t="s">
        <v>3490</v>
      </c>
      <c r="H1402" s="415">
        <v>0</v>
      </c>
      <c r="I1402" s="415" t="s">
        <v>3491</v>
      </c>
      <c r="J1402" s="415">
        <v>8</v>
      </c>
      <c r="K1402" s="415">
        <v>2</v>
      </c>
      <c r="L1402" s="417">
        <v>540</v>
      </c>
      <c r="M1402" s="417">
        <v>255</v>
      </c>
      <c r="N1402" s="417" t="s">
        <v>2675</v>
      </c>
      <c r="O1402" s="417" t="s">
        <v>2675</v>
      </c>
      <c r="P1402" s="417">
        <v>482</v>
      </c>
      <c r="Q1402" s="417">
        <v>343</v>
      </c>
      <c r="R1402" s="417" t="s">
        <v>3069</v>
      </c>
      <c r="S1402" s="417" t="s">
        <v>3214</v>
      </c>
      <c r="T1402" s="416">
        <v>130</v>
      </c>
      <c r="U1402" s="416">
        <v>130</v>
      </c>
      <c r="V1402" s="416">
        <v>130</v>
      </c>
      <c r="W1402" s="416">
        <v>128</v>
      </c>
      <c r="X1402" s="416">
        <v>125</v>
      </c>
      <c r="Y1402" s="416">
        <v>122</v>
      </c>
      <c r="Z1402" s="416">
        <v>118</v>
      </c>
      <c r="AA1402" s="416">
        <v>114</v>
      </c>
      <c r="AB1402" s="416">
        <v>112</v>
      </c>
      <c r="AC1402" s="416">
        <v>111</v>
      </c>
      <c r="AD1402" s="416">
        <v>110</v>
      </c>
      <c r="AE1402" s="416">
        <v>110</v>
      </c>
      <c r="AF1402" s="416">
        <v>109</v>
      </c>
      <c r="AG1402" s="416">
        <v>108</v>
      </c>
      <c r="AH1402" s="416">
        <v>107</v>
      </c>
      <c r="AI1402" s="416">
        <v>105</v>
      </c>
      <c r="AJ1402" s="418">
        <v>103</v>
      </c>
      <c r="AK1402" s="418">
        <v>0</v>
      </c>
      <c r="AL1402" s="418">
        <v>0</v>
      </c>
      <c r="AM1402" s="418">
        <v>0</v>
      </c>
      <c r="AN1402" s="418">
        <v>0</v>
      </c>
      <c r="AO1402" s="418">
        <v>0</v>
      </c>
      <c r="AP1402" s="418">
        <v>0</v>
      </c>
      <c r="AQ1402" s="418">
        <v>0</v>
      </c>
      <c r="AR1402" s="418">
        <v>0</v>
      </c>
      <c r="AS1402" s="418">
        <v>0</v>
      </c>
      <c r="AT1402" s="418">
        <v>0</v>
      </c>
      <c r="AU1402" s="418">
        <v>0</v>
      </c>
      <c r="AV1402" s="418">
        <v>0</v>
      </c>
      <c r="AW1402" s="418">
        <v>0</v>
      </c>
      <c r="AX1402" s="418">
        <v>0</v>
      </c>
      <c r="AY1402" s="418">
        <v>0</v>
      </c>
      <c r="AZ1402" s="418">
        <v>0</v>
      </c>
    </row>
    <row r="1403" spans="1:52" x14ac:dyDescent="0.25">
      <c r="A1403" s="415" t="str">
        <f t="shared" si="21"/>
        <v>SA-312 Gr.TP310MoLN</v>
      </c>
      <c r="B1403" s="415">
        <v>1397</v>
      </c>
      <c r="C1403" s="415" t="s">
        <v>3489</v>
      </c>
      <c r="D1403" s="415" t="s">
        <v>2680</v>
      </c>
      <c r="E1403" s="415" t="s">
        <v>2208</v>
      </c>
      <c r="F1403" s="415" t="s">
        <v>2566</v>
      </c>
      <c r="G1403" s="415" t="s">
        <v>3490</v>
      </c>
      <c r="H1403" s="415">
        <v>0</v>
      </c>
      <c r="I1403" s="415" t="s">
        <v>3491</v>
      </c>
      <c r="J1403" s="415">
        <v>8</v>
      </c>
      <c r="K1403" s="415">
        <v>2</v>
      </c>
      <c r="L1403" s="417">
        <v>540</v>
      </c>
      <c r="M1403" s="417">
        <v>255</v>
      </c>
      <c r="N1403" s="417" t="s">
        <v>2675</v>
      </c>
      <c r="O1403" s="417" t="s">
        <v>2675</v>
      </c>
      <c r="P1403" s="417">
        <v>482</v>
      </c>
      <c r="Q1403" s="417">
        <v>343</v>
      </c>
      <c r="R1403" s="417" t="s">
        <v>3069</v>
      </c>
      <c r="S1403" s="417" t="s">
        <v>3004</v>
      </c>
      <c r="T1403" s="416">
        <v>130</v>
      </c>
      <c r="U1403" s="416">
        <v>130</v>
      </c>
      <c r="V1403" s="416">
        <v>127</v>
      </c>
      <c r="W1403" s="416">
        <v>121</v>
      </c>
      <c r="X1403" s="416">
        <v>116</v>
      </c>
      <c r="Y1403" s="416">
        <v>111</v>
      </c>
      <c r="Z1403" s="416">
        <v>105</v>
      </c>
      <c r="AA1403" s="416">
        <v>99.6</v>
      </c>
      <c r="AB1403" s="416">
        <v>94.5</v>
      </c>
      <c r="AC1403" s="416">
        <v>92.3</v>
      </c>
      <c r="AD1403" s="416">
        <v>90.6</v>
      </c>
      <c r="AE1403" s="416">
        <v>88.6</v>
      </c>
      <c r="AF1403" s="416">
        <v>86.1</v>
      </c>
      <c r="AG1403" s="416">
        <v>84.2</v>
      </c>
      <c r="AH1403" s="416">
        <v>82.3</v>
      </c>
      <c r="AI1403" s="416">
        <v>81</v>
      </c>
      <c r="AJ1403" s="418">
        <v>79.8</v>
      </c>
      <c r="AK1403" s="418">
        <v>0</v>
      </c>
      <c r="AL1403" s="418">
        <v>0</v>
      </c>
      <c r="AM1403" s="418">
        <v>0</v>
      </c>
      <c r="AN1403" s="418">
        <v>0</v>
      </c>
      <c r="AO1403" s="418">
        <v>0</v>
      </c>
      <c r="AP1403" s="418">
        <v>0</v>
      </c>
      <c r="AQ1403" s="418">
        <v>0</v>
      </c>
      <c r="AR1403" s="418">
        <v>0</v>
      </c>
      <c r="AS1403" s="418">
        <v>0</v>
      </c>
      <c r="AT1403" s="418">
        <v>0</v>
      </c>
      <c r="AU1403" s="418">
        <v>0</v>
      </c>
      <c r="AV1403" s="418">
        <v>0</v>
      </c>
      <c r="AW1403" s="418">
        <v>0</v>
      </c>
      <c r="AX1403" s="418">
        <v>0</v>
      </c>
      <c r="AY1403" s="418">
        <v>0</v>
      </c>
      <c r="AZ1403" s="418">
        <v>0</v>
      </c>
    </row>
    <row r="1404" spans="1:52" x14ac:dyDescent="0.25">
      <c r="A1404" s="415" t="str">
        <f t="shared" si="21"/>
        <v>SA-240 Gr.310MoLN</v>
      </c>
      <c r="B1404" s="415">
        <v>1398</v>
      </c>
      <c r="C1404" s="415" t="s">
        <v>3489</v>
      </c>
      <c r="D1404" s="415" t="s">
        <v>2684</v>
      </c>
      <c r="E1404" s="415" t="s">
        <v>2165</v>
      </c>
      <c r="F1404" s="415" t="s">
        <v>2261</v>
      </c>
      <c r="G1404" s="415" t="s">
        <v>3490</v>
      </c>
      <c r="H1404" s="415">
        <v>0</v>
      </c>
      <c r="I1404" s="415">
        <v>0</v>
      </c>
      <c r="J1404" s="415">
        <v>8</v>
      </c>
      <c r="K1404" s="415">
        <v>2</v>
      </c>
      <c r="L1404" s="417">
        <v>550</v>
      </c>
      <c r="M1404" s="417">
        <v>240</v>
      </c>
      <c r="N1404" s="417" t="s">
        <v>2675</v>
      </c>
      <c r="O1404" s="417" t="s">
        <v>2675</v>
      </c>
      <c r="P1404" s="417">
        <v>316</v>
      </c>
      <c r="Q1404" s="417">
        <v>316</v>
      </c>
      <c r="R1404" s="417" t="s">
        <v>3069</v>
      </c>
      <c r="S1404" s="417" t="s">
        <v>3189</v>
      </c>
      <c r="T1404" s="416">
        <v>158</v>
      </c>
      <c r="U1404" s="416">
        <v>158</v>
      </c>
      <c r="V1404" s="416">
        <v>158</v>
      </c>
      <c r="W1404" s="416">
        <v>155</v>
      </c>
      <c r="X1404" s="416">
        <v>151</v>
      </c>
      <c r="Y1404" s="416">
        <v>147</v>
      </c>
      <c r="Z1404" s="416">
        <v>142</v>
      </c>
      <c r="AA1404" s="416">
        <v>138</v>
      </c>
      <c r="AB1404" s="416">
        <v>135</v>
      </c>
      <c r="AC1404" s="416">
        <v>134</v>
      </c>
      <c r="AD1404" s="416">
        <v>0</v>
      </c>
      <c r="AE1404" s="416">
        <v>0</v>
      </c>
      <c r="AF1404" s="416">
        <v>0</v>
      </c>
      <c r="AG1404" s="416">
        <v>0</v>
      </c>
      <c r="AH1404" s="416">
        <v>0</v>
      </c>
      <c r="AI1404" s="416">
        <v>0</v>
      </c>
      <c r="AJ1404" s="418">
        <v>0</v>
      </c>
      <c r="AK1404" s="418">
        <v>0</v>
      </c>
      <c r="AL1404" s="418">
        <v>0</v>
      </c>
      <c r="AM1404" s="418">
        <v>0</v>
      </c>
      <c r="AN1404" s="418">
        <v>0</v>
      </c>
      <c r="AO1404" s="418">
        <v>0</v>
      </c>
      <c r="AP1404" s="418">
        <v>0</v>
      </c>
      <c r="AQ1404" s="418">
        <v>0</v>
      </c>
      <c r="AR1404" s="418">
        <v>0</v>
      </c>
      <c r="AS1404" s="418">
        <v>0</v>
      </c>
      <c r="AT1404" s="418">
        <v>0</v>
      </c>
      <c r="AU1404" s="418">
        <v>0</v>
      </c>
      <c r="AV1404" s="418">
        <v>0</v>
      </c>
      <c r="AW1404" s="418">
        <v>0</v>
      </c>
      <c r="AX1404" s="418">
        <v>0</v>
      </c>
      <c r="AY1404" s="418">
        <v>0</v>
      </c>
      <c r="AZ1404" s="418">
        <v>0</v>
      </c>
    </row>
    <row r="1405" spans="1:52" x14ac:dyDescent="0.25">
      <c r="A1405" s="415" t="str">
        <f t="shared" si="21"/>
        <v>SA-240 Gr.310MoLN</v>
      </c>
      <c r="B1405" s="415">
        <v>1399</v>
      </c>
      <c r="C1405" s="415" t="s">
        <v>3489</v>
      </c>
      <c r="D1405" s="415" t="s">
        <v>2684</v>
      </c>
      <c r="E1405" s="415" t="s">
        <v>2165</v>
      </c>
      <c r="F1405" s="415" t="s">
        <v>2261</v>
      </c>
      <c r="G1405" s="415" t="s">
        <v>3490</v>
      </c>
      <c r="H1405" s="415">
        <v>0</v>
      </c>
      <c r="I1405" s="415">
        <v>0</v>
      </c>
      <c r="J1405" s="415">
        <v>8</v>
      </c>
      <c r="K1405" s="415">
        <v>2</v>
      </c>
      <c r="L1405" s="417">
        <v>550</v>
      </c>
      <c r="M1405" s="417">
        <v>240</v>
      </c>
      <c r="N1405" s="417" t="s">
        <v>2675</v>
      </c>
      <c r="O1405" s="417" t="s">
        <v>2675</v>
      </c>
      <c r="P1405" s="417">
        <v>316</v>
      </c>
      <c r="Q1405" s="417">
        <v>316</v>
      </c>
      <c r="R1405" s="417" t="s">
        <v>3069</v>
      </c>
      <c r="S1405" s="417">
        <v>0</v>
      </c>
      <c r="T1405" s="416">
        <v>158</v>
      </c>
      <c r="U1405" s="416">
        <v>158</v>
      </c>
      <c r="V1405" s="416">
        <v>147</v>
      </c>
      <c r="W1405" s="416">
        <v>135</v>
      </c>
      <c r="X1405" s="416">
        <v>129</v>
      </c>
      <c r="Y1405" s="416">
        <v>125</v>
      </c>
      <c r="Z1405" s="416">
        <v>116</v>
      </c>
      <c r="AA1405" s="416">
        <v>111</v>
      </c>
      <c r="AB1405" s="416">
        <v>106</v>
      </c>
      <c r="AC1405" s="416">
        <v>103</v>
      </c>
      <c r="AD1405" s="416">
        <v>0</v>
      </c>
      <c r="AE1405" s="416">
        <v>0</v>
      </c>
      <c r="AF1405" s="416">
        <v>0</v>
      </c>
      <c r="AG1405" s="416">
        <v>0</v>
      </c>
      <c r="AH1405" s="416">
        <v>0</v>
      </c>
      <c r="AI1405" s="416">
        <v>0</v>
      </c>
      <c r="AJ1405" s="418">
        <v>0</v>
      </c>
      <c r="AK1405" s="418">
        <v>0</v>
      </c>
      <c r="AL1405" s="418">
        <v>0</v>
      </c>
      <c r="AM1405" s="418">
        <v>0</v>
      </c>
      <c r="AN1405" s="418">
        <v>0</v>
      </c>
      <c r="AO1405" s="418">
        <v>0</v>
      </c>
      <c r="AP1405" s="418">
        <v>0</v>
      </c>
      <c r="AQ1405" s="418">
        <v>0</v>
      </c>
      <c r="AR1405" s="418">
        <v>0</v>
      </c>
      <c r="AS1405" s="418">
        <v>0</v>
      </c>
      <c r="AT1405" s="418">
        <v>0</v>
      </c>
      <c r="AU1405" s="418">
        <v>0</v>
      </c>
      <c r="AV1405" s="418">
        <v>0</v>
      </c>
      <c r="AW1405" s="418">
        <v>0</v>
      </c>
      <c r="AX1405" s="418">
        <v>0</v>
      </c>
      <c r="AY1405" s="418">
        <v>0</v>
      </c>
      <c r="AZ1405" s="418">
        <v>0</v>
      </c>
    </row>
    <row r="1406" spans="1:52" x14ac:dyDescent="0.25">
      <c r="A1406" s="415" t="str">
        <f t="shared" si="21"/>
        <v>SA-213 Gr.TP310MoLN</v>
      </c>
      <c r="B1406" s="415">
        <v>1400</v>
      </c>
      <c r="C1406" s="415" t="s">
        <v>3489</v>
      </c>
      <c r="D1406" s="415" t="s">
        <v>2693</v>
      </c>
      <c r="E1406" s="415" t="s">
        <v>2195</v>
      </c>
      <c r="F1406" s="415" t="s">
        <v>2566</v>
      </c>
      <c r="G1406" s="415" t="s">
        <v>3490</v>
      </c>
      <c r="H1406" s="415">
        <v>0</v>
      </c>
      <c r="I1406" s="415" t="s">
        <v>3492</v>
      </c>
      <c r="J1406" s="415">
        <v>8</v>
      </c>
      <c r="K1406" s="415">
        <v>2</v>
      </c>
      <c r="L1406" s="417">
        <v>580</v>
      </c>
      <c r="M1406" s="417">
        <v>270</v>
      </c>
      <c r="N1406" s="417" t="s">
        <v>2675</v>
      </c>
      <c r="O1406" s="417" t="s">
        <v>2675</v>
      </c>
      <c r="P1406" s="417">
        <v>482</v>
      </c>
      <c r="Q1406" s="417">
        <v>343</v>
      </c>
      <c r="R1406" s="417" t="s">
        <v>3069</v>
      </c>
      <c r="S1406" s="417" t="s">
        <v>3189</v>
      </c>
      <c r="T1406" s="416">
        <v>165</v>
      </c>
      <c r="U1406" s="416">
        <v>165</v>
      </c>
      <c r="V1406" s="416">
        <v>165</v>
      </c>
      <c r="W1406" s="416">
        <v>163</v>
      </c>
      <c r="X1406" s="416">
        <v>158</v>
      </c>
      <c r="Y1406" s="416">
        <v>154</v>
      </c>
      <c r="Z1406" s="416">
        <v>149</v>
      </c>
      <c r="AA1406" s="416">
        <v>146</v>
      </c>
      <c r="AB1406" s="416">
        <v>142</v>
      </c>
      <c r="AC1406" s="416">
        <v>141</v>
      </c>
      <c r="AD1406" s="416">
        <v>140</v>
      </c>
      <c r="AE1406" s="416">
        <v>138</v>
      </c>
      <c r="AF1406" s="416">
        <v>138</v>
      </c>
      <c r="AG1406" s="416">
        <v>137</v>
      </c>
      <c r="AH1406" s="416">
        <v>135</v>
      </c>
      <c r="AI1406" s="416">
        <v>134</v>
      </c>
      <c r="AJ1406" s="418">
        <v>132</v>
      </c>
      <c r="AK1406" s="418">
        <v>0</v>
      </c>
      <c r="AL1406" s="418">
        <v>0</v>
      </c>
      <c r="AM1406" s="418">
        <v>0</v>
      </c>
      <c r="AN1406" s="418">
        <v>0</v>
      </c>
      <c r="AO1406" s="418">
        <v>0</v>
      </c>
      <c r="AP1406" s="418">
        <v>0</v>
      </c>
      <c r="AQ1406" s="418">
        <v>0</v>
      </c>
      <c r="AR1406" s="418">
        <v>0</v>
      </c>
      <c r="AS1406" s="418">
        <v>0</v>
      </c>
      <c r="AT1406" s="418">
        <v>0</v>
      </c>
      <c r="AU1406" s="418">
        <v>0</v>
      </c>
      <c r="AV1406" s="418">
        <v>0</v>
      </c>
      <c r="AW1406" s="418">
        <v>0</v>
      </c>
      <c r="AX1406" s="418">
        <v>0</v>
      </c>
      <c r="AY1406" s="418">
        <v>0</v>
      </c>
      <c r="AZ1406" s="418">
        <v>0</v>
      </c>
    </row>
    <row r="1407" spans="1:52" x14ac:dyDescent="0.25">
      <c r="A1407" s="415" t="str">
        <f t="shared" si="21"/>
        <v>SA-213 Gr.TP310MoLN</v>
      </c>
      <c r="B1407" s="415">
        <v>1401</v>
      </c>
      <c r="C1407" s="415" t="s">
        <v>3489</v>
      </c>
      <c r="D1407" s="415" t="s">
        <v>2693</v>
      </c>
      <c r="E1407" s="415" t="s">
        <v>2195</v>
      </c>
      <c r="F1407" s="415" t="s">
        <v>2566</v>
      </c>
      <c r="G1407" s="415" t="s">
        <v>3490</v>
      </c>
      <c r="H1407" s="415">
        <v>0</v>
      </c>
      <c r="I1407" s="415" t="s">
        <v>3492</v>
      </c>
      <c r="J1407" s="415">
        <v>8</v>
      </c>
      <c r="K1407" s="415">
        <v>2</v>
      </c>
      <c r="L1407" s="417">
        <v>580</v>
      </c>
      <c r="M1407" s="417">
        <v>270</v>
      </c>
      <c r="N1407" s="417" t="s">
        <v>2675</v>
      </c>
      <c r="O1407" s="417" t="s">
        <v>2675</v>
      </c>
      <c r="P1407" s="417">
        <v>482</v>
      </c>
      <c r="Q1407" s="417">
        <v>343</v>
      </c>
      <c r="R1407" s="417" t="s">
        <v>3069</v>
      </c>
      <c r="S1407" s="417">
        <v>0</v>
      </c>
      <c r="T1407" s="416">
        <v>165</v>
      </c>
      <c r="U1407" s="416">
        <v>165</v>
      </c>
      <c r="V1407" s="416">
        <v>159</v>
      </c>
      <c r="W1407" s="416">
        <v>151</v>
      </c>
      <c r="X1407" s="416">
        <v>144</v>
      </c>
      <c r="Y1407" s="416">
        <v>138</v>
      </c>
      <c r="Z1407" s="416">
        <v>130</v>
      </c>
      <c r="AA1407" s="416">
        <v>123</v>
      </c>
      <c r="AB1407" s="416">
        <v>117</v>
      </c>
      <c r="AC1407" s="416">
        <v>115</v>
      </c>
      <c r="AD1407" s="416">
        <v>112</v>
      </c>
      <c r="AE1407" s="416">
        <v>110</v>
      </c>
      <c r="AF1407" s="416">
        <v>107</v>
      </c>
      <c r="AG1407" s="416">
        <v>105</v>
      </c>
      <c r="AH1407" s="416">
        <v>102</v>
      </c>
      <c r="AI1407" s="416">
        <v>100</v>
      </c>
      <c r="AJ1407" s="418">
        <v>98.7</v>
      </c>
      <c r="AK1407" s="418">
        <v>0</v>
      </c>
      <c r="AL1407" s="418">
        <v>0</v>
      </c>
      <c r="AM1407" s="418">
        <v>0</v>
      </c>
      <c r="AN1407" s="418">
        <v>0</v>
      </c>
      <c r="AO1407" s="418">
        <v>0</v>
      </c>
      <c r="AP1407" s="418">
        <v>0</v>
      </c>
      <c r="AQ1407" s="418">
        <v>0</v>
      </c>
      <c r="AR1407" s="418">
        <v>0</v>
      </c>
      <c r="AS1407" s="418">
        <v>0</v>
      </c>
      <c r="AT1407" s="418">
        <v>0</v>
      </c>
      <c r="AU1407" s="418">
        <v>0</v>
      </c>
      <c r="AV1407" s="418">
        <v>0</v>
      </c>
      <c r="AW1407" s="418">
        <v>0</v>
      </c>
      <c r="AX1407" s="418">
        <v>0</v>
      </c>
      <c r="AY1407" s="418">
        <v>0</v>
      </c>
      <c r="AZ1407" s="418">
        <v>0</v>
      </c>
    </row>
    <row r="1408" spans="1:52" x14ac:dyDescent="0.25">
      <c r="A1408" s="415" t="str">
        <f t="shared" si="21"/>
        <v>SA-249 Gr.TP310MoLN</v>
      </c>
      <c r="B1408" s="415">
        <v>1402</v>
      </c>
      <c r="C1408" s="415" t="s">
        <v>3489</v>
      </c>
      <c r="D1408" s="415" t="s">
        <v>2689</v>
      </c>
      <c r="E1408" s="415" t="s">
        <v>2200</v>
      </c>
      <c r="F1408" s="415" t="s">
        <v>2566</v>
      </c>
      <c r="G1408" s="415" t="s">
        <v>3490</v>
      </c>
      <c r="H1408" s="415">
        <v>0</v>
      </c>
      <c r="I1408" s="415" t="s">
        <v>3492</v>
      </c>
      <c r="J1408" s="415">
        <v>8</v>
      </c>
      <c r="K1408" s="415">
        <v>2</v>
      </c>
      <c r="L1408" s="417">
        <v>580</v>
      </c>
      <c r="M1408" s="417">
        <v>270</v>
      </c>
      <c r="N1408" s="417" t="s">
        <v>2675</v>
      </c>
      <c r="O1408" s="417" t="s">
        <v>2675</v>
      </c>
      <c r="P1408" s="417">
        <v>482</v>
      </c>
      <c r="Q1408" s="417">
        <v>343</v>
      </c>
      <c r="R1408" s="417" t="s">
        <v>3069</v>
      </c>
      <c r="S1408" s="417" t="s">
        <v>3214</v>
      </c>
      <c r="T1408" s="416">
        <v>141</v>
      </c>
      <c r="U1408" s="416">
        <v>141</v>
      </c>
      <c r="V1408" s="416">
        <v>141</v>
      </c>
      <c r="W1408" s="416">
        <v>139</v>
      </c>
      <c r="X1408" s="416">
        <v>135</v>
      </c>
      <c r="Y1408" s="416">
        <v>132</v>
      </c>
      <c r="Z1408" s="416">
        <v>126</v>
      </c>
      <c r="AA1408" s="416">
        <v>123</v>
      </c>
      <c r="AB1408" s="416">
        <v>121</v>
      </c>
      <c r="AC1408" s="416">
        <v>120</v>
      </c>
      <c r="AD1408" s="416">
        <v>119</v>
      </c>
      <c r="AE1408" s="416">
        <v>118</v>
      </c>
      <c r="AF1408" s="416">
        <v>117</v>
      </c>
      <c r="AG1408" s="416">
        <v>116</v>
      </c>
      <c r="AH1408" s="416">
        <v>115</v>
      </c>
      <c r="AI1408" s="416">
        <v>113</v>
      </c>
      <c r="AJ1408" s="418">
        <v>112</v>
      </c>
      <c r="AK1408" s="418">
        <v>0</v>
      </c>
      <c r="AL1408" s="418">
        <v>0</v>
      </c>
      <c r="AM1408" s="418">
        <v>0</v>
      </c>
      <c r="AN1408" s="418">
        <v>0</v>
      </c>
      <c r="AO1408" s="418">
        <v>0</v>
      </c>
      <c r="AP1408" s="418">
        <v>0</v>
      </c>
      <c r="AQ1408" s="418">
        <v>0</v>
      </c>
      <c r="AR1408" s="418">
        <v>0</v>
      </c>
      <c r="AS1408" s="418">
        <v>0</v>
      </c>
      <c r="AT1408" s="418">
        <v>0</v>
      </c>
      <c r="AU1408" s="418">
        <v>0</v>
      </c>
      <c r="AV1408" s="418">
        <v>0</v>
      </c>
      <c r="AW1408" s="418">
        <v>0</v>
      </c>
      <c r="AX1408" s="418">
        <v>0</v>
      </c>
      <c r="AY1408" s="418">
        <v>0</v>
      </c>
      <c r="AZ1408" s="418">
        <v>0</v>
      </c>
    </row>
    <row r="1409" spans="1:52" x14ac:dyDescent="0.25">
      <c r="A1409" s="415" t="str">
        <f t="shared" si="21"/>
        <v>SA-249 Gr.TP310MoLN</v>
      </c>
      <c r="B1409" s="415">
        <v>1403</v>
      </c>
      <c r="C1409" s="415" t="s">
        <v>3489</v>
      </c>
      <c r="D1409" s="415" t="s">
        <v>2689</v>
      </c>
      <c r="E1409" s="415" t="s">
        <v>2200</v>
      </c>
      <c r="F1409" s="415" t="s">
        <v>2566</v>
      </c>
      <c r="G1409" s="415" t="s">
        <v>3490</v>
      </c>
      <c r="H1409" s="415">
        <v>0</v>
      </c>
      <c r="I1409" s="415" t="s">
        <v>3492</v>
      </c>
      <c r="J1409" s="415">
        <v>8</v>
      </c>
      <c r="K1409" s="415">
        <v>2</v>
      </c>
      <c r="L1409" s="417">
        <v>580</v>
      </c>
      <c r="M1409" s="417">
        <v>270</v>
      </c>
      <c r="N1409" s="417" t="s">
        <v>2675</v>
      </c>
      <c r="O1409" s="417" t="s">
        <v>2675</v>
      </c>
      <c r="P1409" s="417">
        <v>482</v>
      </c>
      <c r="Q1409" s="417">
        <v>343</v>
      </c>
      <c r="R1409" s="417" t="s">
        <v>3069</v>
      </c>
      <c r="S1409" s="417" t="s">
        <v>3004</v>
      </c>
      <c r="T1409" s="416">
        <v>141</v>
      </c>
      <c r="U1409" s="416">
        <v>141</v>
      </c>
      <c r="V1409" s="416">
        <v>135</v>
      </c>
      <c r="W1409" s="416">
        <v>128</v>
      </c>
      <c r="X1409" s="416">
        <v>123</v>
      </c>
      <c r="Y1409" s="416">
        <v>118</v>
      </c>
      <c r="Z1409" s="416">
        <v>110</v>
      </c>
      <c r="AA1409" s="416">
        <v>104</v>
      </c>
      <c r="AB1409" s="416">
        <v>100</v>
      </c>
      <c r="AC1409" s="416">
        <v>97.6</v>
      </c>
      <c r="AD1409" s="416">
        <v>95.3</v>
      </c>
      <c r="AE1409" s="416">
        <v>93.4</v>
      </c>
      <c r="AF1409" s="416">
        <v>90.9</v>
      </c>
      <c r="AG1409" s="416">
        <v>89.1</v>
      </c>
      <c r="AH1409" s="416">
        <v>87.2</v>
      </c>
      <c r="AI1409" s="416">
        <v>85.3</v>
      </c>
      <c r="AJ1409" s="418">
        <v>83.5</v>
      </c>
      <c r="AK1409" s="418">
        <v>0</v>
      </c>
      <c r="AL1409" s="418">
        <v>0</v>
      </c>
      <c r="AM1409" s="418">
        <v>0</v>
      </c>
      <c r="AN1409" s="418">
        <v>0</v>
      </c>
      <c r="AO1409" s="418">
        <v>0</v>
      </c>
      <c r="AP1409" s="418">
        <v>0</v>
      </c>
      <c r="AQ1409" s="418">
        <v>0</v>
      </c>
      <c r="AR1409" s="418">
        <v>0</v>
      </c>
      <c r="AS1409" s="418">
        <v>0</v>
      </c>
      <c r="AT1409" s="418">
        <v>0</v>
      </c>
      <c r="AU1409" s="418">
        <v>0</v>
      </c>
      <c r="AV1409" s="418">
        <v>0</v>
      </c>
      <c r="AW1409" s="418">
        <v>0</v>
      </c>
      <c r="AX1409" s="418">
        <v>0</v>
      </c>
      <c r="AY1409" s="418">
        <v>0</v>
      </c>
      <c r="AZ1409" s="418">
        <v>0</v>
      </c>
    </row>
    <row r="1410" spans="1:52" x14ac:dyDescent="0.25">
      <c r="A1410" s="415" t="str">
        <f t="shared" si="21"/>
        <v>SA-312 Gr.TP310MoLN</v>
      </c>
      <c r="B1410" s="415">
        <v>1404</v>
      </c>
      <c r="C1410" s="415" t="s">
        <v>3489</v>
      </c>
      <c r="D1410" s="415" t="s">
        <v>2680</v>
      </c>
      <c r="E1410" s="415" t="s">
        <v>2208</v>
      </c>
      <c r="F1410" s="415" t="s">
        <v>2566</v>
      </c>
      <c r="G1410" s="415" t="s">
        <v>3490</v>
      </c>
      <c r="H1410" s="415">
        <v>0</v>
      </c>
      <c r="I1410" s="415" t="s">
        <v>3492</v>
      </c>
      <c r="J1410" s="415">
        <v>8</v>
      </c>
      <c r="K1410" s="415">
        <v>2</v>
      </c>
      <c r="L1410" s="417">
        <v>580</v>
      </c>
      <c r="M1410" s="417">
        <v>270</v>
      </c>
      <c r="N1410" s="417" t="s">
        <v>2675</v>
      </c>
      <c r="O1410" s="417" t="s">
        <v>2675</v>
      </c>
      <c r="P1410" s="417">
        <v>482</v>
      </c>
      <c r="Q1410" s="417">
        <v>343</v>
      </c>
      <c r="R1410" s="417" t="s">
        <v>3069</v>
      </c>
      <c r="S1410" s="417" t="s">
        <v>3214</v>
      </c>
      <c r="T1410" s="416">
        <v>141</v>
      </c>
      <c r="U1410" s="416">
        <v>141</v>
      </c>
      <c r="V1410" s="416">
        <v>141</v>
      </c>
      <c r="W1410" s="416">
        <v>139</v>
      </c>
      <c r="X1410" s="416">
        <v>135</v>
      </c>
      <c r="Y1410" s="416">
        <v>132</v>
      </c>
      <c r="Z1410" s="416">
        <v>126</v>
      </c>
      <c r="AA1410" s="416">
        <v>123</v>
      </c>
      <c r="AB1410" s="416">
        <v>121</v>
      </c>
      <c r="AC1410" s="416">
        <v>120</v>
      </c>
      <c r="AD1410" s="416">
        <v>119</v>
      </c>
      <c r="AE1410" s="416">
        <v>118</v>
      </c>
      <c r="AF1410" s="416">
        <v>117</v>
      </c>
      <c r="AG1410" s="416">
        <v>116</v>
      </c>
      <c r="AH1410" s="416">
        <v>115</v>
      </c>
      <c r="AI1410" s="416">
        <v>113</v>
      </c>
      <c r="AJ1410" s="418">
        <v>112</v>
      </c>
      <c r="AK1410" s="418">
        <v>0</v>
      </c>
      <c r="AL1410" s="418">
        <v>0</v>
      </c>
      <c r="AM1410" s="418">
        <v>0</v>
      </c>
      <c r="AN1410" s="418">
        <v>0</v>
      </c>
      <c r="AO1410" s="418">
        <v>0</v>
      </c>
      <c r="AP1410" s="418">
        <v>0</v>
      </c>
      <c r="AQ1410" s="418">
        <v>0</v>
      </c>
      <c r="AR1410" s="418">
        <v>0</v>
      </c>
      <c r="AS1410" s="418">
        <v>0</v>
      </c>
      <c r="AT1410" s="418">
        <v>0</v>
      </c>
      <c r="AU1410" s="418">
        <v>0</v>
      </c>
      <c r="AV1410" s="418">
        <v>0</v>
      </c>
      <c r="AW1410" s="418">
        <v>0</v>
      </c>
      <c r="AX1410" s="418">
        <v>0</v>
      </c>
      <c r="AY1410" s="418">
        <v>0</v>
      </c>
      <c r="AZ1410" s="418">
        <v>0</v>
      </c>
    </row>
    <row r="1411" spans="1:52" x14ac:dyDescent="0.25">
      <c r="A1411" s="415" t="str">
        <f t="shared" si="21"/>
        <v>SA-312 Gr.TP310MoLN</v>
      </c>
      <c r="B1411" s="415">
        <v>1405</v>
      </c>
      <c r="C1411" s="415" t="s">
        <v>3489</v>
      </c>
      <c r="D1411" s="415" t="s">
        <v>2680</v>
      </c>
      <c r="E1411" s="415" t="s">
        <v>2208</v>
      </c>
      <c r="F1411" s="415" t="s">
        <v>2566</v>
      </c>
      <c r="G1411" s="415" t="s">
        <v>3490</v>
      </c>
      <c r="H1411" s="415">
        <v>0</v>
      </c>
      <c r="I1411" s="415" t="s">
        <v>3492</v>
      </c>
      <c r="J1411" s="415">
        <v>8</v>
      </c>
      <c r="K1411" s="415">
        <v>2</v>
      </c>
      <c r="L1411" s="417">
        <v>580</v>
      </c>
      <c r="M1411" s="417">
        <v>270</v>
      </c>
      <c r="N1411" s="417" t="s">
        <v>2675</v>
      </c>
      <c r="O1411" s="417" t="s">
        <v>2675</v>
      </c>
      <c r="P1411" s="417">
        <v>482</v>
      </c>
      <c r="Q1411" s="417">
        <v>343</v>
      </c>
      <c r="R1411" s="417" t="s">
        <v>3069</v>
      </c>
      <c r="S1411" s="417" t="s">
        <v>3004</v>
      </c>
      <c r="T1411" s="416">
        <v>141</v>
      </c>
      <c r="U1411" s="416">
        <v>141</v>
      </c>
      <c r="V1411" s="416">
        <v>135</v>
      </c>
      <c r="W1411" s="416">
        <v>128</v>
      </c>
      <c r="X1411" s="416">
        <v>123</v>
      </c>
      <c r="Y1411" s="416">
        <v>118</v>
      </c>
      <c r="Z1411" s="416">
        <v>110</v>
      </c>
      <c r="AA1411" s="416">
        <v>104</v>
      </c>
      <c r="AB1411" s="416">
        <v>100</v>
      </c>
      <c r="AC1411" s="416">
        <v>97.6</v>
      </c>
      <c r="AD1411" s="416">
        <v>95.3</v>
      </c>
      <c r="AE1411" s="416">
        <v>93.4</v>
      </c>
      <c r="AF1411" s="416">
        <v>90.9</v>
      </c>
      <c r="AG1411" s="416">
        <v>89.1</v>
      </c>
      <c r="AH1411" s="416">
        <v>87.2</v>
      </c>
      <c r="AI1411" s="416">
        <v>85.3</v>
      </c>
      <c r="AJ1411" s="418">
        <v>83.5</v>
      </c>
      <c r="AK1411" s="418">
        <v>0</v>
      </c>
      <c r="AL1411" s="418">
        <v>0</v>
      </c>
      <c r="AM1411" s="418">
        <v>0</v>
      </c>
      <c r="AN1411" s="418">
        <v>0</v>
      </c>
      <c r="AO1411" s="418">
        <v>0</v>
      </c>
      <c r="AP1411" s="418">
        <v>0</v>
      </c>
      <c r="AQ1411" s="418">
        <v>0</v>
      </c>
      <c r="AR1411" s="418">
        <v>0</v>
      </c>
      <c r="AS1411" s="418">
        <v>0</v>
      </c>
      <c r="AT1411" s="418">
        <v>0</v>
      </c>
      <c r="AU1411" s="418">
        <v>0</v>
      </c>
      <c r="AV1411" s="418">
        <v>0</v>
      </c>
      <c r="AW1411" s="418">
        <v>0</v>
      </c>
      <c r="AX1411" s="418">
        <v>0</v>
      </c>
      <c r="AY1411" s="418">
        <v>0</v>
      </c>
      <c r="AZ1411" s="418">
        <v>0</v>
      </c>
    </row>
    <row r="1412" spans="1:52" x14ac:dyDescent="0.25">
      <c r="A1412" s="415" t="str">
        <f t="shared" si="21"/>
        <v>SA-240 Gr.329</v>
      </c>
      <c r="B1412" s="415">
        <v>1406</v>
      </c>
      <c r="C1412" s="415" t="s">
        <v>3493</v>
      </c>
      <c r="D1412" s="415" t="s">
        <v>2684</v>
      </c>
      <c r="E1412" s="415" t="s">
        <v>2165</v>
      </c>
      <c r="F1412" s="415">
        <v>329</v>
      </c>
      <c r="G1412" s="415" t="s">
        <v>3494</v>
      </c>
      <c r="H1412" s="415">
        <v>0</v>
      </c>
      <c r="I1412" s="415">
        <v>0</v>
      </c>
      <c r="J1412" s="415" t="s">
        <v>3276</v>
      </c>
      <c r="K1412" s="415">
        <v>1</v>
      </c>
      <c r="L1412" s="417">
        <v>620</v>
      </c>
      <c r="M1412" s="417">
        <v>485</v>
      </c>
      <c r="N1412" s="417" t="s">
        <v>2675</v>
      </c>
      <c r="O1412" s="417" t="s">
        <v>2675</v>
      </c>
      <c r="P1412" s="417">
        <v>260</v>
      </c>
      <c r="Q1412" s="417">
        <v>260</v>
      </c>
      <c r="R1412" s="417" t="s">
        <v>3061</v>
      </c>
      <c r="S1412" s="417" t="s">
        <v>3012</v>
      </c>
      <c r="T1412" s="416">
        <v>177</v>
      </c>
      <c r="U1412" s="416">
        <v>177</v>
      </c>
      <c r="V1412" s="416">
        <v>177</v>
      </c>
      <c r="W1412" s="416">
        <v>177</v>
      </c>
      <c r="X1412" s="416">
        <v>174</v>
      </c>
      <c r="Y1412" s="416">
        <v>171</v>
      </c>
      <c r="Z1412" s="416">
        <v>168</v>
      </c>
      <c r="AA1412" s="416">
        <v>168</v>
      </c>
      <c r="AB1412" s="416">
        <v>0</v>
      </c>
      <c r="AC1412" s="416">
        <v>0</v>
      </c>
      <c r="AD1412" s="416">
        <v>0</v>
      </c>
      <c r="AE1412" s="416">
        <v>0</v>
      </c>
      <c r="AF1412" s="416">
        <v>0</v>
      </c>
      <c r="AG1412" s="416">
        <v>0</v>
      </c>
      <c r="AH1412" s="416">
        <v>0</v>
      </c>
      <c r="AI1412" s="416">
        <v>0</v>
      </c>
      <c r="AJ1412" s="418">
        <v>0</v>
      </c>
      <c r="AK1412" s="418">
        <v>0</v>
      </c>
      <c r="AL1412" s="418">
        <v>0</v>
      </c>
      <c r="AM1412" s="418">
        <v>0</v>
      </c>
      <c r="AN1412" s="418">
        <v>0</v>
      </c>
      <c r="AO1412" s="418">
        <v>0</v>
      </c>
      <c r="AP1412" s="418">
        <v>0</v>
      </c>
      <c r="AQ1412" s="418">
        <v>0</v>
      </c>
      <c r="AR1412" s="418">
        <v>0</v>
      </c>
      <c r="AS1412" s="418">
        <v>0</v>
      </c>
      <c r="AT1412" s="418">
        <v>0</v>
      </c>
      <c r="AU1412" s="418">
        <v>0</v>
      </c>
      <c r="AV1412" s="418">
        <v>0</v>
      </c>
      <c r="AW1412" s="418">
        <v>0</v>
      </c>
      <c r="AX1412" s="418">
        <v>0</v>
      </c>
      <c r="AY1412" s="418">
        <v>0</v>
      </c>
      <c r="AZ1412" s="418">
        <v>0</v>
      </c>
    </row>
    <row r="1413" spans="1:52" x14ac:dyDescent="0.25">
      <c r="A1413" s="415" t="str">
        <f t="shared" si="21"/>
        <v>SA-789 Gr.0</v>
      </c>
      <c r="B1413" s="415">
        <v>1407</v>
      </c>
      <c r="C1413" s="415" t="s">
        <v>3493</v>
      </c>
      <c r="D1413" s="415" t="s">
        <v>2689</v>
      </c>
      <c r="E1413" s="415" t="s">
        <v>2322</v>
      </c>
      <c r="F1413" s="415">
        <v>0</v>
      </c>
      <c r="G1413" s="415" t="s">
        <v>3494</v>
      </c>
      <c r="H1413" s="415">
        <v>0</v>
      </c>
      <c r="I1413" s="415">
        <v>0</v>
      </c>
      <c r="J1413" s="415" t="s">
        <v>3276</v>
      </c>
      <c r="K1413" s="415">
        <v>1</v>
      </c>
      <c r="L1413" s="417">
        <v>620</v>
      </c>
      <c r="M1413" s="417">
        <v>485</v>
      </c>
      <c r="N1413" s="417" t="s">
        <v>2675</v>
      </c>
      <c r="O1413" s="417" t="s">
        <v>2675</v>
      </c>
      <c r="P1413" s="417">
        <v>260</v>
      </c>
      <c r="Q1413" s="417">
        <v>260</v>
      </c>
      <c r="R1413" s="417" t="s">
        <v>3061</v>
      </c>
      <c r="S1413" s="417" t="s">
        <v>3053</v>
      </c>
      <c r="T1413" s="416">
        <v>151</v>
      </c>
      <c r="U1413" s="416">
        <v>151</v>
      </c>
      <c r="V1413" s="416">
        <v>151</v>
      </c>
      <c r="W1413" s="416">
        <v>151</v>
      </c>
      <c r="X1413" s="416">
        <v>148</v>
      </c>
      <c r="Y1413" s="416">
        <v>145</v>
      </c>
      <c r="Z1413" s="416">
        <v>142</v>
      </c>
      <c r="AA1413" s="416">
        <v>142</v>
      </c>
      <c r="AB1413" s="416">
        <v>0</v>
      </c>
      <c r="AC1413" s="416">
        <v>0</v>
      </c>
      <c r="AD1413" s="416">
        <v>0</v>
      </c>
      <c r="AE1413" s="416">
        <v>0</v>
      </c>
      <c r="AF1413" s="416">
        <v>0</v>
      </c>
      <c r="AG1413" s="416">
        <v>0</v>
      </c>
      <c r="AH1413" s="416">
        <v>0</v>
      </c>
      <c r="AI1413" s="416">
        <v>0</v>
      </c>
      <c r="AJ1413" s="418">
        <v>0</v>
      </c>
      <c r="AK1413" s="418">
        <v>0</v>
      </c>
      <c r="AL1413" s="418">
        <v>0</v>
      </c>
      <c r="AM1413" s="418">
        <v>0</v>
      </c>
      <c r="AN1413" s="418">
        <v>0</v>
      </c>
      <c r="AO1413" s="418">
        <v>0</v>
      </c>
      <c r="AP1413" s="418">
        <v>0</v>
      </c>
      <c r="AQ1413" s="418">
        <v>0</v>
      </c>
      <c r="AR1413" s="418">
        <v>0</v>
      </c>
      <c r="AS1413" s="418">
        <v>0</v>
      </c>
      <c r="AT1413" s="418">
        <v>0</v>
      </c>
      <c r="AU1413" s="418">
        <v>0</v>
      </c>
      <c r="AV1413" s="418">
        <v>0</v>
      </c>
      <c r="AW1413" s="418">
        <v>0</v>
      </c>
      <c r="AX1413" s="418">
        <v>0</v>
      </c>
      <c r="AY1413" s="418">
        <v>0</v>
      </c>
      <c r="AZ1413" s="418">
        <v>0</v>
      </c>
    </row>
    <row r="1414" spans="1:52" x14ac:dyDescent="0.25">
      <c r="A1414" s="415" t="str">
        <f t="shared" si="21"/>
        <v>SA-789 Gr.0</v>
      </c>
      <c r="B1414" s="415">
        <v>1408</v>
      </c>
      <c r="C1414" s="415" t="s">
        <v>3493</v>
      </c>
      <c r="D1414" s="415" t="s">
        <v>2693</v>
      </c>
      <c r="E1414" s="415" t="s">
        <v>2322</v>
      </c>
      <c r="F1414" s="415">
        <v>0</v>
      </c>
      <c r="G1414" s="415" t="s">
        <v>3494</v>
      </c>
      <c r="H1414" s="415">
        <v>0</v>
      </c>
      <c r="I1414" s="415">
        <v>0</v>
      </c>
      <c r="J1414" s="415" t="s">
        <v>3276</v>
      </c>
      <c r="K1414" s="415">
        <v>1</v>
      </c>
      <c r="L1414" s="417">
        <v>620</v>
      </c>
      <c r="M1414" s="417">
        <v>485</v>
      </c>
      <c r="N1414" s="417" t="s">
        <v>2675</v>
      </c>
      <c r="O1414" s="417" t="s">
        <v>2675</v>
      </c>
      <c r="P1414" s="417">
        <v>260</v>
      </c>
      <c r="Q1414" s="417">
        <v>260</v>
      </c>
      <c r="R1414" s="417" t="s">
        <v>3061</v>
      </c>
      <c r="S1414" s="417" t="s">
        <v>3012</v>
      </c>
      <c r="T1414" s="416">
        <v>177</v>
      </c>
      <c r="U1414" s="416">
        <v>177</v>
      </c>
      <c r="V1414" s="416">
        <v>177</v>
      </c>
      <c r="W1414" s="416">
        <v>177</v>
      </c>
      <c r="X1414" s="416">
        <v>174</v>
      </c>
      <c r="Y1414" s="416">
        <v>171</v>
      </c>
      <c r="Z1414" s="416">
        <v>168</v>
      </c>
      <c r="AA1414" s="416">
        <v>168</v>
      </c>
      <c r="AB1414" s="416">
        <v>0</v>
      </c>
      <c r="AC1414" s="416">
        <v>0</v>
      </c>
      <c r="AD1414" s="416">
        <v>0</v>
      </c>
      <c r="AE1414" s="416">
        <v>0</v>
      </c>
      <c r="AF1414" s="416">
        <v>0</v>
      </c>
      <c r="AG1414" s="416">
        <v>0</v>
      </c>
      <c r="AH1414" s="416">
        <v>0</v>
      </c>
      <c r="AI1414" s="416">
        <v>0</v>
      </c>
      <c r="AJ1414" s="418">
        <v>0</v>
      </c>
      <c r="AK1414" s="418">
        <v>0</v>
      </c>
      <c r="AL1414" s="418">
        <v>0</v>
      </c>
      <c r="AM1414" s="418">
        <v>0</v>
      </c>
      <c r="AN1414" s="418">
        <v>0</v>
      </c>
      <c r="AO1414" s="418">
        <v>0</v>
      </c>
      <c r="AP1414" s="418">
        <v>0</v>
      </c>
      <c r="AQ1414" s="418">
        <v>0</v>
      </c>
      <c r="AR1414" s="418">
        <v>0</v>
      </c>
      <c r="AS1414" s="418">
        <v>0</v>
      </c>
      <c r="AT1414" s="418">
        <v>0</v>
      </c>
      <c r="AU1414" s="418">
        <v>0</v>
      </c>
      <c r="AV1414" s="418">
        <v>0</v>
      </c>
      <c r="AW1414" s="418">
        <v>0</v>
      </c>
      <c r="AX1414" s="418">
        <v>0</v>
      </c>
      <c r="AY1414" s="418">
        <v>0</v>
      </c>
      <c r="AZ1414" s="418">
        <v>0</v>
      </c>
    </row>
    <row r="1415" spans="1:52" x14ac:dyDescent="0.25">
      <c r="A1415" s="415" t="str">
        <f t="shared" si="21"/>
        <v>SA-790 Gr.0</v>
      </c>
      <c r="B1415" s="415">
        <v>1409</v>
      </c>
      <c r="C1415" s="415" t="s">
        <v>3493</v>
      </c>
      <c r="D1415" s="415" t="s">
        <v>2680</v>
      </c>
      <c r="E1415" s="415" t="s">
        <v>2324</v>
      </c>
      <c r="F1415" s="415">
        <v>0</v>
      </c>
      <c r="G1415" s="415" t="s">
        <v>3494</v>
      </c>
      <c r="H1415" s="415">
        <v>0</v>
      </c>
      <c r="I1415" s="415">
        <v>0</v>
      </c>
      <c r="J1415" s="415" t="s">
        <v>3276</v>
      </c>
      <c r="K1415" s="415">
        <v>1</v>
      </c>
      <c r="L1415" s="417">
        <v>620</v>
      </c>
      <c r="M1415" s="417">
        <v>485</v>
      </c>
      <c r="N1415" s="417" t="s">
        <v>2675</v>
      </c>
      <c r="O1415" s="417" t="s">
        <v>2675</v>
      </c>
      <c r="P1415" s="417">
        <v>260</v>
      </c>
      <c r="Q1415" s="417">
        <v>260</v>
      </c>
      <c r="R1415" s="417" t="s">
        <v>3061</v>
      </c>
      <c r="S1415" s="417" t="s">
        <v>3053</v>
      </c>
      <c r="T1415" s="416">
        <v>151</v>
      </c>
      <c r="U1415" s="416">
        <v>151</v>
      </c>
      <c r="V1415" s="416">
        <v>151</v>
      </c>
      <c r="W1415" s="416">
        <v>151</v>
      </c>
      <c r="X1415" s="416">
        <v>148</v>
      </c>
      <c r="Y1415" s="416">
        <v>145</v>
      </c>
      <c r="Z1415" s="416">
        <v>142</v>
      </c>
      <c r="AA1415" s="416">
        <v>142</v>
      </c>
      <c r="AB1415" s="416">
        <v>0</v>
      </c>
      <c r="AC1415" s="416">
        <v>0</v>
      </c>
      <c r="AD1415" s="416">
        <v>0</v>
      </c>
      <c r="AE1415" s="416">
        <v>0</v>
      </c>
      <c r="AF1415" s="416">
        <v>0</v>
      </c>
      <c r="AG1415" s="416">
        <v>0</v>
      </c>
      <c r="AH1415" s="416">
        <v>0</v>
      </c>
      <c r="AI1415" s="416">
        <v>0</v>
      </c>
      <c r="AJ1415" s="418">
        <v>0</v>
      </c>
      <c r="AK1415" s="418">
        <v>0</v>
      </c>
      <c r="AL1415" s="418">
        <v>0</v>
      </c>
      <c r="AM1415" s="418">
        <v>0</v>
      </c>
      <c r="AN1415" s="418">
        <v>0</v>
      </c>
      <c r="AO1415" s="418">
        <v>0</v>
      </c>
      <c r="AP1415" s="418">
        <v>0</v>
      </c>
      <c r="AQ1415" s="418">
        <v>0</v>
      </c>
      <c r="AR1415" s="418">
        <v>0</v>
      </c>
      <c r="AS1415" s="418">
        <v>0</v>
      </c>
      <c r="AT1415" s="418">
        <v>0</v>
      </c>
      <c r="AU1415" s="418">
        <v>0</v>
      </c>
      <c r="AV1415" s="418">
        <v>0</v>
      </c>
      <c r="AW1415" s="418">
        <v>0</v>
      </c>
      <c r="AX1415" s="418">
        <v>0</v>
      </c>
      <c r="AY1415" s="418">
        <v>0</v>
      </c>
      <c r="AZ1415" s="418">
        <v>0</v>
      </c>
    </row>
    <row r="1416" spans="1:52" x14ac:dyDescent="0.25">
      <c r="A1416" s="415" t="str">
        <f t="shared" ref="A1416:A1428" si="22">CONCATENATE(E1416," Gr.",F1416)</f>
        <v>SA-790 Gr.0</v>
      </c>
      <c r="B1416" s="415">
        <v>1410</v>
      </c>
      <c r="C1416" s="415" t="s">
        <v>3493</v>
      </c>
      <c r="D1416" s="415" t="s">
        <v>2703</v>
      </c>
      <c r="E1416" s="415" t="s">
        <v>2324</v>
      </c>
      <c r="F1416" s="415">
        <v>0</v>
      </c>
      <c r="G1416" s="415" t="s">
        <v>3494</v>
      </c>
      <c r="H1416" s="415">
        <v>0</v>
      </c>
      <c r="I1416" s="415">
        <v>0</v>
      </c>
      <c r="J1416" s="415" t="s">
        <v>3276</v>
      </c>
      <c r="K1416" s="415">
        <v>1</v>
      </c>
      <c r="L1416" s="417">
        <v>620</v>
      </c>
      <c r="M1416" s="417">
        <v>485</v>
      </c>
      <c r="N1416" s="417" t="s">
        <v>2675</v>
      </c>
      <c r="O1416" s="417" t="s">
        <v>2675</v>
      </c>
      <c r="P1416" s="417">
        <v>260</v>
      </c>
      <c r="Q1416" s="417">
        <v>260</v>
      </c>
      <c r="R1416" s="417" t="s">
        <v>3061</v>
      </c>
      <c r="S1416" s="417" t="s">
        <v>3012</v>
      </c>
      <c r="T1416" s="416">
        <v>177</v>
      </c>
      <c r="U1416" s="416">
        <v>177</v>
      </c>
      <c r="V1416" s="416">
        <v>177</v>
      </c>
      <c r="W1416" s="416">
        <v>177</v>
      </c>
      <c r="X1416" s="416">
        <v>174</v>
      </c>
      <c r="Y1416" s="416">
        <v>171</v>
      </c>
      <c r="Z1416" s="416">
        <v>168</v>
      </c>
      <c r="AA1416" s="416">
        <v>168</v>
      </c>
      <c r="AB1416" s="416">
        <v>0</v>
      </c>
      <c r="AC1416" s="416">
        <v>0</v>
      </c>
      <c r="AD1416" s="416">
        <v>0</v>
      </c>
      <c r="AE1416" s="416">
        <v>0</v>
      </c>
      <c r="AF1416" s="416">
        <v>0</v>
      </c>
      <c r="AG1416" s="416">
        <v>0</v>
      </c>
      <c r="AH1416" s="416">
        <v>0</v>
      </c>
      <c r="AI1416" s="416">
        <v>0</v>
      </c>
      <c r="AJ1416" s="418">
        <v>0</v>
      </c>
      <c r="AK1416" s="418">
        <v>0</v>
      </c>
      <c r="AL1416" s="418">
        <v>0</v>
      </c>
      <c r="AM1416" s="418">
        <v>0</v>
      </c>
      <c r="AN1416" s="418">
        <v>0</v>
      </c>
      <c r="AO1416" s="418">
        <v>0</v>
      </c>
      <c r="AP1416" s="418">
        <v>0</v>
      </c>
      <c r="AQ1416" s="418">
        <v>0</v>
      </c>
      <c r="AR1416" s="418">
        <v>0</v>
      </c>
      <c r="AS1416" s="418">
        <v>0</v>
      </c>
      <c r="AT1416" s="418">
        <v>0</v>
      </c>
      <c r="AU1416" s="418">
        <v>0</v>
      </c>
      <c r="AV1416" s="418">
        <v>0</v>
      </c>
      <c r="AW1416" s="418">
        <v>0</v>
      </c>
      <c r="AX1416" s="418">
        <v>0</v>
      </c>
      <c r="AY1416" s="418">
        <v>0</v>
      </c>
      <c r="AZ1416" s="418">
        <v>0</v>
      </c>
    </row>
    <row r="1417" spans="1:52" x14ac:dyDescent="0.25">
      <c r="A1417" s="415" t="str">
        <f t="shared" si="22"/>
        <v>SA-240 Gr.0</v>
      </c>
      <c r="B1417" s="415">
        <v>1411</v>
      </c>
      <c r="C1417" s="415" t="s">
        <v>3495</v>
      </c>
      <c r="D1417" s="415" t="s">
        <v>2684</v>
      </c>
      <c r="E1417" s="415" t="s">
        <v>2165</v>
      </c>
      <c r="F1417" s="415">
        <v>0</v>
      </c>
      <c r="G1417" s="415" t="s">
        <v>3496</v>
      </c>
      <c r="H1417" s="415">
        <v>0</v>
      </c>
      <c r="I1417" s="415">
        <v>0</v>
      </c>
      <c r="J1417" s="415" t="s">
        <v>3276</v>
      </c>
      <c r="K1417" s="415">
        <v>1</v>
      </c>
      <c r="L1417" s="417">
        <v>690</v>
      </c>
      <c r="M1417" s="417">
        <v>485</v>
      </c>
      <c r="N1417" s="417" t="s">
        <v>2675</v>
      </c>
      <c r="O1417" s="417" t="s">
        <v>2675</v>
      </c>
      <c r="P1417" s="417">
        <v>316</v>
      </c>
      <c r="Q1417" s="417">
        <v>316</v>
      </c>
      <c r="R1417" s="417" t="s">
        <v>3061</v>
      </c>
      <c r="S1417" s="417" t="s">
        <v>3012</v>
      </c>
      <c r="T1417" s="416">
        <v>197</v>
      </c>
      <c r="U1417" s="416">
        <v>197</v>
      </c>
      <c r="V1417" s="416">
        <v>197</v>
      </c>
      <c r="W1417" s="416">
        <v>196</v>
      </c>
      <c r="X1417" s="416">
        <v>191</v>
      </c>
      <c r="Y1417" s="416">
        <v>186</v>
      </c>
      <c r="Z1417" s="416">
        <v>182</v>
      </c>
      <c r="AA1417" s="416">
        <v>182</v>
      </c>
      <c r="AB1417" s="416">
        <v>182</v>
      </c>
      <c r="AC1417" s="416">
        <v>182</v>
      </c>
      <c r="AD1417" s="416">
        <v>0</v>
      </c>
      <c r="AE1417" s="416">
        <v>0</v>
      </c>
      <c r="AF1417" s="416">
        <v>0</v>
      </c>
      <c r="AG1417" s="416">
        <v>0</v>
      </c>
      <c r="AH1417" s="416">
        <v>0</v>
      </c>
      <c r="AI1417" s="416">
        <v>0</v>
      </c>
      <c r="AJ1417" s="418">
        <v>0</v>
      </c>
      <c r="AK1417" s="418">
        <v>0</v>
      </c>
      <c r="AL1417" s="418">
        <v>0</v>
      </c>
      <c r="AM1417" s="418">
        <v>0</v>
      </c>
      <c r="AN1417" s="418">
        <v>0</v>
      </c>
      <c r="AO1417" s="418">
        <v>0</v>
      </c>
      <c r="AP1417" s="418">
        <v>0</v>
      </c>
      <c r="AQ1417" s="418">
        <v>0</v>
      </c>
      <c r="AR1417" s="418">
        <v>0</v>
      </c>
      <c r="AS1417" s="418">
        <v>0</v>
      </c>
      <c r="AT1417" s="418">
        <v>0</v>
      </c>
      <c r="AU1417" s="418">
        <v>0</v>
      </c>
      <c r="AV1417" s="418">
        <v>0</v>
      </c>
      <c r="AW1417" s="418">
        <v>0</v>
      </c>
      <c r="AX1417" s="418">
        <v>0</v>
      </c>
      <c r="AY1417" s="418">
        <v>0</v>
      </c>
      <c r="AZ1417" s="418">
        <v>0</v>
      </c>
    </row>
    <row r="1418" spans="1:52" x14ac:dyDescent="0.25">
      <c r="A1418" s="415" t="str">
        <f t="shared" si="22"/>
        <v>SA-789 Gr.0</v>
      </c>
      <c r="B1418" s="415">
        <v>1412</v>
      </c>
      <c r="C1418" s="415" t="s">
        <v>3495</v>
      </c>
      <c r="D1418" s="415" t="s">
        <v>2689</v>
      </c>
      <c r="E1418" s="415" t="s">
        <v>2322</v>
      </c>
      <c r="F1418" s="415">
        <v>0</v>
      </c>
      <c r="G1418" s="415" t="s">
        <v>3496</v>
      </c>
      <c r="H1418" s="415">
        <v>0</v>
      </c>
      <c r="I1418" s="415">
        <v>0</v>
      </c>
      <c r="J1418" s="415" t="s">
        <v>3276</v>
      </c>
      <c r="K1418" s="415">
        <v>1</v>
      </c>
      <c r="L1418" s="417">
        <v>690</v>
      </c>
      <c r="M1418" s="417">
        <v>485</v>
      </c>
      <c r="N1418" s="417" t="s">
        <v>2675</v>
      </c>
      <c r="O1418" s="417" t="s">
        <v>2675</v>
      </c>
      <c r="P1418" s="417">
        <v>316</v>
      </c>
      <c r="Q1418" s="417">
        <v>316</v>
      </c>
      <c r="R1418" s="417" t="s">
        <v>3061</v>
      </c>
      <c r="S1418" s="417" t="s">
        <v>3053</v>
      </c>
      <c r="T1418" s="416">
        <v>168</v>
      </c>
      <c r="U1418" s="416">
        <v>168</v>
      </c>
      <c r="V1418" s="416">
        <v>167</v>
      </c>
      <c r="W1418" s="416">
        <v>166</v>
      </c>
      <c r="X1418" s="416">
        <v>163</v>
      </c>
      <c r="Y1418" s="416">
        <v>158</v>
      </c>
      <c r="Z1418" s="416">
        <v>155</v>
      </c>
      <c r="AA1418" s="416">
        <v>155</v>
      </c>
      <c r="AB1418" s="416">
        <v>155</v>
      </c>
      <c r="AC1418" s="416">
        <v>155</v>
      </c>
      <c r="AD1418" s="416">
        <v>0</v>
      </c>
      <c r="AE1418" s="416">
        <v>0</v>
      </c>
      <c r="AF1418" s="416">
        <v>0</v>
      </c>
      <c r="AG1418" s="416">
        <v>0</v>
      </c>
      <c r="AH1418" s="416">
        <v>0</v>
      </c>
      <c r="AI1418" s="416">
        <v>0</v>
      </c>
      <c r="AJ1418" s="418">
        <v>0</v>
      </c>
      <c r="AK1418" s="418">
        <v>0</v>
      </c>
      <c r="AL1418" s="418">
        <v>0</v>
      </c>
      <c r="AM1418" s="418">
        <v>0</v>
      </c>
      <c r="AN1418" s="418">
        <v>0</v>
      </c>
      <c r="AO1418" s="418">
        <v>0</v>
      </c>
      <c r="AP1418" s="418">
        <v>0</v>
      </c>
      <c r="AQ1418" s="418">
        <v>0</v>
      </c>
      <c r="AR1418" s="418">
        <v>0</v>
      </c>
      <c r="AS1418" s="418">
        <v>0</v>
      </c>
      <c r="AT1418" s="418">
        <v>0</v>
      </c>
      <c r="AU1418" s="418">
        <v>0</v>
      </c>
      <c r="AV1418" s="418">
        <v>0</v>
      </c>
      <c r="AW1418" s="418">
        <v>0</v>
      </c>
      <c r="AX1418" s="418">
        <v>0</v>
      </c>
      <c r="AY1418" s="418">
        <v>0</v>
      </c>
      <c r="AZ1418" s="418">
        <v>0</v>
      </c>
    </row>
    <row r="1419" spans="1:52" x14ac:dyDescent="0.25">
      <c r="A1419" s="415" t="str">
        <f t="shared" si="22"/>
        <v>SA-789 Gr.0</v>
      </c>
      <c r="B1419" s="415">
        <v>1413</v>
      </c>
      <c r="C1419" s="415" t="s">
        <v>3495</v>
      </c>
      <c r="D1419" s="415" t="s">
        <v>2693</v>
      </c>
      <c r="E1419" s="415" t="s">
        <v>2322</v>
      </c>
      <c r="F1419" s="415">
        <v>0</v>
      </c>
      <c r="G1419" s="415" t="s">
        <v>3496</v>
      </c>
      <c r="H1419" s="415">
        <v>0</v>
      </c>
      <c r="I1419" s="415">
        <v>0</v>
      </c>
      <c r="J1419" s="415" t="s">
        <v>3276</v>
      </c>
      <c r="K1419" s="415">
        <v>1</v>
      </c>
      <c r="L1419" s="417">
        <v>690</v>
      </c>
      <c r="M1419" s="417">
        <v>485</v>
      </c>
      <c r="N1419" s="417" t="s">
        <v>2675</v>
      </c>
      <c r="O1419" s="417" t="s">
        <v>2675</v>
      </c>
      <c r="P1419" s="417">
        <v>316</v>
      </c>
      <c r="Q1419" s="417">
        <v>316</v>
      </c>
      <c r="R1419" s="417" t="s">
        <v>3061</v>
      </c>
      <c r="S1419" s="417" t="s">
        <v>3012</v>
      </c>
      <c r="T1419" s="416">
        <v>197</v>
      </c>
      <c r="U1419" s="416">
        <v>197</v>
      </c>
      <c r="V1419" s="416">
        <v>197</v>
      </c>
      <c r="W1419" s="416">
        <v>196</v>
      </c>
      <c r="X1419" s="416">
        <v>191</v>
      </c>
      <c r="Y1419" s="416">
        <v>186</v>
      </c>
      <c r="Z1419" s="416">
        <v>182</v>
      </c>
      <c r="AA1419" s="416">
        <v>182</v>
      </c>
      <c r="AB1419" s="416">
        <v>182</v>
      </c>
      <c r="AC1419" s="416">
        <v>182</v>
      </c>
      <c r="AD1419" s="416">
        <v>0</v>
      </c>
      <c r="AE1419" s="416">
        <v>0</v>
      </c>
      <c r="AF1419" s="416">
        <v>0</v>
      </c>
      <c r="AG1419" s="416">
        <v>0</v>
      </c>
      <c r="AH1419" s="416">
        <v>0</v>
      </c>
      <c r="AI1419" s="416">
        <v>0</v>
      </c>
      <c r="AJ1419" s="418">
        <v>0</v>
      </c>
      <c r="AK1419" s="418">
        <v>0</v>
      </c>
      <c r="AL1419" s="418">
        <v>0</v>
      </c>
      <c r="AM1419" s="418">
        <v>0</v>
      </c>
      <c r="AN1419" s="418">
        <v>0</v>
      </c>
      <c r="AO1419" s="418">
        <v>0</v>
      </c>
      <c r="AP1419" s="418">
        <v>0</v>
      </c>
      <c r="AQ1419" s="418">
        <v>0</v>
      </c>
      <c r="AR1419" s="418">
        <v>0</v>
      </c>
      <c r="AS1419" s="418">
        <v>0</v>
      </c>
      <c r="AT1419" s="418">
        <v>0</v>
      </c>
      <c r="AU1419" s="418">
        <v>0</v>
      </c>
      <c r="AV1419" s="418">
        <v>0</v>
      </c>
      <c r="AW1419" s="418">
        <v>0</v>
      </c>
      <c r="AX1419" s="418">
        <v>0</v>
      </c>
      <c r="AY1419" s="418">
        <v>0</v>
      </c>
      <c r="AZ1419" s="418">
        <v>0</v>
      </c>
    </row>
    <row r="1420" spans="1:52" x14ac:dyDescent="0.25">
      <c r="A1420" s="415" t="str">
        <f t="shared" si="22"/>
        <v>SA-790 Gr.0</v>
      </c>
      <c r="B1420" s="415">
        <v>1414</v>
      </c>
      <c r="C1420" s="415" t="s">
        <v>3495</v>
      </c>
      <c r="D1420" s="415" t="s">
        <v>2680</v>
      </c>
      <c r="E1420" s="415" t="s">
        <v>2324</v>
      </c>
      <c r="F1420" s="415">
        <v>0</v>
      </c>
      <c r="G1420" s="415" t="s">
        <v>3496</v>
      </c>
      <c r="H1420" s="415">
        <v>0</v>
      </c>
      <c r="I1420" s="415">
        <v>0</v>
      </c>
      <c r="J1420" s="415" t="s">
        <v>3276</v>
      </c>
      <c r="K1420" s="415">
        <v>1</v>
      </c>
      <c r="L1420" s="417">
        <v>690</v>
      </c>
      <c r="M1420" s="417">
        <v>485</v>
      </c>
      <c r="N1420" s="417" t="s">
        <v>2675</v>
      </c>
      <c r="O1420" s="417" t="s">
        <v>2675</v>
      </c>
      <c r="P1420" s="417">
        <v>316</v>
      </c>
      <c r="Q1420" s="417">
        <v>316</v>
      </c>
      <c r="R1420" s="417" t="s">
        <v>3061</v>
      </c>
      <c r="S1420" s="417" t="s">
        <v>3053</v>
      </c>
      <c r="T1420" s="416">
        <v>168</v>
      </c>
      <c r="U1420" s="416">
        <v>168</v>
      </c>
      <c r="V1420" s="416">
        <v>167</v>
      </c>
      <c r="W1420" s="416">
        <v>166</v>
      </c>
      <c r="X1420" s="416">
        <v>163</v>
      </c>
      <c r="Y1420" s="416">
        <v>158</v>
      </c>
      <c r="Z1420" s="416">
        <v>155</v>
      </c>
      <c r="AA1420" s="416">
        <v>155</v>
      </c>
      <c r="AB1420" s="416">
        <v>155</v>
      </c>
      <c r="AC1420" s="416">
        <v>155</v>
      </c>
      <c r="AD1420" s="416">
        <v>0</v>
      </c>
      <c r="AE1420" s="416">
        <v>0</v>
      </c>
      <c r="AF1420" s="416">
        <v>0</v>
      </c>
      <c r="AG1420" s="416">
        <v>0</v>
      </c>
      <c r="AH1420" s="416">
        <v>0</v>
      </c>
      <c r="AI1420" s="416">
        <v>0</v>
      </c>
      <c r="AJ1420" s="418">
        <v>0</v>
      </c>
      <c r="AK1420" s="418">
        <v>0</v>
      </c>
      <c r="AL1420" s="418">
        <v>0</v>
      </c>
      <c r="AM1420" s="418">
        <v>0</v>
      </c>
      <c r="AN1420" s="418">
        <v>0</v>
      </c>
      <c r="AO1420" s="418">
        <v>0</v>
      </c>
      <c r="AP1420" s="418">
        <v>0</v>
      </c>
      <c r="AQ1420" s="418">
        <v>0</v>
      </c>
      <c r="AR1420" s="418">
        <v>0</v>
      </c>
      <c r="AS1420" s="418">
        <v>0</v>
      </c>
      <c r="AT1420" s="418">
        <v>0</v>
      </c>
      <c r="AU1420" s="418">
        <v>0</v>
      </c>
      <c r="AV1420" s="418">
        <v>0</v>
      </c>
      <c r="AW1420" s="418">
        <v>0</v>
      </c>
      <c r="AX1420" s="418">
        <v>0</v>
      </c>
      <c r="AY1420" s="418">
        <v>0</v>
      </c>
      <c r="AZ1420" s="418">
        <v>0</v>
      </c>
    </row>
    <row r="1421" spans="1:52" x14ac:dyDescent="0.25">
      <c r="A1421" s="415" t="str">
        <f t="shared" si="22"/>
        <v>SA-790 Gr.0</v>
      </c>
      <c r="B1421" s="415">
        <v>1415</v>
      </c>
      <c r="C1421" s="415" t="s">
        <v>3495</v>
      </c>
      <c r="D1421" s="415" t="s">
        <v>2703</v>
      </c>
      <c r="E1421" s="415" t="s">
        <v>2324</v>
      </c>
      <c r="F1421" s="415">
        <v>0</v>
      </c>
      <c r="G1421" s="415" t="s">
        <v>3496</v>
      </c>
      <c r="H1421" s="415">
        <v>0</v>
      </c>
      <c r="I1421" s="415">
        <v>0</v>
      </c>
      <c r="J1421" s="415" t="s">
        <v>3276</v>
      </c>
      <c r="K1421" s="415">
        <v>1</v>
      </c>
      <c r="L1421" s="417">
        <v>690</v>
      </c>
      <c r="M1421" s="417">
        <v>485</v>
      </c>
      <c r="N1421" s="417" t="s">
        <v>2675</v>
      </c>
      <c r="O1421" s="417" t="s">
        <v>2675</v>
      </c>
      <c r="P1421" s="417">
        <v>316</v>
      </c>
      <c r="Q1421" s="417">
        <v>316</v>
      </c>
      <c r="R1421" s="417" t="s">
        <v>3061</v>
      </c>
      <c r="S1421" s="417" t="s">
        <v>3012</v>
      </c>
      <c r="T1421" s="416">
        <v>197</v>
      </c>
      <c r="U1421" s="416">
        <v>197</v>
      </c>
      <c r="V1421" s="416">
        <v>197</v>
      </c>
      <c r="W1421" s="416">
        <v>196</v>
      </c>
      <c r="X1421" s="416">
        <v>191</v>
      </c>
      <c r="Y1421" s="416">
        <v>186</v>
      </c>
      <c r="Z1421" s="416">
        <v>182</v>
      </c>
      <c r="AA1421" s="416">
        <v>182</v>
      </c>
      <c r="AB1421" s="416">
        <v>182</v>
      </c>
      <c r="AC1421" s="416">
        <v>182</v>
      </c>
      <c r="AD1421" s="416">
        <v>0</v>
      </c>
      <c r="AE1421" s="416">
        <v>0</v>
      </c>
      <c r="AF1421" s="416">
        <v>0</v>
      </c>
      <c r="AG1421" s="416">
        <v>0</v>
      </c>
      <c r="AH1421" s="416">
        <v>0</v>
      </c>
      <c r="AI1421" s="416">
        <v>0</v>
      </c>
      <c r="AJ1421" s="418">
        <v>0</v>
      </c>
      <c r="AK1421" s="418">
        <v>0</v>
      </c>
      <c r="AL1421" s="418">
        <v>0</v>
      </c>
      <c r="AM1421" s="418">
        <v>0</v>
      </c>
      <c r="AN1421" s="418">
        <v>0</v>
      </c>
      <c r="AO1421" s="418">
        <v>0</v>
      </c>
      <c r="AP1421" s="418">
        <v>0</v>
      </c>
      <c r="AQ1421" s="418">
        <v>0</v>
      </c>
      <c r="AR1421" s="418">
        <v>0</v>
      </c>
      <c r="AS1421" s="418">
        <v>0</v>
      </c>
      <c r="AT1421" s="418">
        <v>0</v>
      </c>
      <c r="AU1421" s="418">
        <v>0</v>
      </c>
      <c r="AV1421" s="418">
        <v>0</v>
      </c>
      <c r="AW1421" s="418">
        <v>0</v>
      </c>
      <c r="AX1421" s="418">
        <v>0</v>
      </c>
      <c r="AY1421" s="418">
        <v>0</v>
      </c>
      <c r="AZ1421" s="418">
        <v>0</v>
      </c>
    </row>
    <row r="1422" spans="1:52" x14ac:dyDescent="0.25">
      <c r="A1422" s="415" t="str">
        <f t="shared" si="22"/>
        <v>SA-240 Gr.0</v>
      </c>
      <c r="B1422" s="415">
        <v>1416</v>
      </c>
      <c r="C1422" s="415" t="s">
        <v>3497</v>
      </c>
      <c r="D1422" s="415" t="s">
        <v>3267</v>
      </c>
      <c r="E1422" s="415" t="s">
        <v>2165</v>
      </c>
      <c r="F1422" s="415">
        <v>0</v>
      </c>
      <c r="G1422" s="415" t="s">
        <v>3498</v>
      </c>
      <c r="H1422" s="415">
        <v>0</v>
      </c>
      <c r="I1422" s="415" t="s">
        <v>3499</v>
      </c>
      <c r="J1422" s="415" t="s">
        <v>3276</v>
      </c>
      <c r="K1422" s="415">
        <v>1</v>
      </c>
      <c r="L1422" s="417">
        <v>750</v>
      </c>
      <c r="M1422" s="417">
        <v>550</v>
      </c>
      <c r="N1422" s="417" t="s">
        <v>2675</v>
      </c>
      <c r="O1422" s="417" t="s">
        <v>2675</v>
      </c>
      <c r="P1422" s="417">
        <v>316</v>
      </c>
      <c r="Q1422" s="417">
        <v>316</v>
      </c>
      <c r="R1422" s="417" t="s">
        <v>3061</v>
      </c>
      <c r="S1422" s="417" t="s">
        <v>3012</v>
      </c>
      <c r="T1422" s="416">
        <v>215</v>
      </c>
      <c r="U1422" s="416">
        <v>215</v>
      </c>
      <c r="V1422" s="416">
        <v>215</v>
      </c>
      <c r="W1422" s="416">
        <v>213</v>
      </c>
      <c r="X1422" s="416">
        <v>208</v>
      </c>
      <c r="Y1422" s="416">
        <v>204</v>
      </c>
      <c r="Z1422" s="416">
        <v>198</v>
      </c>
      <c r="AA1422" s="416">
        <v>196</v>
      </c>
      <c r="AB1422" s="416">
        <v>195</v>
      </c>
      <c r="AC1422" s="416">
        <v>195</v>
      </c>
      <c r="AD1422" s="416">
        <v>0</v>
      </c>
      <c r="AE1422" s="416">
        <v>0</v>
      </c>
      <c r="AF1422" s="416">
        <v>0</v>
      </c>
      <c r="AG1422" s="416">
        <v>0</v>
      </c>
      <c r="AH1422" s="416">
        <v>0</v>
      </c>
      <c r="AI1422" s="416">
        <v>0</v>
      </c>
      <c r="AJ1422" s="418">
        <v>0</v>
      </c>
      <c r="AK1422" s="418">
        <v>0</v>
      </c>
      <c r="AL1422" s="418">
        <v>0</v>
      </c>
      <c r="AM1422" s="418">
        <v>0</v>
      </c>
      <c r="AN1422" s="418">
        <v>0</v>
      </c>
      <c r="AO1422" s="418">
        <v>0</v>
      </c>
      <c r="AP1422" s="418">
        <v>0</v>
      </c>
      <c r="AQ1422" s="418">
        <v>0</v>
      </c>
      <c r="AR1422" s="418">
        <v>0</v>
      </c>
      <c r="AS1422" s="418">
        <v>0</v>
      </c>
      <c r="AT1422" s="418">
        <v>0</v>
      </c>
      <c r="AU1422" s="418">
        <v>0</v>
      </c>
      <c r="AV1422" s="418">
        <v>0</v>
      </c>
      <c r="AW1422" s="418">
        <v>0</v>
      </c>
      <c r="AX1422" s="418">
        <v>0</v>
      </c>
      <c r="AY1422" s="418">
        <v>0</v>
      </c>
      <c r="AZ1422" s="418">
        <v>0</v>
      </c>
    </row>
    <row r="1423" spans="1:52" x14ac:dyDescent="0.25">
      <c r="A1423" s="415" t="str">
        <f t="shared" si="22"/>
        <v>SA-479 Gr.0</v>
      </c>
      <c r="B1423" s="415">
        <v>1417</v>
      </c>
      <c r="C1423" s="415" t="s">
        <v>3497</v>
      </c>
      <c r="D1423" s="415" t="s">
        <v>2677</v>
      </c>
      <c r="E1423" s="415" t="s">
        <v>2245</v>
      </c>
      <c r="F1423" s="415">
        <v>0</v>
      </c>
      <c r="G1423" s="415" t="s">
        <v>3498</v>
      </c>
      <c r="H1423" s="415">
        <v>0</v>
      </c>
      <c r="I1423" s="415">
        <v>0</v>
      </c>
      <c r="J1423" s="415" t="s">
        <v>3276</v>
      </c>
      <c r="K1423" s="415">
        <v>1</v>
      </c>
      <c r="L1423" s="417">
        <v>750</v>
      </c>
      <c r="M1423" s="417">
        <v>550</v>
      </c>
      <c r="N1423" s="417" t="s">
        <v>2675</v>
      </c>
      <c r="O1423" s="417" t="s">
        <v>2675</v>
      </c>
      <c r="P1423" s="417">
        <v>316</v>
      </c>
      <c r="Q1423" s="417">
        <v>316</v>
      </c>
      <c r="R1423" s="417" t="s">
        <v>3061</v>
      </c>
      <c r="S1423" s="417" t="s">
        <v>3012</v>
      </c>
      <c r="T1423" s="416">
        <v>215</v>
      </c>
      <c r="U1423" s="416">
        <v>215</v>
      </c>
      <c r="V1423" s="416">
        <v>215</v>
      </c>
      <c r="W1423" s="416">
        <v>213</v>
      </c>
      <c r="X1423" s="416">
        <v>208</v>
      </c>
      <c r="Y1423" s="416">
        <v>204</v>
      </c>
      <c r="Z1423" s="416">
        <v>198</v>
      </c>
      <c r="AA1423" s="416">
        <v>196</v>
      </c>
      <c r="AB1423" s="416">
        <v>195</v>
      </c>
      <c r="AC1423" s="416">
        <v>195</v>
      </c>
      <c r="AD1423" s="416">
        <v>0</v>
      </c>
      <c r="AE1423" s="416">
        <v>0</v>
      </c>
      <c r="AF1423" s="416">
        <v>0</v>
      </c>
      <c r="AG1423" s="416">
        <v>0</v>
      </c>
      <c r="AH1423" s="416">
        <v>0</v>
      </c>
      <c r="AI1423" s="416">
        <v>0</v>
      </c>
      <c r="AJ1423" s="418">
        <v>0</v>
      </c>
      <c r="AK1423" s="418">
        <v>0</v>
      </c>
      <c r="AL1423" s="418">
        <v>0</v>
      </c>
      <c r="AM1423" s="418">
        <v>0</v>
      </c>
      <c r="AN1423" s="418">
        <v>0</v>
      </c>
      <c r="AO1423" s="418">
        <v>0</v>
      </c>
      <c r="AP1423" s="418">
        <v>0</v>
      </c>
      <c r="AQ1423" s="418">
        <v>0</v>
      </c>
      <c r="AR1423" s="418">
        <v>0</v>
      </c>
      <c r="AS1423" s="418">
        <v>0</v>
      </c>
      <c r="AT1423" s="418">
        <v>0</v>
      </c>
      <c r="AU1423" s="418">
        <v>0</v>
      </c>
      <c r="AV1423" s="418">
        <v>0</v>
      </c>
      <c r="AW1423" s="418">
        <v>0</v>
      </c>
      <c r="AX1423" s="418">
        <v>0</v>
      </c>
      <c r="AY1423" s="418">
        <v>0</v>
      </c>
      <c r="AZ1423" s="418">
        <v>0</v>
      </c>
    </row>
    <row r="1424" spans="1:52" x14ac:dyDescent="0.25">
      <c r="A1424" s="415" t="str">
        <f t="shared" si="22"/>
        <v>SA-789 Gr.0</v>
      </c>
      <c r="B1424" s="415">
        <v>1418</v>
      </c>
      <c r="C1424" s="415" t="s">
        <v>3497</v>
      </c>
      <c r="D1424" s="415" t="s">
        <v>2693</v>
      </c>
      <c r="E1424" s="415" t="s">
        <v>2322</v>
      </c>
      <c r="F1424" s="415">
        <v>0</v>
      </c>
      <c r="G1424" s="415" t="s">
        <v>3498</v>
      </c>
      <c r="H1424" s="415">
        <v>0</v>
      </c>
      <c r="I1424" s="415" t="s">
        <v>3499</v>
      </c>
      <c r="J1424" s="415" t="s">
        <v>3276</v>
      </c>
      <c r="K1424" s="415">
        <v>1</v>
      </c>
      <c r="L1424" s="417">
        <v>750</v>
      </c>
      <c r="M1424" s="417">
        <v>550</v>
      </c>
      <c r="N1424" s="417" t="s">
        <v>2675</v>
      </c>
      <c r="O1424" s="417" t="s">
        <v>2675</v>
      </c>
      <c r="P1424" s="417">
        <v>316</v>
      </c>
      <c r="Q1424" s="417">
        <v>316</v>
      </c>
      <c r="R1424" s="417" t="s">
        <v>3061</v>
      </c>
      <c r="S1424" s="417" t="s">
        <v>3012</v>
      </c>
      <c r="T1424" s="416">
        <v>215</v>
      </c>
      <c r="U1424" s="416">
        <v>215</v>
      </c>
      <c r="V1424" s="416">
        <v>215</v>
      </c>
      <c r="W1424" s="416">
        <v>213</v>
      </c>
      <c r="X1424" s="416">
        <v>208</v>
      </c>
      <c r="Y1424" s="416">
        <v>204</v>
      </c>
      <c r="Z1424" s="416">
        <v>198</v>
      </c>
      <c r="AA1424" s="416">
        <v>196</v>
      </c>
      <c r="AB1424" s="416">
        <v>195</v>
      </c>
      <c r="AC1424" s="416">
        <v>195</v>
      </c>
      <c r="AD1424" s="416">
        <v>0</v>
      </c>
      <c r="AE1424" s="416">
        <v>0</v>
      </c>
      <c r="AF1424" s="416">
        <v>0</v>
      </c>
      <c r="AG1424" s="416">
        <v>0</v>
      </c>
      <c r="AH1424" s="416">
        <v>0</v>
      </c>
      <c r="AI1424" s="416">
        <v>0</v>
      </c>
      <c r="AJ1424" s="418">
        <v>0</v>
      </c>
      <c r="AK1424" s="418">
        <v>0</v>
      </c>
      <c r="AL1424" s="418">
        <v>0</v>
      </c>
      <c r="AM1424" s="418">
        <v>0</v>
      </c>
      <c r="AN1424" s="418">
        <v>0</v>
      </c>
      <c r="AO1424" s="418">
        <v>0</v>
      </c>
      <c r="AP1424" s="418">
        <v>0</v>
      </c>
      <c r="AQ1424" s="418">
        <v>0</v>
      </c>
      <c r="AR1424" s="418">
        <v>0</v>
      </c>
      <c r="AS1424" s="418">
        <v>0</v>
      </c>
      <c r="AT1424" s="418">
        <v>0</v>
      </c>
      <c r="AU1424" s="418">
        <v>0</v>
      </c>
      <c r="AV1424" s="418">
        <v>0</v>
      </c>
      <c r="AW1424" s="418">
        <v>0</v>
      </c>
      <c r="AX1424" s="418">
        <v>0</v>
      </c>
      <c r="AY1424" s="418">
        <v>0</v>
      </c>
      <c r="AZ1424" s="418">
        <v>0</v>
      </c>
    </row>
    <row r="1425" spans="1:52" x14ac:dyDescent="0.25">
      <c r="A1425" s="415" t="str">
        <f t="shared" si="22"/>
        <v>SA-790 Gr.0</v>
      </c>
      <c r="B1425" s="415">
        <v>1419</v>
      </c>
      <c r="C1425" s="415" t="s">
        <v>3497</v>
      </c>
      <c r="D1425" s="415" t="s">
        <v>2703</v>
      </c>
      <c r="E1425" s="415" t="s">
        <v>2324</v>
      </c>
      <c r="F1425" s="415">
        <v>0</v>
      </c>
      <c r="G1425" s="415" t="s">
        <v>3498</v>
      </c>
      <c r="H1425" s="415">
        <v>0</v>
      </c>
      <c r="I1425" s="415" t="s">
        <v>3499</v>
      </c>
      <c r="J1425" s="415" t="s">
        <v>3276</v>
      </c>
      <c r="K1425" s="415">
        <v>1</v>
      </c>
      <c r="L1425" s="417">
        <v>750</v>
      </c>
      <c r="M1425" s="417">
        <v>550</v>
      </c>
      <c r="N1425" s="417" t="s">
        <v>2675</v>
      </c>
      <c r="O1425" s="417" t="s">
        <v>2675</v>
      </c>
      <c r="P1425" s="417">
        <v>316</v>
      </c>
      <c r="Q1425" s="417">
        <v>316</v>
      </c>
      <c r="R1425" s="417" t="s">
        <v>3061</v>
      </c>
      <c r="S1425" s="417" t="s">
        <v>3012</v>
      </c>
      <c r="T1425" s="416">
        <v>215</v>
      </c>
      <c r="U1425" s="416">
        <v>215</v>
      </c>
      <c r="V1425" s="416">
        <v>215</v>
      </c>
      <c r="W1425" s="416">
        <v>213</v>
      </c>
      <c r="X1425" s="416">
        <v>208</v>
      </c>
      <c r="Y1425" s="416">
        <v>204</v>
      </c>
      <c r="Z1425" s="416">
        <v>198</v>
      </c>
      <c r="AA1425" s="416">
        <v>196</v>
      </c>
      <c r="AB1425" s="416">
        <v>195</v>
      </c>
      <c r="AC1425" s="416">
        <v>195</v>
      </c>
      <c r="AD1425" s="416">
        <v>0</v>
      </c>
      <c r="AE1425" s="416">
        <v>0</v>
      </c>
      <c r="AF1425" s="416">
        <v>0</v>
      </c>
      <c r="AG1425" s="416">
        <v>0</v>
      </c>
      <c r="AH1425" s="416">
        <v>0</v>
      </c>
      <c r="AI1425" s="416">
        <v>0</v>
      </c>
      <c r="AJ1425" s="418">
        <v>0</v>
      </c>
      <c r="AK1425" s="418">
        <v>0</v>
      </c>
      <c r="AL1425" s="418">
        <v>0</v>
      </c>
      <c r="AM1425" s="418">
        <v>0</v>
      </c>
      <c r="AN1425" s="418">
        <v>0</v>
      </c>
      <c r="AO1425" s="418">
        <v>0</v>
      </c>
      <c r="AP1425" s="418">
        <v>0</v>
      </c>
      <c r="AQ1425" s="418">
        <v>0</v>
      </c>
      <c r="AR1425" s="418">
        <v>0</v>
      </c>
      <c r="AS1425" s="418">
        <v>0</v>
      </c>
      <c r="AT1425" s="418">
        <v>0</v>
      </c>
      <c r="AU1425" s="418">
        <v>0</v>
      </c>
      <c r="AV1425" s="418">
        <v>0</v>
      </c>
      <c r="AW1425" s="418">
        <v>0</v>
      </c>
      <c r="AX1425" s="418">
        <v>0</v>
      </c>
      <c r="AY1425" s="418">
        <v>0</v>
      </c>
      <c r="AZ1425" s="418">
        <v>0</v>
      </c>
    </row>
    <row r="1426" spans="1:52" x14ac:dyDescent="0.25">
      <c r="A1426" s="415" t="str">
        <f t="shared" si="22"/>
        <v>SA-240 Gr.0</v>
      </c>
      <c r="B1426" s="415">
        <v>1420</v>
      </c>
      <c r="C1426" s="415" t="s">
        <v>3497</v>
      </c>
      <c r="D1426" s="415" t="s">
        <v>3267</v>
      </c>
      <c r="E1426" s="415" t="s">
        <v>2165</v>
      </c>
      <c r="F1426" s="415">
        <v>0</v>
      </c>
      <c r="G1426" s="415" t="s">
        <v>3498</v>
      </c>
      <c r="H1426" s="415">
        <v>0</v>
      </c>
      <c r="I1426" s="415" t="s">
        <v>3500</v>
      </c>
      <c r="J1426" s="415" t="s">
        <v>3276</v>
      </c>
      <c r="K1426" s="415">
        <v>1</v>
      </c>
      <c r="L1426" s="417">
        <v>800</v>
      </c>
      <c r="M1426" s="417">
        <v>650</v>
      </c>
      <c r="N1426" s="417" t="s">
        <v>2675</v>
      </c>
      <c r="O1426" s="417" t="s">
        <v>2675</v>
      </c>
      <c r="P1426" s="417">
        <v>316</v>
      </c>
      <c r="Q1426" s="417">
        <v>316</v>
      </c>
      <c r="R1426" s="417" t="s">
        <v>3061</v>
      </c>
      <c r="S1426" s="417" t="s">
        <v>3012</v>
      </c>
      <c r="T1426" s="416">
        <v>229</v>
      </c>
      <c r="U1426" s="416">
        <v>229</v>
      </c>
      <c r="V1426" s="416">
        <v>229</v>
      </c>
      <c r="W1426" s="416">
        <v>227</v>
      </c>
      <c r="X1426" s="416">
        <v>221</v>
      </c>
      <c r="Y1426" s="416">
        <v>217</v>
      </c>
      <c r="Z1426" s="416">
        <v>211</v>
      </c>
      <c r="AA1426" s="416">
        <v>208</v>
      </c>
      <c r="AB1426" s="416">
        <v>207</v>
      </c>
      <c r="AC1426" s="416">
        <v>207</v>
      </c>
      <c r="AD1426" s="416">
        <v>0</v>
      </c>
      <c r="AE1426" s="416">
        <v>0</v>
      </c>
      <c r="AF1426" s="416">
        <v>0</v>
      </c>
      <c r="AG1426" s="416">
        <v>0</v>
      </c>
      <c r="AH1426" s="416">
        <v>0</v>
      </c>
      <c r="AI1426" s="416">
        <v>0</v>
      </c>
      <c r="AJ1426" s="418">
        <v>0</v>
      </c>
      <c r="AK1426" s="418">
        <v>0</v>
      </c>
      <c r="AL1426" s="418">
        <v>0</v>
      </c>
      <c r="AM1426" s="418">
        <v>0</v>
      </c>
      <c r="AN1426" s="418">
        <v>0</v>
      </c>
      <c r="AO1426" s="418">
        <v>0</v>
      </c>
      <c r="AP1426" s="418">
        <v>0</v>
      </c>
      <c r="AQ1426" s="418">
        <v>0</v>
      </c>
      <c r="AR1426" s="418">
        <v>0</v>
      </c>
      <c r="AS1426" s="418">
        <v>0</v>
      </c>
      <c r="AT1426" s="418">
        <v>0</v>
      </c>
      <c r="AU1426" s="418">
        <v>0</v>
      </c>
      <c r="AV1426" s="418">
        <v>0</v>
      </c>
      <c r="AW1426" s="418">
        <v>0</v>
      </c>
      <c r="AX1426" s="418">
        <v>0</v>
      </c>
      <c r="AY1426" s="418">
        <v>0</v>
      </c>
      <c r="AZ1426" s="418">
        <v>0</v>
      </c>
    </row>
    <row r="1427" spans="1:52" x14ac:dyDescent="0.25">
      <c r="A1427" s="415" t="str">
        <f t="shared" si="22"/>
        <v>SA-789 Gr.0</v>
      </c>
      <c r="B1427" s="415">
        <v>1421</v>
      </c>
      <c r="C1427" s="415" t="s">
        <v>3497</v>
      </c>
      <c r="D1427" s="415" t="s">
        <v>2693</v>
      </c>
      <c r="E1427" s="415" t="s">
        <v>2322</v>
      </c>
      <c r="F1427" s="415">
        <v>0</v>
      </c>
      <c r="G1427" s="415" t="s">
        <v>3498</v>
      </c>
      <c r="H1427" s="415">
        <v>0</v>
      </c>
      <c r="I1427" s="415" t="s">
        <v>3500</v>
      </c>
      <c r="J1427" s="415" t="s">
        <v>3276</v>
      </c>
      <c r="K1427" s="415">
        <v>1</v>
      </c>
      <c r="L1427" s="417">
        <v>800</v>
      </c>
      <c r="M1427" s="417">
        <v>650</v>
      </c>
      <c r="N1427" s="417" t="s">
        <v>2675</v>
      </c>
      <c r="O1427" s="417" t="s">
        <v>2675</v>
      </c>
      <c r="P1427" s="417">
        <v>316</v>
      </c>
      <c r="Q1427" s="417">
        <v>316</v>
      </c>
      <c r="R1427" s="417" t="s">
        <v>3061</v>
      </c>
      <c r="S1427" s="417" t="s">
        <v>3012</v>
      </c>
      <c r="T1427" s="416">
        <v>229</v>
      </c>
      <c r="U1427" s="416">
        <v>229</v>
      </c>
      <c r="V1427" s="416">
        <v>229</v>
      </c>
      <c r="W1427" s="416">
        <v>227</v>
      </c>
      <c r="X1427" s="416">
        <v>221</v>
      </c>
      <c r="Y1427" s="416">
        <v>217</v>
      </c>
      <c r="Z1427" s="416">
        <v>211</v>
      </c>
      <c r="AA1427" s="416">
        <v>208</v>
      </c>
      <c r="AB1427" s="416">
        <v>207</v>
      </c>
      <c r="AC1427" s="416">
        <v>207</v>
      </c>
      <c r="AD1427" s="416">
        <v>0</v>
      </c>
      <c r="AE1427" s="416">
        <v>0</v>
      </c>
      <c r="AF1427" s="416">
        <v>0</v>
      </c>
      <c r="AG1427" s="416">
        <v>0</v>
      </c>
      <c r="AH1427" s="416">
        <v>0</v>
      </c>
      <c r="AI1427" s="416">
        <v>0</v>
      </c>
      <c r="AJ1427" s="418">
        <v>0</v>
      </c>
      <c r="AK1427" s="418">
        <v>0</v>
      </c>
      <c r="AL1427" s="418">
        <v>0</v>
      </c>
      <c r="AM1427" s="418">
        <v>0</v>
      </c>
      <c r="AN1427" s="418">
        <v>0</v>
      </c>
      <c r="AO1427" s="418">
        <v>0</v>
      </c>
      <c r="AP1427" s="418">
        <v>0</v>
      </c>
      <c r="AQ1427" s="418">
        <v>0</v>
      </c>
      <c r="AR1427" s="418">
        <v>0</v>
      </c>
      <c r="AS1427" s="418">
        <v>0</v>
      </c>
      <c r="AT1427" s="418">
        <v>0</v>
      </c>
      <c r="AU1427" s="418">
        <v>0</v>
      </c>
      <c r="AV1427" s="418">
        <v>0</v>
      </c>
      <c r="AW1427" s="418">
        <v>0</v>
      </c>
      <c r="AX1427" s="418">
        <v>0</v>
      </c>
      <c r="AY1427" s="418">
        <v>0</v>
      </c>
      <c r="AZ1427" s="418">
        <v>0</v>
      </c>
    </row>
    <row r="1428" spans="1:52" x14ac:dyDescent="0.25">
      <c r="A1428" s="415" t="str">
        <f t="shared" si="22"/>
        <v>SA-790 Gr.0</v>
      </c>
      <c r="B1428" s="415">
        <v>1422</v>
      </c>
      <c r="C1428" s="415" t="s">
        <v>3497</v>
      </c>
      <c r="D1428" s="415" t="s">
        <v>2703</v>
      </c>
      <c r="E1428" s="415" t="s">
        <v>2324</v>
      </c>
      <c r="F1428" s="415">
        <v>0</v>
      </c>
      <c r="G1428" s="415" t="s">
        <v>3498</v>
      </c>
      <c r="H1428" s="415">
        <v>0</v>
      </c>
      <c r="I1428" s="415" t="s">
        <v>3500</v>
      </c>
      <c r="J1428" s="415" t="s">
        <v>3276</v>
      </c>
      <c r="K1428" s="415">
        <v>1</v>
      </c>
      <c r="L1428" s="417">
        <v>800</v>
      </c>
      <c r="M1428" s="417">
        <v>650</v>
      </c>
      <c r="N1428" s="417" t="s">
        <v>2675</v>
      </c>
      <c r="O1428" s="417" t="s">
        <v>2675</v>
      </c>
      <c r="P1428" s="417">
        <v>316</v>
      </c>
      <c r="Q1428" s="417">
        <v>316</v>
      </c>
      <c r="R1428" s="417" t="s">
        <v>3061</v>
      </c>
      <c r="S1428" s="417" t="s">
        <v>3012</v>
      </c>
      <c r="T1428" s="416">
        <v>229</v>
      </c>
      <c r="U1428" s="416">
        <v>229</v>
      </c>
      <c r="V1428" s="416">
        <v>229</v>
      </c>
      <c r="W1428" s="416">
        <v>227</v>
      </c>
      <c r="X1428" s="416">
        <v>221</v>
      </c>
      <c r="Y1428" s="416">
        <v>217</v>
      </c>
      <c r="Z1428" s="416">
        <v>211</v>
      </c>
      <c r="AA1428" s="416">
        <v>208</v>
      </c>
      <c r="AB1428" s="416">
        <v>207</v>
      </c>
      <c r="AC1428" s="416">
        <v>207</v>
      </c>
      <c r="AD1428" s="416">
        <v>0</v>
      </c>
      <c r="AE1428" s="416">
        <v>0</v>
      </c>
      <c r="AF1428" s="416">
        <v>0</v>
      </c>
      <c r="AG1428" s="416">
        <v>0</v>
      </c>
      <c r="AH1428" s="416">
        <v>0</v>
      </c>
      <c r="AI1428" s="416">
        <v>0</v>
      </c>
      <c r="AJ1428" s="418">
        <v>0</v>
      </c>
      <c r="AK1428" s="418">
        <v>0</v>
      </c>
      <c r="AL1428" s="418">
        <v>0</v>
      </c>
      <c r="AM1428" s="418">
        <v>0</v>
      </c>
      <c r="AN1428" s="418">
        <v>0</v>
      </c>
      <c r="AO1428" s="418">
        <v>0</v>
      </c>
      <c r="AP1428" s="418">
        <v>0</v>
      </c>
      <c r="AQ1428" s="418">
        <v>0</v>
      </c>
      <c r="AR1428" s="418">
        <v>0</v>
      </c>
      <c r="AS1428" s="418">
        <v>0</v>
      </c>
      <c r="AT1428" s="418">
        <v>0</v>
      </c>
      <c r="AU1428" s="418">
        <v>0</v>
      </c>
      <c r="AV1428" s="418">
        <v>0</v>
      </c>
      <c r="AW1428" s="418">
        <v>0</v>
      </c>
      <c r="AX1428" s="418">
        <v>0</v>
      </c>
      <c r="AY1428" s="418">
        <v>0</v>
      </c>
      <c r="AZ1428" s="418">
        <v>0</v>
      </c>
    </row>
  </sheetData>
  <autoFilter ref="A6:AZ1428" xr:uid="{00000000-0009-0000-0000-000017000000}"/>
  <mergeCells count="1">
    <mergeCell ref="N5:Q5"/>
  </mergeCells>
  <pageMargins left="0.7" right="0.7" top="0.75" bottom="0.75" header="0.3" footer="0.3"/>
  <pageSetup paperSize="9" scale="10" orientation="portrait" r:id="rId1"/>
  <headerFooter>
    <oddHeader>&amp;R&amp;"Calibri"&amp;8 Document classified as: 2 - Company Confidential&amp;1#</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oglio17">
    <tabColor rgb="FFFF0000"/>
    <pageSetUpPr fitToPage="1"/>
  </sheetPr>
  <dimension ref="A1:AZ582"/>
  <sheetViews>
    <sheetView workbookViewId="0"/>
  </sheetViews>
  <sheetFormatPr defaultColWidth="9.21875" defaultRowHeight="14.4" x14ac:dyDescent="0.3"/>
  <cols>
    <col min="1" max="1" width="26.21875" style="422" customWidth="1"/>
    <col min="2" max="2" width="9.21875" style="422" bestFit="1" customWidth="1"/>
    <col min="3" max="3" width="28.77734375" style="422" customWidth="1"/>
    <col min="4" max="4" width="20" style="422" customWidth="1"/>
    <col min="5" max="5" width="11.77734375" style="422" customWidth="1"/>
    <col min="6" max="6" width="12.44140625" style="422" bestFit="1" customWidth="1"/>
    <col min="7" max="8" width="9.21875" style="422" bestFit="1" customWidth="1"/>
    <col min="9" max="9" width="15.21875" style="422" customWidth="1"/>
    <col min="10" max="15" width="9.21875" style="422" bestFit="1" customWidth="1"/>
    <col min="16" max="16" width="9.21875" style="422"/>
    <col min="17" max="17" width="35.44140625" style="422" customWidth="1"/>
    <col min="18" max="18" width="9.21875" style="422" bestFit="1" customWidth="1"/>
    <col min="19" max="20" width="9.21875" style="423" bestFit="1" customWidth="1"/>
    <col min="21" max="36" width="10.21875" style="423" bestFit="1" customWidth="1"/>
    <col min="37" max="38" width="9.77734375" style="423" bestFit="1" customWidth="1"/>
    <col min="39" max="40" width="11" style="423" bestFit="1" customWidth="1"/>
    <col min="41" max="45" width="10.21875" style="423" bestFit="1" customWidth="1"/>
    <col min="46" max="48" width="9.77734375" style="423" bestFit="1" customWidth="1"/>
    <col min="49" max="52" width="9.21875" style="423" bestFit="1" customWidth="1"/>
    <col min="53" max="16384" width="9.21875" style="140"/>
  </cols>
  <sheetData>
    <row r="1" spans="1:52" x14ac:dyDescent="0.25">
      <c r="A1" s="420"/>
      <c r="B1" s="420" t="s">
        <v>3501</v>
      </c>
      <c r="C1" s="409"/>
      <c r="D1" s="409"/>
      <c r="E1" s="409"/>
      <c r="F1" s="409"/>
      <c r="G1" s="409"/>
      <c r="H1" s="409"/>
      <c r="I1" s="409"/>
      <c r="J1" s="409"/>
      <c r="K1" s="409"/>
      <c r="L1" s="409"/>
      <c r="M1" s="409"/>
      <c r="N1" s="409"/>
      <c r="O1" s="409"/>
      <c r="P1" s="409"/>
      <c r="Q1" s="409"/>
      <c r="R1" s="409"/>
      <c r="S1" s="409"/>
      <c r="T1" s="410"/>
      <c r="U1" s="410"/>
      <c r="V1" s="410"/>
      <c r="W1" s="410"/>
      <c r="X1" s="410"/>
      <c r="Y1" s="410"/>
      <c r="Z1" s="410"/>
      <c r="AA1" s="410"/>
      <c r="AB1" s="410"/>
      <c r="AC1" s="410"/>
      <c r="AD1" s="410"/>
      <c r="AE1" s="410"/>
      <c r="AF1" s="410"/>
      <c r="AG1" s="410"/>
      <c r="AH1" s="410"/>
      <c r="AI1" s="410"/>
      <c r="AJ1" s="410"/>
      <c r="AK1" s="410"/>
      <c r="AL1" s="410"/>
      <c r="AM1" s="410"/>
      <c r="AN1" s="410"/>
      <c r="AO1" s="410"/>
      <c r="AP1" s="410"/>
      <c r="AQ1" s="410"/>
      <c r="AR1" s="410"/>
      <c r="AS1" s="410"/>
      <c r="AT1" s="410"/>
      <c r="AU1" s="410"/>
      <c r="AV1" s="410"/>
      <c r="AW1" s="410"/>
      <c r="AX1" s="410"/>
      <c r="AY1" s="410"/>
      <c r="AZ1" s="410"/>
    </row>
    <row r="2" spans="1:52" x14ac:dyDescent="0.25">
      <c r="A2" s="420"/>
      <c r="B2" s="420" t="s">
        <v>3502</v>
      </c>
      <c r="C2" s="409"/>
      <c r="D2" s="409"/>
      <c r="E2" s="409"/>
      <c r="F2" s="409"/>
      <c r="G2" s="409"/>
      <c r="H2" s="409"/>
      <c r="I2" s="409"/>
      <c r="J2" s="409"/>
      <c r="K2" s="409"/>
      <c r="L2" s="409"/>
      <c r="M2" s="409"/>
      <c r="N2" s="409"/>
      <c r="O2" s="409"/>
      <c r="P2" s="409"/>
      <c r="Q2" s="409"/>
      <c r="R2" s="409"/>
      <c r="S2" s="409"/>
      <c r="T2" s="410"/>
      <c r="U2" s="410"/>
      <c r="V2" s="410"/>
      <c r="W2" s="410"/>
      <c r="X2" s="410"/>
      <c r="Y2" s="410"/>
      <c r="Z2" s="410"/>
      <c r="AA2" s="410"/>
      <c r="AB2" s="410"/>
      <c r="AC2" s="410"/>
      <c r="AD2" s="410"/>
      <c r="AE2" s="410"/>
      <c r="AF2" s="410"/>
      <c r="AG2" s="410"/>
      <c r="AH2" s="410"/>
      <c r="AI2" s="410"/>
      <c r="AJ2" s="410"/>
      <c r="AK2" s="410"/>
      <c r="AL2" s="410"/>
      <c r="AM2" s="410"/>
      <c r="AN2" s="410"/>
      <c r="AO2" s="410"/>
      <c r="AP2" s="410"/>
      <c r="AQ2" s="410"/>
      <c r="AR2" s="410"/>
      <c r="AS2" s="410"/>
      <c r="AT2" s="410"/>
      <c r="AU2" s="410"/>
      <c r="AV2" s="410"/>
      <c r="AW2" s="410"/>
      <c r="AX2" s="410"/>
      <c r="AY2" s="410"/>
      <c r="AZ2" s="410"/>
    </row>
    <row r="3" spans="1:52" x14ac:dyDescent="0.25">
      <c r="A3" s="420"/>
      <c r="B3" s="420" t="s">
        <v>3503</v>
      </c>
      <c r="C3" s="409"/>
      <c r="D3" s="409"/>
      <c r="E3" s="409"/>
      <c r="F3" s="409"/>
      <c r="G3" s="409"/>
      <c r="H3" s="409"/>
      <c r="I3" s="409"/>
      <c r="J3" s="409"/>
      <c r="K3" s="409"/>
      <c r="L3" s="409"/>
      <c r="M3" s="409"/>
      <c r="N3" s="409"/>
      <c r="O3" s="409"/>
      <c r="P3" s="409"/>
      <c r="Q3" s="409"/>
      <c r="R3" s="409"/>
      <c r="S3" s="409"/>
      <c r="T3" s="410"/>
      <c r="U3" s="410"/>
      <c r="V3" s="410"/>
      <c r="W3" s="410"/>
      <c r="X3" s="410"/>
      <c r="Y3" s="410"/>
      <c r="Z3" s="410"/>
      <c r="AA3" s="410"/>
      <c r="AB3" s="410"/>
      <c r="AC3" s="410"/>
      <c r="AD3" s="410"/>
      <c r="AE3" s="410"/>
      <c r="AF3" s="410"/>
      <c r="AG3" s="410"/>
      <c r="AH3" s="410"/>
      <c r="AI3" s="410"/>
      <c r="AJ3" s="410"/>
      <c r="AK3" s="410"/>
      <c r="AL3" s="410"/>
      <c r="AM3" s="410"/>
      <c r="AN3" s="410"/>
      <c r="AO3" s="410"/>
      <c r="AP3" s="410"/>
      <c r="AQ3" s="410"/>
      <c r="AR3" s="410"/>
      <c r="AS3" s="410"/>
      <c r="AT3" s="410"/>
      <c r="AU3" s="410"/>
      <c r="AV3" s="410"/>
      <c r="AW3" s="410"/>
      <c r="AX3" s="410"/>
      <c r="AY3" s="410"/>
      <c r="AZ3" s="410"/>
    </row>
    <row r="4" spans="1:52" x14ac:dyDescent="0.3">
      <c r="A4" s="421"/>
      <c r="B4" s="421"/>
      <c r="C4" s="421"/>
      <c r="D4" s="421"/>
      <c r="E4" s="421"/>
      <c r="F4" s="421"/>
      <c r="G4" s="421"/>
      <c r="H4" s="421"/>
      <c r="I4" s="421"/>
      <c r="J4" s="421"/>
      <c r="K4" s="421"/>
      <c r="L4" s="421"/>
      <c r="M4" s="421"/>
      <c r="N4" s="421"/>
      <c r="O4" s="421"/>
      <c r="P4" s="421"/>
      <c r="Q4" s="421"/>
      <c r="R4" s="421"/>
      <c r="S4" s="1590" t="s">
        <v>3504</v>
      </c>
      <c r="T4" s="1591"/>
      <c r="U4" s="1591"/>
      <c r="V4" s="1591"/>
      <c r="W4" s="1591"/>
      <c r="X4" s="1591"/>
      <c r="Y4" s="1591"/>
      <c r="Z4" s="1591"/>
      <c r="AA4" s="1591"/>
      <c r="AB4" s="1591"/>
      <c r="AC4" s="1591"/>
      <c r="AD4" s="1591"/>
      <c r="AE4" s="1591"/>
      <c r="AF4" s="1591"/>
      <c r="AG4" s="1591"/>
      <c r="AH4" s="1591"/>
      <c r="AI4" s="1591"/>
      <c r="AJ4" s="1591"/>
      <c r="AK4" s="1591"/>
      <c r="AL4" s="1591"/>
      <c r="AM4" s="1591"/>
      <c r="AN4" s="1591"/>
      <c r="AO4" s="1591"/>
      <c r="AP4" s="1591"/>
      <c r="AQ4" s="1591"/>
      <c r="AR4" s="1591"/>
      <c r="AS4" s="1591"/>
      <c r="AT4" s="1591"/>
      <c r="AU4" s="1591"/>
      <c r="AV4" s="1591"/>
      <c r="AW4" s="1591"/>
      <c r="AX4" s="1591"/>
      <c r="AY4" s="1591"/>
      <c r="AZ4" s="1592"/>
    </row>
    <row r="5" spans="1:52" ht="57.6" x14ac:dyDescent="0.25">
      <c r="A5" s="1585" t="s">
        <v>2140</v>
      </c>
      <c r="B5" s="1585" t="s">
        <v>2659</v>
      </c>
      <c r="C5" s="1585" t="s">
        <v>2660</v>
      </c>
      <c r="D5" s="1585" t="s">
        <v>2661</v>
      </c>
      <c r="E5" s="1585" t="s">
        <v>2138</v>
      </c>
      <c r="F5" s="1585" t="s">
        <v>2139</v>
      </c>
      <c r="G5" s="1585" t="s">
        <v>3505</v>
      </c>
      <c r="H5" s="1585" t="s">
        <v>3506</v>
      </c>
      <c r="I5" s="1585" t="s">
        <v>3507</v>
      </c>
      <c r="J5" s="1585" t="s">
        <v>2666</v>
      </c>
      <c r="K5" s="1585" t="s">
        <v>2667</v>
      </c>
      <c r="L5" s="1585" t="s">
        <v>2659</v>
      </c>
      <c r="M5" s="1585" t="s">
        <v>2668</v>
      </c>
      <c r="N5" s="1585" t="s">
        <v>2669</v>
      </c>
      <c r="O5" s="1585" t="s">
        <v>3508</v>
      </c>
      <c r="P5" s="1585" t="s">
        <v>2672</v>
      </c>
      <c r="Q5" s="1585" t="s">
        <v>1655</v>
      </c>
      <c r="R5" s="1585" t="s">
        <v>2659</v>
      </c>
      <c r="S5" s="1585">
        <v>-30</v>
      </c>
      <c r="T5" s="1585">
        <v>40</v>
      </c>
      <c r="U5" s="1585">
        <v>65</v>
      </c>
      <c r="V5" s="1585">
        <v>100</v>
      </c>
      <c r="W5" s="1585">
        <v>125</v>
      </c>
      <c r="X5" s="1585">
        <v>150</v>
      </c>
      <c r="Y5" s="1585">
        <v>175</v>
      </c>
      <c r="Z5" s="1585">
        <v>200</v>
      </c>
      <c r="AA5" s="1585">
        <v>225</v>
      </c>
      <c r="AB5" s="1585">
        <v>250</v>
      </c>
      <c r="AC5" s="1585">
        <v>275</v>
      </c>
      <c r="AD5" s="1585">
        <v>300</v>
      </c>
      <c r="AE5" s="1585">
        <v>325</v>
      </c>
      <c r="AF5" s="1585">
        <v>350</v>
      </c>
      <c r="AG5" s="1585">
        <v>375</v>
      </c>
      <c r="AH5" s="1585">
        <v>400</v>
      </c>
      <c r="AI5" s="1585">
        <v>425</v>
      </c>
      <c r="AJ5" s="1585">
        <v>450</v>
      </c>
      <c r="AK5" s="1585">
        <v>475</v>
      </c>
      <c r="AL5" s="1585"/>
      <c r="AM5" s="1585">
        <v>500</v>
      </c>
      <c r="AN5" s="1585">
        <v>525</v>
      </c>
      <c r="AO5" s="1585">
        <v>550</v>
      </c>
      <c r="AP5" s="1585">
        <v>575</v>
      </c>
      <c r="AQ5" s="1585">
        <v>600</v>
      </c>
      <c r="AR5" s="1585">
        <v>625</v>
      </c>
      <c r="AS5" s="1585">
        <v>650</v>
      </c>
      <c r="AT5" s="1585">
        <v>675</v>
      </c>
      <c r="AU5" s="1585">
        <v>700</v>
      </c>
      <c r="AV5" s="1585">
        <v>725</v>
      </c>
      <c r="AW5" s="1585">
        <v>750</v>
      </c>
      <c r="AX5" s="1585">
        <v>775</v>
      </c>
      <c r="AY5" s="1585">
        <v>800</v>
      </c>
      <c r="AZ5" s="1585">
        <v>825</v>
      </c>
    </row>
    <row r="6" spans="1:52" x14ac:dyDescent="0.25">
      <c r="A6" s="413" t="str">
        <f>CONCATENATE(E6," Gr.",F6)</f>
        <v>SA-675 Gr.45</v>
      </c>
      <c r="B6" s="415">
        <v>1</v>
      </c>
      <c r="C6" s="415" t="s">
        <v>2673</v>
      </c>
      <c r="D6" s="415" t="s">
        <v>3509</v>
      </c>
      <c r="E6" s="415" t="s">
        <v>2299</v>
      </c>
      <c r="F6" s="415">
        <v>45</v>
      </c>
      <c r="G6" s="415">
        <v>0</v>
      </c>
      <c r="H6" s="415">
        <v>0</v>
      </c>
      <c r="I6" s="415">
        <v>0</v>
      </c>
      <c r="J6" s="415">
        <v>1</v>
      </c>
      <c r="K6" s="415">
        <v>1</v>
      </c>
      <c r="L6" s="415">
        <v>1</v>
      </c>
      <c r="M6" s="415">
        <v>310</v>
      </c>
      <c r="N6" s="415">
        <v>155</v>
      </c>
      <c r="O6" s="415">
        <v>482</v>
      </c>
      <c r="P6" s="415" t="s">
        <v>2676</v>
      </c>
      <c r="Q6" s="415" t="s">
        <v>3510</v>
      </c>
      <c r="R6" s="415">
        <v>1</v>
      </c>
      <c r="S6" s="415">
        <v>103</v>
      </c>
      <c r="T6" s="416">
        <v>103</v>
      </c>
      <c r="U6" s="416">
        <v>97.3</v>
      </c>
      <c r="V6" s="416">
        <v>94.3</v>
      </c>
      <c r="W6" s="416">
        <v>92.8</v>
      </c>
      <c r="X6" s="416">
        <v>91.4</v>
      </c>
      <c r="Y6" s="416">
        <v>90.1</v>
      </c>
      <c r="Z6" s="416">
        <v>88.6</v>
      </c>
      <c r="AA6" s="416">
        <v>87</v>
      </c>
      <c r="AB6" s="416">
        <v>85.1</v>
      </c>
      <c r="AC6" s="416">
        <v>83</v>
      </c>
      <c r="AD6" s="416">
        <v>80.7</v>
      </c>
      <c r="AE6" s="416">
        <v>78.400000000000006</v>
      </c>
      <c r="AF6" s="416">
        <v>76</v>
      </c>
      <c r="AG6" s="416">
        <v>73.7</v>
      </c>
      <c r="AH6" s="416">
        <v>71.5</v>
      </c>
      <c r="AI6" s="416">
        <v>64</v>
      </c>
      <c r="AJ6" s="416">
        <v>55.8</v>
      </c>
      <c r="AK6" s="416">
        <v>43.9</v>
      </c>
      <c r="AL6" s="416">
        <v>1</v>
      </c>
      <c r="AM6" s="416">
        <v>31.7</v>
      </c>
      <c r="AN6" s="416">
        <v>0</v>
      </c>
      <c r="AO6" s="416">
        <v>0</v>
      </c>
      <c r="AP6" s="416">
        <v>0</v>
      </c>
      <c r="AQ6" s="416">
        <v>0</v>
      </c>
      <c r="AR6" s="416">
        <v>0</v>
      </c>
      <c r="AS6" s="416">
        <v>0</v>
      </c>
      <c r="AT6" s="416">
        <v>0</v>
      </c>
      <c r="AU6" s="416">
        <v>0</v>
      </c>
      <c r="AV6" s="416">
        <v>0</v>
      </c>
      <c r="AW6" s="416">
        <v>0</v>
      </c>
      <c r="AX6" s="416">
        <v>0</v>
      </c>
      <c r="AY6" s="416">
        <v>0</v>
      </c>
      <c r="AZ6" s="416">
        <v>0</v>
      </c>
    </row>
    <row r="7" spans="1:52" x14ac:dyDescent="0.25">
      <c r="A7" s="415" t="str">
        <f t="shared" ref="A7:A70" si="0">CONCATENATE(E7," Gr.",F7)</f>
        <v>SA-285 Gr.A</v>
      </c>
      <c r="B7" s="415">
        <v>2</v>
      </c>
      <c r="C7" s="415" t="s">
        <v>2673</v>
      </c>
      <c r="D7" s="415" t="s">
        <v>2684</v>
      </c>
      <c r="E7" s="415" t="s">
        <v>2205</v>
      </c>
      <c r="F7" s="415" t="s">
        <v>12</v>
      </c>
      <c r="G7" s="415" t="s">
        <v>2685</v>
      </c>
      <c r="H7" s="415">
        <v>0</v>
      </c>
      <c r="I7" s="415">
        <v>0</v>
      </c>
      <c r="J7" s="415">
        <v>1</v>
      </c>
      <c r="K7" s="415">
        <v>1</v>
      </c>
      <c r="L7" s="415">
        <v>2</v>
      </c>
      <c r="M7" s="415">
        <v>310</v>
      </c>
      <c r="N7" s="415">
        <v>165</v>
      </c>
      <c r="O7" s="415">
        <v>482</v>
      </c>
      <c r="P7" s="415" t="s">
        <v>2682</v>
      </c>
      <c r="Q7" s="415" t="s">
        <v>3511</v>
      </c>
      <c r="R7" s="415">
        <v>2</v>
      </c>
      <c r="S7" s="415">
        <v>110</v>
      </c>
      <c r="T7" s="416">
        <v>110</v>
      </c>
      <c r="U7" s="416">
        <v>104</v>
      </c>
      <c r="V7" s="416">
        <v>101</v>
      </c>
      <c r="W7" s="416">
        <v>98.9</v>
      </c>
      <c r="X7" s="416">
        <v>97.5</v>
      </c>
      <c r="Y7" s="416">
        <v>96.1</v>
      </c>
      <c r="Z7" s="416">
        <v>94.6</v>
      </c>
      <c r="AA7" s="416">
        <v>92.8</v>
      </c>
      <c r="AB7" s="416">
        <v>90.8</v>
      </c>
      <c r="AC7" s="416">
        <v>88.5</v>
      </c>
      <c r="AD7" s="416">
        <v>86.1</v>
      </c>
      <c r="AE7" s="416">
        <v>83.6</v>
      </c>
      <c r="AF7" s="416">
        <v>81.099999999999994</v>
      </c>
      <c r="AG7" s="416">
        <v>78.599999999999994</v>
      </c>
      <c r="AH7" s="416">
        <v>73.3</v>
      </c>
      <c r="AI7" s="416">
        <v>64</v>
      </c>
      <c r="AJ7" s="416">
        <v>55.8</v>
      </c>
      <c r="AK7" s="416">
        <v>43.9</v>
      </c>
      <c r="AL7" s="416">
        <v>2</v>
      </c>
      <c r="AM7" s="416">
        <v>31.7</v>
      </c>
      <c r="AN7" s="416">
        <v>0</v>
      </c>
      <c r="AO7" s="416">
        <v>0</v>
      </c>
      <c r="AP7" s="416">
        <v>0</v>
      </c>
      <c r="AQ7" s="416">
        <v>0</v>
      </c>
      <c r="AR7" s="416">
        <v>0</v>
      </c>
      <c r="AS7" s="416">
        <v>0</v>
      </c>
      <c r="AT7" s="416">
        <v>0</v>
      </c>
      <c r="AU7" s="416">
        <v>0</v>
      </c>
      <c r="AV7" s="416">
        <v>0</v>
      </c>
      <c r="AW7" s="416">
        <v>0</v>
      </c>
      <c r="AX7" s="416">
        <v>0</v>
      </c>
      <c r="AY7" s="416">
        <v>0</v>
      </c>
      <c r="AZ7" s="416">
        <v>0</v>
      </c>
    </row>
    <row r="8" spans="1:52" x14ac:dyDescent="0.25">
      <c r="A8" s="415" t="str">
        <f t="shared" si="0"/>
        <v>SA-106 Gr.A</v>
      </c>
      <c r="B8" s="415">
        <v>3</v>
      </c>
      <c r="C8" s="415" t="s">
        <v>2673</v>
      </c>
      <c r="D8" s="415" t="s">
        <v>2703</v>
      </c>
      <c r="E8" s="415" t="s">
        <v>2169</v>
      </c>
      <c r="F8" s="415" t="s">
        <v>12</v>
      </c>
      <c r="G8" s="415" t="s">
        <v>2705</v>
      </c>
      <c r="H8" s="415">
        <v>0</v>
      </c>
      <c r="I8" s="415">
        <v>0</v>
      </c>
      <c r="J8" s="415">
        <v>1</v>
      </c>
      <c r="K8" s="415">
        <v>1</v>
      </c>
      <c r="L8" s="415">
        <v>3</v>
      </c>
      <c r="M8" s="415">
        <v>330</v>
      </c>
      <c r="N8" s="415">
        <v>205</v>
      </c>
      <c r="O8" s="415">
        <v>538</v>
      </c>
      <c r="P8" s="415" t="s">
        <v>2699</v>
      </c>
      <c r="Q8" s="415" t="s">
        <v>3512</v>
      </c>
      <c r="R8" s="415">
        <v>3</v>
      </c>
      <c r="S8" s="415">
        <v>138</v>
      </c>
      <c r="T8" s="416">
        <v>138</v>
      </c>
      <c r="U8" s="416">
        <v>130</v>
      </c>
      <c r="V8" s="416">
        <v>126</v>
      </c>
      <c r="W8" s="416">
        <v>124</v>
      </c>
      <c r="X8" s="416">
        <v>122</v>
      </c>
      <c r="Y8" s="416">
        <v>120</v>
      </c>
      <c r="Z8" s="416">
        <v>118</v>
      </c>
      <c r="AA8" s="416">
        <v>116</v>
      </c>
      <c r="AB8" s="416">
        <v>113</v>
      </c>
      <c r="AC8" s="416">
        <v>111</v>
      </c>
      <c r="AD8" s="416">
        <v>108</v>
      </c>
      <c r="AE8" s="416">
        <v>105</v>
      </c>
      <c r="AF8" s="416">
        <v>100</v>
      </c>
      <c r="AG8" s="416">
        <v>99.1</v>
      </c>
      <c r="AH8" s="416">
        <v>73.3</v>
      </c>
      <c r="AI8" s="416">
        <v>64</v>
      </c>
      <c r="AJ8" s="416">
        <v>55.8</v>
      </c>
      <c r="AK8" s="416">
        <v>43.9</v>
      </c>
      <c r="AL8" s="416">
        <v>3</v>
      </c>
      <c r="AM8" s="416">
        <v>31.7</v>
      </c>
      <c r="AN8" s="416">
        <v>21.4</v>
      </c>
      <c r="AO8" s="416">
        <v>14.2</v>
      </c>
      <c r="AP8" s="416">
        <v>0</v>
      </c>
      <c r="AQ8" s="416">
        <v>0</v>
      </c>
      <c r="AR8" s="416">
        <v>0</v>
      </c>
      <c r="AS8" s="416">
        <v>0</v>
      </c>
      <c r="AT8" s="416">
        <v>0</v>
      </c>
      <c r="AU8" s="416">
        <v>0</v>
      </c>
      <c r="AV8" s="416">
        <v>0</v>
      </c>
      <c r="AW8" s="416">
        <v>0</v>
      </c>
      <c r="AX8" s="416">
        <v>0</v>
      </c>
      <c r="AY8" s="416">
        <v>0</v>
      </c>
      <c r="AZ8" s="416">
        <v>0</v>
      </c>
    </row>
    <row r="9" spans="1:52" x14ac:dyDescent="0.25">
      <c r="A9" s="415" t="str">
        <f t="shared" si="0"/>
        <v>SA-675 Gr.50</v>
      </c>
      <c r="B9" s="415">
        <v>4</v>
      </c>
      <c r="C9" s="415" t="s">
        <v>2673</v>
      </c>
      <c r="D9" s="415" t="s">
        <v>3509</v>
      </c>
      <c r="E9" s="415" t="s">
        <v>2299</v>
      </c>
      <c r="F9" s="415">
        <v>50</v>
      </c>
      <c r="G9" s="415">
        <v>0</v>
      </c>
      <c r="H9" s="415">
        <v>0</v>
      </c>
      <c r="I9" s="415">
        <v>0</v>
      </c>
      <c r="J9" s="415">
        <v>1</v>
      </c>
      <c r="K9" s="415">
        <v>1</v>
      </c>
      <c r="L9" s="415">
        <v>4</v>
      </c>
      <c r="M9" s="415">
        <v>345</v>
      </c>
      <c r="N9" s="415">
        <v>170</v>
      </c>
      <c r="O9" s="415">
        <v>482</v>
      </c>
      <c r="P9" s="415" t="s">
        <v>2682</v>
      </c>
      <c r="Q9" s="415" t="s">
        <v>3511</v>
      </c>
      <c r="R9" s="415">
        <v>4</v>
      </c>
      <c r="S9" s="415">
        <v>115</v>
      </c>
      <c r="T9" s="416">
        <v>115</v>
      </c>
      <c r="U9" s="416">
        <v>108</v>
      </c>
      <c r="V9" s="416">
        <v>105</v>
      </c>
      <c r="W9" s="416">
        <v>103</v>
      </c>
      <c r="X9" s="416">
        <v>102</v>
      </c>
      <c r="Y9" s="416">
        <v>100</v>
      </c>
      <c r="Z9" s="416">
        <v>98.5</v>
      </c>
      <c r="AA9" s="416">
        <v>96.6</v>
      </c>
      <c r="AB9" s="416">
        <v>94.5</v>
      </c>
      <c r="AC9" s="416">
        <v>92.2</v>
      </c>
      <c r="AD9" s="416">
        <v>89.7</v>
      </c>
      <c r="AE9" s="416">
        <v>87.1</v>
      </c>
      <c r="AF9" s="416">
        <v>84.5</v>
      </c>
      <c r="AG9" s="416">
        <v>81.900000000000006</v>
      </c>
      <c r="AH9" s="416">
        <v>73.3</v>
      </c>
      <c r="AI9" s="416">
        <v>64</v>
      </c>
      <c r="AJ9" s="416">
        <v>55.8</v>
      </c>
      <c r="AK9" s="416">
        <v>43.9</v>
      </c>
      <c r="AL9" s="416">
        <v>4</v>
      </c>
      <c r="AM9" s="416">
        <v>31.7</v>
      </c>
      <c r="AN9" s="416">
        <v>0</v>
      </c>
      <c r="AO9" s="416">
        <v>0</v>
      </c>
      <c r="AP9" s="416">
        <v>0</v>
      </c>
      <c r="AQ9" s="416">
        <v>0</v>
      </c>
      <c r="AR9" s="416">
        <v>0</v>
      </c>
      <c r="AS9" s="416">
        <v>0</v>
      </c>
      <c r="AT9" s="416">
        <v>0</v>
      </c>
      <c r="AU9" s="416">
        <v>0</v>
      </c>
      <c r="AV9" s="416">
        <v>0</v>
      </c>
      <c r="AW9" s="416">
        <v>0</v>
      </c>
      <c r="AX9" s="416">
        <v>0</v>
      </c>
      <c r="AY9" s="416">
        <v>0</v>
      </c>
      <c r="AZ9" s="416">
        <v>0</v>
      </c>
    </row>
    <row r="10" spans="1:52" x14ac:dyDescent="0.25">
      <c r="A10" s="415" t="str">
        <f t="shared" si="0"/>
        <v>SA-283 Gr.B</v>
      </c>
      <c r="B10" s="415">
        <v>5</v>
      </c>
      <c r="C10" s="415" t="s">
        <v>2673</v>
      </c>
      <c r="D10" s="415" t="s">
        <v>2684</v>
      </c>
      <c r="E10" s="415" t="s">
        <v>2204</v>
      </c>
      <c r="F10" s="415" t="s">
        <v>1864</v>
      </c>
      <c r="G10" s="415">
        <v>0</v>
      </c>
      <c r="H10" s="415">
        <v>0</v>
      </c>
      <c r="I10" s="415">
        <v>0</v>
      </c>
      <c r="J10" s="415">
        <v>1</v>
      </c>
      <c r="K10" s="415">
        <v>1</v>
      </c>
      <c r="L10" s="415">
        <v>5</v>
      </c>
      <c r="M10" s="415">
        <v>345</v>
      </c>
      <c r="N10" s="415">
        <v>185</v>
      </c>
      <c r="O10" s="415">
        <v>343</v>
      </c>
      <c r="P10" s="415" t="s">
        <v>2682</v>
      </c>
      <c r="Q10" s="415" t="s">
        <v>2543</v>
      </c>
      <c r="R10" s="415">
        <v>5</v>
      </c>
      <c r="S10" s="415">
        <v>124</v>
      </c>
      <c r="T10" s="416">
        <v>124</v>
      </c>
      <c r="U10" s="416">
        <v>117</v>
      </c>
      <c r="V10" s="416">
        <v>113</v>
      </c>
      <c r="W10" s="416">
        <v>111</v>
      </c>
      <c r="X10" s="416">
        <v>110</v>
      </c>
      <c r="Y10" s="416">
        <v>108</v>
      </c>
      <c r="Z10" s="416">
        <v>106</v>
      </c>
      <c r="AA10" s="416">
        <v>104</v>
      </c>
      <c r="AB10" s="416">
        <v>102</v>
      </c>
      <c r="AC10" s="416">
        <v>99.6</v>
      </c>
      <c r="AD10" s="416">
        <v>96.9</v>
      </c>
      <c r="AE10" s="416">
        <v>94.1</v>
      </c>
      <c r="AF10" s="416">
        <v>91.2</v>
      </c>
      <c r="AG10" s="416">
        <v>89.4</v>
      </c>
      <c r="AH10" s="416">
        <v>0</v>
      </c>
      <c r="AI10" s="416">
        <v>0</v>
      </c>
      <c r="AJ10" s="416">
        <v>0</v>
      </c>
      <c r="AK10" s="416">
        <v>0</v>
      </c>
      <c r="AL10" s="416">
        <v>5</v>
      </c>
      <c r="AM10" s="416">
        <v>0</v>
      </c>
      <c r="AN10" s="416">
        <v>0</v>
      </c>
      <c r="AO10" s="416">
        <v>0</v>
      </c>
      <c r="AP10" s="416">
        <v>0</v>
      </c>
      <c r="AQ10" s="416">
        <v>0</v>
      </c>
      <c r="AR10" s="416">
        <v>0</v>
      </c>
      <c r="AS10" s="416">
        <v>0</v>
      </c>
      <c r="AT10" s="416">
        <v>0</v>
      </c>
      <c r="AU10" s="416">
        <v>0</v>
      </c>
      <c r="AV10" s="416">
        <v>0</v>
      </c>
      <c r="AW10" s="416">
        <v>0</v>
      </c>
      <c r="AX10" s="416">
        <v>0</v>
      </c>
      <c r="AY10" s="416">
        <v>0</v>
      </c>
      <c r="AZ10" s="416">
        <v>0</v>
      </c>
    </row>
    <row r="11" spans="1:52" x14ac:dyDescent="0.25">
      <c r="A11" s="415" t="str">
        <f t="shared" si="0"/>
        <v>SA-285 Gr.B</v>
      </c>
      <c r="B11" s="415">
        <v>6</v>
      </c>
      <c r="C11" s="415" t="s">
        <v>2673</v>
      </c>
      <c r="D11" s="415" t="s">
        <v>2684</v>
      </c>
      <c r="E11" s="415" t="s">
        <v>2205</v>
      </c>
      <c r="F11" s="415" t="s">
        <v>1864</v>
      </c>
      <c r="G11" s="415" t="s">
        <v>2710</v>
      </c>
      <c r="H11" s="415">
        <v>0</v>
      </c>
      <c r="I11" s="415" t="s">
        <v>3513</v>
      </c>
      <c r="J11" s="415">
        <v>1</v>
      </c>
      <c r="K11" s="415">
        <v>1</v>
      </c>
      <c r="L11" s="415">
        <v>6</v>
      </c>
      <c r="M11" s="415">
        <v>345</v>
      </c>
      <c r="N11" s="415">
        <v>185</v>
      </c>
      <c r="O11" s="415">
        <v>482</v>
      </c>
      <c r="P11" s="415" t="s">
        <v>2682</v>
      </c>
      <c r="Q11" s="415" t="s">
        <v>3514</v>
      </c>
      <c r="R11" s="415">
        <v>6</v>
      </c>
      <c r="S11" s="415">
        <v>124</v>
      </c>
      <c r="T11" s="416">
        <v>124</v>
      </c>
      <c r="U11" s="416">
        <v>117</v>
      </c>
      <c r="V11" s="416">
        <v>113</v>
      </c>
      <c r="W11" s="416">
        <v>111</v>
      </c>
      <c r="X11" s="416">
        <v>110</v>
      </c>
      <c r="Y11" s="416">
        <v>108</v>
      </c>
      <c r="Z11" s="416">
        <v>106</v>
      </c>
      <c r="AA11" s="416">
        <v>104</v>
      </c>
      <c r="AB11" s="416">
        <v>102</v>
      </c>
      <c r="AC11" s="416">
        <v>99.6</v>
      </c>
      <c r="AD11" s="416">
        <v>96.9</v>
      </c>
      <c r="AE11" s="416">
        <v>94.1</v>
      </c>
      <c r="AF11" s="416">
        <v>91.2</v>
      </c>
      <c r="AG11" s="416">
        <v>89.4</v>
      </c>
      <c r="AH11" s="416">
        <v>73.3</v>
      </c>
      <c r="AI11" s="416">
        <v>64</v>
      </c>
      <c r="AJ11" s="416">
        <v>55.8</v>
      </c>
      <c r="AK11" s="416">
        <v>43.9</v>
      </c>
      <c r="AL11" s="416">
        <v>6</v>
      </c>
      <c r="AM11" s="416">
        <v>31.7</v>
      </c>
      <c r="AN11" s="416">
        <v>0</v>
      </c>
      <c r="AO11" s="416">
        <v>0</v>
      </c>
      <c r="AP11" s="416">
        <v>0</v>
      </c>
      <c r="AQ11" s="416">
        <v>0</v>
      </c>
      <c r="AR11" s="416">
        <v>0</v>
      </c>
      <c r="AS11" s="416">
        <v>0</v>
      </c>
      <c r="AT11" s="416">
        <v>0</v>
      </c>
      <c r="AU11" s="416">
        <v>0</v>
      </c>
      <c r="AV11" s="416">
        <v>0</v>
      </c>
      <c r="AW11" s="416">
        <v>0</v>
      </c>
      <c r="AX11" s="416">
        <v>0</v>
      </c>
      <c r="AY11" s="416">
        <v>0</v>
      </c>
      <c r="AZ11" s="416">
        <v>0</v>
      </c>
    </row>
    <row r="12" spans="1:52" x14ac:dyDescent="0.25">
      <c r="A12" s="415" t="str">
        <f t="shared" si="0"/>
        <v>SA-675 Gr.55</v>
      </c>
      <c r="B12" s="415">
        <v>7</v>
      </c>
      <c r="C12" s="415" t="s">
        <v>2673</v>
      </c>
      <c r="D12" s="415" t="s">
        <v>3509</v>
      </c>
      <c r="E12" s="415" t="s">
        <v>2299</v>
      </c>
      <c r="F12" s="415">
        <v>55</v>
      </c>
      <c r="G12" s="415">
        <v>0</v>
      </c>
      <c r="H12" s="415">
        <v>0</v>
      </c>
      <c r="I12" s="415">
        <v>0</v>
      </c>
      <c r="J12" s="415">
        <v>1</v>
      </c>
      <c r="K12" s="415">
        <v>1</v>
      </c>
      <c r="L12" s="415">
        <v>7</v>
      </c>
      <c r="M12" s="415">
        <v>380</v>
      </c>
      <c r="N12" s="415">
        <v>190</v>
      </c>
      <c r="O12" s="415">
        <v>482</v>
      </c>
      <c r="P12" s="415" t="s">
        <v>2682</v>
      </c>
      <c r="Q12" s="415" t="s">
        <v>3510</v>
      </c>
      <c r="R12" s="415">
        <v>7</v>
      </c>
      <c r="S12" s="415">
        <v>126</v>
      </c>
      <c r="T12" s="416">
        <v>126</v>
      </c>
      <c r="U12" s="416">
        <v>119</v>
      </c>
      <c r="V12" s="416">
        <v>115</v>
      </c>
      <c r="W12" s="416">
        <v>113</v>
      </c>
      <c r="X12" s="416">
        <v>112</v>
      </c>
      <c r="Y12" s="416">
        <v>110</v>
      </c>
      <c r="Z12" s="416">
        <v>108</v>
      </c>
      <c r="AA12" s="416">
        <v>106</v>
      </c>
      <c r="AB12" s="416">
        <v>104</v>
      </c>
      <c r="AC12" s="416">
        <v>101</v>
      </c>
      <c r="AD12" s="416">
        <v>98.7</v>
      </c>
      <c r="AE12" s="416">
        <v>95.8</v>
      </c>
      <c r="AF12" s="416">
        <v>92.9</v>
      </c>
      <c r="AG12" s="416">
        <v>90.1</v>
      </c>
      <c r="AH12" s="416">
        <v>87.4</v>
      </c>
      <c r="AI12" s="416">
        <v>75.3</v>
      </c>
      <c r="AJ12" s="416">
        <v>62.1</v>
      </c>
      <c r="AK12" s="416">
        <v>45</v>
      </c>
      <c r="AL12" s="416">
        <v>7</v>
      </c>
      <c r="AM12" s="416">
        <v>31.7</v>
      </c>
      <c r="AN12" s="416">
        <v>0</v>
      </c>
      <c r="AO12" s="416">
        <v>0</v>
      </c>
      <c r="AP12" s="416">
        <v>0</v>
      </c>
      <c r="AQ12" s="416">
        <v>0</v>
      </c>
      <c r="AR12" s="416">
        <v>0</v>
      </c>
      <c r="AS12" s="416">
        <v>0</v>
      </c>
      <c r="AT12" s="416">
        <v>0</v>
      </c>
      <c r="AU12" s="416">
        <v>0</v>
      </c>
      <c r="AV12" s="416">
        <v>0</v>
      </c>
      <c r="AW12" s="416">
        <v>0</v>
      </c>
      <c r="AX12" s="416">
        <v>0</v>
      </c>
      <c r="AY12" s="416">
        <v>0</v>
      </c>
      <c r="AZ12" s="416">
        <v>0</v>
      </c>
    </row>
    <row r="13" spans="1:52" x14ac:dyDescent="0.25">
      <c r="A13" s="415" t="str">
        <f t="shared" si="0"/>
        <v>SA-285 Gr.C</v>
      </c>
      <c r="B13" s="415">
        <v>8</v>
      </c>
      <c r="C13" s="415" t="s">
        <v>2673</v>
      </c>
      <c r="D13" s="415" t="s">
        <v>2684</v>
      </c>
      <c r="E13" s="415" t="s">
        <v>2205</v>
      </c>
      <c r="F13" s="415" t="s">
        <v>2348</v>
      </c>
      <c r="G13" s="415" t="s">
        <v>2719</v>
      </c>
      <c r="H13" s="415">
        <v>0</v>
      </c>
      <c r="I13" s="415" t="s">
        <v>3513</v>
      </c>
      <c r="J13" s="415">
        <v>1</v>
      </c>
      <c r="K13" s="415">
        <v>1</v>
      </c>
      <c r="L13" s="415">
        <v>8</v>
      </c>
      <c r="M13" s="415">
        <v>380</v>
      </c>
      <c r="N13" s="415">
        <v>205</v>
      </c>
      <c r="O13" s="415">
        <v>538</v>
      </c>
      <c r="P13" s="415" t="s">
        <v>2699</v>
      </c>
      <c r="Q13" s="415" t="s">
        <v>3511</v>
      </c>
      <c r="R13" s="415">
        <v>8</v>
      </c>
      <c r="S13" s="415">
        <v>138</v>
      </c>
      <c r="T13" s="416">
        <v>138</v>
      </c>
      <c r="U13" s="416">
        <v>130</v>
      </c>
      <c r="V13" s="416">
        <v>126</v>
      </c>
      <c r="W13" s="416">
        <v>124</v>
      </c>
      <c r="X13" s="416">
        <v>122</v>
      </c>
      <c r="Y13" s="416">
        <v>120</v>
      </c>
      <c r="Z13" s="416">
        <v>118</v>
      </c>
      <c r="AA13" s="416">
        <v>116</v>
      </c>
      <c r="AB13" s="416">
        <v>113</v>
      </c>
      <c r="AC13" s="416">
        <v>111</v>
      </c>
      <c r="AD13" s="416">
        <v>108</v>
      </c>
      <c r="AE13" s="416">
        <v>105</v>
      </c>
      <c r="AF13" s="416">
        <v>101</v>
      </c>
      <c r="AG13" s="416">
        <v>98.3</v>
      </c>
      <c r="AH13" s="416">
        <v>89</v>
      </c>
      <c r="AI13" s="416">
        <v>75.3</v>
      </c>
      <c r="AJ13" s="416">
        <v>62.1</v>
      </c>
      <c r="AK13" s="416">
        <v>45</v>
      </c>
      <c r="AL13" s="416">
        <v>8</v>
      </c>
      <c r="AM13" s="416">
        <v>31.7</v>
      </c>
      <c r="AN13" s="416">
        <v>21.4</v>
      </c>
      <c r="AO13" s="416">
        <v>14.2</v>
      </c>
      <c r="AP13" s="416">
        <v>0</v>
      </c>
      <c r="AQ13" s="416">
        <v>0</v>
      </c>
      <c r="AR13" s="416">
        <v>0</v>
      </c>
      <c r="AS13" s="416">
        <v>0</v>
      </c>
      <c r="AT13" s="416">
        <v>0</v>
      </c>
      <c r="AU13" s="416">
        <v>0</v>
      </c>
      <c r="AV13" s="416">
        <v>0</v>
      </c>
      <c r="AW13" s="416">
        <v>0</v>
      </c>
      <c r="AX13" s="416">
        <v>0</v>
      </c>
      <c r="AY13" s="416">
        <v>0</v>
      </c>
      <c r="AZ13" s="416">
        <v>0</v>
      </c>
    </row>
    <row r="14" spans="1:52" x14ac:dyDescent="0.25">
      <c r="A14" s="415" t="str">
        <f t="shared" si="0"/>
        <v>SA-333 Gr.1</v>
      </c>
      <c r="B14" s="415">
        <v>9</v>
      </c>
      <c r="C14" s="415" t="s">
        <v>2673</v>
      </c>
      <c r="D14" s="415" t="s">
        <v>2703</v>
      </c>
      <c r="E14" s="415" t="s">
        <v>2172</v>
      </c>
      <c r="F14" s="415">
        <v>1</v>
      </c>
      <c r="G14" s="415" t="s">
        <v>2721</v>
      </c>
      <c r="H14" s="415">
        <v>0</v>
      </c>
      <c r="I14" s="415">
        <v>0</v>
      </c>
      <c r="J14" s="415">
        <v>1</v>
      </c>
      <c r="K14" s="415">
        <v>1</v>
      </c>
      <c r="L14" s="415">
        <v>9</v>
      </c>
      <c r="M14" s="415">
        <v>380</v>
      </c>
      <c r="N14" s="415">
        <v>205</v>
      </c>
      <c r="O14" s="415">
        <v>538</v>
      </c>
      <c r="P14" s="415" t="s">
        <v>2699</v>
      </c>
      <c r="Q14" s="415" t="s">
        <v>2548</v>
      </c>
      <c r="R14" s="415">
        <v>9</v>
      </c>
      <c r="S14" s="415">
        <v>138</v>
      </c>
      <c r="T14" s="416">
        <v>138</v>
      </c>
      <c r="U14" s="416">
        <v>130</v>
      </c>
      <c r="V14" s="416">
        <v>126</v>
      </c>
      <c r="W14" s="416">
        <v>124</v>
      </c>
      <c r="X14" s="416">
        <v>122</v>
      </c>
      <c r="Y14" s="416">
        <v>120</v>
      </c>
      <c r="Z14" s="416">
        <v>118</v>
      </c>
      <c r="AA14" s="416">
        <v>116</v>
      </c>
      <c r="AB14" s="416">
        <v>113</v>
      </c>
      <c r="AC14" s="416">
        <v>111</v>
      </c>
      <c r="AD14" s="416">
        <v>108</v>
      </c>
      <c r="AE14" s="416">
        <v>105</v>
      </c>
      <c r="AF14" s="416">
        <v>101</v>
      </c>
      <c r="AG14" s="416">
        <v>98.3</v>
      </c>
      <c r="AH14" s="416">
        <v>95.1</v>
      </c>
      <c r="AI14" s="416">
        <v>79.5</v>
      </c>
      <c r="AJ14" s="416">
        <v>62.6</v>
      </c>
      <c r="AK14" s="416">
        <v>45</v>
      </c>
      <c r="AL14" s="416">
        <v>9</v>
      </c>
      <c r="AM14" s="416">
        <v>31.7</v>
      </c>
      <c r="AN14" s="416">
        <v>21.4</v>
      </c>
      <c r="AO14" s="416">
        <v>14.2</v>
      </c>
      <c r="AP14" s="416">
        <v>0</v>
      </c>
      <c r="AQ14" s="416">
        <v>0</v>
      </c>
      <c r="AR14" s="416">
        <v>0</v>
      </c>
      <c r="AS14" s="416">
        <v>0</v>
      </c>
      <c r="AT14" s="416">
        <v>0</v>
      </c>
      <c r="AU14" s="416">
        <v>0</v>
      </c>
      <c r="AV14" s="416">
        <v>0</v>
      </c>
      <c r="AW14" s="416">
        <v>0</v>
      </c>
      <c r="AX14" s="416">
        <v>0</v>
      </c>
      <c r="AY14" s="416">
        <v>0</v>
      </c>
      <c r="AZ14" s="416">
        <v>0</v>
      </c>
    </row>
    <row r="15" spans="1:52" x14ac:dyDescent="0.25">
      <c r="A15" s="415" t="str">
        <f t="shared" si="0"/>
        <v>SA-334 Gr.1</v>
      </c>
      <c r="B15" s="415">
        <v>10</v>
      </c>
      <c r="C15" s="415" t="s">
        <v>2673</v>
      </c>
      <c r="D15" s="415" t="s">
        <v>2693</v>
      </c>
      <c r="E15" s="415" t="s">
        <v>2209</v>
      </c>
      <c r="F15" s="415">
        <v>1</v>
      </c>
      <c r="G15" s="415" t="s">
        <v>2721</v>
      </c>
      <c r="H15" s="415">
        <v>0</v>
      </c>
      <c r="I15" s="415">
        <v>0</v>
      </c>
      <c r="J15" s="415">
        <v>1</v>
      </c>
      <c r="K15" s="415">
        <v>1</v>
      </c>
      <c r="L15" s="415">
        <v>10</v>
      </c>
      <c r="M15" s="415">
        <v>380</v>
      </c>
      <c r="N15" s="415">
        <v>205</v>
      </c>
      <c r="O15" s="415">
        <v>371</v>
      </c>
      <c r="P15" s="415" t="s">
        <v>2699</v>
      </c>
      <c r="Q15" s="415">
        <v>0</v>
      </c>
      <c r="R15" s="415">
        <v>10</v>
      </c>
      <c r="S15" s="415">
        <v>138</v>
      </c>
      <c r="T15" s="416">
        <v>138</v>
      </c>
      <c r="U15" s="416">
        <v>130</v>
      </c>
      <c r="V15" s="416">
        <v>126</v>
      </c>
      <c r="W15" s="416">
        <v>124</v>
      </c>
      <c r="X15" s="416">
        <v>122</v>
      </c>
      <c r="Y15" s="416">
        <v>120</v>
      </c>
      <c r="Z15" s="416">
        <v>118</v>
      </c>
      <c r="AA15" s="416">
        <v>116</v>
      </c>
      <c r="AB15" s="416">
        <v>113</v>
      </c>
      <c r="AC15" s="416">
        <v>111</v>
      </c>
      <c r="AD15" s="416">
        <v>108</v>
      </c>
      <c r="AE15" s="416">
        <v>105</v>
      </c>
      <c r="AF15" s="416">
        <v>101</v>
      </c>
      <c r="AG15" s="416">
        <v>98.3</v>
      </c>
      <c r="AH15" s="416">
        <v>0</v>
      </c>
      <c r="AI15" s="416">
        <v>0</v>
      </c>
      <c r="AJ15" s="416">
        <v>0</v>
      </c>
      <c r="AK15" s="416">
        <v>0</v>
      </c>
      <c r="AL15" s="416">
        <v>10</v>
      </c>
      <c r="AM15" s="416">
        <v>0</v>
      </c>
      <c r="AN15" s="416">
        <v>0</v>
      </c>
      <c r="AO15" s="416">
        <v>0</v>
      </c>
      <c r="AP15" s="416">
        <v>0</v>
      </c>
      <c r="AQ15" s="416">
        <v>0</v>
      </c>
      <c r="AR15" s="416">
        <v>0</v>
      </c>
      <c r="AS15" s="416">
        <v>0</v>
      </c>
      <c r="AT15" s="416">
        <v>0</v>
      </c>
      <c r="AU15" s="416">
        <v>0</v>
      </c>
      <c r="AV15" s="416">
        <v>0</v>
      </c>
      <c r="AW15" s="416">
        <v>0</v>
      </c>
      <c r="AX15" s="416">
        <v>0</v>
      </c>
      <c r="AY15" s="416">
        <v>0</v>
      </c>
      <c r="AZ15" s="416">
        <v>0</v>
      </c>
    </row>
    <row r="16" spans="1:52" x14ac:dyDescent="0.25">
      <c r="A16" s="415" t="str">
        <f t="shared" si="0"/>
        <v>SA-516 Gr.55</v>
      </c>
      <c r="B16" s="415">
        <v>11</v>
      </c>
      <c r="C16" s="415" t="s">
        <v>2673</v>
      </c>
      <c r="D16" s="415" t="s">
        <v>2684</v>
      </c>
      <c r="E16" s="415" t="s">
        <v>2151</v>
      </c>
      <c r="F16" s="415">
        <v>55</v>
      </c>
      <c r="G16" s="415" t="s">
        <v>2725</v>
      </c>
      <c r="H16" s="415">
        <v>0</v>
      </c>
      <c r="I16" s="415">
        <v>0</v>
      </c>
      <c r="J16" s="415">
        <v>1</v>
      </c>
      <c r="K16" s="415">
        <v>1</v>
      </c>
      <c r="L16" s="415">
        <v>11</v>
      </c>
      <c r="M16" s="415">
        <v>380</v>
      </c>
      <c r="N16" s="415">
        <v>205</v>
      </c>
      <c r="O16" s="415">
        <v>538</v>
      </c>
      <c r="P16" s="415" t="s">
        <v>2699</v>
      </c>
      <c r="Q16" s="415" t="s">
        <v>3511</v>
      </c>
      <c r="R16" s="415">
        <v>11</v>
      </c>
      <c r="S16" s="415">
        <v>138</v>
      </c>
      <c r="T16" s="416">
        <v>138</v>
      </c>
      <c r="U16" s="416">
        <v>130</v>
      </c>
      <c r="V16" s="416">
        <v>126</v>
      </c>
      <c r="W16" s="416">
        <v>124</v>
      </c>
      <c r="X16" s="416">
        <v>122</v>
      </c>
      <c r="Y16" s="416">
        <v>120</v>
      </c>
      <c r="Z16" s="416">
        <v>118</v>
      </c>
      <c r="AA16" s="416">
        <v>116</v>
      </c>
      <c r="AB16" s="416">
        <v>113</v>
      </c>
      <c r="AC16" s="416">
        <v>111</v>
      </c>
      <c r="AD16" s="416">
        <v>108</v>
      </c>
      <c r="AE16" s="416">
        <v>105</v>
      </c>
      <c r="AF16" s="416">
        <v>101</v>
      </c>
      <c r="AG16" s="416">
        <v>98.3</v>
      </c>
      <c r="AH16" s="416">
        <v>89</v>
      </c>
      <c r="AI16" s="416">
        <v>75.3</v>
      </c>
      <c r="AJ16" s="416">
        <v>62.1</v>
      </c>
      <c r="AK16" s="416">
        <v>45</v>
      </c>
      <c r="AL16" s="416">
        <v>11</v>
      </c>
      <c r="AM16" s="416">
        <v>31.7</v>
      </c>
      <c r="AN16" s="416">
        <v>21.4</v>
      </c>
      <c r="AO16" s="416">
        <v>14.2</v>
      </c>
      <c r="AP16" s="416">
        <v>0</v>
      </c>
      <c r="AQ16" s="416">
        <v>0</v>
      </c>
      <c r="AR16" s="416">
        <v>0</v>
      </c>
      <c r="AS16" s="416">
        <v>0</v>
      </c>
      <c r="AT16" s="416">
        <v>0</v>
      </c>
      <c r="AU16" s="416">
        <v>0</v>
      </c>
      <c r="AV16" s="416">
        <v>0</v>
      </c>
      <c r="AW16" s="416">
        <v>0</v>
      </c>
      <c r="AX16" s="416">
        <v>0</v>
      </c>
      <c r="AY16" s="416">
        <v>0</v>
      </c>
      <c r="AZ16" s="416">
        <v>0</v>
      </c>
    </row>
    <row r="17" spans="1:52" x14ac:dyDescent="0.25">
      <c r="A17" s="415" t="str">
        <f t="shared" si="0"/>
        <v>SA-524 Gr.II</v>
      </c>
      <c r="B17" s="415">
        <v>12</v>
      </c>
      <c r="C17" s="415" t="s">
        <v>2673</v>
      </c>
      <c r="D17" s="415" t="s">
        <v>2703</v>
      </c>
      <c r="E17" s="415" t="s">
        <v>2258</v>
      </c>
      <c r="F17" s="415" t="s">
        <v>2484</v>
      </c>
      <c r="G17" s="415" t="s">
        <v>2726</v>
      </c>
      <c r="H17" s="415">
        <v>0</v>
      </c>
      <c r="I17" s="415">
        <v>0</v>
      </c>
      <c r="J17" s="415">
        <v>1</v>
      </c>
      <c r="K17" s="415">
        <v>1</v>
      </c>
      <c r="L17" s="415">
        <v>12</v>
      </c>
      <c r="M17" s="415">
        <v>380</v>
      </c>
      <c r="N17" s="415">
        <v>205</v>
      </c>
      <c r="O17" s="415">
        <v>538</v>
      </c>
      <c r="P17" s="415" t="s">
        <v>2699</v>
      </c>
      <c r="Q17" s="415" t="s">
        <v>3511</v>
      </c>
      <c r="R17" s="415">
        <v>12</v>
      </c>
      <c r="S17" s="415">
        <v>138</v>
      </c>
      <c r="T17" s="416">
        <v>138</v>
      </c>
      <c r="U17" s="416">
        <v>130</v>
      </c>
      <c r="V17" s="416">
        <v>126</v>
      </c>
      <c r="W17" s="416">
        <v>124</v>
      </c>
      <c r="X17" s="416">
        <v>122</v>
      </c>
      <c r="Y17" s="416">
        <v>120</v>
      </c>
      <c r="Z17" s="416">
        <v>118</v>
      </c>
      <c r="AA17" s="416">
        <v>116</v>
      </c>
      <c r="AB17" s="416">
        <v>113</v>
      </c>
      <c r="AC17" s="416">
        <v>111</v>
      </c>
      <c r="AD17" s="416">
        <v>108</v>
      </c>
      <c r="AE17" s="416">
        <v>105</v>
      </c>
      <c r="AF17" s="416">
        <v>101</v>
      </c>
      <c r="AG17" s="416">
        <v>98.3</v>
      </c>
      <c r="AH17" s="416">
        <v>89</v>
      </c>
      <c r="AI17" s="416">
        <v>75.3</v>
      </c>
      <c r="AJ17" s="416">
        <v>62.1</v>
      </c>
      <c r="AK17" s="416">
        <v>45</v>
      </c>
      <c r="AL17" s="416">
        <v>12</v>
      </c>
      <c r="AM17" s="416">
        <v>31.7</v>
      </c>
      <c r="AN17" s="416">
        <v>21.4</v>
      </c>
      <c r="AO17" s="416">
        <v>14.2</v>
      </c>
      <c r="AP17" s="416">
        <v>0</v>
      </c>
      <c r="AQ17" s="416">
        <v>0</v>
      </c>
      <c r="AR17" s="416">
        <v>0</v>
      </c>
      <c r="AS17" s="416">
        <v>0</v>
      </c>
      <c r="AT17" s="416">
        <v>0</v>
      </c>
      <c r="AU17" s="416">
        <v>0</v>
      </c>
      <c r="AV17" s="416">
        <v>0</v>
      </c>
      <c r="AW17" s="416">
        <v>0</v>
      </c>
      <c r="AX17" s="416">
        <v>0</v>
      </c>
      <c r="AY17" s="416">
        <v>0</v>
      </c>
      <c r="AZ17" s="416">
        <v>0</v>
      </c>
    </row>
    <row r="18" spans="1:52" x14ac:dyDescent="0.25">
      <c r="A18" s="415" t="str">
        <f t="shared" si="0"/>
        <v>SA-36 Gr.0</v>
      </c>
      <c r="B18" s="415">
        <v>13</v>
      </c>
      <c r="C18" s="415" t="s">
        <v>2673</v>
      </c>
      <c r="D18" s="415" t="s">
        <v>3515</v>
      </c>
      <c r="E18" s="415" t="s">
        <v>2219</v>
      </c>
      <c r="F18" s="415">
        <v>0</v>
      </c>
      <c r="G18" s="415" t="s">
        <v>2731</v>
      </c>
      <c r="H18" s="415">
        <v>0</v>
      </c>
      <c r="I18" s="415">
        <v>0</v>
      </c>
      <c r="J18" s="415">
        <v>1</v>
      </c>
      <c r="K18" s="415">
        <v>1</v>
      </c>
      <c r="L18" s="415">
        <v>13</v>
      </c>
      <c r="M18" s="415">
        <v>400</v>
      </c>
      <c r="N18" s="415">
        <v>250</v>
      </c>
      <c r="O18" s="415">
        <v>371</v>
      </c>
      <c r="P18" s="415" t="s">
        <v>2699</v>
      </c>
      <c r="Q18" s="415" t="s">
        <v>3516</v>
      </c>
      <c r="R18" s="415">
        <v>13</v>
      </c>
      <c r="S18" s="415">
        <v>165</v>
      </c>
      <c r="T18" s="416">
        <v>165</v>
      </c>
      <c r="U18" s="416">
        <v>156</v>
      </c>
      <c r="V18" s="416">
        <v>151</v>
      </c>
      <c r="W18" s="416">
        <v>148</v>
      </c>
      <c r="X18" s="416">
        <v>146</v>
      </c>
      <c r="Y18" s="416">
        <v>144</v>
      </c>
      <c r="Z18" s="416">
        <v>142</v>
      </c>
      <c r="AA18" s="416">
        <v>139</v>
      </c>
      <c r="AB18" s="416">
        <v>136</v>
      </c>
      <c r="AC18" s="416">
        <v>133</v>
      </c>
      <c r="AD18" s="416">
        <v>129</v>
      </c>
      <c r="AE18" s="416">
        <v>125</v>
      </c>
      <c r="AF18" s="416">
        <v>122</v>
      </c>
      <c r="AG18" s="416">
        <v>119</v>
      </c>
      <c r="AH18" s="416">
        <v>0</v>
      </c>
      <c r="AI18" s="416">
        <v>0</v>
      </c>
      <c r="AJ18" s="416">
        <v>0</v>
      </c>
      <c r="AK18" s="416">
        <v>0</v>
      </c>
      <c r="AL18" s="416">
        <v>13</v>
      </c>
      <c r="AM18" s="416">
        <v>0</v>
      </c>
      <c r="AN18" s="416">
        <v>0</v>
      </c>
      <c r="AO18" s="416">
        <v>0</v>
      </c>
      <c r="AP18" s="416">
        <v>0</v>
      </c>
      <c r="AQ18" s="416">
        <v>0</v>
      </c>
      <c r="AR18" s="416">
        <v>0</v>
      </c>
      <c r="AS18" s="416">
        <v>0</v>
      </c>
      <c r="AT18" s="416">
        <v>0</v>
      </c>
      <c r="AU18" s="416">
        <v>0</v>
      </c>
      <c r="AV18" s="416">
        <v>0</v>
      </c>
      <c r="AW18" s="416">
        <v>0</v>
      </c>
      <c r="AX18" s="416">
        <v>0</v>
      </c>
      <c r="AY18" s="416">
        <v>0</v>
      </c>
      <c r="AZ18" s="416">
        <v>0</v>
      </c>
    </row>
    <row r="19" spans="1:52" x14ac:dyDescent="0.25">
      <c r="A19" s="415" t="str">
        <f t="shared" si="0"/>
        <v>SA-662 Gr.A</v>
      </c>
      <c r="B19" s="415">
        <v>14</v>
      </c>
      <c r="C19" s="415" t="s">
        <v>2673</v>
      </c>
      <c r="D19" s="415" t="s">
        <v>2684</v>
      </c>
      <c r="E19" s="415" t="s">
        <v>2291</v>
      </c>
      <c r="F19" s="415" t="s">
        <v>12</v>
      </c>
      <c r="G19" s="415" t="s">
        <v>2736</v>
      </c>
      <c r="H19" s="415">
        <v>0</v>
      </c>
      <c r="I19" s="415">
        <v>0</v>
      </c>
      <c r="J19" s="415">
        <v>1</v>
      </c>
      <c r="K19" s="415">
        <v>1</v>
      </c>
      <c r="L19" s="415">
        <v>14</v>
      </c>
      <c r="M19" s="415">
        <v>400</v>
      </c>
      <c r="N19" s="415">
        <v>275</v>
      </c>
      <c r="O19" s="415">
        <v>371</v>
      </c>
      <c r="P19" s="415" t="s">
        <v>2699</v>
      </c>
      <c r="Q19" s="415">
        <v>0</v>
      </c>
      <c r="R19" s="415">
        <v>14</v>
      </c>
      <c r="S19" s="415">
        <v>167</v>
      </c>
      <c r="T19" s="416">
        <v>167</v>
      </c>
      <c r="U19" s="416">
        <v>167</v>
      </c>
      <c r="V19" s="416">
        <v>167</v>
      </c>
      <c r="W19" s="416">
        <v>165</v>
      </c>
      <c r="X19" s="416">
        <v>163</v>
      </c>
      <c r="Y19" s="416">
        <v>160</v>
      </c>
      <c r="Z19" s="416">
        <v>158</v>
      </c>
      <c r="AA19" s="416">
        <v>155</v>
      </c>
      <c r="AB19" s="416">
        <v>151</v>
      </c>
      <c r="AC19" s="416">
        <v>148</v>
      </c>
      <c r="AD19" s="416">
        <v>144</v>
      </c>
      <c r="AE19" s="416">
        <v>139</v>
      </c>
      <c r="AF19" s="416">
        <v>135</v>
      </c>
      <c r="AG19" s="416">
        <v>132</v>
      </c>
      <c r="AH19" s="416">
        <v>0</v>
      </c>
      <c r="AI19" s="416">
        <v>0</v>
      </c>
      <c r="AJ19" s="416">
        <v>0</v>
      </c>
      <c r="AK19" s="416">
        <v>0</v>
      </c>
      <c r="AL19" s="416">
        <v>14</v>
      </c>
      <c r="AM19" s="416">
        <v>0</v>
      </c>
      <c r="AN19" s="416">
        <v>0</v>
      </c>
      <c r="AO19" s="416">
        <v>0</v>
      </c>
      <c r="AP19" s="416">
        <v>0</v>
      </c>
      <c r="AQ19" s="416">
        <v>0</v>
      </c>
      <c r="AR19" s="416">
        <v>0</v>
      </c>
      <c r="AS19" s="416">
        <v>0</v>
      </c>
      <c r="AT19" s="416">
        <v>0</v>
      </c>
      <c r="AU19" s="416">
        <v>0</v>
      </c>
      <c r="AV19" s="416">
        <v>0</v>
      </c>
      <c r="AW19" s="416">
        <v>0</v>
      </c>
      <c r="AX19" s="416">
        <v>0</v>
      </c>
      <c r="AY19" s="416">
        <v>0</v>
      </c>
      <c r="AZ19" s="416">
        <v>0</v>
      </c>
    </row>
    <row r="20" spans="1:52" x14ac:dyDescent="0.25">
      <c r="A20" s="415" t="str">
        <f t="shared" si="0"/>
        <v>SA-181 Gr.0</v>
      </c>
      <c r="B20" s="415">
        <v>15</v>
      </c>
      <c r="C20" s="415" t="s">
        <v>2673</v>
      </c>
      <c r="D20" s="415" t="s">
        <v>2737</v>
      </c>
      <c r="E20" s="415" t="s">
        <v>2187</v>
      </c>
      <c r="F20" s="415">
        <v>0</v>
      </c>
      <c r="G20" s="415" t="s">
        <v>2738</v>
      </c>
      <c r="H20" s="415">
        <v>60</v>
      </c>
      <c r="I20" s="415">
        <v>0</v>
      </c>
      <c r="J20" s="415">
        <v>1</v>
      </c>
      <c r="K20" s="415">
        <v>1</v>
      </c>
      <c r="L20" s="415">
        <v>15</v>
      </c>
      <c r="M20" s="415">
        <v>415</v>
      </c>
      <c r="N20" s="415">
        <v>205</v>
      </c>
      <c r="O20" s="415">
        <v>538</v>
      </c>
      <c r="P20" s="415" t="s">
        <v>2699</v>
      </c>
      <c r="Q20" s="415" t="s">
        <v>3511</v>
      </c>
      <c r="R20" s="415">
        <v>15</v>
      </c>
      <c r="S20" s="415">
        <v>138</v>
      </c>
      <c r="T20" s="416">
        <v>138</v>
      </c>
      <c r="U20" s="416">
        <v>130</v>
      </c>
      <c r="V20" s="416">
        <v>126</v>
      </c>
      <c r="W20" s="416">
        <v>124</v>
      </c>
      <c r="X20" s="416">
        <v>122</v>
      </c>
      <c r="Y20" s="416">
        <v>120</v>
      </c>
      <c r="Z20" s="416">
        <v>118</v>
      </c>
      <c r="AA20" s="416">
        <v>116</v>
      </c>
      <c r="AB20" s="416">
        <v>113</v>
      </c>
      <c r="AC20" s="416">
        <v>111</v>
      </c>
      <c r="AD20" s="416">
        <v>108</v>
      </c>
      <c r="AE20" s="416">
        <v>105</v>
      </c>
      <c r="AF20" s="416">
        <v>101</v>
      </c>
      <c r="AG20" s="416">
        <v>98.3</v>
      </c>
      <c r="AH20" s="416">
        <v>95.1</v>
      </c>
      <c r="AI20" s="416">
        <v>79.5</v>
      </c>
      <c r="AJ20" s="416">
        <v>62.6</v>
      </c>
      <c r="AK20" s="416">
        <v>45</v>
      </c>
      <c r="AL20" s="416">
        <v>15</v>
      </c>
      <c r="AM20" s="416">
        <v>31.7</v>
      </c>
      <c r="AN20" s="416">
        <v>21.4</v>
      </c>
      <c r="AO20" s="416">
        <v>14.2</v>
      </c>
      <c r="AP20" s="416">
        <v>0</v>
      </c>
      <c r="AQ20" s="416">
        <v>0</v>
      </c>
      <c r="AR20" s="416">
        <v>0</v>
      </c>
      <c r="AS20" s="416">
        <v>0</v>
      </c>
      <c r="AT20" s="416">
        <v>0</v>
      </c>
      <c r="AU20" s="416">
        <v>0</v>
      </c>
      <c r="AV20" s="416">
        <v>0</v>
      </c>
      <c r="AW20" s="416">
        <v>0</v>
      </c>
      <c r="AX20" s="416">
        <v>0</v>
      </c>
      <c r="AY20" s="416">
        <v>0</v>
      </c>
      <c r="AZ20" s="416">
        <v>0</v>
      </c>
    </row>
    <row r="21" spans="1:52" x14ac:dyDescent="0.25">
      <c r="A21" s="415" t="str">
        <f t="shared" si="0"/>
        <v>SA-216 Gr.WCA</v>
      </c>
      <c r="B21" s="415">
        <v>16</v>
      </c>
      <c r="C21" s="415" t="s">
        <v>2673</v>
      </c>
      <c r="D21" s="415" t="s">
        <v>2739</v>
      </c>
      <c r="E21" s="415" t="s">
        <v>2197</v>
      </c>
      <c r="F21" s="415" t="s">
        <v>2601</v>
      </c>
      <c r="G21" s="415" t="s">
        <v>2740</v>
      </c>
      <c r="H21" s="415">
        <v>0</v>
      </c>
      <c r="I21" s="415">
        <v>0</v>
      </c>
      <c r="J21" s="415">
        <v>1</v>
      </c>
      <c r="K21" s="415">
        <v>1</v>
      </c>
      <c r="L21" s="415">
        <v>16</v>
      </c>
      <c r="M21" s="415">
        <v>415</v>
      </c>
      <c r="N21" s="415">
        <v>205</v>
      </c>
      <c r="O21" s="415">
        <v>538</v>
      </c>
      <c r="P21" s="415" t="s">
        <v>2699</v>
      </c>
      <c r="Q21" s="415" t="s">
        <v>3511</v>
      </c>
      <c r="R21" s="415">
        <v>16</v>
      </c>
      <c r="S21" s="415">
        <v>138</v>
      </c>
      <c r="T21" s="416">
        <v>138</v>
      </c>
      <c r="U21" s="416">
        <v>130</v>
      </c>
      <c r="V21" s="416">
        <v>126</v>
      </c>
      <c r="W21" s="416">
        <v>124</v>
      </c>
      <c r="X21" s="416">
        <v>122</v>
      </c>
      <c r="Y21" s="416">
        <v>120</v>
      </c>
      <c r="Z21" s="416">
        <v>118</v>
      </c>
      <c r="AA21" s="416">
        <v>116</v>
      </c>
      <c r="AB21" s="416">
        <v>113</v>
      </c>
      <c r="AC21" s="416">
        <v>111</v>
      </c>
      <c r="AD21" s="416">
        <v>108</v>
      </c>
      <c r="AE21" s="416">
        <v>105</v>
      </c>
      <c r="AF21" s="416">
        <v>101</v>
      </c>
      <c r="AG21" s="416">
        <v>98.3</v>
      </c>
      <c r="AH21" s="416">
        <v>95.1</v>
      </c>
      <c r="AI21" s="416">
        <v>79.5</v>
      </c>
      <c r="AJ21" s="416">
        <v>62.6</v>
      </c>
      <c r="AK21" s="416">
        <v>45</v>
      </c>
      <c r="AL21" s="416">
        <v>16</v>
      </c>
      <c r="AM21" s="416">
        <v>31.7</v>
      </c>
      <c r="AN21" s="416">
        <v>21.4</v>
      </c>
      <c r="AO21" s="416">
        <v>14.2</v>
      </c>
      <c r="AP21" s="416">
        <v>0</v>
      </c>
      <c r="AQ21" s="416">
        <v>0</v>
      </c>
      <c r="AR21" s="416">
        <v>0</v>
      </c>
      <c r="AS21" s="416">
        <v>0</v>
      </c>
      <c r="AT21" s="416">
        <v>0</v>
      </c>
      <c r="AU21" s="416">
        <v>0</v>
      </c>
      <c r="AV21" s="416">
        <v>0</v>
      </c>
      <c r="AW21" s="416">
        <v>0</v>
      </c>
      <c r="AX21" s="416">
        <v>0</v>
      </c>
      <c r="AY21" s="416">
        <v>0</v>
      </c>
      <c r="AZ21" s="416">
        <v>0</v>
      </c>
    </row>
    <row r="22" spans="1:52" x14ac:dyDescent="0.25">
      <c r="A22" s="415" t="str">
        <f t="shared" si="0"/>
        <v>SA-266 Gr.1</v>
      </c>
      <c r="B22" s="415">
        <v>17</v>
      </c>
      <c r="C22" s="415" t="s">
        <v>2673</v>
      </c>
      <c r="D22" s="415" t="s">
        <v>2737</v>
      </c>
      <c r="E22" s="415" t="s">
        <v>2202</v>
      </c>
      <c r="F22" s="415">
        <v>1</v>
      </c>
      <c r="G22" s="415" t="s">
        <v>2742</v>
      </c>
      <c r="H22" s="415">
        <v>0</v>
      </c>
      <c r="I22" s="415">
        <v>0</v>
      </c>
      <c r="J22" s="415">
        <v>1</v>
      </c>
      <c r="K22" s="415">
        <v>1</v>
      </c>
      <c r="L22" s="415">
        <v>17</v>
      </c>
      <c r="M22" s="415">
        <v>415</v>
      </c>
      <c r="N22" s="415">
        <v>205</v>
      </c>
      <c r="O22" s="415">
        <v>538</v>
      </c>
      <c r="P22" s="415" t="s">
        <v>2699</v>
      </c>
      <c r="Q22" s="415" t="s">
        <v>3511</v>
      </c>
      <c r="R22" s="415">
        <v>17</v>
      </c>
      <c r="S22" s="415">
        <v>138</v>
      </c>
      <c r="T22" s="416">
        <v>138</v>
      </c>
      <c r="U22" s="416">
        <v>130</v>
      </c>
      <c r="V22" s="416">
        <v>126</v>
      </c>
      <c r="W22" s="416">
        <v>124</v>
      </c>
      <c r="X22" s="416">
        <v>122</v>
      </c>
      <c r="Y22" s="416">
        <v>120</v>
      </c>
      <c r="Z22" s="416">
        <v>118</v>
      </c>
      <c r="AA22" s="416">
        <v>116</v>
      </c>
      <c r="AB22" s="416">
        <v>113</v>
      </c>
      <c r="AC22" s="416">
        <v>111</v>
      </c>
      <c r="AD22" s="416">
        <v>108</v>
      </c>
      <c r="AE22" s="416">
        <v>105</v>
      </c>
      <c r="AF22" s="416">
        <v>101</v>
      </c>
      <c r="AG22" s="416">
        <v>98.3</v>
      </c>
      <c r="AH22" s="416">
        <v>95.1</v>
      </c>
      <c r="AI22" s="416">
        <v>79.5</v>
      </c>
      <c r="AJ22" s="416">
        <v>62.6</v>
      </c>
      <c r="AK22" s="416">
        <v>45</v>
      </c>
      <c r="AL22" s="416">
        <v>17</v>
      </c>
      <c r="AM22" s="416">
        <v>31.7</v>
      </c>
      <c r="AN22" s="416">
        <v>21.4</v>
      </c>
      <c r="AO22" s="416">
        <v>14.2</v>
      </c>
      <c r="AP22" s="416">
        <v>0</v>
      </c>
      <c r="AQ22" s="416">
        <v>0</v>
      </c>
      <c r="AR22" s="416">
        <v>0</v>
      </c>
      <c r="AS22" s="416">
        <v>0</v>
      </c>
      <c r="AT22" s="416">
        <v>0</v>
      </c>
      <c r="AU22" s="416">
        <v>0</v>
      </c>
      <c r="AV22" s="416">
        <v>0</v>
      </c>
      <c r="AW22" s="416">
        <v>0</v>
      </c>
      <c r="AX22" s="416">
        <v>0</v>
      </c>
      <c r="AY22" s="416">
        <v>0</v>
      </c>
      <c r="AZ22" s="416">
        <v>0</v>
      </c>
    </row>
    <row r="23" spans="1:52" x14ac:dyDescent="0.25">
      <c r="A23" s="415" t="str">
        <f t="shared" si="0"/>
        <v>SA-350 Gr.LF1</v>
      </c>
      <c r="B23" s="415">
        <v>18</v>
      </c>
      <c r="C23" s="415" t="s">
        <v>2673</v>
      </c>
      <c r="D23" s="415" t="s">
        <v>2737</v>
      </c>
      <c r="E23" s="415" t="s">
        <v>2212</v>
      </c>
      <c r="F23" s="415" t="s">
        <v>2501</v>
      </c>
      <c r="G23" s="415" t="s">
        <v>2743</v>
      </c>
      <c r="H23" s="415">
        <v>1</v>
      </c>
      <c r="I23" s="415">
        <v>0</v>
      </c>
      <c r="J23" s="415">
        <v>1</v>
      </c>
      <c r="K23" s="415">
        <v>1</v>
      </c>
      <c r="L23" s="415">
        <v>18</v>
      </c>
      <c r="M23" s="415">
        <v>415</v>
      </c>
      <c r="N23" s="415">
        <v>205</v>
      </c>
      <c r="O23" s="415">
        <v>371</v>
      </c>
      <c r="P23" s="415" t="s">
        <v>2699</v>
      </c>
      <c r="Q23" s="415" t="s">
        <v>3516</v>
      </c>
      <c r="R23" s="415">
        <v>18</v>
      </c>
      <c r="S23" s="415">
        <v>138</v>
      </c>
      <c r="T23" s="416">
        <v>138</v>
      </c>
      <c r="U23" s="416">
        <v>130</v>
      </c>
      <c r="V23" s="416">
        <v>126</v>
      </c>
      <c r="W23" s="416">
        <v>124</v>
      </c>
      <c r="X23" s="416">
        <v>122</v>
      </c>
      <c r="Y23" s="416">
        <v>120</v>
      </c>
      <c r="Z23" s="416">
        <v>118</v>
      </c>
      <c r="AA23" s="416">
        <v>116</v>
      </c>
      <c r="AB23" s="416">
        <v>113</v>
      </c>
      <c r="AC23" s="416">
        <v>111</v>
      </c>
      <c r="AD23" s="416">
        <v>108</v>
      </c>
      <c r="AE23" s="416">
        <v>105</v>
      </c>
      <c r="AF23" s="416">
        <v>101</v>
      </c>
      <c r="AG23" s="416">
        <v>98.3</v>
      </c>
      <c r="AH23" s="416">
        <v>0</v>
      </c>
      <c r="AI23" s="416">
        <v>0</v>
      </c>
      <c r="AJ23" s="416">
        <v>0</v>
      </c>
      <c r="AK23" s="416">
        <v>0</v>
      </c>
      <c r="AL23" s="416">
        <v>18</v>
      </c>
      <c r="AM23" s="416">
        <v>0</v>
      </c>
      <c r="AN23" s="416">
        <v>0</v>
      </c>
      <c r="AO23" s="416">
        <v>0</v>
      </c>
      <c r="AP23" s="416">
        <v>0</v>
      </c>
      <c r="AQ23" s="416">
        <v>0</v>
      </c>
      <c r="AR23" s="416">
        <v>0</v>
      </c>
      <c r="AS23" s="416">
        <v>0</v>
      </c>
      <c r="AT23" s="416">
        <v>0</v>
      </c>
      <c r="AU23" s="416">
        <v>0</v>
      </c>
      <c r="AV23" s="416">
        <v>0</v>
      </c>
      <c r="AW23" s="416">
        <v>0</v>
      </c>
      <c r="AX23" s="416">
        <v>0</v>
      </c>
      <c r="AY23" s="416">
        <v>0</v>
      </c>
      <c r="AZ23" s="416">
        <v>0</v>
      </c>
    </row>
    <row r="24" spans="1:52" x14ac:dyDescent="0.25">
      <c r="A24" s="415" t="str">
        <f t="shared" si="0"/>
        <v>SA-675 Gr.60</v>
      </c>
      <c r="B24" s="415">
        <v>19</v>
      </c>
      <c r="C24" s="415" t="s">
        <v>2673</v>
      </c>
      <c r="D24" s="415" t="s">
        <v>3509</v>
      </c>
      <c r="E24" s="415" t="s">
        <v>2299</v>
      </c>
      <c r="F24" s="415">
        <v>60</v>
      </c>
      <c r="G24" s="415">
        <v>0</v>
      </c>
      <c r="H24" s="415">
        <v>0</v>
      </c>
      <c r="I24" s="415">
        <v>0</v>
      </c>
      <c r="J24" s="415">
        <v>1</v>
      </c>
      <c r="K24" s="415">
        <v>1</v>
      </c>
      <c r="L24" s="415">
        <v>19</v>
      </c>
      <c r="M24" s="415">
        <v>415</v>
      </c>
      <c r="N24" s="415">
        <v>205</v>
      </c>
      <c r="O24" s="415">
        <v>482</v>
      </c>
      <c r="P24" s="415" t="s">
        <v>2699</v>
      </c>
      <c r="Q24" s="415" t="s">
        <v>3511</v>
      </c>
      <c r="R24" s="415">
        <v>19</v>
      </c>
      <c r="S24" s="415">
        <v>138</v>
      </c>
      <c r="T24" s="416">
        <v>138</v>
      </c>
      <c r="U24" s="416">
        <v>130</v>
      </c>
      <c r="V24" s="416">
        <v>126</v>
      </c>
      <c r="W24" s="416">
        <v>124</v>
      </c>
      <c r="X24" s="416">
        <v>122</v>
      </c>
      <c r="Y24" s="416">
        <v>120</v>
      </c>
      <c r="Z24" s="416">
        <v>118</v>
      </c>
      <c r="AA24" s="416">
        <v>116</v>
      </c>
      <c r="AB24" s="416">
        <v>113</v>
      </c>
      <c r="AC24" s="416">
        <v>111</v>
      </c>
      <c r="AD24" s="416">
        <v>108</v>
      </c>
      <c r="AE24" s="416">
        <v>105</v>
      </c>
      <c r="AF24" s="416">
        <v>101</v>
      </c>
      <c r="AG24" s="416">
        <v>98.3</v>
      </c>
      <c r="AH24" s="416">
        <v>95.1</v>
      </c>
      <c r="AI24" s="416">
        <v>79.5</v>
      </c>
      <c r="AJ24" s="416">
        <v>62.6</v>
      </c>
      <c r="AK24" s="416">
        <v>45</v>
      </c>
      <c r="AL24" s="416">
        <v>19</v>
      </c>
      <c r="AM24" s="416">
        <v>31.7</v>
      </c>
      <c r="AN24" s="416">
        <v>0</v>
      </c>
      <c r="AO24" s="416">
        <v>0</v>
      </c>
      <c r="AP24" s="416">
        <v>0</v>
      </c>
      <c r="AQ24" s="416">
        <v>0</v>
      </c>
      <c r="AR24" s="416">
        <v>0</v>
      </c>
      <c r="AS24" s="416">
        <v>0</v>
      </c>
      <c r="AT24" s="416">
        <v>0</v>
      </c>
      <c r="AU24" s="416">
        <v>0</v>
      </c>
      <c r="AV24" s="416">
        <v>0</v>
      </c>
      <c r="AW24" s="416">
        <v>0</v>
      </c>
      <c r="AX24" s="416">
        <v>0</v>
      </c>
      <c r="AY24" s="416">
        <v>0</v>
      </c>
      <c r="AZ24" s="416">
        <v>0</v>
      </c>
    </row>
    <row r="25" spans="1:52" x14ac:dyDescent="0.25">
      <c r="A25" s="415" t="str">
        <f t="shared" si="0"/>
        <v>SA-765 Gr.I</v>
      </c>
      <c r="B25" s="415">
        <v>20</v>
      </c>
      <c r="C25" s="415" t="s">
        <v>2673</v>
      </c>
      <c r="D25" s="415" t="s">
        <v>2737</v>
      </c>
      <c r="E25" s="415" t="s">
        <v>2320</v>
      </c>
      <c r="F25" s="415" t="s">
        <v>2483</v>
      </c>
      <c r="G25" s="415" t="s">
        <v>2749</v>
      </c>
      <c r="H25" s="415">
        <v>0</v>
      </c>
      <c r="I25" s="415">
        <v>0</v>
      </c>
      <c r="J25" s="415">
        <v>1</v>
      </c>
      <c r="K25" s="415">
        <v>1</v>
      </c>
      <c r="L25" s="415">
        <v>20</v>
      </c>
      <c r="M25" s="415">
        <v>415</v>
      </c>
      <c r="N25" s="415">
        <v>205</v>
      </c>
      <c r="O25" s="415">
        <v>538</v>
      </c>
      <c r="P25" s="415" t="s">
        <v>2699</v>
      </c>
      <c r="Q25" s="415" t="s">
        <v>3511</v>
      </c>
      <c r="R25" s="415">
        <v>20</v>
      </c>
      <c r="S25" s="415">
        <v>138</v>
      </c>
      <c r="T25" s="416">
        <v>138</v>
      </c>
      <c r="U25" s="416">
        <v>130</v>
      </c>
      <c r="V25" s="416">
        <v>126</v>
      </c>
      <c r="W25" s="416">
        <v>124</v>
      </c>
      <c r="X25" s="416">
        <v>122</v>
      </c>
      <c r="Y25" s="416">
        <v>120</v>
      </c>
      <c r="Z25" s="416">
        <v>118</v>
      </c>
      <c r="AA25" s="416">
        <v>116</v>
      </c>
      <c r="AB25" s="416">
        <v>113</v>
      </c>
      <c r="AC25" s="416">
        <v>111</v>
      </c>
      <c r="AD25" s="416">
        <v>108</v>
      </c>
      <c r="AE25" s="416">
        <v>105</v>
      </c>
      <c r="AF25" s="416">
        <v>101</v>
      </c>
      <c r="AG25" s="416">
        <v>98.3</v>
      </c>
      <c r="AH25" s="416">
        <v>95.1</v>
      </c>
      <c r="AI25" s="416">
        <v>79.5</v>
      </c>
      <c r="AJ25" s="416">
        <v>62.6</v>
      </c>
      <c r="AK25" s="416">
        <v>45</v>
      </c>
      <c r="AL25" s="416">
        <v>20</v>
      </c>
      <c r="AM25" s="416">
        <v>31.7</v>
      </c>
      <c r="AN25" s="416">
        <v>21.4</v>
      </c>
      <c r="AO25" s="416">
        <v>14.2</v>
      </c>
      <c r="AP25" s="416">
        <v>0</v>
      </c>
      <c r="AQ25" s="416">
        <v>0</v>
      </c>
      <c r="AR25" s="416">
        <v>0</v>
      </c>
      <c r="AS25" s="416">
        <v>0</v>
      </c>
      <c r="AT25" s="416">
        <v>0</v>
      </c>
      <c r="AU25" s="416">
        <v>0</v>
      </c>
      <c r="AV25" s="416">
        <v>0</v>
      </c>
      <c r="AW25" s="416">
        <v>0</v>
      </c>
      <c r="AX25" s="416">
        <v>0</v>
      </c>
      <c r="AY25" s="416">
        <v>0</v>
      </c>
      <c r="AZ25" s="416">
        <v>0</v>
      </c>
    </row>
    <row r="26" spans="1:52" x14ac:dyDescent="0.25">
      <c r="A26" s="415" t="str">
        <f t="shared" si="0"/>
        <v>SA-515 Gr.60</v>
      </c>
      <c r="B26" s="415">
        <v>21</v>
      </c>
      <c r="C26" s="415" t="s">
        <v>2673</v>
      </c>
      <c r="D26" s="415" t="s">
        <v>2684</v>
      </c>
      <c r="E26" s="415" t="s">
        <v>2251</v>
      </c>
      <c r="F26" s="415">
        <v>60</v>
      </c>
      <c r="G26" s="415" t="s">
        <v>2718</v>
      </c>
      <c r="H26" s="415">
        <v>0</v>
      </c>
      <c r="I26" s="415">
        <v>0</v>
      </c>
      <c r="J26" s="415">
        <v>1</v>
      </c>
      <c r="K26" s="415">
        <v>1</v>
      </c>
      <c r="L26" s="415">
        <v>21</v>
      </c>
      <c r="M26" s="415">
        <v>415</v>
      </c>
      <c r="N26" s="415">
        <v>220</v>
      </c>
      <c r="O26" s="415">
        <v>538</v>
      </c>
      <c r="P26" s="415" t="s">
        <v>2699</v>
      </c>
      <c r="Q26" s="415" t="s">
        <v>3511</v>
      </c>
      <c r="R26" s="415">
        <v>21</v>
      </c>
      <c r="S26" s="415">
        <v>147</v>
      </c>
      <c r="T26" s="416">
        <v>147</v>
      </c>
      <c r="U26" s="416">
        <v>138</v>
      </c>
      <c r="V26" s="416">
        <v>134</v>
      </c>
      <c r="W26" s="416">
        <v>132</v>
      </c>
      <c r="X26" s="416">
        <v>130</v>
      </c>
      <c r="Y26" s="416">
        <v>128</v>
      </c>
      <c r="Z26" s="416">
        <v>126</v>
      </c>
      <c r="AA26" s="416">
        <v>124</v>
      </c>
      <c r="AB26" s="416">
        <v>121</v>
      </c>
      <c r="AC26" s="416">
        <v>118</v>
      </c>
      <c r="AD26" s="416">
        <v>115</v>
      </c>
      <c r="AE26" s="416">
        <v>111</v>
      </c>
      <c r="AF26" s="416">
        <v>108</v>
      </c>
      <c r="AG26" s="416">
        <v>105</v>
      </c>
      <c r="AH26" s="416">
        <v>95.1</v>
      </c>
      <c r="AI26" s="416">
        <v>79.5</v>
      </c>
      <c r="AJ26" s="416">
        <v>62.6</v>
      </c>
      <c r="AK26" s="416">
        <v>45</v>
      </c>
      <c r="AL26" s="416">
        <v>21</v>
      </c>
      <c r="AM26" s="416">
        <v>31.7</v>
      </c>
      <c r="AN26" s="416">
        <v>21.4</v>
      </c>
      <c r="AO26" s="416">
        <v>14.2</v>
      </c>
      <c r="AP26" s="416">
        <v>0</v>
      </c>
      <c r="AQ26" s="416">
        <v>0</v>
      </c>
      <c r="AR26" s="416">
        <v>0</v>
      </c>
      <c r="AS26" s="416">
        <v>0</v>
      </c>
      <c r="AT26" s="416">
        <v>0</v>
      </c>
      <c r="AU26" s="416">
        <v>0</v>
      </c>
      <c r="AV26" s="416">
        <v>0</v>
      </c>
      <c r="AW26" s="416">
        <v>0</v>
      </c>
      <c r="AX26" s="416">
        <v>0</v>
      </c>
      <c r="AY26" s="416">
        <v>0</v>
      </c>
      <c r="AZ26" s="416">
        <v>0</v>
      </c>
    </row>
    <row r="27" spans="1:52" x14ac:dyDescent="0.25">
      <c r="A27" s="415" t="str">
        <f t="shared" si="0"/>
        <v>SA-516 Gr.60</v>
      </c>
      <c r="B27" s="415">
        <v>22</v>
      </c>
      <c r="C27" s="415" t="s">
        <v>2673</v>
      </c>
      <c r="D27" s="415" t="s">
        <v>2684</v>
      </c>
      <c r="E27" s="415" t="s">
        <v>2151</v>
      </c>
      <c r="F27" s="415">
        <v>60</v>
      </c>
      <c r="G27" s="415" t="s">
        <v>2750</v>
      </c>
      <c r="H27" s="415">
        <v>0</v>
      </c>
      <c r="I27" s="415">
        <v>0</v>
      </c>
      <c r="J27" s="415">
        <v>1</v>
      </c>
      <c r="K27" s="415">
        <v>1</v>
      </c>
      <c r="L27" s="415">
        <v>22</v>
      </c>
      <c r="M27" s="415">
        <v>415</v>
      </c>
      <c r="N27" s="415">
        <v>220</v>
      </c>
      <c r="O27" s="415">
        <v>538</v>
      </c>
      <c r="P27" s="415" t="s">
        <v>2699</v>
      </c>
      <c r="Q27" s="415" t="s">
        <v>3511</v>
      </c>
      <c r="R27" s="415">
        <v>22</v>
      </c>
      <c r="S27" s="415">
        <v>147</v>
      </c>
      <c r="T27" s="416">
        <v>147</v>
      </c>
      <c r="U27" s="416">
        <v>138</v>
      </c>
      <c r="V27" s="416">
        <v>134</v>
      </c>
      <c r="W27" s="416">
        <v>132</v>
      </c>
      <c r="X27" s="416">
        <v>130</v>
      </c>
      <c r="Y27" s="416">
        <v>128</v>
      </c>
      <c r="Z27" s="416">
        <v>126</v>
      </c>
      <c r="AA27" s="416">
        <v>124</v>
      </c>
      <c r="AB27" s="416">
        <v>121</v>
      </c>
      <c r="AC27" s="416">
        <v>118</v>
      </c>
      <c r="AD27" s="416">
        <v>115</v>
      </c>
      <c r="AE27" s="416">
        <v>111</v>
      </c>
      <c r="AF27" s="416">
        <v>108</v>
      </c>
      <c r="AG27" s="416">
        <v>105</v>
      </c>
      <c r="AH27" s="416">
        <v>95.1</v>
      </c>
      <c r="AI27" s="416">
        <v>79.5</v>
      </c>
      <c r="AJ27" s="416">
        <v>62.6</v>
      </c>
      <c r="AK27" s="416">
        <v>45</v>
      </c>
      <c r="AL27" s="416">
        <v>22</v>
      </c>
      <c r="AM27" s="416">
        <v>31.7</v>
      </c>
      <c r="AN27" s="416">
        <v>21.4</v>
      </c>
      <c r="AO27" s="416">
        <v>14.2</v>
      </c>
      <c r="AP27" s="416">
        <v>0</v>
      </c>
      <c r="AQ27" s="416">
        <v>0</v>
      </c>
      <c r="AR27" s="416">
        <v>0</v>
      </c>
      <c r="AS27" s="416">
        <v>0</v>
      </c>
      <c r="AT27" s="416">
        <v>0</v>
      </c>
      <c r="AU27" s="416">
        <v>0</v>
      </c>
      <c r="AV27" s="416">
        <v>0</v>
      </c>
      <c r="AW27" s="416">
        <v>0</v>
      </c>
      <c r="AX27" s="416">
        <v>0</v>
      </c>
      <c r="AY27" s="416">
        <v>0</v>
      </c>
      <c r="AZ27" s="416">
        <v>0</v>
      </c>
    </row>
    <row r="28" spans="1:52" x14ac:dyDescent="0.25">
      <c r="A28" s="415" t="str">
        <f t="shared" si="0"/>
        <v>SA-283 Gr.D</v>
      </c>
      <c r="B28" s="415">
        <v>23</v>
      </c>
      <c r="C28" s="415" t="s">
        <v>2673</v>
      </c>
      <c r="D28" s="415" t="s">
        <v>2684</v>
      </c>
      <c r="E28" s="415" t="s">
        <v>2204</v>
      </c>
      <c r="F28" s="415" t="s">
        <v>2414</v>
      </c>
      <c r="G28" s="415" t="s">
        <v>2752</v>
      </c>
      <c r="H28" s="415">
        <v>0</v>
      </c>
      <c r="I28" s="415">
        <v>0</v>
      </c>
      <c r="J28" s="415">
        <v>1</v>
      </c>
      <c r="K28" s="415">
        <v>1</v>
      </c>
      <c r="L28" s="415">
        <v>23</v>
      </c>
      <c r="M28" s="415">
        <v>415</v>
      </c>
      <c r="N28" s="415">
        <v>230</v>
      </c>
      <c r="O28" s="415">
        <v>343</v>
      </c>
      <c r="P28" s="415" t="s">
        <v>2699</v>
      </c>
      <c r="Q28" s="415">
        <v>0</v>
      </c>
      <c r="R28" s="415">
        <v>23</v>
      </c>
      <c r="S28" s="415">
        <v>152</v>
      </c>
      <c r="T28" s="416">
        <v>152</v>
      </c>
      <c r="U28" s="416">
        <v>143</v>
      </c>
      <c r="V28" s="416">
        <v>138</v>
      </c>
      <c r="W28" s="416">
        <v>136</v>
      </c>
      <c r="X28" s="416">
        <v>134</v>
      </c>
      <c r="Y28" s="416">
        <v>132</v>
      </c>
      <c r="Z28" s="416">
        <v>130</v>
      </c>
      <c r="AA28" s="416">
        <v>128</v>
      </c>
      <c r="AB28" s="416">
        <v>125</v>
      </c>
      <c r="AC28" s="416">
        <v>122</v>
      </c>
      <c r="AD28" s="416">
        <v>118</v>
      </c>
      <c r="AE28" s="416">
        <v>115</v>
      </c>
      <c r="AF28" s="416">
        <v>111</v>
      </c>
      <c r="AG28" s="416">
        <v>0</v>
      </c>
      <c r="AH28" s="416">
        <v>0</v>
      </c>
      <c r="AI28" s="416">
        <v>0</v>
      </c>
      <c r="AJ28" s="416">
        <v>0</v>
      </c>
      <c r="AK28" s="416">
        <v>0</v>
      </c>
      <c r="AL28" s="416">
        <v>23</v>
      </c>
      <c r="AM28" s="416">
        <v>0</v>
      </c>
      <c r="AN28" s="416">
        <v>0</v>
      </c>
      <c r="AO28" s="416">
        <v>0</v>
      </c>
      <c r="AP28" s="416">
        <v>0</v>
      </c>
      <c r="AQ28" s="416">
        <v>0</v>
      </c>
      <c r="AR28" s="416">
        <v>0</v>
      </c>
      <c r="AS28" s="416">
        <v>0</v>
      </c>
      <c r="AT28" s="416">
        <v>0</v>
      </c>
      <c r="AU28" s="416">
        <v>0</v>
      </c>
      <c r="AV28" s="416">
        <v>0</v>
      </c>
      <c r="AW28" s="416">
        <v>0</v>
      </c>
      <c r="AX28" s="416">
        <v>0</v>
      </c>
      <c r="AY28" s="416">
        <v>0</v>
      </c>
      <c r="AZ28" s="416">
        <v>0</v>
      </c>
    </row>
    <row r="29" spans="1:52" x14ac:dyDescent="0.25">
      <c r="A29" s="415" t="str">
        <f t="shared" si="0"/>
        <v>SA-106 Gr.B</v>
      </c>
      <c r="B29" s="415">
        <v>24</v>
      </c>
      <c r="C29" s="415" t="s">
        <v>2673</v>
      </c>
      <c r="D29" s="415" t="s">
        <v>2703</v>
      </c>
      <c r="E29" s="415" t="s">
        <v>2169</v>
      </c>
      <c r="F29" s="415" t="s">
        <v>1864</v>
      </c>
      <c r="G29" s="415" t="s">
        <v>2756</v>
      </c>
      <c r="H29" s="415">
        <v>0</v>
      </c>
      <c r="I29" s="415">
        <v>0</v>
      </c>
      <c r="J29" s="415">
        <v>1</v>
      </c>
      <c r="K29" s="415">
        <v>1</v>
      </c>
      <c r="L29" s="415">
        <v>24</v>
      </c>
      <c r="M29" s="415">
        <v>415</v>
      </c>
      <c r="N29" s="415">
        <v>240</v>
      </c>
      <c r="O29" s="415">
        <v>371</v>
      </c>
      <c r="P29" s="415" t="s">
        <v>2699</v>
      </c>
      <c r="Q29" s="415" t="s">
        <v>3516</v>
      </c>
      <c r="R29" s="415">
        <v>24</v>
      </c>
      <c r="S29" s="415">
        <v>161</v>
      </c>
      <c r="T29" s="416">
        <v>161</v>
      </c>
      <c r="U29" s="416">
        <v>151</v>
      </c>
      <c r="V29" s="416">
        <v>147</v>
      </c>
      <c r="W29" s="416">
        <v>144</v>
      </c>
      <c r="X29" s="416">
        <v>142</v>
      </c>
      <c r="Y29" s="416">
        <v>140</v>
      </c>
      <c r="Z29" s="416">
        <v>138</v>
      </c>
      <c r="AA29" s="416">
        <v>135</v>
      </c>
      <c r="AB29" s="416">
        <v>132</v>
      </c>
      <c r="AC29" s="416">
        <v>129</v>
      </c>
      <c r="AD29" s="416">
        <v>126</v>
      </c>
      <c r="AE29" s="416">
        <v>122</v>
      </c>
      <c r="AF29" s="416">
        <v>118</v>
      </c>
      <c r="AG29" s="416">
        <v>115</v>
      </c>
      <c r="AH29" s="416">
        <v>0</v>
      </c>
      <c r="AI29" s="416">
        <v>0</v>
      </c>
      <c r="AJ29" s="416">
        <v>0</v>
      </c>
      <c r="AK29" s="416">
        <v>0</v>
      </c>
      <c r="AL29" s="416">
        <v>24</v>
      </c>
      <c r="AM29" s="416">
        <v>0</v>
      </c>
      <c r="AN29" s="416">
        <v>0</v>
      </c>
      <c r="AO29" s="416">
        <v>0</v>
      </c>
      <c r="AP29" s="416">
        <v>0</v>
      </c>
      <c r="AQ29" s="416">
        <v>0</v>
      </c>
      <c r="AR29" s="416">
        <v>0</v>
      </c>
      <c r="AS29" s="416">
        <v>0</v>
      </c>
      <c r="AT29" s="416">
        <v>0</v>
      </c>
      <c r="AU29" s="416">
        <v>0</v>
      </c>
      <c r="AV29" s="416">
        <v>0</v>
      </c>
      <c r="AW29" s="416">
        <v>0</v>
      </c>
      <c r="AX29" s="416">
        <v>0</v>
      </c>
      <c r="AY29" s="416">
        <v>0</v>
      </c>
      <c r="AZ29" s="416">
        <v>0</v>
      </c>
    </row>
    <row r="30" spans="1:52" x14ac:dyDescent="0.25">
      <c r="A30" s="415" t="str">
        <f t="shared" si="0"/>
        <v>SA-234 Gr.WPB</v>
      </c>
      <c r="B30" s="415">
        <v>25</v>
      </c>
      <c r="C30" s="415" t="s">
        <v>2673</v>
      </c>
      <c r="D30" s="415" t="s">
        <v>913</v>
      </c>
      <c r="E30" s="415" t="s">
        <v>2174</v>
      </c>
      <c r="F30" s="415" t="s">
        <v>2175</v>
      </c>
      <c r="G30" s="415" t="s">
        <v>2756</v>
      </c>
      <c r="H30" s="415">
        <v>0</v>
      </c>
      <c r="I30" s="415">
        <v>0</v>
      </c>
      <c r="J30" s="415">
        <v>1</v>
      </c>
      <c r="K30" s="415">
        <v>1</v>
      </c>
      <c r="L30" s="415">
        <v>25</v>
      </c>
      <c r="M30" s="415">
        <v>415</v>
      </c>
      <c r="N30" s="415">
        <v>240</v>
      </c>
      <c r="O30" s="415">
        <v>538</v>
      </c>
      <c r="P30" s="415" t="s">
        <v>2699</v>
      </c>
      <c r="Q30" s="415" t="s">
        <v>3514</v>
      </c>
      <c r="R30" s="415">
        <v>25</v>
      </c>
      <c r="S30" s="415">
        <v>161</v>
      </c>
      <c r="T30" s="416">
        <v>161</v>
      </c>
      <c r="U30" s="416">
        <v>151</v>
      </c>
      <c r="V30" s="416">
        <v>147</v>
      </c>
      <c r="W30" s="416">
        <v>144</v>
      </c>
      <c r="X30" s="416">
        <v>142</v>
      </c>
      <c r="Y30" s="416">
        <v>140</v>
      </c>
      <c r="Z30" s="416">
        <v>138</v>
      </c>
      <c r="AA30" s="416">
        <v>135</v>
      </c>
      <c r="AB30" s="416">
        <v>132</v>
      </c>
      <c r="AC30" s="416">
        <v>129</v>
      </c>
      <c r="AD30" s="416">
        <v>126</v>
      </c>
      <c r="AE30" s="416">
        <v>122</v>
      </c>
      <c r="AF30" s="416">
        <v>118</v>
      </c>
      <c r="AG30" s="416">
        <v>115</v>
      </c>
      <c r="AH30" s="416">
        <v>95.1</v>
      </c>
      <c r="AI30" s="416">
        <v>79.5</v>
      </c>
      <c r="AJ30" s="416">
        <v>62.6</v>
      </c>
      <c r="AK30" s="416">
        <v>45</v>
      </c>
      <c r="AL30" s="416">
        <v>25</v>
      </c>
      <c r="AM30" s="416">
        <v>31.7</v>
      </c>
      <c r="AN30" s="416">
        <v>21.4</v>
      </c>
      <c r="AO30" s="416">
        <v>14.2</v>
      </c>
      <c r="AP30" s="416">
        <v>0</v>
      </c>
      <c r="AQ30" s="416">
        <v>0</v>
      </c>
      <c r="AR30" s="416">
        <v>0</v>
      </c>
      <c r="AS30" s="416">
        <v>0</v>
      </c>
      <c r="AT30" s="416">
        <v>0</v>
      </c>
      <c r="AU30" s="416">
        <v>0</v>
      </c>
      <c r="AV30" s="416">
        <v>0</v>
      </c>
      <c r="AW30" s="416">
        <v>0</v>
      </c>
      <c r="AX30" s="416">
        <v>0</v>
      </c>
      <c r="AY30" s="416">
        <v>0</v>
      </c>
      <c r="AZ30" s="416">
        <v>0</v>
      </c>
    </row>
    <row r="31" spans="1:52" x14ac:dyDescent="0.25">
      <c r="A31" s="415" t="str">
        <f t="shared" si="0"/>
        <v>SA-333 Gr.6</v>
      </c>
      <c r="B31" s="415">
        <v>26</v>
      </c>
      <c r="C31" s="415" t="s">
        <v>2673</v>
      </c>
      <c r="D31" s="415" t="s">
        <v>2703</v>
      </c>
      <c r="E31" s="415" t="s">
        <v>2172</v>
      </c>
      <c r="F31" s="415">
        <v>6</v>
      </c>
      <c r="G31" s="415" t="s">
        <v>2756</v>
      </c>
      <c r="H31" s="415">
        <v>0</v>
      </c>
      <c r="I31" s="415">
        <v>0</v>
      </c>
      <c r="J31" s="415">
        <v>1</v>
      </c>
      <c r="K31" s="415">
        <v>1</v>
      </c>
      <c r="L31" s="415">
        <v>26</v>
      </c>
      <c r="M31" s="415">
        <v>415</v>
      </c>
      <c r="N31" s="415">
        <v>240</v>
      </c>
      <c r="O31" s="415">
        <v>538</v>
      </c>
      <c r="P31" s="415" t="s">
        <v>2699</v>
      </c>
      <c r="Q31" s="415" t="s">
        <v>3514</v>
      </c>
      <c r="R31" s="415">
        <v>26</v>
      </c>
      <c r="S31" s="415">
        <v>161</v>
      </c>
      <c r="T31" s="416">
        <v>161</v>
      </c>
      <c r="U31" s="416">
        <v>151</v>
      </c>
      <c r="V31" s="416">
        <v>147</v>
      </c>
      <c r="W31" s="416">
        <v>144</v>
      </c>
      <c r="X31" s="416">
        <v>142</v>
      </c>
      <c r="Y31" s="416">
        <v>140</v>
      </c>
      <c r="Z31" s="416">
        <v>138</v>
      </c>
      <c r="AA31" s="416">
        <v>135</v>
      </c>
      <c r="AB31" s="416">
        <v>132</v>
      </c>
      <c r="AC31" s="416">
        <v>129</v>
      </c>
      <c r="AD31" s="416">
        <v>126</v>
      </c>
      <c r="AE31" s="416">
        <v>122</v>
      </c>
      <c r="AF31" s="416">
        <v>118</v>
      </c>
      <c r="AG31" s="416">
        <v>115</v>
      </c>
      <c r="AH31" s="416">
        <v>95.1</v>
      </c>
      <c r="AI31" s="416">
        <v>79.5</v>
      </c>
      <c r="AJ31" s="416">
        <v>62.6</v>
      </c>
      <c r="AK31" s="416">
        <v>45</v>
      </c>
      <c r="AL31" s="416">
        <v>26</v>
      </c>
      <c r="AM31" s="416">
        <v>31.7</v>
      </c>
      <c r="AN31" s="416">
        <v>21.4</v>
      </c>
      <c r="AO31" s="416">
        <v>14.2</v>
      </c>
      <c r="AP31" s="416">
        <v>0</v>
      </c>
      <c r="AQ31" s="416">
        <v>0</v>
      </c>
      <c r="AR31" s="416">
        <v>0</v>
      </c>
      <c r="AS31" s="416">
        <v>0</v>
      </c>
      <c r="AT31" s="416">
        <v>0</v>
      </c>
      <c r="AU31" s="416">
        <v>0</v>
      </c>
      <c r="AV31" s="416">
        <v>0</v>
      </c>
      <c r="AW31" s="416">
        <v>0</v>
      </c>
      <c r="AX31" s="416">
        <v>0</v>
      </c>
      <c r="AY31" s="416">
        <v>0</v>
      </c>
      <c r="AZ31" s="416">
        <v>0</v>
      </c>
    </row>
    <row r="32" spans="1:52" x14ac:dyDescent="0.25">
      <c r="A32" s="415" t="str">
        <f t="shared" si="0"/>
        <v>SA-372 Gr.A</v>
      </c>
      <c r="B32" s="415">
        <v>27</v>
      </c>
      <c r="C32" s="415" t="s">
        <v>2673</v>
      </c>
      <c r="D32" s="415" t="s">
        <v>2737</v>
      </c>
      <c r="E32" s="415" t="s">
        <v>2223</v>
      </c>
      <c r="F32" s="415" t="s">
        <v>12</v>
      </c>
      <c r="G32" s="415" t="s">
        <v>2761</v>
      </c>
      <c r="H32" s="415">
        <v>0</v>
      </c>
      <c r="I32" s="415">
        <v>0</v>
      </c>
      <c r="J32" s="415">
        <v>1</v>
      </c>
      <c r="K32" s="415">
        <v>1</v>
      </c>
      <c r="L32" s="415">
        <v>27</v>
      </c>
      <c r="M32" s="415">
        <v>415</v>
      </c>
      <c r="N32" s="415">
        <v>240</v>
      </c>
      <c r="O32" s="415">
        <v>343</v>
      </c>
      <c r="P32" s="415" t="s">
        <v>2699</v>
      </c>
      <c r="Q32" s="415" t="s">
        <v>3517</v>
      </c>
      <c r="R32" s="415">
        <v>27</v>
      </c>
      <c r="S32" s="415">
        <v>161</v>
      </c>
      <c r="T32" s="416">
        <v>161</v>
      </c>
      <c r="U32" s="416">
        <v>154</v>
      </c>
      <c r="V32" s="416">
        <v>146</v>
      </c>
      <c r="W32" s="416">
        <v>139</v>
      </c>
      <c r="X32" s="416">
        <v>133</v>
      </c>
      <c r="Y32" s="416">
        <v>127</v>
      </c>
      <c r="Z32" s="416">
        <v>122</v>
      </c>
      <c r="AA32" s="416">
        <v>118</v>
      </c>
      <c r="AB32" s="416">
        <v>115</v>
      </c>
      <c r="AC32" s="416">
        <v>112</v>
      </c>
      <c r="AD32" s="416">
        <v>110</v>
      </c>
      <c r="AE32" s="416">
        <v>109</v>
      </c>
      <c r="AF32" s="416">
        <v>107</v>
      </c>
      <c r="AG32" s="416">
        <v>0</v>
      </c>
      <c r="AH32" s="416">
        <v>0</v>
      </c>
      <c r="AI32" s="416">
        <v>0</v>
      </c>
      <c r="AJ32" s="416">
        <v>0</v>
      </c>
      <c r="AK32" s="416">
        <v>0</v>
      </c>
      <c r="AL32" s="416">
        <v>27</v>
      </c>
      <c r="AM32" s="416">
        <v>0</v>
      </c>
      <c r="AN32" s="416">
        <v>0</v>
      </c>
      <c r="AO32" s="416">
        <v>0</v>
      </c>
      <c r="AP32" s="416">
        <v>0</v>
      </c>
      <c r="AQ32" s="416">
        <v>0</v>
      </c>
      <c r="AR32" s="416">
        <v>0</v>
      </c>
      <c r="AS32" s="416">
        <v>0</v>
      </c>
      <c r="AT32" s="416">
        <v>0</v>
      </c>
      <c r="AU32" s="416">
        <v>0</v>
      </c>
      <c r="AV32" s="416">
        <v>0</v>
      </c>
      <c r="AW32" s="416">
        <v>0</v>
      </c>
      <c r="AX32" s="416">
        <v>0</v>
      </c>
      <c r="AY32" s="416">
        <v>0</v>
      </c>
      <c r="AZ32" s="416">
        <v>0</v>
      </c>
    </row>
    <row r="33" spans="1:52" x14ac:dyDescent="0.25">
      <c r="A33" s="415" t="str">
        <f t="shared" si="0"/>
        <v>SA-420 Gr.WPL6</v>
      </c>
      <c r="B33" s="415">
        <v>28</v>
      </c>
      <c r="C33" s="415" t="s">
        <v>2673</v>
      </c>
      <c r="D33" s="415" t="s">
        <v>913</v>
      </c>
      <c r="E33" s="415" t="s">
        <v>2235</v>
      </c>
      <c r="F33" s="415" t="s">
        <v>2613</v>
      </c>
      <c r="G33" s="415">
        <v>0</v>
      </c>
      <c r="H33" s="415">
        <v>0</v>
      </c>
      <c r="I33" s="415">
        <v>0</v>
      </c>
      <c r="J33" s="415">
        <v>1</v>
      </c>
      <c r="K33" s="415">
        <v>1</v>
      </c>
      <c r="L33" s="415">
        <v>28</v>
      </c>
      <c r="M33" s="415">
        <v>415</v>
      </c>
      <c r="N33" s="415">
        <v>240</v>
      </c>
      <c r="O33" s="415">
        <v>454</v>
      </c>
      <c r="P33" s="415" t="s">
        <v>2699</v>
      </c>
      <c r="Q33" s="415" t="s">
        <v>3514</v>
      </c>
      <c r="R33" s="415">
        <v>28</v>
      </c>
      <c r="S33" s="415">
        <v>161</v>
      </c>
      <c r="T33" s="416">
        <v>161</v>
      </c>
      <c r="U33" s="416">
        <v>151</v>
      </c>
      <c r="V33" s="416">
        <v>147</v>
      </c>
      <c r="W33" s="416">
        <v>144</v>
      </c>
      <c r="X33" s="416">
        <v>142</v>
      </c>
      <c r="Y33" s="416">
        <v>140</v>
      </c>
      <c r="Z33" s="416">
        <v>138</v>
      </c>
      <c r="AA33" s="416">
        <v>135</v>
      </c>
      <c r="AB33" s="416">
        <v>132</v>
      </c>
      <c r="AC33" s="416">
        <v>129</v>
      </c>
      <c r="AD33" s="416">
        <v>126</v>
      </c>
      <c r="AE33" s="416">
        <v>122</v>
      </c>
      <c r="AF33" s="416">
        <v>118</v>
      </c>
      <c r="AG33" s="416">
        <v>115</v>
      </c>
      <c r="AH33" s="416">
        <v>95.1</v>
      </c>
      <c r="AI33" s="416">
        <v>79.5</v>
      </c>
      <c r="AJ33" s="416">
        <v>62.6</v>
      </c>
      <c r="AK33" s="416">
        <v>45</v>
      </c>
      <c r="AL33" s="416">
        <v>28</v>
      </c>
      <c r="AM33" s="416">
        <v>0</v>
      </c>
      <c r="AN33" s="416">
        <v>0</v>
      </c>
      <c r="AO33" s="416">
        <v>0</v>
      </c>
      <c r="AP33" s="416">
        <v>0</v>
      </c>
      <c r="AQ33" s="416">
        <v>0</v>
      </c>
      <c r="AR33" s="416">
        <v>0</v>
      </c>
      <c r="AS33" s="416">
        <v>0</v>
      </c>
      <c r="AT33" s="416">
        <v>0</v>
      </c>
      <c r="AU33" s="416">
        <v>0</v>
      </c>
      <c r="AV33" s="416">
        <v>0</v>
      </c>
      <c r="AW33" s="416">
        <v>0</v>
      </c>
      <c r="AX33" s="416">
        <v>0</v>
      </c>
      <c r="AY33" s="416">
        <v>0</v>
      </c>
      <c r="AZ33" s="416">
        <v>0</v>
      </c>
    </row>
    <row r="34" spans="1:52" x14ac:dyDescent="0.25">
      <c r="A34" s="415" t="str">
        <f t="shared" si="0"/>
        <v>SA-524 Gr.I</v>
      </c>
      <c r="B34" s="415">
        <v>29</v>
      </c>
      <c r="C34" s="415" t="s">
        <v>2673</v>
      </c>
      <c r="D34" s="415" t="s">
        <v>2703</v>
      </c>
      <c r="E34" s="415" t="s">
        <v>2258</v>
      </c>
      <c r="F34" s="415" t="s">
        <v>2483</v>
      </c>
      <c r="G34" s="415" t="s">
        <v>2726</v>
      </c>
      <c r="H34" s="415">
        <v>0</v>
      </c>
      <c r="I34" s="415">
        <v>0</v>
      </c>
      <c r="J34" s="415">
        <v>1</v>
      </c>
      <c r="K34" s="415">
        <v>1</v>
      </c>
      <c r="L34" s="415">
        <v>29</v>
      </c>
      <c r="M34" s="415">
        <v>414</v>
      </c>
      <c r="N34" s="415">
        <v>240</v>
      </c>
      <c r="O34" s="415">
        <v>538</v>
      </c>
      <c r="P34" s="415" t="s">
        <v>2699</v>
      </c>
      <c r="Q34" s="415" t="s">
        <v>3514</v>
      </c>
      <c r="R34" s="415">
        <v>29</v>
      </c>
      <c r="S34" s="415">
        <v>161</v>
      </c>
      <c r="T34" s="416">
        <v>161</v>
      </c>
      <c r="U34" s="416">
        <v>151</v>
      </c>
      <c r="V34" s="416">
        <v>147</v>
      </c>
      <c r="W34" s="416">
        <v>144</v>
      </c>
      <c r="X34" s="416">
        <v>142</v>
      </c>
      <c r="Y34" s="416">
        <v>140</v>
      </c>
      <c r="Z34" s="416">
        <v>138</v>
      </c>
      <c r="AA34" s="416">
        <v>135</v>
      </c>
      <c r="AB34" s="416">
        <v>132</v>
      </c>
      <c r="AC34" s="416">
        <v>129</v>
      </c>
      <c r="AD34" s="416">
        <v>126</v>
      </c>
      <c r="AE34" s="416">
        <v>122</v>
      </c>
      <c r="AF34" s="416">
        <v>118</v>
      </c>
      <c r="AG34" s="416">
        <v>115</v>
      </c>
      <c r="AH34" s="416">
        <v>95.1</v>
      </c>
      <c r="AI34" s="416">
        <v>79.5</v>
      </c>
      <c r="AJ34" s="416">
        <v>62.6</v>
      </c>
      <c r="AK34" s="416">
        <v>45</v>
      </c>
      <c r="AL34" s="416">
        <v>29</v>
      </c>
      <c r="AM34" s="416">
        <v>31.7</v>
      </c>
      <c r="AN34" s="416">
        <v>21.4</v>
      </c>
      <c r="AO34" s="416">
        <v>14.2</v>
      </c>
      <c r="AP34" s="416">
        <v>0</v>
      </c>
      <c r="AQ34" s="416">
        <v>0</v>
      </c>
      <c r="AR34" s="416">
        <v>0</v>
      </c>
      <c r="AS34" s="416">
        <v>0</v>
      </c>
      <c r="AT34" s="416">
        <v>0</v>
      </c>
      <c r="AU34" s="416">
        <v>0</v>
      </c>
      <c r="AV34" s="416">
        <v>0</v>
      </c>
      <c r="AW34" s="416">
        <v>0</v>
      </c>
      <c r="AX34" s="416">
        <v>0</v>
      </c>
      <c r="AY34" s="416">
        <v>0</v>
      </c>
      <c r="AZ34" s="416">
        <v>0</v>
      </c>
    </row>
    <row r="35" spans="1:52" x14ac:dyDescent="0.25">
      <c r="A35" s="415" t="str">
        <f t="shared" si="0"/>
        <v>SA-727 Gr.0</v>
      </c>
      <c r="B35" s="415">
        <v>30</v>
      </c>
      <c r="C35" s="415" t="s">
        <v>2673</v>
      </c>
      <c r="D35" s="415" t="s">
        <v>2737</v>
      </c>
      <c r="E35" s="415" t="s">
        <v>2309</v>
      </c>
      <c r="F35" s="415">
        <v>0</v>
      </c>
      <c r="G35" s="415" t="s">
        <v>2769</v>
      </c>
      <c r="H35" s="415">
        <v>0</v>
      </c>
      <c r="I35" s="415">
        <v>0</v>
      </c>
      <c r="J35" s="415">
        <v>1</v>
      </c>
      <c r="K35" s="415">
        <v>1</v>
      </c>
      <c r="L35" s="415">
        <v>30</v>
      </c>
      <c r="M35" s="415">
        <v>415</v>
      </c>
      <c r="N35" s="415">
        <v>250</v>
      </c>
      <c r="O35" s="415">
        <v>538</v>
      </c>
      <c r="P35" s="415" t="s">
        <v>2699</v>
      </c>
      <c r="Q35" s="415" t="s">
        <v>3514</v>
      </c>
      <c r="R35" s="415">
        <v>30</v>
      </c>
      <c r="S35" s="415">
        <v>165</v>
      </c>
      <c r="T35" s="416">
        <v>165</v>
      </c>
      <c r="U35" s="416">
        <v>156</v>
      </c>
      <c r="V35" s="416">
        <v>151</v>
      </c>
      <c r="W35" s="416">
        <v>148</v>
      </c>
      <c r="X35" s="416">
        <v>146</v>
      </c>
      <c r="Y35" s="416">
        <v>144</v>
      </c>
      <c r="Z35" s="416">
        <v>142</v>
      </c>
      <c r="AA35" s="416">
        <v>139</v>
      </c>
      <c r="AB35" s="416">
        <v>136</v>
      </c>
      <c r="AC35" s="416">
        <v>133</v>
      </c>
      <c r="AD35" s="416">
        <v>129</v>
      </c>
      <c r="AE35" s="416">
        <v>125</v>
      </c>
      <c r="AF35" s="416">
        <v>122</v>
      </c>
      <c r="AG35" s="416">
        <v>119</v>
      </c>
      <c r="AH35" s="416">
        <v>95.1</v>
      </c>
      <c r="AI35" s="416">
        <v>79.5</v>
      </c>
      <c r="AJ35" s="416">
        <v>62.6</v>
      </c>
      <c r="AK35" s="416">
        <v>45</v>
      </c>
      <c r="AL35" s="416">
        <v>30</v>
      </c>
      <c r="AM35" s="416">
        <v>31.7</v>
      </c>
      <c r="AN35" s="416">
        <v>21.4</v>
      </c>
      <c r="AO35" s="416">
        <v>14.2</v>
      </c>
      <c r="AP35" s="416">
        <v>0</v>
      </c>
      <c r="AQ35" s="416">
        <v>0</v>
      </c>
      <c r="AR35" s="416">
        <v>0</v>
      </c>
      <c r="AS35" s="416">
        <v>0</v>
      </c>
      <c r="AT35" s="416">
        <v>0</v>
      </c>
      <c r="AU35" s="416">
        <v>0</v>
      </c>
      <c r="AV35" s="416">
        <v>0</v>
      </c>
      <c r="AW35" s="416">
        <v>0</v>
      </c>
      <c r="AX35" s="416">
        <v>0</v>
      </c>
      <c r="AY35" s="416">
        <v>0</v>
      </c>
      <c r="AZ35" s="416">
        <v>0</v>
      </c>
    </row>
    <row r="36" spans="1:52" x14ac:dyDescent="0.25">
      <c r="A36" s="415" t="str">
        <f t="shared" si="0"/>
        <v>SA-178 Gr.C</v>
      </c>
      <c r="B36" s="415">
        <v>31</v>
      </c>
      <c r="C36" s="415" t="s">
        <v>2673</v>
      </c>
      <c r="D36" s="415" t="s">
        <v>2689</v>
      </c>
      <c r="E36" s="415" t="s">
        <v>2185</v>
      </c>
      <c r="F36" s="415" t="s">
        <v>2348</v>
      </c>
      <c r="G36" s="415" t="s">
        <v>2770</v>
      </c>
      <c r="H36" s="415">
        <v>0</v>
      </c>
      <c r="I36" s="415">
        <v>0</v>
      </c>
      <c r="J36" s="415">
        <v>1</v>
      </c>
      <c r="K36" s="415">
        <v>1</v>
      </c>
      <c r="L36" s="415">
        <v>31</v>
      </c>
      <c r="M36" s="415">
        <v>415</v>
      </c>
      <c r="N36" s="415">
        <v>255</v>
      </c>
      <c r="O36" s="415">
        <v>538</v>
      </c>
      <c r="P36" s="415" t="s">
        <v>2699</v>
      </c>
      <c r="Q36" s="415" t="s">
        <v>3518</v>
      </c>
      <c r="R36" s="415">
        <v>31</v>
      </c>
      <c r="S36" s="415">
        <v>145</v>
      </c>
      <c r="T36" s="416">
        <v>145</v>
      </c>
      <c r="U36" s="416">
        <v>136</v>
      </c>
      <c r="V36" s="416">
        <v>132</v>
      </c>
      <c r="W36" s="416">
        <v>130</v>
      </c>
      <c r="X36" s="416">
        <v>128</v>
      </c>
      <c r="Y36" s="416">
        <v>126</v>
      </c>
      <c r="Z36" s="416">
        <v>124</v>
      </c>
      <c r="AA36" s="416">
        <v>122</v>
      </c>
      <c r="AB36" s="416">
        <v>119</v>
      </c>
      <c r="AC36" s="416">
        <v>116</v>
      </c>
      <c r="AD36" s="416">
        <v>113</v>
      </c>
      <c r="AE36" s="416">
        <v>110</v>
      </c>
      <c r="AF36" s="416">
        <v>106</v>
      </c>
      <c r="AG36" s="416">
        <v>104</v>
      </c>
      <c r="AH36" s="416">
        <v>80.8</v>
      </c>
      <c r="AI36" s="416">
        <v>67.599999999999994</v>
      </c>
      <c r="AJ36" s="416">
        <v>53.2</v>
      </c>
      <c r="AK36" s="416">
        <v>38.299999999999997</v>
      </c>
      <c r="AL36" s="416">
        <v>31</v>
      </c>
      <c r="AM36" s="416">
        <v>27</v>
      </c>
      <c r="AN36" s="416">
        <v>18.2</v>
      </c>
      <c r="AO36" s="416">
        <v>12</v>
      </c>
      <c r="AP36" s="416">
        <v>0</v>
      </c>
      <c r="AQ36" s="416">
        <v>0</v>
      </c>
      <c r="AR36" s="416">
        <v>0</v>
      </c>
      <c r="AS36" s="416">
        <v>0</v>
      </c>
      <c r="AT36" s="416">
        <v>0</v>
      </c>
      <c r="AU36" s="416">
        <v>0</v>
      </c>
      <c r="AV36" s="416">
        <v>0</v>
      </c>
      <c r="AW36" s="416">
        <v>0</v>
      </c>
      <c r="AX36" s="416">
        <v>0</v>
      </c>
      <c r="AY36" s="416">
        <v>0</v>
      </c>
      <c r="AZ36" s="416">
        <v>0</v>
      </c>
    </row>
    <row r="37" spans="1:52" x14ac:dyDescent="0.25">
      <c r="A37" s="415" t="str">
        <f t="shared" si="0"/>
        <v>SA-210 Gr.A-1</v>
      </c>
      <c r="B37" s="415">
        <v>32</v>
      </c>
      <c r="C37" s="415" t="s">
        <v>2673</v>
      </c>
      <c r="D37" s="415" t="s">
        <v>2693</v>
      </c>
      <c r="E37" s="415" t="s">
        <v>2194</v>
      </c>
      <c r="F37" s="415" t="s">
        <v>2319</v>
      </c>
      <c r="G37" s="415" t="s">
        <v>2773</v>
      </c>
      <c r="H37" s="415">
        <v>0</v>
      </c>
      <c r="I37" s="415">
        <v>0</v>
      </c>
      <c r="J37" s="415">
        <v>1</v>
      </c>
      <c r="K37" s="415">
        <v>1</v>
      </c>
      <c r="L37" s="415">
        <v>32</v>
      </c>
      <c r="M37" s="415">
        <v>415</v>
      </c>
      <c r="N37" s="415">
        <v>255</v>
      </c>
      <c r="O37" s="415">
        <v>538</v>
      </c>
      <c r="P37" s="415" t="s">
        <v>2699</v>
      </c>
      <c r="Q37" s="415" t="s">
        <v>3514</v>
      </c>
      <c r="R37" s="415">
        <v>32</v>
      </c>
      <c r="S37" s="415">
        <v>170</v>
      </c>
      <c r="T37" s="416">
        <v>170</v>
      </c>
      <c r="U37" s="416">
        <v>160</v>
      </c>
      <c r="V37" s="416">
        <v>155</v>
      </c>
      <c r="W37" s="416">
        <v>153</v>
      </c>
      <c r="X37" s="416">
        <v>150</v>
      </c>
      <c r="Y37" s="416">
        <v>148</v>
      </c>
      <c r="Z37" s="416">
        <v>146</v>
      </c>
      <c r="AA37" s="416">
        <v>143</v>
      </c>
      <c r="AB37" s="416">
        <v>140</v>
      </c>
      <c r="AC37" s="416">
        <v>136</v>
      </c>
      <c r="AD37" s="416">
        <v>133</v>
      </c>
      <c r="AE37" s="416">
        <v>129</v>
      </c>
      <c r="AF37" s="416">
        <v>125</v>
      </c>
      <c r="AG37" s="416">
        <v>122</v>
      </c>
      <c r="AH37" s="416">
        <v>95.1</v>
      </c>
      <c r="AI37" s="416">
        <v>79.5</v>
      </c>
      <c r="AJ37" s="416">
        <v>62.6</v>
      </c>
      <c r="AK37" s="416">
        <v>45</v>
      </c>
      <c r="AL37" s="416">
        <v>32</v>
      </c>
      <c r="AM37" s="416">
        <v>31.7</v>
      </c>
      <c r="AN37" s="416">
        <v>21.4</v>
      </c>
      <c r="AO37" s="416">
        <v>14.2</v>
      </c>
      <c r="AP37" s="416">
        <v>0</v>
      </c>
      <c r="AQ37" s="416">
        <v>0</v>
      </c>
      <c r="AR37" s="416">
        <v>0</v>
      </c>
      <c r="AS37" s="416">
        <v>0</v>
      </c>
      <c r="AT37" s="416">
        <v>0</v>
      </c>
      <c r="AU37" s="416">
        <v>0</v>
      </c>
      <c r="AV37" s="416">
        <v>0</v>
      </c>
      <c r="AW37" s="416">
        <v>0</v>
      </c>
      <c r="AX37" s="416">
        <v>0</v>
      </c>
      <c r="AY37" s="416">
        <v>0</v>
      </c>
      <c r="AZ37" s="416">
        <v>0</v>
      </c>
    </row>
    <row r="38" spans="1:52" x14ac:dyDescent="0.25">
      <c r="A38" s="415" t="str">
        <f t="shared" si="0"/>
        <v>SA-675 Gr.65</v>
      </c>
      <c r="B38" s="415">
        <v>33</v>
      </c>
      <c r="C38" s="415" t="s">
        <v>2673</v>
      </c>
      <c r="D38" s="415" t="s">
        <v>3509</v>
      </c>
      <c r="E38" s="415" t="s">
        <v>2299</v>
      </c>
      <c r="F38" s="415">
        <v>65</v>
      </c>
      <c r="G38" s="415">
        <v>0</v>
      </c>
      <c r="H38" s="415">
        <v>0</v>
      </c>
      <c r="I38" s="415">
        <v>0</v>
      </c>
      <c r="J38" s="415">
        <v>1</v>
      </c>
      <c r="K38" s="415">
        <v>1</v>
      </c>
      <c r="L38" s="415">
        <v>33</v>
      </c>
      <c r="M38" s="415">
        <v>450</v>
      </c>
      <c r="N38" s="415">
        <v>225</v>
      </c>
      <c r="O38" s="415">
        <v>538</v>
      </c>
      <c r="P38" s="415" t="s">
        <v>2699</v>
      </c>
      <c r="Q38" s="415" t="s">
        <v>3511</v>
      </c>
      <c r="R38" s="415">
        <v>33</v>
      </c>
      <c r="S38" s="415">
        <v>149</v>
      </c>
      <c r="T38" s="416">
        <v>149</v>
      </c>
      <c r="U38" s="416">
        <v>140</v>
      </c>
      <c r="V38" s="416">
        <v>136</v>
      </c>
      <c r="W38" s="416">
        <v>134</v>
      </c>
      <c r="X38" s="416">
        <v>132</v>
      </c>
      <c r="Y38" s="416">
        <v>130</v>
      </c>
      <c r="Z38" s="416">
        <v>128</v>
      </c>
      <c r="AA38" s="416">
        <v>126</v>
      </c>
      <c r="AB38" s="416">
        <v>123</v>
      </c>
      <c r="AC38" s="416">
        <v>120</v>
      </c>
      <c r="AD38" s="416">
        <v>117</v>
      </c>
      <c r="AE38" s="416">
        <v>113</v>
      </c>
      <c r="AF38" s="416">
        <v>110</v>
      </c>
      <c r="AG38" s="416">
        <v>106</v>
      </c>
      <c r="AH38" s="416">
        <v>95.1</v>
      </c>
      <c r="AI38" s="416">
        <v>79.5</v>
      </c>
      <c r="AJ38" s="416">
        <v>64.400000000000006</v>
      </c>
      <c r="AK38" s="416">
        <v>47.7</v>
      </c>
      <c r="AL38" s="416">
        <v>33</v>
      </c>
      <c r="AM38" s="416">
        <v>32.5</v>
      </c>
      <c r="AN38" s="416">
        <v>21.4</v>
      </c>
      <c r="AO38" s="416">
        <v>14.2</v>
      </c>
      <c r="AP38" s="416">
        <v>0</v>
      </c>
      <c r="AQ38" s="416">
        <v>0</v>
      </c>
      <c r="AR38" s="416">
        <v>0</v>
      </c>
      <c r="AS38" s="416">
        <v>0</v>
      </c>
      <c r="AT38" s="416">
        <v>0</v>
      </c>
      <c r="AU38" s="416">
        <v>0</v>
      </c>
      <c r="AV38" s="416">
        <v>0</v>
      </c>
      <c r="AW38" s="416">
        <v>0</v>
      </c>
      <c r="AX38" s="416">
        <v>0</v>
      </c>
      <c r="AY38" s="416">
        <v>0</v>
      </c>
      <c r="AZ38" s="416">
        <v>0</v>
      </c>
    </row>
    <row r="39" spans="1:52" x14ac:dyDescent="0.25">
      <c r="A39" s="415" t="str">
        <f t="shared" si="0"/>
        <v>SA-352 Gr.LCB</v>
      </c>
      <c r="B39" s="415">
        <v>34</v>
      </c>
      <c r="C39" s="415" t="s">
        <v>2673</v>
      </c>
      <c r="D39" s="415" t="s">
        <v>2739</v>
      </c>
      <c r="E39" s="415" t="s">
        <v>2214</v>
      </c>
      <c r="F39" s="415" t="s">
        <v>2499</v>
      </c>
      <c r="G39" s="415" t="s">
        <v>2784</v>
      </c>
      <c r="H39" s="415">
        <v>0</v>
      </c>
      <c r="I39" s="415">
        <v>0</v>
      </c>
      <c r="J39" s="415">
        <v>1</v>
      </c>
      <c r="K39" s="415">
        <v>1</v>
      </c>
      <c r="L39" s="415">
        <v>34</v>
      </c>
      <c r="M39" s="415">
        <v>450</v>
      </c>
      <c r="N39" s="415">
        <v>240</v>
      </c>
      <c r="O39" s="415">
        <v>343</v>
      </c>
      <c r="P39" s="415" t="s">
        <v>2699</v>
      </c>
      <c r="Q39" s="415">
        <v>0</v>
      </c>
      <c r="R39" s="415">
        <v>34</v>
      </c>
      <c r="S39" s="415">
        <v>161</v>
      </c>
      <c r="T39" s="416">
        <v>161</v>
      </c>
      <c r="U39" s="416">
        <v>151</v>
      </c>
      <c r="V39" s="416">
        <v>147</v>
      </c>
      <c r="W39" s="416">
        <v>144</v>
      </c>
      <c r="X39" s="416">
        <v>142</v>
      </c>
      <c r="Y39" s="416">
        <v>140</v>
      </c>
      <c r="Z39" s="416">
        <v>138</v>
      </c>
      <c r="AA39" s="416">
        <v>135</v>
      </c>
      <c r="AB39" s="416">
        <v>132</v>
      </c>
      <c r="AC39" s="416">
        <v>129</v>
      </c>
      <c r="AD39" s="416">
        <v>126</v>
      </c>
      <c r="AE39" s="416">
        <v>122</v>
      </c>
      <c r="AF39" s="416">
        <v>118</v>
      </c>
      <c r="AG39" s="416">
        <v>0</v>
      </c>
      <c r="AH39" s="416">
        <v>0</v>
      </c>
      <c r="AI39" s="416">
        <v>0</v>
      </c>
      <c r="AJ39" s="416">
        <v>0</v>
      </c>
      <c r="AK39" s="416">
        <v>0</v>
      </c>
      <c r="AL39" s="416">
        <v>34</v>
      </c>
      <c r="AM39" s="416">
        <v>0</v>
      </c>
      <c r="AN39" s="416">
        <v>0</v>
      </c>
      <c r="AO39" s="416">
        <v>0</v>
      </c>
      <c r="AP39" s="416">
        <v>0</v>
      </c>
      <c r="AQ39" s="416">
        <v>0</v>
      </c>
      <c r="AR39" s="416">
        <v>0</v>
      </c>
      <c r="AS39" s="416">
        <v>0</v>
      </c>
      <c r="AT39" s="416">
        <v>0</v>
      </c>
      <c r="AU39" s="416">
        <v>0</v>
      </c>
      <c r="AV39" s="416">
        <v>0</v>
      </c>
      <c r="AW39" s="416">
        <v>0</v>
      </c>
      <c r="AX39" s="416">
        <v>0</v>
      </c>
      <c r="AY39" s="416">
        <v>0</v>
      </c>
      <c r="AZ39" s="416">
        <v>0</v>
      </c>
    </row>
    <row r="40" spans="1:52" x14ac:dyDescent="0.25">
      <c r="A40" s="415" t="str">
        <f t="shared" si="0"/>
        <v>SA-515 Gr.65</v>
      </c>
      <c r="B40" s="415">
        <v>35</v>
      </c>
      <c r="C40" s="415" t="s">
        <v>2673</v>
      </c>
      <c r="D40" s="415" t="s">
        <v>2684</v>
      </c>
      <c r="E40" s="415" t="s">
        <v>2251</v>
      </c>
      <c r="F40" s="415">
        <v>65</v>
      </c>
      <c r="G40" s="415" t="s">
        <v>2786</v>
      </c>
      <c r="H40" s="415">
        <v>0</v>
      </c>
      <c r="I40" s="415">
        <v>0</v>
      </c>
      <c r="J40" s="415">
        <v>1</v>
      </c>
      <c r="K40" s="415">
        <v>1</v>
      </c>
      <c r="L40" s="415">
        <v>35</v>
      </c>
      <c r="M40" s="415">
        <v>450</v>
      </c>
      <c r="N40" s="415">
        <v>240</v>
      </c>
      <c r="O40" s="415">
        <v>538</v>
      </c>
      <c r="P40" s="415" t="s">
        <v>2699</v>
      </c>
      <c r="Q40" s="415" t="s">
        <v>3514</v>
      </c>
      <c r="R40" s="415">
        <v>35</v>
      </c>
      <c r="S40" s="415">
        <v>161</v>
      </c>
      <c r="T40" s="416">
        <v>161</v>
      </c>
      <c r="U40" s="416">
        <v>151</v>
      </c>
      <c r="V40" s="416">
        <v>147</v>
      </c>
      <c r="W40" s="416">
        <v>144</v>
      </c>
      <c r="X40" s="416">
        <v>142</v>
      </c>
      <c r="Y40" s="416">
        <v>140</v>
      </c>
      <c r="Z40" s="416">
        <v>138</v>
      </c>
      <c r="AA40" s="416">
        <v>135</v>
      </c>
      <c r="AB40" s="416">
        <v>132</v>
      </c>
      <c r="AC40" s="416">
        <v>129</v>
      </c>
      <c r="AD40" s="416">
        <v>126</v>
      </c>
      <c r="AE40" s="416">
        <v>122</v>
      </c>
      <c r="AF40" s="416">
        <v>118</v>
      </c>
      <c r="AG40" s="416">
        <v>113</v>
      </c>
      <c r="AH40" s="416">
        <v>95.1</v>
      </c>
      <c r="AI40" s="416">
        <v>79.5</v>
      </c>
      <c r="AJ40" s="416">
        <v>64.400000000000006</v>
      </c>
      <c r="AK40" s="416">
        <v>47.7</v>
      </c>
      <c r="AL40" s="416">
        <v>35</v>
      </c>
      <c r="AM40" s="416">
        <v>32.5</v>
      </c>
      <c r="AN40" s="416">
        <v>21.4</v>
      </c>
      <c r="AO40" s="416">
        <v>14.2</v>
      </c>
      <c r="AP40" s="416">
        <v>0</v>
      </c>
      <c r="AQ40" s="416">
        <v>0</v>
      </c>
      <c r="AR40" s="416">
        <v>0</v>
      </c>
      <c r="AS40" s="416">
        <v>0</v>
      </c>
      <c r="AT40" s="416">
        <v>0</v>
      </c>
      <c r="AU40" s="416">
        <v>0</v>
      </c>
      <c r="AV40" s="416">
        <v>0</v>
      </c>
      <c r="AW40" s="416">
        <v>0</v>
      </c>
      <c r="AX40" s="416">
        <v>0</v>
      </c>
      <c r="AY40" s="416">
        <v>0</v>
      </c>
      <c r="AZ40" s="416">
        <v>0</v>
      </c>
    </row>
    <row r="41" spans="1:52" x14ac:dyDescent="0.25">
      <c r="A41" s="415" t="str">
        <f t="shared" si="0"/>
        <v>SA-516 Gr.65</v>
      </c>
      <c r="B41" s="415">
        <v>36</v>
      </c>
      <c r="C41" s="415" t="s">
        <v>2673</v>
      </c>
      <c r="D41" s="415" t="s">
        <v>2684</v>
      </c>
      <c r="E41" s="415" t="s">
        <v>2151</v>
      </c>
      <c r="F41" s="415">
        <v>65</v>
      </c>
      <c r="G41" s="415" t="s">
        <v>2787</v>
      </c>
      <c r="H41" s="415">
        <v>0</v>
      </c>
      <c r="I41" s="415">
        <v>0</v>
      </c>
      <c r="J41" s="415">
        <v>1</v>
      </c>
      <c r="K41" s="415">
        <v>1</v>
      </c>
      <c r="L41" s="415">
        <v>36</v>
      </c>
      <c r="M41" s="415">
        <v>450</v>
      </c>
      <c r="N41" s="415">
        <v>240</v>
      </c>
      <c r="O41" s="415">
        <v>538</v>
      </c>
      <c r="P41" s="415" t="s">
        <v>2699</v>
      </c>
      <c r="Q41" s="415" t="s">
        <v>3514</v>
      </c>
      <c r="R41" s="415">
        <v>36</v>
      </c>
      <c r="S41" s="415">
        <v>161</v>
      </c>
      <c r="T41" s="416">
        <v>161</v>
      </c>
      <c r="U41" s="416">
        <v>151</v>
      </c>
      <c r="V41" s="416">
        <v>147</v>
      </c>
      <c r="W41" s="416">
        <v>144</v>
      </c>
      <c r="X41" s="416">
        <v>142</v>
      </c>
      <c r="Y41" s="416">
        <v>140</v>
      </c>
      <c r="Z41" s="416">
        <v>138</v>
      </c>
      <c r="AA41" s="416">
        <v>135</v>
      </c>
      <c r="AB41" s="416">
        <v>132</v>
      </c>
      <c r="AC41" s="416">
        <v>129</v>
      </c>
      <c r="AD41" s="416">
        <v>126</v>
      </c>
      <c r="AE41" s="416">
        <v>122</v>
      </c>
      <c r="AF41" s="416">
        <v>118</v>
      </c>
      <c r="AG41" s="416">
        <v>113</v>
      </c>
      <c r="AH41" s="416">
        <v>95.1</v>
      </c>
      <c r="AI41" s="416">
        <v>79.5</v>
      </c>
      <c r="AJ41" s="416">
        <v>64.400000000000006</v>
      </c>
      <c r="AK41" s="416">
        <v>47.7</v>
      </c>
      <c r="AL41" s="416">
        <v>36</v>
      </c>
      <c r="AM41" s="416">
        <v>32.5</v>
      </c>
      <c r="AN41" s="416">
        <v>21.4</v>
      </c>
      <c r="AO41" s="416">
        <v>14.2</v>
      </c>
      <c r="AP41" s="416">
        <v>0</v>
      </c>
      <c r="AQ41" s="416">
        <v>0</v>
      </c>
      <c r="AR41" s="416">
        <v>0</v>
      </c>
      <c r="AS41" s="416">
        <v>0</v>
      </c>
      <c r="AT41" s="416">
        <v>0</v>
      </c>
      <c r="AU41" s="416">
        <v>0</v>
      </c>
      <c r="AV41" s="416">
        <v>0</v>
      </c>
      <c r="AW41" s="416">
        <v>0</v>
      </c>
      <c r="AX41" s="416">
        <v>0</v>
      </c>
      <c r="AY41" s="416">
        <v>0</v>
      </c>
      <c r="AZ41" s="416">
        <v>0</v>
      </c>
    </row>
    <row r="42" spans="1:52" x14ac:dyDescent="0.25">
      <c r="A42" s="415" t="str">
        <f t="shared" si="0"/>
        <v>SA-662 Gr.B</v>
      </c>
      <c r="B42" s="415">
        <v>37</v>
      </c>
      <c r="C42" s="415" t="s">
        <v>2673</v>
      </c>
      <c r="D42" s="415" t="s">
        <v>2684</v>
      </c>
      <c r="E42" s="415" t="s">
        <v>2291</v>
      </c>
      <c r="F42" s="415" t="s">
        <v>1864</v>
      </c>
      <c r="G42" s="415" t="s">
        <v>2789</v>
      </c>
      <c r="H42" s="415">
        <v>0</v>
      </c>
      <c r="I42" s="415">
        <v>0</v>
      </c>
      <c r="J42" s="415">
        <v>1</v>
      </c>
      <c r="K42" s="415">
        <v>1</v>
      </c>
      <c r="L42" s="415">
        <v>37</v>
      </c>
      <c r="M42" s="415">
        <v>450</v>
      </c>
      <c r="N42" s="415">
        <v>275</v>
      </c>
      <c r="O42" s="415">
        <v>371</v>
      </c>
      <c r="P42" s="415" t="s">
        <v>2699</v>
      </c>
      <c r="Q42" s="415" t="s">
        <v>2548</v>
      </c>
      <c r="R42" s="415">
        <v>37</v>
      </c>
      <c r="S42" s="415">
        <v>184</v>
      </c>
      <c r="T42" s="416">
        <v>184</v>
      </c>
      <c r="U42" s="416">
        <v>173</v>
      </c>
      <c r="V42" s="416">
        <v>168</v>
      </c>
      <c r="W42" s="416">
        <v>165</v>
      </c>
      <c r="X42" s="416">
        <v>163</v>
      </c>
      <c r="Y42" s="416">
        <v>160</v>
      </c>
      <c r="Z42" s="416">
        <v>158</v>
      </c>
      <c r="AA42" s="416">
        <v>155</v>
      </c>
      <c r="AB42" s="416">
        <v>151</v>
      </c>
      <c r="AC42" s="416">
        <v>148</v>
      </c>
      <c r="AD42" s="416">
        <v>144</v>
      </c>
      <c r="AE42" s="416">
        <v>139</v>
      </c>
      <c r="AF42" s="416">
        <v>135</v>
      </c>
      <c r="AG42" s="416">
        <v>132</v>
      </c>
      <c r="AH42" s="416">
        <v>95.1</v>
      </c>
      <c r="AI42" s="416">
        <v>0</v>
      </c>
      <c r="AJ42" s="416">
        <v>0</v>
      </c>
      <c r="AK42" s="416">
        <v>0</v>
      </c>
      <c r="AL42" s="416">
        <v>37</v>
      </c>
      <c r="AM42" s="416">
        <v>0</v>
      </c>
      <c r="AN42" s="416">
        <v>0</v>
      </c>
      <c r="AO42" s="416">
        <v>0</v>
      </c>
      <c r="AP42" s="416">
        <v>0</v>
      </c>
      <c r="AQ42" s="416">
        <v>0</v>
      </c>
      <c r="AR42" s="416">
        <v>0</v>
      </c>
      <c r="AS42" s="416">
        <v>0</v>
      </c>
      <c r="AT42" s="416">
        <v>0</v>
      </c>
      <c r="AU42" s="416">
        <v>0</v>
      </c>
      <c r="AV42" s="416">
        <v>0</v>
      </c>
      <c r="AW42" s="416">
        <v>0</v>
      </c>
      <c r="AX42" s="416">
        <v>0</v>
      </c>
      <c r="AY42" s="416">
        <v>0</v>
      </c>
      <c r="AZ42" s="416">
        <v>0</v>
      </c>
    </row>
    <row r="43" spans="1:52" x14ac:dyDescent="0.25">
      <c r="A43" s="415" t="str">
        <f t="shared" si="0"/>
        <v>SA-537 Gr.0</v>
      </c>
      <c r="B43" s="415">
        <v>38</v>
      </c>
      <c r="C43" s="415" t="s">
        <v>2673</v>
      </c>
      <c r="D43" s="415" t="s">
        <v>2684</v>
      </c>
      <c r="E43" s="415" t="s">
        <v>2262</v>
      </c>
      <c r="F43" s="415">
        <v>0</v>
      </c>
      <c r="G43" s="415" t="s">
        <v>2791</v>
      </c>
      <c r="H43" s="415">
        <v>1</v>
      </c>
      <c r="I43" s="415" t="s">
        <v>2792</v>
      </c>
      <c r="J43" s="415">
        <v>1</v>
      </c>
      <c r="K43" s="415">
        <v>2</v>
      </c>
      <c r="L43" s="415">
        <v>38</v>
      </c>
      <c r="M43" s="415">
        <v>450</v>
      </c>
      <c r="N43" s="415">
        <v>310</v>
      </c>
      <c r="O43" s="415">
        <v>371</v>
      </c>
      <c r="P43" s="415" t="s">
        <v>2699</v>
      </c>
      <c r="Q43" s="415">
        <v>0</v>
      </c>
      <c r="R43" s="415">
        <v>38</v>
      </c>
      <c r="S43" s="415">
        <v>187</v>
      </c>
      <c r="T43" s="416">
        <v>187</v>
      </c>
      <c r="U43" s="416">
        <v>187</v>
      </c>
      <c r="V43" s="416">
        <v>181</v>
      </c>
      <c r="W43" s="416">
        <v>174</v>
      </c>
      <c r="X43" s="416">
        <v>167</v>
      </c>
      <c r="Y43" s="416">
        <v>162</v>
      </c>
      <c r="Z43" s="416">
        <v>156</v>
      </c>
      <c r="AA43" s="416">
        <v>152</v>
      </c>
      <c r="AB43" s="416">
        <v>148</v>
      </c>
      <c r="AC43" s="416">
        <v>144</v>
      </c>
      <c r="AD43" s="416">
        <v>141</v>
      </c>
      <c r="AE43" s="416">
        <v>138</v>
      </c>
      <c r="AF43" s="416">
        <v>138</v>
      </c>
      <c r="AG43" s="416">
        <v>134</v>
      </c>
      <c r="AH43" s="416">
        <v>0</v>
      </c>
      <c r="AI43" s="416">
        <v>0</v>
      </c>
      <c r="AJ43" s="416">
        <v>0</v>
      </c>
      <c r="AK43" s="416">
        <v>0</v>
      </c>
      <c r="AL43" s="416">
        <v>38</v>
      </c>
      <c r="AM43" s="416">
        <v>0</v>
      </c>
      <c r="AN43" s="416">
        <v>0</v>
      </c>
      <c r="AO43" s="416">
        <v>0</v>
      </c>
      <c r="AP43" s="416">
        <v>0</v>
      </c>
      <c r="AQ43" s="416">
        <v>0</v>
      </c>
      <c r="AR43" s="416">
        <v>0</v>
      </c>
      <c r="AS43" s="416">
        <v>0</v>
      </c>
      <c r="AT43" s="416">
        <v>0</v>
      </c>
      <c r="AU43" s="416">
        <v>0</v>
      </c>
      <c r="AV43" s="416">
        <v>0</v>
      </c>
      <c r="AW43" s="416">
        <v>0</v>
      </c>
      <c r="AX43" s="416">
        <v>0</v>
      </c>
      <c r="AY43" s="416">
        <v>0</v>
      </c>
      <c r="AZ43" s="416">
        <v>0</v>
      </c>
    </row>
    <row r="44" spans="1:52" x14ac:dyDescent="0.25">
      <c r="A44" s="415" t="str">
        <f t="shared" si="0"/>
        <v>SA-675 Gr.70</v>
      </c>
      <c r="B44" s="415">
        <v>39</v>
      </c>
      <c r="C44" s="415" t="s">
        <v>2673</v>
      </c>
      <c r="D44" s="415" t="s">
        <v>3509</v>
      </c>
      <c r="E44" s="415" t="s">
        <v>2299</v>
      </c>
      <c r="F44" s="415">
        <v>70</v>
      </c>
      <c r="G44" s="415">
        <v>0</v>
      </c>
      <c r="H44" s="415">
        <v>0</v>
      </c>
      <c r="I44" s="415">
        <v>0</v>
      </c>
      <c r="J44" s="415">
        <v>1</v>
      </c>
      <c r="K44" s="415">
        <v>1</v>
      </c>
      <c r="L44" s="415">
        <v>39</v>
      </c>
      <c r="M44" s="415">
        <v>485</v>
      </c>
      <c r="N44" s="415">
        <v>240</v>
      </c>
      <c r="O44" s="415">
        <v>538</v>
      </c>
      <c r="P44" s="415" t="s">
        <v>2699</v>
      </c>
      <c r="Q44" s="415" t="s">
        <v>3511</v>
      </c>
      <c r="R44" s="415">
        <v>39</v>
      </c>
      <c r="S44" s="415">
        <v>161</v>
      </c>
      <c r="T44" s="416">
        <v>161</v>
      </c>
      <c r="U44" s="416">
        <v>151</v>
      </c>
      <c r="V44" s="416">
        <v>147</v>
      </c>
      <c r="W44" s="416">
        <v>144</v>
      </c>
      <c r="X44" s="416">
        <v>142</v>
      </c>
      <c r="Y44" s="416">
        <v>140</v>
      </c>
      <c r="Z44" s="416">
        <v>138</v>
      </c>
      <c r="AA44" s="416">
        <v>135</v>
      </c>
      <c r="AB44" s="416">
        <v>132</v>
      </c>
      <c r="AC44" s="416">
        <v>129</v>
      </c>
      <c r="AD44" s="416">
        <v>126</v>
      </c>
      <c r="AE44" s="416">
        <v>122</v>
      </c>
      <c r="AF44" s="416">
        <v>118</v>
      </c>
      <c r="AG44" s="416">
        <v>115</v>
      </c>
      <c r="AH44" s="416">
        <v>101</v>
      </c>
      <c r="AI44" s="416">
        <v>83.8</v>
      </c>
      <c r="AJ44" s="416">
        <v>66.8</v>
      </c>
      <c r="AK44" s="416">
        <v>50.3</v>
      </c>
      <c r="AL44" s="416">
        <v>39</v>
      </c>
      <c r="AM44" s="416">
        <v>33.200000000000003</v>
      </c>
      <c r="AN44" s="416">
        <v>21.4</v>
      </c>
      <c r="AO44" s="416">
        <v>14.2</v>
      </c>
      <c r="AP44" s="416">
        <v>0</v>
      </c>
      <c r="AQ44" s="416">
        <v>0</v>
      </c>
      <c r="AR44" s="416">
        <v>0</v>
      </c>
      <c r="AS44" s="416">
        <v>0</v>
      </c>
      <c r="AT44" s="416">
        <v>0</v>
      </c>
      <c r="AU44" s="416">
        <v>0</v>
      </c>
      <c r="AV44" s="416">
        <v>0</v>
      </c>
      <c r="AW44" s="416">
        <v>0</v>
      </c>
      <c r="AX44" s="416">
        <v>0</v>
      </c>
      <c r="AY44" s="416">
        <v>0</v>
      </c>
      <c r="AZ44" s="416">
        <v>0</v>
      </c>
    </row>
    <row r="45" spans="1:52" x14ac:dyDescent="0.25">
      <c r="A45" s="415" t="str">
        <f t="shared" si="0"/>
        <v>SA-105 Gr.0</v>
      </c>
      <c r="B45" s="415">
        <v>40</v>
      </c>
      <c r="C45" s="415" t="s">
        <v>2673</v>
      </c>
      <c r="D45" s="415" t="s">
        <v>2737</v>
      </c>
      <c r="E45" s="415" t="s">
        <v>2181</v>
      </c>
      <c r="F45" s="415">
        <v>0</v>
      </c>
      <c r="G45" s="415" t="s">
        <v>2765</v>
      </c>
      <c r="H45" s="415">
        <v>0</v>
      </c>
      <c r="I45" s="415">
        <v>0</v>
      </c>
      <c r="J45" s="415">
        <v>1</v>
      </c>
      <c r="K45" s="415">
        <v>2</v>
      </c>
      <c r="L45" s="415">
        <v>40</v>
      </c>
      <c r="M45" s="415">
        <v>485</v>
      </c>
      <c r="N45" s="415">
        <v>250</v>
      </c>
      <c r="O45" s="415">
        <v>538</v>
      </c>
      <c r="P45" s="415" t="s">
        <v>2699</v>
      </c>
      <c r="Q45" s="415" t="s">
        <v>3511</v>
      </c>
      <c r="R45" s="415">
        <v>40</v>
      </c>
      <c r="S45" s="415">
        <v>165</v>
      </c>
      <c r="T45" s="416">
        <v>165</v>
      </c>
      <c r="U45" s="416">
        <v>156</v>
      </c>
      <c r="V45" s="416">
        <v>151</v>
      </c>
      <c r="W45" s="416">
        <v>148</v>
      </c>
      <c r="X45" s="416">
        <v>146</v>
      </c>
      <c r="Y45" s="416">
        <v>144</v>
      </c>
      <c r="Z45" s="416">
        <v>142</v>
      </c>
      <c r="AA45" s="416">
        <v>139</v>
      </c>
      <c r="AB45" s="416">
        <v>136</v>
      </c>
      <c r="AC45" s="416">
        <v>133</v>
      </c>
      <c r="AD45" s="416">
        <v>129</v>
      </c>
      <c r="AE45" s="416">
        <v>125</v>
      </c>
      <c r="AF45" s="416">
        <v>122</v>
      </c>
      <c r="AG45" s="416">
        <v>118</v>
      </c>
      <c r="AH45" s="416">
        <v>101</v>
      </c>
      <c r="AI45" s="416">
        <v>83.8</v>
      </c>
      <c r="AJ45" s="416">
        <v>66.8</v>
      </c>
      <c r="AK45" s="416">
        <v>50.3</v>
      </c>
      <c r="AL45" s="416">
        <v>40</v>
      </c>
      <c r="AM45" s="416">
        <v>33.200000000000003</v>
      </c>
      <c r="AN45" s="416">
        <v>21.4</v>
      </c>
      <c r="AO45" s="416">
        <v>14.2</v>
      </c>
      <c r="AP45" s="416">
        <v>0</v>
      </c>
      <c r="AQ45" s="416">
        <v>0</v>
      </c>
      <c r="AR45" s="416">
        <v>0</v>
      </c>
      <c r="AS45" s="416">
        <v>0</v>
      </c>
      <c r="AT45" s="416">
        <v>0</v>
      </c>
      <c r="AU45" s="416">
        <v>0</v>
      </c>
      <c r="AV45" s="416">
        <v>0</v>
      </c>
      <c r="AW45" s="416">
        <v>0</v>
      </c>
      <c r="AX45" s="416">
        <v>0</v>
      </c>
      <c r="AY45" s="416">
        <v>0</v>
      </c>
      <c r="AZ45" s="416">
        <v>0</v>
      </c>
    </row>
    <row r="46" spans="1:52" x14ac:dyDescent="0.25">
      <c r="A46" s="415" t="str">
        <f t="shared" si="0"/>
        <v>SA-181 Gr.0</v>
      </c>
      <c r="B46" s="415">
        <v>41</v>
      </c>
      <c r="C46" s="415" t="s">
        <v>2673</v>
      </c>
      <c r="D46" s="415" t="s">
        <v>2737</v>
      </c>
      <c r="E46" s="415" t="s">
        <v>2187</v>
      </c>
      <c r="F46" s="415">
        <v>0</v>
      </c>
      <c r="G46" s="415" t="s">
        <v>2738</v>
      </c>
      <c r="H46" s="415">
        <v>70</v>
      </c>
      <c r="I46" s="415">
        <v>0</v>
      </c>
      <c r="J46" s="415">
        <v>1</v>
      </c>
      <c r="K46" s="415">
        <v>2</v>
      </c>
      <c r="L46" s="415">
        <v>41</v>
      </c>
      <c r="M46" s="415">
        <v>485</v>
      </c>
      <c r="N46" s="415">
        <v>250</v>
      </c>
      <c r="O46" s="415">
        <v>538</v>
      </c>
      <c r="P46" s="415" t="s">
        <v>2699</v>
      </c>
      <c r="Q46" s="415" t="s">
        <v>3511</v>
      </c>
      <c r="R46" s="415">
        <v>41</v>
      </c>
      <c r="S46" s="415">
        <v>165</v>
      </c>
      <c r="T46" s="416">
        <v>165</v>
      </c>
      <c r="U46" s="416">
        <v>156</v>
      </c>
      <c r="V46" s="416">
        <v>151</v>
      </c>
      <c r="W46" s="416">
        <v>148</v>
      </c>
      <c r="X46" s="416">
        <v>146</v>
      </c>
      <c r="Y46" s="416">
        <v>144</v>
      </c>
      <c r="Z46" s="416">
        <v>142</v>
      </c>
      <c r="AA46" s="416">
        <v>139</v>
      </c>
      <c r="AB46" s="416">
        <v>136</v>
      </c>
      <c r="AC46" s="416">
        <v>133</v>
      </c>
      <c r="AD46" s="416">
        <v>129</v>
      </c>
      <c r="AE46" s="416">
        <v>125</v>
      </c>
      <c r="AF46" s="416">
        <v>122</v>
      </c>
      <c r="AG46" s="416">
        <v>118</v>
      </c>
      <c r="AH46" s="416">
        <v>101</v>
      </c>
      <c r="AI46" s="416">
        <v>83.8</v>
      </c>
      <c r="AJ46" s="416">
        <v>66.8</v>
      </c>
      <c r="AK46" s="416">
        <v>50.3</v>
      </c>
      <c r="AL46" s="416">
        <v>41</v>
      </c>
      <c r="AM46" s="416">
        <v>33.200000000000003</v>
      </c>
      <c r="AN46" s="416">
        <v>21.4</v>
      </c>
      <c r="AO46" s="416">
        <v>14.2</v>
      </c>
      <c r="AP46" s="416">
        <v>0</v>
      </c>
      <c r="AQ46" s="416">
        <v>0</v>
      </c>
      <c r="AR46" s="416">
        <v>0</v>
      </c>
      <c r="AS46" s="416">
        <v>0</v>
      </c>
      <c r="AT46" s="416">
        <v>0</v>
      </c>
      <c r="AU46" s="416">
        <v>0</v>
      </c>
      <c r="AV46" s="416">
        <v>0</v>
      </c>
      <c r="AW46" s="416">
        <v>0</v>
      </c>
      <c r="AX46" s="416">
        <v>0</v>
      </c>
      <c r="AY46" s="416">
        <v>0</v>
      </c>
      <c r="AZ46" s="416">
        <v>0</v>
      </c>
    </row>
    <row r="47" spans="1:52" x14ac:dyDescent="0.25">
      <c r="A47" s="415" t="str">
        <f t="shared" si="0"/>
        <v>SA-216 Gr.WCB</v>
      </c>
      <c r="B47" s="415">
        <v>42</v>
      </c>
      <c r="C47" s="415" t="s">
        <v>2673</v>
      </c>
      <c r="D47" s="415" t="s">
        <v>2739</v>
      </c>
      <c r="E47" s="415" t="s">
        <v>2197</v>
      </c>
      <c r="F47" s="415" t="s">
        <v>2602</v>
      </c>
      <c r="G47" s="415" t="s">
        <v>2800</v>
      </c>
      <c r="H47" s="415">
        <v>0</v>
      </c>
      <c r="I47" s="415">
        <v>0</v>
      </c>
      <c r="J47" s="415">
        <v>1</v>
      </c>
      <c r="K47" s="415">
        <v>2</v>
      </c>
      <c r="L47" s="415">
        <v>42</v>
      </c>
      <c r="M47" s="415">
        <v>485</v>
      </c>
      <c r="N47" s="415">
        <v>250</v>
      </c>
      <c r="O47" s="415">
        <v>538</v>
      </c>
      <c r="P47" s="415" t="s">
        <v>2699</v>
      </c>
      <c r="Q47" s="415" t="s">
        <v>3511</v>
      </c>
      <c r="R47" s="415">
        <v>42</v>
      </c>
      <c r="S47" s="415">
        <v>165</v>
      </c>
      <c r="T47" s="416">
        <v>165</v>
      </c>
      <c r="U47" s="416">
        <v>156</v>
      </c>
      <c r="V47" s="416">
        <v>151</v>
      </c>
      <c r="W47" s="416">
        <v>148</v>
      </c>
      <c r="X47" s="416">
        <v>146</v>
      </c>
      <c r="Y47" s="416">
        <v>144</v>
      </c>
      <c r="Z47" s="416">
        <v>142</v>
      </c>
      <c r="AA47" s="416">
        <v>139</v>
      </c>
      <c r="AB47" s="416">
        <v>136</v>
      </c>
      <c r="AC47" s="416">
        <v>133</v>
      </c>
      <c r="AD47" s="416">
        <v>129</v>
      </c>
      <c r="AE47" s="416">
        <v>125</v>
      </c>
      <c r="AF47" s="416">
        <v>122</v>
      </c>
      <c r="AG47" s="416">
        <v>118</v>
      </c>
      <c r="AH47" s="416">
        <v>101</v>
      </c>
      <c r="AI47" s="416">
        <v>83.8</v>
      </c>
      <c r="AJ47" s="416">
        <v>66.8</v>
      </c>
      <c r="AK47" s="416">
        <v>50.3</v>
      </c>
      <c r="AL47" s="416">
        <v>42</v>
      </c>
      <c r="AM47" s="416">
        <v>33.200000000000003</v>
      </c>
      <c r="AN47" s="416">
        <v>21.4</v>
      </c>
      <c r="AO47" s="416">
        <v>14.2</v>
      </c>
      <c r="AP47" s="416">
        <v>0</v>
      </c>
      <c r="AQ47" s="416">
        <v>0</v>
      </c>
      <c r="AR47" s="416">
        <v>0</v>
      </c>
      <c r="AS47" s="416">
        <v>0</v>
      </c>
      <c r="AT47" s="416">
        <v>0</v>
      </c>
      <c r="AU47" s="416">
        <v>0</v>
      </c>
      <c r="AV47" s="416">
        <v>0</v>
      </c>
      <c r="AW47" s="416">
        <v>0</v>
      </c>
      <c r="AX47" s="416">
        <v>0</v>
      </c>
      <c r="AY47" s="416">
        <v>0</v>
      </c>
      <c r="AZ47" s="416">
        <v>0</v>
      </c>
    </row>
    <row r="48" spans="1:52" x14ac:dyDescent="0.25">
      <c r="A48" s="415" t="str">
        <f t="shared" si="0"/>
        <v>SA-266 Gr.2</v>
      </c>
      <c r="B48" s="415">
        <v>43</v>
      </c>
      <c r="C48" s="415" t="s">
        <v>2673</v>
      </c>
      <c r="D48" s="415" t="s">
        <v>2737</v>
      </c>
      <c r="E48" s="415" t="s">
        <v>2202</v>
      </c>
      <c r="F48" s="415">
        <v>2</v>
      </c>
      <c r="G48" s="415" t="s">
        <v>2742</v>
      </c>
      <c r="H48" s="415">
        <v>0</v>
      </c>
      <c r="I48" s="415">
        <v>0</v>
      </c>
      <c r="J48" s="415">
        <v>1</v>
      </c>
      <c r="K48" s="415">
        <v>2</v>
      </c>
      <c r="L48" s="415">
        <v>1</v>
      </c>
      <c r="M48" s="415">
        <v>485</v>
      </c>
      <c r="N48" s="415">
        <v>250</v>
      </c>
      <c r="O48" s="415">
        <v>538</v>
      </c>
      <c r="P48" s="415" t="s">
        <v>2699</v>
      </c>
      <c r="Q48" s="415" t="s">
        <v>3511</v>
      </c>
      <c r="R48" s="415">
        <v>1</v>
      </c>
      <c r="S48" s="415">
        <v>165</v>
      </c>
      <c r="T48" s="416">
        <v>165</v>
      </c>
      <c r="U48" s="416">
        <v>156</v>
      </c>
      <c r="V48" s="416">
        <v>151</v>
      </c>
      <c r="W48" s="416">
        <v>148</v>
      </c>
      <c r="X48" s="416">
        <v>146</v>
      </c>
      <c r="Y48" s="416">
        <v>144</v>
      </c>
      <c r="Z48" s="416">
        <v>142</v>
      </c>
      <c r="AA48" s="416">
        <v>139</v>
      </c>
      <c r="AB48" s="416">
        <v>136</v>
      </c>
      <c r="AC48" s="416">
        <v>133</v>
      </c>
      <c r="AD48" s="416">
        <v>129</v>
      </c>
      <c r="AE48" s="416">
        <v>125</v>
      </c>
      <c r="AF48" s="416">
        <v>122</v>
      </c>
      <c r="AG48" s="416">
        <v>118</v>
      </c>
      <c r="AH48" s="416">
        <v>101</v>
      </c>
      <c r="AI48" s="416">
        <v>83.8</v>
      </c>
      <c r="AJ48" s="416">
        <v>66.8</v>
      </c>
      <c r="AK48" s="416">
        <v>50.3</v>
      </c>
      <c r="AL48" s="416">
        <v>1</v>
      </c>
      <c r="AM48" s="416">
        <v>33.200000000000003</v>
      </c>
      <c r="AN48" s="416">
        <v>21.4</v>
      </c>
      <c r="AO48" s="416">
        <v>14.2</v>
      </c>
      <c r="AP48" s="416">
        <v>0</v>
      </c>
      <c r="AQ48" s="416">
        <v>0</v>
      </c>
      <c r="AR48" s="416">
        <v>0</v>
      </c>
      <c r="AS48" s="416">
        <v>0</v>
      </c>
      <c r="AT48" s="416">
        <v>0</v>
      </c>
      <c r="AU48" s="416">
        <v>0</v>
      </c>
      <c r="AV48" s="416">
        <v>0</v>
      </c>
      <c r="AW48" s="416">
        <v>0</v>
      </c>
      <c r="AX48" s="416">
        <v>0</v>
      </c>
      <c r="AY48" s="416">
        <v>0</v>
      </c>
      <c r="AZ48" s="416">
        <v>0</v>
      </c>
    </row>
    <row r="49" spans="1:52" x14ac:dyDescent="0.25">
      <c r="A49" s="415" t="str">
        <f t="shared" si="0"/>
        <v>SA-266 Gr.4</v>
      </c>
      <c r="B49" s="415">
        <v>44</v>
      </c>
      <c r="C49" s="415" t="s">
        <v>2673</v>
      </c>
      <c r="D49" s="415" t="s">
        <v>2737</v>
      </c>
      <c r="E49" s="415" t="s">
        <v>2202</v>
      </c>
      <c r="F49" s="415">
        <v>4</v>
      </c>
      <c r="G49" s="415" t="s">
        <v>2801</v>
      </c>
      <c r="H49" s="415">
        <v>0</v>
      </c>
      <c r="I49" s="415">
        <v>0</v>
      </c>
      <c r="J49" s="415">
        <v>1</v>
      </c>
      <c r="K49" s="415">
        <v>2</v>
      </c>
      <c r="L49" s="415">
        <v>2</v>
      </c>
      <c r="M49" s="415">
        <v>485</v>
      </c>
      <c r="N49" s="415">
        <v>250</v>
      </c>
      <c r="O49" s="415">
        <v>538</v>
      </c>
      <c r="P49" s="415" t="s">
        <v>2699</v>
      </c>
      <c r="Q49" s="415" t="s">
        <v>3511</v>
      </c>
      <c r="R49" s="415">
        <v>2</v>
      </c>
      <c r="S49" s="415">
        <v>165</v>
      </c>
      <c r="T49" s="416">
        <v>165</v>
      </c>
      <c r="U49" s="416">
        <v>156</v>
      </c>
      <c r="V49" s="416">
        <v>151</v>
      </c>
      <c r="W49" s="416">
        <v>148</v>
      </c>
      <c r="X49" s="416">
        <v>146</v>
      </c>
      <c r="Y49" s="416">
        <v>144</v>
      </c>
      <c r="Z49" s="416">
        <v>142</v>
      </c>
      <c r="AA49" s="416">
        <v>139</v>
      </c>
      <c r="AB49" s="416">
        <v>136</v>
      </c>
      <c r="AC49" s="416">
        <v>133</v>
      </c>
      <c r="AD49" s="416">
        <v>129</v>
      </c>
      <c r="AE49" s="416">
        <v>125</v>
      </c>
      <c r="AF49" s="416">
        <v>122</v>
      </c>
      <c r="AG49" s="416">
        <v>118</v>
      </c>
      <c r="AH49" s="416">
        <v>101</v>
      </c>
      <c r="AI49" s="416">
        <v>83.8</v>
      </c>
      <c r="AJ49" s="416">
        <v>66.8</v>
      </c>
      <c r="AK49" s="416">
        <v>50.3</v>
      </c>
      <c r="AL49" s="416">
        <v>2</v>
      </c>
      <c r="AM49" s="416">
        <v>33.200000000000003</v>
      </c>
      <c r="AN49" s="416">
        <v>21.4</v>
      </c>
      <c r="AO49" s="416">
        <v>14.2</v>
      </c>
      <c r="AP49" s="416">
        <v>0</v>
      </c>
      <c r="AQ49" s="416">
        <v>0</v>
      </c>
      <c r="AR49" s="416">
        <v>0</v>
      </c>
      <c r="AS49" s="416">
        <v>0</v>
      </c>
      <c r="AT49" s="416">
        <v>0</v>
      </c>
      <c r="AU49" s="416">
        <v>0</v>
      </c>
      <c r="AV49" s="416">
        <v>0</v>
      </c>
      <c r="AW49" s="416">
        <v>0</v>
      </c>
      <c r="AX49" s="416">
        <v>0</v>
      </c>
      <c r="AY49" s="416">
        <v>0</v>
      </c>
      <c r="AZ49" s="416">
        <v>0</v>
      </c>
    </row>
    <row r="50" spans="1:52" x14ac:dyDescent="0.25">
      <c r="A50" s="415" t="str">
        <f t="shared" si="0"/>
        <v>SA-350 Gr.LF2</v>
      </c>
      <c r="B50" s="415">
        <v>45</v>
      </c>
      <c r="C50" s="415" t="s">
        <v>2673</v>
      </c>
      <c r="D50" s="415" t="s">
        <v>2737</v>
      </c>
      <c r="E50" s="415" t="s">
        <v>2212</v>
      </c>
      <c r="F50" s="415" t="s">
        <v>2502</v>
      </c>
      <c r="G50" s="415" t="s">
        <v>2802</v>
      </c>
      <c r="H50" s="415">
        <v>0</v>
      </c>
      <c r="I50" s="415">
        <v>0</v>
      </c>
      <c r="J50" s="415">
        <v>1</v>
      </c>
      <c r="K50" s="415">
        <v>2</v>
      </c>
      <c r="L50" s="415">
        <v>3</v>
      </c>
      <c r="M50" s="415">
        <v>485</v>
      </c>
      <c r="N50" s="415">
        <v>250</v>
      </c>
      <c r="O50" s="415">
        <v>538</v>
      </c>
      <c r="P50" s="415" t="s">
        <v>2699</v>
      </c>
      <c r="Q50" s="415" t="s">
        <v>3514</v>
      </c>
      <c r="R50" s="415">
        <v>3</v>
      </c>
      <c r="S50" s="415">
        <v>165</v>
      </c>
      <c r="T50" s="416">
        <v>165</v>
      </c>
      <c r="U50" s="416">
        <v>156</v>
      </c>
      <c r="V50" s="416">
        <v>151</v>
      </c>
      <c r="W50" s="416">
        <v>148</v>
      </c>
      <c r="X50" s="416">
        <v>146</v>
      </c>
      <c r="Y50" s="416">
        <v>144</v>
      </c>
      <c r="Z50" s="416">
        <v>142</v>
      </c>
      <c r="AA50" s="416">
        <v>139</v>
      </c>
      <c r="AB50" s="416">
        <v>136</v>
      </c>
      <c r="AC50" s="416">
        <v>133</v>
      </c>
      <c r="AD50" s="416">
        <v>129</v>
      </c>
      <c r="AE50" s="416">
        <v>125</v>
      </c>
      <c r="AF50" s="416">
        <v>122</v>
      </c>
      <c r="AG50" s="416">
        <v>113</v>
      </c>
      <c r="AH50" s="416">
        <v>95.1</v>
      </c>
      <c r="AI50" s="416">
        <v>79.5</v>
      </c>
      <c r="AJ50" s="416">
        <v>62.6</v>
      </c>
      <c r="AK50" s="416">
        <v>45</v>
      </c>
      <c r="AL50" s="416">
        <v>3</v>
      </c>
      <c r="AM50" s="416">
        <v>31.7</v>
      </c>
      <c r="AN50" s="416">
        <v>21.4</v>
      </c>
      <c r="AO50" s="416">
        <v>14.2</v>
      </c>
      <c r="AP50" s="416">
        <v>0</v>
      </c>
      <c r="AQ50" s="416">
        <v>0</v>
      </c>
      <c r="AR50" s="416">
        <v>0</v>
      </c>
      <c r="AS50" s="416">
        <v>0</v>
      </c>
      <c r="AT50" s="416">
        <v>0</v>
      </c>
      <c r="AU50" s="416">
        <v>0</v>
      </c>
      <c r="AV50" s="416">
        <v>0</v>
      </c>
      <c r="AW50" s="416">
        <v>0</v>
      </c>
      <c r="AX50" s="416">
        <v>0</v>
      </c>
      <c r="AY50" s="416">
        <v>0</v>
      </c>
      <c r="AZ50" s="416">
        <v>0</v>
      </c>
    </row>
    <row r="51" spans="1:52" x14ac:dyDescent="0.25">
      <c r="A51" s="415" t="str">
        <f t="shared" si="0"/>
        <v>SA-508 Gr.1</v>
      </c>
      <c r="B51" s="415">
        <v>46</v>
      </c>
      <c r="C51" s="415" t="s">
        <v>2673</v>
      </c>
      <c r="D51" s="415" t="s">
        <v>2737</v>
      </c>
      <c r="E51" s="415" t="s">
        <v>2249</v>
      </c>
      <c r="F51" s="415">
        <v>1</v>
      </c>
      <c r="G51" s="415" t="s">
        <v>2803</v>
      </c>
      <c r="H51" s="415">
        <v>0</v>
      </c>
      <c r="I51" s="415">
        <v>0</v>
      </c>
      <c r="J51" s="415">
        <v>1</v>
      </c>
      <c r="K51" s="415">
        <v>2</v>
      </c>
      <c r="L51" s="415">
        <v>4</v>
      </c>
      <c r="M51" s="415">
        <v>485</v>
      </c>
      <c r="N51" s="415">
        <v>250</v>
      </c>
      <c r="O51" s="415">
        <v>538</v>
      </c>
      <c r="P51" s="415" t="s">
        <v>2699</v>
      </c>
      <c r="Q51" s="415" t="s">
        <v>3511</v>
      </c>
      <c r="R51" s="415">
        <v>4</v>
      </c>
      <c r="S51" s="415">
        <v>165</v>
      </c>
      <c r="T51" s="416">
        <v>165</v>
      </c>
      <c r="U51" s="416">
        <v>156</v>
      </c>
      <c r="V51" s="416">
        <v>151</v>
      </c>
      <c r="W51" s="416">
        <v>148</v>
      </c>
      <c r="X51" s="416">
        <v>146</v>
      </c>
      <c r="Y51" s="416">
        <v>144</v>
      </c>
      <c r="Z51" s="416">
        <v>142</v>
      </c>
      <c r="AA51" s="416">
        <v>139</v>
      </c>
      <c r="AB51" s="416">
        <v>136</v>
      </c>
      <c r="AC51" s="416">
        <v>133</v>
      </c>
      <c r="AD51" s="416">
        <v>129</v>
      </c>
      <c r="AE51" s="416">
        <v>125</v>
      </c>
      <c r="AF51" s="416">
        <v>122</v>
      </c>
      <c r="AG51" s="416">
        <v>118</v>
      </c>
      <c r="AH51" s="416">
        <v>101</v>
      </c>
      <c r="AI51" s="416">
        <v>83.8</v>
      </c>
      <c r="AJ51" s="416">
        <v>66.8</v>
      </c>
      <c r="AK51" s="416">
        <v>50.3</v>
      </c>
      <c r="AL51" s="416">
        <v>4</v>
      </c>
      <c r="AM51" s="416">
        <v>33.200000000000003</v>
      </c>
      <c r="AN51" s="416">
        <v>21.4</v>
      </c>
      <c r="AO51" s="416">
        <v>14.2</v>
      </c>
      <c r="AP51" s="416">
        <v>0</v>
      </c>
      <c r="AQ51" s="416">
        <v>0</v>
      </c>
      <c r="AR51" s="416">
        <v>0</v>
      </c>
      <c r="AS51" s="416">
        <v>0</v>
      </c>
      <c r="AT51" s="416">
        <v>0</v>
      </c>
      <c r="AU51" s="416">
        <v>0</v>
      </c>
      <c r="AV51" s="416">
        <v>0</v>
      </c>
      <c r="AW51" s="416">
        <v>0</v>
      </c>
      <c r="AX51" s="416">
        <v>0</v>
      </c>
      <c r="AY51" s="416">
        <v>0</v>
      </c>
      <c r="AZ51" s="416">
        <v>0</v>
      </c>
    </row>
    <row r="52" spans="1:52" x14ac:dyDescent="0.25">
      <c r="A52" s="415" t="str">
        <f t="shared" si="0"/>
        <v>SA-508 Gr.1A</v>
      </c>
      <c r="B52" s="415">
        <v>47</v>
      </c>
      <c r="C52" s="415" t="s">
        <v>2673</v>
      </c>
      <c r="D52" s="415" t="s">
        <v>2737</v>
      </c>
      <c r="E52" s="415" t="s">
        <v>2249</v>
      </c>
      <c r="F52" s="415" t="s">
        <v>2222</v>
      </c>
      <c r="G52" s="415" t="s">
        <v>2803</v>
      </c>
      <c r="H52" s="415">
        <v>0</v>
      </c>
      <c r="I52" s="415">
        <v>0</v>
      </c>
      <c r="J52" s="415">
        <v>1</v>
      </c>
      <c r="K52" s="415">
        <v>2</v>
      </c>
      <c r="L52" s="415">
        <v>5</v>
      </c>
      <c r="M52" s="415">
        <v>485</v>
      </c>
      <c r="N52" s="415">
        <v>250</v>
      </c>
      <c r="O52" s="415">
        <v>538</v>
      </c>
      <c r="P52" s="415" t="s">
        <v>2699</v>
      </c>
      <c r="Q52" s="415" t="s">
        <v>3511</v>
      </c>
      <c r="R52" s="415">
        <v>5</v>
      </c>
      <c r="S52" s="415">
        <v>165</v>
      </c>
      <c r="T52" s="416">
        <v>165</v>
      </c>
      <c r="U52" s="416">
        <v>156</v>
      </c>
      <c r="V52" s="416">
        <v>151</v>
      </c>
      <c r="W52" s="416">
        <v>148</v>
      </c>
      <c r="X52" s="416">
        <v>146</v>
      </c>
      <c r="Y52" s="416">
        <v>144</v>
      </c>
      <c r="Z52" s="416">
        <v>142</v>
      </c>
      <c r="AA52" s="416">
        <v>139</v>
      </c>
      <c r="AB52" s="416">
        <v>136</v>
      </c>
      <c r="AC52" s="416">
        <v>133</v>
      </c>
      <c r="AD52" s="416">
        <v>129</v>
      </c>
      <c r="AE52" s="416">
        <v>125</v>
      </c>
      <c r="AF52" s="416">
        <v>122</v>
      </c>
      <c r="AG52" s="416">
        <v>118</v>
      </c>
      <c r="AH52" s="416">
        <v>101</v>
      </c>
      <c r="AI52" s="416">
        <v>83.8</v>
      </c>
      <c r="AJ52" s="416">
        <v>66.8</v>
      </c>
      <c r="AK52" s="416">
        <v>50.3</v>
      </c>
      <c r="AL52" s="416">
        <v>5</v>
      </c>
      <c r="AM52" s="416">
        <v>33.200000000000003</v>
      </c>
      <c r="AN52" s="416">
        <v>21.4</v>
      </c>
      <c r="AO52" s="416">
        <v>14.2</v>
      </c>
      <c r="AP52" s="416">
        <v>0</v>
      </c>
      <c r="AQ52" s="416">
        <v>0</v>
      </c>
      <c r="AR52" s="416">
        <v>0</v>
      </c>
      <c r="AS52" s="416">
        <v>0</v>
      </c>
      <c r="AT52" s="416">
        <v>0</v>
      </c>
      <c r="AU52" s="416">
        <v>0</v>
      </c>
      <c r="AV52" s="416">
        <v>0</v>
      </c>
      <c r="AW52" s="416">
        <v>0</v>
      </c>
      <c r="AX52" s="416">
        <v>0</v>
      </c>
      <c r="AY52" s="416">
        <v>0</v>
      </c>
      <c r="AZ52" s="416">
        <v>0</v>
      </c>
    </row>
    <row r="53" spans="1:52" x14ac:dyDescent="0.25">
      <c r="A53" s="415" t="str">
        <f t="shared" si="0"/>
        <v>SA-541 Gr.1</v>
      </c>
      <c r="B53" s="415">
        <v>48</v>
      </c>
      <c r="C53" s="415" t="s">
        <v>2673</v>
      </c>
      <c r="D53" s="415" t="s">
        <v>2737</v>
      </c>
      <c r="E53" s="415" t="s">
        <v>2263</v>
      </c>
      <c r="F53" s="415">
        <v>1</v>
      </c>
      <c r="G53" s="415" t="s">
        <v>2742</v>
      </c>
      <c r="H53" s="415">
        <v>0</v>
      </c>
      <c r="I53" s="415">
        <v>0</v>
      </c>
      <c r="J53" s="415">
        <v>1</v>
      </c>
      <c r="K53" s="415">
        <v>2</v>
      </c>
      <c r="L53" s="415">
        <v>6</v>
      </c>
      <c r="M53" s="415">
        <v>485</v>
      </c>
      <c r="N53" s="415">
        <v>250</v>
      </c>
      <c r="O53" s="415">
        <v>538</v>
      </c>
      <c r="P53" s="415" t="s">
        <v>2699</v>
      </c>
      <c r="Q53" s="415" t="s">
        <v>3511</v>
      </c>
      <c r="R53" s="415">
        <v>6</v>
      </c>
      <c r="S53" s="415">
        <v>165</v>
      </c>
      <c r="T53" s="416">
        <v>165</v>
      </c>
      <c r="U53" s="416">
        <v>156</v>
      </c>
      <c r="V53" s="416">
        <v>151</v>
      </c>
      <c r="W53" s="416">
        <v>148</v>
      </c>
      <c r="X53" s="416">
        <v>146</v>
      </c>
      <c r="Y53" s="416">
        <v>144</v>
      </c>
      <c r="Z53" s="416">
        <v>142</v>
      </c>
      <c r="AA53" s="416">
        <v>139</v>
      </c>
      <c r="AB53" s="416">
        <v>136</v>
      </c>
      <c r="AC53" s="416">
        <v>133</v>
      </c>
      <c r="AD53" s="416">
        <v>129</v>
      </c>
      <c r="AE53" s="416">
        <v>125</v>
      </c>
      <c r="AF53" s="416">
        <v>122</v>
      </c>
      <c r="AG53" s="416">
        <v>118</v>
      </c>
      <c r="AH53" s="416">
        <v>101</v>
      </c>
      <c r="AI53" s="416">
        <v>83.8</v>
      </c>
      <c r="AJ53" s="416">
        <v>66.8</v>
      </c>
      <c r="AK53" s="416">
        <v>50.3</v>
      </c>
      <c r="AL53" s="416">
        <v>6</v>
      </c>
      <c r="AM53" s="416">
        <v>33.200000000000003</v>
      </c>
      <c r="AN53" s="416">
        <v>21.4</v>
      </c>
      <c r="AO53" s="416">
        <v>14.2</v>
      </c>
      <c r="AP53" s="416">
        <v>0</v>
      </c>
      <c r="AQ53" s="416">
        <v>0</v>
      </c>
      <c r="AR53" s="416">
        <v>0</v>
      </c>
      <c r="AS53" s="416">
        <v>0</v>
      </c>
      <c r="AT53" s="416">
        <v>0</v>
      </c>
      <c r="AU53" s="416">
        <v>0</v>
      </c>
      <c r="AV53" s="416">
        <v>0</v>
      </c>
      <c r="AW53" s="416">
        <v>0</v>
      </c>
      <c r="AX53" s="416">
        <v>0</v>
      </c>
      <c r="AY53" s="416">
        <v>0</v>
      </c>
      <c r="AZ53" s="416">
        <v>0</v>
      </c>
    </row>
    <row r="54" spans="1:52" x14ac:dyDescent="0.25">
      <c r="A54" s="415" t="str">
        <f t="shared" si="0"/>
        <v>SA-541 Gr.1A</v>
      </c>
      <c r="B54" s="415">
        <v>49</v>
      </c>
      <c r="C54" s="415" t="s">
        <v>2673</v>
      </c>
      <c r="D54" s="415" t="s">
        <v>2737</v>
      </c>
      <c r="E54" s="415" t="s">
        <v>2263</v>
      </c>
      <c r="F54" s="415" t="s">
        <v>2222</v>
      </c>
      <c r="G54" s="415" t="s">
        <v>2804</v>
      </c>
      <c r="H54" s="415">
        <v>0</v>
      </c>
      <c r="I54" s="415">
        <v>0</v>
      </c>
      <c r="J54" s="415">
        <v>1</v>
      </c>
      <c r="K54" s="415">
        <v>2</v>
      </c>
      <c r="L54" s="415">
        <v>7</v>
      </c>
      <c r="M54" s="415">
        <v>485</v>
      </c>
      <c r="N54" s="415">
        <v>250</v>
      </c>
      <c r="O54" s="415">
        <v>538</v>
      </c>
      <c r="P54" s="415" t="s">
        <v>2699</v>
      </c>
      <c r="Q54" s="415" t="s">
        <v>3511</v>
      </c>
      <c r="R54" s="415">
        <v>7</v>
      </c>
      <c r="S54" s="415">
        <v>165</v>
      </c>
      <c r="T54" s="416">
        <v>165</v>
      </c>
      <c r="U54" s="416">
        <v>156</v>
      </c>
      <c r="V54" s="416">
        <v>151</v>
      </c>
      <c r="W54" s="416">
        <v>148</v>
      </c>
      <c r="X54" s="416">
        <v>146</v>
      </c>
      <c r="Y54" s="416">
        <v>144</v>
      </c>
      <c r="Z54" s="416">
        <v>142</v>
      </c>
      <c r="AA54" s="416">
        <v>139</v>
      </c>
      <c r="AB54" s="416">
        <v>136</v>
      </c>
      <c r="AC54" s="416">
        <v>133</v>
      </c>
      <c r="AD54" s="416">
        <v>129</v>
      </c>
      <c r="AE54" s="416">
        <v>125</v>
      </c>
      <c r="AF54" s="416">
        <v>122</v>
      </c>
      <c r="AG54" s="416">
        <v>118</v>
      </c>
      <c r="AH54" s="416">
        <v>101</v>
      </c>
      <c r="AI54" s="416">
        <v>83.8</v>
      </c>
      <c r="AJ54" s="416">
        <v>66.8</v>
      </c>
      <c r="AK54" s="416">
        <v>50.3</v>
      </c>
      <c r="AL54" s="416">
        <v>7</v>
      </c>
      <c r="AM54" s="416">
        <v>33.200000000000003</v>
      </c>
      <c r="AN54" s="416">
        <v>21.4</v>
      </c>
      <c r="AO54" s="416">
        <v>14.2</v>
      </c>
      <c r="AP54" s="416">
        <v>0</v>
      </c>
      <c r="AQ54" s="416">
        <v>0</v>
      </c>
      <c r="AR54" s="416">
        <v>0</v>
      </c>
      <c r="AS54" s="416">
        <v>0</v>
      </c>
      <c r="AT54" s="416">
        <v>0</v>
      </c>
      <c r="AU54" s="416">
        <v>0</v>
      </c>
      <c r="AV54" s="416">
        <v>0</v>
      </c>
      <c r="AW54" s="416">
        <v>0</v>
      </c>
      <c r="AX54" s="416">
        <v>0</v>
      </c>
      <c r="AY54" s="416">
        <v>0</v>
      </c>
      <c r="AZ54" s="416">
        <v>0</v>
      </c>
    </row>
    <row r="55" spans="1:52" x14ac:dyDescent="0.25">
      <c r="A55" s="415" t="str">
        <f t="shared" si="0"/>
        <v>SA-765 Gr.II</v>
      </c>
      <c r="B55" s="415">
        <v>50</v>
      </c>
      <c r="C55" s="415" t="s">
        <v>2673</v>
      </c>
      <c r="D55" s="415" t="s">
        <v>2737</v>
      </c>
      <c r="E55" s="415" t="s">
        <v>2320</v>
      </c>
      <c r="F55" s="415" t="s">
        <v>2484</v>
      </c>
      <c r="G55" s="415" t="s">
        <v>2805</v>
      </c>
      <c r="H55" s="415">
        <v>0</v>
      </c>
      <c r="I55" s="415">
        <v>0</v>
      </c>
      <c r="J55" s="415">
        <v>1</v>
      </c>
      <c r="K55" s="415">
        <v>2</v>
      </c>
      <c r="L55" s="415">
        <v>8</v>
      </c>
      <c r="M55" s="415">
        <v>485</v>
      </c>
      <c r="N55" s="415">
        <v>250</v>
      </c>
      <c r="O55" s="415">
        <v>538</v>
      </c>
      <c r="P55" s="415" t="s">
        <v>2699</v>
      </c>
      <c r="Q55" s="415" t="s">
        <v>3511</v>
      </c>
      <c r="R55" s="415">
        <v>8</v>
      </c>
      <c r="S55" s="415">
        <v>165</v>
      </c>
      <c r="T55" s="416">
        <v>165</v>
      </c>
      <c r="U55" s="416">
        <v>156</v>
      </c>
      <c r="V55" s="416">
        <v>151</v>
      </c>
      <c r="W55" s="416">
        <v>148</v>
      </c>
      <c r="X55" s="416">
        <v>146</v>
      </c>
      <c r="Y55" s="416">
        <v>144</v>
      </c>
      <c r="Z55" s="416">
        <v>142</v>
      </c>
      <c r="AA55" s="416">
        <v>139</v>
      </c>
      <c r="AB55" s="416">
        <v>136</v>
      </c>
      <c r="AC55" s="416">
        <v>133</v>
      </c>
      <c r="AD55" s="416">
        <v>129</v>
      </c>
      <c r="AE55" s="416">
        <v>125</v>
      </c>
      <c r="AF55" s="416">
        <v>122</v>
      </c>
      <c r="AG55" s="416">
        <v>118</v>
      </c>
      <c r="AH55" s="416">
        <v>101</v>
      </c>
      <c r="AI55" s="416">
        <v>83.8</v>
      </c>
      <c r="AJ55" s="416">
        <v>66.8</v>
      </c>
      <c r="AK55" s="416">
        <v>50.3</v>
      </c>
      <c r="AL55" s="416">
        <v>8</v>
      </c>
      <c r="AM55" s="416">
        <v>33.200000000000003</v>
      </c>
      <c r="AN55" s="416">
        <v>21.4</v>
      </c>
      <c r="AO55" s="416">
        <v>14.2</v>
      </c>
      <c r="AP55" s="416">
        <v>0</v>
      </c>
      <c r="AQ55" s="416">
        <v>0</v>
      </c>
      <c r="AR55" s="416">
        <v>0</v>
      </c>
      <c r="AS55" s="416">
        <v>0</v>
      </c>
      <c r="AT55" s="416">
        <v>0</v>
      </c>
      <c r="AU55" s="416">
        <v>0</v>
      </c>
      <c r="AV55" s="416">
        <v>0</v>
      </c>
      <c r="AW55" s="416">
        <v>0</v>
      </c>
      <c r="AX55" s="416">
        <v>0</v>
      </c>
      <c r="AY55" s="416">
        <v>0</v>
      </c>
      <c r="AZ55" s="416">
        <v>0</v>
      </c>
    </row>
    <row r="56" spans="1:52" x14ac:dyDescent="0.25">
      <c r="A56" s="415" t="str">
        <f t="shared" si="0"/>
        <v>SA-515 Gr.70</v>
      </c>
      <c r="B56" s="415">
        <v>51</v>
      </c>
      <c r="C56" s="415" t="s">
        <v>2673</v>
      </c>
      <c r="D56" s="415" t="s">
        <v>2684</v>
      </c>
      <c r="E56" s="415" t="s">
        <v>2251</v>
      </c>
      <c r="F56" s="415">
        <v>70</v>
      </c>
      <c r="G56" s="415" t="s">
        <v>2806</v>
      </c>
      <c r="H56" s="415">
        <v>0</v>
      </c>
      <c r="I56" s="415">
        <v>0</v>
      </c>
      <c r="J56" s="415">
        <v>1</v>
      </c>
      <c r="K56" s="415">
        <v>2</v>
      </c>
      <c r="L56" s="415">
        <v>9</v>
      </c>
      <c r="M56" s="415">
        <v>485</v>
      </c>
      <c r="N56" s="415">
        <v>260</v>
      </c>
      <c r="O56" s="415">
        <v>538</v>
      </c>
      <c r="P56" s="415" t="s">
        <v>2699</v>
      </c>
      <c r="Q56" s="415" t="s">
        <v>3514</v>
      </c>
      <c r="R56" s="415">
        <v>9</v>
      </c>
      <c r="S56" s="415">
        <v>175</v>
      </c>
      <c r="T56" s="416">
        <v>175</v>
      </c>
      <c r="U56" s="416">
        <v>164</v>
      </c>
      <c r="V56" s="416">
        <v>159</v>
      </c>
      <c r="W56" s="416">
        <v>157</v>
      </c>
      <c r="X56" s="416">
        <v>154</v>
      </c>
      <c r="Y56" s="416">
        <v>152</v>
      </c>
      <c r="Z56" s="416">
        <v>150</v>
      </c>
      <c r="AA56" s="416">
        <v>147</v>
      </c>
      <c r="AB56" s="416">
        <v>144</v>
      </c>
      <c r="AC56" s="416">
        <v>140</v>
      </c>
      <c r="AD56" s="416">
        <v>136</v>
      </c>
      <c r="AE56" s="416">
        <v>132</v>
      </c>
      <c r="AF56" s="416">
        <v>128</v>
      </c>
      <c r="AG56" s="416">
        <v>122</v>
      </c>
      <c r="AH56" s="416">
        <v>101</v>
      </c>
      <c r="AI56" s="416">
        <v>83.8</v>
      </c>
      <c r="AJ56" s="416">
        <v>66.8</v>
      </c>
      <c r="AK56" s="416">
        <v>50.3</v>
      </c>
      <c r="AL56" s="416">
        <v>9</v>
      </c>
      <c r="AM56" s="416">
        <v>33.200000000000003</v>
      </c>
      <c r="AN56" s="416">
        <v>21.4</v>
      </c>
      <c r="AO56" s="416">
        <v>14.2</v>
      </c>
      <c r="AP56" s="416">
        <v>0</v>
      </c>
      <c r="AQ56" s="416">
        <v>0</v>
      </c>
      <c r="AR56" s="416">
        <v>0</v>
      </c>
      <c r="AS56" s="416">
        <v>0</v>
      </c>
      <c r="AT56" s="416">
        <v>0</v>
      </c>
      <c r="AU56" s="416">
        <v>0</v>
      </c>
      <c r="AV56" s="416">
        <v>0</v>
      </c>
      <c r="AW56" s="416">
        <v>0</v>
      </c>
      <c r="AX56" s="416">
        <v>0</v>
      </c>
      <c r="AY56" s="416">
        <v>0</v>
      </c>
      <c r="AZ56" s="416">
        <v>0</v>
      </c>
    </row>
    <row r="57" spans="1:52" x14ac:dyDescent="0.25">
      <c r="A57" s="415" t="str">
        <f t="shared" si="0"/>
        <v>SA-516 Gr.70</v>
      </c>
      <c r="B57" s="415">
        <v>52</v>
      </c>
      <c r="C57" s="415" t="s">
        <v>2673</v>
      </c>
      <c r="D57" s="415" t="s">
        <v>2684</v>
      </c>
      <c r="E57" s="415" t="s">
        <v>2151</v>
      </c>
      <c r="F57" s="415">
        <v>70</v>
      </c>
      <c r="G57" s="415" t="s">
        <v>2807</v>
      </c>
      <c r="H57" s="415">
        <v>0</v>
      </c>
      <c r="I57" s="415">
        <v>0</v>
      </c>
      <c r="J57" s="415">
        <v>1</v>
      </c>
      <c r="K57" s="415">
        <v>2</v>
      </c>
      <c r="L57" s="415">
        <v>10</v>
      </c>
      <c r="M57" s="415">
        <v>485</v>
      </c>
      <c r="N57" s="415">
        <v>260</v>
      </c>
      <c r="O57" s="415">
        <v>538</v>
      </c>
      <c r="P57" s="415" t="s">
        <v>2699</v>
      </c>
      <c r="Q57" s="415" t="s">
        <v>3514</v>
      </c>
      <c r="R57" s="415">
        <v>10</v>
      </c>
      <c r="S57" s="415">
        <v>175</v>
      </c>
      <c r="T57" s="416">
        <v>175</v>
      </c>
      <c r="U57" s="416">
        <v>164</v>
      </c>
      <c r="V57" s="416">
        <v>159</v>
      </c>
      <c r="W57" s="416">
        <v>157</v>
      </c>
      <c r="X57" s="416">
        <v>154</v>
      </c>
      <c r="Y57" s="416">
        <v>152</v>
      </c>
      <c r="Z57" s="416">
        <v>150</v>
      </c>
      <c r="AA57" s="416">
        <v>147</v>
      </c>
      <c r="AB57" s="416">
        <v>144</v>
      </c>
      <c r="AC57" s="416">
        <v>140</v>
      </c>
      <c r="AD57" s="416">
        <v>136</v>
      </c>
      <c r="AE57" s="416">
        <v>132</v>
      </c>
      <c r="AF57" s="416">
        <v>128</v>
      </c>
      <c r="AG57" s="416">
        <v>122</v>
      </c>
      <c r="AH57" s="416">
        <v>101</v>
      </c>
      <c r="AI57" s="416">
        <v>83.8</v>
      </c>
      <c r="AJ57" s="416">
        <v>66.8</v>
      </c>
      <c r="AK57" s="416">
        <v>50.3</v>
      </c>
      <c r="AL57" s="416">
        <v>10</v>
      </c>
      <c r="AM57" s="416">
        <v>33.200000000000003</v>
      </c>
      <c r="AN57" s="416">
        <v>21.4</v>
      </c>
      <c r="AO57" s="416">
        <v>14.2</v>
      </c>
      <c r="AP57" s="416">
        <v>0</v>
      </c>
      <c r="AQ57" s="416">
        <v>0</v>
      </c>
      <c r="AR57" s="416">
        <v>0</v>
      </c>
      <c r="AS57" s="416">
        <v>0</v>
      </c>
      <c r="AT57" s="416">
        <v>0</v>
      </c>
      <c r="AU57" s="416">
        <v>0</v>
      </c>
      <c r="AV57" s="416">
        <v>0</v>
      </c>
      <c r="AW57" s="416">
        <v>0</v>
      </c>
      <c r="AX57" s="416">
        <v>0</v>
      </c>
      <c r="AY57" s="416">
        <v>0</v>
      </c>
      <c r="AZ57" s="416">
        <v>0</v>
      </c>
    </row>
    <row r="58" spans="1:52" x14ac:dyDescent="0.25">
      <c r="A58" s="415" t="str">
        <f t="shared" si="0"/>
        <v>SA-106 Gr.C</v>
      </c>
      <c r="B58" s="415">
        <v>53</v>
      </c>
      <c r="C58" s="415" t="s">
        <v>2673</v>
      </c>
      <c r="D58" s="415" t="s">
        <v>2703</v>
      </c>
      <c r="E58" s="415" t="s">
        <v>2169</v>
      </c>
      <c r="F58" s="415" t="s">
        <v>2348</v>
      </c>
      <c r="G58" s="415" t="s">
        <v>2809</v>
      </c>
      <c r="H58" s="415">
        <v>0</v>
      </c>
      <c r="I58" s="415">
        <v>0</v>
      </c>
      <c r="J58" s="415">
        <v>1</v>
      </c>
      <c r="K58" s="415">
        <v>2</v>
      </c>
      <c r="L58" s="415">
        <v>11</v>
      </c>
      <c r="M58" s="415">
        <v>485</v>
      </c>
      <c r="N58" s="415">
        <v>275</v>
      </c>
      <c r="O58" s="415">
        <v>538</v>
      </c>
      <c r="P58" s="415" t="s">
        <v>2699</v>
      </c>
      <c r="Q58" s="415" t="s">
        <v>3514</v>
      </c>
      <c r="R58" s="415">
        <v>11</v>
      </c>
      <c r="S58" s="415">
        <v>184</v>
      </c>
      <c r="T58" s="416">
        <v>184</v>
      </c>
      <c r="U58" s="416">
        <v>173</v>
      </c>
      <c r="V58" s="416">
        <v>168</v>
      </c>
      <c r="W58" s="416">
        <v>165</v>
      </c>
      <c r="X58" s="416">
        <v>163</v>
      </c>
      <c r="Y58" s="416">
        <v>160</v>
      </c>
      <c r="Z58" s="416">
        <v>158</v>
      </c>
      <c r="AA58" s="416">
        <v>155</v>
      </c>
      <c r="AB58" s="416">
        <v>151</v>
      </c>
      <c r="AC58" s="416">
        <v>148</v>
      </c>
      <c r="AD58" s="416">
        <v>144</v>
      </c>
      <c r="AE58" s="416">
        <v>139</v>
      </c>
      <c r="AF58" s="416">
        <v>138</v>
      </c>
      <c r="AG58" s="416">
        <v>136</v>
      </c>
      <c r="AH58" s="416">
        <v>101</v>
      </c>
      <c r="AI58" s="416">
        <v>83.8</v>
      </c>
      <c r="AJ58" s="416">
        <v>66.8</v>
      </c>
      <c r="AK58" s="416">
        <v>50.3</v>
      </c>
      <c r="AL58" s="416">
        <v>11</v>
      </c>
      <c r="AM58" s="416">
        <v>33.200000000000003</v>
      </c>
      <c r="AN58" s="416">
        <v>21.4</v>
      </c>
      <c r="AO58" s="416">
        <v>14.2</v>
      </c>
      <c r="AP58" s="416">
        <v>0</v>
      </c>
      <c r="AQ58" s="416">
        <v>0</v>
      </c>
      <c r="AR58" s="416">
        <v>0</v>
      </c>
      <c r="AS58" s="416">
        <v>0</v>
      </c>
      <c r="AT58" s="416">
        <v>0</v>
      </c>
      <c r="AU58" s="416">
        <v>0</v>
      </c>
      <c r="AV58" s="416">
        <v>0</v>
      </c>
      <c r="AW58" s="416">
        <v>0</v>
      </c>
      <c r="AX58" s="416">
        <v>0</v>
      </c>
      <c r="AY58" s="416">
        <v>0</v>
      </c>
      <c r="AZ58" s="416">
        <v>0</v>
      </c>
    </row>
    <row r="59" spans="1:52" x14ac:dyDescent="0.25">
      <c r="A59" s="415" t="str">
        <f t="shared" si="0"/>
        <v>SA-210 Gr.C</v>
      </c>
      <c r="B59" s="415">
        <v>54</v>
      </c>
      <c r="C59" s="415" t="s">
        <v>2673</v>
      </c>
      <c r="D59" s="415" t="s">
        <v>2693</v>
      </c>
      <c r="E59" s="415" t="s">
        <v>2194</v>
      </c>
      <c r="F59" s="415" t="s">
        <v>2348</v>
      </c>
      <c r="G59" s="415" t="s">
        <v>2809</v>
      </c>
      <c r="H59" s="415">
        <v>0</v>
      </c>
      <c r="I59" s="415">
        <v>0</v>
      </c>
      <c r="J59" s="415">
        <v>1</v>
      </c>
      <c r="K59" s="415">
        <v>2</v>
      </c>
      <c r="L59" s="415">
        <v>12</v>
      </c>
      <c r="M59" s="415">
        <v>485</v>
      </c>
      <c r="N59" s="415">
        <v>275</v>
      </c>
      <c r="O59" s="415">
        <v>538</v>
      </c>
      <c r="P59" s="415" t="s">
        <v>2699</v>
      </c>
      <c r="Q59" s="415" t="s">
        <v>3514</v>
      </c>
      <c r="R59" s="415">
        <v>12</v>
      </c>
      <c r="S59" s="415">
        <v>184</v>
      </c>
      <c r="T59" s="416">
        <v>184</v>
      </c>
      <c r="U59" s="416">
        <v>173</v>
      </c>
      <c r="V59" s="416">
        <v>168</v>
      </c>
      <c r="W59" s="416">
        <v>165</v>
      </c>
      <c r="X59" s="416">
        <v>163</v>
      </c>
      <c r="Y59" s="416">
        <v>160</v>
      </c>
      <c r="Z59" s="416">
        <v>158</v>
      </c>
      <c r="AA59" s="416">
        <v>155</v>
      </c>
      <c r="AB59" s="416">
        <v>151</v>
      </c>
      <c r="AC59" s="416">
        <v>148</v>
      </c>
      <c r="AD59" s="416">
        <v>144</v>
      </c>
      <c r="AE59" s="416">
        <v>139</v>
      </c>
      <c r="AF59" s="416">
        <v>138</v>
      </c>
      <c r="AG59" s="416">
        <v>136</v>
      </c>
      <c r="AH59" s="416">
        <v>101</v>
      </c>
      <c r="AI59" s="416">
        <v>83.8</v>
      </c>
      <c r="AJ59" s="416">
        <v>66.8</v>
      </c>
      <c r="AK59" s="416">
        <v>50.3</v>
      </c>
      <c r="AL59" s="416">
        <v>12</v>
      </c>
      <c r="AM59" s="416">
        <v>33.200000000000003</v>
      </c>
      <c r="AN59" s="416">
        <v>21.4</v>
      </c>
      <c r="AO59" s="416">
        <v>14.2</v>
      </c>
      <c r="AP59" s="416">
        <v>0</v>
      </c>
      <c r="AQ59" s="416">
        <v>0</v>
      </c>
      <c r="AR59" s="416">
        <v>0</v>
      </c>
      <c r="AS59" s="416">
        <v>0</v>
      </c>
      <c r="AT59" s="416">
        <v>0</v>
      </c>
      <c r="AU59" s="416">
        <v>0</v>
      </c>
      <c r="AV59" s="416">
        <v>0</v>
      </c>
      <c r="AW59" s="416">
        <v>0</v>
      </c>
      <c r="AX59" s="416">
        <v>0</v>
      </c>
      <c r="AY59" s="416">
        <v>0</v>
      </c>
      <c r="AZ59" s="416">
        <v>0</v>
      </c>
    </row>
    <row r="60" spans="1:52" x14ac:dyDescent="0.25">
      <c r="A60" s="415" t="str">
        <f t="shared" si="0"/>
        <v>SA-216 Gr.WCC</v>
      </c>
      <c r="B60" s="415">
        <v>55</v>
      </c>
      <c r="C60" s="415" t="s">
        <v>2673</v>
      </c>
      <c r="D60" s="415" t="s">
        <v>2739</v>
      </c>
      <c r="E60" s="415" t="s">
        <v>2197</v>
      </c>
      <c r="F60" s="415" t="s">
        <v>2603</v>
      </c>
      <c r="G60" s="415" t="s">
        <v>2729</v>
      </c>
      <c r="H60" s="415">
        <v>0</v>
      </c>
      <c r="I60" s="415">
        <v>0</v>
      </c>
      <c r="J60" s="415">
        <v>1</v>
      </c>
      <c r="K60" s="415">
        <v>2</v>
      </c>
      <c r="L60" s="415">
        <v>13</v>
      </c>
      <c r="M60" s="415">
        <v>485</v>
      </c>
      <c r="N60" s="415">
        <v>275</v>
      </c>
      <c r="O60" s="415">
        <v>538</v>
      </c>
      <c r="P60" s="415" t="s">
        <v>2699</v>
      </c>
      <c r="Q60" s="415" t="s">
        <v>3514</v>
      </c>
      <c r="R60" s="415">
        <v>13</v>
      </c>
      <c r="S60" s="415">
        <v>184</v>
      </c>
      <c r="T60" s="416">
        <v>184</v>
      </c>
      <c r="U60" s="416">
        <v>173</v>
      </c>
      <c r="V60" s="416">
        <v>168</v>
      </c>
      <c r="W60" s="416">
        <v>165</v>
      </c>
      <c r="X60" s="416">
        <v>163</v>
      </c>
      <c r="Y60" s="416">
        <v>160</v>
      </c>
      <c r="Z60" s="416">
        <v>158</v>
      </c>
      <c r="AA60" s="416">
        <v>155</v>
      </c>
      <c r="AB60" s="416">
        <v>151</v>
      </c>
      <c r="AC60" s="416">
        <v>148</v>
      </c>
      <c r="AD60" s="416">
        <v>144</v>
      </c>
      <c r="AE60" s="416">
        <v>139</v>
      </c>
      <c r="AF60" s="416">
        <v>138</v>
      </c>
      <c r="AG60" s="416">
        <v>136</v>
      </c>
      <c r="AH60" s="416">
        <v>101</v>
      </c>
      <c r="AI60" s="416">
        <v>83.8</v>
      </c>
      <c r="AJ60" s="416">
        <v>66.8</v>
      </c>
      <c r="AK60" s="416">
        <v>50.3</v>
      </c>
      <c r="AL60" s="416">
        <v>13</v>
      </c>
      <c r="AM60" s="416">
        <v>33.200000000000003</v>
      </c>
      <c r="AN60" s="416">
        <v>21.4</v>
      </c>
      <c r="AO60" s="416">
        <v>14.2</v>
      </c>
      <c r="AP60" s="416">
        <v>0</v>
      </c>
      <c r="AQ60" s="416">
        <v>0</v>
      </c>
      <c r="AR60" s="416">
        <v>0</v>
      </c>
      <c r="AS60" s="416">
        <v>0</v>
      </c>
      <c r="AT60" s="416">
        <v>0</v>
      </c>
      <c r="AU60" s="416">
        <v>0</v>
      </c>
      <c r="AV60" s="416">
        <v>0</v>
      </c>
      <c r="AW60" s="416">
        <v>0</v>
      </c>
      <c r="AX60" s="416">
        <v>0</v>
      </c>
      <c r="AY60" s="416">
        <v>0</v>
      </c>
      <c r="AZ60" s="416">
        <v>0</v>
      </c>
    </row>
    <row r="61" spans="1:52" x14ac:dyDescent="0.25">
      <c r="A61" s="415" t="str">
        <f t="shared" si="0"/>
        <v>SA-234 Gr.WPC</v>
      </c>
      <c r="B61" s="415">
        <v>56</v>
      </c>
      <c r="C61" s="415" t="s">
        <v>2673</v>
      </c>
      <c r="D61" s="415" t="s">
        <v>913</v>
      </c>
      <c r="E61" s="415" t="s">
        <v>2174</v>
      </c>
      <c r="F61" s="415" t="s">
        <v>2611</v>
      </c>
      <c r="G61" s="415" t="s">
        <v>2809</v>
      </c>
      <c r="H61" s="415">
        <v>0</v>
      </c>
      <c r="I61" s="415">
        <v>0</v>
      </c>
      <c r="J61" s="415">
        <v>1</v>
      </c>
      <c r="K61" s="415">
        <v>2</v>
      </c>
      <c r="L61" s="415">
        <v>14</v>
      </c>
      <c r="M61" s="415">
        <v>485</v>
      </c>
      <c r="N61" s="415">
        <v>275</v>
      </c>
      <c r="O61" s="415">
        <v>427</v>
      </c>
      <c r="P61" s="415" t="s">
        <v>2699</v>
      </c>
      <c r="Q61" s="415" t="s">
        <v>3514</v>
      </c>
      <c r="R61" s="415">
        <v>14</v>
      </c>
      <c r="S61" s="415">
        <v>184</v>
      </c>
      <c r="T61" s="416">
        <v>184</v>
      </c>
      <c r="U61" s="416">
        <v>173</v>
      </c>
      <c r="V61" s="416">
        <v>168</v>
      </c>
      <c r="W61" s="416">
        <v>165</v>
      </c>
      <c r="X61" s="416">
        <v>163</v>
      </c>
      <c r="Y61" s="416">
        <v>160</v>
      </c>
      <c r="Z61" s="416">
        <v>158</v>
      </c>
      <c r="AA61" s="416">
        <v>155</v>
      </c>
      <c r="AB61" s="416">
        <v>151</v>
      </c>
      <c r="AC61" s="416">
        <v>148</v>
      </c>
      <c r="AD61" s="416">
        <v>144</v>
      </c>
      <c r="AE61" s="416">
        <v>139</v>
      </c>
      <c r="AF61" s="416">
        <v>138</v>
      </c>
      <c r="AG61" s="416">
        <v>136</v>
      </c>
      <c r="AH61" s="416">
        <v>101</v>
      </c>
      <c r="AI61" s="416">
        <v>83.8</v>
      </c>
      <c r="AJ61" s="416">
        <v>66.8</v>
      </c>
      <c r="AK61" s="416">
        <v>0</v>
      </c>
      <c r="AL61" s="416">
        <v>14</v>
      </c>
      <c r="AM61" s="416">
        <v>0</v>
      </c>
      <c r="AN61" s="416">
        <v>0</v>
      </c>
      <c r="AO61" s="416">
        <v>0</v>
      </c>
      <c r="AP61" s="416">
        <v>0</v>
      </c>
      <c r="AQ61" s="416">
        <v>0</v>
      </c>
      <c r="AR61" s="416">
        <v>0</v>
      </c>
      <c r="AS61" s="416">
        <v>0</v>
      </c>
      <c r="AT61" s="416">
        <v>0</v>
      </c>
      <c r="AU61" s="416">
        <v>0</v>
      </c>
      <c r="AV61" s="416">
        <v>0</v>
      </c>
      <c r="AW61" s="416">
        <v>0</v>
      </c>
      <c r="AX61" s="416">
        <v>0</v>
      </c>
      <c r="AY61" s="416">
        <v>0</v>
      </c>
      <c r="AZ61" s="416">
        <v>0</v>
      </c>
    </row>
    <row r="62" spans="1:52" x14ac:dyDescent="0.25">
      <c r="A62" s="415" t="str">
        <f t="shared" si="0"/>
        <v>SA-537 Gr.0</v>
      </c>
      <c r="B62" s="415">
        <v>57</v>
      </c>
      <c r="C62" s="415" t="s">
        <v>2673</v>
      </c>
      <c r="D62" s="415" t="s">
        <v>2684</v>
      </c>
      <c r="E62" s="415" t="s">
        <v>2262</v>
      </c>
      <c r="F62" s="415">
        <v>0</v>
      </c>
      <c r="G62" s="415" t="s">
        <v>2791</v>
      </c>
      <c r="H62" s="415">
        <v>3</v>
      </c>
      <c r="I62" s="415" t="s">
        <v>2783</v>
      </c>
      <c r="J62" s="415">
        <v>1</v>
      </c>
      <c r="K62" s="415">
        <v>3</v>
      </c>
      <c r="L62" s="415">
        <v>15</v>
      </c>
      <c r="M62" s="415">
        <v>485</v>
      </c>
      <c r="N62" s="415">
        <v>275</v>
      </c>
      <c r="O62" s="415">
        <v>371</v>
      </c>
      <c r="P62" s="415" t="s">
        <v>2699</v>
      </c>
      <c r="Q62" s="415" t="s">
        <v>2543</v>
      </c>
      <c r="R62" s="415">
        <v>15</v>
      </c>
      <c r="S62" s="415">
        <v>184</v>
      </c>
      <c r="T62" s="416">
        <v>184</v>
      </c>
      <c r="U62" s="416">
        <v>175</v>
      </c>
      <c r="V62" s="416">
        <v>168</v>
      </c>
      <c r="W62" s="416">
        <v>164</v>
      </c>
      <c r="X62" s="416">
        <v>160</v>
      </c>
      <c r="Y62" s="416">
        <v>157</v>
      </c>
      <c r="Z62" s="416">
        <v>153</v>
      </c>
      <c r="AA62" s="416">
        <v>151</v>
      </c>
      <c r="AB62" s="416">
        <v>148</v>
      </c>
      <c r="AC62" s="416">
        <v>146</v>
      </c>
      <c r="AD62" s="416">
        <v>143</v>
      </c>
      <c r="AE62" s="416">
        <v>141</v>
      </c>
      <c r="AF62" s="416">
        <v>138</v>
      </c>
      <c r="AG62" s="416">
        <v>136</v>
      </c>
      <c r="AH62" s="416">
        <v>0</v>
      </c>
      <c r="AI62" s="416">
        <v>0</v>
      </c>
      <c r="AJ62" s="416">
        <v>0</v>
      </c>
      <c r="AK62" s="416">
        <v>0</v>
      </c>
      <c r="AL62" s="416">
        <v>15</v>
      </c>
      <c r="AM62" s="416">
        <v>0</v>
      </c>
      <c r="AN62" s="416">
        <v>0</v>
      </c>
      <c r="AO62" s="416">
        <v>0</v>
      </c>
      <c r="AP62" s="416">
        <v>0</v>
      </c>
      <c r="AQ62" s="416">
        <v>0</v>
      </c>
      <c r="AR62" s="416">
        <v>0</v>
      </c>
      <c r="AS62" s="416">
        <v>0</v>
      </c>
      <c r="AT62" s="416">
        <v>0</v>
      </c>
      <c r="AU62" s="416">
        <v>0</v>
      </c>
      <c r="AV62" s="416">
        <v>0</v>
      </c>
      <c r="AW62" s="416">
        <v>0</v>
      </c>
      <c r="AX62" s="416">
        <v>0</v>
      </c>
      <c r="AY62" s="416">
        <v>0</v>
      </c>
      <c r="AZ62" s="416">
        <v>0</v>
      </c>
    </row>
    <row r="63" spans="1:52" x14ac:dyDescent="0.25">
      <c r="A63" s="415" t="str">
        <f t="shared" si="0"/>
        <v>SA-662 Gr.C</v>
      </c>
      <c r="B63" s="415">
        <v>58</v>
      </c>
      <c r="C63" s="415" t="s">
        <v>2673</v>
      </c>
      <c r="D63" s="415" t="s">
        <v>2684</v>
      </c>
      <c r="E63" s="415" t="s">
        <v>2291</v>
      </c>
      <c r="F63" s="415" t="s">
        <v>2348</v>
      </c>
      <c r="G63" s="415" t="s">
        <v>2818</v>
      </c>
      <c r="H63" s="415">
        <v>0</v>
      </c>
      <c r="I63" s="415">
        <v>0</v>
      </c>
      <c r="J63" s="415">
        <v>1</v>
      </c>
      <c r="K63" s="415">
        <v>2</v>
      </c>
      <c r="L63" s="415">
        <v>16</v>
      </c>
      <c r="M63" s="415">
        <v>485</v>
      </c>
      <c r="N63" s="415">
        <v>295</v>
      </c>
      <c r="O63" s="415">
        <v>371</v>
      </c>
      <c r="P63" s="415" t="s">
        <v>2819</v>
      </c>
      <c r="Q63" s="415">
        <v>0</v>
      </c>
      <c r="R63" s="415">
        <v>16</v>
      </c>
      <c r="S63" s="415">
        <v>198</v>
      </c>
      <c r="T63" s="416">
        <v>198</v>
      </c>
      <c r="U63" s="416">
        <v>186</v>
      </c>
      <c r="V63" s="416">
        <v>180</v>
      </c>
      <c r="W63" s="416">
        <v>177</v>
      </c>
      <c r="X63" s="416">
        <v>175</v>
      </c>
      <c r="Y63" s="416">
        <v>172</v>
      </c>
      <c r="Z63" s="416">
        <v>169</v>
      </c>
      <c r="AA63" s="416">
        <v>166</v>
      </c>
      <c r="AB63" s="416">
        <v>163</v>
      </c>
      <c r="AC63" s="416">
        <v>159</v>
      </c>
      <c r="AD63" s="416">
        <v>154</v>
      </c>
      <c r="AE63" s="416">
        <v>150</v>
      </c>
      <c r="AF63" s="416">
        <v>145</v>
      </c>
      <c r="AG63" s="416">
        <v>142</v>
      </c>
      <c r="AH63" s="416">
        <v>0</v>
      </c>
      <c r="AI63" s="416">
        <v>0</v>
      </c>
      <c r="AJ63" s="416">
        <v>0</v>
      </c>
      <c r="AK63" s="416">
        <v>0</v>
      </c>
      <c r="AL63" s="416">
        <v>16</v>
      </c>
      <c r="AM63" s="416">
        <v>0</v>
      </c>
      <c r="AN63" s="416">
        <v>0</v>
      </c>
      <c r="AO63" s="416">
        <v>0</v>
      </c>
      <c r="AP63" s="416">
        <v>0</v>
      </c>
      <c r="AQ63" s="416">
        <v>0</v>
      </c>
      <c r="AR63" s="416">
        <v>0</v>
      </c>
      <c r="AS63" s="416">
        <v>0</v>
      </c>
      <c r="AT63" s="416">
        <v>0</v>
      </c>
      <c r="AU63" s="416">
        <v>0</v>
      </c>
      <c r="AV63" s="416">
        <v>0</v>
      </c>
      <c r="AW63" s="416">
        <v>0</v>
      </c>
      <c r="AX63" s="416">
        <v>0</v>
      </c>
      <c r="AY63" s="416">
        <v>0</v>
      </c>
      <c r="AZ63" s="416">
        <v>0</v>
      </c>
    </row>
    <row r="64" spans="1:52" x14ac:dyDescent="0.25">
      <c r="A64" s="415" t="str">
        <f t="shared" si="0"/>
        <v>SA-537 Gr.0</v>
      </c>
      <c r="B64" s="415">
        <v>59</v>
      </c>
      <c r="C64" s="415" t="s">
        <v>2673</v>
      </c>
      <c r="D64" s="415" t="s">
        <v>2684</v>
      </c>
      <c r="E64" s="415" t="s">
        <v>2262</v>
      </c>
      <c r="F64" s="415">
        <v>0</v>
      </c>
      <c r="G64" s="415" t="s">
        <v>2791</v>
      </c>
      <c r="H64" s="415">
        <v>2</v>
      </c>
      <c r="I64" s="415" t="s">
        <v>2783</v>
      </c>
      <c r="J64" s="415">
        <v>1</v>
      </c>
      <c r="K64" s="415">
        <v>3</v>
      </c>
      <c r="L64" s="415">
        <v>17</v>
      </c>
      <c r="M64" s="415">
        <v>485</v>
      </c>
      <c r="N64" s="415">
        <v>345</v>
      </c>
      <c r="O64" s="415">
        <v>371</v>
      </c>
      <c r="P64" s="415" t="s">
        <v>2819</v>
      </c>
      <c r="Q64" s="415">
        <v>0</v>
      </c>
      <c r="R64" s="415">
        <v>17</v>
      </c>
      <c r="S64" s="415">
        <v>201</v>
      </c>
      <c r="T64" s="416">
        <v>201</v>
      </c>
      <c r="U64" s="416">
        <v>196</v>
      </c>
      <c r="V64" s="416">
        <v>185</v>
      </c>
      <c r="W64" s="416">
        <v>178</v>
      </c>
      <c r="X64" s="416">
        <v>171</v>
      </c>
      <c r="Y64" s="416">
        <v>165</v>
      </c>
      <c r="Z64" s="416">
        <v>160</v>
      </c>
      <c r="AA64" s="416">
        <v>155</v>
      </c>
      <c r="AB64" s="416">
        <v>151</v>
      </c>
      <c r="AC64" s="416">
        <v>148</v>
      </c>
      <c r="AD64" s="416">
        <v>144</v>
      </c>
      <c r="AE64" s="416">
        <v>141</v>
      </c>
      <c r="AF64" s="416">
        <v>150</v>
      </c>
      <c r="AG64" s="416">
        <v>147</v>
      </c>
      <c r="AH64" s="416">
        <v>0</v>
      </c>
      <c r="AI64" s="416">
        <v>0</v>
      </c>
      <c r="AJ64" s="416">
        <v>0</v>
      </c>
      <c r="AK64" s="416">
        <v>0</v>
      </c>
      <c r="AL64" s="416">
        <v>17</v>
      </c>
      <c r="AM64" s="416">
        <v>0</v>
      </c>
      <c r="AN64" s="416">
        <v>0</v>
      </c>
      <c r="AO64" s="416">
        <v>0</v>
      </c>
      <c r="AP64" s="416">
        <v>0</v>
      </c>
      <c r="AQ64" s="416">
        <v>0</v>
      </c>
      <c r="AR64" s="416">
        <v>0</v>
      </c>
      <c r="AS64" s="416">
        <v>0</v>
      </c>
      <c r="AT64" s="416">
        <v>0</v>
      </c>
      <c r="AU64" s="416">
        <v>0</v>
      </c>
      <c r="AV64" s="416">
        <v>0</v>
      </c>
      <c r="AW64" s="416">
        <v>0</v>
      </c>
      <c r="AX64" s="416">
        <v>0</v>
      </c>
      <c r="AY64" s="416">
        <v>0</v>
      </c>
      <c r="AZ64" s="416">
        <v>0</v>
      </c>
    </row>
    <row r="65" spans="1:52" x14ac:dyDescent="0.25">
      <c r="A65" s="415" t="str">
        <f t="shared" si="0"/>
        <v>SA-738 Gr.C</v>
      </c>
      <c r="B65" s="415">
        <v>60</v>
      </c>
      <c r="C65" s="415" t="s">
        <v>2673</v>
      </c>
      <c r="D65" s="415" t="s">
        <v>2684</v>
      </c>
      <c r="E65" s="415" t="s">
        <v>2315</v>
      </c>
      <c r="F65" s="415" t="s">
        <v>2348</v>
      </c>
      <c r="G65" s="415" t="s">
        <v>2821</v>
      </c>
      <c r="H65" s="415">
        <v>0</v>
      </c>
      <c r="I65" s="415" t="s">
        <v>2783</v>
      </c>
      <c r="J65" s="415">
        <v>1</v>
      </c>
      <c r="K65" s="415">
        <v>3</v>
      </c>
      <c r="L65" s="415">
        <v>18</v>
      </c>
      <c r="M65" s="415">
        <v>485</v>
      </c>
      <c r="N65" s="415">
        <v>315</v>
      </c>
      <c r="O65" s="415">
        <v>343</v>
      </c>
      <c r="P65" s="415" t="s">
        <v>2819</v>
      </c>
      <c r="Q65" s="415" t="s">
        <v>2535</v>
      </c>
      <c r="R65" s="415">
        <v>18</v>
      </c>
      <c r="S65" s="415">
        <v>201</v>
      </c>
      <c r="T65" s="416">
        <v>201</v>
      </c>
      <c r="U65" s="416">
        <v>199</v>
      </c>
      <c r="V65" s="416">
        <v>193</v>
      </c>
      <c r="W65" s="416">
        <v>190</v>
      </c>
      <c r="X65" s="416">
        <v>187</v>
      </c>
      <c r="Y65" s="416">
        <v>184</v>
      </c>
      <c r="Z65" s="416">
        <v>181</v>
      </c>
      <c r="AA65" s="416">
        <v>178</v>
      </c>
      <c r="AB65" s="416">
        <v>174</v>
      </c>
      <c r="AC65" s="416">
        <v>170</v>
      </c>
      <c r="AD65" s="416">
        <v>165</v>
      </c>
      <c r="AE65" s="416">
        <v>160</v>
      </c>
      <c r="AF65" s="416">
        <v>148</v>
      </c>
      <c r="AG65" s="416">
        <v>0</v>
      </c>
      <c r="AH65" s="416">
        <v>0</v>
      </c>
      <c r="AI65" s="416">
        <v>0</v>
      </c>
      <c r="AJ65" s="416">
        <v>0</v>
      </c>
      <c r="AK65" s="416">
        <v>0</v>
      </c>
      <c r="AL65" s="416">
        <v>18</v>
      </c>
      <c r="AM65" s="416">
        <v>0</v>
      </c>
      <c r="AN65" s="416">
        <v>0</v>
      </c>
      <c r="AO65" s="416">
        <v>0</v>
      </c>
      <c r="AP65" s="416">
        <v>0</v>
      </c>
      <c r="AQ65" s="416">
        <v>0</v>
      </c>
      <c r="AR65" s="416">
        <v>0</v>
      </c>
      <c r="AS65" s="416">
        <v>0</v>
      </c>
      <c r="AT65" s="416">
        <v>0</v>
      </c>
      <c r="AU65" s="416">
        <v>0</v>
      </c>
      <c r="AV65" s="416">
        <v>0</v>
      </c>
      <c r="AW65" s="416">
        <v>0</v>
      </c>
      <c r="AX65" s="416">
        <v>0</v>
      </c>
      <c r="AY65" s="416">
        <v>0</v>
      </c>
      <c r="AZ65" s="416">
        <v>0</v>
      </c>
    </row>
    <row r="66" spans="1:52" x14ac:dyDescent="0.25">
      <c r="A66" s="415" t="str">
        <f t="shared" si="0"/>
        <v>SA-537 Gr.0</v>
      </c>
      <c r="B66" s="415">
        <v>61</v>
      </c>
      <c r="C66" s="415" t="s">
        <v>2673</v>
      </c>
      <c r="D66" s="415" t="s">
        <v>2684</v>
      </c>
      <c r="E66" s="415" t="s">
        <v>2262</v>
      </c>
      <c r="F66" s="415">
        <v>0</v>
      </c>
      <c r="G66" s="415" t="s">
        <v>2791</v>
      </c>
      <c r="H66" s="415">
        <v>1</v>
      </c>
      <c r="I66" s="415" t="s">
        <v>3519</v>
      </c>
      <c r="J66" s="415">
        <v>1</v>
      </c>
      <c r="K66" s="415">
        <v>2</v>
      </c>
      <c r="L66" s="415">
        <v>19</v>
      </c>
      <c r="M66" s="415">
        <v>485</v>
      </c>
      <c r="N66" s="415">
        <v>315</v>
      </c>
      <c r="O66" s="415">
        <v>371</v>
      </c>
      <c r="P66" s="415" t="s">
        <v>2819</v>
      </c>
      <c r="Q66" s="415" t="s">
        <v>2535</v>
      </c>
      <c r="R66" s="415">
        <v>19</v>
      </c>
      <c r="S66" s="415">
        <v>201</v>
      </c>
      <c r="T66" s="416">
        <v>201</v>
      </c>
      <c r="U66" s="416">
        <v>201</v>
      </c>
      <c r="V66" s="416">
        <v>201</v>
      </c>
      <c r="W66" s="416">
        <v>201</v>
      </c>
      <c r="X66" s="416">
        <v>200</v>
      </c>
      <c r="Y66" s="416">
        <v>196</v>
      </c>
      <c r="Z66" s="416">
        <v>192</v>
      </c>
      <c r="AA66" s="416">
        <v>188</v>
      </c>
      <c r="AB66" s="416">
        <v>185</v>
      </c>
      <c r="AC66" s="416">
        <v>182</v>
      </c>
      <c r="AD66" s="416">
        <v>179</v>
      </c>
      <c r="AE66" s="416">
        <v>176</v>
      </c>
      <c r="AF66" s="416">
        <v>153</v>
      </c>
      <c r="AG66" s="416">
        <v>141</v>
      </c>
      <c r="AH66" s="416">
        <v>101</v>
      </c>
      <c r="AI66" s="416">
        <v>0</v>
      </c>
      <c r="AJ66" s="416">
        <v>0</v>
      </c>
      <c r="AK66" s="416">
        <v>0</v>
      </c>
      <c r="AL66" s="416">
        <v>19</v>
      </c>
      <c r="AM66" s="416">
        <v>0</v>
      </c>
      <c r="AN66" s="416">
        <v>0</v>
      </c>
      <c r="AO66" s="416">
        <v>0</v>
      </c>
      <c r="AP66" s="416">
        <v>0</v>
      </c>
      <c r="AQ66" s="416">
        <v>0</v>
      </c>
      <c r="AR66" s="416">
        <v>0</v>
      </c>
      <c r="AS66" s="416">
        <v>0</v>
      </c>
      <c r="AT66" s="416">
        <v>0</v>
      </c>
      <c r="AU66" s="416">
        <v>0</v>
      </c>
      <c r="AV66" s="416">
        <v>0</v>
      </c>
      <c r="AW66" s="416">
        <v>0</v>
      </c>
      <c r="AX66" s="416">
        <v>0</v>
      </c>
      <c r="AY66" s="416">
        <v>0</v>
      </c>
      <c r="AZ66" s="416">
        <v>0</v>
      </c>
    </row>
    <row r="67" spans="1:52" x14ac:dyDescent="0.25">
      <c r="A67" s="415" t="str">
        <f t="shared" si="0"/>
        <v>SA-266 Gr.3</v>
      </c>
      <c r="B67" s="415">
        <v>62</v>
      </c>
      <c r="C67" s="415" t="s">
        <v>2673</v>
      </c>
      <c r="D67" s="415" t="s">
        <v>2737</v>
      </c>
      <c r="E67" s="415" t="s">
        <v>2202</v>
      </c>
      <c r="F67" s="415">
        <v>3</v>
      </c>
      <c r="G67" s="415" t="s">
        <v>2827</v>
      </c>
      <c r="H67" s="415">
        <v>0</v>
      </c>
      <c r="I67" s="415">
        <v>0</v>
      </c>
      <c r="J67" s="415">
        <v>1</v>
      </c>
      <c r="K67" s="415">
        <v>2</v>
      </c>
      <c r="L67" s="415">
        <v>20</v>
      </c>
      <c r="M67" s="415">
        <v>515</v>
      </c>
      <c r="N67" s="415">
        <v>260</v>
      </c>
      <c r="O67" s="415">
        <v>538</v>
      </c>
      <c r="P67" s="415" t="s">
        <v>2699</v>
      </c>
      <c r="Q67" s="415" t="s">
        <v>3520</v>
      </c>
      <c r="R67" s="415">
        <v>20</v>
      </c>
      <c r="S67" s="415">
        <v>172</v>
      </c>
      <c r="T67" s="416">
        <v>172</v>
      </c>
      <c r="U67" s="416">
        <v>162</v>
      </c>
      <c r="V67" s="416">
        <v>157</v>
      </c>
      <c r="W67" s="416">
        <v>155</v>
      </c>
      <c r="X67" s="416">
        <v>152</v>
      </c>
      <c r="Y67" s="416">
        <v>150</v>
      </c>
      <c r="Z67" s="416">
        <v>148</v>
      </c>
      <c r="AA67" s="416">
        <v>145</v>
      </c>
      <c r="AB67" s="416">
        <v>142</v>
      </c>
      <c r="AC67" s="416">
        <v>138</v>
      </c>
      <c r="AD67" s="416">
        <v>135</v>
      </c>
      <c r="AE67" s="416">
        <v>131</v>
      </c>
      <c r="AF67" s="416">
        <v>127</v>
      </c>
      <c r="AG67" s="416">
        <v>123</v>
      </c>
      <c r="AH67" s="416">
        <v>107</v>
      </c>
      <c r="AI67" s="416">
        <v>88</v>
      </c>
      <c r="AJ67" s="416">
        <v>67.3</v>
      </c>
      <c r="AK67" s="416">
        <v>50.3</v>
      </c>
      <c r="AL67" s="416">
        <v>20</v>
      </c>
      <c r="AM67" s="416">
        <v>33.200000000000003</v>
      </c>
      <c r="AN67" s="416">
        <v>21.4</v>
      </c>
      <c r="AO67" s="416">
        <v>14.2</v>
      </c>
      <c r="AP67" s="416">
        <v>0</v>
      </c>
      <c r="AQ67" s="416">
        <v>0</v>
      </c>
      <c r="AR67" s="416">
        <v>0</v>
      </c>
      <c r="AS67" s="416">
        <v>0</v>
      </c>
      <c r="AT67" s="416">
        <v>0</v>
      </c>
      <c r="AU67" s="416">
        <v>0</v>
      </c>
      <c r="AV67" s="416">
        <v>0</v>
      </c>
      <c r="AW67" s="416">
        <v>0</v>
      </c>
      <c r="AX67" s="416">
        <v>0</v>
      </c>
      <c r="AY67" s="416">
        <v>0</v>
      </c>
      <c r="AZ67" s="416">
        <v>0</v>
      </c>
    </row>
    <row r="68" spans="1:52" x14ac:dyDescent="0.25">
      <c r="A68" s="415" t="str">
        <f t="shared" si="0"/>
        <v>SA-299 Gr.0</v>
      </c>
      <c r="B68" s="415">
        <v>63</v>
      </c>
      <c r="C68" s="415" t="s">
        <v>2673</v>
      </c>
      <c r="D68" s="415" t="s">
        <v>2684</v>
      </c>
      <c r="E68" s="415" t="s">
        <v>2206</v>
      </c>
      <c r="F68" s="415">
        <v>0</v>
      </c>
      <c r="G68" s="415" t="s">
        <v>2830</v>
      </c>
      <c r="H68" s="415">
        <v>0</v>
      </c>
      <c r="I68" s="415" t="s">
        <v>3521</v>
      </c>
      <c r="J68" s="415">
        <v>1</v>
      </c>
      <c r="K68" s="415">
        <v>2</v>
      </c>
      <c r="L68" s="415">
        <v>21</v>
      </c>
      <c r="M68" s="415">
        <v>515</v>
      </c>
      <c r="N68" s="415">
        <v>275</v>
      </c>
      <c r="O68" s="415">
        <v>538</v>
      </c>
      <c r="P68" s="415" t="s">
        <v>2699</v>
      </c>
      <c r="Q68" s="415" t="s">
        <v>3514</v>
      </c>
      <c r="R68" s="415">
        <v>21</v>
      </c>
      <c r="S68" s="415">
        <v>184</v>
      </c>
      <c r="T68" s="416">
        <v>184</v>
      </c>
      <c r="U68" s="416">
        <v>173</v>
      </c>
      <c r="V68" s="416">
        <v>168</v>
      </c>
      <c r="W68" s="416">
        <v>165</v>
      </c>
      <c r="X68" s="416">
        <v>163</v>
      </c>
      <c r="Y68" s="416">
        <v>160</v>
      </c>
      <c r="Z68" s="416">
        <v>158</v>
      </c>
      <c r="AA68" s="416">
        <v>155</v>
      </c>
      <c r="AB68" s="416">
        <v>151</v>
      </c>
      <c r="AC68" s="416">
        <v>148</v>
      </c>
      <c r="AD68" s="416">
        <v>144</v>
      </c>
      <c r="AE68" s="416">
        <v>139</v>
      </c>
      <c r="AF68" s="416">
        <v>139</v>
      </c>
      <c r="AG68" s="416">
        <v>139</v>
      </c>
      <c r="AH68" s="416">
        <v>107</v>
      </c>
      <c r="AI68" s="416">
        <v>88</v>
      </c>
      <c r="AJ68" s="416">
        <v>67.3</v>
      </c>
      <c r="AK68" s="416">
        <v>50.3</v>
      </c>
      <c r="AL68" s="416">
        <v>21</v>
      </c>
      <c r="AM68" s="416">
        <v>33.200000000000003</v>
      </c>
      <c r="AN68" s="416">
        <v>21.4</v>
      </c>
      <c r="AO68" s="416">
        <v>14.2</v>
      </c>
      <c r="AP68" s="416">
        <v>0</v>
      </c>
      <c r="AQ68" s="416">
        <v>0</v>
      </c>
      <c r="AR68" s="416">
        <v>0</v>
      </c>
      <c r="AS68" s="416">
        <v>0</v>
      </c>
      <c r="AT68" s="416">
        <v>0</v>
      </c>
      <c r="AU68" s="416">
        <v>0</v>
      </c>
      <c r="AV68" s="416">
        <v>0</v>
      </c>
      <c r="AW68" s="416">
        <v>0</v>
      </c>
      <c r="AX68" s="416">
        <v>0</v>
      </c>
      <c r="AY68" s="416">
        <v>0</v>
      </c>
      <c r="AZ68" s="416">
        <v>0</v>
      </c>
    </row>
    <row r="69" spans="1:52" x14ac:dyDescent="0.25">
      <c r="A69" s="415" t="str">
        <f t="shared" si="0"/>
        <v>SA-299 Gr.0</v>
      </c>
      <c r="B69" s="415">
        <v>64</v>
      </c>
      <c r="C69" s="415" t="s">
        <v>2673</v>
      </c>
      <c r="D69" s="415" t="s">
        <v>2684</v>
      </c>
      <c r="E69" s="415" t="s">
        <v>2206</v>
      </c>
      <c r="F69" s="415">
        <v>0</v>
      </c>
      <c r="G69" s="415" t="s">
        <v>2830</v>
      </c>
      <c r="H69" s="415">
        <v>0</v>
      </c>
      <c r="I69" s="415" t="s">
        <v>3522</v>
      </c>
      <c r="J69" s="415">
        <v>1</v>
      </c>
      <c r="K69" s="415">
        <v>2</v>
      </c>
      <c r="L69" s="415">
        <v>22</v>
      </c>
      <c r="M69" s="415">
        <v>515</v>
      </c>
      <c r="N69" s="415">
        <v>290</v>
      </c>
      <c r="O69" s="415">
        <v>538</v>
      </c>
      <c r="P69" s="415" t="s">
        <v>2699</v>
      </c>
      <c r="Q69" s="415" t="s">
        <v>3514</v>
      </c>
      <c r="R69" s="415">
        <v>22</v>
      </c>
      <c r="S69" s="415">
        <v>193</v>
      </c>
      <c r="T69" s="416">
        <v>193</v>
      </c>
      <c r="U69" s="416">
        <v>182</v>
      </c>
      <c r="V69" s="416">
        <v>176</v>
      </c>
      <c r="W69" s="416">
        <v>173</v>
      </c>
      <c r="X69" s="416">
        <v>171</v>
      </c>
      <c r="Y69" s="416">
        <v>168</v>
      </c>
      <c r="Z69" s="416">
        <v>165</v>
      </c>
      <c r="AA69" s="416">
        <v>162</v>
      </c>
      <c r="AB69" s="416">
        <v>159</v>
      </c>
      <c r="AC69" s="416">
        <v>155</v>
      </c>
      <c r="AD69" s="416">
        <v>151</v>
      </c>
      <c r="AE69" s="416">
        <v>146</v>
      </c>
      <c r="AF69" s="416">
        <v>142</v>
      </c>
      <c r="AG69" s="416">
        <v>139</v>
      </c>
      <c r="AH69" s="416">
        <v>107</v>
      </c>
      <c r="AI69" s="416">
        <v>88</v>
      </c>
      <c r="AJ69" s="416">
        <v>67.3</v>
      </c>
      <c r="AK69" s="416">
        <v>50.3</v>
      </c>
      <c r="AL69" s="416">
        <v>22</v>
      </c>
      <c r="AM69" s="416">
        <v>33.200000000000003</v>
      </c>
      <c r="AN69" s="416">
        <v>21.4</v>
      </c>
      <c r="AO69" s="416">
        <v>14.2</v>
      </c>
      <c r="AP69" s="416">
        <v>0</v>
      </c>
      <c r="AQ69" s="416">
        <v>0</v>
      </c>
      <c r="AR69" s="416">
        <v>0</v>
      </c>
      <c r="AS69" s="416">
        <v>0</v>
      </c>
      <c r="AT69" s="416">
        <v>0</v>
      </c>
      <c r="AU69" s="416">
        <v>0</v>
      </c>
      <c r="AV69" s="416">
        <v>0</v>
      </c>
      <c r="AW69" s="416">
        <v>0</v>
      </c>
      <c r="AX69" s="416">
        <v>0</v>
      </c>
      <c r="AY69" s="416">
        <v>0</v>
      </c>
      <c r="AZ69" s="416">
        <v>0</v>
      </c>
    </row>
    <row r="70" spans="1:52" x14ac:dyDescent="0.25">
      <c r="A70" s="415" t="str">
        <f t="shared" si="0"/>
        <v>SA-372 Gr.B</v>
      </c>
      <c r="B70" s="415">
        <v>65</v>
      </c>
      <c r="C70" s="415" t="s">
        <v>2673</v>
      </c>
      <c r="D70" s="415" t="s">
        <v>2737</v>
      </c>
      <c r="E70" s="415" t="s">
        <v>2223</v>
      </c>
      <c r="F70" s="415" t="s">
        <v>1864</v>
      </c>
      <c r="G70" s="415" t="s">
        <v>2834</v>
      </c>
      <c r="H70" s="415">
        <v>0</v>
      </c>
      <c r="I70" s="415">
        <v>0</v>
      </c>
      <c r="J70" s="415">
        <v>1</v>
      </c>
      <c r="K70" s="415">
        <v>2</v>
      </c>
      <c r="L70" s="415">
        <v>23</v>
      </c>
      <c r="M70" s="415">
        <v>515</v>
      </c>
      <c r="N70" s="415">
        <v>310</v>
      </c>
      <c r="O70" s="415">
        <v>343</v>
      </c>
      <c r="P70" s="415" t="s">
        <v>2819</v>
      </c>
      <c r="Q70" s="415" t="s">
        <v>3523</v>
      </c>
      <c r="R70" s="415">
        <v>23</v>
      </c>
      <c r="S70" s="415">
        <v>207</v>
      </c>
      <c r="T70" s="416">
        <v>207</v>
      </c>
      <c r="U70" s="416">
        <v>195</v>
      </c>
      <c r="V70" s="416">
        <v>189</v>
      </c>
      <c r="W70" s="416">
        <v>186</v>
      </c>
      <c r="X70" s="416">
        <v>183</v>
      </c>
      <c r="Y70" s="416">
        <v>180</v>
      </c>
      <c r="Z70" s="416">
        <v>177</v>
      </c>
      <c r="AA70" s="416">
        <v>174</v>
      </c>
      <c r="AB70" s="416">
        <v>170</v>
      </c>
      <c r="AC70" s="416">
        <v>166</v>
      </c>
      <c r="AD70" s="416">
        <v>161</v>
      </c>
      <c r="AE70" s="416">
        <v>157</v>
      </c>
      <c r="AF70" s="416">
        <v>152</v>
      </c>
      <c r="AG70" s="416">
        <v>0</v>
      </c>
      <c r="AH70" s="416">
        <v>0</v>
      </c>
      <c r="AI70" s="416">
        <v>0</v>
      </c>
      <c r="AJ70" s="416">
        <v>0</v>
      </c>
      <c r="AK70" s="416">
        <v>0</v>
      </c>
      <c r="AL70" s="416">
        <v>23</v>
      </c>
      <c r="AM70" s="416">
        <v>0</v>
      </c>
      <c r="AN70" s="416">
        <v>0</v>
      </c>
      <c r="AO70" s="416">
        <v>0</v>
      </c>
      <c r="AP70" s="416">
        <v>0</v>
      </c>
      <c r="AQ70" s="416">
        <v>0</v>
      </c>
      <c r="AR70" s="416">
        <v>0</v>
      </c>
      <c r="AS70" s="416">
        <v>0</v>
      </c>
      <c r="AT70" s="416">
        <v>0</v>
      </c>
      <c r="AU70" s="416">
        <v>0</v>
      </c>
      <c r="AV70" s="416">
        <v>0</v>
      </c>
      <c r="AW70" s="416">
        <v>0</v>
      </c>
      <c r="AX70" s="416">
        <v>0</v>
      </c>
      <c r="AY70" s="416">
        <v>0</v>
      </c>
      <c r="AZ70" s="416">
        <v>0</v>
      </c>
    </row>
    <row r="71" spans="1:52" x14ac:dyDescent="0.25">
      <c r="A71" s="415" t="str">
        <f t="shared" ref="A71:A134" si="1">CONCATENATE(E71," Gr.",F71)</f>
        <v>SA-738 Gr.A</v>
      </c>
      <c r="B71" s="415">
        <v>66</v>
      </c>
      <c r="C71" s="415" t="s">
        <v>2673</v>
      </c>
      <c r="D71" s="415" t="s">
        <v>2684</v>
      </c>
      <c r="E71" s="415" t="s">
        <v>2315</v>
      </c>
      <c r="F71" s="415" t="s">
        <v>12</v>
      </c>
      <c r="G71" s="415" t="s">
        <v>2837</v>
      </c>
      <c r="H71" s="415">
        <v>0</v>
      </c>
      <c r="I71" s="415" t="s">
        <v>3519</v>
      </c>
      <c r="J71" s="415">
        <v>1</v>
      </c>
      <c r="K71" s="415">
        <v>2</v>
      </c>
      <c r="L71" s="415">
        <v>24</v>
      </c>
      <c r="M71" s="415">
        <v>515</v>
      </c>
      <c r="N71" s="415">
        <v>310</v>
      </c>
      <c r="O71" s="415">
        <v>371</v>
      </c>
      <c r="P71" s="415" t="s">
        <v>2699</v>
      </c>
      <c r="Q71" s="415" t="s">
        <v>3524</v>
      </c>
      <c r="R71" s="415">
        <v>24</v>
      </c>
      <c r="S71" s="415">
        <v>207</v>
      </c>
      <c r="T71" s="416">
        <v>207</v>
      </c>
      <c r="U71" s="416">
        <v>192</v>
      </c>
      <c r="V71" s="416">
        <v>181</v>
      </c>
      <c r="W71" s="416">
        <v>174</v>
      </c>
      <c r="X71" s="416">
        <v>167</v>
      </c>
      <c r="Y71" s="416">
        <v>162</v>
      </c>
      <c r="Z71" s="416">
        <v>156</v>
      </c>
      <c r="AA71" s="416">
        <v>152</v>
      </c>
      <c r="AB71" s="416">
        <v>148</v>
      </c>
      <c r="AC71" s="416">
        <v>144</v>
      </c>
      <c r="AD71" s="416">
        <v>141</v>
      </c>
      <c r="AE71" s="416">
        <v>138</v>
      </c>
      <c r="AF71" s="416">
        <v>135</v>
      </c>
      <c r="AG71" s="416">
        <v>131</v>
      </c>
      <c r="AH71" s="416">
        <v>0</v>
      </c>
      <c r="AI71" s="416">
        <v>0</v>
      </c>
      <c r="AJ71" s="416">
        <v>0</v>
      </c>
      <c r="AK71" s="416">
        <v>0</v>
      </c>
      <c r="AL71" s="416">
        <v>24</v>
      </c>
      <c r="AM71" s="416">
        <v>0</v>
      </c>
      <c r="AN71" s="416">
        <v>0</v>
      </c>
      <c r="AO71" s="416">
        <v>0</v>
      </c>
      <c r="AP71" s="416">
        <v>0</v>
      </c>
      <c r="AQ71" s="416">
        <v>0</v>
      </c>
      <c r="AR71" s="416">
        <v>0</v>
      </c>
      <c r="AS71" s="416">
        <v>0</v>
      </c>
      <c r="AT71" s="416">
        <v>0</v>
      </c>
      <c r="AU71" s="416">
        <v>0</v>
      </c>
      <c r="AV71" s="416">
        <v>0</v>
      </c>
      <c r="AW71" s="416">
        <v>0</v>
      </c>
      <c r="AX71" s="416">
        <v>0</v>
      </c>
      <c r="AY71" s="416">
        <v>0</v>
      </c>
      <c r="AZ71" s="416">
        <v>0</v>
      </c>
    </row>
    <row r="72" spans="1:52" x14ac:dyDescent="0.25">
      <c r="A72" s="415" t="str">
        <f t="shared" si="1"/>
        <v>SA-738 Gr.A</v>
      </c>
      <c r="B72" s="415">
        <v>67</v>
      </c>
      <c r="C72" s="415" t="s">
        <v>2673</v>
      </c>
      <c r="D72" s="415" t="s">
        <v>2684</v>
      </c>
      <c r="E72" s="415" t="s">
        <v>2315</v>
      </c>
      <c r="F72" s="415" t="s">
        <v>12</v>
      </c>
      <c r="G72" s="415" t="s">
        <v>2837</v>
      </c>
      <c r="H72" s="415">
        <v>0</v>
      </c>
      <c r="I72" s="415">
        <v>0</v>
      </c>
      <c r="J72" s="415">
        <v>1</v>
      </c>
      <c r="K72" s="415">
        <v>2</v>
      </c>
      <c r="L72" s="415">
        <v>25</v>
      </c>
      <c r="M72" s="415">
        <v>515</v>
      </c>
      <c r="N72" s="415">
        <v>310</v>
      </c>
      <c r="O72" s="415">
        <v>371</v>
      </c>
      <c r="P72" s="415" t="s">
        <v>2699</v>
      </c>
      <c r="Q72" s="415" t="s">
        <v>3525</v>
      </c>
      <c r="R72" s="415">
        <v>25</v>
      </c>
      <c r="S72" s="415">
        <v>207</v>
      </c>
      <c r="T72" s="416">
        <v>207</v>
      </c>
      <c r="U72" s="416">
        <v>192</v>
      </c>
      <c r="V72" s="416">
        <v>181</v>
      </c>
      <c r="W72" s="416">
        <v>174</v>
      </c>
      <c r="X72" s="416">
        <v>167</v>
      </c>
      <c r="Y72" s="416">
        <v>162</v>
      </c>
      <c r="Z72" s="416">
        <v>156</v>
      </c>
      <c r="AA72" s="416">
        <v>152</v>
      </c>
      <c r="AB72" s="416">
        <v>148</v>
      </c>
      <c r="AC72" s="416">
        <v>144</v>
      </c>
      <c r="AD72" s="416">
        <v>141</v>
      </c>
      <c r="AE72" s="416">
        <v>138</v>
      </c>
      <c r="AF72" s="416">
        <v>135</v>
      </c>
      <c r="AG72" s="416">
        <v>131</v>
      </c>
      <c r="AH72" s="416">
        <v>0</v>
      </c>
      <c r="AI72" s="416">
        <v>0</v>
      </c>
      <c r="AJ72" s="416">
        <v>0</v>
      </c>
      <c r="AK72" s="416">
        <v>0</v>
      </c>
      <c r="AL72" s="416">
        <v>25</v>
      </c>
      <c r="AM72" s="416">
        <v>0</v>
      </c>
      <c r="AN72" s="416">
        <v>0</v>
      </c>
      <c r="AO72" s="416">
        <v>0</v>
      </c>
      <c r="AP72" s="416">
        <v>0</v>
      </c>
      <c r="AQ72" s="416">
        <v>0</v>
      </c>
      <c r="AR72" s="416">
        <v>0</v>
      </c>
      <c r="AS72" s="416">
        <v>0</v>
      </c>
      <c r="AT72" s="416">
        <v>0</v>
      </c>
      <c r="AU72" s="416">
        <v>0</v>
      </c>
      <c r="AV72" s="416">
        <v>0</v>
      </c>
      <c r="AW72" s="416">
        <v>0</v>
      </c>
      <c r="AX72" s="416">
        <v>0</v>
      </c>
      <c r="AY72" s="416">
        <v>0</v>
      </c>
      <c r="AZ72" s="416">
        <v>0</v>
      </c>
    </row>
    <row r="73" spans="1:52" x14ac:dyDescent="0.25">
      <c r="A73" s="415" t="str">
        <f t="shared" si="1"/>
        <v>SA-537 Gr.0</v>
      </c>
      <c r="B73" s="415">
        <v>68</v>
      </c>
      <c r="C73" s="415" t="s">
        <v>2673</v>
      </c>
      <c r="D73" s="415" t="s">
        <v>2684</v>
      </c>
      <c r="E73" s="415" t="s">
        <v>2262</v>
      </c>
      <c r="F73" s="415">
        <v>0</v>
      </c>
      <c r="G73" s="415" t="s">
        <v>2791</v>
      </c>
      <c r="H73" s="415">
        <v>3</v>
      </c>
      <c r="I73" s="415" t="s">
        <v>2792</v>
      </c>
      <c r="J73" s="415">
        <v>1</v>
      </c>
      <c r="K73" s="415">
        <v>3</v>
      </c>
      <c r="L73" s="415">
        <v>26</v>
      </c>
      <c r="M73" s="415">
        <v>515</v>
      </c>
      <c r="N73" s="415">
        <v>345</v>
      </c>
      <c r="O73" s="415">
        <v>371</v>
      </c>
      <c r="P73" s="415" t="s">
        <v>2838</v>
      </c>
      <c r="Q73" s="415" t="s">
        <v>2535</v>
      </c>
      <c r="R73" s="415">
        <v>26</v>
      </c>
      <c r="S73" s="415">
        <v>215</v>
      </c>
      <c r="T73" s="416">
        <v>215</v>
      </c>
      <c r="U73" s="416">
        <v>215</v>
      </c>
      <c r="V73" s="416">
        <v>210</v>
      </c>
      <c r="W73" s="416">
        <v>205</v>
      </c>
      <c r="X73" s="416">
        <v>200</v>
      </c>
      <c r="Y73" s="416">
        <v>196</v>
      </c>
      <c r="Z73" s="416">
        <v>192</v>
      </c>
      <c r="AA73" s="416">
        <v>188</v>
      </c>
      <c r="AB73" s="416">
        <v>185</v>
      </c>
      <c r="AC73" s="416">
        <v>182</v>
      </c>
      <c r="AD73" s="416">
        <v>179</v>
      </c>
      <c r="AE73" s="416">
        <v>176</v>
      </c>
      <c r="AF73" s="416">
        <v>160</v>
      </c>
      <c r="AG73" s="416">
        <v>147</v>
      </c>
      <c r="AH73" s="416">
        <v>0</v>
      </c>
      <c r="AI73" s="416">
        <v>0</v>
      </c>
      <c r="AJ73" s="416">
        <v>0</v>
      </c>
      <c r="AK73" s="416">
        <v>0</v>
      </c>
      <c r="AL73" s="416">
        <v>26</v>
      </c>
      <c r="AM73" s="416">
        <v>0</v>
      </c>
      <c r="AN73" s="416">
        <v>0</v>
      </c>
      <c r="AO73" s="416">
        <v>0</v>
      </c>
      <c r="AP73" s="416">
        <v>0</v>
      </c>
      <c r="AQ73" s="416">
        <v>0</v>
      </c>
      <c r="AR73" s="416">
        <v>0</v>
      </c>
      <c r="AS73" s="416">
        <v>0</v>
      </c>
      <c r="AT73" s="416">
        <v>0</v>
      </c>
      <c r="AU73" s="416">
        <v>0</v>
      </c>
      <c r="AV73" s="416">
        <v>0</v>
      </c>
      <c r="AW73" s="416">
        <v>0</v>
      </c>
      <c r="AX73" s="416">
        <v>0</v>
      </c>
      <c r="AY73" s="416">
        <v>0</v>
      </c>
      <c r="AZ73" s="416">
        <v>0</v>
      </c>
    </row>
    <row r="74" spans="1:52" x14ac:dyDescent="0.25">
      <c r="A74" s="415" t="str">
        <f t="shared" si="1"/>
        <v>SA-537 Gr.0</v>
      </c>
      <c r="B74" s="415">
        <v>69</v>
      </c>
      <c r="C74" s="415" t="s">
        <v>2673</v>
      </c>
      <c r="D74" s="415" t="s">
        <v>2684</v>
      </c>
      <c r="E74" s="415" t="s">
        <v>2262</v>
      </c>
      <c r="F74" s="415">
        <v>0</v>
      </c>
      <c r="G74" s="415" t="s">
        <v>2791</v>
      </c>
      <c r="H74" s="415">
        <v>2</v>
      </c>
      <c r="I74" s="415" t="s">
        <v>2792</v>
      </c>
      <c r="J74" s="415">
        <v>1</v>
      </c>
      <c r="K74" s="415">
        <v>3</v>
      </c>
      <c r="L74" s="415">
        <v>27</v>
      </c>
      <c r="M74" s="415">
        <v>515</v>
      </c>
      <c r="N74" s="415">
        <v>380</v>
      </c>
      <c r="O74" s="415">
        <v>343</v>
      </c>
      <c r="P74" s="415" t="s">
        <v>2838</v>
      </c>
      <c r="Q74" s="415">
        <v>0</v>
      </c>
      <c r="R74" s="415">
        <v>27</v>
      </c>
      <c r="S74" s="415">
        <v>215</v>
      </c>
      <c r="T74" s="416">
        <v>215</v>
      </c>
      <c r="U74" s="416">
        <v>215</v>
      </c>
      <c r="V74" s="416">
        <v>215</v>
      </c>
      <c r="W74" s="416">
        <v>215</v>
      </c>
      <c r="X74" s="416">
        <v>215</v>
      </c>
      <c r="Y74" s="416">
        <v>215</v>
      </c>
      <c r="Z74" s="416">
        <v>211</v>
      </c>
      <c r="AA74" s="416">
        <v>207</v>
      </c>
      <c r="AB74" s="416">
        <v>204</v>
      </c>
      <c r="AC74" s="416">
        <v>200</v>
      </c>
      <c r="AD74" s="416">
        <v>197</v>
      </c>
      <c r="AE74" s="416">
        <v>194</v>
      </c>
      <c r="AF74" s="416">
        <v>168</v>
      </c>
      <c r="AG74" s="416">
        <v>0</v>
      </c>
      <c r="AH74" s="416">
        <v>0</v>
      </c>
      <c r="AI74" s="416">
        <v>0</v>
      </c>
      <c r="AJ74" s="416">
        <v>0</v>
      </c>
      <c r="AK74" s="416">
        <v>0</v>
      </c>
      <c r="AL74" s="416">
        <v>27</v>
      </c>
      <c r="AM74" s="416">
        <v>0</v>
      </c>
      <c r="AN74" s="416">
        <v>0</v>
      </c>
      <c r="AO74" s="416">
        <v>0</v>
      </c>
      <c r="AP74" s="416">
        <v>0</v>
      </c>
      <c r="AQ74" s="416">
        <v>0</v>
      </c>
      <c r="AR74" s="416">
        <v>0</v>
      </c>
      <c r="AS74" s="416">
        <v>0</v>
      </c>
      <c r="AT74" s="416">
        <v>0</v>
      </c>
      <c r="AU74" s="416">
        <v>0</v>
      </c>
      <c r="AV74" s="416">
        <v>0</v>
      </c>
      <c r="AW74" s="416">
        <v>0</v>
      </c>
      <c r="AX74" s="416">
        <v>0</v>
      </c>
      <c r="AY74" s="416">
        <v>0</v>
      </c>
      <c r="AZ74" s="416">
        <v>0</v>
      </c>
    </row>
    <row r="75" spans="1:52" x14ac:dyDescent="0.25">
      <c r="A75" s="415" t="str">
        <f t="shared" si="1"/>
        <v>SA-738 Gr.C</v>
      </c>
      <c r="B75" s="415">
        <v>70</v>
      </c>
      <c r="C75" s="415" t="s">
        <v>2673</v>
      </c>
      <c r="D75" s="415" t="s">
        <v>2684</v>
      </c>
      <c r="E75" s="415" t="s">
        <v>2315</v>
      </c>
      <c r="F75" s="415" t="s">
        <v>2348</v>
      </c>
      <c r="G75" s="415" t="s">
        <v>2821</v>
      </c>
      <c r="H75" s="415">
        <v>0</v>
      </c>
      <c r="I75" s="415" t="s">
        <v>2792</v>
      </c>
      <c r="J75" s="415">
        <v>1</v>
      </c>
      <c r="K75" s="415">
        <v>3</v>
      </c>
      <c r="L75" s="415">
        <v>28</v>
      </c>
      <c r="M75" s="415">
        <v>515</v>
      </c>
      <c r="N75" s="415">
        <v>380</v>
      </c>
      <c r="O75" s="415">
        <v>343</v>
      </c>
      <c r="P75" s="415" t="s">
        <v>2838</v>
      </c>
      <c r="Q75" s="415">
        <v>0</v>
      </c>
      <c r="R75" s="415">
        <v>28</v>
      </c>
      <c r="S75" s="415">
        <v>215</v>
      </c>
      <c r="T75" s="416">
        <v>215</v>
      </c>
      <c r="U75" s="416">
        <v>215</v>
      </c>
      <c r="V75" s="416">
        <v>215</v>
      </c>
      <c r="W75" s="416">
        <v>215</v>
      </c>
      <c r="X75" s="416">
        <v>215</v>
      </c>
      <c r="Y75" s="416">
        <v>215</v>
      </c>
      <c r="Z75" s="416">
        <v>211</v>
      </c>
      <c r="AA75" s="416">
        <v>207</v>
      </c>
      <c r="AB75" s="416">
        <v>204</v>
      </c>
      <c r="AC75" s="416">
        <v>200</v>
      </c>
      <c r="AD75" s="416">
        <v>197</v>
      </c>
      <c r="AE75" s="416">
        <v>194</v>
      </c>
      <c r="AF75" s="416">
        <v>168</v>
      </c>
      <c r="AG75" s="416">
        <v>167</v>
      </c>
      <c r="AH75" s="416">
        <v>0</v>
      </c>
      <c r="AI75" s="416">
        <v>0</v>
      </c>
      <c r="AJ75" s="416">
        <v>0</v>
      </c>
      <c r="AK75" s="416">
        <v>0</v>
      </c>
      <c r="AL75" s="416">
        <v>28</v>
      </c>
      <c r="AM75" s="416">
        <v>0</v>
      </c>
      <c r="AN75" s="416">
        <v>0</v>
      </c>
      <c r="AO75" s="416">
        <v>0</v>
      </c>
      <c r="AP75" s="416">
        <v>0</v>
      </c>
      <c r="AQ75" s="416">
        <v>0</v>
      </c>
      <c r="AR75" s="416">
        <v>0</v>
      </c>
      <c r="AS75" s="416">
        <v>0</v>
      </c>
      <c r="AT75" s="416">
        <v>0</v>
      </c>
      <c r="AU75" s="416">
        <v>0</v>
      </c>
      <c r="AV75" s="416">
        <v>0</v>
      </c>
      <c r="AW75" s="416">
        <v>0</v>
      </c>
      <c r="AX75" s="416">
        <v>0</v>
      </c>
      <c r="AY75" s="416">
        <v>0</v>
      </c>
      <c r="AZ75" s="416">
        <v>0</v>
      </c>
    </row>
    <row r="76" spans="1:52" x14ac:dyDescent="0.25">
      <c r="A76" s="415" t="str">
        <f t="shared" si="1"/>
        <v>SA-765 Gr.IV</v>
      </c>
      <c r="B76" s="415">
        <v>71</v>
      </c>
      <c r="C76" s="415" t="s">
        <v>2673</v>
      </c>
      <c r="D76" s="415" t="s">
        <v>2737</v>
      </c>
      <c r="E76" s="415" t="s">
        <v>2320</v>
      </c>
      <c r="F76" s="415" t="s">
        <v>2486</v>
      </c>
      <c r="G76" s="415" t="s">
        <v>2840</v>
      </c>
      <c r="H76" s="415">
        <v>0</v>
      </c>
      <c r="I76" s="415">
        <v>0</v>
      </c>
      <c r="J76" s="415">
        <v>1</v>
      </c>
      <c r="K76" s="415">
        <v>3</v>
      </c>
      <c r="L76" s="415">
        <v>29</v>
      </c>
      <c r="M76" s="415">
        <v>550</v>
      </c>
      <c r="N76" s="415">
        <v>345</v>
      </c>
      <c r="O76" s="415">
        <v>371</v>
      </c>
      <c r="P76" s="415" t="s">
        <v>2819</v>
      </c>
      <c r="Q76" s="415" t="s">
        <v>2535</v>
      </c>
      <c r="R76" s="415">
        <v>29</v>
      </c>
      <c r="S76" s="415">
        <v>230</v>
      </c>
      <c r="T76" s="416">
        <v>230</v>
      </c>
      <c r="U76" s="416">
        <v>216</v>
      </c>
      <c r="V76" s="416">
        <v>210</v>
      </c>
      <c r="W76" s="416">
        <v>206</v>
      </c>
      <c r="X76" s="416">
        <v>203</v>
      </c>
      <c r="Y76" s="416">
        <v>200</v>
      </c>
      <c r="Z76" s="416">
        <v>197</v>
      </c>
      <c r="AA76" s="416">
        <v>193</v>
      </c>
      <c r="AB76" s="416">
        <v>189</v>
      </c>
      <c r="AC76" s="416">
        <v>184</v>
      </c>
      <c r="AD76" s="416">
        <v>179</v>
      </c>
      <c r="AE76" s="416">
        <v>174</v>
      </c>
      <c r="AF76" s="416">
        <v>160</v>
      </c>
      <c r="AG76" s="416">
        <v>131</v>
      </c>
      <c r="AH76" s="416">
        <v>0</v>
      </c>
      <c r="AI76" s="416">
        <v>0</v>
      </c>
      <c r="AJ76" s="416">
        <v>0</v>
      </c>
      <c r="AK76" s="416">
        <v>0</v>
      </c>
      <c r="AL76" s="416">
        <v>29</v>
      </c>
      <c r="AM76" s="416">
        <v>0</v>
      </c>
      <c r="AN76" s="416">
        <v>0</v>
      </c>
      <c r="AO76" s="416">
        <v>0</v>
      </c>
      <c r="AP76" s="416">
        <v>0</v>
      </c>
      <c r="AQ76" s="416">
        <v>0</v>
      </c>
      <c r="AR76" s="416">
        <v>0</v>
      </c>
      <c r="AS76" s="416">
        <v>0</v>
      </c>
      <c r="AT76" s="416">
        <v>0</v>
      </c>
      <c r="AU76" s="416">
        <v>0</v>
      </c>
      <c r="AV76" s="416">
        <v>0</v>
      </c>
      <c r="AW76" s="416">
        <v>0</v>
      </c>
      <c r="AX76" s="416">
        <v>0</v>
      </c>
      <c r="AY76" s="416">
        <v>0</v>
      </c>
      <c r="AZ76" s="416">
        <v>0</v>
      </c>
    </row>
    <row r="77" spans="1:52" x14ac:dyDescent="0.25">
      <c r="A77" s="415" t="str">
        <f t="shared" si="1"/>
        <v>SA-537 Gr.0</v>
      </c>
      <c r="B77" s="415">
        <v>72</v>
      </c>
      <c r="C77" s="415" t="s">
        <v>2673</v>
      </c>
      <c r="D77" s="415" t="s">
        <v>2684</v>
      </c>
      <c r="E77" s="415" t="s">
        <v>2262</v>
      </c>
      <c r="F77" s="415">
        <v>0</v>
      </c>
      <c r="G77" s="415" t="s">
        <v>2791</v>
      </c>
      <c r="H77" s="415">
        <v>3</v>
      </c>
      <c r="I77" s="415" t="s">
        <v>3519</v>
      </c>
      <c r="J77" s="415">
        <v>1</v>
      </c>
      <c r="K77" s="415">
        <v>3</v>
      </c>
      <c r="L77" s="415">
        <v>30</v>
      </c>
      <c r="M77" s="415">
        <v>550</v>
      </c>
      <c r="N77" s="415">
        <v>380</v>
      </c>
      <c r="O77" s="415">
        <v>371</v>
      </c>
      <c r="P77" s="415" t="s">
        <v>2838</v>
      </c>
      <c r="Q77" s="415">
        <v>0</v>
      </c>
      <c r="R77" s="415">
        <v>30</v>
      </c>
      <c r="S77" s="415">
        <v>230</v>
      </c>
      <c r="T77" s="416">
        <v>230</v>
      </c>
      <c r="U77" s="416">
        <v>230</v>
      </c>
      <c r="V77" s="416">
        <v>230</v>
      </c>
      <c r="W77" s="416">
        <v>225</v>
      </c>
      <c r="X77" s="416">
        <v>220</v>
      </c>
      <c r="Y77" s="416">
        <v>215</v>
      </c>
      <c r="Z77" s="416">
        <v>211</v>
      </c>
      <c r="AA77" s="416">
        <v>207</v>
      </c>
      <c r="AB77" s="416">
        <v>204</v>
      </c>
      <c r="AC77" s="416">
        <v>200</v>
      </c>
      <c r="AD77" s="416">
        <v>197</v>
      </c>
      <c r="AE77" s="416">
        <v>194</v>
      </c>
      <c r="AF77" s="416">
        <v>177</v>
      </c>
      <c r="AG77" s="416">
        <v>166</v>
      </c>
      <c r="AH77" s="416">
        <v>0</v>
      </c>
      <c r="AI77" s="416">
        <v>0</v>
      </c>
      <c r="AJ77" s="416">
        <v>0</v>
      </c>
      <c r="AK77" s="416">
        <v>0</v>
      </c>
      <c r="AL77" s="416">
        <v>30</v>
      </c>
      <c r="AM77" s="416">
        <v>0</v>
      </c>
      <c r="AN77" s="416">
        <v>0</v>
      </c>
      <c r="AO77" s="416">
        <v>0</v>
      </c>
      <c r="AP77" s="416">
        <v>0</v>
      </c>
      <c r="AQ77" s="416">
        <v>0</v>
      </c>
      <c r="AR77" s="416">
        <v>0</v>
      </c>
      <c r="AS77" s="416">
        <v>0</v>
      </c>
      <c r="AT77" s="416">
        <v>0</v>
      </c>
      <c r="AU77" s="416">
        <v>0</v>
      </c>
      <c r="AV77" s="416">
        <v>0</v>
      </c>
      <c r="AW77" s="416">
        <v>0</v>
      </c>
      <c r="AX77" s="416">
        <v>0</v>
      </c>
      <c r="AY77" s="416">
        <v>0</v>
      </c>
      <c r="AZ77" s="416">
        <v>0</v>
      </c>
    </row>
    <row r="78" spans="1:52" x14ac:dyDescent="0.25">
      <c r="A78" s="415" t="str">
        <f t="shared" si="1"/>
        <v>SA-537 Gr.0</v>
      </c>
      <c r="B78" s="415">
        <v>73</v>
      </c>
      <c r="C78" s="415" t="s">
        <v>2673</v>
      </c>
      <c r="D78" s="415" t="s">
        <v>2684</v>
      </c>
      <c r="E78" s="415" t="s">
        <v>2262</v>
      </c>
      <c r="F78" s="415">
        <v>0</v>
      </c>
      <c r="G78" s="415" t="s">
        <v>2791</v>
      </c>
      <c r="H78" s="415">
        <v>2</v>
      </c>
      <c r="I78" s="415" t="s">
        <v>3519</v>
      </c>
      <c r="J78" s="415">
        <v>1</v>
      </c>
      <c r="K78" s="415">
        <v>3</v>
      </c>
      <c r="L78" s="415">
        <v>31</v>
      </c>
      <c r="M78" s="415">
        <v>550</v>
      </c>
      <c r="N78" s="415">
        <v>415</v>
      </c>
      <c r="O78" s="415">
        <v>371</v>
      </c>
      <c r="P78" s="415" t="s">
        <v>2838</v>
      </c>
      <c r="Q78" s="415">
        <v>0</v>
      </c>
      <c r="R78" s="415">
        <v>31</v>
      </c>
      <c r="S78" s="415">
        <v>230</v>
      </c>
      <c r="T78" s="416">
        <v>230</v>
      </c>
      <c r="U78" s="416">
        <v>230</v>
      </c>
      <c r="V78" s="416">
        <v>230</v>
      </c>
      <c r="W78" s="416">
        <v>230</v>
      </c>
      <c r="X78" s="416">
        <v>230</v>
      </c>
      <c r="Y78" s="416">
        <v>230</v>
      </c>
      <c r="Z78" s="416">
        <v>230</v>
      </c>
      <c r="AA78" s="416">
        <v>226</v>
      </c>
      <c r="AB78" s="416">
        <v>222</v>
      </c>
      <c r="AC78" s="416">
        <v>218</v>
      </c>
      <c r="AD78" s="416">
        <v>215</v>
      </c>
      <c r="AE78" s="416">
        <v>211</v>
      </c>
      <c r="AF78" s="416">
        <v>177</v>
      </c>
      <c r="AG78" s="416">
        <v>166</v>
      </c>
      <c r="AH78" s="416">
        <v>0</v>
      </c>
      <c r="AI78" s="416">
        <v>0</v>
      </c>
      <c r="AJ78" s="416">
        <v>0</v>
      </c>
      <c r="AK78" s="416">
        <v>0</v>
      </c>
      <c r="AL78" s="416">
        <v>31</v>
      </c>
      <c r="AM78" s="416">
        <v>0</v>
      </c>
      <c r="AN78" s="416">
        <v>0</v>
      </c>
      <c r="AO78" s="416">
        <v>0</v>
      </c>
      <c r="AP78" s="416">
        <v>0</v>
      </c>
      <c r="AQ78" s="416">
        <v>0</v>
      </c>
      <c r="AR78" s="416">
        <v>0</v>
      </c>
      <c r="AS78" s="416">
        <v>0</v>
      </c>
      <c r="AT78" s="416">
        <v>0</v>
      </c>
      <c r="AU78" s="416">
        <v>0</v>
      </c>
      <c r="AV78" s="416">
        <v>0</v>
      </c>
      <c r="AW78" s="416">
        <v>0</v>
      </c>
      <c r="AX78" s="416">
        <v>0</v>
      </c>
      <c r="AY78" s="416">
        <v>0</v>
      </c>
      <c r="AZ78" s="416">
        <v>0</v>
      </c>
    </row>
    <row r="79" spans="1:52" x14ac:dyDescent="0.25">
      <c r="A79" s="415" t="str">
        <f t="shared" si="1"/>
        <v>SA-738 Gr.C</v>
      </c>
      <c r="B79" s="415">
        <v>74</v>
      </c>
      <c r="C79" s="415" t="s">
        <v>2673</v>
      </c>
      <c r="D79" s="415" t="s">
        <v>2684</v>
      </c>
      <c r="E79" s="415" t="s">
        <v>2315</v>
      </c>
      <c r="F79" s="415" t="s">
        <v>2348</v>
      </c>
      <c r="G79" s="415" t="s">
        <v>2821</v>
      </c>
      <c r="H79" s="415">
        <v>0</v>
      </c>
      <c r="I79" s="415" t="s">
        <v>3519</v>
      </c>
      <c r="J79" s="415">
        <v>1</v>
      </c>
      <c r="K79" s="415">
        <v>3</v>
      </c>
      <c r="L79" s="415">
        <v>32</v>
      </c>
      <c r="M79" s="415">
        <v>550</v>
      </c>
      <c r="N79" s="415">
        <v>415</v>
      </c>
      <c r="O79" s="415">
        <v>371</v>
      </c>
      <c r="P79" s="415" t="s">
        <v>2838</v>
      </c>
      <c r="Q79" s="415">
        <v>0</v>
      </c>
      <c r="R79" s="415">
        <v>32</v>
      </c>
      <c r="S79" s="415">
        <v>230</v>
      </c>
      <c r="T79" s="416">
        <v>230</v>
      </c>
      <c r="U79" s="416">
        <v>230</v>
      </c>
      <c r="V79" s="416">
        <v>230</v>
      </c>
      <c r="W79" s="416">
        <v>230</v>
      </c>
      <c r="X79" s="416">
        <v>230</v>
      </c>
      <c r="Y79" s="416">
        <v>230</v>
      </c>
      <c r="Z79" s="416">
        <v>230</v>
      </c>
      <c r="AA79" s="416">
        <v>226</v>
      </c>
      <c r="AB79" s="416">
        <v>222</v>
      </c>
      <c r="AC79" s="416">
        <v>218</v>
      </c>
      <c r="AD79" s="416">
        <v>215</v>
      </c>
      <c r="AE79" s="416">
        <v>211</v>
      </c>
      <c r="AF79" s="416">
        <v>177</v>
      </c>
      <c r="AG79" s="416">
        <v>166</v>
      </c>
      <c r="AH79" s="416">
        <v>0</v>
      </c>
      <c r="AI79" s="416">
        <v>0</v>
      </c>
      <c r="AJ79" s="416">
        <v>0</v>
      </c>
      <c r="AK79" s="416">
        <v>0</v>
      </c>
      <c r="AL79" s="416">
        <v>32</v>
      </c>
      <c r="AM79" s="416">
        <v>0</v>
      </c>
      <c r="AN79" s="416">
        <v>0</v>
      </c>
      <c r="AO79" s="416">
        <v>0</v>
      </c>
      <c r="AP79" s="416">
        <v>0</v>
      </c>
      <c r="AQ79" s="416">
        <v>0</v>
      </c>
      <c r="AR79" s="416">
        <v>0</v>
      </c>
      <c r="AS79" s="416">
        <v>0</v>
      </c>
      <c r="AT79" s="416">
        <v>0</v>
      </c>
      <c r="AU79" s="416">
        <v>0</v>
      </c>
      <c r="AV79" s="416">
        <v>0</v>
      </c>
      <c r="AW79" s="416">
        <v>0</v>
      </c>
      <c r="AX79" s="416">
        <v>0</v>
      </c>
      <c r="AY79" s="416">
        <v>0</v>
      </c>
      <c r="AZ79" s="416">
        <v>0</v>
      </c>
    </row>
    <row r="80" spans="1:52" x14ac:dyDescent="0.25">
      <c r="A80" s="415" t="str">
        <f t="shared" si="1"/>
        <v>SA-612 Gr.0</v>
      </c>
      <c r="B80" s="415">
        <v>75</v>
      </c>
      <c r="C80" s="415" t="s">
        <v>2673</v>
      </c>
      <c r="D80" s="415" t="s">
        <v>2684</v>
      </c>
      <c r="E80" s="415" t="s">
        <v>2281</v>
      </c>
      <c r="F80" s="415">
        <v>0</v>
      </c>
      <c r="G80" s="415" t="s">
        <v>2843</v>
      </c>
      <c r="H80" s="415">
        <v>0</v>
      </c>
      <c r="I80" s="415" t="s">
        <v>2844</v>
      </c>
      <c r="J80" s="415" t="s">
        <v>2845</v>
      </c>
      <c r="K80" s="415">
        <v>1</v>
      </c>
      <c r="L80" s="415">
        <v>33</v>
      </c>
      <c r="M80" s="415">
        <v>560</v>
      </c>
      <c r="N80" s="415">
        <v>345</v>
      </c>
      <c r="O80" s="415">
        <v>371</v>
      </c>
      <c r="P80" s="415" t="s">
        <v>2819</v>
      </c>
      <c r="Q80" s="415" t="s">
        <v>3526</v>
      </c>
      <c r="R80" s="415">
        <v>33</v>
      </c>
      <c r="S80" s="415">
        <v>230</v>
      </c>
      <c r="T80" s="416">
        <v>230</v>
      </c>
      <c r="U80" s="416">
        <v>220</v>
      </c>
      <c r="V80" s="416">
        <v>208</v>
      </c>
      <c r="W80" s="416">
        <v>199</v>
      </c>
      <c r="X80" s="416">
        <v>190</v>
      </c>
      <c r="Y80" s="416">
        <v>182</v>
      </c>
      <c r="Z80" s="416">
        <v>174</v>
      </c>
      <c r="AA80" s="416">
        <v>168</v>
      </c>
      <c r="AB80" s="416">
        <v>164</v>
      </c>
      <c r="AC80" s="416">
        <v>160</v>
      </c>
      <c r="AD80" s="416">
        <v>157</v>
      </c>
      <c r="AE80" s="416">
        <v>155</v>
      </c>
      <c r="AF80" s="416">
        <v>153</v>
      </c>
      <c r="AG80" s="416">
        <v>0</v>
      </c>
      <c r="AH80" s="416">
        <v>0</v>
      </c>
      <c r="AI80" s="416">
        <v>0</v>
      </c>
      <c r="AJ80" s="416">
        <v>0</v>
      </c>
      <c r="AK80" s="416">
        <v>0</v>
      </c>
      <c r="AL80" s="416">
        <v>33</v>
      </c>
      <c r="AM80" s="416">
        <v>0</v>
      </c>
      <c r="AN80" s="416">
        <v>0</v>
      </c>
      <c r="AO80" s="416">
        <v>0</v>
      </c>
      <c r="AP80" s="416">
        <v>0</v>
      </c>
      <c r="AQ80" s="416">
        <v>0</v>
      </c>
      <c r="AR80" s="416">
        <v>0</v>
      </c>
      <c r="AS80" s="416">
        <v>0</v>
      </c>
      <c r="AT80" s="416">
        <v>0</v>
      </c>
      <c r="AU80" s="416">
        <v>0</v>
      </c>
      <c r="AV80" s="416">
        <v>0</v>
      </c>
      <c r="AW80" s="416">
        <v>0</v>
      </c>
      <c r="AX80" s="416">
        <v>0</v>
      </c>
      <c r="AY80" s="416">
        <v>0</v>
      </c>
      <c r="AZ80" s="416">
        <v>0</v>
      </c>
    </row>
    <row r="81" spans="1:52" x14ac:dyDescent="0.25">
      <c r="A81" s="415" t="str">
        <f t="shared" si="1"/>
        <v>SA-612 Gr.0</v>
      </c>
      <c r="B81" s="415">
        <v>76</v>
      </c>
      <c r="C81" s="415" t="s">
        <v>2673</v>
      </c>
      <c r="D81" s="415" t="s">
        <v>2684</v>
      </c>
      <c r="E81" s="415" t="s">
        <v>2281</v>
      </c>
      <c r="F81" s="415">
        <v>0</v>
      </c>
      <c r="G81" s="415" t="s">
        <v>2843</v>
      </c>
      <c r="H81" s="415">
        <v>0</v>
      </c>
      <c r="I81" s="415" t="s">
        <v>3527</v>
      </c>
      <c r="J81" s="415" t="s">
        <v>2845</v>
      </c>
      <c r="K81" s="415">
        <v>1</v>
      </c>
      <c r="L81" s="415">
        <v>34</v>
      </c>
      <c r="M81" s="415">
        <v>570</v>
      </c>
      <c r="N81" s="415">
        <v>345</v>
      </c>
      <c r="O81" s="415">
        <v>371</v>
      </c>
      <c r="P81" s="415" t="s">
        <v>2819</v>
      </c>
      <c r="Q81" s="415" t="s">
        <v>3526</v>
      </c>
      <c r="R81" s="415">
        <v>34</v>
      </c>
      <c r="S81" s="415">
        <v>230</v>
      </c>
      <c r="T81" s="416">
        <v>230</v>
      </c>
      <c r="U81" s="416">
        <v>220</v>
      </c>
      <c r="V81" s="416">
        <v>208</v>
      </c>
      <c r="W81" s="416">
        <v>199</v>
      </c>
      <c r="X81" s="416">
        <v>190</v>
      </c>
      <c r="Y81" s="416">
        <v>182</v>
      </c>
      <c r="Z81" s="416">
        <v>174</v>
      </c>
      <c r="AA81" s="416">
        <v>168</v>
      </c>
      <c r="AB81" s="416">
        <v>164</v>
      </c>
      <c r="AC81" s="416">
        <v>160</v>
      </c>
      <c r="AD81" s="416">
        <v>157</v>
      </c>
      <c r="AE81" s="416">
        <v>155</v>
      </c>
      <c r="AF81" s="416">
        <v>153</v>
      </c>
      <c r="AG81" s="416">
        <v>0</v>
      </c>
      <c r="AH81" s="416">
        <v>0</v>
      </c>
      <c r="AI81" s="416">
        <v>0</v>
      </c>
      <c r="AJ81" s="416">
        <v>0</v>
      </c>
      <c r="AK81" s="416">
        <v>0</v>
      </c>
      <c r="AL81" s="416">
        <v>34</v>
      </c>
      <c r="AM81" s="416">
        <v>0</v>
      </c>
      <c r="AN81" s="416">
        <v>0</v>
      </c>
      <c r="AO81" s="416">
        <v>0</v>
      </c>
      <c r="AP81" s="416">
        <v>0</v>
      </c>
      <c r="AQ81" s="416">
        <v>0</v>
      </c>
      <c r="AR81" s="416">
        <v>0</v>
      </c>
      <c r="AS81" s="416">
        <v>0</v>
      </c>
      <c r="AT81" s="416">
        <v>0</v>
      </c>
      <c r="AU81" s="416">
        <v>0</v>
      </c>
      <c r="AV81" s="416">
        <v>0</v>
      </c>
      <c r="AW81" s="416">
        <v>0</v>
      </c>
      <c r="AX81" s="416">
        <v>0</v>
      </c>
      <c r="AY81" s="416">
        <v>0</v>
      </c>
      <c r="AZ81" s="416">
        <v>0</v>
      </c>
    </row>
    <row r="82" spans="1:52" x14ac:dyDescent="0.25">
      <c r="A82" s="415" t="str">
        <f t="shared" si="1"/>
        <v>SA-738 Gr.B</v>
      </c>
      <c r="B82" s="415">
        <v>77</v>
      </c>
      <c r="C82" s="415" t="s">
        <v>2673</v>
      </c>
      <c r="D82" s="415" t="s">
        <v>2684</v>
      </c>
      <c r="E82" s="415" t="s">
        <v>2315</v>
      </c>
      <c r="F82" s="415" t="s">
        <v>1864</v>
      </c>
      <c r="G82" s="415" t="s">
        <v>2847</v>
      </c>
      <c r="H82" s="415">
        <v>0</v>
      </c>
      <c r="I82" s="415">
        <v>0</v>
      </c>
      <c r="J82" s="415">
        <v>1</v>
      </c>
      <c r="K82" s="415">
        <v>3</v>
      </c>
      <c r="L82" s="415">
        <v>35</v>
      </c>
      <c r="M82" s="415">
        <v>585</v>
      </c>
      <c r="N82" s="415">
        <v>415</v>
      </c>
      <c r="O82" s="415">
        <v>343</v>
      </c>
      <c r="P82" s="415" t="s">
        <v>2838</v>
      </c>
      <c r="Q82" s="415" t="s">
        <v>2535</v>
      </c>
      <c r="R82" s="415">
        <v>35</v>
      </c>
      <c r="S82" s="415">
        <v>244</v>
      </c>
      <c r="T82" s="416">
        <v>244</v>
      </c>
      <c r="U82" s="416">
        <v>244</v>
      </c>
      <c r="V82" s="416">
        <v>244</v>
      </c>
      <c r="W82" s="416">
        <v>244</v>
      </c>
      <c r="X82" s="416">
        <v>240</v>
      </c>
      <c r="Y82" s="416">
        <v>235</v>
      </c>
      <c r="Z82" s="416">
        <v>230</v>
      </c>
      <c r="AA82" s="416">
        <v>226</v>
      </c>
      <c r="AB82" s="416">
        <v>222</v>
      </c>
      <c r="AC82" s="416">
        <v>218</v>
      </c>
      <c r="AD82" s="416">
        <v>215</v>
      </c>
      <c r="AE82" s="416">
        <v>211</v>
      </c>
      <c r="AF82" s="416">
        <v>160</v>
      </c>
      <c r="AG82" s="416">
        <v>0</v>
      </c>
      <c r="AH82" s="416">
        <v>0</v>
      </c>
      <c r="AI82" s="416">
        <v>0</v>
      </c>
      <c r="AJ82" s="416">
        <v>0</v>
      </c>
      <c r="AK82" s="416">
        <v>0</v>
      </c>
      <c r="AL82" s="416">
        <v>35</v>
      </c>
      <c r="AM82" s="416">
        <v>0</v>
      </c>
      <c r="AN82" s="416">
        <v>0</v>
      </c>
      <c r="AO82" s="416">
        <v>0</v>
      </c>
      <c r="AP82" s="416">
        <v>0</v>
      </c>
      <c r="AQ82" s="416">
        <v>0</v>
      </c>
      <c r="AR82" s="416">
        <v>0</v>
      </c>
      <c r="AS82" s="416">
        <v>0</v>
      </c>
      <c r="AT82" s="416">
        <v>0</v>
      </c>
      <c r="AU82" s="416">
        <v>0</v>
      </c>
      <c r="AV82" s="416">
        <v>0</v>
      </c>
      <c r="AW82" s="416">
        <v>0</v>
      </c>
      <c r="AX82" s="416">
        <v>0</v>
      </c>
      <c r="AY82" s="416">
        <v>0</v>
      </c>
      <c r="AZ82" s="416">
        <v>0</v>
      </c>
    </row>
    <row r="83" spans="1:52" x14ac:dyDescent="0.25">
      <c r="A83" s="415" t="str">
        <f t="shared" si="1"/>
        <v>SA-372 Gr.C</v>
      </c>
      <c r="B83" s="415">
        <v>78</v>
      </c>
      <c r="C83" s="415" t="s">
        <v>2673</v>
      </c>
      <c r="D83" s="415" t="s">
        <v>2737</v>
      </c>
      <c r="E83" s="415" t="s">
        <v>2223</v>
      </c>
      <c r="F83" s="415" t="s">
        <v>2348</v>
      </c>
      <c r="G83" s="415" t="s">
        <v>2849</v>
      </c>
      <c r="H83" s="415">
        <v>0</v>
      </c>
      <c r="I83" s="415">
        <v>0</v>
      </c>
      <c r="J83" s="415">
        <v>0</v>
      </c>
      <c r="K83" s="415">
        <v>0</v>
      </c>
      <c r="L83" s="415">
        <v>36</v>
      </c>
      <c r="M83" s="415">
        <v>620</v>
      </c>
      <c r="N83" s="415">
        <v>380</v>
      </c>
      <c r="O83" s="415">
        <v>343</v>
      </c>
      <c r="P83" s="415" t="s">
        <v>2819</v>
      </c>
      <c r="Q83" s="415" t="s">
        <v>3528</v>
      </c>
      <c r="R83" s="415">
        <v>36</v>
      </c>
      <c r="S83" s="415">
        <v>253</v>
      </c>
      <c r="T83" s="416">
        <v>253</v>
      </c>
      <c r="U83" s="416">
        <v>242</v>
      </c>
      <c r="V83" s="416">
        <v>229</v>
      </c>
      <c r="W83" s="416">
        <v>219</v>
      </c>
      <c r="X83" s="416">
        <v>209</v>
      </c>
      <c r="Y83" s="416">
        <v>200</v>
      </c>
      <c r="Z83" s="416">
        <v>192</v>
      </c>
      <c r="AA83" s="416">
        <v>185</v>
      </c>
      <c r="AB83" s="416">
        <v>180</v>
      </c>
      <c r="AC83" s="416">
        <v>176</v>
      </c>
      <c r="AD83" s="416">
        <v>173</v>
      </c>
      <c r="AE83" s="416">
        <v>171</v>
      </c>
      <c r="AF83" s="416">
        <v>160</v>
      </c>
      <c r="AG83" s="416">
        <v>0</v>
      </c>
      <c r="AH83" s="416">
        <v>0</v>
      </c>
      <c r="AI83" s="416">
        <v>0</v>
      </c>
      <c r="AJ83" s="416">
        <v>0</v>
      </c>
      <c r="AK83" s="416">
        <v>0</v>
      </c>
      <c r="AL83" s="416">
        <v>36</v>
      </c>
      <c r="AM83" s="416">
        <v>0</v>
      </c>
      <c r="AN83" s="416">
        <v>0</v>
      </c>
      <c r="AO83" s="416">
        <v>0</v>
      </c>
      <c r="AP83" s="416">
        <v>0</v>
      </c>
      <c r="AQ83" s="416">
        <v>0</v>
      </c>
      <c r="AR83" s="416">
        <v>0</v>
      </c>
      <c r="AS83" s="416">
        <v>0</v>
      </c>
      <c r="AT83" s="416">
        <v>0</v>
      </c>
      <c r="AU83" s="416">
        <v>0</v>
      </c>
      <c r="AV83" s="416">
        <v>0</v>
      </c>
      <c r="AW83" s="416">
        <v>0</v>
      </c>
      <c r="AX83" s="416">
        <v>0</v>
      </c>
      <c r="AY83" s="416">
        <v>0</v>
      </c>
      <c r="AZ83" s="416">
        <v>0</v>
      </c>
    </row>
    <row r="84" spans="1:52" x14ac:dyDescent="0.25">
      <c r="A84" s="415" t="str">
        <f t="shared" si="1"/>
        <v>SA-724 Gr.A</v>
      </c>
      <c r="B84" s="415">
        <v>79</v>
      </c>
      <c r="C84" s="415" t="s">
        <v>2673</v>
      </c>
      <c r="D84" s="415" t="s">
        <v>2684</v>
      </c>
      <c r="E84" s="415" t="s">
        <v>2307</v>
      </c>
      <c r="F84" s="415" t="s">
        <v>12</v>
      </c>
      <c r="G84" s="415" t="s">
        <v>2850</v>
      </c>
      <c r="H84" s="415">
        <v>0</v>
      </c>
      <c r="I84" s="415">
        <v>0</v>
      </c>
      <c r="J84" s="415">
        <v>1</v>
      </c>
      <c r="K84" s="415">
        <v>4</v>
      </c>
      <c r="L84" s="415">
        <v>37</v>
      </c>
      <c r="M84" s="415">
        <v>620</v>
      </c>
      <c r="N84" s="415">
        <v>485</v>
      </c>
      <c r="O84" s="415">
        <v>371</v>
      </c>
      <c r="P84" s="415" t="s">
        <v>2838</v>
      </c>
      <c r="Q84" s="415">
        <v>0</v>
      </c>
      <c r="R84" s="415">
        <v>37</v>
      </c>
      <c r="S84" s="415">
        <v>259</v>
      </c>
      <c r="T84" s="416">
        <v>259</v>
      </c>
      <c r="U84" s="416">
        <v>259</v>
      </c>
      <c r="V84" s="416">
        <v>259</v>
      </c>
      <c r="W84" s="416">
        <v>259</v>
      </c>
      <c r="X84" s="416">
        <v>259</v>
      </c>
      <c r="Y84" s="416">
        <v>254</v>
      </c>
      <c r="Z84" s="416">
        <v>244</v>
      </c>
      <c r="AA84" s="416">
        <v>236</v>
      </c>
      <c r="AB84" s="416">
        <v>229</v>
      </c>
      <c r="AC84" s="416">
        <v>224</v>
      </c>
      <c r="AD84" s="416">
        <v>220</v>
      </c>
      <c r="AE84" s="416">
        <v>217</v>
      </c>
      <c r="AF84" s="416">
        <v>180</v>
      </c>
      <c r="AG84" s="416">
        <v>178</v>
      </c>
      <c r="AH84" s="416">
        <v>0</v>
      </c>
      <c r="AI84" s="416">
        <v>0</v>
      </c>
      <c r="AJ84" s="416">
        <v>0</v>
      </c>
      <c r="AK84" s="416">
        <v>0</v>
      </c>
      <c r="AL84" s="416">
        <v>37</v>
      </c>
      <c r="AM84" s="416">
        <v>0</v>
      </c>
      <c r="AN84" s="416">
        <v>0</v>
      </c>
      <c r="AO84" s="416">
        <v>0</v>
      </c>
      <c r="AP84" s="416">
        <v>0</v>
      </c>
      <c r="AQ84" s="416">
        <v>0</v>
      </c>
      <c r="AR84" s="416">
        <v>0</v>
      </c>
      <c r="AS84" s="416">
        <v>0</v>
      </c>
      <c r="AT84" s="416">
        <v>0</v>
      </c>
      <c r="AU84" s="416">
        <v>0</v>
      </c>
      <c r="AV84" s="416">
        <v>0</v>
      </c>
      <c r="AW84" s="416">
        <v>0</v>
      </c>
      <c r="AX84" s="416">
        <v>0</v>
      </c>
      <c r="AY84" s="416">
        <v>0</v>
      </c>
      <c r="AZ84" s="416">
        <v>0</v>
      </c>
    </row>
    <row r="85" spans="1:52" x14ac:dyDescent="0.25">
      <c r="A85" s="415" t="str">
        <f t="shared" si="1"/>
        <v>SA-724 Gr.C</v>
      </c>
      <c r="B85" s="415">
        <v>80</v>
      </c>
      <c r="C85" s="415" t="s">
        <v>2673</v>
      </c>
      <c r="D85" s="415" t="s">
        <v>2684</v>
      </c>
      <c r="E85" s="415" t="s">
        <v>2307</v>
      </c>
      <c r="F85" s="415" t="s">
        <v>2348</v>
      </c>
      <c r="G85" s="415" t="s">
        <v>2851</v>
      </c>
      <c r="H85" s="415">
        <v>0</v>
      </c>
      <c r="I85" s="415">
        <v>0</v>
      </c>
      <c r="J85" s="415">
        <v>1</v>
      </c>
      <c r="K85" s="415">
        <v>4</v>
      </c>
      <c r="L85" s="415">
        <v>38</v>
      </c>
      <c r="M85" s="415">
        <v>620</v>
      </c>
      <c r="N85" s="415">
        <v>485</v>
      </c>
      <c r="O85" s="415">
        <v>371</v>
      </c>
      <c r="P85" s="415" t="s">
        <v>2838</v>
      </c>
      <c r="Q85" s="415">
        <v>0</v>
      </c>
      <c r="R85" s="415">
        <v>38</v>
      </c>
      <c r="S85" s="415">
        <v>259</v>
      </c>
      <c r="T85" s="416">
        <v>259</v>
      </c>
      <c r="U85" s="416">
        <v>259</v>
      </c>
      <c r="V85" s="416">
        <v>259</v>
      </c>
      <c r="W85" s="416">
        <v>259</v>
      </c>
      <c r="X85" s="416">
        <v>259</v>
      </c>
      <c r="Y85" s="416">
        <v>254</v>
      </c>
      <c r="Z85" s="416">
        <v>244</v>
      </c>
      <c r="AA85" s="416">
        <v>236</v>
      </c>
      <c r="AB85" s="416">
        <v>229</v>
      </c>
      <c r="AC85" s="416">
        <v>224</v>
      </c>
      <c r="AD85" s="416">
        <v>220</v>
      </c>
      <c r="AE85" s="416">
        <v>217</v>
      </c>
      <c r="AF85" s="416">
        <v>180</v>
      </c>
      <c r="AG85" s="416">
        <v>178</v>
      </c>
      <c r="AH85" s="416">
        <v>0</v>
      </c>
      <c r="AI85" s="416">
        <v>0</v>
      </c>
      <c r="AJ85" s="416">
        <v>0</v>
      </c>
      <c r="AK85" s="416">
        <v>0</v>
      </c>
      <c r="AL85" s="416">
        <v>38</v>
      </c>
      <c r="AM85" s="416">
        <v>0</v>
      </c>
      <c r="AN85" s="416">
        <v>0</v>
      </c>
      <c r="AO85" s="416">
        <v>0</v>
      </c>
      <c r="AP85" s="416">
        <v>0</v>
      </c>
      <c r="AQ85" s="416">
        <v>0</v>
      </c>
      <c r="AR85" s="416">
        <v>0</v>
      </c>
      <c r="AS85" s="416">
        <v>0</v>
      </c>
      <c r="AT85" s="416">
        <v>0</v>
      </c>
      <c r="AU85" s="416">
        <v>0</v>
      </c>
      <c r="AV85" s="416">
        <v>0</v>
      </c>
      <c r="AW85" s="416">
        <v>0</v>
      </c>
      <c r="AX85" s="416">
        <v>0</v>
      </c>
      <c r="AY85" s="416">
        <v>0</v>
      </c>
      <c r="AZ85" s="416">
        <v>0</v>
      </c>
    </row>
    <row r="86" spans="1:52" x14ac:dyDescent="0.25">
      <c r="A86" s="415" t="str">
        <f t="shared" si="1"/>
        <v>SA-724 Gr.B</v>
      </c>
      <c r="B86" s="415">
        <v>81</v>
      </c>
      <c r="C86" s="415" t="s">
        <v>2673</v>
      </c>
      <c r="D86" s="415" t="s">
        <v>2684</v>
      </c>
      <c r="E86" s="415" t="s">
        <v>2307</v>
      </c>
      <c r="F86" s="415" t="s">
        <v>1864</v>
      </c>
      <c r="G86" s="415" t="s">
        <v>2852</v>
      </c>
      <c r="H86" s="415">
        <v>0</v>
      </c>
      <c r="I86" s="415">
        <v>0</v>
      </c>
      <c r="J86" s="415">
        <v>1</v>
      </c>
      <c r="K86" s="415">
        <v>4</v>
      </c>
      <c r="L86" s="415">
        <v>39</v>
      </c>
      <c r="M86" s="415">
        <v>655</v>
      </c>
      <c r="N86" s="415">
        <v>515</v>
      </c>
      <c r="O86" s="415">
        <v>371</v>
      </c>
      <c r="P86" s="415" t="s">
        <v>2838</v>
      </c>
      <c r="Q86" s="415">
        <v>0</v>
      </c>
      <c r="R86" s="415">
        <v>39</v>
      </c>
      <c r="S86" s="415">
        <v>273</v>
      </c>
      <c r="T86" s="416">
        <v>273</v>
      </c>
      <c r="U86" s="416">
        <v>273</v>
      </c>
      <c r="V86" s="416">
        <v>273</v>
      </c>
      <c r="W86" s="416">
        <v>273</v>
      </c>
      <c r="X86" s="416">
        <v>273</v>
      </c>
      <c r="Y86" s="416">
        <v>272</v>
      </c>
      <c r="Z86" s="416">
        <v>261</v>
      </c>
      <c r="AA86" s="416">
        <v>253</v>
      </c>
      <c r="AB86" s="416">
        <v>246</v>
      </c>
      <c r="AC86" s="416">
        <v>240</v>
      </c>
      <c r="AD86" s="416">
        <v>236</v>
      </c>
      <c r="AE86" s="416">
        <v>233</v>
      </c>
      <c r="AF86" s="416">
        <v>180</v>
      </c>
      <c r="AG86" s="416">
        <v>178</v>
      </c>
      <c r="AH86" s="416">
        <v>0</v>
      </c>
      <c r="AI86" s="416">
        <v>0</v>
      </c>
      <c r="AJ86" s="416">
        <v>0</v>
      </c>
      <c r="AK86" s="416">
        <v>0</v>
      </c>
      <c r="AL86" s="416">
        <v>39</v>
      </c>
      <c r="AM86" s="416">
        <v>0</v>
      </c>
      <c r="AN86" s="416">
        <v>0</v>
      </c>
      <c r="AO86" s="416">
        <v>0</v>
      </c>
      <c r="AP86" s="416">
        <v>0</v>
      </c>
      <c r="AQ86" s="416">
        <v>0</v>
      </c>
      <c r="AR86" s="416">
        <v>0</v>
      </c>
      <c r="AS86" s="416">
        <v>0</v>
      </c>
      <c r="AT86" s="416">
        <v>0</v>
      </c>
      <c r="AU86" s="416">
        <v>0</v>
      </c>
      <c r="AV86" s="416">
        <v>0</v>
      </c>
      <c r="AW86" s="416">
        <v>0</v>
      </c>
      <c r="AX86" s="416">
        <v>0</v>
      </c>
      <c r="AY86" s="416">
        <v>0</v>
      </c>
      <c r="AZ86" s="416">
        <v>0</v>
      </c>
    </row>
    <row r="87" spans="1:52" x14ac:dyDescent="0.25">
      <c r="A87" s="415" t="str">
        <f t="shared" si="1"/>
        <v>SA-737 Gr.B</v>
      </c>
      <c r="B87" s="415">
        <v>82</v>
      </c>
      <c r="C87" s="415" t="s">
        <v>2853</v>
      </c>
      <c r="D87" s="415" t="s">
        <v>2684</v>
      </c>
      <c r="E87" s="415" t="s">
        <v>2313</v>
      </c>
      <c r="F87" s="415" t="s">
        <v>1864</v>
      </c>
      <c r="G87" s="415" t="s">
        <v>2854</v>
      </c>
      <c r="H87" s="415">
        <v>0</v>
      </c>
      <c r="I87" s="415">
        <v>0</v>
      </c>
      <c r="J87" s="415">
        <v>1</v>
      </c>
      <c r="K87" s="415">
        <v>2</v>
      </c>
      <c r="L87" s="415">
        <v>40</v>
      </c>
      <c r="M87" s="415">
        <v>485</v>
      </c>
      <c r="N87" s="415">
        <v>345</v>
      </c>
      <c r="O87" s="415">
        <v>371</v>
      </c>
      <c r="P87" s="415" t="s">
        <v>2819</v>
      </c>
      <c r="Q87" s="415">
        <v>0</v>
      </c>
      <c r="R87" s="415">
        <v>40</v>
      </c>
      <c r="S87" s="415">
        <v>201</v>
      </c>
      <c r="T87" s="416">
        <v>201</v>
      </c>
      <c r="U87" s="416">
        <v>201</v>
      </c>
      <c r="V87" s="416">
        <v>201</v>
      </c>
      <c r="W87" s="416">
        <v>199</v>
      </c>
      <c r="X87" s="416">
        <v>190</v>
      </c>
      <c r="Y87" s="416">
        <v>182</v>
      </c>
      <c r="Z87" s="416">
        <v>174</v>
      </c>
      <c r="AA87" s="416">
        <v>168</v>
      </c>
      <c r="AB87" s="416">
        <v>164</v>
      </c>
      <c r="AC87" s="416">
        <v>160</v>
      </c>
      <c r="AD87" s="416">
        <v>157</v>
      </c>
      <c r="AE87" s="416">
        <v>155</v>
      </c>
      <c r="AF87" s="416">
        <v>153</v>
      </c>
      <c r="AG87" s="416">
        <v>152</v>
      </c>
      <c r="AH87" s="416">
        <v>0</v>
      </c>
      <c r="AI87" s="416">
        <v>0</v>
      </c>
      <c r="AJ87" s="416">
        <v>0</v>
      </c>
      <c r="AK87" s="416">
        <v>0</v>
      </c>
      <c r="AL87" s="416">
        <v>40</v>
      </c>
      <c r="AM87" s="416">
        <v>0</v>
      </c>
      <c r="AN87" s="416">
        <v>0</v>
      </c>
      <c r="AO87" s="416">
        <v>0</v>
      </c>
      <c r="AP87" s="416">
        <v>0</v>
      </c>
      <c r="AQ87" s="416">
        <v>0</v>
      </c>
      <c r="AR87" s="416">
        <v>0</v>
      </c>
      <c r="AS87" s="416">
        <v>0</v>
      </c>
      <c r="AT87" s="416">
        <v>0</v>
      </c>
      <c r="AU87" s="416">
        <v>0</v>
      </c>
      <c r="AV87" s="416">
        <v>0</v>
      </c>
      <c r="AW87" s="416">
        <v>0</v>
      </c>
      <c r="AX87" s="416">
        <v>0</v>
      </c>
      <c r="AY87" s="416">
        <v>0</v>
      </c>
      <c r="AZ87" s="416">
        <v>0</v>
      </c>
    </row>
    <row r="88" spans="1:52" x14ac:dyDescent="0.25">
      <c r="A88" s="415" t="str">
        <f t="shared" si="1"/>
        <v>SA-737 Gr.C</v>
      </c>
      <c r="B88" s="415">
        <v>83</v>
      </c>
      <c r="C88" s="415" t="s">
        <v>2856</v>
      </c>
      <c r="D88" s="415" t="s">
        <v>2684</v>
      </c>
      <c r="E88" s="415" t="s">
        <v>2313</v>
      </c>
      <c r="F88" s="415" t="s">
        <v>2348</v>
      </c>
      <c r="G88" s="415" t="s">
        <v>2857</v>
      </c>
      <c r="H88" s="415">
        <v>0</v>
      </c>
      <c r="I88" s="415">
        <v>0</v>
      </c>
      <c r="J88" s="415">
        <v>1</v>
      </c>
      <c r="K88" s="415">
        <v>3</v>
      </c>
      <c r="L88" s="415">
        <v>41</v>
      </c>
      <c r="M88" s="415">
        <v>550</v>
      </c>
      <c r="N88" s="415">
        <v>415</v>
      </c>
      <c r="O88" s="415">
        <v>371</v>
      </c>
      <c r="P88" s="415" t="s">
        <v>2819</v>
      </c>
      <c r="Q88" s="415">
        <v>0</v>
      </c>
      <c r="R88" s="415">
        <v>41</v>
      </c>
      <c r="S88" s="415">
        <v>230</v>
      </c>
      <c r="T88" s="416">
        <v>230</v>
      </c>
      <c r="U88" s="416">
        <v>230</v>
      </c>
      <c r="V88" s="416">
        <v>230</v>
      </c>
      <c r="W88" s="416">
        <v>230</v>
      </c>
      <c r="X88" s="416">
        <v>228</v>
      </c>
      <c r="Y88" s="416">
        <v>218</v>
      </c>
      <c r="Z88" s="416">
        <v>209</v>
      </c>
      <c r="AA88" s="416">
        <v>202</v>
      </c>
      <c r="AB88" s="416">
        <v>196</v>
      </c>
      <c r="AC88" s="416">
        <v>192</v>
      </c>
      <c r="AD88" s="416">
        <v>189</v>
      </c>
      <c r="AE88" s="416">
        <v>186</v>
      </c>
      <c r="AF88" s="416">
        <v>180</v>
      </c>
      <c r="AG88" s="416">
        <v>178</v>
      </c>
      <c r="AH88" s="416">
        <v>0</v>
      </c>
      <c r="AI88" s="416">
        <v>0</v>
      </c>
      <c r="AJ88" s="416">
        <v>0</v>
      </c>
      <c r="AK88" s="416">
        <v>0</v>
      </c>
      <c r="AL88" s="416">
        <v>41</v>
      </c>
      <c r="AM88" s="416">
        <v>0</v>
      </c>
      <c r="AN88" s="416">
        <v>0</v>
      </c>
      <c r="AO88" s="416">
        <v>0</v>
      </c>
      <c r="AP88" s="416">
        <v>0</v>
      </c>
      <c r="AQ88" s="416">
        <v>0</v>
      </c>
      <c r="AR88" s="416">
        <v>0</v>
      </c>
      <c r="AS88" s="416">
        <v>0</v>
      </c>
      <c r="AT88" s="416">
        <v>0</v>
      </c>
      <c r="AU88" s="416">
        <v>0</v>
      </c>
      <c r="AV88" s="416">
        <v>0</v>
      </c>
      <c r="AW88" s="416">
        <v>0</v>
      </c>
      <c r="AX88" s="416">
        <v>0</v>
      </c>
      <c r="AY88" s="416">
        <v>0</v>
      </c>
      <c r="AZ88" s="416">
        <v>0</v>
      </c>
    </row>
    <row r="89" spans="1:52" x14ac:dyDescent="0.25">
      <c r="A89" s="415" t="str">
        <f t="shared" si="1"/>
        <v>SA-209 Gr.T1b</v>
      </c>
      <c r="B89" s="415">
        <v>84</v>
      </c>
      <c r="C89" s="415" t="s">
        <v>3529</v>
      </c>
      <c r="D89" s="415" t="s">
        <v>2693</v>
      </c>
      <c r="E89" s="415" t="s">
        <v>2193</v>
      </c>
      <c r="F89" s="415" t="s">
        <v>2542</v>
      </c>
      <c r="G89" s="415" t="s">
        <v>2865</v>
      </c>
      <c r="H89" s="415">
        <v>0</v>
      </c>
      <c r="I89" s="415">
        <v>0</v>
      </c>
      <c r="J89" s="415">
        <v>3</v>
      </c>
      <c r="K89" s="415">
        <v>1</v>
      </c>
      <c r="L89" s="415">
        <v>1</v>
      </c>
      <c r="M89" s="415">
        <v>365</v>
      </c>
      <c r="N89" s="415">
        <v>195</v>
      </c>
      <c r="O89" s="415">
        <v>538</v>
      </c>
      <c r="P89" s="415" t="s">
        <v>2682</v>
      </c>
      <c r="Q89" s="415" t="s">
        <v>3530</v>
      </c>
      <c r="R89" s="415">
        <v>1</v>
      </c>
      <c r="S89" s="415">
        <v>129</v>
      </c>
      <c r="T89" s="416">
        <v>129</v>
      </c>
      <c r="U89" s="416">
        <v>124</v>
      </c>
      <c r="V89" s="416">
        <v>120</v>
      </c>
      <c r="W89" s="416">
        <v>118</v>
      </c>
      <c r="X89" s="416">
        <v>116</v>
      </c>
      <c r="Y89" s="416">
        <v>114</v>
      </c>
      <c r="Z89" s="416">
        <v>112</v>
      </c>
      <c r="AA89" s="416">
        <v>111</v>
      </c>
      <c r="AB89" s="416">
        <v>109</v>
      </c>
      <c r="AC89" s="416">
        <v>108</v>
      </c>
      <c r="AD89" s="416">
        <v>106</v>
      </c>
      <c r="AE89" s="416">
        <v>105</v>
      </c>
      <c r="AF89" s="416">
        <v>103</v>
      </c>
      <c r="AG89" s="416">
        <v>101</v>
      </c>
      <c r="AH89" s="416">
        <v>98.8</v>
      </c>
      <c r="AI89" s="416">
        <v>96.4</v>
      </c>
      <c r="AJ89" s="416">
        <v>93.7</v>
      </c>
      <c r="AK89" s="416">
        <v>90.6</v>
      </c>
      <c r="AL89" s="416">
        <v>1</v>
      </c>
      <c r="AM89" s="416">
        <v>68</v>
      </c>
      <c r="AN89" s="416">
        <v>42.3</v>
      </c>
      <c r="AO89" s="416">
        <v>30.5</v>
      </c>
      <c r="AP89" s="416">
        <v>0</v>
      </c>
      <c r="AQ89" s="416">
        <v>0</v>
      </c>
      <c r="AR89" s="416">
        <v>0</v>
      </c>
      <c r="AS89" s="416">
        <v>0</v>
      </c>
      <c r="AT89" s="416">
        <v>0</v>
      </c>
      <c r="AU89" s="416">
        <v>0</v>
      </c>
      <c r="AV89" s="416">
        <v>0</v>
      </c>
      <c r="AW89" s="416">
        <v>0</v>
      </c>
      <c r="AX89" s="416">
        <v>0</v>
      </c>
      <c r="AY89" s="416">
        <v>0</v>
      </c>
      <c r="AZ89" s="416">
        <v>0</v>
      </c>
    </row>
    <row r="90" spans="1:52" x14ac:dyDescent="0.25">
      <c r="A90" s="415" t="str">
        <f t="shared" si="1"/>
        <v>SA-209 Gr.T1</v>
      </c>
      <c r="B90" s="415">
        <v>85</v>
      </c>
      <c r="C90" s="415" t="s">
        <v>3529</v>
      </c>
      <c r="D90" s="415" t="s">
        <v>2693</v>
      </c>
      <c r="E90" s="415" t="s">
        <v>2193</v>
      </c>
      <c r="F90" s="415" t="s">
        <v>2535</v>
      </c>
      <c r="G90" s="415" t="s">
        <v>2869</v>
      </c>
      <c r="H90" s="415">
        <v>0</v>
      </c>
      <c r="I90" s="415">
        <v>0</v>
      </c>
      <c r="J90" s="415">
        <v>3</v>
      </c>
      <c r="K90" s="415">
        <v>1</v>
      </c>
      <c r="L90" s="415">
        <v>2</v>
      </c>
      <c r="M90" s="415">
        <v>380</v>
      </c>
      <c r="N90" s="415">
        <v>205</v>
      </c>
      <c r="O90" s="415">
        <v>538</v>
      </c>
      <c r="P90" s="415" t="s">
        <v>2699</v>
      </c>
      <c r="Q90" s="415" t="s">
        <v>3530</v>
      </c>
      <c r="R90" s="415">
        <v>2</v>
      </c>
      <c r="S90" s="415">
        <v>138</v>
      </c>
      <c r="T90" s="416">
        <v>138</v>
      </c>
      <c r="U90" s="416">
        <v>133</v>
      </c>
      <c r="V90" s="416">
        <v>129</v>
      </c>
      <c r="W90" s="416">
        <v>126</v>
      </c>
      <c r="X90" s="416">
        <v>124</v>
      </c>
      <c r="Y90" s="416">
        <v>122</v>
      </c>
      <c r="Z90" s="416">
        <v>120</v>
      </c>
      <c r="AA90" s="416">
        <v>119</v>
      </c>
      <c r="AB90" s="416">
        <v>117</v>
      </c>
      <c r="AC90" s="416">
        <v>115</v>
      </c>
      <c r="AD90" s="416">
        <v>114</v>
      </c>
      <c r="AE90" s="416">
        <v>112</v>
      </c>
      <c r="AF90" s="416">
        <v>110</v>
      </c>
      <c r="AG90" s="416">
        <v>108</v>
      </c>
      <c r="AH90" s="416">
        <v>106</v>
      </c>
      <c r="AI90" s="416">
        <v>103</v>
      </c>
      <c r="AJ90" s="416">
        <v>100</v>
      </c>
      <c r="AK90" s="416">
        <v>97.1</v>
      </c>
      <c r="AL90" s="416">
        <v>2</v>
      </c>
      <c r="AM90" s="416">
        <v>68</v>
      </c>
      <c r="AN90" s="416">
        <v>42.3</v>
      </c>
      <c r="AO90" s="416">
        <v>30.5</v>
      </c>
      <c r="AP90" s="416">
        <v>0</v>
      </c>
      <c r="AQ90" s="416">
        <v>0</v>
      </c>
      <c r="AR90" s="416">
        <v>0</v>
      </c>
      <c r="AS90" s="416">
        <v>0</v>
      </c>
      <c r="AT90" s="416">
        <v>0</v>
      </c>
      <c r="AU90" s="416">
        <v>0</v>
      </c>
      <c r="AV90" s="416">
        <v>0</v>
      </c>
      <c r="AW90" s="416">
        <v>0</v>
      </c>
      <c r="AX90" s="416">
        <v>0</v>
      </c>
      <c r="AY90" s="416">
        <v>0</v>
      </c>
      <c r="AZ90" s="416">
        <v>0</v>
      </c>
    </row>
    <row r="91" spans="1:52" x14ac:dyDescent="0.25">
      <c r="A91" s="415" t="str">
        <f t="shared" si="1"/>
        <v>SA-234 Gr.WP1</v>
      </c>
      <c r="B91" s="415">
        <v>86</v>
      </c>
      <c r="C91" s="415" t="s">
        <v>3529</v>
      </c>
      <c r="D91" s="415" t="s">
        <v>913</v>
      </c>
      <c r="E91" s="415" t="s">
        <v>2174</v>
      </c>
      <c r="F91" s="415" t="s">
        <v>2604</v>
      </c>
      <c r="G91" s="415" t="s">
        <v>2871</v>
      </c>
      <c r="H91" s="415">
        <v>0</v>
      </c>
      <c r="I91" s="415">
        <v>0</v>
      </c>
      <c r="J91" s="415">
        <v>3</v>
      </c>
      <c r="K91" s="415">
        <v>1</v>
      </c>
      <c r="L91" s="415">
        <v>3</v>
      </c>
      <c r="M91" s="415">
        <v>380</v>
      </c>
      <c r="N91" s="415">
        <v>205</v>
      </c>
      <c r="O91" s="415">
        <v>538</v>
      </c>
      <c r="P91" s="415" t="s">
        <v>2699</v>
      </c>
      <c r="Q91" s="415" t="s">
        <v>3530</v>
      </c>
      <c r="R91" s="415">
        <v>3</v>
      </c>
      <c r="S91" s="415">
        <v>138</v>
      </c>
      <c r="T91" s="416">
        <v>138</v>
      </c>
      <c r="U91" s="416">
        <v>133</v>
      </c>
      <c r="V91" s="416">
        <v>129</v>
      </c>
      <c r="W91" s="416">
        <v>126</v>
      </c>
      <c r="X91" s="416">
        <v>124</v>
      </c>
      <c r="Y91" s="416">
        <v>122</v>
      </c>
      <c r="Z91" s="416">
        <v>120</v>
      </c>
      <c r="AA91" s="416">
        <v>119</v>
      </c>
      <c r="AB91" s="416">
        <v>117</v>
      </c>
      <c r="AC91" s="416">
        <v>115</v>
      </c>
      <c r="AD91" s="416">
        <v>114</v>
      </c>
      <c r="AE91" s="416">
        <v>112</v>
      </c>
      <c r="AF91" s="416">
        <v>110</v>
      </c>
      <c r="AG91" s="416">
        <v>108</v>
      </c>
      <c r="AH91" s="416">
        <v>106</v>
      </c>
      <c r="AI91" s="416">
        <v>103</v>
      </c>
      <c r="AJ91" s="416">
        <v>100</v>
      </c>
      <c r="AK91" s="416">
        <v>97.1</v>
      </c>
      <c r="AL91" s="416">
        <v>3</v>
      </c>
      <c r="AM91" s="416">
        <v>68</v>
      </c>
      <c r="AN91" s="416">
        <v>42.3</v>
      </c>
      <c r="AO91" s="416">
        <v>30.5</v>
      </c>
      <c r="AP91" s="416">
        <v>0</v>
      </c>
      <c r="AQ91" s="416">
        <v>0</v>
      </c>
      <c r="AR91" s="416">
        <v>0</v>
      </c>
      <c r="AS91" s="416">
        <v>0</v>
      </c>
      <c r="AT91" s="416">
        <v>0</v>
      </c>
      <c r="AU91" s="416">
        <v>0</v>
      </c>
      <c r="AV91" s="416">
        <v>0</v>
      </c>
      <c r="AW91" s="416">
        <v>0</v>
      </c>
      <c r="AX91" s="416">
        <v>0</v>
      </c>
      <c r="AY91" s="416">
        <v>0</v>
      </c>
      <c r="AZ91" s="416">
        <v>0</v>
      </c>
    </row>
    <row r="92" spans="1:52" x14ac:dyDescent="0.25">
      <c r="A92" s="415" t="str">
        <f t="shared" si="1"/>
        <v>SA-335 Gr.P1</v>
      </c>
      <c r="B92" s="415">
        <v>87</v>
      </c>
      <c r="C92" s="415" t="s">
        <v>3529</v>
      </c>
      <c r="D92" s="415" t="s">
        <v>2703</v>
      </c>
      <c r="E92" s="415" t="s">
        <v>2210</v>
      </c>
      <c r="F92" s="415" t="s">
        <v>2509</v>
      </c>
      <c r="G92" s="415" t="s">
        <v>2869</v>
      </c>
      <c r="H92" s="415">
        <v>0</v>
      </c>
      <c r="I92" s="415">
        <v>0</v>
      </c>
      <c r="J92" s="415">
        <v>3</v>
      </c>
      <c r="K92" s="415">
        <v>1</v>
      </c>
      <c r="L92" s="415">
        <v>4</v>
      </c>
      <c r="M92" s="415">
        <v>380</v>
      </c>
      <c r="N92" s="415">
        <v>205</v>
      </c>
      <c r="O92" s="415">
        <v>538</v>
      </c>
      <c r="P92" s="415" t="s">
        <v>2699</v>
      </c>
      <c r="Q92" s="415" t="s">
        <v>3530</v>
      </c>
      <c r="R92" s="415">
        <v>4</v>
      </c>
      <c r="S92" s="415">
        <v>138</v>
      </c>
      <c r="T92" s="416">
        <v>138</v>
      </c>
      <c r="U92" s="416">
        <v>133</v>
      </c>
      <c r="V92" s="416">
        <v>129</v>
      </c>
      <c r="W92" s="416">
        <v>126</v>
      </c>
      <c r="X92" s="416">
        <v>124</v>
      </c>
      <c r="Y92" s="416">
        <v>122</v>
      </c>
      <c r="Z92" s="416">
        <v>120</v>
      </c>
      <c r="AA92" s="416">
        <v>119</v>
      </c>
      <c r="AB92" s="416">
        <v>117</v>
      </c>
      <c r="AC92" s="416">
        <v>115</v>
      </c>
      <c r="AD92" s="416">
        <v>114</v>
      </c>
      <c r="AE92" s="416">
        <v>112</v>
      </c>
      <c r="AF92" s="416">
        <v>110</v>
      </c>
      <c r="AG92" s="416">
        <v>108</v>
      </c>
      <c r="AH92" s="416">
        <v>106</v>
      </c>
      <c r="AI92" s="416">
        <v>103</v>
      </c>
      <c r="AJ92" s="416">
        <v>100</v>
      </c>
      <c r="AK92" s="416">
        <v>97.1</v>
      </c>
      <c r="AL92" s="416">
        <v>4</v>
      </c>
      <c r="AM92" s="416">
        <v>68</v>
      </c>
      <c r="AN92" s="416">
        <v>42.3</v>
      </c>
      <c r="AO92" s="416">
        <v>30.5</v>
      </c>
      <c r="AP92" s="416">
        <v>0</v>
      </c>
      <c r="AQ92" s="416">
        <v>0</v>
      </c>
      <c r="AR92" s="416">
        <v>0</v>
      </c>
      <c r="AS92" s="416">
        <v>0</v>
      </c>
      <c r="AT92" s="416">
        <v>0</v>
      </c>
      <c r="AU92" s="416">
        <v>0</v>
      </c>
      <c r="AV92" s="416">
        <v>0</v>
      </c>
      <c r="AW92" s="416">
        <v>0</v>
      </c>
      <c r="AX92" s="416">
        <v>0</v>
      </c>
      <c r="AY92" s="416">
        <v>0</v>
      </c>
      <c r="AZ92" s="416">
        <v>0</v>
      </c>
    </row>
    <row r="93" spans="1:52" x14ac:dyDescent="0.25">
      <c r="A93" s="415" t="str">
        <f t="shared" si="1"/>
        <v>SA-369 Gr.FP1</v>
      </c>
      <c r="B93" s="415">
        <v>88</v>
      </c>
      <c r="C93" s="415" t="s">
        <v>3529</v>
      </c>
      <c r="D93" s="415" t="s">
        <v>2707</v>
      </c>
      <c r="E93" s="415" t="s">
        <v>2221</v>
      </c>
      <c r="F93" s="415" t="s">
        <v>2465</v>
      </c>
      <c r="G93" s="415" t="s">
        <v>2869</v>
      </c>
      <c r="H93" s="415">
        <v>0</v>
      </c>
      <c r="I93" s="415">
        <v>0</v>
      </c>
      <c r="J93" s="415">
        <v>3</v>
      </c>
      <c r="K93" s="415">
        <v>1</v>
      </c>
      <c r="L93" s="415">
        <v>5</v>
      </c>
      <c r="M93" s="415">
        <v>380</v>
      </c>
      <c r="N93" s="415">
        <v>210</v>
      </c>
      <c r="O93" s="415">
        <v>538</v>
      </c>
      <c r="P93" s="415" t="s">
        <v>2699</v>
      </c>
      <c r="Q93" s="415" t="s">
        <v>3530</v>
      </c>
      <c r="R93" s="415">
        <v>5</v>
      </c>
      <c r="S93" s="415">
        <v>138</v>
      </c>
      <c r="T93" s="416">
        <v>138</v>
      </c>
      <c r="U93" s="416">
        <v>133</v>
      </c>
      <c r="V93" s="416">
        <v>129</v>
      </c>
      <c r="W93" s="416">
        <v>126</v>
      </c>
      <c r="X93" s="416">
        <v>124</v>
      </c>
      <c r="Y93" s="416">
        <v>122</v>
      </c>
      <c r="Z93" s="416">
        <v>120</v>
      </c>
      <c r="AA93" s="416">
        <v>119</v>
      </c>
      <c r="AB93" s="416">
        <v>117</v>
      </c>
      <c r="AC93" s="416">
        <v>115</v>
      </c>
      <c r="AD93" s="416">
        <v>114</v>
      </c>
      <c r="AE93" s="416">
        <v>112</v>
      </c>
      <c r="AF93" s="416">
        <v>110</v>
      </c>
      <c r="AG93" s="416">
        <v>108</v>
      </c>
      <c r="AH93" s="416">
        <v>106</v>
      </c>
      <c r="AI93" s="416">
        <v>103</v>
      </c>
      <c r="AJ93" s="416">
        <v>100</v>
      </c>
      <c r="AK93" s="416">
        <v>97.1</v>
      </c>
      <c r="AL93" s="416">
        <v>5</v>
      </c>
      <c r="AM93" s="416">
        <v>68</v>
      </c>
      <c r="AN93" s="416">
        <v>42.3</v>
      </c>
      <c r="AO93" s="416">
        <v>30.5</v>
      </c>
      <c r="AP93" s="416">
        <v>0</v>
      </c>
      <c r="AQ93" s="416">
        <v>0</v>
      </c>
      <c r="AR93" s="416">
        <v>0</v>
      </c>
      <c r="AS93" s="416">
        <v>0</v>
      </c>
      <c r="AT93" s="416">
        <v>0</v>
      </c>
      <c r="AU93" s="416">
        <v>0</v>
      </c>
      <c r="AV93" s="416">
        <v>0</v>
      </c>
      <c r="AW93" s="416">
        <v>0</v>
      </c>
      <c r="AX93" s="416">
        <v>0</v>
      </c>
      <c r="AY93" s="416">
        <v>0</v>
      </c>
      <c r="AZ93" s="416">
        <v>0</v>
      </c>
    </row>
    <row r="94" spans="1:52" x14ac:dyDescent="0.25">
      <c r="A94" s="415" t="str">
        <f t="shared" si="1"/>
        <v>SA-209 Gr.T1a</v>
      </c>
      <c r="B94" s="415">
        <v>89</v>
      </c>
      <c r="C94" s="415" t="s">
        <v>3529</v>
      </c>
      <c r="D94" s="415" t="s">
        <v>2693</v>
      </c>
      <c r="E94" s="415" t="s">
        <v>2193</v>
      </c>
      <c r="F94" s="415" t="s">
        <v>2541</v>
      </c>
      <c r="G94" s="415" t="s">
        <v>2876</v>
      </c>
      <c r="H94" s="415">
        <v>0</v>
      </c>
      <c r="I94" s="415">
        <v>0</v>
      </c>
      <c r="J94" s="415">
        <v>3</v>
      </c>
      <c r="K94" s="415">
        <v>1</v>
      </c>
      <c r="L94" s="415">
        <v>6</v>
      </c>
      <c r="M94" s="415">
        <v>415</v>
      </c>
      <c r="N94" s="415">
        <v>220</v>
      </c>
      <c r="O94" s="415">
        <v>538</v>
      </c>
      <c r="P94" s="415" t="s">
        <v>2699</v>
      </c>
      <c r="Q94" s="415" t="s">
        <v>3530</v>
      </c>
      <c r="R94" s="415">
        <v>6</v>
      </c>
      <c r="S94" s="415">
        <v>147</v>
      </c>
      <c r="T94" s="416">
        <v>147</v>
      </c>
      <c r="U94" s="416">
        <v>142</v>
      </c>
      <c r="V94" s="416">
        <v>138</v>
      </c>
      <c r="W94" s="416">
        <v>135</v>
      </c>
      <c r="X94" s="416">
        <v>133</v>
      </c>
      <c r="Y94" s="416">
        <v>130</v>
      </c>
      <c r="Z94" s="416">
        <v>128</v>
      </c>
      <c r="AA94" s="416">
        <v>127</v>
      </c>
      <c r="AB94" s="416">
        <v>125</v>
      </c>
      <c r="AC94" s="416">
        <v>123</v>
      </c>
      <c r="AD94" s="416">
        <v>121</v>
      </c>
      <c r="AE94" s="416">
        <v>120</v>
      </c>
      <c r="AF94" s="416">
        <v>118</v>
      </c>
      <c r="AG94" s="416">
        <v>115</v>
      </c>
      <c r="AH94" s="416">
        <v>113</v>
      </c>
      <c r="AI94" s="416">
        <v>110</v>
      </c>
      <c r="AJ94" s="416">
        <v>107</v>
      </c>
      <c r="AK94" s="416">
        <v>104</v>
      </c>
      <c r="AL94" s="416">
        <v>6</v>
      </c>
      <c r="AM94" s="416">
        <v>68</v>
      </c>
      <c r="AN94" s="416">
        <v>42.3</v>
      </c>
      <c r="AO94" s="416">
        <v>30.5</v>
      </c>
      <c r="AP94" s="416">
        <v>0</v>
      </c>
      <c r="AQ94" s="416">
        <v>0</v>
      </c>
      <c r="AR94" s="416">
        <v>0</v>
      </c>
      <c r="AS94" s="416">
        <v>0</v>
      </c>
      <c r="AT94" s="416">
        <v>0</v>
      </c>
      <c r="AU94" s="416">
        <v>0</v>
      </c>
      <c r="AV94" s="416">
        <v>0</v>
      </c>
      <c r="AW94" s="416">
        <v>0</v>
      </c>
      <c r="AX94" s="416">
        <v>0</v>
      </c>
      <c r="AY94" s="416">
        <v>0</v>
      </c>
      <c r="AZ94" s="416">
        <v>0</v>
      </c>
    </row>
    <row r="95" spans="1:52" x14ac:dyDescent="0.25">
      <c r="A95" s="415" t="str">
        <f t="shared" si="1"/>
        <v>SA-217 Gr.WC1</v>
      </c>
      <c r="B95" s="415">
        <v>90</v>
      </c>
      <c r="C95" s="415" t="s">
        <v>3529</v>
      </c>
      <c r="D95" s="415" t="s">
        <v>2739</v>
      </c>
      <c r="E95" s="415" t="s">
        <v>2198</v>
      </c>
      <c r="F95" s="415" t="s">
        <v>2596</v>
      </c>
      <c r="G95" s="415" t="s">
        <v>2877</v>
      </c>
      <c r="H95" s="415">
        <v>0</v>
      </c>
      <c r="I95" s="415">
        <v>0</v>
      </c>
      <c r="J95" s="415">
        <v>3</v>
      </c>
      <c r="K95" s="415">
        <v>1</v>
      </c>
      <c r="L95" s="415">
        <v>7</v>
      </c>
      <c r="M95" s="415">
        <v>450</v>
      </c>
      <c r="N95" s="415">
        <v>240</v>
      </c>
      <c r="O95" s="415">
        <v>538</v>
      </c>
      <c r="P95" s="415" t="s">
        <v>2699</v>
      </c>
      <c r="Q95" s="415" t="s">
        <v>3531</v>
      </c>
      <c r="R95" s="415">
        <v>7</v>
      </c>
      <c r="S95" s="415">
        <v>161</v>
      </c>
      <c r="T95" s="416">
        <v>161</v>
      </c>
      <c r="U95" s="416">
        <v>155</v>
      </c>
      <c r="V95" s="416">
        <v>150</v>
      </c>
      <c r="W95" s="416">
        <v>148</v>
      </c>
      <c r="X95" s="416">
        <v>145</v>
      </c>
      <c r="Y95" s="416">
        <v>143</v>
      </c>
      <c r="Z95" s="416">
        <v>140</v>
      </c>
      <c r="AA95" s="416">
        <v>138</v>
      </c>
      <c r="AB95" s="416">
        <v>137</v>
      </c>
      <c r="AC95" s="416">
        <v>135</v>
      </c>
      <c r="AD95" s="416">
        <v>133</v>
      </c>
      <c r="AE95" s="416">
        <v>131</v>
      </c>
      <c r="AF95" s="416">
        <v>129</v>
      </c>
      <c r="AG95" s="416">
        <v>126</v>
      </c>
      <c r="AH95" s="416">
        <v>123</v>
      </c>
      <c r="AI95" s="416">
        <v>120</v>
      </c>
      <c r="AJ95" s="416">
        <v>117</v>
      </c>
      <c r="AK95" s="416">
        <v>109</v>
      </c>
      <c r="AL95" s="416">
        <v>7</v>
      </c>
      <c r="AM95" s="416">
        <v>68</v>
      </c>
      <c r="AN95" s="416">
        <v>42.3</v>
      </c>
      <c r="AO95" s="416">
        <v>30.5</v>
      </c>
      <c r="AP95" s="416">
        <v>0</v>
      </c>
      <c r="AQ95" s="416">
        <v>0</v>
      </c>
      <c r="AR95" s="416">
        <v>0</v>
      </c>
      <c r="AS95" s="416">
        <v>0</v>
      </c>
      <c r="AT95" s="416">
        <v>0</v>
      </c>
      <c r="AU95" s="416">
        <v>0</v>
      </c>
      <c r="AV95" s="416">
        <v>0</v>
      </c>
      <c r="AW95" s="416">
        <v>0</v>
      </c>
      <c r="AX95" s="416">
        <v>0</v>
      </c>
      <c r="AY95" s="416">
        <v>0</v>
      </c>
      <c r="AZ95" s="416">
        <v>0</v>
      </c>
    </row>
    <row r="96" spans="1:52" x14ac:dyDescent="0.25">
      <c r="A96" s="415" t="str">
        <f t="shared" si="1"/>
        <v>SA-352 Gr.LC1</v>
      </c>
      <c r="B96" s="415">
        <v>91</v>
      </c>
      <c r="C96" s="415" t="s">
        <v>3529</v>
      </c>
      <c r="D96" s="415" t="s">
        <v>2739</v>
      </c>
      <c r="E96" s="415" t="s">
        <v>2214</v>
      </c>
      <c r="F96" s="415" t="s">
        <v>2495</v>
      </c>
      <c r="G96" s="415" t="s">
        <v>2879</v>
      </c>
      <c r="H96" s="415">
        <v>0</v>
      </c>
      <c r="I96" s="415">
        <v>0</v>
      </c>
      <c r="J96" s="415">
        <v>3</v>
      </c>
      <c r="K96" s="415">
        <v>1</v>
      </c>
      <c r="L96" s="415">
        <v>8</v>
      </c>
      <c r="M96" s="415">
        <v>450</v>
      </c>
      <c r="N96" s="415">
        <v>240</v>
      </c>
      <c r="O96" s="415">
        <v>343</v>
      </c>
      <c r="P96" s="415" t="s">
        <v>2699</v>
      </c>
      <c r="Q96" s="415">
        <v>0</v>
      </c>
      <c r="R96" s="415">
        <v>8</v>
      </c>
      <c r="S96" s="415">
        <v>161</v>
      </c>
      <c r="T96" s="416">
        <v>161</v>
      </c>
      <c r="U96" s="416">
        <v>155</v>
      </c>
      <c r="V96" s="416">
        <v>150</v>
      </c>
      <c r="W96" s="416">
        <v>148</v>
      </c>
      <c r="X96" s="416">
        <v>145</v>
      </c>
      <c r="Y96" s="416">
        <v>143</v>
      </c>
      <c r="Z96" s="416">
        <v>140</v>
      </c>
      <c r="AA96" s="416">
        <v>138</v>
      </c>
      <c r="AB96" s="416">
        <v>137</v>
      </c>
      <c r="AC96" s="416">
        <v>135</v>
      </c>
      <c r="AD96" s="416">
        <v>133</v>
      </c>
      <c r="AE96" s="416">
        <v>131</v>
      </c>
      <c r="AF96" s="416">
        <v>129</v>
      </c>
      <c r="AG96" s="416">
        <v>0</v>
      </c>
      <c r="AH96" s="416">
        <v>0</v>
      </c>
      <c r="AI96" s="416">
        <v>0</v>
      </c>
      <c r="AJ96" s="416">
        <v>0</v>
      </c>
      <c r="AK96" s="416">
        <v>0</v>
      </c>
      <c r="AL96" s="416">
        <v>8</v>
      </c>
      <c r="AM96" s="416">
        <v>0</v>
      </c>
      <c r="AN96" s="416">
        <v>0</v>
      </c>
      <c r="AO96" s="416">
        <v>0</v>
      </c>
      <c r="AP96" s="416">
        <v>0</v>
      </c>
      <c r="AQ96" s="416">
        <v>0</v>
      </c>
      <c r="AR96" s="416">
        <v>0</v>
      </c>
      <c r="AS96" s="416">
        <v>0</v>
      </c>
      <c r="AT96" s="416">
        <v>0</v>
      </c>
      <c r="AU96" s="416">
        <v>0</v>
      </c>
      <c r="AV96" s="416">
        <v>0</v>
      </c>
      <c r="AW96" s="416">
        <v>0</v>
      </c>
      <c r="AX96" s="416">
        <v>0</v>
      </c>
      <c r="AY96" s="416">
        <v>0</v>
      </c>
      <c r="AZ96" s="416">
        <v>0</v>
      </c>
    </row>
    <row r="97" spans="1:52" x14ac:dyDescent="0.25">
      <c r="A97" s="415" t="str">
        <f t="shared" si="1"/>
        <v>SA-204 Gr.A</v>
      </c>
      <c r="B97" s="415">
        <v>92</v>
      </c>
      <c r="C97" s="415" t="s">
        <v>3529</v>
      </c>
      <c r="D97" s="415" t="s">
        <v>2684</v>
      </c>
      <c r="E97" s="415" t="s">
        <v>2192</v>
      </c>
      <c r="F97" s="415" t="s">
        <v>12</v>
      </c>
      <c r="G97" s="415" t="s">
        <v>2881</v>
      </c>
      <c r="H97" s="415">
        <v>0</v>
      </c>
      <c r="I97" s="415">
        <v>0</v>
      </c>
      <c r="J97" s="415">
        <v>3</v>
      </c>
      <c r="K97" s="415">
        <v>1</v>
      </c>
      <c r="L97" s="415">
        <v>9</v>
      </c>
      <c r="M97" s="415">
        <v>450</v>
      </c>
      <c r="N97" s="415">
        <v>255</v>
      </c>
      <c r="O97" s="415">
        <v>538</v>
      </c>
      <c r="P97" s="415" t="s">
        <v>2699</v>
      </c>
      <c r="Q97" s="415" t="s">
        <v>3531</v>
      </c>
      <c r="R97" s="415">
        <v>9</v>
      </c>
      <c r="S97" s="415">
        <v>170</v>
      </c>
      <c r="T97" s="416">
        <v>170</v>
      </c>
      <c r="U97" s="416">
        <v>164</v>
      </c>
      <c r="V97" s="416">
        <v>159</v>
      </c>
      <c r="W97" s="416">
        <v>156</v>
      </c>
      <c r="X97" s="416">
        <v>153</v>
      </c>
      <c r="Y97" s="416">
        <v>151</v>
      </c>
      <c r="Z97" s="416">
        <v>148</v>
      </c>
      <c r="AA97" s="416">
        <v>146</v>
      </c>
      <c r="AB97" s="416">
        <v>144</v>
      </c>
      <c r="AC97" s="416">
        <v>142</v>
      </c>
      <c r="AD97" s="416">
        <v>140</v>
      </c>
      <c r="AE97" s="416">
        <v>138</v>
      </c>
      <c r="AF97" s="416">
        <v>136</v>
      </c>
      <c r="AG97" s="416">
        <v>133</v>
      </c>
      <c r="AH97" s="416">
        <v>131</v>
      </c>
      <c r="AI97" s="416">
        <v>127</v>
      </c>
      <c r="AJ97" s="416">
        <v>124</v>
      </c>
      <c r="AK97" s="416">
        <v>109</v>
      </c>
      <c r="AL97" s="416">
        <v>9</v>
      </c>
      <c r="AM97" s="416">
        <v>68</v>
      </c>
      <c r="AN97" s="416">
        <v>42.3</v>
      </c>
      <c r="AO97" s="416">
        <v>30.5</v>
      </c>
      <c r="AP97" s="416">
        <v>0</v>
      </c>
      <c r="AQ97" s="416">
        <v>0</v>
      </c>
      <c r="AR97" s="416">
        <v>0</v>
      </c>
      <c r="AS97" s="416">
        <v>0</v>
      </c>
      <c r="AT97" s="416">
        <v>0</v>
      </c>
      <c r="AU97" s="416">
        <v>0</v>
      </c>
      <c r="AV97" s="416">
        <v>0</v>
      </c>
      <c r="AW97" s="416">
        <v>0</v>
      </c>
      <c r="AX97" s="416">
        <v>0</v>
      </c>
      <c r="AY97" s="416">
        <v>0</v>
      </c>
      <c r="AZ97" s="416">
        <v>0</v>
      </c>
    </row>
    <row r="98" spans="1:52" x14ac:dyDescent="0.25">
      <c r="A98" s="415" t="str">
        <f t="shared" si="1"/>
        <v>SA-182 Gr.F1</v>
      </c>
      <c r="B98" s="415">
        <v>93</v>
      </c>
      <c r="C98" s="415" t="s">
        <v>3529</v>
      </c>
      <c r="D98" s="415" t="s">
        <v>2737</v>
      </c>
      <c r="E98" s="415" t="s">
        <v>2188</v>
      </c>
      <c r="F98" s="415" t="s">
        <v>2425</v>
      </c>
      <c r="G98" s="415" t="s">
        <v>2884</v>
      </c>
      <c r="H98" s="415">
        <v>0</v>
      </c>
      <c r="I98" s="415">
        <v>0</v>
      </c>
      <c r="J98" s="415">
        <v>3</v>
      </c>
      <c r="K98" s="415">
        <v>2</v>
      </c>
      <c r="L98" s="415">
        <v>10</v>
      </c>
      <c r="M98" s="415">
        <v>485</v>
      </c>
      <c r="N98" s="415">
        <v>275</v>
      </c>
      <c r="O98" s="415">
        <v>538</v>
      </c>
      <c r="P98" s="415" t="s">
        <v>2699</v>
      </c>
      <c r="Q98" s="415" t="s">
        <v>3531</v>
      </c>
      <c r="R98" s="415">
        <v>10</v>
      </c>
      <c r="S98" s="415">
        <v>184</v>
      </c>
      <c r="T98" s="416">
        <v>184</v>
      </c>
      <c r="U98" s="416">
        <v>177</v>
      </c>
      <c r="V98" s="416">
        <v>172</v>
      </c>
      <c r="W98" s="416">
        <v>169</v>
      </c>
      <c r="X98" s="416">
        <v>166</v>
      </c>
      <c r="Y98" s="416">
        <v>163</v>
      </c>
      <c r="Z98" s="416">
        <v>161</v>
      </c>
      <c r="AA98" s="416">
        <v>158</v>
      </c>
      <c r="AB98" s="416">
        <v>156</v>
      </c>
      <c r="AC98" s="416">
        <v>154</v>
      </c>
      <c r="AD98" s="416">
        <v>152</v>
      </c>
      <c r="AE98" s="416">
        <v>149</v>
      </c>
      <c r="AF98" s="416">
        <v>147</v>
      </c>
      <c r="AG98" s="416">
        <v>144</v>
      </c>
      <c r="AH98" s="416">
        <v>141</v>
      </c>
      <c r="AI98" s="416">
        <v>138</v>
      </c>
      <c r="AJ98" s="416">
        <v>134</v>
      </c>
      <c r="AK98" s="416">
        <v>109</v>
      </c>
      <c r="AL98" s="416">
        <v>10</v>
      </c>
      <c r="AM98" s="416">
        <v>68</v>
      </c>
      <c r="AN98" s="416">
        <v>42.3</v>
      </c>
      <c r="AO98" s="416">
        <v>30.5</v>
      </c>
      <c r="AP98" s="416">
        <v>0</v>
      </c>
      <c r="AQ98" s="416">
        <v>0</v>
      </c>
      <c r="AR98" s="416">
        <v>0</v>
      </c>
      <c r="AS98" s="416">
        <v>0</v>
      </c>
      <c r="AT98" s="416">
        <v>0</v>
      </c>
      <c r="AU98" s="416">
        <v>0</v>
      </c>
      <c r="AV98" s="416">
        <v>0</v>
      </c>
      <c r="AW98" s="416">
        <v>0</v>
      </c>
      <c r="AX98" s="416">
        <v>0</v>
      </c>
      <c r="AY98" s="416">
        <v>0</v>
      </c>
      <c r="AZ98" s="416">
        <v>0</v>
      </c>
    </row>
    <row r="99" spans="1:52" x14ac:dyDescent="0.25">
      <c r="A99" s="415" t="str">
        <f t="shared" si="1"/>
        <v>SA-204 Gr.B</v>
      </c>
      <c r="B99" s="415">
        <v>94</v>
      </c>
      <c r="C99" s="415" t="s">
        <v>3529</v>
      </c>
      <c r="D99" s="415" t="s">
        <v>2684</v>
      </c>
      <c r="E99" s="415" t="s">
        <v>2192</v>
      </c>
      <c r="F99" s="415" t="s">
        <v>1864</v>
      </c>
      <c r="G99" s="415" t="s">
        <v>2885</v>
      </c>
      <c r="H99" s="415">
        <v>0</v>
      </c>
      <c r="I99" s="415">
        <v>0</v>
      </c>
      <c r="J99" s="415">
        <v>3</v>
      </c>
      <c r="K99" s="415">
        <v>2</v>
      </c>
      <c r="L99" s="415">
        <v>11</v>
      </c>
      <c r="M99" s="415">
        <v>485</v>
      </c>
      <c r="N99" s="415">
        <v>275</v>
      </c>
      <c r="O99" s="415">
        <v>538</v>
      </c>
      <c r="P99" s="415" t="s">
        <v>2699</v>
      </c>
      <c r="Q99" s="415" t="s">
        <v>3531</v>
      </c>
      <c r="R99" s="415">
        <v>11</v>
      </c>
      <c r="S99" s="415">
        <v>184</v>
      </c>
      <c r="T99" s="416">
        <v>184</v>
      </c>
      <c r="U99" s="416">
        <v>177</v>
      </c>
      <c r="V99" s="416">
        <v>172</v>
      </c>
      <c r="W99" s="416">
        <v>169</v>
      </c>
      <c r="X99" s="416">
        <v>166</v>
      </c>
      <c r="Y99" s="416">
        <v>163</v>
      </c>
      <c r="Z99" s="416">
        <v>161</v>
      </c>
      <c r="AA99" s="416">
        <v>158</v>
      </c>
      <c r="AB99" s="416">
        <v>156</v>
      </c>
      <c r="AC99" s="416">
        <v>154</v>
      </c>
      <c r="AD99" s="416">
        <v>152</v>
      </c>
      <c r="AE99" s="416">
        <v>149</v>
      </c>
      <c r="AF99" s="416">
        <v>147</v>
      </c>
      <c r="AG99" s="416">
        <v>144</v>
      </c>
      <c r="AH99" s="416">
        <v>141</v>
      </c>
      <c r="AI99" s="416">
        <v>138</v>
      </c>
      <c r="AJ99" s="416">
        <v>134</v>
      </c>
      <c r="AK99" s="416">
        <v>109</v>
      </c>
      <c r="AL99" s="416">
        <v>11</v>
      </c>
      <c r="AM99" s="416">
        <v>68</v>
      </c>
      <c r="AN99" s="416">
        <v>42.3</v>
      </c>
      <c r="AO99" s="416">
        <v>30.5</v>
      </c>
      <c r="AP99" s="416">
        <v>0</v>
      </c>
      <c r="AQ99" s="416">
        <v>0</v>
      </c>
      <c r="AR99" s="416">
        <v>0</v>
      </c>
      <c r="AS99" s="416">
        <v>0</v>
      </c>
      <c r="AT99" s="416">
        <v>0</v>
      </c>
      <c r="AU99" s="416">
        <v>0</v>
      </c>
      <c r="AV99" s="416">
        <v>0</v>
      </c>
      <c r="AW99" s="416">
        <v>0</v>
      </c>
      <c r="AX99" s="416">
        <v>0</v>
      </c>
      <c r="AY99" s="416">
        <v>0</v>
      </c>
      <c r="AZ99" s="416">
        <v>0</v>
      </c>
    </row>
    <row r="100" spans="1:52" x14ac:dyDescent="0.25">
      <c r="A100" s="415" t="str">
        <f t="shared" si="1"/>
        <v>SA-336 Gr.F1</v>
      </c>
      <c r="B100" s="415">
        <v>95</v>
      </c>
      <c r="C100" s="415" t="s">
        <v>3529</v>
      </c>
      <c r="D100" s="415" t="s">
        <v>2737</v>
      </c>
      <c r="E100" s="415" t="s">
        <v>2211</v>
      </c>
      <c r="F100" s="415" t="s">
        <v>2425</v>
      </c>
      <c r="G100" s="415" t="s">
        <v>2886</v>
      </c>
      <c r="H100" s="415">
        <v>0</v>
      </c>
      <c r="I100" s="415">
        <v>0</v>
      </c>
      <c r="J100" s="415">
        <v>3</v>
      </c>
      <c r="K100" s="415">
        <v>2</v>
      </c>
      <c r="L100" s="415">
        <v>12</v>
      </c>
      <c r="M100" s="415">
        <v>485</v>
      </c>
      <c r="N100" s="415">
        <v>275</v>
      </c>
      <c r="O100" s="415">
        <v>538</v>
      </c>
      <c r="P100" s="415" t="s">
        <v>2699</v>
      </c>
      <c r="Q100" s="415" t="s">
        <v>3531</v>
      </c>
      <c r="R100" s="415">
        <v>12</v>
      </c>
      <c r="S100" s="415">
        <v>184</v>
      </c>
      <c r="T100" s="416">
        <v>184</v>
      </c>
      <c r="U100" s="416">
        <v>177</v>
      </c>
      <c r="V100" s="416">
        <v>172</v>
      </c>
      <c r="W100" s="416">
        <v>169</v>
      </c>
      <c r="X100" s="416">
        <v>166</v>
      </c>
      <c r="Y100" s="416">
        <v>163</v>
      </c>
      <c r="Z100" s="416">
        <v>161</v>
      </c>
      <c r="AA100" s="416">
        <v>158</v>
      </c>
      <c r="AB100" s="416">
        <v>156</v>
      </c>
      <c r="AC100" s="416">
        <v>154</v>
      </c>
      <c r="AD100" s="416">
        <v>152</v>
      </c>
      <c r="AE100" s="416">
        <v>149</v>
      </c>
      <c r="AF100" s="416">
        <v>147</v>
      </c>
      <c r="AG100" s="416">
        <v>144</v>
      </c>
      <c r="AH100" s="416">
        <v>141</v>
      </c>
      <c r="AI100" s="416">
        <v>138</v>
      </c>
      <c r="AJ100" s="416">
        <v>134</v>
      </c>
      <c r="AK100" s="416">
        <v>109</v>
      </c>
      <c r="AL100" s="416">
        <v>12</v>
      </c>
      <c r="AM100" s="416">
        <v>68</v>
      </c>
      <c r="AN100" s="416">
        <v>42.3</v>
      </c>
      <c r="AO100" s="416">
        <v>30.5</v>
      </c>
      <c r="AP100" s="416">
        <v>0</v>
      </c>
      <c r="AQ100" s="416">
        <v>0</v>
      </c>
      <c r="AR100" s="416">
        <v>0</v>
      </c>
      <c r="AS100" s="416">
        <v>0</v>
      </c>
      <c r="AT100" s="416">
        <v>0</v>
      </c>
      <c r="AU100" s="416">
        <v>0</v>
      </c>
      <c r="AV100" s="416">
        <v>0</v>
      </c>
      <c r="AW100" s="416">
        <v>0</v>
      </c>
      <c r="AX100" s="416">
        <v>0</v>
      </c>
      <c r="AY100" s="416">
        <v>0</v>
      </c>
      <c r="AZ100" s="416">
        <v>0</v>
      </c>
    </row>
    <row r="101" spans="1:52" x14ac:dyDescent="0.25">
      <c r="A101" s="415" t="str">
        <f t="shared" si="1"/>
        <v>SA-204 Gr.C</v>
      </c>
      <c r="B101" s="415">
        <v>96</v>
      </c>
      <c r="C101" s="415" t="s">
        <v>3529</v>
      </c>
      <c r="D101" s="415" t="s">
        <v>2684</v>
      </c>
      <c r="E101" s="415" t="s">
        <v>2192</v>
      </c>
      <c r="F101" s="415" t="s">
        <v>2348</v>
      </c>
      <c r="G101" s="415" t="s">
        <v>2887</v>
      </c>
      <c r="H101" s="415">
        <v>0</v>
      </c>
      <c r="I101" s="415">
        <v>0</v>
      </c>
      <c r="J101" s="415">
        <v>3</v>
      </c>
      <c r="K101" s="415">
        <v>2</v>
      </c>
      <c r="L101" s="415">
        <v>13</v>
      </c>
      <c r="M101" s="415">
        <v>515</v>
      </c>
      <c r="N101" s="415">
        <v>295</v>
      </c>
      <c r="O101" s="415">
        <v>538</v>
      </c>
      <c r="P101" s="415" t="s">
        <v>2699</v>
      </c>
      <c r="Q101" s="415" t="s">
        <v>3531</v>
      </c>
      <c r="R101" s="415">
        <v>13</v>
      </c>
      <c r="S101" s="415">
        <v>198</v>
      </c>
      <c r="T101" s="416">
        <v>198</v>
      </c>
      <c r="U101" s="416">
        <v>190</v>
      </c>
      <c r="V101" s="416">
        <v>185</v>
      </c>
      <c r="W101" s="416">
        <v>181</v>
      </c>
      <c r="X101" s="416">
        <v>178</v>
      </c>
      <c r="Y101" s="416">
        <v>175</v>
      </c>
      <c r="Z101" s="416">
        <v>173</v>
      </c>
      <c r="AA101" s="416">
        <v>170</v>
      </c>
      <c r="AB101" s="416">
        <v>168</v>
      </c>
      <c r="AC101" s="416">
        <v>165</v>
      </c>
      <c r="AD101" s="416">
        <v>163</v>
      </c>
      <c r="AE101" s="416">
        <v>161</v>
      </c>
      <c r="AF101" s="416">
        <v>158</v>
      </c>
      <c r="AG101" s="416">
        <v>155</v>
      </c>
      <c r="AH101" s="416">
        <v>152</v>
      </c>
      <c r="AI101" s="416">
        <v>148</v>
      </c>
      <c r="AJ101" s="416">
        <v>144</v>
      </c>
      <c r="AK101" s="416">
        <v>109</v>
      </c>
      <c r="AL101" s="416">
        <v>13</v>
      </c>
      <c r="AM101" s="416">
        <v>68</v>
      </c>
      <c r="AN101" s="416">
        <v>42.3</v>
      </c>
      <c r="AO101" s="416">
        <v>30.5</v>
      </c>
      <c r="AP101" s="416">
        <v>0</v>
      </c>
      <c r="AQ101" s="416">
        <v>0</v>
      </c>
      <c r="AR101" s="416">
        <v>0</v>
      </c>
      <c r="AS101" s="416">
        <v>0</v>
      </c>
      <c r="AT101" s="416">
        <v>0</v>
      </c>
      <c r="AU101" s="416">
        <v>0</v>
      </c>
      <c r="AV101" s="416">
        <v>0</v>
      </c>
      <c r="AW101" s="416">
        <v>0</v>
      </c>
      <c r="AX101" s="416">
        <v>0</v>
      </c>
      <c r="AY101" s="416">
        <v>0</v>
      </c>
      <c r="AZ101" s="416">
        <v>0</v>
      </c>
    </row>
    <row r="102" spans="1:52" x14ac:dyDescent="0.25">
      <c r="A102" s="415" t="str">
        <f t="shared" si="1"/>
        <v>SA-372 Gr.G</v>
      </c>
      <c r="B102" s="415">
        <v>97</v>
      </c>
      <c r="C102" s="415" t="s">
        <v>3532</v>
      </c>
      <c r="D102" s="415" t="s">
        <v>2737</v>
      </c>
      <c r="E102" s="415" t="s">
        <v>2223</v>
      </c>
      <c r="F102" s="415" t="s">
        <v>2479</v>
      </c>
      <c r="G102" s="415" t="s">
        <v>2890</v>
      </c>
      <c r="H102" s="415">
        <v>70</v>
      </c>
      <c r="I102" s="415">
        <v>0</v>
      </c>
      <c r="J102" s="415" t="s">
        <v>2895</v>
      </c>
      <c r="K102" s="415">
        <v>0</v>
      </c>
      <c r="L102" s="415">
        <v>14</v>
      </c>
      <c r="M102" s="415">
        <v>825</v>
      </c>
      <c r="N102" s="415">
        <v>485</v>
      </c>
      <c r="O102" s="415">
        <v>93</v>
      </c>
      <c r="P102" s="415" t="s">
        <v>2819</v>
      </c>
      <c r="Q102" s="415" t="s">
        <v>3533</v>
      </c>
      <c r="R102" s="415">
        <v>14</v>
      </c>
      <c r="S102" s="415">
        <v>322</v>
      </c>
      <c r="T102" s="416">
        <v>322</v>
      </c>
      <c r="U102" s="416">
        <v>322</v>
      </c>
      <c r="V102" s="416">
        <v>322</v>
      </c>
      <c r="W102" s="416">
        <v>322</v>
      </c>
      <c r="X102" s="416">
        <v>0</v>
      </c>
      <c r="Y102" s="416">
        <v>0</v>
      </c>
      <c r="Z102" s="416">
        <v>0</v>
      </c>
      <c r="AA102" s="416">
        <v>0</v>
      </c>
      <c r="AB102" s="416">
        <v>0</v>
      </c>
      <c r="AC102" s="416">
        <v>0</v>
      </c>
      <c r="AD102" s="416">
        <v>0</v>
      </c>
      <c r="AE102" s="416">
        <v>0</v>
      </c>
      <c r="AF102" s="416">
        <v>0</v>
      </c>
      <c r="AG102" s="416">
        <v>0</v>
      </c>
      <c r="AH102" s="416">
        <v>0</v>
      </c>
      <c r="AI102" s="416">
        <v>0</v>
      </c>
      <c r="AJ102" s="416">
        <v>0</v>
      </c>
      <c r="AK102" s="416">
        <v>0</v>
      </c>
      <c r="AL102" s="416">
        <v>14</v>
      </c>
      <c r="AM102" s="416">
        <v>0</v>
      </c>
      <c r="AN102" s="416">
        <v>0</v>
      </c>
      <c r="AO102" s="416">
        <v>0</v>
      </c>
      <c r="AP102" s="416">
        <v>0</v>
      </c>
      <c r="AQ102" s="416">
        <v>0</v>
      </c>
      <c r="AR102" s="416">
        <v>0</v>
      </c>
      <c r="AS102" s="416">
        <v>0</v>
      </c>
      <c r="AT102" s="416">
        <v>0</v>
      </c>
      <c r="AU102" s="416">
        <v>0</v>
      </c>
      <c r="AV102" s="416">
        <v>0</v>
      </c>
      <c r="AW102" s="416">
        <v>0</v>
      </c>
      <c r="AX102" s="416">
        <v>0</v>
      </c>
      <c r="AY102" s="416">
        <v>0</v>
      </c>
      <c r="AZ102" s="416">
        <v>0</v>
      </c>
    </row>
    <row r="103" spans="1:52" x14ac:dyDescent="0.25">
      <c r="A103" s="415" t="str">
        <f t="shared" si="1"/>
        <v>SA-372 Gr.H</v>
      </c>
      <c r="B103" s="415">
        <v>98</v>
      </c>
      <c r="C103" s="415" t="s">
        <v>3532</v>
      </c>
      <c r="D103" s="415" t="s">
        <v>2737</v>
      </c>
      <c r="E103" s="415" t="s">
        <v>2223</v>
      </c>
      <c r="F103" s="415" t="s">
        <v>2480</v>
      </c>
      <c r="G103" s="415" t="s">
        <v>2891</v>
      </c>
      <c r="H103" s="415">
        <v>70</v>
      </c>
      <c r="I103" s="415">
        <v>0</v>
      </c>
      <c r="J103" s="415" t="s">
        <v>2895</v>
      </c>
      <c r="K103" s="415">
        <v>0</v>
      </c>
      <c r="L103" s="415">
        <v>15</v>
      </c>
      <c r="M103" s="415">
        <v>825</v>
      </c>
      <c r="N103" s="415">
        <v>485</v>
      </c>
      <c r="O103" s="415">
        <v>93</v>
      </c>
      <c r="P103" s="415" t="s">
        <v>2819</v>
      </c>
      <c r="Q103" s="415" t="s">
        <v>3533</v>
      </c>
      <c r="R103" s="415">
        <v>15</v>
      </c>
      <c r="S103" s="415">
        <v>322</v>
      </c>
      <c r="T103" s="416">
        <v>322</v>
      </c>
      <c r="U103" s="416">
        <v>322</v>
      </c>
      <c r="V103" s="416">
        <v>322</v>
      </c>
      <c r="W103" s="416">
        <v>322</v>
      </c>
      <c r="X103" s="416">
        <v>0</v>
      </c>
      <c r="Y103" s="416">
        <v>0</v>
      </c>
      <c r="Z103" s="416">
        <v>0</v>
      </c>
      <c r="AA103" s="416">
        <v>0</v>
      </c>
      <c r="AB103" s="416">
        <v>0</v>
      </c>
      <c r="AC103" s="416">
        <v>0</v>
      </c>
      <c r="AD103" s="416">
        <v>0</v>
      </c>
      <c r="AE103" s="416">
        <v>0</v>
      </c>
      <c r="AF103" s="416">
        <v>0</v>
      </c>
      <c r="AG103" s="416">
        <v>0</v>
      </c>
      <c r="AH103" s="416">
        <v>0</v>
      </c>
      <c r="AI103" s="416">
        <v>0</v>
      </c>
      <c r="AJ103" s="416">
        <v>0</v>
      </c>
      <c r="AK103" s="416">
        <v>0</v>
      </c>
      <c r="AL103" s="416">
        <v>15</v>
      </c>
      <c r="AM103" s="416">
        <v>0</v>
      </c>
      <c r="AN103" s="416">
        <v>0</v>
      </c>
      <c r="AO103" s="416">
        <v>0</v>
      </c>
      <c r="AP103" s="416">
        <v>0</v>
      </c>
      <c r="AQ103" s="416">
        <v>0</v>
      </c>
      <c r="AR103" s="416">
        <v>0</v>
      </c>
      <c r="AS103" s="416">
        <v>0</v>
      </c>
      <c r="AT103" s="416">
        <v>0</v>
      </c>
      <c r="AU103" s="416">
        <v>0</v>
      </c>
      <c r="AV103" s="416">
        <v>0</v>
      </c>
      <c r="AW103" s="416">
        <v>0</v>
      </c>
      <c r="AX103" s="416">
        <v>0</v>
      </c>
      <c r="AY103" s="416">
        <v>0</v>
      </c>
      <c r="AZ103" s="416">
        <v>0</v>
      </c>
    </row>
    <row r="104" spans="1:52" x14ac:dyDescent="0.25">
      <c r="A104" s="415" t="str">
        <f t="shared" si="1"/>
        <v>SA-517 Gr.B</v>
      </c>
      <c r="B104" s="415">
        <v>99</v>
      </c>
      <c r="C104" s="415" t="s">
        <v>3534</v>
      </c>
      <c r="D104" s="415" t="s">
        <v>2684</v>
      </c>
      <c r="E104" s="415" t="s">
        <v>2254</v>
      </c>
      <c r="F104" s="415" t="s">
        <v>1864</v>
      </c>
      <c r="G104" s="415" t="s">
        <v>2893</v>
      </c>
      <c r="H104" s="415">
        <v>0</v>
      </c>
      <c r="I104" s="415" t="s">
        <v>3535</v>
      </c>
      <c r="J104" s="415" t="s">
        <v>2895</v>
      </c>
      <c r="K104" s="415">
        <v>4</v>
      </c>
      <c r="L104" s="415">
        <v>16</v>
      </c>
      <c r="M104" s="415">
        <v>795</v>
      </c>
      <c r="N104" s="415">
        <v>690</v>
      </c>
      <c r="O104" s="415">
        <v>343</v>
      </c>
      <c r="P104" s="415" t="s">
        <v>2896</v>
      </c>
      <c r="Q104" s="415">
        <v>0</v>
      </c>
      <c r="R104" s="415">
        <v>16</v>
      </c>
      <c r="S104" s="415">
        <v>330</v>
      </c>
      <c r="T104" s="416">
        <v>330</v>
      </c>
      <c r="U104" s="416">
        <v>330</v>
      </c>
      <c r="V104" s="416">
        <v>330</v>
      </c>
      <c r="W104" s="416">
        <v>330</v>
      </c>
      <c r="X104" s="416">
        <v>330</v>
      </c>
      <c r="Y104" s="416">
        <v>330</v>
      </c>
      <c r="Z104" s="416">
        <v>330</v>
      </c>
      <c r="AA104" s="416">
        <v>330</v>
      </c>
      <c r="AB104" s="416">
        <v>330</v>
      </c>
      <c r="AC104" s="416">
        <v>330</v>
      </c>
      <c r="AD104" s="416">
        <v>330</v>
      </c>
      <c r="AE104" s="416">
        <v>330</v>
      </c>
      <c r="AF104" s="416">
        <v>330</v>
      </c>
      <c r="AG104" s="416">
        <v>0</v>
      </c>
      <c r="AH104" s="416">
        <v>0</v>
      </c>
      <c r="AI104" s="416">
        <v>0</v>
      </c>
      <c r="AJ104" s="416">
        <v>0</v>
      </c>
      <c r="AK104" s="416">
        <v>0</v>
      </c>
      <c r="AL104" s="416">
        <v>16</v>
      </c>
      <c r="AM104" s="416">
        <v>0</v>
      </c>
      <c r="AN104" s="416">
        <v>0</v>
      </c>
      <c r="AO104" s="416">
        <v>0</v>
      </c>
      <c r="AP104" s="416">
        <v>0</v>
      </c>
      <c r="AQ104" s="416">
        <v>0</v>
      </c>
      <c r="AR104" s="416">
        <v>0</v>
      </c>
      <c r="AS104" s="416">
        <v>0</v>
      </c>
      <c r="AT104" s="416">
        <v>0</v>
      </c>
      <c r="AU104" s="416">
        <v>0</v>
      </c>
      <c r="AV104" s="416">
        <v>0</v>
      </c>
      <c r="AW104" s="416">
        <v>0</v>
      </c>
      <c r="AX104" s="416">
        <v>0</v>
      </c>
      <c r="AY104" s="416">
        <v>0</v>
      </c>
      <c r="AZ104" s="416">
        <v>0</v>
      </c>
    </row>
    <row r="105" spans="1:52" x14ac:dyDescent="0.25">
      <c r="A105" s="415" t="str">
        <f t="shared" si="1"/>
        <v>SA-517 Gr.A</v>
      </c>
      <c r="B105" s="415">
        <v>100</v>
      </c>
      <c r="C105" s="415" t="s">
        <v>3536</v>
      </c>
      <c r="D105" s="415" t="s">
        <v>2684</v>
      </c>
      <c r="E105" s="415" t="s">
        <v>2254</v>
      </c>
      <c r="F105" s="415" t="s">
        <v>12</v>
      </c>
      <c r="G105" s="415" t="s">
        <v>2898</v>
      </c>
      <c r="H105" s="415">
        <v>0</v>
      </c>
      <c r="I105" s="415" t="s">
        <v>3535</v>
      </c>
      <c r="J105" s="415" t="s">
        <v>2895</v>
      </c>
      <c r="K105" s="415">
        <v>1</v>
      </c>
      <c r="L105" s="415">
        <v>17</v>
      </c>
      <c r="M105" s="415">
        <v>795</v>
      </c>
      <c r="N105" s="415">
        <v>690</v>
      </c>
      <c r="O105" s="415">
        <v>343</v>
      </c>
      <c r="P105" s="415" t="s">
        <v>2896</v>
      </c>
      <c r="Q105" s="415">
        <v>0</v>
      </c>
      <c r="R105" s="415">
        <v>17</v>
      </c>
      <c r="S105" s="415">
        <v>330</v>
      </c>
      <c r="T105" s="416">
        <v>330</v>
      </c>
      <c r="U105" s="416">
        <v>330</v>
      </c>
      <c r="V105" s="416">
        <v>330</v>
      </c>
      <c r="W105" s="416">
        <v>330</v>
      </c>
      <c r="X105" s="416">
        <v>330</v>
      </c>
      <c r="Y105" s="416">
        <v>330</v>
      </c>
      <c r="Z105" s="416">
        <v>330</v>
      </c>
      <c r="AA105" s="416">
        <v>330</v>
      </c>
      <c r="AB105" s="416">
        <v>330</v>
      </c>
      <c r="AC105" s="416">
        <v>330</v>
      </c>
      <c r="AD105" s="416">
        <v>330</v>
      </c>
      <c r="AE105" s="416">
        <v>330</v>
      </c>
      <c r="AF105" s="416">
        <v>330</v>
      </c>
      <c r="AG105" s="416">
        <v>0</v>
      </c>
      <c r="AH105" s="416">
        <v>0</v>
      </c>
      <c r="AI105" s="416">
        <v>0</v>
      </c>
      <c r="AJ105" s="416">
        <v>0</v>
      </c>
      <c r="AK105" s="416">
        <v>0</v>
      </c>
      <c r="AL105" s="416">
        <v>17</v>
      </c>
      <c r="AM105" s="416">
        <v>0</v>
      </c>
      <c r="AN105" s="416">
        <v>0</v>
      </c>
      <c r="AO105" s="416">
        <v>0</v>
      </c>
      <c r="AP105" s="416">
        <v>0</v>
      </c>
      <c r="AQ105" s="416">
        <v>0</v>
      </c>
      <c r="AR105" s="416">
        <v>0</v>
      </c>
      <c r="AS105" s="416">
        <v>0</v>
      </c>
      <c r="AT105" s="416">
        <v>0</v>
      </c>
      <c r="AU105" s="416">
        <v>0</v>
      </c>
      <c r="AV105" s="416">
        <v>0</v>
      </c>
      <c r="AW105" s="416">
        <v>0</v>
      </c>
      <c r="AX105" s="416">
        <v>0</v>
      </c>
      <c r="AY105" s="416">
        <v>0</v>
      </c>
      <c r="AZ105" s="416">
        <v>0</v>
      </c>
    </row>
    <row r="106" spans="1:52" x14ac:dyDescent="0.25">
      <c r="A106" s="415" t="str">
        <f t="shared" si="1"/>
        <v>SA-592 Gr.A</v>
      </c>
      <c r="B106" s="415">
        <v>101</v>
      </c>
      <c r="C106" s="415" t="s">
        <v>3536</v>
      </c>
      <c r="D106" s="415" t="s">
        <v>2737</v>
      </c>
      <c r="E106" s="415" t="s">
        <v>2279</v>
      </c>
      <c r="F106" s="415" t="s">
        <v>12</v>
      </c>
      <c r="G106" s="415" t="s">
        <v>2898</v>
      </c>
      <c r="H106" s="415">
        <v>0</v>
      </c>
      <c r="I106" s="415" t="s">
        <v>3519</v>
      </c>
      <c r="J106" s="415" t="s">
        <v>2895</v>
      </c>
      <c r="K106" s="415">
        <v>1</v>
      </c>
      <c r="L106" s="415">
        <v>18</v>
      </c>
      <c r="M106" s="415">
        <v>795</v>
      </c>
      <c r="N106" s="415">
        <v>690</v>
      </c>
      <c r="O106" s="415">
        <v>343</v>
      </c>
      <c r="P106" s="415" t="s">
        <v>2896</v>
      </c>
      <c r="Q106" s="415">
        <v>0</v>
      </c>
      <c r="R106" s="415">
        <v>18</v>
      </c>
      <c r="S106" s="415">
        <v>330</v>
      </c>
      <c r="T106" s="416">
        <v>330</v>
      </c>
      <c r="U106" s="416">
        <v>330</v>
      </c>
      <c r="V106" s="416">
        <v>330</v>
      </c>
      <c r="W106" s="416">
        <v>330</v>
      </c>
      <c r="X106" s="416">
        <v>330</v>
      </c>
      <c r="Y106" s="416">
        <v>330</v>
      </c>
      <c r="Z106" s="416">
        <v>330</v>
      </c>
      <c r="AA106" s="416">
        <v>330</v>
      </c>
      <c r="AB106" s="416">
        <v>330</v>
      </c>
      <c r="AC106" s="416">
        <v>330</v>
      </c>
      <c r="AD106" s="416">
        <v>330</v>
      </c>
      <c r="AE106" s="416">
        <v>330</v>
      </c>
      <c r="AF106" s="416">
        <v>330</v>
      </c>
      <c r="AG106" s="416">
        <v>0</v>
      </c>
      <c r="AH106" s="416">
        <v>0</v>
      </c>
      <c r="AI106" s="416">
        <v>0</v>
      </c>
      <c r="AJ106" s="416">
        <v>0</v>
      </c>
      <c r="AK106" s="416">
        <v>0</v>
      </c>
      <c r="AL106" s="416">
        <v>18</v>
      </c>
      <c r="AM106" s="416">
        <v>0</v>
      </c>
      <c r="AN106" s="416">
        <v>0</v>
      </c>
      <c r="AO106" s="416">
        <v>0</v>
      </c>
      <c r="AP106" s="416">
        <v>0</v>
      </c>
      <c r="AQ106" s="416">
        <v>0</v>
      </c>
      <c r="AR106" s="416">
        <v>0</v>
      </c>
      <c r="AS106" s="416">
        <v>0</v>
      </c>
      <c r="AT106" s="416">
        <v>0</v>
      </c>
      <c r="AU106" s="416">
        <v>0</v>
      </c>
      <c r="AV106" s="416">
        <v>0</v>
      </c>
      <c r="AW106" s="416">
        <v>0</v>
      </c>
      <c r="AX106" s="416">
        <v>0</v>
      </c>
      <c r="AY106" s="416">
        <v>0</v>
      </c>
      <c r="AZ106" s="416">
        <v>0</v>
      </c>
    </row>
    <row r="107" spans="1:52" x14ac:dyDescent="0.25">
      <c r="A107" s="415" t="str">
        <f t="shared" si="1"/>
        <v>SA-335 Gr.P2</v>
      </c>
      <c r="B107" s="415">
        <v>102</v>
      </c>
      <c r="C107" s="415" t="s">
        <v>3537</v>
      </c>
      <c r="D107" s="415" t="s">
        <v>2703</v>
      </c>
      <c r="E107" s="415" t="s">
        <v>2210</v>
      </c>
      <c r="F107" s="415" t="s">
        <v>2513</v>
      </c>
      <c r="G107" s="415" t="s">
        <v>2900</v>
      </c>
      <c r="H107" s="415">
        <v>0</v>
      </c>
      <c r="I107" s="415">
        <v>0</v>
      </c>
      <c r="J107" s="415">
        <v>3</v>
      </c>
      <c r="K107" s="415">
        <v>1</v>
      </c>
      <c r="L107" s="415">
        <v>19</v>
      </c>
      <c r="M107" s="415">
        <v>380</v>
      </c>
      <c r="N107" s="415">
        <v>205</v>
      </c>
      <c r="O107" s="415">
        <v>538</v>
      </c>
      <c r="P107" s="415" t="s">
        <v>2699</v>
      </c>
      <c r="Q107" s="415" t="s">
        <v>2552</v>
      </c>
      <c r="R107" s="415">
        <v>19</v>
      </c>
      <c r="S107" s="415">
        <v>138</v>
      </c>
      <c r="T107" s="416">
        <v>138</v>
      </c>
      <c r="U107" s="416">
        <v>133</v>
      </c>
      <c r="V107" s="416">
        <v>129</v>
      </c>
      <c r="W107" s="416">
        <v>126</v>
      </c>
      <c r="X107" s="416">
        <v>124</v>
      </c>
      <c r="Y107" s="416">
        <v>122</v>
      </c>
      <c r="Z107" s="416">
        <v>120</v>
      </c>
      <c r="AA107" s="416">
        <v>119</v>
      </c>
      <c r="AB107" s="416">
        <v>117</v>
      </c>
      <c r="AC107" s="416">
        <v>115</v>
      </c>
      <c r="AD107" s="416">
        <v>114</v>
      </c>
      <c r="AE107" s="416">
        <v>112</v>
      </c>
      <c r="AF107" s="416">
        <v>110</v>
      </c>
      <c r="AG107" s="416">
        <v>108</v>
      </c>
      <c r="AH107" s="416">
        <v>106</v>
      </c>
      <c r="AI107" s="416">
        <v>103</v>
      </c>
      <c r="AJ107" s="416">
        <v>100</v>
      </c>
      <c r="AK107" s="416">
        <v>97.1</v>
      </c>
      <c r="AL107" s="416">
        <v>19</v>
      </c>
      <c r="AM107" s="416">
        <v>74.400000000000006</v>
      </c>
      <c r="AN107" s="416">
        <v>49.9</v>
      </c>
      <c r="AO107" s="416">
        <v>34.299999999999997</v>
      </c>
      <c r="AP107" s="416">
        <v>0</v>
      </c>
      <c r="AQ107" s="416">
        <v>0</v>
      </c>
      <c r="AR107" s="416">
        <v>0</v>
      </c>
      <c r="AS107" s="416">
        <v>0</v>
      </c>
      <c r="AT107" s="416">
        <v>0</v>
      </c>
      <c r="AU107" s="416">
        <v>0</v>
      </c>
      <c r="AV107" s="416">
        <v>0</v>
      </c>
      <c r="AW107" s="416">
        <v>0</v>
      </c>
      <c r="AX107" s="416">
        <v>0</v>
      </c>
      <c r="AY107" s="416">
        <v>0</v>
      </c>
      <c r="AZ107" s="416">
        <v>0</v>
      </c>
    </row>
    <row r="108" spans="1:52" x14ac:dyDescent="0.25">
      <c r="A108" s="415" t="str">
        <f t="shared" si="1"/>
        <v>SA-369 Gr.FP2</v>
      </c>
      <c r="B108" s="415">
        <v>103</v>
      </c>
      <c r="C108" s="415" t="s">
        <v>3537</v>
      </c>
      <c r="D108" s="415" t="s">
        <v>2707</v>
      </c>
      <c r="E108" s="415" t="s">
        <v>2221</v>
      </c>
      <c r="F108" s="415" t="s">
        <v>2468</v>
      </c>
      <c r="G108" s="415" t="s">
        <v>2900</v>
      </c>
      <c r="H108" s="415">
        <v>0</v>
      </c>
      <c r="I108" s="415">
        <v>0</v>
      </c>
      <c r="J108" s="415">
        <v>3</v>
      </c>
      <c r="K108" s="415">
        <v>1</v>
      </c>
      <c r="L108" s="415">
        <v>20</v>
      </c>
      <c r="M108" s="415">
        <v>380</v>
      </c>
      <c r="N108" s="415">
        <v>210</v>
      </c>
      <c r="O108" s="415">
        <v>538</v>
      </c>
      <c r="P108" s="415" t="s">
        <v>2699</v>
      </c>
      <c r="Q108" s="415" t="s">
        <v>2552</v>
      </c>
      <c r="R108" s="415">
        <v>20</v>
      </c>
      <c r="S108" s="415">
        <v>138</v>
      </c>
      <c r="T108" s="416">
        <v>138</v>
      </c>
      <c r="U108" s="416">
        <v>133</v>
      </c>
      <c r="V108" s="416">
        <v>129</v>
      </c>
      <c r="W108" s="416">
        <v>126</v>
      </c>
      <c r="X108" s="416">
        <v>124</v>
      </c>
      <c r="Y108" s="416">
        <v>122</v>
      </c>
      <c r="Z108" s="416">
        <v>120</v>
      </c>
      <c r="AA108" s="416">
        <v>119</v>
      </c>
      <c r="AB108" s="416">
        <v>117</v>
      </c>
      <c r="AC108" s="416">
        <v>115</v>
      </c>
      <c r="AD108" s="416">
        <v>114</v>
      </c>
      <c r="AE108" s="416">
        <v>112</v>
      </c>
      <c r="AF108" s="416">
        <v>110</v>
      </c>
      <c r="AG108" s="416">
        <v>108</v>
      </c>
      <c r="AH108" s="416">
        <v>106</v>
      </c>
      <c r="AI108" s="416">
        <v>103</v>
      </c>
      <c r="AJ108" s="416">
        <v>100</v>
      </c>
      <c r="AK108" s="416">
        <v>97.1</v>
      </c>
      <c r="AL108" s="416">
        <v>20</v>
      </c>
      <c r="AM108" s="416">
        <v>74.400000000000006</v>
      </c>
      <c r="AN108" s="416">
        <v>49.9</v>
      </c>
      <c r="AO108" s="416">
        <v>34.299999999999997</v>
      </c>
      <c r="AP108" s="416">
        <v>0</v>
      </c>
      <c r="AQ108" s="416">
        <v>0</v>
      </c>
      <c r="AR108" s="416">
        <v>0</v>
      </c>
      <c r="AS108" s="416">
        <v>0</v>
      </c>
      <c r="AT108" s="416">
        <v>0</v>
      </c>
      <c r="AU108" s="416">
        <v>0</v>
      </c>
      <c r="AV108" s="416">
        <v>0</v>
      </c>
      <c r="AW108" s="416">
        <v>0</v>
      </c>
      <c r="AX108" s="416">
        <v>0</v>
      </c>
      <c r="AY108" s="416">
        <v>0</v>
      </c>
      <c r="AZ108" s="416">
        <v>0</v>
      </c>
    </row>
    <row r="109" spans="1:52" x14ac:dyDescent="0.25">
      <c r="A109" s="415" t="str">
        <f t="shared" si="1"/>
        <v>SA-387 Gr.2</v>
      </c>
      <c r="B109" s="415">
        <v>104</v>
      </c>
      <c r="C109" s="415" t="s">
        <v>3537</v>
      </c>
      <c r="D109" s="415" t="s">
        <v>2684</v>
      </c>
      <c r="E109" s="415" t="s">
        <v>2227</v>
      </c>
      <c r="F109" s="415">
        <v>2</v>
      </c>
      <c r="G109" s="415" t="s">
        <v>2901</v>
      </c>
      <c r="H109" s="415">
        <v>1</v>
      </c>
      <c r="I109" s="415">
        <v>0</v>
      </c>
      <c r="J109" s="415">
        <v>3</v>
      </c>
      <c r="K109" s="415">
        <v>1</v>
      </c>
      <c r="L109" s="415">
        <v>21</v>
      </c>
      <c r="M109" s="415">
        <v>380</v>
      </c>
      <c r="N109" s="415">
        <v>230</v>
      </c>
      <c r="O109" s="415">
        <v>538</v>
      </c>
      <c r="P109" s="415" t="s">
        <v>2699</v>
      </c>
      <c r="Q109" s="415" t="s">
        <v>2552</v>
      </c>
      <c r="R109" s="415">
        <v>21</v>
      </c>
      <c r="S109" s="415">
        <v>152</v>
      </c>
      <c r="T109" s="416">
        <v>152</v>
      </c>
      <c r="U109" s="416">
        <v>146</v>
      </c>
      <c r="V109" s="416">
        <v>142</v>
      </c>
      <c r="W109" s="416">
        <v>139</v>
      </c>
      <c r="X109" s="416">
        <v>137</v>
      </c>
      <c r="Y109" s="416">
        <v>134</v>
      </c>
      <c r="Z109" s="416">
        <v>132</v>
      </c>
      <c r="AA109" s="416">
        <v>131</v>
      </c>
      <c r="AB109" s="416">
        <v>129</v>
      </c>
      <c r="AC109" s="416">
        <v>127</v>
      </c>
      <c r="AD109" s="416">
        <v>125</v>
      </c>
      <c r="AE109" s="416">
        <v>123</v>
      </c>
      <c r="AF109" s="416">
        <v>121</v>
      </c>
      <c r="AG109" s="416">
        <v>119</v>
      </c>
      <c r="AH109" s="416">
        <v>116</v>
      </c>
      <c r="AI109" s="416">
        <v>114</v>
      </c>
      <c r="AJ109" s="416">
        <v>110</v>
      </c>
      <c r="AK109" s="416">
        <v>107</v>
      </c>
      <c r="AL109" s="416">
        <v>21</v>
      </c>
      <c r="AM109" s="416">
        <v>74.400000000000006</v>
      </c>
      <c r="AN109" s="416">
        <v>49.9</v>
      </c>
      <c r="AO109" s="416">
        <v>34.299999999999997</v>
      </c>
      <c r="AP109" s="416">
        <v>0</v>
      </c>
      <c r="AQ109" s="416">
        <v>0</v>
      </c>
      <c r="AR109" s="416">
        <v>0</v>
      </c>
      <c r="AS109" s="416">
        <v>0</v>
      </c>
      <c r="AT109" s="416">
        <v>0</v>
      </c>
      <c r="AU109" s="416">
        <v>0</v>
      </c>
      <c r="AV109" s="416">
        <v>0</v>
      </c>
      <c r="AW109" s="416">
        <v>0</v>
      </c>
      <c r="AX109" s="416">
        <v>0</v>
      </c>
      <c r="AY109" s="416">
        <v>0</v>
      </c>
      <c r="AZ109" s="416">
        <v>0</v>
      </c>
    </row>
    <row r="110" spans="1:52" x14ac:dyDescent="0.25">
      <c r="A110" s="415" t="str">
        <f t="shared" si="1"/>
        <v>SA-213 Gr.T2</v>
      </c>
      <c r="B110" s="415">
        <v>105</v>
      </c>
      <c r="C110" s="415" t="s">
        <v>3537</v>
      </c>
      <c r="D110" s="415" t="s">
        <v>2693</v>
      </c>
      <c r="E110" s="415" t="s">
        <v>2195</v>
      </c>
      <c r="F110" s="415" t="s">
        <v>2543</v>
      </c>
      <c r="G110" s="415" t="s">
        <v>2900</v>
      </c>
      <c r="H110" s="415">
        <v>0</v>
      </c>
      <c r="I110" s="415">
        <v>0</v>
      </c>
      <c r="J110" s="415">
        <v>3</v>
      </c>
      <c r="K110" s="415">
        <v>1</v>
      </c>
      <c r="L110" s="415">
        <v>22</v>
      </c>
      <c r="M110" s="415">
        <v>415</v>
      </c>
      <c r="N110" s="415">
        <v>205</v>
      </c>
      <c r="O110" s="415">
        <v>538</v>
      </c>
      <c r="P110" s="415" t="s">
        <v>2699</v>
      </c>
      <c r="Q110" s="415" t="s">
        <v>2552</v>
      </c>
      <c r="R110" s="415">
        <v>22</v>
      </c>
      <c r="S110" s="415">
        <v>138</v>
      </c>
      <c r="T110" s="416">
        <v>138</v>
      </c>
      <c r="U110" s="416">
        <v>133</v>
      </c>
      <c r="V110" s="416">
        <v>129</v>
      </c>
      <c r="W110" s="416">
        <v>126</v>
      </c>
      <c r="X110" s="416">
        <v>124</v>
      </c>
      <c r="Y110" s="416">
        <v>122</v>
      </c>
      <c r="Z110" s="416">
        <v>120</v>
      </c>
      <c r="AA110" s="416">
        <v>119</v>
      </c>
      <c r="AB110" s="416">
        <v>117</v>
      </c>
      <c r="AC110" s="416">
        <v>115</v>
      </c>
      <c r="AD110" s="416">
        <v>114</v>
      </c>
      <c r="AE110" s="416">
        <v>112</v>
      </c>
      <c r="AF110" s="416">
        <v>110</v>
      </c>
      <c r="AG110" s="416">
        <v>108</v>
      </c>
      <c r="AH110" s="416">
        <v>106</v>
      </c>
      <c r="AI110" s="416">
        <v>103</v>
      </c>
      <c r="AJ110" s="416">
        <v>100</v>
      </c>
      <c r="AK110" s="416">
        <v>97.1</v>
      </c>
      <c r="AL110" s="416">
        <v>22</v>
      </c>
      <c r="AM110" s="416">
        <v>74.400000000000006</v>
      </c>
      <c r="AN110" s="416">
        <v>49.9</v>
      </c>
      <c r="AO110" s="416">
        <v>34.299999999999997</v>
      </c>
      <c r="AP110" s="416">
        <v>0</v>
      </c>
      <c r="AQ110" s="416">
        <v>0</v>
      </c>
      <c r="AR110" s="416">
        <v>0</v>
      </c>
      <c r="AS110" s="416">
        <v>0</v>
      </c>
      <c r="AT110" s="416">
        <v>0</v>
      </c>
      <c r="AU110" s="416">
        <v>0</v>
      </c>
      <c r="AV110" s="416">
        <v>0</v>
      </c>
      <c r="AW110" s="416">
        <v>0</v>
      </c>
      <c r="AX110" s="416">
        <v>0</v>
      </c>
      <c r="AY110" s="416">
        <v>0</v>
      </c>
      <c r="AZ110" s="416">
        <v>0</v>
      </c>
    </row>
    <row r="111" spans="1:52" x14ac:dyDescent="0.25">
      <c r="A111" s="415" t="str">
        <f t="shared" si="1"/>
        <v>SA-182 Gr.F2</v>
      </c>
      <c r="B111" s="415">
        <v>106</v>
      </c>
      <c r="C111" s="415" t="s">
        <v>3537</v>
      </c>
      <c r="D111" s="415" t="s">
        <v>2737</v>
      </c>
      <c r="E111" s="415" t="s">
        <v>2188</v>
      </c>
      <c r="F111" s="415" t="s">
        <v>2428</v>
      </c>
      <c r="G111" s="415" t="s">
        <v>2906</v>
      </c>
      <c r="H111" s="415">
        <v>0</v>
      </c>
      <c r="I111" s="415">
        <v>0</v>
      </c>
      <c r="J111" s="415">
        <v>3</v>
      </c>
      <c r="K111" s="415">
        <v>2</v>
      </c>
      <c r="L111" s="415">
        <v>23</v>
      </c>
      <c r="M111" s="415">
        <v>485</v>
      </c>
      <c r="N111" s="415">
        <v>275</v>
      </c>
      <c r="O111" s="415">
        <v>538</v>
      </c>
      <c r="P111" s="415" t="s">
        <v>2699</v>
      </c>
      <c r="Q111" s="415" t="s">
        <v>3530</v>
      </c>
      <c r="R111" s="415">
        <v>23</v>
      </c>
      <c r="S111" s="415">
        <v>184</v>
      </c>
      <c r="T111" s="416">
        <v>184</v>
      </c>
      <c r="U111" s="416">
        <v>177</v>
      </c>
      <c r="V111" s="416">
        <v>172</v>
      </c>
      <c r="W111" s="416">
        <v>169</v>
      </c>
      <c r="X111" s="416">
        <v>166</v>
      </c>
      <c r="Y111" s="416">
        <v>163</v>
      </c>
      <c r="Z111" s="416">
        <v>161</v>
      </c>
      <c r="AA111" s="416">
        <v>158</v>
      </c>
      <c r="AB111" s="416">
        <v>156</v>
      </c>
      <c r="AC111" s="416">
        <v>154</v>
      </c>
      <c r="AD111" s="416">
        <v>152</v>
      </c>
      <c r="AE111" s="416">
        <v>149</v>
      </c>
      <c r="AF111" s="416">
        <v>147</v>
      </c>
      <c r="AG111" s="416">
        <v>144</v>
      </c>
      <c r="AH111" s="416">
        <v>141</v>
      </c>
      <c r="AI111" s="416">
        <v>138</v>
      </c>
      <c r="AJ111" s="416">
        <v>134</v>
      </c>
      <c r="AK111" s="416">
        <v>129</v>
      </c>
      <c r="AL111" s="416">
        <v>23</v>
      </c>
      <c r="AM111" s="416">
        <v>75.599999999999994</v>
      </c>
      <c r="AN111" s="416">
        <v>49.9</v>
      </c>
      <c r="AO111" s="416">
        <v>33.5</v>
      </c>
      <c r="AP111" s="416">
        <v>0</v>
      </c>
      <c r="AQ111" s="416">
        <v>0</v>
      </c>
      <c r="AR111" s="416">
        <v>0</v>
      </c>
      <c r="AS111" s="416">
        <v>0</v>
      </c>
      <c r="AT111" s="416">
        <v>0</v>
      </c>
      <c r="AU111" s="416">
        <v>0</v>
      </c>
      <c r="AV111" s="416">
        <v>0</v>
      </c>
      <c r="AW111" s="416">
        <v>0</v>
      </c>
      <c r="AX111" s="416">
        <v>0</v>
      </c>
      <c r="AY111" s="416">
        <v>0</v>
      </c>
      <c r="AZ111" s="416">
        <v>0</v>
      </c>
    </row>
    <row r="112" spans="1:52" x14ac:dyDescent="0.25">
      <c r="A112" s="415" t="str">
        <f t="shared" si="1"/>
        <v>SA-387 Gr.2</v>
      </c>
      <c r="B112" s="415">
        <v>107</v>
      </c>
      <c r="C112" s="415" t="s">
        <v>3537</v>
      </c>
      <c r="D112" s="415" t="s">
        <v>2684</v>
      </c>
      <c r="E112" s="415" t="s">
        <v>2227</v>
      </c>
      <c r="F112" s="415">
        <v>2</v>
      </c>
      <c r="G112" s="415" t="s">
        <v>2901</v>
      </c>
      <c r="H112" s="415">
        <v>2</v>
      </c>
      <c r="I112" s="415">
        <v>0</v>
      </c>
      <c r="J112" s="415">
        <v>3</v>
      </c>
      <c r="K112" s="415">
        <v>2</v>
      </c>
      <c r="L112" s="415">
        <v>24</v>
      </c>
      <c r="M112" s="415">
        <v>485</v>
      </c>
      <c r="N112" s="415">
        <v>310</v>
      </c>
      <c r="O112" s="415">
        <v>538</v>
      </c>
      <c r="P112" s="415" t="s">
        <v>2819</v>
      </c>
      <c r="Q112" s="415" t="s">
        <v>3538</v>
      </c>
      <c r="R112" s="415">
        <v>24</v>
      </c>
      <c r="S112" s="415">
        <v>201</v>
      </c>
      <c r="T112" s="416">
        <v>201</v>
      </c>
      <c r="U112" s="416">
        <v>199</v>
      </c>
      <c r="V112" s="416">
        <v>193</v>
      </c>
      <c r="W112" s="416">
        <v>190</v>
      </c>
      <c r="X112" s="416">
        <v>186</v>
      </c>
      <c r="Y112" s="416">
        <v>183</v>
      </c>
      <c r="Z112" s="416">
        <v>181</v>
      </c>
      <c r="AA112" s="416">
        <v>178</v>
      </c>
      <c r="AB112" s="416">
        <v>176</v>
      </c>
      <c r="AC112" s="416">
        <v>173</v>
      </c>
      <c r="AD112" s="416">
        <v>171</v>
      </c>
      <c r="AE112" s="416">
        <v>168</v>
      </c>
      <c r="AF112" s="416">
        <v>165</v>
      </c>
      <c r="AG112" s="416">
        <v>162</v>
      </c>
      <c r="AH112" s="416">
        <v>159</v>
      </c>
      <c r="AI112" s="416">
        <v>155</v>
      </c>
      <c r="AJ112" s="416">
        <v>151</v>
      </c>
      <c r="AK112" s="416">
        <v>146</v>
      </c>
      <c r="AL112" s="416">
        <v>24</v>
      </c>
      <c r="AM112" s="416">
        <v>78.8</v>
      </c>
      <c r="AN112" s="416">
        <v>53.7</v>
      </c>
      <c r="AO112" s="416">
        <v>35.4</v>
      </c>
      <c r="AP112" s="416">
        <v>0</v>
      </c>
      <c r="AQ112" s="416">
        <v>0</v>
      </c>
      <c r="AR112" s="416">
        <v>0</v>
      </c>
      <c r="AS112" s="416">
        <v>0</v>
      </c>
      <c r="AT112" s="416">
        <v>0</v>
      </c>
      <c r="AU112" s="416">
        <v>0</v>
      </c>
      <c r="AV112" s="416">
        <v>0</v>
      </c>
      <c r="AW112" s="416">
        <v>0</v>
      </c>
      <c r="AX112" s="416">
        <v>0</v>
      </c>
      <c r="AY112" s="416">
        <v>0</v>
      </c>
      <c r="AZ112" s="416">
        <v>0</v>
      </c>
    </row>
    <row r="113" spans="1:52" x14ac:dyDescent="0.25">
      <c r="A113" s="415" t="str">
        <f t="shared" si="1"/>
        <v>SA-423 Gr.1</v>
      </c>
      <c r="B113" s="415">
        <v>108</v>
      </c>
      <c r="C113" s="415" t="s">
        <v>3539</v>
      </c>
      <c r="D113" s="415" t="s">
        <v>2693</v>
      </c>
      <c r="E113" s="415" t="s">
        <v>2237</v>
      </c>
      <c r="F113" s="415">
        <v>1</v>
      </c>
      <c r="G113" s="415" t="s">
        <v>2912</v>
      </c>
      <c r="H113" s="415">
        <v>0</v>
      </c>
      <c r="I113" s="415">
        <v>0</v>
      </c>
      <c r="J113" s="415">
        <v>4</v>
      </c>
      <c r="K113" s="415">
        <v>2</v>
      </c>
      <c r="L113" s="415">
        <v>25</v>
      </c>
      <c r="M113" s="415">
        <v>415</v>
      </c>
      <c r="N113" s="415">
        <v>255</v>
      </c>
      <c r="O113" s="415">
        <v>343</v>
      </c>
      <c r="P113" s="415" t="s">
        <v>2699</v>
      </c>
      <c r="Q113" s="415">
        <v>0</v>
      </c>
      <c r="R113" s="415">
        <v>25</v>
      </c>
      <c r="S113" s="415">
        <v>170</v>
      </c>
      <c r="T113" s="416">
        <v>170</v>
      </c>
      <c r="U113" s="416">
        <v>161</v>
      </c>
      <c r="V113" s="416">
        <v>156</v>
      </c>
      <c r="W113" s="416">
        <v>154</v>
      </c>
      <c r="X113" s="416">
        <v>152</v>
      </c>
      <c r="Y113" s="416">
        <v>150</v>
      </c>
      <c r="Z113" s="416">
        <v>149</v>
      </c>
      <c r="AA113" s="416">
        <v>147</v>
      </c>
      <c r="AB113" s="416">
        <v>146</v>
      </c>
      <c r="AC113" s="416">
        <v>145</v>
      </c>
      <c r="AD113" s="416">
        <v>143</v>
      </c>
      <c r="AE113" s="416">
        <v>141</v>
      </c>
      <c r="AF113" s="416">
        <v>140</v>
      </c>
      <c r="AG113" s="416">
        <v>0</v>
      </c>
      <c r="AH113" s="416">
        <v>0</v>
      </c>
      <c r="AI113" s="416">
        <v>0</v>
      </c>
      <c r="AJ113" s="416">
        <v>0</v>
      </c>
      <c r="AK113" s="416">
        <v>0</v>
      </c>
      <c r="AL113" s="416">
        <v>25</v>
      </c>
      <c r="AM113" s="416">
        <v>0</v>
      </c>
      <c r="AN113" s="416">
        <v>0</v>
      </c>
      <c r="AO113" s="416">
        <v>0</v>
      </c>
      <c r="AP113" s="416">
        <v>0</v>
      </c>
      <c r="AQ113" s="416">
        <v>0</v>
      </c>
      <c r="AR113" s="416">
        <v>0</v>
      </c>
      <c r="AS113" s="416">
        <v>0</v>
      </c>
      <c r="AT113" s="416">
        <v>0</v>
      </c>
      <c r="AU113" s="416">
        <v>0</v>
      </c>
      <c r="AV113" s="416">
        <v>0</v>
      </c>
      <c r="AW113" s="416">
        <v>0</v>
      </c>
      <c r="AX113" s="416">
        <v>0</v>
      </c>
      <c r="AY113" s="416">
        <v>0</v>
      </c>
      <c r="AZ113" s="416">
        <v>0</v>
      </c>
    </row>
    <row r="114" spans="1:52" x14ac:dyDescent="0.25">
      <c r="A114" s="415" t="str">
        <f t="shared" si="1"/>
        <v>SA-333 Gr.4</v>
      </c>
      <c r="B114" s="415">
        <v>109</v>
      </c>
      <c r="C114" s="415" t="s">
        <v>3540</v>
      </c>
      <c r="D114" s="415" t="s">
        <v>2703</v>
      </c>
      <c r="E114" s="415" t="s">
        <v>2172</v>
      </c>
      <c r="F114" s="415">
        <v>4</v>
      </c>
      <c r="G114" s="415" t="s">
        <v>2917</v>
      </c>
      <c r="H114" s="415">
        <v>0</v>
      </c>
      <c r="I114" s="415">
        <v>0</v>
      </c>
      <c r="J114" s="415">
        <v>4</v>
      </c>
      <c r="K114" s="415">
        <v>2</v>
      </c>
      <c r="L114" s="415">
        <v>26</v>
      </c>
      <c r="M114" s="415">
        <v>415</v>
      </c>
      <c r="N114" s="415">
        <v>240</v>
      </c>
      <c r="O114" s="415">
        <v>343</v>
      </c>
      <c r="P114" s="415" t="s">
        <v>2699</v>
      </c>
      <c r="Q114" s="415">
        <v>0</v>
      </c>
      <c r="R114" s="415">
        <v>26</v>
      </c>
      <c r="S114" s="415">
        <v>161</v>
      </c>
      <c r="T114" s="416">
        <v>161</v>
      </c>
      <c r="U114" s="416">
        <v>152</v>
      </c>
      <c r="V114" s="416">
        <v>148</v>
      </c>
      <c r="W114" s="416">
        <v>145</v>
      </c>
      <c r="X114" s="416">
        <v>144</v>
      </c>
      <c r="Y114" s="416">
        <v>142</v>
      </c>
      <c r="Z114" s="416">
        <v>141</v>
      </c>
      <c r="AA114" s="416">
        <v>139</v>
      </c>
      <c r="AB114" s="416">
        <v>138</v>
      </c>
      <c r="AC114" s="416">
        <v>137</v>
      </c>
      <c r="AD114" s="416">
        <v>135</v>
      </c>
      <c r="AE114" s="416">
        <v>134</v>
      </c>
      <c r="AF114" s="416">
        <v>132</v>
      </c>
      <c r="AG114" s="416">
        <v>0</v>
      </c>
      <c r="AH114" s="416">
        <v>0</v>
      </c>
      <c r="AI114" s="416">
        <v>0</v>
      </c>
      <c r="AJ114" s="416">
        <v>0</v>
      </c>
      <c r="AK114" s="416">
        <v>0</v>
      </c>
      <c r="AL114" s="416">
        <v>26</v>
      </c>
      <c r="AM114" s="416">
        <v>0</v>
      </c>
      <c r="AN114" s="416">
        <v>0</v>
      </c>
      <c r="AO114" s="416">
        <v>0</v>
      </c>
      <c r="AP114" s="416">
        <v>0</v>
      </c>
      <c r="AQ114" s="416">
        <v>0</v>
      </c>
      <c r="AR114" s="416">
        <v>0</v>
      </c>
      <c r="AS114" s="416">
        <v>0</v>
      </c>
      <c r="AT114" s="416">
        <v>0</v>
      </c>
      <c r="AU114" s="416">
        <v>0</v>
      </c>
      <c r="AV114" s="416">
        <v>0</v>
      </c>
      <c r="AW114" s="416">
        <v>0</v>
      </c>
      <c r="AX114" s="416">
        <v>0</v>
      </c>
      <c r="AY114" s="416">
        <v>0</v>
      </c>
      <c r="AZ114" s="416">
        <v>0</v>
      </c>
    </row>
    <row r="115" spans="1:52" x14ac:dyDescent="0.25">
      <c r="A115" s="415" t="str">
        <f t="shared" si="1"/>
        <v>SA-372 Gr.E</v>
      </c>
      <c r="B115" s="415">
        <v>110</v>
      </c>
      <c r="C115" s="415" t="s">
        <v>3541</v>
      </c>
      <c r="D115" s="415" t="s">
        <v>2737</v>
      </c>
      <c r="E115" s="415" t="s">
        <v>2223</v>
      </c>
      <c r="F115" s="415" t="s">
        <v>2417</v>
      </c>
      <c r="G115" s="415" t="s">
        <v>2919</v>
      </c>
      <c r="H115" s="415">
        <v>70</v>
      </c>
      <c r="I115" s="415">
        <v>0</v>
      </c>
      <c r="J115" s="415" t="s">
        <v>2895</v>
      </c>
      <c r="K115" s="415">
        <v>1</v>
      </c>
      <c r="L115" s="415">
        <v>27</v>
      </c>
      <c r="M115" s="415">
        <v>825</v>
      </c>
      <c r="N115" s="415">
        <v>485</v>
      </c>
      <c r="O115" s="415">
        <v>343</v>
      </c>
      <c r="P115" s="415" t="s">
        <v>2838</v>
      </c>
      <c r="Q115" s="415" t="s">
        <v>3533</v>
      </c>
      <c r="R115" s="415">
        <v>27</v>
      </c>
      <c r="S115" s="415">
        <v>322</v>
      </c>
      <c r="T115" s="416">
        <v>322</v>
      </c>
      <c r="U115" s="416">
        <v>307</v>
      </c>
      <c r="V115" s="416">
        <v>298</v>
      </c>
      <c r="W115" s="416">
        <v>293</v>
      </c>
      <c r="X115" s="416">
        <v>288</v>
      </c>
      <c r="Y115" s="416">
        <v>284</v>
      </c>
      <c r="Z115" s="416">
        <v>280</v>
      </c>
      <c r="AA115" s="416">
        <v>277</v>
      </c>
      <c r="AB115" s="416">
        <v>273</v>
      </c>
      <c r="AC115" s="416">
        <v>269</v>
      </c>
      <c r="AD115" s="416">
        <v>264</v>
      </c>
      <c r="AE115" s="416">
        <v>259</v>
      </c>
      <c r="AF115" s="416">
        <v>253</v>
      </c>
      <c r="AG115" s="416">
        <v>0</v>
      </c>
      <c r="AH115" s="416">
        <v>0</v>
      </c>
      <c r="AI115" s="416">
        <v>0</v>
      </c>
      <c r="AJ115" s="416">
        <v>0</v>
      </c>
      <c r="AK115" s="416">
        <v>0</v>
      </c>
      <c r="AL115" s="416">
        <v>27</v>
      </c>
      <c r="AM115" s="416">
        <v>0</v>
      </c>
      <c r="AN115" s="416">
        <v>0</v>
      </c>
      <c r="AO115" s="416">
        <v>0</v>
      </c>
      <c r="AP115" s="416">
        <v>0</v>
      </c>
      <c r="AQ115" s="416">
        <v>0</v>
      </c>
      <c r="AR115" s="416">
        <v>0</v>
      </c>
      <c r="AS115" s="416">
        <v>0</v>
      </c>
      <c r="AT115" s="416">
        <v>0</v>
      </c>
      <c r="AU115" s="416">
        <v>0</v>
      </c>
      <c r="AV115" s="416">
        <v>0</v>
      </c>
      <c r="AW115" s="416">
        <v>0</v>
      </c>
      <c r="AX115" s="416">
        <v>0</v>
      </c>
      <c r="AY115" s="416">
        <v>0</v>
      </c>
      <c r="AZ115" s="416">
        <v>0</v>
      </c>
    </row>
    <row r="116" spans="1:52" x14ac:dyDescent="0.25">
      <c r="A116" s="415" t="str">
        <f t="shared" si="1"/>
        <v>SA-372 Gr.F</v>
      </c>
      <c r="B116" s="415">
        <v>111</v>
      </c>
      <c r="C116" s="415" t="s">
        <v>3541</v>
      </c>
      <c r="D116" s="415" t="s">
        <v>2737</v>
      </c>
      <c r="E116" s="415" t="s">
        <v>2223</v>
      </c>
      <c r="F116" s="415" t="s">
        <v>2423</v>
      </c>
      <c r="G116" s="415" t="s">
        <v>2921</v>
      </c>
      <c r="H116" s="415">
        <v>70</v>
      </c>
      <c r="I116" s="415">
        <v>0</v>
      </c>
      <c r="J116" s="415" t="s">
        <v>2895</v>
      </c>
      <c r="K116" s="415">
        <v>1</v>
      </c>
      <c r="L116" s="415">
        <v>28</v>
      </c>
      <c r="M116" s="415">
        <v>825</v>
      </c>
      <c r="N116" s="415">
        <v>485</v>
      </c>
      <c r="O116" s="415">
        <v>343</v>
      </c>
      <c r="P116" s="415" t="s">
        <v>2838</v>
      </c>
      <c r="Q116" s="415" t="s">
        <v>3533</v>
      </c>
      <c r="R116" s="415">
        <v>28</v>
      </c>
      <c r="S116" s="415">
        <v>322</v>
      </c>
      <c r="T116" s="416">
        <v>322</v>
      </c>
      <c r="U116" s="416">
        <v>307</v>
      </c>
      <c r="V116" s="416">
        <v>298</v>
      </c>
      <c r="W116" s="416">
        <v>293</v>
      </c>
      <c r="X116" s="416">
        <v>288</v>
      </c>
      <c r="Y116" s="416">
        <v>284</v>
      </c>
      <c r="Z116" s="416">
        <v>280</v>
      </c>
      <c r="AA116" s="416">
        <v>277</v>
      </c>
      <c r="AB116" s="416">
        <v>273</v>
      </c>
      <c r="AC116" s="416">
        <v>269</v>
      </c>
      <c r="AD116" s="416">
        <v>264</v>
      </c>
      <c r="AE116" s="416">
        <v>259</v>
      </c>
      <c r="AF116" s="416">
        <v>253</v>
      </c>
      <c r="AG116" s="416">
        <v>0</v>
      </c>
      <c r="AH116" s="416">
        <v>0</v>
      </c>
      <c r="AI116" s="416">
        <v>0</v>
      </c>
      <c r="AJ116" s="416">
        <v>0</v>
      </c>
      <c r="AK116" s="416">
        <v>0</v>
      </c>
      <c r="AL116" s="416">
        <v>28</v>
      </c>
      <c r="AM116" s="416">
        <v>0</v>
      </c>
      <c r="AN116" s="416">
        <v>0</v>
      </c>
      <c r="AO116" s="416">
        <v>0</v>
      </c>
      <c r="AP116" s="416">
        <v>0</v>
      </c>
      <c r="AQ116" s="416">
        <v>0</v>
      </c>
      <c r="AR116" s="416">
        <v>0</v>
      </c>
      <c r="AS116" s="416">
        <v>0</v>
      </c>
      <c r="AT116" s="416">
        <v>0</v>
      </c>
      <c r="AU116" s="416">
        <v>0</v>
      </c>
      <c r="AV116" s="416">
        <v>0</v>
      </c>
      <c r="AW116" s="416">
        <v>0</v>
      </c>
      <c r="AX116" s="416">
        <v>0</v>
      </c>
      <c r="AY116" s="416">
        <v>0</v>
      </c>
      <c r="AZ116" s="416">
        <v>0</v>
      </c>
    </row>
    <row r="117" spans="1:52" x14ac:dyDescent="0.25">
      <c r="A117" s="415" t="str">
        <f t="shared" si="1"/>
        <v>SA-372 Gr.J</v>
      </c>
      <c r="B117" s="415">
        <v>112</v>
      </c>
      <c r="C117" s="415" t="s">
        <v>3541</v>
      </c>
      <c r="D117" s="415" t="s">
        <v>2737</v>
      </c>
      <c r="E117" s="415" t="s">
        <v>2223</v>
      </c>
      <c r="F117" s="415" t="s">
        <v>2487</v>
      </c>
      <c r="G117" s="415" t="s">
        <v>2920</v>
      </c>
      <c r="H117" s="415">
        <v>70</v>
      </c>
      <c r="I117" s="415">
        <v>0</v>
      </c>
      <c r="J117" s="415" t="s">
        <v>2895</v>
      </c>
      <c r="K117" s="415">
        <v>1</v>
      </c>
      <c r="L117" s="415">
        <v>29</v>
      </c>
      <c r="M117" s="415">
        <v>825</v>
      </c>
      <c r="N117" s="415">
        <v>485</v>
      </c>
      <c r="O117" s="415">
        <v>343</v>
      </c>
      <c r="P117" s="415" t="s">
        <v>2838</v>
      </c>
      <c r="Q117" s="415" t="s">
        <v>3533</v>
      </c>
      <c r="R117" s="415">
        <v>29</v>
      </c>
      <c r="S117" s="415">
        <v>322</v>
      </c>
      <c r="T117" s="416">
        <v>322</v>
      </c>
      <c r="U117" s="416">
        <v>307</v>
      </c>
      <c r="V117" s="416">
        <v>298</v>
      </c>
      <c r="W117" s="416">
        <v>293</v>
      </c>
      <c r="X117" s="416">
        <v>288</v>
      </c>
      <c r="Y117" s="416">
        <v>284</v>
      </c>
      <c r="Z117" s="416">
        <v>280</v>
      </c>
      <c r="AA117" s="416">
        <v>277</v>
      </c>
      <c r="AB117" s="416">
        <v>273</v>
      </c>
      <c r="AC117" s="416">
        <v>269</v>
      </c>
      <c r="AD117" s="416">
        <v>264</v>
      </c>
      <c r="AE117" s="416">
        <v>259</v>
      </c>
      <c r="AF117" s="416">
        <v>253</v>
      </c>
      <c r="AG117" s="416">
        <v>0</v>
      </c>
      <c r="AH117" s="416">
        <v>0</v>
      </c>
      <c r="AI117" s="416">
        <v>0</v>
      </c>
      <c r="AJ117" s="416">
        <v>0</v>
      </c>
      <c r="AK117" s="416">
        <v>0</v>
      </c>
      <c r="AL117" s="416">
        <v>29</v>
      </c>
      <c r="AM117" s="416">
        <v>0</v>
      </c>
      <c r="AN117" s="416">
        <v>0</v>
      </c>
      <c r="AO117" s="416">
        <v>0</v>
      </c>
      <c r="AP117" s="416">
        <v>0</v>
      </c>
      <c r="AQ117" s="416">
        <v>0</v>
      </c>
      <c r="AR117" s="416">
        <v>0</v>
      </c>
      <c r="AS117" s="416">
        <v>0</v>
      </c>
      <c r="AT117" s="416">
        <v>0</v>
      </c>
      <c r="AU117" s="416">
        <v>0</v>
      </c>
      <c r="AV117" s="416">
        <v>0</v>
      </c>
      <c r="AW117" s="416">
        <v>0</v>
      </c>
      <c r="AX117" s="416">
        <v>0</v>
      </c>
      <c r="AY117" s="416">
        <v>0</v>
      </c>
      <c r="AZ117" s="416">
        <v>0</v>
      </c>
    </row>
    <row r="118" spans="1:52" x14ac:dyDescent="0.25">
      <c r="A118" s="415" t="str">
        <f t="shared" si="1"/>
        <v>SA-372 Gr.J</v>
      </c>
      <c r="B118" s="415">
        <v>113</v>
      </c>
      <c r="C118" s="415" t="s">
        <v>3541</v>
      </c>
      <c r="D118" s="415" t="s">
        <v>2737</v>
      </c>
      <c r="E118" s="415" t="s">
        <v>2223</v>
      </c>
      <c r="F118" s="415" t="s">
        <v>2487</v>
      </c>
      <c r="G118" s="415" t="s">
        <v>2922</v>
      </c>
      <c r="H118" s="415">
        <v>110</v>
      </c>
      <c r="I118" s="415">
        <v>0</v>
      </c>
      <c r="J118" s="415" t="s">
        <v>2895</v>
      </c>
      <c r="K118" s="415">
        <v>1</v>
      </c>
      <c r="L118" s="415">
        <v>30</v>
      </c>
      <c r="M118" s="415">
        <v>930</v>
      </c>
      <c r="N118" s="415">
        <v>760</v>
      </c>
      <c r="O118" s="415">
        <v>343</v>
      </c>
      <c r="P118" s="415" t="s">
        <v>2896</v>
      </c>
      <c r="Q118" s="415" t="s">
        <v>3542</v>
      </c>
      <c r="R118" s="415">
        <v>30</v>
      </c>
      <c r="S118" s="415">
        <v>388</v>
      </c>
      <c r="T118" s="416">
        <v>388</v>
      </c>
      <c r="U118" s="416">
        <v>388</v>
      </c>
      <c r="V118" s="416">
        <v>388</v>
      </c>
      <c r="W118" s="416">
        <v>388</v>
      </c>
      <c r="X118" s="416">
        <v>388</v>
      </c>
      <c r="Y118" s="416">
        <v>388</v>
      </c>
      <c r="Z118" s="416">
        <v>388</v>
      </c>
      <c r="AA118" s="416">
        <v>388</v>
      </c>
      <c r="AB118" s="416">
        <v>388</v>
      </c>
      <c r="AC118" s="416">
        <v>388</v>
      </c>
      <c r="AD118" s="416">
        <v>388</v>
      </c>
      <c r="AE118" s="416">
        <v>388</v>
      </c>
      <c r="AF118" s="416">
        <v>388</v>
      </c>
      <c r="AG118" s="416">
        <v>0</v>
      </c>
      <c r="AH118" s="416">
        <v>0</v>
      </c>
      <c r="AI118" s="416">
        <v>0</v>
      </c>
      <c r="AJ118" s="416">
        <v>0</v>
      </c>
      <c r="AK118" s="416">
        <v>0</v>
      </c>
      <c r="AL118" s="416">
        <v>30</v>
      </c>
      <c r="AM118" s="416">
        <v>0</v>
      </c>
      <c r="AN118" s="416">
        <v>0</v>
      </c>
      <c r="AO118" s="416">
        <v>0</v>
      </c>
      <c r="AP118" s="416">
        <v>0</v>
      </c>
      <c r="AQ118" s="416">
        <v>0</v>
      </c>
      <c r="AR118" s="416">
        <v>0</v>
      </c>
      <c r="AS118" s="416">
        <v>0</v>
      </c>
      <c r="AT118" s="416">
        <v>0</v>
      </c>
      <c r="AU118" s="416">
        <v>0</v>
      </c>
      <c r="AV118" s="416">
        <v>0</v>
      </c>
      <c r="AW118" s="416">
        <v>0</v>
      </c>
      <c r="AX118" s="416">
        <v>0</v>
      </c>
      <c r="AY118" s="416">
        <v>0</v>
      </c>
      <c r="AZ118" s="416">
        <v>0</v>
      </c>
    </row>
    <row r="119" spans="1:52" x14ac:dyDescent="0.25">
      <c r="A119" s="415" t="str">
        <f t="shared" si="1"/>
        <v>SA-387 Gr.12</v>
      </c>
      <c r="B119" s="415">
        <v>114</v>
      </c>
      <c r="C119" s="415" t="s">
        <v>3543</v>
      </c>
      <c r="D119" s="415" t="s">
        <v>2684</v>
      </c>
      <c r="E119" s="415" t="s">
        <v>2227</v>
      </c>
      <c r="F119" s="415">
        <v>12</v>
      </c>
      <c r="G119" s="415" t="s">
        <v>2924</v>
      </c>
      <c r="H119" s="415">
        <v>1</v>
      </c>
      <c r="I119" s="415">
        <v>0</v>
      </c>
      <c r="J119" s="415">
        <v>4</v>
      </c>
      <c r="K119" s="415">
        <v>1</v>
      </c>
      <c r="L119" s="415">
        <v>31</v>
      </c>
      <c r="M119" s="415">
        <v>380</v>
      </c>
      <c r="N119" s="415">
        <v>230</v>
      </c>
      <c r="O119" s="415">
        <v>649</v>
      </c>
      <c r="P119" s="415" t="s">
        <v>2699</v>
      </c>
      <c r="Q119" s="415" t="s">
        <v>2552</v>
      </c>
      <c r="R119" s="415">
        <v>31</v>
      </c>
      <c r="S119" s="415">
        <v>152</v>
      </c>
      <c r="T119" s="416">
        <v>152</v>
      </c>
      <c r="U119" s="416">
        <v>142</v>
      </c>
      <c r="V119" s="416">
        <v>136</v>
      </c>
      <c r="W119" s="416">
        <v>132</v>
      </c>
      <c r="X119" s="416">
        <v>129</v>
      </c>
      <c r="Y119" s="416">
        <v>126</v>
      </c>
      <c r="Z119" s="416">
        <v>124</v>
      </c>
      <c r="AA119" s="416">
        <v>121</v>
      </c>
      <c r="AB119" s="416">
        <v>120</v>
      </c>
      <c r="AC119" s="416">
        <v>118</v>
      </c>
      <c r="AD119" s="416">
        <v>116</v>
      </c>
      <c r="AE119" s="416">
        <v>115</v>
      </c>
      <c r="AF119" s="416">
        <v>114</v>
      </c>
      <c r="AG119" s="416">
        <v>112</v>
      </c>
      <c r="AH119" s="416">
        <v>110</v>
      </c>
      <c r="AI119" s="416">
        <v>109</v>
      </c>
      <c r="AJ119" s="416">
        <v>106</v>
      </c>
      <c r="AK119" s="416">
        <v>104</v>
      </c>
      <c r="AL119" s="416">
        <v>31</v>
      </c>
      <c r="AM119" s="416">
        <v>92.1</v>
      </c>
      <c r="AN119" s="416">
        <v>61.1</v>
      </c>
      <c r="AO119" s="416">
        <v>40.4</v>
      </c>
      <c r="AP119" s="416">
        <v>26.4</v>
      </c>
      <c r="AQ119" s="416">
        <v>17.399999999999999</v>
      </c>
      <c r="AR119" s="416">
        <v>11.6</v>
      </c>
      <c r="AS119" s="416">
        <v>7.44</v>
      </c>
      <c r="AT119" s="416">
        <v>0</v>
      </c>
      <c r="AU119" s="416">
        <v>0</v>
      </c>
      <c r="AV119" s="416">
        <v>0</v>
      </c>
      <c r="AW119" s="416">
        <v>0</v>
      </c>
      <c r="AX119" s="416">
        <v>0</v>
      </c>
      <c r="AY119" s="416">
        <v>0</v>
      </c>
      <c r="AZ119" s="416">
        <v>0</v>
      </c>
    </row>
    <row r="120" spans="1:52" x14ac:dyDescent="0.25">
      <c r="A120" s="415" t="str">
        <f t="shared" si="1"/>
        <v>SA-182 Gr.F12</v>
      </c>
      <c r="B120" s="415">
        <v>115</v>
      </c>
      <c r="C120" s="415" t="s">
        <v>3543</v>
      </c>
      <c r="D120" s="415" t="s">
        <v>2737</v>
      </c>
      <c r="E120" s="415" t="s">
        <v>2188</v>
      </c>
      <c r="F120" s="415" t="s">
        <v>2427</v>
      </c>
      <c r="G120" s="415" t="s">
        <v>2927</v>
      </c>
      <c r="H120" s="415">
        <v>1</v>
      </c>
      <c r="I120" s="415">
        <v>0</v>
      </c>
      <c r="J120" s="415">
        <v>4</v>
      </c>
      <c r="K120" s="415">
        <v>1</v>
      </c>
      <c r="L120" s="415">
        <v>32</v>
      </c>
      <c r="M120" s="415">
        <v>415</v>
      </c>
      <c r="N120" s="415">
        <v>220</v>
      </c>
      <c r="O120" s="415">
        <v>649</v>
      </c>
      <c r="P120" s="415" t="s">
        <v>2699</v>
      </c>
      <c r="Q120" s="415" t="s">
        <v>2552</v>
      </c>
      <c r="R120" s="415">
        <v>32</v>
      </c>
      <c r="S120" s="415">
        <v>147</v>
      </c>
      <c r="T120" s="416">
        <v>147</v>
      </c>
      <c r="U120" s="416">
        <v>138</v>
      </c>
      <c r="V120" s="416">
        <v>132</v>
      </c>
      <c r="W120" s="416">
        <v>128</v>
      </c>
      <c r="X120" s="416">
        <v>125</v>
      </c>
      <c r="Y120" s="416">
        <v>122</v>
      </c>
      <c r="Z120" s="416">
        <v>120</v>
      </c>
      <c r="AA120" s="416">
        <v>118</v>
      </c>
      <c r="AB120" s="416">
        <v>116</v>
      </c>
      <c r="AC120" s="416">
        <v>114</v>
      </c>
      <c r="AD120" s="416">
        <v>113</v>
      </c>
      <c r="AE120" s="416">
        <v>112</v>
      </c>
      <c r="AF120" s="416">
        <v>110</v>
      </c>
      <c r="AG120" s="416">
        <v>109</v>
      </c>
      <c r="AH120" s="416">
        <v>107</v>
      </c>
      <c r="AI120" s="416">
        <v>105</v>
      </c>
      <c r="AJ120" s="416">
        <v>103</v>
      </c>
      <c r="AK120" s="416">
        <v>101</v>
      </c>
      <c r="AL120" s="416">
        <v>32</v>
      </c>
      <c r="AM120" s="416">
        <v>92.1</v>
      </c>
      <c r="AN120" s="416">
        <v>61.1</v>
      </c>
      <c r="AO120" s="416">
        <v>40.4</v>
      </c>
      <c r="AP120" s="416">
        <v>26.4</v>
      </c>
      <c r="AQ120" s="416">
        <v>17.399999999999999</v>
      </c>
      <c r="AR120" s="416">
        <v>11.6</v>
      </c>
      <c r="AS120" s="416">
        <v>7.44</v>
      </c>
      <c r="AT120" s="416">
        <v>0</v>
      </c>
      <c r="AU120" s="416">
        <v>0</v>
      </c>
      <c r="AV120" s="416">
        <v>0</v>
      </c>
      <c r="AW120" s="416">
        <v>0</v>
      </c>
      <c r="AX120" s="416">
        <v>0</v>
      </c>
      <c r="AY120" s="416">
        <v>0</v>
      </c>
      <c r="AZ120" s="416">
        <v>0</v>
      </c>
    </row>
    <row r="121" spans="1:52" x14ac:dyDescent="0.25">
      <c r="A121" s="415" t="str">
        <f t="shared" si="1"/>
        <v>SA-213 Gr.T12</v>
      </c>
      <c r="B121" s="415">
        <v>116</v>
      </c>
      <c r="C121" s="415" t="s">
        <v>3543</v>
      </c>
      <c r="D121" s="415" t="s">
        <v>2693</v>
      </c>
      <c r="E121" s="415" t="s">
        <v>2195</v>
      </c>
      <c r="F121" s="415" t="s">
        <v>2538</v>
      </c>
      <c r="G121" s="415" t="s">
        <v>2927</v>
      </c>
      <c r="H121" s="415">
        <v>0</v>
      </c>
      <c r="I121" s="415">
        <v>0</v>
      </c>
      <c r="J121" s="415">
        <v>4</v>
      </c>
      <c r="K121" s="415">
        <v>1</v>
      </c>
      <c r="L121" s="415">
        <v>33</v>
      </c>
      <c r="M121" s="415">
        <v>415</v>
      </c>
      <c r="N121" s="415">
        <v>220</v>
      </c>
      <c r="O121" s="415">
        <v>649</v>
      </c>
      <c r="P121" s="415" t="s">
        <v>2699</v>
      </c>
      <c r="Q121" s="415" t="s">
        <v>2552</v>
      </c>
      <c r="R121" s="415">
        <v>33</v>
      </c>
      <c r="S121" s="415">
        <v>147</v>
      </c>
      <c r="T121" s="416">
        <v>147</v>
      </c>
      <c r="U121" s="416">
        <v>138</v>
      </c>
      <c r="V121" s="416">
        <v>132</v>
      </c>
      <c r="W121" s="416">
        <v>128</v>
      </c>
      <c r="X121" s="416">
        <v>125</v>
      </c>
      <c r="Y121" s="416">
        <v>122</v>
      </c>
      <c r="Z121" s="416">
        <v>120</v>
      </c>
      <c r="AA121" s="416">
        <v>118</v>
      </c>
      <c r="AB121" s="416">
        <v>116</v>
      </c>
      <c r="AC121" s="416">
        <v>114</v>
      </c>
      <c r="AD121" s="416">
        <v>113</v>
      </c>
      <c r="AE121" s="416">
        <v>112</v>
      </c>
      <c r="AF121" s="416">
        <v>110</v>
      </c>
      <c r="AG121" s="416">
        <v>109</v>
      </c>
      <c r="AH121" s="416">
        <v>107</v>
      </c>
      <c r="AI121" s="416">
        <v>105</v>
      </c>
      <c r="AJ121" s="416">
        <v>103</v>
      </c>
      <c r="AK121" s="416">
        <v>101</v>
      </c>
      <c r="AL121" s="416">
        <v>33</v>
      </c>
      <c r="AM121" s="416">
        <v>92.1</v>
      </c>
      <c r="AN121" s="416">
        <v>61.1</v>
      </c>
      <c r="AO121" s="416">
        <v>40.4</v>
      </c>
      <c r="AP121" s="416">
        <v>26.4</v>
      </c>
      <c r="AQ121" s="416">
        <v>17.399999999999999</v>
      </c>
      <c r="AR121" s="416">
        <v>11.6</v>
      </c>
      <c r="AS121" s="416">
        <v>7.44</v>
      </c>
      <c r="AT121" s="416">
        <v>0</v>
      </c>
      <c r="AU121" s="416">
        <v>0</v>
      </c>
      <c r="AV121" s="416">
        <v>0</v>
      </c>
      <c r="AW121" s="416">
        <v>0</v>
      </c>
      <c r="AX121" s="416">
        <v>0</v>
      </c>
      <c r="AY121" s="416">
        <v>0</v>
      </c>
      <c r="AZ121" s="416">
        <v>0</v>
      </c>
    </row>
    <row r="122" spans="1:52" x14ac:dyDescent="0.25">
      <c r="A122" s="415" t="str">
        <f t="shared" si="1"/>
        <v>SA-234 Gr.WP12</v>
      </c>
      <c r="B122" s="415">
        <v>117</v>
      </c>
      <c r="C122" s="415" t="s">
        <v>3543</v>
      </c>
      <c r="D122" s="415" t="s">
        <v>913</v>
      </c>
      <c r="E122" s="415" t="s">
        <v>2174</v>
      </c>
      <c r="F122" s="415" t="s">
        <v>2606</v>
      </c>
      <c r="G122" s="415" t="s">
        <v>2928</v>
      </c>
      <c r="H122" s="415">
        <v>1</v>
      </c>
      <c r="I122" s="415">
        <v>0</v>
      </c>
      <c r="J122" s="415">
        <v>4</v>
      </c>
      <c r="K122" s="415">
        <v>1</v>
      </c>
      <c r="L122" s="415">
        <v>34</v>
      </c>
      <c r="M122" s="415">
        <v>415</v>
      </c>
      <c r="N122" s="415">
        <v>220</v>
      </c>
      <c r="O122" s="415">
        <v>649</v>
      </c>
      <c r="P122" s="415" t="s">
        <v>2699</v>
      </c>
      <c r="Q122" s="415" t="s">
        <v>2552</v>
      </c>
      <c r="R122" s="415">
        <v>34</v>
      </c>
      <c r="S122" s="415">
        <v>147</v>
      </c>
      <c r="T122" s="416">
        <v>147</v>
      </c>
      <c r="U122" s="416">
        <v>138</v>
      </c>
      <c r="V122" s="416">
        <v>132</v>
      </c>
      <c r="W122" s="416">
        <v>128</v>
      </c>
      <c r="X122" s="416">
        <v>125</v>
      </c>
      <c r="Y122" s="416">
        <v>122</v>
      </c>
      <c r="Z122" s="416">
        <v>120</v>
      </c>
      <c r="AA122" s="416">
        <v>118</v>
      </c>
      <c r="AB122" s="416">
        <v>116</v>
      </c>
      <c r="AC122" s="416">
        <v>114</v>
      </c>
      <c r="AD122" s="416">
        <v>113</v>
      </c>
      <c r="AE122" s="416">
        <v>112</v>
      </c>
      <c r="AF122" s="416">
        <v>110</v>
      </c>
      <c r="AG122" s="416">
        <v>109</v>
      </c>
      <c r="AH122" s="416">
        <v>107</v>
      </c>
      <c r="AI122" s="416">
        <v>105</v>
      </c>
      <c r="AJ122" s="416">
        <v>103</v>
      </c>
      <c r="AK122" s="416">
        <v>101</v>
      </c>
      <c r="AL122" s="416">
        <v>34</v>
      </c>
      <c r="AM122" s="416">
        <v>92.1</v>
      </c>
      <c r="AN122" s="416">
        <v>61.1</v>
      </c>
      <c r="AO122" s="416">
        <v>40.4</v>
      </c>
      <c r="AP122" s="416">
        <v>26.4</v>
      </c>
      <c r="AQ122" s="416">
        <v>17.399999999999999</v>
      </c>
      <c r="AR122" s="416">
        <v>11.6</v>
      </c>
      <c r="AS122" s="416">
        <v>7.44</v>
      </c>
      <c r="AT122" s="416">
        <v>0</v>
      </c>
      <c r="AU122" s="416">
        <v>0</v>
      </c>
      <c r="AV122" s="416">
        <v>0</v>
      </c>
      <c r="AW122" s="416">
        <v>0</v>
      </c>
      <c r="AX122" s="416">
        <v>0</v>
      </c>
      <c r="AY122" s="416">
        <v>0</v>
      </c>
      <c r="AZ122" s="416">
        <v>0</v>
      </c>
    </row>
    <row r="123" spans="1:52" x14ac:dyDescent="0.25">
      <c r="A123" s="415" t="str">
        <f t="shared" si="1"/>
        <v>SA-335 Gr.P12</v>
      </c>
      <c r="B123" s="415">
        <v>118</v>
      </c>
      <c r="C123" s="415" t="s">
        <v>3543</v>
      </c>
      <c r="D123" s="415" t="s">
        <v>2703</v>
      </c>
      <c r="E123" s="415" t="s">
        <v>2210</v>
      </c>
      <c r="F123" s="415" t="s">
        <v>2511</v>
      </c>
      <c r="G123" s="415" t="s">
        <v>2927</v>
      </c>
      <c r="H123" s="415">
        <v>0</v>
      </c>
      <c r="I123" s="415">
        <v>0</v>
      </c>
      <c r="J123" s="415">
        <v>4</v>
      </c>
      <c r="K123" s="415">
        <v>1</v>
      </c>
      <c r="L123" s="415">
        <v>35</v>
      </c>
      <c r="M123" s="415">
        <v>415</v>
      </c>
      <c r="N123" s="415">
        <v>220</v>
      </c>
      <c r="O123" s="415">
        <v>649</v>
      </c>
      <c r="P123" s="415" t="s">
        <v>2699</v>
      </c>
      <c r="Q123" s="415" t="s">
        <v>2552</v>
      </c>
      <c r="R123" s="415">
        <v>35</v>
      </c>
      <c r="S123" s="415">
        <v>147</v>
      </c>
      <c r="T123" s="416">
        <v>147</v>
      </c>
      <c r="U123" s="416">
        <v>138</v>
      </c>
      <c r="V123" s="416">
        <v>132</v>
      </c>
      <c r="W123" s="416">
        <v>128</v>
      </c>
      <c r="X123" s="416">
        <v>125</v>
      </c>
      <c r="Y123" s="416">
        <v>122</v>
      </c>
      <c r="Z123" s="416">
        <v>120</v>
      </c>
      <c r="AA123" s="416">
        <v>118</v>
      </c>
      <c r="AB123" s="416">
        <v>116</v>
      </c>
      <c r="AC123" s="416">
        <v>114</v>
      </c>
      <c r="AD123" s="416">
        <v>113</v>
      </c>
      <c r="AE123" s="416">
        <v>112</v>
      </c>
      <c r="AF123" s="416">
        <v>110</v>
      </c>
      <c r="AG123" s="416">
        <v>109</v>
      </c>
      <c r="AH123" s="416">
        <v>107</v>
      </c>
      <c r="AI123" s="416">
        <v>105</v>
      </c>
      <c r="AJ123" s="416">
        <v>103</v>
      </c>
      <c r="AK123" s="416">
        <v>101</v>
      </c>
      <c r="AL123" s="416">
        <v>35</v>
      </c>
      <c r="AM123" s="416">
        <v>92.1</v>
      </c>
      <c r="AN123" s="416">
        <v>61.1</v>
      </c>
      <c r="AO123" s="416">
        <v>40.4</v>
      </c>
      <c r="AP123" s="416">
        <v>26.4</v>
      </c>
      <c r="AQ123" s="416">
        <v>17.399999999999999</v>
      </c>
      <c r="AR123" s="416">
        <v>11.6</v>
      </c>
      <c r="AS123" s="416">
        <v>7.44</v>
      </c>
      <c r="AT123" s="416">
        <v>0</v>
      </c>
      <c r="AU123" s="416">
        <v>0</v>
      </c>
      <c r="AV123" s="416">
        <v>0</v>
      </c>
      <c r="AW123" s="416">
        <v>0</v>
      </c>
      <c r="AX123" s="416">
        <v>0</v>
      </c>
      <c r="AY123" s="416">
        <v>0</v>
      </c>
      <c r="AZ123" s="416">
        <v>0</v>
      </c>
    </row>
    <row r="124" spans="1:52" x14ac:dyDescent="0.25">
      <c r="A124" s="415" t="str">
        <f t="shared" si="1"/>
        <v>SA-369 Gr.FP12</v>
      </c>
      <c r="B124" s="415">
        <v>119</v>
      </c>
      <c r="C124" s="415" t="s">
        <v>3543</v>
      </c>
      <c r="D124" s="415" t="s">
        <v>2707</v>
      </c>
      <c r="E124" s="415" t="s">
        <v>2221</v>
      </c>
      <c r="F124" s="415" t="s">
        <v>2467</v>
      </c>
      <c r="G124" s="415" t="s">
        <v>2927</v>
      </c>
      <c r="H124" s="415">
        <v>0</v>
      </c>
      <c r="I124" s="415">
        <v>0</v>
      </c>
      <c r="J124" s="415">
        <v>4</v>
      </c>
      <c r="K124" s="415">
        <v>1</v>
      </c>
      <c r="L124" s="415">
        <v>36</v>
      </c>
      <c r="M124" s="415">
        <v>415</v>
      </c>
      <c r="N124" s="415">
        <v>220</v>
      </c>
      <c r="O124" s="415">
        <v>649</v>
      </c>
      <c r="P124" s="415" t="s">
        <v>2699</v>
      </c>
      <c r="Q124" s="415" t="s">
        <v>2552</v>
      </c>
      <c r="R124" s="415">
        <v>36</v>
      </c>
      <c r="S124" s="415">
        <v>147</v>
      </c>
      <c r="T124" s="416">
        <v>147</v>
      </c>
      <c r="U124" s="416">
        <v>138</v>
      </c>
      <c r="V124" s="416">
        <v>132</v>
      </c>
      <c r="W124" s="416">
        <v>128</v>
      </c>
      <c r="X124" s="416">
        <v>125</v>
      </c>
      <c r="Y124" s="416">
        <v>122</v>
      </c>
      <c r="Z124" s="416">
        <v>120</v>
      </c>
      <c r="AA124" s="416">
        <v>118</v>
      </c>
      <c r="AB124" s="416">
        <v>116</v>
      </c>
      <c r="AC124" s="416">
        <v>114</v>
      </c>
      <c r="AD124" s="416">
        <v>113</v>
      </c>
      <c r="AE124" s="416">
        <v>112</v>
      </c>
      <c r="AF124" s="416">
        <v>110</v>
      </c>
      <c r="AG124" s="416">
        <v>109</v>
      </c>
      <c r="AH124" s="416">
        <v>107</v>
      </c>
      <c r="AI124" s="416">
        <v>105</v>
      </c>
      <c r="AJ124" s="416">
        <v>103</v>
      </c>
      <c r="AK124" s="416">
        <v>101</v>
      </c>
      <c r="AL124" s="416">
        <v>36</v>
      </c>
      <c r="AM124" s="416">
        <v>92.1</v>
      </c>
      <c r="AN124" s="416">
        <v>61.1</v>
      </c>
      <c r="AO124" s="416">
        <v>40.4</v>
      </c>
      <c r="AP124" s="416">
        <v>26.4</v>
      </c>
      <c r="AQ124" s="416">
        <v>17.399999999999999</v>
      </c>
      <c r="AR124" s="416">
        <v>11.6</v>
      </c>
      <c r="AS124" s="416">
        <v>7.44</v>
      </c>
      <c r="AT124" s="416">
        <v>0</v>
      </c>
      <c r="AU124" s="416">
        <v>0</v>
      </c>
      <c r="AV124" s="416">
        <v>0</v>
      </c>
      <c r="AW124" s="416">
        <v>0</v>
      </c>
      <c r="AX124" s="416">
        <v>0</v>
      </c>
      <c r="AY124" s="416">
        <v>0</v>
      </c>
      <c r="AZ124" s="416">
        <v>0</v>
      </c>
    </row>
    <row r="125" spans="1:52" x14ac:dyDescent="0.25">
      <c r="A125" s="415" t="str">
        <f t="shared" si="1"/>
        <v>SA-387 Gr.12</v>
      </c>
      <c r="B125" s="415">
        <v>120</v>
      </c>
      <c r="C125" s="415" t="s">
        <v>3543</v>
      </c>
      <c r="D125" s="415" t="s">
        <v>2684</v>
      </c>
      <c r="E125" s="415" t="s">
        <v>2227</v>
      </c>
      <c r="F125" s="415">
        <v>12</v>
      </c>
      <c r="G125" s="415" t="s">
        <v>2924</v>
      </c>
      <c r="H125" s="415">
        <v>2</v>
      </c>
      <c r="I125" s="415">
        <v>0</v>
      </c>
      <c r="J125" s="415">
        <v>4</v>
      </c>
      <c r="K125" s="415">
        <v>1</v>
      </c>
      <c r="L125" s="415">
        <v>37</v>
      </c>
      <c r="M125" s="415">
        <v>450</v>
      </c>
      <c r="N125" s="415">
        <v>275</v>
      </c>
      <c r="O125" s="415">
        <v>649</v>
      </c>
      <c r="P125" s="415" t="s">
        <v>2699</v>
      </c>
      <c r="Q125" s="415" t="s">
        <v>2552</v>
      </c>
      <c r="R125" s="415">
        <v>37</v>
      </c>
      <c r="S125" s="415">
        <v>184</v>
      </c>
      <c r="T125" s="416">
        <v>184</v>
      </c>
      <c r="U125" s="416">
        <v>173</v>
      </c>
      <c r="V125" s="416">
        <v>165</v>
      </c>
      <c r="W125" s="416">
        <v>160</v>
      </c>
      <c r="X125" s="416">
        <v>156</v>
      </c>
      <c r="Y125" s="416">
        <v>153</v>
      </c>
      <c r="Z125" s="416">
        <v>150</v>
      </c>
      <c r="AA125" s="416">
        <v>147</v>
      </c>
      <c r="AB125" s="416">
        <v>145</v>
      </c>
      <c r="AC125" s="416">
        <v>143</v>
      </c>
      <c r="AD125" s="416">
        <v>141</v>
      </c>
      <c r="AE125" s="416">
        <v>139</v>
      </c>
      <c r="AF125" s="416">
        <v>138</v>
      </c>
      <c r="AG125" s="416">
        <v>136</v>
      </c>
      <c r="AH125" s="416">
        <v>134</v>
      </c>
      <c r="AI125" s="416">
        <v>132</v>
      </c>
      <c r="AJ125" s="416">
        <v>129</v>
      </c>
      <c r="AK125" s="416">
        <v>126</v>
      </c>
      <c r="AL125" s="416">
        <v>37</v>
      </c>
      <c r="AM125" s="416">
        <v>92.1</v>
      </c>
      <c r="AN125" s="416">
        <v>61.1</v>
      </c>
      <c r="AO125" s="416">
        <v>40.4</v>
      </c>
      <c r="AP125" s="416">
        <v>26.4</v>
      </c>
      <c r="AQ125" s="416">
        <v>17.399999999999999</v>
      </c>
      <c r="AR125" s="416">
        <v>11.6</v>
      </c>
      <c r="AS125" s="416">
        <v>7.44</v>
      </c>
      <c r="AT125" s="416">
        <v>0</v>
      </c>
      <c r="AU125" s="416">
        <v>0</v>
      </c>
      <c r="AV125" s="416">
        <v>0</v>
      </c>
      <c r="AW125" s="416">
        <v>0</v>
      </c>
      <c r="AX125" s="416">
        <v>0</v>
      </c>
      <c r="AY125" s="416">
        <v>0</v>
      </c>
      <c r="AZ125" s="416">
        <v>0</v>
      </c>
    </row>
    <row r="126" spans="1:52" x14ac:dyDescent="0.25">
      <c r="A126" s="415" t="str">
        <f t="shared" si="1"/>
        <v>SA-182 Gr.F12</v>
      </c>
      <c r="B126" s="415">
        <v>121</v>
      </c>
      <c r="C126" s="415" t="s">
        <v>3543</v>
      </c>
      <c r="D126" s="415" t="s">
        <v>2737</v>
      </c>
      <c r="E126" s="415" t="s">
        <v>2188</v>
      </c>
      <c r="F126" s="415" t="s">
        <v>2427</v>
      </c>
      <c r="G126" s="415" t="s">
        <v>2932</v>
      </c>
      <c r="H126" s="415">
        <v>2</v>
      </c>
      <c r="I126" s="415">
        <v>0</v>
      </c>
      <c r="J126" s="415">
        <v>4</v>
      </c>
      <c r="K126" s="415">
        <v>1</v>
      </c>
      <c r="L126" s="415">
        <v>38</v>
      </c>
      <c r="M126" s="415">
        <v>485</v>
      </c>
      <c r="N126" s="415">
        <v>275</v>
      </c>
      <c r="O126" s="415">
        <v>649</v>
      </c>
      <c r="P126" s="415" t="s">
        <v>2699</v>
      </c>
      <c r="Q126" s="415" t="s">
        <v>2552</v>
      </c>
      <c r="R126" s="415">
        <v>38</v>
      </c>
      <c r="S126" s="415">
        <v>184</v>
      </c>
      <c r="T126" s="416">
        <v>184</v>
      </c>
      <c r="U126" s="416">
        <v>173</v>
      </c>
      <c r="V126" s="416">
        <v>165</v>
      </c>
      <c r="W126" s="416">
        <v>160</v>
      </c>
      <c r="X126" s="416">
        <v>156</v>
      </c>
      <c r="Y126" s="416">
        <v>153</v>
      </c>
      <c r="Z126" s="416">
        <v>150</v>
      </c>
      <c r="AA126" s="416">
        <v>147</v>
      </c>
      <c r="AB126" s="416">
        <v>145</v>
      </c>
      <c r="AC126" s="416">
        <v>143</v>
      </c>
      <c r="AD126" s="416">
        <v>141</v>
      </c>
      <c r="AE126" s="416">
        <v>139</v>
      </c>
      <c r="AF126" s="416">
        <v>138</v>
      </c>
      <c r="AG126" s="416">
        <v>136</v>
      </c>
      <c r="AH126" s="416">
        <v>134</v>
      </c>
      <c r="AI126" s="416">
        <v>132</v>
      </c>
      <c r="AJ126" s="416">
        <v>129</v>
      </c>
      <c r="AK126" s="416">
        <v>126</v>
      </c>
      <c r="AL126" s="416">
        <v>38</v>
      </c>
      <c r="AM126" s="416">
        <v>92.1</v>
      </c>
      <c r="AN126" s="416">
        <v>61.1</v>
      </c>
      <c r="AO126" s="416">
        <v>40.4</v>
      </c>
      <c r="AP126" s="416">
        <v>26.4</v>
      </c>
      <c r="AQ126" s="416">
        <v>17.399999999999999</v>
      </c>
      <c r="AR126" s="416">
        <v>11.6</v>
      </c>
      <c r="AS126" s="416">
        <v>7.44</v>
      </c>
      <c r="AT126" s="416">
        <v>0</v>
      </c>
      <c r="AU126" s="416">
        <v>0</v>
      </c>
      <c r="AV126" s="416">
        <v>0</v>
      </c>
      <c r="AW126" s="416">
        <v>0</v>
      </c>
      <c r="AX126" s="416">
        <v>0</v>
      </c>
      <c r="AY126" s="416">
        <v>0</v>
      </c>
      <c r="AZ126" s="416">
        <v>0</v>
      </c>
    </row>
    <row r="127" spans="1:52" x14ac:dyDescent="0.25">
      <c r="A127" s="415" t="str">
        <f t="shared" si="1"/>
        <v>SA-336 Gr.F12</v>
      </c>
      <c r="B127" s="415">
        <v>122</v>
      </c>
      <c r="C127" s="415" t="s">
        <v>3543</v>
      </c>
      <c r="D127" s="415" t="s">
        <v>2737</v>
      </c>
      <c r="E127" s="415" t="s">
        <v>2211</v>
      </c>
      <c r="F127" s="415" t="s">
        <v>2427</v>
      </c>
      <c r="G127" s="415" t="s">
        <v>2932</v>
      </c>
      <c r="H127" s="415">
        <v>0</v>
      </c>
      <c r="I127" s="415">
        <v>0</v>
      </c>
      <c r="J127" s="415">
        <v>4</v>
      </c>
      <c r="K127" s="415">
        <v>1</v>
      </c>
      <c r="L127" s="415">
        <v>39</v>
      </c>
      <c r="M127" s="415">
        <v>485</v>
      </c>
      <c r="N127" s="415">
        <v>275</v>
      </c>
      <c r="O127" s="415">
        <v>649</v>
      </c>
      <c r="P127" s="415" t="s">
        <v>2699</v>
      </c>
      <c r="Q127" s="415" t="s">
        <v>2552</v>
      </c>
      <c r="R127" s="415">
        <v>39</v>
      </c>
      <c r="S127" s="415">
        <v>184</v>
      </c>
      <c r="T127" s="416">
        <v>184</v>
      </c>
      <c r="U127" s="416">
        <v>173</v>
      </c>
      <c r="V127" s="416">
        <v>165</v>
      </c>
      <c r="W127" s="416">
        <v>160</v>
      </c>
      <c r="X127" s="416">
        <v>156</v>
      </c>
      <c r="Y127" s="416">
        <v>153</v>
      </c>
      <c r="Z127" s="416">
        <v>150</v>
      </c>
      <c r="AA127" s="416">
        <v>147</v>
      </c>
      <c r="AB127" s="416">
        <v>145</v>
      </c>
      <c r="AC127" s="416">
        <v>143</v>
      </c>
      <c r="AD127" s="416">
        <v>141</v>
      </c>
      <c r="AE127" s="416">
        <v>139</v>
      </c>
      <c r="AF127" s="416">
        <v>138</v>
      </c>
      <c r="AG127" s="416">
        <v>136</v>
      </c>
      <c r="AH127" s="416">
        <v>134</v>
      </c>
      <c r="AI127" s="416">
        <v>132</v>
      </c>
      <c r="AJ127" s="416">
        <v>129</v>
      </c>
      <c r="AK127" s="416">
        <v>126</v>
      </c>
      <c r="AL127" s="416">
        <v>39</v>
      </c>
      <c r="AM127" s="416">
        <v>92.1</v>
      </c>
      <c r="AN127" s="416">
        <v>61.1</v>
      </c>
      <c r="AO127" s="416">
        <v>40.4</v>
      </c>
      <c r="AP127" s="416">
        <v>26.4</v>
      </c>
      <c r="AQ127" s="416">
        <v>17.399999999999999</v>
      </c>
      <c r="AR127" s="416">
        <v>11.6</v>
      </c>
      <c r="AS127" s="416">
        <v>7.44</v>
      </c>
      <c r="AT127" s="416">
        <v>0</v>
      </c>
      <c r="AU127" s="416">
        <v>0</v>
      </c>
      <c r="AV127" s="416">
        <v>0</v>
      </c>
      <c r="AW127" s="416">
        <v>0</v>
      </c>
      <c r="AX127" s="416">
        <v>0</v>
      </c>
      <c r="AY127" s="416">
        <v>0</v>
      </c>
      <c r="AZ127" s="416">
        <v>0</v>
      </c>
    </row>
    <row r="128" spans="1:52" x14ac:dyDescent="0.25">
      <c r="A128" s="415" t="str">
        <f t="shared" si="1"/>
        <v>SA-217 Gr.WC6</v>
      </c>
      <c r="B128" s="415">
        <v>123</v>
      </c>
      <c r="C128" s="415" t="s">
        <v>3544</v>
      </c>
      <c r="D128" s="415" t="s">
        <v>2739</v>
      </c>
      <c r="E128" s="415" t="s">
        <v>2198</v>
      </c>
      <c r="F128" s="415" t="s">
        <v>2599</v>
      </c>
      <c r="G128" s="415" t="s">
        <v>2938</v>
      </c>
      <c r="H128" s="415">
        <v>0</v>
      </c>
      <c r="I128" s="415">
        <v>0</v>
      </c>
      <c r="J128" s="415">
        <v>4</v>
      </c>
      <c r="K128" s="415">
        <v>1</v>
      </c>
      <c r="L128" s="415">
        <v>40</v>
      </c>
      <c r="M128" s="415">
        <v>485</v>
      </c>
      <c r="N128" s="415">
        <v>275</v>
      </c>
      <c r="O128" s="415">
        <v>593</v>
      </c>
      <c r="P128" s="415" t="s">
        <v>2699</v>
      </c>
      <c r="Q128" s="415" t="s">
        <v>2552</v>
      </c>
      <c r="R128" s="415">
        <v>40</v>
      </c>
      <c r="S128" s="415">
        <v>184</v>
      </c>
      <c r="T128" s="416">
        <v>184</v>
      </c>
      <c r="U128" s="416">
        <v>175</v>
      </c>
      <c r="V128" s="416">
        <v>169</v>
      </c>
      <c r="W128" s="416">
        <v>165</v>
      </c>
      <c r="X128" s="416">
        <v>161</v>
      </c>
      <c r="Y128" s="416">
        <v>158</v>
      </c>
      <c r="Z128" s="416">
        <v>155</v>
      </c>
      <c r="AA128" s="416">
        <v>153</v>
      </c>
      <c r="AB128" s="416">
        <v>150</v>
      </c>
      <c r="AC128" s="416">
        <v>148</v>
      </c>
      <c r="AD128" s="416">
        <v>146</v>
      </c>
      <c r="AE128" s="416">
        <v>143</v>
      </c>
      <c r="AF128" s="416">
        <v>141</v>
      </c>
      <c r="AG128" s="416">
        <v>138</v>
      </c>
      <c r="AH128" s="416">
        <v>136</v>
      </c>
      <c r="AI128" s="416">
        <v>133</v>
      </c>
      <c r="AJ128" s="416">
        <v>130</v>
      </c>
      <c r="AK128" s="416">
        <v>106</v>
      </c>
      <c r="AL128" s="416">
        <v>40</v>
      </c>
      <c r="AM128" s="416">
        <v>73.7</v>
      </c>
      <c r="AN128" s="416">
        <v>52</v>
      </c>
      <c r="AO128" s="416">
        <v>36.299999999999997</v>
      </c>
      <c r="AP128" s="416">
        <v>25.2</v>
      </c>
      <c r="AQ128" s="416">
        <v>17.600000000000001</v>
      </c>
      <c r="AR128" s="416">
        <v>12.3</v>
      </c>
      <c r="AS128" s="416">
        <v>0</v>
      </c>
      <c r="AT128" s="416">
        <v>0</v>
      </c>
      <c r="AU128" s="416">
        <v>0</v>
      </c>
      <c r="AV128" s="416">
        <v>0</v>
      </c>
      <c r="AW128" s="416">
        <v>0</v>
      </c>
      <c r="AX128" s="416">
        <v>0</v>
      </c>
      <c r="AY128" s="416">
        <v>0</v>
      </c>
      <c r="AZ128" s="416">
        <v>0</v>
      </c>
    </row>
    <row r="129" spans="1:52" x14ac:dyDescent="0.25">
      <c r="A129" s="415" t="str">
        <f t="shared" si="1"/>
        <v>SA-739 Gr.B11</v>
      </c>
      <c r="B129" s="415">
        <v>124</v>
      </c>
      <c r="C129" s="415" t="s">
        <v>3544</v>
      </c>
      <c r="D129" s="415" t="s">
        <v>2677</v>
      </c>
      <c r="E129" s="415" t="s">
        <v>2317</v>
      </c>
      <c r="F129" s="415" t="s">
        <v>2341</v>
      </c>
      <c r="G129" s="415" t="s">
        <v>2940</v>
      </c>
      <c r="H129" s="415">
        <v>0</v>
      </c>
      <c r="I129" s="415">
        <v>0</v>
      </c>
      <c r="J129" s="415">
        <v>4</v>
      </c>
      <c r="K129" s="415">
        <v>1</v>
      </c>
      <c r="L129" s="415">
        <v>41</v>
      </c>
      <c r="M129" s="415">
        <v>483</v>
      </c>
      <c r="N129" s="415">
        <v>310</v>
      </c>
      <c r="O129" s="415">
        <v>649</v>
      </c>
      <c r="P129" s="415" t="s">
        <v>2819</v>
      </c>
      <c r="Q129" s="415" t="s">
        <v>2552</v>
      </c>
      <c r="R129" s="415">
        <v>41</v>
      </c>
      <c r="S129" s="415">
        <v>201</v>
      </c>
      <c r="T129" s="416">
        <v>201</v>
      </c>
      <c r="U129" s="416">
        <v>197</v>
      </c>
      <c r="V129" s="416">
        <v>190</v>
      </c>
      <c r="W129" s="416">
        <v>185</v>
      </c>
      <c r="X129" s="416">
        <v>181</v>
      </c>
      <c r="Y129" s="416">
        <v>178</v>
      </c>
      <c r="Z129" s="416">
        <v>175</v>
      </c>
      <c r="AA129" s="416">
        <v>172</v>
      </c>
      <c r="AB129" s="416">
        <v>169</v>
      </c>
      <c r="AC129" s="416">
        <v>166</v>
      </c>
      <c r="AD129" s="416">
        <v>164</v>
      </c>
      <c r="AE129" s="416">
        <v>161</v>
      </c>
      <c r="AF129" s="416">
        <v>159</v>
      </c>
      <c r="AG129" s="416">
        <v>156</v>
      </c>
      <c r="AH129" s="416">
        <v>153</v>
      </c>
      <c r="AI129" s="416">
        <v>149</v>
      </c>
      <c r="AJ129" s="416">
        <v>146</v>
      </c>
      <c r="AK129" s="416">
        <v>108</v>
      </c>
      <c r="AL129" s="416">
        <v>41</v>
      </c>
      <c r="AM129" s="416">
        <v>73.7</v>
      </c>
      <c r="AN129" s="416">
        <v>52</v>
      </c>
      <c r="AO129" s="416">
        <v>36.299999999999997</v>
      </c>
      <c r="AP129" s="416">
        <v>25.2</v>
      </c>
      <c r="AQ129" s="416">
        <v>17.600000000000001</v>
      </c>
      <c r="AR129" s="416">
        <v>12.3</v>
      </c>
      <c r="AS129" s="416">
        <v>8.1199999999999992</v>
      </c>
      <c r="AT129" s="416">
        <v>0</v>
      </c>
      <c r="AU129" s="416">
        <v>0</v>
      </c>
      <c r="AV129" s="416">
        <v>0</v>
      </c>
      <c r="AW129" s="416">
        <v>0</v>
      </c>
      <c r="AX129" s="416">
        <v>0</v>
      </c>
      <c r="AY129" s="416">
        <v>0</v>
      </c>
      <c r="AZ129" s="416">
        <v>0</v>
      </c>
    </row>
    <row r="130" spans="1:52" x14ac:dyDescent="0.25">
      <c r="A130" s="415" t="str">
        <f t="shared" si="1"/>
        <v>SA-182 Gr.F11</v>
      </c>
      <c r="B130" s="415">
        <v>125</v>
      </c>
      <c r="C130" s="415" t="s">
        <v>3545</v>
      </c>
      <c r="D130" s="415" t="s">
        <v>2737</v>
      </c>
      <c r="E130" s="415" t="s">
        <v>2188</v>
      </c>
      <c r="F130" s="415" t="s">
        <v>2426</v>
      </c>
      <c r="G130" s="415" t="s">
        <v>2943</v>
      </c>
      <c r="H130" s="415">
        <v>1</v>
      </c>
      <c r="I130" s="415">
        <v>0</v>
      </c>
      <c r="J130" s="415">
        <v>4</v>
      </c>
      <c r="K130" s="415">
        <v>1</v>
      </c>
      <c r="L130" s="415">
        <v>42</v>
      </c>
      <c r="M130" s="415">
        <v>415</v>
      </c>
      <c r="N130" s="415">
        <v>205</v>
      </c>
      <c r="O130" s="415">
        <v>649</v>
      </c>
      <c r="P130" s="415" t="s">
        <v>2699</v>
      </c>
      <c r="Q130" s="415" t="s">
        <v>2552</v>
      </c>
      <c r="R130" s="415">
        <v>42</v>
      </c>
      <c r="S130" s="415">
        <v>138</v>
      </c>
      <c r="T130" s="416">
        <v>138</v>
      </c>
      <c r="U130" s="416">
        <v>131</v>
      </c>
      <c r="V130" s="416">
        <v>126</v>
      </c>
      <c r="W130" s="416">
        <v>124</v>
      </c>
      <c r="X130" s="416">
        <v>121</v>
      </c>
      <c r="Y130" s="416">
        <v>119</v>
      </c>
      <c r="Z130" s="416">
        <v>116</v>
      </c>
      <c r="AA130" s="416">
        <v>115</v>
      </c>
      <c r="AB130" s="416">
        <v>113</v>
      </c>
      <c r="AC130" s="416">
        <v>111</v>
      </c>
      <c r="AD130" s="416">
        <v>109</v>
      </c>
      <c r="AE130" s="416">
        <v>107</v>
      </c>
      <c r="AF130" s="416">
        <v>106</v>
      </c>
      <c r="AG130" s="416">
        <v>104</v>
      </c>
      <c r="AH130" s="416">
        <v>102</v>
      </c>
      <c r="AI130" s="416">
        <v>99.6</v>
      </c>
      <c r="AJ130" s="416">
        <v>97.2</v>
      </c>
      <c r="AK130" s="416">
        <v>94.5</v>
      </c>
      <c r="AL130" s="416">
        <v>42</v>
      </c>
      <c r="AM130" s="416">
        <v>73.7</v>
      </c>
      <c r="AN130" s="416">
        <v>52</v>
      </c>
      <c r="AO130" s="416">
        <v>36.299999999999997</v>
      </c>
      <c r="AP130" s="416">
        <v>25.2</v>
      </c>
      <c r="AQ130" s="416">
        <v>17.600000000000001</v>
      </c>
      <c r="AR130" s="416">
        <v>12.3</v>
      </c>
      <c r="AS130" s="416">
        <v>8.1199999999999992</v>
      </c>
      <c r="AT130" s="416">
        <v>0</v>
      </c>
      <c r="AU130" s="416">
        <v>0</v>
      </c>
      <c r="AV130" s="416">
        <v>0</v>
      </c>
      <c r="AW130" s="416">
        <v>0</v>
      </c>
      <c r="AX130" s="416">
        <v>0</v>
      </c>
      <c r="AY130" s="416">
        <v>0</v>
      </c>
      <c r="AZ130" s="416">
        <v>0</v>
      </c>
    </row>
    <row r="131" spans="1:52" x14ac:dyDescent="0.25">
      <c r="A131" s="415" t="str">
        <f t="shared" si="1"/>
        <v>SA-213 Gr.T11</v>
      </c>
      <c r="B131" s="415">
        <v>126</v>
      </c>
      <c r="C131" s="415" t="s">
        <v>3545</v>
      </c>
      <c r="D131" s="415" t="s">
        <v>2693</v>
      </c>
      <c r="E131" s="415" t="s">
        <v>2195</v>
      </c>
      <c r="F131" s="415" t="s">
        <v>2536</v>
      </c>
      <c r="G131" s="415" t="s">
        <v>2943</v>
      </c>
      <c r="H131" s="415">
        <v>0</v>
      </c>
      <c r="I131" s="415">
        <v>0</v>
      </c>
      <c r="J131" s="415">
        <v>4</v>
      </c>
      <c r="K131" s="415">
        <v>1</v>
      </c>
      <c r="L131" s="415">
        <v>43</v>
      </c>
      <c r="M131" s="415">
        <v>415</v>
      </c>
      <c r="N131" s="415">
        <v>205</v>
      </c>
      <c r="O131" s="415">
        <v>649</v>
      </c>
      <c r="P131" s="415" t="s">
        <v>2699</v>
      </c>
      <c r="Q131" s="415" t="s">
        <v>2552</v>
      </c>
      <c r="R131" s="415">
        <v>43</v>
      </c>
      <c r="S131" s="415">
        <v>138</v>
      </c>
      <c r="T131" s="416">
        <v>138</v>
      </c>
      <c r="U131" s="416">
        <v>131</v>
      </c>
      <c r="V131" s="416">
        <v>126</v>
      </c>
      <c r="W131" s="416">
        <v>124</v>
      </c>
      <c r="X131" s="416">
        <v>121</v>
      </c>
      <c r="Y131" s="416">
        <v>119</v>
      </c>
      <c r="Z131" s="416">
        <v>116</v>
      </c>
      <c r="AA131" s="416">
        <v>115</v>
      </c>
      <c r="AB131" s="416">
        <v>113</v>
      </c>
      <c r="AC131" s="416">
        <v>111</v>
      </c>
      <c r="AD131" s="416">
        <v>109</v>
      </c>
      <c r="AE131" s="416">
        <v>107</v>
      </c>
      <c r="AF131" s="416">
        <v>106</v>
      </c>
      <c r="AG131" s="416">
        <v>104</v>
      </c>
      <c r="AH131" s="416">
        <v>102</v>
      </c>
      <c r="AI131" s="416">
        <v>99.6</v>
      </c>
      <c r="AJ131" s="416">
        <v>97.2</v>
      </c>
      <c r="AK131" s="416">
        <v>94.5</v>
      </c>
      <c r="AL131" s="416">
        <v>43</v>
      </c>
      <c r="AM131" s="416">
        <v>73.7</v>
      </c>
      <c r="AN131" s="416">
        <v>52</v>
      </c>
      <c r="AO131" s="416">
        <v>36.299999999999997</v>
      </c>
      <c r="AP131" s="416">
        <v>25.2</v>
      </c>
      <c r="AQ131" s="416">
        <v>17.600000000000001</v>
      </c>
      <c r="AR131" s="416">
        <v>12.3</v>
      </c>
      <c r="AS131" s="416">
        <v>8.1199999999999992</v>
      </c>
      <c r="AT131" s="416">
        <v>0</v>
      </c>
      <c r="AU131" s="416">
        <v>0</v>
      </c>
      <c r="AV131" s="416">
        <v>0</v>
      </c>
      <c r="AW131" s="416">
        <v>0</v>
      </c>
      <c r="AX131" s="416">
        <v>0</v>
      </c>
      <c r="AY131" s="416">
        <v>0</v>
      </c>
      <c r="AZ131" s="416">
        <v>0</v>
      </c>
    </row>
    <row r="132" spans="1:52" x14ac:dyDescent="0.25">
      <c r="A132" s="415" t="str">
        <f t="shared" si="1"/>
        <v>SA-234 Gr.WP11</v>
      </c>
      <c r="B132" s="415">
        <v>127</v>
      </c>
      <c r="C132" s="415" t="s">
        <v>3545</v>
      </c>
      <c r="D132" s="415" t="s">
        <v>913</v>
      </c>
      <c r="E132" s="415" t="s">
        <v>2174</v>
      </c>
      <c r="F132" s="415" t="s">
        <v>2605</v>
      </c>
      <c r="G132" s="415">
        <v>0</v>
      </c>
      <c r="H132" s="415">
        <v>1</v>
      </c>
      <c r="I132" s="415">
        <v>0</v>
      </c>
      <c r="J132" s="415">
        <v>4</v>
      </c>
      <c r="K132" s="415">
        <v>1</v>
      </c>
      <c r="L132" s="415">
        <v>44</v>
      </c>
      <c r="M132" s="415">
        <v>415</v>
      </c>
      <c r="N132" s="415">
        <v>205</v>
      </c>
      <c r="O132" s="415">
        <v>649</v>
      </c>
      <c r="P132" s="415" t="s">
        <v>2699</v>
      </c>
      <c r="Q132" s="415" t="s">
        <v>2552</v>
      </c>
      <c r="R132" s="415">
        <v>44</v>
      </c>
      <c r="S132" s="415">
        <v>138</v>
      </c>
      <c r="T132" s="416">
        <v>138</v>
      </c>
      <c r="U132" s="416">
        <v>131</v>
      </c>
      <c r="V132" s="416">
        <v>126</v>
      </c>
      <c r="W132" s="416">
        <v>124</v>
      </c>
      <c r="X132" s="416">
        <v>121</v>
      </c>
      <c r="Y132" s="416">
        <v>119</v>
      </c>
      <c r="Z132" s="416">
        <v>116</v>
      </c>
      <c r="AA132" s="416">
        <v>115</v>
      </c>
      <c r="AB132" s="416">
        <v>113</v>
      </c>
      <c r="AC132" s="416">
        <v>111</v>
      </c>
      <c r="AD132" s="416">
        <v>109</v>
      </c>
      <c r="AE132" s="416">
        <v>107</v>
      </c>
      <c r="AF132" s="416">
        <v>106</v>
      </c>
      <c r="AG132" s="416">
        <v>104</v>
      </c>
      <c r="AH132" s="416">
        <v>102</v>
      </c>
      <c r="AI132" s="416">
        <v>99.6</v>
      </c>
      <c r="AJ132" s="416">
        <v>97.2</v>
      </c>
      <c r="AK132" s="416">
        <v>94.5</v>
      </c>
      <c r="AL132" s="416">
        <v>44</v>
      </c>
      <c r="AM132" s="416">
        <v>73.7</v>
      </c>
      <c r="AN132" s="416">
        <v>52</v>
      </c>
      <c r="AO132" s="416">
        <v>36.299999999999997</v>
      </c>
      <c r="AP132" s="416">
        <v>25.2</v>
      </c>
      <c r="AQ132" s="416">
        <v>17.600000000000001</v>
      </c>
      <c r="AR132" s="416">
        <v>12.3</v>
      </c>
      <c r="AS132" s="416">
        <v>8.1199999999999992</v>
      </c>
      <c r="AT132" s="416">
        <v>0</v>
      </c>
      <c r="AU132" s="416">
        <v>0</v>
      </c>
      <c r="AV132" s="416">
        <v>0</v>
      </c>
      <c r="AW132" s="416">
        <v>0</v>
      </c>
      <c r="AX132" s="416">
        <v>0</v>
      </c>
      <c r="AY132" s="416">
        <v>0</v>
      </c>
      <c r="AZ132" s="416">
        <v>0</v>
      </c>
    </row>
    <row r="133" spans="1:52" x14ac:dyDescent="0.25">
      <c r="A133" s="415" t="str">
        <f t="shared" si="1"/>
        <v>SA-335 Gr.P11</v>
      </c>
      <c r="B133" s="415">
        <v>128</v>
      </c>
      <c r="C133" s="415" t="s">
        <v>3545</v>
      </c>
      <c r="D133" s="415" t="s">
        <v>2703</v>
      </c>
      <c r="E133" s="415" t="s">
        <v>2210</v>
      </c>
      <c r="F133" s="415" t="s">
        <v>2510</v>
      </c>
      <c r="G133" s="415" t="s">
        <v>2943</v>
      </c>
      <c r="H133" s="415">
        <v>0</v>
      </c>
      <c r="I133" s="415">
        <v>0</v>
      </c>
      <c r="J133" s="415">
        <v>4</v>
      </c>
      <c r="K133" s="415">
        <v>1</v>
      </c>
      <c r="L133" s="415">
        <v>1</v>
      </c>
      <c r="M133" s="415">
        <v>415</v>
      </c>
      <c r="N133" s="415">
        <v>205</v>
      </c>
      <c r="O133" s="415">
        <v>649</v>
      </c>
      <c r="P133" s="415" t="s">
        <v>2699</v>
      </c>
      <c r="Q133" s="415" t="s">
        <v>2552</v>
      </c>
      <c r="R133" s="415">
        <v>1</v>
      </c>
      <c r="S133" s="415">
        <v>138</v>
      </c>
      <c r="T133" s="416">
        <v>138</v>
      </c>
      <c r="U133" s="416">
        <v>131</v>
      </c>
      <c r="V133" s="416">
        <v>126</v>
      </c>
      <c r="W133" s="416">
        <v>124</v>
      </c>
      <c r="X133" s="416">
        <v>121</v>
      </c>
      <c r="Y133" s="416">
        <v>119</v>
      </c>
      <c r="Z133" s="416">
        <v>116</v>
      </c>
      <c r="AA133" s="416">
        <v>115</v>
      </c>
      <c r="AB133" s="416">
        <v>113</v>
      </c>
      <c r="AC133" s="416">
        <v>111</v>
      </c>
      <c r="AD133" s="416">
        <v>109</v>
      </c>
      <c r="AE133" s="416">
        <v>107</v>
      </c>
      <c r="AF133" s="416">
        <v>106</v>
      </c>
      <c r="AG133" s="416">
        <v>104</v>
      </c>
      <c r="AH133" s="416">
        <v>102</v>
      </c>
      <c r="AI133" s="416">
        <v>99.6</v>
      </c>
      <c r="AJ133" s="416">
        <v>97.2</v>
      </c>
      <c r="AK133" s="416">
        <v>94.5</v>
      </c>
      <c r="AL133" s="416">
        <v>1</v>
      </c>
      <c r="AM133" s="416">
        <v>73.7</v>
      </c>
      <c r="AN133" s="416">
        <v>52</v>
      </c>
      <c r="AO133" s="416">
        <v>36.299999999999997</v>
      </c>
      <c r="AP133" s="416">
        <v>25.2</v>
      </c>
      <c r="AQ133" s="416">
        <v>17.600000000000001</v>
      </c>
      <c r="AR133" s="416">
        <v>12.3</v>
      </c>
      <c r="AS133" s="416">
        <v>8.1199999999999992</v>
      </c>
      <c r="AT133" s="416">
        <v>0</v>
      </c>
      <c r="AU133" s="416">
        <v>0</v>
      </c>
      <c r="AV133" s="416">
        <v>0</v>
      </c>
      <c r="AW133" s="416">
        <v>0</v>
      </c>
      <c r="AX133" s="416">
        <v>0</v>
      </c>
      <c r="AY133" s="416">
        <v>0</v>
      </c>
      <c r="AZ133" s="416">
        <v>0</v>
      </c>
    </row>
    <row r="134" spans="1:52" x14ac:dyDescent="0.25">
      <c r="A134" s="415" t="str">
        <f t="shared" si="1"/>
        <v>SA-369 Gr.FP11</v>
      </c>
      <c r="B134" s="415">
        <v>129</v>
      </c>
      <c r="C134" s="415" t="s">
        <v>3545</v>
      </c>
      <c r="D134" s="415" t="s">
        <v>2707</v>
      </c>
      <c r="E134" s="415" t="s">
        <v>2221</v>
      </c>
      <c r="F134" s="415" t="s">
        <v>2466</v>
      </c>
      <c r="G134" s="415" t="s">
        <v>2943</v>
      </c>
      <c r="H134" s="415">
        <v>0</v>
      </c>
      <c r="I134" s="415">
        <v>0</v>
      </c>
      <c r="J134" s="415">
        <v>4</v>
      </c>
      <c r="K134" s="415">
        <v>1</v>
      </c>
      <c r="L134" s="415">
        <v>2</v>
      </c>
      <c r="M134" s="415">
        <v>415</v>
      </c>
      <c r="N134" s="415">
        <v>210</v>
      </c>
      <c r="O134" s="415">
        <v>649</v>
      </c>
      <c r="P134" s="415" t="s">
        <v>2699</v>
      </c>
      <c r="Q134" s="415" t="s">
        <v>2552</v>
      </c>
      <c r="R134" s="415">
        <v>2</v>
      </c>
      <c r="S134" s="415">
        <v>138</v>
      </c>
      <c r="T134" s="416">
        <v>138</v>
      </c>
      <c r="U134" s="416">
        <v>131</v>
      </c>
      <c r="V134" s="416">
        <v>126</v>
      </c>
      <c r="W134" s="416">
        <v>124</v>
      </c>
      <c r="X134" s="416">
        <v>121</v>
      </c>
      <c r="Y134" s="416">
        <v>119</v>
      </c>
      <c r="Z134" s="416">
        <v>116</v>
      </c>
      <c r="AA134" s="416">
        <v>115</v>
      </c>
      <c r="AB134" s="416">
        <v>113</v>
      </c>
      <c r="AC134" s="416">
        <v>111</v>
      </c>
      <c r="AD134" s="416">
        <v>109</v>
      </c>
      <c r="AE134" s="416">
        <v>107</v>
      </c>
      <c r="AF134" s="416">
        <v>106</v>
      </c>
      <c r="AG134" s="416">
        <v>104</v>
      </c>
      <c r="AH134" s="416">
        <v>102</v>
      </c>
      <c r="AI134" s="416">
        <v>99.6</v>
      </c>
      <c r="AJ134" s="416">
        <v>97.2</v>
      </c>
      <c r="AK134" s="416">
        <v>94.5</v>
      </c>
      <c r="AL134" s="416">
        <v>2</v>
      </c>
      <c r="AM134" s="416">
        <v>73.7</v>
      </c>
      <c r="AN134" s="416">
        <v>52</v>
      </c>
      <c r="AO134" s="416">
        <v>36.299999999999997</v>
      </c>
      <c r="AP134" s="416">
        <v>25.2</v>
      </c>
      <c r="AQ134" s="416">
        <v>17.600000000000001</v>
      </c>
      <c r="AR134" s="416">
        <v>12.3</v>
      </c>
      <c r="AS134" s="416">
        <v>8.1199999999999992</v>
      </c>
      <c r="AT134" s="416">
        <v>0</v>
      </c>
      <c r="AU134" s="416">
        <v>0</v>
      </c>
      <c r="AV134" s="416">
        <v>0</v>
      </c>
      <c r="AW134" s="416">
        <v>0</v>
      </c>
      <c r="AX134" s="416">
        <v>0</v>
      </c>
      <c r="AY134" s="416">
        <v>0</v>
      </c>
      <c r="AZ134" s="416">
        <v>0</v>
      </c>
    </row>
    <row r="135" spans="1:52" x14ac:dyDescent="0.25">
      <c r="A135" s="415" t="str">
        <f t="shared" ref="A135:A198" si="2">CONCATENATE(E135," Gr.",F135)</f>
        <v>SA-387 Gr.11</v>
      </c>
      <c r="B135" s="415">
        <v>130</v>
      </c>
      <c r="C135" s="415" t="s">
        <v>3545</v>
      </c>
      <c r="D135" s="415" t="s">
        <v>2684</v>
      </c>
      <c r="E135" s="415" t="s">
        <v>2227</v>
      </c>
      <c r="F135" s="415">
        <v>11</v>
      </c>
      <c r="G135" s="415" t="s">
        <v>2944</v>
      </c>
      <c r="H135" s="415">
        <v>1</v>
      </c>
      <c r="I135" s="415">
        <v>0</v>
      </c>
      <c r="J135" s="415">
        <v>4</v>
      </c>
      <c r="K135" s="415">
        <v>1</v>
      </c>
      <c r="L135" s="415">
        <v>3</v>
      </c>
      <c r="M135" s="415">
        <v>415</v>
      </c>
      <c r="N135" s="415">
        <v>240</v>
      </c>
      <c r="O135" s="415">
        <v>649</v>
      </c>
      <c r="P135" s="415" t="s">
        <v>2699</v>
      </c>
      <c r="Q135" s="415" t="s">
        <v>2552</v>
      </c>
      <c r="R135" s="415">
        <v>3</v>
      </c>
      <c r="S135" s="415">
        <v>161</v>
      </c>
      <c r="T135" s="416">
        <v>161</v>
      </c>
      <c r="U135" s="416">
        <v>153</v>
      </c>
      <c r="V135" s="416">
        <v>148</v>
      </c>
      <c r="W135" s="416">
        <v>144</v>
      </c>
      <c r="X135" s="416">
        <v>141</v>
      </c>
      <c r="Y135" s="416">
        <v>138</v>
      </c>
      <c r="Z135" s="416">
        <v>136</v>
      </c>
      <c r="AA135" s="416">
        <v>134</v>
      </c>
      <c r="AB135" s="416">
        <v>131</v>
      </c>
      <c r="AC135" s="416">
        <v>129</v>
      </c>
      <c r="AD135" s="416">
        <v>127</v>
      </c>
      <c r="AE135" s="416">
        <v>125</v>
      </c>
      <c r="AF135" s="416">
        <v>123</v>
      </c>
      <c r="AG135" s="416">
        <v>121</v>
      </c>
      <c r="AH135" s="416">
        <v>119</v>
      </c>
      <c r="AI135" s="416">
        <v>116</v>
      </c>
      <c r="AJ135" s="416">
        <v>113</v>
      </c>
      <c r="AK135" s="416">
        <v>106</v>
      </c>
      <c r="AL135" s="416">
        <v>3</v>
      </c>
      <c r="AM135" s="416">
        <v>73.7</v>
      </c>
      <c r="AN135" s="416">
        <v>52</v>
      </c>
      <c r="AO135" s="416">
        <v>36.299999999999997</v>
      </c>
      <c r="AP135" s="416">
        <v>25.2</v>
      </c>
      <c r="AQ135" s="416">
        <v>17.600000000000001</v>
      </c>
      <c r="AR135" s="416">
        <v>12.3</v>
      </c>
      <c r="AS135" s="416">
        <v>8.1199999999999992</v>
      </c>
      <c r="AT135" s="416">
        <v>0</v>
      </c>
      <c r="AU135" s="416">
        <v>0</v>
      </c>
      <c r="AV135" s="416">
        <v>0</v>
      </c>
      <c r="AW135" s="416">
        <v>0</v>
      </c>
      <c r="AX135" s="416">
        <v>0</v>
      </c>
      <c r="AY135" s="416">
        <v>0</v>
      </c>
      <c r="AZ135" s="416">
        <v>0</v>
      </c>
    </row>
    <row r="136" spans="1:52" x14ac:dyDescent="0.25">
      <c r="A136" s="415" t="str">
        <f t="shared" si="2"/>
        <v>SA-182 Gr.F11</v>
      </c>
      <c r="B136" s="415">
        <v>131</v>
      </c>
      <c r="C136" s="415" t="s">
        <v>3545</v>
      </c>
      <c r="D136" s="415" t="s">
        <v>2737</v>
      </c>
      <c r="E136" s="415" t="s">
        <v>2188</v>
      </c>
      <c r="F136" s="415" t="s">
        <v>2426</v>
      </c>
      <c r="G136" s="415" t="s">
        <v>2946</v>
      </c>
      <c r="H136" s="415">
        <v>2</v>
      </c>
      <c r="I136" s="415">
        <v>0</v>
      </c>
      <c r="J136" s="415">
        <v>4</v>
      </c>
      <c r="K136" s="415">
        <v>1</v>
      </c>
      <c r="L136" s="415">
        <v>4</v>
      </c>
      <c r="M136" s="415">
        <v>485</v>
      </c>
      <c r="N136" s="415">
        <v>275</v>
      </c>
      <c r="O136" s="415">
        <v>649</v>
      </c>
      <c r="P136" s="415" t="s">
        <v>2699</v>
      </c>
      <c r="Q136" s="415" t="s">
        <v>2552</v>
      </c>
      <c r="R136" s="415">
        <v>4</v>
      </c>
      <c r="S136" s="415">
        <v>184</v>
      </c>
      <c r="T136" s="416">
        <v>184</v>
      </c>
      <c r="U136" s="416">
        <v>175</v>
      </c>
      <c r="V136" s="416">
        <v>169</v>
      </c>
      <c r="W136" s="416">
        <v>165</v>
      </c>
      <c r="X136" s="416">
        <v>161</v>
      </c>
      <c r="Y136" s="416">
        <v>158</v>
      </c>
      <c r="Z136" s="416">
        <v>155</v>
      </c>
      <c r="AA136" s="416">
        <v>153</v>
      </c>
      <c r="AB136" s="416">
        <v>150</v>
      </c>
      <c r="AC136" s="416">
        <v>148</v>
      </c>
      <c r="AD136" s="416">
        <v>146</v>
      </c>
      <c r="AE136" s="416">
        <v>143</v>
      </c>
      <c r="AF136" s="416">
        <v>141</v>
      </c>
      <c r="AG136" s="416">
        <v>138</v>
      </c>
      <c r="AH136" s="416">
        <v>136</v>
      </c>
      <c r="AI136" s="416">
        <v>133</v>
      </c>
      <c r="AJ136" s="416">
        <v>130</v>
      </c>
      <c r="AK136" s="416">
        <v>109</v>
      </c>
      <c r="AL136" s="416">
        <v>4</v>
      </c>
      <c r="AM136" s="416">
        <v>73.7</v>
      </c>
      <c r="AN136" s="416">
        <v>52</v>
      </c>
      <c r="AO136" s="416">
        <v>36.299999999999997</v>
      </c>
      <c r="AP136" s="416">
        <v>25.2</v>
      </c>
      <c r="AQ136" s="416">
        <v>17.600000000000001</v>
      </c>
      <c r="AR136" s="416">
        <v>12.3</v>
      </c>
      <c r="AS136" s="416">
        <v>8.1199999999999992</v>
      </c>
      <c r="AT136" s="416">
        <v>0</v>
      </c>
      <c r="AU136" s="416">
        <v>0</v>
      </c>
      <c r="AV136" s="416">
        <v>0</v>
      </c>
      <c r="AW136" s="416">
        <v>0</v>
      </c>
      <c r="AX136" s="416">
        <v>0</v>
      </c>
      <c r="AY136" s="416">
        <v>0</v>
      </c>
      <c r="AZ136" s="416">
        <v>0</v>
      </c>
    </row>
    <row r="137" spans="1:52" x14ac:dyDescent="0.25">
      <c r="A137" s="415" t="str">
        <f t="shared" si="2"/>
        <v>SA-336 Gr.F11</v>
      </c>
      <c r="B137" s="415">
        <v>132</v>
      </c>
      <c r="C137" s="415" t="s">
        <v>3545</v>
      </c>
      <c r="D137" s="415" t="s">
        <v>2737</v>
      </c>
      <c r="E137" s="415" t="s">
        <v>2211</v>
      </c>
      <c r="F137" s="415" t="s">
        <v>2426</v>
      </c>
      <c r="G137" s="415" t="s">
        <v>2946</v>
      </c>
      <c r="H137" s="415">
        <v>2</v>
      </c>
      <c r="I137" s="415">
        <v>0</v>
      </c>
      <c r="J137" s="415">
        <v>4</v>
      </c>
      <c r="K137" s="415">
        <v>1</v>
      </c>
      <c r="L137" s="415">
        <v>5</v>
      </c>
      <c r="M137" s="415">
        <v>485</v>
      </c>
      <c r="N137" s="415">
        <v>275</v>
      </c>
      <c r="O137" s="415">
        <v>649</v>
      </c>
      <c r="P137" s="415" t="s">
        <v>2699</v>
      </c>
      <c r="Q137" s="415" t="s">
        <v>2552</v>
      </c>
      <c r="R137" s="415">
        <v>5</v>
      </c>
      <c r="S137" s="415">
        <v>184</v>
      </c>
      <c r="T137" s="416">
        <v>184</v>
      </c>
      <c r="U137" s="416">
        <v>175</v>
      </c>
      <c r="V137" s="416">
        <v>169</v>
      </c>
      <c r="W137" s="416">
        <v>165</v>
      </c>
      <c r="X137" s="416">
        <v>161</v>
      </c>
      <c r="Y137" s="416">
        <v>158</v>
      </c>
      <c r="Z137" s="416">
        <v>155</v>
      </c>
      <c r="AA137" s="416">
        <v>153</v>
      </c>
      <c r="AB137" s="416">
        <v>150</v>
      </c>
      <c r="AC137" s="416">
        <v>148</v>
      </c>
      <c r="AD137" s="416">
        <v>146</v>
      </c>
      <c r="AE137" s="416">
        <v>143</v>
      </c>
      <c r="AF137" s="416">
        <v>141</v>
      </c>
      <c r="AG137" s="416">
        <v>138</v>
      </c>
      <c r="AH137" s="416">
        <v>136</v>
      </c>
      <c r="AI137" s="416">
        <v>133</v>
      </c>
      <c r="AJ137" s="416">
        <v>130</v>
      </c>
      <c r="AK137" s="416">
        <v>109</v>
      </c>
      <c r="AL137" s="416">
        <v>5</v>
      </c>
      <c r="AM137" s="416">
        <v>73.7</v>
      </c>
      <c r="AN137" s="416">
        <v>52</v>
      </c>
      <c r="AO137" s="416">
        <v>36.299999999999997</v>
      </c>
      <c r="AP137" s="416">
        <v>25.2</v>
      </c>
      <c r="AQ137" s="416">
        <v>17.600000000000001</v>
      </c>
      <c r="AR137" s="416">
        <v>12.3</v>
      </c>
      <c r="AS137" s="416">
        <v>8.1199999999999992</v>
      </c>
      <c r="AT137" s="416">
        <v>0</v>
      </c>
      <c r="AU137" s="416">
        <v>0</v>
      </c>
      <c r="AV137" s="416">
        <v>0</v>
      </c>
      <c r="AW137" s="416">
        <v>0</v>
      </c>
      <c r="AX137" s="416">
        <v>0</v>
      </c>
      <c r="AY137" s="416">
        <v>0</v>
      </c>
      <c r="AZ137" s="416">
        <v>0</v>
      </c>
    </row>
    <row r="138" spans="1:52" x14ac:dyDescent="0.25">
      <c r="A138" s="415" t="str">
        <f t="shared" si="2"/>
        <v>SA-336 Gr.F11</v>
      </c>
      <c r="B138" s="415">
        <v>133</v>
      </c>
      <c r="C138" s="415" t="s">
        <v>3545</v>
      </c>
      <c r="D138" s="415" t="s">
        <v>2737</v>
      </c>
      <c r="E138" s="415" t="s">
        <v>2211</v>
      </c>
      <c r="F138" s="415" t="s">
        <v>2426</v>
      </c>
      <c r="G138" s="415" t="s">
        <v>2946</v>
      </c>
      <c r="H138" s="415">
        <v>3</v>
      </c>
      <c r="I138" s="415">
        <v>0</v>
      </c>
      <c r="J138" s="415">
        <v>4</v>
      </c>
      <c r="K138" s="415">
        <v>1</v>
      </c>
      <c r="L138" s="415">
        <v>6</v>
      </c>
      <c r="M138" s="415">
        <v>515</v>
      </c>
      <c r="N138" s="415">
        <v>310</v>
      </c>
      <c r="O138" s="415">
        <v>649</v>
      </c>
      <c r="P138" s="415" t="s">
        <v>2819</v>
      </c>
      <c r="Q138" s="415" t="s">
        <v>2552</v>
      </c>
      <c r="R138" s="415">
        <v>6</v>
      </c>
      <c r="S138" s="415">
        <v>207</v>
      </c>
      <c r="T138" s="416">
        <v>207</v>
      </c>
      <c r="U138" s="416">
        <v>197</v>
      </c>
      <c r="V138" s="416">
        <v>190</v>
      </c>
      <c r="W138" s="416">
        <v>185</v>
      </c>
      <c r="X138" s="416">
        <v>181</v>
      </c>
      <c r="Y138" s="416">
        <v>178</v>
      </c>
      <c r="Z138" s="416">
        <v>175</v>
      </c>
      <c r="AA138" s="416">
        <v>172</v>
      </c>
      <c r="AB138" s="416">
        <v>169</v>
      </c>
      <c r="AC138" s="416">
        <v>166</v>
      </c>
      <c r="AD138" s="416">
        <v>164</v>
      </c>
      <c r="AE138" s="416">
        <v>161</v>
      </c>
      <c r="AF138" s="416">
        <v>159</v>
      </c>
      <c r="AG138" s="416">
        <v>156</v>
      </c>
      <c r="AH138" s="416">
        <v>153</v>
      </c>
      <c r="AI138" s="416">
        <v>149</v>
      </c>
      <c r="AJ138" s="416">
        <v>146</v>
      </c>
      <c r="AK138" s="416">
        <v>119</v>
      </c>
      <c r="AL138" s="416">
        <v>6</v>
      </c>
      <c r="AM138" s="416">
        <v>73.7</v>
      </c>
      <c r="AN138" s="416">
        <v>52</v>
      </c>
      <c r="AO138" s="416">
        <v>36.299999999999997</v>
      </c>
      <c r="AP138" s="416">
        <v>25.2</v>
      </c>
      <c r="AQ138" s="416">
        <v>17.600000000000001</v>
      </c>
      <c r="AR138" s="416">
        <v>12.3</v>
      </c>
      <c r="AS138" s="416">
        <v>8.1199999999999992</v>
      </c>
      <c r="AT138" s="416">
        <v>0</v>
      </c>
      <c r="AU138" s="416">
        <v>0</v>
      </c>
      <c r="AV138" s="416">
        <v>0</v>
      </c>
      <c r="AW138" s="416">
        <v>0</v>
      </c>
      <c r="AX138" s="416">
        <v>0</v>
      </c>
      <c r="AY138" s="416">
        <v>0</v>
      </c>
      <c r="AZ138" s="416">
        <v>0</v>
      </c>
    </row>
    <row r="139" spans="1:52" x14ac:dyDescent="0.25">
      <c r="A139" s="415" t="str">
        <f t="shared" si="2"/>
        <v>SA-387 Gr.11</v>
      </c>
      <c r="B139" s="415">
        <v>134</v>
      </c>
      <c r="C139" s="415" t="s">
        <v>3545</v>
      </c>
      <c r="D139" s="415" t="s">
        <v>2684</v>
      </c>
      <c r="E139" s="415" t="s">
        <v>2227</v>
      </c>
      <c r="F139" s="415">
        <v>11</v>
      </c>
      <c r="G139" s="415" t="s">
        <v>2944</v>
      </c>
      <c r="H139" s="415">
        <v>2</v>
      </c>
      <c r="I139" s="415">
        <v>0</v>
      </c>
      <c r="J139" s="415">
        <v>4</v>
      </c>
      <c r="K139" s="415">
        <v>1</v>
      </c>
      <c r="L139" s="415">
        <v>7</v>
      </c>
      <c r="M139" s="415">
        <v>515</v>
      </c>
      <c r="N139" s="415">
        <v>310</v>
      </c>
      <c r="O139" s="415">
        <v>649</v>
      </c>
      <c r="P139" s="415" t="s">
        <v>2819</v>
      </c>
      <c r="Q139" s="415" t="s">
        <v>2552</v>
      </c>
      <c r="R139" s="415">
        <v>7</v>
      </c>
      <c r="S139" s="415">
        <v>207</v>
      </c>
      <c r="T139" s="416">
        <v>207</v>
      </c>
      <c r="U139" s="416">
        <v>197</v>
      </c>
      <c r="V139" s="416">
        <v>190</v>
      </c>
      <c r="W139" s="416">
        <v>185</v>
      </c>
      <c r="X139" s="416">
        <v>181</v>
      </c>
      <c r="Y139" s="416">
        <v>178</v>
      </c>
      <c r="Z139" s="416">
        <v>175</v>
      </c>
      <c r="AA139" s="416">
        <v>172</v>
      </c>
      <c r="AB139" s="416">
        <v>169</v>
      </c>
      <c r="AC139" s="416">
        <v>166</v>
      </c>
      <c r="AD139" s="416">
        <v>164</v>
      </c>
      <c r="AE139" s="416">
        <v>161</v>
      </c>
      <c r="AF139" s="416">
        <v>159</v>
      </c>
      <c r="AG139" s="416">
        <v>156</v>
      </c>
      <c r="AH139" s="416">
        <v>153</v>
      </c>
      <c r="AI139" s="416">
        <v>149</v>
      </c>
      <c r="AJ139" s="416">
        <v>146</v>
      </c>
      <c r="AK139" s="416">
        <v>119</v>
      </c>
      <c r="AL139" s="416">
        <v>7</v>
      </c>
      <c r="AM139" s="416">
        <v>73.7</v>
      </c>
      <c r="AN139" s="416">
        <v>52</v>
      </c>
      <c r="AO139" s="416">
        <v>36.299999999999997</v>
      </c>
      <c r="AP139" s="416">
        <v>25.2</v>
      </c>
      <c r="AQ139" s="416">
        <v>17.600000000000001</v>
      </c>
      <c r="AR139" s="416">
        <v>12.3</v>
      </c>
      <c r="AS139" s="416">
        <v>8.1199999999999992</v>
      </c>
      <c r="AT139" s="416">
        <v>0</v>
      </c>
      <c r="AU139" s="416">
        <v>0</v>
      </c>
      <c r="AV139" s="416">
        <v>0</v>
      </c>
      <c r="AW139" s="416">
        <v>0</v>
      </c>
      <c r="AX139" s="416">
        <v>0</v>
      </c>
      <c r="AY139" s="416">
        <v>0</v>
      </c>
      <c r="AZ139" s="416">
        <v>0</v>
      </c>
    </row>
    <row r="140" spans="1:52" x14ac:dyDescent="0.25">
      <c r="A140" s="415" t="str">
        <f t="shared" si="2"/>
        <v>SA-592 Gr.E</v>
      </c>
      <c r="B140" s="415">
        <v>135</v>
      </c>
      <c r="C140" s="415" t="s">
        <v>3546</v>
      </c>
      <c r="D140" s="415" t="s">
        <v>2737</v>
      </c>
      <c r="E140" s="415" t="s">
        <v>2279</v>
      </c>
      <c r="F140" s="415" t="s">
        <v>2417</v>
      </c>
      <c r="G140" s="415" t="s">
        <v>2949</v>
      </c>
      <c r="H140" s="415">
        <v>0</v>
      </c>
      <c r="I140" s="415" t="s">
        <v>2792</v>
      </c>
      <c r="J140" s="415" t="s">
        <v>2895</v>
      </c>
      <c r="K140" s="415">
        <v>2</v>
      </c>
      <c r="L140" s="415">
        <v>8</v>
      </c>
      <c r="M140" s="415">
        <v>725</v>
      </c>
      <c r="N140" s="415">
        <v>620</v>
      </c>
      <c r="O140" s="415">
        <v>343</v>
      </c>
      <c r="P140" s="415" t="s">
        <v>2838</v>
      </c>
      <c r="Q140" s="415" t="s">
        <v>3161</v>
      </c>
      <c r="R140" s="415">
        <v>8</v>
      </c>
      <c r="S140" s="415">
        <v>302</v>
      </c>
      <c r="T140" s="416">
        <v>302</v>
      </c>
      <c r="U140" s="416">
        <v>302</v>
      </c>
      <c r="V140" s="416">
        <v>302</v>
      </c>
      <c r="W140" s="416">
        <v>302</v>
      </c>
      <c r="X140" s="416">
        <v>302</v>
      </c>
      <c r="Y140" s="416">
        <v>302</v>
      </c>
      <c r="Z140" s="416">
        <v>302</v>
      </c>
      <c r="AA140" s="416">
        <v>302</v>
      </c>
      <c r="AB140" s="416">
        <v>302</v>
      </c>
      <c r="AC140" s="416">
        <v>302</v>
      </c>
      <c r="AD140" s="416">
        <v>302</v>
      </c>
      <c r="AE140" s="416">
        <v>302</v>
      </c>
      <c r="AF140" s="416">
        <v>302</v>
      </c>
      <c r="AG140" s="416">
        <v>302</v>
      </c>
      <c r="AH140" s="416">
        <v>0</v>
      </c>
      <c r="AI140" s="416">
        <v>0</v>
      </c>
      <c r="AJ140" s="416">
        <v>0</v>
      </c>
      <c r="AK140" s="416">
        <v>0</v>
      </c>
      <c r="AL140" s="416">
        <v>8</v>
      </c>
      <c r="AM140" s="416">
        <v>0</v>
      </c>
      <c r="AN140" s="416">
        <v>0</v>
      </c>
      <c r="AO140" s="416">
        <v>0</v>
      </c>
      <c r="AP140" s="416">
        <v>0</v>
      </c>
      <c r="AQ140" s="416">
        <v>0</v>
      </c>
      <c r="AR140" s="416">
        <v>0</v>
      </c>
      <c r="AS140" s="416">
        <v>0</v>
      </c>
      <c r="AT140" s="416">
        <v>0</v>
      </c>
      <c r="AU140" s="416">
        <v>0</v>
      </c>
      <c r="AV140" s="416">
        <v>0</v>
      </c>
      <c r="AW140" s="416">
        <v>0</v>
      </c>
      <c r="AX140" s="416">
        <v>0</v>
      </c>
      <c r="AY140" s="416">
        <v>0</v>
      </c>
      <c r="AZ140" s="416">
        <v>0</v>
      </c>
    </row>
    <row r="141" spans="1:52" x14ac:dyDescent="0.25">
      <c r="A141" s="415" t="str">
        <f t="shared" si="2"/>
        <v>SA-592 Gr.E</v>
      </c>
      <c r="B141" s="415">
        <v>136</v>
      </c>
      <c r="C141" s="415" t="s">
        <v>3546</v>
      </c>
      <c r="D141" s="415" t="s">
        <v>2737</v>
      </c>
      <c r="E141" s="415" t="s">
        <v>2279</v>
      </c>
      <c r="F141" s="415" t="s">
        <v>2417</v>
      </c>
      <c r="G141" s="415" t="s">
        <v>2949</v>
      </c>
      <c r="H141" s="415">
        <v>0</v>
      </c>
      <c r="I141" s="415" t="s">
        <v>3519</v>
      </c>
      <c r="J141" s="415" t="s">
        <v>2895</v>
      </c>
      <c r="K141" s="415">
        <v>2</v>
      </c>
      <c r="L141" s="415">
        <v>9</v>
      </c>
      <c r="M141" s="415">
        <v>795</v>
      </c>
      <c r="N141" s="415">
        <v>690</v>
      </c>
      <c r="O141" s="415">
        <v>343</v>
      </c>
      <c r="P141" s="415" t="s">
        <v>2896</v>
      </c>
      <c r="Q141" s="415">
        <v>0</v>
      </c>
      <c r="R141" s="415">
        <v>9</v>
      </c>
      <c r="S141" s="415">
        <v>330</v>
      </c>
      <c r="T141" s="416">
        <v>330</v>
      </c>
      <c r="U141" s="416">
        <v>330</v>
      </c>
      <c r="V141" s="416">
        <v>330</v>
      </c>
      <c r="W141" s="416">
        <v>330</v>
      </c>
      <c r="X141" s="416">
        <v>330</v>
      </c>
      <c r="Y141" s="416">
        <v>330</v>
      </c>
      <c r="Z141" s="416">
        <v>330</v>
      </c>
      <c r="AA141" s="416">
        <v>330</v>
      </c>
      <c r="AB141" s="416">
        <v>330</v>
      </c>
      <c r="AC141" s="416">
        <v>330</v>
      </c>
      <c r="AD141" s="416">
        <v>330</v>
      </c>
      <c r="AE141" s="416">
        <v>330</v>
      </c>
      <c r="AF141" s="416">
        <v>330</v>
      </c>
      <c r="AG141" s="416">
        <v>330</v>
      </c>
      <c r="AH141" s="416">
        <v>0</v>
      </c>
      <c r="AI141" s="416">
        <v>0</v>
      </c>
      <c r="AJ141" s="416">
        <v>0</v>
      </c>
      <c r="AK141" s="416">
        <v>0</v>
      </c>
      <c r="AL141" s="416">
        <v>9</v>
      </c>
      <c r="AM141" s="416">
        <v>0</v>
      </c>
      <c r="AN141" s="416">
        <v>0</v>
      </c>
      <c r="AO141" s="416">
        <v>0</v>
      </c>
      <c r="AP141" s="416">
        <v>0</v>
      </c>
      <c r="AQ141" s="416">
        <v>0</v>
      </c>
      <c r="AR141" s="416">
        <v>0</v>
      </c>
      <c r="AS141" s="416">
        <v>0</v>
      </c>
      <c r="AT141" s="416">
        <v>0</v>
      </c>
      <c r="AU141" s="416">
        <v>0</v>
      </c>
      <c r="AV141" s="416">
        <v>0</v>
      </c>
      <c r="AW141" s="416">
        <v>0</v>
      </c>
      <c r="AX141" s="416">
        <v>0</v>
      </c>
      <c r="AY141" s="416">
        <v>0</v>
      </c>
      <c r="AZ141" s="416">
        <v>0</v>
      </c>
    </row>
    <row r="142" spans="1:52" x14ac:dyDescent="0.25">
      <c r="A142" s="415" t="str">
        <f t="shared" si="2"/>
        <v>SA-517 Gr.E</v>
      </c>
      <c r="B142" s="415">
        <v>137</v>
      </c>
      <c r="C142" s="415" t="s">
        <v>3547</v>
      </c>
      <c r="D142" s="415" t="s">
        <v>2684</v>
      </c>
      <c r="E142" s="415" t="s">
        <v>2254</v>
      </c>
      <c r="F142" s="415" t="s">
        <v>2417</v>
      </c>
      <c r="G142" s="415" t="s">
        <v>2952</v>
      </c>
      <c r="H142" s="415">
        <v>0</v>
      </c>
      <c r="I142" s="415" t="s">
        <v>2953</v>
      </c>
      <c r="J142" s="415" t="s">
        <v>2895</v>
      </c>
      <c r="K142" s="415">
        <v>2</v>
      </c>
      <c r="L142" s="415">
        <v>10</v>
      </c>
      <c r="M142" s="415">
        <v>725</v>
      </c>
      <c r="N142" s="415">
        <v>620</v>
      </c>
      <c r="O142" s="415">
        <v>343</v>
      </c>
      <c r="P142" s="415" t="s">
        <v>2838</v>
      </c>
      <c r="Q142" s="415">
        <v>0</v>
      </c>
      <c r="R142" s="415">
        <v>10</v>
      </c>
      <c r="S142" s="415">
        <v>302</v>
      </c>
      <c r="T142" s="416">
        <v>302</v>
      </c>
      <c r="U142" s="416">
        <v>302</v>
      </c>
      <c r="V142" s="416">
        <v>302</v>
      </c>
      <c r="W142" s="416">
        <v>302</v>
      </c>
      <c r="X142" s="416">
        <v>302</v>
      </c>
      <c r="Y142" s="416">
        <v>302</v>
      </c>
      <c r="Z142" s="416">
        <v>302</v>
      </c>
      <c r="AA142" s="416">
        <v>302</v>
      </c>
      <c r="AB142" s="416">
        <v>302</v>
      </c>
      <c r="AC142" s="416">
        <v>302</v>
      </c>
      <c r="AD142" s="416">
        <v>302</v>
      </c>
      <c r="AE142" s="416">
        <v>302</v>
      </c>
      <c r="AF142" s="416">
        <v>302</v>
      </c>
      <c r="AG142" s="416">
        <v>302</v>
      </c>
      <c r="AH142" s="416">
        <v>0</v>
      </c>
      <c r="AI142" s="416">
        <v>0</v>
      </c>
      <c r="AJ142" s="416">
        <v>0</v>
      </c>
      <c r="AK142" s="416">
        <v>0</v>
      </c>
      <c r="AL142" s="416">
        <v>10</v>
      </c>
      <c r="AM142" s="416">
        <v>0</v>
      </c>
      <c r="AN142" s="416">
        <v>0</v>
      </c>
      <c r="AO142" s="416">
        <v>0</v>
      </c>
      <c r="AP142" s="416">
        <v>0</v>
      </c>
      <c r="AQ142" s="416">
        <v>0</v>
      </c>
      <c r="AR142" s="416">
        <v>0</v>
      </c>
      <c r="AS142" s="416">
        <v>0</v>
      </c>
      <c r="AT142" s="416">
        <v>0</v>
      </c>
      <c r="AU142" s="416">
        <v>0</v>
      </c>
      <c r="AV142" s="416">
        <v>0</v>
      </c>
      <c r="AW142" s="416">
        <v>0</v>
      </c>
      <c r="AX142" s="416">
        <v>0</v>
      </c>
      <c r="AY142" s="416">
        <v>0</v>
      </c>
      <c r="AZ142" s="416">
        <v>0</v>
      </c>
    </row>
    <row r="143" spans="1:52" x14ac:dyDescent="0.25">
      <c r="A143" s="415" t="str">
        <f t="shared" si="2"/>
        <v>SA-517 Gr.E</v>
      </c>
      <c r="B143" s="415">
        <v>138</v>
      </c>
      <c r="C143" s="415" t="s">
        <v>3547</v>
      </c>
      <c r="D143" s="415" t="s">
        <v>2684</v>
      </c>
      <c r="E143" s="415" t="s">
        <v>2254</v>
      </c>
      <c r="F143" s="415" t="s">
        <v>2417</v>
      </c>
      <c r="G143" s="415" t="s">
        <v>2952</v>
      </c>
      <c r="H143" s="415">
        <v>0</v>
      </c>
      <c r="I143" s="415" t="s">
        <v>3519</v>
      </c>
      <c r="J143" s="415" t="s">
        <v>2895</v>
      </c>
      <c r="K143" s="415">
        <v>2</v>
      </c>
      <c r="L143" s="415">
        <v>11</v>
      </c>
      <c r="M143" s="415">
        <v>795</v>
      </c>
      <c r="N143" s="415">
        <v>690</v>
      </c>
      <c r="O143" s="415">
        <v>343</v>
      </c>
      <c r="P143" s="415" t="s">
        <v>2896</v>
      </c>
      <c r="Q143" s="415">
        <v>0</v>
      </c>
      <c r="R143" s="415">
        <v>11</v>
      </c>
      <c r="S143" s="415">
        <v>330</v>
      </c>
      <c r="T143" s="416">
        <v>330</v>
      </c>
      <c r="U143" s="416">
        <v>330</v>
      </c>
      <c r="V143" s="416">
        <v>330</v>
      </c>
      <c r="W143" s="416">
        <v>330</v>
      </c>
      <c r="X143" s="416">
        <v>330</v>
      </c>
      <c r="Y143" s="416">
        <v>330</v>
      </c>
      <c r="Z143" s="416">
        <v>330</v>
      </c>
      <c r="AA143" s="416">
        <v>330</v>
      </c>
      <c r="AB143" s="416">
        <v>330</v>
      </c>
      <c r="AC143" s="416">
        <v>330</v>
      </c>
      <c r="AD143" s="416">
        <v>330</v>
      </c>
      <c r="AE143" s="416">
        <v>330</v>
      </c>
      <c r="AF143" s="416">
        <v>330</v>
      </c>
      <c r="AG143" s="416">
        <v>330</v>
      </c>
      <c r="AH143" s="416">
        <v>0</v>
      </c>
      <c r="AI143" s="416">
        <v>0</v>
      </c>
      <c r="AJ143" s="416">
        <v>0</v>
      </c>
      <c r="AK143" s="416">
        <v>0</v>
      </c>
      <c r="AL143" s="416">
        <v>11</v>
      </c>
      <c r="AM143" s="416">
        <v>0</v>
      </c>
      <c r="AN143" s="416">
        <v>0</v>
      </c>
      <c r="AO143" s="416">
        <v>0</v>
      </c>
      <c r="AP143" s="416">
        <v>0</v>
      </c>
      <c r="AQ143" s="416">
        <v>0</v>
      </c>
      <c r="AR143" s="416">
        <v>0</v>
      </c>
      <c r="AS143" s="416">
        <v>0</v>
      </c>
      <c r="AT143" s="416">
        <v>0</v>
      </c>
      <c r="AU143" s="416">
        <v>0</v>
      </c>
      <c r="AV143" s="416">
        <v>0</v>
      </c>
      <c r="AW143" s="416">
        <v>0</v>
      </c>
      <c r="AX143" s="416">
        <v>0</v>
      </c>
      <c r="AY143" s="416">
        <v>0</v>
      </c>
      <c r="AZ143" s="416">
        <v>0</v>
      </c>
    </row>
    <row r="144" spans="1:52" x14ac:dyDescent="0.25">
      <c r="A144" s="415" t="str">
        <f t="shared" si="2"/>
        <v>SA-182 Gr.F22</v>
      </c>
      <c r="B144" s="415">
        <v>139</v>
      </c>
      <c r="C144" s="415" t="s">
        <v>3548</v>
      </c>
      <c r="D144" s="415" t="s">
        <v>2737</v>
      </c>
      <c r="E144" s="415" t="s">
        <v>2188</v>
      </c>
      <c r="F144" s="415" t="s">
        <v>2430</v>
      </c>
      <c r="G144" s="415" t="s">
        <v>2955</v>
      </c>
      <c r="H144" s="415">
        <v>1</v>
      </c>
      <c r="I144" s="415">
        <v>0</v>
      </c>
      <c r="J144" s="415" t="s">
        <v>2956</v>
      </c>
      <c r="K144" s="415">
        <v>1</v>
      </c>
      <c r="L144" s="415">
        <v>12</v>
      </c>
      <c r="M144" s="415">
        <v>415</v>
      </c>
      <c r="N144" s="415">
        <v>205</v>
      </c>
      <c r="O144" s="415">
        <v>649</v>
      </c>
      <c r="P144" s="415" t="s">
        <v>2699</v>
      </c>
      <c r="Q144" s="415" t="s">
        <v>3549</v>
      </c>
      <c r="R144" s="415">
        <v>12</v>
      </c>
      <c r="S144" s="415">
        <v>138</v>
      </c>
      <c r="T144" s="416">
        <v>138</v>
      </c>
      <c r="U144" s="416">
        <v>132</v>
      </c>
      <c r="V144" s="416">
        <v>128</v>
      </c>
      <c r="W144" s="416">
        <v>126</v>
      </c>
      <c r="X144" s="416">
        <v>125</v>
      </c>
      <c r="Y144" s="416">
        <v>124</v>
      </c>
      <c r="Z144" s="416">
        <v>124</v>
      </c>
      <c r="AA144" s="416">
        <v>124</v>
      </c>
      <c r="AB144" s="416">
        <v>124</v>
      </c>
      <c r="AC144" s="416">
        <v>124</v>
      </c>
      <c r="AD144" s="416">
        <v>124</v>
      </c>
      <c r="AE144" s="416">
        <v>124</v>
      </c>
      <c r="AF144" s="416">
        <v>124</v>
      </c>
      <c r="AG144" s="416">
        <v>124</v>
      </c>
      <c r="AH144" s="416">
        <v>123</v>
      </c>
      <c r="AI144" s="416">
        <v>122</v>
      </c>
      <c r="AJ144" s="416">
        <v>121</v>
      </c>
      <c r="AK144" s="416">
        <v>99.6</v>
      </c>
      <c r="AL144" s="416">
        <v>12</v>
      </c>
      <c r="AM144" s="416">
        <v>80.900000000000006</v>
      </c>
      <c r="AN144" s="416">
        <v>63.3</v>
      </c>
      <c r="AO144" s="416">
        <v>47.5</v>
      </c>
      <c r="AP144" s="416">
        <v>34.200000000000003</v>
      </c>
      <c r="AQ144" s="416">
        <v>23.5</v>
      </c>
      <c r="AR144" s="416">
        <v>15.3</v>
      </c>
      <c r="AS144" s="416">
        <v>9.4499999999999993</v>
      </c>
      <c r="AT144" s="416">
        <v>0</v>
      </c>
      <c r="AU144" s="416">
        <v>0</v>
      </c>
      <c r="AV144" s="416">
        <v>0</v>
      </c>
      <c r="AW144" s="416">
        <v>0</v>
      </c>
      <c r="AX144" s="416">
        <v>0</v>
      </c>
      <c r="AY144" s="416">
        <v>0</v>
      </c>
      <c r="AZ144" s="416">
        <v>0</v>
      </c>
    </row>
    <row r="145" spans="1:52" x14ac:dyDescent="0.25">
      <c r="A145" s="415" t="str">
        <f t="shared" si="2"/>
        <v>SA-213 Gr.T22</v>
      </c>
      <c r="B145" s="415">
        <v>140</v>
      </c>
      <c r="C145" s="415" t="s">
        <v>3548</v>
      </c>
      <c r="D145" s="415" t="s">
        <v>2693</v>
      </c>
      <c r="E145" s="415" t="s">
        <v>2195</v>
      </c>
      <c r="F145" s="415" t="s">
        <v>2545</v>
      </c>
      <c r="G145" s="415" t="s">
        <v>2955</v>
      </c>
      <c r="H145" s="415">
        <v>0</v>
      </c>
      <c r="I145" s="415">
        <v>0</v>
      </c>
      <c r="J145" s="415" t="s">
        <v>2956</v>
      </c>
      <c r="K145" s="415">
        <v>1</v>
      </c>
      <c r="L145" s="415">
        <v>13</v>
      </c>
      <c r="M145" s="415">
        <v>415</v>
      </c>
      <c r="N145" s="415">
        <v>205</v>
      </c>
      <c r="O145" s="415">
        <v>649</v>
      </c>
      <c r="P145" s="415" t="s">
        <v>2699</v>
      </c>
      <c r="Q145" s="415" t="s">
        <v>3549</v>
      </c>
      <c r="R145" s="415">
        <v>13</v>
      </c>
      <c r="S145" s="415">
        <v>138</v>
      </c>
      <c r="T145" s="416">
        <v>138</v>
      </c>
      <c r="U145" s="416">
        <v>132</v>
      </c>
      <c r="V145" s="416">
        <v>128</v>
      </c>
      <c r="W145" s="416">
        <v>126</v>
      </c>
      <c r="X145" s="416">
        <v>125</v>
      </c>
      <c r="Y145" s="416">
        <v>124</v>
      </c>
      <c r="Z145" s="416">
        <v>124</v>
      </c>
      <c r="AA145" s="416">
        <v>124</v>
      </c>
      <c r="AB145" s="416">
        <v>124</v>
      </c>
      <c r="AC145" s="416">
        <v>124</v>
      </c>
      <c r="AD145" s="416">
        <v>124</v>
      </c>
      <c r="AE145" s="416">
        <v>124</v>
      </c>
      <c r="AF145" s="416">
        <v>124</v>
      </c>
      <c r="AG145" s="416">
        <v>124</v>
      </c>
      <c r="AH145" s="416">
        <v>123</v>
      </c>
      <c r="AI145" s="416">
        <v>122</v>
      </c>
      <c r="AJ145" s="416">
        <v>121</v>
      </c>
      <c r="AK145" s="416">
        <v>99.6</v>
      </c>
      <c r="AL145" s="416">
        <v>13</v>
      </c>
      <c r="AM145" s="416">
        <v>80.900000000000006</v>
      </c>
      <c r="AN145" s="416">
        <v>63.3</v>
      </c>
      <c r="AO145" s="416">
        <v>47.5</v>
      </c>
      <c r="AP145" s="416">
        <v>34.200000000000003</v>
      </c>
      <c r="AQ145" s="416">
        <v>23.5</v>
      </c>
      <c r="AR145" s="416">
        <v>15.3</v>
      </c>
      <c r="AS145" s="416">
        <v>9.4499999999999993</v>
      </c>
      <c r="AT145" s="416">
        <v>0</v>
      </c>
      <c r="AU145" s="416">
        <v>0</v>
      </c>
      <c r="AV145" s="416">
        <v>0</v>
      </c>
      <c r="AW145" s="416">
        <v>0</v>
      </c>
      <c r="AX145" s="416">
        <v>0</v>
      </c>
      <c r="AY145" s="416">
        <v>0</v>
      </c>
      <c r="AZ145" s="416">
        <v>0</v>
      </c>
    </row>
    <row r="146" spans="1:52" x14ac:dyDescent="0.25">
      <c r="A146" s="415" t="str">
        <f t="shared" si="2"/>
        <v>SA-234 Gr.WP22</v>
      </c>
      <c r="B146" s="415">
        <v>141</v>
      </c>
      <c r="C146" s="415" t="s">
        <v>3548</v>
      </c>
      <c r="D146" s="415" t="s">
        <v>913</v>
      </c>
      <c r="E146" s="415" t="s">
        <v>2174</v>
      </c>
      <c r="F146" s="415" t="s">
        <v>2607</v>
      </c>
      <c r="G146" s="415" t="s">
        <v>2955</v>
      </c>
      <c r="H146" s="415">
        <v>1</v>
      </c>
      <c r="I146" s="415">
        <v>0</v>
      </c>
      <c r="J146" s="415" t="s">
        <v>2956</v>
      </c>
      <c r="K146" s="415">
        <v>1</v>
      </c>
      <c r="L146" s="415">
        <v>14</v>
      </c>
      <c r="M146" s="415">
        <v>415</v>
      </c>
      <c r="N146" s="415">
        <v>205</v>
      </c>
      <c r="O146" s="415">
        <v>649</v>
      </c>
      <c r="P146" s="415" t="s">
        <v>2699</v>
      </c>
      <c r="Q146" s="415" t="s">
        <v>3549</v>
      </c>
      <c r="R146" s="415">
        <v>14</v>
      </c>
      <c r="S146" s="415">
        <v>138</v>
      </c>
      <c r="T146" s="416">
        <v>138</v>
      </c>
      <c r="U146" s="416">
        <v>132</v>
      </c>
      <c r="V146" s="416">
        <v>128</v>
      </c>
      <c r="W146" s="416">
        <v>126</v>
      </c>
      <c r="X146" s="416">
        <v>125</v>
      </c>
      <c r="Y146" s="416">
        <v>124</v>
      </c>
      <c r="Z146" s="416">
        <v>124</v>
      </c>
      <c r="AA146" s="416">
        <v>124</v>
      </c>
      <c r="AB146" s="416">
        <v>124</v>
      </c>
      <c r="AC146" s="416">
        <v>124</v>
      </c>
      <c r="AD146" s="416">
        <v>124</v>
      </c>
      <c r="AE146" s="416">
        <v>124</v>
      </c>
      <c r="AF146" s="416">
        <v>124</v>
      </c>
      <c r="AG146" s="416">
        <v>124</v>
      </c>
      <c r="AH146" s="416">
        <v>123</v>
      </c>
      <c r="AI146" s="416">
        <v>122</v>
      </c>
      <c r="AJ146" s="416">
        <v>121</v>
      </c>
      <c r="AK146" s="416">
        <v>99.6</v>
      </c>
      <c r="AL146" s="416">
        <v>14</v>
      </c>
      <c r="AM146" s="416">
        <v>80.900000000000006</v>
      </c>
      <c r="AN146" s="416">
        <v>63.3</v>
      </c>
      <c r="AO146" s="416">
        <v>47.5</v>
      </c>
      <c r="AP146" s="416">
        <v>34.200000000000003</v>
      </c>
      <c r="AQ146" s="416">
        <v>23.5</v>
      </c>
      <c r="AR146" s="416">
        <v>15.3</v>
      </c>
      <c r="AS146" s="416">
        <v>9.4499999999999993</v>
      </c>
      <c r="AT146" s="416">
        <v>0</v>
      </c>
      <c r="AU146" s="416">
        <v>0</v>
      </c>
      <c r="AV146" s="416">
        <v>0</v>
      </c>
      <c r="AW146" s="416">
        <v>0</v>
      </c>
      <c r="AX146" s="416">
        <v>0</v>
      </c>
      <c r="AY146" s="416">
        <v>0</v>
      </c>
      <c r="AZ146" s="416">
        <v>0</v>
      </c>
    </row>
    <row r="147" spans="1:52" x14ac:dyDescent="0.25">
      <c r="A147" s="415" t="str">
        <f t="shared" si="2"/>
        <v>SA-335 Gr.P22</v>
      </c>
      <c r="B147" s="415">
        <v>142</v>
      </c>
      <c r="C147" s="415" t="s">
        <v>3548</v>
      </c>
      <c r="D147" s="415" t="s">
        <v>2703</v>
      </c>
      <c r="E147" s="415" t="s">
        <v>2210</v>
      </c>
      <c r="F147" s="415" t="s">
        <v>2515</v>
      </c>
      <c r="G147" s="415" t="s">
        <v>2955</v>
      </c>
      <c r="H147" s="415">
        <v>0</v>
      </c>
      <c r="I147" s="415">
        <v>0</v>
      </c>
      <c r="J147" s="415" t="s">
        <v>2956</v>
      </c>
      <c r="K147" s="415">
        <v>1</v>
      </c>
      <c r="L147" s="415">
        <v>15</v>
      </c>
      <c r="M147" s="415">
        <v>415</v>
      </c>
      <c r="N147" s="415">
        <v>205</v>
      </c>
      <c r="O147" s="415">
        <v>649</v>
      </c>
      <c r="P147" s="415" t="s">
        <v>2699</v>
      </c>
      <c r="Q147" s="415" t="s">
        <v>3549</v>
      </c>
      <c r="R147" s="415">
        <v>15</v>
      </c>
      <c r="S147" s="415">
        <v>138</v>
      </c>
      <c r="T147" s="416">
        <v>138</v>
      </c>
      <c r="U147" s="416">
        <v>132</v>
      </c>
      <c r="V147" s="416">
        <v>128</v>
      </c>
      <c r="W147" s="416">
        <v>126</v>
      </c>
      <c r="X147" s="416">
        <v>125</v>
      </c>
      <c r="Y147" s="416">
        <v>124</v>
      </c>
      <c r="Z147" s="416">
        <v>124</v>
      </c>
      <c r="AA147" s="416">
        <v>124</v>
      </c>
      <c r="AB147" s="416">
        <v>124</v>
      </c>
      <c r="AC147" s="416">
        <v>124</v>
      </c>
      <c r="AD147" s="416">
        <v>124</v>
      </c>
      <c r="AE147" s="416">
        <v>124</v>
      </c>
      <c r="AF147" s="416">
        <v>124</v>
      </c>
      <c r="AG147" s="416">
        <v>124</v>
      </c>
      <c r="AH147" s="416">
        <v>123</v>
      </c>
      <c r="AI147" s="416">
        <v>122</v>
      </c>
      <c r="AJ147" s="416">
        <v>121</v>
      </c>
      <c r="AK147" s="416">
        <v>99.6</v>
      </c>
      <c r="AL147" s="416">
        <v>15</v>
      </c>
      <c r="AM147" s="416">
        <v>80.900000000000006</v>
      </c>
      <c r="AN147" s="416">
        <v>63.3</v>
      </c>
      <c r="AO147" s="416">
        <v>47.5</v>
      </c>
      <c r="AP147" s="416">
        <v>34.200000000000003</v>
      </c>
      <c r="AQ147" s="416">
        <v>23.5</v>
      </c>
      <c r="AR147" s="416">
        <v>15.3</v>
      </c>
      <c r="AS147" s="416">
        <v>9.4499999999999993</v>
      </c>
      <c r="AT147" s="416">
        <v>0</v>
      </c>
      <c r="AU147" s="416">
        <v>0</v>
      </c>
      <c r="AV147" s="416">
        <v>0</v>
      </c>
      <c r="AW147" s="416">
        <v>0</v>
      </c>
      <c r="AX147" s="416">
        <v>0</v>
      </c>
      <c r="AY147" s="416">
        <v>0</v>
      </c>
      <c r="AZ147" s="416">
        <v>0</v>
      </c>
    </row>
    <row r="148" spans="1:52" x14ac:dyDescent="0.25">
      <c r="A148" s="415" t="str">
        <f t="shared" si="2"/>
        <v>SA-336 Gr.F22</v>
      </c>
      <c r="B148" s="415">
        <v>143</v>
      </c>
      <c r="C148" s="415" t="s">
        <v>3548</v>
      </c>
      <c r="D148" s="415" t="s">
        <v>2737</v>
      </c>
      <c r="E148" s="415" t="s">
        <v>2211</v>
      </c>
      <c r="F148" s="415" t="s">
        <v>2430</v>
      </c>
      <c r="G148" s="415" t="s">
        <v>2955</v>
      </c>
      <c r="H148" s="415">
        <v>1</v>
      </c>
      <c r="I148" s="415">
        <v>0</v>
      </c>
      <c r="J148" s="415" t="s">
        <v>2956</v>
      </c>
      <c r="K148" s="415">
        <v>1</v>
      </c>
      <c r="L148" s="415">
        <v>16</v>
      </c>
      <c r="M148" s="415">
        <v>415</v>
      </c>
      <c r="N148" s="415">
        <v>205</v>
      </c>
      <c r="O148" s="415">
        <v>649</v>
      </c>
      <c r="P148" s="415" t="s">
        <v>2699</v>
      </c>
      <c r="Q148" s="415" t="s">
        <v>3549</v>
      </c>
      <c r="R148" s="415">
        <v>16</v>
      </c>
      <c r="S148" s="415">
        <v>138</v>
      </c>
      <c r="T148" s="416">
        <v>138</v>
      </c>
      <c r="U148" s="416">
        <v>132</v>
      </c>
      <c r="V148" s="416">
        <v>128</v>
      </c>
      <c r="W148" s="416">
        <v>126</v>
      </c>
      <c r="X148" s="416">
        <v>125</v>
      </c>
      <c r="Y148" s="416">
        <v>124</v>
      </c>
      <c r="Z148" s="416">
        <v>124</v>
      </c>
      <c r="AA148" s="416">
        <v>124</v>
      </c>
      <c r="AB148" s="416">
        <v>124</v>
      </c>
      <c r="AC148" s="416">
        <v>124</v>
      </c>
      <c r="AD148" s="416">
        <v>124</v>
      </c>
      <c r="AE148" s="416">
        <v>124</v>
      </c>
      <c r="AF148" s="416">
        <v>124</v>
      </c>
      <c r="AG148" s="416">
        <v>124</v>
      </c>
      <c r="AH148" s="416">
        <v>123</v>
      </c>
      <c r="AI148" s="416">
        <v>122</v>
      </c>
      <c r="AJ148" s="416">
        <v>121</v>
      </c>
      <c r="AK148" s="416">
        <v>99.6</v>
      </c>
      <c r="AL148" s="416">
        <v>16</v>
      </c>
      <c r="AM148" s="416">
        <v>80.900000000000006</v>
      </c>
      <c r="AN148" s="416">
        <v>63.3</v>
      </c>
      <c r="AO148" s="416">
        <v>47.5</v>
      </c>
      <c r="AP148" s="416">
        <v>34.200000000000003</v>
      </c>
      <c r="AQ148" s="416">
        <v>23.5</v>
      </c>
      <c r="AR148" s="416">
        <v>15.3</v>
      </c>
      <c r="AS148" s="416">
        <v>9.4499999999999993</v>
      </c>
      <c r="AT148" s="416">
        <v>0</v>
      </c>
      <c r="AU148" s="416">
        <v>0</v>
      </c>
      <c r="AV148" s="416">
        <v>0</v>
      </c>
      <c r="AW148" s="416">
        <v>0</v>
      </c>
      <c r="AX148" s="416">
        <v>0</v>
      </c>
      <c r="AY148" s="416">
        <v>0</v>
      </c>
      <c r="AZ148" s="416">
        <v>0</v>
      </c>
    </row>
    <row r="149" spans="1:52" x14ac:dyDescent="0.25">
      <c r="A149" s="415" t="str">
        <f t="shared" si="2"/>
        <v>SA-369 Gr.FP22</v>
      </c>
      <c r="B149" s="415">
        <v>144</v>
      </c>
      <c r="C149" s="415" t="s">
        <v>3548</v>
      </c>
      <c r="D149" s="415" t="s">
        <v>2707</v>
      </c>
      <c r="E149" s="415" t="s">
        <v>2221</v>
      </c>
      <c r="F149" s="415" t="s">
        <v>2470</v>
      </c>
      <c r="G149" s="415" t="s">
        <v>2955</v>
      </c>
      <c r="H149" s="415">
        <v>0</v>
      </c>
      <c r="I149" s="415">
        <v>0</v>
      </c>
      <c r="J149" s="415" t="s">
        <v>2956</v>
      </c>
      <c r="K149" s="415">
        <v>1</v>
      </c>
      <c r="L149" s="415">
        <v>17</v>
      </c>
      <c r="M149" s="415">
        <v>415</v>
      </c>
      <c r="N149" s="415">
        <v>210</v>
      </c>
      <c r="O149" s="415">
        <v>649</v>
      </c>
      <c r="P149" s="415" t="s">
        <v>2699</v>
      </c>
      <c r="Q149" s="415" t="s">
        <v>3549</v>
      </c>
      <c r="R149" s="415">
        <v>17</v>
      </c>
      <c r="S149" s="415">
        <v>138</v>
      </c>
      <c r="T149" s="416">
        <v>138</v>
      </c>
      <c r="U149" s="416">
        <v>132</v>
      </c>
      <c r="V149" s="416">
        <v>128</v>
      </c>
      <c r="W149" s="416">
        <v>126</v>
      </c>
      <c r="X149" s="416">
        <v>125</v>
      </c>
      <c r="Y149" s="416">
        <v>124</v>
      </c>
      <c r="Z149" s="416">
        <v>124</v>
      </c>
      <c r="AA149" s="416">
        <v>124</v>
      </c>
      <c r="AB149" s="416">
        <v>124</v>
      </c>
      <c r="AC149" s="416">
        <v>124</v>
      </c>
      <c r="AD149" s="416">
        <v>124</v>
      </c>
      <c r="AE149" s="416">
        <v>124</v>
      </c>
      <c r="AF149" s="416">
        <v>124</v>
      </c>
      <c r="AG149" s="416">
        <v>124</v>
      </c>
      <c r="AH149" s="416">
        <v>123</v>
      </c>
      <c r="AI149" s="416">
        <v>122</v>
      </c>
      <c r="AJ149" s="416">
        <v>121</v>
      </c>
      <c r="AK149" s="416">
        <v>99.6</v>
      </c>
      <c r="AL149" s="416">
        <v>17</v>
      </c>
      <c r="AM149" s="416">
        <v>80.900000000000006</v>
      </c>
      <c r="AN149" s="416">
        <v>63.3</v>
      </c>
      <c r="AO149" s="416">
        <v>47.5</v>
      </c>
      <c r="AP149" s="416">
        <v>34.200000000000003</v>
      </c>
      <c r="AQ149" s="416">
        <v>23.5</v>
      </c>
      <c r="AR149" s="416">
        <v>15.3</v>
      </c>
      <c r="AS149" s="416">
        <v>9.4499999999999993</v>
      </c>
      <c r="AT149" s="416">
        <v>0</v>
      </c>
      <c r="AU149" s="416">
        <v>0</v>
      </c>
      <c r="AV149" s="416">
        <v>0</v>
      </c>
      <c r="AW149" s="416">
        <v>0</v>
      </c>
      <c r="AX149" s="416">
        <v>0</v>
      </c>
      <c r="AY149" s="416">
        <v>0</v>
      </c>
      <c r="AZ149" s="416">
        <v>0</v>
      </c>
    </row>
    <row r="150" spans="1:52" x14ac:dyDescent="0.25">
      <c r="A150" s="415" t="str">
        <f t="shared" si="2"/>
        <v>SA-387 Gr.22</v>
      </c>
      <c r="B150" s="415">
        <v>145</v>
      </c>
      <c r="C150" s="415" t="s">
        <v>3548</v>
      </c>
      <c r="D150" s="415" t="s">
        <v>2684</v>
      </c>
      <c r="E150" s="415" t="s">
        <v>2227</v>
      </c>
      <c r="F150" s="415">
        <v>22</v>
      </c>
      <c r="G150" s="415" t="s">
        <v>2955</v>
      </c>
      <c r="H150" s="415">
        <v>1</v>
      </c>
      <c r="I150" s="415">
        <v>0</v>
      </c>
      <c r="J150" s="415" t="s">
        <v>2956</v>
      </c>
      <c r="K150" s="415">
        <v>1</v>
      </c>
      <c r="L150" s="415">
        <v>18</v>
      </c>
      <c r="M150" s="415">
        <v>415</v>
      </c>
      <c r="N150" s="415">
        <v>210</v>
      </c>
      <c r="O150" s="415">
        <v>649</v>
      </c>
      <c r="P150" s="415" t="s">
        <v>2699</v>
      </c>
      <c r="Q150" s="415" t="s">
        <v>3550</v>
      </c>
      <c r="R150" s="415">
        <v>18</v>
      </c>
      <c r="S150" s="415">
        <v>138</v>
      </c>
      <c r="T150" s="416">
        <v>138</v>
      </c>
      <c r="U150" s="416">
        <v>132</v>
      </c>
      <c r="V150" s="416">
        <v>128</v>
      </c>
      <c r="W150" s="416">
        <v>126</v>
      </c>
      <c r="X150" s="416">
        <v>125</v>
      </c>
      <c r="Y150" s="416">
        <v>124</v>
      </c>
      <c r="Z150" s="416">
        <v>124</v>
      </c>
      <c r="AA150" s="416">
        <v>124</v>
      </c>
      <c r="AB150" s="416">
        <v>124</v>
      </c>
      <c r="AC150" s="416">
        <v>124</v>
      </c>
      <c r="AD150" s="416">
        <v>124</v>
      </c>
      <c r="AE150" s="416">
        <v>124</v>
      </c>
      <c r="AF150" s="416">
        <v>124</v>
      </c>
      <c r="AG150" s="416">
        <v>124</v>
      </c>
      <c r="AH150" s="416">
        <v>123</v>
      </c>
      <c r="AI150" s="416">
        <v>122</v>
      </c>
      <c r="AJ150" s="416">
        <v>121</v>
      </c>
      <c r="AK150" s="416">
        <v>99.6</v>
      </c>
      <c r="AL150" s="416">
        <v>18</v>
      </c>
      <c r="AM150" s="416">
        <v>80.900000000000006</v>
      </c>
      <c r="AN150" s="416">
        <v>63.3</v>
      </c>
      <c r="AO150" s="416">
        <v>47.5</v>
      </c>
      <c r="AP150" s="416">
        <v>34.200000000000003</v>
      </c>
      <c r="AQ150" s="416">
        <v>23.5</v>
      </c>
      <c r="AR150" s="416">
        <v>15.3</v>
      </c>
      <c r="AS150" s="416">
        <v>9.4499999999999993</v>
      </c>
      <c r="AT150" s="416">
        <v>0</v>
      </c>
      <c r="AU150" s="416">
        <v>0</v>
      </c>
      <c r="AV150" s="416">
        <v>0</v>
      </c>
      <c r="AW150" s="416">
        <v>0</v>
      </c>
      <c r="AX150" s="416">
        <v>0</v>
      </c>
      <c r="AY150" s="416">
        <v>0</v>
      </c>
      <c r="AZ150" s="416">
        <v>0</v>
      </c>
    </row>
    <row r="151" spans="1:52" x14ac:dyDescent="0.25">
      <c r="A151" s="415" t="str">
        <f t="shared" si="2"/>
        <v>SA-217 Gr.WC9</v>
      </c>
      <c r="B151" s="415">
        <v>146</v>
      </c>
      <c r="C151" s="415" t="s">
        <v>3548</v>
      </c>
      <c r="D151" s="415" t="s">
        <v>2739</v>
      </c>
      <c r="E151" s="415" t="s">
        <v>2198</v>
      </c>
      <c r="F151" s="415" t="s">
        <v>2600</v>
      </c>
      <c r="G151" s="415" t="s">
        <v>2962</v>
      </c>
      <c r="H151" s="415">
        <v>0</v>
      </c>
      <c r="I151" s="415">
        <v>0</v>
      </c>
      <c r="J151" s="415" t="s">
        <v>2956</v>
      </c>
      <c r="K151" s="415">
        <v>1</v>
      </c>
      <c r="L151" s="415">
        <v>19</v>
      </c>
      <c r="M151" s="415">
        <v>485</v>
      </c>
      <c r="N151" s="415">
        <v>275</v>
      </c>
      <c r="O151" s="415">
        <v>649</v>
      </c>
      <c r="P151" s="415" t="s">
        <v>2699</v>
      </c>
      <c r="Q151" s="415" t="s">
        <v>3549</v>
      </c>
      <c r="R151" s="415">
        <v>19</v>
      </c>
      <c r="S151" s="415">
        <v>184</v>
      </c>
      <c r="T151" s="416">
        <v>184</v>
      </c>
      <c r="U151" s="416">
        <v>174</v>
      </c>
      <c r="V151" s="416">
        <v>169</v>
      </c>
      <c r="W151" s="416">
        <v>167</v>
      </c>
      <c r="X151" s="416">
        <v>165</v>
      </c>
      <c r="Y151" s="416">
        <v>163</v>
      </c>
      <c r="Z151" s="416">
        <v>161</v>
      </c>
      <c r="AA151" s="416">
        <v>160</v>
      </c>
      <c r="AB151" s="416">
        <v>159</v>
      </c>
      <c r="AC151" s="416">
        <v>157</v>
      </c>
      <c r="AD151" s="416">
        <v>156</v>
      </c>
      <c r="AE151" s="416">
        <v>154</v>
      </c>
      <c r="AF151" s="416">
        <v>153</v>
      </c>
      <c r="AG151" s="416">
        <v>151</v>
      </c>
      <c r="AH151" s="416">
        <v>149</v>
      </c>
      <c r="AI151" s="416">
        <v>147</v>
      </c>
      <c r="AJ151" s="416">
        <v>144</v>
      </c>
      <c r="AK151" s="416">
        <v>119</v>
      </c>
      <c r="AL151" s="416">
        <v>19</v>
      </c>
      <c r="AM151" s="416">
        <v>88.4</v>
      </c>
      <c r="AN151" s="416">
        <v>64</v>
      </c>
      <c r="AO151" s="416">
        <v>44.6</v>
      </c>
      <c r="AP151" s="416">
        <v>30</v>
      </c>
      <c r="AQ151" s="416">
        <v>19.7</v>
      </c>
      <c r="AR151" s="416">
        <v>12.8</v>
      </c>
      <c r="AS151" s="416">
        <v>8.11</v>
      </c>
      <c r="AT151" s="416">
        <v>0</v>
      </c>
      <c r="AU151" s="416">
        <v>0</v>
      </c>
      <c r="AV151" s="416">
        <v>0</v>
      </c>
      <c r="AW151" s="416">
        <v>0</v>
      </c>
      <c r="AX151" s="416">
        <v>0</v>
      </c>
      <c r="AY151" s="416">
        <v>0</v>
      </c>
      <c r="AZ151" s="416">
        <v>0</v>
      </c>
    </row>
    <row r="152" spans="1:52" x14ac:dyDescent="0.25">
      <c r="A152" s="415" t="str">
        <f t="shared" si="2"/>
        <v>SA-182 Gr.F22</v>
      </c>
      <c r="B152" s="415">
        <v>147</v>
      </c>
      <c r="C152" s="415" t="s">
        <v>3548</v>
      </c>
      <c r="D152" s="415" t="s">
        <v>2737</v>
      </c>
      <c r="E152" s="415" t="s">
        <v>2188</v>
      </c>
      <c r="F152" s="415" t="s">
        <v>2430</v>
      </c>
      <c r="G152" s="415" t="s">
        <v>2955</v>
      </c>
      <c r="H152" s="415">
        <v>3</v>
      </c>
      <c r="I152" s="415">
        <v>0</v>
      </c>
      <c r="J152" s="415" t="s">
        <v>2956</v>
      </c>
      <c r="K152" s="415">
        <v>1</v>
      </c>
      <c r="L152" s="415">
        <v>20</v>
      </c>
      <c r="M152" s="415">
        <v>515</v>
      </c>
      <c r="N152" s="415">
        <v>310</v>
      </c>
      <c r="O152" s="415">
        <v>649</v>
      </c>
      <c r="P152" s="415" t="s">
        <v>2819</v>
      </c>
      <c r="Q152" s="415" t="s">
        <v>3549</v>
      </c>
      <c r="R152" s="415">
        <v>20</v>
      </c>
      <c r="S152" s="415">
        <v>207</v>
      </c>
      <c r="T152" s="416">
        <v>207</v>
      </c>
      <c r="U152" s="416">
        <v>196</v>
      </c>
      <c r="V152" s="416">
        <v>188</v>
      </c>
      <c r="W152" s="416">
        <v>184</v>
      </c>
      <c r="X152" s="416">
        <v>181</v>
      </c>
      <c r="Y152" s="416">
        <v>178</v>
      </c>
      <c r="Z152" s="416">
        <v>176</v>
      </c>
      <c r="AA152" s="416">
        <v>174</v>
      </c>
      <c r="AB152" s="416">
        <v>172</v>
      </c>
      <c r="AC152" s="416">
        <v>170</v>
      </c>
      <c r="AD152" s="416">
        <v>169</v>
      </c>
      <c r="AE152" s="416">
        <v>167</v>
      </c>
      <c r="AF152" s="416">
        <v>165</v>
      </c>
      <c r="AG152" s="416">
        <v>163</v>
      </c>
      <c r="AH152" s="416">
        <v>161</v>
      </c>
      <c r="AI152" s="416">
        <v>158</v>
      </c>
      <c r="AJ152" s="416">
        <v>154</v>
      </c>
      <c r="AK152" s="416">
        <v>128</v>
      </c>
      <c r="AL152" s="416">
        <v>20</v>
      </c>
      <c r="AM152" s="416">
        <v>88.4</v>
      </c>
      <c r="AN152" s="416">
        <v>64</v>
      </c>
      <c r="AO152" s="416">
        <v>44.6</v>
      </c>
      <c r="AP152" s="416">
        <v>30</v>
      </c>
      <c r="AQ152" s="416">
        <v>19.7</v>
      </c>
      <c r="AR152" s="416">
        <v>12.8</v>
      </c>
      <c r="AS152" s="416">
        <v>8.11</v>
      </c>
      <c r="AT152" s="416">
        <v>0</v>
      </c>
      <c r="AU152" s="416">
        <v>0</v>
      </c>
      <c r="AV152" s="416">
        <v>0</v>
      </c>
      <c r="AW152" s="416">
        <v>0</v>
      </c>
      <c r="AX152" s="416">
        <v>0</v>
      </c>
      <c r="AY152" s="416">
        <v>0</v>
      </c>
      <c r="AZ152" s="416">
        <v>0</v>
      </c>
    </row>
    <row r="153" spans="1:52" x14ac:dyDescent="0.25">
      <c r="A153" s="415" t="str">
        <f t="shared" si="2"/>
        <v>SA-336 Gr.F22</v>
      </c>
      <c r="B153" s="415">
        <v>148</v>
      </c>
      <c r="C153" s="415" t="s">
        <v>3548</v>
      </c>
      <c r="D153" s="415" t="s">
        <v>2737</v>
      </c>
      <c r="E153" s="415" t="s">
        <v>2211</v>
      </c>
      <c r="F153" s="415" t="s">
        <v>2430</v>
      </c>
      <c r="G153" s="415" t="s">
        <v>2955</v>
      </c>
      <c r="H153" s="415">
        <v>3</v>
      </c>
      <c r="I153" s="415">
        <v>0</v>
      </c>
      <c r="J153" s="415" t="s">
        <v>2956</v>
      </c>
      <c r="K153" s="415">
        <v>1</v>
      </c>
      <c r="L153" s="415">
        <v>21</v>
      </c>
      <c r="M153" s="415">
        <v>515</v>
      </c>
      <c r="N153" s="415">
        <v>310</v>
      </c>
      <c r="O153" s="415">
        <v>649</v>
      </c>
      <c r="P153" s="415" t="s">
        <v>2819</v>
      </c>
      <c r="Q153" s="415" t="s">
        <v>3549</v>
      </c>
      <c r="R153" s="415">
        <v>21</v>
      </c>
      <c r="S153" s="415">
        <v>207</v>
      </c>
      <c r="T153" s="416">
        <v>207</v>
      </c>
      <c r="U153" s="416">
        <v>196</v>
      </c>
      <c r="V153" s="416">
        <v>188</v>
      </c>
      <c r="W153" s="416">
        <v>184</v>
      </c>
      <c r="X153" s="416">
        <v>181</v>
      </c>
      <c r="Y153" s="416">
        <v>178</v>
      </c>
      <c r="Z153" s="416">
        <v>176</v>
      </c>
      <c r="AA153" s="416">
        <v>174</v>
      </c>
      <c r="AB153" s="416">
        <v>172</v>
      </c>
      <c r="AC153" s="416">
        <v>170</v>
      </c>
      <c r="AD153" s="416">
        <v>169</v>
      </c>
      <c r="AE153" s="416">
        <v>167</v>
      </c>
      <c r="AF153" s="416">
        <v>165</v>
      </c>
      <c r="AG153" s="416">
        <v>163</v>
      </c>
      <c r="AH153" s="416">
        <v>161</v>
      </c>
      <c r="AI153" s="416">
        <v>158</v>
      </c>
      <c r="AJ153" s="416">
        <v>154</v>
      </c>
      <c r="AK153" s="416">
        <v>128</v>
      </c>
      <c r="AL153" s="416">
        <v>21</v>
      </c>
      <c r="AM153" s="416">
        <v>88.4</v>
      </c>
      <c r="AN153" s="416">
        <v>64</v>
      </c>
      <c r="AO153" s="416">
        <v>44.6</v>
      </c>
      <c r="AP153" s="416">
        <v>30</v>
      </c>
      <c r="AQ153" s="416">
        <v>19.7</v>
      </c>
      <c r="AR153" s="416">
        <v>12.8</v>
      </c>
      <c r="AS153" s="416">
        <v>8.11</v>
      </c>
      <c r="AT153" s="416">
        <v>0</v>
      </c>
      <c r="AU153" s="416">
        <v>0</v>
      </c>
      <c r="AV153" s="416">
        <v>0</v>
      </c>
      <c r="AW153" s="416">
        <v>0</v>
      </c>
      <c r="AX153" s="416">
        <v>0</v>
      </c>
      <c r="AY153" s="416">
        <v>0</v>
      </c>
      <c r="AZ153" s="416">
        <v>0</v>
      </c>
    </row>
    <row r="154" spans="1:52" x14ac:dyDescent="0.25">
      <c r="A154" s="415" t="str">
        <f t="shared" si="2"/>
        <v>SA-387 Gr.22</v>
      </c>
      <c r="B154" s="415">
        <v>149</v>
      </c>
      <c r="C154" s="415" t="s">
        <v>3548</v>
      </c>
      <c r="D154" s="415" t="s">
        <v>2684</v>
      </c>
      <c r="E154" s="415" t="s">
        <v>2227</v>
      </c>
      <c r="F154" s="415">
        <v>22</v>
      </c>
      <c r="G154" s="415" t="s">
        <v>2955</v>
      </c>
      <c r="H154" s="415">
        <v>2</v>
      </c>
      <c r="I154" s="415">
        <v>0</v>
      </c>
      <c r="J154" s="415" t="s">
        <v>2956</v>
      </c>
      <c r="K154" s="415">
        <v>1</v>
      </c>
      <c r="L154" s="415">
        <v>22</v>
      </c>
      <c r="M154" s="415">
        <v>515</v>
      </c>
      <c r="N154" s="415">
        <v>310</v>
      </c>
      <c r="O154" s="415">
        <v>649</v>
      </c>
      <c r="P154" s="415" t="s">
        <v>2819</v>
      </c>
      <c r="Q154" s="415" t="s">
        <v>3549</v>
      </c>
      <c r="R154" s="415">
        <v>22</v>
      </c>
      <c r="S154" s="415">
        <v>207</v>
      </c>
      <c r="T154" s="416">
        <v>207</v>
      </c>
      <c r="U154" s="416">
        <v>196</v>
      </c>
      <c r="V154" s="416">
        <v>188</v>
      </c>
      <c r="W154" s="416">
        <v>184</v>
      </c>
      <c r="X154" s="416">
        <v>181</v>
      </c>
      <c r="Y154" s="416">
        <v>178</v>
      </c>
      <c r="Z154" s="416">
        <v>176</v>
      </c>
      <c r="AA154" s="416">
        <v>174</v>
      </c>
      <c r="AB154" s="416">
        <v>172</v>
      </c>
      <c r="AC154" s="416">
        <v>170</v>
      </c>
      <c r="AD154" s="416">
        <v>169</v>
      </c>
      <c r="AE154" s="416">
        <v>167</v>
      </c>
      <c r="AF154" s="416">
        <v>165</v>
      </c>
      <c r="AG154" s="416">
        <v>163</v>
      </c>
      <c r="AH154" s="416">
        <v>161</v>
      </c>
      <c r="AI154" s="416">
        <v>158</v>
      </c>
      <c r="AJ154" s="416">
        <v>154</v>
      </c>
      <c r="AK154" s="416">
        <v>128</v>
      </c>
      <c r="AL154" s="416">
        <v>22</v>
      </c>
      <c r="AM154" s="416">
        <v>88.4</v>
      </c>
      <c r="AN154" s="416">
        <v>64</v>
      </c>
      <c r="AO154" s="416">
        <v>44.6</v>
      </c>
      <c r="AP154" s="416">
        <v>30</v>
      </c>
      <c r="AQ154" s="416">
        <v>19.7</v>
      </c>
      <c r="AR154" s="416">
        <v>12.8</v>
      </c>
      <c r="AS154" s="416">
        <v>8.11</v>
      </c>
      <c r="AT154" s="416">
        <v>0</v>
      </c>
      <c r="AU154" s="416">
        <v>0</v>
      </c>
      <c r="AV154" s="416">
        <v>0</v>
      </c>
      <c r="AW154" s="416">
        <v>0</v>
      </c>
      <c r="AX154" s="416">
        <v>0</v>
      </c>
      <c r="AY154" s="416">
        <v>0</v>
      </c>
      <c r="AZ154" s="416">
        <v>0</v>
      </c>
    </row>
    <row r="155" spans="1:52" x14ac:dyDescent="0.25">
      <c r="A155" s="415" t="str">
        <f t="shared" si="2"/>
        <v>SA-739 Gr.B22</v>
      </c>
      <c r="B155" s="415">
        <v>150</v>
      </c>
      <c r="C155" s="415" t="s">
        <v>3548</v>
      </c>
      <c r="D155" s="415" t="s">
        <v>2677</v>
      </c>
      <c r="E155" s="415" t="s">
        <v>2317</v>
      </c>
      <c r="F155" s="415" t="s">
        <v>2343</v>
      </c>
      <c r="G155" s="415" t="s">
        <v>2964</v>
      </c>
      <c r="H155" s="415">
        <v>0</v>
      </c>
      <c r="I155" s="415">
        <v>0</v>
      </c>
      <c r="J155" s="415" t="s">
        <v>2956</v>
      </c>
      <c r="K155" s="415">
        <v>1</v>
      </c>
      <c r="L155" s="415">
        <v>23</v>
      </c>
      <c r="M155" s="415">
        <v>517</v>
      </c>
      <c r="N155" s="415">
        <v>310</v>
      </c>
      <c r="O155" s="415">
        <v>649</v>
      </c>
      <c r="P155" s="415" t="s">
        <v>2819</v>
      </c>
      <c r="Q155" s="415" t="s">
        <v>3549</v>
      </c>
      <c r="R155" s="415">
        <v>23</v>
      </c>
      <c r="S155" s="415">
        <v>207</v>
      </c>
      <c r="T155" s="416">
        <v>207</v>
      </c>
      <c r="U155" s="416">
        <v>196</v>
      </c>
      <c r="V155" s="416">
        <v>188</v>
      </c>
      <c r="W155" s="416">
        <v>184</v>
      </c>
      <c r="X155" s="416">
        <v>181</v>
      </c>
      <c r="Y155" s="416">
        <v>178</v>
      </c>
      <c r="Z155" s="416">
        <v>176</v>
      </c>
      <c r="AA155" s="416">
        <v>174</v>
      </c>
      <c r="AB155" s="416">
        <v>172</v>
      </c>
      <c r="AC155" s="416">
        <v>170</v>
      </c>
      <c r="AD155" s="416">
        <v>169</v>
      </c>
      <c r="AE155" s="416">
        <v>167</v>
      </c>
      <c r="AF155" s="416">
        <v>165</v>
      </c>
      <c r="AG155" s="416">
        <v>163</v>
      </c>
      <c r="AH155" s="416">
        <v>161</v>
      </c>
      <c r="AI155" s="416">
        <v>158</v>
      </c>
      <c r="AJ155" s="416">
        <v>154</v>
      </c>
      <c r="AK155" s="416">
        <v>128</v>
      </c>
      <c r="AL155" s="416">
        <v>23</v>
      </c>
      <c r="AM155" s="416">
        <v>88.4</v>
      </c>
      <c r="AN155" s="416">
        <v>64</v>
      </c>
      <c r="AO155" s="416">
        <v>44.6</v>
      </c>
      <c r="AP155" s="416">
        <v>30</v>
      </c>
      <c r="AQ155" s="416">
        <v>19.7</v>
      </c>
      <c r="AR155" s="416">
        <v>12.8</v>
      </c>
      <c r="AS155" s="416">
        <v>8.11</v>
      </c>
      <c r="AT155" s="416">
        <v>0</v>
      </c>
      <c r="AU155" s="416">
        <v>0</v>
      </c>
      <c r="AV155" s="416">
        <v>0</v>
      </c>
      <c r="AW155" s="416">
        <v>0</v>
      </c>
      <c r="AX155" s="416">
        <v>0</v>
      </c>
      <c r="AY155" s="416">
        <v>0</v>
      </c>
      <c r="AZ155" s="416">
        <v>0</v>
      </c>
    </row>
    <row r="156" spans="1:52" x14ac:dyDescent="0.25">
      <c r="A156" s="415" t="str">
        <f t="shared" si="2"/>
        <v>SA-487 Gr.8</v>
      </c>
      <c r="B156" s="415">
        <v>151</v>
      </c>
      <c r="C156" s="415" t="s">
        <v>3548</v>
      </c>
      <c r="D156" s="415" t="s">
        <v>2739</v>
      </c>
      <c r="E156" s="415" t="s">
        <v>2247</v>
      </c>
      <c r="F156" s="415">
        <v>8</v>
      </c>
      <c r="G156" s="415" t="s">
        <v>2966</v>
      </c>
      <c r="H156" s="415" t="s">
        <v>12</v>
      </c>
      <c r="I156" s="415">
        <v>0</v>
      </c>
      <c r="J156" s="415" t="s">
        <v>2967</v>
      </c>
      <c r="K156" s="415">
        <v>1</v>
      </c>
      <c r="L156" s="415">
        <v>24</v>
      </c>
      <c r="M156" s="415">
        <v>585</v>
      </c>
      <c r="N156" s="415">
        <v>380</v>
      </c>
      <c r="O156" s="415">
        <v>538</v>
      </c>
      <c r="P156" s="415" t="s">
        <v>2819</v>
      </c>
      <c r="Q156" s="415" t="s">
        <v>3549</v>
      </c>
      <c r="R156" s="415">
        <v>24</v>
      </c>
      <c r="S156" s="415">
        <v>244</v>
      </c>
      <c r="T156" s="416">
        <v>244</v>
      </c>
      <c r="U156" s="416">
        <v>240</v>
      </c>
      <c r="V156" s="416">
        <v>232</v>
      </c>
      <c r="W156" s="416">
        <v>229</v>
      </c>
      <c r="X156" s="416">
        <v>226</v>
      </c>
      <c r="Y156" s="416">
        <v>224</v>
      </c>
      <c r="Z156" s="416">
        <v>222</v>
      </c>
      <c r="AA156" s="416">
        <v>220</v>
      </c>
      <c r="AB156" s="416">
        <v>218</v>
      </c>
      <c r="AC156" s="416">
        <v>217</v>
      </c>
      <c r="AD156" s="416">
        <v>215</v>
      </c>
      <c r="AE156" s="416">
        <v>213</v>
      </c>
      <c r="AF156" s="416">
        <v>210</v>
      </c>
      <c r="AG156" s="416">
        <v>208</v>
      </c>
      <c r="AH156" s="416">
        <v>205</v>
      </c>
      <c r="AI156" s="416">
        <v>202</v>
      </c>
      <c r="AJ156" s="416">
        <v>197</v>
      </c>
      <c r="AK156" s="416">
        <v>119</v>
      </c>
      <c r="AL156" s="416">
        <v>24</v>
      </c>
      <c r="AM156" s="416">
        <v>88.4</v>
      </c>
      <c r="AN156" s="416">
        <v>64</v>
      </c>
      <c r="AO156" s="416">
        <v>44.6</v>
      </c>
      <c r="AP156" s="416">
        <v>0</v>
      </c>
      <c r="AQ156" s="416">
        <v>0</v>
      </c>
      <c r="AR156" s="416">
        <v>0</v>
      </c>
      <c r="AS156" s="416">
        <v>0</v>
      </c>
      <c r="AT156" s="416">
        <v>0</v>
      </c>
      <c r="AU156" s="416">
        <v>0</v>
      </c>
      <c r="AV156" s="416">
        <v>0</v>
      </c>
      <c r="AW156" s="416">
        <v>0</v>
      </c>
      <c r="AX156" s="416">
        <v>0</v>
      </c>
      <c r="AY156" s="416">
        <v>0</v>
      </c>
      <c r="AZ156" s="416">
        <v>0</v>
      </c>
    </row>
    <row r="157" spans="1:52" x14ac:dyDescent="0.25">
      <c r="A157" s="415" t="str">
        <f t="shared" si="2"/>
        <v>SA-508 Gr.22</v>
      </c>
      <c r="B157" s="415">
        <v>152</v>
      </c>
      <c r="C157" s="415" t="s">
        <v>3548</v>
      </c>
      <c r="D157" s="415" t="s">
        <v>2737</v>
      </c>
      <c r="E157" s="415" t="s">
        <v>2249</v>
      </c>
      <c r="F157" s="415">
        <v>22</v>
      </c>
      <c r="G157" s="415" t="s">
        <v>2955</v>
      </c>
      <c r="H157" s="415">
        <v>3</v>
      </c>
      <c r="I157" s="415">
        <v>0</v>
      </c>
      <c r="J157" s="415" t="s">
        <v>2967</v>
      </c>
      <c r="K157" s="415">
        <v>1</v>
      </c>
      <c r="L157" s="415">
        <v>25</v>
      </c>
      <c r="M157" s="415">
        <v>586</v>
      </c>
      <c r="N157" s="415">
        <v>380</v>
      </c>
      <c r="O157" s="415">
        <v>454</v>
      </c>
      <c r="P157" s="415" t="s">
        <v>2699</v>
      </c>
      <c r="Q157" s="415" t="s">
        <v>3428</v>
      </c>
      <c r="R157" s="415">
        <v>25</v>
      </c>
      <c r="S157" s="415">
        <v>244</v>
      </c>
      <c r="T157" s="416">
        <v>244</v>
      </c>
      <c r="U157" s="416">
        <v>240</v>
      </c>
      <c r="V157" s="416">
        <v>232</v>
      </c>
      <c r="W157" s="416">
        <v>229</v>
      </c>
      <c r="X157" s="416">
        <v>226</v>
      </c>
      <c r="Y157" s="416">
        <v>224</v>
      </c>
      <c r="Z157" s="416">
        <v>222</v>
      </c>
      <c r="AA157" s="416">
        <v>220</v>
      </c>
      <c r="AB157" s="416">
        <v>218</v>
      </c>
      <c r="AC157" s="416">
        <v>217</v>
      </c>
      <c r="AD157" s="416">
        <v>215</v>
      </c>
      <c r="AE157" s="416">
        <v>213</v>
      </c>
      <c r="AF157" s="416">
        <v>210</v>
      </c>
      <c r="AG157" s="416">
        <v>208</v>
      </c>
      <c r="AH157" s="416">
        <v>205</v>
      </c>
      <c r="AI157" s="416">
        <v>202</v>
      </c>
      <c r="AJ157" s="416">
        <v>197</v>
      </c>
      <c r="AK157" s="416">
        <v>119</v>
      </c>
      <c r="AL157" s="416">
        <v>25</v>
      </c>
      <c r="AM157" s="416">
        <v>0</v>
      </c>
      <c r="AN157" s="416">
        <v>0</v>
      </c>
      <c r="AO157" s="416">
        <v>0</v>
      </c>
      <c r="AP157" s="416">
        <v>0</v>
      </c>
      <c r="AQ157" s="416">
        <v>0</v>
      </c>
      <c r="AR157" s="416">
        <v>0</v>
      </c>
      <c r="AS157" s="416">
        <v>0</v>
      </c>
      <c r="AT157" s="416">
        <v>0</v>
      </c>
      <c r="AU157" s="416">
        <v>0</v>
      </c>
      <c r="AV157" s="416">
        <v>0</v>
      </c>
      <c r="AW157" s="416">
        <v>0</v>
      </c>
      <c r="AX157" s="416">
        <v>0</v>
      </c>
      <c r="AY157" s="416">
        <v>0</v>
      </c>
      <c r="AZ157" s="416">
        <v>0</v>
      </c>
    </row>
    <row r="158" spans="1:52" x14ac:dyDescent="0.25">
      <c r="A158" s="415" t="str">
        <f t="shared" si="2"/>
        <v>SA-541 Gr.22</v>
      </c>
      <c r="B158" s="415">
        <v>153</v>
      </c>
      <c r="C158" s="415" t="s">
        <v>3548</v>
      </c>
      <c r="D158" s="415" t="s">
        <v>2737</v>
      </c>
      <c r="E158" s="415" t="s">
        <v>2263</v>
      </c>
      <c r="F158" s="415">
        <v>22</v>
      </c>
      <c r="G158" s="415" t="s">
        <v>2964</v>
      </c>
      <c r="H158" s="415">
        <v>3</v>
      </c>
      <c r="I158" s="415">
        <v>0</v>
      </c>
      <c r="J158" s="415" t="s">
        <v>2967</v>
      </c>
      <c r="K158" s="415">
        <v>1</v>
      </c>
      <c r="L158" s="415">
        <v>26</v>
      </c>
      <c r="M158" s="415">
        <v>585</v>
      </c>
      <c r="N158" s="415">
        <v>380</v>
      </c>
      <c r="O158" s="415">
        <v>454</v>
      </c>
      <c r="P158" s="415" t="s">
        <v>2699</v>
      </c>
      <c r="Q158" s="415" t="s">
        <v>3428</v>
      </c>
      <c r="R158" s="415">
        <v>26</v>
      </c>
      <c r="S158" s="415">
        <v>244</v>
      </c>
      <c r="T158" s="416">
        <v>244</v>
      </c>
      <c r="U158" s="416">
        <v>240</v>
      </c>
      <c r="V158" s="416">
        <v>232</v>
      </c>
      <c r="W158" s="416">
        <v>229</v>
      </c>
      <c r="X158" s="416">
        <v>226</v>
      </c>
      <c r="Y158" s="416">
        <v>224</v>
      </c>
      <c r="Z158" s="416">
        <v>222</v>
      </c>
      <c r="AA158" s="416">
        <v>220</v>
      </c>
      <c r="AB158" s="416">
        <v>218</v>
      </c>
      <c r="AC158" s="416">
        <v>217</v>
      </c>
      <c r="AD158" s="416">
        <v>215</v>
      </c>
      <c r="AE158" s="416">
        <v>213</v>
      </c>
      <c r="AF158" s="416">
        <v>210</v>
      </c>
      <c r="AG158" s="416">
        <v>208</v>
      </c>
      <c r="AH158" s="416">
        <v>205</v>
      </c>
      <c r="AI158" s="416">
        <v>202</v>
      </c>
      <c r="AJ158" s="416">
        <v>197</v>
      </c>
      <c r="AK158" s="416">
        <v>119</v>
      </c>
      <c r="AL158" s="416">
        <v>26</v>
      </c>
      <c r="AM158" s="416">
        <v>0</v>
      </c>
      <c r="AN158" s="416">
        <v>0</v>
      </c>
      <c r="AO158" s="416">
        <v>0</v>
      </c>
      <c r="AP158" s="416">
        <v>0</v>
      </c>
      <c r="AQ158" s="416">
        <v>0</v>
      </c>
      <c r="AR158" s="416">
        <v>0</v>
      </c>
      <c r="AS158" s="416">
        <v>0</v>
      </c>
      <c r="AT158" s="416">
        <v>0</v>
      </c>
      <c r="AU158" s="416">
        <v>0</v>
      </c>
      <c r="AV158" s="416">
        <v>0</v>
      </c>
      <c r="AW158" s="416">
        <v>0</v>
      </c>
      <c r="AX158" s="416">
        <v>0</v>
      </c>
      <c r="AY158" s="416">
        <v>0</v>
      </c>
      <c r="AZ158" s="416">
        <v>0</v>
      </c>
    </row>
    <row r="159" spans="1:52" x14ac:dyDescent="0.25">
      <c r="A159" s="415" t="str">
        <f t="shared" si="2"/>
        <v>SA-542 Gr.B</v>
      </c>
      <c r="B159" s="415">
        <v>154</v>
      </c>
      <c r="C159" s="415" t="s">
        <v>3548</v>
      </c>
      <c r="D159" s="415" t="s">
        <v>2684</v>
      </c>
      <c r="E159" s="415" t="s">
        <v>2265</v>
      </c>
      <c r="F159" s="415" t="s">
        <v>1864</v>
      </c>
      <c r="G159" s="415" t="s">
        <v>2955</v>
      </c>
      <c r="H159" s="415">
        <v>4</v>
      </c>
      <c r="I159" s="415">
        <v>0</v>
      </c>
      <c r="J159" s="415" t="s">
        <v>2967</v>
      </c>
      <c r="K159" s="415">
        <v>1</v>
      </c>
      <c r="L159" s="415">
        <v>27</v>
      </c>
      <c r="M159" s="415">
        <v>585</v>
      </c>
      <c r="N159" s="415">
        <v>380</v>
      </c>
      <c r="O159" s="415">
        <v>454</v>
      </c>
      <c r="P159" s="415" t="s">
        <v>2699</v>
      </c>
      <c r="Q159" s="415" t="s">
        <v>3428</v>
      </c>
      <c r="R159" s="415">
        <v>27</v>
      </c>
      <c r="S159" s="415">
        <v>244</v>
      </c>
      <c r="T159" s="416">
        <v>244</v>
      </c>
      <c r="U159" s="416">
        <v>240</v>
      </c>
      <c r="V159" s="416">
        <v>232</v>
      </c>
      <c r="W159" s="416">
        <v>229</v>
      </c>
      <c r="X159" s="416">
        <v>226</v>
      </c>
      <c r="Y159" s="416">
        <v>224</v>
      </c>
      <c r="Z159" s="416">
        <v>222</v>
      </c>
      <c r="AA159" s="416">
        <v>220</v>
      </c>
      <c r="AB159" s="416">
        <v>218</v>
      </c>
      <c r="AC159" s="416">
        <v>217</v>
      </c>
      <c r="AD159" s="416">
        <v>215</v>
      </c>
      <c r="AE159" s="416">
        <v>213</v>
      </c>
      <c r="AF159" s="416">
        <v>210</v>
      </c>
      <c r="AG159" s="416">
        <v>208</v>
      </c>
      <c r="AH159" s="416">
        <v>205</v>
      </c>
      <c r="AI159" s="416">
        <v>202</v>
      </c>
      <c r="AJ159" s="416">
        <v>197</v>
      </c>
      <c r="AK159" s="416">
        <v>119</v>
      </c>
      <c r="AL159" s="416">
        <v>27</v>
      </c>
      <c r="AM159" s="416">
        <v>0</v>
      </c>
      <c r="AN159" s="416">
        <v>0</v>
      </c>
      <c r="AO159" s="416">
        <v>0</v>
      </c>
      <c r="AP159" s="416">
        <v>0</v>
      </c>
      <c r="AQ159" s="416">
        <v>0</v>
      </c>
      <c r="AR159" s="416">
        <v>0</v>
      </c>
      <c r="AS159" s="416">
        <v>0</v>
      </c>
      <c r="AT159" s="416">
        <v>0</v>
      </c>
      <c r="AU159" s="416">
        <v>0</v>
      </c>
      <c r="AV159" s="416">
        <v>0</v>
      </c>
      <c r="AW159" s="416">
        <v>0</v>
      </c>
      <c r="AX159" s="416">
        <v>0</v>
      </c>
      <c r="AY159" s="416">
        <v>0</v>
      </c>
      <c r="AZ159" s="416">
        <v>0</v>
      </c>
    </row>
    <row r="160" spans="1:52" x14ac:dyDescent="0.25">
      <c r="A160" s="415" t="str">
        <f t="shared" si="2"/>
        <v>SA-182 Gr.F22V</v>
      </c>
      <c r="B160" s="415">
        <v>155</v>
      </c>
      <c r="C160" s="415" t="s">
        <v>3551</v>
      </c>
      <c r="D160" s="415" t="s">
        <v>2737</v>
      </c>
      <c r="E160" s="415" t="s">
        <v>2188</v>
      </c>
      <c r="F160" s="415" t="s">
        <v>2431</v>
      </c>
      <c r="G160" s="415" t="s">
        <v>2970</v>
      </c>
      <c r="H160" s="415">
        <v>0</v>
      </c>
      <c r="I160" s="415">
        <v>0</v>
      </c>
      <c r="J160" s="415" t="s">
        <v>2967</v>
      </c>
      <c r="K160" s="415">
        <v>1</v>
      </c>
      <c r="L160" s="415">
        <v>28</v>
      </c>
      <c r="M160" s="415">
        <v>585</v>
      </c>
      <c r="N160" s="415">
        <v>415</v>
      </c>
      <c r="O160" s="415">
        <v>482</v>
      </c>
      <c r="P160" s="415" t="s">
        <v>2699</v>
      </c>
      <c r="Q160" s="415" t="s">
        <v>3552</v>
      </c>
      <c r="R160" s="415">
        <v>28</v>
      </c>
      <c r="S160" s="415">
        <v>244</v>
      </c>
      <c r="T160" s="416">
        <v>244</v>
      </c>
      <c r="U160" s="416">
        <v>244</v>
      </c>
      <c r="V160" s="416">
        <v>244</v>
      </c>
      <c r="W160" s="416">
        <v>244</v>
      </c>
      <c r="X160" s="416">
        <v>244</v>
      </c>
      <c r="Y160" s="416">
        <v>244</v>
      </c>
      <c r="Z160" s="416">
        <v>244</v>
      </c>
      <c r="AA160" s="416">
        <v>244</v>
      </c>
      <c r="AB160" s="416">
        <v>244</v>
      </c>
      <c r="AC160" s="416">
        <v>244</v>
      </c>
      <c r="AD160" s="416">
        <v>244</v>
      </c>
      <c r="AE160" s="416">
        <v>244</v>
      </c>
      <c r="AF160" s="416">
        <v>244</v>
      </c>
      <c r="AG160" s="416">
        <v>240</v>
      </c>
      <c r="AH160" s="416">
        <v>235</v>
      </c>
      <c r="AI160" s="416">
        <v>231</v>
      </c>
      <c r="AJ160" s="416">
        <v>205</v>
      </c>
      <c r="AK160" s="416">
        <v>173</v>
      </c>
      <c r="AL160" s="416">
        <v>28</v>
      </c>
      <c r="AM160" s="416">
        <v>143</v>
      </c>
      <c r="AN160" s="416">
        <v>0</v>
      </c>
      <c r="AO160" s="416">
        <v>0</v>
      </c>
      <c r="AP160" s="416">
        <v>0</v>
      </c>
      <c r="AQ160" s="416">
        <v>0</v>
      </c>
      <c r="AR160" s="416">
        <v>0</v>
      </c>
      <c r="AS160" s="416">
        <v>0</v>
      </c>
      <c r="AT160" s="416">
        <v>0</v>
      </c>
      <c r="AU160" s="416">
        <v>0</v>
      </c>
      <c r="AV160" s="416">
        <v>0</v>
      </c>
      <c r="AW160" s="416">
        <v>0</v>
      </c>
      <c r="AX160" s="416">
        <v>0</v>
      </c>
      <c r="AY160" s="416">
        <v>0</v>
      </c>
      <c r="AZ160" s="416">
        <v>0</v>
      </c>
    </row>
    <row r="161" spans="1:52" x14ac:dyDescent="0.25">
      <c r="A161" s="415" t="str">
        <f t="shared" si="2"/>
        <v>SA-336 Gr.F22V</v>
      </c>
      <c r="B161" s="415">
        <v>156</v>
      </c>
      <c r="C161" s="415" t="s">
        <v>3551</v>
      </c>
      <c r="D161" s="415" t="s">
        <v>2737</v>
      </c>
      <c r="E161" s="415" t="s">
        <v>2211</v>
      </c>
      <c r="F161" s="415" t="s">
        <v>2431</v>
      </c>
      <c r="G161" s="415" t="s">
        <v>2970</v>
      </c>
      <c r="H161" s="415">
        <v>0</v>
      </c>
      <c r="I161" s="415">
        <v>0</v>
      </c>
      <c r="J161" s="415" t="s">
        <v>2967</v>
      </c>
      <c r="K161" s="415">
        <v>1</v>
      </c>
      <c r="L161" s="415">
        <v>29</v>
      </c>
      <c r="M161" s="415">
        <v>585</v>
      </c>
      <c r="N161" s="415">
        <v>415</v>
      </c>
      <c r="O161" s="415">
        <v>482</v>
      </c>
      <c r="P161" s="415" t="s">
        <v>2699</v>
      </c>
      <c r="Q161" s="415" t="s">
        <v>3552</v>
      </c>
      <c r="R161" s="415">
        <v>29</v>
      </c>
      <c r="S161" s="415">
        <v>244</v>
      </c>
      <c r="T161" s="416">
        <v>244</v>
      </c>
      <c r="U161" s="416">
        <v>244</v>
      </c>
      <c r="V161" s="416">
        <v>244</v>
      </c>
      <c r="W161" s="416">
        <v>244</v>
      </c>
      <c r="X161" s="416">
        <v>244</v>
      </c>
      <c r="Y161" s="416">
        <v>244</v>
      </c>
      <c r="Z161" s="416">
        <v>244</v>
      </c>
      <c r="AA161" s="416">
        <v>244</v>
      </c>
      <c r="AB161" s="416">
        <v>244</v>
      </c>
      <c r="AC161" s="416">
        <v>244</v>
      </c>
      <c r="AD161" s="416">
        <v>244</v>
      </c>
      <c r="AE161" s="416">
        <v>244</v>
      </c>
      <c r="AF161" s="416">
        <v>244</v>
      </c>
      <c r="AG161" s="416">
        <v>240</v>
      </c>
      <c r="AH161" s="416">
        <v>235</v>
      </c>
      <c r="AI161" s="416">
        <v>231</v>
      </c>
      <c r="AJ161" s="416">
        <v>205</v>
      </c>
      <c r="AK161" s="416">
        <v>173</v>
      </c>
      <c r="AL161" s="416">
        <v>29</v>
      </c>
      <c r="AM161" s="416">
        <v>143</v>
      </c>
      <c r="AN161" s="416">
        <v>0</v>
      </c>
      <c r="AO161" s="416">
        <v>0</v>
      </c>
      <c r="AP161" s="416">
        <v>0</v>
      </c>
      <c r="AQ161" s="416">
        <v>0</v>
      </c>
      <c r="AR161" s="416">
        <v>0</v>
      </c>
      <c r="AS161" s="416">
        <v>0</v>
      </c>
      <c r="AT161" s="416">
        <v>0</v>
      </c>
      <c r="AU161" s="416">
        <v>0</v>
      </c>
      <c r="AV161" s="416">
        <v>0</v>
      </c>
      <c r="AW161" s="416">
        <v>0</v>
      </c>
      <c r="AX161" s="416">
        <v>0</v>
      </c>
      <c r="AY161" s="416">
        <v>0</v>
      </c>
      <c r="AZ161" s="416">
        <v>0</v>
      </c>
    </row>
    <row r="162" spans="1:52" x14ac:dyDescent="0.25">
      <c r="A162" s="415" t="str">
        <f t="shared" si="2"/>
        <v>SA-541 Gr.22V</v>
      </c>
      <c r="B162" s="415">
        <v>157</v>
      </c>
      <c r="C162" s="415" t="s">
        <v>3551</v>
      </c>
      <c r="D162" s="415" t="s">
        <v>2737</v>
      </c>
      <c r="E162" s="415" t="s">
        <v>2263</v>
      </c>
      <c r="F162" s="415" t="s">
        <v>2238</v>
      </c>
      <c r="G162" s="415" t="s">
        <v>2970</v>
      </c>
      <c r="H162" s="415">
        <v>0</v>
      </c>
      <c r="I162" s="415">
        <v>0</v>
      </c>
      <c r="J162" s="415" t="s">
        <v>2967</v>
      </c>
      <c r="K162" s="415">
        <v>1</v>
      </c>
      <c r="L162" s="415">
        <v>30</v>
      </c>
      <c r="M162" s="415">
        <v>585</v>
      </c>
      <c r="N162" s="415">
        <v>415</v>
      </c>
      <c r="O162" s="415">
        <v>482</v>
      </c>
      <c r="P162" s="415" t="s">
        <v>2699</v>
      </c>
      <c r="Q162" s="415" t="s">
        <v>3552</v>
      </c>
      <c r="R162" s="415">
        <v>30</v>
      </c>
      <c r="S162" s="415">
        <v>244</v>
      </c>
      <c r="T162" s="416">
        <v>244</v>
      </c>
      <c r="U162" s="416">
        <v>244</v>
      </c>
      <c r="V162" s="416">
        <v>244</v>
      </c>
      <c r="W162" s="416">
        <v>244</v>
      </c>
      <c r="X162" s="416">
        <v>244</v>
      </c>
      <c r="Y162" s="416">
        <v>244</v>
      </c>
      <c r="Z162" s="416">
        <v>244</v>
      </c>
      <c r="AA162" s="416">
        <v>244</v>
      </c>
      <c r="AB162" s="416">
        <v>244</v>
      </c>
      <c r="AC162" s="416">
        <v>244</v>
      </c>
      <c r="AD162" s="416">
        <v>244</v>
      </c>
      <c r="AE162" s="416">
        <v>244</v>
      </c>
      <c r="AF162" s="416">
        <v>244</v>
      </c>
      <c r="AG162" s="416">
        <v>240</v>
      </c>
      <c r="AH162" s="416">
        <v>235</v>
      </c>
      <c r="AI162" s="416">
        <v>231</v>
      </c>
      <c r="AJ162" s="416">
        <v>205</v>
      </c>
      <c r="AK162" s="416">
        <v>173</v>
      </c>
      <c r="AL162" s="416">
        <v>30</v>
      </c>
      <c r="AM162" s="416">
        <v>143</v>
      </c>
      <c r="AN162" s="416">
        <v>0</v>
      </c>
      <c r="AO162" s="416">
        <v>0</v>
      </c>
      <c r="AP162" s="416">
        <v>0</v>
      </c>
      <c r="AQ162" s="416">
        <v>0</v>
      </c>
      <c r="AR162" s="416">
        <v>0</v>
      </c>
      <c r="AS162" s="416">
        <v>0</v>
      </c>
      <c r="AT162" s="416">
        <v>0</v>
      </c>
      <c r="AU162" s="416">
        <v>0</v>
      </c>
      <c r="AV162" s="416">
        <v>0</v>
      </c>
      <c r="AW162" s="416">
        <v>0</v>
      </c>
      <c r="AX162" s="416">
        <v>0</v>
      </c>
      <c r="AY162" s="416">
        <v>0</v>
      </c>
      <c r="AZ162" s="416">
        <v>0</v>
      </c>
    </row>
    <row r="163" spans="1:52" x14ac:dyDescent="0.25">
      <c r="A163" s="415" t="str">
        <f t="shared" si="2"/>
        <v>SA-542 Gr.D</v>
      </c>
      <c r="B163" s="415">
        <v>158</v>
      </c>
      <c r="C163" s="415" t="s">
        <v>3551</v>
      </c>
      <c r="D163" s="415" t="s">
        <v>2684</v>
      </c>
      <c r="E163" s="415" t="s">
        <v>2265</v>
      </c>
      <c r="F163" s="415" t="s">
        <v>2414</v>
      </c>
      <c r="G163" s="415" t="s">
        <v>2970</v>
      </c>
      <c r="H163" s="415" t="s">
        <v>2971</v>
      </c>
      <c r="I163" s="415">
        <v>0</v>
      </c>
      <c r="J163" s="415" t="s">
        <v>2967</v>
      </c>
      <c r="K163" s="415">
        <v>1</v>
      </c>
      <c r="L163" s="415">
        <v>31</v>
      </c>
      <c r="M163" s="415">
        <v>585</v>
      </c>
      <c r="N163" s="415">
        <v>415</v>
      </c>
      <c r="O163" s="415">
        <v>482</v>
      </c>
      <c r="P163" s="415" t="s">
        <v>2699</v>
      </c>
      <c r="Q163" s="415" t="s">
        <v>3552</v>
      </c>
      <c r="R163" s="415">
        <v>31</v>
      </c>
      <c r="S163" s="415">
        <v>244</v>
      </c>
      <c r="T163" s="416">
        <v>244</v>
      </c>
      <c r="U163" s="416">
        <v>244</v>
      </c>
      <c r="V163" s="416">
        <v>244</v>
      </c>
      <c r="W163" s="416">
        <v>244</v>
      </c>
      <c r="X163" s="416">
        <v>244</v>
      </c>
      <c r="Y163" s="416">
        <v>244</v>
      </c>
      <c r="Z163" s="416">
        <v>244</v>
      </c>
      <c r="AA163" s="416">
        <v>244</v>
      </c>
      <c r="AB163" s="416">
        <v>244</v>
      </c>
      <c r="AC163" s="416">
        <v>244</v>
      </c>
      <c r="AD163" s="416">
        <v>244</v>
      </c>
      <c r="AE163" s="416">
        <v>244</v>
      </c>
      <c r="AF163" s="416">
        <v>244</v>
      </c>
      <c r="AG163" s="416">
        <v>240</v>
      </c>
      <c r="AH163" s="416">
        <v>235</v>
      </c>
      <c r="AI163" s="416">
        <v>231</v>
      </c>
      <c r="AJ163" s="416">
        <v>205</v>
      </c>
      <c r="AK163" s="416">
        <v>173</v>
      </c>
      <c r="AL163" s="416">
        <v>31</v>
      </c>
      <c r="AM163" s="416">
        <v>143</v>
      </c>
      <c r="AN163" s="416">
        <v>0</v>
      </c>
      <c r="AO163" s="416">
        <v>0</v>
      </c>
      <c r="AP163" s="416">
        <v>0</v>
      </c>
      <c r="AQ163" s="416">
        <v>0</v>
      </c>
      <c r="AR163" s="416">
        <v>0</v>
      </c>
      <c r="AS163" s="416">
        <v>0</v>
      </c>
      <c r="AT163" s="416">
        <v>0</v>
      </c>
      <c r="AU163" s="416">
        <v>0</v>
      </c>
      <c r="AV163" s="416">
        <v>0</v>
      </c>
      <c r="AW163" s="416">
        <v>0</v>
      </c>
      <c r="AX163" s="416">
        <v>0</v>
      </c>
      <c r="AY163" s="416">
        <v>0</v>
      </c>
      <c r="AZ163" s="416">
        <v>0</v>
      </c>
    </row>
    <row r="164" spans="1:52" x14ac:dyDescent="0.25">
      <c r="A164" s="415" t="str">
        <f t="shared" si="2"/>
        <v>SA-832 Gr.22V</v>
      </c>
      <c r="B164" s="415">
        <v>159</v>
      </c>
      <c r="C164" s="415" t="s">
        <v>3551</v>
      </c>
      <c r="D164" s="415" t="s">
        <v>2684</v>
      </c>
      <c r="E164" s="415" t="s">
        <v>2334</v>
      </c>
      <c r="F164" s="415" t="s">
        <v>2238</v>
      </c>
      <c r="G164" s="415" t="s">
        <v>2970</v>
      </c>
      <c r="H164" s="415">
        <v>0</v>
      </c>
      <c r="I164" s="415">
        <v>0</v>
      </c>
      <c r="J164" s="415" t="s">
        <v>2967</v>
      </c>
      <c r="K164" s="415">
        <v>1</v>
      </c>
      <c r="L164" s="415">
        <v>32</v>
      </c>
      <c r="M164" s="415">
        <v>585</v>
      </c>
      <c r="N164" s="415">
        <v>415</v>
      </c>
      <c r="O164" s="415">
        <v>482</v>
      </c>
      <c r="P164" s="415" t="s">
        <v>2699</v>
      </c>
      <c r="Q164" s="415" t="s">
        <v>3552</v>
      </c>
      <c r="R164" s="415">
        <v>32</v>
      </c>
      <c r="S164" s="415">
        <v>244</v>
      </c>
      <c r="T164" s="416">
        <v>244</v>
      </c>
      <c r="U164" s="416">
        <v>244</v>
      </c>
      <c r="V164" s="416">
        <v>244</v>
      </c>
      <c r="W164" s="416">
        <v>244</v>
      </c>
      <c r="X164" s="416">
        <v>244</v>
      </c>
      <c r="Y164" s="416">
        <v>244</v>
      </c>
      <c r="Z164" s="416">
        <v>244</v>
      </c>
      <c r="AA164" s="416">
        <v>244</v>
      </c>
      <c r="AB164" s="416">
        <v>244</v>
      </c>
      <c r="AC164" s="416">
        <v>244</v>
      </c>
      <c r="AD164" s="416">
        <v>244</v>
      </c>
      <c r="AE164" s="416">
        <v>244</v>
      </c>
      <c r="AF164" s="416">
        <v>244</v>
      </c>
      <c r="AG164" s="416">
        <v>240</v>
      </c>
      <c r="AH164" s="416">
        <v>235</v>
      </c>
      <c r="AI164" s="416">
        <v>231</v>
      </c>
      <c r="AJ164" s="416">
        <v>205</v>
      </c>
      <c r="AK164" s="416">
        <v>173</v>
      </c>
      <c r="AL164" s="416">
        <v>32</v>
      </c>
      <c r="AM164" s="416">
        <v>143</v>
      </c>
      <c r="AN164" s="416">
        <v>0</v>
      </c>
      <c r="AO164" s="416">
        <v>0</v>
      </c>
      <c r="AP164" s="416">
        <v>0</v>
      </c>
      <c r="AQ164" s="416">
        <v>0</v>
      </c>
      <c r="AR164" s="416">
        <v>0</v>
      </c>
      <c r="AS164" s="416">
        <v>0</v>
      </c>
      <c r="AT164" s="416">
        <v>0</v>
      </c>
      <c r="AU164" s="416">
        <v>0</v>
      </c>
      <c r="AV164" s="416">
        <v>0</v>
      </c>
      <c r="AW164" s="416">
        <v>0</v>
      </c>
      <c r="AX164" s="416">
        <v>0</v>
      </c>
      <c r="AY164" s="416">
        <v>0</v>
      </c>
      <c r="AZ164" s="416">
        <v>0</v>
      </c>
    </row>
    <row r="165" spans="1:52" x14ac:dyDescent="0.25">
      <c r="A165" s="415" t="str">
        <f t="shared" si="2"/>
        <v>SA-213 Gr.T21</v>
      </c>
      <c r="B165" s="415">
        <v>160</v>
      </c>
      <c r="C165" s="415" t="s">
        <v>2972</v>
      </c>
      <c r="D165" s="415" t="s">
        <v>2693</v>
      </c>
      <c r="E165" s="415" t="s">
        <v>2195</v>
      </c>
      <c r="F165" s="415" t="s">
        <v>2544</v>
      </c>
      <c r="G165" s="415" t="s">
        <v>2973</v>
      </c>
      <c r="H165" s="415">
        <v>0</v>
      </c>
      <c r="I165" s="415">
        <v>0</v>
      </c>
      <c r="J165" s="415" t="s">
        <v>2956</v>
      </c>
      <c r="K165" s="415">
        <v>1</v>
      </c>
      <c r="L165" s="415">
        <v>33</v>
      </c>
      <c r="M165" s="415">
        <v>415</v>
      </c>
      <c r="N165" s="415">
        <v>205</v>
      </c>
      <c r="O165" s="415">
        <v>649</v>
      </c>
      <c r="P165" s="415" t="s">
        <v>2699</v>
      </c>
      <c r="Q165" s="415" t="s">
        <v>3553</v>
      </c>
      <c r="R165" s="415">
        <v>33</v>
      </c>
      <c r="S165" s="415">
        <v>138</v>
      </c>
      <c r="T165" s="416">
        <v>138</v>
      </c>
      <c r="U165" s="416">
        <v>132</v>
      </c>
      <c r="V165" s="416">
        <v>128</v>
      </c>
      <c r="W165" s="416">
        <v>126</v>
      </c>
      <c r="X165" s="416">
        <v>125</v>
      </c>
      <c r="Y165" s="416">
        <v>124</v>
      </c>
      <c r="Z165" s="416">
        <v>124</v>
      </c>
      <c r="AA165" s="416">
        <v>124</v>
      </c>
      <c r="AB165" s="416">
        <v>124</v>
      </c>
      <c r="AC165" s="416">
        <v>124</v>
      </c>
      <c r="AD165" s="416">
        <v>124</v>
      </c>
      <c r="AE165" s="416">
        <v>124</v>
      </c>
      <c r="AF165" s="416">
        <v>124</v>
      </c>
      <c r="AG165" s="416">
        <v>124</v>
      </c>
      <c r="AH165" s="416">
        <v>123</v>
      </c>
      <c r="AI165" s="416">
        <v>122</v>
      </c>
      <c r="AJ165" s="416">
        <v>121</v>
      </c>
      <c r="AK165" s="416">
        <v>89.2</v>
      </c>
      <c r="AL165" s="416">
        <v>33</v>
      </c>
      <c r="AM165" s="416">
        <v>68.8</v>
      </c>
      <c r="AN165" s="416">
        <v>54.2</v>
      </c>
      <c r="AO165" s="416">
        <v>43.4</v>
      </c>
      <c r="AP165" s="416">
        <v>34</v>
      </c>
      <c r="AQ165" s="416">
        <v>25.1</v>
      </c>
      <c r="AR165" s="416">
        <v>17.100000000000001</v>
      </c>
      <c r="AS165" s="416">
        <v>10.1</v>
      </c>
      <c r="AT165" s="416">
        <v>0</v>
      </c>
      <c r="AU165" s="416">
        <v>0</v>
      </c>
      <c r="AV165" s="416">
        <v>0</v>
      </c>
      <c r="AW165" s="416">
        <v>0</v>
      </c>
      <c r="AX165" s="416">
        <v>0</v>
      </c>
      <c r="AY165" s="416">
        <v>0</v>
      </c>
      <c r="AZ165" s="416">
        <v>0</v>
      </c>
    </row>
    <row r="166" spans="1:52" x14ac:dyDescent="0.25">
      <c r="A166" s="415" t="str">
        <f t="shared" si="2"/>
        <v>SA-335 Gr.P21</v>
      </c>
      <c r="B166" s="415">
        <v>161</v>
      </c>
      <c r="C166" s="415" t="s">
        <v>2972</v>
      </c>
      <c r="D166" s="415" t="s">
        <v>2703</v>
      </c>
      <c r="E166" s="415" t="s">
        <v>2210</v>
      </c>
      <c r="F166" s="415" t="s">
        <v>2514</v>
      </c>
      <c r="G166" s="415" t="s">
        <v>2973</v>
      </c>
      <c r="H166" s="415">
        <v>0</v>
      </c>
      <c r="I166" s="415">
        <v>0</v>
      </c>
      <c r="J166" s="415" t="s">
        <v>2956</v>
      </c>
      <c r="K166" s="415">
        <v>1</v>
      </c>
      <c r="L166" s="415">
        <v>34</v>
      </c>
      <c r="M166" s="415">
        <v>415</v>
      </c>
      <c r="N166" s="415">
        <v>205</v>
      </c>
      <c r="O166" s="415">
        <v>649</v>
      </c>
      <c r="P166" s="415" t="s">
        <v>2699</v>
      </c>
      <c r="Q166" s="415" t="s">
        <v>3553</v>
      </c>
      <c r="R166" s="415">
        <v>34</v>
      </c>
      <c r="S166" s="415">
        <v>138</v>
      </c>
      <c r="T166" s="416">
        <v>138</v>
      </c>
      <c r="U166" s="416">
        <v>132</v>
      </c>
      <c r="V166" s="416">
        <v>128</v>
      </c>
      <c r="W166" s="416">
        <v>126</v>
      </c>
      <c r="X166" s="416">
        <v>125</v>
      </c>
      <c r="Y166" s="416">
        <v>124</v>
      </c>
      <c r="Z166" s="416">
        <v>124</v>
      </c>
      <c r="AA166" s="416">
        <v>124</v>
      </c>
      <c r="AB166" s="416">
        <v>124</v>
      </c>
      <c r="AC166" s="416">
        <v>124</v>
      </c>
      <c r="AD166" s="416">
        <v>124</v>
      </c>
      <c r="AE166" s="416">
        <v>124</v>
      </c>
      <c r="AF166" s="416">
        <v>124</v>
      </c>
      <c r="AG166" s="416">
        <v>124</v>
      </c>
      <c r="AH166" s="416">
        <v>123</v>
      </c>
      <c r="AI166" s="416">
        <v>122</v>
      </c>
      <c r="AJ166" s="416">
        <v>121</v>
      </c>
      <c r="AK166" s="416">
        <v>89.2</v>
      </c>
      <c r="AL166" s="416">
        <v>34</v>
      </c>
      <c r="AM166" s="416">
        <v>68.8</v>
      </c>
      <c r="AN166" s="416">
        <v>54.2</v>
      </c>
      <c r="AO166" s="416">
        <v>43.4</v>
      </c>
      <c r="AP166" s="416">
        <v>34</v>
      </c>
      <c r="AQ166" s="416">
        <v>25.1</v>
      </c>
      <c r="AR166" s="416">
        <v>17.100000000000001</v>
      </c>
      <c r="AS166" s="416">
        <v>10.1</v>
      </c>
      <c r="AT166" s="416">
        <v>0</v>
      </c>
      <c r="AU166" s="416">
        <v>0</v>
      </c>
      <c r="AV166" s="416">
        <v>0</v>
      </c>
      <c r="AW166" s="416">
        <v>0</v>
      </c>
      <c r="AX166" s="416">
        <v>0</v>
      </c>
      <c r="AY166" s="416">
        <v>0</v>
      </c>
      <c r="AZ166" s="416">
        <v>0</v>
      </c>
    </row>
    <row r="167" spans="1:52" x14ac:dyDescent="0.25">
      <c r="A167" s="415" t="str">
        <f t="shared" si="2"/>
        <v>SA-336 Gr.F21</v>
      </c>
      <c r="B167" s="415">
        <v>162</v>
      </c>
      <c r="C167" s="415" t="s">
        <v>2972</v>
      </c>
      <c r="D167" s="415" t="s">
        <v>2737</v>
      </c>
      <c r="E167" s="415" t="s">
        <v>2211</v>
      </c>
      <c r="F167" s="415" t="s">
        <v>2429</v>
      </c>
      <c r="G167" s="415" t="s">
        <v>2973</v>
      </c>
      <c r="H167" s="415">
        <v>1</v>
      </c>
      <c r="I167" s="415">
        <v>0</v>
      </c>
      <c r="J167" s="415" t="s">
        <v>2956</v>
      </c>
      <c r="K167" s="415">
        <v>1</v>
      </c>
      <c r="L167" s="415">
        <v>35</v>
      </c>
      <c r="M167" s="415">
        <v>415</v>
      </c>
      <c r="N167" s="415">
        <v>205</v>
      </c>
      <c r="O167" s="415">
        <v>649</v>
      </c>
      <c r="P167" s="415" t="s">
        <v>2699</v>
      </c>
      <c r="Q167" s="415" t="s">
        <v>3553</v>
      </c>
      <c r="R167" s="415">
        <v>35</v>
      </c>
      <c r="S167" s="415">
        <v>138</v>
      </c>
      <c r="T167" s="416">
        <v>138</v>
      </c>
      <c r="U167" s="416">
        <v>132</v>
      </c>
      <c r="V167" s="416">
        <v>128</v>
      </c>
      <c r="W167" s="416">
        <v>126</v>
      </c>
      <c r="X167" s="416">
        <v>125</v>
      </c>
      <c r="Y167" s="416">
        <v>124</v>
      </c>
      <c r="Z167" s="416">
        <v>124</v>
      </c>
      <c r="AA167" s="416">
        <v>124</v>
      </c>
      <c r="AB167" s="416">
        <v>124</v>
      </c>
      <c r="AC167" s="416">
        <v>124</v>
      </c>
      <c r="AD167" s="416">
        <v>124</v>
      </c>
      <c r="AE167" s="416">
        <v>124</v>
      </c>
      <c r="AF167" s="416">
        <v>124</v>
      </c>
      <c r="AG167" s="416">
        <v>124</v>
      </c>
      <c r="AH167" s="416">
        <v>123</v>
      </c>
      <c r="AI167" s="416">
        <v>122</v>
      </c>
      <c r="AJ167" s="416">
        <v>121</v>
      </c>
      <c r="AK167" s="416">
        <v>89.2</v>
      </c>
      <c r="AL167" s="416">
        <v>35</v>
      </c>
      <c r="AM167" s="416">
        <v>68.8</v>
      </c>
      <c r="AN167" s="416">
        <v>54.2</v>
      </c>
      <c r="AO167" s="416">
        <v>43.4</v>
      </c>
      <c r="AP167" s="416">
        <v>34</v>
      </c>
      <c r="AQ167" s="416">
        <v>25.1</v>
      </c>
      <c r="AR167" s="416">
        <v>17.100000000000001</v>
      </c>
      <c r="AS167" s="416">
        <v>10.1</v>
      </c>
      <c r="AT167" s="416">
        <v>0</v>
      </c>
      <c r="AU167" s="416">
        <v>0</v>
      </c>
      <c r="AV167" s="416">
        <v>0</v>
      </c>
      <c r="AW167" s="416">
        <v>0</v>
      </c>
      <c r="AX167" s="416">
        <v>0</v>
      </c>
      <c r="AY167" s="416">
        <v>0</v>
      </c>
      <c r="AZ167" s="416">
        <v>0</v>
      </c>
    </row>
    <row r="168" spans="1:52" x14ac:dyDescent="0.25">
      <c r="A168" s="415" t="str">
        <f t="shared" si="2"/>
        <v>SA-369 Gr.FP21</v>
      </c>
      <c r="B168" s="415">
        <v>163</v>
      </c>
      <c r="C168" s="415" t="s">
        <v>2972</v>
      </c>
      <c r="D168" s="415" t="s">
        <v>2707</v>
      </c>
      <c r="E168" s="415" t="s">
        <v>2221</v>
      </c>
      <c r="F168" s="415" t="s">
        <v>2469</v>
      </c>
      <c r="G168" s="415" t="s">
        <v>2973</v>
      </c>
      <c r="H168" s="415">
        <v>0</v>
      </c>
      <c r="I168" s="415">
        <v>0</v>
      </c>
      <c r="J168" s="415" t="s">
        <v>2956</v>
      </c>
      <c r="K168" s="415">
        <v>1</v>
      </c>
      <c r="L168" s="415">
        <v>36</v>
      </c>
      <c r="M168" s="415">
        <v>415</v>
      </c>
      <c r="N168" s="415">
        <v>210</v>
      </c>
      <c r="O168" s="415">
        <v>649</v>
      </c>
      <c r="P168" s="415" t="s">
        <v>2699</v>
      </c>
      <c r="Q168" s="415" t="s">
        <v>3553</v>
      </c>
      <c r="R168" s="415">
        <v>36</v>
      </c>
      <c r="S168" s="415">
        <v>138</v>
      </c>
      <c r="T168" s="416">
        <v>138</v>
      </c>
      <c r="U168" s="416">
        <v>132</v>
      </c>
      <c r="V168" s="416">
        <v>128</v>
      </c>
      <c r="W168" s="416">
        <v>126</v>
      </c>
      <c r="X168" s="416">
        <v>125</v>
      </c>
      <c r="Y168" s="416">
        <v>124</v>
      </c>
      <c r="Z168" s="416">
        <v>124</v>
      </c>
      <c r="AA168" s="416">
        <v>124</v>
      </c>
      <c r="AB168" s="416">
        <v>124</v>
      </c>
      <c r="AC168" s="416">
        <v>124</v>
      </c>
      <c r="AD168" s="416">
        <v>124</v>
      </c>
      <c r="AE168" s="416">
        <v>124</v>
      </c>
      <c r="AF168" s="416">
        <v>124</v>
      </c>
      <c r="AG168" s="416">
        <v>124</v>
      </c>
      <c r="AH168" s="416">
        <v>123</v>
      </c>
      <c r="AI168" s="416">
        <v>122</v>
      </c>
      <c r="AJ168" s="416">
        <v>121</v>
      </c>
      <c r="AK168" s="416">
        <v>89.2</v>
      </c>
      <c r="AL168" s="416">
        <v>36</v>
      </c>
      <c r="AM168" s="416">
        <v>68.8</v>
      </c>
      <c r="AN168" s="416">
        <v>54.2</v>
      </c>
      <c r="AO168" s="416">
        <v>43.4</v>
      </c>
      <c r="AP168" s="416">
        <v>34</v>
      </c>
      <c r="AQ168" s="416">
        <v>25.1</v>
      </c>
      <c r="AR168" s="416">
        <v>17.100000000000001</v>
      </c>
      <c r="AS168" s="416">
        <v>10.1</v>
      </c>
      <c r="AT168" s="416">
        <v>0</v>
      </c>
      <c r="AU168" s="416">
        <v>0</v>
      </c>
      <c r="AV168" s="416">
        <v>0</v>
      </c>
      <c r="AW168" s="416">
        <v>0</v>
      </c>
      <c r="AX168" s="416">
        <v>0</v>
      </c>
      <c r="AY168" s="416">
        <v>0</v>
      </c>
      <c r="AZ168" s="416">
        <v>0</v>
      </c>
    </row>
    <row r="169" spans="1:52" x14ac:dyDescent="0.25">
      <c r="A169" s="415" t="str">
        <f t="shared" si="2"/>
        <v>SA-387 Gr.21</v>
      </c>
      <c r="B169" s="415">
        <v>164</v>
      </c>
      <c r="C169" s="415" t="s">
        <v>2972</v>
      </c>
      <c r="D169" s="415" t="s">
        <v>2684</v>
      </c>
      <c r="E169" s="415" t="s">
        <v>2227</v>
      </c>
      <c r="F169" s="415">
        <v>21</v>
      </c>
      <c r="G169" s="415" t="s">
        <v>2973</v>
      </c>
      <c r="H169" s="415">
        <v>1</v>
      </c>
      <c r="I169" s="415">
        <v>0</v>
      </c>
      <c r="J169" s="415" t="s">
        <v>2956</v>
      </c>
      <c r="K169" s="415">
        <v>1</v>
      </c>
      <c r="L169" s="415">
        <v>37</v>
      </c>
      <c r="M169" s="415">
        <v>415</v>
      </c>
      <c r="N169" s="415">
        <v>210</v>
      </c>
      <c r="O169" s="415">
        <v>649</v>
      </c>
      <c r="P169" s="415" t="s">
        <v>2699</v>
      </c>
      <c r="Q169" s="415" t="s">
        <v>3553</v>
      </c>
      <c r="R169" s="415">
        <v>37</v>
      </c>
      <c r="S169" s="415">
        <v>138</v>
      </c>
      <c r="T169" s="416">
        <v>138</v>
      </c>
      <c r="U169" s="416">
        <v>132</v>
      </c>
      <c r="V169" s="416">
        <v>128</v>
      </c>
      <c r="W169" s="416">
        <v>126</v>
      </c>
      <c r="X169" s="416">
        <v>125</v>
      </c>
      <c r="Y169" s="416">
        <v>124</v>
      </c>
      <c r="Z169" s="416">
        <v>124</v>
      </c>
      <c r="AA169" s="416">
        <v>124</v>
      </c>
      <c r="AB169" s="416">
        <v>124</v>
      </c>
      <c r="AC169" s="416">
        <v>124</v>
      </c>
      <c r="AD169" s="416">
        <v>124</v>
      </c>
      <c r="AE169" s="416">
        <v>124</v>
      </c>
      <c r="AF169" s="416">
        <v>124</v>
      </c>
      <c r="AG169" s="416">
        <v>124</v>
      </c>
      <c r="AH169" s="416">
        <v>123</v>
      </c>
      <c r="AI169" s="416">
        <v>122</v>
      </c>
      <c r="AJ169" s="416">
        <v>121</v>
      </c>
      <c r="AK169" s="416">
        <v>89.2</v>
      </c>
      <c r="AL169" s="416">
        <v>37</v>
      </c>
      <c r="AM169" s="416">
        <v>68.8</v>
      </c>
      <c r="AN169" s="416">
        <v>54.2</v>
      </c>
      <c r="AO169" s="416">
        <v>43.4</v>
      </c>
      <c r="AP169" s="416">
        <v>34</v>
      </c>
      <c r="AQ169" s="416">
        <v>25.1</v>
      </c>
      <c r="AR169" s="416">
        <v>17.100000000000001</v>
      </c>
      <c r="AS169" s="416">
        <v>10.1</v>
      </c>
      <c r="AT169" s="416">
        <v>0</v>
      </c>
      <c r="AU169" s="416">
        <v>0</v>
      </c>
      <c r="AV169" s="416">
        <v>0</v>
      </c>
      <c r="AW169" s="416">
        <v>0</v>
      </c>
      <c r="AX169" s="416">
        <v>0</v>
      </c>
      <c r="AY169" s="416">
        <v>0</v>
      </c>
      <c r="AZ169" s="416">
        <v>0</v>
      </c>
    </row>
    <row r="170" spans="1:52" x14ac:dyDescent="0.25">
      <c r="A170" s="415" t="str">
        <f t="shared" si="2"/>
        <v>SA-182 Gr.F21</v>
      </c>
      <c r="B170" s="415">
        <v>165</v>
      </c>
      <c r="C170" s="415" t="s">
        <v>2972</v>
      </c>
      <c r="D170" s="415" t="s">
        <v>2737</v>
      </c>
      <c r="E170" s="415" t="s">
        <v>2188</v>
      </c>
      <c r="F170" s="415" t="s">
        <v>2429</v>
      </c>
      <c r="G170" s="415" t="s">
        <v>2973</v>
      </c>
      <c r="H170" s="415">
        <v>0</v>
      </c>
      <c r="I170" s="415">
        <v>0</v>
      </c>
      <c r="J170" s="415" t="s">
        <v>2956</v>
      </c>
      <c r="K170" s="415">
        <v>1</v>
      </c>
      <c r="L170" s="415">
        <v>38</v>
      </c>
      <c r="M170" s="415">
        <v>515</v>
      </c>
      <c r="N170" s="415">
        <v>310</v>
      </c>
      <c r="O170" s="415">
        <v>649</v>
      </c>
      <c r="P170" s="415" t="s">
        <v>2819</v>
      </c>
      <c r="Q170" s="415" t="s">
        <v>3553</v>
      </c>
      <c r="R170" s="415">
        <v>38</v>
      </c>
      <c r="S170" s="415">
        <v>207</v>
      </c>
      <c r="T170" s="416">
        <v>207</v>
      </c>
      <c r="U170" s="416">
        <v>196</v>
      </c>
      <c r="V170" s="416">
        <v>188</v>
      </c>
      <c r="W170" s="416">
        <v>184</v>
      </c>
      <c r="X170" s="416">
        <v>181</v>
      </c>
      <c r="Y170" s="416">
        <v>178</v>
      </c>
      <c r="Z170" s="416">
        <v>176</v>
      </c>
      <c r="AA170" s="416">
        <v>174</v>
      </c>
      <c r="AB170" s="416">
        <v>172</v>
      </c>
      <c r="AC170" s="416">
        <v>170</v>
      </c>
      <c r="AD170" s="416">
        <v>169</v>
      </c>
      <c r="AE170" s="416">
        <v>167</v>
      </c>
      <c r="AF170" s="416">
        <v>165</v>
      </c>
      <c r="AG170" s="416">
        <v>163</v>
      </c>
      <c r="AH170" s="416">
        <v>161</v>
      </c>
      <c r="AI170" s="416">
        <v>158</v>
      </c>
      <c r="AJ170" s="416">
        <v>154</v>
      </c>
      <c r="AK170" s="416">
        <v>98.2</v>
      </c>
      <c r="AL170" s="416">
        <v>38</v>
      </c>
      <c r="AM170" s="416">
        <v>73.5</v>
      </c>
      <c r="AN170" s="416">
        <v>54.7</v>
      </c>
      <c r="AO170" s="416">
        <v>40.6</v>
      </c>
      <c r="AP170" s="416">
        <v>29.2</v>
      </c>
      <c r="AQ170" s="416">
        <v>20.6</v>
      </c>
      <c r="AR170" s="416">
        <v>15.2</v>
      </c>
      <c r="AS170" s="416">
        <v>8.75</v>
      </c>
      <c r="AT170" s="416">
        <v>0</v>
      </c>
      <c r="AU170" s="416">
        <v>0</v>
      </c>
      <c r="AV170" s="416">
        <v>0</v>
      </c>
      <c r="AW170" s="416">
        <v>0</v>
      </c>
      <c r="AX170" s="416">
        <v>0</v>
      </c>
      <c r="AY170" s="416">
        <v>0</v>
      </c>
      <c r="AZ170" s="416">
        <v>0</v>
      </c>
    </row>
    <row r="171" spans="1:52" x14ac:dyDescent="0.25">
      <c r="A171" s="415" t="str">
        <f t="shared" si="2"/>
        <v>SA-336 Gr.F21</v>
      </c>
      <c r="B171" s="415">
        <v>166</v>
      </c>
      <c r="C171" s="415" t="s">
        <v>2972</v>
      </c>
      <c r="D171" s="415" t="s">
        <v>2737</v>
      </c>
      <c r="E171" s="415" t="s">
        <v>2211</v>
      </c>
      <c r="F171" s="415" t="s">
        <v>2429</v>
      </c>
      <c r="G171" s="415" t="s">
        <v>2973</v>
      </c>
      <c r="H171" s="415">
        <v>3</v>
      </c>
      <c r="I171" s="415">
        <v>0</v>
      </c>
      <c r="J171" s="415" t="s">
        <v>2956</v>
      </c>
      <c r="K171" s="415">
        <v>1</v>
      </c>
      <c r="L171" s="415">
        <v>39</v>
      </c>
      <c r="M171" s="415">
        <v>515</v>
      </c>
      <c r="N171" s="415">
        <v>310</v>
      </c>
      <c r="O171" s="415">
        <v>649</v>
      </c>
      <c r="P171" s="415" t="s">
        <v>2819</v>
      </c>
      <c r="Q171" s="415" t="s">
        <v>3553</v>
      </c>
      <c r="R171" s="415">
        <v>39</v>
      </c>
      <c r="S171" s="415">
        <v>207</v>
      </c>
      <c r="T171" s="416">
        <v>207</v>
      </c>
      <c r="U171" s="416">
        <v>196</v>
      </c>
      <c r="V171" s="416">
        <v>188</v>
      </c>
      <c r="W171" s="416">
        <v>184</v>
      </c>
      <c r="X171" s="416">
        <v>181</v>
      </c>
      <c r="Y171" s="416">
        <v>178</v>
      </c>
      <c r="Z171" s="416">
        <v>176</v>
      </c>
      <c r="AA171" s="416">
        <v>174</v>
      </c>
      <c r="AB171" s="416">
        <v>172</v>
      </c>
      <c r="AC171" s="416">
        <v>170</v>
      </c>
      <c r="AD171" s="416">
        <v>169</v>
      </c>
      <c r="AE171" s="416">
        <v>167</v>
      </c>
      <c r="AF171" s="416">
        <v>165</v>
      </c>
      <c r="AG171" s="416">
        <v>163</v>
      </c>
      <c r="AH171" s="416">
        <v>161</v>
      </c>
      <c r="AI171" s="416">
        <v>158</v>
      </c>
      <c r="AJ171" s="416">
        <v>154</v>
      </c>
      <c r="AK171" s="416">
        <v>98.2</v>
      </c>
      <c r="AL171" s="416">
        <v>39</v>
      </c>
      <c r="AM171" s="416">
        <v>73.5</v>
      </c>
      <c r="AN171" s="416">
        <v>54.7</v>
      </c>
      <c r="AO171" s="416">
        <v>40.6</v>
      </c>
      <c r="AP171" s="416">
        <v>29.2</v>
      </c>
      <c r="AQ171" s="416">
        <v>20.6</v>
      </c>
      <c r="AR171" s="416">
        <v>15.2</v>
      </c>
      <c r="AS171" s="416">
        <v>8.75</v>
      </c>
      <c r="AT171" s="416">
        <v>0</v>
      </c>
      <c r="AU171" s="416">
        <v>0</v>
      </c>
      <c r="AV171" s="416">
        <v>0</v>
      </c>
      <c r="AW171" s="416">
        <v>0</v>
      </c>
      <c r="AX171" s="416">
        <v>0</v>
      </c>
      <c r="AY171" s="416">
        <v>0</v>
      </c>
      <c r="AZ171" s="416">
        <v>0</v>
      </c>
    </row>
    <row r="172" spans="1:52" x14ac:dyDescent="0.25">
      <c r="A172" s="415" t="str">
        <f t="shared" si="2"/>
        <v>SA-387 Gr.21</v>
      </c>
      <c r="B172" s="415">
        <v>167</v>
      </c>
      <c r="C172" s="415" t="s">
        <v>2972</v>
      </c>
      <c r="D172" s="415" t="s">
        <v>2684</v>
      </c>
      <c r="E172" s="415" t="s">
        <v>2227</v>
      </c>
      <c r="F172" s="415">
        <v>21</v>
      </c>
      <c r="G172" s="415" t="s">
        <v>2973</v>
      </c>
      <c r="H172" s="415">
        <v>2</v>
      </c>
      <c r="I172" s="415">
        <v>0</v>
      </c>
      <c r="J172" s="415" t="s">
        <v>2956</v>
      </c>
      <c r="K172" s="415">
        <v>1</v>
      </c>
      <c r="L172" s="415">
        <v>40</v>
      </c>
      <c r="M172" s="415">
        <v>515</v>
      </c>
      <c r="N172" s="415">
        <v>310</v>
      </c>
      <c r="O172" s="415">
        <v>649</v>
      </c>
      <c r="P172" s="415" t="s">
        <v>2819</v>
      </c>
      <c r="Q172" s="415" t="s">
        <v>3553</v>
      </c>
      <c r="R172" s="415">
        <v>40</v>
      </c>
      <c r="S172" s="415">
        <v>207</v>
      </c>
      <c r="T172" s="416">
        <v>207</v>
      </c>
      <c r="U172" s="416">
        <v>196</v>
      </c>
      <c r="V172" s="416">
        <v>188</v>
      </c>
      <c r="W172" s="416">
        <v>184</v>
      </c>
      <c r="X172" s="416">
        <v>181</v>
      </c>
      <c r="Y172" s="416">
        <v>178</v>
      </c>
      <c r="Z172" s="416">
        <v>176</v>
      </c>
      <c r="AA172" s="416">
        <v>174</v>
      </c>
      <c r="AB172" s="416">
        <v>172</v>
      </c>
      <c r="AC172" s="416">
        <v>170</v>
      </c>
      <c r="AD172" s="416">
        <v>169</v>
      </c>
      <c r="AE172" s="416">
        <v>167</v>
      </c>
      <c r="AF172" s="416">
        <v>165</v>
      </c>
      <c r="AG172" s="416">
        <v>163</v>
      </c>
      <c r="AH172" s="416">
        <v>161</v>
      </c>
      <c r="AI172" s="416">
        <v>158</v>
      </c>
      <c r="AJ172" s="416">
        <v>154</v>
      </c>
      <c r="AK172" s="416">
        <v>98.2</v>
      </c>
      <c r="AL172" s="416">
        <v>40</v>
      </c>
      <c r="AM172" s="416">
        <v>73.5</v>
      </c>
      <c r="AN172" s="416">
        <v>54.7</v>
      </c>
      <c r="AO172" s="416">
        <v>40.6</v>
      </c>
      <c r="AP172" s="416">
        <v>29.2</v>
      </c>
      <c r="AQ172" s="416">
        <v>20.6</v>
      </c>
      <c r="AR172" s="416">
        <v>15.2</v>
      </c>
      <c r="AS172" s="416">
        <v>8.75</v>
      </c>
      <c r="AT172" s="416">
        <v>0</v>
      </c>
      <c r="AU172" s="416">
        <v>0</v>
      </c>
      <c r="AV172" s="416">
        <v>0</v>
      </c>
      <c r="AW172" s="416">
        <v>0</v>
      </c>
      <c r="AX172" s="416">
        <v>0</v>
      </c>
      <c r="AY172" s="416">
        <v>0</v>
      </c>
      <c r="AZ172" s="416">
        <v>0</v>
      </c>
    </row>
    <row r="173" spans="1:52" x14ac:dyDescent="0.25">
      <c r="A173" s="415" t="str">
        <f t="shared" si="2"/>
        <v>SA-182 Gr.F3V</v>
      </c>
      <c r="B173" s="415">
        <v>168</v>
      </c>
      <c r="C173" s="415" t="s">
        <v>3554</v>
      </c>
      <c r="D173" s="415" t="s">
        <v>2737</v>
      </c>
      <c r="E173" s="415" t="s">
        <v>2188</v>
      </c>
      <c r="F173" s="415" t="s">
        <v>2451</v>
      </c>
      <c r="G173" s="415" t="s">
        <v>2976</v>
      </c>
      <c r="H173" s="415">
        <v>0</v>
      </c>
      <c r="I173" s="415">
        <v>0</v>
      </c>
      <c r="J173" s="415" t="s">
        <v>2967</v>
      </c>
      <c r="K173" s="415">
        <v>1</v>
      </c>
      <c r="L173" s="415">
        <v>1</v>
      </c>
      <c r="M173" s="415">
        <v>585</v>
      </c>
      <c r="N173" s="415">
        <v>415</v>
      </c>
      <c r="O173" s="415">
        <v>482</v>
      </c>
      <c r="P173" s="415" t="s">
        <v>2819</v>
      </c>
      <c r="Q173" s="415" t="s">
        <v>3552</v>
      </c>
      <c r="R173" s="415">
        <v>1</v>
      </c>
      <c r="S173" s="415">
        <v>244</v>
      </c>
      <c r="T173" s="416">
        <v>244</v>
      </c>
      <c r="U173" s="416">
        <v>244</v>
      </c>
      <c r="V173" s="416">
        <v>244</v>
      </c>
      <c r="W173" s="416">
        <v>244</v>
      </c>
      <c r="X173" s="416">
        <v>244</v>
      </c>
      <c r="Y173" s="416">
        <v>244</v>
      </c>
      <c r="Z173" s="416">
        <v>244</v>
      </c>
      <c r="AA173" s="416">
        <v>244</v>
      </c>
      <c r="AB173" s="416">
        <v>244</v>
      </c>
      <c r="AC173" s="416">
        <v>244</v>
      </c>
      <c r="AD173" s="416">
        <v>244</v>
      </c>
      <c r="AE173" s="416">
        <v>243</v>
      </c>
      <c r="AF173" s="416">
        <v>239</v>
      </c>
      <c r="AG173" s="416">
        <v>234</v>
      </c>
      <c r="AH173" s="416">
        <v>229</v>
      </c>
      <c r="AI173" s="416">
        <v>223</v>
      </c>
      <c r="AJ173" s="416">
        <v>183</v>
      </c>
      <c r="AK173" s="416">
        <v>153</v>
      </c>
      <c r="AL173" s="416">
        <v>1</v>
      </c>
      <c r="AM173" s="416">
        <v>125</v>
      </c>
      <c r="AN173" s="416">
        <v>0</v>
      </c>
      <c r="AO173" s="416">
        <v>0</v>
      </c>
      <c r="AP173" s="416">
        <v>0</v>
      </c>
      <c r="AQ173" s="416">
        <v>0</v>
      </c>
      <c r="AR173" s="416">
        <v>0</v>
      </c>
      <c r="AS173" s="416">
        <v>0</v>
      </c>
      <c r="AT173" s="416">
        <v>0</v>
      </c>
      <c r="AU173" s="416">
        <v>0</v>
      </c>
      <c r="AV173" s="416">
        <v>0</v>
      </c>
      <c r="AW173" s="416">
        <v>0</v>
      </c>
      <c r="AX173" s="416">
        <v>0</v>
      </c>
      <c r="AY173" s="416">
        <v>0</v>
      </c>
      <c r="AZ173" s="416">
        <v>0</v>
      </c>
    </row>
    <row r="174" spans="1:52" x14ac:dyDescent="0.25">
      <c r="A174" s="415" t="str">
        <f t="shared" si="2"/>
        <v>SA-336 Gr.F3V</v>
      </c>
      <c r="B174" s="415">
        <v>169</v>
      </c>
      <c r="C174" s="415" t="s">
        <v>3554</v>
      </c>
      <c r="D174" s="415" t="s">
        <v>2737</v>
      </c>
      <c r="E174" s="415" t="s">
        <v>2211</v>
      </c>
      <c r="F174" s="415" t="s">
        <v>2451</v>
      </c>
      <c r="G174" s="415" t="s">
        <v>2976</v>
      </c>
      <c r="H174" s="415">
        <v>0</v>
      </c>
      <c r="I174" s="415">
        <v>0</v>
      </c>
      <c r="J174" s="415" t="s">
        <v>2967</v>
      </c>
      <c r="K174" s="415">
        <v>1</v>
      </c>
      <c r="L174" s="415">
        <v>2</v>
      </c>
      <c r="M174" s="415">
        <v>585</v>
      </c>
      <c r="N174" s="415">
        <v>415</v>
      </c>
      <c r="O174" s="415">
        <v>482</v>
      </c>
      <c r="P174" s="415" t="s">
        <v>2819</v>
      </c>
      <c r="Q174" s="415" t="s">
        <v>3552</v>
      </c>
      <c r="R174" s="415">
        <v>2</v>
      </c>
      <c r="S174" s="415">
        <v>244</v>
      </c>
      <c r="T174" s="416">
        <v>244</v>
      </c>
      <c r="U174" s="416">
        <v>244</v>
      </c>
      <c r="V174" s="416">
        <v>244</v>
      </c>
      <c r="W174" s="416">
        <v>244</v>
      </c>
      <c r="X174" s="416">
        <v>244</v>
      </c>
      <c r="Y174" s="416">
        <v>244</v>
      </c>
      <c r="Z174" s="416">
        <v>244</v>
      </c>
      <c r="AA174" s="416">
        <v>244</v>
      </c>
      <c r="AB174" s="416">
        <v>244</v>
      </c>
      <c r="AC174" s="416">
        <v>244</v>
      </c>
      <c r="AD174" s="416">
        <v>244</v>
      </c>
      <c r="AE174" s="416">
        <v>243</v>
      </c>
      <c r="AF174" s="416">
        <v>239</v>
      </c>
      <c r="AG174" s="416">
        <v>234</v>
      </c>
      <c r="AH174" s="416">
        <v>229</v>
      </c>
      <c r="AI174" s="416">
        <v>223</v>
      </c>
      <c r="AJ174" s="416">
        <v>183</v>
      </c>
      <c r="AK174" s="416">
        <v>153</v>
      </c>
      <c r="AL174" s="416">
        <v>2</v>
      </c>
      <c r="AM174" s="416">
        <v>125</v>
      </c>
      <c r="AN174" s="416">
        <v>0</v>
      </c>
      <c r="AO174" s="416">
        <v>0</v>
      </c>
      <c r="AP174" s="416">
        <v>0</v>
      </c>
      <c r="AQ174" s="416">
        <v>0</v>
      </c>
      <c r="AR174" s="416">
        <v>0</v>
      </c>
      <c r="AS174" s="416">
        <v>0</v>
      </c>
      <c r="AT174" s="416">
        <v>0</v>
      </c>
      <c r="AU174" s="416">
        <v>0</v>
      </c>
      <c r="AV174" s="416">
        <v>0</v>
      </c>
      <c r="AW174" s="416">
        <v>0</v>
      </c>
      <c r="AX174" s="416">
        <v>0</v>
      </c>
      <c r="AY174" s="416">
        <v>0</v>
      </c>
      <c r="AZ174" s="416">
        <v>0</v>
      </c>
    </row>
    <row r="175" spans="1:52" x14ac:dyDescent="0.25">
      <c r="A175" s="415" t="str">
        <f t="shared" si="2"/>
        <v>SA-508 Gr.3V</v>
      </c>
      <c r="B175" s="415">
        <v>170</v>
      </c>
      <c r="C175" s="415" t="s">
        <v>3554</v>
      </c>
      <c r="D175" s="415" t="s">
        <v>2737</v>
      </c>
      <c r="E175" s="415" t="s">
        <v>2249</v>
      </c>
      <c r="F175" s="415" t="s">
        <v>2286</v>
      </c>
      <c r="G175" s="415" t="s">
        <v>2976</v>
      </c>
      <c r="H175" s="415">
        <v>0</v>
      </c>
      <c r="I175" s="415">
        <v>0</v>
      </c>
      <c r="J175" s="415" t="s">
        <v>2967</v>
      </c>
      <c r="K175" s="415">
        <v>1</v>
      </c>
      <c r="L175" s="415">
        <v>3</v>
      </c>
      <c r="M175" s="415">
        <v>585</v>
      </c>
      <c r="N175" s="415">
        <v>415</v>
      </c>
      <c r="O175" s="415">
        <v>482</v>
      </c>
      <c r="P175" s="415" t="s">
        <v>2819</v>
      </c>
      <c r="Q175" s="415" t="s">
        <v>3552</v>
      </c>
      <c r="R175" s="415">
        <v>3</v>
      </c>
      <c r="S175" s="415">
        <v>244</v>
      </c>
      <c r="T175" s="416">
        <v>244</v>
      </c>
      <c r="U175" s="416">
        <v>244</v>
      </c>
      <c r="V175" s="416">
        <v>244</v>
      </c>
      <c r="W175" s="416">
        <v>244</v>
      </c>
      <c r="X175" s="416">
        <v>244</v>
      </c>
      <c r="Y175" s="416">
        <v>244</v>
      </c>
      <c r="Z175" s="416">
        <v>244</v>
      </c>
      <c r="AA175" s="416">
        <v>244</v>
      </c>
      <c r="AB175" s="416">
        <v>244</v>
      </c>
      <c r="AC175" s="416">
        <v>244</v>
      </c>
      <c r="AD175" s="416">
        <v>244</v>
      </c>
      <c r="AE175" s="416">
        <v>243</v>
      </c>
      <c r="AF175" s="416">
        <v>239</v>
      </c>
      <c r="AG175" s="416">
        <v>234</v>
      </c>
      <c r="AH175" s="416">
        <v>229</v>
      </c>
      <c r="AI175" s="416">
        <v>223</v>
      </c>
      <c r="AJ175" s="416">
        <v>183</v>
      </c>
      <c r="AK175" s="416">
        <v>153</v>
      </c>
      <c r="AL175" s="416">
        <v>3</v>
      </c>
      <c r="AM175" s="416">
        <v>125</v>
      </c>
      <c r="AN175" s="416">
        <v>0</v>
      </c>
      <c r="AO175" s="416">
        <v>0</v>
      </c>
      <c r="AP175" s="416">
        <v>0</v>
      </c>
      <c r="AQ175" s="416">
        <v>0</v>
      </c>
      <c r="AR175" s="416">
        <v>0</v>
      </c>
      <c r="AS175" s="416">
        <v>0</v>
      </c>
      <c r="AT175" s="416">
        <v>0</v>
      </c>
      <c r="AU175" s="416">
        <v>0</v>
      </c>
      <c r="AV175" s="416">
        <v>0</v>
      </c>
      <c r="AW175" s="416">
        <v>0</v>
      </c>
      <c r="AX175" s="416">
        <v>0</v>
      </c>
      <c r="AY175" s="416">
        <v>0</v>
      </c>
      <c r="AZ175" s="416">
        <v>0</v>
      </c>
    </row>
    <row r="176" spans="1:52" x14ac:dyDescent="0.25">
      <c r="A176" s="415" t="str">
        <f t="shared" si="2"/>
        <v>SA-541 Gr.3V</v>
      </c>
      <c r="B176" s="415">
        <v>171</v>
      </c>
      <c r="C176" s="415" t="s">
        <v>3554</v>
      </c>
      <c r="D176" s="415" t="s">
        <v>2737</v>
      </c>
      <c r="E176" s="415" t="s">
        <v>2263</v>
      </c>
      <c r="F176" s="415" t="s">
        <v>2286</v>
      </c>
      <c r="G176" s="415" t="s">
        <v>2976</v>
      </c>
      <c r="H176" s="415">
        <v>0</v>
      </c>
      <c r="I176" s="415">
        <v>0</v>
      </c>
      <c r="J176" s="415" t="s">
        <v>2967</v>
      </c>
      <c r="K176" s="415">
        <v>1</v>
      </c>
      <c r="L176" s="415">
        <v>4</v>
      </c>
      <c r="M176" s="415">
        <v>585</v>
      </c>
      <c r="N176" s="415">
        <v>415</v>
      </c>
      <c r="O176" s="415">
        <v>482</v>
      </c>
      <c r="P176" s="415" t="s">
        <v>2819</v>
      </c>
      <c r="Q176" s="415" t="s">
        <v>3552</v>
      </c>
      <c r="R176" s="415">
        <v>4</v>
      </c>
      <c r="S176" s="415">
        <v>244</v>
      </c>
      <c r="T176" s="416">
        <v>244</v>
      </c>
      <c r="U176" s="416">
        <v>244</v>
      </c>
      <c r="V176" s="416">
        <v>244</v>
      </c>
      <c r="W176" s="416">
        <v>244</v>
      </c>
      <c r="X176" s="416">
        <v>244</v>
      </c>
      <c r="Y176" s="416">
        <v>244</v>
      </c>
      <c r="Z176" s="416">
        <v>244</v>
      </c>
      <c r="AA176" s="416">
        <v>244</v>
      </c>
      <c r="AB176" s="416">
        <v>244</v>
      </c>
      <c r="AC176" s="416">
        <v>244</v>
      </c>
      <c r="AD176" s="416">
        <v>244</v>
      </c>
      <c r="AE176" s="416">
        <v>243</v>
      </c>
      <c r="AF176" s="416">
        <v>239</v>
      </c>
      <c r="AG176" s="416">
        <v>234</v>
      </c>
      <c r="AH176" s="416">
        <v>229</v>
      </c>
      <c r="AI176" s="416">
        <v>223</v>
      </c>
      <c r="AJ176" s="416">
        <v>183</v>
      </c>
      <c r="AK176" s="416">
        <v>153</v>
      </c>
      <c r="AL176" s="416">
        <v>4</v>
      </c>
      <c r="AM176" s="416">
        <v>125</v>
      </c>
      <c r="AN176" s="416">
        <v>0</v>
      </c>
      <c r="AO176" s="416">
        <v>0</v>
      </c>
      <c r="AP176" s="416">
        <v>0</v>
      </c>
      <c r="AQ176" s="416">
        <v>0</v>
      </c>
      <c r="AR176" s="416">
        <v>0</v>
      </c>
      <c r="AS176" s="416">
        <v>0</v>
      </c>
      <c r="AT176" s="416">
        <v>0</v>
      </c>
      <c r="AU176" s="416">
        <v>0</v>
      </c>
      <c r="AV176" s="416">
        <v>0</v>
      </c>
      <c r="AW176" s="416">
        <v>0</v>
      </c>
      <c r="AX176" s="416">
        <v>0</v>
      </c>
      <c r="AY176" s="416">
        <v>0</v>
      </c>
      <c r="AZ176" s="416">
        <v>0</v>
      </c>
    </row>
    <row r="177" spans="1:52" x14ac:dyDescent="0.25">
      <c r="A177" s="415" t="str">
        <f t="shared" si="2"/>
        <v>SA-542 Gr.C</v>
      </c>
      <c r="B177" s="415">
        <v>172</v>
      </c>
      <c r="C177" s="415" t="s">
        <v>3554</v>
      </c>
      <c r="D177" s="415" t="s">
        <v>2684</v>
      </c>
      <c r="E177" s="415" t="s">
        <v>2265</v>
      </c>
      <c r="F177" s="415" t="s">
        <v>2348</v>
      </c>
      <c r="G177" s="415" t="s">
        <v>2976</v>
      </c>
      <c r="H177" s="415" t="s">
        <v>2971</v>
      </c>
      <c r="I177" s="415">
        <v>0</v>
      </c>
      <c r="J177" s="415" t="s">
        <v>2967</v>
      </c>
      <c r="K177" s="415">
        <v>1</v>
      </c>
      <c r="L177" s="415">
        <v>5</v>
      </c>
      <c r="M177" s="415">
        <v>585</v>
      </c>
      <c r="N177" s="415">
        <v>415</v>
      </c>
      <c r="O177" s="415">
        <v>482</v>
      </c>
      <c r="P177" s="415" t="s">
        <v>2819</v>
      </c>
      <c r="Q177" s="415" t="s">
        <v>3552</v>
      </c>
      <c r="R177" s="415">
        <v>5</v>
      </c>
      <c r="S177" s="415">
        <v>244</v>
      </c>
      <c r="T177" s="416">
        <v>244</v>
      </c>
      <c r="U177" s="416">
        <v>244</v>
      </c>
      <c r="V177" s="416">
        <v>244</v>
      </c>
      <c r="W177" s="416">
        <v>244</v>
      </c>
      <c r="X177" s="416">
        <v>244</v>
      </c>
      <c r="Y177" s="416">
        <v>244</v>
      </c>
      <c r="Z177" s="416">
        <v>244</v>
      </c>
      <c r="AA177" s="416">
        <v>244</v>
      </c>
      <c r="AB177" s="416">
        <v>244</v>
      </c>
      <c r="AC177" s="416">
        <v>244</v>
      </c>
      <c r="AD177" s="416">
        <v>244</v>
      </c>
      <c r="AE177" s="416">
        <v>243</v>
      </c>
      <c r="AF177" s="416">
        <v>239</v>
      </c>
      <c r="AG177" s="416">
        <v>234</v>
      </c>
      <c r="AH177" s="416">
        <v>229</v>
      </c>
      <c r="AI177" s="416">
        <v>223</v>
      </c>
      <c r="AJ177" s="416">
        <v>183</v>
      </c>
      <c r="AK177" s="416">
        <v>153</v>
      </c>
      <c r="AL177" s="416">
        <v>5</v>
      </c>
      <c r="AM177" s="416">
        <v>125</v>
      </c>
      <c r="AN177" s="416">
        <v>0</v>
      </c>
      <c r="AO177" s="416">
        <v>0</v>
      </c>
      <c r="AP177" s="416">
        <v>0</v>
      </c>
      <c r="AQ177" s="416">
        <v>0</v>
      </c>
      <c r="AR177" s="416">
        <v>0</v>
      </c>
      <c r="AS177" s="416">
        <v>0</v>
      </c>
      <c r="AT177" s="416">
        <v>0</v>
      </c>
      <c r="AU177" s="416">
        <v>0</v>
      </c>
      <c r="AV177" s="416">
        <v>0</v>
      </c>
      <c r="AW177" s="416">
        <v>0</v>
      </c>
      <c r="AX177" s="416">
        <v>0</v>
      </c>
      <c r="AY177" s="416">
        <v>0</v>
      </c>
      <c r="AZ177" s="416">
        <v>0</v>
      </c>
    </row>
    <row r="178" spans="1:52" x14ac:dyDescent="0.25">
      <c r="A178" s="415" t="str">
        <f t="shared" si="2"/>
        <v>SA-832 Gr.21V</v>
      </c>
      <c r="B178" s="415">
        <v>173</v>
      </c>
      <c r="C178" s="415" t="s">
        <v>3554</v>
      </c>
      <c r="D178" s="415" t="s">
        <v>2684</v>
      </c>
      <c r="E178" s="415" t="s">
        <v>2334</v>
      </c>
      <c r="F178" s="415" t="s">
        <v>2236</v>
      </c>
      <c r="G178" s="415" t="s">
        <v>2976</v>
      </c>
      <c r="H178" s="415">
        <v>0</v>
      </c>
      <c r="I178" s="415">
        <v>0</v>
      </c>
      <c r="J178" s="415" t="s">
        <v>2967</v>
      </c>
      <c r="K178" s="415">
        <v>1</v>
      </c>
      <c r="L178" s="415">
        <v>6</v>
      </c>
      <c r="M178" s="415">
        <v>585</v>
      </c>
      <c r="N178" s="415">
        <v>415</v>
      </c>
      <c r="O178" s="415">
        <v>482</v>
      </c>
      <c r="P178" s="415" t="s">
        <v>2819</v>
      </c>
      <c r="Q178" s="415" t="s">
        <v>3552</v>
      </c>
      <c r="R178" s="415">
        <v>6</v>
      </c>
      <c r="S178" s="415">
        <v>244</v>
      </c>
      <c r="T178" s="416">
        <v>244</v>
      </c>
      <c r="U178" s="416">
        <v>244</v>
      </c>
      <c r="V178" s="416">
        <v>244</v>
      </c>
      <c r="W178" s="416">
        <v>244</v>
      </c>
      <c r="X178" s="416">
        <v>244</v>
      </c>
      <c r="Y178" s="416">
        <v>244</v>
      </c>
      <c r="Z178" s="416">
        <v>244</v>
      </c>
      <c r="AA178" s="416">
        <v>244</v>
      </c>
      <c r="AB178" s="416">
        <v>244</v>
      </c>
      <c r="AC178" s="416">
        <v>244</v>
      </c>
      <c r="AD178" s="416">
        <v>244</v>
      </c>
      <c r="AE178" s="416">
        <v>243</v>
      </c>
      <c r="AF178" s="416">
        <v>239</v>
      </c>
      <c r="AG178" s="416">
        <v>234</v>
      </c>
      <c r="AH178" s="416">
        <v>229</v>
      </c>
      <c r="AI178" s="416">
        <v>223</v>
      </c>
      <c r="AJ178" s="416">
        <v>183</v>
      </c>
      <c r="AK178" s="416">
        <v>153</v>
      </c>
      <c r="AL178" s="416">
        <v>6</v>
      </c>
      <c r="AM178" s="416">
        <v>125</v>
      </c>
      <c r="AN178" s="416">
        <v>0</v>
      </c>
      <c r="AO178" s="416">
        <v>0</v>
      </c>
      <c r="AP178" s="416">
        <v>0</v>
      </c>
      <c r="AQ178" s="416">
        <v>0</v>
      </c>
      <c r="AR178" s="416">
        <v>0</v>
      </c>
      <c r="AS178" s="416">
        <v>0</v>
      </c>
      <c r="AT178" s="416">
        <v>0</v>
      </c>
      <c r="AU178" s="416">
        <v>0</v>
      </c>
      <c r="AV178" s="416">
        <v>0</v>
      </c>
      <c r="AW178" s="416">
        <v>0</v>
      </c>
      <c r="AX178" s="416">
        <v>0</v>
      </c>
      <c r="AY178" s="416">
        <v>0</v>
      </c>
      <c r="AZ178" s="416">
        <v>0</v>
      </c>
    </row>
    <row r="179" spans="1:52" x14ac:dyDescent="0.25">
      <c r="A179" s="415" t="str">
        <f t="shared" si="2"/>
        <v>SA-213 Gr.T5</v>
      </c>
      <c r="B179" s="415">
        <v>174</v>
      </c>
      <c r="C179" s="415" t="s">
        <v>3555</v>
      </c>
      <c r="D179" s="415" t="s">
        <v>2693</v>
      </c>
      <c r="E179" s="415" t="s">
        <v>2195</v>
      </c>
      <c r="F179" s="415" t="s">
        <v>2549</v>
      </c>
      <c r="G179" s="415" t="s">
        <v>2979</v>
      </c>
      <c r="H179" s="415">
        <v>0</v>
      </c>
      <c r="I179" s="415">
        <v>0</v>
      </c>
      <c r="J179" s="415" t="s">
        <v>2980</v>
      </c>
      <c r="K179" s="415">
        <v>1</v>
      </c>
      <c r="L179" s="415">
        <v>7</v>
      </c>
      <c r="M179" s="415">
        <v>415</v>
      </c>
      <c r="N179" s="415">
        <v>205</v>
      </c>
      <c r="O179" s="415">
        <v>649</v>
      </c>
      <c r="P179" s="415" t="s">
        <v>2699</v>
      </c>
      <c r="Q179" s="415" t="s">
        <v>3553</v>
      </c>
      <c r="R179" s="415">
        <v>7</v>
      </c>
      <c r="S179" s="415">
        <v>138</v>
      </c>
      <c r="T179" s="416">
        <v>138</v>
      </c>
      <c r="U179" s="416">
        <v>129</v>
      </c>
      <c r="V179" s="416">
        <v>124</v>
      </c>
      <c r="W179" s="416">
        <v>122</v>
      </c>
      <c r="X179" s="416">
        <v>120</v>
      </c>
      <c r="Y179" s="416">
        <v>119</v>
      </c>
      <c r="Z179" s="416">
        <v>119</v>
      </c>
      <c r="AA179" s="416">
        <v>118</v>
      </c>
      <c r="AB179" s="416">
        <v>118</v>
      </c>
      <c r="AC179" s="416">
        <v>117</v>
      </c>
      <c r="AD179" s="416">
        <v>117</v>
      </c>
      <c r="AE179" s="416">
        <v>116</v>
      </c>
      <c r="AF179" s="416">
        <v>114</v>
      </c>
      <c r="AG179" s="416">
        <v>112</v>
      </c>
      <c r="AH179" s="416">
        <v>110</v>
      </c>
      <c r="AI179" s="416">
        <v>106</v>
      </c>
      <c r="AJ179" s="416">
        <v>103</v>
      </c>
      <c r="AK179" s="416">
        <v>80.599999999999994</v>
      </c>
      <c r="AL179" s="416">
        <v>7</v>
      </c>
      <c r="AM179" s="416">
        <v>61.7</v>
      </c>
      <c r="AN179" s="416">
        <v>46.4</v>
      </c>
      <c r="AO179" s="416">
        <v>34.700000000000003</v>
      </c>
      <c r="AP179" s="416">
        <v>25.5</v>
      </c>
      <c r="AQ179" s="416">
        <v>17.8</v>
      </c>
      <c r="AR179" s="416">
        <v>11.4</v>
      </c>
      <c r="AS179" s="416">
        <v>6.73</v>
      </c>
      <c r="AT179" s="416">
        <v>0</v>
      </c>
      <c r="AU179" s="416">
        <v>0</v>
      </c>
      <c r="AV179" s="416">
        <v>0</v>
      </c>
      <c r="AW179" s="416">
        <v>0</v>
      </c>
      <c r="AX179" s="416">
        <v>0</v>
      </c>
      <c r="AY179" s="416">
        <v>0</v>
      </c>
      <c r="AZ179" s="416">
        <v>0</v>
      </c>
    </row>
    <row r="180" spans="1:52" x14ac:dyDescent="0.25">
      <c r="A180" s="415" t="str">
        <f t="shared" si="2"/>
        <v>SA-234 Gr.WP5</v>
      </c>
      <c r="B180" s="415">
        <v>175</v>
      </c>
      <c r="C180" s="415" t="s">
        <v>3555</v>
      </c>
      <c r="D180" s="415" t="s">
        <v>913</v>
      </c>
      <c r="E180" s="415" t="s">
        <v>2174</v>
      </c>
      <c r="F180" s="415" t="s">
        <v>2608</v>
      </c>
      <c r="G180" s="415" t="s">
        <v>2979</v>
      </c>
      <c r="H180" s="415">
        <v>0</v>
      </c>
      <c r="I180" s="415">
        <v>0</v>
      </c>
      <c r="J180" s="415" t="s">
        <v>2980</v>
      </c>
      <c r="K180" s="415">
        <v>1</v>
      </c>
      <c r="L180" s="415">
        <v>8</v>
      </c>
      <c r="M180" s="415">
        <v>415</v>
      </c>
      <c r="N180" s="415">
        <v>205</v>
      </c>
      <c r="O180" s="415">
        <v>649</v>
      </c>
      <c r="P180" s="415" t="s">
        <v>2699</v>
      </c>
      <c r="Q180" s="415" t="s">
        <v>3553</v>
      </c>
      <c r="R180" s="415">
        <v>8</v>
      </c>
      <c r="S180" s="415">
        <v>138</v>
      </c>
      <c r="T180" s="416">
        <v>138</v>
      </c>
      <c r="U180" s="416">
        <v>129</v>
      </c>
      <c r="V180" s="416">
        <v>124</v>
      </c>
      <c r="W180" s="416">
        <v>122</v>
      </c>
      <c r="X180" s="416">
        <v>120</v>
      </c>
      <c r="Y180" s="416">
        <v>119</v>
      </c>
      <c r="Z180" s="416">
        <v>119</v>
      </c>
      <c r="AA180" s="416">
        <v>118</v>
      </c>
      <c r="AB180" s="416">
        <v>118</v>
      </c>
      <c r="AC180" s="416">
        <v>117</v>
      </c>
      <c r="AD180" s="416">
        <v>117</v>
      </c>
      <c r="AE180" s="416">
        <v>116</v>
      </c>
      <c r="AF180" s="416">
        <v>114</v>
      </c>
      <c r="AG180" s="416">
        <v>112</v>
      </c>
      <c r="AH180" s="416">
        <v>110</v>
      </c>
      <c r="AI180" s="416">
        <v>106</v>
      </c>
      <c r="AJ180" s="416">
        <v>103</v>
      </c>
      <c r="AK180" s="416">
        <v>80.599999999999994</v>
      </c>
      <c r="AL180" s="416">
        <v>8</v>
      </c>
      <c r="AM180" s="416">
        <v>61.7</v>
      </c>
      <c r="AN180" s="416">
        <v>46.4</v>
      </c>
      <c r="AO180" s="416">
        <v>34.700000000000003</v>
      </c>
      <c r="AP180" s="416">
        <v>25.5</v>
      </c>
      <c r="AQ180" s="416">
        <v>17.8</v>
      </c>
      <c r="AR180" s="416">
        <v>11.4</v>
      </c>
      <c r="AS180" s="416">
        <v>6.73</v>
      </c>
      <c r="AT180" s="416">
        <v>0</v>
      </c>
      <c r="AU180" s="416">
        <v>0</v>
      </c>
      <c r="AV180" s="416">
        <v>0</v>
      </c>
      <c r="AW180" s="416">
        <v>0</v>
      </c>
      <c r="AX180" s="416">
        <v>0</v>
      </c>
      <c r="AY180" s="416">
        <v>0</v>
      </c>
      <c r="AZ180" s="416">
        <v>0</v>
      </c>
    </row>
    <row r="181" spans="1:52" x14ac:dyDescent="0.25">
      <c r="A181" s="415" t="str">
        <f t="shared" si="2"/>
        <v>SA-335 Gr.P5</v>
      </c>
      <c r="B181" s="415">
        <v>176</v>
      </c>
      <c r="C181" s="415" t="s">
        <v>3555</v>
      </c>
      <c r="D181" s="415" t="s">
        <v>2703</v>
      </c>
      <c r="E181" s="415" t="s">
        <v>2210</v>
      </c>
      <c r="F181" s="415" t="s">
        <v>2518</v>
      </c>
      <c r="G181" s="415" t="s">
        <v>2979</v>
      </c>
      <c r="H181" s="415">
        <v>0</v>
      </c>
      <c r="I181" s="415">
        <v>0</v>
      </c>
      <c r="J181" s="415" t="s">
        <v>2980</v>
      </c>
      <c r="K181" s="415">
        <v>1</v>
      </c>
      <c r="L181" s="415">
        <v>9</v>
      </c>
      <c r="M181" s="415">
        <v>415</v>
      </c>
      <c r="N181" s="415">
        <v>205</v>
      </c>
      <c r="O181" s="415">
        <v>649</v>
      </c>
      <c r="P181" s="415" t="s">
        <v>2699</v>
      </c>
      <c r="Q181" s="415" t="s">
        <v>3553</v>
      </c>
      <c r="R181" s="415">
        <v>9</v>
      </c>
      <c r="S181" s="415">
        <v>138</v>
      </c>
      <c r="T181" s="416">
        <v>138</v>
      </c>
      <c r="U181" s="416">
        <v>129</v>
      </c>
      <c r="V181" s="416">
        <v>124</v>
      </c>
      <c r="W181" s="416">
        <v>122</v>
      </c>
      <c r="X181" s="416">
        <v>120</v>
      </c>
      <c r="Y181" s="416">
        <v>119</v>
      </c>
      <c r="Z181" s="416">
        <v>119</v>
      </c>
      <c r="AA181" s="416">
        <v>118</v>
      </c>
      <c r="AB181" s="416">
        <v>118</v>
      </c>
      <c r="AC181" s="416">
        <v>117</v>
      </c>
      <c r="AD181" s="416">
        <v>117</v>
      </c>
      <c r="AE181" s="416">
        <v>116</v>
      </c>
      <c r="AF181" s="416">
        <v>114</v>
      </c>
      <c r="AG181" s="416">
        <v>112</v>
      </c>
      <c r="AH181" s="416">
        <v>110</v>
      </c>
      <c r="AI181" s="416">
        <v>106</v>
      </c>
      <c r="AJ181" s="416">
        <v>103</v>
      </c>
      <c r="AK181" s="416">
        <v>80.599999999999994</v>
      </c>
      <c r="AL181" s="416">
        <v>9</v>
      </c>
      <c r="AM181" s="416">
        <v>61.7</v>
      </c>
      <c r="AN181" s="416">
        <v>46.4</v>
      </c>
      <c r="AO181" s="416">
        <v>34.700000000000003</v>
      </c>
      <c r="AP181" s="416">
        <v>25.5</v>
      </c>
      <c r="AQ181" s="416">
        <v>17.8</v>
      </c>
      <c r="AR181" s="416">
        <v>11.4</v>
      </c>
      <c r="AS181" s="416">
        <v>6.73</v>
      </c>
      <c r="AT181" s="416">
        <v>0</v>
      </c>
      <c r="AU181" s="416">
        <v>0</v>
      </c>
      <c r="AV181" s="416">
        <v>0</v>
      </c>
      <c r="AW181" s="416">
        <v>0</v>
      </c>
      <c r="AX181" s="416">
        <v>0</v>
      </c>
      <c r="AY181" s="416">
        <v>0</v>
      </c>
      <c r="AZ181" s="416">
        <v>0</v>
      </c>
    </row>
    <row r="182" spans="1:52" x14ac:dyDescent="0.25">
      <c r="A182" s="415" t="str">
        <f t="shared" si="2"/>
        <v>SA-369 Gr.FP5</v>
      </c>
      <c r="B182" s="415">
        <v>177</v>
      </c>
      <c r="C182" s="415" t="s">
        <v>3555</v>
      </c>
      <c r="D182" s="415" t="s">
        <v>2707</v>
      </c>
      <c r="E182" s="415" t="s">
        <v>2221</v>
      </c>
      <c r="F182" s="415" t="s">
        <v>2471</v>
      </c>
      <c r="G182" s="415" t="s">
        <v>2979</v>
      </c>
      <c r="H182" s="415">
        <v>0</v>
      </c>
      <c r="I182" s="415">
        <v>0</v>
      </c>
      <c r="J182" s="415" t="s">
        <v>2980</v>
      </c>
      <c r="K182" s="415">
        <v>1</v>
      </c>
      <c r="L182" s="415">
        <v>10</v>
      </c>
      <c r="M182" s="415">
        <v>415</v>
      </c>
      <c r="N182" s="415">
        <v>210</v>
      </c>
      <c r="O182" s="415">
        <v>649</v>
      </c>
      <c r="P182" s="415" t="s">
        <v>2699</v>
      </c>
      <c r="Q182" s="415" t="s">
        <v>3553</v>
      </c>
      <c r="R182" s="415">
        <v>10</v>
      </c>
      <c r="S182" s="415">
        <v>138</v>
      </c>
      <c r="T182" s="416">
        <v>138</v>
      </c>
      <c r="U182" s="416">
        <v>129</v>
      </c>
      <c r="V182" s="416">
        <v>124</v>
      </c>
      <c r="W182" s="416">
        <v>122</v>
      </c>
      <c r="X182" s="416">
        <v>120</v>
      </c>
      <c r="Y182" s="416">
        <v>119</v>
      </c>
      <c r="Z182" s="416">
        <v>119</v>
      </c>
      <c r="AA182" s="416">
        <v>118</v>
      </c>
      <c r="AB182" s="416">
        <v>118</v>
      </c>
      <c r="AC182" s="416">
        <v>117</v>
      </c>
      <c r="AD182" s="416">
        <v>117</v>
      </c>
      <c r="AE182" s="416">
        <v>116</v>
      </c>
      <c r="AF182" s="416">
        <v>114</v>
      </c>
      <c r="AG182" s="416">
        <v>112</v>
      </c>
      <c r="AH182" s="416">
        <v>110</v>
      </c>
      <c r="AI182" s="416">
        <v>106</v>
      </c>
      <c r="AJ182" s="416">
        <v>103</v>
      </c>
      <c r="AK182" s="416">
        <v>80.599999999999994</v>
      </c>
      <c r="AL182" s="416">
        <v>10</v>
      </c>
      <c r="AM182" s="416">
        <v>61.7</v>
      </c>
      <c r="AN182" s="416">
        <v>46.4</v>
      </c>
      <c r="AO182" s="416">
        <v>34.700000000000003</v>
      </c>
      <c r="AP182" s="416">
        <v>25.5</v>
      </c>
      <c r="AQ182" s="416">
        <v>17.8</v>
      </c>
      <c r="AR182" s="416">
        <v>11.4</v>
      </c>
      <c r="AS182" s="416">
        <v>6.73</v>
      </c>
      <c r="AT182" s="416">
        <v>0</v>
      </c>
      <c r="AU182" s="416">
        <v>0</v>
      </c>
      <c r="AV182" s="416">
        <v>0</v>
      </c>
      <c r="AW182" s="416">
        <v>0</v>
      </c>
      <c r="AX182" s="416">
        <v>0</v>
      </c>
      <c r="AY182" s="416">
        <v>0</v>
      </c>
      <c r="AZ182" s="416">
        <v>0</v>
      </c>
    </row>
    <row r="183" spans="1:52" x14ac:dyDescent="0.25">
      <c r="A183" s="415" t="str">
        <f t="shared" si="2"/>
        <v>SA-387 Gr.5</v>
      </c>
      <c r="B183" s="415">
        <v>178</v>
      </c>
      <c r="C183" s="415" t="s">
        <v>3555</v>
      </c>
      <c r="D183" s="415" t="s">
        <v>2684</v>
      </c>
      <c r="E183" s="415" t="s">
        <v>2227</v>
      </c>
      <c r="F183" s="415">
        <v>5</v>
      </c>
      <c r="G183" s="415" t="s">
        <v>2979</v>
      </c>
      <c r="H183" s="415">
        <v>1</v>
      </c>
      <c r="I183" s="415">
        <v>0</v>
      </c>
      <c r="J183" s="415" t="s">
        <v>2980</v>
      </c>
      <c r="K183" s="415">
        <v>1</v>
      </c>
      <c r="L183" s="415">
        <v>11</v>
      </c>
      <c r="M183" s="415">
        <v>415</v>
      </c>
      <c r="N183" s="415">
        <v>210</v>
      </c>
      <c r="O183" s="415">
        <v>649</v>
      </c>
      <c r="P183" s="415" t="s">
        <v>2699</v>
      </c>
      <c r="Q183" s="415" t="s">
        <v>3553</v>
      </c>
      <c r="R183" s="415">
        <v>11</v>
      </c>
      <c r="S183" s="415">
        <v>138</v>
      </c>
      <c r="T183" s="416">
        <v>138</v>
      </c>
      <c r="U183" s="416">
        <v>129</v>
      </c>
      <c r="V183" s="416">
        <v>124</v>
      </c>
      <c r="W183" s="416">
        <v>122</v>
      </c>
      <c r="X183" s="416">
        <v>120</v>
      </c>
      <c r="Y183" s="416">
        <v>119</v>
      </c>
      <c r="Z183" s="416">
        <v>119</v>
      </c>
      <c r="AA183" s="416">
        <v>118</v>
      </c>
      <c r="AB183" s="416">
        <v>118</v>
      </c>
      <c r="AC183" s="416">
        <v>117</v>
      </c>
      <c r="AD183" s="416">
        <v>117</v>
      </c>
      <c r="AE183" s="416">
        <v>116</v>
      </c>
      <c r="AF183" s="416">
        <v>114</v>
      </c>
      <c r="AG183" s="416">
        <v>112</v>
      </c>
      <c r="AH183" s="416">
        <v>110</v>
      </c>
      <c r="AI183" s="416">
        <v>106</v>
      </c>
      <c r="AJ183" s="416">
        <v>103</v>
      </c>
      <c r="AK183" s="416">
        <v>80.599999999999994</v>
      </c>
      <c r="AL183" s="416">
        <v>11</v>
      </c>
      <c r="AM183" s="416">
        <v>61.7</v>
      </c>
      <c r="AN183" s="416">
        <v>46.4</v>
      </c>
      <c r="AO183" s="416">
        <v>34.700000000000003</v>
      </c>
      <c r="AP183" s="416">
        <v>25.5</v>
      </c>
      <c r="AQ183" s="416">
        <v>17.8</v>
      </c>
      <c r="AR183" s="416">
        <v>11.4</v>
      </c>
      <c r="AS183" s="416">
        <v>6.73</v>
      </c>
      <c r="AT183" s="416">
        <v>0</v>
      </c>
      <c r="AU183" s="416">
        <v>0</v>
      </c>
      <c r="AV183" s="416">
        <v>0</v>
      </c>
      <c r="AW183" s="416">
        <v>0</v>
      </c>
      <c r="AX183" s="416">
        <v>0</v>
      </c>
      <c r="AY183" s="416">
        <v>0</v>
      </c>
      <c r="AZ183" s="416">
        <v>0</v>
      </c>
    </row>
    <row r="184" spans="1:52" x14ac:dyDescent="0.25">
      <c r="A184" s="415" t="str">
        <f t="shared" si="2"/>
        <v>SA-336 Gr.F5</v>
      </c>
      <c r="B184" s="415">
        <v>179</v>
      </c>
      <c r="C184" s="415" t="s">
        <v>3555</v>
      </c>
      <c r="D184" s="415" t="s">
        <v>2737</v>
      </c>
      <c r="E184" s="415" t="s">
        <v>2211</v>
      </c>
      <c r="F184" s="415" t="s">
        <v>2455</v>
      </c>
      <c r="G184" s="415" t="s">
        <v>2979</v>
      </c>
      <c r="H184" s="415">
        <v>0</v>
      </c>
      <c r="I184" s="415">
        <v>0</v>
      </c>
      <c r="J184" s="415" t="s">
        <v>2980</v>
      </c>
      <c r="K184" s="415">
        <v>1</v>
      </c>
      <c r="L184" s="415">
        <v>12</v>
      </c>
      <c r="M184" s="415">
        <v>415</v>
      </c>
      <c r="N184" s="415">
        <v>250</v>
      </c>
      <c r="O184" s="415">
        <v>649</v>
      </c>
      <c r="P184" s="415" t="s">
        <v>2699</v>
      </c>
      <c r="Q184" s="415" t="s">
        <v>3553</v>
      </c>
      <c r="R184" s="415">
        <v>12</v>
      </c>
      <c r="S184" s="415">
        <v>165</v>
      </c>
      <c r="T184" s="416">
        <v>165</v>
      </c>
      <c r="U184" s="416">
        <v>155</v>
      </c>
      <c r="V184" s="416">
        <v>149</v>
      </c>
      <c r="W184" s="416">
        <v>146</v>
      </c>
      <c r="X184" s="416">
        <v>144</v>
      </c>
      <c r="Y184" s="416">
        <v>143</v>
      </c>
      <c r="Z184" s="416">
        <v>142</v>
      </c>
      <c r="AA184" s="416">
        <v>142</v>
      </c>
      <c r="AB184" s="416">
        <v>141</v>
      </c>
      <c r="AC184" s="416">
        <v>141</v>
      </c>
      <c r="AD184" s="416">
        <v>140</v>
      </c>
      <c r="AE184" s="416">
        <v>139</v>
      </c>
      <c r="AF184" s="416">
        <v>137</v>
      </c>
      <c r="AG184" s="416">
        <v>134</v>
      </c>
      <c r="AH184" s="416">
        <v>131</v>
      </c>
      <c r="AI184" s="416">
        <v>128</v>
      </c>
      <c r="AJ184" s="416">
        <v>123</v>
      </c>
      <c r="AK184" s="416">
        <v>80.599999999999994</v>
      </c>
      <c r="AL184" s="416">
        <v>12</v>
      </c>
      <c r="AM184" s="416">
        <v>61.7</v>
      </c>
      <c r="AN184" s="416">
        <v>46.4</v>
      </c>
      <c r="AO184" s="416">
        <v>34.700000000000003</v>
      </c>
      <c r="AP184" s="416">
        <v>25.5</v>
      </c>
      <c r="AQ184" s="416">
        <v>17.8</v>
      </c>
      <c r="AR184" s="416">
        <v>11.4</v>
      </c>
      <c r="AS184" s="416">
        <v>6.73</v>
      </c>
      <c r="AT184" s="416">
        <v>0</v>
      </c>
      <c r="AU184" s="416">
        <v>0</v>
      </c>
      <c r="AV184" s="416">
        <v>0</v>
      </c>
      <c r="AW184" s="416">
        <v>0</v>
      </c>
      <c r="AX184" s="416">
        <v>0</v>
      </c>
      <c r="AY184" s="416">
        <v>0</v>
      </c>
      <c r="AZ184" s="416">
        <v>0</v>
      </c>
    </row>
    <row r="185" spans="1:52" x14ac:dyDescent="0.25">
      <c r="A185" s="415" t="str">
        <f t="shared" si="2"/>
        <v>SA-182 Gr.F5</v>
      </c>
      <c r="B185" s="415">
        <v>180</v>
      </c>
      <c r="C185" s="415" t="s">
        <v>3555</v>
      </c>
      <c r="D185" s="415" t="s">
        <v>2737</v>
      </c>
      <c r="E185" s="415" t="s">
        <v>2188</v>
      </c>
      <c r="F185" s="415" t="s">
        <v>2455</v>
      </c>
      <c r="G185" s="415" t="s">
        <v>2979</v>
      </c>
      <c r="H185" s="415">
        <v>0</v>
      </c>
      <c r="I185" s="415">
        <v>0</v>
      </c>
      <c r="J185" s="415" t="s">
        <v>2980</v>
      </c>
      <c r="K185" s="415">
        <v>1</v>
      </c>
      <c r="L185" s="415">
        <v>13</v>
      </c>
      <c r="M185" s="415">
        <v>485</v>
      </c>
      <c r="N185" s="415">
        <v>275</v>
      </c>
      <c r="O185" s="415">
        <v>649</v>
      </c>
      <c r="P185" s="415" t="s">
        <v>2699</v>
      </c>
      <c r="Q185" s="415" t="s">
        <v>3553</v>
      </c>
      <c r="R185" s="415">
        <v>13</v>
      </c>
      <c r="S185" s="415">
        <v>184</v>
      </c>
      <c r="T185" s="416">
        <v>184</v>
      </c>
      <c r="U185" s="416">
        <v>172</v>
      </c>
      <c r="V185" s="416">
        <v>165</v>
      </c>
      <c r="W185" s="416">
        <v>162</v>
      </c>
      <c r="X185" s="416">
        <v>160</v>
      </c>
      <c r="Y185" s="416">
        <v>159</v>
      </c>
      <c r="Z185" s="416">
        <v>158</v>
      </c>
      <c r="AA185" s="416">
        <v>157</v>
      </c>
      <c r="AB185" s="416">
        <v>157</v>
      </c>
      <c r="AC185" s="416">
        <v>156</v>
      </c>
      <c r="AD185" s="416">
        <v>155</v>
      </c>
      <c r="AE185" s="416">
        <v>154</v>
      </c>
      <c r="AF185" s="416">
        <v>152</v>
      </c>
      <c r="AG185" s="416">
        <v>149</v>
      </c>
      <c r="AH185" s="416">
        <v>146</v>
      </c>
      <c r="AI185" s="416">
        <v>142</v>
      </c>
      <c r="AJ185" s="416">
        <v>137</v>
      </c>
      <c r="AK185" s="416">
        <v>80.599999999999994</v>
      </c>
      <c r="AL185" s="416">
        <v>13</v>
      </c>
      <c r="AM185" s="416">
        <v>61.7</v>
      </c>
      <c r="AN185" s="416">
        <v>46.4</v>
      </c>
      <c r="AO185" s="416">
        <v>34.700000000000003</v>
      </c>
      <c r="AP185" s="416">
        <v>25.5</v>
      </c>
      <c r="AQ185" s="416">
        <v>17.8</v>
      </c>
      <c r="AR185" s="416">
        <v>11.4</v>
      </c>
      <c r="AS185" s="416">
        <v>6.73</v>
      </c>
      <c r="AT185" s="416">
        <v>0</v>
      </c>
      <c r="AU185" s="416">
        <v>0</v>
      </c>
      <c r="AV185" s="416">
        <v>0</v>
      </c>
      <c r="AW185" s="416">
        <v>0</v>
      </c>
      <c r="AX185" s="416">
        <v>0</v>
      </c>
      <c r="AY185" s="416">
        <v>0</v>
      </c>
      <c r="AZ185" s="416">
        <v>0</v>
      </c>
    </row>
    <row r="186" spans="1:52" x14ac:dyDescent="0.25">
      <c r="A186" s="415" t="str">
        <f t="shared" si="2"/>
        <v>SA-387 Gr.5</v>
      </c>
      <c r="B186" s="415">
        <v>181</v>
      </c>
      <c r="C186" s="415" t="s">
        <v>3555</v>
      </c>
      <c r="D186" s="415" t="s">
        <v>2684</v>
      </c>
      <c r="E186" s="415" t="s">
        <v>2227</v>
      </c>
      <c r="F186" s="415">
        <v>5</v>
      </c>
      <c r="G186" s="415" t="s">
        <v>2979</v>
      </c>
      <c r="H186" s="415">
        <v>2</v>
      </c>
      <c r="I186" s="415">
        <v>0</v>
      </c>
      <c r="J186" s="415" t="s">
        <v>2980</v>
      </c>
      <c r="K186" s="415">
        <v>1</v>
      </c>
      <c r="L186" s="415">
        <v>14</v>
      </c>
      <c r="M186" s="415">
        <v>515</v>
      </c>
      <c r="N186" s="415">
        <v>310</v>
      </c>
      <c r="O186" s="415">
        <v>649</v>
      </c>
      <c r="P186" s="415" t="s">
        <v>2819</v>
      </c>
      <c r="Q186" s="415" t="s">
        <v>3553</v>
      </c>
      <c r="R186" s="415">
        <v>14</v>
      </c>
      <c r="S186" s="415">
        <v>207</v>
      </c>
      <c r="T186" s="416">
        <v>207</v>
      </c>
      <c r="U186" s="416">
        <v>193</v>
      </c>
      <c r="V186" s="416">
        <v>186</v>
      </c>
      <c r="W186" s="416">
        <v>182</v>
      </c>
      <c r="X186" s="416">
        <v>180</v>
      </c>
      <c r="Y186" s="416">
        <v>179</v>
      </c>
      <c r="Z186" s="416">
        <v>178</v>
      </c>
      <c r="AA186" s="416">
        <v>177</v>
      </c>
      <c r="AB186" s="416">
        <v>177</v>
      </c>
      <c r="AC186" s="416">
        <v>176</v>
      </c>
      <c r="AD186" s="416">
        <v>175</v>
      </c>
      <c r="AE186" s="416">
        <v>173</v>
      </c>
      <c r="AF186" s="416">
        <v>171</v>
      </c>
      <c r="AG186" s="416">
        <v>168</v>
      </c>
      <c r="AH186" s="416">
        <v>164</v>
      </c>
      <c r="AI186" s="416">
        <v>160</v>
      </c>
      <c r="AJ186" s="416">
        <v>154</v>
      </c>
      <c r="AK186" s="416">
        <v>80.599999999999994</v>
      </c>
      <c r="AL186" s="416">
        <v>14</v>
      </c>
      <c r="AM186" s="416">
        <v>61.7</v>
      </c>
      <c r="AN186" s="416">
        <v>46.4</v>
      </c>
      <c r="AO186" s="416">
        <v>34.700000000000003</v>
      </c>
      <c r="AP186" s="416">
        <v>25.5</v>
      </c>
      <c r="AQ186" s="416">
        <v>17.8</v>
      </c>
      <c r="AR186" s="416">
        <v>11.4</v>
      </c>
      <c r="AS186" s="416">
        <v>6.73</v>
      </c>
      <c r="AT186" s="416">
        <v>0</v>
      </c>
      <c r="AU186" s="416">
        <v>0</v>
      </c>
      <c r="AV186" s="416">
        <v>0</v>
      </c>
      <c r="AW186" s="416">
        <v>0</v>
      </c>
      <c r="AX186" s="416">
        <v>0</v>
      </c>
      <c r="AY186" s="416">
        <v>0</v>
      </c>
      <c r="AZ186" s="416">
        <v>0</v>
      </c>
    </row>
    <row r="187" spans="1:52" x14ac:dyDescent="0.25">
      <c r="A187" s="415" t="str">
        <f t="shared" si="2"/>
        <v>SA-336 Gr.F5A</v>
      </c>
      <c r="B187" s="415">
        <v>182</v>
      </c>
      <c r="C187" s="415" t="s">
        <v>3555</v>
      </c>
      <c r="D187" s="415" t="s">
        <v>2737</v>
      </c>
      <c r="E187" s="415" t="s">
        <v>2211</v>
      </c>
      <c r="F187" s="415" t="s">
        <v>2459</v>
      </c>
      <c r="G187" s="415" t="s">
        <v>2982</v>
      </c>
      <c r="H187" s="415">
        <v>0</v>
      </c>
      <c r="I187" s="415">
        <v>0</v>
      </c>
      <c r="J187" s="415" t="s">
        <v>2980</v>
      </c>
      <c r="K187" s="415">
        <v>1</v>
      </c>
      <c r="L187" s="415">
        <v>15</v>
      </c>
      <c r="M187" s="415">
        <v>550</v>
      </c>
      <c r="N187" s="415">
        <v>345</v>
      </c>
      <c r="O187" s="415">
        <v>649</v>
      </c>
      <c r="P187" s="415" t="s">
        <v>2819</v>
      </c>
      <c r="Q187" s="415" t="s">
        <v>3553</v>
      </c>
      <c r="R187" s="415">
        <v>15</v>
      </c>
      <c r="S187" s="415">
        <v>230</v>
      </c>
      <c r="T187" s="416">
        <v>230</v>
      </c>
      <c r="U187" s="416">
        <v>215</v>
      </c>
      <c r="V187" s="416">
        <v>206</v>
      </c>
      <c r="W187" s="416">
        <v>203</v>
      </c>
      <c r="X187" s="416">
        <v>200</v>
      </c>
      <c r="Y187" s="416">
        <v>199</v>
      </c>
      <c r="Z187" s="416">
        <v>198</v>
      </c>
      <c r="AA187" s="416">
        <v>197</v>
      </c>
      <c r="AB187" s="416">
        <v>196</v>
      </c>
      <c r="AC187" s="416">
        <v>195</v>
      </c>
      <c r="AD187" s="416">
        <v>194</v>
      </c>
      <c r="AE187" s="416">
        <v>193</v>
      </c>
      <c r="AF187" s="416">
        <v>190</v>
      </c>
      <c r="AG187" s="416">
        <v>187</v>
      </c>
      <c r="AH187" s="416">
        <v>183</v>
      </c>
      <c r="AI187" s="416">
        <v>177</v>
      </c>
      <c r="AJ187" s="416">
        <v>171</v>
      </c>
      <c r="AK187" s="416">
        <v>80.599999999999994</v>
      </c>
      <c r="AL187" s="416">
        <v>15</v>
      </c>
      <c r="AM187" s="416">
        <v>61.7</v>
      </c>
      <c r="AN187" s="416">
        <v>46.4</v>
      </c>
      <c r="AO187" s="416">
        <v>34.700000000000003</v>
      </c>
      <c r="AP187" s="416">
        <v>25.5</v>
      </c>
      <c r="AQ187" s="416">
        <v>17.8</v>
      </c>
      <c r="AR187" s="416">
        <v>11.4</v>
      </c>
      <c r="AS187" s="416">
        <v>6.73</v>
      </c>
      <c r="AT187" s="416">
        <v>0</v>
      </c>
      <c r="AU187" s="416">
        <v>0</v>
      </c>
      <c r="AV187" s="416">
        <v>0</v>
      </c>
      <c r="AW187" s="416">
        <v>0</v>
      </c>
      <c r="AX187" s="416">
        <v>0</v>
      </c>
      <c r="AY187" s="416">
        <v>0</v>
      </c>
      <c r="AZ187" s="416">
        <v>0</v>
      </c>
    </row>
    <row r="188" spans="1:52" x14ac:dyDescent="0.25">
      <c r="A188" s="415" t="str">
        <f t="shared" si="2"/>
        <v>SA-217 Gr.C5</v>
      </c>
      <c r="B188" s="415">
        <v>183</v>
      </c>
      <c r="C188" s="415" t="s">
        <v>3555</v>
      </c>
      <c r="D188" s="415" t="s">
        <v>2739</v>
      </c>
      <c r="E188" s="415" t="s">
        <v>2198</v>
      </c>
      <c r="F188" s="415" t="s">
        <v>2351</v>
      </c>
      <c r="G188" s="415" t="s">
        <v>2983</v>
      </c>
      <c r="H188" s="415">
        <v>0</v>
      </c>
      <c r="I188" s="415">
        <v>0</v>
      </c>
      <c r="J188" s="415" t="s">
        <v>2980</v>
      </c>
      <c r="K188" s="415">
        <v>1</v>
      </c>
      <c r="L188" s="415">
        <v>16</v>
      </c>
      <c r="M188" s="415">
        <v>620</v>
      </c>
      <c r="N188" s="415">
        <v>415</v>
      </c>
      <c r="O188" s="415">
        <v>649</v>
      </c>
      <c r="P188" s="415" t="s">
        <v>2819</v>
      </c>
      <c r="Q188" s="415" t="s">
        <v>3556</v>
      </c>
      <c r="R188" s="415">
        <v>16</v>
      </c>
      <c r="S188" s="415">
        <v>259</v>
      </c>
      <c r="T188" s="416">
        <v>259</v>
      </c>
      <c r="U188" s="416">
        <v>258</v>
      </c>
      <c r="V188" s="416">
        <v>248</v>
      </c>
      <c r="W188" s="416">
        <v>243</v>
      </c>
      <c r="X188" s="416">
        <v>240</v>
      </c>
      <c r="Y188" s="416">
        <v>238</v>
      </c>
      <c r="Z188" s="416">
        <v>237</v>
      </c>
      <c r="AA188" s="416">
        <v>236</v>
      </c>
      <c r="AB188" s="416">
        <v>235</v>
      </c>
      <c r="AC188" s="416">
        <v>235</v>
      </c>
      <c r="AD188" s="416">
        <v>233</v>
      </c>
      <c r="AE188" s="416">
        <v>231</v>
      </c>
      <c r="AF188" s="416">
        <v>228</v>
      </c>
      <c r="AG188" s="416">
        <v>224</v>
      </c>
      <c r="AH188" s="416">
        <v>219</v>
      </c>
      <c r="AI188" s="416">
        <v>213</v>
      </c>
      <c r="AJ188" s="416">
        <v>205</v>
      </c>
      <c r="AK188" s="416">
        <v>80.599999999999994</v>
      </c>
      <c r="AL188" s="416">
        <v>16</v>
      </c>
      <c r="AM188" s="416">
        <v>61.7</v>
      </c>
      <c r="AN188" s="416">
        <v>46.4</v>
      </c>
      <c r="AO188" s="416">
        <v>34.700000000000003</v>
      </c>
      <c r="AP188" s="416">
        <v>25.5</v>
      </c>
      <c r="AQ188" s="416">
        <v>17.8</v>
      </c>
      <c r="AR188" s="416">
        <v>11.4</v>
      </c>
      <c r="AS188" s="416">
        <v>6.73</v>
      </c>
      <c r="AT188" s="416">
        <v>0</v>
      </c>
      <c r="AU188" s="416">
        <v>0</v>
      </c>
      <c r="AV188" s="416">
        <v>0</v>
      </c>
      <c r="AW188" s="416">
        <v>0</v>
      </c>
      <c r="AX188" s="416">
        <v>0</v>
      </c>
      <c r="AY188" s="416">
        <v>0</v>
      </c>
      <c r="AZ188" s="416">
        <v>0</v>
      </c>
    </row>
    <row r="189" spans="1:52" x14ac:dyDescent="0.25">
      <c r="A189" s="415" t="str">
        <f t="shared" si="2"/>
        <v>SA-182 Gr.F5a</v>
      </c>
      <c r="B189" s="415">
        <v>184</v>
      </c>
      <c r="C189" s="415" t="s">
        <v>3555</v>
      </c>
      <c r="D189" s="415" t="s">
        <v>2737</v>
      </c>
      <c r="E189" s="415" t="s">
        <v>2188</v>
      </c>
      <c r="F189" s="415" t="s">
        <v>2985</v>
      </c>
      <c r="G189" s="415" t="s">
        <v>2982</v>
      </c>
      <c r="H189" s="415">
        <v>0</v>
      </c>
      <c r="I189" s="415">
        <v>0</v>
      </c>
      <c r="J189" s="415" t="s">
        <v>2980</v>
      </c>
      <c r="K189" s="415">
        <v>1</v>
      </c>
      <c r="L189" s="415">
        <v>17</v>
      </c>
      <c r="M189" s="415">
        <v>620</v>
      </c>
      <c r="N189" s="415">
        <v>450</v>
      </c>
      <c r="O189" s="415">
        <v>649</v>
      </c>
      <c r="P189" s="415" t="s">
        <v>2838</v>
      </c>
      <c r="Q189" s="415" t="s">
        <v>3553</v>
      </c>
      <c r="R189" s="415">
        <v>17</v>
      </c>
      <c r="S189" s="415">
        <v>259</v>
      </c>
      <c r="T189" s="416">
        <v>259</v>
      </c>
      <c r="U189" s="416">
        <v>259</v>
      </c>
      <c r="V189" s="416">
        <v>259</v>
      </c>
      <c r="W189" s="416">
        <v>259</v>
      </c>
      <c r="X189" s="416">
        <v>259</v>
      </c>
      <c r="Y189" s="416">
        <v>258</v>
      </c>
      <c r="Z189" s="416">
        <v>257</v>
      </c>
      <c r="AA189" s="416">
        <v>256</v>
      </c>
      <c r="AB189" s="416">
        <v>255</v>
      </c>
      <c r="AC189" s="416">
        <v>254</v>
      </c>
      <c r="AD189" s="416">
        <v>253</v>
      </c>
      <c r="AE189" s="416">
        <v>250</v>
      </c>
      <c r="AF189" s="416">
        <v>247</v>
      </c>
      <c r="AG189" s="416">
        <v>243</v>
      </c>
      <c r="AH189" s="416">
        <v>237</v>
      </c>
      <c r="AI189" s="416">
        <v>230</v>
      </c>
      <c r="AJ189" s="416">
        <v>222</v>
      </c>
      <c r="AK189" s="416">
        <v>80.599999999999994</v>
      </c>
      <c r="AL189" s="416">
        <v>17</v>
      </c>
      <c r="AM189" s="416">
        <v>61.7</v>
      </c>
      <c r="AN189" s="416">
        <v>46.4</v>
      </c>
      <c r="AO189" s="416">
        <v>34.700000000000003</v>
      </c>
      <c r="AP189" s="416">
        <v>25.5</v>
      </c>
      <c r="AQ189" s="416">
        <v>17.8</v>
      </c>
      <c r="AR189" s="416">
        <v>11.4</v>
      </c>
      <c r="AS189" s="416">
        <v>6.73</v>
      </c>
      <c r="AT189" s="416">
        <v>0</v>
      </c>
      <c r="AU189" s="416">
        <v>0</v>
      </c>
      <c r="AV189" s="416">
        <v>0</v>
      </c>
      <c r="AW189" s="416">
        <v>0</v>
      </c>
      <c r="AX189" s="416">
        <v>0</v>
      </c>
      <c r="AY189" s="416">
        <v>0</v>
      </c>
      <c r="AZ189" s="416">
        <v>0</v>
      </c>
    </row>
    <row r="190" spans="1:52" x14ac:dyDescent="0.25">
      <c r="A190" s="415" t="str">
        <f t="shared" si="2"/>
        <v>SA-213 Gr.T5b</v>
      </c>
      <c r="B190" s="415">
        <v>185</v>
      </c>
      <c r="C190" s="415" t="s">
        <v>3557</v>
      </c>
      <c r="D190" s="415" t="s">
        <v>2693</v>
      </c>
      <c r="E190" s="415" t="s">
        <v>2195</v>
      </c>
      <c r="F190" s="415" t="s">
        <v>2550</v>
      </c>
      <c r="G190" s="415" t="s">
        <v>2987</v>
      </c>
      <c r="H190" s="415">
        <v>0</v>
      </c>
      <c r="I190" s="415">
        <v>0</v>
      </c>
      <c r="J190" s="415" t="s">
        <v>2980</v>
      </c>
      <c r="K190" s="415">
        <v>1</v>
      </c>
      <c r="L190" s="415">
        <v>18</v>
      </c>
      <c r="M190" s="415">
        <v>415</v>
      </c>
      <c r="N190" s="415">
        <v>205</v>
      </c>
      <c r="O190" s="415">
        <v>649</v>
      </c>
      <c r="P190" s="415" t="s">
        <v>2699</v>
      </c>
      <c r="Q190" s="415" t="s">
        <v>3553</v>
      </c>
      <c r="R190" s="415">
        <v>18</v>
      </c>
      <c r="S190" s="415">
        <v>138</v>
      </c>
      <c r="T190" s="416">
        <v>138</v>
      </c>
      <c r="U190" s="416">
        <v>129</v>
      </c>
      <c r="V190" s="416">
        <v>124</v>
      </c>
      <c r="W190" s="416">
        <v>122</v>
      </c>
      <c r="X190" s="416">
        <v>120</v>
      </c>
      <c r="Y190" s="416">
        <v>119</v>
      </c>
      <c r="Z190" s="416">
        <v>119</v>
      </c>
      <c r="AA190" s="416">
        <v>118</v>
      </c>
      <c r="AB190" s="416">
        <v>118</v>
      </c>
      <c r="AC190" s="416">
        <v>117</v>
      </c>
      <c r="AD190" s="416">
        <v>117</v>
      </c>
      <c r="AE190" s="416">
        <v>116</v>
      </c>
      <c r="AF190" s="416">
        <v>114</v>
      </c>
      <c r="AG190" s="416">
        <v>112</v>
      </c>
      <c r="AH190" s="416">
        <v>110</v>
      </c>
      <c r="AI190" s="416">
        <v>106</v>
      </c>
      <c r="AJ190" s="416">
        <v>103</v>
      </c>
      <c r="AK190" s="416">
        <v>80.599999999999994</v>
      </c>
      <c r="AL190" s="416">
        <v>18</v>
      </c>
      <c r="AM190" s="416">
        <v>61.7</v>
      </c>
      <c r="AN190" s="416">
        <v>46.4</v>
      </c>
      <c r="AO190" s="416">
        <v>34.700000000000003</v>
      </c>
      <c r="AP190" s="416">
        <v>25.5</v>
      </c>
      <c r="AQ190" s="416">
        <v>17.8</v>
      </c>
      <c r="AR190" s="416">
        <v>11.4</v>
      </c>
      <c r="AS190" s="416">
        <v>6.73</v>
      </c>
      <c r="AT190" s="416">
        <v>0</v>
      </c>
      <c r="AU190" s="416">
        <v>0</v>
      </c>
      <c r="AV190" s="416">
        <v>0</v>
      </c>
      <c r="AW190" s="416">
        <v>0</v>
      </c>
      <c r="AX190" s="416">
        <v>0</v>
      </c>
      <c r="AY190" s="416">
        <v>0</v>
      </c>
      <c r="AZ190" s="416">
        <v>0</v>
      </c>
    </row>
    <row r="191" spans="1:52" x14ac:dyDescent="0.25">
      <c r="A191" s="415" t="str">
        <f t="shared" si="2"/>
        <v>SA-335 Gr.P5b</v>
      </c>
      <c r="B191" s="415">
        <v>186</v>
      </c>
      <c r="C191" s="415" t="s">
        <v>3557</v>
      </c>
      <c r="D191" s="415" t="s">
        <v>2703</v>
      </c>
      <c r="E191" s="415" t="s">
        <v>2210</v>
      </c>
      <c r="F191" s="415" t="s">
        <v>2519</v>
      </c>
      <c r="G191" s="415" t="s">
        <v>2987</v>
      </c>
      <c r="H191" s="415">
        <v>0</v>
      </c>
      <c r="I191" s="415">
        <v>0</v>
      </c>
      <c r="J191" s="415" t="s">
        <v>2980</v>
      </c>
      <c r="K191" s="415">
        <v>1</v>
      </c>
      <c r="L191" s="415">
        <v>19</v>
      </c>
      <c r="M191" s="415">
        <v>415</v>
      </c>
      <c r="N191" s="415">
        <v>205</v>
      </c>
      <c r="O191" s="415">
        <v>649</v>
      </c>
      <c r="P191" s="415" t="s">
        <v>2699</v>
      </c>
      <c r="Q191" s="415" t="s">
        <v>3553</v>
      </c>
      <c r="R191" s="415">
        <v>19</v>
      </c>
      <c r="S191" s="415">
        <v>138</v>
      </c>
      <c r="T191" s="416">
        <v>138</v>
      </c>
      <c r="U191" s="416">
        <v>129</v>
      </c>
      <c r="V191" s="416">
        <v>124</v>
      </c>
      <c r="W191" s="416">
        <v>122</v>
      </c>
      <c r="X191" s="416">
        <v>120</v>
      </c>
      <c r="Y191" s="416">
        <v>119</v>
      </c>
      <c r="Z191" s="416">
        <v>119</v>
      </c>
      <c r="AA191" s="416">
        <v>118</v>
      </c>
      <c r="AB191" s="416">
        <v>118</v>
      </c>
      <c r="AC191" s="416">
        <v>117</v>
      </c>
      <c r="AD191" s="416">
        <v>117</v>
      </c>
      <c r="AE191" s="416">
        <v>116</v>
      </c>
      <c r="AF191" s="416">
        <v>114</v>
      </c>
      <c r="AG191" s="416">
        <v>112</v>
      </c>
      <c r="AH191" s="416">
        <v>110</v>
      </c>
      <c r="AI191" s="416">
        <v>106</v>
      </c>
      <c r="AJ191" s="416">
        <v>103</v>
      </c>
      <c r="AK191" s="416">
        <v>80.599999999999994</v>
      </c>
      <c r="AL191" s="416">
        <v>19</v>
      </c>
      <c r="AM191" s="416">
        <v>61.7</v>
      </c>
      <c r="AN191" s="416">
        <v>46.4</v>
      </c>
      <c r="AO191" s="416">
        <v>34.700000000000003</v>
      </c>
      <c r="AP191" s="416">
        <v>25.5</v>
      </c>
      <c r="AQ191" s="416">
        <v>17.8</v>
      </c>
      <c r="AR191" s="416">
        <v>11.4</v>
      </c>
      <c r="AS191" s="416">
        <v>6.73</v>
      </c>
      <c r="AT191" s="416">
        <v>0</v>
      </c>
      <c r="AU191" s="416">
        <v>0</v>
      </c>
      <c r="AV191" s="416">
        <v>0</v>
      </c>
      <c r="AW191" s="416">
        <v>0</v>
      </c>
      <c r="AX191" s="416">
        <v>0</v>
      </c>
      <c r="AY191" s="416">
        <v>0</v>
      </c>
      <c r="AZ191" s="416">
        <v>0</v>
      </c>
    </row>
    <row r="192" spans="1:52" x14ac:dyDescent="0.25">
      <c r="A192" s="415" t="str">
        <f t="shared" si="2"/>
        <v>SA-213 Gr.T5c</v>
      </c>
      <c r="B192" s="415">
        <v>187</v>
      </c>
      <c r="C192" s="415" t="s">
        <v>3558</v>
      </c>
      <c r="D192" s="415" t="s">
        <v>2693</v>
      </c>
      <c r="E192" s="415" t="s">
        <v>2195</v>
      </c>
      <c r="F192" s="415" t="s">
        <v>2551</v>
      </c>
      <c r="G192" s="415" t="s">
        <v>2989</v>
      </c>
      <c r="H192" s="415">
        <v>0</v>
      </c>
      <c r="I192" s="415">
        <v>0</v>
      </c>
      <c r="J192" s="415" t="s">
        <v>2980</v>
      </c>
      <c r="K192" s="415">
        <v>1</v>
      </c>
      <c r="L192" s="415">
        <v>20</v>
      </c>
      <c r="M192" s="415">
        <v>415</v>
      </c>
      <c r="N192" s="415">
        <v>205</v>
      </c>
      <c r="O192" s="415">
        <v>649</v>
      </c>
      <c r="P192" s="415" t="s">
        <v>2699</v>
      </c>
      <c r="Q192" s="415" t="s">
        <v>3553</v>
      </c>
      <c r="R192" s="415">
        <v>20</v>
      </c>
      <c r="S192" s="415">
        <v>138</v>
      </c>
      <c r="T192" s="416">
        <v>138</v>
      </c>
      <c r="U192" s="416">
        <v>129</v>
      </c>
      <c r="V192" s="416">
        <v>124</v>
      </c>
      <c r="W192" s="416">
        <v>122</v>
      </c>
      <c r="X192" s="416">
        <v>120</v>
      </c>
      <c r="Y192" s="416">
        <v>119</v>
      </c>
      <c r="Z192" s="416">
        <v>119</v>
      </c>
      <c r="AA192" s="416">
        <v>118</v>
      </c>
      <c r="AB192" s="416">
        <v>118</v>
      </c>
      <c r="AC192" s="416">
        <v>117</v>
      </c>
      <c r="AD192" s="416">
        <v>117</v>
      </c>
      <c r="AE192" s="416">
        <v>116</v>
      </c>
      <c r="AF192" s="416">
        <v>114</v>
      </c>
      <c r="AG192" s="416">
        <v>112</v>
      </c>
      <c r="AH192" s="416">
        <v>110</v>
      </c>
      <c r="AI192" s="416">
        <v>106</v>
      </c>
      <c r="AJ192" s="416">
        <v>103</v>
      </c>
      <c r="AK192" s="416">
        <v>80.599999999999994</v>
      </c>
      <c r="AL192" s="416">
        <v>20</v>
      </c>
      <c r="AM192" s="416">
        <v>61.7</v>
      </c>
      <c r="AN192" s="416">
        <v>46.4</v>
      </c>
      <c r="AO192" s="416">
        <v>34.700000000000003</v>
      </c>
      <c r="AP192" s="416">
        <v>25.5</v>
      </c>
      <c r="AQ192" s="416">
        <v>17.8</v>
      </c>
      <c r="AR192" s="416">
        <v>11.4</v>
      </c>
      <c r="AS192" s="416">
        <v>6.73</v>
      </c>
      <c r="AT192" s="416">
        <v>0</v>
      </c>
      <c r="AU192" s="416">
        <v>0</v>
      </c>
      <c r="AV192" s="416">
        <v>0</v>
      </c>
      <c r="AW192" s="416">
        <v>0</v>
      </c>
      <c r="AX192" s="416">
        <v>0</v>
      </c>
      <c r="AY192" s="416">
        <v>0</v>
      </c>
      <c r="AZ192" s="416">
        <v>0</v>
      </c>
    </row>
    <row r="193" spans="1:52" x14ac:dyDescent="0.25">
      <c r="A193" s="415" t="str">
        <f t="shared" si="2"/>
        <v>SA-335 Gr.P5c</v>
      </c>
      <c r="B193" s="415">
        <v>188</v>
      </c>
      <c r="C193" s="415" t="s">
        <v>3558</v>
      </c>
      <c r="D193" s="415" t="s">
        <v>2703</v>
      </c>
      <c r="E193" s="415" t="s">
        <v>2210</v>
      </c>
      <c r="F193" s="415" t="s">
        <v>2520</v>
      </c>
      <c r="G193" s="415" t="s">
        <v>2989</v>
      </c>
      <c r="H193" s="415">
        <v>0</v>
      </c>
      <c r="I193" s="415">
        <v>0</v>
      </c>
      <c r="J193" s="415" t="s">
        <v>2980</v>
      </c>
      <c r="K193" s="415">
        <v>1</v>
      </c>
      <c r="L193" s="415">
        <v>21</v>
      </c>
      <c r="M193" s="415">
        <v>415</v>
      </c>
      <c r="N193" s="415">
        <v>205</v>
      </c>
      <c r="O193" s="415">
        <v>649</v>
      </c>
      <c r="P193" s="415" t="s">
        <v>2699</v>
      </c>
      <c r="Q193" s="415" t="s">
        <v>3553</v>
      </c>
      <c r="R193" s="415">
        <v>21</v>
      </c>
      <c r="S193" s="415">
        <v>138</v>
      </c>
      <c r="T193" s="416">
        <v>138</v>
      </c>
      <c r="U193" s="416">
        <v>129</v>
      </c>
      <c r="V193" s="416">
        <v>124</v>
      </c>
      <c r="W193" s="416">
        <v>122</v>
      </c>
      <c r="X193" s="416">
        <v>120</v>
      </c>
      <c r="Y193" s="416">
        <v>119</v>
      </c>
      <c r="Z193" s="416">
        <v>119</v>
      </c>
      <c r="AA193" s="416">
        <v>118</v>
      </c>
      <c r="AB193" s="416">
        <v>118</v>
      </c>
      <c r="AC193" s="416">
        <v>117</v>
      </c>
      <c r="AD193" s="416">
        <v>117</v>
      </c>
      <c r="AE193" s="416">
        <v>116</v>
      </c>
      <c r="AF193" s="416">
        <v>114</v>
      </c>
      <c r="AG193" s="416">
        <v>112</v>
      </c>
      <c r="AH193" s="416">
        <v>110</v>
      </c>
      <c r="AI193" s="416">
        <v>106</v>
      </c>
      <c r="AJ193" s="416">
        <v>103</v>
      </c>
      <c r="AK193" s="416">
        <v>80.599999999999994</v>
      </c>
      <c r="AL193" s="416">
        <v>21</v>
      </c>
      <c r="AM193" s="416">
        <v>61.7</v>
      </c>
      <c r="AN193" s="416">
        <v>46.4</v>
      </c>
      <c r="AO193" s="416">
        <v>34.700000000000003</v>
      </c>
      <c r="AP193" s="416">
        <v>25.5</v>
      </c>
      <c r="AQ193" s="416">
        <v>17.8</v>
      </c>
      <c r="AR193" s="416">
        <v>11.4</v>
      </c>
      <c r="AS193" s="416">
        <v>6.73</v>
      </c>
      <c r="AT193" s="416">
        <v>0</v>
      </c>
      <c r="AU193" s="416">
        <v>0</v>
      </c>
      <c r="AV193" s="416">
        <v>0</v>
      </c>
      <c r="AW193" s="416">
        <v>0</v>
      </c>
      <c r="AX193" s="416">
        <v>0</v>
      </c>
      <c r="AY193" s="416">
        <v>0</v>
      </c>
      <c r="AZ193" s="416">
        <v>0</v>
      </c>
    </row>
    <row r="194" spans="1:52" x14ac:dyDescent="0.25">
      <c r="A194" s="415" t="str">
        <f t="shared" si="2"/>
        <v>SA-213 Gr.T9</v>
      </c>
      <c r="B194" s="415">
        <v>189</v>
      </c>
      <c r="C194" s="415" t="s">
        <v>2990</v>
      </c>
      <c r="D194" s="415" t="s">
        <v>2693</v>
      </c>
      <c r="E194" s="415" t="s">
        <v>2195</v>
      </c>
      <c r="F194" s="415" t="s">
        <v>2553</v>
      </c>
      <c r="G194" s="415" t="s">
        <v>2991</v>
      </c>
      <c r="H194" s="415">
        <v>0</v>
      </c>
      <c r="I194" s="415">
        <v>0</v>
      </c>
      <c r="J194" s="415" t="s">
        <v>2980</v>
      </c>
      <c r="K194" s="415">
        <v>1</v>
      </c>
      <c r="L194" s="415">
        <v>22</v>
      </c>
      <c r="M194" s="415">
        <v>415</v>
      </c>
      <c r="N194" s="415">
        <v>205</v>
      </c>
      <c r="O194" s="415">
        <v>649</v>
      </c>
      <c r="P194" s="415" t="s">
        <v>2699</v>
      </c>
      <c r="Q194" s="415" t="s">
        <v>2552</v>
      </c>
      <c r="R194" s="415">
        <v>22</v>
      </c>
      <c r="S194" s="415">
        <v>138</v>
      </c>
      <c r="T194" s="416">
        <v>138</v>
      </c>
      <c r="U194" s="416">
        <v>129</v>
      </c>
      <c r="V194" s="416">
        <v>124</v>
      </c>
      <c r="W194" s="416">
        <v>122</v>
      </c>
      <c r="X194" s="416">
        <v>120</v>
      </c>
      <c r="Y194" s="416">
        <v>119</v>
      </c>
      <c r="Z194" s="416">
        <v>119</v>
      </c>
      <c r="AA194" s="416">
        <v>118</v>
      </c>
      <c r="AB194" s="416">
        <v>118</v>
      </c>
      <c r="AC194" s="416">
        <v>117</v>
      </c>
      <c r="AD194" s="416">
        <v>117</v>
      </c>
      <c r="AE194" s="416">
        <v>116</v>
      </c>
      <c r="AF194" s="416">
        <v>114</v>
      </c>
      <c r="AG194" s="416">
        <v>112</v>
      </c>
      <c r="AH194" s="416">
        <v>110</v>
      </c>
      <c r="AI194" s="416">
        <v>106</v>
      </c>
      <c r="AJ194" s="416">
        <v>103</v>
      </c>
      <c r="AK194" s="416">
        <v>98.3</v>
      </c>
      <c r="AL194" s="416">
        <v>22</v>
      </c>
      <c r="AM194" s="416">
        <v>83.2</v>
      </c>
      <c r="AN194" s="416">
        <v>60.2</v>
      </c>
      <c r="AO194" s="416">
        <v>42.9</v>
      </c>
      <c r="AP194" s="416">
        <v>29.9</v>
      </c>
      <c r="AQ194" s="416">
        <v>20.6</v>
      </c>
      <c r="AR194" s="416">
        <v>14.4</v>
      </c>
      <c r="AS194" s="416">
        <v>10.199999999999999</v>
      </c>
      <c r="AT194" s="416">
        <v>0</v>
      </c>
      <c r="AU194" s="416">
        <v>0</v>
      </c>
      <c r="AV194" s="416">
        <v>0</v>
      </c>
      <c r="AW194" s="416">
        <v>0</v>
      </c>
      <c r="AX194" s="416">
        <v>0</v>
      </c>
      <c r="AY194" s="416">
        <v>0</v>
      </c>
      <c r="AZ194" s="416">
        <v>0</v>
      </c>
    </row>
    <row r="195" spans="1:52" x14ac:dyDescent="0.25">
      <c r="A195" s="415" t="str">
        <f t="shared" si="2"/>
        <v>SA-234 Gr.WP9</v>
      </c>
      <c r="B195" s="415">
        <v>190</v>
      </c>
      <c r="C195" s="415" t="s">
        <v>2990</v>
      </c>
      <c r="D195" s="415" t="s">
        <v>913</v>
      </c>
      <c r="E195" s="415" t="s">
        <v>2174</v>
      </c>
      <c r="F195" s="415" t="s">
        <v>2609</v>
      </c>
      <c r="G195" s="415" t="s">
        <v>2991</v>
      </c>
      <c r="H195" s="415">
        <v>0</v>
      </c>
      <c r="I195" s="415">
        <v>0</v>
      </c>
      <c r="J195" s="415" t="s">
        <v>2980</v>
      </c>
      <c r="K195" s="415">
        <v>1</v>
      </c>
      <c r="L195" s="415">
        <v>23</v>
      </c>
      <c r="M195" s="415">
        <v>415</v>
      </c>
      <c r="N195" s="415">
        <v>205</v>
      </c>
      <c r="O195" s="415">
        <v>649</v>
      </c>
      <c r="P195" s="415" t="s">
        <v>2699</v>
      </c>
      <c r="Q195" s="415" t="s">
        <v>2552</v>
      </c>
      <c r="R195" s="415">
        <v>23</v>
      </c>
      <c r="S195" s="415">
        <v>138</v>
      </c>
      <c r="T195" s="416">
        <v>138</v>
      </c>
      <c r="U195" s="416">
        <v>129</v>
      </c>
      <c r="V195" s="416">
        <v>124</v>
      </c>
      <c r="W195" s="416">
        <v>122</v>
      </c>
      <c r="X195" s="416">
        <v>120</v>
      </c>
      <c r="Y195" s="416">
        <v>119</v>
      </c>
      <c r="Z195" s="416">
        <v>119</v>
      </c>
      <c r="AA195" s="416">
        <v>118</v>
      </c>
      <c r="AB195" s="416">
        <v>118</v>
      </c>
      <c r="AC195" s="416">
        <v>117</v>
      </c>
      <c r="AD195" s="416">
        <v>117</v>
      </c>
      <c r="AE195" s="416">
        <v>116</v>
      </c>
      <c r="AF195" s="416">
        <v>114</v>
      </c>
      <c r="AG195" s="416">
        <v>112</v>
      </c>
      <c r="AH195" s="416">
        <v>110</v>
      </c>
      <c r="AI195" s="416">
        <v>106</v>
      </c>
      <c r="AJ195" s="416">
        <v>103</v>
      </c>
      <c r="AK195" s="416">
        <v>98.3</v>
      </c>
      <c r="AL195" s="416">
        <v>23</v>
      </c>
      <c r="AM195" s="416">
        <v>83.2</v>
      </c>
      <c r="AN195" s="416">
        <v>60.2</v>
      </c>
      <c r="AO195" s="416">
        <v>42.9</v>
      </c>
      <c r="AP195" s="416">
        <v>29.9</v>
      </c>
      <c r="AQ195" s="416">
        <v>20.6</v>
      </c>
      <c r="AR195" s="416">
        <v>14.4</v>
      </c>
      <c r="AS195" s="416">
        <v>10.199999999999999</v>
      </c>
      <c r="AT195" s="416">
        <v>0</v>
      </c>
      <c r="AU195" s="416">
        <v>0</v>
      </c>
      <c r="AV195" s="416">
        <v>0</v>
      </c>
      <c r="AW195" s="416">
        <v>0</v>
      </c>
      <c r="AX195" s="416">
        <v>0</v>
      </c>
      <c r="AY195" s="416">
        <v>0</v>
      </c>
      <c r="AZ195" s="416">
        <v>0</v>
      </c>
    </row>
    <row r="196" spans="1:52" x14ac:dyDescent="0.25">
      <c r="A196" s="415" t="str">
        <f t="shared" si="2"/>
        <v>SA-335 Gr.P9</v>
      </c>
      <c r="B196" s="415">
        <v>191</v>
      </c>
      <c r="C196" s="415" t="s">
        <v>2990</v>
      </c>
      <c r="D196" s="415" t="s">
        <v>2703</v>
      </c>
      <c r="E196" s="415" t="s">
        <v>2210</v>
      </c>
      <c r="F196" s="415" t="s">
        <v>2521</v>
      </c>
      <c r="G196" s="415" t="s">
        <v>2991</v>
      </c>
      <c r="H196" s="415">
        <v>0</v>
      </c>
      <c r="I196" s="415">
        <v>0</v>
      </c>
      <c r="J196" s="415" t="s">
        <v>2980</v>
      </c>
      <c r="K196" s="415">
        <v>1</v>
      </c>
      <c r="L196" s="415">
        <v>24</v>
      </c>
      <c r="M196" s="415">
        <v>415</v>
      </c>
      <c r="N196" s="415">
        <v>205</v>
      </c>
      <c r="O196" s="415">
        <v>649</v>
      </c>
      <c r="P196" s="415" t="s">
        <v>2699</v>
      </c>
      <c r="Q196" s="415" t="s">
        <v>2552</v>
      </c>
      <c r="R196" s="415">
        <v>24</v>
      </c>
      <c r="S196" s="415">
        <v>138</v>
      </c>
      <c r="T196" s="416">
        <v>138</v>
      </c>
      <c r="U196" s="416">
        <v>129</v>
      </c>
      <c r="V196" s="416">
        <v>124</v>
      </c>
      <c r="W196" s="416">
        <v>122</v>
      </c>
      <c r="X196" s="416">
        <v>120</v>
      </c>
      <c r="Y196" s="416">
        <v>119</v>
      </c>
      <c r="Z196" s="416">
        <v>119</v>
      </c>
      <c r="AA196" s="416">
        <v>118</v>
      </c>
      <c r="AB196" s="416">
        <v>118</v>
      </c>
      <c r="AC196" s="416">
        <v>117</v>
      </c>
      <c r="AD196" s="416">
        <v>117</v>
      </c>
      <c r="AE196" s="416">
        <v>116</v>
      </c>
      <c r="AF196" s="416">
        <v>114</v>
      </c>
      <c r="AG196" s="416">
        <v>112</v>
      </c>
      <c r="AH196" s="416">
        <v>110</v>
      </c>
      <c r="AI196" s="416">
        <v>106</v>
      </c>
      <c r="AJ196" s="416">
        <v>103</v>
      </c>
      <c r="AK196" s="416">
        <v>98.3</v>
      </c>
      <c r="AL196" s="416">
        <v>24</v>
      </c>
      <c r="AM196" s="416">
        <v>83.2</v>
      </c>
      <c r="AN196" s="416">
        <v>60.2</v>
      </c>
      <c r="AO196" s="416">
        <v>42.9</v>
      </c>
      <c r="AP196" s="416">
        <v>29.9</v>
      </c>
      <c r="AQ196" s="416">
        <v>20.6</v>
      </c>
      <c r="AR196" s="416">
        <v>14.4</v>
      </c>
      <c r="AS196" s="416">
        <v>10.199999999999999</v>
      </c>
      <c r="AT196" s="416">
        <v>0</v>
      </c>
      <c r="AU196" s="416">
        <v>0</v>
      </c>
      <c r="AV196" s="416">
        <v>0</v>
      </c>
      <c r="AW196" s="416">
        <v>0</v>
      </c>
      <c r="AX196" s="416">
        <v>0</v>
      </c>
      <c r="AY196" s="416">
        <v>0</v>
      </c>
      <c r="AZ196" s="416">
        <v>0</v>
      </c>
    </row>
    <row r="197" spans="1:52" x14ac:dyDescent="0.25">
      <c r="A197" s="415" t="str">
        <f t="shared" si="2"/>
        <v>SA-369 Gr.FP9</v>
      </c>
      <c r="B197" s="415">
        <v>192</v>
      </c>
      <c r="C197" s="415" t="s">
        <v>2990</v>
      </c>
      <c r="D197" s="415" t="s">
        <v>2707</v>
      </c>
      <c r="E197" s="415" t="s">
        <v>2221</v>
      </c>
      <c r="F197" s="415" t="s">
        <v>2472</v>
      </c>
      <c r="G197" s="415" t="s">
        <v>2991</v>
      </c>
      <c r="H197" s="415">
        <v>0</v>
      </c>
      <c r="I197" s="415">
        <v>0</v>
      </c>
      <c r="J197" s="415" t="s">
        <v>2980</v>
      </c>
      <c r="K197" s="415">
        <v>1</v>
      </c>
      <c r="L197" s="415">
        <v>25</v>
      </c>
      <c r="M197" s="415">
        <v>415</v>
      </c>
      <c r="N197" s="415">
        <v>210</v>
      </c>
      <c r="O197" s="415">
        <v>649</v>
      </c>
      <c r="P197" s="415" t="s">
        <v>2699</v>
      </c>
      <c r="Q197" s="415" t="s">
        <v>2552</v>
      </c>
      <c r="R197" s="415">
        <v>25</v>
      </c>
      <c r="S197" s="415">
        <v>138</v>
      </c>
      <c r="T197" s="416">
        <v>138</v>
      </c>
      <c r="U197" s="416">
        <v>129</v>
      </c>
      <c r="V197" s="416">
        <v>124</v>
      </c>
      <c r="W197" s="416">
        <v>122</v>
      </c>
      <c r="X197" s="416">
        <v>120</v>
      </c>
      <c r="Y197" s="416">
        <v>119</v>
      </c>
      <c r="Z197" s="416">
        <v>119</v>
      </c>
      <c r="AA197" s="416">
        <v>118</v>
      </c>
      <c r="AB197" s="416">
        <v>118</v>
      </c>
      <c r="AC197" s="416">
        <v>117</v>
      </c>
      <c r="AD197" s="416">
        <v>117</v>
      </c>
      <c r="AE197" s="416">
        <v>116</v>
      </c>
      <c r="AF197" s="416">
        <v>114</v>
      </c>
      <c r="AG197" s="416">
        <v>112</v>
      </c>
      <c r="AH197" s="416">
        <v>110</v>
      </c>
      <c r="AI197" s="416">
        <v>106</v>
      </c>
      <c r="AJ197" s="416">
        <v>103</v>
      </c>
      <c r="AK197" s="416">
        <v>98.3</v>
      </c>
      <c r="AL197" s="416">
        <v>25</v>
      </c>
      <c r="AM197" s="416">
        <v>83.2</v>
      </c>
      <c r="AN197" s="416">
        <v>60.2</v>
      </c>
      <c r="AO197" s="416">
        <v>42.9</v>
      </c>
      <c r="AP197" s="416">
        <v>29.9</v>
      </c>
      <c r="AQ197" s="416">
        <v>20.6</v>
      </c>
      <c r="AR197" s="416">
        <v>14.4</v>
      </c>
      <c r="AS197" s="416">
        <v>10.199999999999999</v>
      </c>
      <c r="AT197" s="416">
        <v>0</v>
      </c>
      <c r="AU197" s="416">
        <v>0</v>
      </c>
      <c r="AV197" s="416">
        <v>0</v>
      </c>
      <c r="AW197" s="416">
        <v>0</v>
      </c>
      <c r="AX197" s="416">
        <v>0</v>
      </c>
      <c r="AY197" s="416">
        <v>0</v>
      </c>
      <c r="AZ197" s="416">
        <v>0</v>
      </c>
    </row>
    <row r="198" spans="1:52" x14ac:dyDescent="0.25">
      <c r="A198" s="415" t="str">
        <f t="shared" si="2"/>
        <v>SA-182 Gr.F9</v>
      </c>
      <c r="B198" s="415">
        <v>193</v>
      </c>
      <c r="C198" s="415" t="s">
        <v>2990</v>
      </c>
      <c r="D198" s="415" t="s">
        <v>2737</v>
      </c>
      <c r="E198" s="415" t="s">
        <v>2188</v>
      </c>
      <c r="F198" s="415" t="s">
        <v>2463</v>
      </c>
      <c r="G198" s="415" t="s">
        <v>2991</v>
      </c>
      <c r="H198" s="415">
        <v>0</v>
      </c>
      <c r="I198" s="415">
        <v>0</v>
      </c>
      <c r="J198" s="415" t="s">
        <v>2980</v>
      </c>
      <c r="K198" s="415">
        <v>1</v>
      </c>
      <c r="L198" s="415">
        <v>26</v>
      </c>
      <c r="M198" s="415">
        <v>585</v>
      </c>
      <c r="N198" s="415">
        <v>415</v>
      </c>
      <c r="O198" s="415">
        <v>649</v>
      </c>
      <c r="P198" s="415" t="s">
        <v>2819</v>
      </c>
      <c r="Q198" s="415" t="s">
        <v>2552</v>
      </c>
      <c r="R198" s="415">
        <v>26</v>
      </c>
      <c r="S198" s="415">
        <v>244</v>
      </c>
      <c r="T198" s="416">
        <v>244</v>
      </c>
      <c r="U198" s="416">
        <v>236</v>
      </c>
      <c r="V198" s="416">
        <v>227</v>
      </c>
      <c r="W198" s="416">
        <v>223</v>
      </c>
      <c r="X198" s="416">
        <v>220</v>
      </c>
      <c r="Y198" s="416">
        <v>218</v>
      </c>
      <c r="Z198" s="416">
        <v>217</v>
      </c>
      <c r="AA198" s="416">
        <v>217</v>
      </c>
      <c r="AB198" s="416">
        <v>216</v>
      </c>
      <c r="AC198" s="416">
        <v>215</v>
      </c>
      <c r="AD198" s="416">
        <v>214</v>
      </c>
      <c r="AE198" s="416">
        <v>212</v>
      </c>
      <c r="AF198" s="416">
        <v>209</v>
      </c>
      <c r="AG198" s="416">
        <v>205</v>
      </c>
      <c r="AH198" s="416">
        <v>201</v>
      </c>
      <c r="AI198" s="416">
        <v>195</v>
      </c>
      <c r="AJ198" s="416">
        <v>188</v>
      </c>
      <c r="AK198" s="416">
        <v>180</v>
      </c>
      <c r="AL198" s="416">
        <v>26</v>
      </c>
      <c r="AM198" s="416">
        <v>87.5</v>
      </c>
      <c r="AN198" s="416">
        <v>61.2</v>
      </c>
      <c r="AO198" s="416">
        <v>42.9</v>
      </c>
      <c r="AP198" s="416">
        <v>29.9</v>
      </c>
      <c r="AQ198" s="416">
        <v>20.6</v>
      </c>
      <c r="AR198" s="416">
        <v>14.4</v>
      </c>
      <c r="AS198" s="416">
        <v>10.199999999999999</v>
      </c>
      <c r="AT198" s="416">
        <v>0</v>
      </c>
      <c r="AU198" s="416">
        <v>0</v>
      </c>
      <c r="AV198" s="416">
        <v>0</v>
      </c>
      <c r="AW198" s="416">
        <v>0</v>
      </c>
      <c r="AX198" s="416">
        <v>0</v>
      </c>
      <c r="AY198" s="416">
        <v>0</v>
      </c>
      <c r="AZ198" s="416">
        <v>0</v>
      </c>
    </row>
    <row r="199" spans="1:52" x14ac:dyDescent="0.25">
      <c r="A199" s="415" t="str">
        <f t="shared" ref="A199:A262" si="3">CONCATENATE(E199," Gr.",F199)</f>
        <v>SA-336 Gr.F9</v>
      </c>
      <c r="B199" s="415">
        <v>194</v>
      </c>
      <c r="C199" s="415" t="s">
        <v>2990</v>
      </c>
      <c r="D199" s="415" t="s">
        <v>2737</v>
      </c>
      <c r="E199" s="415" t="s">
        <v>2211</v>
      </c>
      <c r="F199" s="415" t="s">
        <v>2463</v>
      </c>
      <c r="G199" s="415" t="s">
        <v>2991</v>
      </c>
      <c r="H199" s="415">
        <v>0</v>
      </c>
      <c r="I199" s="415">
        <v>0</v>
      </c>
      <c r="J199" s="415" t="s">
        <v>2980</v>
      </c>
      <c r="K199" s="415">
        <v>1</v>
      </c>
      <c r="L199" s="415">
        <v>27</v>
      </c>
      <c r="M199" s="415">
        <v>585</v>
      </c>
      <c r="N199" s="415">
        <v>380</v>
      </c>
      <c r="O199" s="415">
        <v>649</v>
      </c>
      <c r="P199" s="415" t="s">
        <v>2819</v>
      </c>
      <c r="Q199" s="415" t="s">
        <v>2552</v>
      </c>
      <c r="R199" s="415">
        <v>27</v>
      </c>
      <c r="S199" s="415">
        <v>244</v>
      </c>
      <c r="T199" s="416">
        <v>244</v>
      </c>
      <c r="U199" s="416">
        <v>236</v>
      </c>
      <c r="V199" s="416">
        <v>227</v>
      </c>
      <c r="W199" s="416">
        <v>223</v>
      </c>
      <c r="X199" s="416">
        <v>220</v>
      </c>
      <c r="Y199" s="416">
        <v>218</v>
      </c>
      <c r="Z199" s="416">
        <v>217</v>
      </c>
      <c r="AA199" s="416">
        <v>217</v>
      </c>
      <c r="AB199" s="416">
        <v>216</v>
      </c>
      <c r="AC199" s="416">
        <v>215</v>
      </c>
      <c r="AD199" s="416">
        <v>214</v>
      </c>
      <c r="AE199" s="416">
        <v>212</v>
      </c>
      <c r="AF199" s="416">
        <v>209</v>
      </c>
      <c r="AG199" s="416">
        <v>205</v>
      </c>
      <c r="AH199" s="416">
        <v>201</v>
      </c>
      <c r="AI199" s="416">
        <v>195</v>
      </c>
      <c r="AJ199" s="416">
        <v>188</v>
      </c>
      <c r="AK199" s="416">
        <v>180</v>
      </c>
      <c r="AL199" s="416">
        <v>27</v>
      </c>
      <c r="AM199" s="416">
        <v>87.5</v>
      </c>
      <c r="AN199" s="416">
        <v>61.2</v>
      </c>
      <c r="AO199" s="416">
        <v>42.9</v>
      </c>
      <c r="AP199" s="416">
        <v>29.9</v>
      </c>
      <c r="AQ199" s="416">
        <v>20.6</v>
      </c>
      <c r="AR199" s="416">
        <v>14.4</v>
      </c>
      <c r="AS199" s="416">
        <v>10.199999999999999</v>
      </c>
      <c r="AT199" s="416">
        <v>0</v>
      </c>
      <c r="AU199" s="416">
        <v>0</v>
      </c>
      <c r="AV199" s="416">
        <v>0</v>
      </c>
      <c r="AW199" s="416">
        <v>0</v>
      </c>
      <c r="AX199" s="416">
        <v>0</v>
      </c>
      <c r="AY199" s="416">
        <v>0</v>
      </c>
      <c r="AZ199" s="416">
        <v>0</v>
      </c>
    </row>
    <row r="200" spans="1:52" x14ac:dyDescent="0.25">
      <c r="A200" s="415" t="str">
        <f t="shared" si="3"/>
        <v>SA-217 Gr.C12</v>
      </c>
      <c r="B200" s="415">
        <v>195</v>
      </c>
      <c r="C200" s="415" t="s">
        <v>2990</v>
      </c>
      <c r="D200" s="415" t="s">
        <v>2739</v>
      </c>
      <c r="E200" s="415" t="s">
        <v>2198</v>
      </c>
      <c r="F200" s="415" t="s">
        <v>2349</v>
      </c>
      <c r="G200" s="415" t="s">
        <v>2992</v>
      </c>
      <c r="H200" s="415">
        <v>0</v>
      </c>
      <c r="I200" s="415">
        <v>0</v>
      </c>
      <c r="J200" s="415" t="s">
        <v>2980</v>
      </c>
      <c r="K200" s="415">
        <v>1</v>
      </c>
      <c r="L200" s="415">
        <v>28</v>
      </c>
      <c r="M200" s="415">
        <v>620</v>
      </c>
      <c r="N200" s="415">
        <v>415</v>
      </c>
      <c r="O200" s="415">
        <v>649</v>
      </c>
      <c r="P200" s="415" t="s">
        <v>2819</v>
      </c>
      <c r="Q200" s="415" t="s">
        <v>3538</v>
      </c>
      <c r="R200" s="415">
        <v>28</v>
      </c>
      <c r="S200" s="415">
        <v>259</v>
      </c>
      <c r="T200" s="416">
        <v>259</v>
      </c>
      <c r="U200" s="416">
        <v>258</v>
      </c>
      <c r="V200" s="416">
        <v>248</v>
      </c>
      <c r="W200" s="416">
        <v>243</v>
      </c>
      <c r="X200" s="416">
        <v>240</v>
      </c>
      <c r="Y200" s="416">
        <v>238</v>
      </c>
      <c r="Z200" s="416">
        <v>237</v>
      </c>
      <c r="AA200" s="416">
        <v>236</v>
      </c>
      <c r="AB200" s="416">
        <v>235</v>
      </c>
      <c r="AC200" s="416">
        <v>235</v>
      </c>
      <c r="AD200" s="416">
        <v>233</v>
      </c>
      <c r="AE200" s="416">
        <v>231</v>
      </c>
      <c r="AF200" s="416">
        <v>228</v>
      </c>
      <c r="AG200" s="416">
        <v>224</v>
      </c>
      <c r="AH200" s="416">
        <v>219</v>
      </c>
      <c r="AI200" s="416">
        <v>213</v>
      </c>
      <c r="AJ200" s="416">
        <v>205</v>
      </c>
      <c r="AK200" s="416">
        <v>197</v>
      </c>
      <c r="AL200" s="416">
        <v>28</v>
      </c>
      <c r="AM200" s="416">
        <v>87.5</v>
      </c>
      <c r="AN200" s="416">
        <v>61.2</v>
      </c>
      <c r="AO200" s="416">
        <v>42.9</v>
      </c>
      <c r="AP200" s="416">
        <v>29.9</v>
      </c>
      <c r="AQ200" s="416">
        <v>20.6</v>
      </c>
      <c r="AR200" s="416">
        <v>14.4</v>
      </c>
      <c r="AS200" s="416">
        <v>10.199999999999999</v>
      </c>
      <c r="AT200" s="416">
        <v>0</v>
      </c>
      <c r="AU200" s="416">
        <v>0</v>
      </c>
      <c r="AV200" s="416">
        <v>0</v>
      </c>
      <c r="AW200" s="416">
        <v>0</v>
      </c>
      <c r="AX200" s="416">
        <v>0</v>
      </c>
      <c r="AY200" s="416">
        <v>0</v>
      </c>
      <c r="AZ200" s="416">
        <v>0</v>
      </c>
    </row>
    <row r="201" spans="1:52" x14ac:dyDescent="0.25">
      <c r="A201" s="415" t="str">
        <f t="shared" si="3"/>
        <v>SA-182 Gr.F91</v>
      </c>
      <c r="B201" s="415">
        <v>196</v>
      </c>
      <c r="C201" s="415" t="s">
        <v>2994</v>
      </c>
      <c r="D201" s="415" t="s">
        <v>2737</v>
      </c>
      <c r="E201" s="415" t="s">
        <v>2188</v>
      </c>
      <c r="F201" s="415" t="s">
        <v>2464</v>
      </c>
      <c r="G201" s="415" t="s">
        <v>2995</v>
      </c>
      <c r="H201" s="415">
        <v>0</v>
      </c>
      <c r="I201" s="415">
        <v>0</v>
      </c>
      <c r="J201" s="415" t="s">
        <v>2997</v>
      </c>
      <c r="K201" s="415">
        <v>1</v>
      </c>
      <c r="L201" s="415">
        <v>29</v>
      </c>
      <c r="M201" s="415">
        <v>585</v>
      </c>
      <c r="N201" s="415">
        <v>415</v>
      </c>
      <c r="O201" s="415">
        <v>649</v>
      </c>
      <c r="P201" s="415" t="s">
        <v>2819</v>
      </c>
      <c r="Q201" s="415" t="s">
        <v>3293</v>
      </c>
      <c r="R201" s="415">
        <v>29</v>
      </c>
      <c r="S201" s="415">
        <v>244</v>
      </c>
      <c r="T201" s="416">
        <v>244</v>
      </c>
      <c r="U201" s="416">
        <v>244</v>
      </c>
      <c r="V201" s="416">
        <v>244</v>
      </c>
      <c r="W201" s="416">
        <v>244</v>
      </c>
      <c r="X201" s="416">
        <v>244</v>
      </c>
      <c r="Y201" s="416">
        <v>244</v>
      </c>
      <c r="Z201" s="416">
        <v>244</v>
      </c>
      <c r="AA201" s="416">
        <v>244</v>
      </c>
      <c r="AB201" s="416">
        <v>244</v>
      </c>
      <c r="AC201" s="416">
        <v>244</v>
      </c>
      <c r="AD201" s="416">
        <v>244</v>
      </c>
      <c r="AE201" s="416">
        <v>244</v>
      </c>
      <c r="AF201" s="416">
        <v>244</v>
      </c>
      <c r="AG201" s="416">
        <v>244</v>
      </c>
      <c r="AH201" s="416">
        <v>239</v>
      </c>
      <c r="AI201" s="416">
        <v>232</v>
      </c>
      <c r="AJ201" s="416">
        <v>224</v>
      </c>
      <c r="AK201" s="416">
        <v>215</v>
      </c>
      <c r="AL201" s="416">
        <v>29</v>
      </c>
      <c r="AM201" s="416">
        <v>204</v>
      </c>
      <c r="AN201" s="416">
        <v>151</v>
      </c>
      <c r="AO201" s="416">
        <v>115</v>
      </c>
      <c r="AP201" s="416">
        <v>87</v>
      </c>
      <c r="AQ201" s="416">
        <v>64.7</v>
      </c>
      <c r="AR201" s="416">
        <v>45.1</v>
      </c>
      <c r="AS201" s="416">
        <v>29.1</v>
      </c>
      <c r="AT201" s="416">
        <v>0</v>
      </c>
      <c r="AU201" s="416">
        <v>0</v>
      </c>
      <c r="AV201" s="416">
        <v>0</v>
      </c>
      <c r="AW201" s="416">
        <v>0</v>
      </c>
      <c r="AX201" s="416">
        <v>0</v>
      </c>
      <c r="AY201" s="416">
        <v>0</v>
      </c>
      <c r="AZ201" s="416">
        <v>0</v>
      </c>
    </row>
    <row r="202" spans="1:52" x14ac:dyDescent="0.25">
      <c r="A202" s="415" t="str">
        <f t="shared" si="3"/>
        <v>SA-213 Gr.T91</v>
      </c>
      <c r="B202" s="415">
        <v>197</v>
      </c>
      <c r="C202" s="415" t="s">
        <v>2994</v>
      </c>
      <c r="D202" s="415" t="s">
        <v>2693</v>
      </c>
      <c r="E202" s="415" t="s">
        <v>2195</v>
      </c>
      <c r="F202" s="415" t="s">
        <v>2554</v>
      </c>
      <c r="G202" s="415" t="s">
        <v>2995</v>
      </c>
      <c r="H202" s="415">
        <v>0</v>
      </c>
      <c r="I202" s="415">
        <v>0</v>
      </c>
      <c r="J202" s="415" t="s">
        <v>2997</v>
      </c>
      <c r="K202" s="415">
        <v>1</v>
      </c>
      <c r="L202" s="415">
        <v>30</v>
      </c>
      <c r="M202" s="415">
        <v>585</v>
      </c>
      <c r="N202" s="415">
        <v>415</v>
      </c>
      <c r="O202" s="415">
        <v>649</v>
      </c>
      <c r="P202" s="415" t="s">
        <v>2819</v>
      </c>
      <c r="Q202" s="415" t="s">
        <v>3293</v>
      </c>
      <c r="R202" s="415">
        <v>30</v>
      </c>
      <c r="S202" s="415">
        <v>244</v>
      </c>
      <c r="T202" s="416">
        <v>244</v>
      </c>
      <c r="U202" s="416">
        <v>244</v>
      </c>
      <c r="V202" s="416">
        <v>244</v>
      </c>
      <c r="W202" s="416">
        <v>244</v>
      </c>
      <c r="X202" s="416">
        <v>244</v>
      </c>
      <c r="Y202" s="416">
        <v>244</v>
      </c>
      <c r="Z202" s="416">
        <v>244</v>
      </c>
      <c r="AA202" s="416">
        <v>244</v>
      </c>
      <c r="AB202" s="416">
        <v>244</v>
      </c>
      <c r="AC202" s="416">
        <v>244</v>
      </c>
      <c r="AD202" s="416">
        <v>244</v>
      </c>
      <c r="AE202" s="416">
        <v>244</v>
      </c>
      <c r="AF202" s="416">
        <v>244</v>
      </c>
      <c r="AG202" s="416">
        <v>244</v>
      </c>
      <c r="AH202" s="416">
        <v>239</v>
      </c>
      <c r="AI202" s="416">
        <v>232</v>
      </c>
      <c r="AJ202" s="416">
        <v>224</v>
      </c>
      <c r="AK202" s="416">
        <v>215</v>
      </c>
      <c r="AL202" s="416">
        <v>30</v>
      </c>
      <c r="AM202" s="416">
        <v>204</v>
      </c>
      <c r="AN202" s="416">
        <v>151</v>
      </c>
      <c r="AO202" s="416">
        <v>115</v>
      </c>
      <c r="AP202" s="416">
        <v>87</v>
      </c>
      <c r="AQ202" s="416">
        <v>64.7</v>
      </c>
      <c r="AR202" s="416">
        <v>45.1</v>
      </c>
      <c r="AS202" s="416">
        <v>29.1</v>
      </c>
      <c r="AT202" s="416">
        <v>0</v>
      </c>
      <c r="AU202" s="416">
        <v>0</v>
      </c>
      <c r="AV202" s="416">
        <v>0</v>
      </c>
      <c r="AW202" s="416">
        <v>0</v>
      </c>
      <c r="AX202" s="416">
        <v>0</v>
      </c>
      <c r="AY202" s="416">
        <v>0</v>
      </c>
      <c r="AZ202" s="416">
        <v>0</v>
      </c>
    </row>
    <row r="203" spans="1:52" x14ac:dyDescent="0.25">
      <c r="A203" s="415" t="str">
        <f t="shared" si="3"/>
        <v>SA-335 Gr.P91</v>
      </c>
      <c r="B203" s="415">
        <v>198</v>
      </c>
      <c r="C203" s="415" t="s">
        <v>2994</v>
      </c>
      <c r="D203" s="415" t="s">
        <v>2703</v>
      </c>
      <c r="E203" s="415" t="s">
        <v>2210</v>
      </c>
      <c r="F203" s="415" t="s">
        <v>2522</v>
      </c>
      <c r="G203" s="415" t="s">
        <v>2995</v>
      </c>
      <c r="H203" s="415">
        <v>0</v>
      </c>
      <c r="I203" s="415">
        <v>0</v>
      </c>
      <c r="J203" s="415" t="s">
        <v>2997</v>
      </c>
      <c r="K203" s="415">
        <v>1</v>
      </c>
      <c r="L203" s="415">
        <v>31</v>
      </c>
      <c r="M203" s="415">
        <v>585</v>
      </c>
      <c r="N203" s="415">
        <v>415</v>
      </c>
      <c r="O203" s="415">
        <v>649</v>
      </c>
      <c r="P203" s="415" t="s">
        <v>2819</v>
      </c>
      <c r="Q203" s="415" t="s">
        <v>3293</v>
      </c>
      <c r="R203" s="415">
        <v>31</v>
      </c>
      <c r="S203" s="415">
        <v>244</v>
      </c>
      <c r="T203" s="416">
        <v>244</v>
      </c>
      <c r="U203" s="416">
        <v>244</v>
      </c>
      <c r="V203" s="416">
        <v>244</v>
      </c>
      <c r="W203" s="416">
        <v>244</v>
      </c>
      <c r="X203" s="416">
        <v>244</v>
      </c>
      <c r="Y203" s="416">
        <v>244</v>
      </c>
      <c r="Z203" s="416">
        <v>244</v>
      </c>
      <c r="AA203" s="416">
        <v>244</v>
      </c>
      <c r="AB203" s="416">
        <v>244</v>
      </c>
      <c r="AC203" s="416">
        <v>244</v>
      </c>
      <c r="AD203" s="416">
        <v>244</v>
      </c>
      <c r="AE203" s="416">
        <v>244</v>
      </c>
      <c r="AF203" s="416">
        <v>244</v>
      </c>
      <c r="AG203" s="416">
        <v>244</v>
      </c>
      <c r="AH203" s="416">
        <v>239</v>
      </c>
      <c r="AI203" s="416">
        <v>232</v>
      </c>
      <c r="AJ203" s="416">
        <v>224</v>
      </c>
      <c r="AK203" s="416">
        <v>215</v>
      </c>
      <c r="AL203" s="416">
        <v>31</v>
      </c>
      <c r="AM203" s="416">
        <v>204</v>
      </c>
      <c r="AN203" s="416">
        <v>151</v>
      </c>
      <c r="AO203" s="416">
        <v>115</v>
      </c>
      <c r="AP203" s="416">
        <v>87</v>
      </c>
      <c r="AQ203" s="416">
        <v>64.7</v>
      </c>
      <c r="AR203" s="416">
        <v>45.1</v>
      </c>
      <c r="AS203" s="416">
        <v>29.1</v>
      </c>
      <c r="AT203" s="416">
        <v>0</v>
      </c>
      <c r="AU203" s="416">
        <v>0</v>
      </c>
      <c r="AV203" s="416">
        <v>0</v>
      </c>
      <c r="AW203" s="416">
        <v>0</v>
      </c>
      <c r="AX203" s="416">
        <v>0</v>
      </c>
      <c r="AY203" s="416">
        <v>0</v>
      </c>
      <c r="AZ203" s="416">
        <v>0</v>
      </c>
    </row>
    <row r="204" spans="1:52" x14ac:dyDescent="0.25">
      <c r="A204" s="415" t="str">
        <f t="shared" si="3"/>
        <v>SA-387 Gr.91</v>
      </c>
      <c r="B204" s="415">
        <v>199</v>
      </c>
      <c r="C204" s="415" t="s">
        <v>2994</v>
      </c>
      <c r="D204" s="415" t="s">
        <v>2684</v>
      </c>
      <c r="E204" s="415" t="s">
        <v>2227</v>
      </c>
      <c r="F204" s="415">
        <v>91</v>
      </c>
      <c r="G204" s="415" t="s">
        <v>2995</v>
      </c>
      <c r="H204" s="415">
        <v>2</v>
      </c>
      <c r="I204" s="415">
        <v>0</v>
      </c>
      <c r="J204" s="415" t="s">
        <v>2997</v>
      </c>
      <c r="K204" s="415">
        <v>1</v>
      </c>
      <c r="L204" s="415">
        <v>32</v>
      </c>
      <c r="M204" s="415">
        <v>585</v>
      </c>
      <c r="N204" s="415">
        <v>415</v>
      </c>
      <c r="O204" s="415">
        <v>649</v>
      </c>
      <c r="P204" s="415" t="s">
        <v>2819</v>
      </c>
      <c r="Q204" s="415" t="s">
        <v>3293</v>
      </c>
      <c r="R204" s="415">
        <v>32</v>
      </c>
      <c r="S204" s="415">
        <v>244</v>
      </c>
      <c r="T204" s="416">
        <v>244</v>
      </c>
      <c r="U204" s="416">
        <v>244</v>
      </c>
      <c r="V204" s="416">
        <v>244</v>
      </c>
      <c r="W204" s="416">
        <v>244</v>
      </c>
      <c r="X204" s="416">
        <v>244</v>
      </c>
      <c r="Y204" s="416">
        <v>244</v>
      </c>
      <c r="Z204" s="416">
        <v>244</v>
      </c>
      <c r="AA204" s="416">
        <v>244</v>
      </c>
      <c r="AB204" s="416">
        <v>244</v>
      </c>
      <c r="AC204" s="416">
        <v>244</v>
      </c>
      <c r="AD204" s="416">
        <v>244</v>
      </c>
      <c r="AE204" s="416">
        <v>244</v>
      </c>
      <c r="AF204" s="416">
        <v>244</v>
      </c>
      <c r="AG204" s="416">
        <v>244</v>
      </c>
      <c r="AH204" s="416">
        <v>239</v>
      </c>
      <c r="AI204" s="416">
        <v>232</v>
      </c>
      <c r="AJ204" s="416">
        <v>224</v>
      </c>
      <c r="AK204" s="416">
        <v>215</v>
      </c>
      <c r="AL204" s="416">
        <v>32</v>
      </c>
      <c r="AM204" s="416">
        <v>204</v>
      </c>
      <c r="AN204" s="416">
        <v>151</v>
      </c>
      <c r="AO204" s="416">
        <v>115</v>
      </c>
      <c r="AP204" s="416">
        <v>87</v>
      </c>
      <c r="AQ204" s="416">
        <v>64.7</v>
      </c>
      <c r="AR204" s="416">
        <v>45.1</v>
      </c>
      <c r="AS204" s="416">
        <v>29.1</v>
      </c>
      <c r="AT204" s="416">
        <v>0</v>
      </c>
      <c r="AU204" s="416">
        <v>0</v>
      </c>
      <c r="AV204" s="416">
        <v>0</v>
      </c>
      <c r="AW204" s="416">
        <v>0</v>
      </c>
      <c r="AX204" s="416">
        <v>0</v>
      </c>
      <c r="AY204" s="416">
        <v>0</v>
      </c>
      <c r="AZ204" s="416">
        <v>0</v>
      </c>
    </row>
    <row r="205" spans="1:52" x14ac:dyDescent="0.25">
      <c r="A205" s="415" t="str">
        <f t="shared" si="3"/>
        <v>SA-240 Gr.405</v>
      </c>
      <c r="B205" s="415">
        <v>200</v>
      </c>
      <c r="C205" s="415" t="s">
        <v>3009</v>
      </c>
      <c r="D205" s="415" t="s">
        <v>2684</v>
      </c>
      <c r="E205" s="415" t="s">
        <v>2165</v>
      </c>
      <c r="F205" s="415">
        <v>405</v>
      </c>
      <c r="G205" s="415" t="s">
        <v>3011</v>
      </c>
      <c r="H205" s="415">
        <v>0</v>
      </c>
      <c r="I205" s="415">
        <v>0</v>
      </c>
      <c r="J205" s="415">
        <v>7</v>
      </c>
      <c r="K205" s="415">
        <v>1</v>
      </c>
      <c r="L205" s="415">
        <v>33</v>
      </c>
      <c r="M205" s="415">
        <v>415</v>
      </c>
      <c r="N205" s="415">
        <v>170</v>
      </c>
      <c r="O205" s="415">
        <v>538</v>
      </c>
      <c r="P205" s="415" t="s">
        <v>2682</v>
      </c>
      <c r="Q205" s="415" t="s">
        <v>3559</v>
      </c>
      <c r="R205" s="415">
        <v>33</v>
      </c>
      <c r="S205" s="415">
        <v>115</v>
      </c>
      <c r="T205" s="416">
        <v>115</v>
      </c>
      <c r="U205" s="416">
        <v>109</v>
      </c>
      <c r="V205" s="416">
        <v>105</v>
      </c>
      <c r="W205" s="416">
        <v>103</v>
      </c>
      <c r="X205" s="416">
        <v>102</v>
      </c>
      <c r="Y205" s="416">
        <v>101</v>
      </c>
      <c r="Z205" s="416">
        <v>100</v>
      </c>
      <c r="AA205" s="416">
        <v>99.7</v>
      </c>
      <c r="AB205" s="416">
        <v>99.1</v>
      </c>
      <c r="AC205" s="416">
        <v>98.4</v>
      </c>
      <c r="AD205" s="416">
        <v>97.5</v>
      </c>
      <c r="AE205" s="416">
        <v>96.2</v>
      </c>
      <c r="AF205" s="416">
        <v>94.7</v>
      </c>
      <c r="AG205" s="416">
        <v>92.6</v>
      </c>
      <c r="AH205" s="416">
        <v>90.1</v>
      </c>
      <c r="AI205" s="416">
        <v>87</v>
      </c>
      <c r="AJ205" s="416">
        <v>83.4</v>
      </c>
      <c r="AK205" s="416">
        <v>79.2</v>
      </c>
      <c r="AL205" s="416">
        <v>33</v>
      </c>
      <c r="AM205" s="416">
        <v>70.099999999999994</v>
      </c>
      <c r="AN205" s="416">
        <v>38.799999999999997</v>
      </c>
      <c r="AO205" s="416">
        <v>19.899999999999999</v>
      </c>
      <c r="AP205" s="416">
        <v>0</v>
      </c>
      <c r="AQ205" s="416">
        <v>0</v>
      </c>
      <c r="AR205" s="416">
        <v>0</v>
      </c>
      <c r="AS205" s="416">
        <v>0</v>
      </c>
      <c r="AT205" s="416">
        <v>0</v>
      </c>
      <c r="AU205" s="416">
        <v>0</v>
      </c>
      <c r="AV205" s="416">
        <v>0</v>
      </c>
      <c r="AW205" s="416">
        <v>0</v>
      </c>
      <c r="AX205" s="416">
        <v>0</v>
      </c>
      <c r="AY205" s="416">
        <v>0</v>
      </c>
      <c r="AZ205" s="416">
        <v>0</v>
      </c>
    </row>
    <row r="206" spans="1:52" x14ac:dyDescent="0.25">
      <c r="A206" s="415" t="str">
        <f t="shared" si="3"/>
        <v>SA-268 Gr.TP405</v>
      </c>
      <c r="B206" s="415">
        <v>201</v>
      </c>
      <c r="C206" s="415" t="s">
        <v>3009</v>
      </c>
      <c r="D206" s="415" t="s">
        <v>2693</v>
      </c>
      <c r="E206" s="415" t="s">
        <v>2203</v>
      </c>
      <c r="F206" s="415" t="s">
        <v>2582</v>
      </c>
      <c r="G206" s="415" t="s">
        <v>3011</v>
      </c>
      <c r="H206" s="415">
        <v>0</v>
      </c>
      <c r="I206" s="415">
        <v>0</v>
      </c>
      <c r="J206" s="415">
        <v>7</v>
      </c>
      <c r="K206" s="415">
        <v>1</v>
      </c>
      <c r="L206" s="415">
        <v>34</v>
      </c>
      <c r="M206" s="415">
        <v>415</v>
      </c>
      <c r="N206" s="415">
        <v>205</v>
      </c>
      <c r="O206" s="415">
        <v>538</v>
      </c>
      <c r="P206" s="415" t="s">
        <v>2699</v>
      </c>
      <c r="Q206" s="415" t="s">
        <v>3559</v>
      </c>
      <c r="R206" s="415">
        <v>34</v>
      </c>
      <c r="S206" s="415">
        <v>138</v>
      </c>
      <c r="T206" s="416">
        <v>138</v>
      </c>
      <c r="U206" s="416">
        <v>130</v>
      </c>
      <c r="V206" s="416">
        <v>126</v>
      </c>
      <c r="W206" s="416">
        <v>124</v>
      </c>
      <c r="X206" s="416">
        <v>122</v>
      </c>
      <c r="Y206" s="416">
        <v>121</v>
      </c>
      <c r="Z206" s="416">
        <v>120</v>
      </c>
      <c r="AA206" s="416">
        <v>120</v>
      </c>
      <c r="AB206" s="416">
        <v>119</v>
      </c>
      <c r="AC206" s="416">
        <v>118</v>
      </c>
      <c r="AD206" s="416">
        <v>117</v>
      </c>
      <c r="AE206" s="416">
        <v>115</v>
      </c>
      <c r="AF206" s="416">
        <v>114</v>
      </c>
      <c r="AG206" s="416">
        <v>111</v>
      </c>
      <c r="AH206" s="416">
        <v>108</v>
      </c>
      <c r="AI206" s="416">
        <v>104</v>
      </c>
      <c r="AJ206" s="416">
        <v>100</v>
      </c>
      <c r="AK206" s="416">
        <v>95</v>
      </c>
      <c r="AL206" s="416">
        <v>34</v>
      </c>
      <c r="AM206" s="416">
        <v>70.099999999999994</v>
      </c>
      <c r="AN206" s="416">
        <v>38.799999999999997</v>
      </c>
      <c r="AO206" s="416">
        <v>19.899999999999999</v>
      </c>
      <c r="AP206" s="416">
        <v>0</v>
      </c>
      <c r="AQ206" s="416">
        <v>0</v>
      </c>
      <c r="AR206" s="416">
        <v>0</v>
      </c>
      <c r="AS206" s="416">
        <v>0</v>
      </c>
      <c r="AT206" s="416">
        <v>0</v>
      </c>
      <c r="AU206" s="416">
        <v>0</v>
      </c>
      <c r="AV206" s="416">
        <v>0</v>
      </c>
      <c r="AW206" s="416">
        <v>0</v>
      </c>
      <c r="AX206" s="416">
        <v>0</v>
      </c>
      <c r="AY206" s="416">
        <v>0</v>
      </c>
      <c r="AZ206" s="416">
        <v>0</v>
      </c>
    </row>
    <row r="207" spans="1:52" x14ac:dyDescent="0.25">
      <c r="A207" s="415" t="str">
        <f t="shared" si="3"/>
        <v>SA-240 Gr.410S</v>
      </c>
      <c r="B207" s="415">
        <v>202</v>
      </c>
      <c r="C207" s="415" t="s">
        <v>3018</v>
      </c>
      <c r="D207" s="415" t="s">
        <v>2684</v>
      </c>
      <c r="E207" s="415" t="s">
        <v>2165</v>
      </c>
      <c r="F207" s="415" t="s">
        <v>2290</v>
      </c>
      <c r="G207" s="415" t="s">
        <v>3019</v>
      </c>
      <c r="H207" s="415">
        <v>0</v>
      </c>
      <c r="I207" s="415">
        <v>0</v>
      </c>
      <c r="J207" s="415">
        <v>7</v>
      </c>
      <c r="K207" s="415">
        <v>1</v>
      </c>
      <c r="L207" s="415">
        <v>35</v>
      </c>
      <c r="M207" s="415">
        <v>415</v>
      </c>
      <c r="N207" s="415">
        <v>205</v>
      </c>
      <c r="O207" s="415">
        <v>649</v>
      </c>
      <c r="P207" s="415" t="s">
        <v>2699</v>
      </c>
      <c r="Q207" s="415" t="s">
        <v>3553</v>
      </c>
      <c r="R207" s="415">
        <v>35</v>
      </c>
      <c r="S207" s="415">
        <v>138</v>
      </c>
      <c r="T207" s="416">
        <v>138</v>
      </c>
      <c r="U207" s="416">
        <v>130</v>
      </c>
      <c r="V207" s="416">
        <v>126</v>
      </c>
      <c r="W207" s="416">
        <v>124</v>
      </c>
      <c r="X207" s="416">
        <v>122</v>
      </c>
      <c r="Y207" s="416">
        <v>121</v>
      </c>
      <c r="Z207" s="416">
        <v>120</v>
      </c>
      <c r="AA207" s="416">
        <v>120</v>
      </c>
      <c r="AB207" s="416">
        <v>119</v>
      </c>
      <c r="AC207" s="416">
        <v>118</v>
      </c>
      <c r="AD207" s="416">
        <v>117</v>
      </c>
      <c r="AE207" s="416">
        <v>115</v>
      </c>
      <c r="AF207" s="416">
        <v>114</v>
      </c>
      <c r="AG207" s="416">
        <v>111</v>
      </c>
      <c r="AH207" s="416">
        <v>108</v>
      </c>
      <c r="AI207" s="416">
        <v>104</v>
      </c>
      <c r="AJ207" s="416">
        <v>100</v>
      </c>
      <c r="AK207" s="416">
        <v>92.5</v>
      </c>
      <c r="AL207" s="416">
        <v>35</v>
      </c>
      <c r="AM207" s="416">
        <v>68.400000000000006</v>
      </c>
      <c r="AN207" s="416">
        <v>51.1</v>
      </c>
      <c r="AO207" s="416">
        <v>37.4</v>
      </c>
      <c r="AP207" s="416">
        <v>26.3</v>
      </c>
      <c r="AQ207" s="416">
        <v>17.8</v>
      </c>
      <c r="AR207" s="416">
        <v>11.4</v>
      </c>
      <c r="AS207" s="416">
        <v>6.73</v>
      </c>
      <c r="AT207" s="416">
        <v>0</v>
      </c>
      <c r="AU207" s="416">
        <v>0</v>
      </c>
      <c r="AV207" s="416">
        <v>0</v>
      </c>
      <c r="AW207" s="416">
        <v>0</v>
      </c>
      <c r="AX207" s="416">
        <v>0</v>
      </c>
      <c r="AY207" s="416">
        <v>0</v>
      </c>
      <c r="AZ207" s="416">
        <v>0</v>
      </c>
    </row>
    <row r="208" spans="1:52" x14ac:dyDescent="0.25">
      <c r="A208" s="415" t="str">
        <f t="shared" si="3"/>
        <v>SA-268 Gr.TP410</v>
      </c>
      <c r="B208" s="415">
        <v>203</v>
      </c>
      <c r="C208" s="415" t="s">
        <v>3018</v>
      </c>
      <c r="D208" s="415" t="s">
        <v>2693</v>
      </c>
      <c r="E208" s="415" t="s">
        <v>2203</v>
      </c>
      <c r="F208" s="415" t="s">
        <v>2584</v>
      </c>
      <c r="G208" s="415" t="s">
        <v>3020</v>
      </c>
      <c r="H208" s="415">
        <v>0</v>
      </c>
      <c r="I208" s="415">
        <v>0</v>
      </c>
      <c r="J208" s="415">
        <v>6</v>
      </c>
      <c r="K208" s="415">
        <v>1</v>
      </c>
      <c r="L208" s="415">
        <v>36</v>
      </c>
      <c r="M208" s="415">
        <v>415</v>
      </c>
      <c r="N208" s="415">
        <v>205</v>
      </c>
      <c r="O208" s="415">
        <v>649</v>
      </c>
      <c r="P208" s="415" t="s">
        <v>2699</v>
      </c>
      <c r="Q208" s="415" t="s">
        <v>3553</v>
      </c>
      <c r="R208" s="415">
        <v>36</v>
      </c>
      <c r="S208" s="415">
        <v>138</v>
      </c>
      <c r="T208" s="416">
        <v>138</v>
      </c>
      <c r="U208" s="416">
        <v>130</v>
      </c>
      <c r="V208" s="416">
        <v>126</v>
      </c>
      <c r="W208" s="416">
        <v>124</v>
      </c>
      <c r="X208" s="416">
        <v>122</v>
      </c>
      <c r="Y208" s="416">
        <v>121</v>
      </c>
      <c r="Z208" s="416">
        <v>120</v>
      </c>
      <c r="AA208" s="416">
        <v>120</v>
      </c>
      <c r="AB208" s="416">
        <v>119</v>
      </c>
      <c r="AC208" s="416">
        <v>118</v>
      </c>
      <c r="AD208" s="416">
        <v>117</v>
      </c>
      <c r="AE208" s="416">
        <v>115</v>
      </c>
      <c r="AF208" s="416">
        <v>114</v>
      </c>
      <c r="AG208" s="416">
        <v>111</v>
      </c>
      <c r="AH208" s="416">
        <v>108</v>
      </c>
      <c r="AI208" s="416">
        <v>104</v>
      </c>
      <c r="AJ208" s="416">
        <v>100</v>
      </c>
      <c r="AK208" s="416">
        <v>92.5</v>
      </c>
      <c r="AL208" s="416">
        <v>36</v>
      </c>
      <c r="AM208" s="416">
        <v>68.400000000000006</v>
      </c>
      <c r="AN208" s="416">
        <v>51.1</v>
      </c>
      <c r="AO208" s="416">
        <v>37.4</v>
      </c>
      <c r="AP208" s="416">
        <v>26.3</v>
      </c>
      <c r="AQ208" s="416">
        <v>17.8</v>
      </c>
      <c r="AR208" s="416">
        <v>11.4</v>
      </c>
      <c r="AS208" s="416">
        <v>6.73</v>
      </c>
      <c r="AT208" s="416">
        <v>0</v>
      </c>
      <c r="AU208" s="416">
        <v>0</v>
      </c>
      <c r="AV208" s="416">
        <v>0</v>
      </c>
      <c r="AW208" s="416">
        <v>0</v>
      </c>
      <c r="AX208" s="416">
        <v>0</v>
      </c>
      <c r="AY208" s="416">
        <v>0</v>
      </c>
      <c r="AZ208" s="416">
        <v>0</v>
      </c>
    </row>
    <row r="209" spans="1:52" x14ac:dyDescent="0.25">
      <c r="A209" s="415" t="str">
        <f t="shared" si="3"/>
        <v>SA-240 Gr.410</v>
      </c>
      <c r="B209" s="415">
        <v>204</v>
      </c>
      <c r="C209" s="415" t="s">
        <v>3018</v>
      </c>
      <c r="D209" s="415" t="s">
        <v>2684</v>
      </c>
      <c r="E209" s="415" t="s">
        <v>2165</v>
      </c>
      <c r="F209" s="415">
        <v>410</v>
      </c>
      <c r="G209" s="415" t="s">
        <v>3020</v>
      </c>
      <c r="H209" s="415">
        <v>0</v>
      </c>
      <c r="I209" s="415">
        <v>0</v>
      </c>
      <c r="J209" s="415">
        <v>6</v>
      </c>
      <c r="K209" s="415">
        <v>1</v>
      </c>
      <c r="L209" s="415">
        <v>37</v>
      </c>
      <c r="M209" s="415">
        <v>450</v>
      </c>
      <c r="N209" s="415">
        <v>205</v>
      </c>
      <c r="O209" s="415">
        <v>649</v>
      </c>
      <c r="P209" s="415" t="s">
        <v>2699</v>
      </c>
      <c r="Q209" s="415" t="s">
        <v>3553</v>
      </c>
      <c r="R209" s="415">
        <v>37</v>
      </c>
      <c r="S209" s="415">
        <v>138</v>
      </c>
      <c r="T209" s="416">
        <v>138</v>
      </c>
      <c r="U209" s="416">
        <v>130</v>
      </c>
      <c r="V209" s="416">
        <v>126</v>
      </c>
      <c r="W209" s="416">
        <v>124</v>
      </c>
      <c r="X209" s="416">
        <v>122</v>
      </c>
      <c r="Y209" s="416">
        <v>121</v>
      </c>
      <c r="Z209" s="416">
        <v>120</v>
      </c>
      <c r="AA209" s="416">
        <v>120</v>
      </c>
      <c r="AB209" s="416">
        <v>119</v>
      </c>
      <c r="AC209" s="416">
        <v>118</v>
      </c>
      <c r="AD209" s="416">
        <v>117</v>
      </c>
      <c r="AE209" s="416">
        <v>115</v>
      </c>
      <c r="AF209" s="416">
        <v>114</v>
      </c>
      <c r="AG209" s="416">
        <v>111</v>
      </c>
      <c r="AH209" s="416">
        <v>108</v>
      </c>
      <c r="AI209" s="416">
        <v>104</v>
      </c>
      <c r="AJ209" s="416">
        <v>100</v>
      </c>
      <c r="AK209" s="416">
        <v>92.5</v>
      </c>
      <c r="AL209" s="416">
        <v>37</v>
      </c>
      <c r="AM209" s="416">
        <v>68.400000000000006</v>
      </c>
      <c r="AN209" s="416">
        <v>51.1</v>
      </c>
      <c r="AO209" s="416">
        <v>37.4</v>
      </c>
      <c r="AP209" s="416">
        <v>26.3</v>
      </c>
      <c r="AQ209" s="416">
        <v>17.8</v>
      </c>
      <c r="AR209" s="416">
        <v>11.4</v>
      </c>
      <c r="AS209" s="416">
        <v>6.73</v>
      </c>
      <c r="AT209" s="416">
        <v>0</v>
      </c>
      <c r="AU209" s="416">
        <v>0</v>
      </c>
      <c r="AV209" s="416">
        <v>0</v>
      </c>
      <c r="AW209" s="416">
        <v>0</v>
      </c>
      <c r="AX209" s="416">
        <v>0</v>
      </c>
      <c r="AY209" s="416">
        <v>0</v>
      </c>
      <c r="AZ209" s="416">
        <v>0</v>
      </c>
    </row>
    <row r="210" spans="1:52" x14ac:dyDescent="0.25">
      <c r="A210" s="415" t="str">
        <f t="shared" si="3"/>
        <v>SA-182 Gr.F6a</v>
      </c>
      <c r="B210" s="415">
        <v>205</v>
      </c>
      <c r="C210" s="415" t="s">
        <v>3018</v>
      </c>
      <c r="D210" s="415" t="s">
        <v>2737</v>
      </c>
      <c r="E210" s="415" t="s">
        <v>2188</v>
      </c>
      <c r="F210" s="415" t="s">
        <v>2461</v>
      </c>
      <c r="G210" s="415" t="s">
        <v>3020</v>
      </c>
      <c r="H210" s="415">
        <v>1</v>
      </c>
      <c r="I210" s="415">
        <v>0</v>
      </c>
      <c r="J210" s="415">
        <v>6</v>
      </c>
      <c r="K210" s="415">
        <v>3</v>
      </c>
      <c r="L210" s="415">
        <v>38</v>
      </c>
      <c r="M210" s="415">
        <v>485</v>
      </c>
      <c r="N210" s="415">
        <v>275</v>
      </c>
      <c r="O210" s="415">
        <v>649</v>
      </c>
      <c r="P210" s="415" t="s">
        <v>2819</v>
      </c>
      <c r="Q210" s="415" t="s">
        <v>2549</v>
      </c>
      <c r="R210" s="415">
        <v>38</v>
      </c>
      <c r="S210" s="415">
        <v>244</v>
      </c>
      <c r="T210" s="416">
        <v>244</v>
      </c>
      <c r="U210" s="416">
        <v>244</v>
      </c>
      <c r="V210" s="416">
        <v>244</v>
      </c>
      <c r="W210" s="416">
        <v>244</v>
      </c>
      <c r="X210" s="416">
        <v>244</v>
      </c>
      <c r="Y210" s="416">
        <v>244</v>
      </c>
      <c r="Z210" s="416">
        <v>244</v>
      </c>
      <c r="AA210" s="416">
        <v>244</v>
      </c>
      <c r="AB210" s="416">
        <v>244</v>
      </c>
      <c r="AC210" s="416">
        <v>244</v>
      </c>
      <c r="AD210" s="416">
        <v>244</v>
      </c>
      <c r="AE210" s="416">
        <v>244</v>
      </c>
      <c r="AF210" s="416">
        <v>244</v>
      </c>
      <c r="AG210" s="416">
        <v>244</v>
      </c>
      <c r="AH210" s="416">
        <v>244</v>
      </c>
      <c r="AI210" s="416">
        <v>244</v>
      </c>
      <c r="AJ210" s="416">
        <v>125</v>
      </c>
      <c r="AK210" s="416">
        <v>92.5</v>
      </c>
      <c r="AL210" s="416">
        <v>38</v>
      </c>
      <c r="AM210" s="416">
        <v>68.400000000000006</v>
      </c>
      <c r="AN210" s="416">
        <v>51.1</v>
      </c>
      <c r="AO210" s="416">
        <v>37.4</v>
      </c>
      <c r="AP210" s="416">
        <v>26.3</v>
      </c>
      <c r="AQ210" s="416">
        <v>17.8</v>
      </c>
      <c r="AR210" s="416">
        <v>11.4</v>
      </c>
      <c r="AS210" s="416">
        <v>6.73</v>
      </c>
      <c r="AT210" s="416">
        <v>0</v>
      </c>
      <c r="AU210" s="416">
        <v>0</v>
      </c>
      <c r="AV210" s="416">
        <v>0</v>
      </c>
      <c r="AW210" s="416">
        <v>0</v>
      </c>
      <c r="AX210" s="416">
        <v>0</v>
      </c>
      <c r="AY210" s="416">
        <v>0</v>
      </c>
      <c r="AZ210" s="416">
        <v>0</v>
      </c>
    </row>
    <row r="211" spans="1:52" x14ac:dyDescent="0.25">
      <c r="A211" s="415" t="str">
        <f t="shared" si="3"/>
        <v>SA-182 Gr.F6a</v>
      </c>
      <c r="B211" s="415">
        <v>206</v>
      </c>
      <c r="C211" s="415" t="s">
        <v>3018</v>
      </c>
      <c r="D211" s="415" t="s">
        <v>2737</v>
      </c>
      <c r="E211" s="415" t="s">
        <v>2188</v>
      </c>
      <c r="F211" s="415" t="s">
        <v>2461</v>
      </c>
      <c r="G211" s="415" t="s">
        <v>3020</v>
      </c>
      <c r="H211" s="415">
        <v>2</v>
      </c>
      <c r="I211" s="415">
        <v>0</v>
      </c>
      <c r="J211" s="415">
        <v>6</v>
      </c>
      <c r="K211" s="415">
        <v>3</v>
      </c>
      <c r="L211" s="415">
        <v>39</v>
      </c>
      <c r="M211" s="415">
        <v>585</v>
      </c>
      <c r="N211" s="415">
        <v>380</v>
      </c>
      <c r="O211" s="415">
        <v>649</v>
      </c>
      <c r="P211" s="415" t="s">
        <v>2819</v>
      </c>
      <c r="Q211" s="415" t="s">
        <v>2549</v>
      </c>
      <c r="R211" s="415">
        <v>39</v>
      </c>
      <c r="S211" s="415">
        <v>230</v>
      </c>
      <c r="T211" s="416">
        <v>230</v>
      </c>
      <c r="U211" s="416">
        <v>230</v>
      </c>
      <c r="V211" s="416">
        <v>230</v>
      </c>
      <c r="W211" s="416">
        <v>230</v>
      </c>
      <c r="X211" s="416">
        <v>230</v>
      </c>
      <c r="Y211" s="416">
        <v>230</v>
      </c>
      <c r="Z211" s="416">
        <v>230</v>
      </c>
      <c r="AA211" s="416">
        <v>230</v>
      </c>
      <c r="AB211" s="416">
        <v>230</v>
      </c>
      <c r="AC211" s="416">
        <v>230</v>
      </c>
      <c r="AD211" s="416">
        <v>230</v>
      </c>
      <c r="AE211" s="416">
        <v>230</v>
      </c>
      <c r="AF211" s="416">
        <v>230</v>
      </c>
      <c r="AG211" s="416">
        <v>230</v>
      </c>
      <c r="AH211" s="416">
        <v>230</v>
      </c>
      <c r="AI211" s="416">
        <v>230</v>
      </c>
      <c r="AJ211" s="416">
        <v>125</v>
      </c>
      <c r="AK211" s="416">
        <v>92.5</v>
      </c>
      <c r="AL211" s="416">
        <v>39</v>
      </c>
      <c r="AM211" s="416">
        <v>68.400000000000006</v>
      </c>
      <c r="AN211" s="416">
        <v>51.1</v>
      </c>
      <c r="AO211" s="416">
        <v>37.4</v>
      </c>
      <c r="AP211" s="416">
        <v>26.3</v>
      </c>
      <c r="AQ211" s="416">
        <v>17.8</v>
      </c>
      <c r="AR211" s="416">
        <v>11.4</v>
      </c>
      <c r="AS211" s="416">
        <v>6.73</v>
      </c>
      <c r="AT211" s="416">
        <v>0</v>
      </c>
      <c r="AU211" s="416">
        <v>0</v>
      </c>
      <c r="AV211" s="416">
        <v>0</v>
      </c>
      <c r="AW211" s="416">
        <v>0</v>
      </c>
      <c r="AX211" s="416">
        <v>0</v>
      </c>
      <c r="AY211" s="416">
        <v>0</v>
      </c>
      <c r="AZ211" s="416">
        <v>0</v>
      </c>
    </row>
    <row r="212" spans="1:52" x14ac:dyDescent="0.25">
      <c r="A212" s="415" t="str">
        <f t="shared" si="3"/>
        <v>SA-336 Gr.F6</v>
      </c>
      <c r="B212" s="415">
        <v>207</v>
      </c>
      <c r="C212" s="415" t="s">
        <v>3018</v>
      </c>
      <c r="D212" s="415" t="s">
        <v>2737</v>
      </c>
      <c r="E212" s="415" t="s">
        <v>2211</v>
      </c>
      <c r="F212" s="415" t="s">
        <v>2460</v>
      </c>
      <c r="G212" s="415" t="s">
        <v>3020</v>
      </c>
      <c r="H212" s="415">
        <v>0</v>
      </c>
      <c r="I212" s="415">
        <v>0</v>
      </c>
      <c r="J212" s="415">
        <v>6</v>
      </c>
      <c r="K212" s="415">
        <v>3</v>
      </c>
      <c r="L212" s="415">
        <v>40</v>
      </c>
      <c r="M212" s="415">
        <v>585</v>
      </c>
      <c r="N212" s="415">
        <v>380</v>
      </c>
      <c r="O212" s="415">
        <v>649</v>
      </c>
      <c r="P212" s="415" t="s">
        <v>2819</v>
      </c>
      <c r="Q212" s="415" t="s">
        <v>2549</v>
      </c>
      <c r="R212" s="415">
        <v>40</v>
      </c>
      <c r="S212" s="415">
        <v>244</v>
      </c>
      <c r="T212" s="416">
        <v>244</v>
      </c>
      <c r="U212" s="416">
        <v>244</v>
      </c>
      <c r="V212" s="416">
        <v>244</v>
      </c>
      <c r="W212" s="416">
        <v>244</v>
      </c>
      <c r="X212" s="416">
        <v>244</v>
      </c>
      <c r="Y212" s="416">
        <v>244</v>
      </c>
      <c r="Z212" s="416">
        <v>244</v>
      </c>
      <c r="AA212" s="416">
        <v>244</v>
      </c>
      <c r="AB212" s="416">
        <v>244</v>
      </c>
      <c r="AC212" s="416">
        <v>244</v>
      </c>
      <c r="AD212" s="416">
        <v>244</v>
      </c>
      <c r="AE212" s="416">
        <v>244</v>
      </c>
      <c r="AF212" s="416">
        <v>244</v>
      </c>
      <c r="AG212" s="416">
        <v>244</v>
      </c>
      <c r="AH212" s="416">
        <v>244</v>
      </c>
      <c r="AI212" s="416">
        <v>244</v>
      </c>
      <c r="AJ212" s="416">
        <v>125</v>
      </c>
      <c r="AK212" s="416">
        <v>92.5</v>
      </c>
      <c r="AL212" s="416">
        <v>40</v>
      </c>
      <c r="AM212" s="416">
        <v>68.400000000000006</v>
      </c>
      <c r="AN212" s="416">
        <v>51.1</v>
      </c>
      <c r="AO212" s="416">
        <v>37.4</v>
      </c>
      <c r="AP212" s="416">
        <v>26.3</v>
      </c>
      <c r="AQ212" s="416">
        <v>17.8</v>
      </c>
      <c r="AR212" s="416">
        <v>11.4</v>
      </c>
      <c r="AS212" s="416">
        <v>6.73</v>
      </c>
      <c r="AT212" s="416">
        <v>0</v>
      </c>
      <c r="AU212" s="416">
        <v>0</v>
      </c>
      <c r="AV212" s="416">
        <v>0</v>
      </c>
      <c r="AW212" s="416">
        <v>0</v>
      </c>
      <c r="AX212" s="416">
        <v>0</v>
      </c>
      <c r="AY212" s="416">
        <v>0</v>
      </c>
      <c r="AZ212" s="416">
        <v>0</v>
      </c>
    </row>
    <row r="213" spans="1:52" x14ac:dyDescent="0.25">
      <c r="A213" s="415" t="str">
        <f t="shared" si="3"/>
        <v>SA-217 Gr.CA15</v>
      </c>
      <c r="B213" s="415">
        <v>208</v>
      </c>
      <c r="C213" s="415" t="s">
        <v>3018</v>
      </c>
      <c r="D213" s="415" t="s">
        <v>2739</v>
      </c>
      <c r="E213" s="415" t="s">
        <v>2198</v>
      </c>
      <c r="F213" s="415" t="s">
        <v>2356</v>
      </c>
      <c r="G213" s="415" t="s">
        <v>3024</v>
      </c>
      <c r="H213" s="415">
        <v>0</v>
      </c>
      <c r="I213" s="415">
        <v>0</v>
      </c>
      <c r="J213" s="415">
        <v>6</v>
      </c>
      <c r="K213" s="415">
        <v>3</v>
      </c>
      <c r="L213" s="415">
        <v>41</v>
      </c>
      <c r="M213" s="415">
        <v>620</v>
      </c>
      <c r="N213" s="415">
        <v>450</v>
      </c>
      <c r="O213" s="415">
        <v>649</v>
      </c>
      <c r="P213" s="415" t="s">
        <v>2838</v>
      </c>
      <c r="Q213" s="415" t="s">
        <v>2549</v>
      </c>
      <c r="R213" s="415">
        <v>41</v>
      </c>
      <c r="S213" s="415">
        <v>259</v>
      </c>
      <c r="T213" s="416">
        <v>259</v>
      </c>
      <c r="U213" s="416">
        <v>259</v>
      </c>
      <c r="V213" s="416">
        <v>259</v>
      </c>
      <c r="W213" s="416">
        <v>259</v>
      </c>
      <c r="X213" s="416">
        <v>259</v>
      </c>
      <c r="Y213" s="416">
        <v>259</v>
      </c>
      <c r="Z213" s="416">
        <v>259</v>
      </c>
      <c r="AA213" s="416">
        <v>259</v>
      </c>
      <c r="AB213" s="416">
        <v>259</v>
      </c>
      <c r="AC213" s="416">
        <v>259</v>
      </c>
      <c r="AD213" s="416">
        <v>259</v>
      </c>
      <c r="AE213" s="416">
        <v>259</v>
      </c>
      <c r="AF213" s="416">
        <v>259</v>
      </c>
      <c r="AG213" s="416">
        <v>259</v>
      </c>
      <c r="AH213" s="416">
        <v>259</v>
      </c>
      <c r="AI213" s="416">
        <v>259</v>
      </c>
      <c r="AJ213" s="416">
        <v>125</v>
      </c>
      <c r="AK213" s="416">
        <v>92.5</v>
      </c>
      <c r="AL213" s="416">
        <v>41</v>
      </c>
      <c r="AM213" s="416">
        <v>68.400000000000006</v>
      </c>
      <c r="AN213" s="416">
        <v>51.1</v>
      </c>
      <c r="AO213" s="416">
        <v>37.4</v>
      </c>
      <c r="AP213" s="416">
        <v>26.3</v>
      </c>
      <c r="AQ213" s="416">
        <v>17.8</v>
      </c>
      <c r="AR213" s="416">
        <v>11.4</v>
      </c>
      <c r="AS213" s="416">
        <v>6.73</v>
      </c>
      <c r="AT213" s="416">
        <v>0</v>
      </c>
      <c r="AU213" s="416">
        <v>0</v>
      </c>
      <c r="AV213" s="416">
        <v>0</v>
      </c>
      <c r="AW213" s="416">
        <v>0</v>
      </c>
      <c r="AX213" s="416">
        <v>0</v>
      </c>
      <c r="AY213" s="416">
        <v>0</v>
      </c>
      <c r="AZ213" s="416">
        <v>0</v>
      </c>
    </row>
    <row r="214" spans="1:52" x14ac:dyDescent="0.25">
      <c r="A214" s="415" t="str">
        <f t="shared" si="3"/>
        <v>SA-268 Gr.TP429</v>
      </c>
      <c r="B214" s="415">
        <v>209</v>
      </c>
      <c r="C214" s="415" t="s">
        <v>3028</v>
      </c>
      <c r="D214" s="415" t="s">
        <v>2693</v>
      </c>
      <c r="E214" s="415" t="s">
        <v>2203</v>
      </c>
      <c r="F214" s="415" t="s">
        <v>2585</v>
      </c>
      <c r="G214" s="415" t="s">
        <v>3029</v>
      </c>
      <c r="H214" s="415">
        <v>0</v>
      </c>
      <c r="I214" s="415">
        <v>0</v>
      </c>
      <c r="J214" s="415">
        <v>6</v>
      </c>
      <c r="K214" s="415">
        <v>2</v>
      </c>
      <c r="L214" s="415">
        <v>42</v>
      </c>
      <c r="M214" s="415">
        <v>415</v>
      </c>
      <c r="N214" s="415">
        <v>240</v>
      </c>
      <c r="O214" s="415">
        <v>649</v>
      </c>
      <c r="P214" s="415" t="s">
        <v>2699</v>
      </c>
      <c r="Q214" s="415" t="s">
        <v>3560</v>
      </c>
      <c r="R214" s="415">
        <v>42</v>
      </c>
      <c r="S214" s="415">
        <v>161</v>
      </c>
      <c r="T214" s="416">
        <v>161</v>
      </c>
      <c r="U214" s="416">
        <v>152</v>
      </c>
      <c r="V214" s="416">
        <v>147</v>
      </c>
      <c r="W214" s="416">
        <v>145</v>
      </c>
      <c r="X214" s="416">
        <v>143</v>
      </c>
      <c r="Y214" s="416">
        <v>141</v>
      </c>
      <c r="Z214" s="416">
        <v>140</v>
      </c>
      <c r="AA214" s="416">
        <v>140</v>
      </c>
      <c r="AB214" s="416">
        <v>139</v>
      </c>
      <c r="AC214" s="416">
        <v>138</v>
      </c>
      <c r="AD214" s="416">
        <v>136</v>
      </c>
      <c r="AE214" s="416">
        <v>135</v>
      </c>
      <c r="AF214" s="416">
        <v>133</v>
      </c>
      <c r="AG214" s="416">
        <v>130</v>
      </c>
      <c r="AH214" s="416">
        <v>126</v>
      </c>
      <c r="AI214" s="416">
        <v>122</v>
      </c>
      <c r="AJ214" s="416">
        <v>117</v>
      </c>
      <c r="AK214" s="416">
        <v>88.7</v>
      </c>
      <c r="AL214" s="416">
        <v>42</v>
      </c>
      <c r="AM214" s="416">
        <v>69.8</v>
      </c>
      <c r="AN214" s="416">
        <v>52.6</v>
      </c>
      <c r="AO214" s="416">
        <v>38.1</v>
      </c>
      <c r="AP214" s="416">
        <v>27.6</v>
      </c>
      <c r="AQ214" s="416">
        <v>20.6</v>
      </c>
      <c r="AR214" s="416">
        <v>15.9</v>
      </c>
      <c r="AS214" s="416">
        <v>12.3</v>
      </c>
      <c r="AT214" s="416">
        <v>0</v>
      </c>
      <c r="AU214" s="416">
        <v>0</v>
      </c>
      <c r="AV214" s="416">
        <v>0</v>
      </c>
      <c r="AW214" s="416">
        <v>0</v>
      </c>
      <c r="AX214" s="416">
        <v>0</v>
      </c>
      <c r="AY214" s="416">
        <v>0</v>
      </c>
      <c r="AZ214" s="416">
        <v>0</v>
      </c>
    </row>
    <row r="215" spans="1:52" x14ac:dyDescent="0.25">
      <c r="A215" s="415" t="str">
        <f t="shared" si="3"/>
        <v>SA-240 Gr.429</v>
      </c>
      <c r="B215" s="415">
        <v>210</v>
      </c>
      <c r="C215" s="415" t="s">
        <v>3028</v>
      </c>
      <c r="D215" s="415" t="s">
        <v>2684</v>
      </c>
      <c r="E215" s="415" t="s">
        <v>2165</v>
      </c>
      <c r="F215" s="415">
        <v>429</v>
      </c>
      <c r="G215" s="415" t="s">
        <v>3029</v>
      </c>
      <c r="H215" s="415">
        <v>0</v>
      </c>
      <c r="I215" s="415">
        <v>0</v>
      </c>
      <c r="J215" s="415">
        <v>6</v>
      </c>
      <c r="K215" s="415">
        <v>2</v>
      </c>
      <c r="L215" s="415">
        <v>43</v>
      </c>
      <c r="M215" s="415">
        <v>450</v>
      </c>
      <c r="N215" s="415">
        <v>205</v>
      </c>
      <c r="O215" s="415">
        <v>649</v>
      </c>
      <c r="P215" s="415" t="s">
        <v>2699</v>
      </c>
      <c r="Q215" s="415" t="s">
        <v>3560</v>
      </c>
      <c r="R215" s="415">
        <v>43</v>
      </c>
      <c r="S215" s="415">
        <v>138</v>
      </c>
      <c r="T215" s="416">
        <v>138</v>
      </c>
      <c r="U215" s="416">
        <v>130</v>
      </c>
      <c r="V215" s="416">
        <v>126</v>
      </c>
      <c r="W215" s="416">
        <v>124</v>
      </c>
      <c r="X215" s="416">
        <v>122</v>
      </c>
      <c r="Y215" s="416">
        <v>121</v>
      </c>
      <c r="Z215" s="416">
        <v>120</v>
      </c>
      <c r="AA215" s="416">
        <v>120</v>
      </c>
      <c r="AB215" s="416">
        <v>119</v>
      </c>
      <c r="AC215" s="416">
        <v>118</v>
      </c>
      <c r="AD215" s="416">
        <v>117</v>
      </c>
      <c r="AE215" s="416">
        <v>115</v>
      </c>
      <c r="AF215" s="416">
        <v>114</v>
      </c>
      <c r="AG215" s="416">
        <v>111</v>
      </c>
      <c r="AH215" s="416">
        <v>108</v>
      </c>
      <c r="AI215" s="416">
        <v>104</v>
      </c>
      <c r="AJ215" s="416">
        <v>100</v>
      </c>
      <c r="AK215" s="416">
        <v>88.7</v>
      </c>
      <c r="AL215" s="416">
        <v>43</v>
      </c>
      <c r="AM215" s="416">
        <v>69.8</v>
      </c>
      <c r="AN215" s="416">
        <v>52.6</v>
      </c>
      <c r="AO215" s="416">
        <v>38.1</v>
      </c>
      <c r="AP215" s="416">
        <v>27.6</v>
      </c>
      <c r="AQ215" s="416">
        <v>20.6</v>
      </c>
      <c r="AR215" s="416">
        <v>15.9</v>
      </c>
      <c r="AS215" s="416">
        <v>12.3</v>
      </c>
      <c r="AT215" s="416">
        <v>0</v>
      </c>
      <c r="AU215" s="416">
        <v>0</v>
      </c>
      <c r="AV215" s="416">
        <v>0</v>
      </c>
      <c r="AW215" s="416">
        <v>0</v>
      </c>
      <c r="AX215" s="416">
        <v>0</v>
      </c>
      <c r="AY215" s="416">
        <v>0</v>
      </c>
      <c r="AZ215" s="416">
        <v>0</v>
      </c>
    </row>
    <row r="216" spans="1:52" x14ac:dyDescent="0.25">
      <c r="A216" s="415" t="str">
        <f t="shared" si="3"/>
        <v>SA-268 Gr.TP430</v>
      </c>
      <c r="B216" s="415">
        <v>211</v>
      </c>
      <c r="C216" s="415" t="s">
        <v>3033</v>
      </c>
      <c r="D216" s="415" t="s">
        <v>2693</v>
      </c>
      <c r="E216" s="415" t="s">
        <v>2203</v>
      </c>
      <c r="F216" s="415" t="s">
        <v>2586</v>
      </c>
      <c r="G216" s="415" t="s">
        <v>3034</v>
      </c>
      <c r="H216" s="415">
        <v>0</v>
      </c>
      <c r="I216" s="415">
        <v>0</v>
      </c>
      <c r="J216" s="415">
        <v>7</v>
      </c>
      <c r="K216" s="415">
        <v>2</v>
      </c>
      <c r="L216" s="415">
        <v>44</v>
      </c>
      <c r="M216" s="415">
        <v>415</v>
      </c>
      <c r="N216" s="415">
        <v>240</v>
      </c>
      <c r="O216" s="415">
        <v>649</v>
      </c>
      <c r="P216" s="415" t="s">
        <v>2699</v>
      </c>
      <c r="Q216" s="415" t="s">
        <v>3560</v>
      </c>
      <c r="R216" s="415">
        <v>44</v>
      </c>
      <c r="S216" s="415">
        <v>161</v>
      </c>
      <c r="T216" s="416">
        <v>161</v>
      </c>
      <c r="U216" s="416">
        <v>152</v>
      </c>
      <c r="V216" s="416">
        <v>147</v>
      </c>
      <c r="W216" s="416">
        <v>145</v>
      </c>
      <c r="X216" s="416">
        <v>143</v>
      </c>
      <c r="Y216" s="416">
        <v>141</v>
      </c>
      <c r="Z216" s="416">
        <v>140</v>
      </c>
      <c r="AA216" s="416">
        <v>140</v>
      </c>
      <c r="AB216" s="416">
        <v>139</v>
      </c>
      <c r="AC216" s="416">
        <v>138</v>
      </c>
      <c r="AD216" s="416">
        <v>136</v>
      </c>
      <c r="AE216" s="416">
        <v>135</v>
      </c>
      <c r="AF216" s="416">
        <v>133</v>
      </c>
      <c r="AG216" s="416">
        <v>130</v>
      </c>
      <c r="AH216" s="416">
        <v>126</v>
      </c>
      <c r="AI216" s="416">
        <v>122</v>
      </c>
      <c r="AJ216" s="416">
        <v>117</v>
      </c>
      <c r="AK216" s="416">
        <v>88.7</v>
      </c>
      <c r="AL216" s="416">
        <v>44</v>
      </c>
      <c r="AM216" s="416">
        <v>69.8</v>
      </c>
      <c r="AN216" s="416">
        <v>52.6</v>
      </c>
      <c r="AO216" s="416">
        <v>38.1</v>
      </c>
      <c r="AP216" s="416">
        <v>27.6</v>
      </c>
      <c r="AQ216" s="416">
        <v>20.6</v>
      </c>
      <c r="AR216" s="416">
        <v>15.9</v>
      </c>
      <c r="AS216" s="416">
        <v>12.3</v>
      </c>
      <c r="AT216" s="416">
        <v>0</v>
      </c>
      <c r="AU216" s="416">
        <v>0</v>
      </c>
      <c r="AV216" s="416">
        <v>0</v>
      </c>
      <c r="AW216" s="416">
        <v>0</v>
      </c>
      <c r="AX216" s="416">
        <v>0</v>
      </c>
      <c r="AY216" s="416">
        <v>0</v>
      </c>
      <c r="AZ216" s="416">
        <v>0</v>
      </c>
    </row>
    <row r="217" spans="1:52" x14ac:dyDescent="0.25">
      <c r="A217" s="415" t="str">
        <f t="shared" si="3"/>
        <v>SA-240 Gr.430</v>
      </c>
      <c r="B217" s="415">
        <v>212</v>
      </c>
      <c r="C217" s="415" t="s">
        <v>3033</v>
      </c>
      <c r="D217" s="415" t="s">
        <v>2684</v>
      </c>
      <c r="E217" s="415" t="s">
        <v>2165</v>
      </c>
      <c r="F217" s="415">
        <v>430</v>
      </c>
      <c r="G217" s="415" t="s">
        <v>3034</v>
      </c>
      <c r="H217" s="415">
        <v>0</v>
      </c>
      <c r="I217" s="415">
        <v>0</v>
      </c>
      <c r="J217" s="415">
        <v>7</v>
      </c>
      <c r="K217" s="415">
        <v>2</v>
      </c>
      <c r="L217" s="415">
        <v>45</v>
      </c>
      <c r="M217" s="415">
        <v>450</v>
      </c>
      <c r="N217" s="415">
        <v>205</v>
      </c>
      <c r="O217" s="415">
        <v>649</v>
      </c>
      <c r="P217" s="415" t="s">
        <v>2699</v>
      </c>
      <c r="Q217" s="415" t="s">
        <v>3560</v>
      </c>
      <c r="R217" s="415">
        <v>45</v>
      </c>
      <c r="S217" s="415">
        <v>138</v>
      </c>
      <c r="T217" s="416">
        <v>138</v>
      </c>
      <c r="U217" s="416">
        <v>130</v>
      </c>
      <c r="V217" s="416">
        <v>126</v>
      </c>
      <c r="W217" s="416">
        <v>124</v>
      </c>
      <c r="X217" s="416">
        <v>122</v>
      </c>
      <c r="Y217" s="416">
        <v>121</v>
      </c>
      <c r="Z217" s="416">
        <v>120</v>
      </c>
      <c r="AA217" s="416">
        <v>120</v>
      </c>
      <c r="AB217" s="416">
        <v>119</v>
      </c>
      <c r="AC217" s="416">
        <v>118</v>
      </c>
      <c r="AD217" s="416">
        <v>117</v>
      </c>
      <c r="AE217" s="416">
        <v>115</v>
      </c>
      <c r="AF217" s="416">
        <v>114</v>
      </c>
      <c r="AG217" s="416">
        <v>111</v>
      </c>
      <c r="AH217" s="416">
        <v>108</v>
      </c>
      <c r="AI217" s="416">
        <v>104</v>
      </c>
      <c r="AJ217" s="416">
        <v>100</v>
      </c>
      <c r="AK217" s="416">
        <v>88.7</v>
      </c>
      <c r="AL217" s="416">
        <v>45</v>
      </c>
      <c r="AM217" s="416">
        <v>69.8</v>
      </c>
      <c r="AN217" s="416">
        <v>52.6</v>
      </c>
      <c r="AO217" s="416">
        <v>38.1</v>
      </c>
      <c r="AP217" s="416">
        <v>27.6</v>
      </c>
      <c r="AQ217" s="416">
        <v>20.6</v>
      </c>
      <c r="AR217" s="416">
        <v>15.9</v>
      </c>
      <c r="AS217" s="416">
        <v>12.3</v>
      </c>
      <c r="AT217" s="416">
        <v>0</v>
      </c>
      <c r="AU217" s="416">
        <v>0</v>
      </c>
      <c r="AV217" s="416">
        <v>0</v>
      </c>
      <c r="AW217" s="416">
        <v>0</v>
      </c>
      <c r="AX217" s="416">
        <v>0</v>
      </c>
      <c r="AY217" s="416">
        <v>0</v>
      </c>
      <c r="AZ217" s="416">
        <v>0</v>
      </c>
    </row>
    <row r="218" spans="1:52" x14ac:dyDescent="0.25">
      <c r="A218" s="415" t="str">
        <f t="shared" si="3"/>
        <v>SA-564 Gr.630</v>
      </c>
      <c r="B218" s="415">
        <v>213</v>
      </c>
      <c r="C218" s="415" t="s">
        <v>3042</v>
      </c>
      <c r="D218" s="415" t="s">
        <v>2677</v>
      </c>
      <c r="E218" s="415" t="s">
        <v>2275</v>
      </c>
      <c r="F218" s="415">
        <v>630</v>
      </c>
      <c r="G218" s="415" t="s">
        <v>3043</v>
      </c>
      <c r="H218" s="415" t="s">
        <v>3049</v>
      </c>
      <c r="I218" s="415">
        <v>0</v>
      </c>
      <c r="J218" s="415">
        <v>0</v>
      </c>
      <c r="K218" s="415">
        <v>0</v>
      </c>
      <c r="L218" s="415">
        <v>1</v>
      </c>
      <c r="M218" s="415">
        <v>965</v>
      </c>
      <c r="N218" s="415">
        <v>795</v>
      </c>
      <c r="O218" s="415">
        <v>316</v>
      </c>
      <c r="P218" s="415" t="s">
        <v>2896</v>
      </c>
      <c r="Q218" s="415" t="s">
        <v>3561</v>
      </c>
      <c r="R218" s="415">
        <v>1</v>
      </c>
      <c r="S218" s="415">
        <v>402</v>
      </c>
      <c r="T218" s="416">
        <v>402</v>
      </c>
      <c r="U218" s="416">
        <v>402</v>
      </c>
      <c r="V218" s="416">
        <v>402</v>
      </c>
      <c r="W218" s="416">
        <v>402</v>
      </c>
      <c r="X218" s="416">
        <v>402</v>
      </c>
      <c r="Y218" s="416">
        <v>402</v>
      </c>
      <c r="Z218" s="416">
        <v>402</v>
      </c>
      <c r="AA218" s="416">
        <v>402</v>
      </c>
      <c r="AB218" s="416">
        <v>402</v>
      </c>
      <c r="AC218" s="416">
        <v>402</v>
      </c>
      <c r="AD218" s="416">
        <v>402</v>
      </c>
      <c r="AE218" s="416">
        <v>402</v>
      </c>
      <c r="AF218" s="416">
        <v>0</v>
      </c>
      <c r="AG218" s="416">
        <v>0</v>
      </c>
      <c r="AH218" s="416">
        <v>0</v>
      </c>
      <c r="AI218" s="416">
        <v>0</v>
      </c>
      <c r="AJ218" s="416">
        <v>0</v>
      </c>
      <c r="AK218" s="416">
        <v>0</v>
      </c>
      <c r="AL218" s="416">
        <v>1</v>
      </c>
      <c r="AM218" s="416">
        <v>0</v>
      </c>
      <c r="AN218" s="416">
        <v>0</v>
      </c>
      <c r="AO218" s="416">
        <v>0</v>
      </c>
      <c r="AP218" s="416">
        <v>0</v>
      </c>
      <c r="AQ218" s="416">
        <v>0</v>
      </c>
      <c r="AR218" s="416">
        <v>0</v>
      </c>
      <c r="AS218" s="416">
        <v>0</v>
      </c>
      <c r="AT218" s="416">
        <v>0</v>
      </c>
      <c r="AU218" s="416">
        <v>0</v>
      </c>
      <c r="AV218" s="416">
        <v>0</v>
      </c>
      <c r="AW218" s="416">
        <v>0</v>
      </c>
      <c r="AX218" s="416">
        <v>0</v>
      </c>
      <c r="AY218" s="416">
        <v>0</v>
      </c>
      <c r="AZ218" s="416">
        <v>0</v>
      </c>
    </row>
    <row r="219" spans="1:52" x14ac:dyDescent="0.25">
      <c r="A219" s="415" t="str">
        <f t="shared" si="3"/>
        <v>SA-693 Gr.630</v>
      </c>
      <c r="B219" s="415">
        <v>214</v>
      </c>
      <c r="C219" s="415" t="s">
        <v>3042</v>
      </c>
      <c r="D219" s="415" t="s">
        <v>2684</v>
      </c>
      <c r="E219" s="415" t="s">
        <v>3046</v>
      </c>
      <c r="F219" s="415">
        <v>630</v>
      </c>
      <c r="G219" s="415" t="s">
        <v>3043</v>
      </c>
      <c r="H219" s="415" t="s">
        <v>3049</v>
      </c>
      <c r="I219" s="415">
        <v>0</v>
      </c>
      <c r="J219" s="415">
        <v>0</v>
      </c>
      <c r="K219" s="415">
        <v>0</v>
      </c>
      <c r="L219" s="415">
        <v>2</v>
      </c>
      <c r="M219" s="415">
        <v>965</v>
      </c>
      <c r="N219" s="415">
        <v>795</v>
      </c>
      <c r="O219" s="415">
        <v>316</v>
      </c>
      <c r="P219" s="415" t="s">
        <v>2896</v>
      </c>
      <c r="Q219" s="415" t="s">
        <v>3561</v>
      </c>
      <c r="R219" s="415">
        <v>2</v>
      </c>
      <c r="S219" s="415">
        <v>402</v>
      </c>
      <c r="T219" s="416">
        <v>402</v>
      </c>
      <c r="U219" s="416">
        <v>402</v>
      </c>
      <c r="V219" s="416">
        <v>402</v>
      </c>
      <c r="W219" s="416">
        <v>402</v>
      </c>
      <c r="X219" s="416">
        <v>402</v>
      </c>
      <c r="Y219" s="416">
        <v>402</v>
      </c>
      <c r="Z219" s="416">
        <v>402</v>
      </c>
      <c r="AA219" s="416">
        <v>402</v>
      </c>
      <c r="AB219" s="416">
        <v>402</v>
      </c>
      <c r="AC219" s="416">
        <v>402</v>
      </c>
      <c r="AD219" s="416">
        <v>402</v>
      </c>
      <c r="AE219" s="416">
        <v>402</v>
      </c>
      <c r="AF219" s="416">
        <v>0</v>
      </c>
      <c r="AG219" s="416">
        <v>0</v>
      </c>
      <c r="AH219" s="416">
        <v>0</v>
      </c>
      <c r="AI219" s="416">
        <v>0</v>
      </c>
      <c r="AJ219" s="416">
        <v>0</v>
      </c>
      <c r="AK219" s="416">
        <v>0</v>
      </c>
      <c r="AL219" s="416">
        <v>2</v>
      </c>
      <c r="AM219" s="416">
        <v>0</v>
      </c>
      <c r="AN219" s="416">
        <v>0</v>
      </c>
      <c r="AO219" s="416">
        <v>0</v>
      </c>
      <c r="AP219" s="416">
        <v>0</v>
      </c>
      <c r="AQ219" s="416">
        <v>0</v>
      </c>
      <c r="AR219" s="416">
        <v>0</v>
      </c>
      <c r="AS219" s="416">
        <v>0</v>
      </c>
      <c r="AT219" s="416">
        <v>0</v>
      </c>
      <c r="AU219" s="416">
        <v>0</v>
      </c>
      <c r="AV219" s="416">
        <v>0</v>
      </c>
      <c r="AW219" s="416">
        <v>0</v>
      </c>
      <c r="AX219" s="416">
        <v>0</v>
      </c>
      <c r="AY219" s="416">
        <v>0</v>
      </c>
      <c r="AZ219" s="416">
        <v>0</v>
      </c>
    </row>
    <row r="220" spans="1:52" x14ac:dyDescent="0.25">
      <c r="A220" s="415" t="str">
        <f t="shared" si="3"/>
        <v>SA-705 Gr.630</v>
      </c>
      <c r="B220" s="415">
        <v>215</v>
      </c>
      <c r="C220" s="415" t="s">
        <v>3042</v>
      </c>
      <c r="D220" s="415" t="s">
        <v>2737</v>
      </c>
      <c r="E220" s="415" t="s">
        <v>3048</v>
      </c>
      <c r="F220" s="415">
        <v>630</v>
      </c>
      <c r="G220" s="415" t="s">
        <v>3043</v>
      </c>
      <c r="H220" s="415" t="s">
        <v>3049</v>
      </c>
      <c r="I220" s="415">
        <v>0</v>
      </c>
      <c r="J220" s="415">
        <v>0</v>
      </c>
      <c r="K220" s="415">
        <v>0</v>
      </c>
      <c r="L220" s="415">
        <v>3</v>
      </c>
      <c r="M220" s="415">
        <v>965</v>
      </c>
      <c r="N220" s="415">
        <v>795</v>
      </c>
      <c r="O220" s="415">
        <v>316</v>
      </c>
      <c r="P220" s="415" t="s">
        <v>2896</v>
      </c>
      <c r="Q220" s="415" t="s">
        <v>3561</v>
      </c>
      <c r="R220" s="415">
        <v>3</v>
      </c>
      <c r="S220" s="415">
        <v>402</v>
      </c>
      <c r="T220" s="416">
        <v>402</v>
      </c>
      <c r="U220" s="416">
        <v>402</v>
      </c>
      <c r="V220" s="416">
        <v>402</v>
      </c>
      <c r="W220" s="416">
        <v>402</v>
      </c>
      <c r="X220" s="416">
        <v>402</v>
      </c>
      <c r="Y220" s="416">
        <v>402</v>
      </c>
      <c r="Z220" s="416">
        <v>402</v>
      </c>
      <c r="AA220" s="416">
        <v>402</v>
      </c>
      <c r="AB220" s="416">
        <v>402</v>
      </c>
      <c r="AC220" s="416">
        <v>402</v>
      </c>
      <c r="AD220" s="416">
        <v>402</v>
      </c>
      <c r="AE220" s="416">
        <v>402</v>
      </c>
      <c r="AF220" s="416">
        <v>0</v>
      </c>
      <c r="AG220" s="416">
        <v>0</v>
      </c>
      <c r="AH220" s="416">
        <v>0</v>
      </c>
      <c r="AI220" s="416">
        <v>0</v>
      </c>
      <c r="AJ220" s="416">
        <v>0</v>
      </c>
      <c r="AK220" s="416">
        <v>0</v>
      </c>
      <c r="AL220" s="416">
        <v>3</v>
      </c>
      <c r="AM220" s="416">
        <v>0</v>
      </c>
      <c r="AN220" s="416">
        <v>0</v>
      </c>
      <c r="AO220" s="416">
        <v>0</v>
      </c>
      <c r="AP220" s="416">
        <v>0</v>
      </c>
      <c r="AQ220" s="416">
        <v>0</v>
      </c>
      <c r="AR220" s="416">
        <v>0</v>
      </c>
      <c r="AS220" s="416">
        <v>0</v>
      </c>
      <c r="AT220" s="416">
        <v>0</v>
      </c>
      <c r="AU220" s="416">
        <v>0</v>
      </c>
      <c r="AV220" s="416">
        <v>0</v>
      </c>
      <c r="AW220" s="416">
        <v>0</v>
      </c>
      <c r="AX220" s="416">
        <v>0</v>
      </c>
      <c r="AY220" s="416">
        <v>0</v>
      </c>
      <c r="AZ220" s="416">
        <v>0</v>
      </c>
    </row>
    <row r="221" spans="1:52" x14ac:dyDescent="0.25">
      <c r="A221" s="415" t="str">
        <f t="shared" si="3"/>
        <v>SA-240 Gr.37706</v>
      </c>
      <c r="B221" s="415">
        <v>216</v>
      </c>
      <c r="C221" s="415" t="s">
        <v>3057</v>
      </c>
      <c r="D221" s="415" t="s">
        <v>2684</v>
      </c>
      <c r="E221" s="415" t="s">
        <v>2165</v>
      </c>
      <c r="F221" s="415">
        <v>37706</v>
      </c>
      <c r="G221" s="415" t="s">
        <v>3058</v>
      </c>
      <c r="H221" s="415">
        <v>0</v>
      </c>
      <c r="I221" s="415" t="s">
        <v>3562</v>
      </c>
      <c r="J221" s="415" t="s">
        <v>3060</v>
      </c>
      <c r="K221" s="415">
        <v>1</v>
      </c>
      <c r="L221" s="415">
        <v>4</v>
      </c>
      <c r="M221" s="415">
        <v>585</v>
      </c>
      <c r="N221" s="415">
        <v>450</v>
      </c>
      <c r="O221" s="415">
        <v>371</v>
      </c>
      <c r="P221" s="415" t="s">
        <v>3061</v>
      </c>
      <c r="Q221" s="415" t="s">
        <v>3563</v>
      </c>
      <c r="R221" s="415">
        <v>4</v>
      </c>
      <c r="S221" s="415">
        <v>244</v>
      </c>
      <c r="T221" s="416">
        <v>244</v>
      </c>
      <c r="U221" s="416">
        <v>244</v>
      </c>
      <c r="V221" s="416">
        <v>244</v>
      </c>
      <c r="W221" s="416">
        <v>244</v>
      </c>
      <c r="X221" s="416">
        <v>244</v>
      </c>
      <c r="Y221" s="416">
        <v>244</v>
      </c>
      <c r="Z221" s="416">
        <v>241</v>
      </c>
      <c r="AA221" s="416">
        <v>237</v>
      </c>
      <c r="AB221" s="416">
        <v>234</v>
      </c>
      <c r="AC221" s="416">
        <v>231</v>
      </c>
      <c r="AD221" s="416">
        <v>229</v>
      </c>
      <c r="AE221" s="416">
        <v>228</v>
      </c>
      <c r="AF221" s="416">
        <v>227</v>
      </c>
      <c r="AG221" s="416">
        <v>226</v>
      </c>
      <c r="AH221" s="416">
        <v>226</v>
      </c>
      <c r="AI221" s="416">
        <v>0</v>
      </c>
      <c r="AJ221" s="416">
        <v>0</v>
      </c>
      <c r="AK221" s="416">
        <v>0</v>
      </c>
      <c r="AL221" s="416">
        <v>4</v>
      </c>
      <c r="AM221" s="416">
        <v>0</v>
      </c>
      <c r="AN221" s="416">
        <v>0</v>
      </c>
      <c r="AO221" s="416">
        <v>0</v>
      </c>
      <c r="AP221" s="416">
        <v>0</v>
      </c>
      <c r="AQ221" s="416">
        <v>0</v>
      </c>
      <c r="AR221" s="416">
        <v>0</v>
      </c>
      <c r="AS221" s="416">
        <v>0</v>
      </c>
      <c r="AT221" s="416">
        <v>0</v>
      </c>
      <c r="AU221" s="416">
        <v>0</v>
      </c>
      <c r="AV221" s="416">
        <v>0</v>
      </c>
      <c r="AW221" s="416">
        <v>0</v>
      </c>
      <c r="AX221" s="416">
        <v>0</v>
      </c>
      <c r="AY221" s="416">
        <v>0</v>
      </c>
      <c r="AZ221" s="416">
        <v>0</v>
      </c>
    </row>
    <row r="222" spans="1:52" x14ac:dyDescent="0.25">
      <c r="A222" s="415" t="str">
        <f t="shared" si="3"/>
        <v>SA-268 Gr.37706</v>
      </c>
      <c r="B222" s="415">
        <v>217</v>
      </c>
      <c r="C222" s="415" t="s">
        <v>3057</v>
      </c>
      <c r="D222" s="415" t="s">
        <v>2693</v>
      </c>
      <c r="E222" s="415" t="s">
        <v>2203</v>
      </c>
      <c r="F222" s="415">
        <v>37706</v>
      </c>
      <c r="G222" s="415" t="s">
        <v>3058</v>
      </c>
      <c r="H222" s="415">
        <v>0</v>
      </c>
      <c r="I222" s="415" t="s">
        <v>3562</v>
      </c>
      <c r="J222" s="415" t="s">
        <v>3060</v>
      </c>
      <c r="K222" s="415">
        <v>1</v>
      </c>
      <c r="L222" s="415">
        <v>5</v>
      </c>
      <c r="M222" s="415">
        <v>585</v>
      </c>
      <c r="N222" s="415">
        <v>450</v>
      </c>
      <c r="O222" s="415">
        <v>371</v>
      </c>
      <c r="P222" s="415" t="s">
        <v>3061</v>
      </c>
      <c r="Q222" s="415" t="s">
        <v>3563</v>
      </c>
      <c r="R222" s="415">
        <v>5</v>
      </c>
      <c r="S222" s="415">
        <v>244</v>
      </c>
      <c r="T222" s="416">
        <v>244</v>
      </c>
      <c r="U222" s="416">
        <v>244</v>
      </c>
      <c r="V222" s="416">
        <v>244</v>
      </c>
      <c r="W222" s="416">
        <v>244</v>
      </c>
      <c r="X222" s="416">
        <v>244</v>
      </c>
      <c r="Y222" s="416">
        <v>244</v>
      </c>
      <c r="Z222" s="416">
        <v>241</v>
      </c>
      <c r="AA222" s="416">
        <v>237</v>
      </c>
      <c r="AB222" s="416">
        <v>234</v>
      </c>
      <c r="AC222" s="416">
        <v>231</v>
      </c>
      <c r="AD222" s="416">
        <v>229</v>
      </c>
      <c r="AE222" s="416">
        <v>228</v>
      </c>
      <c r="AF222" s="416">
        <v>227</v>
      </c>
      <c r="AG222" s="416">
        <v>226</v>
      </c>
      <c r="AH222" s="416">
        <v>226</v>
      </c>
      <c r="AI222" s="416">
        <v>0</v>
      </c>
      <c r="AJ222" s="416">
        <v>0</v>
      </c>
      <c r="AK222" s="416">
        <v>0</v>
      </c>
      <c r="AL222" s="416">
        <v>5</v>
      </c>
      <c r="AM222" s="416">
        <v>0</v>
      </c>
      <c r="AN222" s="416">
        <v>0</v>
      </c>
      <c r="AO222" s="416">
        <v>0</v>
      </c>
      <c r="AP222" s="416">
        <v>0</v>
      </c>
      <c r="AQ222" s="416">
        <v>0</v>
      </c>
      <c r="AR222" s="416">
        <v>0</v>
      </c>
      <c r="AS222" s="416">
        <v>0</v>
      </c>
      <c r="AT222" s="416">
        <v>0</v>
      </c>
      <c r="AU222" s="416">
        <v>0</v>
      </c>
      <c r="AV222" s="416">
        <v>0</v>
      </c>
      <c r="AW222" s="416">
        <v>0</v>
      </c>
      <c r="AX222" s="416">
        <v>0</v>
      </c>
      <c r="AY222" s="416">
        <v>0</v>
      </c>
      <c r="AZ222" s="416">
        <v>0</v>
      </c>
    </row>
    <row r="223" spans="1:52" x14ac:dyDescent="0.25">
      <c r="A223" s="415" t="str">
        <f t="shared" si="3"/>
        <v>SA-268 Gr.37706</v>
      </c>
      <c r="B223" s="415">
        <v>218</v>
      </c>
      <c r="C223" s="415" t="s">
        <v>3057</v>
      </c>
      <c r="D223" s="415" t="s">
        <v>2689</v>
      </c>
      <c r="E223" s="415" t="s">
        <v>2203</v>
      </c>
      <c r="F223" s="415">
        <v>37706</v>
      </c>
      <c r="G223" s="415" t="s">
        <v>3058</v>
      </c>
      <c r="H223" s="415">
        <v>0</v>
      </c>
      <c r="I223" s="415" t="s">
        <v>3562</v>
      </c>
      <c r="J223" s="415" t="s">
        <v>3060</v>
      </c>
      <c r="K223" s="415">
        <v>1</v>
      </c>
      <c r="L223" s="415">
        <v>6</v>
      </c>
      <c r="M223" s="415">
        <v>585</v>
      </c>
      <c r="N223" s="415">
        <v>450</v>
      </c>
      <c r="O223" s="415">
        <v>371</v>
      </c>
      <c r="P223" s="415" t="s">
        <v>3061</v>
      </c>
      <c r="Q223" s="415" t="s">
        <v>3564</v>
      </c>
      <c r="R223" s="415">
        <v>6</v>
      </c>
      <c r="S223" s="415">
        <v>208</v>
      </c>
      <c r="T223" s="416">
        <v>208</v>
      </c>
      <c r="U223" s="416">
        <v>208</v>
      </c>
      <c r="V223" s="416">
        <v>208</v>
      </c>
      <c r="W223" s="416">
        <v>208</v>
      </c>
      <c r="X223" s="416">
        <v>208</v>
      </c>
      <c r="Y223" s="416">
        <v>208</v>
      </c>
      <c r="Z223" s="416">
        <v>205</v>
      </c>
      <c r="AA223" s="416">
        <v>201</v>
      </c>
      <c r="AB223" s="416">
        <v>199</v>
      </c>
      <c r="AC223" s="416">
        <v>197</v>
      </c>
      <c r="AD223" s="416">
        <v>195</v>
      </c>
      <c r="AE223" s="416">
        <v>194</v>
      </c>
      <c r="AF223" s="416">
        <v>193</v>
      </c>
      <c r="AG223" s="416">
        <v>192</v>
      </c>
      <c r="AH223" s="416">
        <v>192</v>
      </c>
      <c r="AI223" s="416">
        <v>0</v>
      </c>
      <c r="AJ223" s="416">
        <v>0</v>
      </c>
      <c r="AK223" s="416">
        <v>0</v>
      </c>
      <c r="AL223" s="416">
        <v>6</v>
      </c>
      <c r="AM223" s="416">
        <v>0</v>
      </c>
      <c r="AN223" s="416">
        <v>0</v>
      </c>
      <c r="AO223" s="416">
        <v>0</v>
      </c>
      <c r="AP223" s="416">
        <v>0</v>
      </c>
      <c r="AQ223" s="416">
        <v>0</v>
      </c>
      <c r="AR223" s="416">
        <v>0</v>
      </c>
      <c r="AS223" s="416">
        <v>0</v>
      </c>
      <c r="AT223" s="416">
        <v>0</v>
      </c>
      <c r="AU223" s="416">
        <v>0</v>
      </c>
      <c r="AV223" s="416">
        <v>0</v>
      </c>
      <c r="AW223" s="416">
        <v>0</v>
      </c>
      <c r="AX223" s="416">
        <v>0</v>
      </c>
      <c r="AY223" s="416">
        <v>0</v>
      </c>
      <c r="AZ223" s="416">
        <v>0</v>
      </c>
    </row>
    <row r="224" spans="1:52" x14ac:dyDescent="0.25">
      <c r="A224" s="415" t="str">
        <f t="shared" si="3"/>
        <v>SA-803 Gr.37706</v>
      </c>
      <c r="B224" s="415">
        <v>219</v>
      </c>
      <c r="C224" s="415" t="s">
        <v>3057</v>
      </c>
      <c r="D224" s="415" t="s">
        <v>2689</v>
      </c>
      <c r="E224" s="415" t="s">
        <v>2326</v>
      </c>
      <c r="F224" s="415">
        <v>37706</v>
      </c>
      <c r="G224" s="415" t="s">
        <v>3058</v>
      </c>
      <c r="H224" s="415">
        <v>0</v>
      </c>
      <c r="I224" s="415" t="s">
        <v>3562</v>
      </c>
      <c r="J224" s="415" t="s">
        <v>3060</v>
      </c>
      <c r="K224" s="415">
        <v>1</v>
      </c>
      <c r="L224" s="415">
        <v>7</v>
      </c>
      <c r="M224" s="415">
        <v>585</v>
      </c>
      <c r="N224" s="415">
        <v>450</v>
      </c>
      <c r="O224" s="415">
        <v>316</v>
      </c>
      <c r="P224" s="415" t="s">
        <v>3061</v>
      </c>
      <c r="Q224" s="415" t="s">
        <v>3564</v>
      </c>
      <c r="R224" s="415">
        <v>7</v>
      </c>
      <c r="S224" s="415">
        <v>208</v>
      </c>
      <c r="T224" s="416">
        <v>208</v>
      </c>
      <c r="U224" s="416">
        <v>208</v>
      </c>
      <c r="V224" s="416">
        <v>208</v>
      </c>
      <c r="W224" s="416">
        <v>208</v>
      </c>
      <c r="X224" s="416">
        <v>208</v>
      </c>
      <c r="Y224" s="416">
        <v>208</v>
      </c>
      <c r="Z224" s="416">
        <v>205</v>
      </c>
      <c r="AA224" s="416">
        <v>201</v>
      </c>
      <c r="AB224" s="416">
        <v>199</v>
      </c>
      <c r="AC224" s="416">
        <v>197</v>
      </c>
      <c r="AD224" s="416">
        <v>195</v>
      </c>
      <c r="AE224" s="416">
        <v>194</v>
      </c>
      <c r="AF224" s="416">
        <v>193</v>
      </c>
      <c r="AG224" s="416">
        <v>0</v>
      </c>
      <c r="AH224" s="416">
        <v>0</v>
      </c>
      <c r="AI224" s="416">
        <v>0</v>
      </c>
      <c r="AJ224" s="416">
        <v>0</v>
      </c>
      <c r="AK224" s="416">
        <v>0</v>
      </c>
      <c r="AL224" s="416">
        <v>7</v>
      </c>
      <c r="AM224" s="416">
        <v>0</v>
      </c>
      <c r="AN224" s="416">
        <v>0</v>
      </c>
      <c r="AO224" s="416">
        <v>0</v>
      </c>
      <c r="AP224" s="416">
        <v>0</v>
      </c>
      <c r="AQ224" s="416">
        <v>0</v>
      </c>
      <c r="AR224" s="416">
        <v>0</v>
      </c>
      <c r="AS224" s="416">
        <v>0</v>
      </c>
      <c r="AT224" s="416">
        <v>0</v>
      </c>
      <c r="AU224" s="416">
        <v>0</v>
      </c>
      <c r="AV224" s="416">
        <v>0</v>
      </c>
      <c r="AW224" s="416">
        <v>0</v>
      </c>
      <c r="AX224" s="416">
        <v>0</v>
      </c>
      <c r="AY224" s="416">
        <v>0</v>
      </c>
      <c r="AZ224" s="416">
        <v>0</v>
      </c>
    </row>
    <row r="225" spans="1:52" x14ac:dyDescent="0.25">
      <c r="A225" s="415" t="str">
        <f t="shared" si="3"/>
        <v>SA-268 Gr.0</v>
      </c>
      <c r="B225" s="415">
        <v>220</v>
      </c>
      <c r="C225" s="415" t="s">
        <v>3079</v>
      </c>
      <c r="D225" s="415" t="s">
        <v>2693</v>
      </c>
      <c r="E225" s="415" t="s">
        <v>2203</v>
      </c>
      <c r="F225" s="415">
        <v>0</v>
      </c>
      <c r="G225" s="415" t="s">
        <v>3080</v>
      </c>
      <c r="H225" s="415">
        <v>0</v>
      </c>
      <c r="I225" s="415">
        <v>0</v>
      </c>
      <c r="J225" s="415" t="s">
        <v>3076</v>
      </c>
      <c r="K225" s="415">
        <v>1</v>
      </c>
      <c r="L225" s="415">
        <v>8</v>
      </c>
      <c r="M225" s="415">
        <v>515</v>
      </c>
      <c r="N225" s="415">
        <v>415</v>
      </c>
      <c r="O225" s="415">
        <v>427</v>
      </c>
      <c r="P225" s="415" t="s">
        <v>3073</v>
      </c>
      <c r="Q225" s="415" t="s">
        <v>3565</v>
      </c>
      <c r="R225" s="415">
        <v>8</v>
      </c>
      <c r="S225" s="415">
        <v>215</v>
      </c>
      <c r="T225" s="416">
        <v>215</v>
      </c>
      <c r="U225" s="416">
        <v>215</v>
      </c>
      <c r="V225" s="416">
        <v>215</v>
      </c>
      <c r="W225" s="416">
        <v>214</v>
      </c>
      <c r="X225" s="416">
        <v>204</v>
      </c>
      <c r="Y225" s="416">
        <v>194</v>
      </c>
      <c r="Z225" s="416">
        <v>186</v>
      </c>
      <c r="AA225" s="416">
        <v>179</v>
      </c>
      <c r="AB225" s="416">
        <v>174</v>
      </c>
      <c r="AC225" s="416">
        <v>169</v>
      </c>
      <c r="AD225" s="416">
        <v>166</v>
      </c>
      <c r="AE225" s="416">
        <v>164</v>
      </c>
      <c r="AF225" s="416">
        <v>163</v>
      </c>
      <c r="AG225" s="416">
        <v>162</v>
      </c>
      <c r="AH225" s="416">
        <v>161</v>
      </c>
      <c r="AI225" s="416">
        <v>157</v>
      </c>
      <c r="AJ225" s="416">
        <v>150</v>
      </c>
      <c r="AK225" s="416">
        <v>0</v>
      </c>
      <c r="AL225" s="416">
        <v>8</v>
      </c>
      <c r="AM225" s="416">
        <v>0</v>
      </c>
      <c r="AN225" s="416">
        <v>0</v>
      </c>
      <c r="AO225" s="416">
        <v>0</v>
      </c>
      <c r="AP225" s="416">
        <v>0</v>
      </c>
      <c r="AQ225" s="416">
        <v>0</v>
      </c>
      <c r="AR225" s="416">
        <v>0</v>
      </c>
      <c r="AS225" s="416">
        <v>0</v>
      </c>
      <c r="AT225" s="416">
        <v>0</v>
      </c>
      <c r="AU225" s="416">
        <v>0</v>
      </c>
      <c r="AV225" s="416">
        <v>0</v>
      </c>
      <c r="AW225" s="416">
        <v>0</v>
      </c>
      <c r="AX225" s="416">
        <v>0</v>
      </c>
      <c r="AY225" s="416">
        <v>0</v>
      </c>
      <c r="AZ225" s="416">
        <v>0</v>
      </c>
    </row>
    <row r="226" spans="1:52" x14ac:dyDescent="0.25">
      <c r="A226" s="415" t="str">
        <f t="shared" si="3"/>
        <v>SA-372 Gr.D</v>
      </c>
      <c r="B226" s="415">
        <v>221</v>
      </c>
      <c r="C226" s="415" t="s">
        <v>3566</v>
      </c>
      <c r="D226" s="415" t="s">
        <v>2737</v>
      </c>
      <c r="E226" s="415" t="s">
        <v>2223</v>
      </c>
      <c r="F226" s="415" t="s">
        <v>2414</v>
      </c>
      <c r="G226" s="415" t="s">
        <v>3082</v>
      </c>
      <c r="H226" s="415">
        <v>0</v>
      </c>
      <c r="I226" s="415">
        <v>0</v>
      </c>
      <c r="J226" s="415" t="s">
        <v>3093</v>
      </c>
      <c r="K226" s="415">
        <v>4</v>
      </c>
      <c r="L226" s="415">
        <v>9</v>
      </c>
      <c r="M226" s="415">
        <v>725</v>
      </c>
      <c r="N226" s="415">
        <v>450</v>
      </c>
      <c r="O226" s="415">
        <v>343</v>
      </c>
      <c r="P226" s="415" t="s">
        <v>2838</v>
      </c>
      <c r="Q226" s="415" t="s">
        <v>3567</v>
      </c>
      <c r="R226" s="415">
        <v>9</v>
      </c>
      <c r="S226" s="415">
        <v>299</v>
      </c>
      <c r="T226" s="416">
        <v>299</v>
      </c>
      <c r="U226" s="416">
        <v>289</v>
      </c>
      <c r="V226" s="416">
        <v>283</v>
      </c>
      <c r="W226" s="416">
        <v>278</v>
      </c>
      <c r="X226" s="416">
        <v>271</v>
      </c>
      <c r="Y226" s="416">
        <v>264</v>
      </c>
      <c r="Z226" s="416">
        <v>256</v>
      </c>
      <c r="AA226" s="416">
        <v>248</v>
      </c>
      <c r="AB226" s="416">
        <v>242</v>
      </c>
      <c r="AC226" s="416">
        <v>236</v>
      </c>
      <c r="AD226" s="416">
        <v>232</v>
      </c>
      <c r="AE226" s="416">
        <v>230</v>
      </c>
      <c r="AF226" s="416">
        <v>160</v>
      </c>
      <c r="AG226" s="416">
        <v>131</v>
      </c>
      <c r="AH226" s="416">
        <v>0</v>
      </c>
      <c r="AI226" s="416">
        <v>0</v>
      </c>
      <c r="AJ226" s="416">
        <v>0</v>
      </c>
      <c r="AK226" s="416">
        <v>0</v>
      </c>
      <c r="AL226" s="416">
        <v>9</v>
      </c>
      <c r="AM226" s="416">
        <v>0</v>
      </c>
      <c r="AN226" s="416">
        <v>0</v>
      </c>
      <c r="AO226" s="416">
        <v>0</v>
      </c>
      <c r="AP226" s="416">
        <v>0</v>
      </c>
      <c r="AQ226" s="416">
        <v>0</v>
      </c>
      <c r="AR226" s="416">
        <v>0</v>
      </c>
      <c r="AS226" s="416">
        <v>0</v>
      </c>
      <c r="AT226" s="416">
        <v>0</v>
      </c>
      <c r="AU226" s="416">
        <v>0</v>
      </c>
      <c r="AV226" s="416">
        <v>0</v>
      </c>
      <c r="AW226" s="416">
        <v>0</v>
      </c>
      <c r="AX226" s="416">
        <v>0</v>
      </c>
      <c r="AY226" s="416">
        <v>0</v>
      </c>
      <c r="AZ226" s="416">
        <v>0</v>
      </c>
    </row>
    <row r="227" spans="1:52" x14ac:dyDescent="0.25">
      <c r="A227" s="415" t="str">
        <f t="shared" si="3"/>
        <v>SA-372 Gr.D</v>
      </c>
      <c r="B227" s="415">
        <v>222</v>
      </c>
      <c r="C227" s="415" t="s">
        <v>3566</v>
      </c>
      <c r="D227" s="415" t="s">
        <v>2737</v>
      </c>
      <c r="E227" s="415" t="s">
        <v>2223</v>
      </c>
      <c r="F227" s="415" t="s">
        <v>2414</v>
      </c>
      <c r="G227" s="415" t="s">
        <v>3568</v>
      </c>
      <c r="H227" s="415">
        <v>0</v>
      </c>
      <c r="I227" s="415">
        <v>0</v>
      </c>
      <c r="J227" s="415" t="s">
        <v>3093</v>
      </c>
      <c r="K227" s="415">
        <v>4</v>
      </c>
      <c r="L227" s="415">
        <v>10</v>
      </c>
      <c r="M227" s="415">
        <v>725</v>
      </c>
      <c r="N227" s="415">
        <v>450</v>
      </c>
      <c r="O227" s="415">
        <v>343</v>
      </c>
      <c r="P227" s="415" t="s">
        <v>2838</v>
      </c>
      <c r="Q227" s="415" t="s">
        <v>3523</v>
      </c>
      <c r="R227" s="415">
        <v>10</v>
      </c>
      <c r="S227" s="415">
        <v>299</v>
      </c>
      <c r="T227" s="416">
        <v>299</v>
      </c>
      <c r="U227" s="416">
        <v>287</v>
      </c>
      <c r="V227" s="416">
        <v>280</v>
      </c>
      <c r="W227" s="416">
        <v>275</v>
      </c>
      <c r="X227" s="416">
        <v>272</v>
      </c>
      <c r="Y227" s="416">
        <v>268</v>
      </c>
      <c r="Z227" s="416">
        <v>265</v>
      </c>
      <c r="AA227" s="416">
        <v>262</v>
      </c>
      <c r="AB227" s="416">
        <v>259</v>
      </c>
      <c r="AC227" s="416">
        <v>256</v>
      </c>
      <c r="AD227" s="416">
        <v>253</v>
      </c>
      <c r="AE227" s="416">
        <v>250</v>
      </c>
      <c r="AF227" s="416">
        <v>247</v>
      </c>
      <c r="AG227" s="416">
        <v>243</v>
      </c>
      <c r="AH227" s="416">
        <v>0</v>
      </c>
      <c r="AI227" s="416">
        <v>0</v>
      </c>
      <c r="AJ227" s="416">
        <v>0</v>
      </c>
      <c r="AK227" s="416">
        <v>0</v>
      </c>
      <c r="AL227" s="416">
        <v>10</v>
      </c>
      <c r="AM227" s="416">
        <v>0</v>
      </c>
      <c r="AN227" s="416">
        <v>0</v>
      </c>
      <c r="AO227" s="416">
        <v>0</v>
      </c>
      <c r="AP227" s="416">
        <v>0</v>
      </c>
      <c r="AQ227" s="416">
        <v>0</v>
      </c>
      <c r="AR227" s="416">
        <v>0</v>
      </c>
      <c r="AS227" s="416">
        <v>0</v>
      </c>
      <c r="AT227" s="416">
        <v>0</v>
      </c>
      <c r="AU227" s="416">
        <v>0</v>
      </c>
      <c r="AV227" s="416">
        <v>0</v>
      </c>
      <c r="AW227" s="416">
        <v>0</v>
      </c>
      <c r="AX227" s="416">
        <v>0</v>
      </c>
      <c r="AY227" s="416">
        <v>0</v>
      </c>
      <c r="AZ227" s="416">
        <v>0</v>
      </c>
    </row>
    <row r="228" spans="1:52" x14ac:dyDescent="0.25">
      <c r="A228" s="415" t="str">
        <f t="shared" si="3"/>
        <v>SA-302 Gr.A</v>
      </c>
      <c r="B228" s="415">
        <v>223</v>
      </c>
      <c r="C228" s="415" t="s">
        <v>3569</v>
      </c>
      <c r="D228" s="415" t="s">
        <v>2684</v>
      </c>
      <c r="E228" s="415" t="s">
        <v>2207</v>
      </c>
      <c r="F228" s="415" t="s">
        <v>12</v>
      </c>
      <c r="G228" s="415" t="s">
        <v>3088</v>
      </c>
      <c r="H228" s="415">
        <v>0</v>
      </c>
      <c r="I228" s="415">
        <v>0</v>
      </c>
      <c r="J228" s="415">
        <v>3</v>
      </c>
      <c r="K228" s="415">
        <v>2</v>
      </c>
      <c r="L228" s="415">
        <v>11</v>
      </c>
      <c r="M228" s="415">
        <v>515</v>
      </c>
      <c r="N228" s="415">
        <v>319</v>
      </c>
      <c r="O228" s="415">
        <v>538</v>
      </c>
      <c r="P228" s="415" t="s">
        <v>2819</v>
      </c>
      <c r="Q228" s="415" t="s">
        <v>3531</v>
      </c>
      <c r="R228" s="415">
        <v>11</v>
      </c>
      <c r="S228" s="415">
        <v>207</v>
      </c>
      <c r="T228" s="416">
        <v>207</v>
      </c>
      <c r="U228" s="416">
        <v>199</v>
      </c>
      <c r="V228" s="416">
        <v>194</v>
      </c>
      <c r="W228" s="416">
        <v>191</v>
      </c>
      <c r="X228" s="416">
        <v>188</v>
      </c>
      <c r="Y228" s="416">
        <v>186</v>
      </c>
      <c r="Z228" s="416">
        <v>183</v>
      </c>
      <c r="AA228" s="416">
        <v>181</v>
      </c>
      <c r="AB228" s="416">
        <v>179</v>
      </c>
      <c r="AC228" s="416">
        <v>177</v>
      </c>
      <c r="AD228" s="416">
        <v>175</v>
      </c>
      <c r="AE228" s="416">
        <v>173</v>
      </c>
      <c r="AF228" s="416">
        <v>171</v>
      </c>
      <c r="AG228" s="416">
        <v>168</v>
      </c>
      <c r="AH228" s="416">
        <v>165</v>
      </c>
      <c r="AI228" s="416">
        <v>160</v>
      </c>
      <c r="AJ228" s="416">
        <v>154</v>
      </c>
      <c r="AK228" s="416">
        <v>104</v>
      </c>
      <c r="AL228" s="416">
        <v>11</v>
      </c>
      <c r="AM228" s="416">
        <v>68</v>
      </c>
      <c r="AN228" s="416">
        <v>42.3</v>
      </c>
      <c r="AO228" s="416">
        <v>26.1</v>
      </c>
      <c r="AP228" s="416">
        <v>0</v>
      </c>
      <c r="AQ228" s="416">
        <v>0</v>
      </c>
      <c r="AR228" s="416">
        <v>0</v>
      </c>
      <c r="AS228" s="416">
        <v>0</v>
      </c>
      <c r="AT228" s="416">
        <v>0</v>
      </c>
      <c r="AU228" s="416">
        <v>0</v>
      </c>
      <c r="AV228" s="416">
        <v>0</v>
      </c>
      <c r="AW228" s="416">
        <v>0</v>
      </c>
      <c r="AX228" s="416">
        <v>0</v>
      </c>
      <c r="AY228" s="416">
        <v>0</v>
      </c>
      <c r="AZ228" s="416">
        <v>0</v>
      </c>
    </row>
    <row r="229" spans="1:52" x14ac:dyDescent="0.25">
      <c r="A229" s="415" t="str">
        <f t="shared" si="3"/>
        <v>SA-302 Gr.B</v>
      </c>
      <c r="B229" s="415">
        <v>224</v>
      </c>
      <c r="C229" s="415" t="s">
        <v>3569</v>
      </c>
      <c r="D229" s="415" t="s">
        <v>2684</v>
      </c>
      <c r="E229" s="415" t="s">
        <v>2207</v>
      </c>
      <c r="F229" s="415" t="s">
        <v>1864</v>
      </c>
      <c r="G229" s="415" t="s">
        <v>3090</v>
      </c>
      <c r="H229" s="415">
        <v>0</v>
      </c>
      <c r="I229" s="415">
        <v>0</v>
      </c>
      <c r="J229" s="415">
        <v>3</v>
      </c>
      <c r="K229" s="415">
        <v>3</v>
      </c>
      <c r="L229" s="415">
        <v>12</v>
      </c>
      <c r="M229" s="415">
        <v>550</v>
      </c>
      <c r="N229" s="415">
        <v>345</v>
      </c>
      <c r="O229" s="415">
        <v>538</v>
      </c>
      <c r="P229" s="415" t="s">
        <v>2819</v>
      </c>
      <c r="Q229" s="415" t="s">
        <v>3531</v>
      </c>
      <c r="R229" s="415">
        <v>12</v>
      </c>
      <c r="S229" s="415">
        <v>230</v>
      </c>
      <c r="T229" s="416">
        <v>230</v>
      </c>
      <c r="U229" s="416">
        <v>221</v>
      </c>
      <c r="V229" s="416">
        <v>215</v>
      </c>
      <c r="W229" s="416">
        <v>212</v>
      </c>
      <c r="X229" s="416">
        <v>209</v>
      </c>
      <c r="Y229" s="416">
        <v>206</v>
      </c>
      <c r="Z229" s="416">
        <v>204</v>
      </c>
      <c r="AA229" s="416">
        <v>201</v>
      </c>
      <c r="AB229" s="416">
        <v>199</v>
      </c>
      <c r="AC229" s="416">
        <v>197</v>
      </c>
      <c r="AD229" s="416">
        <v>195</v>
      </c>
      <c r="AE229" s="416">
        <v>192</v>
      </c>
      <c r="AF229" s="416">
        <v>190</v>
      </c>
      <c r="AG229" s="416">
        <v>187</v>
      </c>
      <c r="AH229" s="416">
        <v>183</v>
      </c>
      <c r="AI229" s="416">
        <v>178</v>
      </c>
      <c r="AJ229" s="416">
        <v>172</v>
      </c>
      <c r="AK229" s="416">
        <v>104</v>
      </c>
      <c r="AL229" s="416">
        <v>12</v>
      </c>
      <c r="AM229" s="416">
        <v>68</v>
      </c>
      <c r="AN229" s="416">
        <v>42.3</v>
      </c>
      <c r="AO229" s="416">
        <v>26.1</v>
      </c>
      <c r="AP229" s="416">
        <v>0</v>
      </c>
      <c r="AQ229" s="416">
        <v>0</v>
      </c>
      <c r="AR229" s="416">
        <v>0</v>
      </c>
      <c r="AS229" s="416">
        <v>0</v>
      </c>
      <c r="AT229" s="416">
        <v>0</v>
      </c>
      <c r="AU229" s="416">
        <v>0</v>
      </c>
      <c r="AV229" s="416">
        <v>0</v>
      </c>
      <c r="AW229" s="416">
        <v>0</v>
      </c>
      <c r="AX229" s="416">
        <v>0</v>
      </c>
      <c r="AY229" s="416">
        <v>0</v>
      </c>
      <c r="AZ229" s="416">
        <v>0</v>
      </c>
    </row>
    <row r="230" spans="1:52" x14ac:dyDescent="0.25">
      <c r="A230" s="415" t="str">
        <f t="shared" si="3"/>
        <v>SA-533 Gr.A</v>
      </c>
      <c r="B230" s="415">
        <v>225</v>
      </c>
      <c r="C230" s="415" t="s">
        <v>3569</v>
      </c>
      <c r="D230" s="415" t="s">
        <v>2684</v>
      </c>
      <c r="E230" s="415" t="s">
        <v>2177</v>
      </c>
      <c r="F230" s="415" t="s">
        <v>12</v>
      </c>
      <c r="G230" s="415" t="s">
        <v>3091</v>
      </c>
      <c r="H230" s="415">
        <v>1</v>
      </c>
      <c r="I230" s="415">
        <v>0</v>
      </c>
      <c r="J230" s="415">
        <v>3</v>
      </c>
      <c r="K230" s="415">
        <v>3</v>
      </c>
      <c r="L230" s="415">
        <v>13</v>
      </c>
      <c r="M230" s="415">
        <v>550</v>
      </c>
      <c r="N230" s="415">
        <v>345</v>
      </c>
      <c r="O230" s="415">
        <v>538</v>
      </c>
      <c r="P230" s="415" t="s">
        <v>2838</v>
      </c>
      <c r="Q230" s="415" t="s">
        <v>3553</v>
      </c>
      <c r="R230" s="415">
        <v>13</v>
      </c>
      <c r="S230" s="415">
        <v>230</v>
      </c>
      <c r="T230" s="416">
        <v>230</v>
      </c>
      <c r="U230" s="416">
        <v>221</v>
      </c>
      <c r="V230" s="416">
        <v>215</v>
      </c>
      <c r="W230" s="416">
        <v>212</v>
      </c>
      <c r="X230" s="416">
        <v>209</v>
      </c>
      <c r="Y230" s="416">
        <v>206</v>
      </c>
      <c r="Z230" s="416">
        <v>204</v>
      </c>
      <c r="AA230" s="416">
        <v>201</v>
      </c>
      <c r="AB230" s="416">
        <v>199</v>
      </c>
      <c r="AC230" s="416">
        <v>197</v>
      </c>
      <c r="AD230" s="416">
        <v>195</v>
      </c>
      <c r="AE230" s="416">
        <v>192</v>
      </c>
      <c r="AF230" s="416">
        <v>190</v>
      </c>
      <c r="AG230" s="416">
        <v>187</v>
      </c>
      <c r="AH230" s="416">
        <v>183</v>
      </c>
      <c r="AI230" s="416">
        <v>178</v>
      </c>
      <c r="AJ230" s="416">
        <v>172</v>
      </c>
      <c r="AK230" s="416">
        <v>104</v>
      </c>
      <c r="AL230" s="416">
        <v>13</v>
      </c>
      <c r="AM230" s="416">
        <v>68</v>
      </c>
      <c r="AN230" s="416">
        <v>42.3</v>
      </c>
      <c r="AO230" s="416">
        <v>26.1</v>
      </c>
      <c r="AP230" s="416">
        <v>0</v>
      </c>
      <c r="AQ230" s="416">
        <v>0</v>
      </c>
      <c r="AR230" s="416">
        <v>0</v>
      </c>
      <c r="AS230" s="416">
        <v>0</v>
      </c>
      <c r="AT230" s="416">
        <v>0</v>
      </c>
      <c r="AU230" s="416">
        <v>0</v>
      </c>
      <c r="AV230" s="416">
        <v>0</v>
      </c>
      <c r="AW230" s="416">
        <v>0</v>
      </c>
      <c r="AX230" s="416">
        <v>0</v>
      </c>
      <c r="AY230" s="416">
        <v>0</v>
      </c>
      <c r="AZ230" s="416">
        <v>0</v>
      </c>
    </row>
    <row r="231" spans="1:52" x14ac:dyDescent="0.25">
      <c r="A231" s="415" t="str">
        <f t="shared" si="3"/>
        <v>SA-533 Gr.A</v>
      </c>
      <c r="B231" s="415">
        <v>226</v>
      </c>
      <c r="C231" s="415" t="s">
        <v>3569</v>
      </c>
      <c r="D231" s="415" t="s">
        <v>2684</v>
      </c>
      <c r="E231" s="415" t="s">
        <v>2177</v>
      </c>
      <c r="F231" s="415" t="s">
        <v>12</v>
      </c>
      <c r="G231" s="415" t="s">
        <v>3091</v>
      </c>
      <c r="H231" s="415">
        <v>2</v>
      </c>
      <c r="I231" s="415">
        <v>0</v>
      </c>
      <c r="J231" s="415">
        <v>3</v>
      </c>
      <c r="K231" s="415">
        <v>3</v>
      </c>
      <c r="L231" s="415">
        <v>14</v>
      </c>
      <c r="M231" s="415">
        <v>620</v>
      </c>
      <c r="N231" s="415">
        <v>485</v>
      </c>
      <c r="O231" s="415">
        <v>427</v>
      </c>
      <c r="P231" s="415" t="s">
        <v>2838</v>
      </c>
      <c r="Q231" s="415">
        <v>0</v>
      </c>
      <c r="R231" s="415">
        <v>14</v>
      </c>
      <c r="S231" s="415">
        <v>259</v>
      </c>
      <c r="T231" s="416">
        <v>259</v>
      </c>
      <c r="U231" s="416">
        <v>259</v>
      </c>
      <c r="V231" s="416">
        <v>259</v>
      </c>
      <c r="W231" s="416">
        <v>259</v>
      </c>
      <c r="X231" s="416">
        <v>259</v>
      </c>
      <c r="Y231" s="416">
        <v>259</v>
      </c>
      <c r="Z231" s="416">
        <v>259</v>
      </c>
      <c r="AA231" s="416">
        <v>259</v>
      </c>
      <c r="AB231" s="416">
        <v>259</v>
      </c>
      <c r="AC231" s="416">
        <v>259</v>
      </c>
      <c r="AD231" s="416">
        <v>259</v>
      </c>
      <c r="AE231" s="416">
        <v>259</v>
      </c>
      <c r="AF231" s="416">
        <v>259</v>
      </c>
      <c r="AG231" s="416">
        <v>259</v>
      </c>
      <c r="AH231" s="416">
        <v>256</v>
      </c>
      <c r="AI231" s="416">
        <v>249</v>
      </c>
      <c r="AJ231" s="416">
        <v>240</v>
      </c>
      <c r="AK231" s="416">
        <v>0</v>
      </c>
      <c r="AL231" s="416">
        <v>14</v>
      </c>
      <c r="AM231" s="416">
        <v>0</v>
      </c>
      <c r="AN231" s="416">
        <v>0</v>
      </c>
      <c r="AO231" s="416">
        <v>0</v>
      </c>
      <c r="AP231" s="416">
        <v>0</v>
      </c>
      <c r="AQ231" s="416">
        <v>0</v>
      </c>
      <c r="AR231" s="416">
        <v>0</v>
      </c>
      <c r="AS231" s="416">
        <v>0</v>
      </c>
      <c r="AT231" s="416">
        <v>0</v>
      </c>
      <c r="AU231" s="416">
        <v>0</v>
      </c>
      <c r="AV231" s="416">
        <v>0</v>
      </c>
      <c r="AW231" s="416">
        <v>0</v>
      </c>
      <c r="AX231" s="416">
        <v>0</v>
      </c>
      <c r="AY231" s="416">
        <v>0</v>
      </c>
      <c r="AZ231" s="416">
        <v>0</v>
      </c>
    </row>
    <row r="232" spans="1:52" x14ac:dyDescent="0.25">
      <c r="A232" s="415" t="str">
        <f t="shared" si="3"/>
        <v>SA-533 Gr.D</v>
      </c>
      <c r="B232" s="415">
        <v>227</v>
      </c>
      <c r="C232" s="415" t="s">
        <v>3570</v>
      </c>
      <c r="D232" s="415" t="s">
        <v>2684</v>
      </c>
      <c r="E232" s="415" t="s">
        <v>2177</v>
      </c>
      <c r="F232" s="415" t="s">
        <v>2414</v>
      </c>
      <c r="G232" s="415" t="s">
        <v>3095</v>
      </c>
      <c r="H232" s="415">
        <v>2</v>
      </c>
      <c r="I232" s="415">
        <v>0</v>
      </c>
      <c r="J232" s="415">
        <v>3</v>
      </c>
      <c r="K232" s="415">
        <v>3</v>
      </c>
      <c r="L232" s="415">
        <v>15</v>
      </c>
      <c r="M232" s="415">
        <v>620</v>
      </c>
      <c r="N232" s="415">
        <v>485</v>
      </c>
      <c r="O232" s="415">
        <v>427</v>
      </c>
      <c r="P232" s="415" t="s">
        <v>2838</v>
      </c>
      <c r="Q232" s="415">
        <v>0</v>
      </c>
      <c r="R232" s="415">
        <v>15</v>
      </c>
      <c r="S232" s="415">
        <v>259</v>
      </c>
      <c r="T232" s="416">
        <v>259</v>
      </c>
      <c r="U232" s="416">
        <v>259</v>
      </c>
      <c r="V232" s="416">
        <v>259</v>
      </c>
      <c r="W232" s="416">
        <v>259</v>
      </c>
      <c r="X232" s="416">
        <v>259</v>
      </c>
      <c r="Y232" s="416">
        <v>259</v>
      </c>
      <c r="Z232" s="416">
        <v>259</v>
      </c>
      <c r="AA232" s="416">
        <v>259</v>
      </c>
      <c r="AB232" s="416">
        <v>259</v>
      </c>
      <c r="AC232" s="416">
        <v>259</v>
      </c>
      <c r="AD232" s="416">
        <v>259</v>
      </c>
      <c r="AE232" s="416">
        <v>259</v>
      </c>
      <c r="AF232" s="416">
        <v>259</v>
      </c>
      <c r="AG232" s="416">
        <v>259</v>
      </c>
      <c r="AH232" s="416">
        <v>256</v>
      </c>
      <c r="AI232" s="416">
        <v>249</v>
      </c>
      <c r="AJ232" s="416">
        <v>240</v>
      </c>
      <c r="AK232" s="416">
        <v>0</v>
      </c>
      <c r="AL232" s="416">
        <v>15</v>
      </c>
      <c r="AM232" s="416">
        <v>0</v>
      </c>
      <c r="AN232" s="416">
        <v>0</v>
      </c>
      <c r="AO232" s="416">
        <v>0</v>
      </c>
      <c r="AP232" s="416">
        <v>0</v>
      </c>
      <c r="AQ232" s="416">
        <v>0</v>
      </c>
      <c r="AR232" s="416">
        <v>0</v>
      </c>
      <c r="AS232" s="416">
        <v>0</v>
      </c>
      <c r="AT232" s="416">
        <v>0</v>
      </c>
      <c r="AU232" s="416">
        <v>0</v>
      </c>
      <c r="AV232" s="416">
        <v>0</v>
      </c>
      <c r="AW232" s="416">
        <v>0</v>
      </c>
      <c r="AX232" s="416">
        <v>0</v>
      </c>
      <c r="AY232" s="416">
        <v>0</v>
      </c>
      <c r="AZ232" s="416">
        <v>0</v>
      </c>
    </row>
    <row r="233" spans="1:52" x14ac:dyDescent="0.25">
      <c r="A233" s="415" t="str">
        <f t="shared" si="3"/>
        <v>SA-533 Gr.D</v>
      </c>
      <c r="B233" s="415">
        <v>228</v>
      </c>
      <c r="C233" s="415" t="s">
        <v>3570</v>
      </c>
      <c r="D233" s="415" t="s">
        <v>2684</v>
      </c>
      <c r="E233" s="415" t="s">
        <v>2177</v>
      </c>
      <c r="F233" s="415" t="s">
        <v>2414</v>
      </c>
      <c r="G233" s="415" t="s">
        <v>3095</v>
      </c>
      <c r="H233" s="415">
        <v>3</v>
      </c>
      <c r="I233" s="415">
        <v>0</v>
      </c>
      <c r="J233" s="415" t="s">
        <v>3093</v>
      </c>
      <c r="K233" s="415">
        <v>4</v>
      </c>
      <c r="L233" s="415">
        <v>16</v>
      </c>
      <c r="M233" s="415">
        <v>690</v>
      </c>
      <c r="N233" s="415">
        <v>570</v>
      </c>
      <c r="O233" s="415">
        <v>399</v>
      </c>
      <c r="P233" s="415" t="s">
        <v>2838</v>
      </c>
      <c r="Q233" s="415">
        <v>0</v>
      </c>
      <c r="R233" s="415">
        <v>16</v>
      </c>
      <c r="S233" s="415">
        <v>287</v>
      </c>
      <c r="T233" s="416">
        <v>287</v>
      </c>
      <c r="U233" s="416">
        <v>287</v>
      </c>
      <c r="V233" s="416">
        <v>287</v>
      </c>
      <c r="W233" s="416">
        <v>287</v>
      </c>
      <c r="X233" s="416">
        <v>287</v>
      </c>
      <c r="Y233" s="416">
        <v>287</v>
      </c>
      <c r="Z233" s="416">
        <v>287</v>
      </c>
      <c r="AA233" s="416">
        <v>287</v>
      </c>
      <c r="AB233" s="416">
        <v>287</v>
      </c>
      <c r="AC233" s="416">
        <v>287</v>
      </c>
      <c r="AD233" s="416">
        <v>287</v>
      </c>
      <c r="AE233" s="416">
        <v>287</v>
      </c>
      <c r="AF233" s="416">
        <v>287</v>
      </c>
      <c r="AG233" s="416">
        <v>287</v>
      </c>
      <c r="AH233" s="416">
        <v>287</v>
      </c>
      <c r="AI233" s="416">
        <v>287</v>
      </c>
      <c r="AJ233" s="416">
        <v>0</v>
      </c>
      <c r="AK233" s="416">
        <v>0</v>
      </c>
      <c r="AL233" s="416">
        <v>16</v>
      </c>
      <c r="AM233" s="416">
        <v>0</v>
      </c>
      <c r="AN233" s="416">
        <v>0</v>
      </c>
      <c r="AO233" s="416">
        <v>0</v>
      </c>
      <c r="AP233" s="416">
        <v>0</v>
      </c>
      <c r="AQ233" s="416">
        <v>0</v>
      </c>
      <c r="AR233" s="416">
        <v>0</v>
      </c>
      <c r="AS233" s="416">
        <v>0</v>
      </c>
      <c r="AT233" s="416">
        <v>0</v>
      </c>
      <c r="AU233" s="416">
        <v>0</v>
      </c>
      <c r="AV233" s="416">
        <v>0</v>
      </c>
      <c r="AW233" s="416">
        <v>0</v>
      </c>
      <c r="AX233" s="416">
        <v>0</v>
      </c>
      <c r="AY233" s="416">
        <v>0</v>
      </c>
      <c r="AZ233" s="416">
        <v>0</v>
      </c>
    </row>
    <row r="234" spans="1:52" x14ac:dyDescent="0.25">
      <c r="A234" s="415" t="str">
        <f t="shared" si="3"/>
        <v>SA-302 Gr.C</v>
      </c>
      <c r="B234" s="415">
        <v>229</v>
      </c>
      <c r="C234" s="415" t="s">
        <v>3571</v>
      </c>
      <c r="D234" s="415" t="s">
        <v>2684</v>
      </c>
      <c r="E234" s="415" t="s">
        <v>2207</v>
      </c>
      <c r="F234" s="415" t="s">
        <v>2348</v>
      </c>
      <c r="G234" s="415" t="s">
        <v>3097</v>
      </c>
      <c r="H234" s="415">
        <v>0</v>
      </c>
      <c r="I234" s="415">
        <v>0</v>
      </c>
      <c r="J234" s="415">
        <v>3</v>
      </c>
      <c r="K234" s="415">
        <v>3</v>
      </c>
      <c r="L234" s="415">
        <v>17</v>
      </c>
      <c r="M234" s="415">
        <v>550</v>
      </c>
      <c r="N234" s="415">
        <v>345</v>
      </c>
      <c r="O234" s="415">
        <v>538</v>
      </c>
      <c r="P234" s="415" t="s">
        <v>2819</v>
      </c>
      <c r="Q234" s="415" t="s">
        <v>3531</v>
      </c>
      <c r="R234" s="415">
        <v>17</v>
      </c>
      <c r="S234" s="415">
        <v>230</v>
      </c>
      <c r="T234" s="416">
        <v>230</v>
      </c>
      <c r="U234" s="416">
        <v>221</v>
      </c>
      <c r="V234" s="416">
        <v>215</v>
      </c>
      <c r="W234" s="416">
        <v>212</v>
      </c>
      <c r="X234" s="416">
        <v>209</v>
      </c>
      <c r="Y234" s="416">
        <v>206</v>
      </c>
      <c r="Z234" s="416">
        <v>204</v>
      </c>
      <c r="AA234" s="416">
        <v>201</v>
      </c>
      <c r="AB234" s="416">
        <v>199</v>
      </c>
      <c r="AC234" s="416">
        <v>197</v>
      </c>
      <c r="AD234" s="416">
        <v>195</v>
      </c>
      <c r="AE234" s="416">
        <v>192</v>
      </c>
      <c r="AF234" s="416">
        <v>190</v>
      </c>
      <c r="AG234" s="416">
        <v>187</v>
      </c>
      <c r="AH234" s="416">
        <v>183</v>
      </c>
      <c r="AI234" s="416">
        <v>178</v>
      </c>
      <c r="AJ234" s="416">
        <v>172</v>
      </c>
      <c r="AK234" s="416">
        <v>104</v>
      </c>
      <c r="AL234" s="416">
        <v>17</v>
      </c>
      <c r="AM234" s="416">
        <v>68</v>
      </c>
      <c r="AN234" s="416">
        <v>42.3</v>
      </c>
      <c r="AO234" s="416">
        <v>26.1</v>
      </c>
      <c r="AP234" s="416">
        <v>0</v>
      </c>
      <c r="AQ234" s="416">
        <v>0</v>
      </c>
      <c r="AR234" s="416">
        <v>0</v>
      </c>
      <c r="AS234" s="416">
        <v>0</v>
      </c>
      <c r="AT234" s="416">
        <v>0</v>
      </c>
      <c r="AU234" s="416">
        <v>0</v>
      </c>
      <c r="AV234" s="416">
        <v>0</v>
      </c>
      <c r="AW234" s="416">
        <v>0</v>
      </c>
      <c r="AX234" s="416">
        <v>0</v>
      </c>
      <c r="AY234" s="416">
        <v>0</v>
      </c>
      <c r="AZ234" s="416">
        <v>0</v>
      </c>
    </row>
    <row r="235" spans="1:52" x14ac:dyDescent="0.25">
      <c r="A235" s="415" t="str">
        <f t="shared" si="3"/>
        <v>SA-533 Gr.B</v>
      </c>
      <c r="B235" s="415">
        <v>230</v>
      </c>
      <c r="C235" s="415" t="s">
        <v>3571</v>
      </c>
      <c r="D235" s="415" t="s">
        <v>2684</v>
      </c>
      <c r="E235" s="415" t="s">
        <v>2177</v>
      </c>
      <c r="F235" s="415" t="s">
        <v>1864</v>
      </c>
      <c r="G235" s="415" t="s">
        <v>3098</v>
      </c>
      <c r="H235" s="415">
        <v>1</v>
      </c>
      <c r="I235" s="415">
        <v>0</v>
      </c>
      <c r="J235" s="415">
        <v>3</v>
      </c>
      <c r="K235" s="415">
        <v>3</v>
      </c>
      <c r="L235" s="415">
        <v>18</v>
      </c>
      <c r="M235" s="415">
        <v>550</v>
      </c>
      <c r="N235" s="415">
        <v>345</v>
      </c>
      <c r="O235" s="415">
        <v>427</v>
      </c>
      <c r="P235" s="415" t="s">
        <v>2838</v>
      </c>
      <c r="Q235" s="415">
        <v>0</v>
      </c>
      <c r="R235" s="415">
        <v>18</v>
      </c>
      <c r="S235" s="415">
        <v>230</v>
      </c>
      <c r="T235" s="416">
        <v>230</v>
      </c>
      <c r="U235" s="416">
        <v>221</v>
      </c>
      <c r="V235" s="416">
        <v>215</v>
      </c>
      <c r="W235" s="416">
        <v>212</v>
      </c>
      <c r="X235" s="416">
        <v>209</v>
      </c>
      <c r="Y235" s="416">
        <v>206</v>
      </c>
      <c r="Z235" s="416">
        <v>204</v>
      </c>
      <c r="AA235" s="416">
        <v>201</v>
      </c>
      <c r="AB235" s="416">
        <v>199</v>
      </c>
      <c r="AC235" s="416">
        <v>197</v>
      </c>
      <c r="AD235" s="416">
        <v>195</v>
      </c>
      <c r="AE235" s="416">
        <v>192</v>
      </c>
      <c r="AF235" s="416">
        <v>190</v>
      </c>
      <c r="AG235" s="416">
        <v>187</v>
      </c>
      <c r="AH235" s="416">
        <v>183</v>
      </c>
      <c r="AI235" s="416">
        <v>178</v>
      </c>
      <c r="AJ235" s="416">
        <v>172</v>
      </c>
      <c r="AK235" s="416">
        <v>0</v>
      </c>
      <c r="AL235" s="416">
        <v>18</v>
      </c>
      <c r="AM235" s="416">
        <v>0</v>
      </c>
      <c r="AN235" s="416">
        <v>0</v>
      </c>
      <c r="AO235" s="416">
        <v>0</v>
      </c>
      <c r="AP235" s="416">
        <v>0</v>
      </c>
      <c r="AQ235" s="416">
        <v>0</v>
      </c>
      <c r="AR235" s="416">
        <v>0</v>
      </c>
      <c r="AS235" s="416">
        <v>0</v>
      </c>
      <c r="AT235" s="416">
        <v>0</v>
      </c>
      <c r="AU235" s="416">
        <v>0</v>
      </c>
      <c r="AV235" s="416">
        <v>0</v>
      </c>
      <c r="AW235" s="416">
        <v>0</v>
      </c>
      <c r="AX235" s="416">
        <v>0</v>
      </c>
      <c r="AY235" s="416">
        <v>0</v>
      </c>
      <c r="AZ235" s="416">
        <v>0</v>
      </c>
    </row>
    <row r="236" spans="1:52" x14ac:dyDescent="0.25">
      <c r="A236" s="415" t="str">
        <f t="shared" si="3"/>
        <v>SA-533 Gr.B</v>
      </c>
      <c r="B236" s="415">
        <v>231</v>
      </c>
      <c r="C236" s="415" t="s">
        <v>3571</v>
      </c>
      <c r="D236" s="415" t="s">
        <v>2684</v>
      </c>
      <c r="E236" s="415" t="s">
        <v>2177</v>
      </c>
      <c r="F236" s="415" t="s">
        <v>1864</v>
      </c>
      <c r="G236" s="415" t="s">
        <v>3098</v>
      </c>
      <c r="H236" s="415">
        <v>2</v>
      </c>
      <c r="I236" s="415">
        <v>0</v>
      </c>
      <c r="J236" s="415">
        <v>3</v>
      </c>
      <c r="K236" s="415">
        <v>3</v>
      </c>
      <c r="L236" s="415">
        <v>19</v>
      </c>
      <c r="M236" s="415">
        <v>620</v>
      </c>
      <c r="N236" s="415">
        <v>485</v>
      </c>
      <c r="O236" s="415">
        <v>427</v>
      </c>
      <c r="P236" s="415" t="s">
        <v>2838</v>
      </c>
      <c r="Q236" s="415">
        <v>0</v>
      </c>
      <c r="R236" s="415">
        <v>19</v>
      </c>
      <c r="S236" s="415">
        <v>259</v>
      </c>
      <c r="T236" s="416">
        <v>259</v>
      </c>
      <c r="U236" s="416">
        <v>259</v>
      </c>
      <c r="V236" s="416">
        <v>259</v>
      </c>
      <c r="W236" s="416">
        <v>259</v>
      </c>
      <c r="X236" s="416">
        <v>259</v>
      </c>
      <c r="Y236" s="416">
        <v>259</v>
      </c>
      <c r="Z236" s="416">
        <v>259</v>
      </c>
      <c r="AA236" s="416">
        <v>259</v>
      </c>
      <c r="AB236" s="416">
        <v>259</v>
      </c>
      <c r="AC236" s="416">
        <v>259</v>
      </c>
      <c r="AD236" s="416">
        <v>259</v>
      </c>
      <c r="AE236" s="416">
        <v>259</v>
      </c>
      <c r="AF236" s="416">
        <v>259</v>
      </c>
      <c r="AG236" s="416">
        <v>259</v>
      </c>
      <c r="AH236" s="416">
        <v>256</v>
      </c>
      <c r="AI236" s="416">
        <v>249</v>
      </c>
      <c r="AJ236" s="416">
        <v>240</v>
      </c>
      <c r="AK236" s="416">
        <v>0</v>
      </c>
      <c r="AL236" s="416">
        <v>19</v>
      </c>
      <c r="AM236" s="416">
        <v>0</v>
      </c>
      <c r="AN236" s="416">
        <v>0</v>
      </c>
      <c r="AO236" s="416">
        <v>0</v>
      </c>
      <c r="AP236" s="416">
        <v>0</v>
      </c>
      <c r="AQ236" s="416">
        <v>0</v>
      </c>
      <c r="AR236" s="416">
        <v>0</v>
      </c>
      <c r="AS236" s="416">
        <v>0</v>
      </c>
      <c r="AT236" s="416">
        <v>0</v>
      </c>
      <c r="AU236" s="416">
        <v>0</v>
      </c>
      <c r="AV236" s="416">
        <v>0</v>
      </c>
      <c r="AW236" s="416">
        <v>0</v>
      </c>
      <c r="AX236" s="416">
        <v>0</v>
      </c>
      <c r="AY236" s="416">
        <v>0</v>
      </c>
      <c r="AZ236" s="416">
        <v>0</v>
      </c>
    </row>
    <row r="237" spans="1:52" x14ac:dyDescent="0.25">
      <c r="A237" s="415" t="str">
        <f t="shared" si="3"/>
        <v>SA-533 Gr.B</v>
      </c>
      <c r="B237" s="415">
        <v>232</v>
      </c>
      <c r="C237" s="415" t="s">
        <v>3571</v>
      </c>
      <c r="D237" s="415" t="s">
        <v>2684</v>
      </c>
      <c r="E237" s="415" t="s">
        <v>2177</v>
      </c>
      <c r="F237" s="415" t="s">
        <v>1864</v>
      </c>
      <c r="G237" s="415" t="s">
        <v>3098</v>
      </c>
      <c r="H237" s="415">
        <v>3</v>
      </c>
      <c r="I237" s="415">
        <v>0</v>
      </c>
      <c r="J237" s="415" t="s">
        <v>3093</v>
      </c>
      <c r="K237" s="415">
        <v>4</v>
      </c>
      <c r="L237" s="415">
        <v>20</v>
      </c>
      <c r="M237" s="415">
        <v>690</v>
      </c>
      <c r="N237" s="415">
        <v>570</v>
      </c>
      <c r="O237" s="415">
        <v>427</v>
      </c>
      <c r="P237" s="415" t="s">
        <v>2838</v>
      </c>
      <c r="Q237" s="415">
        <v>0</v>
      </c>
      <c r="R237" s="415">
        <v>20</v>
      </c>
      <c r="S237" s="415">
        <v>287</v>
      </c>
      <c r="T237" s="416">
        <v>287</v>
      </c>
      <c r="U237" s="416">
        <v>287</v>
      </c>
      <c r="V237" s="416">
        <v>287</v>
      </c>
      <c r="W237" s="416">
        <v>287</v>
      </c>
      <c r="X237" s="416">
        <v>287</v>
      </c>
      <c r="Y237" s="416">
        <v>287</v>
      </c>
      <c r="Z237" s="416">
        <v>287</v>
      </c>
      <c r="AA237" s="416">
        <v>287</v>
      </c>
      <c r="AB237" s="416">
        <v>287</v>
      </c>
      <c r="AC237" s="416">
        <v>287</v>
      </c>
      <c r="AD237" s="416">
        <v>287</v>
      </c>
      <c r="AE237" s="416">
        <v>287</v>
      </c>
      <c r="AF237" s="416">
        <v>287</v>
      </c>
      <c r="AG237" s="416">
        <v>287</v>
      </c>
      <c r="AH237" s="416">
        <v>287</v>
      </c>
      <c r="AI237" s="416">
        <v>287</v>
      </c>
      <c r="AJ237" s="416">
        <v>285</v>
      </c>
      <c r="AK237" s="416">
        <v>0</v>
      </c>
      <c r="AL237" s="416">
        <v>20</v>
      </c>
      <c r="AM237" s="416">
        <v>0</v>
      </c>
      <c r="AN237" s="416">
        <v>0</v>
      </c>
      <c r="AO237" s="416">
        <v>0</v>
      </c>
      <c r="AP237" s="416">
        <v>0</v>
      </c>
      <c r="AQ237" s="416">
        <v>0</v>
      </c>
      <c r="AR237" s="416">
        <v>0</v>
      </c>
      <c r="AS237" s="416">
        <v>0</v>
      </c>
      <c r="AT237" s="416">
        <v>0</v>
      </c>
      <c r="AU237" s="416">
        <v>0</v>
      </c>
      <c r="AV237" s="416">
        <v>0</v>
      </c>
      <c r="AW237" s="416">
        <v>0</v>
      </c>
      <c r="AX237" s="416">
        <v>0</v>
      </c>
      <c r="AY237" s="416">
        <v>0</v>
      </c>
      <c r="AZ237" s="416">
        <v>0</v>
      </c>
    </row>
    <row r="238" spans="1:52" x14ac:dyDescent="0.25">
      <c r="A238" s="415" t="str">
        <f t="shared" si="3"/>
        <v>SA-302 Gr.D</v>
      </c>
      <c r="B238" s="415">
        <v>233</v>
      </c>
      <c r="C238" s="415" t="s">
        <v>3572</v>
      </c>
      <c r="D238" s="415" t="s">
        <v>2684</v>
      </c>
      <c r="E238" s="415" t="s">
        <v>2207</v>
      </c>
      <c r="F238" s="415" t="s">
        <v>2414</v>
      </c>
      <c r="G238" s="415" t="s">
        <v>3101</v>
      </c>
      <c r="H238" s="415">
        <v>0</v>
      </c>
      <c r="I238" s="415">
        <v>0</v>
      </c>
      <c r="J238" s="415">
        <v>3</v>
      </c>
      <c r="K238" s="415">
        <v>3</v>
      </c>
      <c r="L238" s="415">
        <v>21</v>
      </c>
      <c r="M238" s="415">
        <v>550</v>
      </c>
      <c r="N238" s="415">
        <v>345</v>
      </c>
      <c r="O238" s="415">
        <v>538</v>
      </c>
      <c r="P238" s="415" t="s">
        <v>2819</v>
      </c>
      <c r="Q238" s="415" t="s">
        <v>3531</v>
      </c>
      <c r="R238" s="415">
        <v>21</v>
      </c>
      <c r="S238" s="415">
        <v>230</v>
      </c>
      <c r="T238" s="416">
        <v>230</v>
      </c>
      <c r="U238" s="416">
        <v>221</v>
      </c>
      <c r="V238" s="416">
        <v>215</v>
      </c>
      <c r="W238" s="416">
        <v>212</v>
      </c>
      <c r="X238" s="416">
        <v>209</v>
      </c>
      <c r="Y238" s="416">
        <v>206</v>
      </c>
      <c r="Z238" s="416">
        <v>204</v>
      </c>
      <c r="AA238" s="416">
        <v>201</v>
      </c>
      <c r="AB238" s="416">
        <v>199</v>
      </c>
      <c r="AC238" s="416">
        <v>197</v>
      </c>
      <c r="AD238" s="416">
        <v>195</v>
      </c>
      <c r="AE238" s="416">
        <v>192</v>
      </c>
      <c r="AF238" s="416">
        <v>190</v>
      </c>
      <c r="AG238" s="416">
        <v>187</v>
      </c>
      <c r="AH238" s="416">
        <v>183</v>
      </c>
      <c r="AI238" s="416">
        <v>178</v>
      </c>
      <c r="AJ238" s="416">
        <v>172</v>
      </c>
      <c r="AK238" s="416">
        <v>104</v>
      </c>
      <c r="AL238" s="416">
        <v>21</v>
      </c>
      <c r="AM238" s="416">
        <v>68</v>
      </c>
      <c r="AN238" s="416">
        <v>42.3</v>
      </c>
      <c r="AO238" s="416">
        <v>26.1</v>
      </c>
      <c r="AP238" s="416">
        <v>0</v>
      </c>
      <c r="AQ238" s="416">
        <v>0</v>
      </c>
      <c r="AR238" s="416">
        <v>0</v>
      </c>
      <c r="AS238" s="416">
        <v>0</v>
      </c>
      <c r="AT238" s="416">
        <v>0</v>
      </c>
      <c r="AU238" s="416">
        <v>0</v>
      </c>
      <c r="AV238" s="416">
        <v>0</v>
      </c>
      <c r="AW238" s="416">
        <v>0</v>
      </c>
      <c r="AX238" s="416">
        <v>0</v>
      </c>
      <c r="AY238" s="416">
        <v>0</v>
      </c>
      <c r="AZ238" s="416">
        <v>0</v>
      </c>
    </row>
    <row r="239" spans="1:52" x14ac:dyDescent="0.25">
      <c r="A239" s="415" t="str">
        <f t="shared" si="3"/>
        <v>SA-533 Gr.C</v>
      </c>
      <c r="B239" s="415">
        <v>234</v>
      </c>
      <c r="C239" s="415" t="s">
        <v>3572</v>
      </c>
      <c r="D239" s="415" t="s">
        <v>2684</v>
      </c>
      <c r="E239" s="415" t="s">
        <v>2177</v>
      </c>
      <c r="F239" s="415" t="s">
        <v>2348</v>
      </c>
      <c r="G239" s="415" t="s">
        <v>3102</v>
      </c>
      <c r="H239" s="415">
        <v>1</v>
      </c>
      <c r="I239" s="415">
        <v>0</v>
      </c>
      <c r="J239" s="415">
        <v>3</v>
      </c>
      <c r="K239" s="415">
        <v>3</v>
      </c>
      <c r="L239" s="415">
        <v>22</v>
      </c>
      <c r="M239" s="415">
        <v>550</v>
      </c>
      <c r="N239" s="415">
        <v>345</v>
      </c>
      <c r="O239" s="415">
        <v>427</v>
      </c>
      <c r="P239" s="415" t="s">
        <v>2838</v>
      </c>
      <c r="Q239" s="415">
        <v>0</v>
      </c>
      <c r="R239" s="415">
        <v>22</v>
      </c>
      <c r="S239" s="415">
        <v>230</v>
      </c>
      <c r="T239" s="416">
        <v>230</v>
      </c>
      <c r="U239" s="416">
        <v>221</v>
      </c>
      <c r="V239" s="416">
        <v>215</v>
      </c>
      <c r="W239" s="416">
        <v>212</v>
      </c>
      <c r="X239" s="416">
        <v>209</v>
      </c>
      <c r="Y239" s="416">
        <v>206</v>
      </c>
      <c r="Z239" s="416">
        <v>204</v>
      </c>
      <c r="AA239" s="416">
        <v>201</v>
      </c>
      <c r="AB239" s="416">
        <v>199</v>
      </c>
      <c r="AC239" s="416">
        <v>197</v>
      </c>
      <c r="AD239" s="416">
        <v>195</v>
      </c>
      <c r="AE239" s="416">
        <v>192</v>
      </c>
      <c r="AF239" s="416">
        <v>190</v>
      </c>
      <c r="AG239" s="416">
        <v>187</v>
      </c>
      <c r="AH239" s="416">
        <v>183</v>
      </c>
      <c r="AI239" s="416">
        <v>178</v>
      </c>
      <c r="AJ239" s="416">
        <v>172</v>
      </c>
      <c r="AK239" s="416">
        <v>0</v>
      </c>
      <c r="AL239" s="416">
        <v>22</v>
      </c>
      <c r="AM239" s="416">
        <v>0</v>
      </c>
      <c r="AN239" s="416">
        <v>0</v>
      </c>
      <c r="AO239" s="416">
        <v>0</v>
      </c>
      <c r="AP239" s="416">
        <v>0</v>
      </c>
      <c r="AQ239" s="416">
        <v>0</v>
      </c>
      <c r="AR239" s="416">
        <v>0</v>
      </c>
      <c r="AS239" s="416">
        <v>0</v>
      </c>
      <c r="AT239" s="416">
        <v>0</v>
      </c>
      <c r="AU239" s="416">
        <v>0</v>
      </c>
      <c r="AV239" s="416">
        <v>0</v>
      </c>
      <c r="AW239" s="416">
        <v>0</v>
      </c>
      <c r="AX239" s="416">
        <v>0</v>
      </c>
      <c r="AY239" s="416">
        <v>0</v>
      </c>
      <c r="AZ239" s="416">
        <v>0</v>
      </c>
    </row>
    <row r="240" spans="1:52" x14ac:dyDescent="0.25">
      <c r="A240" s="415" t="str">
        <f t="shared" si="3"/>
        <v>SA-533 Gr.C</v>
      </c>
      <c r="B240" s="415">
        <v>235</v>
      </c>
      <c r="C240" s="415" t="s">
        <v>3572</v>
      </c>
      <c r="D240" s="415" t="s">
        <v>2684</v>
      </c>
      <c r="E240" s="415" t="s">
        <v>2177</v>
      </c>
      <c r="F240" s="415" t="s">
        <v>2348</v>
      </c>
      <c r="G240" s="415" t="s">
        <v>3102</v>
      </c>
      <c r="H240" s="415">
        <v>2</v>
      </c>
      <c r="I240" s="415">
        <v>0</v>
      </c>
      <c r="J240" s="415">
        <v>3</v>
      </c>
      <c r="K240" s="415">
        <v>3</v>
      </c>
      <c r="L240" s="415">
        <v>23</v>
      </c>
      <c r="M240" s="415">
        <v>620</v>
      </c>
      <c r="N240" s="415">
        <v>485</v>
      </c>
      <c r="O240" s="415">
        <v>427</v>
      </c>
      <c r="P240" s="415" t="s">
        <v>2838</v>
      </c>
      <c r="Q240" s="415">
        <v>0</v>
      </c>
      <c r="R240" s="415">
        <v>23</v>
      </c>
      <c r="S240" s="415">
        <v>259</v>
      </c>
      <c r="T240" s="416">
        <v>259</v>
      </c>
      <c r="U240" s="416">
        <v>259</v>
      </c>
      <c r="V240" s="416">
        <v>259</v>
      </c>
      <c r="W240" s="416">
        <v>259</v>
      </c>
      <c r="X240" s="416">
        <v>259</v>
      </c>
      <c r="Y240" s="416">
        <v>259</v>
      </c>
      <c r="Z240" s="416">
        <v>259</v>
      </c>
      <c r="AA240" s="416">
        <v>259</v>
      </c>
      <c r="AB240" s="416">
        <v>259</v>
      </c>
      <c r="AC240" s="416">
        <v>259</v>
      </c>
      <c r="AD240" s="416">
        <v>259</v>
      </c>
      <c r="AE240" s="416">
        <v>259</v>
      </c>
      <c r="AF240" s="416">
        <v>259</v>
      </c>
      <c r="AG240" s="416">
        <v>259</v>
      </c>
      <c r="AH240" s="416">
        <v>256</v>
      </c>
      <c r="AI240" s="416">
        <v>249</v>
      </c>
      <c r="AJ240" s="416">
        <v>240</v>
      </c>
      <c r="AK240" s="416">
        <v>0</v>
      </c>
      <c r="AL240" s="416">
        <v>23</v>
      </c>
      <c r="AM240" s="416">
        <v>0</v>
      </c>
      <c r="AN240" s="416">
        <v>0</v>
      </c>
      <c r="AO240" s="416">
        <v>0</v>
      </c>
      <c r="AP240" s="416">
        <v>0</v>
      </c>
      <c r="AQ240" s="416">
        <v>0</v>
      </c>
      <c r="AR240" s="416">
        <v>0</v>
      </c>
      <c r="AS240" s="416">
        <v>0</v>
      </c>
      <c r="AT240" s="416">
        <v>0</v>
      </c>
      <c r="AU240" s="416">
        <v>0</v>
      </c>
      <c r="AV240" s="416">
        <v>0</v>
      </c>
      <c r="AW240" s="416">
        <v>0</v>
      </c>
      <c r="AX240" s="416">
        <v>0</v>
      </c>
      <c r="AY240" s="416">
        <v>0</v>
      </c>
      <c r="AZ240" s="416">
        <v>0</v>
      </c>
    </row>
    <row r="241" spans="1:52" x14ac:dyDescent="0.25">
      <c r="A241" s="415" t="str">
        <f t="shared" si="3"/>
        <v>SA-533 Gr.B, Cl. 3</v>
      </c>
      <c r="B241" s="415">
        <v>236</v>
      </c>
      <c r="C241" s="415" t="s">
        <v>3572</v>
      </c>
      <c r="D241" s="415" t="s">
        <v>2684</v>
      </c>
      <c r="E241" s="415" t="s">
        <v>2177</v>
      </c>
      <c r="F241" s="415" t="s">
        <v>2180</v>
      </c>
      <c r="G241" s="415" t="s">
        <v>3102</v>
      </c>
      <c r="H241" s="415">
        <v>0</v>
      </c>
      <c r="I241" s="415">
        <v>0</v>
      </c>
      <c r="J241" s="415">
        <v>3</v>
      </c>
      <c r="K241" s="415">
        <v>3</v>
      </c>
      <c r="L241" s="415">
        <v>24</v>
      </c>
      <c r="M241" s="415">
        <v>690</v>
      </c>
      <c r="N241" s="415">
        <v>570</v>
      </c>
      <c r="O241" s="415">
        <v>427</v>
      </c>
      <c r="P241" s="415" t="s">
        <v>2838</v>
      </c>
      <c r="Q241" s="415">
        <v>0</v>
      </c>
      <c r="R241" s="415">
        <v>24</v>
      </c>
      <c r="S241" s="415">
        <v>287</v>
      </c>
      <c r="T241" s="416">
        <v>287</v>
      </c>
      <c r="U241" s="416">
        <v>287</v>
      </c>
      <c r="V241" s="416">
        <v>287</v>
      </c>
      <c r="W241" s="416">
        <v>287</v>
      </c>
      <c r="X241" s="416">
        <v>287</v>
      </c>
      <c r="Y241" s="416">
        <v>287</v>
      </c>
      <c r="Z241" s="416">
        <v>287</v>
      </c>
      <c r="AA241" s="416">
        <v>287</v>
      </c>
      <c r="AB241" s="416">
        <v>287</v>
      </c>
      <c r="AC241" s="416">
        <v>287</v>
      </c>
      <c r="AD241" s="416">
        <v>287</v>
      </c>
      <c r="AE241" s="416">
        <v>287</v>
      </c>
      <c r="AF241" s="416">
        <v>287</v>
      </c>
      <c r="AG241" s="416">
        <v>287</v>
      </c>
      <c r="AH241" s="416">
        <v>287</v>
      </c>
      <c r="AI241" s="416">
        <v>287</v>
      </c>
      <c r="AJ241" s="416">
        <v>285</v>
      </c>
      <c r="AK241" s="416">
        <v>0</v>
      </c>
      <c r="AL241" s="416">
        <v>24</v>
      </c>
      <c r="AM241" s="416">
        <v>0</v>
      </c>
      <c r="AN241" s="416">
        <v>0</v>
      </c>
      <c r="AO241" s="416">
        <v>0</v>
      </c>
      <c r="AP241" s="416">
        <v>0</v>
      </c>
      <c r="AQ241" s="416">
        <v>0</v>
      </c>
      <c r="AR241" s="416">
        <v>0</v>
      </c>
      <c r="AS241" s="416">
        <v>0</v>
      </c>
      <c r="AT241" s="416">
        <v>0</v>
      </c>
      <c r="AU241" s="416">
        <v>0</v>
      </c>
      <c r="AV241" s="416">
        <v>0</v>
      </c>
      <c r="AW241" s="416">
        <v>0</v>
      </c>
      <c r="AX241" s="416">
        <v>0</v>
      </c>
      <c r="AY241" s="416">
        <v>0</v>
      </c>
      <c r="AZ241" s="416">
        <v>0</v>
      </c>
    </row>
    <row r="242" spans="1:52" x14ac:dyDescent="0.25">
      <c r="A242" s="415" t="str">
        <f t="shared" si="3"/>
        <v>SA-225 Gr.C</v>
      </c>
      <c r="B242" s="415">
        <v>237</v>
      </c>
      <c r="C242" s="415" t="s">
        <v>3573</v>
      </c>
      <c r="D242" s="415" t="s">
        <v>2684</v>
      </c>
      <c r="E242" s="415" t="s">
        <v>2199</v>
      </c>
      <c r="F242" s="415" t="s">
        <v>2348</v>
      </c>
      <c r="G242" s="415" t="s">
        <v>3104</v>
      </c>
      <c r="H242" s="415">
        <v>0</v>
      </c>
      <c r="I242" s="415">
        <v>0</v>
      </c>
      <c r="J242" s="415" t="s">
        <v>3105</v>
      </c>
      <c r="K242" s="415">
        <v>1</v>
      </c>
      <c r="L242" s="415">
        <v>25</v>
      </c>
      <c r="M242" s="415">
        <v>725</v>
      </c>
      <c r="N242" s="415">
        <v>485</v>
      </c>
      <c r="O242" s="415">
        <v>371</v>
      </c>
      <c r="P242" s="415" t="s">
        <v>2838</v>
      </c>
      <c r="Q242" s="415" t="s">
        <v>2535</v>
      </c>
      <c r="R242" s="415">
        <v>25</v>
      </c>
      <c r="S242" s="415">
        <v>302</v>
      </c>
      <c r="T242" s="416">
        <v>302</v>
      </c>
      <c r="U242" s="416">
        <v>298</v>
      </c>
      <c r="V242" s="416">
        <v>292</v>
      </c>
      <c r="W242" s="416">
        <v>290</v>
      </c>
      <c r="X242" s="416">
        <v>287</v>
      </c>
      <c r="Y242" s="416">
        <v>282</v>
      </c>
      <c r="Z242" s="416">
        <v>276</v>
      </c>
      <c r="AA242" s="416">
        <v>269</v>
      </c>
      <c r="AB242" s="416">
        <v>261</v>
      </c>
      <c r="AC242" s="416">
        <v>252</v>
      </c>
      <c r="AD242" s="416">
        <v>245</v>
      </c>
      <c r="AE242" s="416">
        <v>238</v>
      </c>
      <c r="AF242" s="416">
        <v>160</v>
      </c>
      <c r="AG242" s="416">
        <v>131</v>
      </c>
      <c r="AH242" s="416">
        <v>107</v>
      </c>
      <c r="AI242" s="416">
        <v>0</v>
      </c>
      <c r="AJ242" s="416">
        <v>0</v>
      </c>
      <c r="AK242" s="416">
        <v>0</v>
      </c>
      <c r="AL242" s="416">
        <v>25</v>
      </c>
      <c r="AM242" s="416">
        <v>0</v>
      </c>
      <c r="AN242" s="416">
        <v>0</v>
      </c>
      <c r="AO242" s="416">
        <v>0</v>
      </c>
      <c r="AP242" s="416">
        <v>0</v>
      </c>
      <c r="AQ242" s="416">
        <v>0</v>
      </c>
      <c r="AR242" s="416">
        <v>0</v>
      </c>
      <c r="AS242" s="416">
        <v>0</v>
      </c>
      <c r="AT242" s="416">
        <v>0</v>
      </c>
      <c r="AU242" s="416">
        <v>0</v>
      </c>
      <c r="AV242" s="416">
        <v>0</v>
      </c>
      <c r="AW242" s="416">
        <v>0</v>
      </c>
      <c r="AX242" s="416">
        <v>0</v>
      </c>
      <c r="AY242" s="416">
        <v>0</v>
      </c>
      <c r="AZ242" s="416">
        <v>0</v>
      </c>
    </row>
    <row r="243" spans="1:52" x14ac:dyDescent="0.25">
      <c r="A243" s="415" t="str">
        <f t="shared" si="3"/>
        <v>SA-487 Gr.1</v>
      </c>
      <c r="B243" s="415">
        <v>238</v>
      </c>
      <c r="C243" s="415" t="s">
        <v>3106</v>
      </c>
      <c r="D243" s="415" t="s">
        <v>2739</v>
      </c>
      <c r="E243" s="415" t="s">
        <v>2247</v>
      </c>
      <c r="F243" s="415">
        <v>1</v>
      </c>
      <c r="G243" s="415" t="s">
        <v>3107</v>
      </c>
      <c r="H243" s="415" t="s">
        <v>12</v>
      </c>
      <c r="I243" s="415">
        <v>0</v>
      </c>
      <c r="J243" s="415" t="s">
        <v>3105</v>
      </c>
      <c r="K243" s="415">
        <v>1</v>
      </c>
      <c r="L243" s="415">
        <v>26</v>
      </c>
      <c r="M243" s="415">
        <v>585</v>
      </c>
      <c r="N243" s="415">
        <v>380</v>
      </c>
      <c r="O243" s="415">
        <v>343</v>
      </c>
      <c r="P243" s="415" t="s">
        <v>2819</v>
      </c>
      <c r="Q243" s="415" t="s">
        <v>3574</v>
      </c>
      <c r="R243" s="415">
        <v>26</v>
      </c>
      <c r="S243" s="415">
        <v>244</v>
      </c>
      <c r="T243" s="416">
        <v>244</v>
      </c>
      <c r="U243" s="416">
        <v>243</v>
      </c>
      <c r="V243" s="416">
        <v>237</v>
      </c>
      <c r="W243" s="416">
        <v>233</v>
      </c>
      <c r="X243" s="416">
        <v>230</v>
      </c>
      <c r="Y243" s="416">
        <v>227</v>
      </c>
      <c r="Z243" s="416">
        <v>224</v>
      </c>
      <c r="AA243" s="416">
        <v>222</v>
      </c>
      <c r="AB243" s="416">
        <v>219</v>
      </c>
      <c r="AC243" s="416">
        <v>217</v>
      </c>
      <c r="AD243" s="416">
        <v>214</v>
      </c>
      <c r="AE243" s="416">
        <v>212</v>
      </c>
      <c r="AF243" s="416">
        <v>160</v>
      </c>
      <c r="AG243" s="416">
        <v>131</v>
      </c>
      <c r="AH243" s="416">
        <v>0</v>
      </c>
      <c r="AI243" s="416">
        <v>0</v>
      </c>
      <c r="AJ243" s="416">
        <v>0</v>
      </c>
      <c r="AK243" s="416">
        <v>0</v>
      </c>
      <c r="AL243" s="416">
        <v>26</v>
      </c>
      <c r="AM243" s="416">
        <v>0</v>
      </c>
      <c r="AN243" s="416">
        <v>0</v>
      </c>
      <c r="AO243" s="416">
        <v>0</v>
      </c>
      <c r="AP243" s="416">
        <v>0</v>
      </c>
      <c r="AQ243" s="416">
        <v>0</v>
      </c>
      <c r="AR243" s="416">
        <v>0</v>
      </c>
      <c r="AS243" s="416">
        <v>0</v>
      </c>
      <c r="AT243" s="416">
        <v>0</v>
      </c>
      <c r="AU243" s="416">
        <v>0</v>
      </c>
      <c r="AV243" s="416">
        <v>0</v>
      </c>
      <c r="AW243" s="416">
        <v>0</v>
      </c>
      <c r="AX243" s="416">
        <v>0</v>
      </c>
      <c r="AY243" s="416">
        <v>0</v>
      </c>
      <c r="AZ243" s="416">
        <v>0</v>
      </c>
    </row>
    <row r="244" spans="1:52" x14ac:dyDescent="0.25">
      <c r="A244" s="415" t="str">
        <f t="shared" si="3"/>
        <v>SA-487 Gr.4</v>
      </c>
      <c r="B244" s="415">
        <v>239</v>
      </c>
      <c r="C244" s="415" t="s">
        <v>3575</v>
      </c>
      <c r="D244" s="415" t="s">
        <v>2739</v>
      </c>
      <c r="E244" s="415" t="s">
        <v>2247</v>
      </c>
      <c r="F244" s="415">
        <v>4</v>
      </c>
      <c r="G244" s="415" t="s">
        <v>3111</v>
      </c>
      <c r="H244" s="415" t="s">
        <v>12</v>
      </c>
      <c r="I244" s="415">
        <v>0</v>
      </c>
      <c r="J244" s="415">
        <v>3</v>
      </c>
      <c r="K244" s="415">
        <v>3</v>
      </c>
      <c r="L244" s="415">
        <v>27</v>
      </c>
      <c r="M244" s="415">
        <v>620</v>
      </c>
      <c r="N244" s="415">
        <v>415</v>
      </c>
      <c r="O244" s="415">
        <v>343</v>
      </c>
      <c r="P244" s="415" t="s">
        <v>2819</v>
      </c>
      <c r="Q244" s="415" t="s">
        <v>3576</v>
      </c>
      <c r="R244" s="415">
        <v>27</v>
      </c>
      <c r="S244" s="415">
        <v>259</v>
      </c>
      <c r="T244" s="416">
        <v>259</v>
      </c>
      <c r="U244" s="416">
        <v>259</v>
      </c>
      <c r="V244" s="416">
        <v>259</v>
      </c>
      <c r="W244" s="416">
        <v>254</v>
      </c>
      <c r="X244" s="416">
        <v>250</v>
      </c>
      <c r="Y244" s="416">
        <v>247</v>
      </c>
      <c r="Z244" s="416">
        <v>245</v>
      </c>
      <c r="AA244" s="416">
        <v>243</v>
      </c>
      <c r="AB244" s="416">
        <v>240</v>
      </c>
      <c r="AC244" s="416">
        <v>236</v>
      </c>
      <c r="AD244" s="416">
        <v>229</v>
      </c>
      <c r="AE244" s="416">
        <v>220</v>
      </c>
      <c r="AF244" s="416">
        <v>211</v>
      </c>
      <c r="AG244" s="416">
        <v>205</v>
      </c>
      <c r="AH244" s="416">
        <v>0</v>
      </c>
      <c r="AI244" s="416">
        <v>0</v>
      </c>
      <c r="AJ244" s="416">
        <v>0</v>
      </c>
      <c r="AK244" s="416">
        <v>0</v>
      </c>
      <c r="AL244" s="416">
        <v>27</v>
      </c>
      <c r="AM244" s="416">
        <v>0</v>
      </c>
      <c r="AN244" s="416">
        <v>0</v>
      </c>
      <c r="AO244" s="416">
        <v>0</v>
      </c>
      <c r="AP244" s="416">
        <v>0</v>
      </c>
      <c r="AQ244" s="416">
        <v>0</v>
      </c>
      <c r="AR244" s="416">
        <v>0</v>
      </c>
      <c r="AS244" s="416">
        <v>0</v>
      </c>
      <c r="AT244" s="416">
        <v>0</v>
      </c>
      <c r="AU244" s="416">
        <v>0</v>
      </c>
      <c r="AV244" s="416">
        <v>0</v>
      </c>
      <c r="AW244" s="416">
        <v>0</v>
      </c>
      <c r="AX244" s="416">
        <v>0</v>
      </c>
      <c r="AY244" s="416">
        <v>0</v>
      </c>
      <c r="AZ244" s="416">
        <v>0</v>
      </c>
    </row>
    <row r="245" spans="1:52" x14ac:dyDescent="0.25">
      <c r="A245" s="415" t="str">
        <f t="shared" si="3"/>
        <v>SA-541 Gr.3</v>
      </c>
      <c r="B245" s="415">
        <v>240</v>
      </c>
      <c r="C245" s="415" t="s">
        <v>3577</v>
      </c>
      <c r="D245" s="415" t="s">
        <v>2737</v>
      </c>
      <c r="E245" s="415" t="s">
        <v>2263</v>
      </c>
      <c r="F245" s="415">
        <v>3</v>
      </c>
      <c r="G245" s="415" t="s">
        <v>3113</v>
      </c>
      <c r="H245" s="415">
        <v>1</v>
      </c>
      <c r="I245" s="415">
        <v>0</v>
      </c>
      <c r="J245" s="415">
        <v>3</v>
      </c>
      <c r="K245" s="415">
        <v>3</v>
      </c>
      <c r="L245" s="415">
        <v>28</v>
      </c>
      <c r="M245" s="415">
        <v>550</v>
      </c>
      <c r="N245" s="415">
        <v>340</v>
      </c>
      <c r="O245" s="415">
        <v>427</v>
      </c>
      <c r="P245" s="415" t="s">
        <v>2838</v>
      </c>
      <c r="Q245" s="415">
        <v>0</v>
      </c>
      <c r="R245" s="415">
        <v>28</v>
      </c>
      <c r="S245" s="415">
        <v>230</v>
      </c>
      <c r="T245" s="416">
        <v>230</v>
      </c>
      <c r="U245" s="416">
        <v>225</v>
      </c>
      <c r="V245" s="416">
        <v>217</v>
      </c>
      <c r="W245" s="416">
        <v>212</v>
      </c>
      <c r="X245" s="416">
        <v>208</v>
      </c>
      <c r="Y245" s="416">
        <v>206</v>
      </c>
      <c r="Z245" s="416">
        <v>204</v>
      </c>
      <c r="AA245" s="416">
        <v>203</v>
      </c>
      <c r="AB245" s="416">
        <v>200</v>
      </c>
      <c r="AC245" s="416">
        <v>196</v>
      </c>
      <c r="AD245" s="416">
        <v>191</v>
      </c>
      <c r="AE245" s="416">
        <v>183</v>
      </c>
      <c r="AF245" s="416">
        <v>176</v>
      </c>
      <c r="AG245" s="416">
        <v>171</v>
      </c>
      <c r="AH245" s="416">
        <v>171</v>
      </c>
      <c r="AI245" s="416">
        <v>171</v>
      </c>
      <c r="AJ245" s="416">
        <v>171</v>
      </c>
      <c r="AK245" s="416">
        <v>0</v>
      </c>
      <c r="AL245" s="416">
        <v>28</v>
      </c>
      <c r="AM245" s="416">
        <v>0</v>
      </c>
      <c r="AN245" s="416">
        <v>0</v>
      </c>
      <c r="AO245" s="416">
        <v>0</v>
      </c>
      <c r="AP245" s="416">
        <v>0</v>
      </c>
      <c r="AQ245" s="416">
        <v>0</v>
      </c>
      <c r="AR245" s="416">
        <v>0</v>
      </c>
      <c r="AS245" s="416">
        <v>0</v>
      </c>
      <c r="AT245" s="416">
        <v>0</v>
      </c>
      <c r="AU245" s="416">
        <v>0</v>
      </c>
      <c r="AV245" s="416">
        <v>0</v>
      </c>
      <c r="AW245" s="416">
        <v>0</v>
      </c>
      <c r="AX245" s="416">
        <v>0</v>
      </c>
      <c r="AY245" s="416">
        <v>0</v>
      </c>
      <c r="AZ245" s="416">
        <v>0</v>
      </c>
    </row>
    <row r="246" spans="1:52" x14ac:dyDescent="0.25">
      <c r="A246" s="415" t="str">
        <f t="shared" si="3"/>
        <v>SA-541 Gr.3</v>
      </c>
      <c r="B246" s="415">
        <v>241</v>
      </c>
      <c r="C246" s="415" t="s">
        <v>3577</v>
      </c>
      <c r="D246" s="415" t="s">
        <v>2737</v>
      </c>
      <c r="E246" s="415" t="s">
        <v>2263</v>
      </c>
      <c r="F246" s="415">
        <v>3</v>
      </c>
      <c r="G246" s="415" t="s">
        <v>3113</v>
      </c>
      <c r="H246" s="415">
        <v>2</v>
      </c>
      <c r="I246" s="415">
        <v>0</v>
      </c>
      <c r="J246" s="415">
        <v>3</v>
      </c>
      <c r="K246" s="415">
        <v>3</v>
      </c>
      <c r="L246" s="415">
        <v>29</v>
      </c>
      <c r="M246" s="415">
        <v>620</v>
      </c>
      <c r="N246" s="415">
        <v>450</v>
      </c>
      <c r="O246" s="415">
        <v>371</v>
      </c>
      <c r="P246" s="415" t="s">
        <v>2838</v>
      </c>
      <c r="Q246" s="415">
        <v>0</v>
      </c>
      <c r="R246" s="415">
        <v>29</v>
      </c>
      <c r="S246" s="415">
        <v>259</v>
      </c>
      <c r="T246" s="416">
        <v>259</v>
      </c>
      <c r="U246" s="416">
        <v>259</v>
      </c>
      <c r="V246" s="416">
        <v>259</v>
      </c>
      <c r="W246" s="416">
        <v>259</v>
      </c>
      <c r="X246" s="416">
        <v>259</v>
      </c>
      <c r="Y246" s="416">
        <v>259</v>
      </c>
      <c r="Z246" s="416">
        <v>259</v>
      </c>
      <c r="AA246" s="416">
        <v>259</v>
      </c>
      <c r="AB246" s="416">
        <v>259</v>
      </c>
      <c r="AC246" s="416">
        <v>255</v>
      </c>
      <c r="AD246" s="416">
        <v>248</v>
      </c>
      <c r="AE246" s="416">
        <v>238</v>
      </c>
      <c r="AF246" s="416">
        <v>229</v>
      </c>
      <c r="AG246" s="416">
        <v>222</v>
      </c>
      <c r="AH246" s="416">
        <v>222</v>
      </c>
      <c r="AI246" s="416">
        <v>0</v>
      </c>
      <c r="AJ246" s="416">
        <v>0</v>
      </c>
      <c r="AK246" s="416">
        <v>0</v>
      </c>
      <c r="AL246" s="416">
        <v>29</v>
      </c>
      <c r="AM246" s="416">
        <v>0</v>
      </c>
      <c r="AN246" s="416">
        <v>0</v>
      </c>
      <c r="AO246" s="416">
        <v>0</v>
      </c>
      <c r="AP246" s="416">
        <v>0</v>
      </c>
      <c r="AQ246" s="416">
        <v>0</v>
      </c>
      <c r="AR246" s="416">
        <v>0</v>
      </c>
      <c r="AS246" s="416">
        <v>0</v>
      </c>
      <c r="AT246" s="416">
        <v>0</v>
      </c>
      <c r="AU246" s="416">
        <v>0</v>
      </c>
      <c r="AV246" s="416">
        <v>0</v>
      </c>
      <c r="AW246" s="416">
        <v>0</v>
      </c>
      <c r="AX246" s="416">
        <v>0</v>
      </c>
      <c r="AY246" s="416">
        <v>0</v>
      </c>
      <c r="AZ246" s="416">
        <v>0</v>
      </c>
    </row>
    <row r="247" spans="1:52" x14ac:dyDescent="0.25">
      <c r="A247" s="415" t="str">
        <f t="shared" si="3"/>
        <v>SA-592 Gr.F</v>
      </c>
      <c r="B247" s="415">
        <v>242</v>
      </c>
      <c r="C247" s="415" t="s">
        <v>3578</v>
      </c>
      <c r="D247" s="415" t="s">
        <v>2737</v>
      </c>
      <c r="E247" s="415" t="s">
        <v>2279</v>
      </c>
      <c r="F247" s="415" t="s">
        <v>2423</v>
      </c>
      <c r="G247" s="415" t="s">
        <v>3115</v>
      </c>
      <c r="H247" s="415">
        <v>0</v>
      </c>
      <c r="I247" s="415" t="s">
        <v>2792</v>
      </c>
      <c r="J247" s="415" t="s">
        <v>2895</v>
      </c>
      <c r="K247" s="415">
        <v>3</v>
      </c>
      <c r="L247" s="415">
        <v>30</v>
      </c>
      <c r="M247" s="415">
        <v>725</v>
      </c>
      <c r="N247" s="415">
        <v>620</v>
      </c>
      <c r="O247" s="415">
        <v>343</v>
      </c>
      <c r="P247" s="415" t="s">
        <v>2838</v>
      </c>
      <c r="Q247" s="415" t="s">
        <v>3161</v>
      </c>
      <c r="R247" s="415">
        <v>30</v>
      </c>
      <c r="S247" s="415">
        <v>302</v>
      </c>
      <c r="T247" s="416">
        <v>302</v>
      </c>
      <c r="U247" s="416">
        <v>302</v>
      </c>
      <c r="V247" s="416">
        <v>302</v>
      </c>
      <c r="W247" s="416">
        <v>302</v>
      </c>
      <c r="X247" s="416">
        <v>302</v>
      </c>
      <c r="Y247" s="416">
        <v>302</v>
      </c>
      <c r="Z247" s="416">
        <v>302</v>
      </c>
      <c r="AA247" s="416">
        <v>302</v>
      </c>
      <c r="AB247" s="416">
        <v>302</v>
      </c>
      <c r="AC247" s="416">
        <v>302</v>
      </c>
      <c r="AD247" s="416">
        <v>302</v>
      </c>
      <c r="AE247" s="416">
        <v>302</v>
      </c>
      <c r="AF247" s="416">
        <v>302</v>
      </c>
      <c r="AG247" s="416">
        <v>302</v>
      </c>
      <c r="AH247" s="416">
        <v>0</v>
      </c>
      <c r="AI247" s="416">
        <v>0</v>
      </c>
      <c r="AJ247" s="416">
        <v>0</v>
      </c>
      <c r="AK247" s="416">
        <v>0</v>
      </c>
      <c r="AL247" s="416">
        <v>30</v>
      </c>
      <c r="AM247" s="416">
        <v>0</v>
      </c>
      <c r="AN247" s="416">
        <v>0</v>
      </c>
      <c r="AO247" s="416">
        <v>0</v>
      </c>
      <c r="AP247" s="416">
        <v>0</v>
      </c>
      <c r="AQ247" s="416">
        <v>0</v>
      </c>
      <c r="AR247" s="416">
        <v>0</v>
      </c>
      <c r="AS247" s="416">
        <v>0</v>
      </c>
      <c r="AT247" s="416">
        <v>0</v>
      </c>
      <c r="AU247" s="416">
        <v>0</v>
      </c>
      <c r="AV247" s="416">
        <v>0</v>
      </c>
      <c r="AW247" s="416">
        <v>0</v>
      </c>
      <c r="AX247" s="416">
        <v>0</v>
      </c>
      <c r="AY247" s="416">
        <v>0</v>
      </c>
      <c r="AZ247" s="416">
        <v>0</v>
      </c>
    </row>
    <row r="248" spans="1:52" x14ac:dyDescent="0.25">
      <c r="A248" s="415" t="str">
        <f t="shared" si="3"/>
        <v>SA-517 Gr.F</v>
      </c>
      <c r="B248" s="415">
        <v>243</v>
      </c>
      <c r="C248" s="415" t="s">
        <v>3578</v>
      </c>
      <c r="D248" s="415" t="s">
        <v>2684</v>
      </c>
      <c r="E248" s="415" t="s">
        <v>2254</v>
      </c>
      <c r="F248" s="415" t="s">
        <v>2423</v>
      </c>
      <c r="G248" s="415" t="s">
        <v>3115</v>
      </c>
      <c r="H248" s="415">
        <v>0</v>
      </c>
      <c r="I248" s="415" t="s">
        <v>3519</v>
      </c>
      <c r="J248" s="415" t="s">
        <v>2895</v>
      </c>
      <c r="K248" s="415">
        <v>3</v>
      </c>
      <c r="L248" s="415">
        <v>31</v>
      </c>
      <c r="M248" s="415">
        <v>795</v>
      </c>
      <c r="N248" s="415">
        <v>690</v>
      </c>
      <c r="O248" s="415">
        <v>343</v>
      </c>
      <c r="P248" s="415" t="s">
        <v>2896</v>
      </c>
      <c r="Q248" s="415">
        <v>0</v>
      </c>
      <c r="R248" s="415">
        <v>31</v>
      </c>
      <c r="S248" s="415">
        <v>330</v>
      </c>
      <c r="T248" s="416">
        <v>330</v>
      </c>
      <c r="U248" s="416">
        <v>330</v>
      </c>
      <c r="V248" s="416">
        <v>330</v>
      </c>
      <c r="W248" s="416">
        <v>330</v>
      </c>
      <c r="X248" s="416">
        <v>330</v>
      </c>
      <c r="Y248" s="416">
        <v>330</v>
      </c>
      <c r="Z248" s="416">
        <v>330</v>
      </c>
      <c r="AA248" s="416">
        <v>330</v>
      </c>
      <c r="AB248" s="416">
        <v>330</v>
      </c>
      <c r="AC248" s="416">
        <v>330</v>
      </c>
      <c r="AD248" s="416">
        <v>330</v>
      </c>
      <c r="AE248" s="416">
        <v>330</v>
      </c>
      <c r="AF248" s="416">
        <v>330</v>
      </c>
      <c r="AG248" s="416">
        <v>330</v>
      </c>
      <c r="AH248" s="416">
        <v>0</v>
      </c>
      <c r="AI248" s="416">
        <v>0</v>
      </c>
      <c r="AJ248" s="416">
        <v>0</v>
      </c>
      <c r="AK248" s="416">
        <v>0</v>
      </c>
      <c r="AL248" s="416">
        <v>31</v>
      </c>
      <c r="AM248" s="416">
        <v>0</v>
      </c>
      <c r="AN248" s="416">
        <v>0</v>
      </c>
      <c r="AO248" s="416">
        <v>0</v>
      </c>
      <c r="AP248" s="416">
        <v>0</v>
      </c>
      <c r="AQ248" s="416">
        <v>0</v>
      </c>
      <c r="AR248" s="416">
        <v>0</v>
      </c>
      <c r="AS248" s="416">
        <v>0</v>
      </c>
      <c r="AT248" s="416">
        <v>0</v>
      </c>
      <c r="AU248" s="416">
        <v>0</v>
      </c>
      <c r="AV248" s="416">
        <v>0</v>
      </c>
      <c r="AW248" s="416">
        <v>0</v>
      </c>
      <c r="AX248" s="416">
        <v>0</v>
      </c>
      <c r="AY248" s="416">
        <v>0</v>
      </c>
      <c r="AZ248" s="416">
        <v>0</v>
      </c>
    </row>
    <row r="249" spans="1:52" x14ac:dyDescent="0.25">
      <c r="A249" s="415" t="str">
        <f t="shared" si="3"/>
        <v>SA-592 Gr.F</v>
      </c>
      <c r="B249" s="415">
        <v>244</v>
      </c>
      <c r="C249" s="415" t="s">
        <v>3578</v>
      </c>
      <c r="D249" s="415" t="s">
        <v>2737</v>
      </c>
      <c r="E249" s="415" t="s">
        <v>2279</v>
      </c>
      <c r="F249" s="415" t="s">
        <v>2423</v>
      </c>
      <c r="G249" s="415" t="s">
        <v>3115</v>
      </c>
      <c r="H249" s="415">
        <v>0</v>
      </c>
      <c r="I249" s="415" t="s">
        <v>3519</v>
      </c>
      <c r="J249" s="415" t="s">
        <v>2895</v>
      </c>
      <c r="K249" s="415">
        <v>3</v>
      </c>
      <c r="L249" s="415">
        <v>32</v>
      </c>
      <c r="M249" s="415">
        <v>795</v>
      </c>
      <c r="N249" s="415">
        <v>690</v>
      </c>
      <c r="O249" s="415">
        <v>343</v>
      </c>
      <c r="P249" s="415" t="s">
        <v>2896</v>
      </c>
      <c r="Q249" s="415">
        <v>0</v>
      </c>
      <c r="R249" s="415">
        <v>32</v>
      </c>
      <c r="S249" s="415">
        <v>330</v>
      </c>
      <c r="T249" s="416">
        <v>330</v>
      </c>
      <c r="U249" s="416">
        <v>330</v>
      </c>
      <c r="V249" s="416">
        <v>330</v>
      </c>
      <c r="W249" s="416">
        <v>330</v>
      </c>
      <c r="X249" s="416">
        <v>330</v>
      </c>
      <c r="Y249" s="416">
        <v>330</v>
      </c>
      <c r="Z249" s="416">
        <v>330</v>
      </c>
      <c r="AA249" s="416">
        <v>330</v>
      </c>
      <c r="AB249" s="416">
        <v>330</v>
      </c>
      <c r="AC249" s="416">
        <v>330</v>
      </c>
      <c r="AD249" s="416">
        <v>330</v>
      </c>
      <c r="AE249" s="416">
        <v>330</v>
      </c>
      <c r="AF249" s="416">
        <v>330</v>
      </c>
      <c r="AG249" s="416">
        <v>330</v>
      </c>
      <c r="AH249" s="416">
        <v>0</v>
      </c>
      <c r="AI249" s="416">
        <v>0</v>
      </c>
      <c r="AJ249" s="416">
        <v>0</v>
      </c>
      <c r="AK249" s="416">
        <v>0</v>
      </c>
      <c r="AL249" s="416">
        <v>32</v>
      </c>
      <c r="AM249" s="416">
        <v>0</v>
      </c>
      <c r="AN249" s="416">
        <v>0</v>
      </c>
      <c r="AO249" s="416">
        <v>0</v>
      </c>
      <c r="AP249" s="416">
        <v>0</v>
      </c>
      <c r="AQ249" s="416">
        <v>0</v>
      </c>
      <c r="AR249" s="416">
        <v>0</v>
      </c>
      <c r="AS249" s="416">
        <v>0</v>
      </c>
      <c r="AT249" s="416">
        <v>0</v>
      </c>
      <c r="AU249" s="416">
        <v>0</v>
      </c>
      <c r="AV249" s="416">
        <v>0</v>
      </c>
      <c r="AW249" s="416">
        <v>0</v>
      </c>
      <c r="AX249" s="416">
        <v>0</v>
      </c>
      <c r="AY249" s="416">
        <v>0</v>
      </c>
      <c r="AZ249" s="416">
        <v>0</v>
      </c>
    </row>
    <row r="250" spans="1:52" x14ac:dyDescent="0.25">
      <c r="A250" s="415" t="str">
        <f t="shared" si="3"/>
        <v>SA-423 Gr.2</v>
      </c>
      <c r="B250" s="415">
        <v>245</v>
      </c>
      <c r="C250" s="415" t="s">
        <v>3579</v>
      </c>
      <c r="D250" s="415" t="s">
        <v>2693</v>
      </c>
      <c r="E250" s="415" t="s">
        <v>2237</v>
      </c>
      <c r="F250" s="415">
        <v>2</v>
      </c>
      <c r="G250" s="415" t="s">
        <v>3117</v>
      </c>
      <c r="H250" s="415">
        <v>0</v>
      </c>
      <c r="I250" s="415">
        <v>0</v>
      </c>
      <c r="J250" s="415">
        <v>4</v>
      </c>
      <c r="K250" s="415">
        <v>2</v>
      </c>
      <c r="L250" s="415">
        <v>33</v>
      </c>
      <c r="M250" s="415">
        <v>415</v>
      </c>
      <c r="N250" s="415">
        <v>255</v>
      </c>
      <c r="O250" s="415">
        <v>343</v>
      </c>
      <c r="P250" s="415" t="s">
        <v>2699</v>
      </c>
      <c r="Q250" s="415">
        <v>0</v>
      </c>
      <c r="R250" s="415">
        <v>33</v>
      </c>
      <c r="S250" s="415">
        <v>170</v>
      </c>
      <c r="T250" s="416">
        <v>170</v>
      </c>
      <c r="U250" s="416">
        <v>161</v>
      </c>
      <c r="V250" s="416">
        <v>156</v>
      </c>
      <c r="W250" s="416">
        <v>154</v>
      </c>
      <c r="X250" s="416">
        <v>152</v>
      </c>
      <c r="Y250" s="416">
        <v>150</v>
      </c>
      <c r="Z250" s="416">
        <v>149</v>
      </c>
      <c r="AA250" s="416">
        <v>147</v>
      </c>
      <c r="AB250" s="416">
        <v>146</v>
      </c>
      <c r="AC250" s="416">
        <v>145</v>
      </c>
      <c r="AD250" s="416">
        <v>143</v>
      </c>
      <c r="AE250" s="416">
        <v>141</v>
      </c>
      <c r="AF250" s="416">
        <v>140</v>
      </c>
      <c r="AG250" s="416">
        <v>138</v>
      </c>
      <c r="AH250" s="416">
        <v>0</v>
      </c>
      <c r="AI250" s="416">
        <v>0</v>
      </c>
      <c r="AJ250" s="416">
        <v>0</v>
      </c>
      <c r="AK250" s="416">
        <v>0</v>
      </c>
      <c r="AL250" s="416">
        <v>33</v>
      </c>
      <c r="AM250" s="416">
        <v>0</v>
      </c>
      <c r="AN250" s="416">
        <v>0</v>
      </c>
      <c r="AO250" s="416">
        <v>0</v>
      </c>
      <c r="AP250" s="416">
        <v>0</v>
      </c>
      <c r="AQ250" s="416">
        <v>0</v>
      </c>
      <c r="AR250" s="416">
        <v>0</v>
      </c>
      <c r="AS250" s="416">
        <v>0</v>
      </c>
      <c r="AT250" s="416">
        <v>0</v>
      </c>
      <c r="AU250" s="416">
        <v>0</v>
      </c>
      <c r="AV250" s="416">
        <v>0</v>
      </c>
      <c r="AW250" s="416">
        <v>0</v>
      </c>
      <c r="AX250" s="416">
        <v>0</v>
      </c>
      <c r="AY250" s="416">
        <v>0</v>
      </c>
      <c r="AZ250" s="416">
        <v>0</v>
      </c>
    </row>
    <row r="251" spans="1:52" x14ac:dyDescent="0.25">
      <c r="A251" s="415" t="str">
        <f t="shared" si="3"/>
        <v>SA-508 Gr.2</v>
      </c>
      <c r="B251" s="415">
        <v>246</v>
      </c>
      <c r="C251" s="415" t="s">
        <v>3580</v>
      </c>
      <c r="D251" s="415" t="s">
        <v>2737</v>
      </c>
      <c r="E251" s="415" t="s">
        <v>2249</v>
      </c>
      <c r="F251" s="415">
        <v>2</v>
      </c>
      <c r="G251" s="415" t="s">
        <v>3119</v>
      </c>
      <c r="H251" s="415">
        <v>1</v>
      </c>
      <c r="I251" s="415">
        <v>0</v>
      </c>
      <c r="J251" s="415">
        <v>3</v>
      </c>
      <c r="K251" s="415">
        <v>3</v>
      </c>
      <c r="L251" s="415">
        <v>34</v>
      </c>
      <c r="M251" s="415">
        <v>550</v>
      </c>
      <c r="N251" s="415">
        <v>345</v>
      </c>
      <c r="O251" s="415">
        <v>427</v>
      </c>
      <c r="P251" s="415" t="s">
        <v>2838</v>
      </c>
      <c r="Q251" s="415">
        <v>0</v>
      </c>
      <c r="R251" s="415">
        <v>34</v>
      </c>
      <c r="S251" s="415">
        <v>230</v>
      </c>
      <c r="T251" s="416">
        <v>230</v>
      </c>
      <c r="U251" s="416">
        <v>221</v>
      </c>
      <c r="V251" s="416">
        <v>215</v>
      </c>
      <c r="W251" s="416">
        <v>212</v>
      </c>
      <c r="X251" s="416">
        <v>209</v>
      </c>
      <c r="Y251" s="416">
        <v>206</v>
      </c>
      <c r="Z251" s="416">
        <v>204</v>
      </c>
      <c r="AA251" s="416">
        <v>201</v>
      </c>
      <c r="AB251" s="416">
        <v>199</v>
      </c>
      <c r="AC251" s="416">
        <v>197</v>
      </c>
      <c r="AD251" s="416">
        <v>195</v>
      </c>
      <c r="AE251" s="416">
        <v>192</v>
      </c>
      <c r="AF251" s="416">
        <v>190</v>
      </c>
      <c r="AG251" s="416">
        <v>187</v>
      </c>
      <c r="AH251" s="416">
        <v>183</v>
      </c>
      <c r="AI251" s="416">
        <v>178</v>
      </c>
      <c r="AJ251" s="416">
        <v>172</v>
      </c>
      <c r="AK251" s="416">
        <v>0</v>
      </c>
      <c r="AL251" s="416">
        <v>34</v>
      </c>
      <c r="AM251" s="416">
        <v>0</v>
      </c>
      <c r="AN251" s="416">
        <v>0</v>
      </c>
      <c r="AO251" s="416">
        <v>0</v>
      </c>
      <c r="AP251" s="416">
        <v>0</v>
      </c>
      <c r="AQ251" s="416">
        <v>0</v>
      </c>
      <c r="AR251" s="416">
        <v>0</v>
      </c>
      <c r="AS251" s="416">
        <v>0</v>
      </c>
      <c r="AT251" s="416">
        <v>0</v>
      </c>
      <c r="AU251" s="416">
        <v>0</v>
      </c>
      <c r="AV251" s="416">
        <v>0</v>
      </c>
      <c r="AW251" s="416">
        <v>0</v>
      </c>
      <c r="AX251" s="416">
        <v>0</v>
      </c>
      <c r="AY251" s="416">
        <v>0</v>
      </c>
      <c r="AZ251" s="416">
        <v>0</v>
      </c>
    </row>
    <row r="252" spans="1:52" x14ac:dyDescent="0.25">
      <c r="A252" s="415" t="str">
        <f t="shared" si="3"/>
        <v>SA-541 Gr.2</v>
      </c>
      <c r="B252" s="415">
        <v>247</v>
      </c>
      <c r="C252" s="415" t="s">
        <v>3580</v>
      </c>
      <c r="D252" s="415" t="s">
        <v>2737</v>
      </c>
      <c r="E252" s="415" t="s">
        <v>2263</v>
      </c>
      <c r="F252" s="415">
        <v>2</v>
      </c>
      <c r="G252" s="415" t="s">
        <v>3120</v>
      </c>
      <c r="H252" s="415">
        <v>1</v>
      </c>
      <c r="I252" s="415">
        <v>0</v>
      </c>
      <c r="J252" s="415">
        <v>3</v>
      </c>
      <c r="K252" s="415">
        <v>3</v>
      </c>
      <c r="L252" s="415">
        <v>35</v>
      </c>
      <c r="M252" s="415">
        <v>550</v>
      </c>
      <c r="N252" s="415">
        <v>340</v>
      </c>
      <c r="O252" s="415">
        <v>427</v>
      </c>
      <c r="P252" s="415" t="s">
        <v>2838</v>
      </c>
      <c r="Q252" s="415">
        <v>0</v>
      </c>
      <c r="R252" s="415">
        <v>35</v>
      </c>
      <c r="S252" s="415">
        <v>230</v>
      </c>
      <c r="T252" s="416">
        <v>230</v>
      </c>
      <c r="U252" s="416">
        <v>221</v>
      </c>
      <c r="V252" s="416">
        <v>215</v>
      </c>
      <c r="W252" s="416">
        <v>212</v>
      </c>
      <c r="X252" s="416">
        <v>209</v>
      </c>
      <c r="Y252" s="416">
        <v>206</v>
      </c>
      <c r="Z252" s="416">
        <v>204</v>
      </c>
      <c r="AA252" s="416">
        <v>201</v>
      </c>
      <c r="AB252" s="416">
        <v>199</v>
      </c>
      <c r="AC252" s="416">
        <v>197</v>
      </c>
      <c r="AD252" s="416">
        <v>195</v>
      </c>
      <c r="AE252" s="416">
        <v>192</v>
      </c>
      <c r="AF252" s="416">
        <v>190</v>
      </c>
      <c r="AG252" s="416">
        <v>187</v>
      </c>
      <c r="AH252" s="416">
        <v>183</v>
      </c>
      <c r="AI252" s="416">
        <v>178</v>
      </c>
      <c r="AJ252" s="416">
        <v>172</v>
      </c>
      <c r="AK252" s="416">
        <v>0</v>
      </c>
      <c r="AL252" s="416">
        <v>35</v>
      </c>
      <c r="AM252" s="416">
        <v>0</v>
      </c>
      <c r="AN252" s="416">
        <v>0</v>
      </c>
      <c r="AO252" s="416">
        <v>0</v>
      </c>
      <c r="AP252" s="416">
        <v>0</v>
      </c>
      <c r="AQ252" s="416">
        <v>0</v>
      </c>
      <c r="AR252" s="416">
        <v>0</v>
      </c>
      <c r="AS252" s="416">
        <v>0</v>
      </c>
      <c r="AT252" s="416">
        <v>0</v>
      </c>
      <c r="AU252" s="416">
        <v>0</v>
      </c>
      <c r="AV252" s="416">
        <v>0</v>
      </c>
      <c r="AW252" s="416">
        <v>0</v>
      </c>
      <c r="AX252" s="416">
        <v>0</v>
      </c>
      <c r="AY252" s="416">
        <v>0</v>
      </c>
      <c r="AZ252" s="416">
        <v>0</v>
      </c>
    </row>
    <row r="253" spans="1:52" x14ac:dyDescent="0.25">
      <c r="A253" s="415" t="str">
        <f t="shared" si="3"/>
        <v>SA-508 Gr.2</v>
      </c>
      <c r="B253" s="415">
        <v>248</v>
      </c>
      <c r="C253" s="415" t="s">
        <v>3580</v>
      </c>
      <c r="D253" s="415" t="s">
        <v>2737</v>
      </c>
      <c r="E253" s="415" t="s">
        <v>2249</v>
      </c>
      <c r="F253" s="415">
        <v>2</v>
      </c>
      <c r="G253" s="415" t="s">
        <v>3119</v>
      </c>
      <c r="H253" s="415">
        <v>2</v>
      </c>
      <c r="I253" s="415">
        <v>0</v>
      </c>
      <c r="J253" s="415">
        <v>3</v>
      </c>
      <c r="K253" s="415">
        <v>3</v>
      </c>
      <c r="L253" s="415">
        <v>36</v>
      </c>
      <c r="M253" s="415">
        <v>620</v>
      </c>
      <c r="N253" s="415">
        <v>450</v>
      </c>
      <c r="O253" s="415">
        <v>371</v>
      </c>
      <c r="P253" s="415" t="s">
        <v>2838</v>
      </c>
      <c r="Q253" s="415">
        <v>0</v>
      </c>
      <c r="R253" s="415">
        <v>36</v>
      </c>
      <c r="S253" s="415">
        <v>259</v>
      </c>
      <c r="T253" s="416">
        <v>259</v>
      </c>
      <c r="U253" s="416">
        <v>259</v>
      </c>
      <c r="V253" s="416">
        <v>259</v>
      </c>
      <c r="W253" s="416">
        <v>259</v>
      </c>
      <c r="X253" s="416">
        <v>259</v>
      </c>
      <c r="Y253" s="416">
        <v>259</v>
      </c>
      <c r="Z253" s="416">
        <v>259</v>
      </c>
      <c r="AA253" s="416">
        <v>259</v>
      </c>
      <c r="AB253" s="416">
        <v>259</v>
      </c>
      <c r="AC253" s="416">
        <v>256</v>
      </c>
      <c r="AD253" s="416">
        <v>253</v>
      </c>
      <c r="AE253" s="416">
        <v>250</v>
      </c>
      <c r="AF253" s="416">
        <v>247</v>
      </c>
      <c r="AG253" s="416">
        <v>243</v>
      </c>
      <c r="AH253" s="416">
        <v>238</v>
      </c>
      <c r="AI253" s="416">
        <v>0</v>
      </c>
      <c r="AJ253" s="416">
        <v>0</v>
      </c>
      <c r="AK253" s="416">
        <v>0</v>
      </c>
      <c r="AL253" s="416">
        <v>36</v>
      </c>
      <c r="AM253" s="416">
        <v>0</v>
      </c>
      <c r="AN253" s="416">
        <v>0</v>
      </c>
      <c r="AO253" s="416">
        <v>0</v>
      </c>
      <c r="AP253" s="416">
        <v>0</v>
      </c>
      <c r="AQ253" s="416">
        <v>0</v>
      </c>
      <c r="AR253" s="416">
        <v>0</v>
      </c>
      <c r="AS253" s="416">
        <v>0</v>
      </c>
      <c r="AT253" s="416">
        <v>0</v>
      </c>
      <c r="AU253" s="416">
        <v>0</v>
      </c>
      <c r="AV253" s="416">
        <v>0</v>
      </c>
      <c r="AW253" s="416">
        <v>0</v>
      </c>
      <c r="AX253" s="416">
        <v>0</v>
      </c>
      <c r="AY253" s="416">
        <v>0</v>
      </c>
      <c r="AZ253" s="416">
        <v>0</v>
      </c>
    </row>
    <row r="254" spans="1:52" x14ac:dyDescent="0.25">
      <c r="A254" s="415" t="str">
        <f t="shared" si="3"/>
        <v>SA-541 Gr.2</v>
      </c>
      <c r="B254" s="415">
        <v>249</v>
      </c>
      <c r="C254" s="415" t="s">
        <v>3580</v>
      </c>
      <c r="D254" s="415" t="s">
        <v>2737</v>
      </c>
      <c r="E254" s="415" t="s">
        <v>2263</v>
      </c>
      <c r="F254" s="415">
        <v>2</v>
      </c>
      <c r="G254" s="415" t="s">
        <v>3120</v>
      </c>
      <c r="H254" s="415">
        <v>2</v>
      </c>
      <c r="I254" s="415">
        <v>0</v>
      </c>
      <c r="J254" s="415">
        <v>3</v>
      </c>
      <c r="K254" s="415">
        <v>3</v>
      </c>
      <c r="L254" s="415">
        <v>37</v>
      </c>
      <c r="M254" s="415">
        <v>620</v>
      </c>
      <c r="N254" s="415">
        <v>450</v>
      </c>
      <c r="O254" s="415">
        <v>371</v>
      </c>
      <c r="P254" s="415" t="s">
        <v>2838</v>
      </c>
      <c r="Q254" s="415">
        <v>0</v>
      </c>
      <c r="R254" s="415">
        <v>37</v>
      </c>
      <c r="S254" s="415">
        <v>259</v>
      </c>
      <c r="T254" s="416">
        <v>259</v>
      </c>
      <c r="U254" s="416">
        <v>259</v>
      </c>
      <c r="V254" s="416">
        <v>259</v>
      </c>
      <c r="W254" s="416">
        <v>259</v>
      </c>
      <c r="X254" s="416">
        <v>259</v>
      </c>
      <c r="Y254" s="416">
        <v>259</v>
      </c>
      <c r="Z254" s="416">
        <v>259</v>
      </c>
      <c r="AA254" s="416">
        <v>259</v>
      </c>
      <c r="AB254" s="416">
        <v>259</v>
      </c>
      <c r="AC254" s="416">
        <v>256</v>
      </c>
      <c r="AD254" s="416">
        <v>253</v>
      </c>
      <c r="AE254" s="416">
        <v>250</v>
      </c>
      <c r="AF254" s="416">
        <v>247</v>
      </c>
      <c r="AG254" s="416">
        <v>243</v>
      </c>
      <c r="AH254" s="416">
        <v>238</v>
      </c>
      <c r="AI254" s="416">
        <v>0</v>
      </c>
      <c r="AJ254" s="416">
        <v>0</v>
      </c>
      <c r="AK254" s="416">
        <v>0</v>
      </c>
      <c r="AL254" s="416">
        <v>37</v>
      </c>
      <c r="AM254" s="416">
        <v>0</v>
      </c>
      <c r="AN254" s="416">
        <v>0</v>
      </c>
      <c r="AO254" s="416">
        <v>0</v>
      </c>
      <c r="AP254" s="416">
        <v>0</v>
      </c>
      <c r="AQ254" s="416">
        <v>0</v>
      </c>
      <c r="AR254" s="416">
        <v>0</v>
      </c>
      <c r="AS254" s="416">
        <v>0</v>
      </c>
      <c r="AT254" s="416">
        <v>0</v>
      </c>
      <c r="AU254" s="416">
        <v>0</v>
      </c>
      <c r="AV254" s="416">
        <v>0</v>
      </c>
      <c r="AW254" s="416">
        <v>0</v>
      </c>
      <c r="AX254" s="416">
        <v>0</v>
      </c>
      <c r="AY254" s="416">
        <v>0</v>
      </c>
      <c r="AZ254" s="416">
        <v>0</v>
      </c>
    </row>
    <row r="255" spans="1:52" x14ac:dyDescent="0.25">
      <c r="A255" s="415" t="str">
        <f t="shared" si="3"/>
        <v>SA-508 Gr.3</v>
      </c>
      <c r="B255" s="415">
        <v>250</v>
      </c>
      <c r="C255" s="415" t="s">
        <v>3581</v>
      </c>
      <c r="D255" s="415" t="s">
        <v>2737</v>
      </c>
      <c r="E255" s="415" t="s">
        <v>2249</v>
      </c>
      <c r="F255" s="415">
        <v>3</v>
      </c>
      <c r="G255" s="415" t="s">
        <v>3122</v>
      </c>
      <c r="H255" s="415">
        <v>1</v>
      </c>
      <c r="I255" s="415">
        <v>0</v>
      </c>
      <c r="J255" s="415">
        <v>3</v>
      </c>
      <c r="K255" s="415">
        <v>3</v>
      </c>
      <c r="L255" s="415">
        <v>38</v>
      </c>
      <c r="M255" s="415">
        <v>550</v>
      </c>
      <c r="N255" s="415">
        <v>345</v>
      </c>
      <c r="O255" s="415">
        <v>427</v>
      </c>
      <c r="P255" s="415" t="s">
        <v>2838</v>
      </c>
      <c r="Q255" s="415">
        <v>0</v>
      </c>
      <c r="R255" s="415">
        <v>38</v>
      </c>
      <c r="S255" s="415">
        <v>230</v>
      </c>
      <c r="T255" s="416">
        <v>230</v>
      </c>
      <c r="U255" s="416">
        <v>221</v>
      </c>
      <c r="V255" s="416">
        <v>215</v>
      </c>
      <c r="W255" s="416">
        <v>212</v>
      </c>
      <c r="X255" s="416">
        <v>209</v>
      </c>
      <c r="Y255" s="416">
        <v>206</v>
      </c>
      <c r="Z255" s="416">
        <v>204</v>
      </c>
      <c r="AA255" s="416">
        <v>201</v>
      </c>
      <c r="AB255" s="416">
        <v>199</v>
      </c>
      <c r="AC255" s="416">
        <v>197</v>
      </c>
      <c r="AD255" s="416">
        <v>195</v>
      </c>
      <c r="AE255" s="416">
        <v>192</v>
      </c>
      <c r="AF255" s="416">
        <v>190</v>
      </c>
      <c r="AG255" s="416">
        <v>187</v>
      </c>
      <c r="AH255" s="416">
        <v>183</v>
      </c>
      <c r="AI255" s="416">
        <v>178</v>
      </c>
      <c r="AJ255" s="416">
        <v>172</v>
      </c>
      <c r="AK255" s="416">
        <v>0</v>
      </c>
      <c r="AL255" s="416">
        <v>38</v>
      </c>
      <c r="AM255" s="416">
        <v>0</v>
      </c>
      <c r="AN255" s="416">
        <v>0</v>
      </c>
      <c r="AO255" s="416">
        <v>0</v>
      </c>
      <c r="AP255" s="416">
        <v>0</v>
      </c>
      <c r="AQ255" s="416">
        <v>0</v>
      </c>
      <c r="AR255" s="416">
        <v>0</v>
      </c>
      <c r="AS255" s="416">
        <v>0</v>
      </c>
      <c r="AT255" s="416">
        <v>0</v>
      </c>
      <c r="AU255" s="416">
        <v>0</v>
      </c>
      <c r="AV255" s="416">
        <v>0</v>
      </c>
      <c r="AW255" s="416">
        <v>0</v>
      </c>
      <c r="AX255" s="416">
        <v>0</v>
      </c>
      <c r="AY255" s="416">
        <v>0</v>
      </c>
      <c r="AZ255" s="416">
        <v>0</v>
      </c>
    </row>
    <row r="256" spans="1:52" x14ac:dyDescent="0.25">
      <c r="A256" s="415" t="str">
        <f t="shared" si="3"/>
        <v>SA-508 Gr.3</v>
      </c>
      <c r="B256" s="415">
        <v>251</v>
      </c>
      <c r="C256" s="415" t="s">
        <v>3581</v>
      </c>
      <c r="D256" s="415" t="s">
        <v>2737</v>
      </c>
      <c r="E256" s="415" t="s">
        <v>2249</v>
      </c>
      <c r="F256" s="415">
        <v>3</v>
      </c>
      <c r="G256" s="415" t="s">
        <v>3122</v>
      </c>
      <c r="H256" s="415">
        <v>2</v>
      </c>
      <c r="I256" s="415">
        <v>0</v>
      </c>
      <c r="J256" s="415">
        <v>3</v>
      </c>
      <c r="K256" s="415">
        <v>3</v>
      </c>
      <c r="L256" s="415">
        <v>39</v>
      </c>
      <c r="M256" s="415">
        <v>620</v>
      </c>
      <c r="N256" s="415">
        <v>450</v>
      </c>
      <c r="O256" s="415">
        <v>371</v>
      </c>
      <c r="P256" s="415" t="s">
        <v>2838</v>
      </c>
      <c r="Q256" s="415">
        <v>0</v>
      </c>
      <c r="R256" s="415">
        <v>39</v>
      </c>
      <c r="S256" s="415">
        <v>259</v>
      </c>
      <c r="T256" s="416">
        <v>259</v>
      </c>
      <c r="U256" s="416">
        <v>259</v>
      </c>
      <c r="V256" s="416">
        <v>259</v>
      </c>
      <c r="W256" s="416">
        <v>259</v>
      </c>
      <c r="X256" s="416">
        <v>259</v>
      </c>
      <c r="Y256" s="416">
        <v>259</v>
      </c>
      <c r="Z256" s="416">
        <v>259</v>
      </c>
      <c r="AA256" s="416">
        <v>259</v>
      </c>
      <c r="AB256" s="416">
        <v>259</v>
      </c>
      <c r="AC256" s="416">
        <v>256</v>
      </c>
      <c r="AD256" s="416">
        <v>253</v>
      </c>
      <c r="AE256" s="416">
        <v>250</v>
      </c>
      <c r="AF256" s="416">
        <v>247</v>
      </c>
      <c r="AG256" s="416">
        <v>243</v>
      </c>
      <c r="AH256" s="416">
        <v>238</v>
      </c>
      <c r="AI256" s="416">
        <v>0</v>
      </c>
      <c r="AJ256" s="416">
        <v>0</v>
      </c>
      <c r="AK256" s="416">
        <v>0</v>
      </c>
      <c r="AL256" s="416">
        <v>39</v>
      </c>
      <c r="AM256" s="416">
        <v>0</v>
      </c>
      <c r="AN256" s="416">
        <v>0</v>
      </c>
      <c r="AO256" s="416">
        <v>0</v>
      </c>
      <c r="AP256" s="416">
        <v>0</v>
      </c>
      <c r="AQ256" s="416">
        <v>0</v>
      </c>
      <c r="AR256" s="416">
        <v>0</v>
      </c>
      <c r="AS256" s="416">
        <v>0</v>
      </c>
      <c r="AT256" s="416">
        <v>0</v>
      </c>
      <c r="AU256" s="416">
        <v>0</v>
      </c>
      <c r="AV256" s="416">
        <v>0</v>
      </c>
      <c r="AW256" s="416">
        <v>0</v>
      </c>
      <c r="AX256" s="416">
        <v>0</v>
      </c>
      <c r="AY256" s="416">
        <v>0</v>
      </c>
      <c r="AZ256" s="416">
        <v>0</v>
      </c>
    </row>
    <row r="257" spans="1:52" x14ac:dyDescent="0.25">
      <c r="A257" s="415" t="str">
        <f t="shared" si="3"/>
        <v>SA-217 Gr.WC5</v>
      </c>
      <c r="B257" s="415">
        <v>252</v>
      </c>
      <c r="C257" s="415" t="s">
        <v>3582</v>
      </c>
      <c r="D257" s="415" t="s">
        <v>2739</v>
      </c>
      <c r="E257" s="415" t="s">
        <v>2198</v>
      </c>
      <c r="F257" s="415" t="s">
        <v>2598</v>
      </c>
      <c r="G257" s="415" t="s">
        <v>3124</v>
      </c>
      <c r="H257" s="415">
        <v>0</v>
      </c>
      <c r="I257" s="415">
        <v>0</v>
      </c>
      <c r="J257" s="415">
        <v>4</v>
      </c>
      <c r="K257" s="415">
        <v>1</v>
      </c>
      <c r="L257" s="415">
        <v>40</v>
      </c>
      <c r="M257" s="415">
        <v>485</v>
      </c>
      <c r="N257" s="415">
        <v>275</v>
      </c>
      <c r="O257" s="415">
        <v>593</v>
      </c>
      <c r="P257" s="415" t="s">
        <v>2699</v>
      </c>
      <c r="Q257" s="415" t="s">
        <v>3553</v>
      </c>
      <c r="R257" s="415">
        <v>40</v>
      </c>
      <c r="S257" s="415">
        <v>184</v>
      </c>
      <c r="T257" s="416">
        <v>184</v>
      </c>
      <c r="U257" s="416">
        <v>177</v>
      </c>
      <c r="V257" s="416">
        <v>172</v>
      </c>
      <c r="W257" s="416">
        <v>169</v>
      </c>
      <c r="X257" s="416">
        <v>167</v>
      </c>
      <c r="Y257" s="416">
        <v>165</v>
      </c>
      <c r="Z257" s="416">
        <v>163</v>
      </c>
      <c r="AA257" s="416">
        <v>161</v>
      </c>
      <c r="AB257" s="416">
        <v>159</v>
      </c>
      <c r="AC257" s="416">
        <v>158</v>
      </c>
      <c r="AD257" s="416">
        <v>156</v>
      </c>
      <c r="AE257" s="416">
        <v>154</v>
      </c>
      <c r="AF257" s="416">
        <v>152</v>
      </c>
      <c r="AG257" s="416">
        <v>149</v>
      </c>
      <c r="AH257" s="416">
        <v>146</v>
      </c>
      <c r="AI257" s="416">
        <v>142</v>
      </c>
      <c r="AJ257" s="416">
        <v>137</v>
      </c>
      <c r="AK257" s="416">
        <v>124</v>
      </c>
      <c r="AL257" s="416">
        <v>40</v>
      </c>
      <c r="AM257" s="416">
        <v>87.4</v>
      </c>
      <c r="AN257" s="416">
        <v>59</v>
      </c>
      <c r="AO257" s="416">
        <v>39.799999999999997</v>
      </c>
      <c r="AP257" s="416">
        <v>26.8</v>
      </c>
      <c r="AQ257" s="416">
        <v>17.100000000000001</v>
      </c>
      <c r="AR257" s="416">
        <v>11</v>
      </c>
      <c r="AS257" s="416">
        <v>0</v>
      </c>
      <c r="AT257" s="416">
        <v>0</v>
      </c>
      <c r="AU257" s="416">
        <v>0</v>
      </c>
      <c r="AV257" s="416">
        <v>0</v>
      </c>
      <c r="AW257" s="416">
        <v>0</v>
      </c>
      <c r="AX257" s="416">
        <v>0</v>
      </c>
      <c r="AY257" s="416">
        <v>0</v>
      </c>
      <c r="AZ257" s="416">
        <v>0</v>
      </c>
    </row>
    <row r="258" spans="1:52" x14ac:dyDescent="0.25">
      <c r="A258" s="415" t="str">
        <f t="shared" si="3"/>
        <v>SA-217 Gr.WC4</v>
      </c>
      <c r="B258" s="415">
        <v>253</v>
      </c>
      <c r="C258" s="415" t="s">
        <v>3583</v>
      </c>
      <c r="D258" s="415" t="s">
        <v>2739</v>
      </c>
      <c r="E258" s="415" t="s">
        <v>2198</v>
      </c>
      <c r="F258" s="415" t="s">
        <v>2597</v>
      </c>
      <c r="G258" s="415" t="s">
        <v>3126</v>
      </c>
      <c r="H258" s="415">
        <v>0</v>
      </c>
      <c r="I258" s="415">
        <v>0</v>
      </c>
      <c r="J258" s="415">
        <v>4</v>
      </c>
      <c r="K258" s="415">
        <v>1</v>
      </c>
      <c r="L258" s="415">
        <v>41</v>
      </c>
      <c r="M258" s="415">
        <v>485</v>
      </c>
      <c r="N258" s="415">
        <v>275</v>
      </c>
      <c r="O258" s="415">
        <v>538</v>
      </c>
      <c r="P258" s="415" t="s">
        <v>2699</v>
      </c>
      <c r="Q258" s="415" t="s">
        <v>2552</v>
      </c>
      <c r="R258" s="415">
        <v>41</v>
      </c>
      <c r="S258" s="415">
        <v>184</v>
      </c>
      <c r="T258" s="416">
        <v>184</v>
      </c>
      <c r="U258" s="416">
        <v>177</v>
      </c>
      <c r="V258" s="416">
        <v>172</v>
      </c>
      <c r="W258" s="416">
        <v>169</v>
      </c>
      <c r="X258" s="416">
        <v>167</v>
      </c>
      <c r="Y258" s="416">
        <v>165</v>
      </c>
      <c r="Z258" s="416">
        <v>163</v>
      </c>
      <c r="AA258" s="416">
        <v>161</v>
      </c>
      <c r="AB258" s="416">
        <v>159</v>
      </c>
      <c r="AC258" s="416">
        <v>158</v>
      </c>
      <c r="AD258" s="416">
        <v>156</v>
      </c>
      <c r="AE258" s="416">
        <v>154</v>
      </c>
      <c r="AF258" s="416">
        <v>152</v>
      </c>
      <c r="AG258" s="416">
        <v>149</v>
      </c>
      <c r="AH258" s="416">
        <v>146</v>
      </c>
      <c r="AI258" s="416">
        <v>142</v>
      </c>
      <c r="AJ258" s="416">
        <v>137</v>
      </c>
      <c r="AK258" s="416">
        <v>131</v>
      </c>
      <c r="AL258" s="416">
        <v>41</v>
      </c>
      <c r="AM258" s="416">
        <v>75.599999999999994</v>
      </c>
      <c r="AN258" s="416">
        <v>49.9</v>
      </c>
      <c r="AO258" s="416">
        <v>33.5</v>
      </c>
      <c r="AP258" s="416">
        <v>0</v>
      </c>
      <c r="AQ258" s="416">
        <v>0</v>
      </c>
      <c r="AR258" s="416">
        <v>0</v>
      </c>
      <c r="AS258" s="416">
        <v>0</v>
      </c>
      <c r="AT258" s="416">
        <v>0</v>
      </c>
      <c r="AU258" s="416">
        <v>0</v>
      </c>
      <c r="AV258" s="416">
        <v>0</v>
      </c>
      <c r="AW258" s="416">
        <v>0</v>
      </c>
      <c r="AX258" s="416">
        <v>0</v>
      </c>
      <c r="AY258" s="416">
        <v>0</v>
      </c>
      <c r="AZ258" s="416">
        <v>0</v>
      </c>
    </row>
    <row r="259" spans="1:52" x14ac:dyDescent="0.25">
      <c r="A259" s="415" t="str">
        <f t="shared" si="3"/>
        <v>SA-517 Gr.P</v>
      </c>
      <c r="B259" s="415">
        <v>254</v>
      </c>
      <c r="C259" s="415" t="s">
        <v>3584</v>
      </c>
      <c r="D259" s="415" t="s">
        <v>2684</v>
      </c>
      <c r="E259" s="415" t="s">
        <v>2254</v>
      </c>
      <c r="F259" s="415" t="s">
        <v>2508</v>
      </c>
      <c r="G259" s="415" t="s">
        <v>3128</v>
      </c>
      <c r="H259" s="415">
        <v>0</v>
      </c>
      <c r="I259" s="415" t="s">
        <v>2792</v>
      </c>
      <c r="J259" s="415" t="s">
        <v>2895</v>
      </c>
      <c r="K259" s="415">
        <v>8</v>
      </c>
      <c r="L259" s="415">
        <v>42</v>
      </c>
      <c r="M259" s="415">
        <v>725</v>
      </c>
      <c r="N259" s="415">
        <v>620</v>
      </c>
      <c r="O259" s="415">
        <v>343</v>
      </c>
      <c r="P259" s="415" t="s">
        <v>2838</v>
      </c>
      <c r="Q259" s="415">
        <v>0</v>
      </c>
      <c r="R259" s="415">
        <v>42</v>
      </c>
      <c r="S259" s="415">
        <v>302</v>
      </c>
      <c r="T259" s="416">
        <v>302</v>
      </c>
      <c r="U259" s="416">
        <v>302</v>
      </c>
      <c r="V259" s="416">
        <v>302</v>
      </c>
      <c r="W259" s="416">
        <v>302</v>
      </c>
      <c r="X259" s="416">
        <v>302</v>
      </c>
      <c r="Y259" s="416">
        <v>302</v>
      </c>
      <c r="Z259" s="416">
        <v>302</v>
      </c>
      <c r="AA259" s="416">
        <v>302</v>
      </c>
      <c r="AB259" s="416">
        <v>302</v>
      </c>
      <c r="AC259" s="416">
        <v>302</v>
      </c>
      <c r="AD259" s="416">
        <v>302</v>
      </c>
      <c r="AE259" s="416">
        <v>302</v>
      </c>
      <c r="AF259" s="416">
        <v>302</v>
      </c>
      <c r="AG259" s="416">
        <v>0</v>
      </c>
      <c r="AH259" s="416">
        <v>0</v>
      </c>
      <c r="AI259" s="416">
        <v>0</v>
      </c>
      <c r="AJ259" s="416">
        <v>0</v>
      </c>
      <c r="AK259" s="416">
        <v>0</v>
      </c>
      <c r="AL259" s="416">
        <v>42</v>
      </c>
      <c r="AM259" s="416">
        <v>0</v>
      </c>
      <c r="AN259" s="416">
        <v>0</v>
      </c>
      <c r="AO259" s="416">
        <v>0</v>
      </c>
      <c r="AP259" s="416">
        <v>0</v>
      </c>
      <c r="AQ259" s="416">
        <v>0</v>
      </c>
      <c r="AR259" s="416">
        <v>0</v>
      </c>
      <c r="AS259" s="416">
        <v>0</v>
      </c>
      <c r="AT259" s="416">
        <v>0</v>
      </c>
      <c r="AU259" s="416">
        <v>0</v>
      </c>
      <c r="AV259" s="416">
        <v>0</v>
      </c>
      <c r="AW259" s="416">
        <v>0</v>
      </c>
      <c r="AX259" s="416">
        <v>0</v>
      </c>
      <c r="AY259" s="416">
        <v>0</v>
      </c>
      <c r="AZ259" s="416">
        <v>0</v>
      </c>
    </row>
    <row r="260" spans="1:52" x14ac:dyDescent="0.25">
      <c r="A260" s="415" t="str">
        <f t="shared" si="3"/>
        <v>SA-517 Gr.P</v>
      </c>
      <c r="B260" s="415">
        <v>255</v>
      </c>
      <c r="C260" s="415" t="s">
        <v>3584</v>
      </c>
      <c r="D260" s="415" t="s">
        <v>2684</v>
      </c>
      <c r="E260" s="415" t="s">
        <v>2254</v>
      </c>
      <c r="F260" s="415" t="s">
        <v>2508</v>
      </c>
      <c r="G260" s="415" t="s">
        <v>3128</v>
      </c>
      <c r="H260" s="415">
        <v>0</v>
      </c>
      <c r="I260" s="415" t="s">
        <v>3519</v>
      </c>
      <c r="J260" s="415" t="s">
        <v>2895</v>
      </c>
      <c r="K260" s="415">
        <v>8</v>
      </c>
      <c r="L260" s="415">
        <v>43</v>
      </c>
      <c r="M260" s="415">
        <v>795</v>
      </c>
      <c r="N260" s="415">
        <v>690</v>
      </c>
      <c r="O260" s="415">
        <v>343</v>
      </c>
      <c r="P260" s="415" t="s">
        <v>2896</v>
      </c>
      <c r="Q260" s="415">
        <v>0</v>
      </c>
      <c r="R260" s="415">
        <v>43</v>
      </c>
      <c r="S260" s="415">
        <v>330</v>
      </c>
      <c r="T260" s="416">
        <v>330</v>
      </c>
      <c r="U260" s="416">
        <v>330</v>
      </c>
      <c r="V260" s="416">
        <v>330</v>
      </c>
      <c r="W260" s="416">
        <v>330</v>
      </c>
      <c r="X260" s="416">
        <v>330</v>
      </c>
      <c r="Y260" s="416">
        <v>330</v>
      </c>
      <c r="Z260" s="416">
        <v>330</v>
      </c>
      <c r="AA260" s="416">
        <v>330</v>
      </c>
      <c r="AB260" s="416">
        <v>330</v>
      </c>
      <c r="AC260" s="416">
        <v>330</v>
      </c>
      <c r="AD260" s="416">
        <v>330</v>
      </c>
      <c r="AE260" s="416">
        <v>330</v>
      </c>
      <c r="AF260" s="416">
        <v>330</v>
      </c>
      <c r="AG260" s="416">
        <v>0</v>
      </c>
      <c r="AH260" s="416">
        <v>0</v>
      </c>
      <c r="AI260" s="416">
        <v>0</v>
      </c>
      <c r="AJ260" s="416">
        <v>0</v>
      </c>
      <c r="AK260" s="416">
        <v>0</v>
      </c>
      <c r="AL260" s="416">
        <v>43</v>
      </c>
      <c r="AM260" s="416">
        <v>0</v>
      </c>
      <c r="AN260" s="416">
        <v>0</v>
      </c>
      <c r="AO260" s="416">
        <v>0</v>
      </c>
      <c r="AP260" s="416">
        <v>0</v>
      </c>
      <c r="AQ260" s="416">
        <v>0</v>
      </c>
      <c r="AR260" s="416">
        <v>0</v>
      </c>
      <c r="AS260" s="416">
        <v>0</v>
      </c>
      <c r="AT260" s="416">
        <v>0</v>
      </c>
      <c r="AU260" s="416">
        <v>0</v>
      </c>
      <c r="AV260" s="416">
        <v>0</v>
      </c>
      <c r="AW260" s="416">
        <v>0</v>
      </c>
      <c r="AX260" s="416">
        <v>0</v>
      </c>
      <c r="AY260" s="416">
        <v>0</v>
      </c>
      <c r="AZ260" s="416">
        <v>0</v>
      </c>
    </row>
    <row r="261" spans="1:52" x14ac:dyDescent="0.25">
      <c r="A261" s="415" t="str">
        <f t="shared" si="3"/>
        <v>SA-182 Gr.FR</v>
      </c>
      <c r="B261" s="415">
        <v>256</v>
      </c>
      <c r="C261" s="415" t="s">
        <v>3134</v>
      </c>
      <c r="D261" s="415" t="s">
        <v>2737</v>
      </c>
      <c r="E261" s="415" t="s">
        <v>2188</v>
      </c>
      <c r="F261" s="415" t="s">
        <v>14</v>
      </c>
      <c r="G261" s="415" t="s">
        <v>3135</v>
      </c>
      <c r="H261" s="415">
        <v>0</v>
      </c>
      <c r="I261" s="415">
        <v>0</v>
      </c>
      <c r="J261" s="415" t="s">
        <v>3131</v>
      </c>
      <c r="K261" s="415">
        <v>1</v>
      </c>
      <c r="L261" s="415">
        <v>1</v>
      </c>
      <c r="M261" s="415">
        <v>435</v>
      </c>
      <c r="N261" s="415">
        <v>315</v>
      </c>
      <c r="O261" s="415">
        <v>40</v>
      </c>
      <c r="P261" s="415" t="s">
        <v>2819</v>
      </c>
      <c r="Q261" s="415">
        <v>0</v>
      </c>
      <c r="R261" s="415">
        <v>1</v>
      </c>
      <c r="S261" s="415">
        <v>181</v>
      </c>
      <c r="T261" s="416">
        <v>181</v>
      </c>
      <c r="U261" s="416">
        <v>181</v>
      </c>
      <c r="V261" s="416">
        <v>0</v>
      </c>
      <c r="W261" s="416">
        <v>0</v>
      </c>
      <c r="X261" s="416">
        <v>0</v>
      </c>
      <c r="Y261" s="416">
        <v>0</v>
      </c>
      <c r="Z261" s="416">
        <v>0</v>
      </c>
      <c r="AA261" s="416">
        <v>0</v>
      </c>
      <c r="AB261" s="416">
        <v>0</v>
      </c>
      <c r="AC261" s="416">
        <v>0</v>
      </c>
      <c r="AD261" s="416">
        <v>0</v>
      </c>
      <c r="AE261" s="416">
        <v>0</v>
      </c>
      <c r="AF261" s="416">
        <v>0</v>
      </c>
      <c r="AG261" s="416">
        <v>0</v>
      </c>
      <c r="AH261" s="416">
        <v>0</v>
      </c>
      <c r="AI261" s="416">
        <v>0</v>
      </c>
      <c r="AJ261" s="416">
        <v>0</v>
      </c>
      <c r="AK261" s="416">
        <v>0</v>
      </c>
      <c r="AL261" s="416">
        <v>1</v>
      </c>
      <c r="AM261" s="416">
        <v>0</v>
      </c>
      <c r="AN261" s="416">
        <v>0</v>
      </c>
      <c r="AO261" s="416">
        <v>0</v>
      </c>
      <c r="AP261" s="416">
        <v>0</v>
      </c>
      <c r="AQ261" s="416">
        <v>0</v>
      </c>
      <c r="AR261" s="416">
        <v>0</v>
      </c>
      <c r="AS261" s="416">
        <v>0</v>
      </c>
      <c r="AT261" s="416">
        <v>0</v>
      </c>
      <c r="AU261" s="416">
        <v>0</v>
      </c>
      <c r="AV261" s="416">
        <v>0</v>
      </c>
      <c r="AW261" s="416">
        <v>0</v>
      </c>
      <c r="AX261" s="416">
        <v>0</v>
      </c>
      <c r="AY261" s="416">
        <v>0</v>
      </c>
      <c r="AZ261" s="416">
        <v>0</v>
      </c>
    </row>
    <row r="262" spans="1:52" x14ac:dyDescent="0.25">
      <c r="A262" s="415" t="str">
        <f t="shared" si="3"/>
        <v>SA-333 Gr.9</v>
      </c>
      <c r="B262" s="415">
        <v>257</v>
      </c>
      <c r="C262" s="415" t="s">
        <v>3134</v>
      </c>
      <c r="D262" s="415" t="s">
        <v>2703</v>
      </c>
      <c r="E262" s="415" t="s">
        <v>2172</v>
      </c>
      <c r="F262" s="415">
        <v>9</v>
      </c>
      <c r="G262" s="415" t="s">
        <v>3135</v>
      </c>
      <c r="H262" s="415">
        <v>0</v>
      </c>
      <c r="I262" s="415">
        <v>0</v>
      </c>
      <c r="J262" s="415" t="s">
        <v>3131</v>
      </c>
      <c r="K262" s="415">
        <v>1</v>
      </c>
      <c r="L262" s="415">
        <v>2</v>
      </c>
      <c r="M262" s="415">
        <v>435</v>
      </c>
      <c r="N262" s="415">
        <v>315</v>
      </c>
      <c r="O262" s="415">
        <v>40</v>
      </c>
      <c r="P262" s="415" t="s">
        <v>2819</v>
      </c>
      <c r="Q262" s="415">
        <v>0</v>
      </c>
      <c r="R262" s="415">
        <v>2</v>
      </c>
      <c r="S262" s="415">
        <v>181</v>
      </c>
      <c r="T262" s="416">
        <v>181</v>
      </c>
      <c r="U262" s="416">
        <v>181</v>
      </c>
      <c r="V262" s="416">
        <v>0</v>
      </c>
      <c r="W262" s="416">
        <v>0</v>
      </c>
      <c r="X262" s="416">
        <v>0</v>
      </c>
      <c r="Y262" s="416">
        <v>0</v>
      </c>
      <c r="Z262" s="416">
        <v>0</v>
      </c>
      <c r="AA262" s="416">
        <v>0</v>
      </c>
      <c r="AB262" s="416">
        <v>0</v>
      </c>
      <c r="AC262" s="416">
        <v>0</v>
      </c>
      <c r="AD262" s="416">
        <v>0</v>
      </c>
      <c r="AE262" s="416">
        <v>0</v>
      </c>
      <c r="AF262" s="416">
        <v>0</v>
      </c>
      <c r="AG262" s="416">
        <v>0</v>
      </c>
      <c r="AH262" s="416">
        <v>0</v>
      </c>
      <c r="AI262" s="416">
        <v>0</v>
      </c>
      <c r="AJ262" s="416">
        <v>0</v>
      </c>
      <c r="AK262" s="416">
        <v>0</v>
      </c>
      <c r="AL262" s="416">
        <v>2</v>
      </c>
      <c r="AM262" s="416">
        <v>0</v>
      </c>
      <c r="AN262" s="416">
        <v>0</v>
      </c>
      <c r="AO262" s="416">
        <v>0</v>
      </c>
      <c r="AP262" s="416">
        <v>0</v>
      </c>
      <c r="AQ262" s="416">
        <v>0</v>
      </c>
      <c r="AR262" s="416">
        <v>0</v>
      </c>
      <c r="AS262" s="416">
        <v>0</v>
      </c>
      <c r="AT262" s="416">
        <v>0</v>
      </c>
      <c r="AU262" s="416">
        <v>0</v>
      </c>
      <c r="AV262" s="416">
        <v>0</v>
      </c>
      <c r="AW262" s="416">
        <v>0</v>
      </c>
      <c r="AX262" s="416">
        <v>0</v>
      </c>
      <c r="AY262" s="416">
        <v>0</v>
      </c>
      <c r="AZ262" s="416">
        <v>0</v>
      </c>
    </row>
    <row r="263" spans="1:52" x14ac:dyDescent="0.25">
      <c r="A263" s="415" t="str">
        <f t="shared" ref="A263:A326" si="4">CONCATENATE(E263," Gr.",F263)</f>
        <v>SA-334 Gr.9</v>
      </c>
      <c r="B263" s="415">
        <v>258</v>
      </c>
      <c r="C263" s="415" t="s">
        <v>3134</v>
      </c>
      <c r="D263" s="415" t="s">
        <v>2703</v>
      </c>
      <c r="E263" s="415" t="s">
        <v>2209</v>
      </c>
      <c r="F263" s="415">
        <v>9</v>
      </c>
      <c r="G263" s="415" t="s">
        <v>3135</v>
      </c>
      <c r="H263" s="415">
        <v>0</v>
      </c>
      <c r="I263" s="415">
        <v>0</v>
      </c>
      <c r="J263" s="415" t="s">
        <v>3131</v>
      </c>
      <c r="K263" s="415">
        <v>1</v>
      </c>
      <c r="L263" s="415">
        <v>3</v>
      </c>
      <c r="M263" s="415">
        <v>635</v>
      </c>
      <c r="N263" s="415">
        <v>315</v>
      </c>
      <c r="O263" s="415">
        <v>40</v>
      </c>
      <c r="P263" s="415" t="s">
        <v>2819</v>
      </c>
      <c r="Q263" s="415">
        <v>0</v>
      </c>
      <c r="R263" s="415">
        <v>3</v>
      </c>
      <c r="S263" s="415">
        <v>181</v>
      </c>
      <c r="T263" s="416">
        <v>181</v>
      </c>
      <c r="U263" s="416">
        <v>181</v>
      </c>
      <c r="V263" s="416">
        <v>0</v>
      </c>
      <c r="W263" s="416">
        <v>0</v>
      </c>
      <c r="X263" s="416">
        <v>0</v>
      </c>
      <c r="Y263" s="416">
        <v>0</v>
      </c>
      <c r="Z263" s="416">
        <v>0</v>
      </c>
      <c r="AA263" s="416">
        <v>0</v>
      </c>
      <c r="AB263" s="416">
        <v>0</v>
      </c>
      <c r="AC263" s="416">
        <v>0</v>
      </c>
      <c r="AD263" s="416">
        <v>0</v>
      </c>
      <c r="AE263" s="416">
        <v>0</v>
      </c>
      <c r="AF263" s="416">
        <v>0</v>
      </c>
      <c r="AG263" s="416">
        <v>0</v>
      </c>
      <c r="AH263" s="416">
        <v>0</v>
      </c>
      <c r="AI263" s="416">
        <v>0</v>
      </c>
      <c r="AJ263" s="416">
        <v>0</v>
      </c>
      <c r="AK263" s="416">
        <v>0</v>
      </c>
      <c r="AL263" s="416">
        <v>3</v>
      </c>
      <c r="AM263" s="416">
        <v>0</v>
      </c>
      <c r="AN263" s="416">
        <v>0</v>
      </c>
      <c r="AO263" s="416">
        <v>0</v>
      </c>
      <c r="AP263" s="416">
        <v>0</v>
      </c>
      <c r="AQ263" s="416">
        <v>0</v>
      </c>
      <c r="AR263" s="416">
        <v>0</v>
      </c>
      <c r="AS263" s="416">
        <v>0</v>
      </c>
      <c r="AT263" s="416">
        <v>0</v>
      </c>
      <c r="AU263" s="416">
        <v>0</v>
      </c>
      <c r="AV263" s="416">
        <v>0</v>
      </c>
      <c r="AW263" s="416">
        <v>0</v>
      </c>
      <c r="AX263" s="416">
        <v>0</v>
      </c>
      <c r="AY263" s="416">
        <v>0</v>
      </c>
      <c r="AZ263" s="416">
        <v>0</v>
      </c>
    </row>
    <row r="264" spans="1:52" x14ac:dyDescent="0.25">
      <c r="A264" s="415" t="str">
        <f t="shared" si="4"/>
        <v>SA-350 Gr.LF9</v>
      </c>
      <c r="B264" s="415">
        <v>259</v>
      </c>
      <c r="C264" s="415" t="s">
        <v>3134</v>
      </c>
      <c r="D264" s="415" t="s">
        <v>2737</v>
      </c>
      <c r="E264" s="415" t="s">
        <v>2212</v>
      </c>
      <c r="F264" s="415" t="s">
        <v>2505</v>
      </c>
      <c r="G264" s="415" t="s">
        <v>3137</v>
      </c>
      <c r="H264" s="415">
        <v>0</v>
      </c>
      <c r="I264" s="415">
        <v>0</v>
      </c>
      <c r="J264" s="415" t="s">
        <v>3131</v>
      </c>
      <c r="K264" s="415">
        <v>1</v>
      </c>
      <c r="L264" s="415">
        <v>4</v>
      </c>
      <c r="M264" s="415">
        <v>435</v>
      </c>
      <c r="N264" s="415">
        <v>315</v>
      </c>
      <c r="O264" s="415">
        <v>40</v>
      </c>
      <c r="P264" s="415" t="s">
        <v>2819</v>
      </c>
      <c r="Q264" s="415">
        <v>0</v>
      </c>
      <c r="R264" s="415">
        <v>4</v>
      </c>
      <c r="S264" s="415">
        <v>181</v>
      </c>
      <c r="T264" s="416">
        <v>181</v>
      </c>
      <c r="U264" s="416">
        <v>181</v>
      </c>
      <c r="V264" s="416">
        <v>0</v>
      </c>
      <c r="W264" s="416">
        <v>0</v>
      </c>
      <c r="X264" s="416">
        <v>0</v>
      </c>
      <c r="Y264" s="416">
        <v>0</v>
      </c>
      <c r="Z264" s="416">
        <v>0</v>
      </c>
      <c r="AA264" s="416">
        <v>0</v>
      </c>
      <c r="AB264" s="416">
        <v>0</v>
      </c>
      <c r="AC264" s="416">
        <v>0</v>
      </c>
      <c r="AD264" s="416">
        <v>0</v>
      </c>
      <c r="AE264" s="416">
        <v>0</v>
      </c>
      <c r="AF264" s="416">
        <v>0</v>
      </c>
      <c r="AG264" s="416">
        <v>0</v>
      </c>
      <c r="AH264" s="416">
        <v>0</v>
      </c>
      <c r="AI264" s="416">
        <v>0</v>
      </c>
      <c r="AJ264" s="416">
        <v>0</v>
      </c>
      <c r="AK264" s="416">
        <v>0</v>
      </c>
      <c r="AL264" s="416">
        <v>4</v>
      </c>
      <c r="AM264" s="416">
        <v>0</v>
      </c>
      <c r="AN264" s="416">
        <v>0</v>
      </c>
      <c r="AO264" s="416">
        <v>0</v>
      </c>
      <c r="AP264" s="416">
        <v>0</v>
      </c>
      <c r="AQ264" s="416">
        <v>0</v>
      </c>
      <c r="AR264" s="416">
        <v>0</v>
      </c>
      <c r="AS264" s="416">
        <v>0</v>
      </c>
      <c r="AT264" s="416">
        <v>0</v>
      </c>
      <c r="AU264" s="416">
        <v>0</v>
      </c>
      <c r="AV264" s="416">
        <v>0</v>
      </c>
      <c r="AW264" s="416">
        <v>0</v>
      </c>
      <c r="AX264" s="416">
        <v>0</v>
      </c>
      <c r="AY264" s="416">
        <v>0</v>
      </c>
      <c r="AZ264" s="416">
        <v>0</v>
      </c>
    </row>
    <row r="265" spans="1:52" x14ac:dyDescent="0.25">
      <c r="A265" s="415" t="str">
        <f t="shared" si="4"/>
        <v>SA-420 Gr.WPL9</v>
      </c>
      <c r="B265" s="415">
        <v>260</v>
      </c>
      <c r="C265" s="415" t="s">
        <v>3134</v>
      </c>
      <c r="D265" s="415" t="s">
        <v>913</v>
      </c>
      <c r="E265" s="415" t="s">
        <v>2235</v>
      </c>
      <c r="F265" s="415" t="s">
        <v>2615</v>
      </c>
      <c r="G265" s="415" t="s">
        <v>3135</v>
      </c>
      <c r="H265" s="415">
        <v>0</v>
      </c>
      <c r="I265" s="415">
        <v>0</v>
      </c>
      <c r="J265" s="415" t="s">
        <v>3131</v>
      </c>
      <c r="K265" s="415">
        <v>1</v>
      </c>
      <c r="L265" s="415">
        <v>5</v>
      </c>
      <c r="M265" s="415">
        <v>435</v>
      </c>
      <c r="N265" s="415">
        <v>315</v>
      </c>
      <c r="O265" s="415">
        <v>40</v>
      </c>
      <c r="P265" s="415" t="s">
        <v>2819</v>
      </c>
      <c r="Q265" s="415">
        <v>0</v>
      </c>
      <c r="R265" s="415">
        <v>5</v>
      </c>
      <c r="S265" s="415">
        <v>181</v>
      </c>
      <c r="T265" s="416">
        <v>181</v>
      </c>
      <c r="U265" s="416">
        <v>181</v>
      </c>
      <c r="V265" s="416">
        <v>0</v>
      </c>
      <c r="W265" s="416">
        <v>0</v>
      </c>
      <c r="X265" s="416">
        <v>0</v>
      </c>
      <c r="Y265" s="416">
        <v>0</v>
      </c>
      <c r="Z265" s="416">
        <v>0</v>
      </c>
      <c r="AA265" s="416">
        <v>0</v>
      </c>
      <c r="AB265" s="416">
        <v>0</v>
      </c>
      <c r="AC265" s="416">
        <v>0</v>
      </c>
      <c r="AD265" s="416">
        <v>0</v>
      </c>
      <c r="AE265" s="416">
        <v>0</v>
      </c>
      <c r="AF265" s="416">
        <v>0</v>
      </c>
      <c r="AG265" s="416">
        <v>0</v>
      </c>
      <c r="AH265" s="416">
        <v>0</v>
      </c>
      <c r="AI265" s="416">
        <v>0</v>
      </c>
      <c r="AJ265" s="416">
        <v>0</v>
      </c>
      <c r="AK265" s="416">
        <v>0</v>
      </c>
      <c r="AL265" s="416">
        <v>5</v>
      </c>
      <c r="AM265" s="416">
        <v>0</v>
      </c>
      <c r="AN265" s="416">
        <v>0</v>
      </c>
      <c r="AO265" s="416">
        <v>0</v>
      </c>
      <c r="AP265" s="416">
        <v>0</v>
      </c>
      <c r="AQ265" s="416">
        <v>0</v>
      </c>
      <c r="AR265" s="416">
        <v>0</v>
      </c>
      <c r="AS265" s="416">
        <v>0</v>
      </c>
      <c r="AT265" s="416">
        <v>0</v>
      </c>
      <c r="AU265" s="416">
        <v>0</v>
      </c>
      <c r="AV265" s="416">
        <v>0</v>
      </c>
      <c r="AW265" s="416">
        <v>0</v>
      </c>
      <c r="AX265" s="416">
        <v>0</v>
      </c>
      <c r="AY265" s="416">
        <v>0</v>
      </c>
      <c r="AZ265" s="416">
        <v>0</v>
      </c>
    </row>
    <row r="266" spans="1:52" x14ac:dyDescent="0.25">
      <c r="A266" s="415" t="str">
        <f t="shared" si="4"/>
        <v>SA-723 Gr.1</v>
      </c>
      <c r="B266" s="415">
        <v>261</v>
      </c>
      <c r="C266" s="415" t="s">
        <v>3585</v>
      </c>
      <c r="D266" s="415" t="s">
        <v>2737</v>
      </c>
      <c r="E266" s="415" t="s">
        <v>2305</v>
      </c>
      <c r="F266" s="415">
        <v>1</v>
      </c>
      <c r="G266" s="415" t="s">
        <v>3140</v>
      </c>
      <c r="H266" s="415">
        <v>1</v>
      </c>
      <c r="I266" s="415">
        <v>0</v>
      </c>
      <c r="J266" s="415" t="s">
        <v>2895</v>
      </c>
      <c r="K266" s="415">
        <v>10</v>
      </c>
      <c r="L266" s="415">
        <v>6</v>
      </c>
      <c r="M266" s="415">
        <v>795</v>
      </c>
      <c r="N266" s="415">
        <v>690</v>
      </c>
      <c r="O266" s="415">
        <v>343</v>
      </c>
      <c r="P266" s="415" t="s">
        <v>2896</v>
      </c>
      <c r="Q266" s="415" t="s">
        <v>3586</v>
      </c>
      <c r="R266" s="415">
        <v>6</v>
      </c>
      <c r="S266" s="415">
        <v>330</v>
      </c>
      <c r="T266" s="416">
        <v>330</v>
      </c>
      <c r="U266" s="416">
        <v>330</v>
      </c>
      <c r="V266" s="416">
        <v>330</v>
      </c>
      <c r="W266" s="416">
        <v>330</v>
      </c>
      <c r="X266" s="416">
        <v>330</v>
      </c>
      <c r="Y266" s="416">
        <v>330</v>
      </c>
      <c r="Z266" s="416">
        <v>330</v>
      </c>
      <c r="AA266" s="416">
        <v>330</v>
      </c>
      <c r="AB266" s="416">
        <v>330</v>
      </c>
      <c r="AC266" s="416">
        <v>330</v>
      </c>
      <c r="AD266" s="416">
        <v>330</v>
      </c>
      <c r="AE266" s="416">
        <v>330</v>
      </c>
      <c r="AF266" s="416">
        <v>330</v>
      </c>
      <c r="AG266" s="416">
        <v>0</v>
      </c>
      <c r="AH266" s="416">
        <v>0</v>
      </c>
      <c r="AI266" s="416">
        <v>0</v>
      </c>
      <c r="AJ266" s="416">
        <v>0</v>
      </c>
      <c r="AK266" s="416">
        <v>0</v>
      </c>
      <c r="AL266" s="416">
        <v>6</v>
      </c>
      <c r="AM266" s="416">
        <v>0</v>
      </c>
      <c r="AN266" s="416">
        <v>0</v>
      </c>
      <c r="AO266" s="416">
        <v>0</v>
      </c>
      <c r="AP266" s="416">
        <v>0</v>
      </c>
      <c r="AQ266" s="416">
        <v>0</v>
      </c>
      <c r="AR266" s="416">
        <v>0</v>
      </c>
      <c r="AS266" s="416">
        <v>0</v>
      </c>
      <c r="AT266" s="416">
        <v>0</v>
      </c>
      <c r="AU266" s="416">
        <v>0</v>
      </c>
      <c r="AV266" s="416">
        <v>0</v>
      </c>
      <c r="AW266" s="416">
        <v>0</v>
      </c>
      <c r="AX266" s="416">
        <v>0</v>
      </c>
      <c r="AY266" s="416">
        <v>0</v>
      </c>
      <c r="AZ266" s="416">
        <v>0</v>
      </c>
    </row>
    <row r="267" spans="1:52" x14ac:dyDescent="0.25">
      <c r="A267" s="415" t="str">
        <f t="shared" si="4"/>
        <v>SA-723 Gr.1</v>
      </c>
      <c r="B267" s="415">
        <v>262</v>
      </c>
      <c r="C267" s="415" t="s">
        <v>3585</v>
      </c>
      <c r="D267" s="415" t="s">
        <v>2737</v>
      </c>
      <c r="E267" s="415" t="s">
        <v>2305</v>
      </c>
      <c r="F267" s="415">
        <v>1</v>
      </c>
      <c r="G267" s="415" t="s">
        <v>3140</v>
      </c>
      <c r="H267" s="415">
        <v>2</v>
      </c>
      <c r="I267" s="415">
        <v>0</v>
      </c>
      <c r="J267" s="415" t="s">
        <v>2895</v>
      </c>
      <c r="K267" s="415">
        <v>10</v>
      </c>
      <c r="L267" s="415">
        <v>7</v>
      </c>
      <c r="M267" s="415">
        <v>930</v>
      </c>
      <c r="N267" s="415">
        <v>825</v>
      </c>
      <c r="O267" s="415">
        <v>343</v>
      </c>
      <c r="P267" s="415" t="s">
        <v>2896</v>
      </c>
      <c r="Q267" s="415" t="s">
        <v>3587</v>
      </c>
      <c r="R267" s="415">
        <v>7</v>
      </c>
      <c r="S267" s="415">
        <v>388</v>
      </c>
      <c r="T267" s="416">
        <v>388</v>
      </c>
      <c r="U267" s="416">
        <v>388</v>
      </c>
      <c r="V267" s="416">
        <v>388</v>
      </c>
      <c r="W267" s="416">
        <v>388</v>
      </c>
      <c r="X267" s="416">
        <v>388</v>
      </c>
      <c r="Y267" s="416">
        <v>388</v>
      </c>
      <c r="Z267" s="416">
        <v>388</v>
      </c>
      <c r="AA267" s="416">
        <v>388</v>
      </c>
      <c r="AB267" s="416">
        <v>388</v>
      </c>
      <c r="AC267" s="416">
        <v>388</v>
      </c>
      <c r="AD267" s="416">
        <v>388</v>
      </c>
      <c r="AE267" s="416">
        <v>388</v>
      </c>
      <c r="AF267" s="416">
        <v>388</v>
      </c>
      <c r="AG267" s="416">
        <v>0</v>
      </c>
      <c r="AH267" s="416">
        <v>0</v>
      </c>
      <c r="AI267" s="416">
        <v>0</v>
      </c>
      <c r="AJ267" s="416">
        <v>0</v>
      </c>
      <c r="AK267" s="416">
        <v>0</v>
      </c>
      <c r="AL267" s="416">
        <v>7</v>
      </c>
      <c r="AM267" s="416">
        <v>0</v>
      </c>
      <c r="AN267" s="416">
        <v>0</v>
      </c>
      <c r="AO267" s="416">
        <v>0</v>
      </c>
      <c r="AP267" s="416">
        <v>0</v>
      </c>
      <c r="AQ267" s="416">
        <v>0</v>
      </c>
      <c r="AR267" s="416">
        <v>0</v>
      </c>
      <c r="AS267" s="416">
        <v>0</v>
      </c>
      <c r="AT267" s="416">
        <v>0</v>
      </c>
      <c r="AU267" s="416">
        <v>0</v>
      </c>
      <c r="AV267" s="416">
        <v>0</v>
      </c>
      <c r="AW267" s="416">
        <v>0</v>
      </c>
      <c r="AX267" s="416">
        <v>0</v>
      </c>
      <c r="AY267" s="416">
        <v>0</v>
      </c>
      <c r="AZ267" s="416">
        <v>0</v>
      </c>
    </row>
    <row r="268" spans="1:52" x14ac:dyDescent="0.25">
      <c r="A268" s="415" t="str">
        <f t="shared" si="4"/>
        <v>SA-203 Gr.A</v>
      </c>
      <c r="B268" s="415">
        <v>263</v>
      </c>
      <c r="C268" s="415" t="s">
        <v>3588</v>
      </c>
      <c r="D268" s="415" t="s">
        <v>2684</v>
      </c>
      <c r="E268" s="415" t="s">
        <v>2191</v>
      </c>
      <c r="F268" s="415" t="s">
        <v>12</v>
      </c>
      <c r="G268" s="415" t="s">
        <v>3144</v>
      </c>
      <c r="H268" s="415">
        <v>0</v>
      </c>
      <c r="I268" s="415">
        <v>0</v>
      </c>
      <c r="J268" s="415" t="s">
        <v>3131</v>
      </c>
      <c r="K268" s="415">
        <v>1</v>
      </c>
      <c r="L268" s="415">
        <v>8</v>
      </c>
      <c r="M268" s="415">
        <v>450</v>
      </c>
      <c r="N268" s="415">
        <v>255</v>
      </c>
      <c r="O268" s="415">
        <v>538</v>
      </c>
      <c r="P268" s="415" t="s">
        <v>2699</v>
      </c>
      <c r="Q268" s="415" t="s">
        <v>2543</v>
      </c>
      <c r="R268" s="415">
        <v>8</v>
      </c>
      <c r="S268" s="415">
        <v>170</v>
      </c>
      <c r="T268" s="416">
        <v>170</v>
      </c>
      <c r="U268" s="416">
        <v>160</v>
      </c>
      <c r="V268" s="416">
        <v>155</v>
      </c>
      <c r="W268" s="416">
        <v>152</v>
      </c>
      <c r="X268" s="416">
        <v>150</v>
      </c>
      <c r="Y268" s="416">
        <v>148</v>
      </c>
      <c r="Z268" s="416">
        <v>146</v>
      </c>
      <c r="AA268" s="416">
        <v>143</v>
      </c>
      <c r="AB268" s="416">
        <v>140</v>
      </c>
      <c r="AC268" s="416">
        <v>136</v>
      </c>
      <c r="AD268" s="416">
        <v>131</v>
      </c>
      <c r="AE268" s="416">
        <v>126</v>
      </c>
      <c r="AF268" s="416">
        <v>120</v>
      </c>
      <c r="AG268" s="416">
        <v>113</v>
      </c>
      <c r="AH268" s="416">
        <v>95.1</v>
      </c>
      <c r="AI268" s="416">
        <v>79.5</v>
      </c>
      <c r="AJ268" s="416">
        <v>64.400000000000006</v>
      </c>
      <c r="AK268" s="416">
        <v>48.8</v>
      </c>
      <c r="AL268" s="416">
        <v>8</v>
      </c>
      <c r="AM268" s="416">
        <v>35.4</v>
      </c>
      <c r="AN268" s="416">
        <v>22.6</v>
      </c>
      <c r="AO268" s="416">
        <v>14.2</v>
      </c>
      <c r="AP268" s="416">
        <v>0</v>
      </c>
      <c r="AQ268" s="416">
        <v>0</v>
      </c>
      <c r="AR268" s="416">
        <v>0</v>
      </c>
      <c r="AS268" s="416">
        <v>0</v>
      </c>
      <c r="AT268" s="416">
        <v>0</v>
      </c>
      <c r="AU268" s="416">
        <v>0</v>
      </c>
      <c r="AV268" s="416">
        <v>0</v>
      </c>
      <c r="AW268" s="416">
        <v>0</v>
      </c>
      <c r="AX268" s="416">
        <v>0</v>
      </c>
      <c r="AY268" s="416">
        <v>0</v>
      </c>
      <c r="AZ268" s="416">
        <v>0</v>
      </c>
    </row>
    <row r="269" spans="1:52" x14ac:dyDescent="0.25">
      <c r="A269" s="415" t="str">
        <f t="shared" si="4"/>
        <v>SA-203 Gr.B</v>
      </c>
      <c r="B269" s="415">
        <v>264</v>
      </c>
      <c r="C269" s="415" t="s">
        <v>3588</v>
      </c>
      <c r="D269" s="415" t="s">
        <v>2684</v>
      </c>
      <c r="E269" s="415" t="s">
        <v>2191</v>
      </c>
      <c r="F269" s="415" t="s">
        <v>1864</v>
      </c>
      <c r="G269" s="415" t="s">
        <v>3145</v>
      </c>
      <c r="H269" s="415">
        <v>0</v>
      </c>
      <c r="I269" s="415">
        <v>0</v>
      </c>
      <c r="J269" s="415" t="s">
        <v>3131</v>
      </c>
      <c r="K269" s="415">
        <v>1</v>
      </c>
      <c r="L269" s="415">
        <v>9</v>
      </c>
      <c r="M269" s="415">
        <v>485</v>
      </c>
      <c r="N269" s="415">
        <v>275</v>
      </c>
      <c r="O269" s="415">
        <v>538</v>
      </c>
      <c r="P269" s="415" t="s">
        <v>2699</v>
      </c>
      <c r="Q269" s="415" t="s">
        <v>2543</v>
      </c>
      <c r="R269" s="415">
        <v>9</v>
      </c>
      <c r="S269" s="415">
        <v>184</v>
      </c>
      <c r="T269" s="416">
        <v>184</v>
      </c>
      <c r="U269" s="416">
        <v>173</v>
      </c>
      <c r="V269" s="416">
        <v>168</v>
      </c>
      <c r="W269" s="416">
        <v>165</v>
      </c>
      <c r="X269" s="416">
        <v>162</v>
      </c>
      <c r="Y269" s="416">
        <v>160</v>
      </c>
      <c r="Z269" s="416">
        <v>158</v>
      </c>
      <c r="AA269" s="416">
        <v>155</v>
      </c>
      <c r="AB269" s="416">
        <v>151</v>
      </c>
      <c r="AC269" s="416">
        <v>147</v>
      </c>
      <c r="AD269" s="416">
        <v>142</v>
      </c>
      <c r="AE269" s="416">
        <v>136</v>
      </c>
      <c r="AF269" s="416">
        <v>130</v>
      </c>
      <c r="AG269" s="416">
        <v>113</v>
      </c>
      <c r="AH269" s="416">
        <v>95.1</v>
      </c>
      <c r="AI269" s="416">
        <v>79.5</v>
      </c>
      <c r="AJ269" s="416">
        <v>64.400000000000006</v>
      </c>
      <c r="AK269" s="416">
        <v>48.8</v>
      </c>
      <c r="AL269" s="416">
        <v>9</v>
      </c>
      <c r="AM269" s="416">
        <v>35.4</v>
      </c>
      <c r="AN269" s="416">
        <v>22.6</v>
      </c>
      <c r="AO269" s="416">
        <v>14.2</v>
      </c>
      <c r="AP269" s="416">
        <v>0</v>
      </c>
      <c r="AQ269" s="416">
        <v>0</v>
      </c>
      <c r="AR269" s="416">
        <v>0</v>
      </c>
      <c r="AS269" s="416">
        <v>0</v>
      </c>
      <c r="AT269" s="416">
        <v>0</v>
      </c>
      <c r="AU269" s="416">
        <v>0</v>
      </c>
      <c r="AV269" s="416">
        <v>0</v>
      </c>
      <c r="AW269" s="416">
        <v>0</v>
      </c>
      <c r="AX269" s="416">
        <v>0</v>
      </c>
      <c r="AY269" s="416">
        <v>0</v>
      </c>
      <c r="AZ269" s="416">
        <v>0</v>
      </c>
    </row>
    <row r="270" spans="1:52" x14ac:dyDescent="0.25">
      <c r="A270" s="415" t="str">
        <f t="shared" si="4"/>
        <v>SA-352 Gr.LC2</v>
      </c>
      <c r="B270" s="415">
        <v>265</v>
      </c>
      <c r="C270" s="415" t="s">
        <v>3588</v>
      </c>
      <c r="D270" s="415" t="s">
        <v>2739</v>
      </c>
      <c r="E270" s="415" t="s">
        <v>2214</v>
      </c>
      <c r="F270" s="415" t="s">
        <v>2496</v>
      </c>
      <c r="G270" s="415" t="s">
        <v>3146</v>
      </c>
      <c r="H270" s="415">
        <v>0</v>
      </c>
      <c r="I270" s="415">
        <v>0</v>
      </c>
      <c r="J270" s="415" t="s">
        <v>3131</v>
      </c>
      <c r="K270" s="415">
        <v>1</v>
      </c>
      <c r="L270" s="415">
        <v>10</v>
      </c>
      <c r="M270" s="415">
        <v>485</v>
      </c>
      <c r="N270" s="415">
        <v>275</v>
      </c>
      <c r="O270" s="415">
        <v>343</v>
      </c>
      <c r="P270" s="415" t="s">
        <v>2699</v>
      </c>
      <c r="Q270" s="415">
        <v>0</v>
      </c>
      <c r="R270" s="415">
        <v>10</v>
      </c>
      <c r="S270" s="415">
        <v>184</v>
      </c>
      <c r="T270" s="416">
        <v>184</v>
      </c>
      <c r="U270" s="416">
        <v>173</v>
      </c>
      <c r="V270" s="416">
        <v>168</v>
      </c>
      <c r="W270" s="416">
        <v>165</v>
      </c>
      <c r="X270" s="416">
        <v>162</v>
      </c>
      <c r="Y270" s="416">
        <v>160</v>
      </c>
      <c r="Z270" s="416">
        <v>158</v>
      </c>
      <c r="AA270" s="416">
        <v>155</v>
      </c>
      <c r="AB270" s="416">
        <v>151</v>
      </c>
      <c r="AC270" s="416">
        <v>147</v>
      </c>
      <c r="AD270" s="416">
        <v>142</v>
      </c>
      <c r="AE270" s="416">
        <v>136</v>
      </c>
      <c r="AF270" s="416">
        <v>130</v>
      </c>
      <c r="AG270" s="416">
        <v>0</v>
      </c>
      <c r="AH270" s="416">
        <v>0</v>
      </c>
      <c r="AI270" s="416">
        <v>0</v>
      </c>
      <c r="AJ270" s="416">
        <v>0</v>
      </c>
      <c r="AK270" s="416">
        <v>0</v>
      </c>
      <c r="AL270" s="416">
        <v>10</v>
      </c>
      <c r="AM270" s="416">
        <v>0</v>
      </c>
      <c r="AN270" s="416">
        <v>0</v>
      </c>
      <c r="AO270" s="416">
        <v>0</v>
      </c>
      <c r="AP270" s="416">
        <v>0</v>
      </c>
      <c r="AQ270" s="416">
        <v>0</v>
      </c>
      <c r="AR270" s="416">
        <v>0</v>
      </c>
      <c r="AS270" s="416">
        <v>0</v>
      </c>
      <c r="AT270" s="416">
        <v>0</v>
      </c>
      <c r="AU270" s="416">
        <v>0</v>
      </c>
      <c r="AV270" s="416">
        <v>0</v>
      </c>
      <c r="AW270" s="416">
        <v>0</v>
      </c>
      <c r="AX270" s="416">
        <v>0</v>
      </c>
      <c r="AY270" s="416">
        <v>0</v>
      </c>
      <c r="AZ270" s="416">
        <v>0</v>
      </c>
    </row>
    <row r="271" spans="1:52" x14ac:dyDescent="0.25">
      <c r="A271" s="415" t="str">
        <f t="shared" si="4"/>
        <v>SA-543 Gr.C</v>
      </c>
      <c r="B271" s="415">
        <v>266</v>
      </c>
      <c r="C271" s="415" t="s">
        <v>3589</v>
      </c>
      <c r="D271" s="415" t="s">
        <v>2684</v>
      </c>
      <c r="E271" s="415" t="s">
        <v>2267</v>
      </c>
      <c r="F271" s="415" t="s">
        <v>2348</v>
      </c>
      <c r="G271" s="415" t="s">
        <v>3149</v>
      </c>
      <c r="H271" s="415">
        <v>3</v>
      </c>
      <c r="I271" s="415">
        <v>0</v>
      </c>
      <c r="J271" s="415">
        <v>3</v>
      </c>
      <c r="K271" s="415">
        <v>3</v>
      </c>
      <c r="L271" s="415">
        <v>11</v>
      </c>
      <c r="M271" s="415">
        <v>620</v>
      </c>
      <c r="N271" s="415">
        <v>485</v>
      </c>
      <c r="O271" s="415">
        <v>343</v>
      </c>
      <c r="P271" s="415" t="s">
        <v>2838</v>
      </c>
      <c r="Q271" s="415">
        <v>0</v>
      </c>
      <c r="R271" s="415">
        <v>11</v>
      </c>
      <c r="S271" s="415">
        <v>259</v>
      </c>
      <c r="T271" s="416">
        <v>259</v>
      </c>
      <c r="U271" s="416">
        <v>259</v>
      </c>
      <c r="V271" s="416">
        <v>259</v>
      </c>
      <c r="W271" s="416">
        <v>259</v>
      </c>
      <c r="X271" s="416">
        <v>259</v>
      </c>
      <c r="Y271" s="416">
        <v>259</v>
      </c>
      <c r="Z271" s="416">
        <v>259</v>
      </c>
      <c r="AA271" s="416">
        <v>259</v>
      </c>
      <c r="AB271" s="416">
        <v>259</v>
      </c>
      <c r="AC271" s="416">
        <v>259</v>
      </c>
      <c r="AD271" s="416">
        <v>259</v>
      </c>
      <c r="AE271" s="416">
        <v>259</v>
      </c>
      <c r="AF271" s="416">
        <v>259</v>
      </c>
      <c r="AG271" s="416">
        <v>0</v>
      </c>
      <c r="AH271" s="416">
        <v>0</v>
      </c>
      <c r="AI271" s="416">
        <v>0</v>
      </c>
      <c r="AJ271" s="416">
        <v>0</v>
      </c>
      <c r="AK271" s="416">
        <v>0</v>
      </c>
      <c r="AL271" s="416">
        <v>11</v>
      </c>
      <c r="AM271" s="416">
        <v>0</v>
      </c>
      <c r="AN271" s="416">
        <v>0</v>
      </c>
      <c r="AO271" s="416">
        <v>0</v>
      </c>
      <c r="AP271" s="416">
        <v>0</v>
      </c>
      <c r="AQ271" s="416">
        <v>0</v>
      </c>
      <c r="AR271" s="416">
        <v>0</v>
      </c>
      <c r="AS271" s="416">
        <v>0</v>
      </c>
      <c r="AT271" s="416">
        <v>0</v>
      </c>
      <c r="AU271" s="416">
        <v>0</v>
      </c>
      <c r="AV271" s="416">
        <v>0</v>
      </c>
      <c r="AW271" s="416">
        <v>0</v>
      </c>
      <c r="AX271" s="416">
        <v>0</v>
      </c>
      <c r="AY271" s="416">
        <v>0</v>
      </c>
      <c r="AZ271" s="416">
        <v>0</v>
      </c>
    </row>
    <row r="272" spans="1:52" x14ac:dyDescent="0.25">
      <c r="A272" s="415" t="str">
        <f t="shared" si="4"/>
        <v>SA-543 Gr.C</v>
      </c>
      <c r="B272" s="415">
        <v>267</v>
      </c>
      <c r="C272" s="415" t="s">
        <v>3589</v>
      </c>
      <c r="D272" s="415" t="s">
        <v>2684</v>
      </c>
      <c r="E272" s="415" t="s">
        <v>2267</v>
      </c>
      <c r="F272" s="415" t="s">
        <v>2348</v>
      </c>
      <c r="G272" s="415" t="s">
        <v>3149</v>
      </c>
      <c r="H272" s="415">
        <v>1</v>
      </c>
      <c r="I272" s="415">
        <v>0</v>
      </c>
      <c r="J272" s="415" t="s">
        <v>3093</v>
      </c>
      <c r="K272" s="415">
        <v>5</v>
      </c>
      <c r="L272" s="415">
        <v>12</v>
      </c>
      <c r="M272" s="415">
        <v>725</v>
      </c>
      <c r="N272" s="415">
        <v>585</v>
      </c>
      <c r="O272" s="415">
        <v>343</v>
      </c>
      <c r="P272" s="415" t="s">
        <v>2838</v>
      </c>
      <c r="Q272" s="415">
        <v>0</v>
      </c>
      <c r="R272" s="415">
        <v>12</v>
      </c>
      <c r="S272" s="415">
        <v>302</v>
      </c>
      <c r="T272" s="416">
        <v>302</v>
      </c>
      <c r="U272" s="416">
        <v>302</v>
      </c>
      <c r="V272" s="416">
        <v>302</v>
      </c>
      <c r="W272" s="416">
        <v>302</v>
      </c>
      <c r="X272" s="416">
        <v>302</v>
      </c>
      <c r="Y272" s="416">
        <v>302</v>
      </c>
      <c r="Z272" s="416">
        <v>302</v>
      </c>
      <c r="AA272" s="416">
        <v>302</v>
      </c>
      <c r="AB272" s="416">
        <v>302</v>
      </c>
      <c r="AC272" s="416">
        <v>302</v>
      </c>
      <c r="AD272" s="416">
        <v>302</v>
      </c>
      <c r="AE272" s="416">
        <v>302</v>
      </c>
      <c r="AF272" s="416">
        <v>302</v>
      </c>
      <c r="AG272" s="416">
        <v>0</v>
      </c>
      <c r="AH272" s="416">
        <v>0</v>
      </c>
      <c r="AI272" s="416">
        <v>0</v>
      </c>
      <c r="AJ272" s="416">
        <v>0</v>
      </c>
      <c r="AK272" s="416">
        <v>0</v>
      </c>
      <c r="AL272" s="416">
        <v>12</v>
      </c>
      <c r="AM272" s="416">
        <v>0</v>
      </c>
      <c r="AN272" s="416">
        <v>0</v>
      </c>
      <c r="AO272" s="416">
        <v>0</v>
      </c>
      <c r="AP272" s="416">
        <v>0</v>
      </c>
      <c r="AQ272" s="416">
        <v>0</v>
      </c>
      <c r="AR272" s="416">
        <v>0</v>
      </c>
      <c r="AS272" s="416">
        <v>0</v>
      </c>
      <c r="AT272" s="416">
        <v>0</v>
      </c>
      <c r="AU272" s="416">
        <v>0</v>
      </c>
      <c r="AV272" s="416">
        <v>0</v>
      </c>
      <c r="AW272" s="416">
        <v>0</v>
      </c>
      <c r="AX272" s="416">
        <v>0</v>
      </c>
      <c r="AY272" s="416">
        <v>0</v>
      </c>
      <c r="AZ272" s="416">
        <v>0</v>
      </c>
    </row>
    <row r="273" spans="1:52" x14ac:dyDescent="0.25">
      <c r="A273" s="415" t="str">
        <f t="shared" si="4"/>
        <v>SA-543 Gr.C</v>
      </c>
      <c r="B273" s="415">
        <v>268</v>
      </c>
      <c r="C273" s="415" t="s">
        <v>3589</v>
      </c>
      <c r="D273" s="415" t="s">
        <v>2684</v>
      </c>
      <c r="E273" s="415" t="s">
        <v>2267</v>
      </c>
      <c r="F273" s="415" t="s">
        <v>2348</v>
      </c>
      <c r="G273" s="415" t="s">
        <v>3149</v>
      </c>
      <c r="H273" s="415">
        <v>2</v>
      </c>
      <c r="I273" s="415">
        <v>0</v>
      </c>
      <c r="J273" s="415" t="s">
        <v>2895</v>
      </c>
      <c r="K273" s="415">
        <v>10</v>
      </c>
      <c r="L273" s="415">
        <v>13</v>
      </c>
      <c r="M273" s="415">
        <v>795</v>
      </c>
      <c r="N273" s="415">
        <v>690</v>
      </c>
      <c r="O273" s="415">
        <v>343</v>
      </c>
      <c r="P273" s="415" t="s">
        <v>2896</v>
      </c>
      <c r="Q273" s="415">
        <v>0</v>
      </c>
      <c r="R273" s="415">
        <v>13</v>
      </c>
      <c r="S273" s="415">
        <v>330</v>
      </c>
      <c r="T273" s="416">
        <v>330</v>
      </c>
      <c r="U273" s="416">
        <v>330</v>
      </c>
      <c r="V273" s="416">
        <v>330</v>
      </c>
      <c r="W273" s="416">
        <v>330</v>
      </c>
      <c r="X273" s="416">
        <v>330</v>
      </c>
      <c r="Y273" s="416">
        <v>330</v>
      </c>
      <c r="Z273" s="416">
        <v>330</v>
      </c>
      <c r="AA273" s="416">
        <v>330</v>
      </c>
      <c r="AB273" s="416">
        <v>330</v>
      </c>
      <c r="AC273" s="416">
        <v>330</v>
      </c>
      <c r="AD273" s="416">
        <v>330</v>
      </c>
      <c r="AE273" s="416">
        <v>330</v>
      </c>
      <c r="AF273" s="416">
        <v>330</v>
      </c>
      <c r="AG273" s="416">
        <v>0</v>
      </c>
      <c r="AH273" s="416">
        <v>0</v>
      </c>
      <c r="AI273" s="416">
        <v>0</v>
      </c>
      <c r="AJ273" s="416">
        <v>0</v>
      </c>
      <c r="AK273" s="416">
        <v>0</v>
      </c>
      <c r="AL273" s="416">
        <v>13</v>
      </c>
      <c r="AM273" s="416">
        <v>0</v>
      </c>
      <c r="AN273" s="416">
        <v>0</v>
      </c>
      <c r="AO273" s="416">
        <v>0</v>
      </c>
      <c r="AP273" s="416">
        <v>0</v>
      </c>
      <c r="AQ273" s="416">
        <v>0</v>
      </c>
      <c r="AR273" s="416">
        <v>0</v>
      </c>
      <c r="AS273" s="416">
        <v>0</v>
      </c>
      <c r="AT273" s="416">
        <v>0</v>
      </c>
      <c r="AU273" s="416">
        <v>0</v>
      </c>
      <c r="AV273" s="416">
        <v>0</v>
      </c>
      <c r="AW273" s="416">
        <v>0</v>
      </c>
      <c r="AX273" s="416">
        <v>0</v>
      </c>
      <c r="AY273" s="416">
        <v>0</v>
      </c>
      <c r="AZ273" s="416">
        <v>0</v>
      </c>
    </row>
    <row r="274" spans="1:52" x14ac:dyDescent="0.25">
      <c r="A274" s="415" t="str">
        <f t="shared" si="4"/>
        <v>SA-723 Gr.2</v>
      </c>
      <c r="B274" s="415">
        <v>269</v>
      </c>
      <c r="C274" s="415" t="s">
        <v>3590</v>
      </c>
      <c r="D274" s="415" t="s">
        <v>2737</v>
      </c>
      <c r="E274" s="415" t="s">
        <v>2305</v>
      </c>
      <c r="F274" s="415">
        <v>2</v>
      </c>
      <c r="G274" s="415" t="s">
        <v>3149</v>
      </c>
      <c r="H274" s="415">
        <v>1</v>
      </c>
      <c r="I274" s="415">
        <v>0</v>
      </c>
      <c r="J274" s="415" t="s">
        <v>2895</v>
      </c>
      <c r="K274" s="415">
        <v>10</v>
      </c>
      <c r="L274" s="415">
        <v>14</v>
      </c>
      <c r="M274" s="415">
        <v>795</v>
      </c>
      <c r="N274" s="415">
        <v>690</v>
      </c>
      <c r="O274" s="415">
        <v>343</v>
      </c>
      <c r="P274" s="415" t="s">
        <v>2896</v>
      </c>
      <c r="Q274" s="415" t="s">
        <v>3586</v>
      </c>
      <c r="R274" s="415">
        <v>14</v>
      </c>
      <c r="S274" s="415">
        <v>330</v>
      </c>
      <c r="T274" s="416">
        <v>330</v>
      </c>
      <c r="U274" s="416">
        <v>330</v>
      </c>
      <c r="V274" s="416">
        <v>330</v>
      </c>
      <c r="W274" s="416">
        <v>330</v>
      </c>
      <c r="X274" s="416">
        <v>330</v>
      </c>
      <c r="Y274" s="416">
        <v>330</v>
      </c>
      <c r="Z274" s="416">
        <v>330</v>
      </c>
      <c r="AA274" s="416">
        <v>330</v>
      </c>
      <c r="AB274" s="416">
        <v>330</v>
      </c>
      <c r="AC274" s="416">
        <v>330</v>
      </c>
      <c r="AD274" s="416">
        <v>330</v>
      </c>
      <c r="AE274" s="416">
        <v>330</v>
      </c>
      <c r="AF274" s="416">
        <v>330</v>
      </c>
      <c r="AG274" s="416">
        <v>0</v>
      </c>
      <c r="AH274" s="416">
        <v>0</v>
      </c>
      <c r="AI274" s="416">
        <v>0</v>
      </c>
      <c r="AJ274" s="416">
        <v>0</v>
      </c>
      <c r="AK274" s="416">
        <v>0</v>
      </c>
      <c r="AL274" s="416">
        <v>14</v>
      </c>
      <c r="AM274" s="416">
        <v>0</v>
      </c>
      <c r="AN274" s="416">
        <v>0</v>
      </c>
      <c r="AO274" s="416">
        <v>0</v>
      </c>
      <c r="AP274" s="416">
        <v>0</v>
      </c>
      <c r="AQ274" s="416">
        <v>0</v>
      </c>
      <c r="AR274" s="416">
        <v>0</v>
      </c>
      <c r="AS274" s="416">
        <v>0</v>
      </c>
      <c r="AT274" s="416">
        <v>0</v>
      </c>
      <c r="AU274" s="416">
        <v>0</v>
      </c>
      <c r="AV274" s="416">
        <v>0</v>
      </c>
      <c r="AW274" s="416">
        <v>0</v>
      </c>
      <c r="AX274" s="416">
        <v>0</v>
      </c>
      <c r="AY274" s="416">
        <v>0</v>
      </c>
      <c r="AZ274" s="416">
        <v>0</v>
      </c>
    </row>
    <row r="275" spans="1:52" x14ac:dyDescent="0.25">
      <c r="A275" s="415" t="str">
        <f t="shared" si="4"/>
        <v>SA-723 Gr.2</v>
      </c>
      <c r="B275" s="415">
        <v>270</v>
      </c>
      <c r="C275" s="415" t="s">
        <v>3590</v>
      </c>
      <c r="D275" s="415" t="s">
        <v>2737</v>
      </c>
      <c r="E275" s="415" t="s">
        <v>2305</v>
      </c>
      <c r="F275" s="415">
        <v>2</v>
      </c>
      <c r="G275" s="415" t="s">
        <v>3149</v>
      </c>
      <c r="H275" s="415">
        <v>2</v>
      </c>
      <c r="I275" s="415">
        <v>0</v>
      </c>
      <c r="J275" s="415" t="s">
        <v>2895</v>
      </c>
      <c r="K275" s="415">
        <v>10</v>
      </c>
      <c r="L275" s="415">
        <v>15</v>
      </c>
      <c r="M275" s="415">
        <v>930</v>
      </c>
      <c r="N275" s="415">
        <v>825</v>
      </c>
      <c r="O275" s="415">
        <v>343</v>
      </c>
      <c r="P275" s="415" t="s">
        <v>2896</v>
      </c>
      <c r="Q275" s="415" t="s">
        <v>3587</v>
      </c>
      <c r="R275" s="415">
        <v>15</v>
      </c>
      <c r="S275" s="415">
        <v>388</v>
      </c>
      <c r="T275" s="416">
        <v>388</v>
      </c>
      <c r="U275" s="416">
        <v>388</v>
      </c>
      <c r="V275" s="416">
        <v>388</v>
      </c>
      <c r="W275" s="416">
        <v>388</v>
      </c>
      <c r="X275" s="416">
        <v>388</v>
      </c>
      <c r="Y275" s="416">
        <v>388</v>
      </c>
      <c r="Z275" s="416">
        <v>388</v>
      </c>
      <c r="AA275" s="416">
        <v>388</v>
      </c>
      <c r="AB275" s="416">
        <v>388</v>
      </c>
      <c r="AC275" s="416">
        <v>388</v>
      </c>
      <c r="AD275" s="416">
        <v>388</v>
      </c>
      <c r="AE275" s="416">
        <v>388</v>
      </c>
      <c r="AF275" s="416">
        <v>388</v>
      </c>
      <c r="AG275" s="416">
        <v>0</v>
      </c>
      <c r="AH275" s="416">
        <v>0</v>
      </c>
      <c r="AI275" s="416">
        <v>0</v>
      </c>
      <c r="AJ275" s="416">
        <v>0</v>
      </c>
      <c r="AK275" s="416">
        <v>0</v>
      </c>
      <c r="AL275" s="416">
        <v>15</v>
      </c>
      <c r="AM275" s="416">
        <v>0</v>
      </c>
      <c r="AN275" s="416">
        <v>0</v>
      </c>
      <c r="AO275" s="416">
        <v>0</v>
      </c>
      <c r="AP275" s="416">
        <v>0</v>
      </c>
      <c r="AQ275" s="416">
        <v>0</v>
      </c>
      <c r="AR275" s="416">
        <v>0</v>
      </c>
      <c r="AS275" s="416">
        <v>0</v>
      </c>
      <c r="AT275" s="416">
        <v>0</v>
      </c>
      <c r="AU275" s="416">
        <v>0</v>
      </c>
      <c r="AV275" s="416">
        <v>0</v>
      </c>
      <c r="AW275" s="416">
        <v>0</v>
      </c>
      <c r="AX275" s="416">
        <v>0</v>
      </c>
      <c r="AY275" s="416">
        <v>0</v>
      </c>
      <c r="AZ275" s="416">
        <v>0</v>
      </c>
    </row>
    <row r="276" spans="1:52" x14ac:dyDescent="0.25">
      <c r="A276" s="415" t="str">
        <f t="shared" si="4"/>
        <v>SA-543 Gr.B</v>
      </c>
      <c r="B276" s="415">
        <v>271</v>
      </c>
      <c r="C276" s="415" t="s">
        <v>3591</v>
      </c>
      <c r="D276" s="415" t="s">
        <v>2684</v>
      </c>
      <c r="E276" s="415" t="s">
        <v>2267</v>
      </c>
      <c r="F276" s="415" t="s">
        <v>1864</v>
      </c>
      <c r="G276" s="415" t="s">
        <v>3151</v>
      </c>
      <c r="H276" s="415">
        <v>3</v>
      </c>
      <c r="I276" s="415">
        <v>0</v>
      </c>
      <c r="J276" s="415">
        <v>3</v>
      </c>
      <c r="K276" s="415">
        <v>3</v>
      </c>
      <c r="L276" s="415">
        <v>16</v>
      </c>
      <c r="M276" s="415">
        <v>620</v>
      </c>
      <c r="N276" s="415">
        <v>485</v>
      </c>
      <c r="O276" s="415">
        <v>343</v>
      </c>
      <c r="P276" s="415" t="s">
        <v>2838</v>
      </c>
      <c r="Q276" s="415">
        <v>0</v>
      </c>
      <c r="R276" s="415">
        <v>16</v>
      </c>
      <c r="S276" s="415">
        <v>259</v>
      </c>
      <c r="T276" s="416">
        <v>259</v>
      </c>
      <c r="U276" s="416">
        <v>259</v>
      </c>
      <c r="V276" s="416">
        <v>259</v>
      </c>
      <c r="W276" s="416">
        <v>259</v>
      </c>
      <c r="X276" s="416">
        <v>259</v>
      </c>
      <c r="Y276" s="416">
        <v>259</v>
      </c>
      <c r="Z276" s="416">
        <v>259</v>
      </c>
      <c r="AA276" s="416">
        <v>259</v>
      </c>
      <c r="AB276" s="416">
        <v>259</v>
      </c>
      <c r="AC276" s="416">
        <v>259</v>
      </c>
      <c r="AD276" s="416">
        <v>259</v>
      </c>
      <c r="AE276" s="416">
        <v>259</v>
      </c>
      <c r="AF276" s="416">
        <v>259</v>
      </c>
      <c r="AG276" s="416">
        <v>0</v>
      </c>
      <c r="AH276" s="416">
        <v>0</v>
      </c>
      <c r="AI276" s="416">
        <v>0</v>
      </c>
      <c r="AJ276" s="416">
        <v>0</v>
      </c>
      <c r="AK276" s="416">
        <v>0</v>
      </c>
      <c r="AL276" s="416">
        <v>16</v>
      </c>
      <c r="AM276" s="416">
        <v>0</v>
      </c>
      <c r="AN276" s="416">
        <v>0</v>
      </c>
      <c r="AO276" s="416">
        <v>0</v>
      </c>
      <c r="AP276" s="416">
        <v>0</v>
      </c>
      <c r="AQ276" s="416">
        <v>0</v>
      </c>
      <c r="AR276" s="416">
        <v>0</v>
      </c>
      <c r="AS276" s="416">
        <v>0</v>
      </c>
      <c r="AT276" s="416">
        <v>0</v>
      </c>
      <c r="AU276" s="416">
        <v>0</v>
      </c>
      <c r="AV276" s="416">
        <v>0</v>
      </c>
      <c r="AW276" s="416">
        <v>0</v>
      </c>
      <c r="AX276" s="416">
        <v>0</v>
      </c>
      <c r="AY276" s="416">
        <v>0</v>
      </c>
      <c r="AZ276" s="416">
        <v>0</v>
      </c>
    </row>
    <row r="277" spans="1:52" x14ac:dyDescent="0.25">
      <c r="A277" s="415" t="str">
        <f t="shared" si="4"/>
        <v>SA-543 Gr.B</v>
      </c>
      <c r="B277" s="415">
        <v>272</v>
      </c>
      <c r="C277" s="415" t="s">
        <v>3591</v>
      </c>
      <c r="D277" s="415" t="s">
        <v>2684</v>
      </c>
      <c r="E277" s="415" t="s">
        <v>2267</v>
      </c>
      <c r="F277" s="415" t="s">
        <v>1864</v>
      </c>
      <c r="G277" s="415" t="s">
        <v>3151</v>
      </c>
      <c r="H277" s="415">
        <v>1</v>
      </c>
      <c r="I277" s="415">
        <v>0</v>
      </c>
      <c r="J277" s="415" t="s">
        <v>3093</v>
      </c>
      <c r="K277" s="415">
        <v>5</v>
      </c>
      <c r="L277" s="415">
        <v>17</v>
      </c>
      <c r="M277" s="415">
        <v>725</v>
      </c>
      <c r="N277" s="415">
        <v>585</v>
      </c>
      <c r="O277" s="415">
        <v>343</v>
      </c>
      <c r="P277" s="415" t="s">
        <v>2838</v>
      </c>
      <c r="Q277" s="415" t="s">
        <v>3592</v>
      </c>
      <c r="R277" s="415">
        <v>17</v>
      </c>
      <c r="S277" s="415">
        <v>302</v>
      </c>
      <c r="T277" s="416">
        <v>302</v>
      </c>
      <c r="U277" s="416">
        <v>302</v>
      </c>
      <c r="V277" s="416">
        <v>302</v>
      </c>
      <c r="W277" s="416">
        <v>302</v>
      </c>
      <c r="X277" s="416">
        <v>302</v>
      </c>
      <c r="Y277" s="416">
        <v>302</v>
      </c>
      <c r="Z277" s="416">
        <v>302</v>
      </c>
      <c r="AA277" s="416">
        <v>302</v>
      </c>
      <c r="AB277" s="416">
        <v>302</v>
      </c>
      <c r="AC277" s="416">
        <v>302</v>
      </c>
      <c r="AD277" s="416">
        <v>302</v>
      </c>
      <c r="AE277" s="416">
        <v>302</v>
      </c>
      <c r="AF277" s="416">
        <v>302</v>
      </c>
      <c r="AG277" s="416">
        <v>0</v>
      </c>
      <c r="AH277" s="416">
        <v>0</v>
      </c>
      <c r="AI277" s="416">
        <v>0</v>
      </c>
      <c r="AJ277" s="416">
        <v>0</v>
      </c>
      <c r="AK277" s="416">
        <v>0</v>
      </c>
      <c r="AL277" s="416">
        <v>17</v>
      </c>
      <c r="AM277" s="416">
        <v>0</v>
      </c>
      <c r="AN277" s="416">
        <v>0</v>
      </c>
      <c r="AO277" s="416">
        <v>0</v>
      </c>
      <c r="AP277" s="416">
        <v>0</v>
      </c>
      <c r="AQ277" s="416">
        <v>0</v>
      </c>
      <c r="AR277" s="416">
        <v>0</v>
      </c>
      <c r="AS277" s="416">
        <v>0</v>
      </c>
      <c r="AT277" s="416">
        <v>0</v>
      </c>
      <c r="AU277" s="416">
        <v>0</v>
      </c>
      <c r="AV277" s="416">
        <v>0</v>
      </c>
      <c r="AW277" s="416">
        <v>0</v>
      </c>
      <c r="AX277" s="416">
        <v>0</v>
      </c>
      <c r="AY277" s="416">
        <v>0</v>
      </c>
      <c r="AZ277" s="416">
        <v>0</v>
      </c>
    </row>
    <row r="278" spans="1:52" x14ac:dyDescent="0.25">
      <c r="A278" s="415" t="str">
        <f t="shared" si="4"/>
        <v>SA-543 Gr.B</v>
      </c>
      <c r="B278" s="415">
        <v>273</v>
      </c>
      <c r="C278" s="415" t="s">
        <v>3591</v>
      </c>
      <c r="D278" s="415" t="s">
        <v>2684</v>
      </c>
      <c r="E278" s="415" t="s">
        <v>2267</v>
      </c>
      <c r="F278" s="415" t="s">
        <v>1864</v>
      </c>
      <c r="G278" s="415" t="s">
        <v>3151</v>
      </c>
      <c r="H278" s="415">
        <v>2</v>
      </c>
      <c r="I278" s="415">
        <v>0</v>
      </c>
      <c r="J278" s="415" t="s">
        <v>2895</v>
      </c>
      <c r="K278" s="415">
        <v>10</v>
      </c>
      <c r="L278" s="415">
        <v>18</v>
      </c>
      <c r="M278" s="415">
        <v>795</v>
      </c>
      <c r="N278" s="415">
        <v>690</v>
      </c>
      <c r="O278" s="415">
        <v>343</v>
      </c>
      <c r="P278" s="415" t="s">
        <v>2896</v>
      </c>
      <c r="Q278" s="415">
        <v>0</v>
      </c>
      <c r="R278" s="415">
        <v>18</v>
      </c>
      <c r="S278" s="415">
        <v>330</v>
      </c>
      <c r="T278" s="416">
        <v>330</v>
      </c>
      <c r="U278" s="416">
        <v>330</v>
      </c>
      <c r="V278" s="416">
        <v>330</v>
      </c>
      <c r="W278" s="416">
        <v>330</v>
      </c>
      <c r="X278" s="416">
        <v>330</v>
      </c>
      <c r="Y278" s="416">
        <v>330</v>
      </c>
      <c r="Z278" s="416">
        <v>330</v>
      </c>
      <c r="AA278" s="416">
        <v>330</v>
      </c>
      <c r="AB278" s="416">
        <v>330</v>
      </c>
      <c r="AC278" s="416">
        <v>330</v>
      </c>
      <c r="AD278" s="416">
        <v>330</v>
      </c>
      <c r="AE278" s="416">
        <v>330</v>
      </c>
      <c r="AF278" s="416">
        <v>330</v>
      </c>
      <c r="AG278" s="416">
        <v>0</v>
      </c>
      <c r="AH278" s="416">
        <v>0</v>
      </c>
      <c r="AI278" s="416">
        <v>0</v>
      </c>
      <c r="AJ278" s="416">
        <v>0</v>
      </c>
      <c r="AK278" s="416">
        <v>0</v>
      </c>
      <c r="AL278" s="416">
        <v>18</v>
      </c>
      <c r="AM278" s="416">
        <v>0</v>
      </c>
      <c r="AN278" s="416">
        <v>0</v>
      </c>
      <c r="AO278" s="416">
        <v>0</v>
      </c>
      <c r="AP278" s="416">
        <v>0</v>
      </c>
      <c r="AQ278" s="416">
        <v>0</v>
      </c>
      <c r="AR278" s="416">
        <v>0</v>
      </c>
      <c r="AS278" s="416">
        <v>0</v>
      </c>
      <c r="AT278" s="416">
        <v>0</v>
      </c>
      <c r="AU278" s="416">
        <v>0</v>
      </c>
      <c r="AV278" s="416">
        <v>0</v>
      </c>
      <c r="AW278" s="416">
        <v>0</v>
      </c>
      <c r="AX278" s="416">
        <v>0</v>
      </c>
      <c r="AY278" s="416">
        <v>0</v>
      </c>
      <c r="AZ278" s="416">
        <v>0</v>
      </c>
    </row>
    <row r="279" spans="1:52" x14ac:dyDescent="0.25">
      <c r="A279" s="415" t="str">
        <f t="shared" si="4"/>
        <v>SA-333 Gr.3</v>
      </c>
      <c r="B279" s="415">
        <v>274</v>
      </c>
      <c r="C279" s="415" t="s">
        <v>3593</v>
      </c>
      <c r="D279" s="415" t="s">
        <v>2703</v>
      </c>
      <c r="E279" s="415" t="s">
        <v>2172</v>
      </c>
      <c r="F279" s="415">
        <v>3</v>
      </c>
      <c r="G279" s="415" t="s">
        <v>3154</v>
      </c>
      <c r="H279" s="415">
        <v>0</v>
      </c>
      <c r="I279" s="415">
        <v>0</v>
      </c>
      <c r="J279" s="415" t="s">
        <v>3155</v>
      </c>
      <c r="K279" s="415">
        <v>1</v>
      </c>
      <c r="L279" s="415">
        <v>19</v>
      </c>
      <c r="M279" s="415">
        <v>450</v>
      </c>
      <c r="N279" s="415">
        <v>240</v>
      </c>
      <c r="O279" s="415">
        <v>343</v>
      </c>
      <c r="P279" s="415" t="s">
        <v>2699</v>
      </c>
      <c r="Q279" s="415">
        <v>0</v>
      </c>
      <c r="R279" s="415">
        <v>19</v>
      </c>
      <c r="S279" s="415">
        <v>161</v>
      </c>
      <c r="T279" s="416">
        <v>161</v>
      </c>
      <c r="U279" s="416">
        <v>151</v>
      </c>
      <c r="V279" s="416">
        <v>147</v>
      </c>
      <c r="W279" s="416">
        <v>144</v>
      </c>
      <c r="X279" s="416">
        <v>142</v>
      </c>
      <c r="Y279" s="416">
        <v>140</v>
      </c>
      <c r="Z279" s="416">
        <v>138</v>
      </c>
      <c r="AA279" s="416">
        <v>135</v>
      </c>
      <c r="AB279" s="416">
        <v>132</v>
      </c>
      <c r="AC279" s="416">
        <v>128</v>
      </c>
      <c r="AD279" s="416">
        <v>124</v>
      </c>
      <c r="AE279" s="416">
        <v>119</v>
      </c>
      <c r="AF279" s="416">
        <v>113</v>
      </c>
      <c r="AG279" s="416">
        <v>0</v>
      </c>
      <c r="AH279" s="416">
        <v>0</v>
      </c>
      <c r="AI279" s="416">
        <v>0</v>
      </c>
      <c r="AJ279" s="416">
        <v>0</v>
      </c>
      <c r="AK279" s="416">
        <v>0</v>
      </c>
      <c r="AL279" s="416">
        <v>19</v>
      </c>
      <c r="AM279" s="416">
        <v>0</v>
      </c>
      <c r="AN279" s="416">
        <v>0</v>
      </c>
      <c r="AO279" s="416">
        <v>0</v>
      </c>
      <c r="AP279" s="416">
        <v>0</v>
      </c>
      <c r="AQ279" s="416">
        <v>0</v>
      </c>
      <c r="AR279" s="416">
        <v>0</v>
      </c>
      <c r="AS279" s="416">
        <v>0</v>
      </c>
      <c r="AT279" s="416">
        <v>0</v>
      </c>
      <c r="AU279" s="416">
        <v>0</v>
      </c>
      <c r="AV279" s="416">
        <v>0</v>
      </c>
      <c r="AW279" s="416">
        <v>0</v>
      </c>
      <c r="AX279" s="416">
        <v>0</v>
      </c>
      <c r="AY279" s="416">
        <v>0</v>
      </c>
      <c r="AZ279" s="416">
        <v>0</v>
      </c>
    </row>
    <row r="280" spans="1:52" x14ac:dyDescent="0.25">
      <c r="A280" s="415" t="str">
        <f t="shared" si="4"/>
        <v>SA-334 Gr.3</v>
      </c>
      <c r="B280" s="415">
        <v>275</v>
      </c>
      <c r="C280" s="415" t="s">
        <v>3593</v>
      </c>
      <c r="D280" s="415" t="s">
        <v>2693</v>
      </c>
      <c r="E280" s="415" t="s">
        <v>2209</v>
      </c>
      <c r="F280" s="415">
        <v>3</v>
      </c>
      <c r="G280" s="415" t="s">
        <v>3154</v>
      </c>
      <c r="H280" s="415">
        <v>0</v>
      </c>
      <c r="I280" s="415">
        <v>0</v>
      </c>
      <c r="J280" s="415" t="s">
        <v>3155</v>
      </c>
      <c r="K280" s="415">
        <v>1</v>
      </c>
      <c r="L280" s="415">
        <v>20</v>
      </c>
      <c r="M280" s="415">
        <v>450</v>
      </c>
      <c r="N280" s="415">
        <v>240</v>
      </c>
      <c r="O280" s="415">
        <v>343</v>
      </c>
      <c r="P280" s="415" t="s">
        <v>2699</v>
      </c>
      <c r="Q280" s="415">
        <v>0</v>
      </c>
      <c r="R280" s="415">
        <v>20</v>
      </c>
      <c r="S280" s="415">
        <v>161</v>
      </c>
      <c r="T280" s="416">
        <v>161</v>
      </c>
      <c r="U280" s="416">
        <v>151</v>
      </c>
      <c r="V280" s="416">
        <v>147</v>
      </c>
      <c r="W280" s="416">
        <v>144</v>
      </c>
      <c r="X280" s="416">
        <v>142</v>
      </c>
      <c r="Y280" s="416">
        <v>140</v>
      </c>
      <c r="Z280" s="416">
        <v>138</v>
      </c>
      <c r="AA280" s="416">
        <v>135</v>
      </c>
      <c r="AB280" s="416">
        <v>132</v>
      </c>
      <c r="AC280" s="416">
        <v>128</v>
      </c>
      <c r="AD280" s="416">
        <v>124</v>
      </c>
      <c r="AE280" s="416">
        <v>119</v>
      </c>
      <c r="AF280" s="416">
        <v>113</v>
      </c>
      <c r="AG280" s="416">
        <v>0</v>
      </c>
      <c r="AH280" s="416">
        <v>0</v>
      </c>
      <c r="AI280" s="416">
        <v>0</v>
      </c>
      <c r="AJ280" s="416">
        <v>0</v>
      </c>
      <c r="AK280" s="416">
        <v>0</v>
      </c>
      <c r="AL280" s="416">
        <v>20</v>
      </c>
      <c r="AM280" s="416">
        <v>0</v>
      </c>
      <c r="AN280" s="416">
        <v>0</v>
      </c>
      <c r="AO280" s="416">
        <v>0</v>
      </c>
      <c r="AP280" s="416">
        <v>0</v>
      </c>
      <c r="AQ280" s="416">
        <v>0</v>
      </c>
      <c r="AR280" s="416">
        <v>0</v>
      </c>
      <c r="AS280" s="416">
        <v>0</v>
      </c>
      <c r="AT280" s="416">
        <v>0</v>
      </c>
      <c r="AU280" s="416">
        <v>0</v>
      </c>
      <c r="AV280" s="416">
        <v>0</v>
      </c>
      <c r="AW280" s="416">
        <v>0</v>
      </c>
      <c r="AX280" s="416">
        <v>0</v>
      </c>
      <c r="AY280" s="416">
        <v>0</v>
      </c>
      <c r="AZ280" s="416">
        <v>0</v>
      </c>
    </row>
    <row r="281" spans="1:52" x14ac:dyDescent="0.25">
      <c r="A281" s="415" t="str">
        <f t="shared" si="4"/>
        <v>SA-420 Gr.WPL3</v>
      </c>
      <c r="B281" s="415">
        <v>276</v>
      </c>
      <c r="C281" s="415" t="s">
        <v>3593</v>
      </c>
      <c r="D281" s="415" t="s">
        <v>913</v>
      </c>
      <c r="E281" s="415" t="s">
        <v>2235</v>
      </c>
      <c r="F281" s="415" t="s">
        <v>2612</v>
      </c>
      <c r="G281" s="415">
        <v>0</v>
      </c>
      <c r="H281" s="415">
        <v>0</v>
      </c>
      <c r="I281" s="415">
        <v>0</v>
      </c>
      <c r="J281" s="415" t="s">
        <v>3155</v>
      </c>
      <c r="K281" s="415">
        <v>1</v>
      </c>
      <c r="L281" s="415">
        <v>21</v>
      </c>
      <c r="M281" s="415">
        <v>450</v>
      </c>
      <c r="N281" s="415">
        <v>240</v>
      </c>
      <c r="O281" s="415">
        <v>343</v>
      </c>
      <c r="P281" s="415" t="s">
        <v>2699</v>
      </c>
      <c r="Q281" s="415">
        <v>0</v>
      </c>
      <c r="R281" s="415">
        <v>21</v>
      </c>
      <c r="S281" s="415">
        <v>161</v>
      </c>
      <c r="T281" s="416">
        <v>161</v>
      </c>
      <c r="U281" s="416">
        <v>151</v>
      </c>
      <c r="V281" s="416">
        <v>147</v>
      </c>
      <c r="W281" s="416">
        <v>144</v>
      </c>
      <c r="X281" s="416">
        <v>142</v>
      </c>
      <c r="Y281" s="416">
        <v>140</v>
      </c>
      <c r="Z281" s="416">
        <v>138</v>
      </c>
      <c r="AA281" s="416">
        <v>135</v>
      </c>
      <c r="AB281" s="416">
        <v>132</v>
      </c>
      <c r="AC281" s="416">
        <v>128</v>
      </c>
      <c r="AD281" s="416">
        <v>124</v>
      </c>
      <c r="AE281" s="416">
        <v>119</v>
      </c>
      <c r="AF281" s="416">
        <v>113</v>
      </c>
      <c r="AG281" s="416">
        <v>0</v>
      </c>
      <c r="AH281" s="416">
        <v>0</v>
      </c>
      <c r="AI281" s="416">
        <v>0</v>
      </c>
      <c r="AJ281" s="416">
        <v>0</v>
      </c>
      <c r="AK281" s="416">
        <v>0</v>
      </c>
      <c r="AL281" s="416">
        <v>21</v>
      </c>
      <c r="AM281" s="416">
        <v>0</v>
      </c>
      <c r="AN281" s="416">
        <v>0</v>
      </c>
      <c r="AO281" s="416">
        <v>0</v>
      </c>
      <c r="AP281" s="416">
        <v>0</v>
      </c>
      <c r="AQ281" s="416">
        <v>0</v>
      </c>
      <c r="AR281" s="416">
        <v>0</v>
      </c>
      <c r="AS281" s="416">
        <v>0</v>
      </c>
      <c r="AT281" s="416">
        <v>0</v>
      </c>
      <c r="AU281" s="416">
        <v>0</v>
      </c>
      <c r="AV281" s="416">
        <v>0</v>
      </c>
      <c r="AW281" s="416">
        <v>0</v>
      </c>
      <c r="AX281" s="416">
        <v>0</v>
      </c>
      <c r="AY281" s="416">
        <v>0</v>
      </c>
      <c r="AZ281" s="416">
        <v>0</v>
      </c>
    </row>
    <row r="282" spans="1:52" x14ac:dyDescent="0.25">
      <c r="A282" s="415" t="str">
        <f t="shared" si="4"/>
        <v>SA-203 Gr.D</v>
      </c>
      <c r="B282" s="415">
        <v>277</v>
      </c>
      <c r="C282" s="415" t="s">
        <v>3593</v>
      </c>
      <c r="D282" s="415" t="s">
        <v>2684</v>
      </c>
      <c r="E282" s="415" t="s">
        <v>2191</v>
      </c>
      <c r="F282" s="415" t="s">
        <v>2414</v>
      </c>
      <c r="G282" s="415" t="s">
        <v>3156</v>
      </c>
      <c r="H282" s="415">
        <v>0</v>
      </c>
      <c r="I282" s="415">
        <v>0</v>
      </c>
      <c r="J282" s="415" t="s">
        <v>3155</v>
      </c>
      <c r="K282" s="415">
        <v>1</v>
      </c>
      <c r="L282" s="415">
        <v>22</v>
      </c>
      <c r="M282" s="415">
        <v>450</v>
      </c>
      <c r="N282" s="415">
        <v>255</v>
      </c>
      <c r="O282" s="415">
        <v>538</v>
      </c>
      <c r="P282" s="415" t="s">
        <v>2699</v>
      </c>
      <c r="Q282" s="415" t="s">
        <v>2543</v>
      </c>
      <c r="R282" s="415">
        <v>22</v>
      </c>
      <c r="S282" s="415">
        <v>170</v>
      </c>
      <c r="T282" s="416">
        <v>170</v>
      </c>
      <c r="U282" s="416">
        <v>160</v>
      </c>
      <c r="V282" s="416">
        <v>155</v>
      </c>
      <c r="W282" s="416">
        <v>152</v>
      </c>
      <c r="X282" s="416">
        <v>150</v>
      </c>
      <c r="Y282" s="416">
        <v>148</v>
      </c>
      <c r="Z282" s="416">
        <v>146</v>
      </c>
      <c r="AA282" s="416">
        <v>143</v>
      </c>
      <c r="AB282" s="416">
        <v>140</v>
      </c>
      <c r="AC282" s="416">
        <v>136</v>
      </c>
      <c r="AD282" s="416">
        <v>131</v>
      </c>
      <c r="AE282" s="416">
        <v>126</v>
      </c>
      <c r="AF282" s="416">
        <v>120</v>
      </c>
      <c r="AG282" s="416">
        <v>113</v>
      </c>
      <c r="AH282" s="416">
        <v>95.1</v>
      </c>
      <c r="AI282" s="416">
        <v>79.5</v>
      </c>
      <c r="AJ282" s="416">
        <v>64.400000000000006</v>
      </c>
      <c r="AK282" s="416">
        <v>48.8</v>
      </c>
      <c r="AL282" s="416">
        <v>22</v>
      </c>
      <c r="AM282" s="416">
        <v>35.4</v>
      </c>
      <c r="AN282" s="416">
        <v>22.6</v>
      </c>
      <c r="AO282" s="416">
        <v>14.2</v>
      </c>
      <c r="AP282" s="416">
        <v>0</v>
      </c>
      <c r="AQ282" s="416">
        <v>0</v>
      </c>
      <c r="AR282" s="416">
        <v>0</v>
      </c>
      <c r="AS282" s="416">
        <v>0</v>
      </c>
      <c r="AT282" s="416">
        <v>0</v>
      </c>
      <c r="AU282" s="416">
        <v>0</v>
      </c>
      <c r="AV282" s="416">
        <v>0</v>
      </c>
      <c r="AW282" s="416">
        <v>0</v>
      </c>
      <c r="AX282" s="416">
        <v>0</v>
      </c>
      <c r="AY282" s="416">
        <v>0</v>
      </c>
      <c r="AZ282" s="416">
        <v>0</v>
      </c>
    </row>
    <row r="283" spans="1:52" x14ac:dyDescent="0.25">
      <c r="A283" s="415" t="str">
        <f t="shared" si="4"/>
        <v>SA-350 Gr.LF3</v>
      </c>
      <c r="B283" s="415">
        <v>278</v>
      </c>
      <c r="C283" s="415" t="s">
        <v>3593</v>
      </c>
      <c r="D283" s="415" t="s">
        <v>2737</v>
      </c>
      <c r="E283" s="415" t="s">
        <v>2212</v>
      </c>
      <c r="F283" s="415" t="s">
        <v>2503</v>
      </c>
      <c r="G283" s="415" t="s">
        <v>3157</v>
      </c>
      <c r="H283" s="415">
        <v>0</v>
      </c>
      <c r="I283" s="415">
        <v>0</v>
      </c>
      <c r="J283" s="415" t="s">
        <v>3155</v>
      </c>
      <c r="K283" s="415">
        <v>1</v>
      </c>
      <c r="L283" s="415">
        <v>23</v>
      </c>
      <c r="M283" s="415">
        <v>485</v>
      </c>
      <c r="N283" s="415">
        <v>260</v>
      </c>
      <c r="O283" s="415">
        <v>343</v>
      </c>
      <c r="P283" s="415" t="s">
        <v>2699</v>
      </c>
      <c r="Q283" s="415">
        <v>0</v>
      </c>
      <c r="R283" s="415">
        <v>23</v>
      </c>
      <c r="S283" s="415">
        <v>172</v>
      </c>
      <c r="T283" s="416">
        <v>172</v>
      </c>
      <c r="U283" s="416">
        <v>162</v>
      </c>
      <c r="V283" s="416">
        <v>157</v>
      </c>
      <c r="W283" s="416">
        <v>154</v>
      </c>
      <c r="X283" s="416">
        <v>152</v>
      </c>
      <c r="Y283" s="416">
        <v>150</v>
      </c>
      <c r="Z283" s="416">
        <v>148</v>
      </c>
      <c r="AA283" s="416">
        <v>145</v>
      </c>
      <c r="AB283" s="416">
        <v>141</v>
      </c>
      <c r="AC283" s="416">
        <v>137</v>
      </c>
      <c r="AD283" s="416">
        <v>133</v>
      </c>
      <c r="AE283" s="416">
        <v>127</v>
      </c>
      <c r="AF283" s="416">
        <v>121</v>
      </c>
      <c r="AG283" s="416">
        <v>0</v>
      </c>
      <c r="AH283" s="416">
        <v>0</v>
      </c>
      <c r="AI283" s="416">
        <v>0</v>
      </c>
      <c r="AJ283" s="416">
        <v>0</v>
      </c>
      <c r="AK283" s="416">
        <v>0</v>
      </c>
      <c r="AL283" s="416">
        <v>23</v>
      </c>
      <c r="AM283" s="416">
        <v>0</v>
      </c>
      <c r="AN283" s="416">
        <v>0</v>
      </c>
      <c r="AO283" s="416">
        <v>0</v>
      </c>
      <c r="AP283" s="416">
        <v>0</v>
      </c>
      <c r="AQ283" s="416">
        <v>0</v>
      </c>
      <c r="AR283" s="416">
        <v>0</v>
      </c>
      <c r="AS283" s="416">
        <v>0</v>
      </c>
      <c r="AT283" s="416">
        <v>0</v>
      </c>
      <c r="AU283" s="416">
        <v>0</v>
      </c>
      <c r="AV283" s="416">
        <v>0</v>
      </c>
      <c r="AW283" s="416">
        <v>0</v>
      </c>
      <c r="AX283" s="416">
        <v>0</v>
      </c>
      <c r="AY283" s="416">
        <v>0</v>
      </c>
      <c r="AZ283" s="416">
        <v>0</v>
      </c>
    </row>
    <row r="284" spans="1:52" x14ac:dyDescent="0.25">
      <c r="A284" s="415" t="str">
        <f t="shared" si="4"/>
        <v>SA-765 Gr.III</v>
      </c>
      <c r="B284" s="415">
        <v>279</v>
      </c>
      <c r="C284" s="415" t="s">
        <v>3593</v>
      </c>
      <c r="D284" s="415" t="s">
        <v>2737</v>
      </c>
      <c r="E284" s="415" t="s">
        <v>2320</v>
      </c>
      <c r="F284" s="415" t="s">
        <v>2485</v>
      </c>
      <c r="G284" s="415" t="s">
        <v>3158</v>
      </c>
      <c r="H284" s="415">
        <v>0</v>
      </c>
      <c r="I284" s="415">
        <v>0</v>
      </c>
      <c r="J284" s="415" t="s">
        <v>3155</v>
      </c>
      <c r="K284" s="415">
        <v>1</v>
      </c>
      <c r="L284" s="415">
        <v>24</v>
      </c>
      <c r="M284" s="415">
        <v>485</v>
      </c>
      <c r="N284" s="415">
        <v>260</v>
      </c>
      <c r="O284" s="415">
        <v>343</v>
      </c>
      <c r="P284" s="415" t="s">
        <v>2699</v>
      </c>
      <c r="Q284" s="415">
        <v>0</v>
      </c>
      <c r="R284" s="415">
        <v>24</v>
      </c>
      <c r="S284" s="415">
        <v>172</v>
      </c>
      <c r="T284" s="416">
        <v>172</v>
      </c>
      <c r="U284" s="416">
        <v>162</v>
      </c>
      <c r="V284" s="416">
        <v>157</v>
      </c>
      <c r="W284" s="416">
        <v>154</v>
      </c>
      <c r="X284" s="416">
        <v>152</v>
      </c>
      <c r="Y284" s="416">
        <v>150</v>
      </c>
      <c r="Z284" s="416">
        <v>148</v>
      </c>
      <c r="AA284" s="416">
        <v>145</v>
      </c>
      <c r="AB284" s="416">
        <v>141</v>
      </c>
      <c r="AC284" s="416">
        <v>137</v>
      </c>
      <c r="AD284" s="416">
        <v>133</v>
      </c>
      <c r="AE284" s="416">
        <v>127</v>
      </c>
      <c r="AF284" s="416">
        <v>121</v>
      </c>
      <c r="AG284" s="416">
        <v>0</v>
      </c>
      <c r="AH284" s="416">
        <v>0</v>
      </c>
      <c r="AI284" s="416">
        <v>0</v>
      </c>
      <c r="AJ284" s="416">
        <v>0</v>
      </c>
      <c r="AK284" s="416">
        <v>0</v>
      </c>
      <c r="AL284" s="416">
        <v>24</v>
      </c>
      <c r="AM284" s="416">
        <v>0</v>
      </c>
      <c r="AN284" s="416">
        <v>0</v>
      </c>
      <c r="AO284" s="416">
        <v>0</v>
      </c>
      <c r="AP284" s="416">
        <v>0</v>
      </c>
      <c r="AQ284" s="416">
        <v>0</v>
      </c>
      <c r="AR284" s="416">
        <v>0</v>
      </c>
      <c r="AS284" s="416">
        <v>0</v>
      </c>
      <c r="AT284" s="416">
        <v>0</v>
      </c>
      <c r="AU284" s="416">
        <v>0</v>
      </c>
      <c r="AV284" s="416">
        <v>0</v>
      </c>
      <c r="AW284" s="416">
        <v>0</v>
      </c>
      <c r="AX284" s="416">
        <v>0</v>
      </c>
      <c r="AY284" s="416">
        <v>0</v>
      </c>
      <c r="AZ284" s="416">
        <v>0</v>
      </c>
    </row>
    <row r="285" spans="1:52" x14ac:dyDescent="0.25">
      <c r="A285" s="415" t="str">
        <f t="shared" si="4"/>
        <v>SA-203 Gr.E</v>
      </c>
      <c r="B285" s="415">
        <v>280</v>
      </c>
      <c r="C285" s="415" t="s">
        <v>3593</v>
      </c>
      <c r="D285" s="415" t="s">
        <v>2684</v>
      </c>
      <c r="E285" s="415" t="s">
        <v>2191</v>
      </c>
      <c r="F285" s="415" t="s">
        <v>2417</v>
      </c>
      <c r="G285" s="415" t="s">
        <v>3159</v>
      </c>
      <c r="H285" s="415">
        <v>0</v>
      </c>
      <c r="I285" s="415">
        <v>0</v>
      </c>
      <c r="J285" s="415" t="s">
        <v>3155</v>
      </c>
      <c r="K285" s="415">
        <v>1</v>
      </c>
      <c r="L285" s="415">
        <v>25</v>
      </c>
      <c r="M285" s="415">
        <v>485</v>
      </c>
      <c r="N285" s="415">
        <v>275</v>
      </c>
      <c r="O285" s="415">
        <v>538</v>
      </c>
      <c r="P285" s="415" t="s">
        <v>2699</v>
      </c>
      <c r="Q285" s="415" t="s">
        <v>2543</v>
      </c>
      <c r="R285" s="415">
        <v>25</v>
      </c>
      <c r="S285" s="415">
        <v>184</v>
      </c>
      <c r="T285" s="416">
        <v>184</v>
      </c>
      <c r="U285" s="416">
        <v>173</v>
      </c>
      <c r="V285" s="416">
        <v>168</v>
      </c>
      <c r="W285" s="416">
        <v>165</v>
      </c>
      <c r="X285" s="416">
        <v>162</v>
      </c>
      <c r="Y285" s="416">
        <v>160</v>
      </c>
      <c r="Z285" s="416">
        <v>158</v>
      </c>
      <c r="AA285" s="416">
        <v>155</v>
      </c>
      <c r="AB285" s="416">
        <v>151</v>
      </c>
      <c r="AC285" s="416">
        <v>147</v>
      </c>
      <c r="AD285" s="416">
        <v>142</v>
      </c>
      <c r="AE285" s="416">
        <v>136</v>
      </c>
      <c r="AF285" s="416">
        <v>130</v>
      </c>
      <c r="AG285" s="416">
        <v>122</v>
      </c>
      <c r="AH285" s="416">
        <v>101</v>
      </c>
      <c r="AI285" s="416">
        <v>83.8</v>
      </c>
      <c r="AJ285" s="416">
        <v>66.8</v>
      </c>
      <c r="AK285" s="416">
        <v>49.2</v>
      </c>
      <c r="AL285" s="416">
        <v>25</v>
      </c>
      <c r="AM285" s="416">
        <v>35.4</v>
      </c>
      <c r="AN285" s="416">
        <v>22.6</v>
      </c>
      <c r="AO285" s="416">
        <v>13.3</v>
      </c>
      <c r="AP285" s="416">
        <v>0</v>
      </c>
      <c r="AQ285" s="416">
        <v>0</v>
      </c>
      <c r="AR285" s="416">
        <v>0</v>
      </c>
      <c r="AS285" s="416">
        <v>0</v>
      </c>
      <c r="AT285" s="416">
        <v>0</v>
      </c>
      <c r="AU285" s="416">
        <v>0</v>
      </c>
      <c r="AV285" s="416">
        <v>0</v>
      </c>
      <c r="AW285" s="416">
        <v>0</v>
      </c>
      <c r="AX285" s="416">
        <v>0</v>
      </c>
      <c r="AY285" s="416">
        <v>0</v>
      </c>
      <c r="AZ285" s="416">
        <v>0</v>
      </c>
    </row>
    <row r="286" spans="1:52" x14ac:dyDescent="0.25">
      <c r="A286" s="415" t="str">
        <f t="shared" si="4"/>
        <v>SA-352 Gr.LC3</v>
      </c>
      <c r="B286" s="415">
        <v>281</v>
      </c>
      <c r="C286" s="415" t="s">
        <v>3593</v>
      </c>
      <c r="D286" s="415" t="s">
        <v>2739</v>
      </c>
      <c r="E286" s="415" t="s">
        <v>2214</v>
      </c>
      <c r="F286" s="415" t="s">
        <v>2497</v>
      </c>
      <c r="G286" s="415" t="s">
        <v>3162</v>
      </c>
      <c r="H286" s="415">
        <v>0</v>
      </c>
      <c r="I286" s="415">
        <v>0</v>
      </c>
      <c r="J286" s="415" t="s">
        <v>3155</v>
      </c>
      <c r="K286" s="415">
        <v>1</v>
      </c>
      <c r="L286" s="415">
        <v>26</v>
      </c>
      <c r="M286" s="415">
        <v>485</v>
      </c>
      <c r="N286" s="415">
        <v>275</v>
      </c>
      <c r="O286" s="415">
        <v>343</v>
      </c>
      <c r="P286" s="415" t="s">
        <v>2699</v>
      </c>
      <c r="Q286" s="415">
        <v>0</v>
      </c>
      <c r="R286" s="415">
        <v>26</v>
      </c>
      <c r="S286" s="415">
        <v>184</v>
      </c>
      <c r="T286" s="416">
        <v>184</v>
      </c>
      <c r="U286" s="416">
        <v>173</v>
      </c>
      <c r="V286" s="416">
        <v>168</v>
      </c>
      <c r="W286" s="416">
        <v>165</v>
      </c>
      <c r="X286" s="416">
        <v>162</v>
      </c>
      <c r="Y286" s="416">
        <v>160</v>
      </c>
      <c r="Z286" s="416">
        <v>158</v>
      </c>
      <c r="AA286" s="416">
        <v>155</v>
      </c>
      <c r="AB286" s="416">
        <v>151</v>
      </c>
      <c r="AC286" s="416">
        <v>147</v>
      </c>
      <c r="AD286" s="416">
        <v>142</v>
      </c>
      <c r="AE286" s="416">
        <v>136</v>
      </c>
      <c r="AF286" s="416">
        <v>130</v>
      </c>
      <c r="AG286" s="416">
        <v>0</v>
      </c>
      <c r="AH286" s="416">
        <v>0</v>
      </c>
      <c r="AI286" s="416">
        <v>0</v>
      </c>
      <c r="AJ286" s="416">
        <v>0</v>
      </c>
      <c r="AK286" s="416">
        <v>0</v>
      </c>
      <c r="AL286" s="416">
        <v>26</v>
      </c>
      <c r="AM286" s="416">
        <v>0</v>
      </c>
      <c r="AN286" s="416">
        <v>0</v>
      </c>
      <c r="AO286" s="416">
        <v>0</v>
      </c>
      <c r="AP286" s="416">
        <v>0</v>
      </c>
      <c r="AQ286" s="416">
        <v>0</v>
      </c>
      <c r="AR286" s="416">
        <v>0</v>
      </c>
      <c r="AS286" s="416">
        <v>0</v>
      </c>
      <c r="AT286" s="416">
        <v>0</v>
      </c>
      <c r="AU286" s="416">
        <v>0</v>
      </c>
      <c r="AV286" s="416">
        <v>0</v>
      </c>
      <c r="AW286" s="416">
        <v>0</v>
      </c>
      <c r="AX286" s="416">
        <v>0</v>
      </c>
      <c r="AY286" s="416">
        <v>0</v>
      </c>
      <c r="AZ286" s="416">
        <v>0</v>
      </c>
    </row>
    <row r="287" spans="1:52" x14ac:dyDescent="0.25">
      <c r="A287" s="415" t="str">
        <f t="shared" si="4"/>
        <v>SA-203 Gr.F</v>
      </c>
      <c r="B287" s="415">
        <v>282</v>
      </c>
      <c r="C287" s="415" t="s">
        <v>3593</v>
      </c>
      <c r="D287" s="415" t="s">
        <v>2684</v>
      </c>
      <c r="E287" s="415" t="s">
        <v>2191</v>
      </c>
      <c r="F287" s="415" t="s">
        <v>2423</v>
      </c>
      <c r="G287" s="415">
        <v>0</v>
      </c>
      <c r="H287" s="415">
        <v>0</v>
      </c>
      <c r="I287" s="415" t="s">
        <v>3594</v>
      </c>
      <c r="J287" s="415" t="s">
        <v>3155</v>
      </c>
      <c r="K287" s="415">
        <v>1</v>
      </c>
      <c r="L287" s="415">
        <v>27</v>
      </c>
      <c r="M287" s="415">
        <v>515</v>
      </c>
      <c r="N287" s="415">
        <v>345</v>
      </c>
      <c r="O287" s="415">
        <v>343</v>
      </c>
      <c r="P287" s="415" t="s">
        <v>2819</v>
      </c>
      <c r="Q287" s="415" t="s">
        <v>2535</v>
      </c>
      <c r="R287" s="415">
        <v>27</v>
      </c>
      <c r="S287" s="415">
        <v>215</v>
      </c>
      <c r="T287" s="416">
        <v>215</v>
      </c>
      <c r="U287" s="416">
        <v>215</v>
      </c>
      <c r="V287" s="416">
        <v>209</v>
      </c>
      <c r="W287" s="416">
        <v>206</v>
      </c>
      <c r="X287" s="416">
        <v>203</v>
      </c>
      <c r="Y287" s="416">
        <v>200</v>
      </c>
      <c r="Z287" s="416">
        <v>197</v>
      </c>
      <c r="AA287" s="416">
        <v>193</v>
      </c>
      <c r="AB287" s="416">
        <v>189</v>
      </c>
      <c r="AC287" s="416">
        <v>183</v>
      </c>
      <c r="AD287" s="416">
        <v>177</v>
      </c>
      <c r="AE287" s="416">
        <v>170</v>
      </c>
      <c r="AF287" s="416">
        <v>148</v>
      </c>
      <c r="AG287" s="416">
        <v>0</v>
      </c>
      <c r="AH287" s="416">
        <v>0</v>
      </c>
      <c r="AI287" s="416">
        <v>0</v>
      </c>
      <c r="AJ287" s="416">
        <v>0</v>
      </c>
      <c r="AK287" s="416">
        <v>0</v>
      </c>
      <c r="AL287" s="416">
        <v>27</v>
      </c>
      <c r="AM287" s="416">
        <v>0</v>
      </c>
      <c r="AN287" s="416">
        <v>0</v>
      </c>
      <c r="AO287" s="416">
        <v>0</v>
      </c>
      <c r="AP287" s="416">
        <v>0</v>
      </c>
      <c r="AQ287" s="416">
        <v>0</v>
      </c>
      <c r="AR287" s="416">
        <v>0</v>
      </c>
      <c r="AS287" s="416">
        <v>0</v>
      </c>
      <c r="AT287" s="416">
        <v>0</v>
      </c>
      <c r="AU287" s="416">
        <v>0</v>
      </c>
      <c r="AV287" s="416">
        <v>0</v>
      </c>
      <c r="AW287" s="416">
        <v>0</v>
      </c>
      <c r="AX287" s="416">
        <v>0</v>
      </c>
      <c r="AY287" s="416">
        <v>0</v>
      </c>
      <c r="AZ287" s="416">
        <v>0</v>
      </c>
    </row>
    <row r="288" spans="1:52" x14ac:dyDescent="0.25">
      <c r="A288" s="415" t="str">
        <f t="shared" si="4"/>
        <v>SA-203 Gr.F</v>
      </c>
      <c r="B288" s="415">
        <v>283</v>
      </c>
      <c r="C288" s="415" t="s">
        <v>3593</v>
      </c>
      <c r="D288" s="415" t="s">
        <v>2684</v>
      </c>
      <c r="E288" s="415" t="s">
        <v>2191</v>
      </c>
      <c r="F288" s="415" t="s">
        <v>2423</v>
      </c>
      <c r="G288" s="415">
        <v>0</v>
      </c>
      <c r="H288" s="415">
        <v>0</v>
      </c>
      <c r="I288" s="415" t="s">
        <v>3513</v>
      </c>
      <c r="J288" s="415" t="s">
        <v>3155</v>
      </c>
      <c r="K288" s="415">
        <v>1</v>
      </c>
      <c r="L288" s="415">
        <v>28</v>
      </c>
      <c r="M288" s="415">
        <v>550</v>
      </c>
      <c r="N288" s="415">
        <v>380</v>
      </c>
      <c r="O288" s="415">
        <v>343</v>
      </c>
      <c r="P288" s="415" t="s">
        <v>2819</v>
      </c>
      <c r="Q288" s="415">
        <v>0</v>
      </c>
      <c r="R288" s="415">
        <v>28</v>
      </c>
      <c r="S288" s="415">
        <v>230</v>
      </c>
      <c r="T288" s="416">
        <v>230</v>
      </c>
      <c r="U288" s="416">
        <v>230</v>
      </c>
      <c r="V288" s="416">
        <v>230</v>
      </c>
      <c r="W288" s="416">
        <v>0</v>
      </c>
      <c r="X288" s="416">
        <v>0</v>
      </c>
      <c r="Y288" s="416">
        <v>0</v>
      </c>
      <c r="Z288" s="416">
        <v>0</v>
      </c>
      <c r="AA288" s="416">
        <v>0</v>
      </c>
      <c r="AB288" s="416">
        <v>0</v>
      </c>
      <c r="AC288" s="416">
        <v>0</v>
      </c>
      <c r="AD288" s="416">
        <v>0</v>
      </c>
      <c r="AE288" s="416">
        <v>0</v>
      </c>
      <c r="AF288" s="416">
        <v>0</v>
      </c>
      <c r="AG288" s="416">
        <v>0</v>
      </c>
      <c r="AH288" s="416">
        <v>0</v>
      </c>
      <c r="AI288" s="416">
        <v>0</v>
      </c>
      <c r="AJ288" s="416">
        <v>0</v>
      </c>
      <c r="AK288" s="416">
        <v>0</v>
      </c>
      <c r="AL288" s="416">
        <v>28</v>
      </c>
      <c r="AM288" s="416">
        <v>0</v>
      </c>
      <c r="AN288" s="416">
        <v>0</v>
      </c>
      <c r="AO288" s="416">
        <v>0</v>
      </c>
      <c r="AP288" s="416">
        <v>0</v>
      </c>
      <c r="AQ288" s="416">
        <v>0</v>
      </c>
      <c r="AR288" s="416">
        <v>0</v>
      </c>
      <c r="AS288" s="416">
        <v>0</v>
      </c>
      <c r="AT288" s="416">
        <v>0</v>
      </c>
      <c r="AU288" s="416">
        <v>0</v>
      </c>
      <c r="AV288" s="416">
        <v>0</v>
      </c>
      <c r="AW288" s="416">
        <v>0</v>
      </c>
      <c r="AX288" s="416">
        <v>0</v>
      </c>
      <c r="AY288" s="416">
        <v>0</v>
      </c>
      <c r="AZ288" s="416">
        <v>0</v>
      </c>
    </row>
    <row r="289" spans="1:52" x14ac:dyDescent="0.25">
      <c r="A289" s="415" t="str">
        <f t="shared" si="4"/>
        <v>SA-508 Gr.4N</v>
      </c>
      <c r="B289" s="415">
        <v>284</v>
      </c>
      <c r="C289" s="415" t="s">
        <v>3595</v>
      </c>
      <c r="D289" s="415" t="s">
        <v>2737</v>
      </c>
      <c r="E289" s="415" t="s">
        <v>2249</v>
      </c>
      <c r="F289" s="415" t="s">
        <v>2292</v>
      </c>
      <c r="G289" s="415" t="s">
        <v>3165</v>
      </c>
      <c r="H289" s="415">
        <v>3</v>
      </c>
      <c r="I289" s="415">
        <v>0</v>
      </c>
      <c r="J289" s="415">
        <v>3</v>
      </c>
      <c r="K289" s="415">
        <v>3</v>
      </c>
      <c r="L289" s="415">
        <v>29</v>
      </c>
      <c r="M289" s="415">
        <v>620</v>
      </c>
      <c r="N289" s="415">
        <v>485</v>
      </c>
      <c r="O289" s="415">
        <v>343</v>
      </c>
      <c r="P289" s="415" t="s">
        <v>2838</v>
      </c>
      <c r="Q289" s="415">
        <v>0</v>
      </c>
      <c r="R289" s="415">
        <v>29</v>
      </c>
      <c r="S289" s="415">
        <v>259</v>
      </c>
      <c r="T289" s="416">
        <v>259</v>
      </c>
      <c r="U289" s="416">
        <v>259</v>
      </c>
      <c r="V289" s="416">
        <v>0</v>
      </c>
      <c r="W289" s="416">
        <v>0</v>
      </c>
      <c r="X289" s="416">
        <v>0</v>
      </c>
      <c r="Y289" s="416">
        <v>0</v>
      </c>
      <c r="Z289" s="416">
        <v>0</v>
      </c>
      <c r="AA289" s="416">
        <v>0</v>
      </c>
      <c r="AB289" s="416">
        <v>0</v>
      </c>
      <c r="AC289" s="416">
        <v>0</v>
      </c>
      <c r="AD289" s="416">
        <v>0</v>
      </c>
      <c r="AE289" s="416">
        <v>0</v>
      </c>
      <c r="AF289" s="416">
        <v>0</v>
      </c>
      <c r="AG289" s="416">
        <v>0</v>
      </c>
      <c r="AH289" s="416">
        <v>0</v>
      </c>
      <c r="AI289" s="416">
        <v>0</v>
      </c>
      <c r="AJ289" s="416">
        <v>0</v>
      </c>
      <c r="AK289" s="416">
        <v>0</v>
      </c>
      <c r="AL289" s="416">
        <v>29</v>
      </c>
      <c r="AM289" s="416">
        <v>0</v>
      </c>
      <c r="AN289" s="416">
        <v>0</v>
      </c>
      <c r="AO289" s="416">
        <v>0</v>
      </c>
      <c r="AP289" s="416">
        <v>0</v>
      </c>
      <c r="AQ289" s="416">
        <v>0</v>
      </c>
      <c r="AR289" s="416">
        <v>0</v>
      </c>
      <c r="AS289" s="416">
        <v>0</v>
      </c>
      <c r="AT289" s="416">
        <v>0</v>
      </c>
      <c r="AU289" s="416">
        <v>0</v>
      </c>
      <c r="AV289" s="416">
        <v>0</v>
      </c>
      <c r="AW289" s="416">
        <v>0</v>
      </c>
      <c r="AX289" s="416">
        <v>0</v>
      </c>
      <c r="AY289" s="416">
        <v>0</v>
      </c>
      <c r="AZ289" s="416">
        <v>0</v>
      </c>
    </row>
    <row r="290" spans="1:52" x14ac:dyDescent="0.25">
      <c r="A290" s="415" t="str">
        <f t="shared" si="4"/>
        <v>SA-508 Gr.4N</v>
      </c>
      <c r="B290" s="415">
        <v>285</v>
      </c>
      <c r="C290" s="415" t="s">
        <v>3595</v>
      </c>
      <c r="D290" s="415" t="s">
        <v>2737</v>
      </c>
      <c r="E290" s="415" t="s">
        <v>2249</v>
      </c>
      <c r="F290" s="415" t="s">
        <v>2292</v>
      </c>
      <c r="G290" s="415" t="s">
        <v>3165</v>
      </c>
      <c r="H290" s="415">
        <v>1</v>
      </c>
      <c r="I290" s="415">
        <v>0</v>
      </c>
      <c r="J290" s="415" t="s">
        <v>3093</v>
      </c>
      <c r="K290" s="415">
        <v>5</v>
      </c>
      <c r="L290" s="415">
        <v>30</v>
      </c>
      <c r="M290" s="415">
        <v>725</v>
      </c>
      <c r="N290" s="415">
        <v>585</v>
      </c>
      <c r="O290" s="415">
        <v>343</v>
      </c>
      <c r="P290" s="415" t="s">
        <v>2838</v>
      </c>
      <c r="Q290" s="415" t="s">
        <v>3592</v>
      </c>
      <c r="R290" s="415">
        <v>30</v>
      </c>
      <c r="S290" s="415">
        <v>302</v>
      </c>
      <c r="T290" s="416">
        <v>302</v>
      </c>
      <c r="U290" s="416">
        <v>302</v>
      </c>
      <c r="V290" s="416">
        <v>0</v>
      </c>
      <c r="W290" s="416">
        <v>0</v>
      </c>
      <c r="X290" s="416">
        <v>0</v>
      </c>
      <c r="Y290" s="416">
        <v>0</v>
      </c>
      <c r="Z290" s="416">
        <v>0</v>
      </c>
      <c r="AA290" s="416">
        <v>0</v>
      </c>
      <c r="AB290" s="416">
        <v>0</v>
      </c>
      <c r="AC290" s="416">
        <v>0</v>
      </c>
      <c r="AD290" s="416">
        <v>0</v>
      </c>
      <c r="AE290" s="416">
        <v>0</v>
      </c>
      <c r="AF290" s="416">
        <v>0</v>
      </c>
      <c r="AG290" s="416">
        <v>0</v>
      </c>
      <c r="AH290" s="416">
        <v>0</v>
      </c>
      <c r="AI290" s="416">
        <v>0</v>
      </c>
      <c r="AJ290" s="416">
        <v>0</v>
      </c>
      <c r="AK290" s="416">
        <v>0</v>
      </c>
      <c r="AL290" s="416">
        <v>30</v>
      </c>
      <c r="AM290" s="416">
        <v>0</v>
      </c>
      <c r="AN290" s="416">
        <v>0</v>
      </c>
      <c r="AO290" s="416">
        <v>0</v>
      </c>
      <c r="AP290" s="416">
        <v>0</v>
      </c>
      <c r="AQ290" s="416">
        <v>0</v>
      </c>
      <c r="AR290" s="416">
        <v>0</v>
      </c>
      <c r="AS290" s="416">
        <v>0</v>
      </c>
      <c r="AT290" s="416">
        <v>0</v>
      </c>
      <c r="AU290" s="416">
        <v>0</v>
      </c>
      <c r="AV290" s="416">
        <v>0</v>
      </c>
      <c r="AW290" s="416">
        <v>0</v>
      </c>
      <c r="AX290" s="416">
        <v>0</v>
      </c>
      <c r="AY290" s="416">
        <v>0</v>
      </c>
      <c r="AZ290" s="416">
        <v>0</v>
      </c>
    </row>
    <row r="291" spans="1:52" x14ac:dyDescent="0.25">
      <c r="A291" s="415" t="str">
        <f t="shared" si="4"/>
        <v>SA-508 Gr.4N</v>
      </c>
      <c r="B291" s="415">
        <v>286</v>
      </c>
      <c r="C291" s="415" t="s">
        <v>3595</v>
      </c>
      <c r="D291" s="415" t="s">
        <v>2737</v>
      </c>
      <c r="E291" s="415" t="s">
        <v>2249</v>
      </c>
      <c r="F291" s="415" t="s">
        <v>2292</v>
      </c>
      <c r="G291" s="415" t="s">
        <v>3165</v>
      </c>
      <c r="H291" s="415">
        <v>2</v>
      </c>
      <c r="I291" s="415">
        <v>0</v>
      </c>
      <c r="J291" s="415" t="s">
        <v>2895</v>
      </c>
      <c r="K291" s="415">
        <v>10</v>
      </c>
      <c r="L291" s="415">
        <v>31</v>
      </c>
      <c r="M291" s="415">
        <v>795</v>
      </c>
      <c r="N291" s="415">
        <v>690</v>
      </c>
      <c r="O291" s="415">
        <v>343</v>
      </c>
      <c r="P291" s="415" t="s">
        <v>2896</v>
      </c>
      <c r="Q291" s="415">
        <v>0</v>
      </c>
      <c r="R291" s="415">
        <v>31</v>
      </c>
      <c r="S291" s="415">
        <v>330</v>
      </c>
      <c r="T291" s="416">
        <v>330</v>
      </c>
      <c r="U291" s="416">
        <v>330</v>
      </c>
      <c r="V291" s="416">
        <v>0</v>
      </c>
      <c r="W291" s="416">
        <v>0</v>
      </c>
      <c r="X291" s="416">
        <v>0</v>
      </c>
      <c r="Y291" s="416">
        <v>0</v>
      </c>
      <c r="Z291" s="416">
        <v>0</v>
      </c>
      <c r="AA291" s="416">
        <v>0</v>
      </c>
      <c r="AB291" s="416">
        <v>0</v>
      </c>
      <c r="AC291" s="416">
        <v>0</v>
      </c>
      <c r="AD291" s="416">
        <v>0</v>
      </c>
      <c r="AE291" s="416">
        <v>0</v>
      </c>
      <c r="AF291" s="416">
        <v>0</v>
      </c>
      <c r="AG291" s="416">
        <v>0</v>
      </c>
      <c r="AH291" s="416">
        <v>0</v>
      </c>
      <c r="AI291" s="416">
        <v>0</v>
      </c>
      <c r="AJ291" s="416">
        <v>0</v>
      </c>
      <c r="AK291" s="416">
        <v>0</v>
      </c>
      <c r="AL291" s="416">
        <v>31</v>
      </c>
      <c r="AM291" s="416">
        <v>0</v>
      </c>
      <c r="AN291" s="416">
        <v>0</v>
      </c>
      <c r="AO291" s="416">
        <v>0</v>
      </c>
      <c r="AP291" s="416">
        <v>0</v>
      </c>
      <c r="AQ291" s="416">
        <v>0</v>
      </c>
      <c r="AR291" s="416">
        <v>0</v>
      </c>
      <c r="AS291" s="416">
        <v>0</v>
      </c>
      <c r="AT291" s="416">
        <v>0</v>
      </c>
      <c r="AU291" s="416">
        <v>0</v>
      </c>
      <c r="AV291" s="416">
        <v>0</v>
      </c>
      <c r="AW291" s="416">
        <v>0</v>
      </c>
      <c r="AX291" s="416">
        <v>0</v>
      </c>
      <c r="AY291" s="416">
        <v>0</v>
      </c>
      <c r="AZ291" s="416">
        <v>0</v>
      </c>
    </row>
    <row r="292" spans="1:52" x14ac:dyDescent="0.25">
      <c r="A292" s="415" t="str">
        <f t="shared" si="4"/>
        <v>SA-723 Gr.3</v>
      </c>
      <c r="B292" s="415">
        <v>287</v>
      </c>
      <c r="C292" s="415" t="s">
        <v>3596</v>
      </c>
      <c r="D292" s="415" t="s">
        <v>2737</v>
      </c>
      <c r="E292" s="415" t="s">
        <v>2305</v>
      </c>
      <c r="F292" s="415">
        <v>3</v>
      </c>
      <c r="G292" s="415" t="s">
        <v>3168</v>
      </c>
      <c r="H292" s="415">
        <v>1</v>
      </c>
      <c r="I292" s="415">
        <v>0</v>
      </c>
      <c r="J292" s="415" t="s">
        <v>2895</v>
      </c>
      <c r="K292" s="415">
        <v>10</v>
      </c>
      <c r="L292" s="415">
        <v>32</v>
      </c>
      <c r="M292" s="415">
        <v>795</v>
      </c>
      <c r="N292" s="415">
        <v>690</v>
      </c>
      <c r="O292" s="415">
        <v>343</v>
      </c>
      <c r="P292" s="415" t="s">
        <v>2896</v>
      </c>
      <c r="Q292" s="415" t="s">
        <v>3586</v>
      </c>
      <c r="R292" s="415">
        <v>32</v>
      </c>
      <c r="S292" s="415">
        <v>330</v>
      </c>
      <c r="T292" s="416">
        <v>330</v>
      </c>
      <c r="U292" s="416">
        <v>330</v>
      </c>
      <c r="V292" s="416">
        <v>330</v>
      </c>
      <c r="W292" s="416">
        <v>330</v>
      </c>
      <c r="X292" s="416">
        <v>330</v>
      </c>
      <c r="Y292" s="416">
        <v>330</v>
      </c>
      <c r="Z292" s="416">
        <v>330</v>
      </c>
      <c r="AA292" s="416">
        <v>330</v>
      </c>
      <c r="AB292" s="416">
        <v>330</v>
      </c>
      <c r="AC292" s="416">
        <v>330</v>
      </c>
      <c r="AD292" s="416">
        <v>330</v>
      </c>
      <c r="AE292" s="416">
        <v>330</v>
      </c>
      <c r="AF292" s="416">
        <v>330</v>
      </c>
      <c r="AG292" s="416">
        <v>0</v>
      </c>
      <c r="AH292" s="416">
        <v>0</v>
      </c>
      <c r="AI292" s="416">
        <v>0</v>
      </c>
      <c r="AJ292" s="416">
        <v>0</v>
      </c>
      <c r="AK292" s="416">
        <v>0</v>
      </c>
      <c r="AL292" s="416">
        <v>32</v>
      </c>
      <c r="AM292" s="416">
        <v>0</v>
      </c>
      <c r="AN292" s="416">
        <v>0</v>
      </c>
      <c r="AO292" s="416">
        <v>0</v>
      </c>
      <c r="AP292" s="416">
        <v>0</v>
      </c>
      <c r="AQ292" s="416">
        <v>0</v>
      </c>
      <c r="AR292" s="416">
        <v>0</v>
      </c>
      <c r="AS292" s="416">
        <v>0</v>
      </c>
      <c r="AT292" s="416">
        <v>0</v>
      </c>
      <c r="AU292" s="416">
        <v>0</v>
      </c>
      <c r="AV292" s="416">
        <v>0</v>
      </c>
      <c r="AW292" s="416">
        <v>0</v>
      </c>
      <c r="AX292" s="416">
        <v>0</v>
      </c>
      <c r="AY292" s="416">
        <v>0</v>
      </c>
      <c r="AZ292" s="416">
        <v>0</v>
      </c>
    </row>
    <row r="293" spans="1:52" x14ac:dyDescent="0.25">
      <c r="A293" s="415" t="str">
        <f t="shared" si="4"/>
        <v>SA-723 Gr.3</v>
      </c>
      <c r="B293" s="415">
        <v>288</v>
      </c>
      <c r="C293" s="415" t="s">
        <v>3596</v>
      </c>
      <c r="D293" s="415" t="s">
        <v>2737</v>
      </c>
      <c r="E293" s="415" t="s">
        <v>2305</v>
      </c>
      <c r="F293" s="415">
        <v>3</v>
      </c>
      <c r="G293" s="415" t="s">
        <v>3168</v>
      </c>
      <c r="H293" s="415">
        <v>2</v>
      </c>
      <c r="I293" s="415">
        <v>0</v>
      </c>
      <c r="J293" s="415" t="s">
        <v>2895</v>
      </c>
      <c r="K293" s="415">
        <v>10</v>
      </c>
      <c r="L293" s="415">
        <v>33</v>
      </c>
      <c r="M293" s="415">
        <v>930</v>
      </c>
      <c r="N293" s="415">
        <v>825</v>
      </c>
      <c r="O293" s="415">
        <v>343</v>
      </c>
      <c r="P293" s="415" t="s">
        <v>2896</v>
      </c>
      <c r="Q293" s="415" t="s">
        <v>3587</v>
      </c>
      <c r="R293" s="415">
        <v>33</v>
      </c>
      <c r="S293" s="415">
        <v>388</v>
      </c>
      <c r="T293" s="416">
        <v>388</v>
      </c>
      <c r="U293" s="416">
        <v>388</v>
      </c>
      <c r="V293" s="416">
        <v>388</v>
      </c>
      <c r="W293" s="416">
        <v>388</v>
      </c>
      <c r="X293" s="416">
        <v>388</v>
      </c>
      <c r="Y293" s="416">
        <v>388</v>
      </c>
      <c r="Z293" s="416">
        <v>388</v>
      </c>
      <c r="AA293" s="416">
        <v>388</v>
      </c>
      <c r="AB293" s="416">
        <v>388</v>
      </c>
      <c r="AC293" s="416">
        <v>388</v>
      </c>
      <c r="AD293" s="416">
        <v>388</v>
      </c>
      <c r="AE293" s="416">
        <v>388</v>
      </c>
      <c r="AF293" s="416">
        <v>388</v>
      </c>
      <c r="AG293" s="416">
        <v>0</v>
      </c>
      <c r="AH293" s="416">
        <v>0</v>
      </c>
      <c r="AI293" s="416">
        <v>0</v>
      </c>
      <c r="AJ293" s="416">
        <v>0</v>
      </c>
      <c r="AK293" s="416">
        <v>0</v>
      </c>
      <c r="AL293" s="416">
        <v>33</v>
      </c>
      <c r="AM293" s="416">
        <v>0</v>
      </c>
      <c r="AN293" s="416">
        <v>0</v>
      </c>
      <c r="AO293" s="416">
        <v>0</v>
      </c>
      <c r="AP293" s="416">
        <v>0</v>
      </c>
      <c r="AQ293" s="416">
        <v>0</v>
      </c>
      <c r="AR293" s="416">
        <v>0</v>
      </c>
      <c r="AS293" s="416">
        <v>0</v>
      </c>
      <c r="AT293" s="416">
        <v>0</v>
      </c>
      <c r="AU293" s="416">
        <v>0</v>
      </c>
      <c r="AV293" s="416">
        <v>0</v>
      </c>
      <c r="AW293" s="416">
        <v>0</v>
      </c>
      <c r="AX293" s="416">
        <v>0</v>
      </c>
      <c r="AY293" s="416">
        <v>0</v>
      </c>
      <c r="AZ293" s="416">
        <v>0</v>
      </c>
    </row>
    <row r="294" spans="1:52" x14ac:dyDescent="0.25">
      <c r="A294" s="415" t="str">
        <f t="shared" si="4"/>
        <v>SA-645 Gr.A</v>
      </c>
      <c r="B294" s="415">
        <v>289</v>
      </c>
      <c r="C294" s="415" t="s">
        <v>3597</v>
      </c>
      <c r="D294" s="415" t="s">
        <v>2684</v>
      </c>
      <c r="E294" s="415" t="s">
        <v>2285</v>
      </c>
      <c r="F294" s="415" t="s">
        <v>12</v>
      </c>
      <c r="G294" s="415" t="s">
        <v>3170</v>
      </c>
      <c r="H294" s="415">
        <v>0</v>
      </c>
      <c r="I294" s="415">
        <v>0</v>
      </c>
      <c r="J294" s="415" t="s">
        <v>3093</v>
      </c>
      <c r="K294" s="415">
        <v>2</v>
      </c>
      <c r="L294" s="415">
        <v>34</v>
      </c>
      <c r="M294" s="415">
        <v>655</v>
      </c>
      <c r="N294" s="415">
        <v>450</v>
      </c>
      <c r="O294" s="415">
        <v>121</v>
      </c>
      <c r="P294" s="415" t="s">
        <v>2819</v>
      </c>
      <c r="Q294" s="415" t="s">
        <v>3598</v>
      </c>
      <c r="R294" s="415">
        <v>34</v>
      </c>
      <c r="S294" s="415">
        <v>273</v>
      </c>
      <c r="T294" s="416">
        <v>273</v>
      </c>
      <c r="U294" s="416">
        <v>273</v>
      </c>
      <c r="V294" s="416">
        <v>273</v>
      </c>
      <c r="W294" s="416">
        <v>273</v>
      </c>
      <c r="X294" s="416">
        <v>0</v>
      </c>
      <c r="Y294" s="416">
        <v>0</v>
      </c>
      <c r="Z294" s="416">
        <v>0</v>
      </c>
      <c r="AA294" s="416">
        <v>0</v>
      </c>
      <c r="AB294" s="416">
        <v>0</v>
      </c>
      <c r="AC294" s="416">
        <v>0</v>
      </c>
      <c r="AD294" s="416">
        <v>0</v>
      </c>
      <c r="AE294" s="416">
        <v>0</v>
      </c>
      <c r="AF294" s="416">
        <v>0</v>
      </c>
      <c r="AG294" s="416">
        <v>0</v>
      </c>
      <c r="AH294" s="416">
        <v>0</v>
      </c>
      <c r="AI294" s="416">
        <v>0</v>
      </c>
      <c r="AJ294" s="416">
        <v>0</v>
      </c>
      <c r="AK294" s="416">
        <v>0</v>
      </c>
      <c r="AL294" s="416">
        <v>34</v>
      </c>
      <c r="AM294" s="416">
        <v>0</v>
      </c>
      <c r="AN294" s="416">
        <v>0</v>
      </c>
      <c r="AO294" s="416">
        <v>0</v>
      </c>
      <c r="AP294" s="416">
        <v>0</v>
      </c>
      <c r="AQ294" s="416">
        <v>0</v>
      </c>
      <c r="AR294" s="416">
        <v>0</v>
      </c>
      <c r="AS294" s="416">
        <v>0</v>
      </c>
      <c r="AT294" s="416">
        <v>0</v>
      </c>
      <c r="AU294" s="416">
        <v>0</v>
      </c>
      <c r="AV294" s="416">
        <v>0</v>
      </c>
      <c r="AW294" s="416">
        <v>0</v>
      </c>
      <c r="AX294" s="416">
        <v>0</v>
      </c>
      <c r="AY294" s="416">
        <v>0</v>
      </c>
      <c r="AZ294" s="416">
        <v>0</v>
      </c>
    </row>
    <row r="295" spans="1:52" x14ac:dyDescent="0.25">
      <c r="A295" s="415" t="str">
        <f t="shared" si="4"/>
        <v>SA-553 Gr.II</v>
      </c>
      <c r="B295" s="415">
        <v>290</v>
      </c>
      <c r="C295" s="415" t="s">
        <v>3171</v>
      </c>
      <c r="D295" s="415" t="s">
        <v>2684</v>
      </c>
      <c r="E295" s="415" t="s">
        <v>2269</v>
      </c>
      <c r="F295" s="415" t="s">
        <v>2484</v>
      </c>
      <c r="G295" s="415" t="s">
        <v>3172</v>
      </c>
      <c r="H295" s="415">
        <v>0</v>
      </c>
      <c r="I295" s="415">
        <v>0</v>
      </c>
      <c r="J295" s="415" t="s">
        <v>3093</v>
      </c>
      <c r="K295" s="415">
        <v>1</v>
      </c>
      <c r="L295" s="415">
        <v>35</v>
      </c>
      <c r="M295" s="415">
        <v>690</v>
      </c>
      <c r="N295" s="415">
        <v>585</v>
      </c>
      <c r="O295" s="415">
        <v>121</v>
      </c>
      <c r="P295" s="415" t="s">
        <v>2819</v>
      </c>
      <c r="Q295" s="415" t="s">
        <v>3599</v>
      </c>
      <c r="R295" s="415">
        <v>35</v>
      </c>
      <c r="S295" s="415">
        <v>287</v>
      </c>
      <c r="T295" s="416">
        <v>287</v>
      </c>
      <c r="U295" s="416">
        <v>287</v>
      </c>
      <c r="V295" s="416">
        <v>287</v>
      </c>
      <c r="W295" s="416">
        <v>287</v>
      </c>
      <c r="X295" s="416">
        <v>0</v>
      </c>
      <c r="Y295" s="416">
        <v>0</v>
      </c>
      <c r="Z295" s="416">
        <v>0</v>
      </c>
      <c r="AA295" s="416">
        <v>0</v>
      </c>
      <c r="AB295" s="416">
        <v>0</v>
      </c>
      <c r="AC295" s="416">
        <v>0</v>
      </c>
      <c r="AD295" s="416">
        <v>0</v>
      </c>
      <c r="AE295" s="416">
        <v>0</v>
      </c>
      <c r="AF295" s="416">
        <v>0</v>
      </c>
      <c r="AG295" s="416">
        <v>0</v>
      </c>
      <c r="AH295" s="416">
        <v>0</v>
      </c>
      <c r="AI295" s="416">
        <v>0</v>
      </c>
      <c r="AJ295" s="416">
        <v>0</v>
      </c>
      <c r="AK295" s="416">
        <v>0</v>
      </c>
      <c r="AL295" s="416">
        <v>35</v>
      </c>
      <c r="AM295" s="416">
        <v>0</v>
      </c>
      <c r="AN295" s="416">
        <v>0</v>
      </c>
      <c r="AO295" s="416">
        <v>0</v>
      </c>
      <c r="AP295" s="416">
        <v>0</v>
      </c>
      <c r="AQ295" s="416">
        <v>0</v>
      </c>
      <c r="AR295" s="416">
        <v>0</v>
      </c>
      <c r="AS295" s="416">
        <v>0</v>
      </c>
      <c r="AT295" s="416">
        <v>0</v>
      </c>
      <c r="AU295" s="416">
        <v>0</v>
      </c>
      <c r="AV295" s="416">
        <v>0</v>
      </c>
      <c r="AW295" s="416">
        <v>0</v>
      </c>
      <c r="AX295" s="416">
        <v>0</v>
      </c>
      <c r="AY295" s="416">
        <v>0</v>
      </c>
      <c r="AZ295" s="416">
        <v>0</v>
      </c>
    </row>
    <row r="296" spans="1:52" x14ac:dyDescent="0.25">
      <c r="A296" s="415" t="str">
        <f t="shared" si="4"/>
        <v>SA-553 Gr.II</v>
      </c>
      <c r="B296" s="415">
        <v>291</v>
      </c>
      <c r="C296" s="415" t="s">
        <v>3171</v>
      </c>
      <c r="D296" s="415" t="s">
        <v>2684</v>
      </c>
      <c r="E296" s="415" t="s">
        <v>2269</v>
      </c>
      <c r="F296" s="415" t="s">
        <v>2484</v>
      </c>
      <c r="G296" s="415" t="s">
        <v>3172</v>
      </c>
      <c r="H296" s="415">
        <v>0</v>
      </c>
      <c r="I296" s="415">
        <v>0</v>
      </c>
      <c r="J296" s="415" t="s">
        <v>3093</v>
      </c>
      <c r="K296" s="415">
        <v>1</v>
      </c>
      <c r="L296" s="415">
        <v>36</v>
      </c>
      <c r="M296" s="415">
        <v>690</v>
      </c>
      <c r="N296" s="415">
        <v>585</v>
      </c>
      <c r="O296" s="415">
        <v>121</v>
      </c>
      <c r="P296" s="415" t="s">
        <v>2819</v>
      </c>
      <c r="Q296" s="415" t="s">
        <v>3598</v>
      </c>
      <c r="R296" s="415">
        <v>36</v>
      </c>
      <c r="S296" s="415">
        <v>273</v>
      </c>
      <c r="T296" s="416">
        <v>273</v>
      </c>
      <c r="U296" s="416">
        <v>273</v>
      </c>
      <c r="V296" s="416">
        <v>273</v>
      </c>
      <c r="W296" s="416">
        <v>273</v>
      </c>
      <c r="X296" s="416">
        <v>0</v>
      </c>
      <c r="Y296" s="416">
        <v>0</v>
      </c>
      <c r="Z296" s="416">
        <v>0</v>
      </c>
      <c r="AA296" s="416">
        <v>0</v>
      </c>
      <c r="AB296" s="416">
        <v>0</v>
      </c>
      <c r="AC296" s="416">
        <v>0</v>
      </c>
      <c r="AD296" s="416">
        <v>0</v>
      </c>
      <c r="AE296" s="416">
        <v>0</v>
      </c>
      <c r="AF296" s="416">
        <v>0</v>
      </c>
      <c r="AG296" s="416">
        <v>0</v>
      </c>
      <c r="AH296" s="416">
        <v>0</v>
      </c>
      <c r="AI296" s="416">
        <v>0</v>
      </c>
      <c r="AJ296" s="416">
        <v>0</v>
      </c>
      <c r="AK296" s="416">
        <v>0</v>
      </c>
      <c r="AL296" s="416">
        <v>36</v>
      </c>
      <c r="AM296" s="416">
        <v>0</v>
      </c>
      <c r="AN296" s="416">
        <v>0</v>
      </c>
      <c r="AO296" s="416">
        <v>0</v>
      </c>
      <c r="AP296" s="416">
        <v>0</v>
      </c>
      <c r="AQ296" s="416">
        <v>0</v>
      </c>
      <c r="AR296" s="416">
        <v>0</v>
      </c>
      <c r="AS296" s="416">
        <v>0</v>
      </c>
      <c r="AT296" s="416">
        <v>0</v>
      </c>
      <c r="AU296" s="416">
        <v>0</v>
      </c>
      <c r="AV296" s="416">
        <v>0</v>
      </c>
      <c r="AW296" s="416">
        <v>0</v>
      </c>
      <c r="AX296" s="416">
        <v>0</v>
      </c>
      <c r="AY296" s="416">
        <v>0</v>
      </c>
      <c r="AZ296" s="416">
        <v>0</v>
      </c>
    </row>
    <row r="297" spans="1:52" x14ac:dyDescent="0.25">
      <c r="A297" s="415" t="str">
        <f t="shared" si="4"/>
        <v>SA-333 Gr.8</v>
      </c>
      <c r="B297" s="415">
        <v>292</v>
      </c>
      <c r="C297" s="415" t="s">
        <v>3176</v>
      </c>
      <c r="D297" s="415" t="s">
        <v>2703</v>
      </c>
      <c r="E297" s="415" t="s">
        <v>2172</v>
      </c>
      <c r="F297" s="415">
        <v>8</v>
      </c>
      <c r="G297" s="415" t="s">
        <v>3177</v>
      </c>
      <c r="H297" s="415">
        <v>0</v>
      </c>
      <c r="I297" s="415">
        <v>0</v>
      </c>
      <c r="J297" s="415" t="s">
        <v>3093</v>
      </c>
      <c r="K297" s="415">
        <v>1</v>
      </c>
      <c r="L297" s="415">
        <v>37</v>
      </c>
      <c r="M297" s="415">
        <v>690</v>
      </c>
      <c r="N297" s="415">
        <v>515</v>
      </c>
      <c r="O297" s="415">
        <v>121</v>
      </c>
      <c r="P297" s="415" t="s">
        <v>2819</v>
      </c>
      <c r="Q297" s="415" t="s">
        <v>3599</v>
      </c>
      <c r="R297" s="415">
        <v>37</v>
      </c>
      <c r="S297" s="415">
        <v>287</v>
      </c>
      <c r="T297" s="416">
        <v>287</v>
      </c>
      <c r="U297" s="416">
        <v>287</v>
      </c>
      <c r="V297" s="416">
        <v>287</v>
      </c>
      <c r="W297" s="416">
        <v>287</v>
      </c>
      <c r="X297" s="416">
        <v>0</v>
      </c>
      <c r="Y297" s="416">
        <v>0</v>
      </c>
      <c r="Z297" s="416">
        <v>0</v>
      </c>
      <c r="AA297" s="416">
        <v>0</v>
      </c>
      <c r="AB297" s="416">
        <v>0</v>
      </c>
      <c r="AC297" s="416">
        <v>0</v>
      </c>
      <c r="AD297" s="416">
        <v>0</v>
      </c>
      <c r="AE297" s="416">
        <v>0</v>
      </c>
      <c r="AF297" s="416">
        <v>0</v>
      </c>
      <c r="AG297" s="416">
        <v>0</v>
      </c>
      <c r="AH297" s="416">
        <v>0</v>
      </c>
      <c r="AI297" s="416">
        <v>0</v>
      </c>
      <c r="AJ297" s="416">
        <v>0</v>
      </c>
      <c r="AK297" s="416">
        <v>0</v>
      </c>
      <c r="AL297" s="416">
        <v>37</v>
      </c>
      <c r="AM297" s="416">
        <v>0</v>
      </c>
      <c r="AN297" s="416">
        <v>0</v>
      </c>
      <c r="AO297" s="416">
        <v>0</v>
      </c>
      <c r="AP297" s="416">
        <v>0</v>
      </c>
      <c r="AQ297" s="416">
        <v>0</v>
      </c>
      <c r="AR297" s="416">
        <v>0</v>
      </c>
      <c r="AS297" s="416">
        <v>0</v>
      </c>
      <c r="AT297" s="416">
        <v>0</v>
      </c>
      <c r="AU297" s="416">
        <v>0</v>
      </c>
      <c r="AV297" s="416">
        <v>0</v>
      </c>
      <c r="AW297" s="416">
        <v>0</v>
      </c>
      <c r="AX297" s="416">
        <v>0</v>
      </c>
      <c r="AY297" s="416">
        <v>0</v>
      </c>
      <c r="AZ297" s="416">
        <v>0</v>
      </c>
    </row>
    <row r="298" spans="1:52" x14ac:dyDescent="0.25">
      <c r="A298" s="415" t="str">
        <f t="shared" si="4"/>
        <v>SA-333 Gr.8</v>
      </c>
      <c r="B298" s="415">
        <v>293</v>
      </c>
      <c r="C298" s="415" t="s">
        <v>3176</v>
      </c>
      <c r="D298" s="415" t="s">
        <v>2703</v>
      </c>
      <c r="E298" s="415" t="s">
        <v>2172</v>
      </c>
      <c r="F298" s="415">
        <v>8</v>
      </c>
      <c r="G298" s="415" t="s">
        <v>3177</v>
      </c>
      <c r="H298" s="415">
        <v>0</v>
      </c>
      <c r="I298" s="415">
        <v>0</v>
      </c>
      <c r="J298" s="415" t="s">
        <v>3093</v>
      </c>
      <c r="K298" s="415">
        <v>1</v>
      </c>
      <c r="L298" s="415">
        <v>38</v>
      </c>
      <c r="M298" s="415">
        <v>690</v>
      </c>
      <c r="N298" s="415">
        <v>515</v>
      </c>
      <c r="O298" s="415">
        <v>121</v>
      </c>
      <c r="P298" s="415" t="s">
        <v>2819</v>
      </c>
      <c r="Q298" s="415" t="s">
        <v>3598</v>
      </c>
      <c r="R298" s="415">
        <v>38</v>
      </c>
      <c r="S298" s="415">
        <v>273</v>
      </c>
      <c r="T298" s="416">
        <v>273</v>
      </c>
      <c r="U298" s="416">
        <v>273</v>
      </c>
      <c r="V298" s="416">
        <v>273</v>
      </c>
      <c r="W298" s="416">
        <v>273</v>
      </c>
      <c r="X298" s="416">
        <v>0</v>
      </c>
      <c r="Y298" s="416">
        <v>0</v>
      </c>
      <c r="Z298" s="416">
        <v>0</v>
      </c>
      <c r="AA298" s="416">
        <v>0</v>
      </c>
      <c r="AB298" s="416">
        <v>0</v>
      </c>
      <c r="AC298" s="416">
        <v>0</v>
      </c>
      <c r="AD298" s="416">
        <v>0</v>
      </c>
      <c r="AE298" s="416">
        <v>0</v>
      </c>
      <c r="AF298" s="416">
        <v>0</v>
      </c>
      <c r="AG298" s="416">
        <v>0</v>
      </c>
      <c r="AH298" s="416">
        <v>0</v>
      </c>
      <c r="AI298" s="416">
        <v>0</v>
      </c>
      <c r="AJ298" s="416">
        <v>0</v>
      </c>
      <c r="AK298" s="416">
        <v>0</v>
      </c>
      <c r="AL298" s="416">
        <v>38</v>
      </c>
      <c r="AM298" s="416">
        <v>0</v>
      </c>
      <c r="AN298" s="416">
        <v>0</v>
      </c>
      <c r="AO298" s="416">
        <v>0</v>
      </c>
      <c r="AP298" s="416">
        <v>0</v>
      </c>
      <c r="AQ298" s="416">
        <v>0</v>
      </c>
      <c r="AR298" s="416">
        <v>0</v>
      </c>
      <c r="AS298" s="416">
        <v>0</v>
      </c>
      <c r="AT298" s="416">
        <v>0</v>
      </c>
      <c r="AU298" s="416">
        <v>0</v>
      </c>
      <c r="AV298" s="416">
        <v>0</v>
      </c>
      <c r="AW298" s="416">
        <v>0</v>
      </c>
      <c r="AX298" s="416">
        <v>0</v>
      </c>
      <c r="AY298" s="416">
        <v>0</v>
      </c>
      <c r="AZ298" s="416">
        <v>0</v>
      </c>
    </row>
    <row r="299" spans="1:52" x14ac:dyDescent="0.25">
      <c r="A299" s="415" t="str">
        <f t="shared" si="4"/>
        <v>SA-334 Gr.8</v>
      </c>
      <c r="B299" s="415">
        <v>294</v>
      </c>
      <c r="C299" s="415" t="s">
        <v>3176</v>
      </c>
      <c r="D299" s="415" t="s">
        <v>2693</v>
      </c>
      <c r="E299" s="415" t="s">
        <v>2209</v>
      </c>
      <c r="F299" s="415">
        <v>8</v>
      </c>
      <c r="G299" s="415" t="s">
        <v>3177</v>
      </c>
      <c r="H299" s="415">
        <v>0</v>
      </c>
      <c r="I299" s="415">
        <v>0</v>
      </c>
      <c r="J299" s="415" t="s">
        <v>3093</v>
      </c>
      <c r="K299" s="415">
        <v>1</v>
      </c>
      <c r="L299" s="415">
        <v>39</v>
      </c>
      <c r="M299" s="415">
        <v>690</v>
      </c>
      <c r="N299" s="415">
        <v>515</v>
      </c>
      <c r="O299" s="415">
        <v>121</v>
      </c>
      <c r="P299" s="415" t="s">
        <v>2819</v>
      </c>
      <c r="Q299" s="415" t="s">
        <v>3599</v>
      </c>
      <c r="R299" s="415">
        <v>39</v>
      </c>
      <c r="S299" s="415">
        <v>287</v>
      </c>
      <c r="T299" s="416">
        <v>287</v>
      </c>
      <c r="U299" s="416">
        <v>287</v>
      </c>
      <c r="V299" s="416">
        <v>287</v>
      </c>
      <c r="W299" s="416">
        <v>287</v>
      </c>
      <c r="X299" s="416">
        <v>0</v>
      </c>
      <c r="Y299" s="416">
        <v>0</v>
      </c>
      <c r="Z299" s="416">
        <v>0</v>
      </c>
      <c r="AA299" s="416">
        <v>0</v>
      </c>
      <c r="AB299" s="416">
        <v>0</v>
      </c>
      <c r="AC299" s="416">
        <v>0</v>
      </c>
      <c r="AD299" s="416">
        <v>0</v>
      </c>
      <c r="AE299" s="416">
        <v>0</v>
      </c>
      <c r="AF299" s="416">
        <v>0</v>
      </c>
      <c r="AG299" s="416">
        <v>0</v>
      </c>
      <c r="AH299" s="416">
        <v>0</v>
      </c>
      <c r="AI299" s="416">
        <v>0</v>
      </c>
      <c r="AJ299" s="416">
        <v>0</v>
      </c>
      <c r="AK299" s="416">
        <v>0</v>
      </c>
      <c r="AL299" s="416">
        <v>39</v>
      </c>
      <c r="AM299" s="416">
        <v>0</v>
      </c>
      <c r="AN299" s="416">
        <v>0</v>
      </c>
      <c r="AO299" s="416">
        <v>0</v>
      </c>
      <c r="AP299" s="416">
        <v>0</v>
      </c>
      <c r="AQ299" s="416">
        <v>0</v>
      </c>
      <c r="AR299" s="416">
        <v>0</v>
      </c>
      <c r="AS299" s="416">
        <v>0</v>
      </c>
      <c r="AT299" s="416">
        <v>0</v>
      </c>
      <c r="AU299" s="416">
        <v>0</v>
      </c>
      <c r="AV299" s="416">
        <v>0</v>
      </c>
      <c r="AW299" s="416">
        <v>0</v>
      </c>
      <c r="AX299" s="416">
        <v>0</v>
      </c>
      <c r="AY299" s="416">
        <v>0</v>
      </c>
      <c r="AZ299" s="416">
        <v>0</v>
      </c>
    </row>
    <row r="300" spans="1:52" x14ac:dyDescent="0.25">
      <c r="A300" s="415" t="str">
        <f t="shared" si="4"/>
        <v>SA-334 Gr.8</v>
      </c>
      <c r="B300" s="415">
        <v>295</v>
      </c>
      <c r="C300" s="415" t="s">
        <v>3176</v>
      </c>
      <c r="D300" s="415" t="s">
        <v>2693</v>
      </c>
      <c r="E300" s="415" t="s">
        <v>2209</v>
      </c>
      <c r="F300" s="415">
        <v>8</v>
      </c>
      <c r="G300" s="415" t="s">
        <v>3177</v>
      </c>
      <c r="H300" s="415">
        <v>0</v>
      </c>
      <c r="I300" s="415">
        <v>0</v>
      </c>
      <c r="J300" s="415" t="s">
        <v>3093</v>
      </c>
      <c r="K300" s="415">
        <v>1</v>
      </c>
      <c r="L300" s="415">
        <v>40</v>
      </c>
      <c r="M300" s="415">
        <v>690</v>
      </c>
      <c r="N300" s="415">
        <v>515</v>
      </c>
      <c r="O300" s="415">
        <v>121</v>
      </c>
      <c r="P300" s="415" t="s">
        <v>2819</v>
      </c>
      <c r="Q300" s="415" t="s">
        <v>3598</v>
      </c>
      <c r="R300" s="415">
        <v>40</v>
      </c>
      <c r="S300" s="415">
        <v>273</v>
      </c>
      <c r="T300" s="416">
        <v>273</v>
      </c>
      <c r="U300" s="416">
        <v>273</v>
      </c>
      <c r="V300" s="416">
        <v>273</v>
      </c>
      <c r="W300" s="416">
        <v>273</v>
      </c>
      <c r="X300" s="416">
        <v>0</v>
      </c>
      <c r="Y300" s="416">
        <v>0</v>
      </c>
      <c r="Z300" s="416">
        <v>0</v>
      </c>
      <c r="AA300" s="416">
        <v>0</v>
      </c>
      <c r="AB300" s="416">
        <v>0</v>
      </c>
      <c r="AC300" s="416">
        <v>0</v>
      </c>
      <c r="AD300" s="416">
        <v>0</v>
      </c>
      <c r="AE300" s="416">
        <v>0</v>
      </c>
      <c r="AF300" s="416">
        <v>0</v>
      </c>
      <c r="AG300" s="416">
        <v>0</v>
      </c>
      <c r="AH300" s="416">
        <v>0</v>
      </c>
      <c r="AI300" s="416">
        <v>0</v>
      </c>
      <c r="AJ300" s="416">
        <v>0</v>
      </c>
      <c r="AK300" s="416">
        <v>0</v>
      </c>
      <c r="AL300" s="416">
        <v>40</v>
      </c>
      <c r="AM300" s="416">
        <v>0</v>
      </c>
      <c r="AN300" s="416">
        <v>0</v>
      </c>
      <c r="AO300" s="416">
        <v>0</v>
      </c>
      <c r="AP300" s="416">
        <v>0</v>
      </c>
      <c r="AQ300" s="416">
        <v>0</v>
      </c>
      <c r="AR300" s="416">
        <v>0</v>
      </c>
      <c r="AS300" s="416">
        <v>0</v>
      </c>
      <c r="AT300" s="416">
        <v>0</v>
      </c>
      <c r="AU300" s="416">
        <v>0</v>
      </c>
      <c r="AV300" s="416">
        <v>0</v>
      </c>
      <c r="AW300" s="416">
        <v>0</v>
      </c>
      <c r="AX300" s="416">
        <v>0</v>
      </c>
      <c r="AY300" s="416">
        <v>0</v>
      </c>
      <c r="AZ300" s="416">
        <v>0</v>
      </c>
    </row>
    <row r="301" spans="1:52" x14ac:dyDescent="0.25">
      <c r="A301" s="415" t="str">
        <f t="shared" si="4"/>
        <v>SA-353 Gr.0</v>
      </c>
      <c r="B301" s="415">
        <v>296</v>
      </c>
      <c r="C301" s="415" t="s">
        <v>3176</v>
      </c>
      <c r="D301" s="415" t="s">
        <v>2684</v>
      </c>
      <c r="E301" s="415" t="s">
        <v>2215</v>
      </c>
      <c r="F301" s="415">
        <v>0</v>
      </c>
      <c r="G301" s="415" t="s">
        <v>3177</v>
      </c>
      <c r="H301" s="415">
        <v>0</v>
      </c>
      <c r="I301" s="415">
        <v>0</v>
      </c>
      <c r="J301" s="415" t="s">
        <v>3093</v>
      </c>
      <c r="K301" s="415">
        <v>1</v>
      </c>
      <c r="L301" s="415">
        <v>41</v>
      </c>
      <c r="M301" s="415">
        <v>690</v>
      </c>
      <c r="N301" s="415">
        <v>515</v>
      </c>
      <c r="O301" s="415">
        <v>121</v>
      </c>
      <c r="P301" s="415" t="s">
        <v>2819</v>
      </c>
      <c r="Q301" s="415" t="s">
        <v>3599</v>
      </c>
      <c r="R301" s="415">
        <v>41</v>
      </c>
      <c r="S301" s="415">
        <v>287</v>
      </c>
      <c r="T301" s="416">
        <v>287</v>
      </c>
      <c r="U301" s="416">
        <v>287</v>
      </c>
      <c r="V301" s="416">
        <v>287</v>
      </c>
      <c r="W301" s="416">
        <v>287</v>
      </c>
      <c r="X301" s="416">
        <v>0</v>
      </c>
      <c r="Y301" s="416">
        <v>0</v>
      </c>
      <c r="Z301" s="416">
        <v>0</v>
      </c>
      <c r="AA301" s="416">
        <v>0</v>
      </c>
      <c r="AB301" s="416">
        <v>0</v>
      </c>
      <c r="AC301" s="416">
        <v>0</v>
      </c>
      <c r="AD301" s="416">
        <v>0</v>
      </c>
      <c r="AE301" s="416">
        <v>0</v>
      </c>
      <c r="AF301" s="416">
        <v>0</v>
      </c>
      <c r="AG301" s="416">
        <v>0</v>
      </c>
      <c r="AH301" s="416">
        <v>0</v>
      </c>
      <c r="AI301" s="416">
        <v>0</v>
      </c>
      <c r="AJ301" s="416">
        <v>0</v>
      </c>
      <c r="AK301" s="416">
        <v>0</v>
      </c>
      <c r="AL301" s="416">
        <v>41</v>
      </c>
      <c r="AM301" s="416">
        <v>0</v>
      </c>
      <c r="AN301" s="416">
        <v>0</v>
      </c>
      <c r="AO301" s="416">
        <v>0</v>
      </c>
      <c r="AP301" s="416">
        <v>0</v>
      </c>
      <c r="AQ301" s="416">
        <v>0</v>
      </c>
      <c r="AR301" s="416">
        <v>0</v>
      </c>
      <c r="AS301" s="416">
        <v>0</v>
      </c>
      <c r="AT301" s="416">
        <v>0</v>
      </c>
      <c r="AU301" s="416">
        <v>0</v>
      </c>
      <c r="AV301" s="416">
        <v>0</v>
      </c>
      <c r="AW301" s="416">
        <v>0</v>
      </c>
      <c r="AX301" s="416">
        <v>0</v>
      </c>
      <c r="AY301" s="416">
        <v>0</v>
      </c>
      <c r="AZ301" s="416">
        <v>0</v>
      </c>
    </row>
    <row r="302" spans="1:52" x14ac:dyDescent="0.25">
      <c r="A302" s="415" t="str">
        <f t="shared" si="4"/>
        <v>SA-353 Gr.0</v>
      </c>
      <c r="B302" s="415">
        <v>297</v>
      </c>
      <c r="C302" s="415" t="s">
        <v>3176</v>
      </c>
      <c r="D302" s="415" t="s">
        <v>2684</v>
      </c>
      <c r="E302" s="415" t="s">
        <v>2215</v>
      </c>
      <c r="F302" s="415">
        <v>0</v>
      </c>
      <c r="G302" s="415" t="s">
        <v>3177</v>
      </c>
      <c r="H302" s="415">
        <v>0</v>
      </c>
      <c r="I302" s="415">
        <v>0</v>
      </c>
      <c r="J302" s="415" t="s">
        <v>3093</v>
      </c>
      <c r="K302" s="415">
        <v>1</v>
      </c>
      <c r="L302" s="415">
        <v>42</v>
      </c>
      <c r="M302" s="415">
        <v>690</v>
      </c>
      <c r="N302" s="415">
        <v>515</v>
      </c>
      <c r="O302" s="415">
        <v>121</v>
      </c>
      <c r="P302" s="415" t="s">
        <v>2819</v>
      </c>
      <c r="Q302" s="415" t="s">
        <v>3598</v>
      </c>
      <c r="R302" s="415">
        <v>42</v>
      </c>
      <c r="S302" s="415">
        <v>273</v>
      </c>
      <c r="T302" s="416">
        <v>273</v>
      </c>
      <c r="U302" s="416">
        <v>273</v>
      </c>
      <c r="V302" s="416">
        <v>273</v>
      </c>
      <c r="W302" s="416">
        <v>273</v>
      </c>
      <c r="X302" s="416">
        <v>0</v>
      </c>
      <c r="Y302" s="416">
        <v>0</v>
      </c>
      <c r="Z302" s="416">
        <v>0</v>
      </c>
      <c r="AA302" s="416">
        <v>0</v>
      </c>
      <c r="AB302" s="416">
        <v>0</v>
      </c>
      <c r="AC302" s="416">
        <v>0</v>
      </c>
      <c r="AD302" s="416">
        <v>0</v>
      </c>
      <c r="AE302" s="416">
        <v>0</v>
      </c>
      <c r="AF302" s="416">
        <v>0</v>
      </c>
      <c r="AG302" s="416">
        <v>0</v>
      </c>
      <c r="AH302" s="416">
        <v>0</v>
      </c>
      <c r="AI302" s="416">
        <v>0</v>
      </c>
      <c r="AJ302" s="416">
        <v>0</v>
      </c>
      <c r="AK302" s="416">
        <v>0</v>
      </c>
      <c r="AL302" s="416">
        <v>42</v>
      </c>
      <c r="AM302" s="416">
        <v>0</v>
      </c>
      <c r="AN302" s="416">
        <v>0</v>
      </c>
      <c r="AO302" s="416">
        <v>0</v>
      </c>
      <c r="AP302" s="416">
        <v>0</v>
      </c>
      <c r="AQ302" s="416">
        <v>0</v>
      </c>
      <c r="AR302" s="416">
        <v>0</v>
      </c>
      <c r="AS302" s="416">
        <v>0</v>
      </c>
      <c r="AT302" s="416">
        <v>0</v>
      </c>
      <c r="AU302" s="416">
        <v>0</v>
      </c>
      <c r="AV302" s="416">
        <v>0</v>
      </c>
      <c r="AW302" s="416">
        <v>0</v>
      </c>
      <c r="AX302" s="416">
        <v>0</v>
      </c>
      <c r="AY302" s="416">
        <v>0</v>
      </c>
      <c r="AZ302" s="416">
        <v>0</v>
      </c>
    </row>
    <row r="303" spans="1:52" x14ac:dyDescent="0.25">
      <c r="A303" s="415" t="str">
        <f t="shared" si="4"/>
        <v>SA-420 Gr.WPL8</v>
      </c>
      <c r="B303" s="415">
        <v>298</v>
      </c>
      <c r="C303" s="415" t="s">
        <v>3176</v>
      </c>
      <c r="D303" s="415" t="s">
        <v>913</v>
      </c>
      <c r="E303" s="415" t="s">
        <v>2235</v>
      </c>
      <c r="F303" s="415" t="s">
        <v>2614</v>
      </c>
      <c r="G303" s="415" t="s">
        <v>3177</v>
      </c>
      <c r="H303" s="415">
        <v>0</v>
      </c>
      <c r="I303" s="415">
        <v>0</v>
      </c>
      <c r="J303" s="415" t="s">
        <v>3093</v>
      </c>
      <c r="K303" s="415">
        <v>1</v>
      </c>
      <c r="L303" s="415">
        <v>1</v>
      </c>
      <c r="M303" s="415">
        <v>690</v>
      </c>
      <c r="N303" s="415">
        <v>515</v>
      </c>
      <c r="O303" s="415">
        <v>121</v>
      </c>
      <c r="P303" s="415" t="s">
        <v>2819</v>
      </c>
      <c r="Q303" s="415" t="s">
        <v>3599</v>
      </c>
      <c r="R303" s="415">
        <v>1</v>
      </c>
      <c r="S303" s="415">
        <v>287</v>
      </c>
      <c r="T303" s="416">
        <v>287</v>
      </c>
      <c r="U303" s="416">
        <v>287</v>
      </c>
      <c r="V303" s="416">
        <v>287</v>
      </c>
      <c r="W303" s="416">
        <v>287</v>
      </c>
      <c r="X303" s="416">
        <v>0</v>
      </c>
      <c r="Y303" s="416">
        <v>0</v>
      </c>
      <c r="Z303" s="416">
        <v>0</v>
      </c>
      <c r="AA303" s="416">
        <v>0</v>
      </c>
      <c r="AB303" s="416">
        <v>0</v>
      </c>
      <c r="AC303" s="416">
        <v>0</v>
      </c>
      <c r="AD303" s="416">
        <v>0</v>
      </c>
      <c r="AE303" s="416">
        <v>0</v>
      </c>
      <c r="AF303" s="416">
        <v>0</v>
      </c>
      <c r="AG303" s="416">
        <v>0</v>
      </c>
      <c r="AH303" s="416">
        <v>0</v>
      </c>
      <c r="AI303" s="416">
        <v>0</v>
      </c>
      <c r="AJ303" s="416">
        <v>0</v>
      </c>
      <c r="AK303" s="416">
        <v>0</v>
      </c>
      <c r="AL303" s="416">
        <v>1</v>
      </c>
      <c r="AM303" s="416">
        <v>0</v>
      </c>
      <c r="AN303" s="416">
        <v>0</v>
      </c>
      <c r="AO303" s="416">
        <v>0</v>
      </c>
      <c r="AP303" s="416">
        <v>0</v>
      </c>
      <c r="AQ303" s="416">
        <v>0</v>
      </c>
      <c r="AR303" s="416">
        <v>0</v>
      </c>
      <c r="AS303" s="416">
        <v>0</v>
      </c>
      <c r="AT303" s="416">
        <v>0</v>
      </c>
      <c r="AU303" s="416">
        <v>0</v>
      </c>
      <c r="AV303" s="416">
        <v>0</v>
      </c>
      <c r="AW303" s="416">
        <v>0</v>
      </c>
      <c r="AX303" s="416">
        <v>0</v>
      </c>
      <c r="AY303" s="416">
        <v>0</v>
      </c>
      <c r="AZ303" s="416">
        <v>0</v>
      </c>
    </row>
    <row r="304" spans="1:52" x14ac:dyDescent="0.25">
      <c r="A304" s="415" t="str">
        <f t="shared" si="4"/>
        <v>SA-420 Gr.WPL8</v>
      </c>
      <c r="B304" s="415">
        <v>299</v>
      </c>
      <c r="C304" s="415" t="s">
        <v>3176</v>
      </c>
      <c r="D304" s="415" t="s">
        <v>913</v>
      </c>
      <c r="E304" s="415" t="s">
        <v>2235</v>
      </c>
      <c r="F304" s="415" t="s">
        <v>2614</v>
      </c>
      <c r="G304" s="415" t="s">
        <v>3177</v>
      </c>
      <c r="H304" s="415">
        <v>0</v>
      </c>
      <c r="I304" s="415">
        <v>0</v>
      </c>
      <c r="J304" s="415" t="s">
        <v>3093</v>
      </c>
      <c r="K304" s="415">
        <v>1</v>
      </c>
      <c r="L304" s="415">
        <v>2</v>
      </c>
      <c r="M304" s="415">
        <v>690</v>
      </c>
      <c r="N304" s="415">
        <v>515</v>
      </c>
      <c r="O304" s="415">
        <v>121</v>
      </c>
      <c r="P304" s="415" t="s">
        <v>2819</v>
      </c>
      <c r="Q304" s="415" t="s">
        <v>3598</v>
      </c>
      <c r="R304" s="415">
        <v>2</v>
      </c>
      <c r="S304" s="415">
        <v>273</v>
      </c>
      <c r="T304" s="416">
        <v>273</v>
      </c>
      <c r="U304" s="416">
        <v>273</v>
      </c>
      <c r="V304" s="416">
        <v>273</v>
      </c>
      <c r="W304" s="416">
        <v>273</v>
      </c>
      <c r="X304" s="416">
        <v>0</v>
      </c>
      <c r="Y304" s="416">
        <v>0</v>
      </c>
      <c r="Z304" s="416">
        <v>0</v>
      </c>
      <c r="AA304" s="416">
        <v>0</v>
      </c>
      <c r="AB304" s="416">
        <v>0</v>
      </c>
      <c r="AC304" s="416">
        <v>0</v>
      </c>
      <c r="AD304" s="416">
        <v>0</v>
      </c>
      <c r="AE304" s="416">
        <v>0</v>
      </c>
      <c r="AF304" s="416">
        <v>0</v>
      </c>
      <c r="AG304" s="416">
        <v>0</v>
      </c>
      <c r="AH304" s="416">
        <v>0</v>
      </c>
      <c r="AI304" s="416">
        <v>0</v>
      </c>
      <c r="AJ304" s="416">
        <v>0</v>
      </c>
      <c r="AK304" s="416">
        <v>0</v>
      </c>
      <c r="AL304" s="416">
        <v>2</v>
      </c>
      <c r="AM304" s="416">
        <v>0</v>
      </c>
      <c r="AN304" s="416">
        <v>0</v>
      </c>
      <c r="AO304" s="416">
        <v>0</v>
      </c>
      <c r="AP304" s="416">
        <v>0</v>
      </c>
      <c r="AQ304" s="416">
        <v>0</v>
      </c>
      <c r="AR304" s="416">
        <v>0</v>
      </c>
      <c r="AS304" s="416">
        <v>0</v>
      </c>
      <c r="AT304" s="416">
        <v>0</v>
      </c>
      <c r="AU304" s="416">
        <v>0</v>
      </c>
      <c r="AV304" s="416">
        <v>0</v>
      </c>
      <c r="AW304" s="416">
        <v>0</v>
      </c>
      <c r="AX304" s="416">
        <v>0</v>
      </c>
      <c r="AY304" s="416">
        <v>0</v>
      </c>
      <c r="AZ304" s="416">
        <v>0</v>
      </c>
    </row>
    <row r="305" spans="1:52" x14ac:dyDescent="0.25">
      <c r="A305" s="415" t="str">
        <f t="shared" si="4"/>
        <v>SA-522 Gr.I</v>
      </c>
      <c r="B305" s="415">
        <v>300</v>
      </c>
      <c r="C305" s="415" t="s">
        <v>3176</v>
      </c>
      <c r="D305" s="415" t="s">
        <v>2737</v>
      </c>
      <c r="E305" s="415" t="s">
        <v>2256</v>
      </c>
      <c r="F305" s="415" t="s">
        <v>2483</v>
      </c>
      <c r="G305" s="415" t="s">
        <v>3177</v>
      </c>
      <c r="H305" s="415">
        <v>0</v>
      </c>
      <c r="I305" s="415">
        <v>0</v>
      </c>
      <c r="J305" s="415" t="s">
        <v>3093</v>
      </c>
      <c r="K305" s="415">
        <v>1</v>
      </c>
      <c r="L305" s="415">
        <v>3</v>
      </c>
      <c r="M305" s="415">
        <v>690</v>
      </c>
      <c r="N305" s="415">
        <v>515</v>
      </c>
      <c r="O305" s="415">
        <v>121</v>
      </c>
      <c r="P305" s="415" t="s">
        <v>2819</v>
      </c>
      <c r="Q305" s="415" t="s">
        <v>3600</v>
      </c>
      <c r="R305" s="415">
        <v>3</v>
      </c>
      <c r="S305" s="415">
        <v>287</v>
      </c>
      <c r="T305" s="416">
        <v>287</v>
      </c>
      <c r="U305" s="416">
        <v>287</v>
      </c>
      <c r="V305" s="416">
        <v>287</v>
      </c>
      <c r="W305" s="416">
        <v>287</v>
      </c>
      <c r="X305" s="416">
        <v>0</v>
      </c>
      <c r="Y305" s="416">
        <v>0</v>
      </c>
      <c r="Z305" s="416">
        <v>0</v>
      </c>
      <c r="AA305" s="416">
        <v>0</v>
      </c>
      <c r="AB305" s="416">
        <v>0</v>
      </c>
      <c r="AC305" s="416">
        <v>0</v>
      </c>
      <c r="AD305" s="416">
        <v>0</v>
      </c>
      <c r="AE305" s="416">
        <v>0</v>
      </c>
      <c r="AF305" s="416">
        <v>0</v>
      </c>
      <c r="AG305" s="416">
        <v>0</v>
      </c>
      <c r="AH305" s="416">
        <v>0</v>
      </c>
      <c r="AI305" s="416">
        <v>0</v>
      </c>
      <c r="AJ305" s="416">
        <v>0</v>
      </c>
      <c r="AK305" s="416">
        <v>0</v>
      </c>
      <c r="AL305" s="416">
        <v>3</v>
      </c>
      <c r="AM305" s="416">
        <v>0</v>
      </c>
      <c r="AN305" s="416">
        <v>0</v>
      </c>
      <c r="AO305" s="416">
        <v>0</v>
      </c>
      <c r="AP305" s="416">
        <v>0</v>
      </c>
      <c r="AQ305" s="416">
        <v>0</v>
      </c>
      <c r="AR305" s="416">
        <v>0</v>
      </c>
      <c r="AS305" s="416">
        <v>0</v>
      </c>
      <c r="AT305" s="416">
        <v>0</v>
      </c>
      <c r="AU305" s="416">
        <v>0</v>
      </c>
      <c r="AV305" s="416">
        <v>0</v>
      </c>
      <c r="AW305" s="416">
        <v>0</v>
      </c>
      <c r="AX305" s="416">
        <v>0</v>
      </c>
      <c r="AY305" s="416">
        <v>0</v>
      </c>
      <c r="AZ305" s="416">
        <v>0</v>
      </c>
    </row>
    <row r="306" spans="1:52" x14ac:dyDescent="0.25">
      <c r="A306" s="415" t="str">
        <f t="shared" si="4"/>
        <v>SA-522 Gr.I</v>
      </c>
      <c r="B306" s="415">
        <v>301</v>
      </c>
      <c r="C306" s="415" t="s">
        <v>3176</v>
      </c>
      <c r="D306" s="415" t="s">
        <v>2737</v>
      </c>
      <c r="E306" s="415" t="s">
        <v>2256</v>
      </c>
      <c r="F306" s="415" t="s">
        <v>2483</v>
      </c>
      <c r="G306" s="415" t="s">
        <v>3177</v>
      </c>
      <c r="H306" s="415">
        <v>0</v>
      </c>
      <c r="I306" s="415">
        <v>0</v>
      </c>
      <c r="J306" s="415" t="s">
        <v>3093</v>
      </c>
      <c r="K306" s="415">
        <v>1</v>
      </c>
      <c r="L306" s="415">
        <v>4</v>
      </c>
      <c r="M306" s="415">
        <v>690</v>
      </c>
      <c r="N306" s="415">
        <v>515</v>
      </c>
      <c r="O306" s="415">
        <v>121</v>
      </c>
      <c r="P306" s="415" t="s">
        <v>2819</v>
      </c>
      <c r="Q306" s="415" t="s">
        <v>3601</v>
      </c>
      <c r="R306" s="415">
        <v>4</v>
      </c>
      <c r="S306" s="415">
        <v>273</v>
      </c>
      <c r="T306" s="416">
        <v>273</v>
      </c>
      <c r="U306" s="416">
        <v>273</v>
      </c>
      <c r="V306" s="416">
        <v>273</v>
      </c>
      <c r="W306" s="416">
        <v>273</v>
      </c>
      <c r="X306" s="416">
        <v>0</v>
      </c>
      <c r="Y306" s="416">
        <v>0</v>
      </c>
      <c r="Z306" s="416">
        <v>0</v>
      </c>
      <c r="AA306" s="416">
        <v>0</v>
      </c>
      <c r="AB306" s="416">
        <v>0</v>
      </c>
      <c r="AC306" s="416">
        <v>0</v>
      </c>
      <c r="AD306" s="416">
        <v>0</v>
      </c>
      <c r="AE306" s="416">
        <v>0</v>
      </c>
      <c r="AF306" s="416">
        <v>0</v>
      </c>
      <c r="AG306" s="416">
        <v>0</v>
      </c>
      <c r="AH306" s="416">
        <v>0</v>
      </c>
      <c r="AI306" s="416">
        <v>0</v>
      </c>
      <c r="AJ306" s="416">
        <v>0</v>
      </c>
      <c r="AK306" s="416">
        <v>0</v>
      </c>
      <c r="AL306" s="416">
        <v>4</v>
      </c>
      <c r="AM306" s="416">
        <v>0</v>
      </c>
      <c r="AN306" s="416">
        <v>0</v>
      </c>
      <c r="AO306" s="416">
        <v>0</v>
      </c>
      <c r="AP306" s="416">
        <v>0</v>
      </c>
      <c r="AQ306" s="416">
        <v>0</v>
      </c>
      <c r="AR306" s="416">
        <v>0</v>
      </c>
      <c r="AS306" s="416">
        <v>0</v>
      </c>
      <c r="AT306" s="416">
        <v>0</v>
      </c>
      <c r="AU306" s="416">
        <v>0</v>
      </c>
      <c r="AV306" s="416">
        <v>0</v>
      </c>
      <c r="AW306" s="416">
        <v>0</v>
      </c>
      <c r="AX306" s="416">
        <v>0</v>
      </c>
      <c r="AY306" s="416">
        <v>0</v>
      </c>
      <c r="AZ306" s="416">
        <v>0</v>
      </c>
    </row>
    <row r="307" spans="1:52" x14ac:dyDescent="0.25">
      <c r="A307" s="415" t="str">
        <f t="shared" si="4"/>
        <v>SA-553 Gr.I</v>
      </c>
      <c r="B307" s="415">
        <v>302</v>
      </c>
      <c r="C307" s="415" t="s">
        <v>3176</v>
      </c>
      <c r="D307" s="415" t="s">
        <v>2684</v>
      </c>
      <c r="E307" s="415" t="s">
        <v>2269</v>
      </c>
      <c r="F307" s="415" t="s">
        <v>2483</v>
      </c>
      <c r="G307" s="415" t="s">
        <v>3177</v>
      </c>
      <c r="H307" s="415">
        <v>0</v>
      </c>
      <c r="I307" s="415">
        <v>0</v>
      </c>
      <c r="J307" s="415" t="s">
        <v>3093</v>
      </c>
      <c r="K307" s="415">
        <v>1</v>
      </c>
      <c r="L307" s="415">
        <v>5</v>
      </c>
      <c r="M307" s="415">
        <v>690</v>
      </c>
      <c r="N307" s="415">
        <v>585</v>
      </c>
      <c r="O307" s="415">
        <v>121</v>
      </c>
      <c r="P307" s="415" t="s">
        <v>2819</v>
      </c>
      <c r="Q307" s="415" t="s">
        <v>3599</v>
      </c>
      <c r="R307" s="415">
        <v>5</v>
      </c>
      <c r="S307" s="415">
        <v>287</v>
      </c>
      <c r="T307" s="416">
        <v>287</v>
      </c>
      <c r="U307" s="416">
        <v>287</v>
      </c>
      <c r="V307" s="416">
        <v>287</v>
      </c>
      <c r="W307" s="416">
        <v>287</v>
      </c>
      <c r="X307" s="416">
        <v>0</v>
      </c>
      <c r="Y307" s="416">
        <v>0</v>
      </c>
      <c r="Z307" s="416">
        <v>0</v>
      </c>
      <c r="AA307" s="416">
        <v>0</v>
      </c>
      <c r="AB307" s="416">
        <v>0</v>
      </c>
      <c r="AC307" s="416">
        <v>0</v>
      </c>
      <c r="AD307" s="416">
        <v>0</v>
      </c>
      <c r="AE307" s="416">
        <v>0</v>
      </c>
      <c r="AF307" s="416">
        <v>0</v>
      </c>
      <c r="AG307" s="416">
        <v>0</v>
      </c>
      <c r="AH307" s="416">
        <v>0</v>
      </c>
      <c r="AI307" s="416">
        <v>0</v>
      </c>
      <c r="AJ307" s="416">
        <v>0</v>
      </c>
      <c r="AK307" s="416">
        <v>0</v>
      </c>
      <c r="AL307" s="416">
        <v>5</v>
      </c>
      <c r="AM307" s="416">
        <v>0</v>
      </c>
      <c r="AN307" s="416">
        <v>0</v>
      </c>
      <c r="AO307" s="416">
        <v>0</v>
      </c>
      <c r="AP307" s="416">
        <v>0</v>
      </c>
      <c r="AQ307" s="416">
        <v>0</v>
      </c>
      <c r="AR307" s="416">
        <v>0</v>
      </c>
      <c r="AS307" s="416">
        <v>0</v>
      </c>
      <c r="AT307" s="416">
        <v>0</v>
      </c>
      <c r="AU307" s="416">
        <v>0</v>
      </c>
      <c r="AV307" s="416">
        <v>0</v>
      </c>
      <c r="AW307" s="416">
        <v>0</v>
      </c>
      <c r="AX307" s="416">
        <v>0</v>
      </c>
      <c r="AY307" s="416">
        <v>0</v>
      </c>
      <c r="AZ307" s="416">
        <v>0</v>
      </c>
    </row>
    <row r="308" spans="1:52" x14ac:dyDescent="0.25">
      <c r="A308" s="415" t="str">
        <f t="shared" si="4"/>
        <v>SA-553 Gr.I</v>
      </c>
      <c r="B308" s="415">
        <v>303</v>
      </c>
      <c r="C308" s="415" t="s">
        <v>3176</v>
      </c>
      <c r="D308" s="415" t="s">
        <v>2684</v>
      </c>
      <c r="E308" s="415" t="s">
        <v>2269</v>
      </c>
      <c r="F308" s="415" t="s">
        <v>2483</v>
      </c>
      <c r="G308" s="415" t="s">
        <v>3177</v>
      </c>
      <c r="H308" s="415">
        <v>0</v>
      </c>
      <c r="I308" s="415">
        <v>0</v>
      </c>
      <c r="J308" s="415" t="s">
        <v>3093</v>
      </c>
      <c r="K308" s="415">
        <v>1</v>
      </c>
      <c r="L308" s="415">
        <v>6</v>
      </c>
      <c r="M308" s="415">
        <v>690</v>
      </c>
      <c r="N308" s="415">
        <v>585</v>
      </c>
      <c r="O308" s="415">
        <v>121</v>
      </c>
      <c r="P308" s="415" t="s">
        <v>2819</v>
      </c>
      <c r="Q308" s="415" t="s">
        <v>3598</v>
      </c>
      <c r="R308" s="415">
        <v>6</v>
      </c>
      <c r="S308" s="415">
        <v>273</v>
      </c>
      <c r="T308" s="416">
        <v>273</v>
      </c>
      <c r="U308" s="416">
        <v>273</v>
      </c>
      <c r="V308" s="416">
        <v>273</v>
      </c>
      <c r="W308" s="416">
        <v>273</v>
      </c>
      <c r="X308" s="416">
        <v>0</v>
      </c>
      <c r="Y308" s="416">
        <v>0</v>
      </c>
      <c r="Z308" s="416">
        <v>0</v>
      </c>
      <c r="AA308" s="416">
        <v>0</v>
      </c>
      <c r="AB308" s="416">
        <v>0</v>
      </c>
      <c r="AC308" s="416">
        <v>0</v>
      </c>
      <c r="AD308" s="416">
        <v>0</v>
      </c>
      <c r="AE308" s="416">
        <v>0</v>
      </c>
      <c r="AF308" s="416">
        <v>0</v>
      </c>
      <c r="AG308" s="416">
        <v>0</v>
      </c>
      <c r="AH308" s="416">
        <v>0</v>
      </c>
      <c r="AI308" s="416">
        <v>0</v>
      </c>
      <c r="AJ308" s="416">
        <v>0</v>
      </c>
      <c r="AK308" s="416">
        <v>0</v>
      </c>
      <c r="AL308" s="416">
        <v>6</v>
      </c>
      <c r="AM308" s="416">
        <v>0</v>
      </c>
      <c r="AN308" s="416">
        <v>0</v>
      </c>
      <c r="AO308" s="416">
        <v>0</v>
      </c>
      <c r="AP308" s="416">
        <v>0</v>
      </c>
      <c r="AQ308" s="416">
        <v>0</v>
      </c>
      <c r="AR308" s="416">
        <v>0</v>
      </c>
      <c r="AS308" s="416">
        <v>0</v>
      </c>
      <c r="AT308" s="416">
        <v>0</v>
      </c>
      <c r="AU308" s="416">
        <v>0</v>
      </c>
      <c r="AV308" s="416">
        <v>0</v>
      </c>
      <c r="AW308" s="416">
        <v>0</v>
      </c>
      <c r="AX308" s="416">
        <v>0</v>
      </c>
      <c r="AY308" s="416">
        <v>0</v>
      </c>
      <c r="AZ308" s="416">
        <v>0</v>
      </c>
    </row>
    <row r="309" spans="1:52" x14ac:dyDescent="0.25">
      <c r="A309" s="415" t="str">
        <f t="shared" si="4"/>
        <v>SA-240 Gr.201LN</v>
      </c>
      <c r="B309" s="415">
        <v>304</v>
      </c>
      <c r="C309" s="415" t="s">
        <v>3196</v>
      </c>
      <c r="D309" s="415" t="s">
        <v>2684</v>
      </c>
      <c r="E309" s="415" t="s">
        <v>2165</v>
      </c>
      <c r="F309" s="415" t="s">
        <v>2232</v>
      </c>
      <c r="G309" s="415" t="s">
        <v>3197</v>
      </c>
      <c r="H309" s="415">
        <v>0</v>
      </c>
      <c r="I309" s="415">
        <v>0</v>
      </c>
      <c r="J309" s="415">
        <v>8</v>
      </c>
      <c r="K309" s="415">
        <v>3</v>
      </c>
      <c r="L309" s="415">
        <v>7</v>
      </c>
      <c r="M309" s="415">
        <v>655</v>
      </c>
      <c r="N309" s="415">
        <v>310</v>
      </c>
      <c r="O309" s="415">
        <v>427</v>
      </c>
      <c r="P309" s="415" t="s">
        <v>3073</v>
      </c>
      <c r="Q309" s="415">
        <v>0</v>
      </c>
      <c r="R309" s="415">
        <v>7</v>
      </c>
      <c r="S309" s="415">
        <v>207</v>
      </c>
      <c r="T309" s="416">
        <v>207</v>
      </c>
      <c r="U309" s="416">
        <v>179</v>
      </c>
      <c r="V309" s="416">
        <v>164</v>
      </c>
      <c r="W309" s="416">
        <v>157</v>
      </c>
      <c r="X309" s="416">
        <v>151</v>
      </c>
      <c r="Y309" s="416">
        <v>147</v>
      </c>
      <c r="Z309" s="416">
        <v>143</v>
      </c>
      <c r="AA309" s="416">
        <v>141</v>
      </c>
      <c r="AB309" s="416">
        <v>139</v>
      </c>
      <c r="AC309" s="416">
        <v>137</v>
      </c>
      <c r="AD309" s="416">
        <v>134</v>
      </c>
      <c r="AE309" s="416">
        <v>131</v>
      </c>
      <c r="AF309" s="416">
        <v>127</v>
      </c>
      <c r="AG309" s="416">
        <v>123</v>
      </c>
      <c r="AH309" s="416">
        <v>119</v>
      </c>
      <c r="AI309" s="416">
        <v>115</v>
      </c>
      <c r="AJ309" s="416">
        <v>112</v>
      </c>
      <c r="AK309" s="416">
        <v>0</v>
      </c>
      <c r="AL309" s="416">
        <v>7</v>
      </c>
      <c r="AM309" s="416">
        <v>0</v>
      </c>
      <c r="AN309" s="416">
        <v>0</v>
      </c>
      <c r="AO309" s="416">
        <v>0</v>
      </c>
      <c r="AP309" s="416">
        <v>0</v>
      </c>
      <c r="AQ309" s="416">
        <v>0</v>
      </c>
      <c r="AR309" s="416">
        <v>0</v>
      </c>
      <c r="AS309" s="416">
        <v>0</v>
      </c>
      <c r="AT309" s="416">
        <v>0</v>
      </c>
      <c r="AU309" s="416">
        <v>0</v>
      </c>
      <c r="AV309" s="416">
        <v>0</v>
      </c>
      <c r="AW309" s="416">
        <v>0</v>
      </c>
      <c r="AX309" s="416">
        <v>0</v>
      </c>
      <c r="AY309" s="416">
        <v>0</v>
      </c>
      <c r="AZ309" s="416">
        <v>0</v>
      </c>
    </row>
    <row r="310" spans="1:52" x14ac:dyDescent="0.25">
      <c r="A310" s="415" t="str">
        <f t="shared" si="4"/>
        <v>SA-240 Gr.201LN</v>
      </c>
      <c r="B310" s="415">
        <v>305</v>
      </c>
      <c r="C310" s="415" t="s">
        <v>3196</v>
      </c>
      <c r="D310" s="415" t="s">
        <v>2684</v>
      </c>
      <c r="E310" s="415" t="s">
        <v>2165</v>
      </c>
      <c r="F310" s="415" t="s">
        <v>2232</v>
      </c>
      <c r="G310" s="415" t="s">
        <v>3197</v>
      </c>
      <c r="H310" s="415">
        <v>0</v>
      </c>
      <c r="I310" s="415">
        <v>0</v>
      </c>
      <c r="J310" s="415">
        <v>8</v>
      </c>
      <c r="K310" s="415">
        <v>3</v>
      </c>
      <c r="L310" s="415">
        <v>8</v>
      </c>
      <c r="M310" s="415">
        <v>655</v>
      </c>
      <c r="N310" s="415">
        <v>310</v>
      </c>
      <c r="O310" s="415">
        <v>427</v>
      </c>
      <c r="P310" s="415" t="s">
        <v>3073</v>
      </c>
      <c r="Q310" s="415" t="s">
        <v>3602</v>
      </c>
      <c r="R310" s="415">
        <v>8</v>
      </c>
      <c r="S310" s="415">
        <v>207</v>
      </c>
      <c r="T310" s="416">
        <v>207</v>
      </c>
      <c r="U310" s="416">
        <v>207</v>
      </c>
      <c r="V310" s="416">
        <v>207</v>
      </c>
      <c r="W310" s="416">
        <v>207</v>
      </c>
      <c r="X310" s="416">
        <v>203</v>
      </c>
      <c r="Y310" s="416">
        <v>198</v>
      </c>
      <c r="Z310" s="416">
        <v>194</v>
      </c>
      <c r="AA310" s="416">
        <v>190</v>
      </c>
      <c r="AB310" s="416">
        <v>187</v>
      </c>
      <c r="AC310" s="416">
        <v>185</v>
      </c>
      <c r="AD310" s="416">
        <v>181</v>
      </c>
      <c r="AE310" s="416">
        <v>176</v>
      </c>
      <c r="AF310" s="416">
        <v>172</v>
      </c>
      <c r="AG310" s="416">
        <v>167</v>
      </c>
      <c r="AH310" s="416">
        <v>161</v>
      </c>
      <c r="AI310" s="416">
        <v>156</v>
      </c>
      <c r="AJ310" s="416">
        <v>151</v>
      </c>
      <c r="AK310" s="416">
        <v>0</v>
      </c>
      <c r="AL310" s="416">
        <v>8</v>
      </c>
      <c r="AM310" s="416">
        <v>0</v>
      </c>
      <c r="AN310" s="416">
        <v>0</v>
      </c>
      <c r="AO310" s="416">
        <v>0</v>
      </c>
      <c r="AP310" s="416">
        <v>0</v>
      </c>
      <c r="AQ310" s="416">
        <v>0</v>
      </c>
      <c r="AR310" s="416">
        <v>0</v>
      </c>
      <c r="AS310" s="416">
        <v>0</v>
      </c>
      <c r="AT310" s="416">
        <v>0</v>
      </c>
      <c r="AU310" s="416">
        <v>0</v>
      </c>
      <c r="AV310" s="416">
        <v>0</v>
      </c>
      <c r="AW310" s="416">
        <v>0</v>
      </c>
      <c r="AX310" s="416">
        <v>0</v>
      </c>
      <c r="AY310" s="416">
        <v>0</v>
      </c>
      <c r="AZ310" s="416">
        <v>0</v>
      </c>
    </row>
    <row r="311" spans="1:52" x14ac:dyDescent="0.25">
      <c r="A311" s="415" t="str">
        <f t="shared" si="4"/>
        <v>SA-182 Gr.F316L</v>
      </c>
      <c r="B311" s="415">
        <v>306</v>
      </c>
      <c r="C311" s="415" t="s">
        <v>3200</v>
      </c>
      <c r="D311" s="415" t="s">
        <v>2737</v>
      </c>
      <c r="E311" s="415" t="s">
        <v>2188</v>
      </c>
      <c r="F311" s="415" t="s">
        <v>2440</v>
      </c>
      <c r="G311" s="415" t="s">
        <v>3201</v>
      </c>
      <c r="H311" s="415">
        <v>0</v>
      </c>
      <c r="I311" s="415" t="s">
        <v>3603</v>
      </c>
      <c r="J311" s="415">
        <v>8</v>
      </c>
      <c r="K311" s="415">
        <v>1</v>
      </c>
      <c r="L311" s="415">
        <v>9</v>
      </c>
      <c r="M311" s="415">
        <v>450</v>
      </c>
      <c r="N311" s="415">
        <v>170</v>
      </c>
      <c r="O311" s="415">
        <v>454</v>
      </c>
      <c r="P311" s="415" t="s">
        <v>3203</v>
      </c>
      <c r="Q311" s="415" t="s">
        <v>3602</v>
      </c>
      <c r="R311" s="415">
        <v>9</v>
      </c>
      <c r="S311" s="415">
        <v>115</v>
      </c>
      <c r="T311" s="416">
        <v>115</v>
      </c>
      <c r="U311" s="416">
        <v>115</v>
      </c>
      <c r="V311" s="416">
        <v>115</v>
      </c>
      <c r="W311" s="416">
        <v>115</v>
      </c>
      <c r="X311" s="416">
        <v>115</v>
      </c>
      <c r="Y311" s="416">
        <v>113</v>
      </c>
      <c r="Z311" s="416">
        <v>109</v>
      </c>
      <c r="AA311" s="416">
        <v>106</v>
      </c>
      <c r="AB311" s="416">
        <v>103</v>
      </c>
      <c r="AC311" s="416">
        <v>100</v>
      </c>
      <c r="AD311" s="416">
        <v>98.1</v>
      </c>
      <c r="AE311" s="416">
        <v>96.1</v>
      </c>
      <c r="AF311" s="416">
        <v>94.3</v>
      </c>
      <c r="AG311" s="416">
        <v>92.6</v>
      </c>
      <c r="AH311" s="416">
        <v>90.9</v>
      </c>
      <c r="AI311" s="416">
        <v>89.3</v>
      </c>
      <c r="AJ311" s="416">
        <v>87.6</v>
      </c>
      <c r="AK311" s="416">
        <v>85.9</v>
      </c>
      <c r="AL311" s="416">
        <v>9</v>
      </c>
      <c r="AM311" s="416">
        <v>0</v>
      </c>
      <c r="AN311" s="416">
        <v>0</v>
      </c>
      <c r="AO311" s="416">
        <v>0</v>
      </c>
      <c r="AP311" s="416">
        <v>0</v>
      </c>
      <c r="AQ311" s="416">
        <v>0</v>
      </c>
      <c r="AR311" s="416">
        <v>0</v>
      </c>
      <c r="AS311" s="416">
        <v>0</v>
      </c>
      <c r="AT311" s="416">
        <v>0</v>
      </c>
      <c r="AU311" s="416">
        <v>0</v>
      </c>
      <c r="AV311" s="416">
        <v>0</v>
      </c>
      <c r="AW311" s="416">
        <v>0</v>
      </c>
      <c r="AX311" s="416">
        <v>0</v>
      </c>
      <c r="AY311" s="416">
        <v>0</v>
      </c>
      <c r="AZ311" s="416">
        <v>0</v>
      </c>
    </row>
    <row r="312" spans="1:52" x14ac:dyDescent="0.25">
      <c r="A312" s="415" t="str">
        <f t="shared" si="4"/>
        <v>SA-965 Gr.F316L</v>
      </c>
      <c r="B312" s="415">
        <v>307</v>
      </c>
      <c r="C312" s="415" t="s">
        <v>3200</v>
      </c>
      <c r="D312" s="415" t="s">
        <v>2737</v>
      </c>
      <c r="E312" s="415" t="s">
        <v>2337</v>
      </c>
      <c r="F312" s="415" t="s">
        <v>2440</v>
      </c>
      <c r="G312" s="415" t="s">
        <v>3201</v>
      </c>
      <c r="H312" s="415">
        <v>0</v>
      </c>
      <c r="I312" s="415">
        <v>0</v>
      </c>
      <c r="J312" s="415">
        <v>8</v>
      </c>
      <c r="K312" s="415">
        <v>1</v>
      </c>
      <c r="L312" s="415">
        <v>10</v>
      </c>
      <c r="M312" s="415">
        <v>450</v>
      </c>
      <c r="N312" s="415">
        <v>170</v>
      </c>
      <c r="O312" s="415">
        <v>454</v>
      </c>
      <c r="P312" s="415" t="s">
        <v>3203</v>
      </c>
      <c r="Q312" s="415" t="s">
        <v>3602</v>
      </c>
      <c r="R312" s="415">
        <v>10</v>
      </c>
      <c r="S312" s="415">
        <v>115</v>
      </c>
      <c r="T312" s="416">
        <v>115</v>
      </c>
      <c r="U312" s="416">
        <v>115</v>
      </c>
      <c r="V312" s="416">
        <v>115</v>
      </c>
      <c r="W312" s="416">
        <v>115</v>
      </c>
      <c r="X312" s="416">
        <v>115</v>
      </c>
      <c r="Y312" s="416">
        <v>113</v>
      </c>
      <c r="Z312" s="416">
        <v>109</v>
      </c>
      <c r="AA312" s="416">
        <v>106</v>
      </c>
      <c r="AB312" s="416">
        <v>103</v>
      </c>
      <c r="AC312" s="416">
        <v>100</v>
      </c>
      <c r="AD312" s="416">
        <v>98.1</v>
      </c>
      <c r="AE312" s="416">
        <v>96.1</v>
      </c>
      <c r="AF312" s="416">
        <v>94.3</v>
      </c>
      <c r="AG312" s="416">
        <v>92.6</v>
      </c>
      <c r="AH312" s="416">
        <v>90.9</v>
      </c>
      <c r="AI312" s="416">
        <v>89.3</v>
      </c>
      <c r="AJ312" s="416">
        <v>87.6</v>
      </c>
      <c r="AK312" s="416">
        <v>85.9</v>
      </c>
      <c r="AL312" s="416">
        <v>10</v>
      </c>
      <c r="AM312" s="416">
        <v>0</v>
      </c>
      <c r="AN312" s="416">
        <v>0</v>
      </c>
      <c r="AO312" s="416">
        <v>0</v>
      </c>
      <c r="AP312" s="416">
        <v>0</v>
      </c>
      <c r="AQ312" s="416">
        <v>0</v>
      </c>
      <c r="AR312" s="416">
        <v>0</v>
      </c>
      <c r="AS312" s="416">
        <v>0</v>
      </c>
      <c r="AT312" s="416">
        <v>0</v>
      </c>
      <c r="AU312" s="416">
        <v>0</v>
      </c>
      <c r="AV312" s="416">
        <v>0</v>
      </c>
      <c r="AW312" s="416">
        <v>0</v>
      </c>
      <c r="AX312" s="416">
        <v>0</v>
      </c>
      <c r="AY312" s="416">
        <v>0</v>
      </c>
      <c r="AZ312" s="416">
        <v>0</v>
      </c>
    </row>
    <row r="313" spans="1:52" x14ac:dyDescent="0.25">
      <c r="A313" s="415" t="str">
        <f t="shared" si="4"/>
        <v>SA-182 Gr.F316L</v>
      </c>
      <c r="B313" s="415">
        <v>308</v>
      </c>
      <c r="C313" s="415" t="s">
        <v>3200</v>
      </c>
      <c r="D313" s="415" t="s">
        <v>2737</v>
      </c>
      <c r="E313" s="415" t="s">
        <v>2188</v>
      </c>
      <c r="F313" s="415" t="s">
        <v>2440</v>
      </c>
      <c r="G313" s="415" t="s">
        <v>3201</v>
      </c>
      <c r="H313" s="415">
        <v>0</v>
      </c>
      <c r="I313" s="415" t="s">
        <v>3604</v>
      </c>
      <c r="J313" s="415">
        <v>8</v>
      </c>
      <c r="K313" s="415">
        <v>1</v>
      </c>
      <c r="L313" s="415">
        <v>11</v>
      </c>
      <c r="M313" s="415">
        <v>485</v>
      </c>
      <c r="N313" s="415">
        <v>170</v>
      </c>
      <c r="O313" s="415">
        <v>454</v>
      </c>
      <c r="P313" s="415" t="s">
        <v>3203</v>
      </c>
      <c r="Q313" s="415" t="s">
        <v>3602</v>
      </c>
      <c r="R313" s="415">
        <v>11</v>
      </c>
      <c r="S313" s="415">
        <v>115</v>
      </c>
      <c r="T313" s="416">
        <v>115</v>
      </c>
      <c r="U313" s="416">
        <v>115</v>
      </c>
      <c r="V313" s="416">
        <v>115</v>
      </c>
      <c r="W313" s="416">
        <v>115</v>
      </c>
      <c r="X313" s="416">
        <v>115</v>
      </c>
      <c r="Y313" s="416">
        <v>113</v>
      </c>
      <c r="Z313" s="416">
        <v>109</v>
      </c>
      <c r="AA313" s="416">
        <v>106</v>
      </c>
      <c r="AB313" s="416">
        <v>103</v>
      </c>
      <c r="AC313" s="416">
        <v>100</v>
      </c>
      <c r="AD313" s="416">
        <v>98.1</v>
      </c>
      <c r="AE313" s="416">
        <v>96.1</v>
      </c>
      <c r="AF313" s="416">
        <v>94.3</v>
      </c>
      <c r="AG313" s="416">
        <v>92.6</v>
      </c>
      <c r="AH313" s="416">
        <v>90.9</v>
      </c>
      <c r="AI313" s="416">
        <v>89.3</v>
      </c>
      <c r="AJ313" s="416">
        <v>87.6</v>
      </c>
      <c r="AK313" s="416">
        <v>85.9</v>
      </c>
      <c r="AL313" s="416">
        <v>11</v>
      </c>
      <c r="AM313" s="416">
        <v>0</v>
      </c>
      <c r="AN313" s="416">
        <v>0</v>
      </c>
      <c r="AO313" s="416">
        <v>0</v>
      </c>
      <c r="AP313" s="416">
        <v>0</v>
      </c>
      <c r="AQ313" s="416">
        <v>0</v>
      </c>
      <c r="AR313" s="416">
        <v>0</v>
      </c>
      <c r="AS313" s="416">
        <v>0</v>
      </c>
      <c r="AT313" s="416">
        <v>0</v>
      </c>
      <c r="AU313" s="416">
        <v>0</v>
      </c>
      <c r="AV313" s="416">
        <v>0</v>
      </c>
      <c r="AW313" s="416">
        <v>0</v>
      </c>
      <c r="AX313" s="416">
        <v>0</v>
      </c>
      <c r="AY313" s="416">
        <v>0</v>
      </c>
      <c r="AZ313" s="416">
        <v>0</v>
      </c>
    </row>
    <row r="314" spans="1:52" x14ac:dyDescent="0.25">
      <c r="A314" s="415" t="str">
        <f t="shared" si="4"/>
        <v>SA-213 Gr.TP316L</v>
      </c>
      <c r="B314" s="415">
        <v>309</v>
      </c>
      <c r="C314" s="415" t="s">
        <v>3200</v>
      </c>
      <c r="D314" s="415" t="s">
        <v>2693</v>
      </c>
      <c r="E314" s="415" t="s">
        <v>2195</v>
      </c>
      <c r="F314" s="415" t="s">
        <v>2570</v>
      </c>
      <c r="G314" s="415" t="s">
        <v>3201</v>
      </c>
      <c r="H314" s="415">
        <v>0</v>
      </c>
      <c r="I314" s="415">
        <v>0</v>
      </c>
      <c r="J314" s="415">
        <v>8</v>
      </c>
      <c r="K314" s="415">
        <v>1</v>
      </c>
      <c r="L314" s="415">
        <v>12</v>
      </c>
      <c r="M314" s="415">
        <v>485</v>
      </c>
      <c r="N314" s="415">
        <v>170</v>
      </c>
      <c r="O314" s="415">
        <v>454</v>
      </c>
      <c r="P314" s="415" t="s">
        <v>3203</v>
      </c>
      <c r="Q314" s="415" t="s">
        <v>3602</v>
      </c>
      <c r="R314" s="415">
        <v>12</v>
      </c>
      <c r="S314" s="415">
        <v>115</v>
      </c>
      <c r="T314" s="416">
        <v>115</v>
      </c>
      <c r="U314" s="416">
        <v>115</v>
      </c>
      <c r="V314" s="416">
        <v>115</v>
      </c>
      <c r="W314" s="416">
        <v>115</v>
      </c>
      <c r="X314" s="416">
        <v>115</v>
      </c>
      <c r="Y314" s="416">
        <v>113</v>
      </c>
      <c r="Z314" s="416">
        <v>109</v>
      </c>
      <c r="AA314" s="416">
        <v>106</v>
      </c>
      <c r="AB314" s="416">
        <v>103</v>
      </c>
      <c r="AC314" s="416">
        <v>100</v>
      </c>
      <c r="AD314" s="416">
        <v>98.1</v>
      </c>
      <c r="AE314" s="416">
        <v>96.1</v>
      </c>
      <c r="AF314" s="416">
        <v>94.3</v>
      </c>
      <c r="AG314" s="416">
        <v>92.6</v>
      </c>
      <c r="AH314" s="416">
        <v>90.9</v>
      </c>
      <c r="AI314" s="416">
        <v>89.3</v>
      </c>
      <c r="AJ314" s="416">
        <v>87.6</v>
      </c>
      <c r="AK314" s="416">
        <v>85.9</v>
      </c>
      <c r="AL314" s="416">
        <v>12</v>
      </c>
      <c r="AM314" s="416">
        <v>0</v>
      </c>
      <c r="AN314" s="416">
        <v>0</v>
      </c>
      <c r="AO314" s="416">
        <v>0</v>
      </c>
      <c r="AP314" s="416">
        <v>0</v>
      </c>
      <c r="AQ314" s="416">
        <v>0</v>
      </c>
      <c r="AR314" s="416">
        <v>0</v>
      </c>
      <c r="AS314" s="416">
        <v>0</v>
      </c>
      <c r="AT314" s="416">
        <v>0</v>
      </c>
      <c r="AU314" s="416">
        <v>0</v>
      </c>
      <c r="AV314" s="416">
        <v>0</v>
      </c>
      <c r="AW314" s="416">
        <v>0</v>
      </c>
      <c r="AX314" s="416">
        <v>0</v>
      </c>
      <c r="AY314" s="416">
        <v>0</v>
      </c>
      <c r="AZ314" s="416">
        <v>0</v>
      </c>
    </row>
    <row r="315" spans="1:52" x14ac:dyDescent="0.25">
      <c r="A315" s="415" t="str">
        <f t="shared" si="4"/>
        <v>SA-240 Gr.316L</v>
      </c>
      <c r="B315" s="415">
        <v>310</v>
      </c>
      <c r="C315" s="415" t="s">
        <v>3200</v>
      </c>
      <c r="D315" s="415" t="s">
        <v>2684</v>
      </c>
      <c r="E315" s="415" t="s">
        <v>2165</v>
      </c>
      <c r="F315" s="415" t="s">
        <v>2166</v>
      </c>
      <c r="G315" s="415" t="s">
        <v>3201</v>
      </c>
      <c r="H315" s="415">
        <v>0</v>
      </c>
      <c r="I315" s="415">
        <v>0</v>
      </c>
      <c r="J315" s="415">
        <v>8</v>
      </c>
      <c r="K315" s="415">
        <v>1</v>
      </c>
      <c r="L315" s="415">
        <v>13</v>
      </c>
      <c r="M315" s="415">
        <v>485</v>
      </c>
      <c r="N315" s="415">
        <v>170</v>
      </c>
      <c r="O315" s="415">
        <v>454</v>
      </c>
      <c r="P315" s="415" t="s">
        <v>3203</v>
      </c>
      <c r="Q315" s="415" t="s">
        <v>3602</v>
      </c>
      <c r="R315" s="415">
        <v>13</v>
      </c>
      <c r="S315" s="415">
        <v>115</v>
      </c>
      <c r="T315" s="416">
        <v>115</v>
      </c>
      <c r="U315" s="416">
        <v>115</v>
      </c>
      <c r="V315" s="416">
        <v>115</v>
      </c>
      <c r="W315" s="416">
        <v>115</v>
      </c>
      <c r="X315" s="416">
        <v>115</v>
      </c>
      <c r="Y315" s="416">
        <v>113</v>
      </c>
      <c r="Z315" s="416">
        <v>109</v>
      </c>
      <c r="AA315" s="416">
        <v>106</v>
      </c>
      <c r="AB315" s="416">
        <v>103</v>
      </c>
      <c r="AC315" s="416">
        <v>100</v>
      </c>
      <c r="AD315" s="416">
        <v>98.1</v>
      </c>
      <c r="AE315" s="416">
        <v>96.1</v>
      </c>
      <c r="AF315" s="416">
        <v>94.3</v>
      </c>
      <c r="AG315" s="416">
        <v>92.6</v>
      </c>
      <c r="AH315" s="416">
        <v>90.9</v>
      </c>
      <c r="AI315" s="416">
        <v>89.3</v>
      </c>
      <c r="AJ315" s="416">
        <v>87.6</v>
      </c>
      <c r="AK315" s="416">
        <v>85.9</v>
      </c>
      <c r="AL315" s="416">
        <v>13</v>
      </c>
      <c r="AM315" s="416">
        <v>0</v>
      </c>
      <c r="AN315" s="416">
        <v>0</v>
      </c>
      <c r="AO315" s="416">
        <v>0</v>
      </c>
      <c r="AP315" s="416">
        <v>0</v>
      </c>
      <c r="AQ315" s="416">
        <v>0</v>
      </c>
      <c r="AR315" s="416">
        <v>0</v>
      </c>
      <c r="AS315" s="416">
        <v>0</v>
      </c>
      <c r="AT315" s="416">
        <v>0</v>
      </c>
      <c r="AU315" s="416">
        <v>0</v>
      </c>
      <c r="AV315" s="416">
        <v>0</v>
      </c>
      <c r="AW315" s="416">
        <v>0</v>
      </c>
      <c r="AX315" s="416">
        <v>0</v>
      </c>
      <c r="AY315" s="416">
        <v>0</v>
      </c>
      <c r="AZ315" s="416">
        <v>0</v>
      </c>
    </row>
    <row r="316" spans="1:52" x14ac:dyDescent="0.25">
      <c r="A316" s="415" t="str">
        <f t="shared" si="4"/>
        <v>SA-249 Gr.TP316L</v>
      </c>
      <c r="B316" s="415">
        <v>311</v>
      </c>
      <c r="C316" s="415" t="s">
        <v>3200</v>
      </c>
      <c r="D316" s="415" t="s">
        <v>2689</v>
      </c>
      <c r="E316" s="415" t="s">
        <v>2200</v>
      </c>
      <c r="F316" s="415" t="s">
        <v>2570</v>
      </c>
      <c r="G316" s="415" t="s">
        <v>3201</v>
      </c>
      <c r="H316" s="415">
        <v>0</v>
      </c>
      <c r="I316" s="415">
        <v>0</v>
      </c>
      <c r="J316" s="415">
        <v>8</v>
      </c>
      <c r="K316" s="415">
        <v>1</v>
      </c>
      <c r="L316" s="415">
        <v>14</v>
      </c>
      <c r="M316" s="415">
        <v>485</v>
      </c>
      <c r="N316" s="415">
        <v>170</v>
      </c>
      <c r="O316" s="415">
        <v>454</v>
      </c>
      <c r="P316" s="415" t="s">
        <v>3203</v>
      </c>
      <c r="Q316" s="415" t="s">
        <v>3605</v>
      </c>
      <c r="R316" s="415">
        <v>14</v>
      </c>
      <c r="S316" s="415">
        <v>97.7</v>
      </c>
      <c r="T316" s="416">
        <v>97.7</v>
      </c>
      <c r="U316" s="416">
        <v>97.7</v>
      </c>
      <c r="V316" s="416">
        <v>97.7</v>
      </c>
      <c r="W316" s="416">
        <v>97.7</v>
      </c>
      <c r="X316" s="416">
        <v>97.7</v>
      </c>
      <c r="Y316" s="416">
        <v>96.2</v>
      </c>
      <c r="Z316" s="416">
        <v>92.8</v>
      </c>
      <c r="AA316" s="416">
        <v>89.9</v>
      </c>
      <c r="AB316" s="416">
        <v>87.4</v>
      </c>
      <c r="AC316" s="416">
        <v>85.2</v>
      </c>
      <c r="AD316" s="416">
        <v>83.4</v>
      </c>
      <c r="AE316" s="416">
        <v>81.7</v>
      </c>
      <c r="AF316" s="416">
        <v>80.2</v>
      </c>
      <c r="AG316" s="416">
        <v>78.7</v>
      </c>
      <c r="AH316" s="416">
        <v>77.3</v>
      </c>
      <c r="AI316" s="416">
        <v>75.900000000000006</v>
      </c>
      <c r="AJ316" s="416">
        <v>74.400000000000006</v>
      </c>
      <c r="AK316" s="416">
        <v>73</v>
      </c>
      <c r="AL316" s="416">
        <v>14</v>
      </c>
      <c r="AM316" s="416">
        <v>0</v>
      </c>
      <c r="AN316" s="416">
        <v>0</v>
      </c>
      <c r="AO316" s="416">
        <v>0</v>
      </c>
      <c r="AP316" s="416">
        <v>0</v>
      </c>
      <c r="AQ316" s="416">
        <v>0</v>
      </c>
      <c r="AR316" s="416">
        <v>0</v>
      </c>
      <c r="AS316" s="416">
        <v>0</v>
      </c>
      <c r="AT316" s="416">
        <v>0</v>
      </c>
      <c r="AU316" s="416">
        <v>0</v>
      </c>
      <c r="AV316" s="416">
        <v>0</v>
      </c>
      <c r="AW316" s="416">
        <v>0</v>
      </c>
      <c r="AX316" s="416">
        <v>0</v>
      </c>
      <c r="AY316" s="416">
        <v>0</v>
      </c>
      <c r="AZ316" s="416">
        <v>0</v>
      </c>
    </row>
    <row r="317" spans="1:52" x14ac:dyDescent="0.25">
      <c r="A317" s="415" t="str">
        <f t="shared" si="4"/>
        <v>SA-312 Gr.TP316L</v>
      </c>
      <c r="B317" s="415">
        <v>312</v>
      </c>
      <c r="C317" s="415" t="s">
        <v>3200</v>
      </c>
      <c r="D317" s="415" t="s">
        <v>2703</v>
      </c>
      <c r="E317" s="415" t="s">
        <v>2208</v>
      </c>
      <c r="F317" s="415" t="s">
        <v>2570</v>
      </c>
      <c r="G317" s="415" t="s">
        <v>3201</v>
      </c>
      <c r="H317" s="415">
        <v>0</v>
      </c>
      <c r="I317" s="415">
        <v>0</v>
      </c>
      <c r="J317" s="415">
        <v>8</v>
      </c>
      <c r="K317" s="415">
        <v>1</v>
      </c>
      <c r="L317" s="415">
        <v>15</v>
      </c>
      <c r="M317" s="415">
        <v>485</v>
      </c>
      <c r="N317" s="415">
        <v>170</v>
      </c>
      <c r="O317" s="415">
        <v>454</v>
      </c>
      <c r="P317" s="415" t="s">
        <v>3203</v>
      </c>
      <c r="Q317" s="415" t="s">
        <v>3602</v>
      </c>
      <c r="R317" s="415">
        <v>15</v>
      </c>
      <c r="S317" s="415">
        <v>115</v>
      </c>
      <c r="T317" s="416">
        <v>115</v>
      </c>
      <c r="U317" s="416">
        <v>115</v>
      </c>
      <c r="V317" s="416">
        <v>115</v>
      </c>
      <c r="W317" s="416">
        <v>115</v>
      </c>
      <c r="X317" s="416">
        <v>115</v>
      </c>
      <c r="Y317" s="416">
        <v>113</v>
      </c>
      <c r="Z317" s="416">
        <v>109</v>
      </c>
      <c r="AA317" s="416">
        <v>106</v>
      </c>
      <c r="AB317" s="416">
        <v>103</v>
      </c>
      <c r="AC317" s="416">
        <v>100</v>
      </c>
      <c r="AD317" s="416">
        <v>98.1</v>
      </c>
      <c r="AE317" s="416">
        <v>96.1</v>
      </c>
      <c r="AF317" s="416">
        <v>94.3</v>
      </c>
      <c r="AG317" s="416">
        <v>92.6</v>
      </c>
      <c r="AH317" s="416">
        <v>90.9</v>
      </c>
      <c r="AI317" s="416">
        <v>89.3</v>
      </c>
      <c r="AJ317" s="416">
        <v>87.6</v>
      </c>
      <c r="AK317" s="416">
        <v>85.9</v>
      </c>
      <c r="AL317" s="416">
        <v>15</v>
      </c>
      <c r="AM317" s="416">
        <v>0</v>
      </c>
      <c r="AN317" s="416">
        <v>0</v>
      </c>
      <c r="AO317" s="416">
        <v>0</v>
      </c>
      <c r="AP317" s="416">
        <v>0</v>
      </c>
      <c r="AQ317" s="416">
        <v>0</v>
      </c>
      <c r="AR317" s="416">
        <v>0</v>
      </c>
      <c r="AS317" s="416">
        <v>0</v>
      </c>
      <c r="AT317" s="416">
        <v>0</v>
      </c>
      <c r="AU317" s="416">
        <v>0</v>
      </c>
      <c r="AV317" s="416">
        <v>0</v>
      </c>
      <c r="AW317" s="416">
        <v>0</v>
      </c>
      <c r="AX317" s="416">
        <v>0</v>
      </c>
      <c r="AY317" s="416">
        <v>0</v>
      </c>
      <c r="AZ317" s="416">
        <v>0</v>
      </c>
    </row>
    <row r="318" spans="1:52" x14ac:dyDescent="0.25">
      <c r="A318" s="415" t="str">
        <f t="shared" si="4"/>
        <v>SA-312 Gr.TP316L</v>
      </c>
      <c r="B318" s="415">
        <v>313</v>
      </c>
      <c r="C318" s="415" t="s">
        <v>3200</v>
      </c>
      <c r="D318" s="415" t="s">
        <v>2680</v>
      </c>
      <c r="E318" s="415" t="s">
        <v>2208</v>
      </c>
      <c r="F318" s="415" t="s">
        <v>2570</v>
      </c>
      <c r="G318" s="415" t="s">
        <v>3201</v>
      </c>
      <c r="H318" s="415">
        <v>0</v>
      </c>
      <c r="I318" s="415">
        <v>0</v>
      </c>
      <c r="J318" s="415">
        <v>8</v>
      </c>
      <c r="K318" s="415">
        <v>1</v>
      </c>
      <c r="L318" s="415">
        <v>16</v>
      </c>
      <c r="M318" s="415">
        <v>485</v>
      </c>
      <c r="N318" s="415">
        <v>170</v>
      </c>
      <c r="O318" s="415">
        <v>454</v>
      </c>
      <c r="P318" s="415" t="s">
        <v>3203</v>
      </c>
      <c r="Q318" s="415" t="s">
        <v>3605</v>
      </c>
      <c r="R318" s="415">
        <v>16</v>
      </c>
      <c r="S318" s="415">
        <v>97.7</v>
      </c>
      <c r="T318" s="416">
        <v>97.7</v>
      </c>
      <c r="U318" s="416">
        <v>97.7</v>
      </c>
      <c r="V318" s="416">
        <v>97.7</v>
      </c>
      <c r="W318" s="416">
        <v>97.7</v>
      </c>
      <c r="X318" s="416">
        <v>97.7</v>
      </c>
      <c r="Y318" s="416">
        <v>96.2</v>
      </c>
      <c r="Z318" s="416">
        <v>92.8</v>
      </c>
      <c r="AA318" s="416">
        <v>89.9</v>
      </c>
      <c r="AB318" s="416">
        <v>87.4</v>
      </c>
      <c r="AC318" s="416">
        <v>85.2</v>
      </c>
      <c r="AD318" s="416">
        <v>83.4</v>
      </c>
      <c r="AE318" s="416">
        <v>81.7</v>
      </c>
      <c r="AF318" s="416">
        <v>80.2</v>
      </c>
      <c r="AG318" s="416">
        <v>78.7</v>
      </c>
      <c r="AH318" s="416">
        <v>77.3</v>
      </c>
      <c r="AI318" s="416">
        <v>75.900000000000006</v>
      </c>
      <c r="AJ318" s="416">
        <v>74.400000000000006</v>
      </c>
      <c r="AK318" s="416">
        <v>73</v>
      </c>
      <c r="AL318" s="416">
        <v>16</v>
      </c>
      <c r="AM318" s="416">
        <v>0</v>
      </c>
      <c r="AN318" s="416">
        <v>0</v>
      </c>
      <c r="AO318" s="416">
        <v>0</v>
      </c>
      <c r="AP318" s="416">
        <v>0</v>
      </c>
      <c r="AQ318" s="416">
        <v>0</v>
      </c>
      <c r="AR318" s="416">
        <v>0</v>
      </c>
      <c r="AS318" s="416">
        <v>0</v>
      </c>
      <c r="AT318" s="416">
        <v>0</v>
      </c>
      <c r="AU318" s="416">
        <v>0</v>
      </c>
      <c r="AV318" s="416">
        <v>0</v>
      </c>
      <c r="AW318" s="416">
        <v>0</v>
      </c>
      <c r="AX318" s="416">
        <v>0</v>
      </c>
      <c r="AY318" s="416">
        <v>0</v>
      </c>
      <c r="AZ318" s="416">
        <v>0</v>
      </c>
    </row>
    <row r="319" spans="1:52" x14ac:dyDescent="0.25">
      <c r="A319" s="415" t="str">
        <f t="shared" si="4"/>
        <v>SA-403 Gr.316L</v>
      </c>
      <c r="B319" s="415">
        <v>314</v>
      </c>
      <c r="C319" s="415" t="s">
        <v>3200</v>
      </c>
      <c r="D319" s="415" t="s">
        <v>913</v>
      </c>
      <c r="E319" s="415" t="s">
        <v>2229</v>
      </c>
      <c r="F319" s="415" t="s">
        <v>2166</v>
      </c>
      <c r="G319" s="415" t="s">
        <v>3201</v>
      </c>
      <c r="H319" s="415" t="s">
        <v>3380</v>
      </c>
      <c r="I319" s="415">
        <v>0</v>
      </c>
      <c r="J319" s="415">
        <v>8</v>
      </c>
      <c r="K319" s="415">
        <v>1</v>
      </c>
      <c r="L319" s="415">
        <v>17</v>
      </c>
      <c r="M319" s="415">
        <v>485</v>
      </c>
      <c r="N319" s="415">
        <v>170</v>
      </c>
      <c r="O319" s="415">
        <v>454</v>
      </c>
      <c r="P319" s="415" t="s">
        <v>3203</v>
      </c>
      <c r="Q319" s="415" t="s">
        <v>3605</v>
      </c>
      <c r="R319" s="415">
        <v>17</v>
      </c>
      <c r="S319" s="415">
        <v>97.7</v>
      </c>
      <c r="T319" s="416">
        <v>97.7</v>
      </c>
      <c r="U319" s="416">
        <v>97.7</v>
      </c>
      <c r="V319" s="416">
        <v>97.7</v>
      </c>
      <c r="W319" s="416">
        <v>97.7</v>
      </c>
      <c r="X319" s="416">
        <v>97.7</v>
      </c>
      <c r="Y319" s="416">
        <v>96.2</v>
      </c>
      <c r="Z319" s="416">
        <v>92.8</v>
      </c>
      <c r="AA319" s="416">
        <v>89.9</v>
      </c>
      <c r="AB319" s="416">
        <v>87.4</v>
      </c>
      <c r="AC319" s="416">
        <v>85.2</v>
      </c>
      <c r="AD319" s="416">
        <v>83.4</v>
      </c>
      <c r="AE319" s="416">
        <v>81.7</v>
      </c>
      <c r="AF319" s="416">
        <v>80.2</v>
      </c>
      <c r="AG319" s="416">
        <v>78.7</v>
      </c>
      <c r="AH319" s="416">
        <v>77.3</v>
      </c>
      <c r="AI319" s="416">
        <v>75.900000000000006</v>
      </c>
      <c r="AJ319" s="416">
        <v>74.400000000000006</v>
      </c>
      <c r="AK319" s="416">
        <v>73</v>
      </c>
      <c r="AL319" s="416">
        <v>17</v>
      </c>
      <c r="AM319" s="416">
        <v>0</v>
      </c>
      <c r="AN319" s="416">
        <v>0</v>
      </c>
      <c r="AO319" s="416">
        <v>0</v>
      </c>
      <c r="AP319" s="416">
        <v>0</v>
      </c>
      <c r="AQ319" s="416">
        <v>0</v>
      </c>
      <c r="AR319" s="416">
        <v>0</v>
      </c>
      <c r="AS319" s="416">
        <v>0</v>
      </c>
      <c r="AT319" s="416">
        <v>0</v>
      </c>
      <c r="AU319" s="416">
        <v>0</v>
      </c>
      <c r="AV319" s="416">
        <v>0</v>
      </c>
      <c r="AW319" s="416">
        <v>0</v>
      </c>
      <c r="AX319" s="416">
        <v>0</v>
      </c>
      <c r="AY319" s="416">
        <v>0</v>
      </c>
      <c r="AZ319" s="416">
        <v>0</v>
      </c>
    </row>
    <row r="320" spans="1:52" x14ac:dyDescent="0.25">
      <c r="A320" s="415" t="str">
        <f t="shared" si="4"/>
        <v>SA-403 Gr.316L</v>
      </c>
      <c r="B320" s="415">
        <v>315</v>
      </c>
      <c r="C320" s="415" t="s">
        <v>3200</v>
      </c>
      <c r="D320" s="415" t="s">
        <v>3414</v>
      </c>
      <c r="E320" s="415" t="s">
        <v>2229</v>
      </c>
      <c r="F320" s="415" t="s">
        <v>2166</v>
      </c>
      <c r="G320" s="415" t="s">
        <v>3201</v>
      </c>
      <c r="H320" s="415" t="s">
        <v>3382</v>
      </c>
      <c r="I320" s="415">
        <v>0</v>
      </c>
      <c r="J320" s="415">
        <v>8</v>
      </c>
      <c r="K320" s="415">
        <v>1</v>
      </c>
      <c r="L320" s="415">
        <v>18</v>
      </c>
      <c r="M320" s="415">
        <v>485</v>
      </c>
      <c r="N320" s="415">
        <v>170</v>
      </c>
      <c r="O320" s="415">
        <v>454</v>
      </c>
      <c r="P320" s="415" t="s">
        <v>3203</v>
      </c>
      <c r="Q320" s="415" t="s">
        <v>3605</v>
      </c>
      <c r="R320" s="415">
        <v>18</v>
      </c>
      <c r="S320" s="415">
        <v>97.7</v>
      </c>
      <c r="T320" s="416">
        <v>97.7</v>
      </c>
      <c r="U320" s="416">
        <v>97.7</v>
      </c>
      <c r="V320" s="416">
        <v>97.7</v>
      </c>
      <c r="W320" s="416">
        <v>97.7</v>
      </c>
      <c r="X320" s="416">
        <v>97.7</v>
      </c>
      <c r="Y320" s="416">
        <v>96.2</v>
      </c>
      <c r="Z320" s="416">
        <v>92.8</v>
      </c>
      <c r="AA320" s="416">
        <v>89.9</v>
      </c>
      <c r="AB320" s="416">
        <v>87.4</v>
      </c>
      <c r="AC320" s="416">
        <v>85.2</v>
      </c>
      <c r="AD320" s="416">
        <v>83.4</v>
      </c>
      <c r="AE320" s="416">
        <v>81.7</v>
      </c>
      <c r="AF320" s="416">
        <v>80.2</v>
      </c>
      <c r="AG320" s="416">
        <v>78.7</v>
      </c>
      <c r="AH320" s="416">
        <v>77.3</v>
      </c>
      <c r="AI320" s="416">
        <v>75.900000000000006</v>
      </c>
      <c r="AJ320" s="416">
        <v>74.400000000000006</v>
      </c>
      <c r="AK320" s="416">
        <v>73</v>
      </c>
      <c r="AL320" s="416">
        <v>18</v>
      </c>
      <c r="AM320" s="416">
        <v>0</v>
      </c>
      <c r="AN320" s="416">
        <v>0</v>
      </c>
      <c r="AO320" s="416">
        <v>0</v>
      </c>
      <c r="AP320" s="416">
        <v>0</v>
      </c>
      <c r="AQ320" s="416">
        <v>0</v>
      </c>
      <c r="AR320" s="416">
        <v>0</v>
      </c>
      <c r="AS320" s="416">
        <v>0</v>
      </c>
      <c r="AT320" s="416">
        <v>0</v>
      </c>
      <c r="AU320" s="416">
        <v>0</v>
      </c>
      <c r="AV320" s="416">
        <v>0</v>
      </c>
      <c r="AW320" s="416">
        <v>0</v>
      </c>
      <c r="AX320" s="416">
        <v>0</v>
      </c>
      <c r="AY320" s="416">
        <v>0</v>
      </c>
      <c r="AZ320" s="416">
        <v>0</v>
      </c>
    </row>
    <row r="321" spans="1:52" x14ac:dyDescent="0.25">
      <c r="A321" s="415" t="str">
        <f t="shared" si="4"/>
        <v>SA-403 Gr.316L</v>
      </c>
      <c r="B321" s="415">
        <v>316</v>
      </c>
      <c r="C321" s="415" t="s">
        <v>3200</v>
      </c>
      <c r="D321" s="415" t="s">
        <v>3414</v>
      </c>
      <c r="E321" s="415" t="s">
        <v>2229</v>
      </c>
      <c r="F321" s="415" t="s">
        <v>2166</v>
      </c>
      <c r="G321" s="415" t="s">
        <v>3201</v>
      </c>
      <c r="H321" s="415" t="s">
        <v>3384</v>
      </c>
      <c r="I321" s="415">
        <v>0</v>
      </c>
      <c r="J321" s="415">
        <v>8</v>
      </c>
      <c r="K321" s="415">
        <v>1</v>
      </c>
      <c r="L321" s="415">
        <v>19</v>
      </c>
      <c r="M321" s="415">
        <v>485</v>
      </c>
      <c r="N321" s="415">
        <v>170</v>
      </c>
      <c r="O321" s="415">
        <v>454</v>
      </c>
      <c r="P321" s="415" t="s">
        <v>3203</v>
      </c>
      <c r="Q321" s="415" t="s">
        <v>3605</v>
      </c>
      <c r="R321" s="415">
        <v>19</v>
      </c>
      <c r="S321" s="415">
        <v>97.7</v>
      </c>
      <c r="T321" s="416">
        <v>97.7</v>
      </c>
      <c r="U321" s="416">
        <v>97.7</v>
      </c>
      <c r="V321" s="416">
        <v>97.7</v>
      </c>
      <c r="W321" s="416">
        <v>97.7</v>
      </c>
      <c r="X321" s="416">
        <v>97.7</v>
      </c>
      <c r="Y321" s="416">
        <v>96.2</v>
      </c>
      <c r="Z321" s="416">
        <v>92.8</v>
      </c>
      <c r="AA321" s="416">
        <v>89.9</v>
      </c>
      <c r="AB321" s="416">
        <v>87.4</v>
      </c>
      <c r="AC321" s="416">
        <v>85.2</v>
      </c>
      <c r="AD321" s="416">
        <v>83.4</v>
      </c>
      <c r="AE321" s="416">
        <v>81.7</v>
      </c>
      <c r="AF321" s="416">
        <v>80.2</v>
      </c>
      <c r="AG321" s="416">
        <v>78.7</v>
      </c>
      <c r="AH321" s="416">
        <v>77.3</v>
      </c>
      <c r="AI321" s="416">
        <v>75.900000000000006</v>
      </c>
      <c r="AJ321" s="416">
        <v>74.400000000000006</v>
      </c>
      <c r="AK321" s="416">
        <v>73</v>
      </c>
      <c r="AL321" s="416">
        <v>19</v>
      </c>
      <c r="AM321" s="416">
        <v>0</v>
      </c>
      <c r="AN321" s="416">
        <v>0</v>
      </c>
      <c r="AO321" s="416">
        <v>0</v>
      </c>
      <c r="AP321" s="416">
        <v>0</v>
      </c>
      <c r="AQ321" s="416">
        <v>0</v>
      </c>
      <c r="AR321" s="416">
        <v>0</v>
      </c>
      <c r="AS321" s="416">
        <v>0</v>
      </c>
      <c r="AT321" s="416">
        <v>0</v>
      </c>
      <c r="AU321" s="416">
        <v>0</v>
      </c>
      <c r="AV321" s="416">
        <v>0</v>
      </c>
      <c r="AW321" s="416">
        <v>0</v>
      </c>
      <c r="AX321" s="416">
        <v>0</v>
      </c>
      <c r="AY321" s="416">
        <v>0</v>
      </c>
      <c r="AZ321" s="416">
        <v>0</v>
      </c>
    </row>
    <row r="322" spans="1:52" x14ac:dyDescent="0.25">
      <c r="A322" s="415" t="str">
        <f t="shared" si="4"/>
        <v>SA-688 Gr.TP316L</v>
      </c>
      <c r="B322" s="415">
        <v>317</v>
      </c>
      <c r="C322" s="415" t="s">
        <v>3200</v>
      </c>
      <c r="D322" s="415" t="s">
        <v>2680</v>
      </c>
      <c r="E322" s="415" t="s">
        <v>2301</v>
      </c>
      <c r="F322" s="415" t="s">
        <v>2570</v>
      </c>
      <c r="G322" s="415" t="s">
        <v>3201</v>
      </c>
      <c r="H322" s="415">
        <v>0</v>
      </c>
      <c r="I322" s="415">
        <v>0</v>
      </c>
      <c r="J322" s="415">
        <v>8</v>
      </c>
      <c r="K322" s="415">
        <v>1</v>
      </c>
      <c r="L322" s="415">
        <v>20</v>
      </c>
      <c r="M322" s="415">
        <v>485</v>
      </c>
      <c r="N322" s="415">
        <v>175</v>
      </c>
      <c r="O322" s="415">
        <v>454</v>
      </c>
      <c r="P322" s="415" t="s">
        <v>3203</v>
      </c>
      <c r="Q322" s="415" t="s">
        <v>3605</v>
      </c>
      <c r="R322" s="415">
        <v>20</v>
      </c>
      <c r="S322" s="415">
        <v>97.7</v>
      </c>
      <c r="T322" s="416">
        <v>97.7</v>
      </c>
      <c r="U322" s="416">
        <v>97.7</v>
      </c>
      <c r="V322" s="416">
        <v>97.7</v>
      </c>
      <c r="W322" s="416">
        <v>97.7</v>
      </c>
      <c r="X322" s="416">
        <v>97.7</v>
      </c>
      <c r="Y322" s="416">
        <v>96.2</v>
      </c>
      <c r="Z322" s="416">
        <v>92.8</v>
      </c>
      <c r="AA322" s="416">
        <v>89.9</v>
      </c>
      <c r="AB322" s="416">
        <v>87.4</v>
      </c>
      <c r="AC322" s="416">
        <v>85.2</v>
      </c>
      <c r="AD322" s="416">
        <v>83.4</v>
      </c>
      <c r="AE322" s="416">
        <v>81.7</v>
      </c>
      <c r="AF322" s="416">
        <v>80.2</v>
      </c>
      <c r="AG322" s="416">
        <v>78.7</v>
      </c>
      <c r="AH322" s="416">
        <v>77.3</v>
      </c>
      <c r="AI322" s="416">
        <v>75.900000000000006</v>
      </c>
      <c r="AJ322" s="416">
        <v>74.400000000000006</v>
      </c>
      <c r="AK322" s="416">
        <v>73</v>
      </c>
      <c r="AL322" s="416">
        <v>20</v>
      </c>
      <c r="AM322" s="416">
        <v>0</v>
      </c>
      <c r="AN322" s="416">
        <v>0</v>
      </c>
      <c r="AO322" s="416">
        <v>0</v>
      </c>
      <c r="AP322" s="416">
        <v>0</v>
      </c>
      <c r="AQ322" s="416">
        <v>0</v>
      </c>
      <c r="AR322" s="416">
        <v>0</v>
      </c>
      <c r="AS322" s="416">
        <v>0</v>
      </c>
      <c r="AT322" s="416">
        <v>0</v>
      </c>
      <c r="AU322" s="416">
        <v>0</v>
      </c>
      <c r="AV322" s="416">
        <v>0</v>
      </c>
      <c r="AW322" s="416">
        <v>0</v>
      </c>
      <c r="AX322" s="416">
        <v>0</v>
      </c>
      <c r="AY322" s="416">
        <v>0</v>
      </c>
      <c r="AZ322" s="416">
        <v>0</v>
      </c>
    </row>
    <row r="323" spans="1:52" x14ac:dyDescent="0.25">
      <c r="A323" s="415" t="str">
        <f t="shared" si="4"/>
        <v>SA-351 Gr.CF8M</v>
      </c>
      <c r="B323" s="415">
        <v>318</v>
      </c>
      <c r="C323" s="415" t="s">
        <v>3200</v>
      </c>
      <c r="D323" s="415" t="s">
        <v>2739</v>
      </c>
      <c r="E323" s="415" t="s">
        <v>2213</v>
      </c>
      <c r="F323" s="415" t="s">
        <v>2378</v>
      </c>
      <c r="G323" s="415" t="s">
        <v>3219</v>
      </c>
      <c r="H323" s="415">
        <v>0</v>
      </c>
      <c r="I323" s="415">
        <v>0</v>
      </c>
      <c r="J323" s="415">
        <v>8</v>
      </c>
      <c r="K323" s="415">
        <v>1</v>
      </c>
      <c r="L323" s="415">
        <v>21</v>
      </c>
      <c r="M323" s="415">
        <v>485</v>
      </c>
      <c r="N323" s="415">
        <v>205</v>
      </c>
      <c r="O323" s="415">
        <v>816</v>
      </c>
      <c r="P323" s="415" t="s">
        <v>3069</v>
      </c>
      <c r="Q323" s="415" t="s">
        <v>3606</v>
      </c>
      <c r="R323" s="415">
        <v>21</v>
      </c>
      <c r="S323" s="415">
        <v>138</v>
      </c>
      <c r="T323" s="416">
        <v>138</v>
      </c>
      <c r="U323" s="416">
        <v>138</v>
      </c>
      <c r="V323" s="416">
        <v>138</v>
      </c>
      <c r="W323" s="416">
        <v>138</v>
      </c>
      <c r="X323" s="416">
        <v>138</v>
      </c>
      <c r="Y323" s="416">
        <v>138</v>
      </c>
      <c r="Z323" s="416">
        <v>134</v>
      </c>
      <c r="AA323" s="416">
        <v>129</v>
      </c>
      <c r="AB323" s="416">
        <v>125</v>
      </c>
      <c r="AC323" s="416">
        <v>122</v>
      </c>
      <c r="AD323" s="416">
        <v>119</v>
      </c>
      <c r="AE323" s="416">
        <v>116</v>
      </c>
      <c r="AF323" s="416">
        <v>114</v>
      </c>
      <c r="AG323" s="416">
        <v>112</v>
      </c>
      <c r="AH323" s="416">
        <v>111</v>
      </c>
      <c r="AI323" s="416">
        <v>110</v>
      </c>
      <c r="AJ323" s="416">
        <v>109</v>
      </c>
      <c r="AK323" s="416">
        <v>108</v>
      </c>
      <c r="AL323" s="416">
        <v>21</v>
      </c>
      <c r="AM323" s="416">
        <v>107</v>
      </c>
      <c r="AN323" s="416">
        <v>106</v>
      </c>
      <c r="AO323" s="416">
        <v>105</v>
      </c>
      <c r="AP323" s="416">
        <v>97.8</v>
      </c>
      <c r="AQ323" s="416">
        <v>80.8</v>
      </c>
      <c r="AR323" s="416">
        <v>65</v>
      </c>
      <c r="AS323" s="416">
        <v>50.5</v>
      </c>
      <c r="AT323" s="416">
        <v>39.200000000000003</v>
      </c>
      <c r="AU323" s="416">
        <v>30.4</v>
      </c>
      <c r="AV323" s="416">
        <v>23.6</v>
      </c>
      <c r="AW323" s="416">
        <v>18.399999999999999</v>
      </c>
      <c r="AX323" s="416">
        <v>14.3</v>
      </c>
      <c r="AY323" s="416">
        <v>11.1</v>
      </c>
      <c r="AZ323" s="416">
        <v>8.6</v>
      </c>
    </row>
    <row r="324" spans="1:52" x14ac:dyDescent="0.25">
      <c r="A324" s="415" t="str">
        <f t="shared" si="4"/>
        <v>SA-182 Gr.F316</v>
      </c>
      <c r="B324" s="415">
        <v>319</v>
      </c>
      <c r="C324" s="415" t="s">
        <v>3200</v>
      </c>
      <c r="D324" s="415" t="s">
        <v>2737</v>
      </c>
      <c r="E324" s="415" t="s">
        <v>2188</v>
      </c>
      <c r="F324" s="415" t="s">
        <v>140</v>
      </c>
      <c r="G324" s="415" t="s">
        <v>3222</v>
      </c>
      <c r="H324" s="415">
        <v>0</v>
      </c>
      <c r="I324" s="415" t="s">
        <v>3603</v>
      </c>
      <c r="J324" s="415">
        <v>8</v>
      </c>
      <c r="K324" s="415">
        <v>1</v>
      </c>
      <c r="L324" s="415">
        <v>22</v>
      </c>
      <c r="M324" s="415">
        <v>485</v>
      </c>
      <c r="N324" s="415">
        <v>205</v>
      </c>
      <c r="O324" s="415">
        <v>816</v>
      </c>
      <c r="P324" s="415" t="s">
        <v>3069</v>
      </c>
      <c r="Q324" s="415" t="s">
        <v>3607</v>
      </c>
      <c r="R324" s="415">
        <v>22</v>
      </c>
      <c r="S324" s="415">
        <v>138</v>
      </c>
      <c r="T324" s="416">
        <v>138</v>
      </c>
      <c r="U324" s="416">
        <v>138</v>
      </c>
      <c r="V324" s="416">
        <v>138</v>
      </c>
      <c r="W324" s="416">
        <v>138</v>
      </c>
      <c r="X324" s="416">
        <v>138</v>
      </c>
      <c r="Y324" s="416">
        <v>138</v>
      </c>
      <c r="Z324" s="416">
        <v>134</v>
      </c>
      <c r="AA324" s="416">
        <v>129</v>
      </c>
      <c r="AB324" s="416">
        <v>125</v>
      </c>
      <c r="AC324" s="416">
        <v>122</v>
      </c>
      <c r="AD324" s="416">
        <v>119</v>
      </c>
      <c r="AE324" s="416">
        <v>116</v>
      </c>
      <c r="AF324" s="416">
        <v>114</v>
      </c>
      <c r="AG324" s="416">
        <v>112</v>
      </c>
      <c r="AH324" s="416">
        <v>111</v>
      </c>
      <c r="AI324" s="416">
        <v>110</v>
      </c>
      <c r="AJ324" s="416">
        <v>109</v>
      </c>
      <c r="AK324" s="416">
        <v>108</v>
      </c>
      <c r="AL324" s="416">
        <v>22</v>
      </c>
      <c r="AM324" s="416">
        <v>107</v>
      </c>
      <c r="AN324" s="416">
        <v>106</v>
      </c>
      <c r="AO324" s="416">
        <v>105</v>
      </c>
      <c r="AP324" s="416">
        <v>97.8</v>
      </c>
      <c r="AQ324" s="416">
        <v>80.8</v>
      </c>
      <c r="AR324" s="416">
        <v>65</v>
      </c>
      <c r="AS324" s="416">
        <v>50.5</v>
      </c>
      <c r="AT324" s="416">
        <v>39.200000000000003</v>
      </c>
      <c r="AU324" s="416">
        <v>30.4</v>
      </c>
      <c r="AV324" s="416">
        <v>23.6</v>
      </c>
      <c r="AW324" s="416">
        <v>18.399999999999999</v>
      </c>
      <c r="AX324" s="416">
        <v>14.3</v>
      </c>
      <c r="AY324" s="416">
        <v>11.1</v>
      </c>
      <c r="AZ324" s="416">
        <v>8.6</v>
      </c>
    </row>
    <row r="325" spans="1:52" x14ac:dyDescent="0.25">
      <c r="A325" s="415" t="str">
        <f t="shared" si="4"/>
        <v>SA-965 Gr.F316</v>
      </c>
      <c r="B325" s="415">
        <v>320</v>
      </c>
      <c r="C325" s="415" t="s">
        <v>3200</v>
      </c>
      <c r="D325" s="415" t="s">
        <v>2737</v>
      </c>
      <c r="E325" s="415" t="s">
        <v>2337</v>
      </c>
      <c r="F325" s="415" t="s">
        <v>140</v>
      </c>
      <c r="G325" s="415" t="s">
        <v>3222</v>
      </c>
      <c r="H325" s="415">
        <v>0</v>
      </c>
      <c r="I325" s="415">
        <v>0</v>
      </c>
      <c r="J325" s="415">
        <v>8</v>
      </c>
      <c r="K325" s="415">
        <v>1</v>
      </c>
      <c r="L325" s="415">
        <v>23</v>
      </c>
      <c r="M325" s="415">
        <v>485</v>
      </c>
      <c r="N325" s="415">
        <v>205</v>
      </c>
      <c r="O325" s="415">
        <v>816</v>
      </c>
      <c r="P325" s="415" t="s">
        <v>3069</v>
      </c>
      <c r="Q325" s="415" t="s">
        <v>3607</v>
      </c>
      <c r="R325" s="415">
        <v>23</v>
      </c>
      <c r="S325" s="415">
        <v>138</v>
      </c>
      <c r="T325" s="416">
        <v>138</v>
      </c>
      <c r="U325" s="416">
        <v>138</v>
      </c>
      <c r="V325" s="416">
        <v>138</v>
      </c>
      <c r="W325" s="416">
        <v>138</v>
      </c>
      <c r="X325" s="416">
        <v>138</v>
      </c>
      <c r="Y325" s="416">
        <v>138</v>
      </c>
      <c r="Z325" s="416">
        <v>134</v>
      </c>
      <c r="AA325" s="416">
        <v>129</v>
      </c>
      <c r="AB325" s="416">
        <v>125</v>
      </c>
      <c r="AC325" s="416">
        <v>122</v>
      </c>
      <c r="AD325" s="416">
        <v>119</v>
      </c>
      <c r="AE325" s="416">
        <v>116</v>
      </c>
      <c r="AF325" s="416">
        <v>114</v>
      </c>
      <c r="AG325" s="416">
        <v>112</v>
      </c>
      <c r="AH325" s="416">
        <v>111</v>
      </c>
      <c r="AI325" s="416">
        <v>110</v>
      </c>
      <c r="AJ325" s="416">
        <v>109</v>
      </c>
      <c r="AK325" s="416">
        <v>108</v>
      </c>
      <c r="AL325" s="416">
        <v>23</v>
      </c>
      <c r="AM325" s="416">
        <v>107</v>
      </c>
      <c r="AN325" s="416">
        <v>106</v>
      </c>
      <c r="AO325" s="416">
        <v>105</v>
      </c>
      <c r="AP325" s="416">
        <v>97.8</v>
      </c>
      <c r="AQ325" s="416">
        <v>80.8</v>
      </c>
      <c r="AR325" s="416">
        <v>65</v>
      </c>
      <c r="AS325" s="416">
        <v>50.5</v>
      </c>
      <c r="AT325" s="416">
        <v>39.200000000000003</v>
      </c>
      <c r="AU325" s="416">
        <v>30.4</v>
      </c>
      <c r="AV325" s="416">
        <v>23.6</v>
      </c>
      <c r="AW325" s="416">
        <v>18.399999999999999</v>
      </c>
      <c r="AX325" s="416">
        <v>14.3</v>
      </c>
      <c r="AY325" s="416">
        <v>11.1</v>
      </c>
      <c r="AZ325" s="416">
        <v>8.6</v>
      </c>
    </row>
    <row r="326" spans="1:52" x14ac:dyDescent="0.25">
      <c r="A326" s="415" t="str">
        <f t="shared" si="4"/>
        <v>SA-182 Gr.F316H</v>
      </c>
      <c r="B326" s="415">
        <v>321</v>
      </c>
      <c r="C326" s="415" t="s">
        <v>3200</v>
      </c>
      <c r="D326" s="415" t="s">
        <v>2737</v>
      </c>
      <c r="E326" s="415" t="s">
        <v>2188</v>
      </c>
      <c r="F326" s="415" t="s">
        <v>2439</v>
      </c>
      <c r="G326" s="415" t="s">
        <v>3239</v>
      </c>
      <c r="H326" s="415">
        <v>0</v>
      </c>
      <c r="I326" s="415" t="s">
        <v>3603</v>
      </c>
      <c r="J326" s="415">
        <v>8</v>
      </c>
      <c r="K326" s="415">
        <v>1</v>
      </c>
      <c r="L326" s="415">
        <v>24</v>
      </c>
      <c r="M326" s="415">
        <v>485</v>
      </c>
      <c r="N326" s="415">
        <v>205</v>
      </c>
      <c r="O326" s="415">
        <v>816</v>
      </c>
      <c r="P326" s="415" t="s">
        <v>3069</v>
      </c>
      <c r="Q326" s="415" t="s">
        <v>3607</v>
      </c>
      <c r="R326" s="415">
        <v>24</v>
      </c>
      <c r="S326" s="415">
        <v>138</v>
      </c>
      <c r="T326" s="416">
        <v>138</v>
      </c>
      <c r="U326" s="416">
        <v>138</v>
      </c>
      <c r="V326" s="416">
        <v>138</v>
      </c>
      <c r="W326" s="416">
        <v>138</v>
      </c>
      <c r="X326" s="416">
        <v>138</v>
      </c>
      <c r="Y326" s="416">
        <v>138</v>
      </c>
      <c r="Z326" s="416">
        <v>134</v>
      </c>
      <c r="AA326" s="416">
        <v>129</v>
      </c>
      <c r="AB326" s="416">
        <v>125</v>
      </c>
      <c r="AC326" s="416">
        <v>122</v>
      </c>
      <c r="AD326" s="416">
        <v>119</v>
      </c>
      <c r="AE326" s="416">
        <v>116</v>
      </c>
      <c r="AF326" s="416">
        <v>114</v>
      </c>
      <c r="AG326" s="416">
        <v>112</v>
      </c>
      <c r="AH326" s="416">
        <v>111</v>
      </c>
      <c r="AI326" s="416">
        <v>110</v>
      </c>
      <c r="AJ326" s="416">
        <v>109</v>
      </c>
      <c r="AK326" s="416">
        <v>108</v>
      </c>
      <c r="AL326" s="416">
        <v>24</v>
      </c>
      <c r="AM326" s="416">
        <v>107</v>
      </c>
      <c r="AN326" s="416">
        <v>106</v>
      </c>
      <c r="AO326" s="416">
        <v>105</v>
      </c>
      <c r="AP326" s="416">
        <v>97.8</v>
      </c>
      <c r="AQ326" s="416">
        <v>80.8</v>
      </c>
      <c r="AR326" s="416">
        <v>65</v>
      </c>
      <c r="AS326" s="416">
        <v>50.4</v>
      </c>
      <c r="AT326" s="416">
        <v>38.6</v>
      </c>
      <c r="AU326" s="416">
        <v>29.6</v>
      </c>
      <c r="AV326" s="416">
        <v>23</v>
      </c>
      <c r="AW326" s="416">
        <v>17.399999999999999</v>
      </c>
      <c r="AX326" s="416">
        <v>13.3</v>
      </c>
      <c r="AY326" s="416">
        <v>10.4</v>
      </c>
      <c r="AZ326" s="416">
        <v>8.18</v>
      </c>
    </row>
    <row r="327" spans="1:52" x14ac:dyDescent="0.25">
      <c r="A327" s="415" t="str">
        <f t="shared" ref="A327:A390" si="5">CONCATENATE(E327," Gr.",F327)</f>
        <v>SA-965 Gr.F316H</v>
      </c>
      <c r="B327" s="415">
        <v>322</v>
      </c>
      <c r="C327" s="415" t="s">
        <v>3200</v>
      </c>
      <c r="D327" s="415" t="s">
        <v>2737</v>
      </c>
      <c r="E327" s="415" t="s">
        <v>2337</v>
      </c>
      <c r="F327" s="415" t="s">
        <v>2439</v>
      </c>
      <c r="G327" s="415" t="s">
        <v>3239</v>
      </c>
      <c r="H327" s="415">
        <v>0</v>
      </c>
      <c r="I327" s="415">
        <v>0</v>
      </c>
      <c r="J327" s="415">
        <v>8</v>
      </c>
      <c r="K327" s="415">
        <v>1</v>
      </c>
      <c r="L327" s="415">
        <v>25</v>
      </c>
      <c r="M327" s="415">
        <v>485</v>
      </c>
      <c r="N327" s="415">
        <v>205</v>
      </c>
      <c r="O327" s="415">
        <v>816</v>
      </c>
      <c r="P327" s="415" t="s">
        <v>3069</v>
      </c>
      <c r="Q327" s="415" t="s">
        <v>3607</v>
      </c>
      <c r="R327" s="415">
        <v>25</v>
      </c>
      <c r="S327" s="415">
        <v>138</v>
      </c>
      <c r="T327" s="416">
        <v>138</v>
      </c>
      <c r="U327" s="416">
        <v>138</v>
      </c>
      <c r="V327" s="416">
        <v>138</v>
      </c>
      <c r="W327" s="416">
        <v>138</v>
      </c>
      <c r="X327" s="416">
        <v>138</v>
      </c>
      <c r="Y327" s="416">
        <v>138</v>
      </c>
      <c r="Z327" s="416">
        <v>134</v>
      </c>
      <c r="AA327" s="416">
        <v>129</v>
      </c>
      <c r="AB327" s="416">
        <v>125</v>
      </c>
      <c r="AC327" s="416">
        <v>122</v>
      </c>
      <c r="AD327" s="416">
        <v>119</v>
      </c>
      <c r="AE327" s="416">
        <v>116</v>
      </c>
      <c r="AF327" s="416">
        <v>114</v>
      </c>
      <c r="AG327" s="416">
        <v>112</v>
      </c>
      <c r="AH327" s="416">
        <v>111</v>
      </c>
      <c r="AI327" s="416">
        <v>110</v>
      </c>
      <c r="AJ327" s="416">
        <v>109</v>
      </c>
      <c r="AK327" s="416">
        <v>108</v>
      </c>
      <c r="AL327" s="416">
        <v>25</v>
      </c>
      <c r="AM327" s="416">
        <v>107</v>
      </c>
      <c r="AN327" s="416">
        <v>106</v>
      </c>
      <c r="AO327" s="416">
        <v>105</v>
      </c>
      <c r="AP327" s="416">
        <v>97.8</v>
      </c>
      <c r="AQ327" s="416">
        <v>80.8</v>
      </c>
      <c r="AR327" s="416">
        <v>65</v>
      </c>
      <c r="AS327" s="416">
        <v>50.4</v>
      </c>
      <c r="AT327" s="416">
        <v>38.6</v>
      </c>
      <c r="AU327" s="416">
        <v>29.6</v>
      </c>
      <c r="AV327" s="416">
        <v>23</v>
      </c>
      <c r="AW327" s="416">
        <v>17.399999999999999</v>
      </c>
      <c r="AX327" s="416">
        <v>13.3</v>
      </c>
      <c r="AY327" s="416">
        <v>10.4</v>
      </c>
      <c r="AZ327" s="416">
        <v>8.18</v>
      </c>
    </row>
    <row r="328" spans="1:52" x14ac:dyDescent="0.25">
      <c r="A328" s="415" t="str">
        <f t="shared" si="5"/>
        <v>SA-182 Gr.F316</v>
      </c>
      <c r="B328" s="415">
        <v>323</v>
      </c>
      <c r="C328" s="415" t="s">
        <v>3200</v>
      </c>
      <c r="D328" s="415" t="s">
        <v>2737</v>
      </c>
      <c r="E328" s="415" t="s">
        <v>2188</v>
      </c>
      <c r="F328" s="415" t="s">
        <v>140</v>
      </c>
      <c r="G328" s="415" t="s">
        <v>3222</v>
      </c>
      <c r="H328" s="415">
        <v>0</v>
      </c>
      <c r="I328" s="415" t="s">
        <v>3604</v>
      </c>
      <c r="J328" s="415">
        <v>8</v>
      </c>
      <c r="K328" s="415">
        <v>1</v>
      </c>
      <c r="L328" s="415">
        <v>26</v>
      </c>
      <c r="M328" s="415">
        <v>515</v>
      </c>
      <c r="N328" s="415">
        <v>205</v>
      </c>
      <c r="O328" s="415">
        <v>816</v>
      </c>
      <c r="P328" s="415" t="s">
        <v>3069</v>
      </c>
      <c r="Q328" s="415" t="s">
        <v>3608</v>
      </c>
      <c r="R328" s="415">
        <v>26</v>
      </c>
      <c r="S328" s="415">
        <v>138</v>
      </c>
      <c r="T328" s="416">
        <v>138</v>
      </c>
      <c r="U328" s="416">
        <v>138</v>
      </c>
      <c r="V328" s="416">
        <v>138</v>
      </c>
      <c r="W328" s="416">
        <v>138</v>
      </c>
      <c r="X328" s="416">
        <v>138</v>
      </c>
      <c r="Y328" s="416">
        <v>138</v>
      </c>
      <c r="Z328" s="416">
        <v>134</v>
      </c>
      <c r="AA328" s="416">
        <v>129</v>
      </c>
      <c r="AB328" s="416">
        <v>125</v>
      </c>
      <c r="AC328" s="416">
        <v>122</v>
      </c>
      <c r="AD328" s="416">
        <v>119</v>
      </c>
      <c r="AE328" s="416">
        <v>116</v>
      </c>
      <c r="AF328" s="416">
        <v>114</v>
      </c>
      <c r="AG328" s="416">
        <v>112</v>
      </c>
      <c r="AH328" s="416">
        <v>111</v>
      </c>
      <c r="AI328" s="416">
        <v>110</v>
      </c>
      <c r="AJ328" s="416">
        <v>109</v>
      </c>
      <c r="AK328" s="416">
        <v>108</v>
      </c>
      <c r="AL328" s="416">
        <v>26</v>
      </c>
      <c r="AM328" s="416">
        <v>107</v>
      </c>
      <c r="AN328" s="416">
        <v>106</v>
      </c>
      <c r="AO328" s="416">
        <v>105</v>
      </c>
      <c r="AP328" s="416">
        <v>97.8</v>
      </c>
      <c r="AQ328" s="416">
        <v>80.8</v>
      </c>
      <c r="AR328" s="416">
        <v>65</v>
      </c>
      <c r="AS328" s="416">
        <v>50.5</v>
      </c>
      <c r="AT328" s="416">
        <v>39.200000000000003</v>
      </c>
      <c r="AU328" s="416">
        <v>30.4</v>
      </c>
      <c r="AV328" s="416">
        <v>23.6</v>
      </c>
      <c r="AW328" s="416">
        <v>18.399999999999999</v>
      </c>
      <c r="AX328" s="416">
        <v>14.3</v>
      </c>
      <c r="AY328" s="416">
        <v>11.1</v>
      </c>
      <c r="AZ328" s="416">
        <v>8.6</v>
      </c>
    </row>
    <row r="329" spans="1:52" x14ac:dyDescent="0.25">
      <c r="A329" s="415" t="str">
        <f t="shared" si="5"/>
        <v>SA-213 Gr.TP316</v>
      </c>
      <c r="B329" s="415">
        <v>324</v>
      </c>
      <c r="C329" s="415" t="s">
        <v>3200</v>
      </c>
      <c r="D329" s="415" t="s">
        <v>2693</v>
      </c>
      <c r="E329" s="415" t="s">
        <v>2195</v>
      </c>
      <c r="F329" s="415" t="s">
        <v>2568</v>
      </c>
      <c r="G329" s="415" t="s">
        <v>3222</v>
      </c>
      <c r="H329" s="415">
        <v>0</v>
      </c>
      <c r="I329" s="415">
        <v>0</v>
      </c>
      <c r="J329" s="415">
        <v>8</v>
      </c>
      <c r="K329" s="415">
        <v>1</v>
      </c>
      <c r="L329" s="415">
        <v>27</v>
      </c>
      <c r="M329" s="415">
        <v>515</v>
      </c>
      <c r="N329" s="415">
        <v>205</v>
      </c>
      <c r="O329" s="415">
        <v>816</v>
      </c>
      <c r="P329" s="415" t="s">
        <v>3069</v>
      </c>
      <c r="Q329" s="415" t="s">
        <v>3608</v>
      </c>
      <c r="R329" s="415">
        <v>27</v>
      </c>
      <c r="S329" s="415">
        <v>138</v>
      </c>
      <c r="T329" s="416">
        <v>138</v>
      </c>
      <c r="U329" s="416">
        <v>138</v>
      </c>
      <c r="V329" s="416">
        <v>138</v>
      </c>
      <c r="W329" s="416">
        <v>138</v>
      </c>
      <c r="X329" s="416">
        <v>138</v>
      </c>
      <c r="Y329" s="416">
        <v>138</v>
      </c>
      <c r="Z329" s="416">
        <v>134</v>
      </c>
      <c r="AA329" s="416">
        <v>129</v>
      </c>
      <c r="AB329" s="416">
        <v>125</v>
      </c>
      <c r="AC329" s="416">
        <v>122</v>
      </c>
      <c r="AD329" s="416">
        <v>119</v>
      </c>
      <c r="AE329" s="416">
        <v>116</v>
      </c>
      <c r="AF329" s="416">
        <v>114</v>
      </c>
      <c r="AG329" s="416">
        <v>112</v>
      </c>
      <c r="AH329" s="416">
        <v>111</v>
      </c>
      <c r="AI329" s="416">
        <v>110</v>
      </c>
      <c r="AJ329" s="416">
        <v>109</v>
      </c>
      <c r="AK329" s="416">
        <v>108</v>
      </c>
      <c r="AL329" s="416">
        <v>27</v>
      </c>
      <c r="AM329" s="416">
        <v>107</v>
      </c>
      <c r="AN329" s="416">
        <v>106</v>
      </c>
      <c r="AO329" s="416">
        <v>105</v>
      </c>
      <c r="AP329" s="416">
        <v>97.8</v>
      </c>
      <c r="AQ329" s="416">
        <v>80.8</v>
      </c>
      <c r="AR329" s="416">
        <v>65</v>
      </c>
      <c r="AS329" s="416">
        <v>50.5</v>
      </c>
      <c r="AT329" s="416">
        <v>39.200000000000003</v>
      </c>
      <c r="AU329" s="416">
        <v>30.4</v>
      </c>
      <c r="AV329" s="416">
        <v>23.6</v>
      </c>
      <c r="AW329" s="416">
        <v>18.399999999999999</v>
      </c>
      <c r="AX329" s="416">
        <v>14.3</v>
      </c>
      <c r="AY329" s="416">
        <v>11.1</v>
      </c>
      <c r="AZ329" s="416">
        <v>8.6</v>
      </c>
    </row>
    <row r="330" spans="1:52" x14ac:dyDescent="0.25">
      <c r="A330" s="415" t="str">
        <f t="shared" si="5"/>
        <v>SA-240 Gr.316</v>
      </c>
      <c r="B330" s="415">
        <v>325</v>
      </c>
      <c r="C330" s="415" t="s">
        <v>3200</v>
      </c>
      <c r="D330" s="415" t="s">
        <v>2684</v>
      </c>
      <c r="E330" s="415" t="s">
        <v>2165</v>
      </c>
      <c r="F330" s="415">
        <v>316</v>
      </c>
      <c r="G330" s="415" t="s">
        <v>3222</v>
      </c>
      <c r="H330" s="415">
        <v>0</v>
      </c>
      <c r="I330" s="415">
        <v>0</v>
      </c>
      <c r="J330" s="415">
        <v>8</v>
      </c>
      <c r="K330" s="415">
        <v>1</v>
      </c>
      <c r="L330" s="415">
        <v>28</v>
      </c>
      <c r="M330" s="415">
        <v>515</v>
      </c>
      <c r="N330" s="415">
        <v>205</v>
      </c>
      <c r="O330" s="415">
        <v>816</v>
      </c>
      <c r="P330" s="415" t="s">
        <v>3069</v>
      </c>
      <c r="Q330" s="415" t="s">
        <v>3609</v>
      </c>
      <c r="R330" s="415">
        <v>28</v>
      </c>
      <c r="S330" s="415">
        <v>138</v>
      </c>
      <c r="T330" s="416">
        <v>138</v>
      </c>
      <c r="U330" s="416">
        <v>138</v>
      </c>
      <c r="V330" s="416">
        <v>138</v>
      </c>
      <c r="W330" s="416">
        <v>138</v>
      </c>
      <c r="X330" s="416">
        <v>138</v>
      </c>
      <c r="Y330" s="416">
        <v>138</v>
      </c>
      <c r="Z330" s="416">
        <v>134</v>
      </c>
      <c r="AA330" s="416">
        <v>129</v>
      </c>
      <c r="AB330" s="416">
        <v>125</v>
      </c>
      <c r="AC330" s="416">
        <v>122</v>
      </c>
      <c r="AD330" s="416">
        <v>119</v>
      </c>
      <c r="AE330" s="416">
        <v>116</v>
      </c>
      <c r="AF330" s="416">
        <v>114</v>
      </c>
      <c r="AG330" s="416">
        <v>112</v>
      </c>
      <c r="AH330" s="416">
        <v>111</v>
      </c>
      <c r="AI330" s="416">
        <v>110</v>
      </c>
      <c r="AJ330" s="416">
        <v>109</v>
      </c>
      <c r="AK330" s="416">
        <v>108</v>
      </c>
      <c r="AL330" s="416">
        <v>28</v>
      </c>
      <c r="AM330" s="416">
        <v>107</v>
      </c>
      <c r="AN330" s="416">
        <v>106</v>
      </c>
      <c r="AO330" s="416">
        <v>105</v>
      </c>
      <c r="AP330" s="416">
        <v>97.8</v>
      </c>
      <c r="AQ330" s="416">
        <v>80.8</v>
      </c>
      <c r="AR330" s="416">
        <v>65</v>
      </c>
      <c r="AS330" s="416">
        <v>50.5</v>
      </c>
      <c r="AT330" s="416">
        <v>39.200000000000003</v>
      </c>
      <c r="AU330" s="416">
        <v>30.4</v>
      </c>
      <c r="AV330" s="416">
        <v>23.6</v>
      </c>
      <c r="AW330" s="416">
        <v>18.399999999999999</v>
      </c>
      <c r="AX330" s="416">
        <v>14.3</v>
      </c>
      <c r="AY330" s="416">
        <v>11.1</v>
      </c>
      <c r="AZ330" s="416">
        <v>8.6</v>
      </c>
    </row>
    <row r="331" spans="1:52" x14ac:dyDescent="0.25">
      <c r="A331" s="415" t="str">
        <f t="shared" si="5"/>
        <v>SA-249 Gr.TP316</v>
      </c>
      <c r="B331" s="415">
        <v>326</v>
      </c>
      <c r="C331" s="415" t="s">
        <v>3200</v>
      </c>
      <c r="D331" s="415" t="s">
        <v>2689</v>
      </c>
      <c r="E331" s="415" t="s">
        <v>2200</v>
      </c>
      <c r="F331" s="415" t="s">
        <v>2568</v>
      </c>
      <c r="G331" s="415" t="s">
        <v>3222</v>
      </c>
      <c r="H331" s="415">
        <v>0</v>
      </c>
      <c r="I331" s="415">
        <v>0</v>
      </c>
      <c r="J331" s="415">
        <v>8</v>
      </c>
      <c r="K331" s="415">
        <v>1</v>
      </c>
      <c r="L331" s="415">
        <v>29</v>
      </c>
      <c r="M331" s="415">
        <v>515</v>
      </c>
      <c r="N331" s="415">
        <v>205</v>
      </c>
      <c r="O331" s="415">
        <v>816</v>
      </c>
      <c r="P331" s="415" t="s">
        <v>3069</v>
      </c>
      <c r="Q331" s="415" t="s">
        <v>3610</v>
      </c>
      <c r="R331" s="415">
        <v>29</v>
      </c>
      <c r="S331" s="415">
        <v>117</v>
      </c>
      <c r="T331" s="416">
        <v>117</v>
      </c>
      <c r="U331" s="416">
        <v>117</v>
      </c>
      <c r="V331" s="416">
        <v>117</v>
      </c>
      <c r="W331" s="416">
        <v>117</v>
      </c>
      <c r="X331" s="416">
        <v>117</v>
      </c>
      <c r="Y331" s="416">
        <v>117</v>
      </c>
      <c r="Z331" s="416">
        <v>114</v>
      </c>
      <c r="AA331" s="416">
        <v>110</v>
      </c>
      <c r="AB331" s="416">
        <v>107</v>
      </c>
      <c r="AC331" s="416">
        <v>104</v>
      </c>
      <c r="AD331" s="416">
        <v>101</v>
      </c>
      <c r="AE331" s="416">
        <v>98.9</v>
      </c>
      <c r="AF331" s="416">
        <v>97.1</v>
      </c>
      <c r="AG331" s="416">
        <v>95.6</v>
      </c>
      <c r="AH331" s="416">
        <v>94.3</v>
      </c>
      <c r="AI331" s="416">
        <v>93.2</v>
      </c>
      <c r="AJ331" s="416">
        <v>92.3</v>
      </c>
      <c r="AK331" s="416">
        <v>91.5</v>
      </c>
      <c r="AL331" s="416">
        <v>29</v>
      </c>
      <c r="AM331" s="416">
        <v>90.7</v>
      </c>
      <c r="AN331" s="416">
        <v>90</v>
      </c>
      <c r="AO331" s="416">
        <v>89.2</v>
      </c>
      <c r="AP331" s="416">
        <v>83.1</v>
      </c>
      <c r="AQ331" s="416">
        <v>68.7</v>
      </c>
      <c r="AR331" s="416">
        <v>55.2</v>
      </c>
      <c r="AS331" s="416">
        <v>42.9</v>
      </c>
      <c r="AT331" s="416">
        <v>33.299999999999997</v>
      </c>
      <c r="AU331" s="416">
        <v>25.9</v>
      </c>
      <c r="AV331" s="416">
        <v>20.100000000000001</v>
      </c>
      <c r="AW331" s="416">
        <v>15.6</v>
      </c>
      <c r="AX331" s="416">
        <v>12.1</v>
      </c>
      <c r="AY331" s="416">
        <v>9.41</v>
      </c>
      <c r="AZ331" s="416">
        <v>7.31</v>
      </c>
    </row>
    <row r="332" spans="1:52" x14ac:dyDescent="0.25">
      <c r="A332" s="415" t="str">
        <f t="shared" si="5"/>
        <v>SA-312 Gr.TP316</v>
      </c>
      <c r="B332" s="415">
        <v>327</v>
      </c>
      <c r="C332" s="415" t="s">
        <v>3200</v>
      </c>
      <c r="D332" s="415" t="s">
        <v>2703</v>
      </c>
      <c r="E332" s="415" t="s">
        <v>2208</v>
      </c>
      <c r="F332" s="415" t="s">
        <v>2568</v>
      </c>
      <c r="G332" s="415" t="s">
        <v>3222</v>
      </c>
      <c r="H332" s="415">
        <v>0</v>
      </c>
      <c r="I332" s="415">
        <v>0</v>
      </c>
      <c r="J332" s="415">
        <v>8</v>
      </c>
      <c r="K332" s="415">
        <v>1</v>
      </c>
      <c r="L332" s="415">
        <v>30</v>
      </c>
      <c r="M332" s="415">
        <v>515</v>
      </c>
      <c r="N332" s="415">
        <v>205</v>
      </c>
      <c r="O332" s="415">
        <v>816</v>
      </c>
      <c r="P332" s="415" t="s">
        <v>3069</v>
      </c>
      <c r="Q332" s="415" t="s">
        <v>3609</v>
      </c>
      <c r="R332" s="415">
        <v>30</v>
      </c>
      <c r="S332" s="415">
        <v>138</v>
      </c>
      <c r="T332" s="416">
        <v>138</v>
      </c>
      <c r="U332" s="416">
        <v>138</v>
      </c>
      <c r="V332" s="416">
        <v>138</v>
      </c>
      <c r="W332" s="416">
        <v>138</v>
      </c>
      <c r="X332" s="416">
        <v>138</v>
      </c>
      <c r="Y332" s="416">
        <v>138</v>
      </c>
      <c r="Z332" s="416">
        <v>134</v>
      </c>
      <c r="AA332" s="416">
        <v>129</v>
      </c>
      <c r="AB332" s="416">
        <v>125</v>
      </c>
      <c r="AC332" s="416">
        <v>122</v>
      </c>
      <c r="AD332" s="416">
        <v>119</v>
      </c>
      <c r="AE332" s="416">
        <v>116</v>
      </c>
      <c r="AF332" s="416">
        <v>114</v>
      </c>
      <c r="AG332" s="416">
        <v>112</v>
      </c>
      <c r="AH332" s="416">
        <v>111</v>
      </c>
      <c r="AI332" s="416">
        <v>110</v>
      </c>
      <c r="AJ332" s="416">
        <v>109</v>
      </c>
      <c r="AK332" s="416">
        <v>108</v>
      </c>
      <c r="AL332" s="416">
        <v>30</v>
      </c>
      <c r="AM332" s="416">
        <v>107</v>
      </c>
      <c r="AN332" s="416">
        <v>106</v>
      </c>
      <c r="AO332" s="416">
        <v>105</v>
      </c>
      <c r="AP332" s="416">
        <v>97.8</v>
      </c>
      <c r="AQ332" s="416">
        <v>80.8</v>
      </c>
      <c r="AR332" s="416">
        <v>65</v>
      </c>
      <c r="AS332" s="416">
        <v>50.5</v>
      </c>
      <c r="AT332" s="416">
        <v>39.200000000000003</v>
      </c>
      <c r="AU332" s="416">
        <v>30.4</v>
      </c>
      <c r="AV332" s="416">
        <v>23.6</v>
      </c>
      <c r="AW332" s="416">
        <v>18.399999999999999</v>
      </c>
      <c r="AX332" s="416">
        <v>14.3</v>
      </c>
      <c r="AY332" s="416">
        <v>11.1</v>
      </c>
      <c r="AZ332" s="416">
        <v>8.6</v>
      </c>
    </row>
    <row r="333" spans="1:52" x14ac:dyDescent="0.25">
      <c r="A333" s="415" t="str">
        <f t="shared" si="5"/>
        <v>SA-312 Gr.TP316</v>
      </c>
      <c r="B333" s="415">
        <v>328</v>
      </c>
      <c r="C333" s="415" t="s">
        <v>3200</v>
      </c>
      <c r="D333" s="415" t="s">
        <v>2680</v>
      </c>
      <c r="E333" s="415" t="s">
        <v>2208</v>
      </c>
      <c r="F333" s="415" t="s">
        <v>2568</v>
      </c>
      <c r="G333" s="415" t="s">
        <v>3222</v>
      </c>
      <c r="H333" s="415">
        <v>0</v>
      </c>
      <c r="I333" s="415">
        <v>0</v>
      </c>
      <c r="J333" s="415">
        <v>8</v>
      </c>
      <c r="K333" s="415">
        <v>1</v>
      </c>
      <c r="L333" s="415">
        <v>31</v>
      </c>
      <c r="M333" s="415">
        <v>515</v>
      </c>
      <c r="N333" s="415">
        <v>205</v>
      </c>
      <c r="O333" s="415">
        <v>816</v>
      </c>
      <c r="P333" s="415" t="s">
        <v>3069</v>
      </c>
      <c r="Q333" s="415" t="s">
        <v>3611</v>
      </c>
      <c r="R333" s="415">
        <v>31</v>
      </c>
      <c r="S333" s="415">
        <v>117</v>
      </c>
      <c r="T333" s="416">
        <v>117</v>
      </c>
      <c r="U333" s="416">
        <v>117</v>
      </c>
      <c r="V333" s="416">
        <v>117</v>
      </c>
      <c r="W333" s="416">
        <v>117</v>
      </c>
      <c r="X333" s="416">
        <v>117</v>
      </c>
      <c r="Y333" s="416">
        <v>117</v>
      </c>
      <c r="Z333" s="416">
        <v>114</v>
      </c>
      <c r="AA333" s="416">
        <v>110</v>
      </c>
      <c r="AB333" s="416">
        <v>107</v>
      </c>
      <c r="AC333" s="416">
        <v>104</v>
      </c>
      <c r="AD333" s="416">
        <v>101</v>
      </c>
      <c r="AE333" s="416">
        <v>98.9</v>
      </c>
      <c r="AF333" s="416">
        <v>97.1</v>
      </c>
      <c r="AG333" s="416">
        <v>95.6</v>
      </c>
      <c r="AH333" s="416">
        <v>94.3</v>
      </c>
      <c r="AI333" s="416">
        <v>93.2</v>
      </c>
      <c r="AJ333" s="416">
        <v>92.3</v>
      </c>
      <c r="AK333" s="416">
        <v>91.5</v>
      </c>
      <c r="AL333" s="416">
        <v>31</v>
      </c>
      <c r="AM333" s="416">
        <v>90.7</v>
      </c>
      <c r="AN333" s="416">
        <v>90</v>
      </c>
      <c r="AO333" s="416">
        <v>89.2</v>
      </c>
      <c r="AP333" s="416">
        <v>83.1</v>
      </c>
      <c r="AQ333" s="416">
        <v>68.7</v>
      </c>
      <c r="AR333" s="416">
        <v>55.2</v>
      </c>
      <c r="AS333" s="416">
        <v>42.9</v>
      </c>
      <c r="AT333" s="416">
        <v>33.299999999999997</v>
      </c>
      <c r="AU333" s="416">
        <v>25.9</v>
      </c>
      <c r="AV333" s="416">
        <v>20.100000000000001</v>
      </c>
      <c r="AW333" s="416">
        <v>15.6</v>
      </c>
      <c r="AX333" s="416">
        <v>12.1</v>
      </c>
      <c r="AY333" s="416">
        <v>9.41</v>
      </c>
      <c r="AZ333" s="416">
        <v>7.31</v>
      </c>
    </row>
    <row r="334" spans="1:52" x14ac:dyDescent="0.25">
      <c r="A334" s="415" t="str">
        <f t="shared" si="5"/>
        <v>SA-376 Gr.TP316</v>
      </c>
      <c r="B334" s="415">
        <v>329</v>
      </c>
      <c r="C334" s="415" t="s">
        <v>3200</v>
      </c>
      <c r="D334" s="415" t="s">
        <v>2703</v>
      </c>
      <c r="E334" s="415" t="s">
        <v>2225</v>
      </c>
      <c r="F334" s="415" t="s">
        <v>2568</v>
      </c>
      <c r="G334" s="415" t="s">
        <v>3222</v>
      </c>
      <c r="H334" s="415">
        <v>0</v>
      </c>
      <c r="I334" s="415">
        <v>0</v>
      </c>
      <c r="J334" s="415">
        <v>8</v>
      </c>
      <c r="K334" s="415">
        <v>1</v>
      </c>
      <c r="L334" s="415">
        <v>32</v>
      </c>
      <c r="M334" s="415">
        <v>515</v>
      </c>
      <c r="N334" s="415">
        <v>205</v>
      </c>
      <c r="O334" s="415">
        <v>816</v>
      </c>
      <c r="P334" s="415" t="s">
        <v>3069</v>
      </c>
      <c r="Q334" s="415" t="s">
        <v>3609</v>
      </c>
      <c r="R334" s="415">
        <v>32</v>
      </c>
      <c r="S334" s="415">
        <v>138</v>
      </c>
      <c r="T334" s="416">
        <v>138</v>
      </c>
      <c r="U334" s="416">
        <v>138</v>
      </c>
      <c r="V334" s="416">
        <v>138</v>
      </c>
      <c r="W334" s="416">
        <v>138</v>
      </c>
      <c r="X334" s="416">
        <v>138</v>
      </c>
      <c r="Y334" s="416">
        <v>138</v>
      </c>
      <c r="Z334" s="416">
        <v>134</v>
      </c>
      <c r="AA334" s="416">
        <v>129</v>
      </c>
      <c r="AB334" s="416">
        <v>125</v>
      </c>
      <c r="AC334" s="416">
        <v>122</v>
      </c>
      <c r="AD334" s="416">
        <v>119</v>
      </c>
      <c r="AE334" s="416">
        <v>116</v>
      </c>
      <c r="AF334" s="416">
        <v>114</v>
      </c>
      <c r="AG334" s="416">
        <v>112</v>
      </c>
      <c r="AH334" s="416">
        <v>111</v>
      </c>
      <c r="AI334" s="416">
        <v>110</v>
      </c>
      <c r="AJ334" s="416">
        <v>109</v>
      </c>
      <c r="AK334" s="416">
        <v>108</v>
      </c>
      <c r="AL334" s="416">
        <v>32</v>
      </c>
      <c r="AM334" s="416">
        <v>107</v>
      </c>
      <c r="AN334" s="416">
        <v>106</v>
      </c>
      <c r="AO334" s="416">
        <v>105</v>
      </c>
      <c r="AP334" s="416">
        <v>97.8</v>
      </c>
      <c r="AQ334" s="416">
        <v>80.8</v>
      </c>
      <c r="AR334" s="416">
        <v>65</v>
      </c>
      <c r="AS334" s="416">
        <v>50.5</v>
      </c>
      <c r="AT334" s="416">
        <v>39.200000000000003</v>
      </c>
      <c r="AU334" s="416">
        <v>30.4</v>
      </c>
      <c r="AV334" s="416">
        <v>23.6</v>
      </c>
      <c r="AW334" s="416">
        <v>18.399999999999999</v>
      </c>
      <c r="AX334" s="416">
        <v>14.3</v>
      </c>
      <c r="AY334" s="416">
        <v>11.1</v>
      </c>
      <c r="AZ334" s="416">
        <v>8.6</v>
      </c>
    </row>
    <row r="335" spans="1:52" x14ac:dyDescent="0.25">
      <c r="A335" s="415" t="str">
        <f t="shared" si="5"/>
        <v>SA-403 Gr.316</v>
      </c>
      <c r="B335" s="415">
        <v>330</v>
      </c>
      <c r="C335" s="415" t="s">
        <v>3200</v>
      </c>
      <c r="D335" s="415" t="s">
        <v>913</v>
      </c>
      <c r="E335" s="415" t="s">
        <v>2229</v>
      </c>
      <c r="F335" s="415">
        <v>316</v>
      </c>
      <c r="G335" s="415" t="s">
        <v>3222</v>
      </c>
      <c r="H335" s="415" t="s">
        <v>3381</v>
      </c>
      <c r="I335" s="415">
        <v>0</v>
      </c>
      <c r="J335" s="415">
        <v>8</v>
      </c>
      <c r="K335" s="415">
        <v>1</v>
      </c>
      <c r="L335" s="415">
        <v>33</v>
      </c>
      <c r="M335" s="415">
        <v>515</v>
      </c>
      <c r="N335" s="415">
        <v>205</v>
      </c>
      <c r="O335" s="415">
        <v>816</v>
      </c>
      <c r="P335" s="415" t="s">
        <v>3069</v>
      </c>
      <c r="Q335" s="415" t="s">
        <v>3607</v>
      </c>
      <c r="R335" s="415">
        <v>33</v>
      </c>
      <c r="S335" s="415">
        <v>138</v>
      </c>
      <c r="T335" s="416">
        <v>138</v>
      </c>
      <c r="U335" s="416">
        <v>138</v>
      </c>
      <c r="V335" s="416">
        <v>138</v>
      </c>
      <c r="W335" s="416">
        <v>138</v>
      </c>
      <c r="X335" s="416">
        <v>138</v>
      </c>
      <c r="Y335" s="416">
        <v>138</v>
      </c>
      <c r="Z335" s="416">
        <v>134</v>
      </c>
      <c r="AA335" s="416">
        <v>129</v>
      </c>
      <c r="AB335" s="416">
        <v>125</v>
      </c>
      <c r="AC335" s="416">
        <v>122</v>
      </c>
      <c r="AD335" s="416">
        <v>119</v>
      </c>
      <c r="AE335" s="416">
        <v>116</v>
      </c>
      <c r="AF335" s="416">
        <v>114</v>
      </c>
      <c r="AG335" s="416">
        <v>112</v>
      </c>
      <c r="AH335" s="416">
        <v>111</v>
      </c>
      <c r="AI335" s="416">
        <v>110</v>
      </c>
      <c r="AJ335" s="416">
        <v>109</v>
      </c>
      <c r="AK335" s="416">
        <v>108</v>
      </c>
      <c r="AL335" s="416">
        <v>33</v>
      </c>
      <c r="AM335" s="416">
        <v>107</v>
      </c>
      <c r="AN335" s="416">
        <v>106</v>
      </c>
      <c r="AO335" s="416">
        <v>105</v>
      </c>
      <c r="AP335" s="416">
        <v>97.8</v>
      </c>
      <c r="AQ335" s="416">
        <v>80.8</v>
      </c>
      <c r="AR335" s="416">
        <v>65</v>
      </c>
      <c r="AS335" s="416">
        <v>50.5</v>
      </c>
      <c r="AT335" s="416">
        <v>39.200000000000003</v>
      </c>
      <c r="AU335" s="416">
        <v>30.4</v>
      </c>
      <c r="AV335" s="416">
        <v>23.6</v>
      </c>
      <c r="AW335" s="416">
        <v>18.399999999999999</v>
      </c>
      <c r="AX335" s="416">
        <v>14.3</v>
      </c>
      <c r="AY335" s="416">
        <v>11.1</v>
      </c>
      <c r="AZ335" s="416">
        <v>8.6</v>
      </c>
    </row>
    <row r="336" spans="1:52" x14ac:dyDescent="0.25">
      <c r="A336" s="415" t="str">
        <f t="shared" si="5"/>
        <v>SA-688 Gr.TP316</v>
      </c>
      <c r="B336" s="415">
        <v>331</v>
      </c>
      <c r="C336" s="415" t="s">
        <v>3200</v>
      </c>
      <c r="D336" s="415" t="s">
        <v>2689</v>
      </c>
      <c r="E336" s="415" t="s">
        <v>2301</v>
      </c>
      <c r="F336" s="415" t="s">
        <v>2568</v>
      </c>
      <c r="G336" s="415" t="s">
        <v>3222</v>
      </c>
      <c r="H336" s="415">
        <v>0</v>
      </c>
      <c r="I336" s="415">
        <v>0</v>
      </c>
      <c r="J336" s="415">
        <v>8</v>
      </c>
      <c r="K336" s="415">
        <v>1</v>
      </c>
      <c r="L336" s="415">
        <v>34</v>
      </c>
      <c r="M336" s="415">
        <v>515</v>
      </c>
      <c r="N336" s="415">
        <v>205</v>
      </c>
      <c r="O336" s="415">
        <v>816</v>
      </c>
      <c r="P336" s="415" t="s">
        <v>3069</v>
      </c>
      <c r="Q336" s="415" t="s">
        <v>3610</v>
      </c>
      <c r="R336" s="415">
        <v>34</v>
      </c>
      <c r="S336" s="415">
        <v>117</v>
      </c>
      <c r="T336" s="416">
        <v>117</v>
      </c>
      <c r="U336" s="416">
        <v>117</v>
      </c>
      <c r="V336" s="416">
        <v>117</v>
      </c>
      <c r="W336" s="416">
        <v>117</v>
      </c>
      <c r="X336" s="416">
        <v>117</v>
      </c>
      <c r="Y336" s="416">
        <v>117</v>
      </c>
      <c r="Z336" s="416">
        <v>114</v>
      </c>
      <c r="AA336" s="416">
        <v>110</v>
      </c>
      <c r="AB336" s="416">
        <v>107</v>
      </c>
      <c r="AC336" s="416">
        <v>104</v>
      </c>
      <c r="AD336" s="416">
        <v>101</v>
      </c>
      <c r="AE336" s="416">
        <v>98.9</v>
      </c>
      <c r="AF336" s="416">
        <v>97.1</v>
      </c>
      <c r="AG336" s="416">
        <v>95.6</v>
      </c>
      <c r="AH336" s="416">
        <v>94.3</v>
      </c>
      <c r="AI336" s="416">
        <v>93.2</v>
      </c>
      <c r="AJ336" s="416">
        <v>92.3</v>
      </c>
      <c r="AK336" s="416">
        <v>91.5</v>
      </c>
      <c r="AL336" s="416">
        <v>34</v>
      </c>
      <c r="AM336" s="416">
        <v>90.7</v>
      </c>
      <c r="AN336" s="416">
        <v>90</v>
      </c>
      <c r="AO336" s="416">
        <v>89.2</v>
      </c>
      <c r="AP336" s="416">
        <v>83.1</v>
      </c>
      <c r="AQ336" s="416">
        <v>68.7</v>
      </c>
      <c r="AR336" s="416">
        <v>55.2</v>
      </c>
      <c r="AS336" s="416">
        <v>42.9</v>
      </c>
      <c r="AT336" s="416">
        <v>33.299999999999997</v>
      </c>
      <c r="AU336" s="416">
        <v>25.9</v>
      </c>
      <c r="AV336" s="416">
        <v>20.100000000000001</v>
      </c>
      <c r="AW336" s="416">
        <v>15.6</v>
      </c>
      <c r="AX336" s="416">
        <v>12.1</v>
      </c>
      <c r="AY336" s="416">
        <v>9.41</v>
      </c>
      <c r="AZ336" s="416">
        <v>7.31</v>
      </c>
    </row>
    <row r="337" spans="1:52" x14ac:dyDescent="0.25">
      <c r="A337" s="415" t="str">
        <f t="shared" si="5"/>
        <v>SA-182 Gr.F316H</v>
      </c>
      <c r="B337" s="415">
        <v>332</v>
      </c>
      <c r="C337" s="415" t="s">
        <v>3200</v>
      </c>
      <c r="D337" s="415" t="s">
        <v>2737</v>
      </c>
      <c r="E337" s="415" t="s">
        <v>2188</v>
      </c>
      <c r="F337" s="415" t="s">
        <v>2439</v>
      </c>
      <c r="G337" s="415" t="s">
        <v>3239</v>
      </c>
      <c r="H337" s="415">
        <v>0</v>
      </c>
      <c r="I337" s="415" t="s">
        <v>3603</v>
      </c>
      <c r="J337" s="415">
        <v>8</v>
      </c>
      <c r="K337" s="415">
        <v>1</v>
      </c>
      <c r="L337" s="415">
        <v>35</v>
      </c>
      <c r="M337" s="415">
        <v>515</v>
      </c>
      <c r="N337" s="415">
        <v>205</v>
      </c>
      <c r="O337" s="415">
        <v>816</v>
      </c>
      <c r="P337" s="415" t="s">
        <v>3069</v>
      </c>
      <c r="Q337" s="415" t="s">
        <v>3602</v>
      </c>
      <c r="R337" s="415">
        <v>35</v>
      </c>
      <c r="S337" s="415">
        <v>138</v>
      </c>
      <c r="T337" s="416">
        <v>138</v>
      </c>
      <c r="U337" s="416">
        <v>138</v>
      </c>
      <c r="V337" s="416">
        <v>138</v>
      </c>
      <c r="W337" s="416">
        <v>138</v>
      </c>
      <c r="X337" s="416">
        <v>138</v>
      </c>
      <c r="Y337" s="416">
        <v>138</v>
      </c>
      <c r="Z337" s="416">
        <v>134</v>
      </c>
      <c r="AA337" s="416">
        <v>129</v>
      </c>
      <c r="AB337" s="416">
        <v>125</v>
      </c>
      <c r="AC337" s="416">
        <v>122</v>
      </c>
      <c r="AD337" s="416">
        <v>119</v>
      </c>
      <c r="AE337" s="416">
        <v>116</v>
      </c>
      <c r="AF337" s="416">
        <v>114</v>
      </c>
      <c r="AG337" s="416">
        <v>112</v>
      </c>
      <c r="AH337" s="416">
        <v>111</v>
      </c>
      <c r="AI337" s="416">
        <v>0</v>
      </c>
      <c r="AJ337" s="416">
        <v>0</v>
      </c>
      <c r="AK337" s="416">
        <v>0</v>
      </c>
      <c r="AL337" s="416">
        <v>35</v>
      </c>
      <c r="AM337" s="416">
        <v>0</v>
      </c>
      <c r="AN337" s="416">
        <v>0</v>
      </c>
      <c r="AO337" s="416">
        <v>0</v>
      </c>
      <c r="AP337" s="416">
        <v>0</v>
      </c>
      <c r="AQ337" s="416">
        <v>0</v>
      </c>
      <c r="AR337" s="416">
        <v>0</v>
      </c>
      <c r="AS337" s="416">
        <v>0</v>
      </c>
      <c r="AT337" s="416">
        <v>0</v>
      </c>
      <c r="AU337" s="416">
        <v>0</v>
      </c>
      <c r="AV337" s="416">
        <v>0</v>
      </c>
      <c r="AW337" s="416">
        <v>0</v>
      </c>
      <c r="AX337" s="416">
        <v>0</v>
      </c>
      <c r="AY337" s="416">
        <v>0</v>
      </c>
      <c r="AZ337" s="416">
        <v>0</v>
      </c>
    </row>
    <row r="338" spans="1:52" x14ac:dyDescent="0.25">
      <c r="A338" s="415" t="str">
        <f t="shared" si="5"/>
        <v>SA-213 Gr.TP316H</v>
      </c>
      <c r="B338" s="415">
        <v>333</v>
      </c>
      <c r="C338" s="415" t="s">
        <v>3200</v>
      </c>
      <c r="D338" s="415" t="s">
        <v>2693</v>
      </c>
      <c r="E338" s="415" t="s">
        <v>2195</v>
      </c>
      <c r="F338" s="415" t="s">
        <v>2569</v>
      </c>
      <c r="G338" s="415" t="s">
        <v>3239</v>
      </c>
      <c r="H338" s="415">
        <v>0</v>
      </c>
      <c r="I338" s="415">
        <v>0</v>
      </c>
      <c r="J338" s="415">
        <v>8</v>
      </c>
      <c r="K338" s="415">
        <v>1</v>
      </c>
      <c r="L338" s="415">
        <v>36</v>
      </c>
      <c r="M338" s="415">
        <v>515</v>
      </c>
      <c r="N338" s="415">
        <v>205</v>
      </c>
      <c r="O338" s="415">
        <v>816</v>
      </c>
      <c r="P338" s="415" t="s">
        <v>3069</v>
      </c>
      <c r="Q338" s="415" t="s">
        <v>3607</v>
      </c>
      <c r="R338" s="415">
        <v>36</v>
      </c>
      <c r="S338" s="415">
        <v>138</v>
      </c>
      <c r="T338" s="416">
        <v>138</v>
      </c>
      <c r="U338" s="416">
        <v>138</v>
      </c>
      <c r="V338" s="416">
        <v>138</v>
      </c>
      <c r="W338" s="416">
        <v>138</v>
      </c>
      <c r="X338" s="416">
        <v>138</v>
      </c>
      <c r="Y338" s="416">
        <v>138</v>
      </c>
      <c r="Z338" s="416">
        <v>134</v>
      </c>
      <c r="AA338" s="416">
        <v>129</v>
      </c>
      <c r="AB338" s="416">
        <v>125</v>
      </c>
      <c r="AC338" s="416">
        <v>122</v>
      </c>
      <c r="AD338" s="416">
        <v>119</v>
      </c>
      <c r="AE338" s="416">
        <v>116</v>
      </c>
      <c r="AF338" s="416">
        <v>114</v>
      </c>
      <c r="AG338" s="416">
        <v>112</v>
      </c>
      <c r="AH338" s="416">
        <v>111</v>
      </c>
      <c r="AI338" s="416">
        <v>110</v>
      </c>
      <c r="AJ338" s="416">
        <v>109</v>
      </c>
      <c r="AK338" s="416">
        <v>108</v>
      </c>
      <c r="AL338" s="416">
        <v>36</v>
      </c>
      <c r="AM338" s="416">
        <v>107</v>
      </c>
      <c r="AN338" s="416">
        <v>106</v>
      </c>
      <c r="AO338" s="416">
        <v>105</v>
      </c>
      <c r="AP338" s="416">
        <v>97.8</v>
      </c>
      <c r="AQ338" s="416">
        <v>80.8</v>
      </c>
      <c r="AR338" s="416">
        <v>65</v>
      </c>
      <c r="AS338" s="416">
        <v>50.4</v>
      </c>
      <c r="AT338" s="416">
        <v>38.6</v>
      </c>
      <c r="AU338" s="416">
        <v>29.6</v>
      </c>
      <c r="AV338" s="416">
        <v>23</v>
      </c>
      <c r="AW338" s="416">
        <v>17.399999999999999</v>
      </c>
      <c r="AX338" s="416">
        <v>13.3</v>
      </c>
      <c r="AY338" s="416">
        <v>10.4</v>
      </c>
      <c r="AZ338" s="416">
        <v>8.18</v>
      </c>
    </row>
    <row r="339" spans="1:52" x14ac:dyDescent="0.25">
      <c r="A339" s="415" t="str">
        <f t="shared" si="5"/>
        <v>SA-249 Gr.TP316H</v>
      </c>
      <c r="B339" s="415">
        <v>334</v>
      </c>
      <c r="C339" s="415" t="s">
        <v>3200</v>
      </c>
      <c r="D339" s="415" t="s">
        <v>2689</v>
      </c>
      <c r="E339" s="415" t="s">
        <v>2200</v>
      </c>
      <c r="F339" s="415" t="s">
        <v>2569</v>
      </c>
      <c r="G339" s="415" t="s">
        <v>3239</v>
      </c>
      <c r="H339" s="415">
        <v>0</v>
      </c>
      <c r="I339" s="415">
        <v>0</v>
      </c>
      <c r="J339" s="415">
        <v>8</v>
      </c>
      <c r="K339" s="415">
        <v>1</v>
      </c>
      <c r="L339" s="415">
        <v>37</v>
      </c>
      <c r="M339" s="415">
        <v>515</v>
      </c>
      <c r="N339" s="415">
        <v>205</v>
      </c>
      <c r="O339" s="415">
        <v>816</v>
      </c>
      <c r="P339" s="415" t="s">
        <v>3069</v>
      </c>
      <c r="Q339" s="415" t="s">
        <v>3612</v>
      </c>
      <c r="R339" s="415">
        <v>37</v>
      </c>
      <c r="S339" s="415">
        <v>117</v>
      </c>
      <c r="T339" s="416">
        <v>117</v>
      </c>
      <c r="U339" s="416">
        <v>117</v>
      </c>
      <c r="V339" s="416">
        <v>117</v>
      </c>
      <c r="W339" s="416">
        <v>117</v>
      </c>
      <c r="X339" s="416">
        <v>117</v>
      </c>
      <c r="Y339" s="416">
        <v>117</v>
      </c>
      <c r="Z339" s="416">
        <v>114</v>
      </c>
      <c r="AA339" s="416">
        <v>110</v>
      </c>
      <c r="AB339" s="416">
        <v>107</v>
      </c>
      <c r="AC339" s="416">
        <v>104</v>
      </c>
      <c r="AD339" s="416">
        <v>101</v>
      </c>
      <c r="AE339" s="416">
        <v>98.9</v>
      </c>
      <c r="AF339" s="416">
        <v>97.1</v>
      </c>
      <c r="AG339" s="416">
        <v>95.6</v>
      </c>
      <c r="AH339" s="416">
        <v>94.3</v>
      </c>
      <c r="AI339" s="416">
        <v>93.2</v>
      </c>
      <c r="AJ339" s="416">
        <v>92.3</v>
      </c>
      <c r="AK339" s="416">
        <v>91.5</v>
      </c>
      <c r="AL339" s="416">
        <v>37</v>
      </c>
      <c r="AM339" s="416">
        <v>90.7</v>
      </c>
      <c r="AN339" s="416">
        <v>90</v>
      </c>
      <c r="AO339" s="416">
        <v>89.2</v>
      </c>
      <c r="AP339" s="416">
        <v>83.1</v>
      </c>
      <c r="AQ339" s="416">
        <v>68.7</v>
      </c>
      <c r="AR339" s="416">
        <v>55.2</v>
      </c>
      <c r="AS339" s="416">
        <v>42.9</v>
      </c>
      <c r="AT339" s="416">
        <v>32.799999999999997</v>
      </c>
      <c r="AU339" s="416">
        <v>25.2</v>
      </c>
      <c r="AV339" s="416">
        <v>19.5</v>
      </c>
      <c r="AW339" s="416">
        <v>14.8</v>
      </c>
      <c r="AX339" s="416">
        <v>11.3</v>
      </c>
      <c r="AY339" s="416">
        <v>8.85</v>
      </c>
      <c r="AZ339" s="416">
        <v>6.95</v>
      </c>
    </row>
    <row r="340" spans="1:52" x14ac:dyDescent="0.25">
      <c r="A340" s="415" t="str">
        <f t="shared" si="5"/>
        <v>SA-312 Gr.TP316H</v>
      </c>
      <c r="B340" s="415">
        <v>335</v>
      </c>
      <c r="C340" s="415" t="s">
        <v>3200</v>
      </c>
      <c r="D340" s="415" t="s">
        <v>2703</v>
      </c>
      <c r="E340" s="415" t="s">
        <v>2208</v>
      </c>
      <c r="F340" s="415" t="s">
        <v>2569</v>
      </c>
      <c r="G340" s="415" t="s">
        <v>3239</v>
      </c>
      <c r="H340" s="415">
        <v>0</v>
      </c>
      <c r="I340" s="415">
        <v>0</v>
      </c>
      <c r="J340" s="415">
        <v>8</v>
      </c>
      <c r="K340" s="415">
        <v>1</v>
      </c>
      <c r="L340" s="415">
        <v>38</v>
      </c>
      <c r="M340" s="415">
        <v>515</v>
      </c>
      <c r="N340" s="415">
        <v>205</v>
      </c>
      <c r="O340" s="415">
        <v>816</v>
      </c>
      <c r="P340" s="415" t="s">
        <v>3069</v>
      </c>
      <c r="Q340" s="415" t="s">
        <v>3607</v>
      </c>
      <c r="R340" s="415">
        <v>38</v>
      </c>
      <c r="S340" s="415">
        <v>138</v>
      </c>
      <c r="T340" s="416">
        <v>138</v>
      </c>
      <c r="U340" s="416">
        <v>138</v>
      </c>
      <c r="V340" s="416">
        <v>138</v>
      </c>
      <c r="W340" s="416">
        <v>138</v>
      </c>
      <c r="X340" s="416">
        <v>138</v>
      </c>
      <c r="Y340" s="416">
        <v>138</v>
      </c>
      <c r="Z340" s="416">
        <v>134</v>
      </c>
      <c r="AA340" s="416">
        <v>129</v>
      </c>
      <c r="AB340" s="416">
        <v>125</v>
      </c>
      <c r="AC340" s="416">
        <v>122</v>
      </c>
      <c r="AD340" s="416">
        <v>119</v>
      </c>
      <c r="AE340" s="416">
        <v>116</v>
      </c>
      <c r="AF340" s="416">
        <v>114</v>
      </c>
      <c r="AG340" s="416">
        <v>112</v>
      </c>
      <c r="AH340" s="416">
        <v>111</v>
      </c>
      <c r="AI340" s="416">
        <v>110</v>
      </c>
      <c r="AJ340" s="416">
        <v>109</v>
      </c>
      <c r="AK340" s="416">
        <v>108</v>
      </c>
      <c r="AL340" s="416">
        <v>38</v>
      </c>
      <c r="AM340" s="416">
        <v>107</v>
      </c>
      <c r="AN340" s="416">
        <v>106</v>
      </c>
      <c r="AO340" s="416">
        <v>105</v>
      </c>
      <c r="AP340" s="416">
        <v>97.8</v>
      </c>
      <c r="AQ340" s="416">
        <v>80.8</v>
      </c>
      <c r="AR340" s="416">
        <v>65</v>
      </c>
      <c r="AS340" s="416">
        <v>50.4</v>
      </c>
      <c r="AT340" s="416">
        <v>38.6</v>
      </c>
      <c r="AU340" s="416">
        <v>29.6</v>
      </c>
      <c r="AV340" s="416">
        <v>23</v>
      </c>
      <c r="AW340" s="416">
        <v>17.399999999999999</v>
      </c>
      <c r="AX340" s="416">
        <v>13.3</v>
      </c>
      <c r="AY340" s="416">
        <v>10.4</v>
      </c>
      <c r="AZ340" s="416">
        <v>8.18</v>
      </c>
    </row>
    <row r="341" spans="1:52" x14ac:dyDescent="0.25">
      <c r="A341" s="415" t="str">
        <f t="shared" si="5"/>
        <v>SA-312 Gr.TP316H</v>
      </c>
      <c r="B341" s="415">
        <v>336</v>
      </c>
      <c r="C341" s="415" t="s">
        <v>3200</v>
      </c>
      <c r="D341" s="415" t="s">
        <v>2680</v>
      </c>
      <c r="E341" s="415" t="s">
        <v>2208</v>
      </c>
      <c r="F341" s="415" t="s">
        <v>2569</v>
      </c>
      <c r="G341" s="415" t="s">
        <v>3239</v>
      </c>
      <c r="H341" s="415">
        <v>0</v>
      </c>
      <c r="I341" s="415">
        <v>0</v>
      </c>
      <c r="J341" s="415">
        <v>8</v>
      </c>
      <c r="K341" s="415">
        <v>1</v>
      </c>
      <c r="L341" s="415">
        <v>39</v>
      </c>
      <c r="M341" s="415">
        <v>515</v>
      </c>
      <c r="N341" s="415">
        <v>205</v>
      </c>
      <c r="O341" s="415">
        <v>816</v>
      </c>
      <c r="P341" s="415" t="s">
        <v>3069</v>
      </c>
      <c r="Q341" s="415" t="s">
        <v>3612</v>
      </c>
      <c r="R341" s="415">
        <v>39</v>
      </c>
      <c r="S341" s="415">
        <v>117</v>
      </c>
      <c r="T341" s="416">
        <v>117</v>
      </c>
      <c r="U341" s="416">
        <v>117</v>
      </c>
      <c r="V341" s="416">
        <v>117</v>
      </c>
      <c r="W341" s="416">
        <v>117</v>
      </c>
      <c r="X341" s="416">
        <v>117</v>
      </c>
      <c r="Y341" s="416">
        <v>117</v>
      </c>
      <c r="Z341" s="416">
        <v>114</v>
      </c>
      <c r="AA341" s="416">
        <v>110</v>
      </c>
      <c r="AB341" s="416">
        <v>107</v>
      </c>
      <c r="AC341" s="416">
        <v>104</v>
      </c>
      <c r="AD341" s="416">
        <v>101</v>
      </c>
      <c r="AE341" s="416">
        <v>98.9</v>
      </c>
      <c r="AF341" s="416">
        <v>97.1</v>
      </c>
      <c r="AG341" s="416">
        <v>95.6</v>
      </c>
      <c r="AH341" s="416">
        <v>94.3</v>
      </c>
      <c r="AI341" s="416">
        <v>93.2</v>
      </c>
      <c r="AJ341" s="416">
        <v>92.3</v>
      </c>
      <c r="AK341" s="416">
        <v>91.5</v>
      </c>
      <c r="AL341" s="416">
        <v>39</v>
      </c>
      <c r="AM341" s="416">
        <v>90.7</v>
      </c>
      <c r="AN341" s="416">
        <v>90</v>
      </c>
      <c r="AO341" s="416">
        <v>89.2</v>
      </c>
      <c r="AP341" s="416">
        <v>83.1</v>
      </c>
      <c r="AQ341" s="416">
        <v>68.7</v>
      </c>
      <c r="AR341" s="416">
        <v>55.2</v>
      </c>
      <c r="AS341" s="416">
        <v>42.9</v>
      </c>
      <c r="AT341" s="416">
        <v>32.799999999999997</v>
      </c>
      <c r="AU341" s="416">
        <v>25.2</v>
      </c>
      <c r="AV341" s="416">
        <v>19.5</v>
      </c>
      <c r="AW341" s="416">
        <v>14.8</v>
      </c>
      <c r="AX341" s="416">
        <v>11.3</v>
      </c>
      <c r="AY341" s="416">
        <v>8.85</v>
      </c>
      <c r="AZ341" s="416">
        <v>6.95</v>
      </c>
    </row>
    <row r="342" spans="1:52" x14ac:dyDescent="0.25">
      <c r="A342" s="415" t="str">
        <f t="shared" si="5"/>
        <v>SA-376 Gr.TP316H</v>
      </c>
      <c r="B342" s="415">
        <v>337</v>
      </c>
      <c r="C342" s="415" t="s">
        <v>3200</v>
      </c>
      <c r="D342" s="415" t="s">
        <v>2703</v>
      </c>
      <c r="E342" s="415" t="s">
        <v>2225</v>
      </c>
      <c r="F342" s="415" t="s">
        <v>2569</v>
      </c>
      <c r="G342" s="415" t="s">
        <v>3239</v>
      </c>
      <c r="H342" s="415">
        <v>0</v>
      </c>
      <c r="I342" s="415">
        <v>0</v>
      </c>
      <c r="J342" s="415">
        <v>8</v>
      </c>
      <c r="K342" s="415">
        <v>1</v>
      </c>
      <c r="L342" s="415">
        <v>40</v>
      </c>
      <c r="M342" s="415">
        <v>515</v>
      </c>
      <c r="N342" s="415">
        <v>205</v>
      </c>
      <c r="O342" s="415">
        <v>816</v>
      </c>
      <c r="P342" s="415" t="s">
        <v>3069</v>
      </c>
      <c r="Q342" s="415" t="s">
        <v>3613</v>
      </c>
      <c r="R342" s="415">
        <v>40</v>
      </c>
      <c r="S342" s="415">
        <v>138</v>
      </c>
      <c r="T342" s="416">
        <v>138</v>
      </c>
      <c r="U342" s="416">
        <v>138</v>
      </c>
      <c r="V342" s="416">
        <v>138</v>
      </c>
      <c r="W342" s="416">
        <v>138</v>
      </c>
      <c r="X342" s="416">
        <v>138</v>
      </c>
      <c r="Y342" s="416">
        <v>138</v>
      </c>
      <c r="Z342" s="416">
        <v>134</v>
      </c>
      <c r="AA342" s="416">
        <v>129</v>
      </c>
      <c r="AB342" s="416">
        <v>125</v>
      </c>
      <c r="AC342" s="416">
        <v>122</v>
      </c>
      <c r="AD342" s="416">
        <v>119</v>
      </c>
      <c r="AE342" s="416">
        <v>116</v>
      </c>
      <c r="AF342" s="416">
        <v>114</v>
      </c>
      <c r="AG342" s="416">
        <v>112</v>
      </c>
      <c r="AH342" s="416">
        <v>111</v>
      </c>
      <c r="AI342" s="416">
        <v>110</v>
      </c>
      <c r="AJ342" s="416">
        <v>109</v>
      </c>
      <c r="AK342" s="416">
        <v>108</v>
      </c>
      <c r="AL342" s="416">
        <v>40</v>
      </c>
      <c r="AM342" s="416">
        <v>107</v>
      </c>
      <c r="AN342" s="416">
        <v>106</v>
      </c>
      <c r="AO342" s="416">
        <v>105</v>
      </c>
      <c r="AP342" s="416">
        <v>97.8</v>
      </c>
      <c r="AQ342" s="416">
        <v>80.8</v>
      </c>
      <c r="AR342" s="416">
        <v>65</v>
      </c>
      <c r="AS342" s="416">
        <v>50.4</v>
      </c>
      <c r="AT342" s="416">
        <v>38.6</v>
      </c>
      <c r="AU342" s="416">
        <v>29.6</v>
      </c>
      <c r="AV342" s="416">
        <v>23</v>
      </c>
      <c r="AW342" s="416">
        <v>17.399999999999999</v>
      </c>
      <c r="AX342" s="416">
        <v>13.3</v>
      </c>
      <c r="AY342" s="416">
        <v>10.4</v>
      </c>
      <c r="AZ342" s="416">
        <v>8.18</v>
      </c>
    </row>
    <row r="343" spans="1:52" x14ac:dyDescent="0.25">
      <c r="A343" s="415" t="str">
        <f t="shared" si="5"/>
        <v>SA-213 Gr.TP316N</v>
      </c>
      <c r="B343" s="415">
        <v>338</v>
      </c>
      <c r="C343" s="415" t="s">
        <v>3249</v>
      </c>
      <c r="D343" s="415" t="s">
        <v>2693</v>
      </c>
      <c r="E343" s="415" t="s">
        <v>2195</v>
      </c>
      <c r="F343" s="415" t="s">
        <v>2572</v>
      </c>
      <c r="G343" s="415" t="s">
        <v>3251</v>
      </c>
      <c r="H343" s="415">
        <v>0</v>
      </c>
      <c r="I343" s="415" t="s">
        <v>3604</v>
      </c>
      <c r="J343" s="415">
        <v>8</v>
      </c>
      <c r="K343" s="415">
        <v>1</v>
      </c>
      <c r="L343" s="415">
        <v>41</v>
      </c>
      <c r="M343" s="415">
        <v>550</v>
      </c>
      <c r="N343" s="415">
        <v>240</v>
      </c>
      <c r="O343" s="415">
        <v>649</v>
      </c>
      <c r="P343" s="415" t="s">
        <v>3069</v>
      </c>
      <c r="Q343" s="415" t="s">
        <v>3607</v>
      </c>
      <c r="R343" s="415">
        <v>41</v>
      </c>
      <c r="S343" s="415">
        <v>161</v>
      </c>
      <c r="T343" s="416">
        <v>161</v>
      </c>
      <c r="U343" s="416">
        <v>161</v>
      </c>
      <c r="V343" s="416">
        <v>161</v>
      </c>
      <c r="W343" s="416">
        <v>161</v>
      </c>
      <c r="X343" s="416">
        <v>161</v>
      </c>
      <c r="Y343" s="416">
        <v>161</v>
      </c>
      <c r="Z343" s="416">
        <v>161</v>
      </c>
      <c r="AA343" s="416">
        <v>160</v>
      </c>
      <c r="AB343" s="416">
        <v>155</v>
      </c>
      <c r="AC343" s="416">
        <v>151</v>
      </c>
      <c r="AD343" s="416">
        <v>147</v>
      </c>
      <c r="AE343" s="416">
        <v>144</v>
      </c>
      <c r="AF343" s="416">
        <v>141</v>
      </c>
      <c r="AG343" s="416">
        <v>138</v>
      </c>
      <c r="AH343" s="416">
        <v>135</v>
      </c>
      <c r="AI343" s="416">
        <v>133</v>
      </c>
      <c r="AJ343" s="416">
        <v>130</v>
      </c>
      <c r="AK343" s="416">
        <v>128</v>
      </c>
      <c r="AL343" s="416">
        <v>41</v>
      </c>
      <c r="AM343" s="416">
        <v>126</v>
      </c>
      <c r="AN343" s="416">
        <v>124</v>
      </c>
      <c r="AO343" s="416">
        <v>122</v>
      </c>
      <c r="AP343" s="416">
        <v>100</v>
      </c>
      <c r="AQ343" s="416">
        <v>80.3</v>
      </c>
      <c r="AR343" s="416">
        <v>65</v>
      </c>
      <c r="AS343" s="416">
        <v>50.5</v>
      </c>
      <c r="AT343" s="416">
        <v>0</v>
      </c>
      <c r="AU343" s="416">
        <v>0</v>
      </c>
      <c r="AV343" s="416">
        <v>0</v>
      </c>
      <c r="AW343" s="416">
        <v>0</v>
      </c>
      <c r="AX343" s="416">
        <v>0</v>
      </c>
      <c r="AY343" s="416">
        <v>0</v>
      </c>
      <c r="AZ343" s="416">
        <v>0</v>
      </c>
    </row>
    <row r="344" spans="1:52" x14ac:dyDescent="0.25">
      <c r="A344" s="415" t="str">
        <f t="shared" si="5"/>
        <v>SA-240 Gr.316N</v>
      </c>
      <c r="B344" s="415">
        <v>339</v>
      </c>
      <c r="C344" s="415" t="s">
        <v>3249</v>
      </c>
      <c r="D344" s="415" t="s">
        <v>2684</v>
      </c>
      <c r="E344" s="415" t="s">
        <v>2165</v>
      </c>
      <c r="F344" s="415" t="s">
        <v>2273</v>
      </c>
      <c r="G344" s="415" t="s">
        <v>3251</v>
      </c>
      <c r="H344" s="415">
        <v>0</v>
      </c>
      <c r="I344" s="415" t="s">
        <v>3604</v>
      </c>
      <c r="J344" s="415">
        <v>8</v>
      </c>
      <c r="K344" s="415">
        <v>1</v>
      </c>
      <c r="L344" s="415">
        <v>42</v>
      </c>
      <c r="M344" s="415">
        <v>550</v>
      </c>
      <c r="N344" s="415">
        <v>240</v>
      </c>
      <c r="O344" s="415">
        <v>649</v>
      </c>
      <c r="P344" s="415" t="s">
        <v>3069</v>
      </c>
      <c r="Q344" s="415" t="s">
        <v>3607</v>
      </c>
      <c r="R344" s="415">
        <v>42</v>
      </c>
      <c r="S344" s="415">
        <v>161</v>
      </c>
      <c r="T344" s="416">
        <v>161</v>
      </c>
      <c r="U344" s="416">
        <v>161</v>
      </c>
      <c r="V344" s="416">
        <v>161</v>
      </c>
      <c r="W344" s="416">
        <v>161</v>
      </c>
      <c r="X344" s="416">
        <v>161</v>
      </c>
      <c r="Y344" s="416">
        <v>161</v>
      </c>
      <c r="Z344" s="416">
        <v>161</v>
      </c>
      <c r="AA344" s="416">
        <v>160</v>
      </c>
      <c r="AB344" s="416">
        <v>155</v>
      </c>
      <c r="AC344" s="416">
        <v>151</v>
      </c>
      <c r="AD344" s="416">
        <v>147</v>
      </c>
      <c r="AE344" s="416">
        <v>144</v>
      </c>
      <c r="AF344" s="416">
        <v>141</v>
      </c>
      <c r="AG344" s="416">
        <v>138</v>
      </c>
      <c r="AH344" s="416">
        <v>135</v>
      </c>
      <c r="AI344" s="416">
        <v>133</v>
      </c>
      <c r="AJ344" s="416">
        <v>130</v>
      </c>
      <c r="AK344" s="416">
        <v>128</v>
      </c>
      <c r="AL344" s="416">
        <v>42</v>
      </c>
      <c r="AM344" s="416">
        <v>126</v>
      </c>
      <c r="AN344" s="416">
        <v>124</v>
      </c>
      <c r="AO344" s="416">
        <v>122</v>
      </c>
      <c r="AP344" s="416">
        <v>100</v>
      </c>
      <c r="AQ344" s="416">
        <v>80.3</v>
      </c>
      <c r="AR344" s="416">
        <v>65</v>
      </c>
      <c r="AS344" s="416">
        <v>50.5</v>
      </c>
      <c r="AT344" s="416">
        <v>0</v>
      </c>
      <c r="AU344" s="416">
        <v>0</v>
      </c>
      <c r="AV344" s="416">
        <v>0</v>
      </c>
      <c r="AW344" s="416">
        <v>0</v>
      </c>
      <c r="AX344" s="416">
        <v>0</v>
      </c>
      <c r="AY344" s="416">
        <v>0</v>
      </c>
      <c r="AZ344" s="416">
        <v>0</v>
      </c>
    </row>
    <row r="345" spans="1:52" x14ac:dyDescent="0.25">
      <c r="A345" s="415" t="str">
        <f t="shared" si="5"/>
        <v>SA-249 Gr.TP316N</v>
      </c>
      <c r="B345" s="415">
        <v>340</v>
      </c>
      <c r="C345" s="415" t="s">
        <v>3249</v>
      </c>
      <c r="D345" s="415" t="s">
        <v>2689</v>
      </c>
      <c r="E345" s="415" t="s">
        <v>2200</v>
      </c>
      <c r="F345" s="415" t="s">
        <v>2572</v>
      </c>
      <c r="G345" s="415" t="s">
        <v>3251</v>
      </c>
      <c r="H345" s="415">
        <v>0</v>
      </c>
      <c r="I345" s="415">
        <v>0</v>
      </c>
      <c r="J345" s="415">
        <v>8</v>
      </c>
      <c r="K345" s="415">
        <v>1</v>
      </c>
      <c r="L345" s="415">
        <v>43</v>
      </c>
      <c r="M345" s="415">
        <v>550</v>
      </c>
      <c r="N345" s="415">
        <v>240</v>
      </c>
      <c r="O345" s="415">
        <v>649</v>
      </c>
      <c r="P345" s="415" t="s">
        <v>3069</v>
      </c>
      <c r="Q345" s="415" t="s">
        <v>3612</v>
      </c>
      <c r="R345" s="415">
        <v>43</v>
      </c>
      <c r="S345" s="415">
        <v>137</v>
      </c>
      <c r="T345" s="416">
        <v>137</v>
      </c>
      <c r="U345" s="416">
        <v>137</v>
      </c>
      <c r="V345" s="416">
        <v>137</v>
      </c>
      <c r="W345" s="416">
        <v>137</v>
      </c>
      <c r="X345" s="416">
        <v>137</v>
      </c>
      <c r="Y345" s="416">
        <v>137</v>
      </c>
      <c r="Z345" s="416">
        <v>137</v>
      </c>
      <c r="AA345" s="416">
        <v>136</v>
      </c>
      <c r="AB345" s="416">
        <v>132</v>
      </c>
      <c r="AC345" s="416">
        <v>128</v>
      </c>
      <c r="AD345" s="416">
        <v>125</v>
      </c>
      <c r="AE345" s="416">
        <v>122</v>
      </c>
      <c r="AF345" s="416">
        <v>120</v>
      </c>
      <c r="AG345" s="416">
        <v>117</v>
      </c>
      <c r="AH345" s="416">
        <v>115</v>
      </c>
      <c r="AI345" s="416">
        <v>113</v>
      </c>
      <c r="AJ345" s="416">
        <v>111</v>
      </c>
      <c r="AK345" s="416">
        <v>109</v>
      </c>
      <c r="AL345" s="416">
        <v>43</v>
      </c>
      <c r="AM345" s="416">
        <v>107</v>
      </c>
      <c r="AN345" s="416">
        <v>105</v>
      </c>
      <c r="AO345" s="416">
        <v>103</v>
      </c>
      <c r="AP345" s="416">
        <v>85</v>
      </c>
      <c r="AQ345" s="416">
        <v>68.3</v>
      </c>
      <c r="AR345" s="416">
        <v>55.2</v>
      </c>
      <c r="AS345" s="416">
        <v>42.9</v>
      </c>
      <c r="AT345" s="416">
        <v>0</v>
      </c>
      <c r="AU345" s="416">
        <v>0</v>
      </c>
      <c r="AV345" s="416">
        <v>0</v>
      </c>
      <c r="AW345" s="416">
        <v>0</v>
      </c>
      <c r="AX345" s="416">
        <v>0</v>
      </c>
      <c r="AY345" s="416">
        <v>0</v>
      </c>
      <c r="AZ345" s="416">
        <v>0</v>
      </c>
    </row>
    <row r="346" spans="1:52" x14ac:dyDescent="0.25">
      <c r="A346" s="415" t="str">
        <f t="shared" si="5"/>
        <v>SA-312 Gr.TP316N</v>
      </c>
      <c r="B346" s="415">
        <v>341</v>
      </c>
      <c r="C346" s="415" t="s">
        <v>3249</v>
      </c>
      <c r="D346" s="415" t="s">
        <v>2703</v>
      </c>
      <c r="E346" s="415" t="s">
        <v>2208</v>
      </c>
      <c r="F346" s="415" t="s">
        <v>2572</v>
      </c>
      <c r="G346" s="415" t="s">
        <v>3251</v>
      </c>
      <c r="H346" s="415">
        <v>0</v>
      </c>
      <c r="I346" s="415" t="s">
        <v>3604</v>
      </c>
      <c r="J346" s="415">
        <v>8</v>
      </c>
      <c r="K346" s="415">
        <v>1</v>
      </c>
      <c r="L346" s="415">
        <v>44</v>
      </c>
      <c r="M346" s="415">
        <v>550</v>
      </c>
      <c r="N346" s="415">
        <v>240</v>
      </c>
      <c r="O346" s="415">
        <v>649</v>
      </c>
      <c r="P346" s="415" t="s">
        <v>3069</v>
      </c>
      <c r="Q346" s="415" t="s">
        <v>3607</v>
      </c>
      <c r="R346" s="415">
        <v>44</v>
      </c>
      <c r="S346" s="415">
        <v>161</v>
      </c>
      <c r="T346" s="416">
        <v>161</v>
      </c>
      <c r="U346" s="416">
        <v>161</v>
      </c>
      <c r="V346" s="416">
        <v>161</v>
      </c>
      <c r="W346" s="416">
        <v>161</v>
      </c>
      <c r="X346" s="416">
        <v>161</v>
      </c>
      <c r="Y346" s="416">
        <v>161</v>
      </c>
      <c r="Z346" s="416">
        <v>161</v>
      </c>
      <c r="AA346" s="416">
        <v>160</v>
      </c>
      <c r="AB346" s="416">
        <v>155</v>
      </c>
      <c r="AC346" s="416">
        <v>151</v>
      </c>
      <c r="AD346" s="416">
        <v>147</v>
      </c>
      <c r="AE346" s="416">
        <v>144</v>
      </c>
      <c r="AF346" s="416">
        <v>141</v>
      </c>
      <c r="AG346" s="416">
        <v>138</v>
      </c>
      <c r="AH346" s="416">
        <v>135</v>
      </c>
      <c r="AI346" s="416">
        <v>133</v>
      </c>
      <c r="AJ346" s="416">
        <v>130</v>
      </c>
      <c r="AK346" s="416">
        <v>128</v>
      </c>
      <c r="AL346" s="416">
        <v>44</v>
      </c>
      <c r="AM346" s="416">
        <v>126</v>
      </c>
      <c r="AN346" s="416">
        <v>124</v>
      </c>
      <c r="AO346" s="416">
        <v>122</v>
      </c>
      <c r="AP346" s="416">
        <v>100</v>
      </c>
      <c r="AQ346" s="416">
        <v>80.3</v>
      </c>
      <c r="AR346" s="416">
        <v>65</v>
      </c>
      <c r="AS346" s="416">
        <v>50.5</v>
      </c>
      <c r="AT346" s="416">
        <v>0</v>
      </c>
      <c r="AU346" s="416">
        <v>0</v>
      </c>
      <c r="AV346" s="416">
        <v>0</v>
      </c>
      <c r="AW346" s="416">
        <v>0</v>
      </c>
      <c r="AX346" s="416">
        <v>0</v>
      </c>
      <c r="AY346" s="416">
        <v>0</v>
      </c>
      <c r="AZ346" s="416">
        <v>0</v>
      </c>
    </row>
    <row r="347" spans="1:52" x14ac:dyDescent="0.25">
      <c r="A347" s="415" t="str">
        <f t="shared" si="5"/>
        <v>SA-312 Gr.TP316N</v>
      </c>
      <c r="B347" s="415">
        <v>342</v>
      </c>
      <c r="C347" s="415" t="s">
        <v>3249</v>
      </c>
      <c r="D347" s="415" t="s">
        <v>2680</v>
      </c>
      <c r="E347" s="415" t="s">
        <v>2208</v>
      </c>
      <c r="F347" s="415" t="s">
        <v>2572</v>
      </c>
      <c r="G347" s="415" t="s">
        <v>3251</v>
      </c>
      <c r="H347" s="415">
        <v>0</v>
      </c>
      <c r="I347" s="415" t="s">
        <v>3604</v>
      </c>
      <c r="J347" s="415">
        <v>8</v>
      </c>
      <c r="K347" s="415">
        <v>1</v>
      </c>
      <c r="L347" s="415">
        <v>45</v>
      </c>
      <c r="M347" s="415">
        <v>550</v>
      </c>
      <c r="N347" s="415">
        <v>240</v>
      </c>
      <c r="O347" s="415">
        <v>649</v>
      </c>
      <c r="P347" s="415" t="s">
        <v>3069</v>
      </c>
      <c r="Q347" s="415" t="s">
        <v>3612</v>
      </c>
      <c r="R347" s="415">
        <v>45</v>
      </c>
      <c r="S347" s="415">
        <v>137</v>
      </c>
      <c r="T347" s="416">
        <v>137</v>
      </c>
      <c r="U347" s="416">
        <v>137</v>
      </c>
      <c r="V347" s="416">
        <v>137</v>
      </c>
      <c r="W347" s="416">
        <v>137</v>
      </c>
      <c r="X347" s="416">
        <v>137</v>
      </c>
      <c r="Y347" s="416">
        <v>137</v>
      </c>
      <c r="Z347" s="416">
        <v>137</v>
      </c>
      <c r="AA347" s="416">
        <v>136</v>
      </c>
      <c r="AB347" s="416">
        <v>132</v>
      </c>
      <c r="AC347" s="416">
        <v>128</v>
      </c>
      <c r="AD347" s="416">
        <v>125</v>
      </c>
      <c r="AE347" s="416">
        <v>122</v>
      </c>
      <c r="AF347" s="416">
        <v>120</v>
      </c>
      <c r="AG347" s="416">
        <v>117</v>
      </c>
      <c r="AH347" s="416">
        <v>115</v>
      </c>
      <c r="AI347" s="416">
        <v>113</v>
      </c>
      <c r="AJ347" s="416">
        <v>111</v>
      </c>
      <c r="AK347" s="416">
        <v>109</v>
      </c>
      <c r="AL347" s="416">
        <v>45</v>
      </c>
      <c r="AM347" s="416">
        <v>107</v>
      </c>
      <c r="AN347" s="416">
        <v>105</v>
      </c>
      <c r="AO347" s="416">
        <v>103</v>
      </c>
      <c r="AP347" s="416">
        <v>85</v>
      </c>
      <c r="AQ347" s="416">
        <v>68.3</v>
      </c>
      <c r="AR347" s="416">
        <v>55.2</v>
      </c>
      <c r="AS347" s="416">
        <v>42.9</v>
      </c>
      <c r="AT347" s="416">
        <v>0</v>
      </c>
      <c r="AU347" s="416">
        <v>0</v>
      </c>
      <c r="AV347" s="416">
        <v>0</v>
      </c>
      <c r="AW347" s="416">
        <v>0</v>
      </c>
      <c r="AX347" s="416">
        <v>0</v>
      </c>
      <c r="AY347" s="416">
        <v>0</v>
      </c>
      <c r="AZ347" s="416">
        <v>0</v>
      </c>
    </row>
    <row r="348" spans="1:52" x14ac:dyDescent="0.25">
      <c r="A348" s="415" t="str">
        <f t="shared" si="5"/>
        <v>SA-376 Gr.TP316N</v>
      </c>
      <c r="B348" s="415">
        <v>343</v>
      </c>
      <c r="C348" s="415" t="s">
        <v>3249</v>
      </c>
      <c r="D348" s="415" t="s">
        <v>2703</v>
      </c>
      <c r="E348" s="415" t="s">
        <v>2225</v>
      </c>
      <c r="F348" s="415" t="s">
        <v>2572</v>
      </c>
      <c r="G348" s="415" t="s">
        <v>3251</v>
      </c>
      <c r="H348" s="415">
        <v>0</v>
      </c>
      <c r="I348" s="415">
        <v>0</v>
      </c>
      <c r="J348" s="415">
        <v>8</v>
      </c>
      <c r="K348" s="415">
        <v>1</v>
      </c>
      <c r="L348" s="415">
        <v>46</v>
      </c>
      <c r="M348" s="415">
        <v>550</v>
      </c>
      <c r="N348" s="415">
        <v>240</v>
      </c>
      <c r="O348" s="415">
        <v>649</v>
      </c>
      <c r="P348" s="415" t="s">
        <v>3069</v>
      </c>
      <c r="Q348" s="415" t="s">
        <v>3613</v>
      </c>
      <c r="R348" s="415">
        <v>46</v>
      </c>
      <c r="S348" s="415">
        <v>161</v>
      </c>
      <c r="T348" s="416">
        <v>161</v>
      </c>
      <c r="U348" s="416">
        <v>161</v>
      </c>
      <c r="V348" s="416">
        <v>161</v>
      </c>
      <c r="W348" s="416">
        <v>161</v>
      </c>
      <c r="X348" s="416">
        <v>161</v>
      </c>
      <c r="Y348" s="416">
        <v>161</v>
      </c>
      <c r="Z348" s="416">
        <v>161</v>
      </c>
      <c r="AA348" s="416">
        <v>160</v>
      </c>
      <c r="AB348" s="416">
        <v>155</v>
      </c>
      <c r="AC348" s="416">
        <v>151</v>
      </c>
      <c r="AD348" s="416">
        <v>147</v>
      </c>
      <c r="AE348" s="416">
        <v>144</v>
      </c>
      <c r="AF348" s="416">
        <v>141</v>
      </c>
      <c r="AG348" s="416">
        <v>138</v>
      </c>
      <c r="AH348" s="416">
        <v>135</v>
      </c>
      <c r="AI348" s="416">
        <v>133</v>
      </c>
      <c r="AJ348" s="416">
        <v>130</v>
      </c>
      <c r="AK348" s="416">
        <v>128</v>
      </c>
      <c r="AL348" s="416">
        <v>46</v>
      </c>
      <c r="AM348" s="416">
        <v>126</v>
      </c>
      <c r="AN348" s="416">
        <v>124</v>
      </c>
      <c r="AO348" s="416">
        <v>122</v>
      </c>
      <c r="AP348" s="416">
        <v>100</v>
      </c>
      <c r="AQ348" s="416">
        <v>80.3</v>
      </c>
      <c r="AR348" s="416">
        <v>65</v>
      </c>
      <c r="AS348" s="416">
        <v>50.5</v>
      </c>
      <c r="AT348" s="416">
        <v>0</v>
      </c>
      <c r="AU348" s="416">
        <v>0</v>
      </c>
      <c r="AV348" s="416">
        <v>0</v>
      </c>
      <c r="AW348" s="416">
        <v>0</v>
      </c>
      <c r="AX348" s="416">
        <v>0</v>
      </c>
      <c r="AY348" s="416">
        <v>0</v>
      </c>
      <c r="AZ348" s="416">
        <v>0</v>
      </c>
    </row>
    <row r="349" spans="1:52" x14ac:dyDescent="0.25">
      <c r="A349" s="415" t="str">
        <f t="shared" si="5"/>
        <v>SA-403 Gr.316N</v>
      </c>
      <c r="B349" s="415">
        <v>344</v>
      </c>
      <c r="C349" s="415" t="s">
        <v>3249</v>
      </c>
      <c r="D349" s="415" t="s">
        <v>913</v>
      </c>
      <c r="E349" s="415" t="s">
        <v>2229</v>
      </c>
      <c r="F349" s="415" t="s">
        <v>2273</v>
      </c>
      <c r="G349" s="415" t="s">
        <v>3251</v>
      </c>
      <c r="H349" s="415" t="s">
        <v>3380</v>
      </c>
      <c r="I349" s="415">
        <v>0</v>
      </c>
      <c r="J349" s="415">
        <v>8</v>
      </c>
      <c r="K349" s="415">
        <v>1</v>
      </c>
      <c r="L349" s="415">
        <v>1</v>
      </c>
      <c r="M349" s="415">
        <v>550</v>
      </c>
      <c r="N349" s="415">
        <v>240</v>
      </c>
      <c r="O349" s="415">
        <v>649</v>
      </c>
      <c r="P349" s="415" t="s">
        <v>3069</v>
      </c>
      <c r="Q349" s="415" t="s">
        <v>3612</v>
      </c>
      <c r="R349" s="415">
        <v>1</v>
      </c>
      <c r="S349" s="415">
        <v>137</v>
      </c>
      <c r="T349" s="416">
        <v>137</v>
      </c>
      <c r="U349" s="416">
        <v>137</v>
      </c>
      <c r="V349" s="416">
        <v>137</v>
      </c>
      <c r="W349" s="416">
        <v>137</v>
      </c>
      <c r="X349" s="416">
        <v>137</v>
      </c>
      <c r="Y349" s="416">
        <v>137</v>
      </c>
      <c r="Z349" s="416">
        <v>137</v>
      </c>
      <c r="AA349" s="416">
        <v>136</v>
      </c>
      <c r="AB349" s="416">
        <v>132</v>
      </c>
      <c r="AC349" s="416">
        <v>128</v>
      </c>
      <c r="AD349" s="416">
        <v>125</v>
      </c>
      <c r="AE349" s="416">
        <v>122</v>
      </c>
      <c r="AF349" s="416">
        <v>120</v>
      </c>
      <c r="AG349" s="416">
        <v>117</v>
      </c>
      <c r="AH349" s="416">
        <v>115</v>
      </c>
      <c r="AI349" s="416">
        <v>113</v>
      </c>
      <c r="AJ349" s="416">
        <v>111</v>
      </c>
      <c r="AK349" s="416">
        <v>109</v>
      </c>
      <c r="AL349" s="416">
        <v>1</v>
      </c>
      <c r="AM349" s="416">
        <v>107</v>
      </c>
      <c r="AN349" s="416">
        <v>105</v>
      </c>
      <c r="AO349" s="416">
        <v>103</v>
      </c>
      <c r="AP349" s="416">
        <v>85</v>
      </c>
      <c r="AQ349" s="416">
        <v>68.3</v>
      </c>
      <c r="AR349" s="416">
        <v>55.2</v>
      </c>
      <c r="AS349" s="416">
        <v>42.9</v>
      </c>
      <c r="AT349" s="416">
        <v>0</v>
      </c>
      <c r="AU349" s="416">
        <v>0</v>
      </c>
      <c r="AV349" s="416">
        <v>0</v>
      </c>
      <c r="AW349" s="416">
        <v>0</v>
      </c>
      <c r="AX349" s="416">
        <v>0</v>
      </c>
      <c r="AY349" s="416">
        <v>0</v>
      </c>
      <c r="AZ349" s="416">
        <v>0</v>
      </c>
    </row>
    <row r="350" spans="1:52" x14ac:dyDescent="0.25">
      <c r="A350" s="415" t="str">
        <f t="shared" si="5"/>
        <v>SA-403 Gr.316N</v>
      </c>
      <c r="B350" s="415">
        <v>345</v>
      </c>
      <c r="C350" s="415" t="s">
        <v>3249</v>
      </c>
      <c r="D350" s="415" t="s">
        <v>3414</v>
      </c>
      <c r="E350" s="415" t="s">
        <v>2229</v>
      </c>
      <c r="F350" s="415" t="s">
        <v>2273</v>
      </c>
      <c r="G350" s="415" t="s">
        <v>3251</v>
      </c>
      <c r="H350" s="415" t="s">
        <v>3382</v>
      </c>
      <c r="I350" s="415">
        <v>0</v>
      </c>
      <c r="J350" s="415">
        <v>8</v>
      </c>
      <c r="K350" s="415">
        <v>1</v>
      </c>
      <c r="L350" s="415">
        <v>2</v>
      </c>
      <c r="M350" s="415">
        <v>550</v>
      </c>
      <c r="N350" s="415">
        <v>240</v>
      </c>
      <c r="O350" s="415">
        <v>649</v>
      </c>
      <c r="P350" s="415" t="s">
        <v>3069</v>
      </c>
      <c r="Q350" s="415" t="s">
        <v>3612</v>
      </c>
      <c r="R350" s="415">
        <v>2</v>
      </c>
      <c r="S350" s="415">
        <v>137</v>
      </c>
      <c r="T350" s="416">
        <v>137</v>
      </c>
      <c r="U350" s="416">
        <v>137</v>
      </c>
      <c r="V350" s="416">
        <v>137</v>
      </c>
      <c r="W350" s="416">
        <v>137</v>
      </c>
      <c r="X350" s="416">
        <v>137</v>
      </c>
      <c r="Y350" s="416">
        <v>137</v>
      </c>
      <c r="Z350" s="416">
        <v>137</v>
      </c>
      <c r="AA350" s="416">
        <v>136</v>
      </c>
      <c r="AB350" s="416">
        <v>132</v>
      </c>
      <c r="AC350" s="416">
        <v>128</v>
      </c>
      <c r="AD350" s="416">
        <v>125</v>
      </c>
      <c r="AE350" s="416">
        <v>122</v>
      </c>
      <c r="AF350" s="416">
        <v>120</v>
      </c>
      <c r="AG350" s="416">
        <v>117</v>
      </c>
      <c r="AH350" s="416">
        <v>115</v>
      </c>
      <c r="AI350" s="416">
        <v>113</v>
      </c>
      <c r="AJ350" s="416">
        <v>111</v>
      </c>
      <c r="AK350" s="416">
        <v>109</v>
      </c>
      <c r="AL350" s="416">
        <v>2</v>
      </c>
      <c r="AM350" s="416">
        <v>107</v>
      </c>
      <c r="AN350" s="416">
        <v>105</v>
      </c>
      <c r="AO350" s="416">
        <v>103</v>
      </c>
      <c r="AP350" s="416">
        <v>85</v>
      </c>
      <c r="AQ350" s="416">
        <v>68.3</v>
      </c>
      <c r="AR350" s="416">
        <v>55.2</v>
      </c>
      <c r="AS350" s="416">
        <v>42.9</v>
      </c>
      <c r="AT350" s="416">
        <v>0</v>
      </c>
      <c r="AU350" s="416">
        <v>0</v>
      </c>
      <c r="AV350" s="416">
        <v>0</v>
      </c>
      <c r="AW350" s="416">
        <v>0</v>
      </c>
      <c r="AX350" s="416">
        <v>0</v>
      </c>
      <c r="AY350" s="416">
        <v>0</v>
      </c>
      <c r="AZ350" s="416">
        <v>0</v>
      </c>
    </row>
    <row r="351" spans="1:52" x14ac:dyDescent="0.25">
      <c r="A351" s="415" t="str">
        <f t="shared" si="5"/>
        <v>SA-403 Gr.316N</v>
      </c>
      <c r="B351" s="415">
        <v>346</v>
      </c>
      <c r="C351" s="415" t="s">
        <v>3249</v>
      </c>
      <c r="D351" s="415" t="s">
        <v>3414</v>
      </c>
      <c r="E351" s="415" t="s">
        <v>2229</v>
      </c>
      <c r="F351" s="415" t="s">
        <v>2273</v>
      </c>
      <c r="G351" s="415" t="s">
        <v>3251</v>
      </c>
      <c r="H351" s="415" t="s">
        <v>3384</v>
      </c>
      <c r="I351" s="415">
        <v>0</v>
      </c>
      <c r="J351" s="415">
        <v>8</v>
      </c>
      <c r="K351" s="415">
        <v>1</v>
      </c>
      <c r="L351" s="415">
        <v>3</v>
      </c>
      <c r="M351" s="415">
        <v>550</v>
      </c>
      <c r="N351" s="415">
        <v>240</v>
      </c>
      <c r="O351" s="415">
        <v>649</v>
      </c>
      <c r="P351" s="415" t="s">
        <v>3069</v>
      </c>
      <c r="Q351" s="415" t="s">
        <v>3612</v>
      </c>
      <c r="R351" s="415">
        <v>3</v>
      </c>
      <c r="S351" s="415">
        <v>137</v>
      </c>
      <c r="T351" s="416">
        <v>137</v>
      </c>
      <c r="U351" s="416">
        <v>137</v>
      </c>
      <c r="V351" s="416">
        <v>137</v>
      </c>
      <c r="W351" s="416">
        <v>137</v>
      </c>
      <c r="X351" s="416">
        <v>137</v>
      </c>
      <c r="Y351" s="416">
        <v>137</v>
      </c>
      <c r="Z351" s="416">
        <v>137</v>
      </c>
      <c r="AA351" s="416">
        <v>136</v>
      </c>
      <c r="AB351" s="416">
        <v>132</v>
      </c>
      <c r="AC351" s="416">
        <v>128</v>
      </c>
      <c r="AD351" s="416">
        <v>125</v>
      </c>
      <c r="AE351" s="416">
        <v>122</v>
      </c>
      <c r="AF351" s="416">
        <v>120</v>
      </c>
      <c r="AG351" s="416">
        <v>117</v>
      </c>
      <c r="AH351" s="416">
        <v>115</v>
      </c>
      <c r="AI351" s="416">
        <v>113</v>
      </c>
      <c r="AJ351" s="416">
        <v>111</v>
      </c>
      <c r="AK351" s="416">
        <v>109</v>
      </c>
      <c r="AL351" s="416">
        <v>3</v>
      </c>
      <c r="AM351" s="416">
        <v>107</v>
      </c>
      <c r="AN351" s="416">
        <v>105</v>
      </c>
      <c r="AO351" s="416">
        <v>103</v>
      </c>
      <c r="AP351" s="416">
        <v>85</v>
      </c>
      <c r="AQ351" s="416">
        <v>68.3</v>
      </c>
      <c r="AR351" s="416">
        <v>55.2</v>
      </c>
      <c r="AS351" s="416">
        <v>42.9</v>
      </c>
      <c r="AT351" s="416">
        <v>0</v>
      </c>
      <c r="AU351" s="416">
        <v>0</v>
      </c>
      <c r="AV351" s="416">
        <v>0</v>
      </c>
      <c r="AW351" s="416">
        <v>0</v>
      </c>
      <c r="AX351" s="416">
        <v>0</v>
      </c>
      <c r="AY351" s="416">
        <v>0</v>
      </c>
      <c r="AZ351" s="416">
        <v>0</v>
      </c>
    </row>
    <row r="352" spans="1:52" x14ac:dyDescent="0.25">
      <c r="A352" s="415" t="str">
        <f t="shared" si="5"/>
        <v>SA-965 Gr.F316N</v>
      </c>
      <c r="B352" s="415">
        <v>347</v>
      </c>
      <c r="C352" s="415" t="s">
        <v>3249</v>
      </c>
      <c r="D352" s="415" t="s">
        <v>2737</v>
      </c>
      <c r="E352" s="415" t="s">
        <v>2337</v>
      </c>
      <c r="F352" s="415" t="s">
        <v>2442</v>
      </c>
      <c r="G352" s="415" t="s">
        <v>3251</v>
      </c>
      <c r="H352" s="415">
        <v>0</v>
      </c>
      <c r="I352" s="415">
        <v>0</v>
      </c>
      <c r="J352" s="415">
        <v>8</v>
      </c>
      <c r="K352" s="415">
        <v>1</v>
      </c>
      <c r="L352" s="415">
        <v>4</v>
      </c>
      <c r="M352" s="415">
        <v>550</v>
      </c>
      <c r="N352" s="415">
        <v>240</v>
      </c>
      <c r="O352" s="415">
        <v>649</v>
      </c>
      <c r="P352" s="415" t="s">
        <v>3069</v>
      </c>
      <c r="Q352" s="415" t="s">
        <v>3607</v>
      </c>
      <c r="R352" s="415">
        <v>4</v>
      </c>
      <c r="S352" s="415">
        <v>161</v>
      </c>
      <c r="T352" s="416">
        <v>161</v>
      </c>
      <c r="U352" s="416">
        <v>161</v>
      </c>
      <c r="V352" s="416">
        <v>161</v>
      </c>
      <c r="W352" s="416">
        <v>161</v>
      </c>
      <c r="X352" s="416">
        <v>161</v>
      </c>
      <c r="Y352" s="416">
        <v>161</v>
      </c>
      <c r="Z352" s="416">
        <v>161</v>
      </c>
      <c r="AA352" s="416">
        <v>160</v>
      </c>
      <c r="AB352" s="416">
        <v>155</v>
      </c>
      <c r="AC352" s="416">
        <v>151</v>
      </c>
      <c r="AD352" s="416">
        <v>147</v>
      </c>
      <c r="AE352" s="416">
        <v>144</v>
      </c>
      <c r="AF352" s="416">
        <v>141</v>
      </c>
      <c r="AG352" s="416">
        <v>138</v>
      </c>
      <c r="AH352" s="416">
        <v>135</v>
      </c>
      <c r="AI352" s="416">
        <v>133</v>
      </c>
      <c r="AJ352" s="416">
        <v>130</v>
      </c>
      <c r="AK352" s="416">
        <v>128</v>
      </c>
      <c r="AL352" s="416">
        <v>4</v>
      </c>
      <c r="AM352" s="416">
        <v>126</v>
      </c>
      <c r="AN352" s="416">
        <v>124</v>
      </c>
      <c r="AO352" s="416">
        <v>122</v>
      </c>
      <c r="AP352" s="416">
        <v>100</v>
      </c>
      <c r="AQ352" s="416">
        <v>80.3</v>
      </c>
      <c r="AR352" s="416">
        <v>65</v>
      </c>
      <c r="AS352" s="416">
        <v>50.5</v>
      </c>
      <c r="AT352" s="416">
        <v>0</v>
      </c>
      <c r="AU352" s="416">
        <v>0</v>
      </c>
      <c r="AV352" s="416">
        <v>0</v>
      </c>
      <c r="AW352" s="416">
        <v>0</v>
      </c>
      <c r="AX352" s="416">
        <v>0</v>
      </c>
      <c r="AY352" s="416">
        <v>0</v>
      </c>
      <c r="AZ352" s="416">
        <v>0</v>
      </c>
    </row>
    <row r="353" spans="1:52" x14ac:dyDescent="0.25">
      <c r="A353" s="415" t="str">
        <f t="shared" si="5"/>
        <v>SA-240 Gr.0</v>
      </c>
      <c r="B353" s="415">
        <v>348</v>
      </c>
      <c r="C353" s="415" t="s">
        <v>3614</v>
      </c>
      <c r="D353" s="415" t="s">
        <v>2684</v>
      </c>
      <c r="E353" s="415" t="s">
        <v>2165</v>
      </c>
      <c r="F353" s="415">
        <v>0</v>
      </c>
      <c r="G353" s="415" t="s">
        <v>3615</v>
      </c>
      <c r="H353" s="415">
        <v>0</v>
      </c>
      <c r="I353" s="415">
        <v>0</v>
      </c>
      <c r="J353" s="415">
        <v>8</v>
      </c>
      <c r="K353" s="415">
        <v>1</v>
      </c>
      <c r="L353" s="415">
        <v>5</v>
      </c>
      <c r="M353" s="415">
        <v>540</v>
      </c>
      <c r="N353" s="415">
        <v>255</v>
      </c>
      <c r="O353" s="415">
        <v>204</v>
      </c>
      <c r="P353" s="415" t="s">
        <v>3269</v>
      </c>
      <c r="Q353" s="415">
        <v>0</v>
      </c>
      <c r="R353" s="415">
        <v>5</v>
      </c>
      <c r="S353" s="415">
        <v>170</v>
      </c>
      <c r="T353" s="416">
        <v>170</v>
      </c>
      <c r="U353" s="416">
        <v>170</v>
      </c>
      <c r="V353" s="416">
        <v>170</v>
      </c>
      <c r="W353" s="416">
        <v>170</v>
      </c>
      <c r="X353" s="416">
        <v>168</v>
      </c>
      <c r="Y353" s="416">
        <v>161</v>
      </c>
      <c r="Z353" s="416">
        <v>154</v>
      </c>
      <c r="AA353" s="416">
        <v>149</v>
      </c>
      <c r="AB353" s="416">
        <v>0</v>
      </c>
      <c r="AC353" s="416">
        <v>0</v>
      </c>
      <c r="AD353" s="416">
        <v>0</v>
      </c>
      <c r="AE353" s="416">
        <v>0</v>
      </c>
      <c r="AF353" s="416">
        <v>0</v>
      </c>
      <c r="AG353" s="416">
        <v>0</v>
      </c>
      <c r="AH353" s="416">
        <v>0</v>
      </c>
      <c r="AI353" s="416">
        <v>0</v>
      </c>
      <c r="AJ353" s="416">
        <v>0</v>
      </c>
      <c r="AK353" s="416">
        <v>0</v>
      </c>
      <c r="AL353" s="416">
        <v>5</v>
      </c>
      <c r="AM353" s="416">
        <v>0</v>
      </c>
      <c r="AN353" s="416">
        <v>0</v>
      </c>
      <c r="AO353" s="416">
        <v>0</v>
      </c>
      <c r="AP353" s="416">
        <v>0</v>
      </c>
      <c r="AQ353" s="416">
        <v>0</v>
      </c>
      <c r="AR353" s="416">
        <v>0</v>
      </c>
      <c r="AS353" s="416">
        <v>0</v>
      </c>
      <c r="AT353" s="416">
        <v>0</v>
      </c>
      <c r="AU353" s="416">
        <v>0</v>
      </c>
      <c r="AV353" s="416">
        <v>0</v>
      </c>
      <c r="AW353" s="416">
        <v>0</v>
      </c>
      <c r="AX353" s="416">
        <v>0</v>
      </c>
      <c r="AY353" s="416">
        <v>0</v>
      </c>
      <c r="AZ353" s="416">
        <v>0</v>
      </c>
    </row>
    <row r="354" spans="1:52" x14ac:dyDescent="0.25">
      <c r="A354" s="415" t="str">
        <f t="shared" si="5"/>
        <v>SA-240 Gr.XM-29</v>
      </c>
      <c r="B354" s="415">
        <v>349</v>
      </c>
      <c r="C354" s="415" t="s">
        <v>3270</v>
      </c>
      <c r="D354" s="415" t="s">
        <v>2684</v>
      </c>
      <c r="E354" s="415" t="s">
        <v>2165</v>
      </c>
      <c r="F354" s="415" t="s">
        <v>2623</v>
      </c>
      <c r="G354" s="415" t="s">
        <v>3271</v>
      </c>
      <c r="H354" s="415">
        <v>0</v>
      </c>
      <c r="I354" s="415" t="s">
        <v>3616</v>
      </c>
      <c r="J354" s="415">
        <v>8</v>
      </c>
      <c r="K354" s="415">
        <v>3</v>
      </c>
      <c r="L354" s="415">
        <v>6</v>
      </c>
      <c r="M354" s="415">
        <v>690</v>
      </c>
      <c r="N354" s="415">
        <v>380</v>
      </c>
      <c r="O354" s="415">
        <v>427</v>
      </c>
      <c r="P354" s="415" t="s">
        <v>3073</v>
      </c>
      <c r="Q354" s="415" t="s">
        <v>3602</v>
      </c>
      <c r="R354" s="415">
        <v>6</v>
      </c>
      <c r="S354" s="415">
        <v>253</v>
      </c>
      <c r="T354" s="416">
        <v>253</v>
      </c>
      <c r="U354" s="416">
        <v>253</v>
      </c>
      <c r="V354" s="416">
        <v>253</v>
      </c>
      <c r="W354" s="416">
        <v>249</v>
      </c>
      <c r="X354" s="416">
        <v>232</v>
      </c>
      <c r="Y354" s="416">
        <v>218</v>
      </c>
      <c r="Z354" s="416">
        <v>206</v>
      </c>
      <c r="AA354" s="416">
        <v>197</v>
      </c>
      <c r="AB354" s="416">
        <v>190</v>
      </c>
      <c r="AC354" s="416">
        <v>184</v>
      </c>
      <c r="AD354" s="416">
        <v>180</v>
      </c>
      <c r="AE354" s="416">
        <v>177</v>
      </c>
      <c r="AF354" s="416">
        <v>174</v>
      </c>
      <c r="AG354" s="416">
        <v>172</v>
      </c>
      <c r="AH354" s="416">
        <v>169</v>
      </c>
      <c r="AI354" s="416">
        <v>166</v>
      </c>
      <c r="AJ354" s="416">
        <v>162</v>
      </c>
      <c r="AK354" s="416">
        <v>0</v>
      </c>
      <c r="AL354" s="416">
        <v>6</v>
      </c>
      <c r="AM354" s="416">
        <v>0</v>
      </c>
      <c r="AN354" s="416">
        <v>0</v>
      </c>
      <c r="AO354" s="416">
        <v>0</v>
      </c>
      <c r="AP354" s="416">
        <v>0</v>
      </c>
      <c r="AQ354" s="416">
        <v>0</v>
      </c>
      <c r="AR354" s="416">
        <v>0</v>
      </c>
      <c r="AS354" s="416">
        <v>0</v>
      </c>
      <c r="AT354" s="416">
        <v>0</v>
      </c>
      <c r="AU354" s="416">
        <v>0</v>
      </c>
      <c r="AV354" s="416">
        <v>0</v>
      </c>
      <c r="AW354" s="416">
        <v>0</v>
      </c>
      <c r="AX354" s="416">
        <v>0</v>
      </c>
      <c r="AY354" s="416">
        <v>0</v>
      </c>
      <c r="AZ354" s="416">
        <v>0</v>
      </c>
    </row>
    <row r="355" spans="1:52" x14ac:dyDescent="0.25">
      <c r="A355" s="415" t="str">
        <f t="shared" si="5"/>
        <v>SA-240 Gr.XM-29</v>
      </c>
      <c r="B355" s="415">
        <v>350</v>
      </c>
      <c r="C355" s="415" t="s">
        <v>3270</v>
      </c>
      <c r="D355" s="415" t="s">
        <v>2684</v>
      </c>
      <c r="E355" s="415" t="s">
        <v>2165</v>
      </c>
      <c r="F355" s="415" t="s">
        <v>2623</v>
      </c>
      <c r="G355" s="415" t="s">
        <v>3271</v>
      </c>
      <c r="H355" s="415">
        <v>0</v>
      </c>
      <c r="I355" s="415" t="s">
        <v>3562</v>
      </c>
      <c r="J355" s="415">
        <v>8</v>
      </c>
      <c r="K355" s="415">
        <v>3</v>
      </c>
      <c r="L355" s="415">
        <v>7</v>
      </c>
      <c r="M355" s="415">
        <v>690</v>
      </c>
      <c r="N355" s="415">
        <v>415</v>
      </c>
      <c r="O355" s="415">
        <v>427</v>
      </c>
      <c r="P355" s="415" t="s">
        <v>3073</v>
      </c>
      <c r="Q355" s="415" t="s">
        <v>3602</v>
      </c>
      <c r="R355" s="415">
        <v>7</v>
      </c>
      <c r="S355" s="415">
        <v>276</v>
      </c>
      <c r="T355" s="416">
        <v>276</v>
      </c>
      <c r="U355" s="416">
        <v>276</v>
      </c>
      <c r="V355" s="416">
        <v>276</v>
      </c>
      <c r="W355" s="416">
        <v>272</v>
      </c>
      <c r="X355" s="416">
        <v>253</v>
      </c>
      <c r="Y355" s="416">
        <v>238</v>
      </c>
      <c r="Z355" s="416">
        <v>225</v>
      </c>
      <c r="AA355" s="416">
        <v>215</v>
      </c>
      <c r="AB355" s="416">
        <v>207</v>
      </c>
      <c r="AC355" s="416">
        <v>201</v>
      </c>
      <c r="AD355" s="416">
        <v>197</v>
      </c>
      <c r="AE355" s="416">
        <v>193</v>
      </c>
      <c r="AF355" s="416">
        <v>190</v>
      </c>
      <c r="AG355" s="416">
        <v>187</v>
      </c>
      <c r="AH355" s="416">
        <v>184</v>
      </c>
      <c r="AI355" s="416">
        <v>181</v>
      </c>
      <c r="AJ355" s="416">
        <v>176</v>
      </c>
      <c r="AK355" s="416">
        <v>0</v>
      </c>
      <c r="AL355" s="416">
        <v>7</v>
      </c>
      <c r="AM355" s="416">
        <v>0</v>
      </c>
      <c r="AN355" s="416">
        <v>0</v>
      </c>
      <c r="AO355" s="416">
        <v>0</v>
      </c>
      <c r="AP355" s="416">
        <v>0</v>
      </c>
      <c r="AQ355" s="416">
        <v>0</v>
      </c>
      <c r="AR355" s="416">
        <v>0</v>
      </c>
      <c r="AS355" s="416">
        <v>0</v>
      </c>
      <c r="AT355" s="416">
        <v>0</v>
      </c>
      <c r="AU355" s="416">
        <v>0</v>
      </c>
      <c r="AV355" s="416">
        <v>0</v>
      </c>
      <c r="AW355" s="416">
        <v>0</v>
      </c>
      <c r="AX355" s="416">
        <v>0</v>
      </c>
      <c r="AY355" s="416">
        <v>0</v>
      </c>
      <c r="AZ355" s="416">
        <v>0</v>
      </c>
    </row>
    <row r="356" spans="1:52" x14ac:dyDescent="0.25">
      <c r="A356" s="415" t="str">
        <f t="shared" si="5"/>
        <v>SA-789 Gr.0</v>
      </c>
      <c r="B356" s="415">
        <v>351</v>
      </c>
      <c r="C356" s="415" t="s">
        <v>3274</v>
      </c>
      <c r="D356" s="415" t="s">
        <v>2693</v>
      </c>
      <c r="E356" s="415" t="s">
        <v>2322</v>
      </c>
      <c r="F356" s="415">
        <v>0</v>
      </c>
      <c r="G356" s="415" t="s">
        <v>3275</v>
      </c>
      <c r="H356" s="415">
        <v>0</v>
      </c>
      <c r="I356" s="415">
        <v>0</v>
      </c>
      <c r="J356" s="415" t="s">
        <v>3276</v>
      </c>
      <c r="K356" s="415">
        <v>1</v>
      </c>
      <c r="L356" s="415">
        <v>8</v>
      </c>
      <c r="M356" s="415">
        <v>630</v>
      </c>
      <c r="N356" s="415">
        <v>440</v>
      </c>
      <c r="O356" s="415">
        <v>343</v>
      </c>
      <c r="P356" s="415" t="s">
        <v>3061</v>
      </c>
      <c r="Q356" s="415" t="s">
        <v>3565</v>
      </c>
      <c r="R356" s="415">
        <v>8</v>
      </c>
      <c r="S356" s="415">
        <v>264</v>
      </c>
      <c r="T356" s="416">
        <v>264</v>
      </c>
      <c r="U356" s="416">
        <v>264</v>
      </c>
      <c r="V356" s="416">
        <v>264</v>
      </c>
      <c r="W356" s="416">
        <v>264</v>
      </c>
      <c r="X356" s="416">
        <v>264</v>
      </c>
      <c r="Y356" s="416">
        <v>264</v>
      </c>
      <c r="Z356" s="416">
        <v>264</v>
      </c>
      <c r="AA356" s="416">
        <v>264</v>
      </c>
      <c r="AB356" s="416">
        <v>264</v>
      </c>
      <c r="AC356" s="416">
        <v>264</v>
      </c>
      <c r="AD356" s="416">
        <v>264</v>
      </c>
      <c r="AE356" s="416">
        <v>264</v>
      </c>
      <c r="AF356" s="416">
        <v>264</v>
      </c>
      <c r="AG356" s="416">
        <v>0</v>
      </c>
      <c r="AH356" s="416">
        <v>0</v>
      </c>
      <c r="AI356" s="416">
        <v>0</v>
      </c>
      <c r="AJ356" s="416">
        <v>0</v>
      </c>
      <c r="AK356" s="416">
        <v>0</v>
      </c>
      <c r="AL356" s="416">
        <v>8</v>
      </c>
      <c r="AM356" s="416">
        <v>0</v>
      </c>
      <c r="AN356" s="416">
        <v>0</v>
      </c>
      <c r="AO356" s="416">
        <v>0</v>
      </c>
      <c r="AP356" s="416">
        <v>0</v>
      </c>
      <c r="AQ356" s="416">
        <v>0</v>
      </c>
      <c r="AR356" s="416">
        <v>0</v>
      </c>
      <c r="AS356" s="416">
        <v>0</v>
      </c>
      <c r="AT356" s="416">
        <v>0</v>
      </c>
      <c r="AU356" s="416">
        <v>0</v>
      </c>
      <c r="AV356" s="416">
        <v>0</v>
      </c>
      <c r="AW356" s="416">
        <v>0</v>
      </c>
      <c r="AX356" s="416">
        <v>0</v>
      </c>
      <c r="AY356" s="416">
        <v>0</v>
      </c>
      <c r="AZ356" s="416">
        <v>0</v>
      </c>
    </row>
    <row r="357" spans="1:52" x14ac:dyDescent="0.25">
      <c r="A357" s="415" t="str">
        <f t="shared" si="5"/>
        <v>SA-789 Gr.0</v>
      </c>
      <c r="B357" s="415">
        <v>352</v>
      </c>
      <c r="C357" s="415" t="s">
        <v>3274</v>
      </c>
      <c r="D357" s="415" t="s">
        <v>2689</v>
      </c>
      <c r="E357" s="415" t="s">
        <v>2322</v>
      </c>
      <c r="F357" s="415">
        <v>0</v>
      </c>
      <c r="G357" s="415" t="s">
        <v>3275</v>
      </c>
      <c r="H357" s="415">
        <v>0</v>
      </c>
      <c r="I357" s="415">
        <v>0</v>
      </c>
      <c r="J357" s="415" t="s">
        <v>3276</v>
      </c>
      <c r="K357" s="415">
        <v>1</v>
      </c>
      <c r="L357" s="415">
        <v>9</v>
      </c>
      <c r="M357" s="415">
        <v>630</v>
      </c>
      <c r="N357" s="415">
        <v>440</v>
      </c>
      <c r="O357" s="415">
        <v>343</v>
      </c>
      <c r="P357" s="415" t="s">
        <v>3061</v>
      </c>
      <c r="Q357" s="415" t="s">
        <v>3617</v>
      </c>
      <c r="R357" s="415">
        <v>9</v>
      </c>
      <c r="S357" s="415">
        <v>225</v>
      </c>
      <c r="T357" s="416">
        <v>225</v>
      </c>
      <c r="U357" s="416">
        <v>225</v>
      </c>
      <c r="V357" s="416">
        <v>225</v>
      </c>
      <c r="W357" s="416">
        <v>225</v>
      </c>
      <c r="X357" s="416">
        <v>225</v>
      </c>
      <c r="Y357" s="416">
        <v>225</v>
      </c>
      <c r="Z357" s="416">
        <v>225</v>
      </c>
      <c r="AA357" s="416">
        <v>225</v>
      </c>
      <c r="AB357" s="416">
        <v>225</v>
      </c>
      <c r="AC357" s="416">
        <v>225</v>
      </c>
      <c r="AD357" s="416">
        <v>225</v>
      </c>
      <c r="AE357" s="416">
        <v>225</v>
      </c>
      <c r="AF357" s="416">
        <v>225</v>
      </c>
      <c r="AG357" s="416">
        <v>0</v>
      </c>
      <c r="AH357" s="416">
        <v>0</v>
      </c>
      <c r="AI357" s="416">
        <v>0</v>
      </c>
      <c r="AJ357" s="416">
        <v>0</v>
      </c>
      <c r="AK357" s="416">
        <v>0</v>
      </c>
      <c r="AL357" s="416">
        <v>9</v>
      </c>
      <c r="AM357" s="416">
        <v>0</v>
      </c>
      <c r="AN357" s="416">
        <v>0</v>
      </c>
      <c r="AO357" s="416">
        <v>0</v>
      </c>
      <c r="AP357" s="416">
        <v>0</v>
      </c>
      <c r="AQ357" s="416">
        <v>0</v>
      </c>
      <c r="AR357" s="416">
        <v>0</v>
      </c>
      <c r="AS357" s="416">
        <v>0</v>
      </c>
      <c r="AT357" s="416">
        <v>0</v>
      </c>
      <c r="AU357" s="416">
        <v>0</v>
      </c>
      <c r="AV357" s="416">
        <v>0</v>
      </c>
      <c r="AW357" s="416">
        <v>0</v>
      </c>
      <c r="AX357" s="416">
        <v>0</v>
      </c>
      <c r="AY357" s="416">
        <v>0</v>
      </c>
      <c r="AZ357" s="416">
        <v>0</v>
      </c>
    </row>
    <row r="358" spans="1:52" x14ac:dyDescent="0.25">
      <c r="A358" s="415" t="str">
        <f t="shared" si="5"/>
        <v>SA-790 Gr.0</v>
      </c>
      <c r="B358" s="415">
        <v>353</v>
      </c>
      <c r="C358" s="415" t="s">
        <v>3274</v>
      </c>
      <c r="D358" s="415" t="s">
        <v>2703</v>
      </c>
      <c r="E358" s="415" t="s">
        <v>2324</v>
      </c>
      <c r="F358" s="415">
        <v>0</v>
      </c>
      <c r="G358" s="415" t="s">
        <v>3275</v>
      </c>
      <c r="H358" s="415">
        <v>0</v>
      </c>
      <c r="I358" s="415">
        <v>0</v>
      </c>
      <c r="J358" s="415" t="s">
        <v>3276</v>
      </c>
      <c r="K358" s="415">
        <v>1</v>
      </c>
      <c r="L358" s="415">
        <v>10</v>
      </c>
      <c r="M358" s="415">
        <v>630</v>
      </c>
      <c r="N358" s="415">
        <v>440</v>
      </c>
      <c r="O358" s="415">
        <v>343</v>
      </c>
      <c r="P358" s="415" t="s">
        <v>3061</v>
      </c>
      <c r="Q358" s="415" t="s">
        <v>3565</v>
      </c>
      <c r="R358" s="415">
        <v>10</v>
      </c>
      <c r="S358" s="415">
        <v>264</v>
      </c>
      <c r="T358" s="416">
        <v>264</v>
      </c>
      <c r="U358" s="416">
        <v>264</v>
      </c>
      <c r="V358" s="416">
        <v>264</v>
      </c>
      <c r="W358" s="416">
        <v>264</v>
      </c>
      <c r="X358" s="416">
        <v>264</v>
      </c>
      <c r="Y358" s="416">
        <v>264</v>
      </c>
      <c r="Z358" s="416">
        <v>264</v>
      </c>
      <c r="AA358" s="416">
        <v>264</v>
      </c>
      <c r="AB358" s="416">
        <v>264</v>
      </c>
      <c r="AC358" s="416">
        <v>264</v>
      </c>
      <c r="AD358" s="416">
        <v>264</v>
      </c>
      <c r="AE358" s="416">
        <v>264</v>
      </c>
      <c r="AF358" s="416">
        <v>264</v>
      </c>
      <c r="AG358" s="416">
        <v>0</v>
      </c>
      <c r="AH358" s="416">
        <v>0</v>
      </c>
      <c r="AI358" s="416">
        <v>0</v>
      </c>
      <c r="AJ358" s="416">
        <v>0</v>
      </c>
      <c r="AK358" s="416">
        <v>0</v>
      </c>
      <c r="AL358" s="416">
        <v>10</v>
      </c>
      <c r="AM358" s="416">
        <v>0</v>
      </c>
      <c r="AN358" s="416">
        <v>0</v>
      </c>
      <c r="AO358" s="416">
        <v>0</v>
      </c>
      <c r="AP358" s="416">
        <v>0</v>
      </c>
      <c r="AQ358" s="416">
        <v>0</v>
      </c>
      <c r="AR358" s="416">
        <v>0</v>
      </c>
      <c r="AS358" s="416">
        <v>0</v>
      </c>
      <c r="AT358" s="416">
        <v>0</v>
      </c>
      <c r="AU358" s="416">
        <v>0</v>
      </c>
      <c r="AV358" s="416">
        <v>0</v>
      </c>
      <c r="AW358" s="416">
        <v>0</v>
      </c>
      <c r="AX358" s="416">
        <v>0</v>
      </c>
      <c r="AY358" s="416">
        <v>0</v>
      </c>
      <c r="AZ358" s="416">
        <v>0</v>
      </c>
    </row>
    <row r="359" spans="1:52" x14ac:dyDescent="0.25">
      <c r="A359" s="415" t="str">
        <f t="shared" si="5"/>
        <v>SA-790 Gr.0</v>
      </c>
      <c r="B359" s="415">
        <v>354</v>
      </c>
      <c r="C359" s="415" t="s">
        <v>3274</v>
      </c>
      <c r="D359" s="415" t="s">
        <v>2680</v>
      </c>
      <c r="E359" s="415" t="s">
        <v>2324</v>
      </c>
      <c r="F359" s="415">
        <v>0</v>
      </c>
      <c r="G359" s="415" t="s">
        <v>3275</v>
      </c>
      <c r="H359" s="415">
        <v>0</v>
      </c>
      <c r="I359" s="415">
        <v>0</v>
      </c>
      <c r="J359" s="415" t="s">
        <v>3276</v>
      </c>
      <c r="K359" s="415">
        <v>1</v>
      </c>
      <c r="L359" s="415">
        <v>11</v>
      </c>
      <c r="M359" s="415">
        <v>630</v>
      </c>
      <c r="N359" s="415">
        <v>440</v>
      </c>
      <c r="O359" s="415">
        <v>343</v>
      </c>
      <c r="P359" s="415" t="s">
        <v>3061</v>
      </c>
      <c r="Q359" s="415" t="s">
        <v>3617</v>
      </c>
      <c r="R359" s="415">
        <v>11</v>
      </c>
      <c r="S359" s="415">
        <v>225</v>
      </c>
      <c r="T359" s="416">
        <v>225</v>
      </c>
      <c r="U359" s="416">
        <v>225</v>
      </c>
      <c r="V359" s="416">
        <v>225</v>
      </c>
      <c r="W359" s="416">
        <v>225</v>
      </c>
      <c r="X359" s="416">
        <v>225</v>
      </c>
      <c r="Y359" s="416">
        <v>225</v>
      </c>
      <c r="Z359" s="416">
        <v>225</v>
      </c>
      <c r="AA359" s="416">
        <v>225</v>
      </c>
      <c r="AB359" s="416">
        <v>225</v>
      </c>
      <c r="AC359" s="416">
        <v>225</v>
      </c>
      <c r="AD359" s="416">
        <v>225</v>
      </c>
      <c r="AE359" s="416">
        <v>225</v>
      </c>
      <c r="AF359" s="416">
        <v>225</v>
      </c>
      <c r="AG359" s="416">
        <v>0</v>
      </c>
      <c r="AH359" s="416">
        <v>0</v>
      </c>
      <c r="AI359" s="416">
        <v>0</v>
      </c>
      <c r="AJ359" s="416">
        <v>0</v>
      </c>
      <c r="AK359" s="416">
        <v>0</v>
      </c>
      <c r="AL359" s="416">
        <v>11</v>
      </c>
      <c r="AM359" s="416">
        <v>0</v>
      </c>
      <c r="AN359" s="416">
        <v>0</v>
      </c>
      <c r="AO359" s="416">
        <v>0</v>
      </c>
      <c r="AP359" s="416">
        <v>0</v>
      </c>
      <c r="AQ359" s="416">
        <v>0</v>
      </c>
      <c r="AR359" s="416">
        <v>0</v>
      </c>
      <c r="AS359" s="416">
        <v>0</v>
      </c>
      <c r="AT359" s="416">
        <v>0</v>
      </c>
      <c r="AU359" s="416">
        <v>0</v>
      </c>
      <c r="AV359" s="416">
        <v>0</v>
      </c>
      <c r="AW359" s="416">
        <v>0</v>
      </c>
      <c r="AX359" s="416">
        <v>0</v>
      </c>
      <c r="AY359" s="416">
        <v>0</v>
      </c>
      <c r="AZ359" s="416">
        <v>0</v>
      </c>
    </row>
    <row r="360" spans="1:52" x14ac:dyDescent="0.25">
      <c r="A360" s="415" t="str">
        <f t="shared" si="5"/>
        <v>SA-182 Gr.F304L</v>
      </c>
      <c r="B360" s="415">
        <v>355</v>
      </c>
      <c r="C360" s="415" t="s">
        <v>3277</v>
      </c>
      <c r="D360" s="415" t="s">
        <v>2737</v>
      </c>
      <c r="E360" s="415" t="s">
        <v>2188</v>
      </c>
      <c r="F360" s="415" t="s">
        <v>2434</v>
      </c>
      <c r="G360" s="415" t="s">
        <v>3278</v>
      </c>
      <c r="H360" s="415">
        <v>0</v>
      </c>
      <c r="I360" s="415" t="s">
        <v>3603</v>
      </c>
      <c r="J360" s="415">
        <v>8</v>
      </c>
      <c r="K360" s="415">
        <v>1</v>
      </c>
      <c r="L360" s="415">
        <v>12</v>
      </c>
      <c r="M360" s="415">
        <v>450</v>
      </c>
      <c r="N360" s="415">
        <v>170</v>
      </c>
      <c r="O360" s="415">
        <v>649</v>
      </c>
      <c r="P360" s="415" t="s">
        <v>3279</v>
      </c>
      <c r="Q360" s="415" t="s">
        <v>3607</v>
      </c>
      <c r="R360" s="415">
        <v>12</v>
      </c>
      <c r="S360" s="415">
        <v>115</v>
      </c>
      <c r="T360" s="416">
        <v>115</v>
      </c>
      <c r="U360" s="416">
        <v>115</v>
      </c>
      <c r="V360" s="416">
        <v>115</v>
      </c>
      <c r="W360" s="416">
        <v>115</v>
      </c>
      <c r="X360" s="416">
        <v>115</v>
      </c>
      <c r="Y360" s="416">
        <v>114</v>
      </c>
      <c r="Z360" s="416">
        <v>110</v>
      </c>
      <c r="AA360" s="416">
        <v>106</v>
      </c>
      <c r="AB360" s="416">
        <v>103</v>
      </c>
      <c r="AC360" s="416">
        <v>99.9</v>
      </c>
      <c r="AD360" s="416">
        <v>97.7</v>
      </c>
      <c r="AE360" s="416">
        <v>95.7</v>
      </c>
      <c r="AF360" s="416">
        <v>94.1</v>
      </c>
      <c r="AG360" s="416">
        <v>92.6</v>
      </c>
      <c r="AH360" s="416">
        <v>91.3</v>
      </c>
      <c r="AI360" s="416">
        <v>90</v>
      </c>
      <c r="AJ360" s="416">
        <v>88.7</v>
      </c>
      <c r="AK360" s="416">
        <v>87.3</v>
      </c>
      <c r="AL360" s="416">
        <v>12</v>
      </c>
      <c r="AM360" s="416">
        <v>85.6</v>
      </c>
      <c r="AN360" s="416">
        <v>83.7</v>
      </c>
      <c r="AO360" s="416">
        <v>81.400000000000006</v>
      </c>
      <c r="AP360" s="416">
        <v>40.4</v>
      </c>
      <c r="AQ360" s="416">
        <v>33.200000000000003</v>
      </c>
      <c r="AR360" s="416">
        <v>26.7</v>
      </c>
      <c r="AS360" s="416">
        <v>21.9</v>
      </c>
      <c r="AT360" s="416">
        <v>0</v>
      </c>
      <c r="AU360" s="416">
        <v>0</v>
      </c>
      <c r="AV360" s="416">
        <v>0</v>
      </c>
      <c r="AW360" s="416">
        <v>0</v>
      </c>
      <c r="AX360" s="416">
        <v>0</v>
      </c>
      <c r="AY360" s="416">
        <v>0</v>
      </c>
      <c r="AZ360" s="416">
        <v>0</v>
      </c>
    </row>
    <row r="361" spans="1:52" x14ac:dyDescent="0.25">
      <c r="A361" s="415" t="str">
        <f t="shared" si="5"/>
        <v>SA-965 Gr.F304L</v>
      </c>
      <c r="B361" s="415">
        <v>356</v>
      </c>
      <c r="C361" s="415" t="s">
        <v>3277</v>
      </c>
      <c r="D361" s="415" t="s">
        <v>2737</v>
      </c>
      <c r="E361" s="415" t="s">
        <v>2337</v>
      </c>
      <c r="F361" s="415" t="s">
        <v>2434</v>
      </c>
      <c r="G361" s="415" t="s">
        <v>3278</v>
      </c>
      <c r="H361" s="415">
        <v>0</v>
      </c>
      <c r="I361" s="415">
        <v>0</v>
      </c>
      <c r="J361" s="415">
        <v>8</v>
      </c>
      <c r="K361" s="415">
        <v>1</v>
      </c>
      <c r="L361" s="415">
        <v>13</v>
      </c>
      <c r="M361" s="415">
        <v>450</v>
      </c>
      <c r="N361" s="415">
        <v>170</v>
      </c>
      <c r="O361" s="415">
        <v>649</v>
      </c>
      <c r="P361" s="415" t="s">
        <v>3279</v>
      </c>
      <c r="Q361" s="415" t="s">
        <v>3607</v>
      </c>
      <c r="R361" s="415">
        <v>13</v>
      </c>
      <c r="S361" s="415">
        <v>115</v>
      </c>
      <c r="T361" s="416">
        <v>115</v>
      </c>
      <c r="U361" s="416">
        <v>115</v>
      </c>
      <c r="V361" s="416">
        <v>115</v>
      </c>
      <c r="W361" s="416">
        <v>115</v>
      </c>
      <c r="X361" s="416">
        <v>115</v>
      </c>
      <c r="Y361" s="416">
        <v>114</v>
      </c>
      <c r="Z361" s="416">
        <v>110</v>
      </c>
      <c r="AA361" s="416">
        <v>106</v>
      </c>
      <c r="AB361" s="416">
        <v>103</v>
      </c>
      <c r="AC361" s="416">
        <v>99.9</v>
      </c>
      <c r="AD361" s="416">
        <v>97.7</v>
      </c>
      <c r="AE361" s="416">
        <v>95.7</v>
      </c>
      <c r="AF361" s="416">
        <v>94.1</v>
      </c>
      <c r="AG361" s="416">
        <v>92.6</v>
      </c>
      <c r="AH361" s="416">
        <v>91.3</v>
      </c>
      <c r="AI361" s="416">
        <v>90</v>
      </c>
      <c r="AJ361" s="416">
        <v>88.7</v>
      </c>
      <c r="AK361" s="416">
        <v>87.3</v>
      </c>
      <c r="AL361" s="416">
        <v>13</v>
      </c>
      <c r="AM361" s="416">
        <v>85.6</v>
      </c>
      <c r="AN361" s="416">
        <v>83.7</v>
      </c>
      <c r="AO361" s="416">
        <v>81.400000000000006</v>
      </c>
      <c r="AP361" s="416">
        <v>40.4</v>
      </c>
      <c r="AQ361" s="416">
        <v>33.200000000000003</v>
      </c>
      <c r="AR361" s="416">
        <v>26.7</v>
      </c>
      <c r="AS361" s="416">
        <v>21.9</v>
      </c>
      <c r="AT361" s="416">
        <v>0</v>
      </c>
      <c r="AU361" s="416">
        <v>0</v>
      </c>
      <c r="AV361" s="416">
        <v>0</v>
      </c>
      <c r="AW361" s="416">
        <v>0</v>
      </c>
      <c r="AX361" s="416">
        <v>0</v>
      </c>
      <c r="AY361" s="416">
        <v>0</v>
      </c>
      <c r="AZ361" s="416">
        <v>0</v>
      </c>
    </row>
    <row r="362" spans="1:52" x14ac:dyDescent="0.25">
      <c r="A362" s="415" t="str">
        <f t="shared" si="5"/>
        <v>SA-182 Gr.F304L</v>
      </c>
      <c r="B362" s="415">
        <v>357</v>
      </c>
      <c r="C362" s="415" t="s">
        <v>3277</v>
      </c>
      <c r="D362" s="415" t="s">
        <v>2737</v>
      </c>
      <c r="E362" s="415" t="s">
        <v>2188</v>
      </c>
      <c r="F362" s="415" t="s">
        <v>2434</v>
      </c>
      <c r="G362" s="415" t="s">
        <v>3278</v>
      </c>
      <c r="H362" s="415">
        <v>0</v>
      </c>
      <c r="I362" s="415" t="s">
        <v>3604</v>
      </c>
      <c r="J362" s="415">
        <v>8</v>
      </c>
      <c r="K362" s="415">
        <v>1</v>
      </c>
      <c r="L362" s="415">
        <v>14</v>
      </c>
      <c r="M362" s="415">
        <v>485</v>
      </c>
      <c r="N362" s="415">
        <v>170</v>
      </c>
      <c r="O362" s="415">
        <v>649</v>
      </c>
      <c r="P362" s="415" t="s">
        <v>3279</v>
      </c>
      <c r="Q362" s="415" t="s">
        <v>3607</v>
      </c>
      <c r="R362" s="415">
        <v>14</v>
      </c>
      <c r="S362" s="415">
        <v>115</v>
      </c>
      <c r="T362" s="416">
        <v>115</v>
      </c>
      <c r="U362" s="416">
        <v>115</v>
      </c>
      <c r="V362" s="416">
        <v>115</v>
      </c>
      <c r="W362" s="416">
        <v>115</v>
      </c>
      <c r="X362" s="416">
        <v>115</v>
      </c>
      <c r="Y362" s="416">
        <v>114</v>
      </c>
      <c r="Z362" s="416">
        <v>110</v>
      </c>
      <c r="AA362" s="416">
        <v>106</v>
      </c>
      <c r="AB362" s="416">
        <v>103</v>
      </c>
      <c r="AC362" s="416">
        <v>99.9</v>
      </c>
      <c r="AD362" s="416">
        <v>97.7</v>
      </c>
      <c r="AE362" s="416">
        <v>95.7</v>
      </c>
      <c r="AF362" s="416">
        <v>94.1</v>
      </c>
      <c r="AG362" s="416">
        <v>92.6</v>
      </c>
      <c r="AH362" s="416">
        <v>91.3</v>
      </c>
      <c r="AI362" s="416">
        <v>90</v>
      </c>
      <c r="AJ362" s="416">
        <v>88.7</v>
      </c>
      <c r="AK362" s="416">
        <v>87.3</v>
      </c>
      <c r="AL362" s="416">
        <v>14</v>
      </c>
      <c r="AM362" s="416">
        <v>85.6</v>
      </c>
      <c r="AN362" s="416">
        <v>83.7</v>
      </c>
      <c r="AO362" s="416">
        <v>81.400000000000006</v>
      </c>
      <c r="AP362" s="416">
        <v>40.4</v>
      </c>
      <c r="AQ362" s="416">
        <v>33.200000000000003</v>
      </c>
      <c r="AR362" s="416">
        <v>26.7</v>
      </c>
      <c r="AS362" s="416">
        <v>21.9</v>
      </c>
      <c r="AT362" s="416">
        <v>0</v>
      </c>
      <c r="AU362" s="416">
        <v>0</v>
      </c>
      <c r="AV362" s="416">
        <v>0</v>
      </c>
      <c r="AW362" s="416">
        <v>0</v>
      </c>
      <c r="AX362" s="416">
        <v>0</v>
      </c>
      <c r="AY362" s="416">
        <v>0</v>
      </c>
      <c r="AZ362" s="416">
        <v>0</v>
      </c>
    </row>
    <row r="363" spans="1:52" x14ac:dyDescent="0.25">
      <c r="A363" s="415" t="str">
        <f t="shared" si="5"/>
        <v>SA-213 Gr.TP304L</v>
      </c>
      <c r="B363" s="415">
        <v>358</v>
      </c>
      <c r="C363" s="415" t="s">
        <v>3277</v>
      </c>
      <c r="D363" s="415" t="s">
        <v>2693</v>
      </c>
      <c r="E363" s="415" t="s">
        <v>2195</v>
      </c>
      <c r="F363" s="415" t="s">
        <v>2557</v>
      </c>
      <c r="G363" s="415" t="s">
        <v>3278</v>
      </c>
      <c r="H363" s="415">
        <v>0</v>
      </c>
      <c r="I363" s="415">
        <v>0</v>
      </c>
      <c r="J363" s="415">
        <v>8</v>
      </c>
      <c r="K363" s="415">
        <v>1</v>
      </c>
      <c r="L363" s="415">
        <v>15</v>
      </c>
      <c r="M363" s="415">
        <v>485</v>
      </c>
      <c r="N363" s="415">
        <v>170</v>
      </c>
      <c r="O363" s="415">
        <v>649</v>
      </c>
      <c r="P363" s="415" t="s">
        <v>3279</v>
      </c>
      <c r="Q363" s="415" t="s">
        <v>3607</v>
      </c>
      <c r="R363" s="415">
        <v>15</v>
      </c>
      <c r="S363" s="415">
        <v>115</v>
      </c>
      <c r="T363" s="416">
        <v>115</v>
      </c>
      <c r="U363" s="416">
        <v>115</v>
      </c>
      <c r="V363" s="416">
        <v>115</v>
      </c>
      <c r="W363" s="416">
        <v>115</v>
      </c>
      <c r="X363" s="416">
        <v>115</v>
      </c>
      <c r="Y363" s="416">
        <v>114</v>
      </c>
      <c r="Z363" s="416">
        <v>110</v>
      </c>
      <c r="AA363" s="416">
        <v>106</v>
      </c>
      <c r="AB363" s="416">
        <v>103</v>
      </c>
      <c r="AC363" s="416">
        <v>99.9</v>
      </c>
      <c r="AD363" s="416">
        <v>97.7</v>
      </c>
      <c r="AE363" s="416">
        <v>95.7</v>
      </c>
      <c r="AF363" s="416">
        <v>94.1</v>
      </c>
      <c r="AG363" s="416">
        <v>92.6</v>
      </c>
      <c r="AH363" s="416">
        <v>91.3</v>
      </c>
      <c r="AI363" s="416">
        <v>90</v>
      </c>
      <c r="AJ363" s="416">
        <v>88.7</v>
      </c>
      <c r="AK363" s="416">
        <v>87.3</v>
      </c>
      <c r="AL363" s="416">
        <v>15</v>
      </c>
      <c r="AM363" s="416">
        <v>85.6</v>
      </c>
      <c r="AN363" s="416">
        <v>83.7</v>
      </c>
      <c r="AO363" s="416">
        <v>81.400000000000006</v>
      </c>
      <c r="AP363" s="416">
        <v>40.4</v>
      </c>
      <c r="AQ363" s="416">
        <v>33.200000000000003</v>
      </c>
      <c r="AR363" s="416">
        <v>26.7</v>
      </c>
      <c r="AS363" s="416">
        <v>21.9</v>
      </c>
      <c r="AT363" s="416">
        <v>0</v>
      </c>
      <c r="AU363" s="416">
        <v>0</v>
      </c>
      <c r="AV363" s="416">
        <v>0</v>
      </c>
      <c r="AW363" s="416">
        <v>0</v>
      </c>
      <c r="AX363" s="416">
        <v>0</v>
      </c>
      <c r="AY363" s="416">
        <v>0</v>
      </c>
      <c r="AZ363" s="416">
        <v>0</v>
      </c>
    </row>
    <row r="364" spans="1:52" x14ac:dyDescent="0.25">
      <c r="A364" s="415" t="str">
        <f t="shared" si="5"/>
        <v>SA-240 Gr.304L</v>
      </c>
      <c r="B364" s="415">
        <v>359</v>
      </c>
      <c r="C364" s="415" t="s">
        <v>3277</v>
      </c>
      <c r="D364" s="415" t="s">
        <v>2684</v>
      </c>
      <c r="E364" s="415" t="s">
        <v>2165</v>
      </c>
      <c r="F364" s="415" t="s">
        <v>2246</v>
      </c>
      <c r="G364" s="415" t="s">
        <v>3278</v>
      </c>
      <c r="H364" s="415">
        <v>0</v>
      </c>
      <c r="I364" s="415">
        <v>0</v>
      </c>
      <c r="J364" s="415">
        <v>8</v>
      </c>
      <c r="K364" s="415">
        <v>1</v>
      </c>
      <c r="L364" s="415">
        <v>16</v>
      </c>
      <c r="M364" s="415">
        <v>485</v>
      </c>
      <c r="N364" s="415">
        <v>170</v>
      </c>
      <c r="O364" s="415">
        <v>649</v>
      </c>
      <c r="P364" s="415" t="s">
        <v>3279</v>
      </c>
      <c r="Q364" s="415" t="s">
        <v>3607</v>
      </c>
      <c r="R364" s="415">
        <v>16</v>
      </c>
      <c r="S364" s="415">
        <v>115</v>
      </c>
      <c r="T364" s="416">
        <v>115</v>
      </c>
      <c r="U364" s="416">
        <v>115</v>
      </c>
      <c r="V364" s="416">
        <v>115</v>
      </c>
      <c r="W364" s="416">
        <v>115</v>
      </c>
      <c r="X364" s="416">
        <v>115</v>
      </c>
      <c r="Y364" s="416">
        <v>114</v>
      </c>
      <c r="Z364" s="416">
        <v>110</v>
      </c>
      <c r="AA364" s="416">
        <v>106</v>
      </c>
      <c r="AB364" s="416">
        <v>103</v>
      </c>
      <c r="AC364" s="416">
        <v>99.9</v>
      </c>
      <c r="AD364" s="416">
        <v>97.7</v>
      </c>
      <c r="AE364" s="416">
        <v>95.7</v>
      </c>
      <c r="AF364" s="416">
        <v>94.1</v>
      </c>
      <c r="AG364" s="416">
        <v>92.6</v>
      </c>
      <c r="AH364" s="416">
        <v>91.3</v>
      </c>
      <c r="AI364" s="416">
        <v>90</v>
      </c>
      <c r="AJ364" s="416">
        <v>88.7</v>
      </c>
      <c r="AK364" s="416">
        <v>87.3</v>
      </c>
      <c r="AL364" s="416">
        <v>16</v>
      </c>
      <c r="AM364" s="416">
        <v>85.6</v>
      </c>
      <c r="AN364" s="416">
        <v>83.7</v>
      </c>
      <c r="AO364" s="416">
        <v>81.400000000000006</v>
      </c>
      <c r="AP364" s="416">
        <v>40.4</v>
      </c>
      <c r="AQ364" s="416">
        <v>33.200000000000003</v>
      </c>
      <c r="AR364" s="416">
        <v>26.7</v>
      </c>
      <c r="AS364" s="416">
        <v>21.9</v>
      </c>
      <c r="AT364" s="416">
        <v>0</v>
      </c>
      <c r="AU364" s="416">
        <v>0</v>
      </c>
      <c r="AV364" s="416">
        <v>0</v>
      </c>
      <c r="AW364" s="416">
        <v>0</v>
      </c>
      <c r="AX364" s="416">
        <v>0</v>
      </c>
      <c r="AY364" s="416">
        <v>0</v>
      </c>
      <c r="AZ364" s="416">
        <v>0</v>
      </c>
    </row>
    <row r="365" spans="1:52" x14ac:dyDescent="0.25">
      <c r="A365" s="415" t="str">
        <f t="shared" si="5"/>
        <v>SA-249 Gr.TP304L</v>
      </c>
      <c r="B365" s="415">
        <v>360</v>
      </c>
      <c r="C365" s="415" t="s">
        <v>3277</v>
      </c>
      <c r="D365" s="415" t="s">
        <v>2689</v>
      </c>
      <c r="E365" s="415" t="s">
        <v>2200</v>
      </c>
      <c r="F365" s="415" t="s">
        <v>2557</v>
      </c>
      <c r="G365" s="415" t="s">
        <v>3278</v>
      </c>
      <c r="H365" s="415">
        <v>0</v>
      </c>
      <c r="I365" s="415">
        <v>0</v>
      </c>
      <c r="J365" s="415">
        <v>8</v>
      </c>
      <c r="K365" s="415">
        <v>1</v>
      </c>
      <c r="L365" s="415">
        <v>17</v>
      </c>
      <c r="M365" s="415">
        <v>485</v>
      </c>
      <c r="N365" s="415">
        <v>170</v>
      </c>
      <c r="O365" s="415">
        <v>649</v>
      </c>
      <c r="P365" s="415" t="s">
        <v>3279</v>
      </c>
      <c r="Q365" s="415" t="s">
        <v>3612</v>
      </c>
      <c r="R365" s="415">
        <v>17</v>
      </c>
      <c r="S365" s="415">
        <v>115</v>
      </c>
      <c r="T365" s="416">
        <v>115</v>
      </c>
      <c r="U365" s="416">
        <v>115</v>
      </c>
      <c r="V365" s="416">
        <v>115</v>
      </c>
      <c r="W365" s="416">
        <v>115</v>
      </c>
      <c r="X365" s="416">
        <v>115</v>
      </c>
      <c r="Y365" s="416">
        <v>114</v>
      </c>
      <c r="Z365" s="416">
        <v>110</v>
      </c>
      <c r="AA365" s="416">
        <v>106</v>
      </c>
      <c r="AB365" s="416">
        <v>103</v>
      </c>
      <c r="AC365" s="416">
        <v>99.9</v>
      </c>
      <c r="AD365" s="416">
        <v>97.7</v>
      </c>
      <c r="AE365" s="416">
        <v>95.7</v>
      </c>
      <c r="AF365" s="416">
        <v>94.1</v>
      </c>
      <c r="AG365" s="416">
        <v>92.6</v>
      </c>
      <c r="AH365" s="416">
        <v>91.3</v>
      </c>
      <c r="AI365" s="416">
        <v>90</v>
      </c>
      <c r="AJ365" s="416">
        <v>88.7</v>
      </c>
      <c r="AK365" s="416">
        <v>87.3</v>
      </c>
      <c r="AL365" s="416">
        <v>17</v>
      </c>
      <c r="AM365" s="416">
        <v>85.6</v>
      </c>
      <c r="AN365" s="416">
        <v>83.7</v>
      </c>
      <c r="AO365" s="416">
        <v>81.400000000000006</v>
      </c>
      <c r="AP365" s="416">
        <v>40.4</v>
      </c>
      <c r="AQ365" s="416">
        <v>33.200000000000003</v>
      </c>
      <c r="AR365" s="416">
        <v>26.7</v>
      </c>
      <c r="AS365" s="416">
        <v>21.9</v>
      </c>
      <c r="AT365" s="416">
        <v>0</v>
      </c>
      <c r="AU365" s="416">
        <v>0</v>
      </c>
      <c r="AV365" s="416">
        <v>0</v>
      </c>
      <c r="AW365" s="416">
        <v>0</v>
      </c>
      <c r="AX365" s="416">
        <v>0</v>
      </c>
      <c r="AY365" s="416">
        <v>0</v>
      </c>
      <c r="AZ365" s="416">
        <v>0</v>
      </c>
    </row>
    <row r="366" spans="1:52" x14ac:dyDescent="0.25">
      <c r="A366" s="415" t="str">
        <f t="shared" si="5"/>
        <v>SA-312 Gr.TP304L</v>
      </c>
      <c r="B366" s="415">
        <v>361</v>
      </c>
      <c r="C366" s="415" t="s">
        <v>3277</v>
      </c>
      <c r="D366" s="415" t="s">
        <v>2703</v>
      </c>
      <c r="E366" s="415" t="s">
        <v>2208</v>
      </c>
      <c r="F366" s="415" t="s">
        <v>2557</v>
      </c>
      <c r="G366" s="415" t="s">
        <v>3278</v>
      </c>
      <c r="H366" s="415">
        <v>0</v>
      </c>
      <c r="I366" s="415">
        <v>0</v>
      </c>
      <c r="J366" s="415">
        <v>8</v>
      </c>
      <c r="K366" s="415">
        <v>1</v>
      </c>
      <c r="L366" s="415">
        <v>18</v>
      </c>
      <c r="M366" s="415">
        <v>485</v>
      </c>
      <c r="N366" s="415">
        <v>170</v>
      </c>
      <c r="O366" s="415">
        <v>649</v>
      </c>
      <c r="P366" s="415" t="s">
        <v>3279</v>
      </c>
      <c r="Q366" s="415" t="s">
        <v>3607</v>
      </c>
      <c r="R366" s="415">
        <v>18</v>
      </c>
      <c r="S366" s="415">
        <v>115</v>
      </c>
      <c r="T366" s="416">
        <v>115</v>
      </c>
      <c r="U366" s="416">
        <v>115</v>
      </c>
      <c r="V366" s="416">
        <v>115</v>
      </c>
      <c r="W366" s="416">
        <v>115</v>
      </c>
      <c r="X366" s="416">
        <v>115</v>
      </c>
      <c r="Y366" s="416">
        <v>114</v>
      </c>
      <c r="Z366" s="416">
        <v>110</v>
      </c>
      <c r="AA366" s="416">
        <v>106</v>
      </c>
      <c r="AB366" s="416">
        <v>103</v>
      </c>
      <c r="AC366" s="416">
        <v>99.9</v>
      </c>
      <c r="AD366" s="416">
        <v>97.7</v>
      </c>
      <c r="AE366" s="416">
        <v>95.7</v>
      </c>
      <c r="AF366" s="416">
        <v>94.1</v>
      </c>
      <c r="AG366" s="416">
        <v>92.6</v>
      </c>
      <c r="AH366" s="416">
        <v>91.3</v>
      </c>
      <c r="AI366" s="416">
        <v>90</v>
      </c>
      <c r="AJ366" s="416">
        <v>88.7</v>
      </c>
      <c r="AK366" s="416">
        <v>87.3</v>
      </c>
      <c r="AL366" s="416">
        <v>18</v>
      </c>
      <c r="AM366" s="416">
        <v>85.6</v>
      </c>
      <c r="AN366" s="416">
        <v>83.7</v>
      </c>
      <c r="AO366" s="416">
        <v>81.400000000000006</v>
      </c>
      <c r="AP366" s="416">
        <v>40.4</v>
      </c>
      <c r="AQ366" s="416">
        <v>33.200000000000003</v>
      </c>
      <c r="AR366" s="416">
        <v>26.7</v>
      </c>
      <c r="AS366" s="416">
        <v>21.9</v>
      </c>
      <c r="AT366" s="416">
        <v>0</v>
      </c>
      <c r="AU366" s="416">
        <v>0</v>
      </c>
      <c r="AV366" s="416">
        <v>0</v>
      </c>
      <c r="AW366" s="416">
        <v>0</v>
      </c>
      <c r="AX366" s="416">
        <v>0</v>
      </c>
      <c r="AY366" s="416">
        <v>0</v>
      </c>
      <c r="AZ366" s="416">
        <v>0</v>
      </c>
    </row>
    <row r="367" spans="1:52" x14ac:dyDescent="0.25">
      <c r="A367" s="415" t="str">
        <f t="shared" si="5"/>
        <v>SA-312 Gr.TP304L</v>
      </c>
      <c r="B367" s="415">
        <v>362</v>
      </c>
      <c r="C367" s="415" t="s">
        <v>3277</v>
      </c>
      <c r="D367" s="415" t="s">
        <v>2680</v>
      </c>
      <c r="E367" s="415" t="s">
        <v>2208</v>
      </c>
      <c r="F367" s="415" t="s">
        <v>2557</v>
      </c>
      <c r="G367" s="415" t="s">
        <v>3278</v>
      </c>
      <c r="H367" s="415">
        <v>0</v>
      </c>
      <c r="I367" s="415">
        <v>0</v>
      </c>
      <c r="J367" s="415">
        <v>8</v>
      </c>
      <c r="K367" s="415">
        <v>1</v>
      </c>
      <c r="L367" s="415">
        <v>19</v>
      </c>
      <c r="M367" s="415">
        <v>485</v>
      </c>
      <c r="N367" s="415">
        <v>170</v>
      </c>
      <c r="O367" s="415">
        <v>649</v>
      </c>
      <c r="P367" s="415" t="s">
        <v>3279</v>
      </c>
      <c r="Q367" s="415" t="s">
        <v>3612</v>
      </c>
      <c r="R367" s="415">
        <v>19</v>
      </c>
      <c r="S367" s="415">
        <v>97.7</v>
      </c>
      <c r="T367" s="416">
        <v>97.7</v>
      </c>
      <c r="U367" s="416">
        <v>97.7</v>
      </c>
      <c r="V367" s="416">
        <v>97.7</v>
      </c>
      <c r="W367" s="416">
        <v>97.7</v>
      </c>
      <c r="X367" s="416">
        <v>97.7</v>
      </c>
      <c r="Y367" s="416">
        <v>96.8</v>
      </c>
      <c r="Z367" s="416">
        <v>93.1</v>
      </c>
      <c r="AA367" s="416">
        <v>90</v>
      </c>
      <c r="AB367" s="416">
        <v>87.2</v>
      </c>
      <c r="AC367" s="416">
        <v>85</v>
      </c>
      <c r="AD367" s="416">
        <v>83</v>
      </c>
      <c r="AE367" s="416">
        <v>81.400000000000006</v>
      </c>
      <c r="AF367" s="416">
        <v>80</v>
      </c>
      <c r="AG367" s="416">
        <v>78.7</v>
      </c>
      <c r="AH367" s="416">
        <v>77.599999999999994</v>
      </c>
      <c r="AI367" s="416">
        <v>76.5</v>
      </c>
      <c r="AJ367" s="416">
        <v>75.400000000000006</v>
      </c>
      <c r="AK367" s="416">
        <v>74.2</v>
      </c>
      <c r="AL367" s="416">
        <v>19</v>
      </c>
      <c r="AM367" s="416">
        <v>72.8</v>
      </c>
      <c r="AN367" s="416">
        <v>71.099999999999994</v>
      </c>
      <c r="AO367" s="416">
        <v>69.2</v>
      </c>
      <c r="AP367" s="416">
        <v>34.4</v>
      </c>
      <c r="AQ367" s="416">
        <v>28.2</v>
      </c>
      <c r="AR367" s="416">
        <v>22.7</v>
      </c>
      <c r="AS367" s="416">
        <v>18.600000000000001</v>
      </c>
      <c r="AT367" s="416">
        <v>0</v>
      </c>
      <c r="AU367" s="416">
        <v>0</v>
      </c>
      <c r="AV367" s="416">
        <v>0</v>
      </c>
      <c r="AW367" s="416">
        <v>0</v>
      </c>
      <c r="AX367" s="416">
        <v>0</v>
      </c>
      <c r="AY367" s="416">
        <v>0</v>
      </c>
      <c r="AZ367" s="416">
        <v>0</v>
      </c>
    </row>
    <row r="368" spans="1:52" x14ac:dyDescent="0.25">
      <c r="A368" s="415" t="str">
        <f t="shared" si="5"/>
        <v>SA-403 Gr.304L</v>
      </c>
      <c r="B368" s="415">
        <v>363</v>
      </c>
      <c r="C368" s="415" t="s">
        <v>3277</v>
      </c>
      <c r="D368" s="415" t="s">
        <v>913</v>
      </c>
      <c r="E368" s="415" t="s">
        <v>2229</v>
      </c>
      <c r="F368" s="415" t="s">
        <v>2246</v>
      </c>
      <c r="G368" s="415" t="s">
        <v>3278</v>
      </c>
      <c r="H368" s="415" t="s">
        <v>3381</v>
      </c>
      <c r="I368" s="415">
        <v>0</v>
      </c>
      <c r="J368" s="415">
        <v>8</v>
      </c>
      <c r="K368" s="415">
        <v>1</v>
      </c>
      <c r="L368" s="415">
        <v>20</v>
      </c>
      <c r="M368" s="415">
        <v>485</v>
      </c>
      <c r="N368" s="415">
        <v>170</v>
      </c>
      <c r="O368" s="415">
        <v>649</v>
      </c>
      <c r="P368" s="415" t="s">
        <v>3279</v>
      </c>
      <c r="Q368" s="415" t="s">
        <v>3607</v>
      </c>
      <c r="R368" s="415">
        <v>20</v>
      </c>
      <c r="S368" s="415">
        <v>115</v>
      </c>
      <c r="T368" s="416">
        <v>115</v>
      </c>
      <c r="U368" s="416">
        <v>115</v>
      </c>
      <c r="V368" s="416">
        <v>115</v>
      </c>
      <c r="W368" s="416">
        <v>115</v>
      </c>
      <c r="X368" s="416">
        <v>115</v>
      </c>
      <c r="Y368" s="416">
        <v>114</v>
      </c>
      <c r="Z368" s="416">
        <v>110</v>
      </c>
      <c r="AA368" s="416">
        <v>106</v>
      </c>
      <c r="AB368" s="416">
        <v>103</v>
      </c>
      <c r="AC368" s="416">
        <v>99.9</v>
      </c>
      <c r="AD368" s="416">
        <v>97.7</v>
      </c>
      <c r="AE368" s="416">
        <v>95.7</v>
      </c>
      <c r="AF368" s="416">
        <v>94.1</v>
      </c>
      <c r="AG368" s="416">
        <v>92.6</v>
      </c>
      <c r="AH368" s="416">
        <v>91.3</v>
      </c>
      <c r="AI368" s="416">
        <v>90</v>
      </c>
      <c r="AJ368" s="416">
        <v>88.7</v>
      </c>
      <c r="AK368" s="416">
        <v>87.3</v>
      </c>
      <c r="AL368" s="416">
        <v>20</v>
      </c>
      <c r="AM368" s="416">
        <v>85.6</v>
      </c>
      <c r="AN368" s="416">
        <v>83.7</v>
      </c>
      <c r="AO368" s="416">
        <v>81.400000000000006</v>
      </c>
      <c r="AP368" s="416">
        <v>40.4</v>
      </c>
      <c r="AQ368" s="416">
        <v>33.200000000000003</v>
      </c>
      <c r="AR368" s="416">
        <v>26.7</v>
      </c>
      <c r="AS368" s="416">
        <v>21.9</v>
      </c>
      <c r="AT368" s="416">
        <v>0</v>
      </c>
      <c r="AU368" s="416">
        <v>0</v>
      </c>
      <c r="AV368" s="416">
        <v>0</v>
      </c>
      <c r="AW368" s="416">
        <v>0</v>
      </c>
      <c r="AX368" s="416">
        <v>0</v>
      </c>
      <c r="AY368" s="416">
        <v>0</v>
      </c>
      <c r="AZ368" s="416">
        <v>0</v>
      </c>
    </row>
    <row r="369" spans="1:52" x14ac:dyDescent="0.25">
      <c r="A369" s="415" t="str">
        <f t="shared" si="5"/>
        <v>SA-688 Gr.TP304L</v>
      </c>
      <c r="B369" s="415">
        <v>364</v>
      </c>
      <c r="C369" s="415" t="s">
        <v>3277</v>
      </c>
      <c r="D369" s="415" t="s">
        <v>2689</v>
      </c>
      <c r="E369" s="415" t="s">
        <v>2301</v>
      </c>
      <c r="F369" s="415" t="s">
        <v>2557</v>
      </c>
      <c r="G369" s="415" t="s">
        <v>3278</v>
      </c>
      <c r="H369" s="415">
        <v>0</v>
      </c>
      <c r="I369" s="415">
        <v>0</v>
      </c>
      <c r="J369" s="415">
        <v>8</v>
      </c>
      <c r="K369" s="415">
        <v>1</v>
      </c>
      <c r="L369" s="415">
        <v>21</v>
      </c>
      <c r="M369" s="415">
        <v>485</v>
      </c>
      <c r="N369" s="415">
        <v>175</v>
      </c>
      <c r="O369" s="415">
        <v>649</v>
      </c>
      <c r="P369" s="415" t="s">
        <v>3279</v>
      </c>
      <c r="Q369" s="415" t="s">
        <v>3612</v>
      </c>
      <c r="R369" s="415">
        <v>21</v>
      </c>
      <c r="S369" s="415">
        <v>97.7</v>
      </c>
      <c r="T369" s="416">
        <v>97.7</v>
      </c>
      <c r="U369" s="416">
        <v>97.7</v>
      </c>
      <c r="V369" s="416">
        <v>97.7</v>
      </c>
      <c r="W369" s="416">
        <v>97.7</v>
      </c>
      <c r="X369" s="416">
        <v>97.7</v>
      </c>
      <c r="Y369" s="416">
        <v>96.8</v>
      </c>
      <c r="Z369" s="416">
        <v>93.1</v>
      </c>
      <c r="AA369" s="416">
        <v>90</v>
      </c>
      <c r="AB369" s="416">
        <v>87.2</v>
      </c>
      <c r="AC369" s="416">
        <v>85</v>
      </c>
      <c r="AD369" s="416">
        <v>83</v>
      </c>
      <c r="AE369" s="416">
        <v>81.400000000000006</v>
      </c>
      <c r="AF369" s="416">
        <v>80</v>
      </c>
      <c r="AG369" s="416">
        <v>78.7</v>
      </c>
      <c r="AH369" s="416">
        <v>77.599999999999994</v>
      </c>
      <c r="AI369" s="416">
        <v>76.5</v>
      </c>
      <c r="AJ369" s="416">
        <v>75.400000000000006</v>
      </c>
      <c r="AK369" s="416">
        <v>74.2</v>
      </c>
      <c r="AL369" s="416">
        <v>21</v>
      </c>
      <c r="AM369" s="416">
        <v>72.8</v>
      </c>
      <c r="AN369" s="416">
        <v>71.099999999999994</v>
      </c>
      <c r="AO369" s="416">
        <v>69.2</v>
      </c>
      <c r="AP369" s="416">
        <v>34.4</v>
      </c>
      <c r="AQ369" s="416">
        <v>28.2</v>
      </c>
      <c r="AR369" s="416">
        <v>22.7</v>
      </c>
      <c r="AS369" s="416">
        <v>18.600000000000001</v>
      </c>
      <c r="AT369" s="416">
        <v>0</v>
      </c>
      <c r="AU369" s="416">
        <v>0</v>
      </c>
      <c r="AV369" s="416">
        <v>0</v>
      </c>
      <c r="AW369" s="416">
        <v>0</v>
      </c>
      <c r="AX369" s="416">
        <v>0</v>
      </c>
      <c r="AY369" s="416">
        <v>0</v>
      </c>
      <c r="AZ369" s="416">
        <v>0</v>
      </c>
    </row>
    <row r="370" spans="1:52" x14ac:dyDescent="0.25">
      <c r="A370" s="415" t="str">
        <f t="shared" si="5"/>
        <v>SA-351 Gr.CF3</v>
      </c>
      <c r="B370" s="415">
        <v>365</v>
      </c>
      <c r="C370" s="415" t="s">
        <v>3277</v>
      </c>
      <c r="D370" s="415" t="s">
        <v>2739</v>
      </c>
      <c r="E370" s="415" t="s">
        <v>2213</v>
      </c>
      <c r="F370" s="415" t="s">
        <v>2372</v>
      </c>
      <c r="G370" s="415" t="s">
        <v>3294</v>
      </c>
      <c r="H370" s="415">
        <v>0</v>
      </c>
      <c r="I370" s="415">
        <v>0</v>
      </c>
      <c r="J370" s="415">
        <v>8</v>
      </c>
      <c r="K370" s="415">
        <v>1</v>
      </c>
      <c r="L370" s="415">
        <v>22</v>
      </c>
      <c r="M370" s="415">
        <v>485</v>
      </c>
      <c r="N370" s="415">
        <v>205</v>
      </c>
      <c r="O370" s="415">
        <v>427</v>
      </c>
      <c r="P370" s="415" t="s">
        <v>3279</v>
      </c>
      <c r="Q370" s="415" t="s">
        <v>3618</v>
      </c>
      <c r="R370" s="415">
        <v>22</v>
      </c>
      <c r="S370" s="415">
        <v>138</v>
      </c>
      <c r="T370" s="416">
        <v>138</v>
      </c>
      <c r="U370" s="416">
        <v>138</v>
      </c>
      <c r="V370" s="416">
        <v>138</v>
      </c>
      <c r="W370" s="416">
        <v>138</v>
      </c>
      <c r="X370" s="416">
        <v>138</v>
      </c>
      <c r="Y370" s="416">
        <v>134</v>
      </c>
      <c r="Z370" s="416">
        <v>129</v>
      </c>
      <c r="AA370" s="416">
        <v>125</v>
      </c>
      <c r="AB370" s="416">
        <v>122</v>
      </c>
      <c r="AC370" s="416">
        <v>119</v>
      </c>
      <c r="AD370" s="416">
        <v>116</v>
      </c>
      <c r="AE370" s="416">
        <v>113</v>
      </c>
      <c r="AF370" s="416">
        <v>111</v>
      </c>
      <c r="AG370" s="416">
        <v>109</v>
      </c>
      <c r="AH370" s="416">
        <v>107</v>
      </c>
      <c r="AI370" s="416">
        <v>105</v>
      </c>
      <c r="AJ370" s="416">
        <v>103</v>
      </c>
      <c r="AK370" s="416">
        <v>0</v>
      </c>
      <c r="AL370" s="416">
        <v>22</v>
      </c>
      <c r="AM370" s="416">
        <v>0</v>
      </c>
      <c r="AN370" s="416">
        <v>0</v>
      </c>
      <c r="AO370" s="416">
        <v>0</v>
      </c>
      <c r="AP370" s="416">
        <v>0</v>
      </c>
      <c r="AQ370" s="416">
        <v>0</v>
      </c>
      <c r="AR370" s="416">
        <v>0</v>
      </c>
      <c r="AS370" s="416">
        <v>0</v>
      </c>
      <c r="AT370" s="416">
        <v>0</v>
      </c>
      <c r="AU370" s="416">
        <v>0</v>
      </c>
      <c r="AV370" s="416">
        <v>0</v>
      </c>
      <c r="AW370" s="416">
        <v>0</v>
      </c>
      <c r="AX370" s="416">
        <v>0</v>
      </c>
      <c r="AY370" s="416">
        <v>0</v>
      </c>
      <c r="AZ370" s="416">
        <v>0</v>
      </c>
    </row>
    <row r="371" spans="1:52" x14ac:dyDescent="0.25">
      <c r="A371" s="415" t="str">
        <f t="shared" si="5"/>
        <v>SA-351 Gr.CF10</v>
      </c>
      <c r="B371" s="415">
        <v>366</v>
      </c>
      <c r="C371" s="415" t="s">
        <v>3277</v>
      </c>
      <c r="D371" s="415" t="s">
        <v>2739</v>
      </c>
      <c r="E371" s="415" t="s">
        <v>2213</v>
      </c>
      <c r="F371" s="415" t="s">
        <v>2370</v>
      </c>
      <c r="G371" s="415" t="s">
        <v>3388</v>
      </c>
      <c r="H371" s="415">
        <v>0</v>
      </c>
      <c r="I371" s="415">
        <v>0</v>
      </c>
      <c r="J371" s="415">
        <v>8</v>
      </c>
      <c r="K371" s="415">
        <v>1</v>
      </c>
      <c r="L371" s="415">
        <v>23</v>
      </c>
      <c r="M371" s="415">
        <v>485</v>
      </c>
      <c r="N371" s="415">
        <v>205</v>
      </c>
      <c r="O371" s="415">
        <v>816</v>
      </c>
      <c r="P371" s="415" t="s">
        <v>3279</v>
      </c>
      <c r="Q371" s="415" t="s">
        <v>3619</v>
      </c>
      <c r="R371" s="415">
        <v>23</v>
      </c>
      <c r="S371" s="415">
        <v>138</v>
      </c>
      <c r="T371" s="416">
        <v>138</v>
      </c>
      <c r="U371" s="416">
        <v>138</v>
      </c>
      <c r="V371" s="416">
        <v>138</v>
      </c>
      <c r="W371" s="416">
        <v>138</v>
      </c>
      <c r="X371" s="416">
        <v>138</v>
      </c>
      <c r="Y371" s="416">
        <v>134</v>
      </c>
      <c r="Z371" s="416">
        <v>129</v>
      </c>
      <c r="AA371" s="416">
        <v>125</v>
      </c>
      <c r="AB371" s="416">
        <v>122</v>
      </c>
      <c r="AC371" s="416">
        <v>119</v>
      </c>
      <c r="AD371" s="416">
        <v>116</v>
      </c>
      <c r="AE371" s="416">
        <v>113</v>
      </c>
      <c r="AF371" s="416">
        <v>111</v>
      </c>
      <c r="AG371" s="416">
        <v>109</v>
      </c>
      <c r="AH371" s="416">
        <v>107</v>
      </c>
      <c r="AI371" s="416">
        <v>105</v>
      </c>
      <c r="AJ371" s="416">
        <v>103</v>
      </c>
      <c r="AK371" s="416">
        <v>101</v>
      </c>
      <c r="AL371" s="416">
        <v>23</v>
      </c>
      <c r="AM371" s="416">
        <v>99.1</v>
      </c>
      <c r="AN371" s="416">
        <v>94.4</v>
      </c>
      <c r="AO371" s="416">
        <v>75.3</v>
      </c>
      <c r="AP371" s="416">
        <v>60.4</v>
      </c>
      <c r="AQ371" s="416">
        <v>49</v>
      </c>
      <c r="AR371" s="416">
        <v>40.1</v>
      </c>
      <c r="AS371" s="416">
        <v>32.799999999999997</v>
      </c>
      <c r="AT371" s="416">
        <v>27.2</v>
      </c>
      <c r="AU371" s="416">
        <v>23.4</v>
      </c>
      <c r="AV371" s="416">
        <v>19.600000000000001</v>
      </c>
      <c r="AW371" s="416">
        <v>16.8</v>
      </c>
      <c r="AX371" s="416">
        <v>14.7</v>
      </c>
      <c r="AY371" s="416">
        <v>12.8</v>
      </c>
      <c r="AZ371" s="416">
        <v>11.1</v>
      </c>
    </row>
    <row r="372" spans="1:52" x14ac:dyDescent="0.25">
      <c r="A372" s="415" t="str">
        <f t="shared" si="5"/>
        <v>SA-351 Gr.CF8</v>
      </c>
      <c r="B372" s="415">
        <v>367</v>
      </c>
      <c r="C372" s="415" t="s">
        <v>3277</v>
      </c>
      <c r="D372" s="415" t="s">
        <v>2739</v>
      </c>
      <c r="E372" s="415" t="s">
        <v>2213</v>
      </c>
      <c r="F372" s="415" t="s">
        <v>2375</v>
      </c>
      <c r="G372" s="415" t="s">
        <v>3295</v>
      </c>
      <c r="H372" s="415">
        <v>0</v>
      </c>
      <c r="I372" s="415">
        <v>0</v>
      </c>
      <c r="J372" s="415">
        <v>8</v>
      </c>
      <c r="K372" s="415">
        <v>1</v>
      </c>
      <c r="L372" s="415">
        <v>24</v>
      </c>
      <c r="M372" s="415">
        <v>485</v>
      </c>
      <c r="N372" s="415">
        <v>205</v>
      </c>
      <c r="O372" s="415">
        <v>816</v>
      </c>
      <c r="P372" s="415" t="s">
        <v>3269</v>
      </c>
      <c r="Q372" s="415" t="s">
        <v>3620</v>
      </c>
      <c r="R372" s="415">
        <v>24</v>
      </c>
      <c r="S372" s="415">
        <v>138</v>
      </c>
      <c r="T372" s="416">
        <v>138</v>
      </c>
      <c r="U372" s="416">
        <v>138</v>
      </c>
      <c r="V372" s="416">
        <v>138</v>
      </c>
      <c r="W372" s="416">
        <v>138</v>
      </c>
      <c r="X372" s="416">
        <v>138</v>
      </c>
      <c r="Y372" s="416">
        <v>134</v>
      </c>
      <c r="Z372" s="416">
        <v>129</v>
      </c>
      <c r="AA372" s="416">
        <v>125</v>
      </c>
      <c r="AB372" s="416">
        <v>122</v>
      </c>
      <c r="AC372" s="416">
        <v>119</v>
      </c>
      <c r="AD372" s="416">
        <v>116</v>
      </c>
      <c r="AE372" s="416">
        <v>113</v>
      </c>
      <c r="AF372" s="416">
        <v>111</v>
      </c>
      <c r="AG372" s="416">
        <v>109</v>
      </c>
      <c r="AH372" s="416">
        <v>107</v>
      </c>
      <c r="AI372" s="416">
        <v>105</v>
      </c>
      <c r="AJ372" s="416">
        <v>103</v>
      </c>
      <c r="AK372" s="416">
        <v>101</v>
      </c>
      <c r="AL372" s="416">
        <v>24</v>
      </c>
      <c r="AM372" s="416">
        <v>99.1</v>
      </c>
      <c r="AN372" s="416">
        <v>94.4</v>
      </c>
      <c r="AO372" s="416">
        <v>75.3</v>
      </c>
      <c r="AP372" s="416">
        <v>60.4</v>
      </c>
      <c r="AQ372" s="416">
        <v>49</v>
      </c>
      <c r="AR372" s="416">
        <v>40.1</v>
      </c>
      <c r="AS372" s="416">
        <v>32.799999999999997</v>
      </c>
      <c r="AT372" s="416">
        <v>27.2</v>
      </c>
      <c r="AU372" s="416">
        <v>23.4</v>
      </c>
      <c r="AV372" s="416">
        <v>19.600000000000001</v>
      </c>
      <c r="AW372" s="416">
        <v>16.8</v>
      </c>
      <c r="AX372" s="416">
        <v>14.7</v>
      </c>
      <c r="AY372" s="416">
        <v>12.8</v>
      </c>
      <c r="AZ372" s="416">
        <v>11.1</v>
      </c>
    </row>
    <row r="373" spans="1:52" x14ac:dyDescent="0.25">
      <c r="A373" s="415" t="str">
        <f t="shared" si="5"/>
        <v>SA-182 Gr.F304</v>
      </c>
      <c r="B373" s="415">
        <v>368</v>
      </c>
      <c r="C373" s="415" t="s">
        <v>3277</v>
      </c>
      <c r="D373" s="415" t="s">
        <v>2737</v>
      </c>
      <c r="E373" s="415" t="s">
        <v>2188</v>
      </c>
      <c r="F373" s="415" t="s">
        <v>2432</v>
      </c>
      <c r="G373" s="415" t="s">
        <v>3290</v>
      </c>
      <c r="H373" s="415">
        <v>0</v>
      </c>
      <c r="I373" s="415" t="s">
        <v>3603</v>
      </c>
      <c r="J373" s="415">
        <v>8</v>
      </c>
      <c r="K373" s="415">
        <v>1</v>
      </c>
      <c r="L373" s="415">
        <v>25</v>
      </c>
      <c r="M373" s="415">
        <v>485</v>
      </c>
      <c r="N373" s="415">
        <v>205</v>
      </c>
      <c r="O373" s="415">
        <v>816</v>
      </c>
      <c r="P373" s="415" t="s">
        <v>3269</v>
      </c>
      <c r="Q373" s="415" t="s">
        <v>3609</v>
      </c>
      <c r="R373" s="415">
        <v>25</v>
      </c>
      <c r="S373" s="415">
        <v>138</v>
      </c>
      <c r="T373" s="416">
        <v>138</v>
      </c>
      <c r="U373" s="416">
        <v>138</v>
      </c>
      <c r="V373" s="416">
        <v>138</v>
      </c>
      <c r="W373" s="416">
        <v>138</v>
      </c>
      <c r="X373" s="416">
        <v>138</v>
      </c>
      <c r="Y373" s="416">
        <v>134</v>
      </c>
      <c r="Z373" s="416">
        <v>129</v>
      </c>
      <c r="AA373" s="416">
        <v>125</v>
      </c>
      <c r="AB373" s="416">
        <v>122</v>
      </c>
      <c r="AC373" s="416">
        <v>119</v>
      </c>
      <c r="AD373" s="416">
        <v>116</v>
      </c>
      <c r="AE373" s="416">
        <v>113</v>
      </c>
      <c r="AF373" s="416">
        <v>111</v>
      </c>
      <c r="AG373" s="416">
        <v>109</v>
      </c>
      <c r="AH373" s="416">
        <v>107</v>
      </c>
      <c r="AI373" s="416">
        <v>105</v>
      </c>
      <c r="AJ373" s="416">
        <v>103</v>
      </c>
      <c r="AK373" s="416">
        <v>101</v>
      </c>
      <c r="AL373" s="416">
        <v>25</v>
      </c>
      <c r="AM373" s="416">
        <v>99.1</v>
      </c>
      <c r="AN373" s="416">
        <v>97.3</v>
      </c>
      <c r="AO373" s="416">
        <v>95.5</v>
      </c>
      <c r="AP373" s="416">
        <v>78.900000000000006</v>
      </c>
      <c r="AQ373" s="416">
        <v>63.8</v>
      </c>
      <c r="AR373" s="416">
        <v>51.6</v>
      </c>
      <c r="AS373" s="416">
        <v>41.6</v>
      </c>
      <c r="AT373" s="416">
        <v>32.9</v>
      </c>
      <c r="AU373" s="416">
        <v>26.5</v>
      </c>
      <c r="AV373" s="416">
        <v>21.3</v>
      </c>
      <c r="AW373" s="416">
        <v>17.2</v>
      </c>
      <c r="AX373" s="416">
        <v>14.1</v>
      </c>
      <c r="AY373" s="416">
        <v>11.2</v>
      </c>
      <c r="AZ373" s="416">
        <v>8.8000000000000007</v>
      </c>
    </row>
    <row r="374" spans="1:52" x14ac:dyDescent="0.25">
      <c r="A374" s="415" t="str">
        <f t="shared" si="5"/>
        <v>SA-965 Gr.F304</v>
      </c>
      <c r="B374" s="415">
        <v>369</v>
      </c>
      <c r="C374" s="415" t="s">
        <v>3277</v>
      </c>
      <c r="D374" s="415" t="s">
        <v>2737</v>
      </c>
      <c r="E374" s="415" t="s">
        <v>2337</v>
      </c>
      <c r="F374" s="415" t="s">
        <v>2432</v>
      </c>
      <c r="G374" s="415" t="s">
        <v>3290</v>
      </c>
      <c r="H374" s="415">
        <v>0</v>
      </c>
      <c r="I374" s="415">
        <v>0</v>
      </c>
      <c r="J374" s="415">
        <v>8</v>
      </c>
      <c r="K374" s="415">
        <v>1</v>
      </c>
      <c r="L374" s="415">
        <v>26</v>
      </c>
      <c r="M374" s="415">
        <v>485</v>
      </c>
      <c r="N374" s="415">
        <v>205</v>
      </c>
      <c r="O374" s="415">
        <v>816</v>
      </c>
      <c r="P374" s="415" t="s">
        <v>3269</v>
      </c>
      <c r="Q374" s="415" t="s">
        <v>3609</v>
      </c>
      <c r="R374" s="415">
        <v>26</v>
      </c>
      <c r="S374" s="415">
        <v>138</v>
      </c>
      <c r="T374" s="416">
        <v>138</v>
      </c>
      <c r="U374" s="416">
        <v>138</v>
      </c>
      <c r="V374" s="416">
        <v>138</v>
      </c>
      <c r="W374" s="416">
        <v>138</v>
      </c>
      <c r="X374" s="416">
        <v>138</v>
      </c>
      <c r="Y374" s="416">
        <v>134</v>
      </c>
      <c r="Z374" s="416">
        <v>129</v>
      </c>
      <c r="AA374" s="416">
        <v>125</v>
      </c>
      <c r="AB374" s="416">
        <v>122</v>
      </c>
      <c r="AC374" s="416">
        <v>119</v>
      </c>
      <c r="AD374" s="416">
        <v>116</v>
      </c>
      <c r="AE374" s="416">
        <v>113</v>
      </c>
      <c r="AF374" s="416">
        <v>111</v>
      </c>
      <c r="AG374" s="416">
        <v>109</v>
      </c>
      <c r="AH374" s="416">
        <v>107</v>
      </c>
      <c r="AI374" s="416">
        <v>105</v>
      </c>
      <c r="AJ374" s="416">
        <v>103</v>
      </c>
      <c r="AK374" s="416">
        <v>101</v>
      </c>
      <c r="AL374" s="416">
        <v>26</v>
      </c>
      <c r="AM374" s="416">
        <v>99.1</v>
      </c>
      <c r="AN374" s="416">
        <v>97.3</v>
      </c>
      <c r="AO374" s="416">
        <v>95.5</v>
      </c>
      <c r="AP374" s="416">
        <v>78.900000000000006</v>
      </c>
      <c r="AQ374" s="416">
        <v>63.8</v>
      </c>
      <c r="AR374" s="416">
        <v>51.6</v>
      </c>
      <c r="AS374" s="416">
        <v>41.6</v>
      </c>
      <c r="AT374" s="416">
        <v>32.9</v>
      </c>
      <c r="AU374" s="416">
        <v>26.5</v>
      </c>
      <c r="AV374" s="416">
        <v>21.3</v>
      </c>
      <c r="AW374" s="416">
        <v>17.2</v>
      </c>
      <c r="AX374" s="416">
        <v>14.1</v>
      </c>
      <c r="AY374" s="416">
        <v>11.2</v>
      </c>
      <c r="AZ374" s="416">
        <v>8.8000000000000007</v>
      </c>
    </row>
    <row r="375" spans="1:52" x14ac:dyDescent="0.25">
      <c r="A375" s="415" t="str">
        <f t="shared" si="5"/>
        <v>SA-182 Gr.F304H</v>
      </c>
      <c r="B375" s="415">
        <v>370</v>
      </c>
      <c r="C375" s="415" t="s">
        <v>3277</v>
      </c>
      <c r="D375" s="415" t="s">
        <v>2737</v>
      </c>
      <c r="E375" s="415" t="s">
        <v>2188</v>
      </c>
      <c r="F375" s="415" t="s">
        <v>2433</v>
      </c>
      <c r="G375" s="415" t="s">
        <v>3291</v>
      </c>
      <c r="H375" s="415">
        <v>0</v>
      </c>
      <c r="I375" s="415" t="s">
        <v>3603</v>
      </c>
      <c r="J375" s="415">
        <v>8</v>
      </c>
      <c r="K375" s="415">
        <v>1</v>
      </c>
      <c r="L375" s="415">
        <v>27</v>
      </c>
      <c r="M375" s="415">
        <v>485</v>
      </c>
      <c r="N375" s="415">
        <v>205</v>
      </c>
      <c r="O375" s="415">
        <v>816</v>
      </c>
      <c r="P375" s="415" t="s">
        <v>3269</v>
      </c>
      <c r="Q375" s="415" t="s">
        <v>3607</v>
      </c>
      <c r="R375" s="415">
        <v>27</v>
      </c>
      <c r="S375" s="415">
        <v>138</v>
      </c>
      <c r="T375" s="416">
        <v>138</v>
      </c>
      <c r="U375" s="416">
        <v>138</v>
      </c>
      <c r="V375" s="416">
        <v>138</v>
      </c>
      <c r="W375" s="416">
        <v>138</v>
      </c>
      <c r="X375" s="416">
        <v>138</v>
      </c>
      <c r="Y375" s="416">
        <v>134</v>
      </c>
      <c r="Z375" s="416">
        <v>129</v>
      </c>
      <c r="AA375" s="416">
        <v>125</v>
      </c>
      <c r="AB375" s="416">
        <v>122</v>
      </c>
      <c r="AC375" s="416">
        <v>119</v>
      </c>
      <c r="AD375" s="416">
        <v>116</v>
      </c>
      <c r="AE375" s="416">
        <v>113</v>
      </c>
      <c r="AF375" s="416">
        <v>111</v>
      </c>
      <c r="AG375" s="416">
        <v>109</v>
      </c>
      <c r="AH375" s="416">
        <v>107</v>
      </c>
      <c r="AI375" s="416">
        <v>105</v>
      </c>
      <c r="AJ375" s="416">
        <v>103</v>
      </c>
      <c r="AK375" s="416">
        <v>101</v>
      </c>
      <c r="AL375" s="416">
        <v>27</v>
      </c>
      <c r="AM375" s="416">
        <v>99.1</v>
      </c>
      <c r="AN375" s="416">
        <v>97.3</v>
      </c>
      <c r="AO375" s="416">
        <v>95.5</v>
      </c>
      <c r="AP375" s="416">
        <v>78.900000000000006</v>
      </c>
      <c r="AQ375" s="416">
        <v>63.8</v>
      </c>
      <c r="AR375" s="416">
        <v>51.6</v>
      </c>
      <c r="AS375" s="416">
        <v>41.6</v>
      </c>
      <c r="AT375" s="416">
        <v>32.9</v>
      </c>
      <c r="AU375" s="416">
        <v>26.5</v>
      </c>
      <c r="AV375" s="416">
        <v>21.3</v>
      </c>
      <c r="AW375" s="416">
        <v>17.2</v>
      </c>
      <c r="AX375" s="416">
        <v>14.1</v>
      </c>
      <c r="AY375" s="416">
        <v>11.2</v>
      </c>
      <c r="AZ375" s="416">
        <v>8.8000000000000007</v>
      </c>
    </row>
    <row r="376" spans="1:52" x14ac:dyDescent="0.25">
      <c r="A376" s="415" t="str">
        <f t="shared" si="5"/>
        <v>SA-965 Gr.F304H</v>
      </c>
      <c r="B376" s="415">
        <v>371</v>
      </c>
      <c r="C376" s="415" t="s">
        <v>3277</v>
      </c>
      <c r="D376" s="415" t="s">
        <v>2737</v>
      </c>
      <c r="E376" s="415" t="s">
        <v>2337</v>
      </c>
      <c r="F376" s="415" t="s">
        <v>2433</v>
      </c>
      <c r="G376" s="415" t="s">
        <v>3291</v>
      </c>
      <c r="H376" s="415">
        <v>0</v>
      </c>
      <c r="I376" s="415">
        <v>0</v>
      </c>
      <c r="J376" s="415">
        <v>8</v>
      </c>
      <c r="K376" s="415">
        <v>1</v>
      </c>
      <c r="L376" s="415">
        <v>28</v>
      </c>
      <c r="M376" s="415">
        <v>485</v>
      </c>
      <c r="N376" s="415">
        <v>205</v>
      </c>
      <c r="O376" s="415">
        <v>816</v>
      </c>
      <c r="P376" s="415" t="s">
        <v>3269</v>
      </c>
      <c r="Q376" s="415" t="s">
        <v>3607</v>
      </c>
      <c r="R376" s="415">
        <v>28</v>
      </c>
      <c r="S376" s="415">
        <v>138</v>
      </c>
      <c r="T376" s="416">
        <v>138</v>
      </c>
      <c r="U376" s="416">
        <v>138</v>
      </c>
      <c r="V376" s="416">
        <v>138</v>
      </c>
      <c r="W376" s="416">
        <v>138</v>
      </c>
      <c r="X376" s="416">
        <v>138</v>
      </c>
      <c r="Y376" s="416">
        <v>134</v>
      </c>
      <c r="Z376" s="416">
        <v>129</v>
      </c>
      <c r="AA376" s="416">
        <v>125</v>
      </c>
      <c r="AB376" s="416">
        <v>122</v>
      </c>
      <c r="AC376" s="416">
        <v>119</v>
      </c>
      <c r="AD376" s="416">
        <v>116</v>
      </c>
      <c r="AE376" s="416">
        <v>113</v>
      </c>
      <c r="AF376" s="416">
        <v>111</v>
      </c>
      <c r="AG376" s="416">
        <v>109</v>
      </c>
      <c r="AH376" s="416">
        <v>107</v>
      </c>
      <c r="AI376" s="416">
        <v>105</v>
      </c>
      <c r="AJ376" s="416">
        <v>103</v>
      </c>
      <c r="AK376" s="416">
        <v>101</v>
      </c>
      <c r="AL376" s="416">
        <v>28</v>
      </c>
      <c r="AM376" s="416">
        <v>99.1</v>
      </c>
      <c r="AN376" s="416">
        <v>97.3</v>
      </c>
      <c r="AO376" s="416">
        <v>95.5</v>
      </c>
      <c r="AP376" s="416">
        <v>78.900000000000006</v>
      </c>
      <c r="AQ376" s="416">
        <v>63.8</v>
      </c>
      <c r="AR376" s="416">
        <v>51.6</v>
      </c>
      <c r="AS376" s="416">
        <v>41.6</v>
      </c>
      <c r="AT376" s="416">
        <v>32.9</v>
      </c>
      <c r="AU376" s="416">
        <v>26.5</v>
      </c>
      <c r="AV376" s="416">
        <v>21.3</v>
      </c>
      <c r="AW376" s="416">
        <v>17.2</v>
      </c>
      <c r="AX376" s="416">
        <v>14.1</v>
      </c>
      <c r="AY376" s="416">
        <v>11.2</v>
      </c>
      <c r="AZ376" s="416">
        <v>8.8000000000000007</v>
      </c>
    </row>
    <row r="377" spans="1:52" x14ac:dyDescent="0.25">
      <c r="A377" s="415" t="str">
        <f t="shared" si="5"/>
        <v>SA-240 Gr.302</v>
      </c>
      <c r="B377" s="415">
        <v>372</v>
      </c>
      <c r="C377" s="415" t="s">
        <v>3277</v>
      </c>
      <c r="D377" s="415" t="s">
        <v>2684</v>
      </c>
      <c r="E377" s="415" t="s">
        <v>2165</v>
      </c>
      <c r="F377" s="415">
        <v>302</v>
      </c>
      <c r="G377" s="415" t="s">
        <v>3300</v>
      </c>
      <c r="H377" s="415">
        <v>0</v>
      </c>
      <c r="I377" s="415">
        <v>0</v>
      </c>
      <c r="J377" s="415">
        <v>8</v>
      </c>
      <c r="K377" s="415">
        <v>1</v>
      </c>
      <c r="L377" s="415">
        <v>29</v>
      </c>
      <c r="M377" s="415">
        <v>515</v>
      </c>
      <c r="N377" s="415">
        <v>205</v>
      </c>
      <c r="O377" s="415">
        <v>399</v>
      </c>
      <c r="P377" s="415" t="s">
        <v>3269</v>
      </c>
      <c r="Q377" s="415" t="s">
        <v>3621</v>
      </c>
      <c r="R377" s="415">
        <v>29</v>
      </c>
      <c r="S377" s="415">
        <v>138</v>
      </c>
      <c r="T377" s="416">
        <v>138</v>
      </c>
      <c r="U377" s="416">
        <v>138</v>
      </c>
      <c r="V377" s="416">
        <v>138</v>
      </c>
      <c r="W377" s="416">
        <v>138</v>
      </c>
      <c r="X377" s="416">
        <v>138</v>
      </c>
      <c r="Y377" s="416">
        <v>134</v>
      </c>
      <c r="Z377" s="416">
        <v>129</v>
      </c>
      <c r="AA377" s="416">
        <v>125</v>
      </c>
      <c r="AB377" s="416">
        <v>122</v>
      </c>
      <c r="AC377" s="416">
        <v>119</v>
      </c>
      <c r="AD377" s="416">
        <v>116</v>
      </c>
      <c r="AE377" s="416">
        <v>113</v>
      </c>
      <c r="AF377" s="416">
        <v>111</v>
      </c>
      <c r="AG377" s="416">
        <v>109</v>
      </c>
      <c r="AH377" s="416">
        <v>107</v>
      </c>
      <c r="AI377" s="416">
        <v>105</v>
      </c>
      <c r="AJ377" s="416">
        <v>0</v>
      </c>
      <c r="AK377" s="416">
        <v>0</v>
      </c>
      <c r="AL377" s="416">
        <v>29</v>
      </c>
      <c r="AM377" s="416">
        <v>0</v>
      </c>
      <c r="AN377" s="416">
        <v>0</v>
      </c>
      <c r="AO377" s="416">
        <v>0</v>
      </c>
      <c r="AP377" s="416">
        <v>0</v>
      </c>
      <c r="AQ377" s="416">
        <v>0</v>
      </c>
      <c r="AR377" s="416">
        <v>0</v>
      </c>
      <c r="AS377" s="416">
        <v>0</v>
      </c>
      <c r="AT377" s="416">
        <v>0</v>
      </c>
      <c r="AU377" s="416">
        <v>0</v>
      </c>
      <c r="AV377" s="416">
        <v>0</v>
      </c>
      <c r="AW377" s="416">
        <v>0</v>
      </c>
      <c r="AX377" s="416">
        <v>0</v>
      </c>
      <c r="AY377" s="416">
        <v>0</v>
      </c>
      <c r="AZ377" s="416">
        <v>0</v>
      </c>
    </row>
    <row r="378" spans="1:52" x14ac:dyDescent="0.25">
      <c r="A378" s="415" t="str">
        <f t="shared" si="5"/>
        <v>SA-182 Gr.F304</v>
      </c>
      <c r="B378" s="415">
        <v>373</v>
      </c>
      <c r="C378" s="415" t="s">
        <v>3277</v>
      </c>
      <c r="D378" s="415" t="s">
        <v>2737</v>
      </c>
      <c r="E378" s="415" t="s">
        <v>2188</v>
      </c>
      <c r="F378" s="415" t="s">
        <v>2432</v>
      </c>
      <c r="G378" s="415" t="s">
        <v>3290</v>
      </c>
      <c r="H378" s="415">
        <v>0</v>
      </c>
      <c r="I378" s="415" t="s">
        <v>3604</v>
      </c>
      <c r="J378" s="415">
        <v>8</v>
      </c>
      <c r="K378" s="415">
        <v>1</v>
      </c>
      <c r="L378" s="415">
        <v>30</v>
      </c>
      <c r="M378" s="415">
        <v>515</v>
      </c>
      <c r="N378" s="415">
        <v>205</v>
      </c>
      <c r="O378" s="415">
        <v>816</v>
      </c>
      <c r="P378" s="415" t="s">
        <v>3269</v>
      </c>
      <c r="Q378" s="415" t="s">
        <v>3609</v>
      </c>
      <c r="R378" s="415">
        <v>30</v>
      </c>
      <c r="S378" s="415">
        <v>138</v>
      </c>
      <c r="T378" s="416">
        <v>138</v>
      </c>
      <c r="U378" s="416">
        <v>138</v>
      </c>
      <c r="V378" s="416">
        <v>138</v>
      </c>
      <c r="W378" s="416">
        <v>138</v>
      </c>
      <c r="X378" s="416">
        <v>138</v>
      </c>
      <c r="Y378" s="416">
        <v>134</v>
      </c>
      <c r="Z378" s="416">
        <v>129</v>
      </c>
      <c r="AA378" s="416">
        <v>125</v>
      </c>
      <c r="AB378" s="416">
        <v>122</v>
      </c>
      <c r="AC378" s="416">
        <v>119</v>
      </c>
      <c r="AD378" s="416">
        <v>116</v>
      </c>
      <c r="AE378" s="416">
        <v>113</v>
      </c>
      <c r="AF378" s="416">
        <v>111</v>
      </c>
      <c r="AG378" s="416">
        <v>109</v>
      </c>
      <c r="AH378" s="416">
        <v>107</v>
      </c>
      <c r="AI378" s="416">
        <v>105</v>
      </c>
      <c r="AJ378" s="416">
        <v>103</v>
      </c>
      <c r="AK378" s="416">
        <v>101</v>
      </c>
      <c r="AL378" s="416">
        <v>30</v>
      </c>
      <c r="AM378" s="416">
        <v>99.1</v>
      </c>
      <c r="AN378" s="416">
        <v>97.3</v>
      </c>
      <c r="AO378" s="416">
        <v>95.5</v>
      </c>
      <c r="AP378" s="416">
        <v>78.900000000000006</v>
      </c>
      <c r="AQ378" s="416">
        <v>63.8</v>
      </c>
      <c r="AR378" s="416">
        <v>51.6</v>
      </c>
      <c r="AS378" s="416">
        <v>41.6</v>
      </c>
      <c r="AT378" s="416">
        <v>32.9</v>
      </c>
      <c r="AU378" s="416">
        <v>26.5</v>
      </c>
      <c r="AV378" s="416">
        <v>21.3</v>
      </c>
      <c r="AW378" s="416">
        <v>17.2</v>
      </c>
      <c r="AX378" s="416">
        <v>14.1</v>
      </c>
      <c r="AY378" s="416">
        <v>11.2</v>
      </c>
      <c r="AZ378" s="416">
        <v>8.8000000000000007</v>
      </c>
    </row>
    <row r="379" spans="1:52" x14ac:dyDescent="0.25">
      <c r="A379" s="415" t="str">
        <f t="shared" si="5"/>
        <v>SA-213 Gr.TP304</v>
      </c>
      <c r="B379" s="415">
        <v>374</v>
      </c>
      <c r="C379" s="415" t="s">
        <v>3277</v>
      </c>
      <c r="D379" s="415" t="s">
        <v>2693</v>
      </c>
      <c r="E379" s="415" t="s">
        <v>2195</v>
      </c>
      <c r="F379" s="415" t="s">
        <v>2555</v>
      </c>
      <c r="G379" s="415" t="s">
        <v>3290</v>
      </c>
      <c r="H379" s="415">
        <v>0</v>
      </c>
      <c r="I379" s="415">
        <v>0</v>
      </c>
      <c r="J379" s="415">
        <v>8</v>
      </c>
      <c r="K379" s="415">
        <v>1</v>
      </c>
      <c r="L379" s="415">
        <v>31</v>
      </c>
      <c r="M379" s="415">
        <v>515</v>
      </c>
      <c r="N379" s="415">
        <v>205</v>
      </c>
      <c r="O379" s="415">
        <v>816</v>
      </c>
      <c r="P379" s="415" t="s">
        <v>3269</v>
      </c>
      <c r="Q379" s="415" t="s">
        <v>3608</v>
      </c>
      <c r="R379" s="415">
        <v>31</v>
      </c>
      <c r="S379" s="415">
        <v>138</v>
      </c>
      <c r="T379" s="416">
        <v>138</v>
      </c>
      <c r="U379" s="416">
        <v>138</v>
      </c>
      <c r="V379" s="416">
        <v>138</v>
      </c>
      <c r="W379" s="416">
        <v>138</v>
      </c>
      <c r="X379" s="416">
        <v>138</v>
      </c>
      <c r="Y379" s="416">
        <v>134</v>
      </c>
      <c r="Z379" s="416">
        <v>129</v>
      </c>
      <c r="AA379" s="416">
        <v>125</v>
      </c>
      <c r="AB379" s="416">
        <v>122</v>
      </c>
      <c r="AC379" s="416">
        <v>119</v>
      </c>
      <c r="AD379" s="416">
        <v>116</v>
      </c>
      <c r="AE379" s="416">
        <v>113</v>
      </c>
      <c r="AF379" s="416">
        <v>111</v>
      </c>
      <c r="AG379" s="416">
        <v>109</v>
      </c>
      <c r="AH379" s="416">
        <v>107</v>
      </c>
      <c r="AI379" s="416">
        <v>105</v>
      </c>
      <c r="AJ379" s="416">
        <v>103</v>
      </c>
      <c r="AK379" s="416">
        <v>101</v>
      </c>
      <c r="AL379" s="416">
        <v>31</v>
      </c>
      <c r="AM379" s="416">
        <v>99.1</v>
      </c>
      <c r="AN379" s="416">
        <v>97.3</v>
      </c>
      <c r="AO379" s="416">
        <v>95.5</v>
      </c>
      <c r="AP379" s="416">
        <v>78.900000000000006</v>
      </c>
      <c r="AQ379" s="416">
        <v>63.8</v>
      </c>
      <c r="AR379" s="416">
        <v>51.6</v>
      </c>
      <c r="AS379" s="416">
        <v>41.6</v>
      </c>
      <c r="AT379" s="416">
        <v>32.9</v>
      </c>
      <c r="AU379" s="416">
        <v>26.5</v>
      </c>
      <c r="AV379" s="416">
        <v>21.3</v>
      </c>
      <c r="AW379" s="416">
        <v>17.2</v>
      </c>
      <c r="AX379" s="416">
        <v>14.1</v>
      </c>
      <c r="AY379" s="416">
        <v>11.2</v>
      </c>
      <c r="AZ379" s="416">
        <v>8.8000000000000007</v>
      </c>
    </row>
    <row r="380" spans="1:52" x14ac:dyDescent="0.25">
      <c r="A380" s="415" t="str">
        <f t="shared" si="5"/>
        <v>SA-240 Gr.304</v>
      </c>
      <c r="B380" s="415">
        <v>375</v>
      </c>
      <c r="C380" s="415" t="s">
        <v>3277</v>
      </c>
      <c r="D380" s="415" t="s">
        <v>2684</v>
      </c>
      <c r="E380" s="415" t="s">
        <v>2165</v>
      </c>
      <c r="F380" s="415">
        <v>304</v>
      </c>
      <c r="G380" s="415" t="s">
        <v>3290</v>
      </c>
      <c r="H380" s="415">
        <v>0</v>
      </c>
      <c r="I380" s="415">
        <v>0</v>
      </c>
      <c r="J380" s="415">
        <v>8</v>
      </c>
      <c r="K380" s="415">
        <v>1</v>
      </c>
      <c r="L380" s="415">
        <v>32</v>
      </c>
      <c r="M380" s="415">
        <v>515</v>
      </c>
      <c r="N380" s="415">
        <v>205</v>
      </c>
      <c r="O380" s="415">
        <v>816</v>
      </c>
      <c r="P380" s="415" t="s">
        <v>3269</v>
      </c>
      <c r="Q380" s="415" t="s">
        <v>3609</v>
      </c>
      <c r="R380" s="415">
        <v>32</v>
      </c>
      <c r="S380" s="415">
        <v>138</v>
      </c>
      <c r="T380" s="416">
        <v>138</v>
      </c>
      <c r="U380" s="416">
        <v>138</v>
      </c>
      <c r="V380" s="416">
        <v>138</v>
      </c>
      <c r="W380" s="416">
        <v>138</v>
      </c>
      <c r="X380" s="416">
        <v>138</v>
      </c>
      <c r="Y380" s="416">
        <v>134</v>
      </c>
      <c r="Z380" s="416">
        <v>129</v>
      </c>
      <c r="AA380" s="416">
        <v>125</v>
      </c>
      <c r="AB380" s="416">
        <v>122</v>
      </c>
      <c r="AC380" s="416">
        <v>119</v>
      </c>
      <c r="AD380" s="416">
        <v>116</v>
      </c>
      <c r="AE380" s="416">
        <v>113</v>
      </c>
      <c r="AF380" s="416">
        <v>111</v>
      </c>
      <c r="AG380" s="416">
        <v>109</v>
      </c>
      <c r="AH380" s="416">
        <v>107</v>
      </c>
      <c r="AI380" s="416">
        <v>105</v>
      </c>
      <c r="AJ380" s="416">
        <v>103</v>
      </c>
      <c r="AK380" s="416">
        <v>101</v>
      </c>
      <c r="AL380" s="416">
        <v>32</v>
      </c>
      <c r="AM380" s="416">
        <v>99.1</v>
      </c>
      <c r="AN380" s="416">
        <v>97.3</v>
      </c>
      <c r="AO380" s="416">
        <v>95.5</v>
      </c>
      <c r="AP380" s="416">
        <v>78.900000000000006</v>
      </c>
      <c r="AQ380" s="416">
        <v>63.8</v>
      </c>
      <c r="AR380" s="416">
        <v>51.6</v>
      </c>
      <c r="AS380" s="416">
        <v>41.6</v>
      </c>
      <c r="AT380" s="416">
        <v>32.9</v>
      </c>
      <c r="AU380" s="416">
        <v>26.5</v>
      </c>
      <c r="AV380" s="416">
        <v>21.3</v>
      </c>
      <c r="AW380" s="416">
        <v>17.2</v>
      </c>
      <c r="AX380" s="416">
        <v>14.1</v>
      </c>
      <c r="AY380" s="416">
        <v>11.2</v>
      </c>
      <c r="AZ380" s="416">
        <v>8.8000000000000007</v>
      </c>
    </row>
    <row r="381" spans="1:52" x14ac:dyDescent="0.25">
      <c r="A381" s="415" t="str">
        <f t="shared" si="5"/>
        <v>SA-249 Gr.TP304</v>
      </c>
      <c r="B381" s="415">
        <v>376</v>
      </c>
      <c r="C381" s="415" t="s">
        <v>3277</v>
      </c>
      <c r="D381" s="415" t="s">
        <v>2689</v>
      </c>
      <c r="E381" s="415" t="s">
        <v>2200</v>
      </c>
      <c r="F381" s="415" t="s">
        <v>2555</v>
      </c>
      <c r="G381" s="415" t="s">
        <v>3290</v>
      </c>
      <c r="H381" s="415">
        <v>0</v>
      </c>
      <c r="I381" s="415">
        <v>0</v>
      </c>
      <c r="J381" s="415">
        <v>8</v>
      </c>
      <c r="K381" s="415">
        <v>1</v>
      </c>
      <c r="L381" s="415">
        <v>33</v>
      </c>
      <c r="M381" s="415">
        <v>515</v>
      </c>
      <c r="N381" s="415">
        <v>205</v>
      </c>
      <c r="O381" s="415">
        <v>816</v>
      </c>
      <c r="P381" s="415" t="s">
        <v>3269</v>
      </c>
      <c r="Q381" s="415" t="s">
        <v>3610</v>
      </c>
      <c r="R381" s="415">
        <v>33</v>
      </c>
      <c r="S381" s="415">
        <v>117</v>
      </c>
      <c r="T381" s="416">
        <v>117</v>
      </c>
      <c r="U381" s="416">
        <v>117</v>
      </c>
      <c r="V381" s="416">
        <v>117</v>
      </c>
      <c r="W381" s="416">
        <v>117</v>
      </c>
      <c r="X381" s="416">
        <v>117</v>
      </c>
      <c r="Y381" s="416">
        <v>114</v>
      </c>
      <c r="Z381" s="416">
        <v>110</v>
      </c>
      <c r="AA381" s="416">
        <v>106</v>
      </c>
      <c r="AB381" s="416">
        <v>103</v>
      </c>
      <c r="AC381" s="416">
        <v>101</v>
      </c>
      <c r="AD381" s="416">
        <v>98.5</v>
      </c>
      <c r="AE381" s="416">
        <v>96.4</v>
      </c>
      <c r="AF381" s="416">
        <v>94.4</v>
      </c>
      <c r="AG381" s="416">
        <v>92.5</v>
      </c>
      <c r="AH381" s="416">
        <v>90.7</v>
      </c>
      <c r="AI381" s="416">
        <v>89</v>
      </c>
      <c r="AJ381" s="416">
        <v>87.4</v>
      </c>
      <c r="AK381" s="416">
        <v>85.8</v>
      </c>
      <c r="AL381" s="416">
        <v>33</v>
      </c>
      <c r="AM381" s="416">
        <v>84.3</v>
      </c>
      <c r="AN381" s="416">
        <v>82.7</v>
      </c>
      <c r="AO381" s="416">
        <v>81.2</v>
      </c>
      <c r="AP381" s="416">
        <v>67.099999999999994</v>
      </c>
      <c r="AQ381" s="416">
        <v>54.3</v>
      </c>
      <c r="AR381" s="416">
        <v>43.9</v>
      </c>
      <c r="AS381" s="416">
        <v>35.4</v>
      </c>
      <c r="AT381" s="416">
        <v>28</v>
      </c>
      <c r="AU381" s="416">
        <v>22.5</v>
      </c>
      <c r="AV381" s="416">
        <v>18.100000000000001</v>
      </c>
      <c r="AW381" s="416">
        <v>14.7</v>
      </c>
      <c r="AX381" s="416">
        <v>11.9</v>
      </c>
      <c r="AY381" s="416">
        <v>9.56</v>
      </c>
      <c r="AZ381" s="416">
        <v>7.48</v>
      </c>
    </row>
    <row r="382" spans="1:52" x14ac:dyDescent="0.25">
      <c r="A382" s="415" t="str">
        <f t="shared" si="5"/>
        <v>SA-312 Gr.TP304</v>
      </c>
      <c r="B382" s="415">
        <v>377</v>
      </c>
      <c r="C382" s="415" t="s">
        <v>3277</v>
      </c>
      <c r="D382" s="415" t="s">
        <v>2703</v>
      </c>
      <c r="E382" s="415" t="s">
        <v>2208</v>
      </c>
      <c r="F382" s="415" t="s">
        <v>2555</v>
      </c>
      <c r="G382" s="415" t="s">
        <v>3290</v>
      </c>
      <c r="H382" s="415">
        <v>0</v>
      </c>
      <c r="I382" s="415">
        <v>0</v>
      </c>
      <c r="J382" s="415">
        <v>8</v>
      </c>
      <c r="K382" s="415">
        <v>1</v>
      </c>
      <c r="L382" s="415">
        <v>34</v>
      </c>
      <c r="M382" s="415">
        <v>515</v>
      </c>
      <c r="N382" s="415">
        <v>205</v>
      </c>
      <c r="O382" s="415">
        <v>816</v>
      </c>
      <c r="P382" s="415" t="s">
        <v>3269</v>
      </c>
      <c r="Q382" s="415" t="s">
        <v>3609</v>
      </c>
      <c r="R382" s="415">
        <v>34</v>
      </c>
      <c r="S382" s="415">
        <v>138</v>
      </c>
      <c r="T382" s="416">
        <v>138</v>
      </c>
      <c r="U382" s="416">
        <v>138</v>
      </c>
      <c r="V382" s="416">
        <v>138</v>
      </c>
      <c r="W382" s="416">
        <v>138</v>
      </c>
      <c r="X382" s="416">
        <v>138</v>
      </c>
      <c r="Y382" s="416">
        <v>134</v>
      </c>
      <c r="Z382" s="416">
        <v>129</v>
      </c>
      <c r="AA382" s="416">
        <v>125</v>
      </c>
      <c r="AB382" s="416">
        <v>122</v>
      </c>
      <c r="AC382" s="416">
        <v>119</v>
      </c>
      <c r="AD382" s="416">
        <v>116</v>
      </c>
      <c r="AE382" s="416">
        <v>113</v>
      </c>
      <c r="AF382" s="416">
        <v>111</v>
      </c>
      <c r="AG382" s="416">
        <v>109</v>
      </c>
      <c r="AH382" s="416">
        <v>107</v>
      </c>
      <c r="AI382" s="416">
        <v>105</v>
      </c>
      <c r="AJ382" s="416">
        <v>103</v>
      </c>
      <c r="AK382" s="416">
        <v>101</v>
      </c>
      <c r="AL382" s="416">
        <v>34</v>
      </c>
      <c r="AM382" s="416">
        <v>99.1</v>
      </c>
      <c r="AN382" s="416">
        <v>97.3</v>
      </c>
      <c r="AO382" s="416">
        <v>95.5</v>
      </c>
      <c r="AP382" s="416">
        <v>78.900000000000006</v>
      </c>
      <c r="AQ382" s="416">
        <v>63.8</v>
      </c>
      <c r="AR382" s="416">
        <v>51.6</v>
      </c>
      <c r="AS382" s="416">
        <v>41.6</v>
      </c>
      <c r="AT382" s="416">
        <v>32.9</v>
      </c>
      <c r="AU382" s="416">
        <v>26.5</v>
      </c>
      <c r="AV382" s="416">
        <v>21.3</v>
      </c>
      <c r="AW382" s="416">
        <v>17.2</v>
      </c>
      <c r="AX382" s="416">
        <v>14.1</v>
      </c>
      <c r="AY382" s="416">
        <v>11.2</v>
      </c>
      <c r="AZ382" s="416">
        <v>8.8000000000000007</v>
      </c>
    </row>
    <row r="383" spans="1:52" x14ac:dyDescent="0.25">
      <c r="A383" s="415" t="str">
        <f t="shared" si="5"/>
        <v>SA-312 Gr.TP304</v>
      </c>
      <c r="B383" s="415">
        <v>378</v>
      </c>
      <c r="C383" s="415" t="s">
        <v>3277</v>
      </c>
      <c r="D383" s="415" t="s">
        <v>2680</v>
      </c>
      <c r="E383" s="415" t="s">
        <v>2208</v>
      </c>
      <c r="F383" s="415" t="s">
        <v>2555</v>
      </c>
      <c r="G383" s="415" t="s">
        <v>3290</v>
      </c>
      <c r="H383" s="415">
        <v>0</v>
      </c>
      <c r="I383" s="415">
        <v>0</v>
      </c>
      <c r="J383" s="415">
        <v>8</v>
      </c>
      <c r="K383" s="415">
        <v>1</v>
      </c>
      <c r="L383" s="415">
        <v>35</v>
      </c>
      <c r="M383" s="415">
        <v>515</v>
      </c>
      <c r="N383" s="415">
        <v>205</v>
      </c>
      <c r="O383" s="415">
        <v>816</v>
      </c>
      <c r="P383" s="415" t="s">
        <v>3269</v>
      </c>
      <c r="Q383" s="415" t="s">
        <v>3611</v>
      </c>
      <c r="R383" s="415">
        <v>35</v>
      </c>
      <c r="S383" s="415">
        <v>117</v>
      </c>
      <c r="T383" s="416">
        <v>117</v>
      </c>
      <c r="U383" s="416">
        <v>117</v>
      </c>
      <c r="V383" s="416">
        <v>117</v>
      </c>
      <c r="W383" s="416">
        <v>117</v>
      </c>
      <c r="X383" s="416">
        <v>117</v>
      </c>
      <c r="Y383" s="416">
        <v>114</v>
      </c>
      <c r="Z383" s="416">
        <v>110</v>
      </c>
      <c r="AA383" s="416">
        <v>106</v>
      </c>
      <c r="AB383" s="416">
        <v>103</v>
      </c>
      <c r="AC383" s="416">
        <v>101</v>
      </c>
      <c r="AD383" s="416">
        <v>98.5</v>
      </c>
      <c r="AE383" s="416">
        <v>96.4</v>
      </c>
      <c r="AF383" s="416">
        <v>94.4</v>
      </c>
      <c r="AG383" s="416">
        <v>92.5</v>
      </c>
      <c r="AH383" s="416">
        <v>90.7</v>
      </c>
      <c r="AI383" s="416">
        <v>89</v>
      </c>
      <c r="AJ383" s="416">
        <v>87.4</v>
      </c>
      <c r="AK383" s="416">
        <v>85.8</v>
      </c>
      <c r="AL383" s="416">
        <v>35</v>
      </c>
      <c r="AM383" s="416">
        <v>84.3</v>
      </c>
      <c r="AN383" s="416">
        <v>82.7</v>
      </c>
      <c r="AO383" s="416">
        <v>81.2</v>
      </c>
      <c r="AP383" s="416">
        <v>67.099999999999994</v>
      </c>
      <c r="AQ383" s="416">
        <v>54.3</v>
      </c>
      <c r="AR383" s="416">
        <v>43.9</v>
      </c>
      <c r="AS383" s="416">
        <v>35.4</v>
      </c>
      <c r="AT383" s="416">
        <v>28</v>
      </c>
      <c r="AU383" s="416">
        <v>22.5</v>
      </c>
      <c r="AV383" s="416">
        <v>18.100000000000001</v>
      </c>
      <c r="AW383" s="416">
        <v>14.7</v>
      </c>
      <c r="AX383" s="416">
        <v>11.9</v>
      </c>
      <c r="AY383" s="416">
        <v>9.56</v>
      </c>
      <c r="AZ383" s="416">
        <v>7.48</v>
      </c>
    </row>
    <row r="384" spans="1:52" x14ac:dyDescent="0.25">
      <c r="A384" s="415" t="str">
        <f t="shared" si="5"/>
        <v>SA-376 Gr.TP304</v>
      </c>
      <c r="B384" s="415">
        <v>379</v>
      </c>
      <c r="C384" s="415" t="s">
        <v>3277</v>
      </c>
      <c r="D384" s="415" t="s">
        <v>2703</v>
      </c>
      <c r="E384" s="415" t="s">
        <v>2225</v>
      </c>
      <c r="F384" s="415" t="s">
        <v>2555</v>
      </c>
      <c r="G384" s="415" t="s">
        <v>3290</v>
      </c>
      <c r="H384" s="415">
        <v>0</v>
      </c>
      <c r="I384" s="415">
        <v>0</v>
      </c>
      <c r="J384" s="415">
        <v>8</v>
      </c>
      <c r="K384" s="415">
        <v>1</v>
      </c>
      <c r="L384" s="415">
        <v>36</v>
      </c>
      <c r="M384" s="415">
        <v>515</v>
      </c>
      <c r="N384" s="415">
        <v>205</v>
      </c>
      <c r="O384" s="415">
        <v>816</v>
      </c>
      <c r="P384" s="415" t="s">
        <v>3269</v>
      </c>
      <c r="Q384" s="415" t="s">
        <v>3622</v>
      </c>
      <c r="R384" s="415">
        <v>36</v>
      </c>
      <c r="S384" s="415">
        <v>138</v>
      </c>
      <c r="T384" s="416">
        <v>138</v>
      </c>
      <c r="U384" s="416">
        <v>138</v>
      </c>
      <c r="V384" s="416">
        <v>138</v>
      </c>
      <c r="W384" s="416">
        <v>138</v>
      </c>
      <c r="X384" s="416">
        <v>138</v>
      </c>
      <c r="Y384" s="416">
        <v>134</v>
      </c>
      <c r="Z384" s="416">
        <v>129</v>
      </c>
      <c r="AA384" s="416">
        <v>125</v>
      </c>
      <c r="AB384" s="416">
        <v>122</v>
      </c>
      <c r="AC384" s="416">
        <v>119</v>
      </c>
      <c r="AD384" s="416">
        <v>116</v>
      </c>
      <c r="AE384" s="416">
        <v>113</v>
      </c>
      <c r="AF384" s="416">
        <v>111</v>
      </c>
      <c r="AG384" s="416">
        <v>109</v>
      </c>
      <c r="AH384" s="416">
        <v>107</v>
      </c>
      <c r="AI384" s="416">
        <v>105</v>
      </c>
      <c r="AJ384" s="416">
        <v>103</v>
      </c>
      <c r="AK384" s="416">
        <v>101</v>
      </c>
      <c r="AL384" s="416">
        <v>36</v>
      </c>
      <c r="AM384" s="416">
        <v>99.1</v>
      </c>
      <c r="AN384" s="416">
        <v>97.3</v>
      </c>
      <c r="AO384" s="416">
        <v>95.5</v>
      </c>
      <c r="AP384" s="416">
        <v>78.900000000000006</v>
      </c>
      <c r="AQ384" s="416">
        <v>63.8</v>
      </c>
      <c r="AR384" s="416">
        <v>51.6</v>
      </c>
      <c r="AS384" s="416">
        <v>41.6</v>
      </c>
      <c r="AT384" s="416">
        <v>32.9</v>
      </c>
      <c r="AU384" s="416">
        <v>26.5</v>
      </c>
      <c r="AV384" s="416">
        <v>21.3</v>
      </c>
      <c r="AW384" s="416">
        <v>17.2</v>
      </c>
      <c r="AX384" s="416">
        <v>14.1</v>
      </c>
      <c r="AY384" s="416">
        <v>11.2</v>
      </c>
      <c r="AZ384" s="416">
        <v>8.8000000000000007</v>
      </c>
    </row>
    <row r="385" spans="1:52" x14ac:dyDescent="0.25">
      <c r="A385" s="415" t="str">
        <f t="shared" si="5"/>
        <v>SA-403 Gr.304</v>
      </c>
      <c r="B385" s="415">
        <v>380</v>
      </c>
      <c r="C385" s="415" t="s">
        <v>3277</v>
      </c>
      <c r="D385" s="415" t="s">
        <v>913</v>
      </c>
      <c r="E385" s="415" t="s">
        <v>2229</v>
      </c>
      <c r="F385" s="415">
        <v>304</v>
      </c>
      <c r="G385" s="415" t="s">
        <v>3290</v>
      </c>
      <c r="H385" s="415" t="s">
        <v>3380</v>
      </c>
      <c r="I385" s="415">
        <v>0</v>
      </c>
      <c r="J385" s="415">
        <v>8</v>
      </c>
      <c r="K385" s="415">
        <v>1</v>
      </c>
      <c r="L385" s="415">
        <v>37</v>
      </c>
      <c r="M385" s="415">
        <v>515</v>
      </c>
      <c r="N385" s="415">
        <v>205</v>
      </c>
      <c r="O385" s="415">
        <v>816</v>
      </c>
      <c r="P385" s="415" t="s">
        <v>3269</v>
      </c>
      <c r="Q385" s="415" t="s">
        <v>3612</v>
      </c>
      <c r="R385" s="415">
        <v>37</v>
      </c>
      <c r="S385" s="415">
        <v>117</v>
      </c>
      <c r="T385" s="416">
        <v>117</v>
      </c>
      <c r="U385" s="416">
        <v>117</v>
      </c>
      <c r="V385" s="416">
        <v>117</v>
      </c>
      <c r="W385" s="416">
        <v>117</v>
      </c>
      <c r="X385" s="416">
        <v>117</v>
      </c>
      <c r="Y385" s="416">
        <v>114</v>
      </c>
      <c r="Z385" s="416">
        <v>110</v>
      </c>
      <c r="AA385" s="416">
        <v>106</v>
      </c>
      <c r="AB385" s="416">
        <v>103</v>
      </c>
      <c r="AC385" s="416">
        <v>101</v>
      </c>
      <c r="AD385" s="416">
        <v>98.5</v>
      </c>
      <c r="AE385" s="416">
        <v>96.4</v>
      </c>
      <c r="AF385" s="416">
        <v>94.4</v>
      </c>
      <c r="AG385" s="416">
        <v>92.5</v>
      </c>
      <c r="AH385" s="416">
        <v>90.7</v>
      </c>
      <c r="AI385" s="416">
        <v>89</v>
      </c>
      <c r="AJ385" s="416">
        <v>87.4</v>
      </c>
      <c r="AK385" s="416">
        <v>85.8</v>
      </c>
      <c r="AL385" s="416">
        <v>37</v>
      </c>
      <c r="AM385" s="416">
        <v>84.3</v>
      </c>
      <c r="AN385" s="416">
        <v>82.7</v>
      </c>
      <c r="AO385" s="416">
        <v>81.2</v>
      </c>
      <c r="AP385" s="416">
        <v>67.099999999999994</v>
      </c>
      <c r="AQ385" s="416">
        <v>54.3</v>
      </c>
      <c r="AR385" s="416">
        <v>43.9</v>
      </c>
      <c r="AS385" s="416">
        <v>35.4</v>
      </c>
      <c r="AT385" s="416">
        <v>28</v>
      </c>
      <c r="AU385" s="416">
        <v>22.5</v>
      </c>
      <c r="AV385" s="416">
        <v>18.100000000000001</v>
      </c>
      <c r="AW385" s="416">
        <v>14.7</v>
      </c>
      <c r="AX385" s="416">
        <v>11.9</v>
      </c>
      <c r="AY385" s="416">
        <v>9.56</v>
      </c>
      <c r="AZ385" s="416">
        <v>7.48</v>
      </c>
    </row>
    <row r="386" spans="1:52" x14ac:dyDescent="0.25">
      <c r="A386" s="415" t="str">
        <f t="shared" si="5"/>
        <v>SA-403 Gr.304</v>
      </c>
      <c r="B386" s="415">
        <v>381</v>
      </c>
      <c r="C386" s="415" t="s">
        <v>3277</v>
      </c>
      <c r="D386" s="415" t="s">
        <v>913</v>
      </c>
      <c r="E386" s="415" t="s">
        <v>2229</v>
      </c>
      <c r="F386" s="415">
        <v>304</v>
      </c>
      <c r="G386" s="415" t="s">
        <v>3290</v>
      </c>
      <c r="H386" s="415" t="s">
        <v>3381</v>
      </c>
      <c r="I386" s="415">
        <v>0</v>
      </c>
      <c r="J386" s="415">
        <v>8</v>
      </c>
      <c r="K386" s="415">
        <v>1</v>
      </c>
      <c r="L386" s="415">
        <v>38</v>
      </c>
      <c r="M386" s="415">
        <v>515</v>
      </c>
      <c r="N386" s="415">
        <v>205</v>
      </c>
      <c r="O386" s="415">
        <v>816</v>
      </c>
      <c r="P386" s="415" t="s">
        <v>3269</v>
      </c>
      <c r="Q386" s="415" t="s">
        <v>3607</v>
      </c>
      <c r="R386" s="415">
        <v>38</v>
      </c>
      <c r="S386" s="415">
        <v>138</v>
      </c>
      <c r="T386" s="416">
        <v>138</v>
      </c>
      <c r="U386" s="416">
        <v>138</v>
      </c>
      <c r="V386" s="416">
        <v>138</v>
      </c>
      <c r="W386" s="416">
        <v>138</v>
      </c>
      <c r="X386" s="416">
        <v>138</v>
      </c>
      <c r="Y386" s="416">
        <v>134</v>
      </c>
      <c r="Z386" s="416">
        <v>129</v>
      </c>
      <c r="AA386" s="416">
        <v>125</v>
      </c>
      <c r="AB386" s="416">
        <v>122</v>
      </c>
      <c r="AC386" s="416">
        <v>119</v>
      </c>
      <c r="AD386" s="416">
        <v>116</v>
      </c>
      <c r="AE386" s="416">
        <v>113</v>
      </c>
      <c r="AF386" s="416">
        <v>111</v>
      </c>
      <c r="AG386" s="416">
        <v>109</v>
      </c>
      <c r="AH386" s="416">
        <v>107</v>
      </c>
      <c r="AI386" s="416">
        <v>105</v>
      </c>
      <c r="AJ386" s="416">
        <v>103</v>
      </c>
      <c r="AK386" s="416">
        <v>101</v>
      </c>
      <c r="AL386" s="416">
        <v>38</v>
      </c>
      <c r="AM386" s="416">
        <v>99.1</v>
      </c>
      <c r="AN386" s="416">
        <v>97.3</v>
      </c>
      <c r="AO386" s="416">
        <v>95.5</v>
      </c>
      <c r="AP386" s="416">
        <v>78.900000000000006</v>
      </c>
      <c r="AQ386" s="416">
        <v>63.8</v>
      </c>
      <c r="AR386" s="416">
        <v>51.6</v>
      </c>
      <c r="AS386" s="416">
        <v>41.6</v>
      </c>
      <c r="AT386" s="416">
        <v>32.9</v>
      </c>
      <c r="AU386" s="416">
        <v>26.5</v>
      </c>
      <c r="AV386" s="416">
        <v>21.3</v>
      </c>
      <c r="AW386" s="416">
        <v>17.2</v>
      </c>
      <c r="AX386" s="416">
        <v>14.1</v>
      </c>
      <c r="AY386" s="416">
        <v>11.2</v>
      </c>
      <c r="AZ386" s="416">
        <v>8.8000000000000007</v>
      </c>
    </row>
    <row r="387" spans="1:52" x14ac:dyDescent="0.25">
      <c r="A387" s="415" t="str">
        <f t="shared" si="5"/>
        <v>SA-403 Gr.304</v>
      </c>
      <c r="B387" s="415">
        <v>382</v>
      </c>
      <c r="C387" s="415" t="s">
        <v>3277</v>
      </c>
      <c r="D387" s="415" t="s">
        <v>3414</v>
      </c>
      <c r="E387" s="415" t="s">
        <v>2229</v>
      </c>
      <c r="F387" s="415">
        <v>304</v>
      </c>
      <c r="G387" s="415" t="s">
        <v>3290</v>
      </c>
      <c r="H387" s="415" t="s">
        <v>3382</v>
      </c>
      <c r="I387" s="415">
        <v>0</v>
      </c>
      <c r="J387" s="415">
        <v>8</v>
      </c>
      <c r="K387" s="415">
        <v>1</v>
      </c>
      <c r="L387" s="415">
        <v>39</v>
      </c>
      <c r="M387" s="415">
        <v>515</v>
      </c>
      <c r="N387" s="415">
        <v>205</v>
      </c>
      <c r="O387" s="415">
        <v>816</v>
      </c>
      <c r="P387" s="415" t="s">
        <v>3269</v>
      </c>
      <c r="Q387" s="415" t="s">
        <v>3612</v>
      </c>
      <c r="R387" s="415">
        <v>39</v>
      </c>
      <c r="S387" s="415">
        <v>117</v>
      </c>
      <c r="T387" s="416">
        <v>117</v>
      </c>
      <c r="U387" s="416">
        <v>117</v>
      </c>
      <c r="V387" s="416">
        <v>117</v>
      </c>
      <c r="W387" s="416">
        <v>117</v>
      </c>
      <c r="X387" s="416">
        <v>117</v>
      </c>
      <c r="Y387" s="416">
        <v>114</v>
      </c>
      <c r="Z387" s="416">
        <v>110</v>
      </c>
      <c r="AA387" s="416">
        <v>106</v>
      </c>
      <c r="AB387" s="416">
        <v>103</v>
      </c>
      <c r="AC387" s="416">
        <v>101</v>
      </c>
      <c r="AD387" s="416">
        <v>98.5</v>
      </c>
      <c r="AE387" s="416">
        <v>96.4</v>
      </c>
      <c r="AF387" s="416">
        <v>94.4</v>
      </c>
      <c r="AG387" s="416">
        <v>92.5</v>
      </c>
      <c r="AH387" s="416">
        <v>90.7</v>
      </c>
      <c r="AI387" s="416">
        <v>89</v>
      </c>
      <c r="AJ387" s="416">
        <v>87.4</v>
      </c>
      <c r="AK387" s="416">
        <v>85.8</v>
      </c>
      <c r="AL387" s="416">
        <v>39</v>
      </c>
      <c r="AM387" s="416">
        <v>84.3</v>
      </c>
      <c r="AN387" s="416">
        <v>82.7</v>
      </c>
      <c r="AO387" s="416">
        <v>81.2</v>
      </c>
      <c r="AP387" s="416">
        <v>67.099999999999994</v>
      </c>
      <c r="AQ387" s="416">
        <v>54.3</v>
      </c>
      <c r="AR387" s="416">
        <v>43.9</v>
      </c>
      <c r="AS387" s="416">
        <v>35.4</v>
      </c>
      <c r="AT387" s="416">
        <v>28</v>
      </c>
      <c r="AU387" s="416">
        <v>22.5</v>
      </c>
      <c r="AV387" s="416">
        <v>18.100000000000001</v>
      </c>
      <c r="AW387" s="416">
        <v>14.7</v>
      </c>
      <c r="AX387" s="416">
        <v>11.9</v>
      </c>
      <c r="AY387" s="416">
        <v>9.56</v>
      </c>
      <c r="AZ387" s="416">
        <v>7.48</v>
      </c>
    </row>
    <row r="388" spans="1:52" x14ac:dyDescent="0.25">
      <c r="A388" s="415" t="str">
        <f t="shared" si="5"/>
        <v>SA-403 Gr.304</v>
      </c>
      <c r="B388" s="415">
        <v>383</v>
      </c>
      <c r="C388" s="415" t="s">
        <v>3277</v>
      </c>
      <c r="D388" s="415" t="s">
        <v>3414</v>
      </c>
      <c r="E388" s="415" t="s">
        <v>2229</v>
      </c>
      <c r="F388" s="415">
        <v>304</v>
      </c>
      <c r="G388" s="415" t="s">
        <v>3290</v>
      </c>
      <c r="H388" s="415" t="s">
        <v>3384</v>
      </c>
      <c r="I388" s="415">
        <v>0</v>
      </c>
      <c r="J388" s="415">
        <v>8</v>
      </c>
      <c r="K388" s="415">
        <v>1</v>
      </c>
      <c r="L388" s="415">
        <v>40</v>
      </c>
      <c r="M388" s="415">
        <v>515</v>
      </c>
      <c r="N388" s="415">
        <v>205</v>
      </c>
      <c r="O388" s="415">
        <v>816</v>
      </c>
      <c r="P388" s="415" t="s">
        <v>3269</v>
      </c>
      <c r="Q388" s="415" t="s">
        <v>3612</v>
      </c>
      <c r="R388" s="415">
        <v>40</v>
      </c>
      <c r="S388" s="415">
        <v>117</v>
      </c>
      <c r="T388" s="416">
        <v>117</v>
      </c>
      <c r="U388" s="416">
        <v>117</v>
      </c>
      <c r="V388" s="416">
        <v>117</v>
      </c>
      <c r="W388" s="416">
        <v>117</v>
      </c>
      <c r="X388" s="416">
        <v>117</v>
      </c>
      <c r="Y388" s="416">
        <v>114</v>
      </c>
      <c r="Z388" s="416">
        <v>110</v>
      </c>
      <c r="AA388" s="416">
        <v>106</v>
      </c>
      <c r="AB388" s="416">
        <v>103</v>
      </c>
      <c r="AC388" s="416">
        <v>101</v>
      </c>
      <c r="AD388" s="416">
        <v>98.5</v>
      </c>
      <c r="AE388" s="416">
        <v>96.4</v>
      </c>
      <c r="AF388" s="416">
        <v>94.4</v>
      </c>
      <c r="AG388" s="416">
        <v>92.5</v>
      </c>
      <c r="AH388" s="416">
        <v>90.7</v>
      </c>
      <c r="AI388" s="416">
        <v>89</v>
      </c>
      <c r="AJ388" s="416">
        <v>87.4</v>
      </c>
      <c r="AK388" s="416">
        <v>85.8</v>
      </c>
      <c r="AL388" s="416">
        <v>40</v>
      </c>
      <c r="AM388" s="416">
        <v>84.3</v>
      </c>
      <c r="AN388" s="416">
        <v>82.7</v>
      </c>
      <c r="AO388" s="416">
        <v>81.2</v>
      </c>
      <c r="AP388" s="416">
        <v>67.099999999999994</v>
      </c>
      <c r="AQ388" s="416">
        <v>54.3</v>
      </c>
      <c r="AR388" s="416">
        <v>43.9</v>
      </c>
      <c r="AS388" s="416">
        <v>35.4</v>
      </c>
      <c r="AT388" s="416">
        <v>28</v>
      </c>
      <c r="AU388" s="416">
        <v>22.5</v>
      </c>
      <c r="AV388" s="416">
        <v>18.100000000000001</v>
      </c>
      <c r="AW388" s="416">
        <v>14.7</v>
      </c>
      <c r="AX388" s="416">
        <v>11.9</v>
      </c>
      <c r="AY388" s="416">
        <v>9.56</v>
      </c>
      <c r="AZ388" s="416">
        <v>7.48</v>
      </c>
    </row>
    <row r="389" spans="1:52" x14ac:dyDescent="0.25">
      <c r="A389" s="415" t="str">
        <f t="shared" si="5"/>
        <v>SA-688 Gr.TP304</v>
      </c>
      <c r="B389" s="415">
        <v>384</v>
      </c>
      <c r="C389" s="415" t="s">
        <v>3277</v>
      </c>
      <c r="D389" s="415" t="s">
        <v>2689</v>
      </c>
      <c r="E389" s="415" t="s">
        <v>2301</v>
      </c>
      <c r="F389" s="415" t="s">
        <v>2555</v>
      </c>
      <c r="G389" s="415" t="s">
        <v>3290</v>
      </c>
      <c r="H389" s="415">
        <v>0</v>
      </c>
      <c r="I389" s="415">
        <v>0</v>
      </c>
      <c r="J389" s="415">
        <v>8</v>
      </c>
      <c r="K389" s="415">
        <v>1</v>
      </c>
      <c r="L389" s="415">
        <v>41</v>
      </c>
      <c r="M389" s="415">
        <v>515</v>
      </c>
      <c r="N389" s="415">
        <v>205</v>
      </c>
      <c r="O389" s="415">
        <v>816</v>
      </c>
      <c r="P389" s="415" t="s">
        <v>3269</v>
      </c>
      <c r="Q389" s="415" t="s">
        <v>3610</v>
      </c>
      <c r="R389" s="415">
        <v>41</v>
      </c>
      <c r="S389" s="415">
        <v>117</v>
      </c>
      <c r="T389" s="416">
        <v>117</v>
      </c>
      <c r="U389" s="416">
        <v>117</v>
      </c>
      <c r="V389" s="416">
        <v>117</v>
      </c>
      <c r="W389" s="416">
        <v>117</v>
      </c>
      <c r="X389" s="416">
        <v>117</v>
      </c>
      <c r="Y389" s="416">
        <v>114</v>
      </c>
      <c r="Z389" s="416">
        <v>110</v>
      </c>
      <c r="AA389" s="416">
        <v>106</v>
      </c>
      <c r="AB389" s="416">
        <v>103</v>
      </c>
      <c r="AC389" s="416">
        <v>101</v>
      </c>
      <c r="AD389" s="416">
        <v>98.5</v>
      </c>
      <c r="AE389" s="416">
        <v>96.4</v>
      </c>
      <c r="AF389" s="416">
        <v>94.4</v>
      </c>
      <c r="AG389" s="416">
        <v>92.5</v>
      </c>
      <c r="AH389" s="416">
        <v>90.7</v>
      </c>
      <c r="AI389" s="416">
        <v>89</v>
      </c>
      <c r="AJ389" s="416">
        <v>87.4</v>
      </c>
      <c r="AK389" s="416">
        <v>85.8</v>
      </c>
      <c r="AL389" s="416">
        <v>41</v>
      </c>
      <c r="AM389" s="416">
        <v>84.3</v>
      </c>
      <c r="AN389" s="416">
        <v>82.7</v>
      </c>
      <c r="AO389" s="416">
        <v>81.2</v>
      </c>
      <c r="AP389" s="416">
        <v>67.099999999999994</v>
      </c>
      <c r="AQ389" s="416">
        <v>54.3</v>
      </c>
      <c r="AR389" s="416">
        <v>43.9</v>
      </c>
      <c r="AS389" s="416">
        <v>35.4</v>
      </c>
      <c r="AT389" s="416">
        <v>28</v>
      </c>
      <c r="AU389" s="416">
        <v>22.5</v>
      </c>
      <c r="AV389" s="416">
        <v>18.100000000000001</v>
      </c>
      <c r="AW389" s="416">
        <v>14.7</v>
      </c>
      <c r="AX389" s="416">
        <v>11.9</v>
      </c>
      <c r="AY389" s="416">
        <v>9.56</v>
      </c>
      <c r="AZ389" s="416">
        <v>7.48</v>
      </c>
    </row>
    <row r="390" spans="1:52" x14ac:dyDescent="0.25">
      <c r="A390" s="415" t="str">
        <f t="shared" si="5"/>
        <v>SA-182 Gr.F304H</v>
      </c>
      <c r="B390" s="415">
        <v>385</v>
      </c>
      <c r="C390" s="415" t="s">
        <v>3277</v>
      </c>
      <c r="D390" s="415" t="s">
        <v>2737</v>
      </c>
      <c r="E390" s="415" t="s">
        <v>2188</v>
      </c>
      <c r="F390" s="415" t="s">
        <v>2433</v>
      </c>
      <c r="G390" s="415" t="s">
        <v>3291</v>
      </c>
      <c r="H390" s="415">
        <v>0</v>
      </c>
      <c r="I390" s="415" t="s">
        <v>3604</v>
      </c>
      <c r="J390" s="415">
        <v>8</v>
      </c>
      <c r="K390" s="415">
        <v>1</v>
      </c>
      <c r="L390" s="415">
        <v>42</v>
      </c>
      <c r="M390" s="415">
        <v>515</v>
      </c>
      <c r="N390" s="415">
        <v>205</v>
      </c>
      <c r="O390" s="415">
        <v>816</v>
      </c>
      <c r="P390" s="415" t="s">
        <v>3269</v>
      </c>
      <c r="Q390" s="415" t="s">
        <v>3607</v>
      </c>
      <c r="R390" s="415">
        <v>42</v>
      </c>
      <c r="S390" s="415">
        <v>138</v>
      </c>
      <c r="T390" s="416">
        <v>138</v>
      </c>
      <c r="U390" s="416">
        <v>138</v>
      </c>
      <c r="V390" s="416">
        <v>138</v>
      </c>
      <c r="W390" s="416">
        <v>138</v>
      </c>
      <c r="X390" s="416">
        <v>138</v>
      </c>
      <c r="Y390" s="416">
        <v>134</v>
      </c>
      <c r="Z390" s="416">
        <v>129</v>
      </c>
      <c r="AA390" s="416">
        <v>125</v>
      </c>
      <c r="AB390" s="416">
        <v>122</v>
      </c>
      <c r="AC390" s="416">
        <v>119</v>
      </c>
      <c r="AD390" s="416">
        <v>116</v>
      </c>
      <c r="AE390" s="416">
        <v>113</v>
      </c>
      <c r="AF390" s="416">
        <v>111</v>
      </c>
      <c r="AG390" s="416">
        <v>109</v>
      </c>
      <c r="AH390" s="416">
        <v>107</v>
      </c>
      <c r="AI390" s="416">
        <v>105</v>
      </c>
      <c r="AJ390" s="416">
        <v>103</v>
      </c>
      <c r="AK390" s="416">
        <v>101</v>
      </c>
      <c r="AL390" s="416">
        <v>42</v>
      </c>
      <c r="AM390" s="416">
        <v>99.1</v>
      </c>
      <c r="AN390" s="416">
        <v>97.3</v>
      </c>
      <c r="AO390" s="416">
        <v>95.5</v>
      </c>
      <c r="AP390" s="416">
        <v>78.900000000000006</v>
      </c>
      <c r="AQ390" s="416">
        <v>63.8</v>
      </c>
      <c r="AR390" s="416">
        <v>51.6</v>
      </c>
      <c r="AS390" s="416">
        <v>41.6</v>
      </c>
      <c r="AT390" s="416">
        <v>32.9</v>
      </c>
      <c r="AU390" s="416">
        <v>26.5</v>
      </c>
      <c r="AV390" s="416">
        <v>21.3</v>
      </c>
      <c r="AW390" s="416">
        <v>17.2</v>
      </c>
      <c r="AX390" s="416">
        <v>14.1</v>
      </c>
      <c r="AY390" s="416">
        <v>11.2</v>
      </c>
      <c r="AZ390" s="416">
        <v>8.8000000000000007</v>
      </c>
    </row>
    <row r="391" spans="1:52" x14ac:dyDescent="0.25">
      <c r="A391" s="415" t="str">
        <f t="shared" ref="A391:A454" si="6">CONCATENATE(E391," Gr.",F391)</f>
        <v>SA-213 Gr.TP304H</v>
      </c>
      <c r="B391" s="415">
        <v>386</v>
      </c>
      <c r="C391" s="415" t="s">
        <v>3277</v>
      </c>
      <c r="D391" s="415" t="s">
        <v>2693</v>
      </c>
      <c r="E391" s="415" t="s">
        <v>2195</v>
      </c>
      <c r="F391" s="415" t="s">
        <v>2556</v>
      </c>
      <c r="G391" s="415" t="s">
        <v>3291</v>
      </c>
      <c r="H391" s="415">
        <v>0</v>
      </c>
      <c r="I391" s="415">
        <v>0</v>
      </c>
      <c r="J391" s="415">
        <v>8</v>
      </c>
      <c r="K391" s="415">
        <v>1</v>
      </c>
      <c r="L391" s="415">
        <v>43</v>
      </c>
      <c r="M391" s="415">
        <v>515</v>
      </c>
      <c r="N391" s="415">
        <v>205</v>
      </c>
      <c r="O391" s="415">
        <v>816</v>
      </c>
      <c r="P391" s="415" t="s">
        <v>3269</v>
      </c>
      <c r="Q391" s="415" t="s">
        <v>3607</v>
      </c>
      <c r="R391" s="415">
        <v>43</v>
      </c>
      <c r="S391" s="415">
        <v>138</v>
      </c>
      <c r="T391" s="416">
        <v>138</v>
      </c>
      <c r="U391" s="416">
        <v>138</v>
      </c>
      <c r="V391" s="416">
        <v>138</v>
      </c>
      <c r="W391" s="416">
        <v>138</v>
      </c>
      <c r="X391" s="416">
        <v>138</v>
      </c>
      <c r="Y391" s="416">
        <v>134</v>
      </c>
      <c r="Z391" s="416">
        <v>129</v>
      </c>
      <c r="AA391" s="416">
        <v>125</v>
      </c>
      <c r="AB391" s="416">
        <v>122</v>
      </c>
      <c r="AC391" s="416">
        <v>119</v>
      </c>
      <c r="AD391" s="416">
        <v>116</v>
      </c>
      <c r="AE391" s="416">
        <v>113</v>
      </c>
      <c r="AF391" s="416">
        <v>111</v>
      </c>
      <c r="AG391" s="416">
        <v>109</v>
      </c>
      <c r="AH391" s="416">
        <v>107</v>
      </c>
      <c r="AI391" s="416">
        <v>105</v>
      </c>
      <c r="AJ391" s="416">
        <v>103</v>
      </c>
      <c r="AK391" s="416">
        <v>101</v>
      </c>
      <c r="AL391" s="416">
        <v>43</v>
      </c>
      <c r="AM391" s="416">
        <v>99.1</v>
      </c>
      <c r="AN391" s="416">
        <v>97.3</v>
      </c>
      <c r="AO391" s="416">
        <v>95.5</v>
      </c>
      <c r="AP391" s="416">
        <v>78.900000000000006</v>
      </c>
      <c r="AQ391" s="416">
        <v>63.8</v>
      </c>
      <c r="AR391" s="416">
        <v>51.6</v>
      </c>
      <c r="AS391" s="416">
        <v>41.6</v>
      </c>
      <c r="AT391" s="416">
        <v>32.9</v>
      </c>
      <c r="AU391" s="416">
        <v>26.5</v>
      </c>
      <c r="AV391" s="416">
        <v>21.3</v>
      </c>
      <c r="AW391" s="416">
        <v>17.2</v>
      </c>
      <c r="AX391" s="416">
        <v>14.1</v>
      </c>
      <c r="AY391" s="416">
        <v>11.2</v>
      </c>
      <c r="AZ391" s="416">
        <v>8.8000000000000007</v>
      </c>
    </row>
    <row r="392" spans="1:52" x14ac:dyDescent="0.25">
      <c r="A392" s="415" t="str">
        <f t="shared" si="6"/>
        <v>SA-240 Gr.304H</v>
      </c>
      <c r="B392" s="415">
        <v>387</v>
      </c>
      <c r="C392" s="415" t="s">
        <v>3277</v>
      </c>
      <c r="D392" s="415" t="s">
        <v>2684</v>
      </c>
      <c r="E392" s="415" t="s">
        <v>2165</v>
      </c>
      <c r="F392" s="415" t="s">
        <v>2244</v>
      </c>
      <c r="G392" s="415" t="s">
        <v>3291</v>
      </c>
      <c r="H392" s="415">
        <v>0</v>
      </c>
      <c r="I392" s="415">
        <v>0</v>
      </c>
      <c r="J392" s="415">
        <v>8</v>
      </c>
      <c r="K392" s="415">
        <v>1</v>
      </c>
      <c r="L392" s="415">
        <v>44</v>
      </c>
      <c r="M392" s="415">
        <v>515</v>
      </c>
      <c r="N392" s="415">
        <v>205</v>
      </c>
      <c r="O392" s="415">
        <v>816</v>
      </c>
      <c r="P392" s="415" t="s">
        <v>3269</v>
      </c>
      <c r="Q392" s="415" t="s">
        <v>3607</v>
      </c>
      <c r="R392" s="415">
        <v>44</v>
      </c>
      <c r="S392" s="415">
        <v>138</v>
      </c>
      <c r="T392" s="416">
        <v>138</v>
      </c>
      <c r="U392" s="416">
        <v>138</v>
      </c>
      <c r="V392" s="416">
        <v>138</v>
      </c>
      <c r="W392" s="416">
        <v>138</v>
      </c>
      <c r="X392" s="416">
        <v>138</v>
      </c>
      <c r="Y392" s="416">
        <v>134</v>
      </c>
      <c r="Z392" s="416">
        <v>129</v>
      </c>
      <c r="AA392" s="416">
        <v>125</v>
      </c>
      <c r="AB392" s="416">
        <v>122</v>
      </c>
      <c r="AC392" s="416">
        <v>119</v>
      </c>
      <c r="AD392" s="416">
        <v>116</v>
      </c>
      <c r="AE392" s="416">
        <v>113</v>
      </c>
      <c r="AF392" s="416">
        <v>111</v>
      </c>
      <c r="AG392" s="416">
        <v>109</v>
      </c>
      <c r="AH392" s="416">
        <v>107</v>
      </c>
      <c r="AI392" s="416">
        <v>105</v>
      </c>
      <c r="AJ392" s="416">
        <v>103</v>
      </c>
      <c r="AK392" s="416">
        <v>101</v>
      </c>
      <c r="AL392" s="416">
        <v>44</v>
      </c>
      <c r="AM392" s="416">
        <v>99.1</v>
      </c>
      <c r="AN392" s="416">
        <v>97.3</v>
      </c>
      <c r="AO392" s="416">
        <v>95.5</v>
      </c>
      <c r="AP392" s="416">
        <v>78.900000000000006</v>
      </c>
      <c r="AQ392" s="416">
        <v>63.8</v>
      </c>
      <c r="AR392" s="416">
        <v>51.6</v>
      </c>
      <c r="AS392" s="416">
        <v>41.6</v>
      </c>
      <c r="AT392" s="416">
        <v>32.9</v>
      </c>
      <c r="AU392" s="416">
        <v>26.5</v>
      </c>
      <c r="AV392" s="416">
        <v>21.3</v>
      </c>
      <c r="AW392" s="416">
        <v>17.2</v>
      </c>
      <c r="AX392" s="416">
        <v>14.1</v>
      </c>
      <c r="AY392" s="416">
        <v>11.2</v>
      </c>
      <c r="AZ392" s="416">
        <v>8.8000000000000007</v>
      </c>
    </row>
    <row r="393" spans="1:52" x14ac:dyDescent="0.25">
      <c r="A393" s="415" t="str">
        <f t="shared" si="6"/>
        <v>SA-249 Gr.TP304H</v>
      </c>
      <c r="B393" s="415">
        <v>388</v>
      </c>
      <c r="C393" s="415" t="s">
        <v>3277</v>
      </c>
      <c r="D393" s="415" t="s">
        <v>2689</v>
      </c>
      <c r="E393" s="415" t="s">
        <v>2200</v>
      </c>
      <c r="F393" s="415" t="s">
        <v>2556</v>
      </c>
      <c r="G393" s="415" t="s">
        <v>3291</v>
      </c>
      <c r="H393" s="415">
        <v>0</v>
      </c>
      <c r="I393" s="415">
        <v>0</v>
      </c>
      <c r="J393" s="415">
        <v>8</v>
      </c>
      <c r="K393" s="415">
        <v>1</v>
      </c>
      <c r="L393" s="415">
        <v>45</v>
      </c>
      <c r="M393" s="415">
        <v>515</v>
      </c>
      <c r="N393" s="415">
        <v>205</v>
      </c>
      <c r="O393" s="415">
        <v>816</v>
      </c>
      <c r="P393" s="415" t="s">
        <v>3269</v>
      </c>
      <c r="Q393" s="415" t="s">
        <v>3612</v>
      </c>
      <c r="R393" s="415">
        <v>45</v>
      </c>
      <c r="S393" s="415">
        <v>117</v>
      </c>
      <c r="T393" s="416">
        <v>117</v>
      </c>
      <c r="U393" s="416">
        <v>117</v>
      </c>
      <c r="V393" s="416">
        <v>117</v>
      </c>
      <c r="W393" s="416">
        <v>117</v>
      </c>
      <c r="X393" s="416">
        <v>117</v>
      </c>
      <c r="Y393" s="416">
        <v>114</v>
      </c>
      <c r="Z393" s="416">
        <v>110</v>
      </c>
      <c r="AA393" s="416">
        <v>106</v>
      </c>
      <c r="AB393" s="416">
        <v>103</v>
      </c>
      <c r="AC393" s="416">
        <v>101</v>
      </c>
      <c r="AD393" s="416">
        <v>98.5</v>
      </c>
      <c r="AE393" s="416">
        <v>96.4</v>
      </c>
      <c r="AF393" s="416">
        <v>94.4</v>
      </c>
      <c r="AG393" s="416">
        <v>92.5</v>
      </c>
      <c r="AH393" s="416">
        <v>90.7</v>
      </c>
      <c r="AI393" s="416">
        <v>89</v>
      </c>
      <c r="AJ393" s="416">
        <v>87.4</v>
      </c>
      <c r="AK393" s="416">
        <v>85.8</v>
      </c>
      <c r="AL393" s="416">
        <v>45</v>
      </c>
      <c r="AM393" s="416">
        <v>84.3</v>
      </c>
      <c r="AN393" s="416">
        <v>82.7</v>
      </c>
      <c r="AO393" s="416">
        <v>81.2</v>
      </c>
      <c r="AP393" s="416">
        <v>67.099999999999994</v>
      </c>
      <c r="AQ393" s="416">
        <v>54.3</v>
      </c>
      <c r="AR393" s="416">
        <v>43.9</v>
      </c>
      <c r="AS393" s="416">
        <v>35.4</v>
      </c>
      <c r="AT393" s="416">
        <v>28</v>
      </c>
      <c r="AU393" s="416">
        <v>22.5</v>
      </c>
      <c r="AV393" s="416">
        <v>18.100000000000001</v>
      </c>
      <c r="AW393" s="416">
        <v>14.7</v>
      </c>
      <c r="AX393" s="416">
        <v>11.9</v>
      </c>
      <c r="AY393" s="416">
        <v>9.56</v>
      </c>
      <c r="AZ393" s="416">
        <v>7.48</v>
      </c>
    </row>
    <row r="394" spans="1:52" x14ac:dyDescent="0.25">
      <c r="A394" s="415" t="str">
        <f t="shared" si="6"/>
        <v>SA-312 Gr.TP304H</v>
      </c>
      <c r="B394" s="415">
        <v>389</v>
      </c>
      <c r="C394" s="415" t="s">
        <v>3277</v>
      </c>
      <c r="D394" s="415" t="s">
        <v>2703</v>
      </c>
      <c r="E394" s="415" t="s">
        <v>2208</v>
      </c>
      <c r="F394" s="415" t="s">
        <v>2556</v>
      </c>
      <c r="G394" s="415" t="s">
        <v>3291</v>
      </c>
      <c r="H394" s="415">
        <v>0</v>
      </c>
      <c r="I394" s="415">
        <v>0</v>
      </c>
      <c r="J394" s="415">
        <v>8</v>
      </c>
      <c r="K394" s="415">
        <v>1</v>
      </c>
      <c r="L394" s="415">
        <v>1</v>
      </c>
      <c r="M394" s="415">
        <v>515</v>
      </c>
      <c r="N394" s="415">
        <v>205</v>
      </c>
      <c r="O394" s="415">
        <v>816</v>
      </c>
      <c r="P394" s="415" t="s">
        <v>3269</v>
      </c>
      <c r="Q394" s="415" t="s">
        <v>3607</v>
      </c>
      <c r="R394" s="415">
        <v>1</v>
      </c>
      <c r="S394" s="415">
        <v>138</v>
      </c>
      <c r="T394" s="416">
        <v>138</v>
      </c>
      <c r="U394" s="416">
        <v>138</v>
      </c>
      <c r="V394" s="416">
        <v>138</v>
      </c>
      <c r="W394" s="416">
        <v>138</v>
      </c>
      <c r="X394" s="416">
        <v>138</v>
      </c>
      <c r="Y394" s="416">
        <v>134</v>
      </c>
      <c r="Z394" s="416">
        <v>129</v>
      </c>
      <c r="AA394" s="416">
        <v>125</v>
      </c>
      <c r="AB394" s="416">
        <v>122</v>
      </c>
      <c r="AC394" s="416">
        <v>119</v>
      </c>
      <c r="AD394" s="416">
        <v>116</v>
      </c>
      <c r="AE394" s="416">
        <v>113</v>
      </c>
      <c r="AF394" s="416">
        <v>111</v>
      </c>
      <c r="AG394" s="416">
        <v>109</v>
      </c>
      <c r="AH394" s="416">
        <v>107</v>
      </c>
      <c r="AI394" s="416">
        <v>105</v>
      </c>
      <c r="AJ394" s="416">
        <v>103</v>
      </c>
      <c r="AK394" s="416">
        <v>101</v>
      </c>
      <c r="AL394" s="416">
        <v>1</v>
      </c>
      <c r="AM394" s="416">
        <v>99.1</v>
      </c>
      <c r="AN394" s="416">
        <v>97.3</v>
      </c>
      <c r="AO394" s="416">
        <v>95.5</v>
      </c>
      <c r="AP394" s="416">
        <v>78.900000000000006</v>
      </c>
      <c r="AQ394" s="416">
        <v>63.8</v>
      </c>
      <c r="AR394" s="416">
        <v>51.6</v>
      </c>
      <c r="AS394" s="416">
        <v>41.6</v>
      </c>
      <c r="AT394" s="416">
        <v>32.9</v>
      </c>
      <c r="AU394" s="416">
        <v>26.5</v>
      </c>
      <c r="AV394" s="416">
        <v>21.3</v>
      </c>
      <c r="AW394" s="416">
        <v>17.2</v>
      </c>
      <c r="AX394" s="416">
        <v>14.1</v>
      </c>
      <c r="AY394" s="416">
        <v>11.2</v>
      </c>
      <c r="AZ394" s="416">
        <v>8.8000000000000007</v>
      </c>
    </row>
    <row r="395" spans="1:52" x14ac:dyDescent="0.25">
      <c r="A395" s="415" t="str">
        <f t="shared" si="6"/>
        <v>SA-312 Gr.TP304H</v>
      </c>
      <c r="B395" s="415">
        <v>390</v>
      </c>
      <c r="C395" s="415" t="s">
        <v>3277</v>
      </c>
      <c r="D395" s="415" t="s">
        <v>2680</v>
      </c>
      <c r="E395" s="415" t="s">
        <v>2208</v>
      </c>
      <c r="F395" s="415" t="s">
        <v>2556</v>
      </c>
      <c r="G395" s="415" t="s">
        <v>3291</v>
      </c>
      <c r="H395" s="415">
        <v>0</v>
      </c>
      <c r="I395" s="415">
        <v>0</v>
      </c>
      <c r="J395" s="415">
        <v>8</v>
      </c>
      <c r="K395" s="415">
        <v>1</v>
      </c>
      <c r="L395" s="415">
        <v>2</v>
      </c>
      <c r="M395" s="415">
        <v>515</v>
      </c>
      <c r="N395" s="415">
        <v>205</v>
      </c>
      <c r="O395" s="415">
        <v>816</v>
      </c>
      <c r="P395" s="415" t="s">
        <v>3269</v>
      </c>
      <c r="Q395" s="415" t="s">
        <v>3612</v>
      </c>
      <c r="R395" s="415">
        <v>2</v>
      </c>
      <c r="S395" s="415">
        <v>117</v>
      </c>
      <c r="T395" s="416">
        <v>117</v>
      </c>
      <c r="U395" s="416">
        <v>117</v>
      </c>
      <c r="V395" s="416">
        <v>117</v>
      </c>
      <c r="W395" s="416">
        <v>117</v>
      </c>
      <c r="X395" s="416">
        <v>117</v>
      </c>
      <c r="Y395" s="416">
        <v>114</v>
      </c>
      <c r="Z395" s="416">
        <v>110</v>
      </c>
      <c r="AA395" s="416">
        <v>106</v>
      </c>
      <c r="AB395" s="416">
        <v>103</v>
      </c>
      <c r="AC395" s="416">
        <v>101</v>
      </c>
      <c r="AD395" s="416">
        <v>98.5</v>
      </c>
      <c r="AE395" s="416">
        <v>96.4</v>
      </c>
      <c r="AF395" s="416">
        <v>94.4</v>
      </c>
      <c r="AG395" s="416">
        <v>92.5</v>
      </c>
      <c r="AH395" s="416">
        <v>90.7</v>
      </c>
      <c r="AI395" s="416">
        <v>89</v>
      </c>
      <c r="AJ395" s="416">
        <v>87.4</v>
      </c>
      <c r="AK395" s="416">
        <v>85.8</v>
      </c>
      <c r="AL395" s="416">
        <v>2</v>
      </c>
      <c r="AM395" s="416">
        <v>84.3</v>
      </c>
      <c r="AN395" s="416">
        <v>82.7</v>
      </c>
      <c r="AO395" s="416">
        <v>81.2</v>
      </c>
      <c r="AP395" s="416">
        <v>67.099999999999994</v>
      </c>
      <c r="AQ395" s="416">
        <v>54.3</v>
      </c>
      <c r="AR395" s="416">
        <v>43.9</v>
      </c>
      <c r="AS395" s="416">
        <v>35.4</v>
      </c>
      <c r="AT395" s="416">
        <v>28</v>
      </c>
      <c r="AU395" s="416">
        <v>22.5</v>
      </c>
      <c r="AV395" s="416">
        <v>18.100000000000001</v>
      </c>
      <c r="AW395" s="416">
        <v>14.7</v>
      </c>
      <c r="AX395" s="416">
        <v>11.9</v>
      </c>
      <c r="AY395" s="416">
        <v>9.56</v>
      </c>
      <c r="AZ395" s="416">
        <v>7.48</v>
      </c>
    </row>
    <row r="396" spans="1:52" x14ac:dyDescent="0.25">
      <c r="A396" s="415" t="str">
        <f t="shared" si="6"/>
        <v>SA-376 Gr.TP304H</v>
      </c>
      <c r="B396" s="415">
        <v>391</v>
      </c>
      <c r="C396" s="415" t="s">
        <v>3277</v>
      </c>
      <c r="D396" s="415" t="s">
        <v>2703</v>
      </c>
      <c r="E396" s="415" t="s">
        <v>2225</v>
      </c>
      <c r="F396" s="415" t="s">
        <v>2556</v>
      </c>
      <c r="G396" s="415" t="s">
        <v>3291</v>
      </c>
      <c r="H396" s="415">
        <v>0</v>
      </c>
      <c r="I396" s="415">
        <v>0</v>
      </c>
      <c r="J396" s="415">
        <v>8</v>
      </c>
      <c r="K396" s="415">
        <v>1</v>
      </c>
      <c r="L396" s="415">
        <v>3</v>
      </c>
      <c r="M396" s="415">
        <v>515</v>
      </c>
      <c r="N396" s="415">
        <v>205</v>
      </c>
      <c r="O396" s="415">
        <v>816</v>
      </c>
      <c r="P396" s="415" t="s">
        <v>3269</v>
      </c>
      <c r="Q396" s="415" t="s">
        <v>3613</v>
      </c>
      <c r="R396" s="415">
        <v>3</v>
      </c>
      <c r="S396" s="415">
        <v>138</v>
      </c>
      <c r="T396" s="416">
        <v>138</v>
      </c>
      <c r="U396" s="416">
        <v>138</v>
      </c>
      <c r="V396" s="416">
        <v>138</v>
      </c>
      <c r="W396" s="416">
        <v>138</v>
      </c>
      <c r="X396" s="416">
        <v>138</v>
      </c>
      <c r="Y396" s="416">
        <v>134</v>
      </c>
      <c r="Z396" s="416">
        <v>129</v>
      </c>
      <c r="AA396" s="416">
        <v>125</v>
      </c>
      <c r="AB396" s="416">
        <v>122</v>
      </c>
      <c r="AC396" s="416">
        <v>119</v>
      </c>
      <c r="AD396" s="416">
        <v>116</v>
      </c>
      <c r="AE396" s="416">
        <v>113</v>
      </c>
      <c r="AF396" s="416">
        <v>111</v>
      </c>
      <c r="AG396" s="416">
        <v>109</v>
      </c>
      <c r="AH396" s="416">
        <v>107</v>
      </c>
      <c r="AI396" s="416">
        <v>105</v>
      </c>
      <c r="AJ396" s="416">
        <v>103</v>
      </c>
      <c r="AK396" s="416">
        <v>101</v>
      </c>
      <c r="AL396" s="416">
        <v>3</v>
      </c>
      <c r="AM396" s="416">
        <v>99.1</v>
      </c>
      <c r="AN396" s="416">
        <v>97.3</v>
      </c>
      <c r="AO396" s="416">
        <v>95.5</v>
      </c>
      <c r="AP396" s="416">
        <v>78.900000000000006</v>
      </c>
      <c r="AQ396" s="416">
        <v>63.8</v>
      </c>
      <c r="AR396" s="416">
        <v>51.6</v>
      </c>
      <c r="AS396" s="416">
        <v>41.6</v>
      </c>
      <c r="AT396" s="416">
        <v>32.9</v>
      </c>
      <c r="AU396" s="416">
        <v>26.5</v>
      </c>
      <c r="AV396" s="416">
        <v>21.3</v>
      </c>
      <c r="AW396" s="416">
        <v>17.2</v>
      </c>
      <c r="AX396" s="416">
        <v>14.1</v>
      </c>
      <c r="AY396" s="416">
        <v>11.2</v>
      </c>
      <c r="AZ396" s="416">
        <v>8.8000000000000007</v>
      </c>
    </row>
    <row r="397" spans="1:52" x14ac:dyDescent="0.25">
      <c r="A397" s="415" t="str">
        <f t="shared" si="6"/>
        <v>SA-403 Gr.304H</v>
      </c>
      <c r="B397" s="415">
        <v>392</v>
      </c>
      <c r="C397" s="415" t="s">
        <v>3277</v>
      </c>
      <c r="D397" s="415" t="s">
        <v>913</v>
      </c>
      <c r="E397" s="415" t="s">
        <v>2229</v>
      </c>
      <c r="F397" s="415" t="s">
        <v>2244</v>
      </c>
      <c r="G397" s="415" t="s">
        <v>3291</v>
      </c>
      <c r="H397" s="415" t="s">
        <v>3380</v>
      </c>
      <c r="I397" s="415">
        <v>0</v>
      </c>
      <c r="J397" s="415">
        <v>8</v>
      </c>
      <c r="K397" s="415">
        <v>1</v>
      </c>
      <c r="L397" s="415">
        <v>4</v>
      </c>
      <c r="M397" s="415">
        <v>515</v>
      </c>
      <c r="N397" s="415">
        <v>205</v>
      </c>
      <c r="O397" s="415">
        <v>816</v>
      </c>
      <c r="P397" s="415" t="s">
        <v>3269</v>
      </c>
      <c r="Q397" s="415" t="s">
        <v>3612</v>
      </c>
      <c r="R397" s="415">
        <v>4</v>
      </c>
      <c r="S397" s="415">
        <v>117</v>
      </c>
      <c r="T397" s="416">
        <v>117</v>
      </c>
      <c r="U397" s="416">
        <v>117</v>
      </c>
      <c r="V397" s="416">
        <v>117</v>
      </c>
      <c r="W397" s="416">
        <v>117</v>
      </c>
      <c r="X397" s="416">
        <v>117</v>
      </c>
      <c r="Y397" s="416">
        <v>114</v>
      </c>
      <c r="Z397" s="416">
        <v>110</v>
      </c>
      <c r="AA397" s="416">
        <v>106</v>
      </c>
      <c r="AB397" s="416">
        <v>103</v>
      </c>
      <c r="AC397" s="416">
        <v>101</v>
      </c>
      <c r="AD397" s="416">
        <v>98.5</v>
      </c>
      <c r="AE397" s="416">
        <v>96.4</v>
      </c>
      <c r="AF397" s="416">
        <v>94.4</v>
      </c>
      <c r="AG397" s="416">
        <v>92.5</v>
      </c>
      <c r="AH397" s="416">
        <v>90.7</v>
      </c>
      <c r="AI397" s="416">
        <v>89</v>
      </c>
      <c r="AJ397" s="416">
        <v>87.4</v>
      </c>
      <c r="AK397" s="416">
        <v>85.8</v>
      </c>
      <c r="AL397" s="416">
        <v>4</v>
      </c>
      <c r="AM397" s="416">
        <v>84.3</v>
      </c>
      <c r="AN397" s="416">
        <v>82.7</v>
      </c>
      <c r="AO397" s="416">
        <v>81.2</v>
      </c>
      <c r="AP397" s="416">
        <v>67.099999999999994</v>
      </c>
      <c r="AQ397" s="416">
        <v>54.3</v>
      </c>
      <c r="AR397" s="416">
        <v>43.9</v>
      </c>
      <c r="AS397" s="416">
        <v>35.4</v>
      </c>
      <c r="AT397" s="416">
        <v>28</v>
      </c>
      <c r="AU397" s="416">
        <v>22.5</v>
      </c>
      <c r="AV397" s="416">
        <v>18.100000000000001</v>
      </c>
      <c r="AW397" s="416">
        <v>14.7</v>
      </c>
      <c r="AX397" s="416">
        <v>11.9</v>
      </c>
      <c r="AY397" s="416">
        <v>9.56</v>
      </c>
      <c r="AZ397" s="416">
        <v>7.48</v>
      </c>
    </row>
    <row r="398" spans="1:52" x14ac:dyDescent="0.25">
      <c r="A398" s="415" t="str">
        <f t="shared" si="6"/>
        <v>SA-403 Gr.304H</v>
      </c>
      <c r="B398" s="415">
        <v>393</v>
      </c>
      <c r="C398" s="415" t="s">
        <v>3277</v>
      </c>
      <c r="D398" s="415" t="s">
        <v>913</v>
      </c>
      <c r="E398" s="415" t="s">
        <v>2229</v>
      </c>
      <c r="F398" s="415" t="s">
        <v>2244</v>
      </c>
      <c r="G398" s="415" t="s">
        <v>3291</v>
      </c>
      <c r="H398" s="415" t="s">
        <v>3381</v>
      </c>
      <c r="I398" s="415">
        <v>0</v>
      </c>
      <c r="J398" s="415">
        <v>8</v>
      </c>
      <c r="K398" s="415">
        <v>1</v>
      </c>
      <c r="L398" s="415">
        <v>5</v>
      </c>
      <c r="M398" s="415">
        <v>515</v>
      </c>
      <c r="N398" s="415">
        <v>205</v>
      </c>
      <c r="O398" s="415">
        <v>816</v>
      </c>
      <c r="P398" s="415" t="s">
        <v>3269</v>
      </c>
      <c r="Q398" s="415" t="s">
        <v>3607</v>
      </c>
      <c r="R398" s="415">
        <v>5</v>
      </c>
      <c r="S398" s="415">
        <v>138</v>
      </c>
      <c r="T398" s="416">
        <v>138</v>
      </c>
      <c r="U398" s="416">
        <v>138</v>
      </c>
      <c r="V398" s="416">
        <v>138</v>
      </c>
      <c r="W398" s="416">
        <v>138</v>
      </c>
      <c r="X398" s="416">
        <v>138</v>
      </c>
      <c r="Y398" s="416">
        <v>134</v>
      </c>
      <c r="Z398" s="416">
        <v>129</v>
      </c>
      <c r="AA398" s="416">
        <v>125</v>
      </c>
      <c r="AB398" s="416">
        <v>122</v>
      </c>
      <c r="AC398" s="416">
        <v>119</v>
      </c>
      <c r="AD398" s="416">
        <v>116</v>
      </c>
      <c r="AE398" s="416">
        <v>113</v>
      </c>
      <c r="AF398" s="416">
        <v>111</v>
      </c>
      <c r="AG398" s="416">
        <v>109</v>
      </c>
      <c r="AH398" s="416">
        <v>107</v>
      </c>
      <c r="AI398" s="416">
        <v>105</v>
      </c>
      <c r="AJ398" s="416">
        <v>103</v>
      </c>
      <c r="AK398" s="416">
        <v>101</v>
      </c>
      <c r="AL398" s="416">
        <v>5</v>
      </c>
      <c r="AM398" s="416">
        <v>99.1</v>
      </c>
      <c r="AN398" s="416">
        <v>97.3</v>
      </c>
      <c r="AO398" s="416">
        <v>95.5</v>
      </c>
      <c r="AP398" s="416">
        <v>78.900000000000006</v>
      </c>
      <c r="AQ398" s="416">
        <v>63.8</v>
      </c>
      <c r="AR398" s="416">
        <v>51.6</v>
      </c>
      <c r="AS398" s="416">
        <v>41.6</v>
      </c>
      <c r="AT398" s="416">
        <v>32.9</v>
      </c>
      <c r="AU398" s="416">
        <v>26.5</v>
      </c>
      <c r="AV398" s="416">
        <v>21.3</v>
      </c>
      <c r="AW398" s="416">
        <v>17.2</v>
      </c>
      <c r="AX398" s="416">
        <v>14.1</v>
      </c>
      <c r="AY398" s="416">
        <v>11.2</v>
      </c>
      <c r="AZ398" s="416">
        <v>8.8000000000000007</v>
      </c>
    </row>
    <row r="399" spans="1:52" x14ac:dyDescent="0.25">
      <c r="A399" s="415" t="str">
        <f t="shared" si="6"/>
        <v>SA-403 Gr.304H</v>
      </c>
      <c r="B399" s="415">
        <v>394</v>
      </c>
      <c r="C399" s="415" t="s">
        <v>3277</v>
      </c>
      <c r="D399" s="415" t="s">
        <v>3414</v>
      </c>
      <c r="E399" s="415" t="s">
        <v>2229</v>
      </c>
      <c r="F399" s="415" t="s">
        <v>2244</v>
      </c>
      <c r="G399" s="415" t="s">
        <v>3291</v>
      </c>
      <c r="H399" s="415" t="s">
        <v>3382</v>
      </c>
      <c r="I399" s="415">
        <v>0</v>
      </c>
      <c r="J399" s="415">
        <v>8</v>
      </c>
      <c r="K399" s="415">
        <v>1</v>
      </c>
      <c r="L399" s="415">
        <v>6</v>
      </c>
      <c r="M399" s="415">
        <v>515</v>
      </c>
      <c r="N399" s="415">
        <v>205</v>
      </c>
      <c r="O399" s="415">
        <v>816</v>
      </c>
      <c r="P399" s="415" t="s">
        <v>3269</v>
      </c>
      <c r="Q399" s="415" t="s">
        <v>3612</v>
      </c>
      <c r="R399" s="415">
        <v>6</v>
      </c>
      <c r="S399" s="415">
        <v>117</v>
      </c>
      <c r="T399" s="416">
        <v>117</v>
      </c>
      <c r="U399" s="416">
        <v>117</v>
      </c>
      <c r="V399" s="416">
        <v>117</v>
      </c>
      <c r="W399" s="416">
        <v>117</v>
      </c>
      <c r="X399" s="416">
        <v>117</v>
      </c>
      <c r="Y399" s="416">
        <v>114</v>
      </c>
      <c r="Z399" s="416">
        <v>110</v>
      </c>
      <c r="AA399" s="416">
        <v>106</v>
      </c>
      <c r="AB399" s="416">
        <v>103</v>
      </c>
      <c r="AC399" s="416">
        <v>101</v>
      </c>
      <c r="AD399" s="416">
        <v>98.5</v>
      </c>
      <c r="AE399" s="416">
        <v>96.4</v>
      </c>
      <c r="AF399" s="416">
        <v>94.4</v>
      </c>
      <c r="AG399" s="416">
        <v>92.5</v>
      </c>
      <c r="AH399" s="416">
        <v>90.7</v>
      </c>
      <c r="AI399" s="416">
        <v>89</v>
      </c>
      <c r="AJ399" s="416">
        <v>87.4</v>
      </c>
      <c r="AK399" s="416">
        <v>85.8</v>
      </c>
      <c r="AL399" s="416">
        <v>6</v>
      </c>
      <c r="AM399" s="416">
        <v>84.3</v>
      </c>
      <c r="AN399" s="416">
        <v>82.7</v>
      </c>
      <c r="AO399" s="416">
        <v>81.2</v>
      </c>
      <c r="AP399" s="416">
        <v>67.099999999999994</v>
      </c>
      <c r="AQ399" s="416">
        <v>54.3</v>
      </c>
      <c r="AR399" s="416">
        <v>43.9</v>
      </c>
      <c r="AS399" s="416">
        <v>35.4</v>
      </c>
      <c r="AT399" s="416">
        <v>28</v>
      </c>
      <c r="AU399" s="416">
        <v>22.5</v>
      </c>
      <c r="AV399" s="416">
        <v>18.100000000000001</v>
      </c>
      <c r="AW399" s="416">
        <v>14.7</v>
      </c>
      <c r="AX399" s="416">
        <v>11.9</v>
      </c>
      <c r="AY399" s="416">
        <v>9.56</v>
      </c>
      <c r="AZ399" s="416">
        <v>7.48</v>
      </c>
    </row>
    <row r="400" spans="1:52" x14ac:dyDescent="0.25">
      <c r="A400" s="415" t="str">
        <f t="shared" si="6"/>
        <v>SA-403 Gr.304H</v>
      </c>
      <c r="B400" s="415">
        <v>395</v>
      </c>
      <c r="C400" s="415" t="s">
        <v>3277</v>
      </c>
      <c r="D400" s="415" t="s">
        <v>3414</v>
      </c>
      <c r="E400" s="415" t="s">
        <v>2229</v>
      </c>
      <c r="F400" s="415" t="s">
        <v>2244</v>
      </c>
      <c r="G400" s="415" t="s">
        <v>3291</v>
      </c>
      <c r="H400" s="415" t="s">
        <v>3384</v>
      </c>
      <c r="I400" s="415">
        <v>0</v>
      </c>
      <c r="J400" s="415">
        <v>8</v>
      </c>
      <c r="K400" s="415">
        <v>1</v>
      </c>
      <c r="L400" s="415">
        <v>7</v>
      </c>
      <c r="M400" s="415">
        <v>515</v>
      </c>
      <c r="N400" s="415">
        <v>205</v>
      </c>
      <c r="O400" s="415">
        <v>816</v>
      </c>
      <c r="P400" s="415" t="s">
        <v>3269</v>
      </c>
      <c r="Q400" s="415" t="s">
        <v>3612</v>
      </c>
      <c r="R400" s="415">
        <v>7</v>
      </c>
      <c r="S400" s="415">
        <v>117</v>
      </c>
      <c r="T400" s="416">
        <v>117</v>
      </c>
      <c r="U400" s="416">
        <v>117</v>
      </c>
      <c r="V400" s="416">
        <v>117</v>
      </c>
      <c r="W400" s="416">
        <v>117</v>
      </c>
      <c r="X400" s="416">
        <v>117</v>
      </c>
      <c r="Y400" s="416">
        <v>114</v>
      </c>
      <c r="Z400" s="416">
        <v>110</v>
      </c>
      <c r="AA400" s="416">
        <v>106</v>
      </c>
      <c r="AB400" s="416">
        <v>103</v>
      </c>
      <c r="AC400" s="416">
        <v>101</v>
      </c>
      <c r="AD400" s="416">
        <v>98.5</v>
      </c>
      <c r="AE400" s="416">
        <v>96.4</v>
      </c>
      <c r="AF400" s="416">
        <v>94.4</v>
      </c>
      <c r="AG400" s="416">
        <v>92.5</v>
      </c>
      <c r="AH400" s="416">
        <v>90.7</v>
      </c>
      <c r="AI400" s="416">
        <v>89</v>
      </c>
      <c r="AJ400" s="416">
        <v>87.4</v>
      </c>
      <c r="AK400" s="416">
        <v>85.8</v>
      </c>
      <c r="AL400" s="416">
        <v>7</v>
      </c>
      <c r="AM400" s="416">
        <v>84.3</v>
      </c>
      <c r="AN400" s="416">
        <v>82.7</v>
      </c>
      <c r="AO400" s="416">
        <v>81.2</v>
      </c>
      <c r="AP400" s="416">
        <v>67.099999999999994</v>
      </c>
      <c r="AQ400" s="416">
        <v>54.3</v>
      </c>
      <c r="AR400" s="416">
        <v>43.9</v>
      </c>
      <c r="AS400" s="416">
        <v>35.4</v>
      </c>
      <c r="AT400" s="416">
        <v>28</v>
      </c>
      <c r="AU400" s="416">
        <v>22.5</v>
      </c>
      <c r="AV400" s="416">
        <v>18.100000000000001</v>
      </c>
      <c r="AW400" s="416">
        <v>14.7</v>
      </c>
      <c r="AX400" s="416">
        <v>11.9</v>
      </c>
      <c r="AY400" s="416">
        <v>9.56</v>
      </c>
      <c r="AZ400" s="416">
        <v>7.48</v>
      </c>
    </row>
    <row r="401" spans="1:52" x14ac:dyDescent="0.25">
      <c r="A401" s="415" t="str">
        <f t="shared" si="6"/>
        <v>SA-213 Gr.TP304N</v>
      </c>
      <c r="B401" s="415">
        <v>396</v>
      </c>
      <c r="C401" s="415" t="s">
        <v>3316</v>
      </c>
      <c r="D401" s="415" t="s">
        <v>2693</v>
      </c>
      <c r="E401" s="415" t="s">
        <v>2195</v>
      </c>
      <c r="F401" s="415" t="s">
        <v>2559</v>
      </c>
      <c r="G401" s="415" t="s">
        <v>3318</v>
      </c>
      <c r="H401" s="415">
        <v>0</v>
      </c>
      <c r="I401" s="415">
        <v>0</v>
      </c>
      <c r="J401" s="415">
        <v>8</v>
      </c>
      <c r="K401" s="415">
        <v>1</v>
      </c>
      <c r="L401" s="415">
        <v>8</v>
      </c>
      <c r="M401" s="415">
        <v>550</v>
      </c>
      <c r="N401" s="415">
        <v>240</v>
      </c>
      <c r="O401" s="415">
        <v>649</v>
      </c>
      <c r="P401" s="415" t="s">
        <v>3269</v>
      </c>
      <c r="Q401" s="415" t="s">
        <v>3623</v>
      </c>
      <c r="R401" s="415">
        <v>8</v>
      </c>
      <c r="S401" s="415">
        <v>161</v>
      </c>
      <c r="T401" s="416">
        <v>161</v>
      </c>
      <c r="U401" s="416">
        <v>161</v>
      </c>
      <c r="V401" s="416">
        <v>161</v>
      </c>
      <c r="W401" s="416">
        <v>161</v>
      </c>
      <c r="X401" s="416">
        <v>155</v>
      </c>
      <c r="Y401" s="416">
        <v>147</v>
      </c>
      <c r="Z401" s="416">
        <v>141</v>
      </c>
      <c r="AA401" s="416">
        <v>136</v>
      </c>
      <c r="AB401" s="416">
        <v>132</v>
      </c>
      <c r="AC401" s="416">
        <v>128</v>
      </c>
      <c r="AD401" s="416">
        <v>125</v>
      </c>
      <c r="AE401" s="416">
        <v>123</v>
      </c>
      <c r="AF401" s="416">
        <v>120</v>
      </c>
      <c r="AG401" s="416">
        <v>118</v>
      </c>
      <c r="AH401" s="416">
        <v>117</v>
      </c>
      <c r="AI401" s="416">
        <v>115</v>
      </c>
      <c r="AJ401" s="416">
        <v>113</v>
      </c>
      <c r="AK401" s="416">
        <v>111</v>
      </c>
      <c r="AL401" s="416">
        <v>8</v>
      </c>
      <c r="AM401" s="416">
        <v>108</v>
      </c>
      <c r="AN401" s="416">
        <v>106</v>
      </c>
      <c r="AO401" s="416">
        <v>97.5</v>
      </c>
      <c r="AP401" s="416">
        <v>78.900000000000006</v>
      </c>
      <c r="AQ401" s="416">
        <v>63.8</v>
      </c>
      <c r="AR401" s="416">
        <v>51.6</v>
      </c>
      <c r="AS401" s="416">
        <v>41.6</v>
      </c>
      <c r="AT401" s="416">
        <v>0</v>
      </c>
      <c r="AU401" s="416">
        <v>0</v>
      </c>
      <c r="AV401" s="416">
        <v>0</v>
      </c>
      <c r="AW401" s="416">
        <v>0</v>
      </c>
      <c r="AX401" s="416">
        <v>0</v>
      </c>
      <c r="AY401" s="416">
        <v>0</v>
      </c>
      <c r="AZ401" s="416">
        <v>0</v>
      </c>
    </row>
    <row r="402" spans="1:52" x14ac:dyDescent="0.25">
      <c r="A402" s="415" t="str">
        <f t="shared" si="6"/>
        <v>SA-240 Gr.304N</v>
      </c>
      <c r="B402" s="415">
        <v>397</v>
      </c>
      <c r="C402" s="415" t="s">
        <v>3316</v>
      </c>
      <c r="D402" s="415" t="s">
        <v>2684</v>
      </c>
      <c r="E402" s="415" t="s">
        <v>2165</v>
      </c>
      <c r="F402" s="415" t="s">
        <v>2250</v>
      </c>
      <c r="G402" s="415" t="s">
        <v>3318</v>
      </c>
      <c r="H402" s="415">
        <v>0</v>
      </c>
      <c r="I402" s="415">
        <v>0</v>
      </c>
      <c r="J402" s="415">
        <v>8</v>
      </c>
      <c r="K402" s="415">
        <v>1</v>
      </c>
      <c r="L402" s="415">
        <v>9</v>
      </c>
      <c r="M402" s="415">
        <v>550</v>
      </c>
      <c r="N402" s="415">
        <v>240</v>
      </c>
      <c r="O402" s="415">
        <v>649</v>
      </c>
      <c r="P402" s="415" t="s">
        <v>3269</v>
      </c>
      <c r="Q402" s="415" t="s">
        <v>3623</v>
      </c>
      <c r="R402" s="415">
        <v>9</v>
      </c>
      <c r="S402" s="415">
        <v>161</v>
      </c>
      <c r="T402" s="416">
        <v>161</v>
      </c>
      <c r="U402" s="416">
        <v>161</v>
      </c>
      <c r="V402" s="416">
        <v>161</v>
      </c>
      <c r="W402" s="416">
        <v>161</v>
      </c>
      <c r="X402" s="416">
        <v>155</v>
      </c>
      <c r="Y402" s="416">
        <v>147</v>
      </c>
      <c r="Z402" s="416">
        <v>141</v>
      </c>
      <c r="AA402" s="416">
        <v>136</v>
      </c>
      <c r="AB402" s="416">
        <v>132</v>
      </c>
      <c r="AC402" s="416">
        <v>128</v>
      </c>
      <c r="AD402" s="416">
        <v>125</v>
      </c>
      <c r="AE402" s="416">
        <v>123</v>
      </c>
      <c r="AF402" s="416">
        <v>120</v>
      </c>
      <c r="AG402" s="416">
        <v>118</v>
      </c>
      <c r="AH402" s="416">
        <v>117</v>
      </c>
      <c r="AI402" s="416">
        <v>115</v>
      </c>
      <c r="AJ402" s="416">
        <v>113</v>
      </c>
      <c r="AK402" s="416">
        <v>111</v>
      </c>
      <c r="AL402" s="416">
        <v>9</v>
      </c>
      <c r="AM402" s="416">
        <v>108</v>
      </c>
      <c r="AN402" s="416">
        <v>106</v>
      </c>
      <c r="AO402" s="416">
        <v>97.5</v>
      </c>
      <c r="AP402" s="416">
        <v>78.900000000000006</v>
      </c>
      <c r="AQ402" s="416">
        <v>63.8</v>
      </c>
      <c r="AR402" s="416">
        <v>51.6</v>
      </c>
      <c r="AS402" s="416">
        <v>41.6</v>
      </c>
      <c r="AT402" s="416">
        <v>0</v>
      </c>
      <c r="AU402" s="416">
        <v>0</v>
      </c>
      <c r="AV402" s="416">
        <v>0</v>
      </c>
      <c r="AW402" s="416">
        <v>0</v>
      </c>
      <c r="AX402" s="416">
        <v>0</v>
      </c>
      <c r="AY402" s="416">
        <v>0</v>
      </c>
      <c r="AZ402" s="416">
        <v>0</v>
      </c>
    </row>
    <row r="403" spans="1:52" x14ac:dyDescent="0.25">
      <c r="A403" s="415" t="str">
        <f t="shared" si="6"/>
        <v>SA-249 Gr.TP304N</v>
      </c>
      <c r="B403" s="415">
        <v>398</v>
      </c>
      <c r="C403" s="415" t="s">
        <v>3316</v>
      </c>
      <c r="D403" s="415" t="s">
        <v>2689</v>
      </c>
      <c r="E403" s="415" t="s">
        <v>2200</v>
      </c>
      <c r="F403" s="415" t="s">
        <v>2559</v>
      </c>
      <c r="G403" s="415" t="s">
        <v>3318</v>
      </c>
      <c r="H403" s="415">
        <v>0</v>
      </c>
      <c r="I403" s="415">
        <v>0</v>
      </c>
      <c r="J403" s="415">
        <v>8</v>
      </c>
      <c r="K403" s="415">
        <v>1</v>
      </c>
      <c r="L403" s="415">
        <v>10</v>
      </c>
      <c r="M403" s="415">
        <v>550</v>
      </c>
      <c r="N403" s="415">
        <v>240</v>
      </c>
      <c r="O403" s="415">
        <v>649</v>
      </c>
      <c r="P403" s="415" t="s">
        <v>3269</v>
      </c>
      <c r="Q403" s="415" t="s">
        <v>3624</v>
      </c>
      <c r="R403" s="415">
        <v>10</v>
      </c>
      <c r="S403" s="415">
        <v>137</v>
      </c>
      <c r="T403" s="416">
        <v>137</v>
      </c>
      <c r="U403" s="416">
        <v>137</v>
      </c>
      <c r="V403" s="416">
        <v>137</v>
      </c>
      <c r="W403" s="416">
        <v>137</v>
      </c>
      <c r="X403" s="416">
        <v>132</v>
      </c>
      <c r="Y403" s="416">
        <v>125</v>
      </c>
      <c r="Z403" s="416">
        <v>120</v>
      </c>
      <c r="AA403" s="416">
        <v>116</v>
      </c>
      <c r="AB403" s="416">
        <v>112</v>
      </c>
      <c r="AC403" s="416">
        <v>109</v>
      </c>
      <c r="AD403" s="416">
        <v>106</v>
      </c>
      <c r="AE403" s="416">
        <v>104</v>
      </c>
      <c r="AF403" s="416">
        <v>102</v>
      </c>
      <c r="AG403" s="416">
        <v>101</v>
      </c>
      <c r="AH403" s="416">
        <v>99</v>
      </c>
      <c r="AI403" s="416">
        <v>97.4</v>
      </c>
      <c r="AJ403" s="416">
        <v>95.8</v>
      </c>
      <c r="AK403" s="416">
        <v>94</v>
      </c>
      <c r="AL403" s="416">
        <v>10</v>
      </c>
      <c r="AM403" s="416">
        <v>92.2</v>
      </c>
      <c r="AN403" s="416">
        <v>90.3</v>
      </c>
      <c r="AO403" s="416">
        <v>82.9</v>
      </c>
      <c r="AP403" s="416">
        <v>67.099999999999994</v>
      </c>
      <c r="AQ403" s="416">
        <v>54.3</v>
      </c>
      <c r="AR403" s="416">
        <v>43.9</v>
      </c>
      <c r="AS403" s="416">
        <v>35.4</v>
      </c>
      <c r="AT403" s="416">
        <v>0</v>
      </c>
      <c r="AU403" s="416">
        <v>0</v>
      </c>
      <c r="AV403" s="416">
        <v>0</v>
      </c>
      <c r="AW403" s="416">
        <v>0</v>
      </c>
      <c r="AX403" s="416">
        <v>0</v>
      </c>
      <c r="AY403" s="416">
        <v>0</v>
      </c>
      <c r="AZ403" s="416">
        <v>0</v>
      </c>
    </row>
    <row r="404" spans="1:52" x14ac:dyDescent="0.25">
      <c r="A404" s="415" t="str">
        <f t="shared" si="6"/>
        <v>SA-312 Gr.TP304N</v>
      </c>
      <c r="B404" s="415">
        <v>399</v>
      </c>
      <c r="C404" s="415" t="s">
        <v>3316</v>
      </c>
      <c r="D404" s="415" t="s">
        <v>2703</v>
      </c>
      <c r="E404" s="415" t="s">
        <v>2208</v>
      </c>
      <c r="F404" s="415" t="s">
        <v>2559</v>
      </c>
      <c r="G404" s="415" t="s">
        <v>3318</v>
      </c>
      <c r="H404" s="415">
        <v>0</v>
      </c>
      <c r="I404" s="415">
        <v>0</v>
      </c>
      <c r="J404" s="415">
        <v>8</v>
      </c>
      <c r="K404" s="415">
        <v>1</v>
      </c>
      <c r="L404" s="415">
        <v>11</v>
      </c>
      <c r="M404" s="415">
        <v>550</v>
      </c>
      <c r="N404" s="415">
        <v>240</v>
      </c>
      <c r="O404" s="415">
        <v>649</v>
      </c>
      <c r="P404" s="415" t="s">
        <v>3269</v>
      </c>
      <c r="Q404" s="415" t="s">
        <v>3623</v>
      </c>
      <c r="R404" s="415">
        <v>11</v>
      </c>
      <c r="S404" s="415">
        <v>161</v>
      </c>
      <c r="T404" s="416">
        <v>161</v>
      </c>
      <c r="U404" s="416">
        <v>161</v>
      </c>
      <c r="V404" s="416">
        <v>161</v>
      </c>
      <c r="W404" s="416">
        <v>161</v>
      </c>
      <c r="X404" s="416">
        <v>155</v>
      </c>
      <c r="Y404" s="416">
        <v>147</v>
      </c>
      <c r="Z404" s="416">
        <v>141</v>
      </c>
      <c r="AA404" s="416">
        <v>136</v>
      </c>
      <c r="AB404" s="416">
        <v>132</v>
      </c>
      <c r="AC404" s="416">
        <v>128</v>
      </c>
      <c r="AD404" s="416">
        <v>125</v>
      </c>
      <c r="AE404" s="416">
        <v>123</v>
      </c>
      <c r="AF404" s="416">
        <v>120</v>
      </c>
      <c r="AG404" s="416">
        <v>118</v>
      </c>
      <c r="AH404" s="416">
        <v>117</v>
      </c>
      <c r="AI404" s="416">
        <v>115</v>
      </c>
      <c r="AJ404" s="416">
        <v>113</v>
      </c>
      <c r="AK404" s="416">
        <v>111</v>
      </c>
      <c r="AL404" s="416">
        <v>11</v>
      </c>
      <c r="AM404" s="416">
        <v>108</v>
      </c>
      <c r="AN404" s="416">
        <v>106</v>
      </c>
      <c r="AO404" s="416">
        <v>97.5</v>
      </c>
      <c r="AP404" s="416">
        <v>78.900000000000006</v>
      </c>
      <c r="AQ404" s="416">
        <v>63.8</v>
      </c>
      <c r="AR404" s="416">
        <v>51.6</v>
      </c>
      <c r="AS404" s="416">
        <v>41.6</v>
      </c>
      <c r="AT404" s="416">
        <v>0</v>
      </c>
      <c r="AU404" s="416">
        <v>0</v>
      </c>
      <c r="AV404" s="416">
        <v>0</v>
      </c>
      <c r="AW404" s="416">
        <v>0</v>
      </c>
      <c r="AX404" s="416">
        <v>0</v>
      </c>
      <c r="AY404" s="416">
        <v>0</v>
      </c>
      <c r="AZ404" s="416">
        <v>0</v>
      </c>
    </row>
    <row r="405" spans="1:52" x14ac:dyDescent="0.25">
      <c r="A405" s="415" t="str">
        <f t="shared" si="6"/>
        <v>SA-312 Gr.TP304N</v>
      </c>
      <c r="B405" s="415">
        <v>400</v>
      </c>
      <c r="C405" s="415" t="s">
        <v>3316</v>
      </c>
      <c r="D405" s="415" t="s">
        <v>2680</v>
      </c>
      <c r="E405" s="415" t="s">
        <v>2208</v>
      </c>
      <c r="F405" s="415" t="s">
        <v>2559</v>
      </c>
      <c r="G405" s="415" t="s">
        <v>3318</v>
      </c>
      <c r="H405" s="415">
        <v>0</v>
      </c>
      <c r="I405" s="415">
        <v>0</v>
      </c>
      <c r="J405" s="415">
        <v>8</v>
      </c>
      <c r="K405" s="415">
        <v>1</v>
      </c>
      <c r="L405" s="415">
        <v>12</v>
      </c>
      <c r="M405" s="415">
        <v>550</v>
      </c>
      <c r="N405" s="415">
        <v>240</v>
      </c>
      <c r="O405" s="415">
        <v>649</v>
      </c>
      <c r="P405" s="415" t="s">
        <v>3269</v>
      </c>
      <c r="Q405" s="415" t="s">
        <v>3624</v>
      </c>
      <c r="R405" s="415">
        <v>12</v>
      </c>
      <c r="S405" s="415">
        <v>137</v>
      </c>
      <c r="T405" s="416">
        <v>137</v>
      </c>
      <c r="U405" s="416">
        <v>137</v>
      </c>
      <c r="V405" s="416">
        <v>137</v>
      </c>
      <c r="W405" s="416">
        <v>137</v>
      </c>
      <c r="X405" s="416">
        <v>132</v>
      </c>
      <c r="Y405" s="416">
        <v>125</v>
      </c>
      <c r="Z405" s="416">
        <v>120</v>
      </c>
      <c r="AA405" s="416">
        <v>116</v>
      </c>
      <c r="AB405" s="416">
        <v>112</v>
      </c>
      <c r="AC405" s="416">
        <v>109</v>
      </c>
      <c r="AD405" s="416">
        <v>106</v>
      </c>
      <c r="AE405" s="416">
        <v>104</v>
      </c>
      <c r="AF405" s="416">
        <v>102</v>
      </c>
      <c r="AG405" s="416">
        <v>101</v>
      </c>
      <c r="AH405" s="416">
        <v>99</v>
      </c>
      <c r="AI405" s="416">
        <v>97.4</v>
      </c>
      <c r="AJ405" s="416">
        <v>95.8</v>
      </c>
      <c r="AK405" s="416">
        <v>94</v>
      </c>
      <c r="AL405" s="416">
        <v>12</v>
      </c>
      <c r="AM405" s="416">
        <v>92.2</v>
      </c>
      <c r="AN405" s="416">
        <v>90.3</v>
      </c>
      <c r="AO405" s="416">
        <v>82.9</v>
      </c>
      <c r="AP405" s="416">
        <v>67.099999999999994</v>
      </c>
      <c r="AQ405" s="416">
        <v>54.3</v>
      </c>
      <c r="AR405" s="416">
        <v>43.9</v>
      </c>
      <c r="AS405" s="416">
        <v>35.4</v>
      </c>
      <c r="AT405" s="416">
        <v>0</v>
      </c>
      <c r="AU405" s="416">
        <v>0</v>
      </c>
      <c r="AV405" s="416">
        <v>0</v>
      </c>
      <c r="AW405" s="416">
        <v>0</v>
      </c>
      <c r="AX405" s="416">
        <v>0</v>
      </c>
      <c r="AY405" s="416">
        <v>0</v>
      </c>
      <c r="AZ405" s="416">
        <v>0</v>
      </c>
    </row>
    <row r="406" spans="1:52" x14ac:dyDescent="0.25">
      <c r="A406" s="415" t="str">
        <f t="shared" si="6"/>
        <v>SA-376 Gr.TP304N</v>
      </c>
      <c r="B406" s="415">
        <v>401</v>
      </c>
      <c r="C406" s="415" t="s">
        <v>3316</v>
      </c>
      <c r="D406" s="415" t="s">
        <v>2703</v>
      </c>
      <c r="E406" s="415" t="s">
        <v>2225</v>
      </c>
      <c r="F406" s="415" t="s">
        <v>2559</v>
      </c>
      <c r="G406" s="415" t="s">
        <v>3318</v>
      </c>
      <c r="H406" s="415">
        <v>0</v>
      </c>
      <c r="I406" s="415">
        <v>0</v>
      </c>
      <c r="J406" s="415">
        <v>8</v>
      </c>
      <c r="K406" s="415">
        <v>1</v>
      </c>
      <c r="L406" s="415">
        <v>13</v>
      </c>
      <c r="M406" s="415">
        <v>550</v>
      </c>
      <c r="N406" s="415">
        <v>240</v>
      </c>
      <c r="O406" s="415">
        <v>649</v>
      </c>
      <c r="P406" s="415" t="s">
        <v>3269</v>
      </c>
      <c r="Q406" s="415" t="s">
        <v>3625</v>
      </c>
      <c r="R406" s="415">
        <v>13</v>
      </c>
      <c r="S406" s="415">
        <v>161</v>
      </c>
      <c r="T406" s="416">
        <v>161</v>
      </c>
      <c r="U406" s="416">
        <v>161</v>
      </c>
      <c r="V406" s="416">
        <v>161</v>
      </c>
      <c r="W406" s="416">
        <v>161</v>
      </c>
      <c r="X406" s="416">
        <v>155</v>
      </c>
      <c r="Y406" s="416">
        <v>147</v>
      </c>
      <c r="Z406" s="416">
        <v>141</v>
      </c>
      <c r="AA406" s="416">
        <v>136</v>
      </c>
      <c r="AB406" s="416">
        <v>132</v>
      </c>
      <c r="AC406" s="416">
        <v>128</v>
      </c>
      <c r="AD406" s="416">
        <v>125</v>
      </c>
      <c r="AE406" s="416">
        <v>123</v>
      </c>
      <c r="AF406" s="416">
        <v>120</v>
      </c>
      <c r="AG406" s="416">
        <v>118</v>
      </c>
      <c r="AH406" s="416">
        <v>117</v>
      </c>
      <c r="AI406" s="416">
        <v>115</v>
      </c>
      <c r="AJ406" s="416">
        <v>113</v>
      </c>
      <c r="AK406" s="416">
        <v>111</v>
      </c>
      <c r="AL406" s="416">
        <v>13</v>
      </c>
      <c r="AM406" s="416">
        <v>108</v>
      </c>
      <c r="AN406" s="416">
        <v>106</v>
      </c>
      <c r="AO406" s="416">
        <v>97.5</v>
      </c>
      <c r="AP406" s="416">
        <v>78.900000000000006</v>
      </c>
      <c r="AQ406" s="416">
        <v>63.8</v>
      </c>
      <c r="AR406" s="416">
        <v>51.6</v>
      </c>
      <c r="AS406" s="416">
        <v>41.6</v>
      </c>
      <c r="AT406" s="416">
        <v>0</v>
      </c>
      <c r="AU406" s="416">
        <v>0</v>
      </c>
      <c r="AV406" s="416">
        <v>0</v>
      </c>
      <c r="AW406" s="416">
        <v>0</v>
      </c>
      <c r="AX406" s="416">
        <v>0</v>
      </c>
      <c r="AY406" s="416">
        <v>0</v>
      </c>
      <c r="AZ406" s="416">
        <v>0</v>
      </c>
    </row>
    <row r="407" spans="1:52" x14ac:dyDescent="0.25">
      <c r="A407" s="415" t="str">
        <f t="shared" si="6"/>
        <v>SA-403 Gr.304N</v>
      </c>
      <c r="B407" s="415">
        <v>402</v>
      </c>
      <c r="C407" s="415" t="s">
        <v>3316</v>
      </c>
      <c r="D407" s="415" t="s">
        <v>913</v>
      </c>
      <c r="E407" s="415" t="s">
        <v>2229</v>
      </c>
      <c r="F407" s="415" t="s">
        <v>2250</v>
      </c>
      <c r="G407" s="415" t="s">
        <v>3318</v>
      </c>
      <c r="H407" s="415" t="s">
        <v>3380</v>
      </c>
      <c r="I407" s="415">
        <v>0</v>
      </c>
      <c r="J407" s="415">
        <v>8</v>
      </c>
      <c r="K407" s="415">
        <v>1</v>
      </c>
      <c r="L407" s="415">
        <v>14</v>
      </c>
      <c r="M407" s="415">
        <v>550</v>
      </c>
      <c r="N407" s="415">
        <v>240</v>
      </c>
      <c r="O407" s="415">
        <v>649</v>
      </c>
      <c r="P407" s="415" t="s">
        <v>3269</v>
      </c>
      <c r="Q407" s="415" t="s">
        <v>3624</v>
      </c>
      <c r="R407" s="415">
        <v>14</v>
      </c>
      <c r="S407" s="415">
        <v>137</v>
      </c>
      <c r="T407" s="416">
        <v>137</v>
      </c>
      <c r="U407" s="416">
        <v>137</v>
      </c>
      <c r="V407" s="416">
        <v>137</v>
      </c>
      <c r="W407" s="416">
        <v>137</v>
      </c>
      <c r="X407" s="416">
        <v>132</v>
      </c>
      <c r="Y407" s="416">
        <v>125</v>
      </c>
      <c r="Z407" s="416">
        <v>120</v>
      </c>
      <c r="AA407" s="416">
        <v>116</v>
      </c>
      <c r="AB407" s="416">
        <v>112</v>
      </c>
      <c r="AC407" s="416">
        <v>109</v>
      </c>
      <c r="AD407" s="416">
        <v>106</v>
      </c>
      <c r="AE407" s="416">
        <v>104</v>
      </c>
      <c r="AF407" s="416">
        <v>102</v>
      </c>
      <c r="AG407" s="416">
        <v>101</v>
      </c>
      <c r="AH407" s="416">
        <v>99</v>
      </c>
      <c r="AI407" s="416">
        <v>97.4</v>
      </c>
      <c r="AJ407" s="416">
        <v>95.8</v>
      </c>
      <c r="AK407" s="416">
        <v>94</v>
      </c>
      <c r="AL407" s="416">
        <v>14</v>
      </c>
      <c r="AM407" s="416">
        <v>92.2</v>
      </c>
      <c r="AN407" s="416">
        <v>90.3</v>
      </c>
      <c r="AO407" s="416">
        <v>82.9</v>
      </c>
      <c r="AP407" s="416">
        <v>67.099999999999994</v>
      </c>
      <c r="AQ407" s="416">
        <v>54.3</v>
      </c>
      <c r="AR407" s="416">
        <v>43.9</v>
      </c>
      <c r="AS407" s="416">
        <v>35.4</v>
      </c>
      <c r="AT407" s="416">
        <v>0</v>
      </c>
      <c r="AU407" s="416">
        <v>0</v>
      </c>
      <c r="AV407" s="416">
        <v>0</v>
      </c>
      <c r="AW407" s="416">
        <v>0</v>
      </c>
      <c r="AX407" s="416">
        <v>0</v>
      </c>
      <c r="AY407" s="416">
        <v>0</v>
      </c>
      <c r="AZ407" s="416">
        <v>0</v>
      </c>
    </row>
    <row r="408" spans="1:52" x14ac:dyDescent="0.25">
      <c r="A408" s="415" t="str">
        <f t="shared" si="6"/>
        <v>SA-403 Gr.304N</v>
      </c>
      <c r="B408" s="415">
        <v>403</v>
      </c>
      <c r="C408" s="415" t="s">
        <v>3316</v>
      </c>
      <c r="D408" s="415" t="s">
        <v>3414</v>
      </c>
      <c r="E408" s="415" t="s">
        <v>2229</v>
      </c>
      <c r="F408" s="415" t="s">
        <v>2250</v>
      </c>
      <c r="G408" s="415" t="s">
        <v>3318</v>
      </c>
      <c r="H408" s="415" t="s">
        <v>3382</v>
      </c>
      <c r="I408" s="415">
        <v>0</v>
      </c>
      <c r="J408" s="415">
        <v>8</v>
      </c>
      <c r="K408" s="415">
        <v>1</v>
      </c>
      <c r="L408" s="415">
        <v>15</v>
      </c>
      <c r="M408" s="415">
        <v>550</v>
      </c>
      <c r="N408" s="415">
        <v>240</v>
      </c>
      <c r="O408" s="415">
        <v>649</v>
      </c>
      <c r="P408" s="415" t="s">
        <v>3269</v>
      </c>
      <c r="Q408" s="415" t="s">
        <v>3624</v>
      </c>
      <c r="R408" s="415">
        <v>15</v>
      </c>
      <c r="S408" s="415">
        <v>137</v>
      </c>
      <c r="T408" s="416">
        <v>137</v>
      </c>
      <c r="U408" s="416">
        <v>137</v>
      </c>
      <c r="V408" s="416">
        <v>137</v>
      </c>
      <c r="W408" s="416">
        <v>137</v>
      </c>
      <c r="X408" s="416">
        <v>132</v>
      </c>
      <c r="Y408" s="416">
        <v>125</v>
      </c>
      <c r="Z408" s="416">
        <v>120</v>
      </c>
      <c r="AA408" s="416">
        <v>116</v>
      </c>
      <c r="AB408" s="416">
        <v>112</v>
      </c>
      <c r="AC408" s="416">
        <v>109</v>
      </c>
      <c r="AD408" s="416">
        <v>106</v>
      </c>
      <c r="AE408" s="416">
        <v>104</v>
      </c>
      <c r="AF408" s="416">
        <v>102</v>
      </c>
      <c r="AG408" s="416">
        <v>101</v>
      </c>
      <c r="AH408" s="416">
        <v>99</v>
      </c>
      <c r="AI408" s="416">
        <v>97.4</v>
      </c>
      <c r="AJ408" s="416">
        <v>95.8</v>
      </c>
      <c r="AK408" s="416">
        <v>94</v>
      </c>
      <c r="AL408" s="416">
        <v>15</v>
      </c>
      <c r="AM408" s="416">
        <v>92.2</v>
      </c>
      <c r="AN408" s="416">
        <v>90.3</v>
      </c>
      <c r="AO408" s="416">
        <v>82.9</v>
      </c>
      <c r="AP408" s="416">
        <v>67.099999999999994</v>
      </c>
      <c r="AQ408" s="416">
        <v>54.3</v>
      </c>
      <c r="AR408" s="416">
        <v>43.9</v>
      </c>
      <c r="AS408" s="416">
        <v>35.4</v>
      </c>
      <c r="AT408" s="416">
        <v>0</v>
      </c>
      <c r="AU408" s="416">
        <v>0</v>
      </c>
      <c r="AV408" s="416">
        <v>0</v>
      </c>
      <c r="AW408" s="416">
        <v>0</v>
      </c>
      <c r="AX408" s="416">
        <v>0</v>
      </c>
      <c r="AY408" s="416">
        <v>0</v>
      </c>
      <c r="AZ408" s="416">
        <v>0</v>
      </c>
    </row>
    <row r="409" spans="1:52" x14ac:dyDescent="0.25">
      <c r="A409" s="415" t="str">
        <f t="shared" si="6"/>
        <v>SA-403 Gr.304N</v>
      </c>
      <c r="B409" s="415">
        <v>404</v>
      </c>
      <c r="C409" s="415" t="s">
        <v>3316</v>
      </c>
      <c r="D409" s="415" t="s">
        <v>3414</v>
      </c>
      <c r="E409" s="415" t="s">
        <v>2229</v>
      </c>
      <c r="F409" s="415" t="s">
        <v>2250</v>
      </c>
      <c r="G409" s="415" t="s">
        <v>3318</v>
      </c>
      <c r="H409" s="415" t="s">
        <v>3384</v>
      </c>
      <c r="I409" s="415">
        <v>0</v>
      </c>
      <c r="J409" s="415">
        <v>8</v>
      </c>
      <c r="K409" s="415">
        <v>1</v>
      </c>
      <c r="L409" s="415">
        <v>16</v>
      </c>
      <c r="M409" s="415">
        <v>550</v>
      </c>
      <c r="N409" s="415">
        <v>240</v>
      </c>
      <c r="O409" s="415">
        <v>649</v>
      </c>
      <c r="P409" s="415" t="s">
        <v>3269</v>
      </c>
      <c r="Q409" s="415" t="s">
        <v>3624</v>
      </c>
      <c r="R409" s="415">
        <v>16</v>
      </c>
      <c r="S409" s="415">
        <v>137</v>
      </c>
      <c r="T409" s="416">
        <v>137</v>
      </c>
      <c r="U409" s="416">
        <v>137</v>
      </c>
      <c r="V409" s="416">
        <v>137</v>
      </c>
      <c r="W409" s="416">
        <v>137</v>
      </c>
      <c r="X409" s="416">
        <v>132</v>
      </c>
      <c r="Y409" s="416">
        <v>125</v>
      </c>
      <c r="Z409" s="416">
        <v>120</v>
      </c>
      <c r="AA409" s="416">
        <v>116</v>
      </c>
      <c r="AB409" s="416">
        <v>112</v>
      </c>
      <c r="AC409" s="416">
        <v>109</v>
      </c>
      <c r="AD409" s="416">
        <v>106</v>
      </c>
      <c r="AE409" s="416">
        <v>104</v>
      </c>
      <c r="AF409" s="416">
        <v>102</v>
      </c>
      <c r="AG409" s="416">
        <v>101</v>
      </c>
      <c r="AH409" s="416">
        <v>99</v>
      </c>
      <c r="AI409" s="416">
        <v>97.4</v>
      </c>
      <c r="AJ409" s="416">
        <v>95.8</v>
      </c>
      <c r="AK409" s="416">
        <v>94</v>
      </c>
      <c r="AL409" s="416">
        <v>16</v>
      </c>
      <c r="AM409" s="416">
        <v>92.2</v>
      </c>
      <c r="AN409" s="416">
        <v>90.3</v>
      </c>
      <c r="AO409" s="416">
        <v>82.9</v>
      </c>
      <c r="AP409" s="416">
        <v>67.099999999999994</v>
      </c>
      <c r="AQ409" s="416">
        <v>54.3</v>
      </c>
      <c r="AR409" s="416">
        <v>43.9</v>
      </c>
      <c r="AS409" s="416">
        <v>35.4</v>
      </c>
      <c r="AT409" s="416">
        <v>0</v>
      </c>
      <c r="AU409" s="416">
        <v>0</v>
      </c>
      <c r="AV409" s="416">
        <v>0</v>
      </c>
      <c r="AW409" s="416">
        <v>0</v>
      </c>
      <c r="AX409" s="416">
        <v>0</v>
      </c>
      <c r="AY409" s="416">
        <v>0</v>
      </c>
      <c r="AZ409" s="416">
        <v>0</v>
      </c>
    </row>
    <row r="410" spans="1:52" x14ac:dyDescent="0.25">
      <c r="A410" s="415" t="str">
        <f t="shared" si="6"/>
        <v>SA-965 Gr.F304N</v>
      </c>
      <c r="B410" s="415">
        <v>405</v>
      </c>
      <c r="C410" s="415" t="s">
        <v>3316</v>
      </c>
      <c r="D410" s="415" t="s">
        <v>2737</v>
      </c>
      <c r="E410" s="415" t="s">
        <v>2337</v>
      </c>
      <c r="F410" s="415" t="s">
        <v>2436</v>
      </c>
      <c r="G410" s="415" t="s">
        <v>3318</v>
      </c>
      <c r="H410" s="415">
        <v>0</v>
      </c>
      <c r="I410" s="415">
        <v>0</v>
      </c>
      <c r="J410" s="415">
        <v>8</v>
      </c>
      <c r="K410" s="415">
        <v>1</v>
      </c>
      <c r="L410" s="415">
        <v>17</v>
      </c>
      <c r="M410" s="415">
        <v>550</v>
      </c>
      <c r="N410" s="415">
        <v>240</v>
      </c>
      <c r="O410" s="415">
        <v>649</v>
      </c>
      <c r="P410" s="415" t="s">
        <v>3269</v>
      </c>
      <c r="Q410" s="415" t="s">
        <v>3623</v>
      </c>
      <c r="R410" s="415">
        <v>17</v>
      </c>
      <c r="S410" s="415">
        <v>161</v>
      </c>
      <c r="T410" s="416">
        <v>161</v>
      </c>
      <c r="U410" s="416">
        <v>161</v>
      </c>
      <c r="V410" s="416">
        <v>161</v>
      </c>
      <c r="W410" s="416">
        <v>161</v>
      </c>
      <c r="X410" s="416">
        <v>155</v>
      </c>
      <c r="Y410" s="416">
        <v>147</v>
      </c>
      <c r="Z410" s="416">
        <v>141</v>
      </c>
      <c r="AA410" s="416">
        <v>136</v>
      </c>
      <c r="AB410" s="416">
        <v>132</v>
      </c>
      <c r="AC410" s="416">
        <v>128</v>
      </c>
      <c r="AD410" s="416">
        <v>125</v>
      </c>
      <c r="AE410" s="416">
        <v>123</v>
      </c>
      <c r="AF410" s="416">
        <v>120</v>
      </c>
      <c r="AG410" s="416">
        <v>118</v>
      </c>
      <c r="AH410" s="416">
        <v>117</v>
      </c>
      <c r="AI410" s="416">
        <v>115</v>
      </c>
      <c r="AJ410" s="416">
        <v>113</v>
      </c>
      <c r="AK410" s="416">
        <v>111</v>
      </c>
      <c r="AL410" s="416">
        <v>17</v>
      </c>
      <c r="AM410" s="416">
        <v>108</v>
      </c>
      <c r="AN410" s="416">
        <v>106</v>
      </c>
      <c r="AO410" s="416">
        <v>97.5</v>
      </c>
      <c r="AP410" s="416">
        <v>78.900000000000006</v>
      </c>
      <c r="AQ410" s="416">
        <v>63.8</v>
      </c>
      <c r="AR410" s="416">
        <v>51.6</v>
      </c>
      <c r="AS410" s="416">
        <v>41.6</v>
      </c>
      <c r="AT410" s="416">
        <v>0</v>
      </c>
      <c r="AU410" s="416">
        <v>0</v>
      </c>
      <c r="AV410" s="416">
        <v>0</v>
      </c>
      <c r="AW410" s="416">
        <v>0</v>
      </c>
      <c r="AX410" s="416">
        <v>0</v>
      </c>
      <c r="AY410" s="416">
        <v>0</v>
      </c>
      <c r="AZ410" s="416">
        <v>0</v>
      </c>
    </row>
    <row r="411" spans="1:52" x14ac:dyDescent="0.25">
      <c r="A411" s="415" t="str">
        <f t="shared" si="6"/>
        <v>SA-351 Gr.CF8C</v>
      </c>
      <c r="B411" s="415">
        <v>406</v>
      </c>
      <c r="C411" s="415" t="s">
        <v>3324</v>
      </c>
      <c r="D411" s="415" t="s">
        <v>2739</v>
      </c>
      <c r="E411" s="415" t="s">
        <v>2213</v>
      </c>
      <c r="F411" s="415" t="s">
        <v>2377</v>
      </c>
      <c r="G411" s="415" t="s">
        <v>3328</v>
      </c>
      <c r="H411" s="415">
        <v>0</v>
      </c>
      <c r="I411" s="415">
        <v>0</v>
      </c>
      <c r="J411" s="415">
        <v>8</v>
      </c>
      <c r="K411" s="415">
        <v>1</v>
      </c>
      <c r="L411" s="415">
        <v>18</v>
      </c>
      <c r="M411" s="415">
        <v>485</v>
      </c>
      <c r="N411" s="415">
        <v>205</v>
      </c>
      <c r="O411" s="415">
        <v>816</v>
      </c>
      <c r="P411" s="415" t="s">
        <v>3069</v>
      </c>
      <c r="Q411" s="415" t="s">
        <v>3626</v>
      </c>
      <c r="R411" s="415">
        <v>18</v>
      </c>
      <c r="S411" s="415">
        <v>138</v>
      </c>
      <c r="T411" s="416">
        <v>138</v>
      </c>
      <c r="U411" s="416">
        <v>138</v>
      </c>
      <c r="V411" s="416">
        <v>138</v>
      </c>
      <c r="W411" s="416">
        <v>138</v>
      </c>
      <c r="X411" s="416">
        <v>138</v>
      </c>
      <c r="Y411" s="416">
        <v>138</v>
      </c>
      <c r="Z411" s="416">
        <v>138</v>
      </c>
      <c r="AA411" s="416">
        <v>138</v>
      </c>
      <c r="AB411" s="416">
        <v>138</v>
      </c>
      <c r="AC411" s="416">
        <v>138</v>
      </c>
      <c r="AD411" s="416">
        <v>135</v>
      </c>
      <c r="AE411" s="416">
        <v>132</v>
      </c>
      <c r="AF411" s="416">
        <v>130</v>
      </c>
      <c r="AG411" s="416">
        <v>128</v>
      </c>
      <c r="AH411" s="416">
        <v>127</v>
      </c>
      <c r="AI411" s="416">
        <v>126</v>
      </c>
      <c r="AJ411" s="416">
        <v>126</v>
      </c>
      <c r="AK411" s="416">
        <v>125</v>
      </c>
      <c r="AL411" s="416">
        <v>18</v>
      </c>
      <c r="AM411" s="416">
        <v>125</v>
      </c>
      <c r="AN411" s="416">
        <v>125</v>
      </c>
      <c r="AO411" s="416">
        <v>97.6</v>
      </c>
      <c r="AP411" s="416">
        <v>75.900000000000006</v>
      </c>
      <c r="AQ411" s="416">
        <v>57.2</v>
      </c>
      <c r="AR411" s="416">
        <v>40.200000000000003</v>
      </c>
      <c r="AS411" s="416">
        <v>30.3</v>
      </c>
      <c r="AT411" s="416">
        <v>23.2</v>
      </c>
      <c r="AU411" s="416">
        <v>16.2</v>
      </c>
      <c r="AV411" s="416">
        <v>11.4</v>
      </c>
      <c r="AW411" s="416">
        <v>8.9700000000000006</v>
      </c>
      <c r="AX411" s="416">
        <v>7.08</v>
      </c>
      <c r="AY411" s="416">
        <v>5.89</v>
      </c>
      <c r="AZ411" s="416">
        <v>5.3</v>
      </c>
    </row>
    <row r="412" spans="1:52" x14ac:dyDescent="0.25">
      <c r="A412" s="415" t="str">
        <f t="shared" si="6"/>
        <v>SA-182 Gr.F347</v>
      </c>
      <c r="B412" s="415">
        <v>407</v>
      </c>
      <c r="C412" s="415" t="s">
        <v>3324</v>
      </c>
      <c r="D412" s="415" t="s">
        <v>2737</v>
      </c>
      <c r="E412" s="415" t="s">
        <v>2188</v>
      </c>
      <c r="F412" s="415" t="s">
        <v>2447</v>
      </c>
      <c r="G412" s="415" t="s">
        <v>3331</v>
      </c>
      <c r="H412" s="415">
        <v>0</v>
      </c>
      <c r="I412" s="415" t="s">
        <v>3603</v>
      </c>
      <c r="J412" s="415">
        <v>8</v>
      </c>
      <c r="K412" s="415">
        <v>1</v>
      </c>
      <c r="L412" s="415">
        <v>19</v>
      </c>
      <c r="M412" s="415">
        <v>485</v>
      </c>
      <c r="N412" s="415">
        <v>205</v>
      </c>
      <c r="O412" s="415">
        <v>816</v>
      </c>
      <c r="P412" s="415" t="s">
        <v>3069</v>
      </c>
      <c r="Q412" s="415" t="s">
        <v>3627</v>
      </c>
      <c r="R412" s="415">
        <v>19</v>
      </c>
      <c r="S412" s="415">
        <v>138</v>
      </c>
      <c r="T412" s="416">
        <v>138</v>
      </c>
      <c r="U412" s="416">
        <v>138</v>
      </c>
      <c r="V412" s="416">
        <v>138</v>
      </c>
      <c r="W412" s="416">
        <v>138</v>
      </c>
      <c r="X412" s="416">
        <v>138</v>
      </c>
      <c r="Y412" s="416">
        <v>138</v>
      </c>
      <c r="Z412" s="416">
        <v>138</v>
      </c>
      <c r="AA412" s="416">
        <v>138</v>
      </c>
      <c r="AB412" s="416">
        <v>138</v>
      </c>
      <c r="AC412" s="416">
        <v>138</v>
      </c>
      <c r="AD412" s="416">
        <v>135</v>
      </c>
      <c r="AE412" s="416">
        <v>132</v>
      </c>
      <c r="AF412" s="416">
        <v>130</v>
      </c>
      <c r="AG412" s="416">
        <v>128</v>
      </c>
      <c r="AH412" s="416">
        <v>127</v>
      </c>
      <c r="AI412" s="416">
        <v>126</v>
      </c>
      <c r="AJ412" s="416">
        <v>126</v>
      </c>
      <c r="AK412" s="416">
        <v>125</v>
      </c>
      <c r="AL412" s="416">
        <v>19</v>
      </c>
      <c r="AM412" s="416">
        <v>125</v>
      </c>
      <c r="AN412" s="416">
        <v>125</v>
      </c>
      <c r="AO412" s="416">
        <v>97.6</v>
      </c>
      <c r="AP412" s="416">
        <v>75.900000000000006</v>
      </c>
      <c r="AQ412" s="416">
        <v>57.2</v>
      </c>
      <c r="AR412" s="416">
        <v>40.200000000000003</v>
      </c>
      <c r="AS412" s="416">
        <v>30.3</v>
      </c>
      <c r="AT412" s="416">
        <v>23.2</v>
      </c>
      <c r="AU412" s="416">
        <v>16.2</v>
      </c>
      <c r="AV412" s="416">
        <v>11.4</v>
      </c>
      <c r="AW412" s="416">
        <v>8.9700000000000006</v>
      </c>
      <c r="AX412" s="416">
        <v>7.08</v>
      </c>
      <c r="AY412" s="416">
        <v>5.89</v>
      </c>
      <c r="AZ412" s="416">
        <v>5.3</v>
      </c>
    </row>
    <row r="413" spans="1:52" x14ac:dyDescent="0.25">
      <c r="A413" s="415" t="str">
        <f t="shared" si="6"/>
        <v>SA-965 Gr.F347</v>
      </c>
      <c r="B413" s="415">
        <v>408</v>
      </c>
      <c r="C413" s="415" t="s">
        <v>3324</v>
      </c>
      <c r="D413" s="415" t="s">
        <v>2737</v>
      </c>
      <c r="E413" s="415" t="s">
        <v>2337</v>
      </c>
      <c r="F413" s="415" t="s">
        <v>2447</v>
      </c>
      <c r="G413" s="415" t="s">
        <v>3331</v>
      </c>
      <c r="H413" s="415">
        <v>0</v>
      </c>
      <c r="I413" s="415">
        <v>0</v>
      </c>
      <c r="J413" s="415">
        <v>8</v>
      </c>
      <c r="K413" s="415">
        <v>1</v>
      </c>
      <c r="L413" s="415">
        <v>20</v>
      </c>
      <c r="M413" s="415">
        <v>485</v>
      </c>
      <c r="N413" s="415">
        <v>205</v>
      </c>
      <c r="O413" s="415">
        <v>816</v>
      </c>
      <c r="P413" s="415" t="s">
        <v>3069</v>
      </c>
      <c r="Q413" s="415" t="s">
        <v>3627</v>
      </c>
      <c r="R413" s="415">
        <v>20</v>
      </c>
      <c r="S413" s="415">
        <v>138</v>
      </c>
      <c r="T413" s="416">
        <v>138</v>
      </c>
      <c r="U413" s="416">
        <v>138</v>
      </c>
      <c r="V413" s="416">
        <v>138</v>
      </c>
      <c r="W413" s="416">
        <v>138</v>
      </c>
      <c r="X413" s="416">
        <v>138</v>
      </c>
      <c r="Y413" s="416">
        <v>138</v>
      </c>
      <c r="Z413" s="416">
        <v>138</v>
      </c>
      <c r="AA413" s="416">
        <v>138</v>
      </c>
      <c r="AB413" s="416">
        <v>138</v>
      </c>
      <c r="AC413" s="416">
        <v>138</v>
      </c>
      <c r="AD413" s="416">
        <v>135</v>
      </c>
      <c r="AE413" s="416">
        <v>132</v>
      </c>
      <c r="AF413" s="416">
        <v>130</v>
      </c>
      <c r="AG413" s="416">
        <v>128</v>
      </c>
      <c r="AH413" s="416">
        <v>127</v>
      </c>
      <c r="AI413" s="416">
        <v>126</v>
      </c>
      <c r="AJ413" s="416">
        <v>126</v>
      </c>
      <c r="AK413" s="416">
        <v>125</v>
      </c>
      <c r="AL413" s="416">
        <v>20</v>
      </c>
      <c r="AM413" s="416">
        <v>125</v>
      </c>
      <c r="AN413" s="416">
        <v>125</v>
      </c>
      <c r="AO413" s="416">
        <v>97.6</v>
      </c>
      <c r="AP413" s="416">
        <v>75.900000000000006</v>
      </c>
      <c r="AQ413" s="416">
        <v>57.2</v>
      </c>
      <c r="AR413" s="416">
        <v>40.200000000000003</v>
      </c>
      <c r="AS413" s="416">
        <v>30.3</v>
      </c>
      <c r="AT413" s="416">
        <v>23.2</v>
      </c>
      <c r="AU413" s="416">
        <v>16.2</v>
      </c>
      <c r="AV413" s="416">
        <v>11.4</v>
      </c>
      <c r="AW413" s="416">
        <v>8.9700000000000006</v>
      </c>
      <c r="AX413" s="416">
        <v>7.08</v>
      </c>
      <c r="AY413" s="416">
        <v>5.89</v>
      </c>
      <c r="AZ413" s="416">
        <v>5.3</v>
      </c>
    </row>
    <row r="414" spans="1:52" x14ac:dyDescent="0.25">
      <c r="A414" s="415" t="str">
        <f t="shared" si="6"/>
        <v>SA-182 Gr.F347H</v>
      </c>
      <c r="B414" s="415">
        <v>409</v>
      </c>
      <c r="C414" s="415" t="s">
        <v>3324</v>
      </c>
      <c r="D414" s="415" t="s">
        <v>2737</v>
      </c>
      <c r="E414" s="415" t="s">
        <v>2188</v>
      </c>
      <c r="F414" s="415" t="s">
        <v>2448</v>
      </c>
      <c r="G414" s="415" t="s">
        <v>3333</v>
      </c>
      <c r="H414" s="415">
        <v>0</v>
      </c>
      <c r="I414" s="415" t="s">
        <v>3603</v>
      </c>
      <c r="J414" s="415">
        <v>8</v>
      </c>
      <c r="K414" s="415">
        <v>1</v>
      </c>
      <c r="L414" s="415">
        <v>21</v>
      </c>
      <c r="M414" s="415">
        <v>485</v>
      </c>
      <c r="N414" s="415">
        <v>205</v>
      </c>
      <c r="O414" s="415">
        <v>816</v>
      </c>
      <c r="P414" s="415" t="s">
        <v>3069</v>
      </c>
      <c r="Q414" s="415" t="s">
        <v>3628</v>
      </c>
      <c r="R414" s="415">
        <v>21</v>
      </c>
      <c r="S414" s="415">
        <v>138</v>
      </c>
      <c r="T414" s="416">
        <v>138</v>
      </c>
      <c r="U414" s="416">
        <v>138</v>
      </c>
      <c r="V414" s="416">
        <v>138</v>
      </c>
      <c r="W414" s="416">
        <v>138</v>
      </c>
      <c r="X414" s="416">
        <v>138</v>
      </c>
      <c r="Y414" s="416">
        <v>138</v>
      </c>
      <c r="Z414" s="416">
        <v>138</v>
      </c>
      <c r="AA414" s="416">
        <v>138</v>
      </c>
      <c r="AB414" s="416">
        <v>138</v>
      </c>
      <c r="AC414" s="416">
        <v>138</v>
      </c>
      <c r="AD414" s="416">
        <v>135</v>
      </c>
      <c r="AE414" s="416">
        <v>132</v>
      </c>
      <c r="AF414" s="416">
        <v>130</v>
      </c>
      <c r="AG414" s="416">
        <v>129</v>
      </c>
      <c r="AH414" s="416">
        <v>127</v>
      </c>
      <c r="AI414" s="416">
        <v>126</v>
      </c>
      <c r="AJ414" s="416">
        <v>126</v>
      </c>
      <c r="AK414" s="416">
        <v>125</v>
      </c>
      <c r="AL414" s="416">
        <v>21</v>
      </c>
      <c r="AM414" s="416">
        <v>125</v>
      </c>
      <c r="AN414" s="416">
        <v>125</v>
      </c>
      <c r="AO414" s="416">
        <v>125</v>
      </c>
      <c r="AP414" s="416">
        <v>112</v>
      </c>
      <c r="AQ414" s="416">
        <v>90.6</v>
      </c>
      <c r="AR414" s="416">
        <v>69.599999999999994</v>
      </c>
      <c r="AS414" s="416">
        <v>53.8</v>
      </c>
      <c r="AT414" s="416">
        <v>41.4</v>
      </c>
      <c r="AU414" s="416">
        <v>31.8</v>
      </c>
      <c r="AV414" s="416">
        <v>24</v>
      </c>
      <c r="AW414" s="416">
        <v>18.8</v>
      </c>
      <c r="AX414" s="416">
        <v>14.6</v>
      </c>
      <c r="AY414" s="416">
        <v>10.9</v>
      </c>
      <c r="AZ414" s="416">
        <v>7.96</v>
      </c>
    </row>
    <row r="415" spans="1:52" x14ac:dyDescent="0.25">
      <c r="A415" s="415" t="str">
        <f t="shared" si="6"/>
        <v>SA-965 Gr.F347H</v>
      </c>
      <c r="B415" s="415">
        <v>410</v>
      </c>
      <c r="C415" s="415" t="s">
        <v>3324</v>
      </c>
      <c r="D415" s="415" t="s">
        <v>2737</v>
      </c>
      <c r="E415" s="415" t="s">
        <v>2337</v>
      </c>
      <c r="F415" s="415" t="s">
        <v>2448</v>
      </c>
      <c r="G415" s="415" t="s">
        <v>3333</v>
      </c>
      <c r="H415" s="415">
        <v>0</v>
      </c>
      <c r="I415" s="415">
        <v>0</v>
      </c>
      <c r="J415" s="415">
        <v>8</v>
      </c>
      <c r="K415" s="415">
        <v>1</v>
      </c>
      <c r="L415" s="415">
        <v>22</v>
      </c>
      <c r="M415" s="415">
        <v>485</v>
      </c>
      <c r="N415" s="415">
        <v>205</v>
      </c>
      <c r="O415" s="415">
        <v>816</v>
      </c>
      <c r="P415" s="415" t="s">
        <v>3069</v>
      </c>
      <c r="Q415" s="415" t="s">
        <v>3628</v>
      </c>
      <c r="R415" s="415">
        <v>22</v>
      </c>
      <c r="S415" s="415">
        <v>138</v>
      </c>
      <c r="T415" s="416">
        <v>138</v>
      </c>
      <c r="U415" s="416">
        <v>138</v>
      </c>
      <c r="V415" s="416">
        <v>138</v>
      </c>
      <c r="W415" s="416">
        <v>138</v>
      </c>
      <c r="X415" s="416">
        <v>138</v>
      </c>
      <c r="Y415" s="416">
        <v>138</v>
      </c>
      <c r="Z415" s="416">
        <v>138</v>
      </c>
      <c r="AA415" s="416">
        <v>138</v>
      </c>
      <c r="AB415" s="416">
        <v>138</v>
      </c>
      <c r="AC415" s="416">
        <v>138</v>
      </c>
      <c r="AD415" s="416">
        <v>135</v>
      </c>
      <c r="AE415" s="416">
        <v>132</v>
      </c>
      <c r="AF415" s="416">
        <v>130</v>
      </c>
      <c r="AG415" s="416">
        <v>129</v>
      </c>
      <c r="AH415" s="416">
        <v>127</v>
      </c>
      <c r="AI415" s="416">
        <v>126</v>
      </c>
      <c r="AJ415" s="416">
        <v>126</v>
      </c>
      <c r="AK415" s="416">
        <v>125</v>
      </c>
      <c r="AL415" s="416">
        <v>22</v>
      </c>
      <c r="AM415" s="416">
        <v>125</v>
      </c>
      <c r="AN415" s="416">
        <v>125</v>
      </c>
      <c r="AO415" s="416">
        <v>125</v>
      </c>
      <c r="AP415" s="416">
        <v>112</v>
      </c>
      <c r="AQ415" s="416">
        <v>90.6</v>
      </c>
      <c r="AR415" s="416">
        <v>69.599999999999994</v>
      </c>
      <c r="AS415" s="416">
        <v>53.8</v>
      </c>
      <c r="AT415" s="416">
        <v>41.4</v>
      </c>
      <c r="AU415" s="416">
        <v>31.8</v>
      </c>
      <c r="AV415" s="416">
        <v>24</v>
      </c>
      <c r="AW415" s="416">
        <v>18.8</v>
      </c>
      <c r="AX415" s="416">
        <v>14.6</v>
      </c>
      <c r="AY415" s="416">
        <v>10.9</v>
      </c>
      <c r="AZ415" s="416">
        <v>7.96</v>
      </c>
    </row>
    <row r="416" spans="1:52" x14ac:dyDescent="0.25">
      <c r="A416" s="415" t="str">
        <f t="shared" si="6"/>
        <v>SA-182 Gr.F348</v>
      </c>
      <c r="B416" s="415">
        <v>411</v>
      </c>
      <c r="C416" s="415" t="s">
        <v>3324</v>
      </c>
      <c r="D416" s="415" t="s">
        <v>2737</v>
      </c>
      <c r="E416" s="415" t="s">
        <v>2188</v>
      </c>
      <c r="F416" s="415" t="s">
        <v>2449</v>
      </c>
      <c r="G416" s="415" t="s">
        <v>3335</v>
      </c>
      <c r="H416" s="415">
        <v>0</v>
      </c>
      <c r="I416" s="415" t="s">
        <v>3603</v>
      </c>
      <c r="J416" s="415">
        <v>8</v>
      </c>
      <c r="K416" s="415">
        <v>1</v>
      </c>
      <c r="L416" s="415">
        <v>23</v>
      </c>
      <c r="M416" s="415">
        <v>515</v>
      </c>
      <c r="N416" s="415">
        <v>205</v>
      </c>
      <c r="O416" s="415">
        <v>816</v>
      </c>
      <c r="P416" s="415" t="s">
        <v>3069</v>
      </c>
      <c r="Q416" s="415" t="s">
        <v>3627</v>
      </c>
      <c r="R416" s="415">
        <v>23</v>
      </c>
      <c r="S416" s="415">
        <v>138</v>
      </c>
      <c r="T416" s="416">
        <v>138</v>
      </c>
      <c r="U416" s="416">
        <v>138</v>
      </c>
      <c r="V416" s="416">
        <v>138</v>
      </c>
      <c r="W416" s="416">
        <v>138</v>
      </c>
      <c r="X416" s="416">
        <v>138</v>
      </c>
      <c r="Y416" s="416">
        <v>138</v>
      </c>
      <c r="Z416" s="416">
        <v>138</v>
      </c>
      <c r="AA416" s="416">
        <v>138</v>
      </c>
      <c r="AB416" s="416">
        <v>138</v>
      </c>
      <c r="AC416" s="416">
        <v>138</v>
      </c>
      <c r="AD416" s="416">
        <v>135</v>
      </c>
      <c r="AE416" s="416">
        <v>132</v>
      </c>
      <c r="AF416" s="416">
        <v>130</v>
      </c>
      <c r="AG416" s="416">
        <v>128</v>
      </c>
      <c r="AH416" s="416">
        <v>127</v>
      </c>
      <c r="AI416" s="416">
        <v>126</v>
      </c>
      <c r="AJ416" s="416">
        <v>126</v>
      </c>
      <c r="AK416" s="416">
        <v>125</v>
      </c>
      <c r="AL416" s="416">
        <v>23</v>
      </c>
      <c r="AM416" s="416">
        <v>125</v>
      </c>
      <c r="AN416" s="416">
        <v>125</v>
      </c>
      <c r="AO416" s="416">
        <v>97.6</v>
      </c>
      <c r="AP416" s="416">
        <v>75.900000000000006</v>
      </c>
      <c r="AQ416" s="416">
        <v>57.2</v>
      </c>
      <c r="AR416" s="416">
        <v>40.200000000000003</v>
      </c>
      <c r="AS416" s="416">
        <v>30.3</v>
      </c>
      <c r="AT416" s="416">
        <v>23.2</v>
      </c>
      <c r="AU416" s="416">
        <v>16.2</v>
      </c>
      <c r="AV416" s="416">
        <v>11.4</v>
      </c>
      <c r="AW416" s="416">
        <v>8.9700000000000006</v>
      </c>
      <c r="AX416" s="416">
        <v>7.08</v>
      </c>
      <c r="AY416" s="416">
        <v>5.89</v>
      </c>
      <c r="AZ416" s="416">
        <v>5.3</v>
      </c>
    </row>
    <row r="417" spans="1:52" x14ac:dyDescent="0.25">
      <c r="A417" s="415" t="str">
        <f t="shared" si="6"/>
        <v>SA-182 Gr.F348H</v>
      </c>
      <c r="B417" s="415">
        <v>412</v>
      </c>
      <c r="C417" s="415" t="s">
        <v>3324</v>
      </c>
      <c r="D417" s="415" t="s">
        <v>2737</v>
      </c>
      <c r="E417" s="415" t="s">
        <v>2188</v>
      </c>
      <c r="F417" s="415" t="s">
        <v>2450</v>
      </c>
      <c r="G417" s="415" t="s">
        <v>3325</v>
      </c>
      <c r="H417" s="415">
        <v>0</v>
      </c>
      <c r="I417" s="415" t="s">
        <v>3603</v>
      </c>
      <c r="J417" s="415">
        <v>8</v>
      </c>
      <c r="K417" s="415">
        <v>1</v>
      </c>
      <c r="L417" s="415">
        <v>24</v>
      </c>
      <c r="M417" s="415">
        <v>515</v>
      </c>
      <c r="N417" s="415">
        <v>205</v>
      </c>
      <c r="O417" s="415">
        <v>816</v>
      </c>
      <c r="P417" s="415" t="s">
        <v>3069</v>
      </c>
      <c r="Q417" s="415" t="s">
        <v>3607</v>
      </c>
      <c r="R417" s="415">
        <v>24</v>
      </c>
      <c r="S417" s="415">
        <v>138</v>
      </c>
      <c r="T417" s="416">
        <v>138</v>
      </c>
      <c r="U417" s="416">
        <v>138</v>
      </c>
      <c r="V417" s="416">
        <v>138</v>
      </c>
      <c r="W417" s="416">
        <v>138</v>
      </c>
      <c r="X417" s="416">
        <v>138</v>
      </c>
      <c r="Y417" s="416">
        <v>138</v>
      </c>
      <c r="Z417" s="416">
        <v>138</v>
      </c>
      <c r="AA417" s="416">
        <v>138</v>
      </c>
      <c r="AB417" s="416">
        <v>138</v>
      </c>
      <c r="AC417" s="416">
        <v>138</v>
      </c>
      <c r="AD417" s="416">
        <v>135</v>
      </c>
      <c r="AE417" s="416">
        <v>132</v>
      </c>
      <c r="AF417" s="416">
        <v>130</v>
      </c>
      <c r="AG417" s="416">
        <v>129</v>
      </c>
      <c r="AH417" s="416">
        <v>127</v>
      </c>
      <c r="AI417" s="416">
        <v>126</v>
      </c>
      <c r="AJ417" s="416">
        <v>126</v>
      </c>
      <c r="AK417" s="416">
        <v>125</v>
      </c>
      <c r="AL417" s="416">
        <v>24</v>
      </c>
      <c r="AM417" s="416">
        <v>125</v>
      </c>
      <c r="AN417" s="416">
        <v>125</v>
      </c>
      <c r="AO417" s="416">
        <v>125</v>
      </c>
      <c r="AP417" s="416">
        <v>112</v>
      </c>
      <c r="AQ417" s="416">
        <v>90.6</v>
      </c>
      <c r="AR417" s="416">
        <v>69.599999999999994</v>
      </c>
      <c r="AS417" s="416">
        <v>53.8</v>
      </c>
      <c r="AT417" s="416">
        <v>41.4</v>
      </c>
      <c r="AU417" s="416">
        <v>31.8</v>
      </c>
      <c r="AV417" s="416">
        <v>24</v>
      </c>
      <c r="AW417" s="416">
        <v>18.8</v>
      </c>
      <c r="AX417" s="416">
        <v>14.6</v>
      </c>
      <c r="AY417" s="416">
        <v>10.9</v>
      </c>
      <c r="AZ417" s="416">
        <v>7.96</v>
      </c>
    </row>
    <row r="418" spans="1:52" x14ac:dyDescent="0.25">
      <c r="A418" s="415" t="str">
        <f t="shared" si="6"/>
        <v>SA-182 Gr.F347</v>
      </c>
      <c r="B418" s="415">
        <v>413</v>
      </c>
      <c r="C418" s="415" t="s">
        <v>3324</v>
      </c>
      <c r="D418" s="415" t="s">
        <v>2737</v>
      </c>
      <c r="E418" s="415" t="s">
        <v>2188</v>
      </c>
      <c r="F418" s="415" t="s">
        <v>2447</v>
      </c>
      <c r="G418" s="415" t="s">
        <v>3331</v>
      </c>
      <c r="H418" s="415">
        <v>0</v>
      </c>
      <c r="I418" s="415" t="s">
        <v>3604</v>
      </c>
      <c r="J418" s="415">
        <v>8</v>
      </c>
      <c r="K418" s="415">
        <v>1</v>
      </c>
      <c r="L418" s="415">
        <v>25</v>
      </c>
      <c r="M418" s="415">
        <v>515</v>
      </c>
      <c r="N418" s="415">
        <v>205</v>
      </c>
      <c r="O418" s="415">
        <v>816</v>
      </c>
      <c r="P418" s="415" t="s">
        <v>3069</v>
      </c>
      <c r="Q418" s="415" t="s">
        <v>3629</v>
      </c>
      <c r="R418" s="415">
        <v>25</v>
      </c>
      <c r="S418" s="415">
        <v>138</v>
      </c>
      <c r="T418" s="416">
        <v>138</v>
      </c>
      <c r="U418" s="416">
        <v>138</v>
      </c>
      <c r="V418" s="416">
        <v>138</v>
      </c>
      <c r="W418" s="416">
        <v>138</v>
      </c>
      <c r="X418" s="416">
        <v>138</v>
      </c>
      <c r="Y418" s="416">
        <v>138</v>
      </c>
      <c r="Z418" s="416">
        <v>138</v>
      </c>
      <c r="AA418" s="416">
        <v>138</v>
      </c>
      <c r="AB418" s="416">
        <v>138</v>
      </c>
      <c r="AC418" s="416">
        <v>138</v>
      </c>
      <c r="AD418" s="416">
        <v>135</v>
      </c>
      <c r="AE418" s="416">
        <v>132</v>
      </c>
      <c r="AF418" s="416">
        <v>130</v>
      </c>
      <c r="AG418" s="416">
        <v>128</v>
      </c>
      <c r="AH418" s="416">
        <v>127</v>
      </c>
      <c r="AI418" s="416">
        <v>126</v>
      </c>
      <c r="AJ418" s="416">
        <v>126</v>
      </c>
      <c r="AK418" s="416">
        <v>125</v>
      </c>
      <c r="AL418" s="416">
        <v>25</v>
      </c>
      <c r="AM418" s="416">
        <v>125</v>
      </c>
      <c r="AN418" s="416">
        <v>125</v>
      </c>
      <c r="AO418" s="416">
        <v>97.6</v>
      </c>
      <c r="AP418" s="416">
        <v>75.900000000000006</v>
      </c>
      <c r="AQ418" s="416">
        <v>57.2</v>
      </c>
      <c r="AR418" s="416">
        <v>40.200000000000003</v>
      </c>
      <c r="AS418" s="416">
        <v>30.3</v>
      </c>
      <c r="AT418" s="416">
        <v>23.2</v>
      </c>
      <c r="AU418" s="416">
        <v>16.2</v>
      </c>
      <c r="AV418" s="416">
        <v>11.4</v>
      </c>
      <c r="AW418" s="416">
        <v>8.9700000000000006</v>
      </c>
      <c r="AX418" s="416">
        <v>7.08</v>
      </c>
      <c r="AY418" s="416">
        <v>5.89</v>
      </c>
      <c r="AZ418" s="416">
        <v>5.3</v>
      </c>
    </row>
    <row r="419" spans="1:52" x14ac:dyDescent="0.25">
      <c r="A419" s="415" t="str">
        <f t="shared" si="6"/>
        <v>SA-213 Gr.TP347</v>
      </c>
      <c r="B419" s="415">
        <v>414</v>
      </c>
      <c r="C419" s="415" t="s">
        <v>3324</v>
      </c>
      <c r="D419" s="415" t="s">
        <v>2693</v>
      </c>
      <c r="E419" s="415" t="s">
        <v>2195</v>
      </c>
      <c r="F419" s="415" t="s">
        <v>2577</v>
      </c>
      <c r="G419" s="415" t="s">
        <v>3331</v>
      </c>
      <c r="H419" s="415">
        <v>0</v>
      </c>
      <c r="I419" s="415">
        <v>0</v>
      </c>
      <c r="J419" s="415">
        <v>8</v>
      </c>
      <c r="K419" s="415">
        <v>1</v>
      </c>
      <c r="L419" s="415">
        <v>26</v>
      </c>
      <c r="M419" s="415">
        <v>515</v>
      </c>
      <c r="N419" s="415">
        <v>205</v>
      </c>
      <c r="O419" s="415">
        <v>816</v>
      </c>
      <c r="P419" s="415" t="s">
        <v>3069</v>
      </c>
      <c r="Q419" s="415" t="s">
        <v>3629</v>
      </c>
      <c r="R419" s="415">
        <v>26</v>
      </c>
      <c r="S419" s="415">
        <v>138</v>
      </c>
      <c r="T419" s="416">
        <v>138</v>
      </c>
      <c r="U419" s="416">
        <v>138</v>
      </c>
      <c r="V419" s="416">
        <v>138</v>
      </c>
      <c r="W419" s="416">
        <v>138</v>
      </c>
      <c r="X419" s="416">
        <v>138</v>
      </c>
      <c r="Y419" s="416">
        <v>138</v>
      </c>
      <c r="Z419" s="416">
        <v>138</v>
      </c>
      <c r="AA419" s="416">
        <v>138</v>
      </c>
      <c r="AB419" s="416">
        <v>138</v>
      </c>
      <c r="AC419" s="416">
        <v>138</v>
      </c>
      <c r="AD419" s="416">
        <v>135</v>
      </c>
      <c r="AE419" s="416">
        <v>132</v>
      </c>
      <c r="AF419" s="416">
        <v>130</v>
      </c>
      <c r="AG419" s="416">
        <v>128</v>
      </c>
      <c r="AH419" s="416">
        <v>127</v>
      </c>
      <c r="AI419" s="416">
        <v>126</v>
      </c>
      <c r="AJ419" s="416">
        <v>126</v>
      </c>
      <c r="AK419" s="416">
        <v>125</v>
      </c>
      <c r="AL419" s="416">
        <v>26</v>
      </c>
      <c r="AM419" s="416">
        <v>125</v>
      </c>
      <c r="AN419" s="416">
        <v>125</v>
      </c>
      <c r="AO419" s="416">
        <v>97.6</v>
      </c>
      <c r="AP419" s="416">
        <v>75.900000000000006</v>
      </c>
      <c r="AQ419" s="416">
        <v>57.2</v>
      </c>
      <c r="AR419" s="416">
        <v>40.200000000000003</v>
      </c>
      <c r="AS419" s="416">
        <v>30.3</v>
      </c>
      <c r="AT419" s="416">
        <v>23.2</v>
      </c>
      <c r="AU419" s="416">
        <v>16.2</v>
      </c>
      <c r="AV419" s="416">
        <v>11.4</v>
      </c>
      <c r="AW419" s="416">
        <v>8.9700000000000006</v>
      </c>
      <c r="AX419" s="416">
        <v>7.08</v>
      </c>
      <c r="AY419" s="416">
        <v>5.89</v>
      </c>
      <c r="AZ419" s="416">
        <v>5.3</v>
      </c>
    </row>
    <row r="420" spans="1:52" x14ac:dyDescent="0.25">
      <c r="A420" s="415" t="str">
        <f t="shared" si="6"/>
        <v>SA-240 Gr.347</v>
      </c>
      <c r="B420" s="415">
        <v>415</v>
      </c>
      <c r="C420" s="415" t="s">
        <v>3324</v>
      </c>
      <c r="D420" s="415" t="s">
        <v>2684</v>
      </c>
      <c r="E420" s="415" t="s">
        <v>2165</v>
      </c>
      <c r="F420" s="415">
        <v>347</v>
      </c>
      <c r="G420" s="415" t="s">
        <v>3331</v>
      </c>
      <c r="H420" s="415">
        <v>0</v>
      </c>
      <c r="I420" s="415">
        <v>0</v>
      </c>
      <c r="J420" s="415">
        <v>8</v>
      </c>
      <c r="K420" s="415">
        <v>1</v>
      </c>
      <c r="L420" s="415">
        <v>27</v>
      </c>
      <c r="M420" s="415">
        <v>515</v>
      </c>
      <c r="N420" s="415">
        <v>205</v>
      </c>
      <c r="O420" s="415">
        <v>816</v>
      </c>
      <c r="P420" s="415" t="s">
        <v>3069</v>
      </c>
      <c r="Q420" s="415" t="s">
        <v>3627</v>
      </c>
      <c r="R420" s="415">
        <v>27</v>
      </c>
      <c r="S420" s="415">
        <v>138</v>
      </c>
      <c r="T420" s="416">
        <v>138</v>
      </c>
      <c r="U420" s="416">
        <v>138</v>
      </c>
      <c r="V420" s="416">
        <v>138</v>
      </c>
      <c r="W420" s="416">
        <v>138</v>
      </c>
      <c r="X420" s="416">
        <v>138</v>
      </c>
      <c r="Y420" s="416">
        <v>138</v>
      </c>
      <c r="Z420" s="416">
        <v>138</v>
      </c>
      <c r="AA420" s="416">
        <v>138</v>
      </c>
      <c r="AB420" s="416">
        <v>138</v>
      </c>
      <c r="AC420" s="416">
        <v>138</v>
      </c>
      <c r="AD420" s="416">
        <v>135</v>
      </c>
      <c r="AE420" s="416">
        <v>132</v>
      </c>
      <c r="AF420" s="416">
        <v>130</v>
      </c>
      <c r="AG420" s="416">
        <v>128</v>
      </c>
      <c r="AH420" s="416">
        <v>127</v>
      </c>
      <c r="AI420" s="416">
        <v>126</v>
      </c>
      <c r="AJ420" s="416">
        <v>126</v>
      </c>
      <c r="AK420" s="416">
        <v>125</v>
      </c>
      <c r="AL420" s="416">
        <v>27</v>
      </c>
      <c r="AM420" s="416">
        <v>125</v>
      </c>
      <c r="AN420" s="416">
        <v>125</v>
      </c>
      <c r="AO420" s="416">
        <v>97.6</v>
      </c>
      <c r="AP420" s="416">
        <v>75.900000000000006</v>
      </c>
      <c r="AQ420" s="416">
        <v>57.2</v>
      </c>
      <c r="AR420" s="416">
        <v>40.200000000000003</v>
      </c>
      <c r="AS420" s="416">
        <v>30.3</v>
      </c>
      <c r="AT420" s="416">
        <v>23.2</v>
      </c>
      <c r="AU420" s="416">
        <v>16.2</v>
      </c>
      <c r="AV420" s="416">
        <v>11.4</v>
      </c>
      <c r="AW420" s="416">
        <v>8.9700000000000006</v>
      </c>
      <c r="AX420" s="416">
        <v>7.08</v>
      </c>
      <c r="AY420" s="416">
        <v>5.89</v>
      </c>
      <c r="AZ420" s="416">
        <v>5.3</v>
      </c>
    </row>
    <row r="421" spans="1:52" x14ac:dyDescent="0.25">
      <c r="A421" s="415" t="str">
        <f t="shared" si="6"/>
        <v>SA-249 Gr.TP347</v>
      </c>
      <c r="B421" s="415">
        <v>416</v>
      </c>
      <c r="C421" s="415" t="s">
        <v>3324</v>
      </c>
      <c r="D421" s="415" t="s">
        <v>2689</v>
      </c>
      <c r="E421" s="415" t="s">
        <v>2200</v>
      </c>
      <c r="F421" s="415" t="s">
        <v>2577</v>
      </c>
      <c r="G421" s="415" t="s">
        <v>3331</v>
      </c>
      <c r="H421" s="415">
        <v>0</v>
      </c>
      <c r="I421" s="415">
        <v>0</v>
      </c>
      <c r="J421" s="415">
        <v>8</v>
      </c>
      <c r="K421" s="415">
        <v>1</v>
      </c>
      <c r="L421" s="415">
        <v>28</v>
      </c>
      <c r="M421" s="415">
        <v>515</v>
      </c>
      <c r="N421" s="415">
        <v>205</v>
      </c>
      <c r="O421" s="415">
        <v>816</v>
      </c>
      <c r="P421" s="415" t="s">
        <v>3069</v>
      </c>
      <c r="Q421" s="415" t="s">
        <v>3630</v>
      </c>
      <c r="R421" s="415">
        <v>28</v>
      </c>
      <c r="S421" s="415">
        <v>117</v>
      </c>
      <c r="T421" s="416">
        <v>117</v>
      </c>
      <c r="U421" s="416">
        <v>117</v>
      </c>
      <c r="V421" s="416">
        <v>117</v>
      </c>
      <c r="W421" s="416">
        <v>117</v>
      </c>
      <c r="X421" s="416">
        <v>117</v>
      </c>
      <c r="Y421" s="416">
        <v>117</v>
      </c>
      <c r="Z421" s="416">
        <v>117</v>
      </c>
      <c r="AA421" s="416">
        <v>117</v>
      </c>
      <c r="AB421" s="416">
        <v>117</v>
      </c>
      <c r="AC421" s="416">
        <v>117</v>
      </c>
      <c r="AD421" s="416">
        <v>115</v>
      </c>
      <c r="AE421" s="416">
        <v>112</v>
      </c>
      <c r="AF421" s="416">
        <v>111</v>
      </c>
      <c r="AG421" s="416">
        <v>109</v>
      </c>
      <c r="AH421" s="416">
        <v>108</v>
      </c>
      <c r="AI421" s="416">
        <v>107</v>
      </c>
      <c r="AJ421" s="416">
        <v>107</v>
      </c>
      <c r="AK421" s="416">
        <v>106</v>
      </c>
      <c r="AL421" s="416">
        <v>28</v>
      </c>
      <c r="AM421" s="416">
        <v>106</v>
      </c>
      <c r="AN421" s="416">
        <v>106</v>
      </c>
      <c r="AO421" s="416">
        <v>82.9</v>
      </c>
      <c r="AP421" s="416">
        <v>64.5</v>
      </c>
      <c r="AQ421" s="416">
        <v>48.6</v>
      </c>
      <c r="AR421" s="416">
        <v>34.200000000000003</v>
      </c>
      <c r="AS421" s="416">
        <v>25.8</v>
      </c>
      <c r="AT421" s="416">
        <v>19.7</v>
      </c>
      <c r="AU421" s="416">
        <v>13.8</v>
      </c>
      <c r="AV421" s="416">
        <v>9.7100000000000009</v>
      </c>
      <c r="AW421" s="416">
        <v>7.62</v>
      </c>
      <c r="AX421" s="416">
        <v>6.02</v>
      </c>
      <c r="AY421" s="416">
        <v>5.01</v>
      </c>
      <c r="AZ421" s="416">
        <v>4.5</v>
      </c>
    </row>
    <row r="422" spans="1:52" x14ac:dyDescent="0.25">
      <c r="A422" s="415" t="str">
        <f t="shared" si="6"/>
        <v>SA-312 Gr.TP347</v>
      </c>
      <c r="B422" s="415">
        <v>417</v>
      </c>
      <c r="C422" s="415" t="s">
        <v>3324</v>
      </c>
      <c r="D422" s="415" t="s">
        <v>2703</v>
      </c>
      <c r="E422" s="415" t="s">
        <v>2208</v>
      </c>
      <c r="F422" s="415" t="s">
        <v>2577</v>
      </c>
      <c r="G422" s="415" t="s">
        <v>3331</v>
      </c>
      <c r="H422" s="415">
        <v>0</v>
      </c>
      <c r="I422" s="415">
        <v>0</v>
      </c>
      <c r="J422" s="415">
        <v>8</v>
      </c>
      <c r="K422" s="415">
        <v>1</v>
      </c>
      <c r="L422" s="415">
        <v>29</v>
      </c>
      <c r="M422" s="415">
        <v>515</v>
      </c>
      <c r="N422" s="415">
        <v>205</v>
      </c>
      <c r="O422" s="415">
        <v>816</v>
      </c>
      <c r="P422" s="415" t="s">
        <v>3069</v>
      </c>
      <c r="Q422" s="415" t="s">
        <v>3627</v>
      </c>
      <c r="R422" s="415">
        <v>29</v>
      </c>
      <c r="S422" s="415">
        <v>138</v>
      </c>
      <c r="T422" s="416">
        <v>138</v>
      </c>
      <c r="U422" s="416">
        <v>138</v>
      </c>
      <c r="V422" s="416">
        <v>138</v>
      </c>
      <c r="W422" s="416">
        <v>138</v>
      </c>
      <c r="X422" s="416">
        <v>138</v>
      </c>
      <c r="Y422" s="416">
        <v>138</v>
      </c>
      <c r="Z422" s="416">
        <v>138</v>
      </c>
      <c r="AA422" s="416">
        <v>138</v>
      </c>
      <c r="AB422" s="416">
        <v>138</v>
      </c>
      <c r="AC422" s="416">
        <v>138</v>
      </c>
      <c r="AD422" s="416">
        <v>135</v>
      </c>
      <c r="AE422" s="416">
        <v>132</v>
      </c>
      <c r="AF422" s="416">
        <v>130</v>
      </c>
      <c r="AG422" s="416">
        <v>128</v>
      </c>
      <c r="AH422" s="416">
        <v>127</v>
      </c>
      <c r="AI422" s="416">
        <v>126</v>
      </c>
      <c r="AJ422" s="416">
        <v>126</v>
      </c>
      <c r="AK422" s="416">
        <v>125</v>
      </c>
      <c r="AL422" s="416">
        <v>29</v>
      </c>
      <c r="AM422" s="416">
        <v>125</v>
      </c>
      <c r="AN422" s="416">
        <v>125</v>
      </c>
      <c r="AO422" s="416">
        <v>97.6</v>
      </c>
      <c r="AP422" s="416">
        <v>75.900000000000006</v>
      </c>
      <c r="AQ422" s="416">
        <v>57.2</v>
      </c>
      <c r="AR422" s="416">
        <v>40.200000000000003</v>
      </c>
      <c r="AS422" s="416">
        <v>30.3</v>
      </c>
      <c r="AT422" s="416">
        <v>23.2</v>
      </c>
      <c r="AU422" s="416">
        <v>16.2</v>
      </c>
      <c r="AV422" s="416">
        <v>11.4</v>
      </c>
      <c r="AW422" s="416">
        <v>8.9700000000000006</v>
      </c>
      <c r="AX422" s="416">
        <v>7.08</v>
      </c>
      <c r="AY422" s="416">
        <v>5.89</v>
      </c>
      <c r="AZ422" s="416">
        <v>5.3</v>
      </c>
    </row>
    <row r="423" spans="1:52" x14ac:dyDescent="0.25">
      <c r="A423" s="415" t="str">
        <f t="shared" si="6"/>
        <v>SA-312 Gr.TP347</v>
      </c>
      <c r="B423" s="415">
        <v>418</v>
      </c>
      <c r="C423" s="415" t="s">
        <v>3324</v>
      </c>
      <c r="D423" s="415" t="s">
        <v>2680</v>
      </c>
      <c r="E423" s="415" t="s">
        <v>2208</v>
      </c>
      <c r="F423" s="415" t="s">
        <v>2577</v>
      </c>
      <c r="G423" s="415" t="s">
        <v>3331</v>
      </c>
      <c r="H423" s="415">
        <v>0</v>
      </c>
      <c r="I423" s="415">
        <v>0</v>
      </c>
      <c r="J423" s="415">
        <v>8</v>
      </c>
      <c r="K423" s="415">
        <v>1</v>
      </c>
      <c r="L423" s="415">
        <v>30</v>
      </c>
      <c r="M423" s="415">
        <v>515</v>
      </c>
      <c r="N423" s="415">
        <v>205</v>
      </c>
      <c r="O423" s="415">
        <v>816</v>
      </c>
      <c r="P423" s="415" t="s">
        <v>3069</v>
      </c>
      <c r="Q423" s="415" t="s">
        <v>3630</v>
      </c>
      <c r="R423" s="415">
        <v>30</v>
      </c>
      <c r="S423" s="415">
        <v>117</v>
      </c>
      <c r="T423" s="416">
        <v>117</v>
      </c>
      <c r="U423" s="416">
        <v>117</v>
      </c>
      <c r="V423" s="416">
        <v>117</v>
      </c>
      <c r="W423" s="416">
        <v>117</v>
      </c>
      <c r="X423" s="416">
        <v>117</v>
      </c>
      <c r="Y423" s="416">
        <v>117</v>
      </c>
      <c r="Z423" s="416">
        <v>117</v>
      </c>
      <c r="AA423" s="416">
        <v>117</v>
      </c>
      <c r="AB423" s="416">
        <v>117</v>
      </c>
      <c r="AC423" s="416">
        <v>117</v>
      </c>
      <c r="AD423" s="416">
        <v>115</v>
      </c>
      <c r="AE423" s="416">
        <v>112</v>
      </c>
      <c r="AF423" s="416">
        <v>111</v>
      </c>
      <c r="AG423" s="416">
        <v>109</v>
      </c>
      <c r="AH423" s="416">
        <v>108</v>
      </c>
      <c r="AI423" s="416">
        <v>107</v>
      </c>
      <c r="AJ423" s="416">
        <v>107</v>
      </c>
      <c r="AK423" s="416">
        <v>106</v>
      </c>
      <c r="AL423" s="416">
        <v>30</v>
      </c>
      <c r="AM423" s="416">
        <v>106</v>
      </c>
      <c r="AN423" s="416">
        <v>106</v>
      </c>
      <c r="AO423" s="416">
        <v>82.9</v>
      </c>
      <c r="AP423" s="416">
        <v>64.5</v>
      </c>
      <c r="AQ423" s="416">
        <v>48.6</v>
      </c>
      <c r="AR423" s="416">
        <v>34.200000000000003</v>
      </c>
      <c r="AS423" s="416">
        <v>25.8</v>
      </c>
      <c r="AT423" s="416">
        <v>19.7</v>
      </c>
      <c r="AU423" s="416">
        <v>13.8</v>
      </c>
      <c r="AV423" s="416">
        <v>9.7100000000000009</v>
      </c>
      <c r="AW423" s="416">
        <v>7.62</v>
      </c>
      <c r="AX423" s="416">
        <v>6.02</v>
      </c>
      <c r="AY423" s="416">
        <v>5.01</v>
      </c>
      <c r="AZ423" s="416">
        <v>4.5</v>
      </c>
    </row>
    <row r="424" spans="1:52" x14ac:dyDescent="0.25">
      <c r="A424" s="415" t="str">
        <f t="shared" si="6"/>
        <v>SA-376 Gr.TP347</v>
      </c>
      <c r="B424" s="415">
        <v>419</v>
      </c>
      <c r="C424" s="415" t="s">
        <v>3324</v>
      </c>
      <c r="D424" s="415" t="s">
        <v>2703</v>
      </c>
      <c r="E424" s="415" t="s">
        <v>2225</v>
      </c>
      <c r="F424" s="415" t="s">
        <v>2577</v>
      </c>
      <c r="G424" s="415" t="s">
        <v>3331</v>
      </c>
      <c r="H424" s="415">
        <v>0</v>
      </c>
      <c r="I424" s="415">
        <v>0</v>
      </c>
      <c r="J424" s="415">
        <v>8</v>
      </c>
      <c r="K424" s="415">
        <v>1</v>
      </c>
      <c r="L424" s="415">
        <v>31</v>
      </c>
      <c r="M424" s="415">
        <v>515</v>
      </c>
      <c r="N424" s="415">
        <v>205</v>
      </c>
      <c r="O424" s="415">
        <v>816</v>
      </c>
      <c r="P424" s="415" t="s">
        <v>3069</v>
      </c>
      <c r="Q424" s="415" t="s">
        <v>3629</v>
      </c>
      <c r="R424" s="415">
        <v>31</v>
      </c>
      <c r="S424" s="415">
        <v>138</v>
      </c>
      <c r="T424" s="416">
        <v>138</v>
      </c>
      <c r="U424" s="416">
        <v>138</v>
      </c>
      <c r="V424" s="416">
        <v>138</v>
      </c>
      <c r="W424" s="416">
        <v>138</v>
      </c>
      <c r="X424" s="416">
        <v>138</v>
      </c>
      <c r="Y424" s="416">
        <v>138</v>
      </c>
      <c r="Z424" s="416">
        <v>138</v>
      </c>
      <c r="AA424" s="416">
        <v>138</v>
      </c>
      <c r="AB424" s="416">
        <v>138</v>
      </c>
      <c r="AC424" s="416">
        <v>138</v>
      </c>
      <c r="AD424" s="416">
        <v>135</v>
      </c>
      <c r="AE424" s="416">
        <v>132</v>
      </c>
      <c r="AF424" s="416">
        <v>130</v>
      </c>
      <c r="AG424" s="416">
        <v>128</v>
      </c>
      <c r="AH424" s="416">
        <v>127</v>
      </c>
      <c r="AI424" s="416">
        <v>126</v>
      </c>
      <c r="AJ424" s="416">
        <v>126</v>
      </c>
      <c r="AK424" s="416">
        <v>125</v>
      </c>
      <c r="AL424" s="416">
        <v>31</v>
      </c>
      <c r="AM424" s="416">
        <v>125</v>
      </c>
      <c r="AN424" s="416">
        <v>125</v>
      </c>
      <c r="AO424" s="416">
        <v>97.6</v>
      </c>
      <c r="AP424" s="416">
        <v>75.900000000000006</v>
      </c>
      <c r="AQ424" s="416">
        <v>57.2</v>
      </c>
      <c r="AR424" s="416">
        <v>40.200000000000003</v>
      </c>
      <c r="AS424" s="416">
        <v>30.3</v>
      </c>
      <c r="AT424" s="416">
        <v>23.2</v>
      </c>
      <c r="AU424" s="416">
        <v>16.2</v>
      </c>
      <c r="AV424" s="416">
        <v>11.4</v>
      </c>
      <c r="AW424" s="416">
        <v>8.9700000000000006</v>
      </c>
      <c r="AX424" s="416">
        <v>7.08</v>
      </c>
      <c r="AY424" s="416">
        <v>5.89</v>
      </c>
      <c r="AZ424" s="416">
        <v>5.3</v>
      </c>
    </row>
    <row r="425" spans="1:52" x14ac:dyDescent="0.25">
      <c r="A425" s="415" t="str">
        <f t="shared" si="6"/>
        <v>SA-403 Gr.347</v>
      </c>
      <c r="B425" s="415">
        <v>420</v>
      </c>
      <c r="C425" s="415" t="s">
        <v>3324</v>
      </c>
      <c r="D425" s="415" t="s">
        <v>913</v>
      </c>
      <c r="E425" s="415" t="s">
        <v>2229</v>
      </c>
      <c r="F425" s="415">
        <v>347</v>
      </c>
      <c r="G425" s="415" t="s">
        <v>3331</v>
      </c>
      <c r="H425" s="415" t="s">
        <v>3380</v>
      </c>
      <c r="I425" s="415">
        <v>0</v>
      </c>
      <c r="J425" s="415">
        <v>8</v>
      </c>
      <c r="K425" s="415">
        <v>1</v>
      </c>
      <c r="L425" s="415">
        <v>32</v>
      </c>
      <c r="M425" s="415">
        <v>515</v>
      </c>
      <c r="N425" s="415">
        <v>205</v>
      </c>
      <c r="O425" s="415">
        <v>816</v>
      </c>
      <c r="P425" s="415" t="s">
        <v>3069</v>
      </c>
      <c r="Q425" s="415" t="s">
        <v>3624</v>
      </c>
      <c r="R425" s="415">
        <v>32</v>
      </c>
      <c r="S425" s="415">
        <v>117</v>
      </c>
      <c r="T425" s="416">
        <v>117</v>
      </c>
      <c r="U425" s="416">
        <v>117</v>
      </c>
      <c r="V425" s="416">
        <v>117</v>
      </c>
      <c r="W425" s="416">
        <v>117</v>
      </c>
      <c r="X425" s="416">
        <v>117</v>
      </c>
      <c r="Y425" s="416">
        <v>117</v>
      </c>
      <c r="Z425" s="416">
        <v>117</v>
      </c>
      <c r="AA425" s="416">
        <v>117</v>
      </c>
      <c r="AB425" s="416">
        <v>117</v>
      </c>
      <c r="AC425" s="416">
        <v>117</v>
      </c>
      <c r="AD425" s="416">
        <v>115</v>
      </c>
      <c r="AE425" s="416">
        <v>112</v>
      </c>
      <c r="AF425" s="416">
        <v>111</v>
      </c>
      <c r="AG425" s="416">
        <v>109</v>
      </c>
      <c r="AH425" s="416">
        <v>108</v>
      </c>
      <c r="AI425" s="416">
        <v>107</v>
      </c>
      <c r="AJ425" s="416">
        <v>107</v>
      </c>
      <c r="AK425" s="416">
        <v>106</v>
      </c>
      <c r="AL425" s="416">
        <v>32</v>
      </c>
      <c r="AM425" s="416">
        <v>106</v>
      </c>
      <c r="AN425" s="416">
        <v>106</v>
      </c>
      <c r="AO425" s="416">
        <v>82.9</v>
      </c>
      <c r="AP425" s="416">
        <v>64.5</v>
      </c>
      <c r="AQ425" s="416">
        <v>48.6</v>
      </c>
      <c r="AR425" s="416">
        <v>34.200000000000003</v>
      </c>
      <c r="AS425" s="416">
        <v>25.8</v>
      </c>
      <c r="AT425" s="416">
        <v>19.7</v>
      </c>
      <c r="AU425" s="416">
        <v>13.8</v>
      </c>
      <c r="AV425" s="416">
        <v>9.7100000000000009</v>
      </c>
      <c r="AW425" s="416">
        <v>7.62</v>
      </c>
      <c r="AX425" s="416">
        <v>6.02</v>
      </c>
      <c r="AY425" s="416">
        <v>5.01</v>
      </c>
      <c r="AZ425" s="416">
        <v>4.5</v>
      </c>
    </row>
    <row r="426" spans="1:52" x14ac:dyDescent="0.25">
      <c r="A426" s="415" t="str">
        <f t="shared" si="6"/>
        <v>SA-403 Gr.347</v>
      </c>
      <c r="B426" s="415">
        <v>421</v>
      </c>
      <c r="C426" s="415" t="s">
        <v>3324</v>
      </c>
      <c r="D426" s="415" t="s">
        <v>913</v>
      </c>
      <c r="E426" s="415" t="s">
        <v>2229</v>
      </c>
      <c r="F426" s="415">
        <v>347</v>
      </c>
      <c r="G426" s="415" t="s">
        <v>3331</v>
      </c>
      <c r="H426" s="415" t="s">
        <v>3381</v>
      </c>
      <c r="I426" s="415">
        <v>0</v>
      </c>
      <c r="J426" s="415">
        <v>8</v>
      </c>
      <c r="K426" s="415">
        <v>1</v>
      </c>
      <c r="L426" s="415">
        <v>33</v>
      </c>
      <c r="M426" s="415">
        <v>515</v>
      </c>
      <c r="N426" s="415">
        <v>205</v>
      </c>
      <c r="O426" s="415">
        <v>816</v>
      </c>
      <c r="P426" s="415" t="s">
        <v>3069</v>
      </c>
      <c r="Q426" s="415" t="s">
        <v>3623</v>
      </c>
      <c r="R426" s="415">
        <v>33</v>
      </c>
      <c r="S426" s="415">
        <v>138</v>
      </c>
      <c r="T426" s="416">
        <v>138</v>
      </c>
      <c r="U426" s="416">
        <v>138</v>
      </c>
      <c r="V426" s="416">
        <v>138</v>
      </c>
      <c r="W426" s="416">
        <v>138</v>
      </c>
      <c r="X426" s="416">
        <v>138</v>
      </c>
      <c r="Y426" s="416">
        <v>138</v>
      </c>
      <c r="Z426" s="416">
        <v>138</v>
      </c>
      <c r="AA426" s="416">
        <v>138</v>
      </c>
      <c r="AB426" s="416">
        <v>138</v>
      </c>
      <c r="AC426" s="416">
        <v>138</v>
      </c>
      <c r="AD426" s="416">
        <v>135</v>
      </c>
      <c r="AE426" s="416">
        <v>132</v>
      </c>
      <c r="AF426" s="416">
        <v>130</v>
      </c>
      <c r="AG426" s="416">
        <v>128</v>
      </c>
      <c r="AH426" s="416">
        <v>127</v>
      </c>
      <c r="AI426" s="416">
        <v>126</v>
      </c>
      <c r="AJ426" s="416">
        <v>126</v>
      </c>
      <c r="AK426" s="416">
        <v>125</v>
      </c>
      <c r="AL426" s="416">
        <v>33</v>
      </c>
      <c r="AM426" s="416">
        <v>125</v>
      </c>
      <c r="AN426" s="416">
        <v>125</v>
      </c>
      <c r="AO426" s="416">
        <v>97.6</v>
      </c>
      <c r="AP426" s="416">
        <v>75.900000000000006</v>
      </c>
      <c r="AQ426" s="416">
        <v>57.2</v>
      </c>
      <c r="AR426" s="416">
        <v>40.200000000000003</v>
      </c>
      <c r="AS426" s="416">
        <v>30.3</v>
      </c>
      <c r="AT426" s="416">
        <v>23.2</v>
      </c>
      <c r="AU426" s="416">
        <v>16.2</v>
      </c>
      <c r="AV426" s="416">
        <v>11.4</v>
      </c>
      <c r="AW426" s="416">
        <v>8.9700000000000006</v>
      </c>
      <c r="AX426" s="416">
        <v>7.08</v>
      </c>
      <c r="AY426" s="416">
        <v>5.89</v>
      </c>
      <c r="AZ426" s="416">
        <v>5.3</v>
      </c>
    </row>
    <row r="427" spans="1:52" x14ac:dyDescent="0.25">
      <c r="A427" s="415" t="str">
        <f t="shared" si="6"/>
        <v>SA-403 Gr.347</v>
      </c>
      <c r="B427" s="415">
        <v>422</v>
      </c>
      <c r="C427" s="415" t="s">
        <v>3324</v>
      </c>
      <c r="D427" s="415" t="s">
        <v>3414</v>
      </c>
      <c r="E427" s="415" t="s">
        <v>2229</v>
      </c>
      <c r="F427" s="415">
        <v>347</v>
      </c>
      <c r="G427" s="415" t="s">
        <v>3331</v>
      </c>
      <c r="H427" s="415" t="s">
        <v>3382</v>
      </c>
      <c r="I427" s="415">
        <v>0</v>
      </c>
      <c r="J427" s="415">
        <v>8</v>
      </c>
      <c r="K427" s="415">
        <v>1</v>
      </c>
      <c r="L427" s="415">
        <v>34</v>
      </c>
      <c r="M427" s="415">
        <v>515</v>
      </c>
      <c r="N427" s="415">
        <v>205</v>
      </c>
      <c r="O427" s="415">
        <v>816</v>
      </c>
      <c r="P427" s="415" t="s">
        <v>3069</v>
      </c>
      <c r="Q427" s="415" t="s">
        <v>3624</v>
      </c>
      <c r="R427" s="415">
        <v>34</v>
      </c>
      <c r="S427" s="415">
        <v>117</v>
      </c>
      <c r="T427" s="416">
        <v>117</v>
      </c>
      <c r="U427" s="416">
        <v>117</v>
      </c>
      <c r="V427" s="416">
        <v>117</v>
      </c>
      <c r="W427" s="416">
        <v>117</v>
      </c>
      <c r="X427" s="416">
        <v>117</v>
      </c>
      <c r="Y427" s="416">
        <v>117</v>
      </c>
      <c r="Z427" s="416">
        <v>117</v>
      </c>
      <c r="AA427" s="416">
        <v>117</v>
      </c>
      <c r="AB427" s="416">
        <v>117</v>
      </c>
      <c r="AC427" s="416">
        <v>117</v>
      </c>
      <c r="AD427" s="416">
        <v>115</v>
      </c>
      <c r="AE427" s="416">
        <v>112</v>
      </c>
      <c r="AF427" s="416">
        <v>111</v>
      </c>
      <c r="AG427" s="416">
        <v>109</v>
      </c>
      <c r="AH427" s="416">
        <v>108</v>
      </c>
      <c r="AI427" s="416">
        <v>107</v>
      </c>
      <c r="AJ427" s="416">
        <v>107</v>
      </c>
      <c r="AK427" s="416">
        <v>106</v>
      </c>
      <c r="AL427" s="416">
        <v>34</v>
      </c>
      <c r="AM427" s="416">
        <v>106</v>
      </c>
      <c r="AN427" s="416">
        <v>106</v>
      </c>
      <c r="AO427" s="416">
        <v>82.9</v>
      </c>
      <c r="AP427" s="416">
        <v>64.5</v>
      </c>
      <c r="AQ427" s="416">
        <v>48.6</v>
      </c>
      <c r="AR427" s="416">
        <v>34.200000000000003</v>
      </c>
      <c r="AS427" s="416">
        <v>25.8</v>
      </c>
      <c r="AT427" s="416">
        <v>19.7</v>
      </c>
      <c r="AU427" s="416">
        <v>13.8</v>
      </c>
      <c r="AV427" s="416">
        <v>9.7100000000000009</v>
      </c>
      <c r="AW427" s="416">
        <v>7.62</v>
      </c>
      <c r="AX427" s="416">
        <v>6.02</v>
      </c>
      <c r="AY427" s="416">
        <v>5.01</v>
      </c>
      <c r="AZ427" s="416">
        <v>4.5</v>
      </c>
    </row>
    <row r="428" spans="1:52" x14ac:dyDescent="0.25">
      <c r="A428" s="415" t="str">
        <f t="shared" si="6"/>
        <v>SA-403 Gr.347</v>
      </c>
      <c r="B428" s="415">
        <v>423</v>
      </c>
      <c r="C428" s="415" t="s">
        <v>3324</v>
      </c>
      <c r="D428" s="415" t="s">
        <v>3414</v>
      </c>
      <c r="E428" s="415" t="s">
        <v>2229</v>
      </c>
      <c r="F428" s="415">
        <v>347</v>
      </c>
      <c r="G428" s="415" t="s">
        <v>3331</v>
      </c>
      <c r="H428" s="415" t="s">
        <v>3384</v>
      </c>
      <c r="I428" s="415">
        <v>0</v>
      </c>
      <c r="J428" s="415">
        <v>8</v>
      </c>
      <c r="K428" s="415">
        <v>1</v>
      </c>
      <c r="L428" s="415">
        <v>35</v>
      </c>
      <c r="M428" s="415">
        <v>515</v>
      </c>
      <c r="N428" s="415">
        <v>205</v>
      </c>
      <c r="O428" s="415">
        <v>816</v>
      </c>
      <c r="P428" s="415" t="s">
        <v>3069</v>
      </c>
      <c r="Q428" s="415" t="s">
        <v>3624</v>
      </c>
      <c r="R428" s="415">
        <v>35</v>
      </c>
      <c r="S428" s="415">
        <v>117</v>
      </c>
      <c r="T428" s="416">
        <v>117</v>
      </c>
      <c r="U428" s="416">
        <v>117</v>
      </c>
      <c r="V428" s="416">
        <v>117</v>
      </c>
      <c r="W428" s="416">
        <v>117</v>
      </c>
      <c r="X428" s="416">
        <v>117</v>
      </c>
      <c r="Y428" s="416">
        <v>117</v>
      </c>
      <c r="Z428" s="416">
        <v>117</v>
      </c>
      <c r="AA428" s="416">
        <v>117</v>
      </c>
      <c r="AB428" s="416">
        <v>117</v>
      </c>
      <c r="AC428" s="416">
        <v>117</v>
      </c>
      <c r="AD428" s="416">
        <v>115</v>
      </c>
      <c r="AE428" s="416">
        <v>112</v>
      </c>
      <c r="AF428" s="416">
        <v>111</v>
      </c>
      <c r="AG428" s="416">
        <v>109</v>
      </c>
      <c r="AH428" s="416">
        <v>108</v>
      </c>
      <c r="AI428" s="416">
        <v>107</v>
      </c>
      <c r="AJ428" s="416">
        <v>107</v>
      </c>
      <c r="AK428" s="416">
        <v>106</v>
      </c>
      <c r="AL428" s="416">
        <v>35</v>
      </c>
      <c r="AM428" s="416">
        <v>106</v>
      </c>
      <c r="AN428" s="416">
        <v>106</v>
      </c>
      <c r="AO428" s="416">
        <v>82.9</v>
      </c>
      <c r="AP428" s="416">
        <v>64.5</v>
      </c>
      <c r="AQ428" s="416">
        <v>48.6</v>
      </c>
      <c r="AR428" s="416">
        <v>34.200000000000003</v>
      </c>
      <c r="AS428" s="416">
        <v>25.8</v>
      </c>
      <c r="AT428" s="416">
        <v>19.7</v>
      </c>
      <c r="AU428" s="416">
        <v>13.8</v>
      </c>
      <c r="AV428" s="416">
        <v>9.7100000000000009</v>
      </c>
      <c r="AW428" s="416">
        <v>7.62</v>
      </c>
      <c r="AX428" s="416">
        <v>6.02</v>
      </c>
      <c r="AY428" s="416">
        <v>5.01</v>
      </c>
      <c r="AZ428" s="416">
        <v>4.5</v>
      </c>
    </row>
    <row r="429" spans="1:52" x14ac:dyDescent="0.25">
      <c r="A429" s="415" t="str">
        <f t="shared" si="6"/>
        <v>SA-182 Gr.F347H</v>
      </c>
      <c r="B429" s="415">
        <v>424</v>
      </c>
      <c r="C429" s="415" t="s">
        <v>3324</v>
      </c>
      <c r="D429" s="415" t="s">
        <v>2737</v>
      </c>
      <c r="E429" s="415" t="s">
        <v>2188</v>
      </c>
      <c r="F429" s="415" t="s">
        <v>2448</v>
      </c>
      <c r="G429" s="415" t="s">
        <v>3333</v>
      </c>
      <c r="H429" s="415">
        <v>0</v>
      </c>
      <c r="I429" s="415" t="s">
        <v>3604</v>
      </c>
      <c r="J429" s="415">
        <v>8</v>
      </c>
      <c r="K429" s="415">
        <v>1</v>
      </c>
      <c r="L429" s="415">
        <v>36</v>
      </c>
      <c r="M429" s="415">
        <v>517</v>
      </c>
      <c r="N429" s="415">
        <v>205</v>
      </c>
      <c r="O429" s="415">
        <v>816</v>
      </c>
      <c r="P429" s="415" t="s">
        <v>3069</v>
      </c>
      <c r="Q429" s="415" t="s">
        <v>3628</v>
      </c>
      <c r="R429" s="415">
        <v>36</v>
      </c>
      <c r="S429" s="415">
        <v>138</v>
      </c>
      <c r="T429" s="416">
        <v>138</v>
      </c>
      <c r="U429" s="416">
        <v>138</v>
      </c>
      <c r="V429" s="416">
        <v>138</v>
      </c>
      <c r="W429" s="416">
        <v>138</v>
      </c>
      <c r="X429" s="416">
        <v>138</v>
      </c>
      <c r="Y429" s="416">
        <v>138</v>
      </c>
      <c r="Z429" s="416">
        <v>138</v>
      </c>
      <c r="AA429" s="416">
        <v>138</v>
      </c>
      <c r="AB429" s="416">
        <v>138</v>
      </c>
      <c r="AC429" s="416">
        <v>138</v>
      </c>
      <c r="AD429" s="416">
        <v>135</v>
      </c>
      <c r="AE429" s="416">
        <v>132</v>
      </c>
      <c r="AF429" s="416">
        <v>130</v>
      </c>
      <c r="AG429" s="416">
        <v>129</v>
      </c>
      <c r="AH429" s="416">
        <v>127</v>
      </c>
      <c r="AI429" s="416">
        <v>126</v>
      </c>
      <c r="AJ429" s="416">
        <v>126</v>
      </c>
      <c r="AK429" s="416">
        <v>125</v>
      </c>
      <c r="AL429" s="416">
        <v>36</v>
      </c>
      <c r="AM429" s="416">
        <v>125</v>
      </c>
      <c r="AN429" s="416">
        <v>125</v>
      </c>
      <c r="AO429" s="416">
        <v>125</v>
      </c>
      <c r="AP429" s="416">
        <v>112</v>
      </c>
      <c r="AQ429" s="416">
        <v>90.6</v>
      </c>
      <c r="AR429" s="416">
        <v>69.599999999999994</v>
      </c>
      <c r="AS429" s="416">
        <v>53.8</v>
      </c>
      <c r="AT429" s="416">
        <v>41.4</v>
      </c>
      <c r="AU429" s="416">
        <v>31.8</v>
      </c>
      <c r="AV429" s="416">
        <v>24</v>
      </c>
      <c r="AW429" s="416">
        <v>18.8</v>
      </c>
      <c r="AX429" s="416">
        <v>14.6</v>
      </c>
      <c r="AY429" s="416">
        <v>10.9</v>
      </c>
      <c r="AZ429" s="416">
        <v>7.96</v>
      </c>
    </row>
    <row r="430" spans="1:52" x14ac:dyDescent="0.25">
      <c r="A430" s="415" t="str">
        <f t="shared" si="6"/>
        <v>SA-213 Gr.TP347H</v>
      </c>
      <c r="B430" s="415">
        <v>425</v>
      </c>
      <c r="C430" s="415" t="s">
        <v>3324</v>
      </c>
      <c r="D430" s="415" t="s">
        <v>2693</v>
      </c>
      <c r="E430" s="415" t="s">
        <v>2195</v>
      </c>
      <c r="F430" s="415" t="s">
        <v>2578</v>
      </c>
      <c r="G430" s="415" t="s">
        <v>3333</v>
      </c>
      <c r="H430" s="415">
        <v>0</v>
      </c>
      <c r="I430" s="415">
        <v>0</v>
      </c>
      <c r="J430" s="415">
        <v>8</v>
      </c>
      <c r="K430" s="415">
        <v>1</v>
      </c>
      <c r="L430" s="415">
        <v>37</v>
      </c>
      <c r="M430" s="415">
        <v>515</v>
      </c>
      <c r="N430" s="415">
        <v>205</v>
      </c>
      <c r="O430" s="415">
        <v>816</v>
      </c>
      <c r="P430" s="415" t="s">
        <v>3069</v>
      </c>
      <c r="Q430" s="415" t="s">
        <v>3628</v>
      </c>
      <c r="R430" s="415">
        <v>37</v>
      </c>
      <c r="S430" s="415">
        <v>138</v>
      </c>
      <c r="T430" s="416">
        <v>138</v>
      </c>
      <c r="U430" s="416">
        <v>138</v>
      </c>
      <c r="V430" s="416">
        <v>138</v>
      </c>
      <c r="W430" s="416">
        <v>138</v>
      </c>
      <c r="X430" s="416">
        <v>138</v>
      </c>
      <c r="Y430" s="416">
        <v>138</v>
      </c>
      <c r="Z430" s="416">
        <v>138</v>
      </c>
      <c r="AA430" s="416">
        <v>138</v>
      </c>
      <c r="AB430" s="416">
        <v>138</v>
      </c>
      <c r="AC430" s="416">
        <v>138</v>
      </c>
      <c r="AD430" s="416">
        <v>135</v>
      </c>
      <c r="AE430" s="416">
        <v>132</v>
      </c>
      <c r="AF430" s="416">
        <v>130</v>
      </c>
      <c r="AG430" s="416">
        <v>129</v>
      </c>
      <c r="AH430" s="416">
        <v>127</v>
      </c>
      <c r="AI430" s="416">
        <v>126</v>
      </c>
      <c r="AJ430" s="416">
        <v>126</v>
      </c>
      <c r="AK430" s="416">
        <v>125</v>
      </c>
      <c r="AL430" s="416">
        <v>37</v>
      </c>
      <c r="AM430" s="416">
        <v>125</v>
      </c>
      <c r="AN430" s="416">
        <v>125</v>
      </c>
      <c r="AO430" s="416">
        <v>125</v>
      </c>
      <c r="AP430" s="416">
        <v>112</v>
      </c>
      <c r="AQ430" s="416">
        <v>90.6</v>
      </c>
      <c r="AR430" s="416">
        <v>69.599999999999994</v>
      </c>
      <c r="AS430" s="416">
        <v>53.8</v>
      </c>
      <c r="AT430" s="416">
        <v>41.4</v>
      </c>
      <c r="AU430" s="416">
        <v>31.8</v>
      </c>
      <c r="AV430" s="416">
        <v>24</v>
      </c>
      <c r="AW430" s="416">
        <v>18.8</v>
      </c>
      <c r="AX430" s="416">
        <v>14.6</v>
      </c>
      <c r="AY430" s="416">
        <v>10.9</v>
      </c>
      <c r="AZ430" s="416">
        <v>7.96</v>
      </c>
    </row>
    <row r="431" spans="1:52" x14ac:dyDescent="0.25">
      <c r="A431" s="415" t="str">
        <f t="shared" si="6"/>
        <v>SA-240 Gr.347H</v>
      </c>
      <c r="B431" s="415">
        <v>426</v>
      </c>
      <c r="C431" s="415" t="s">
        <v>3324</v>
      </c>
      <c r="D431" s="415" t="s">
        <v>2684</v>
      </c>
      <c r="E431" s="415" t="s">
        <v>2165</v>
      </c>
      <c r="F431" s="415" t="s">
        <v>2280</v>
      </c>
      <c r="G431" s="415" t="s">
        <v>3333</v>
      </c>
      <c r="H431" s="415">
        <v>0</v>
      </c>
      <c r="I431" s="415">
        <v>0</v>
      </c>
      <c r="J431" s="415">
        <v>8</v>
      </c>
      <c r="K431" s="415">
        <v>1</v>
      </c>
      <c r="L431" s="415">
        <v>38</v>
      </c>
      <c r="M431" s="415">
        <v>515</v>
      </c>
      <c r="N431" s="415">
        <v>205</v>
      </c>
      <c r="O431" s="415">
        <v>816</v>
      </c>
      <c r="P431" s="415" t="s">
        <v>3069</v>
      </c>
      <c r="Q431" s="415" t="s">
        <v>3628</v>
      </c>
      <c r="R431" s="415">
        <v>38</v>
      </c>
      <c r="S431" s="415">
        <v>138</v>
      </c>
      <c r="T431" s="416">
        <v>138</v>
      </c>
      <c r="U431" s="416">
        <v>138</v>
      </c>
      <c r="V431" s="416">
        <v>138</v>
      </c>
      <c r="W431" s="416">
        <v>138</v>
      </c>
      <c r="X431" s="416">
        <v>138</v>
      </c>
      <c r="Y431" s="416">
        <v>138</v>
      </c>
      <c r="Z431" s="416">
        <v>138</v>
      </c>
      <c r="AA431" s="416">
        <v>138</v>
      </c>
      <c r="AB431" s="416">
        <v>138</v>
      </c>
      <c r="AC431" s="416">
        <v>138</v>
      </c>
      <c r="AD431" s="416">
        <v>135</v>
      </c>
      <c r="AE431" s="416">
        <v>132</v>
      </c>
      <c r="AF431" s="416">
        <v>130</v>
      </c>
      <c r="AG431" s="416">
        <v>129</v>
      </c>
      <c r="AH431" s="416">
        <v>127</v>
      </c>
      <c r="AI431" s="416">
        <v>126</v>
      </c>
      <c r="AJ431" s="416">
        <v>126</v>
      </c>
      <c r="AK431" s="416">
        <v>125</v>
      </c>
      <c r="AL431" s="416">
        <v>38</v>
      </c>
      <c r="AM431" s="416">
        <v>125</v>
      </c>
      <c r="AN431" s="416">
        <v>125</v>
      </c>
      <c r="AO431" s="416">
        <v>125</v>
      </c>
      <c r="AP431" s="416">
        <v>112</v>
      </c>
      <c r="AQ431" s="416">
        <v>90.6</v>
      </c>
      <c r="AR431" s="416">
        <v>69.599999999999994</v>
      </c>
      <c r="AS431" s="416">
        <v>53.8</v>
      </c>
      <c r="AT431" s="416">
        <v>41.4</v>
      </c>
      <c r="AU431" s="416">
        <v>31.8</v>
      </c>
      <c r="AV431" s="416">
        <v>24</v>
      </c>
      <c r="AW431" s="416">
        <v>18.8</v>
      </c>
      <c r="AX431" s="416">
        <v>14.6</v>
      </c>
      <c r="AY431" s="416">
        <v>10.9</v>
      </c>
      <c r="AZ431" s="416">
        <v>7.96</v>
      </c>
    </row>
    <row r="432" spans="1:52" x14ac:dyDescent="0.25">
      <c r="A432" s="415" t="str">
        <f t="shared" si="6"/>
        <v>SA-249 Gr.TP347H</v>
      </c>
      <c r="B432" s="415">
        <v>427</v>
      </c>
      <c r="C432" s="415" t="s">
        <v>3324</v>
      </c>
      <c r="D432" s="415" t="s">
        <v>2689</v>
      </c>
      <c r="E432" s="415" t="s">
        <v>2200</v>
      </c>
      <c r="F432" s="415" t="s">
        <v>2578</v>
      </c>
      <c r="G432" s="415" t="s">
        <v>3333</v>
      </c>
      <c r="H432" s="415">
        <v>0</v>
      </c>
      <c r="I432" s="415">
        <v>0</v>
      </c>
      <c r="J432" s="415">
        <v>8</v>
      </c>
      <c r="K432" s="415">
        <v>1</v>
      </c>
      <c r="L432" s="415">
        <v>39</v>
      </c>
      <c r="M432" s="415">
        <v>515</v>
      </c>
      <c r="N432" s="415">
        <v>205</v>
      </c>
      <c r="O432" s="415">
        <v>816</v>
      </c>
      <c r="P432" s="415" t="s">
        <v>3069</v>
      </c>
      <c r="Q432" s="415" t="s">
        <v>3612</v>
      </c>
      <c r="R432" s="415">
        <v>39</v>
      </c>
      <c r="S432" s="415">
        <v>117</v>
      </c>
      <c r="T432" s="416">
        <v>117</v>
      </c>
      <c r="U432" s="416">
        <v>117</v>
      </c>
      <c r="V432" s="416">
        <v>117</v>
      </c>
      <c r="W432" s="416">
        <v>117</v>
      </c>
      <c r="X432" s="416">
        <v>117</v>
      </c>
      <c r="Y432" s="416">
        <v>117</v>
      </c>
      <c r="Z432" s="416">
        <v>117</v>
      </c>
      <c r="AA432" s="416">
        <v>117</v>
      </c>
      <c r="AB432" s="416">
        <v>117</v>
      </c>
      <c r="AC432" s="416">
        <v>117</v>
      </c>
      <c r="AD432" s="416">
        <v>115</v>
      </c>
      <c r="AE432" s="416">
        <v>112</v>
      </c>
      <c r="AF432" s="416">
        <v>111</v>
      </c>
      <c r="AG432" s="416">
        <v>109</v>
      </c>
      <c r="AH432" s="416">
        <v>108</v>
      </c>
      <c r="AI432" s="416">
        <v>107</v>
      </c>
      <c r="AJ432" s="416">
        <v>107</v>
      </c>
      <c r="AK432" s="416">
        <v>106</v>
      </c>
      <c r="AL432" s="416">
        <v>39</v>
      </c>
      <c r="AM432" s="416">
        <v>106</v>
      </c>
      <c r="AN432" s="416">
        <v>106</v>
      </c>
      <c r="AO432" s="416">
        <v>106</v>
      </c>
      <c r="AP432" s="416">
        <v>94.8</v>
      </c>
      <c r="AQ432" s="416">
        <v>77</v>
      </c>
      <c r="AR432" s="416">
        <v>59.1</v>
      </c>
      <c r="AS432" s="416">
        <v>45.8</v>
      </c>
      <c r="AT432" s="416">
        <v>35.200000000000003</v>
      </c>
      <c r="AU432" s="416">
        <v>27</v>
      </c>
      <c r="AV432" s="416">
        <v>20.399999999999999</v>
      </c>
      <c r="AW432" s="416">
        <v>16</v>
      </c>
      <c r="AX432" s="416">
        <v>12.4</v>
      </c>
      <c r="AY432" s="416">
        <v>9.25</v>
      </c>
      <c r="AZ432" s="416">
        <v>6.77</v>
      </c>
    </row>
    <row r="433" spans="1:52" x14ac:dyDescent="0.25">
      <c r="A433" s="415" t="str">
        <f t="shared" si="6"/>
        <v>SA-312 Gr.TP347H</v>
      </c>
      <c r="B433" s="415">
        <v>428</v>
      </c>
      <c r="C433" s="415" t="s">
        <v>3324</v>
      </c>
      <c r="D433" s="415" t="s">
        <v>2703</v>
      </c>
      <c r="E433" s="415" t="s">
        <v>2208</v>
      </c>
      <c r="F433" s="415" t="s">
        <v>2578</v>
      </c>
      <c r="G433" s="415" t="s">
        <v>3333</v>
      </c>
      <c r="H433" s="415">
        <v>0</v>
      </c>
      <c r="I433" s="415">
        <v>0</v>
      </c>
      <c r="J433" s="415">
        <v>8</v>
      </c>
      <c r="K433" s="415">
        <v>1</v>
      </c>
      <c r="L433" s="415">
        <v>40</v>
      </c>
      <c r="M433" s="415">
        <v>515</v>
      </c>
      <c r="N433" s="415">
        <v>205</v>
      </c>
      <c r="O433" s="415">
        <v>816</v>
      </c>
      <c r="P433" s="415" t="s">
        <v>3069</v>
      </c>
      <c r="Q433" s="415" t="s">
        <v>3628</v>
      </c>
      <c r="R433" s="415">
        <v>40</v>
      </c>
      <c r="S433" s="415">
        <v>138</v>
      </c>
      <c r="T433" s="416">
        <v>138</v>
      </c>
      <c r="U433" s="416">
        <v>138</v>
      </c>
      <c r="V433" s="416">
        <v>138</v>
      </c>
      <c r="W433" s="416">
        <v>138</v>
      </c>
      <c r="X433" s="416">
        <v>138</v>
      </c>
      <c r="Y433" s="416">
        <v>138</v>
      </c>
      <c r="Z433" s="416">
        <v>138</v>
      </c>
      <c r="AA433" s="416">
        <v>138</v>
      </c>
      <c r="AB433" s="416">
        <v>138</v>
      </c>
      <c r="AC433" s="416">
        <v>138</v>
      </c>
      <c r="AD433" s="416">
        <v>135</v>
      </c>
      <c r="AE433" s="416">
        <v>132</v>
      </c>
      <c r="AF433" s="416">
        <v>130</v>
      </c>
      <c r="AG433" s="416">
        <v>129</v>
      </c>
      <c r="AH433" s="416">
        <v>127</v>
      </c>
      <c r="AI433" s="416">
        <v>126</v>
      </c>
      <c r="AJ433" s="416">
        <v>126</v>
      </c>
      <c r="AK433" s="416">
        <v>125</v>
      </c>
      <c r="AL433" s="416">
        <v>40</v>
      </c>
      <c r="AM433" s="416">
        <v>125</v>
      </c>
      <c r="AN433" s="416">
        <v>125</v>
      </c>
      <c r="AO433" s="416">
        <v>125</v>
      </c>
      <c r="AP433" s="416">
        <v>112</v>
      </c>
      <c r="AQ433" s="416">
        <v>90.6</v>
      </c>
      <c r="AR433" s="416">
        <v>69.599999999999994</v>
      </c>
      <c r="AS433" s="416">
        <v>53.8</v>
      </c>
      <c r="AT433" s="416">
        <v>41.4</v>
      </c>
      <c r="AU433" s="416">
        <v>31.8</v>
      </c>
      <c r="AV433" s="416">
        <v>24</v>
      </c>
      <c r="AW433" s="416">
        <v>18.8</v>
      </c>
      <c r="AX433" s="416">
        <v>14.6</v>
      </c>
      <c r="AY433" s="416">
        <v>10.9</v>
      </c>
      <c r="AZ433" s="416">
        <v>7.96</v>
      </c>
    </row>
    <row r="434" spans="1:52" x14ac:dyDescent="0.25">
      <c r="A434" s="415" t="str">
        <f t="shared" si="6"/>
        <v>SA-312 Gr.TP347H</v>
      </c>
      <c r="B434" s="415">
        <v>429</v>
      </c>
      <c r="C434" s="415" t="s">
        <v>3324</v>
      </c>
      <c r="D434" s="415" t="s">
        <v>2680</v>
      </c>
      <c r="E434" s="415" t="s">
        <v>2208</v>
      </c>
      <c r="F434" s="415" t="s">
        <v>2578</v>
      </c>
      <c r="G434" s="415" t="s">
        <v>3333</v>
      </c>
      <c r="H434" s="415">
        <v>0</v>
      </c>
      <c r="I434" s="415">
        <v>0</v>
      </c>
      <c r="J434" s="415">
        <v>8</v>
      </c>
      <c r="K434" s="415">
        <v>1</v>
      </c>
      <c r="L434" s="415">
        <v>41</v>
      </c>
      <c r="M434" s="415">
        <v>515</v>
      </c>
      <c r="N434" s="415">
        <v>205</v>
      </c>
      <c r="O434" s="415">
        <v>816</v>
      </c>
      <c r="P434" s="415" t="s">
        <v>3069</v>
      </c>
      <c r="Q434" s="415" t="s">
        <v>3631</v>
      </c>
      <c r="R434" s="415">
        <v>41</v>
      </c>
      <c r="S434" s="415">
        <v>117</v>
      </c>
      <c r="T434" s="416">
        <v>117</v>
      </c>
      <c r="U434" s="416">
        <v>117</v>
      </c>
      <c r="V434" s="416">
        <v>117</v>
      </c>
      <c r="W434" s="416">
        <v>117</v>
      </c>
      <c r="X434" s="416">
        <v>117</v>
      </c>
      <c r="Y434" s="416">
        <v>117</v>
      </c>
      <c r="Z434" s="416">
        <v>117</v>
      </c>
      <c r="AA434" s="416">
        <v>117</v>
      </c>
      <c r="AB434" s="416">
        <v>117</v>
      </c>
      <c r="AC434" s="416">
        <v>117</v>
      </c>
      <c r="AD434" s="416">
        <v>115</v>
      </c>
      <c r="AE434" s="416">
        <v>112</v>
      </c>
      <c r="AF434" s="416">
        <v>111</v>
      </c>
      <c r="AG434" s="416">
        <v>109</v>
      </c>
      <c r="AH434" s="416">
        <v>108</v>
      </c>
      <c r="AI434" s="416">
        <v>107</v>
      </c>
      <c r="AJ434" s="416">
        <v>107</v>
      </c>
      <c r="AK434" s="416">
        <v>106</v>
      </c>
      <c r="AL434" s="416">
        <v>41</v>
      </c>
      <c r="AM434" s="416">
        <v>106</v>
      </c>
      <c r="AN434" s="416">
        <v>106</v>
      </c>
      <c r="AO434" s="416">
        <v>106</v>
      </c>
      <c r="AP434" s="416">
        <v>94.8</v>
      </c>
      <c r="AQ434" s="416">
        <v>77</v>
      </c>
      <c r="AR434" s="416">
        <v>59.1</v>
      </c>
      <c r="AS434" s="416">
        <v>45.8</v>
      </c>
      <c r="AT434" s="416">
        <v>35.200000000000003</v>
      </c>
      <c r="AU434" s="416">
        <v>27</v>
      </c>
      <c r="AV434" s="416">
        <v>20.399999999999999</v>
      </c>
      <c r="AW434" s="416">
        <v>16</v>
      </c>
      <c r="AX434" s="416">
        <v>12.4</v>
      </c>
      <c r="AY434" s="416">
        <v>9.25</v>
      </c>
      <c r="AZ434" s="416">
        <v>6.77</v>
      </c>
    </row>
    <row r="435" spans="1:52" x14ac:dyDescent="0.25">
      <c r="A435" s="415" t="str">
        <f t="shared" si="6"/>
        <v>SA-376 Gr.TP347H</v>
      </c>
      <c r="B435" s="415">
        <v>430</v>
      </c>
      <c r="C435" s="415" t="s">
        <v>3324</v>
      </c>
      <c r="D435" s="415" t="s">
        <v>2703</v>
      </c>
      <c r="E435" s="415" t="s">
        <v>2225</v>
      </c>
      <c r="F435" s="415" t="s">
        <v>2578</v>
      </c>
      <c r="G435" s="415" t="s">
        <v>3333</v>
      </c>
      <c r="H435" s="415">
        <v>0</v>
      </c>
      <c r="I435" s="415">
        <v>0</v>
      </c>
      <c r="J435" s="415">
        <v>8</v>
      </c>
      <c r="K435" s="415">
        <v>1</v>
      </c>
      <c r="L435" s="415">
        <v>42</v>
      </c>
      <c r="M435" s="415">
        <v>515</v>
      </c>
      <c r="N435" s="415">
        <v>205</v>
      </c>
      <c r="O435" s="415">
        <v>816</v>
      </c>
      <c r="P435" s="415" t="s">
        <v>3069</v>
      </c>
      <c r="Q435" s="415" t="s">
        <v>3628</v>
      </c>
      <c r="R435" s="415">
        <v>42</v>
      </c>
      <c r="S435" s="415">
        <v>138</v>
      </c>
      <c r="T435" s="416">
        <v>138</v>
      </c>
      <c r="U435" s="416">
        <v>138</v>
      </c>
      <c r="V435" s="416">
        <v>138</v>
      </c>
      <c r="W435" s="416">
        <v>138</v>
      </c>
      <c r="X435" s="416">
        <v>138</v>
      </c>
      <c r="Y435" s="416">
        <v>138</v>
      </c>
      <c r="Z435" s="416">
        <v>138</v>
      </c>
      <c r="AA435" s="416">
        <v>138</v>
      </c>
      <c r="AB435" s="416">
        <v>138</v>
      </c>
      <c r="AC435" s="416">
        <v>138</v>
      </c>
      <c r="AD435" s="416">
        <v>135</v>
      </c>
      <c r="AE435" s="416">
        <v>132</v>
      </c>
      <c r="AF435" s="416">
        <v>130</v>
      </c>
      <c r="AG435" s="416">
        <v>129</v>
      </c>
      <c r="AH435" s="416">
        <v>127</v>
      </c>
      <c r="AI435" s="416">
        <v>126</v>
      </c>
      <c r="AJ435" s="416">
        <v>126</v>
      </c>
      <c r="AK435" s="416">
        <v>125</v>
      </c>
      <c r="AL435" s="416">
        <v>42</v>
      </c>
      <c r="AM435" s="416">
        <v>125</v>
      </c>
      <c r="AN435" s="416">
        <v>125</v>
      </c>
      <c r="AO435" s="416">
        <v>125</v>
      </c>
      <c r="AP435" s="416">
        <v>112</v>
      </c>
      <c r="AQ435" s="416">
        <v>90.6</v>
      </c>
      <c r="AR435" s="416">
        <v>69.599999999999994</v>
      </c>
      <c r="AS435" s="416">
        <v>53.8</v>
      </c>
      <c r="AT435" s="416">
        <v>41.4</v>
      </c>
      <c r="AU435" s="416">
        <v>31.8</v>
      </c>
      <c r="AV435" s="416">
        <v>24</v>
      </c>
      <c r="AW435" s="416">
        <v>18.8</v>
      </c>
      <c r="AX435" s="416">
        <v>14.6</v>
      </c>
      <c r="AY435" s="416">
        <v>10.9</v>
      </c>
      <c r="AZ435" s="416">
        <v>7.96</v>
      </c>
    </row>
    <row r="436" spans="1:52" x14ac:dyDescent="0.25">
      <c r="A436" s="415" t="str">
        <f t="shared" si="6"/>
        <v>SA-403 Gr.347H</v>
      </c>
      <c r="B436" s="415">
        <v>431</v>
      </c>
      <c r="C436" s="415" t="s">
        <v>3324</v>
      </c>
      <c r="D436" s="415" t="s">
        <v>913</v>
      </c>
      <c r="E436" s="415" t="s">
        <v>2229</v>
      </c>
      <c r="F436" s="415" t="s">
        <v>2280</v>
      </c>
      <c r="G436" s="415" t="s">
        <v>3333</v>
      </c>
      <c r="H436" s="415" t="s">
        <v>3380</v>
      </c>
      <c r="I436" s="415">
        <v>0</v>
      </c>
      <c r="J436" s="415">
        <v>8</v>
      </c>
      <c r="K436" s="415">
        <v>1</v>
      </c>
      <c r="L436" s="415">
        <v>1</v>
      </c>
      <c r="M436" s="415">
        <v>515</v>
      </c>
      <c r="N436" s="415">
        <v>205</v>
      </c>
      <c r="O436" s="415">
        <v>816</v>
      </c>
      <c r="P436" s="415" t="s">
        <v>3069</v>
      </c>
      <c r="Q436" s="415" t="s">
        <v>3631</v>
      </c>
      <c r="R436" s="415">
        <v>1</v>
      </c>
      <c r="S436" s="415">
        <v>117</v>
      </c>
      <c r="T436" s="416">
        <v>117</v>
      </c>
      <c r="U436" s="416">
        <v>117</v>
      </c>
      <c r="V436" s="416">
        <v>117</v>
      </c>
      <c r="W436" s="416">
        <v>117</v>
      </c>
      <c r="X436" s="416">
        <v>117</v>
      </c>
      <c r="Y436" s="416">
        <v>117</v>
      </c>
      <c r="Z436" s="416">
        <v>117</v>
      </c>
      <c r="AA436" s="416">
        <v>117</v>
      </c>
      <c r="AB436" s="416">
        <v>117</v>
      </c>
      <c r="AC436" s="416">
        <v>117</v>
      </c>
      <c r="AD436" s="416">
        <v>115</v>
      </c>
      <c r="AE436" s="416">
        <v>112</v>
      </c>
      <c r="AF436" s="416">
        <v>111</v>
      </c>
      <c r="AG436" s="416">
        <v>109</v>
      </c>
      <c r="AH436" s="416">
        <v>108</v>
      </c>
      <c r="AI436" s="416">
        <v>107</v>
      </c>
      <c r="AJ436" s="416">
        <v>107</v>
      </c>
      <c r="AK436" s="416">
        <v>106</v>
      </c>
      <c r="AL436" s="416">
        <v>1</v>
      </c>
      <c r="AM436" s="416">
        <v>106</v>
      </c>
      <c r="AN436" s="416">
        <v>106</v>
      </c>
      <c r="AO436" s="416">
        <v>106</v>
      </c>
      <c r="AP436" s="416">
        <v>94.8</v>
      </c>
      <c r="AQ436" s="416">
        <v>77</v>
      </c>
      <c r="AR436" s="416">
        <v>59.1</v>
      </c>
      <c r="AS436" s="416">
        <v>45.8</v>
      </c>
      <c r="AT436" s="416">
        <v>35.200000000000003</v>
      </c>
      <c r="AU436" s="416">
        <v>27</v>
      </c>
      <c r="AV436" s="416">
        <v>20.399999999999999</v>
      </c>
      <c r="AW436" s="416">
        <v>16</v>
      </c>
      <c r="AX436" s="416">
        <v>12.4</v>
      </c>
      <c r="AY436" s="416">
        <v>9.25</v>
      </c>
      <c r="AZ436" s="416">
        <v>6.77</v>
      </c>
    </row>
    <row r="437" spans="1:52" x14ac:dyDescent="0.25">
      <c r="A437" s="415" t="str">
        <f t="shared" si="6"/>
        <v>SA-403 Gr.347H</v>
      </c>
      <c r="B437" s="415">
        <v>432</v>
      </c>
      <c r="C437" s="415" t="s">
        <v>3324</v>
      </c>
      <c r="D437" s="415" t="s">
        <v>913</v>
      </c>
      <c r="E437" s="415" t="s">
        <v>2229</v>
      </c>
      <c r="F437" s="415" t="s">
        <v>2280</v>
      </c>
      <c r="G437" s="415" t="s">
        <v>3333</v>
      </c>
      <c r="H437" s="415" t="s">
        <v>3381</v>
      </c>
      <c r="I437" s="415">
        <v>0</v>
      </c>
      <c r="J437" s="415">
        <v>8</v>
      </c>
      <c r="K437" s="415">
        <v>1</v>
      </c>
      <c r="L437" s="415">
        <v>2</v>
      </c>
      <c r="M437" s="415">
        <v>515</v>
      </c>
      <c r="N437" s="415">
        <v>205</v>
      </c>
      <c r="O437" s="415">
        <v>816</v>
      </c>
      <c r="P437" s="415" t="s">
        <v>3069</v>
      </c>
      <c r="Q437" s="415" t="s">
        <v>3628</v>
      </c>
      <c r="R437" s="415">
        <v>2</v>
      </c>
      <c r="S437" s="415">
        <v>138</v>
      </c>
      <c r="T437" s="416">
        <v>138</v>
      </c>
      <c r="U437" s="416">
        <v>138</v>
      </c>
      <c r="V437" s="416">
        <v>138</v>
      </c>
      <c r="W437" s="416">
        <v>138</v>
      </c>
      <c r="X437" s="416">
        <v>138</v>
      </c>
      <c r="Y437" s="416">
        <v>138</v>
      </c>
      <c r="Z437" s="416">
        <v>138</v>
      </c>
      <c r="AA437" s="416">
        <v>138</v>
      </c>
      <c r="AB437" s="416">
        <v>138</v>
      </c>
      <c r="AC437" s="416">
        <v>138</v>
      </c>
      <c r="AD437" s="416">
        <v>135</v>
      </c>
      <c r="AE437" s="416">
        <v>132</v>
      </c>
      <c r="AF437" s="416">
        <v>130</v>
      </c>
      <c r="AG437" s="416">
        <v>129</v>
      </c>
      <c r="AH437" s="416">
        <v>127</v>
      </c>
      <c r="AI437" s="416">
        <v>126</v>
      </c>
      <c r="AJ437" s="416">
        <v>126</v>
      </c>
      <c r="AK437" s="416">
        <v>125</v>
      </c>
      <c r="AL437" s="416">
        <v>2</v>
      </c>
      <c r="AM437" s="416">
        <v>125</v>
      </c>
      <c r="AN437" s="416">
        <v>125</v>
      </c>
      <c r="AO437" s="416">
        <v>125</v>
      </c>
      <c r="AP437" s="416">
        <v>112</v>
      </c>
      <c r="AQ437" s="416">
        <v>90.6</v>
      </c>
      <c r="AR437" s="416">
        <v>69.599999999999994</v>
      </c>
      <c r="AS437" s="416">
        <v>53.8</v>
      </c>
      <c r="AT437" s="416">
        <v>41.4</v>
      </c>
      <c r="AU437" s="416">
        <v>31.8</v>
      </c>
      <c r="AV437" s="416">
        <v>24</v>
      </c>
      <c r="AW437" s="416">
        <v>18.8</v>
      </c>
      <c r="AX437" s="416">
        <v>14.6</v>
      </c>
      <c r="AY437" s="416">
        <v>10.9</v>
      </c>
      <c r="AZ437" s="416">
        <v>7.96</v>
      </c>
    </row>
    <row r="438" spans="1:52" x14ac:dyDescent="0.25">
      <c r="A438" s="415" t="str">
        <f t="shared" si="6"/>
        <v>SA-403 Gr.347H</v>
      </c>
      <c r="B438" s="415">
        <v>433</v>
      </c>
      <c r="C438" s="415" t="s">
        <v>3324</v>
      </c>
      <c r="D438" s="415" t="s">
        <v>3414</v>
      </c>
      <c r="E438" s="415" t="s">
        <v>2229</v>
      </c>
      <c r="F438" s="415" t="s">
        <v>2280</v>
      </c>
      <c r="G438" s="415" t="s">
        <v>3333</v>
      </c>
      <c r="H438" s="415" t="s">
        <v>3382</v>
      </c>
      <c r="I438" s="415">
        <v>0</v>
      </c>
      <c r="J438" s="415">
        <v>8</v>
      </c>
      <c r="K438" s="415">
        <v>1</v>
      </c>
      <c r="L438" s="415">
        <v>3</v>
      </c>
      <c r="M438" s="415">
        <v>515</v>
      </c>
      <c r="N438" s="415">
        <v>205</v>
      </c>
      <c r="O438" s="415">
        <v>816</v>
      </c>
      <c r="P438" s="415" t="s">
        <v>3069</v>
      </c>
      <c r="Q438" s="415" t="s">
        <v>3631</v>
      </c>
      <c r="R438" s="415">
        <v>3</v>
      </c>
      <c r="S438" s="415">
        <v>117</v>
      </c>
      <c r="T438" s="416">
        <v>117</v>
      </c>
      <c r="U438" s="416">
        <v>117</v>
      </c>
      <c r="V438" s="416">
        <v>117</v>
      </c>
      <c r="W438" s="416">
        <v>117</v>
      </c>
      <c r="X438" s="416">
        <v>117</v>
      </c>
      <c r="Y438" s="416">
        <v>117</v>
      </c>
      <c r="Z438" s="416">
        <v>117</v>
      </c>
      <c r="AA438" s="416">
        <v>117</v>
      </c>
      <c r="AB438" s="416">
        <v>117</v>
      </c>
      <c r="AC438" s="416">
        <v>117</v>
      </c>
      <c r="AD438" s="416">
        <v>115</v>
      </c>
      <c r="AE438" s="416">
        <v>112</v>
      </c>
      <c r="AF438" s="416">
        <v>111</v>
      </c>
      <c r="AG438" s="416">
        <v>109</v>
      </c>
      <c r="AH438" s="416">
        <v>108</v>
      </c>
      <c r="AI438" s="416">
        <v>107</v>
      </c>
      <c r="AJ438" s="416">
        <v>107</v>
      </c>
      <c r="AK438" s="416">
        <v>106</v>
      </c>
      <c r="AL438" s="416">
        <v>3</v>
      </c>
      <c r="AM438" s="416">
        <v>106</v>
      </c>
      <c r="AN438" s="416">
        <v>106</v>
      </c>
      <c r="AO438" s="416">
        <v>106</v>
      </c>
      <c r="AP438" s="416">
        <v>94.8</v>
      </c>
      <c r="AQ438" s="416">
        <v>77</v>
      </c>
      <c r="AR438" s="416">
        <v>59.1</v>
      </c>
      <c r="AS438" s="416">
        <v>45.8</v>
      </c>
      <c r="AT438" s="416">
        <v>35.200000000000003</v>
      </c>
      <c r="AU438" s="416">
        <v>27</v>
      </c>
      <c r="AV438" s="416">
        <v>20.399999999999999</v>
      </c>
      <c r="AW438" s="416">
        <v>16</v>
      </c>
      <c r="AX438" s="416">
        <v>12.4</v>
      </c>
      <c r="AY438" s="416">
        <v>9.25</v>
      </c>
      <c r="AZ438" s="416">
        <v>6.77</v>
      </c>
    </row>
    <row r="439" spans="1:52" x14ac:dyDescent="0.25">
      <c r="A439" s="415" t="str">
        <f t="shared" si="6"/>
        <v>SA-403 Gr.347H</v>
      </c>
      <c r="B439" s="415">
        <v>434</v>
      </c>
      <c r="C439" s="415" t="s">
        <v>3324</v>
      </c>
      <c r="D439" s="415" t="s">
        <v>3414</v>
      </c>
      <c r="E439" s="415" t="s">
        <v>2229</v>
      </c>
      <c r="F439" s="415" t="s">
        <v>2280</v>
      </c>
      <c r="G439" s="415" t="s">
        <v>3333</v>
      </c>
      <c r="H439" s="415" t="s">
        <v>3384</v>
      </c>
      <c r="I439" s="415">
        <v>0</v>
      </c>
      <c r="J439" s="415">
        <v>8</v>
      </c>
      <c r="K439" s="415">
        <v>1</v>
      </c>
      <c r="L439" s="415">
        <v>4</v>
      </c>
      <c r="M439" s="415">
        <v>515</v>
      </c>
      <c r="N439" s="415">
        <v>205</v>
      </c>
      <c r="O439" s="415">
        <v>816</v>
      </c>
      <c r="P439" s="415" t="s">
        <v>3069</v>
      </c>
      <c r="Q439" s="415" t="s">
        <v>3631</v>
      </c>
      <c r="R439" s="415">
        <v>4</v>
      </c>
      <c r="S439" s="415">
        <v>117</v>
      </c>
      <c r="T439" s="416">
        <v>117</v>
      </c>
      <c r="U439" s="416">
        <v>117</v>
      </c>
      <c r="V439" s="416">
        <v>117</v>
      </c>
      <c r="W439" s="416">
        <v>117</v>
      </c>
      <c r="X439" s="416">
        <v>117</v>
      </c>
      <c r="Y439" s="416">
        <v>117</v>
      </c>
      <c r="Z439" s="416">
        <v>117</v>
      </c>
      <c r="AA439" s="416">
        <v>117</v>
      </c>
      <c r="AB439" s="416">
        <v>117</v>
      </c>
      <c r="AC439" s="416">
        <v>117</v>
      </c>
      <c r="AD439" s="416">
        <v>115</v>
      </c>
      <c r="AE439" s="416">
        <v>112</v>
      </c>
      <c r="AF439" s="416">
        <v>111</v>
      </c>
      <c r="AG439" s="416">
        <v>109</v>
      </c>
      <c r="AH439" s="416">
        <v>108</v>
      </c>
      <c r="AI439" s="416">
        <v>107</v>
      </c>
      <c r="AJ439" s="416">
        <v>107</v>
      </c>
      <c r="AK439" s="416">
        <v>106</v>
      </c>
      <c r="AL439" s="416">
        <v>4</v>
      </c>
      <c r="AM439" s="416">
        <v>106</v>
      </c>
      <c r="AN439" s="416">
        <v>106</v>
      </c>
      <c r="AO439" s="416">
        <v>106</v>
      </c>
      <c r="AP439" s="416">
        <v>94.8</v>
      </c>
      <c r="AQ439" s="416">
        <v>77</v>
      </c>
      <c r="AR439" s="416">
        <v>59.1</v>
      </c>
      <c r="AS439" s="416">
        <v>45.8</v>
      </c>
      <c r="AT439" s="416">
        <v>35.200000000000003</v>
      </c>
      <c r="AU439" s="416">
        <v>27</v>
      </c>
      <c r="AV439" s="416">
        <v>20.399999999999999</v>
      </c>
      <c r="AW439" s="416">
        <v>16</v>
      </c>
      <c r="AX439" s="416">
        <v>12.4</v>
      </c>
      <c r="AY439" s="416">
        <v>9.25</v>
      </c>
      <c r="AZ439" s="416">
        <v>6.77</v>
      </c>
    </row>
    <row r="440" spans="1:52" x14ac:dyDescent="0.25">
      <c r="A440" s="415" t="str">
        <f t="shared" si="6"/>
        <v>SA-182 Gr.F348</v>
      </c>
      <c r="B440" s="415">
        <v>435</v>
      </c>
      <c r="C440" s="415" t="s">
        <v>3324</v>
      </c>
      <c r="D440" s="415" t="s">
        <v>2737</v>
      </c>
      <c r="E440" s="415" t="s">
        <v>2188</v>
      </c>
      <c r="F440" s="415" t="s">
        <v>2449</v>
      </c>
      <c r="G440" s="415" t="s">
        <v>3335</v>
      </c>
      <c r="H440" s="415">
        <v>0</v>
      </c>
      <c r="I440" s="415" t="s">
        <v>3604</v>
      </c>
      <c r="J440" s="415">
        <v>8</v>
      </c>
      <c r="K440" s="415">
        <v>1</v>
      </c>
      <c r="L440" s="415">
        <v>5</v>
      </c>
      <c r="M440" s="415">
        <v>515</v>
      </c>
      <c r="N440" s="415">
        <v>205</v>
      </c>
      <c r="O440" s="415">
        <v>816</v>
      </c>
      <c r="P440" s="415" t="s">
        <v>3069</v>
      </c>
      <c r="Q440" s="415" t="s">
        <v>3627</v>
      </c>
      <c r="R440" s="415">
        <v>5</v>
      </c>
      <c r="S440" s="415">
        <v>138</v>
      </c>
      <c r="T440" s="416">
        <v>138</v>
      </c>
      <c r="U440" s="416">
        <v>138</v>
      </c>
      <c r="V440" s="416">
        <v>138</v>
      </c>
      <c r="W440" s="416">
        <v>138</v>
      </c>
      <c r="X440" s="416">
        <v>138</v>
      </c>
      <c r="Y440" s="416">
        <v>138</v>
      </c>
      <c r="Z440" s="416">
        <v>138</v>
      </c>
      <c r="AA440" s="416">
        <v>138</v>
      </c>
      <c r="AB440" s="416">
        <v>138</v>
      </c>
      <c r="AC440" s="416">
        <v>138</v>
      </c>
      <c r="AD440" s="416">
        <v>135</v>
      </c>
      <c r="AE440" s="416">
        <v>132</v>
      </c>
      <c r="AF440" s="416">
        <v>130</v>
      </c>
      <c r="AG440" s="416">
        <v>128</v>
      </c>
      <c r="AH440" s="416">
        <v>127</v>
      </c>
      <c r="AI440" s="416">
        <v>126</v>
      </c>
      <c r="AJ440" s="416">
        <v>126</v>
      </c>
      <c r="AK440" s="416">
        <v>125</v>
      </c>
      <c r="AL440" s="416">
        <v>5</v>
      </c>
      <c r="AM440" s="416">
        <v>125</v>
      </c>
      <c r="AN440" s="416">
        <v>125</v>
      </c>
      <c r="AO440" s="416">
        <v>97.6</v>
      </c>
      <c r="AP440" s="416">
        <v>75.900000000000006</v>
      </c>
      <c r="AQ440" s="416">
        <v>57.2</v>
      </c>
      <c r="AR440" s="416">
        <v>40.200000000000003</v>
      </c>
      <c r="AS440" s="416">
        <v>30.3</v>
      </c>
      <c r="AT440" s="416">
        <v>23.2</v>
      </c>
      <c r="AU440" s="416">
        <v>16.2</v>
      </c>
      <c r="AV440" s="416">
        <v>11.4</v>
      </c>
      <c r="AW440" s="416">
        <v>8.9700000000000006</v>
      </c>
      <c r="AX440" s="416">
        <v>7.08</v>
      </c>
      <c r="AY440" s="416">
        <v>5.89</v>
      </c>
      <c r="AZ440" s="416">
        <v>5.3</v>
      </c>
    </row>
    <row r="441" spans="1:52" x14ac:dyDescent="0.25">
      <c r="A441" s="415" t="str">
        <f t="shared" si="6"/>
        <v>SA-213 Gr.TP348</v>
      </c>
      <c r="B441" s="415">
        <v>436</v>
      </c>
      <c r="C441" s="415" t="s">
        <v>3324</v>
      </c>
      <c r="D441" s="415" t="s">
        <v>2693</v>
      </c>
      <c r="E441" s="415" t="s">
        <v>2195</v>
      </c>
      <c r="F441" s="415" t="s">
        <v>2580</v>
      </c>
      <c r="G441" s="415" t="s">
        <v>3335</v>
      </c>
      <c r="H441" s="415">
        <v>0</v>
      </c>
      <c r="I441" s="415">
        <v>0</v>
      </c>
      <c r="J441" s="415">
        <v>8</v>
      </c>
      <c r="K441" s="415">
        <v>1</v>
      </c>
      <c r="L441" s="415">
        <v>6</v>
      </c>
      <c r="M441" s="415">
        <v>515</v>
      </c>
      <c r="N441" s="415">
        <v>205</v>
      </c>
      <c r="O441" s="415">
        <v>816</v>
      </c>
      <c r="P441" s="415" t="s">
        <v>3069</v>
      </c>
      <c r="Q441" s="415" t="s">
        <v>3627</v>
      </c>
      <c r="R441" s="415">
        <v>6</v>
      </c>
      <c r="S441" s="415">
        <v>138</v>
      </c>
      <c r="T441" s="416">
        <v>138</v>
      </c>
      <c r="U441" s="416">
        <v>138</v>
      </c>
      <c r="V441" s="416">
        <v>138</v>
      </c>
      <c r="W441" s="416">
        <v>138</v>
      </c>
      <c r="X441" s="416">
        <v>138</v>
      </c>
      <c r="Y441" s="416">
        <v>138</v>
      </c>
      <c r="Z441" s="416">
        <v>138</v>
      </c>
      <c r="AA441" s="416">
        <v>138</v>
      </c>
      <c r="AB441" s="416">
        <v>138</v>
      </c>
      <c r="AC441" s="416">
        <v>138</v>
      </c>
      <c r="AD441" s="416">
        <v>135</v>
      </c>
      <c r="AE441" s="416">
        <v>132</v>
      </c>
      <c r="AF441" s="416">
        <v>130</v>
      </c>
      <c r="AG441" s="416">
        <v>128</v>
      </c>
      <c r="AH441" s="416">
        <v>127</v>
      </c>
      <c r="AI441" s="416">
        <v>126</v>
      </c>
      <c r="AJ441" s="416">
        <v>126</v>
      </c>
      <c r="AK441" s="416">
        <v>125</v>
      </c>
      <c r="AL441" s="416">
        <v>6</v>
      </c>
      <c r="AM441" s="416">
        <v>125</v>
      </c>
      <c r="AN441" s="416">
        <v>125</v>
      </c>
      <c r="AO441" s="416">
        <v>97.6</v>
      </c>
      <c r="AP441" s="416">
        <v>75.900000000000006</v>
      </c>
      <c r="AQ441" s="416">
        <v>57.2</v>
      </c>
      <c r="AR441" s="416">
        <v>40.200000000000003</v>
      </c>
      <c r="AS441" s="416">
        <v>30.3</v>
      </c>
      <c r="AT441" s="416">
        <v>23.2</v>
      </c>
      <c r="AU441" s="416">
        <v>16.2</v>
      </c>
      <c r="AV441" s="416">
        <v>11.4</v>
      </c>
      <c r="AW441" s="416">
        <v>8.9700000000000006</v>
      </c>
      <c r="AX441" s="416">
        <v>7.08</v>
      </c>
      <c r="AY441" s="416">
        <v>5.89</v>
      </c>
      <c r="AZ441" s="416">
        <v>5.3</v>
      </c>
    </row>
    <row r="442" spans="1:52" x14ac:dyDescent="0.25">
      <c r="A442" s="415" t="str">
        <f t="shared" si="6"/>
        <v>SA-240 Gr.348</v>
      </c>
      <c r="B442" s="415">
        <v>437</v>
      </c>
      <c r="C442" s="415" t="s">
        <v>3324</v>
      </c>
      <c r="D442" s="415" t="s">
        <v>2684</v>
      </c>
      <c r="E442" s="415" t="s">
        <v>2165</v>
      </c>
      <c r="F442" s="415">
        <v>348</v>
      </c>
      <c r="G442" s="415" t="s">
        <v>3335</v>
      </c>
      <c r="H442" s="415">
        <v>0</v>
      </c>
      <c r="I442" s="415">
        <v>0</v>
      </c>
      <c r="J442" s="415">
        <v>8</v>
      </c>
      <c r="K442" s="415">
        <v>1</v>
      </c>
      <c r="L442" s="415">
        <v>7</v>
      </c>
      <c r="M442" s="415">
        <v>515</v>
      </c>
      <c r="N442" s="415">
        <v>205</v>
      </c>
      <c r="O442" s="415">
        <v>816</v>
      </c>
      <c r="P442" s="415" t="s">
        <v>3069</v>
      </c>
      <c r="Q442" s="415" t="s">
        <v>3627</v>
      </c>
      <c r="R442" s="415">
        <v>7</v>
      </c>
      <c r="S442" s="415">
        <v>138</v>
      </c>
      <c r="T442" s="416">
        <v>138</v>
      </c>
      <c r="U442" s="416">
        <v>138</v>
      </c>
      <c r="V442" s="416">
        <v>138</v>
      </c>
      <c r="W442" s="416">
        <v>138</v>
      </c>
      <c r="X442" s="416">
        <v>138</v>
      </c>
      <c r="Y442" s="416">
        <v>138</v>
      </c>
      <c r="Z442" s="416">
        <v>138</v>
      </c>
      <c r="AA442" s="416">
        <v>138</v>
      </c>
      <c r="AB442" s="416">
        <v>138</v>
      </c>
      <c r="AC442" s="416">
        <v>138</v>
      </c>
      <c r="AD442" s="416">
        <v>135</v>
      </c>
      <c r="AE442" s="416">
        <v>132</v>
      </c>
      <c r="AF442" s="416">
        <v>130</v>
      </c>
      <c r="AG442" s="416">
        <v>128</v>
      </c>
      <c r="AH442" s="416">
        <v>127</v>
      </c>
      <c r="AI442" s="416">
        <v>126</v>
      </c>
      <c r="AJ442" s="416">
        <v>126</v>
      </c>
      <c r="AK442" s="416">
        <v>125</v>
      </c>
      <c r="AL442" s="416">
        <v>7</v>
      </c>
      <c r="AM442" s="416">
        <v>125</v>
      </c>
      <c r="AN442" s="416">
        <v>125</v>
      </c>
      <c r="AO442" s="416">
        <v>97.6</v>
      </c>
      <c r="AP442" s="416">
        <v>75.900000000000006</v>
      </c>
      <c r="AQ442" s="416">
        <v>57.2</v>
      </c>
      <c r="AR442" s="416">
        <v>40.200000000000003</v>
      </c>
      <c r="AS442" s="416">
        <v>30.3</v>
      </c>
      <c r="AT442" s="416">
        <v>23.2</v>
      </c>
      <c r="AU442" s="416">
        <v>16.2</v>
      </c>
      <c r="AV442" s="416">
        <v>11.4</v>
      </c>
      <c r="AW442" s="416">
        <v>8.9700000000000006</v>
      </c>
      <c r="AX442" s="416">
        <v>7.08</v>
      </c>
      <c r="AY442" s="416">
        <v>5.89</v>
      </c>
      <c r="AZ442" s="416">
        <v>5.3</v>
      </c>
    </row>
    <row r="443" spans="1:52" x14ac:dyDescent="0.25">
      <c r="A443" s="415" t="str">
        <f t="shared" si="6"/>
        <v>SA-249 Gr.TP348</v>
      </c>
      <c r="B443" s="415">
        <v>438</v>
      </c>
      <c r="C443" s="415" t="s">
        <v>3324</v>
      </c>
      <c r="D443" s="415" t="s">
        <v>2689</v>
      </c>
      <c r="E443" s="415" t="s">
        <v>2200</v>
      </c>
      <c r="F443" s="415" t="s">
        <v>2580</v>
      </c>
      <c r="G443" s="415" t="s">
        <v>3335</v>
      </c>
      <c r="H443" s="415">
        <v>0</v>
      </c>
      <c r="I443" s="415">
        <v>0</v>
      </c>
      <c r="J443" s="415">
        <v>8</v>
      </c>
      <c r="K443" s="415">
        <v>1</v>
      </c>
      <c r="L443" s="415">
        <v>8</v>
      </c>
      <c r="M443" s="415">
        <v>515</v>
      </c>
      <c r="N443" s="415">
        <v>205</v>
      </c>
      <c r="O443" s="415">
        <v>816</v>
      </c>
      <c r="P443" s="415" t="s">
        <v>3069</v>
      </c>
      <c r="Q443" s="415" t="s">
        <v>3630</v>
      </c>
      <c r="R443" s="415">
        <v>8</v>
      </c>
      <c r="S443" s="415">
        <v>117</v>
      </c>
      <c r="T443" s="416">
        <v>117</v>
      </c>
      <c r="U443" s="416">
        <v>117</v>
      </c>
      <c r="V443" s="416">
        <v>117</v>
      </c>
      <c r="W443" s="416">
        <v>117</v>
      </c>
      <c r="X443" s="416">
        <v>117</v>
      </c>
      <c r="Y443" s="416">
        <v>117</v>
      </c>
      <c r="Z443" s="416">
        <v>117</v>
      </c>
      <c r="AA443" s="416">
        <v>117</v>
      </c>
      <c r="AB443" s="416">
        <v>117</v>
      </c>
      <c r="AC443" s="416">
        <v>117</v>
      </c>
      <c r="AD443" s="416">
        <v>115</v>
      </c>
      <c r="AE443" s="416">
        <v>112</v>
      </c>
      <c r="AF443" s="416">
        <v>111</v>
      </c>
      <c r="AG443" s="416">
        <v>109</v>
      </c>
      <c r="AH443" s="416">
        <v>108</v>
      </c>
      <c r="AI443" s="416">
        <v>107</v>
      </c>
      <c r="AJ443" s="416">
        <v>107</v>
      </c>
      <c r="AK443" s="416">
        <v>106</v>
      </c>
      <c r="AL443" s="416">
        <v>8</v>
      </c>
      <c r="AM443" s="416">
        <v>106</v>
      </c>
      <c r="AN443" s="416">
        <v>106</v>
      </c>
      <c r="AO443" s="416">
        <v>82.9</v>
      </c>
      <c r="AP443" s="416">
        <v>64.5</v>
      </c>
      <c r="AQ443" s="416">
        <v>48.6</v>
      </c>
      <c r="AR443" s="416">
        <v>34.200000000000003</v>
      </c>
      <c r="AS443" s="416">
        <v>25.8</v>
      </c>
      <c r="AT443" s="416">
        <v>19.7</v>
      </c>
      <c r="AU443" s="416">
        <v>13.8</v>
      </c>
      <c r="AV443" s="416">
        <v>9.7100000000000009</v>
      </c>
      <c r="AW443" s="416">
        <v>7.62</v>
      </c>
      <c r="AX443" s="416">
        <v>6.02</v>
      </c>
      <c r="AY443" s="416">
        <v>5.01</v>
      </c>
      <c r="AZ443" s="416">
        <v>4.5</v>
      </c>
    </row>
    <row r="444" spans="1:52" x14ac:dyDescent="0.25">
      <c r="A444" s="415" t="str">
        <f t="shared" si="6"/>
        <v>SA-312 Gr.TP348</v>
      </c>
      <c r="B444" s="415">
        <v>439</v>
      </c>
      <c r="C444" s="415" t="s">
        <v>3324</v>
      </c>
      <c r="D444" s="415" t="s">
        <v>2703</v>
      </c>
      <c r="E444" s="415" t="s">
        <v>2208</v>
      </c>
      <c r="F444" s="415" t="s">
        <v>2580</v>
      </c>
      <c r="G444" s="415" t="s">
        <v>3335</v>
      </c>
      <c r="H444" s="415">
        <v>0</v>
      </c>
      <c r="I444" s="415">
        <v>0</v>
      </c>
      <c r="J444" s="415">
        <v>8</v>
      </c>
      <c r="K444" s="415">
        <v>1</v>
      </c>
      <c r="L444" s="415">
        <v>9</v>
      </c>
      <c r="M444" s="415">
        <v>515</v>
      </c>
      <c r="N444" s="415">
        <v>205</v>
      </c>
      <c r="O444" s="415">
        <v>816</v>
      </c>
      <c r="P444" s="415" t="s">
        <v>3069</v>
      </c>
      <c r="Q444" s="415" t="s">
        <v>3627</v>
      </c>
      <c r="R444" s="415">
        <v>9</v>
      </c>
      <c r="S444" s="415">
        <v>138</v>
      </c>
      <c r="T444" s="416">
        <v>138</v>
      </c>
      <c r="U444" s="416">
        <v>138</v>
      </c>
      <c r="V444" s="416">
        <v>138</v>
      </c>
      <c r="W444" s="416">
        <v>138</v>
      </c>
      <c r="X444" s="416">
        <v>138</v>
      </c>
      <c r="Y444" s="416">
        <v>138</v>
      </c>
      <c r="Z444" s="416">
        <v>138</v>
      </c>
      <c r="AA444" s="416">
        <v>138</v>
      </c>
      <c r="AB444" s="416">
        <v>138</v>
      </c>
      <c r="AC444" s="416">
        <v>138</v>
      </c>
      <c r="AD444" s="416">
        <v>135</v>
      </c>
      <c r="AE444" s="416">
        <v>132</v>
      </c>
      <c r="AF444" s="416">
        <v>130</v>
      </c>
      <c r="AG444" s="416">
        <v>128</v>
      </c>
      <c r="AH444" s="416">
        <v>127</v>
      </c>
      <c r="AI444" s="416">
        <v>126</v>
      </c>
      <c r="AJ444" s="416">
        <v>126</v>
      </c>
      <c r="AK444" s="416">
        <v>125</v>
      </c>
      <c r="AL444" s="416">
        <v>9</v>
      </c>
      <c r="AM444" s="416">
        <v>125</v>
      </c>
      <c r="AN444" s="416">
        <v>125</v>
      </c>
      <c r="AO444" s="416">
        <v>97.6</v>
      </c>
      <c r="AP444" s="416">
        <v>75.900000000000006</v>
      </c>
      <c r="AQ444" s="416">
        <v>57.2</v>
      </c>
      <c r="AR444" s="416">
        <v>40.200000000000003</v>
      </c>
      <c r="AS444" s="416">
        <v>30.3</v>
      </c>
      <c r="AT444" s="416">
        <v>23.2</v>
      </c>
      <c r="AU444" s="416">
        <v>16.2</v>
      </c>
      <c r="AV444" s="416">
        <v>11.4</v>
      </c>
      <c r="AW444" s="416">
        <v>8.9700000000000006</v>
      </c>
      <c r="AX444" s="416">
        <v>7.08</v>
      </c>
      <c r="AY444" s="416">
        <v>5.89</v>
      </c>
      <c r="AZ444" s="416">
        <v>5.3</v>
      </c>
    </row>
    <row r="445" spans="1:52" x14ac:dyDescent="0.25">
      <c r="A445" s="415" t="str">
        <f t="shared" si="6"/>
        <v>SA-312 Gr.TP348</v>
      </c>
      <c r="B445" s="415">
        <v>440</v>
      </c>
      <c r="C445" s="415" t="s">
        <v>3324</v>
      </c>
      <c r="D445" s="415" t="s">
        <v>2680</v>
      </c>
      <c r="E445" s="415" t="s">
        <v>2208</v>
      </c>
      <c r="F445" s="415" t="s">
        <v>2580</v>
      </c>
      <c r="G445" s="415" t="s">
        <v>3335</v>
      </c>
      <c r="H445" s="415">
        <v>0</v>
      </c>
      <c r="I445" s="415">
        <v>0</v>
      </c>
      <c r="J445" s="415">
        <v>8</v>
      </c>
      <c r="K445" s="415">
        <v>1</v>
      </c>
      <c r="L445" s="415">
        <v>10</v>
      </c>
      <c r="M445" s="415">
        <v>515</v>
      </c>
      <c r="N445" s="415">
        <v>205</v>
      </c>
      <c r="O445" s="415">
        <v>816</v>
      </c>
      <c r="P445" s="415" t="s">
        <v>3069</v>
      </c>
      <c r="Q445" s="415" t="s">
        <v>3630</v>
      </c>
      <c r="R445" s="415">
        <v>10</v>
      </c>
      <c r="S445" s="415">
        <v>117</v>
      </c>
      <c r="T445" s="416">
        <v>117</v>
      </c>
      <c r="U445" s="416">
        <v>117</v>
      </c>
      <c r="V445" s="416">
        <v>117</v>
      </c>
      <c r="W445" s="416">
        <v>117</v>
      </c>
      <c r="X445" s="416">
        <v>117</v>
      </c>
      <c r="Y445" s="416">
        <v>117</v>
      </c>
      <c r="Z445" s="416">
        <v>117</v>
      </c>
      <c r="AA445" s="416">
        <v>117</v>
      </c>
      <c r="AB445" s="416">
        <v>117</v>
      </c>
      <c r="AC445" s="416">
        <v>117</v>
      </c>
      <c r="AD445" s="416">
        <v>115</v>
      </c>
      <c r="AE445" s="416">
        <v>112</v>
      </c>
      <c r="AF445" s="416">
        <v>111</v>
      </c>
      <c r="AG445" s="416">
        <v>109</v>
      </c>
      <c r="AH445" s="416">
        <v>108</v>
      </c>
      <c r="AI445" s="416">
        <v>107</v>
      </c>
      <c r="AJ445" s="416">
        <v>107</v>
      </c>
      <c r="AK445" s="416">
        <v>106</v>
      </c>
      <c r="AL445" s="416">
        <v>10</v>
      </c>
      <c r="AM445" s="416">
        <v>106</v>
      </c>
      <c r="AN445" s="416">
        <v>106</v>
      </c>
      <c r="AO445" s="416">
        <v>82.9</v>
      </c>
      <c r="AP445" s="416">
        <v>64.5</v>
      </c>
      <c r="AQ445" s="416">
        <v>48.6</v>
      </c>
      <c r="AR445" s="416">
        <v>34.200000000000003</v>
      </c>
      <c r="AS445" s="416">
        <v>25.8</v>
      </c>
      <c r="AT445" s="416">
        <v>19.7</v>
      </c>
      <c r="AU445" s="416">
        <v>13.8</v>
      </c>
      <c r="AV445" s="416">
        <v>9.7100000000000009</v>
      </c>
      <c r="AW445" s="416">
        <v>7.62</v>
      </c>
      <c r="AX445" s="416">
        <v>6.02</v>
      </c>
      <c r="AY445" s="416">
        <v>5.01</v>
      </c>
      <c r="AZ445" s="416">
        <v>4.5</v>
      </c>
    </row>
    <row r="446" spans="1:52" x14ac:dyDescent="0.25">
      <c r="A446" s="415" t="str">
        <f t="shared" si="6"/>
        <v>SA-376 Gr.TP348</v>
      </c>
      <c r="B446" s="415">
        <v>441</v>
      </c>
      <c r="C446" s="415" t="s">
        <v>3324</v>
      </c>
      <c r="D446" s="415" t="s">
        <v>2703</v>
      </c>
      <c r="E446" s="415" t="s">
        <v>2225</v>
      </c>
      <c r="F446" s="415" t="s">
        <v>2580</v>
      </c>
      <c r="G446" s="415" t="s">
        <v>3335</v>
      </c>
      <c r="H446" s="415">
        <v>0</v>
      </c>
      <c r="I446" s="415">
        <v>0</v>
      </c>
      <c r="J446" s="415">
        <v>8</v>
      </c>
      <c r="K446" s="415">
        <v>1</v>
      </c>
      <c r="L446" s="415">
        <v>11</v>
      </c>
      <c r="M446" s="415">
        <v>515</v>
      </c>
      <c r="N446" s="415">
        <v>205</v>
      </c>
      <c r="O446" s="415">
        <v>816</v>
      </c>
      <c r="P446" s="415" t="s">
        <v>3069</v>
      </c>
      <c r="Q446" s="415" t="s">
        <v>3629</v>
      </c>
      <c r="R446" s="415">
        <v>11</v>
      </c>
      <c r="S446" s="415">
        <v>138</v>
      </c>
      <c r="T446" s="416">
        <v>138</v>
      </c>
      <c r="U446" s="416">
        <v>138</v>
      </c>
      <c r="V446" s="416">
        <v>138</v>
      </c>
      <c r="W446" s="416">
        <v>138</v>
      </c>
      <c r="X446" s="416">
        <v>138</v>
      </c>
      <c r="Y446" s="416">
        <v>138</v>
      </c>
      <c r="Z446" s="416">
        <v>138</v>
      </c>
      <c r="AA446" s="416">
        <v>138</v>
      </c>
      <c r="AB446" s="416">
        <v>138</v>
      </c>
      <c r="AC446" s="416">
        <v>138</v>
      </c>
      <c r="AD446" s="416">
        <v>135</v>
      </c>
      <c r="AE446" s="416">
        <v>132</v>
      </c>
      <c r="AF446" s="416">
        <v>130</v>
      </c>
      <c r="AG446" s="416">
        <v>128</v>
      </c>
      <c r="AH446" s="416">
        <v>127</v>
      </c>
      <c r="AI446" s="416">
        <v>126</v>
      </c>
      <c r="AJ446" s="416">
        <v>126</v>
      </c>
      <c r="AK446" s="416">
        <v>125</v>
      </c>
      <c r="AL446" s="416">
        <v>11</v>
      </c>
      <c r="AM446" s="416">
        <v>125</v>
      </c>
      <c r="AN446" s="416">
        <v>125</v>
      </c>
      <c r="AO446" s="416">
        <v>97.6</v>
      </c>
      <c r="AP446" s="416">
        <v>75.900000000000006</v>
      </c>
      <c r="AQ446" s="416">
        <v>57.2</v>
      </c>
      <c r="AR446" s="416">
        <v>40.200000000000003</v>
      </c>
      <c r="AS446" s="416">
        <v>30.3</v>
      </c>
      <c r="AT446" s="416">
        <v>23.2</v>
      </c>
      <c r="AU446" s="416">
        <v>16.2</v>
      </c>
      <c r="AV446" s="416">
        <v>11.4</v>
      </c>
      <c r="AW446" s="416">
        <v>8.9700000000000006</v>
      </c>
      <c r="AX446" s="416">
        <v>7.08</v>
      </c>
      <c r="AY446" s="416">
        <v>5.89</v>
      </c>
      <c r="AZ446" s="416">
        <v>5.3</v>
      </c>
    </row>
    <row r="447" spans="1:52" x14ac:dyDescent="0.25">
      <c r="A447" s="415" t="str">
        <f t="shared" si="6"/>
        <v>SA-403 Gr.348</v>
      </c>
      <c r="B447" s="415">
        <v>442</v>
      </c>
      <c r="C447" s="415" t="s">
        <v>3324</v>
      </c>
      <c r="D447" s="415" t="s">
        <v>913</v>
      </c>
      <c r="E447" s="415" t="s">
        <v>2229</v>
      </c>
      <c r="F447" s="415">
        <v>348</v>
      </c>
      <c r="G447" s="415" t="s">
        <v>3335</v>
      </c>
      <c r="H447" s="415" t="s">
        <v>3380</v>
      </c>
      <c r="I447" s="415">
        <v>0</v>
      </c>
      <c r="J447" s="415">
        <v>8</v>
      </c>
      <c r="K447" s="415">
        <v>1</v>
      </c>
      <c r="L447" s="415">
        <v>12</v>
      </c>
      <c r="M447" s="415">
        <v>515</v>
      </c>
      <c r="N447" s="415">
        <v>205</v>
      </c>
      <c r="O447" s="415">
        <v>816</v>
      </c>
      <c r="P447" s="415" t="s">
        <v>3069</v>
      </c>
      <c r="Q447" s="415" t="s">
        <v>3632</v>
      </c>
      <c r="R447" s="415">
        <v>12</v>
      </c>
      <c r="S447" s="415">
        <v>117</v>
      </c>
      <c r="T447" s="416">
        <v>117</v>
      </c>
      <c r="U447" s="416">
        <v>117</v>
      </c>
      <c r="V447" s="416">
        <v>117</v>
      </c>
      <c r="W447" s="416">
        <v>117</v>
      </c>
      <c r="X447" s="416">
        <v>117</v>
      </c>
      <c r="Y447" s="416">
        <v>117</v>
      </c>
      <c r="Z447" s="416">
        <v>117</v>
      </c>
      <c r="AA447" s="416">
        <v>117</v>
      </c>
      <c r="AB447" s="416">
        <v>117</v>
      </c>
      <c r="AC447" s="416">
        <v>117</v>
      </c>
      <c r="AD447" s="416">
        <v>115</v>
      </c>
      <c r="AE447" s="416">
        <v>112</v>
      </c>
      <c r="AF447" s="416">
        <v>111</v>
      </c>
      <c r="AG447" s="416">
        <v>109</v>
      </c>
      <c r="AH447" s="416">
        <v>108</v>
      </c>
      <c r="AI447" s="416">
        <v>107</v>
      </c>
      <c r="AJ447" s="416">
        <v>107</v>
      </c>
      <c r="AK447" s="416">
        <v>106</v>
      </c>
      <c r="AL447" s="416">
        <v>12</v>
      </c>
      <c r="AM447" s="416">
        <v>106</v>
      </c>
      <c r="AN447" s="416">
        <v>106</v>
      </c>
      <c r="AO447" s="416">
        <v>82.9</v>
      </c>
      <c r="AP447" s="416">
        <v>64.5</v>
      </c>
      <c r="AQ447" s="416">
        <v>48.6</v>
      </c>
      <c r="AR447" s="416">
        <v>34.200000000000003</v>
      </c>
      <c r="AS447" s="416">
        <v>25.8</v>
      </c>
      <c r="AT447" s="416">
        <v>19.7</v>
      </c>
      <c r="AU447" s="416">
        <v>13.8</v>
      </c>
      <c r="AV447" s="416">
        <v>9.7100000000000009</v>
      </c>
      <c r="AW447" s="416">
        <v>7.62</v>
      </c>
      <c r="AX447" s="416">
        <v>6.02</v>
      </c>
      <c r="AY447" s="416">
        <v>5.01</v>
      </c>
      <c r="AZ447" s="416">
        <v>4.5</v>
      </c>
    </row>
    <row r="448" spans="1:52" x14ac:dyDescent="0.25">
      <c r="A448" s="415" t="str">
        <f t="shared" si="6"/>
        <v>SA-403 Gr.348</v>
      </c>
      <c r="B448" s="415">
        <v>443</v>
      </c>
      <c r="C448" s="415" t="s">
        <v>3324</v>
      </c>
      <c r="D448" s="415" t="s">
        <v>913</v>
      </c>
      <c r="E448" s="415" t="s">
        <v>2229</v>
      </c>
      <c r="F448" s="415">
        <v>348</v>
      </c>
      <c r="G448" s="415" t="s">
        <v>3335</v>
      </c>
      <c r="H448" s="415" t="s">
        <v>3381</v>
      </c>
      <c r="I448" s="415">
        <v>0</v>
      </c>
      <c r="J448" s="415">
        <v>8</v>
      </c>
      <c r="K448" s="415">
        <v>1</v>
      </c>
      <c r="L448" s="415">
        <v>13</v>
      </c>
      <c r="M448" s="415">
        <v>515</v>
      </c>
      <c r="N448" s="415">
        <v>205</v>
      </c>
      <c r="O448" s="415">
        <v>816</v>
      </c>
      <c r="P448" s="415" t="s">
        <v>3069</v>
      </c>
      <c r="Q448" s="415" t="s">
        <v>3633</v>
      </c>
      <c r="R448" s="415">
        <v>13</v>
      </c>
      <c r="S448" s="415">
        <v>138</v>
      </c>
      <c r="T448" s="416">
        <v>138</v>
      </c>
      <c r="U448" s="416">
        <v>138</v>
      </c>
      <c r="V448" s="416">
        <v>138</v>
      </c>
      <c r="W448" s="416">
        <v>138</v>
      </c>
      <c r="X448" s="416">
        <v>138</v>
      </c>
      <c r="Y448" s="416">
        <v>138</v>
      </c>
      <c r="Z448" s="416">
        <v>138</v>
      </c>
      <c r="AA448" s="416">
        <v>138</v>
      </c>
      <c r="AB448" s="416">
        <v>138</v>
      </c>
      <c r="AC448" s="416">
        <v>138</v>
      </c>
      <c r="AD448" s="416">
        <v>135</v>
      </c>
      <c r="AE448" s="416">
        <v>132</v>
      </c>
      <c r="AF448" s="416">
        <v>130</v>
      </c>
      <c r="AG448" s="416">
        <v>128</v>
      </c>
      <c r="AH448" s="416">
        <v>127</v>
      </c>
      <c r="AI448" s="416">
        <v>126</v>
      </c>
      <c r="AJ448" s="416">
        <v>126</v>
      </c>
      <c r="AK448" s="416">
        <v>125</v>
      </c>
      <c r="AL448" s="416">
        <v>13</v>
      </c>
      <c r="AM448" s="416">
        <v>125</v>
      </c>
      <c r="AN448" s="416">
        <v>125</v>
      </c>
      <c r="AO448" s="416">
        <v>97.6</v>
      </c>
      <c r="AP448" s="416">
        <v>75.900000000000006</v>
      </c>
      <c r="AQ448" s="416">
        <v>57.2</v>
      </c>
      <c r="AR448" s="416">
        <v>40.200000000000003</v>
      </c>
      <c r="AS448" s="416">
        <v>30.3</v>
      </c>
      <c r="AT448" s="416">
        <v>23.2</v>
      </c>
      <c r="AU448" s="416">
        <v>16.2</v>
      </c>
      <c r="AV448" s="416">
        <v>11.4</v>
      </c>
      <c r="AW448" s="416">
        <v>8.9700000000000006</v>
      </c>
      <c r="AX448" s="416">
        <v>7.08</v>
      </c>
      <c r="AY448" s="416">
        <v>5.89</v>
      </c>
      <c r="AZ448" s="416">
        <v>5.3</v>
      </c>
    </row>
    <row r="449" spans="1:52" x14ac:dyDescent="0.25">
      <c r="A449" s="415" t="str">
        <f t="shared" si="6"/>
        <v>SA-403 Gr.348</v>
      </c>
      <c r="B449" s="415">
        <v>444</v>
      </c>
      <c r="C449" s="415" t="s">
        <v>3324</v>
      </c>
      <c r="D449" s="415" t="s">
        <v>3414</v>
      </c>
      <c r="E449" s="415" t="s">
        <v>2229</v>
      </c>
      <c r="F449" s="415">
        <v>348</v>
      </c>
      <c r="G449" s="415" t="s">
        <v>3335</v>
      </c>
      <c r="H449" s="415" t="s">
        <v>3382</v>
      </c>
      <c r="I449" s="415">
        <v>0</v>
      </c>
      <c r="J449" s="415">
        <v>8</v>
      </c>
      <c r="K449" s="415">
        <v>1</v>
      </c>
      <c r="L449" s="415">
        <v>14</v>
      </c>
      <c r="M449" s="415">
        <v>515</v>
      </c>
      <c r="N449" s="415">
        <v>205</v>
      </c>
      <c r="O449" s="415">
        <v>816</v>
      </c>
      <c r="P449" s="415" t="s">
        <v>3069</v>
      </c>
      <c r="Q449" s="415" t="s">
        <v>3632</v>
      </c>
      <c r="R449" s="415">
        <v>14</v>
      </c>
      <c r="S449" s="415">
        <v>117</v>
      </c>
      <c r="T449" s="416">
        <v>117</v>
      </c>
      <c r="U449" s="416">
        <v>117</v>
      </c>
      <c r="V449" s="416">
        <v>117</v>
      </c>
      <c r="W449" s="416">
        <v>117</v>
      </c>
      <c r="X449" s="416">
        <v>117</v>
      </c>
      <c r="Y449" s="416">
        <v>117</v>
      </c>
      <c r="Z449" s="416">
        <v>117</v>
      </c>
      <c r="AA449" s="416">
        <v>117</v>
      </c>
      <c r="AB449" s="416">
        <v>117</v>
      </c>
      <c r="AC449" s="416">
        <v>117</v>
      </c>
      <c r="AD449" s="416">
        <v>115</v>
      </c>
      <c r="AE449" s="416">
        <v>112</v>
      </c>
      <c r="AF449" s="416">
        <v>111</v>
      </c>
      <c r="AG449" s="416">
        <v>109</v>
      </c>
      <c r="AH449" s="416">
        <v>108</v>
      </c>
      <c r="AI449" s="416">
        <v>107</v>
      </c>
      <c r="AJ449" s="416">
        <v>107</v>
      </c>
      <c r="AK449" s="416">
        <v>106</v>
      </c>
      <c r="AL449" s="416">
        <v>14</v>
      </c>
      <c r="AM449" s="416">
        <v>106</v>
      </c>
      <c r="AN449" s="416">
        <v>106</v>
      </c>
      <c r="AO449" s="416">
        <v>82.9</v>
      </c>
      <c r="AP449" s="416">
        <v>64.5</v>
      </c>
      <c r="AQ449" s="416">
        <v>48.6</v>
      </c>
      <c r="AR449" s="416">
        <v>34.200000000000003</v>
      </c>
      <c r="AS449" s="416">
        <v>25.8</v>
      </c>
      <c r="AT449" s="416">
        <v>19.7</v>
      </c>
      <c r="AU449" s="416">
        <v>13.8</v>
      </c>
      <c r="AV449" s="416">
        <v>9.7100000000000009</v>
      </c>
      <c r="AW449" s="416">
        <v>7.62</v>
      </c>
      <c r="AX449" s="416">
        <v>6.02</v>
      </c>
      <c r="AY449" s="416">
        <v>5.01</v>
      </c>
      <c r="AZ449" s="416">
        <v>4.5</v>
      </c>
    </row>
    <row r="450" spans="1:52" x14ac:dyDescent="0.25">
      <c r="A450" s="415" t="str">
        <f t="shared" si="6"/>
        <v>SA-403 Gr.348</v>
      </c>
      <c r="B450" s="415">
        <v>445</v>
      </c>
      <c r="C450" s="415" t="s">
        <v>3324</v>
      </c>
      <c r="D450" s="415" t="s">
        <v>3414</v>
      </c>
      <c r="E450" s="415" t="s">
        <v>2229</v>
      </c>
      <c r="F450" s="415">
        <v>348</v>
      </c>
      <c r="G450" s="415" t="s">
        <v>3335</v>
      </c>
      <c r="H450" s="415" t="s">
        <v>3384</v>
      </c>
      <c r="I450" s="415">
        <v>0</v>
      </c>
      <c r="J450" s="415">
        <v>8</v>
      </c>
      <c r="K450" s="415">
        <v>1</v>
      </c>
      <c r="L450" s="415">
        <v>15</v>
      </c>
      <c r="M450" s="415">
        <v>515</v>
      </c>
      <c r="N450" s="415">
        <v>205</v>
      </c>
      <c r="O450" s="415">
        <v>816</v>
      </c>
      <c r="P450" s="415" t="s">
        <v>3069</v>
      </c>
      <c r="Q450" s="415" t="s">
        <v>3632</v>
      </c>
      <c r="R450" s="415">
        <v>15</v>
      </c>
      <c r="S450" s="415">
        <v>117</v>
      </c>
      <c r="T450" s="416">
        <v>117</v>
      </c>
      <c r="U450" s="416">
        <v>117</v>
      </c>
      <c r="V450" s="416">
        <v>117</v>
      </c>
      <c r="W450" s="416">
        <v>117</v>
      </c>
      <c r="X450" s="416">
        <v>117</v>
      </c>
      <c r="Y450" s="416">
        <v>117</v>
      </c>
      <c r="Z450" s="416">
        <v>117</v>
      </c>
      <c r="AA450" s="416">
        <v>117</v>
      </c>
      <c r="AB450" s="416">
        <v>117</v>
      </c>
      <c r="AC450" s="416">
        <v>117</v>
      </c>
      <c r="AD450" s="416">
        <v>115</v>
      </c>
      <c r="AE450" s="416">
        <v>112</v>
      </c>
      <c r="AF450" s="416">
        <v>111</v>
      </c>
      <c r="AG450" s="416">
        <v>109</v>
      </c>
      <c r="AH450" s="416">
        <v>108</v>
      </c>
      <c r="AI450" s="416">
        <v>107</v>
      </c>
      <c r="AJ450" s="416">
        <v>107</v>
      </c>
      <c r="AK450" s="416">
        <v>106</v>
      </c>
      <c r="AL450" s="416">
        <v>15</v>
      </c>
      <c r="AM450" s="416">
        <v>106</v>
      </c>
      <c r="AN450" s="416">
        <v>106</v>
      </c>
      <c r="AO450" s="416">
        <v>82.9</v>
      </c>
      <c r="AP450" s="416">
        <v>64.5</v>
      </c>
      <c r="AQ450" s="416">
        <v>48.6</v>
      </c>
      <c r="AR450" s="416">
        <v>34.200000000000003</v>
      </c>
      <c r="AS450" s="416">
        <v>25.8</v>
      </c>
      <c r="AT450" s="416">
        <v>19.7</v>
      </c>
      <c r="AU450" s="416">
        <v>13.8</v>
      </c>
      <c r="AV450" s="416">
        <v>9.7100000000000009</v>
      </c>
      <c r="AW450" s="416">
        <v>7.62</v>
      </c>
      <c r="AX450" s="416">
        <v>6.02</v>
      </c>
      <c r="AY450" s="416">
        <v>5.01</v>
      </c>
      <c r="AZ450" s="416">
        <v>4.5</v>
      </c>
    </row>
    <row r="451" spans="1:52" x14ac:dyDescent="0.25">
      <c r="A451" s="415" t="str">
        <f t="shared" si="6"/>
        <v>SA-182 Gr.F348H</v>
      </c>
      <c r="B451" s="415">
        <v>446</v>
      </c>
      <c r="C451" s="415" t="s">
        <v>3324</v>
      </c>
      <c r="D451" s="415" t="s">
        <v>2737</v>
      </c>
      <c r="E451" s="415" t="s">
        <v>2188</v>
      </c>
      <c r="F451" s="415" t="s">
        <v>2450</v>
      </c>
      <c r="G451" s="415" t="s">
        <v>3325</v>
      </c>
      <c r="H451" s="415">
        <v>0</v>
      </c>
      <c r="I451" s="415" t="s">
        <v>3604</v>
      </c>
      <c r="J451" s="415">
        <v>8</v>
      </c>
      <c r="K451" s="415">
        <v>1</v>
      </c>
      <c r="L451" s="415">
        <v>16</v>
      </c>
      <c r="M451" s="415">
        <v>515</v>
      </c>
      <c r="N451" s="415">
        <v>205</v>
      </c>
      <c r="O451" s="415">
        <v>816</v>
      </c>
      <c r="P451" s="415" t="s">
        <v>3069</v>
      </c>
      <c r="Q451" s="415" t="s">
        <v>3607</v>
      </c>
      <c r="R451" s="415">
        <v>16</v>
      </c>
      <c r="S451" s="415">
        <v>138</v>
      </c>
      <c r="T451" s="416">
        <v>138</v>
      </c>
      <c r="U451" s="416">
        <v>138</v>
      </c>
      <c r="V451" s="416">
        <v>138</v>
      </c>
      <c r="W451" s="416">
        <v>138</v>
      </c>
      <c r="X451" s="416">
        <v>138</v>
      </c>
      <c r="Y451" s="416">
        <v>138</v>
      </c>
      <c r="Z451" s="416">
        <v>138</v>
      </c>
      <c r="AA451" s="416">
        <v>138</v>
      </c>
      <c r="AB451" s="416">
        <v>138</v>
      </c>
      <c r="AC451" s="416">
        <v>138</v>
      </c>
      <c r="AD451" s="416">
        <v>135</v>
      </c>
      <c r="AE451" s="416">
        <v>132</v>
      </c>
      <c r="AF451" s="416">
        <v>130</v>
      </c>
      <c r="AG451" s="416">
        <v>129</v>
      </c>
      <c r="AH451" s="416">
        <v>127</v>
      </c>
      <c r="AI451" s="416">
        <v>126</v>
      </c>
      <c r="AJ451" s="416">
        <v>126</v>
      </c>
      <c r="AK451" s="416">
        <v>125</v>
      </c>
      <c r="AL451" s="416">
        <v>16</v>
      </c>
      <c r="AM451" s="416">
        <v>125</v>
      </c>
      <c r="AN451" s="416">
        <v>125</v>
      </c>
      <c r="AO451" s="416">
        <v>125</v>
      </c>
      <c r="AP451" s="416">
        <v>112</v>
      </c>
      <c r="AQ451" s="416">
        <v>90.6</v>
      </c>
      <c r="AR451" s="416">
        <v>69.599999999999994</v>
      </c>
      <c r="AS451" s="416">
        <v>53.8</v>
      </c>
      <c r="AT451" s="416">
        <v>41.4</v>
      </c>
      <c r="AU451" s="416">
        <v>31.8</v>
      </c>
      <c r="AV451" s="416">
        <v>24</v>
      </c>
      <c r="AW451" s="416">
        <v>18.8</v>
      </c>
      <c r="AX451" s="416">
        <v>14.6</v>
      </c>
      <c r="AY451" s="416">
        <v>10.9</v>
      </c>
      <c r="AZ451" s="416">
        <v>7.96</v>
      </c>
    </row>
    <row r="452" spans="1:52" x14ac:dyDescent="0.25">
      <c r="A452" s="415" t="str">
        <f t="shared" si="6"/>
        <v>SA-213 Gr.TP348H</v>
      </c>
      <c r="B452" s="415">
        <v>447</v>
      </c>
      <c r="C452" s="415" t="s">
        <v>3324</v>
      </c>
      <c r="D452" s="415" t="s">
        <v>2693</v>
      </c>
      <c r="E452" s="415" t="s">
        <v>2195</v>
      </c>
      <c r="F452" s="415" t="s">
        <v>2581</v>
      </c>
      <c r="G452" s="415" t="s">
        <v>3325</v>
      </c>
      <c r="H452" s="415">
        <v>0</v>
      </c>
      <c r="I452" s="415">
        <v>0</v>
      </c>
      <c r="J452" s="415">
        <v>8</v>
      </c>
      <c r="K452" s="415">
        <v>1</v>
      </c>
      <c r="L452" s="415">
        <v>17</v>
      </c>
      <c r="M452" s="415">
        <v>515</v>
      </c>
      <c r="N452" s="415">
        <v>205</v>
      </c>
      <c r="O452" s="415">
        <v>816</v>
      </c>
      <c r="P452" s="415" t="s">
        <v>3069</v>
      </c>
      <c r="Q452" s="415" t="s">
        <v>3628</v>
      </c>
      <c r="R452" s="415">
        <v>17</v>
      </c>
      <c r="S452" s="415">
        <v>138</v>
      </c>
      <c r="T452" s="416">
        <v>138</v>
      </c>
      <c r="U452" s="416">
        <v>138</v>
      </c>
      <c r="V452" s="416">
        <v>138</v>
      </c>
      <c r="W452" s="416">
        <v>138</v>
      </c>
      <c r="X452" s="416">
        <v>138</v>
      </c>
      <c r="Y452" s="416">
        <v>138</v>
      </c>
      <c r="Z452" s="416">
        <v>138</v>
      </c>
      <c r="AA452" s="416">
        <v>138</v>
      </c>
      <c r="AB452" s="416">
        <v>138</v>
      </c>
      <c r="AC452" s="416">
        <v>138</v>
      </c>
      <c r="AD452" s="416">
        <v>135</v>
      </c>
      <c r="AE452" s="416">
        <v>132</v>
      </c>
      <c r="AF452" s="416">
        <v>130</v>
      </c>
      <c r="AG452" s="416">
        <v>129</v>
      </c>
      <c r="AH452" s="416">
        <v>127</v>
      </c>
      <c r="AI452" s="416">
        <v>126</v>
      </c>
      <c r="AJ452" s="416">
        <v>126</v>
      </c>
      <c r="AK452" s="416">
        <v>125</v>
      </c>
      <c r="AL452" s="416">
        <v>17</v>
      </c>
      <c r="AM452" s="416">
        <v>125</v>
      </c>
      <c r="AN452" s="416">
        <v>125</v>
      </c>
      <c r="AO452" s="416">
        <v>125</v>
      </c>
      <c r="AP452" s="416">
        <v>112</v>
      </c>
      <c r="AQ452" s="416">
        <v>90.6</v>
      </c>
      <c r="AR452" s="416">
        <v>69.599999999999994</v>
      </c>
      <c r="AS452" s="416">
        <v>53.8</v>
      </c>
      <c r="AT452" s="416">
        <v>41.4</v>
      </c>
      <c r="AU452" s="416">
        <v>31.8</v>
      </c>
      <c r="AV452" s="416">
        <v>24</v>
      </c>
      <c r="AW452" s="416">
        <v>18.8</v>
      </c>
      <c r="AX452" s="416">
        <v>14.6</v>
      </c>
      <c r="AY452" s="416">
        <v>10.9</v>
      </c>
      <c r="AZ452" s="416">
        <v>7.96</v>
      </c>
    </row>
    <row r="453" spans="1:52" x14ac:dyDescent="0.25">
      <c r="A453" s="415" t="str">
        <f t="shared" si="6"/>
        <v>SA-249 Gr.TP348H</v>
      </c>
      <c r="B453" s="415">
        <v>448</v>
      </c>
      <c r="C453" s="415" t="s">
        <v>3324</v>
      </c>
      <c r="D453" s="415" t="s">
        <v>2689</v>
      </c>
      <c r="E453" s="415" t="s">
        <v>2200</v>
      </c>
      <c r="F453" s="415" t="s">
        <v>2581</v>
      </c>
      <c r="G453" s="415" t="s">
        <v>3325</v>
      </c>
      <c r="H453" s="415">
        <v>0</v>
      </c>
      <c r="I453" s="415">
        <v>0</v>
      </c>
      <c r="J453" s="415">
        <v>8</v>
      </c>
      <c r="K453" s="415">
        <v>1</v>
      </c>
      <c r="L453" s="415">
        <v>18</v>
      </c>
      <c r="M453" s="415">
        <v>515</v>
      </c>
      <c r="N453" s="415">
        <v>205</v>
      </c>
      <c r="O453" s="415">
        <v>816</v>
      </c>
      <c r="P453" s="415" t="s">
        <v>3069</v>
      </c>
      <c r="Q453" s="415" t="s">
        <v>3612</v>
      </c>
      <c r="R453" s="415">
        <v>18</v>
      </c>
      <c r="S453" s="415">
        <v>117</v>
      </c>
      <c r="T453" s="416">
        <v>117</v>
      </c>
      <c r="U453" s="416">
        <v>117</v>
      </c>
      <c r="V453" s="416">
        <v>117</v>
      </c>
      <c r="W453" s="416">
        <v>117</v>
      </c>
      <c r="X453" s="416">
        <v>117</v>
      </c>
      <c r="Y453" s="416">
        <v>117</v>
      </c>
      <c r="Z453" s="416">
        <v>117</v>
      </c>
      <c r="AA453" s="416">
        <v>117</v>
      </c>
      <c r="AB453" s="416">
        <v>117</v>
      </c>
      <c r="AC453" s="416">
        <v>117</v>
      </c>
      <c r="AD453" s="416">
        <v>115</v>
      </c>
      <c r="AE453" s="416">
        <v>112</v>
      </c>
      <c r="AF453" s="416">
        <v>111</v>
      </c>
      <c r="AG453" s="416">
        <v>109</v>
      </c>
      <c r="AH453" s="416">
        <v>108</v>
      </c>
      <c r="AI453" s="416">
        <v>107</v>
      </c>
      <c r="AJ453" s="416">
        <v>107</v>
      </c>
      <c r="AK453" s="416">
        <v>106</v>
      </c>
      <c r="AL453" s="416">
        <v>18</v>
      </c>
      <c r="AM453" s="416">
        <v>106</v>
      </c>
      <c r="AN453" s="416">
        <v>106</v>
      </c>
      <c r="AO453" s="416">
        <v>106</v>
      </c>
      <c r="AP453" s="416">
        <v>94.8</v>
      </c>
      <c r="AQ453" s="416">
        <v>77</v>
      </c>
      <c r="AR453" s="416">
        <v>59.1</v>
      </c>
      <c r="AS453" s="416">
        <v>45.8</v>
      </c>
      <c r="AT453" s="416">
        <v>35.200000000000003</v>
      </c>
      <c r="AU453" s="416">
        <v>27</v>
      </c>
      <c r="AV453" s="416">
        <v>20.399999999999999</v>
      </c>
      <c r="AW453" s="416">
        <v>16</v>
      </c>
      <c r="AX453" s="416">
        <v>12.4</v>
      </c>
      <c r="AY453" s="416">
        <v>9.25</v>
      </c>
      <c r="AZ453" s="416">
        <v>6.77</v>
      </c>
    </row>
    <row r="454" spans="1:52" x14ac:dyDescent="0.25">
      <c r="A454" s="415" t="str">
        <f t="shared" si="6"/>
        <v>SA-312 Gr.TP348H</v>
      </c>
      <c r="B454" s="415">
        <v>449</v>
      </c>
      <c r="C454" s="415" t="s">
        <v>3324</v>
      </c>
      <c r="D454" s="415" t="s">
        <v>2703</v>
      </c>
      <c r="E454" s="415" t="s">
        <v>2208</v>
      </c>
      <c r="F454" s="415" t="s">
        <v>2581</v>
      </c>
      <c r="G454" s="415" t="s">
        <v>3325</v>
      </c>
      <c r="H454" s="415">
        <v>0</v>
      </c>
      <c r="I454" s="415">
        <v>0</v>
      </c>
      <c r="J454" s="415">
        <v>8</v>
      </c>
      <c r="K454" s="415">
        <v>1</v>
      </c>
      <c r="L454" s="415">
        <v>19</v>
      </c>
      <c r="M454" s="415">
        <v>515</v>
      </c>
      <c r="N454" s="415">
        <v>205</v>
      </c>
      <c r="O454" s="415">
        <v>816</v>
      </c>
      <c r="P454" s="415" t="s">
        <v>3069</v>
      </c>
      <c r="Q454" s="415" t="s">
        <v>3628</v>
      </c>
      <c r="R454" s="415">
        <v>19</v>
      </c>
      <c r="S454" s="415">
        <v>138</v>
      </c>
      <c r="T454" s="416">
        <v>138</v>
      </c>
      <c r="U454" s="416">
        <v>138</v>
      </c>
      <c r="V454" s="416">
        <v>138</v>
      </c>
      <c r="W454" s="416">
        <v>138</v>
      </c>
      <c r="X454" s="416">
        <v>138</v>
      </c>
      <c r="Y454" s="416">
        <v>138</v>
      </c>
      <c r="Z454" s="416">
        <v>138</v>
      </c>
      <c r="AA454" s="416">
        <v>138</v>
      </c>
      <c r="AB454" s="416">
        <v>138</v>
      </c>
      <c r="AC454" s="416">
        <v>138</v>
      </c>
      <c r="AD454" s="416">
        <v>135</v>
      </c>
      <c r="AE454" s="416">
        <v>132</v>
      </c>
      <c r="AF454" s="416">
        <v>130</v>
      </c>
      <c r="AG454" s="416">
        <v>129</v>
      </c>
      <c r="AH454" s="416">
        <v>127</v>
      </c>
      <c r="AI454" s="416">
        <v>126</v>
      </c>
      <c r="AJ454" s="416">
        <v>126</v>
      </c>
      <c r="AK454" s="416">
        <v>125</v>
      </c>
      <c r="AL454" s="416">
        <v>19</v>
      </c>
      <c r="AM454" s="416">
        <v>125</v>
      </c>
      <c r="AN454" s="416">
        <v>125</v>
      </c>
      <c r="AO454" s="416">
        <v>125</v>
      </c>
      <c r="AP454" s="416">
        <v>112</v>
      </c>
      <c r="AQ454" s="416">
        <v>90.6</v>
      </c>
      <c r="AR454" s="416">
        <v>69.599999999999994</v>
      </c>
      <c r="AS454" s="416">
        <v>53.8</v>
      </c>
      <c r="AT454" s="416">
        <v>41.4</v>
      </c>
      <c r="AU454" s="416">
        <v>31.8</v>
      </c>
      <c r="AV454" s="416">
        <v>24</v>
      </c>
      <c r="AW454" s="416">
        <v>18.8</v>
      </c>
      <c r="AX454" s="416">
        <v>14.6</v>
      </c>
      <c r="AY454" s="416">
        <v>10.9</v>
      </c>
      <c r="AZ454" s="416">
        <v>7.96</v>
      </c>
    </row>
    <row r="455" spans="1:52" x14ac:dyDescent="0.25">
      <c r="A455" s="415" t="str">
        <f t="shared" ref="A455:A518" si="7">CONCATENATE(E455," Gr.",F455)</f>
        <v>SA-312 Gr.TP348H</v>
      </c>
      <c r="B455" s="415">
        <v>450</v>
      </c>
      <c r="C455" s="415" t="s">
        <v>3324</v>
      </c>
      <c r="D455" s="415" t="s">
        <v>2680</v>
      </c>
      <c r="E455" s="415" t="s">
        <v>2208</v>
      </c>
      <c r="F455" s="415" t="s">
        <v>2581</v>
      </c>
      <c r="G455" s="415" t="s">
        <v>3325</v>
      </c>
      <c r="H455" s="415">
        <v>0</v>
      </c>
      <c r="I455" s="415">
        <v>0</v>
      </c>
      <c r="J455" s="415">
        <v>8</v>
      </c>
      <c r="K455" s="415">
        <v>1</v>
      </c>
      <c r="L455" s="415">
        <v>20</v>
      </c>
      <c r="M455" s="415">
        <v>515</v>
      </c>
      <c r="N455" s="415">
        <v>205</v>
      </c>
      <c r="O455" s="415">
        <v>816</v>
      </c>
      <c r="P455" s="415" t="s">
        <v>3069</v>
      </c>
      <c r="Q455" s="415" t="s">
        <v>3631</v>
      </c>
      <c r="R455" s="415">
        <v>20</v>
      </c>
      <c r="S455" s="415">
        <v>117</v>
      </c>
      <c r="T455" s="416">
        <v>117</v>
      </c>
      <c r="U455" s="416">
        <v>117</v>
      </c>
      <c r="V455" s="416">
        <v>117</v>
      </c>
      <c r="W455" s="416">
        <v>117</v>
      </c>
      <c r="X455" s="416">
        <v>117</v>
      </c>
      <c r="Y455" s="416">
        <v>117</v>
      </c>
      <c r="Z455" s="416">
        <v>117</v>
      </c>
      <c r="AA455" s="416">
        <v>117</v>
      </c>
      <c r="AB455" s="416">
        <v>117</v>
      </c>
      <c r="AC455" s="416">
        <v>117</v>
      </c>
      <c r="AD455" s="416">
        <v>115</v>
      </c>
      <c r="AE455" s="416">
        <v>112</v>
      </c>
      <c r="AF455" s="416">
        <v>111</v>
      </c>
      <c r="AG455" s="416">
        <v>109</v>
      </c>
      <c r="AH455" s="416">
        <v>108</v>
      </c>
      <c r="AI455" s="416">
        <v>107</v>
      </c>
      <c r="AJ455" s="416">
        <v>107</v>
      </c>
      <c r="AK455" s="416">
        <v>106</v>
      </c>
      <c r="AL455" s="416">
        <v>20</v>
      </c>
      <c r="AM455" s="416">
        <v>106</v>
      </c>
      <c r="AN455" s="416">
        <v>106</v>
      </c>
      <c r="AO455" s="416">
        <v>106</v>
      </c>
      <c r="AP455" s="416">
        <v>94.8</v>
      </c>
      <c r="AQ455" s="416">
        <v>77</v>
      </c>
      <c r="AR455" s="416">
        <v>59.1</v>
      </c>
      <c r="AS455" s="416">
        <v>45.8</v>
      </c>
      <c r="AT455" s="416">
        <v>35.200000000000003</v>
      </c>
      <c r="AU455" s="416">
        <v>27</v>
      </c>
      <c r="AV455" s="416">
        <v>20.399999999999999</v>
      </c>
      <c r="AW455" s="416">
        <v>16</v>
      </c>
      <c r="AX455" s="416">
        <v>12.4</v>
      </c>
      <c r="AY455" s="416">
        <v>9.25</v>
      </c>
      <c r="AZ455" s="416">
        <v>6.77</v>
      </c>
    </row>
    <row r="456" spans="1:52" x14ac:dyDescent="0.25">
      <c r="A456" s="415" t="str">
        <f t="shared" si="7"/>
        <v>SA-403 Gr.348H</v>
      </c>
      <c r="B456" s="415">
        <v>451</v>
      </c>
      <c r="C456" s="415" t="s">
        <v>3324</v>
      </c>
      <c r="D456" s="415" t="s">
        <v>913</v>
      </c>
      <c r="E456" s="415" t="s">
        <v>2229</v>
      </c>
      <c r="F456" s="415" t="s">
        <v>2282</v>
      </c>
      <c r="G456" s="415" t="s">
        <v>3325</v>
      </c>
      <c r="H456" s="415" t="s">
        <v>3380</v>
      </c>
      <c r="I456" s="415">
        <v>0</v>
      </c>
      <c r="J456" s="415">
        <v>8</v>
      </c>
      <c r="K456" s="415">
        <v>1</v>
      </c>
      <c r="L456" s="415">
        <v>21</v>
      </c>
      <c r="M456" s="415">
        <v>515</v>
      </c>
      <c r="N456" s="415">
        <v>205</v>
      </c>
      <c r="O456" s="415">
        <v>816</v>
      </c>
      <c r="P456" s="415" t="s">
        <v>3069</v>
      </c>
      <c r="Q456" s="415" t="s">
        <v>3631</v>
      </c>
      <c r="R456" s="415">
        <v>21</v>
      </c>
      <c r="S456" s="415">
        <v>117</v>
      </c>
      <c r="T456" s="416">
        <v>117</v>
      </c>
      <c r="U456" s="416">
        <v>117</v>
      </c>
      <c r="V456" s="416">
        <v>117</v>
      </c>
      <c r="W456" s="416">
        <v>117</v>
      </c>
      <c r="X456" s="416">
        <v>117</v>
      </c>
      <c r="Y456" s="416">
        <v>117</v>
      </c>
      <c r="Z456" s="416">
        <v>117</v>
      </c>
      <c r="AA456" s="416">
        <v>117</v>
      </c>
      <c r="AB456" s="416">
        <v>117</v>
      </c>
      <c r="AC456" s="416">
        <v>117</v>
      </c>
      <c r="AD456" s="416">
        <v>115</v>
      </c>
      <c r="AE456" s="416">
        <v>112</v>
      </c>
      <c r="AF456" s="416">
        <v>111</v>
      </c>
      <c r="AG456" s="416">
        <v>109</v>
      </c>
      <c r="AH456" s="416">
        <v>108</v>
      </c>
      <c r="AI456" s="416">
        <v>107</v>
      </c>
      <c r="AJ456" s="416">
        <v>107</v>
      </c>
      <c r="AK456" s="416">
        <v>106</v>
      </c>
      <c r="AL456" s="416">
        <v>21</v>
      </c>
      <c r="AM456" s="416">
        <v>106</v>
      </c>
      <c r="AN456" s="416">
        <v>106</v>
      </c>
      <c r="AO456" s="416">
        <v>106</v>
      </c>
      <c r="AP456" s="416">
        <v>94.8</v>
      </c>
      <c r="AQ456" s="416">
        <v>77</v>
      </c>
      <c r="AR456" s="416">
        <v>59.1</v>
      </c>
      <c r="AS456" s="416">
        <v>45.8</v>
      </c>
      <c r="AT456" s="416">
        <v>35.200000000000003</v>
      </c>
      <c r="AU456" s="416">
        <v>27</v>
      </c>
      <c r="AV456" s="416">
        <v>20.399999999999999</v>
      </c>
      <c r="AW456" s="416">
        <v>16</v>
      </c>
      <c r="AX456" s="416">
        <v>12.4</v>
      </c>
      <c r="AY456" s="416">
        <v>9.25</v>
      </c>
      <c r="AZ456" s="416">
        <v>6.77</v>
      </c>
    </row>
    <row r="457" spans="1:52" x14ac:dyDescent="0.25">
      <c r="A457" s="415" t="str">
        <f t="shared" si="7"/>
        <v>SA-403 Gr.348H</v>
      </c>
      <c r="B457" s="415">
        <v>452</v>
      </c>
      <c r="C457" s="415" t="s">
        <v>3324</v>
      </c>
      <c r="D457" s="415" t="s">
        <v>913</v>
      </c>
      <c r="E457" s="415" t="s">
        <v>2229</v>
      </c>
      <c r="F457" s="415" t="s">
        <v>2282</v>
      </c>
      <c r="G457" s="415" t="s">
        <v>3325</v>
      </c>
      <c r="H457" s="415" t="s">
        <v>3381</v>
      </c>
      <c r="I457" s="415">
        <v>0</v>
      </c>
      <c r="J457" s="415">
        <v>8</v>
      </c>
      <c r="K457" s="415">
        <v>1</v>
      </c>
      <c r="L457" s="415">
        <v>22</v>
      </c>
      <c r="M457" s="415">
        <v>515</v>
      </c>
      <c r="N457" s="415">
        <v>205</v>
      </c>
      <c r="O457" s="415">
        <v>816</v>
      </c>
      <c r="P457" s="415" t="s">
        <v>3069</v>
      </c>
      <c r="Q457" s="415" t="s">
        <v>3628</v>
      </c>
      <c r="R457" s="415">
        <v>22</v>
      </c>
      <c r="S457" s="415">
        <v>138</v>
      </c>
      <c r="T457" s="416">
        <v>138</v>
      </c>
      <c r="U457" s="416">
        <v>138</v>
      </c>
      <c r="V457" s="416">
        <v>138</v>
      </c>
      <c r="W457" s="416">
        <v>138</v>
      </c>
      <c r="X457" s="416">
        <v>138</v>
      </c>
      <c r="Y457" s="416">
        <v>138</v>
      </c>
      <c r="Z457" s="416">
        <v>138</v>
      </c>
      <c r="AA457" s="416">
        <v>138</v>
      </c>
      <c r="AB457" s="416">
        <v>138</v>
      </c>
      <c r="AC457" s="416">
        <v>138</v>
      </c>
      <c r="AD457" s="416">
        <v>135</v>
      </c>
      <c r="AE457" s="416">
        <v>132</v>
      </c>
      <c r="AF457" s="416">
        <v>130</v>
      </c>
      <c r="AG457" s="416">
        <v>129</v>
      </c>
      <c r="AH457" s="416">
        <v>127</v>
      </c>
      <c r="AI457" s="416">
        <v>126</v>
      </c>
      <c r="AJ457" s="416">
        <v>126</v>
      </c>
      <c r="AK457" s="416">
        <v>125</v>
      </c>
      <c r="AL457" s="416">
        <v>22</v>
      </c>
      <c r="AM457" s="416">
        <v>125</v>
      </c>
      <c r="AN457" s="416">
        <v>125</v>
      </c>
      <c r="AO457" s="416">
        <v>125</v>
      </c>
      <c r="AP457" s="416">
        <v>112</v>
      </c>
      <c r="AQ457" s="416">
        <v>90.6</v>
      </c>
      <c r="AR457" s="416">
        <v>69.599999999999994</v>
      </c>
      <c r="AS457" s="416">
        <v>53.8</v>
      </c>
      <c r="AT457" s="416">
        <v>41.4</v>
      </c>
      <c r="AU457" s="416">
        <v>31.8</v>
      </c>
      <c r="AV457" s="416">
        <v>24</v>
      </c>
      <c r="AW457" s="416">
        <v>18.8</v>
      </c>
      <c r="AX457" s="416">
        <v>14.6</v>
      </c>
      <c r="AY457" s="416">
        <v>10.9</v>
      </c>
      <c r="AZ457" s="416">
        <v>7.96</v>
      </c>
    </row>
    <row r="458" spans="1:52" x14ac:dyDescent="0.25">
      <c r="A458" s="415" t="str">
        <f t="shared" si="7"/>
        <v>SA-403 Gr.348H</v>
      </c>
      <c r="B458" s="415">
        <v>453</v>
      </c>
      <c r="C458" s="415" t="s">
        <v>3324</v>
      </c>
      <c r="D458" s="415" t="s">
        <v>3414</v>
      </c>
      <c r="E458" s="415" t="s">
        <v>2229</v>
      </c>
      <c r="F458" s="415" t="s">
        <v>2282</v>
      </c>
      <c r="G458" s="415" t="s">
        <v>3325</v>
      </c>
      <c r="H458" s="415" t="s">
        <v>3382</v>
      </c>
      <c r="I458" s="415">
        <v>0</v>
      </c>
      <c r="J458" s="415">
        <v>8</v>
      </c>
      <c r="K458" s="415">
        <v>1</v>
      </c>
      <c r="L458" s="415">
        <v>23</v>
      </c>
      <c r="M458" s="415">
        <v>515</v>
      </c>
      <c r="N458" s="415">
        <v>205</v>
      </c>
      <c r="O458" s="415">
        <v>816</v>
      </c>
      <c r="P458" s="415" t="s">
        <v>3069</v>
      </c>
      <c r="Q458" s="415" t="s">
        <v>3631</v>
      </c>
      <c r="R458" s="415">
        <v>23</v>
      </c>
      <c r="S458" s="415">
        <v>117</v>
      </c>
      <c r="T458" s="416">
        <v>117</v>
      </c>
      <c r="U458" s="416">
        <v>117</v>
      </c>
      <c r="V458" s="416">
        <v>117</v>
      </c>
      <c r="W458" s="416">
        <v>117</v>
      </c>
      <c r="X458" s="416">
        <v>117</v>
      </c>
      <c r="Y458" s="416">
        <v>117</v>
      </c>
      <c r="Z458" s="416">
        <v>117</v>
      </c>
      <c r="AA458" s="416">
        <v>117</v>
      </c>
      <c r="AB458" s="416">
        <v>117</v>
      </c>
      <c r="AC458" s="416">
        <v>117</v>
      </c>
      <c r="AD458" s="416">
        <v>115</v>
      </c>
      <c r="AE458" s="416">
        <v>112</v>
      </c>
      <c r="AF458" s="416">
        <v>111</v>
      </c>
      <c r="AG458" s="416">
        <v>109</v>
      </c>
      <c r="AH458" s="416">
        <v>108</v>
      </c>
      <c r="AI458" s="416">
        <v>107</v>
      </c>
      <c r="AJ458" s="416">
        <v>107</v>
      </c>
      <c r="AK458" s="416">
        <v>106</v>
      </c>
      <c r="AL458" s="416">
        <v>23</v>
      </c>
      <c r="AM458" s="416">
        <v>106</v>
      </c>
      <c r="AN458" s="416">
        <v>106</v>
      </c>
      <c r="AO458" s="416">
        <v>106</v>
      </c>
      <c r="AP458" s="416">
        <v>94.8</v>
      </c>
      <c r="AQ458" s="416">
        <v>77</v>
      </c>
      <c r="AR458" s="416">
        <v>59.1</v>
      </c>
      <c r="AS458" s="416">
        <v>45.8</v>
      </c>
      <c r="AT458" s="416">
        <v>35.200000000000003</v>
      </c>
      <c r="AU458" s="416">
        <v>27</v>
      </c>
      <c r="AV458" s="416">
        <v>20.399999999999999</v>
      </c>
      <c r="AW458" s="416">
        <v>16</v>
      </c>
      <c r="AX458" s="416">
        <v>12.4</v>
      </c>
      <c r="AY458" s="416">
        <v>9.25</v>
      </c>
      <c r="AZ458" s="416">
        <v>6.77</v>
      </c>
    </row>
    <row r="459" spans="1:52" x14ac:dyDescent="0.25">
      <c r="A459" s="415" t="str">
        <f t="shared" si="7"/>
        <v>SA-403 Gr.348H</v>
      </c>
      <c r="B459" s="415">
        <v>454</v>
      </c>
      <c r="C459" s="415" t="s">
        <v>3324</v>
      </c>
      <c r="D459" s="415" t="s">
        <v>3414</v>
      </c>
      <c r="E459" s="415" t="s">
        <v>2229</v>
      </c>
      <c r="F459" s="415" t="s">
        <v>2282</v>
      </c>
      <c r="G459" s="415" t="s">
        <v>3325</v>
      </c>
      <c r="H459" s="415" t="s">
        <v>3384</v>
      </c>
      <c r="I459" s="415">
        <v>0</v>
      </c>
      <c r="J459" s="415">
        <v>8</v>
      </c>
      <c r="K459" s="415">
        <v>1</v>
      </c>
      <c r="L459" s="415">
        <v>24</v>
      </c>
      <c r="M459" s="415">
        <v>515</v>
      </c>
      <c r="N459" s="415">
        <v>205</v>
      </c>
      <c r="O459" s="415">
        <v>816</v>
      </c>
      <c r="P459" s="415" t="s">
        <v>3069</v>
      </c>
      <c r="Q459" s="415" t="s">
        <v>3631</v>
      </c>
      <c r="R459" s="415">
        <v>24</v>
      </c>
      <c r="S459" s="415">
        <v>117</v>
      </c>
      <c r="T459" s="416">
        <v>117</v>
      </c>
      <c r="U459" s="416">
        <v>117</v>
      </c>
      <c r="V459" s="416">
        <v>117</v>
      </c>
      <c r="W459" s="416">
        <v>117</v>
      </c>
      <c r="X459" s="416">
        <v>117</v>
      </c>
      <c r="Y459" s="416">
        <v>117</v>
      </c>
      <c r="Z459" s="416">
        <v>117</v>
      </c>
      <c r="AA459" s="416">
        <v>117</v>
      </c>
      <c r="AB459" s="416">
        <v>117</v>
      </c>
      <c r="AC459" s="416">
        <v>117</v>
      </c>
      <c r="AD459" s="416">
        <v>115</v>
      </c>
      <c r="AE459" s="416">
        <v>112</v>
      </c>
      <c r="AF459" s="416">
        <v>111</v>
      </c>
      <c r="AG459" s="416">
        <v>109</v>
      </c>
      <c r="AH459" s="416">
        <v>108</v>
      </c>
      <c r="AI459" s="416">
        <v>107</v>
      </c>
      <c r="AJ459" s="416">
        <v>107</v>
      </c>
      <c r="AK459" s="416">
        <v>106</v>
      </c>
      <c r="AL459" s="416">
        <v>24</v>
      </c>
      <c r="AM459" s="416">
        <v>106</v>
      </c>
      <c r="AN459" s="416">
        <v>106</v>
      </c>
      <c r="AO459" s="416">
        <v>106</v>
      </c>
      <c r="AP459" s="416">
        <v>94.8</v>
      </c>
      <c r="AQ459" s="416">
        <v>77</v>
      </c>
      <c r="AR459" s="416">
        <v>59.1</v>
      </c>
      <c r="AS459" s="416">
        <v>45.8</v>
      </c>
      <c r="AT459" s="416">
        <v>35.200000000000003</v>
      </c>
      <c r="AU459" s="416">
        <v>27</v>
      </c>
      <c r="AV459" s="416">
        <v>20.399999999999999</v>
      </c>
      <c r="AW459" s="416">
        <v>16</v>
      </c>
      <c r="AX459" s="416">
        <v>12.4</v>
      </c>
      <c r="AY459" s="416">
        <v>9.25</v>
      </c>
      <c r="AZ459" s="416">
        <v>6.77</v>
      </c>
    </row>
    <row r="460" spans="1:52" x14ac:dyDescent="0.25">
      <c r="A460" s="415" t="str">
        <f t="shared" si="7"/>
        <v>SA-312 Gr.TP321</v>
      </c>
      <c r="B460" s="415">
        <v>455</v>
      </c>
      <c r="C460" s="415" t="s">
        <v>3365</v>
      </c>
      <c r="D460" s="415" t="s">
        <v>2703</v>
      </c>
      <c r="E460" s="415" t="s">
        <v>2208</v>
      </c>
      <c r="F460" s="415" t="s">
        <v>2575</v>
      </c>
      <c r="G460" s="415" t="s">
        <v>3366</v>
      </c>
      <c r="H460" s="415">
        <v>0</v>
      </c>
      <c r="I460" s="415" t="s">
        <v>3634</v>
      </c>
      <c r="J460" s="415">
        <v>8</v>
      </c>
      <c r="K460" s="415">
        <v>1</v>
      </c>
      <c r="L460" s="415">
        <v>25</v>
      </c>
      <c r="M460" s="415">
        <v>485</v>
      </c>
      <c r="N460" s="415">
        <v>170</v>
      </c>
      <c r="O460" s="415">
        <v>816</v>
      </c>
      <c r="P460" s="415" t="s">
        <v>3069</v>
      </c>
      <c r="Q460" s="415" t="s">
        <v>3627</v>
      </c>
      <c r="R460" s="415">
        <v>25</v>
      </c>
      <c r="S460" s="415">
        <v>115</v>
      </c>
      <c r="T460" s="416">
        <v>115</v>
      </c>
      <c r="U460" s="416">
        <v>115</v>
      </c>
      <c r="V460" s="416">
        <v>115</v>
      </c>
      <c r="W460" s="416">
        <v>115</v>
      </c>
      <c r="X460" s="416">
        <v>115</v>
      </c>
      <c r="Y460" s="416">
        <v>115</v>
      </c>
      <c r="Z460" s="416">
        <v>115</v>
      </c>
      <c r="AA460" s="416">
        <v>115</v>
      </c>
      <c r="AB460" s="416">
        <v>112</v>
      </c>
      <c r="AC460" s="416">
        <v>109</v>
      </c>
      <c r="AD460" s="416">
        <v>107</v>
      </c>
      <c r="AE460" s="416">
        <v>104</v>
      </c>
      <c r="AF460" s="416">
        <v>102</v>
      </c>
      <c r="AG460" s="416">
        <v>100</v>
      </c>
      <c r="AH460" s="416">
        <v>98.8</v>
      </c>
      <c r="AI460" s="416">
        <v>97.5</v>
      </c>
      <c r="AJ460" s="416">
        <v>96.3</v>
      </c>
      <c r="AK460" s="416">
        <v>95.3</v>
      </c>
      <c r="AL460" s="416">
        <v>25</v>
      </c>
      <c r="AM460" s="416">
        <v>94.4</v>
      </c>
      <c r="AN460" s="416">
        <v>93.6</v>
      </c>
      <c r="AO460" s="416">
        <v>88.7</v>
      </c>
      <c r="AP460" s="416">
        <v>59.2</v>
      </c>
      <c r="AQ460" s="416">
        <v>44</v>
      </c>
      <c r="AR460" s="416">
        <v>32.9</v>
      </c>
      <c r="AS460" s="416">
        <v>24.5</v>
      </c>
      <c r="AT460" s="416">
        <v>18.3</v>
      </c>
      <c r="AU460" s="416">
        <v>12.5</v>
      </c>
      <c r="AV460" s="416">
        <v>8.49</v>
      </c>
      <c r="AW460" s="416">
        <v>6.19</v>
      </c>
      <c r="AX460" s="416">
        <v>4.28</v>
      </c>
      <c r="AY460" s="416">
        <v>2.75</v>
      </c>
      <c r="AZ460" s="416">
        <v>1.74</v>
      </c>
    </row>
    <row r="461" spans="1:52" x14ac:dyDescent="0.25">
      <c r="A461" s="415" t="str">
        <f t="shared" si="7"/>
        <v>SA-376 Gr.TP321</v>
      </c>
      <c r="B461" s="415">
        <v>456</v>
      </c>
      <c r="C461" s="415" t="s">
        <v>3365</v>
      </c>
      <c r="D461" s="415" t="s">
        <v>2703</v>
      </c>
      <c r="E461" s="415" t="s">
        <v>2225</v>
      </c>
      <c r="F461" s="415" t="s">
        <v>2575</v>
      </c>
      <c r="G461" s="415" t="s">
        <v>3366</v>
      </c>
      <c r="H461" s="415">
        <v>0</v>
      </c>
      <c r="I461" s="415" t="s">
        <v>3634</v>
      </c>
      <c r="J461" s="415">
        <v>8</v>
      </c>
      <c r="K461" s="415">
        <v>1</v>
      </c>
      <c r="L461" s="415">
        <v>26</v>
      </c>
      <c r="M461" s="415">
        <v>480</v>
      </c>
      <c r="N461" s="415">
        <v>170</v>
      </c>
      <c r="O461" s="415">
        <v>816</v>
      </c>
      <c r="P461" s="415" t="s">
        <v>3069</v>
      </c>
      <c r="Q461" s="415" t="s">
        <v>3629</v>
      </c>
      <c r="R461" s="415">
        <v>26</v>
      </c>
      <c r="S461" s="415">
        <v>115</v>
      </c>
      <c r="T461" s="416">
        <v>115</v>
      </c>
      <c r="U461" s="416">
        <v>115</v>
      </c>
      <c r="V461" s="416">
        <v>115</v>
      </c>
      <c r="W461" s="416">
        <v>115</v>
      </c>
      <c r="X461" s="416">
        <v>115</v>
      </c>
      <c r="Y461" s="416">
        <v>115</v>
      </c>
      <c r="Z461" s="416">
        <v>115</v>
      </c>
      <c r="AA461" s="416">
        <v>115</v>
      </c>
      <c r="AB461" s="416">
        <v>112</v>
      </c>
      <c r="AC461" s="416">
        <v>109</v>
      </c>
      <c r="AD461" s="416">
        <v>107</v>
      </c>
      <c r="AE461" s="416">
        <v>104</v>
      </c>
      <c r="AF461" s="416">
        <v>102</v>
      </c>
      <c r="AG461" s="416">
        <v>100</v>
      </c>
      <c r="AH461" s="416">
        <v>98.8</v>
      </c>
      <c r="AI461" s="416">
        <v>97.5</v>
      </c>
      <c r="AJ461" s="416">
        <v>96.3</v>
      </c>
      <c r="AK461" s="416">
        <v>95.3</v>
      </c>
      <c r="AL461" s="416">
        <v>26</v>
      </c>
      <c r="AM461" s="416">
        <v>94.4</v>
      </c>
      <c r="AN461" s="416">
        <v>93.6</v>
      </c>
      <c r="AO461" s="416">
        <v>88.7</v>
      </c>
      <c r="AP461" s="416">
        <v>59.2</v>
      </c>
      <c r="AQ461" s="416">
        <v>44</v>
      </c>
      <c r="AR461" s="416">
        <v>32.9</v>
      </c>
      <c r="AS461" s="416">
        <v>24.5</v>
      </c>
      <c r="AT461" s="416">
        <v>18.3</v>
      </c>
      <c r="AU461" s="416">
        <v>12.5</v>
      </c>
      <c r="AV461" s="416">
        <v>8.49</v>
      </c>
      <c r="AW461" s="416">
        <v>6.19</v>
      </c>
      <c r="AX461" s="416">
        <v>4.28</v>
      </c>
      <c r="AY461" s="416">
        <v>2.75</v>
      </c>
      <c r="AZ461" s="416">
        <v>1.74</v>
      </c>
    </row>
    <row r="462" spans="1:52" x14ac:dyDescent="0.25">
      <c r="A462" s="415" t="str">
        <f t="shared" si="7"/>
        <v>SA-312 Gr.TP321H</v>
      </c>
      <c r="B462" s="415">
        <v>457</v>
      </c>
      <c r="C462" s="415" t="s">
        <v>3365</v>
      </c>
      <c r="D462" s="415" t="s">
        <v>2703</v>
      </c>
      <c r="E462" s="415" t="s">
        <v>2208</v>
      </c>
      <c r="F462" s="415" t="s">
        <v>2576</v>
      </c>
      <c r="G462" s="415" t="s">
        <v>3368</v>
      </c>
      <c r="H462" s="415">
        <v>0</v>
      </c>
      <c r="I462" s="415" t="s">
        <v>3616</v>
      </c>
      <c r="J462" s="415">
        <v>8</v>
      </c>
      <c r="K462" s="415">
        <v>1</v>
      </c>
      <c r="L462" s="415">
        <v>27</v>
      </c>
      <c r="M462" s="415">
        <v>515</v>
      </c>
      <c r="N462" s="415">
        <v>205</v>
      </c>
      <c r="O462" s="415">
        <v>816</v>
      </c>
      <c r="P462" s="415" t="s">
        <v>3069</v>
      </c>
      <c r="Q462" s="415" t="s">
        <v>3607</v>
      </c>
      <c r="R462" s="415">
        <v>27</v>
      </c>
      <c r="S462" s="415">
        <v>115</v>
      </c>
      <c r="T462" s="416">
        <v>115</v>
      </c>
      <c r="U462" s="416">
        <v>115</v>
      </c>
      <c r="V462" s="416">
        <v>115</v>
      </c>
      <c r="W462" s="416">
        <v>115</v>
      </c>
      <c r="X462" s="416">
        <v>115</v>
      </c>
      <c r="Y462" s="416">
        <v>115</v>
      </c>
      <c r="Z462" s="416">
        <v>115</v>
      </c>
      <c r="AA462" s="416">
        <v>115</v>
      </c>
      <c r="AB462" s="416">
        <v>112</v>
      </c>
      <c r="AC462" s="416">
        <v>109</v>
      </c>
      <c r="AD462" s="416">
        <v>107</v>
      </c>
      <c r="AE462" s="416">
        <v>104</v>
      </c>
      <c r="AF462" s="416">
        <v>102</v>
      </c>
      <c r="AG462" s="416">
        <v>100</v>
      </c>
      <c r="AH462" s="416">
        <v>98.8</v>
      </c>
      <c r="AI462" s="416">
        <v>97.5</v>
      </c>
      <c r="AJ462" s="416">
        <v>96.3</v>
      </c>
      <c r="AK462" s="416">
        <v>95.3</v>
      </c>
      <c r="AL462" s="416">
        <v>27</v>
      </c>
      <c r="AM462" s="416">
        <v>94.4</v>
      </c>
      <c r="AN462" s="416">
        <v>93.6</v>
      </c>
      <c r="AO462" s="416">
        <v>92.7</v>
      </c>
      <c r="AP462" s="416">
        <v>76.5</v>
      </c>
      <c r="AQ462" s="416">
        <v>58.7</v>
      </c>
      <c r="AR462" s="416">
        <v>46</v>
      </c>
      <c r="AS462" s="416">
        <v>36.799999999999997</v>
      </c>
      <c r="AT462" s="416">
        <v>28.7</v>
      </c>
      <c r="AU462" s="416">
        <v>23</v>
      </c>
      <c r="AV462" s="416">
        <v>18.399999999999999</v>
      </c>
      <c r="AW462" s="416">
        <v>14.5</v>
      </c>
      <c r="AX462" s="416">
        <v>11.5</v>
      </c>
      <c r="AY462" s="416">
        <v>9.02</v>
      </c>
      <c r="AZ462" s="416">
        <v>6.83</v>
      </c>
    </row>
    <row r="463" spans="1:52" x14ac:dyDescent="0.25">
      <c r="A463" s="415" t="str">
        <f t="shared" si="7"/>
        <v>SA-376 Gr.TP321H</v>
      </c>
      <c r="B463" s="415">
        <v>458</v>
      </c>
      <c r="C463" s="415" t="s">
        <v>3365</v>
      </c>
      <c r="D463" s="415" t="s">
        <v>2703</v>
      </c>
      <c r="E463" s="415" t="s">
        <v>2225</v>
      </c>
      <c r="F463" s="415" t="s">
        <v>2576</v>
      </c>
      <c r="G463" s="415" t="s">
        <v>3368</v>
      </c>
      <c r="H463" s="415">
        <v>0</v>
      </c>
      <c r="I463" s="415" t="s">
        <v>3634</v>
      </c>
      <c r="J463" s="415">
        <v>8</v>
      </c>
      <c r="K463" s="415">
        <v>1</v>
      </c>
      <c r="L463" s="415">
        <v>28</v>
      </c>
      <c r="M463" s="415">
        <v>480</v>
      </c>
      <c r="N463" s="415">
        <v>170</v>
      </c>
      <c r="O463" s="415">
        <v>816</v>
      </c>
      <c r="P463" s="415" t="s">
        <v>3069</v>
      </c>
      <c r="Q463" s="415" t="s">
        <v>3628</v>
      </c>
      <c r="R463" s="415">
        <v>28</v>
      </c>
      <c r="S463" s="415">
        <v>115</v>
      </c>
      <c r="T463" s="416">
        <v>115</v>
      </c>
      <c r="U463" s="416">
        <v>115</v>
      </c>
      <c r="V463" s="416">
        <v>115</v>
      </c>
      <c r="W463" s="416">
        <v>115</v>
      </c>
      <c r="X463" s="416">
        <v>115</v>
      </c>
      <c r="Y463" s="416">
        <v>115</v>
      </c>
      <c r="Z463" s="416">
        <v>115</v>
      </c>
      <c r="AA463" s="416">
        <v>115</v>
      </c>
      <c r="AB463" s="416">
        <v>112</v>
      </c>
      <c r="AC463" s="416">
        <v>109</v>
      </c>
      <c r="AD463" s="416">
        <v>107</v>
      </c>
      <c r="AE463" s="416">
        <v>104</v>
      </c>
      <c r="AF463" s="416">
        <v>102</v>
      </c>
      <c r="AG463" s="416">
        <v>100</v>
      </c>
      <c r="AH463" s="416">
        <v>98.8</v>
      </c>
      <c r="AI463" s="416">
        <v>97.5</v>
      </c>
      <c r="AJ463" s="416">
        <v>96.3</v>
      </c>
      <c r="AK463" s="416">
        <v>95.3</v>
      </c>
      <c r="AL463" s="416">
        <v>28</v>
      </c>
      <c r="AM463" s="416">
        <v>94.4</v>
      </c>
      <c r="AN463" s="416">
        <v>93.6</v>
      </c>
      <c r="AO463" s="416">
        <v>92.7</v>
      </c>
      <c r="AP463" s="416">
        <v>76.5</v>
      </c>
      <c r="AQ463" s="416">
        <v>58.7</v>
      </c>
      <c r="AR463" s="416">
        <v>46</v>
      </c>
      <c r="AS463" s="416">
        <v>36.799999999999997</v>
      </c>
      <c r="AT463" s="416">
        <v>28.7</v>
      </c>
      <c r="AU463" s="416">
        <v>23</v>
      </c>
      <c r="AV463" s="416">
        <v>18.399999999999999</v>
      </c>
      <c r="AW463" s="416">
        <v>14.5</v>
      </c>
      <c r="AX463" s="416">
        <v>11.5</v>
      </c>
      <c r="AY463" s="416">
        <v>9.02</v>
      </c>
      <c r="AZ463" s="416">
        <v>6.83</v>
      </c>
    </row>
    <row r="464" spans="1:52" x14ac:dyDescent="0.25">
      <c r="A464" s="415" t="str">
        <f t="shared" si="7"/>
        <v>SA-182 Gr.F321</v>
      </c>
      <c r="B464" s="415">
        <v>459</v>
      </c>
      <c r="C464" s="415" t="s">
        <v>3365</v>
      </c>
      <c r="D464" s="415" t="s">
        <v>2737</v>
      </c>
      <c r="E464" s="415" t="s">
        <v>2188</v>
      </c>
      <c r="F464" s="415" t="s">
        <v>2445</v>
      </c>
      <c r="G464" s="415" t="s">
        <v>3366</v>
      </c>
      <c r="H464" s="415">
        <v>0</v>
      </c>
      <c r="I464" s="415" t="s">
        <v>3603</v>
      </c>
      <c r="J464" s="415">
        <v>8</v>
      </c>
      <c r="K464" s="415">
        <v>1</v>
      </c>
      <c r="L464" s="415">
        <v>29</v>
      </c>
      <c r="M464" s="415">
        <v>485</v>
      </c>
      <c r="N464" s="415">
        <v>205</v>
      </c>
      <c r="O464" s="415">
        <v>816</v>
      </c>
      <c r="P464" s="415" t="s">
        <v>3069</v>
      </c>
      <c r="Q464" s="415" t="s">
        <v>3627</v>
      </c>
      <c r="R464" s="415">
        <v>29</v>
      </c>
      <c r="S464" s="415">
        <v>138</v>
      </c>
      <c r="T464" s="416">
        <v>138</v>
      </c>
      <c r="U464" s="416">
        <v>138</v>
      </c>
      <c r="V464" s="416">
        <v>138</v>
      </c>
      <c r="W464" s="416">
        <v>138</v>
      </c>
      <c r="X464" s="416">
        <v>138</v>
      </c>
      <c r="Y464" s="416">
        <v>138</v>
      </c>
      <c r="Z464" s="416">
        <v>138</v>
      </c>
      <c r="AA464" s="416">
        <v>138</v>
      </c>
      <c r="AB464" s="416">
        <v>135</v>
      </c>
      <c r="AC464" s="416">
        <v>131</v>
      </c>
      <c r="AD464" s="416">
        <v>128</v>
      </c>
      <c r="AE464" s="416">
        <v>125</v>
      </c>
      <c r="AF464" s="416">
        <v>123</v>
      </c>
      <c r="AG464" s="416">
        <v>120</v>
      </c>
      <c r="AH464" s="416">
        <v>119</v>
      </c>
      <c r="AI464" s="416">
        <v>117</v>
      </c>
      <c r="AJ464" s="416">
        <v>116</v>
      </c>
      <c r="AK464" s="416">
        <v>114</v>
      </c>
      <c r="AL464" s="416">
        <v>29</v>
      </c>
      <c r="AM464" s="416">
        <v>113</v>
      </c>
      <c r="AN464" s="416">
        <v>112</v>
      </c>
      <c r="AO464" s="416">
        <v>88.7</v>
      </c>
      <c r="AP464" s="416">
        <v>59.2</v>
      </c>
      <c r="AQ464" s="416">
        <v>44</v>
      </c>
      <c r="AR464" s="416">
        <v>32.9</v>
      </c>
      <c r="AS464" s="416">
        <v>24.5</v>
      </c>
      <c r="AT464" s="416">
        <v>18.3</v>
      </c>
      <c r="AU464" s="416">
        <v>12.5</v>
      </c>
      <c r="AV464" s="416">
        <v>8.49</v>
      </c>
      <c r="AW464" s="416">
        <v>6.19</v>
      </c>
      <c r="AX464" s="416">
        <v>4.28</v>
      </c>
      <c r="AY464" s="416">
        <v>2.75</v>
      </c>
      <c r="AZ464" s="416">
        <v>1.74</v>
      </c>
    </row>
    <row r="465" spans="1:52" x14ac:dyDescent="0.25">
      <c r="A465" s="415" t="str">
        <f t="shared" si="7"/>
        <v>SA-965 Gr.F321</v>
      </c>
      <c r="B465" s="415">
        <v>460</v>
      </c>
      <c r="C465" s="415" t="s">
        <v>3365</v>
      </c>
      <c r="D465" s="415" t="s">
        <v>2737</v>
      </c>
      <c r="E465" s="415" t="s">
        <v>2337</v>
      </c>
      <c r="F465" s="415" t="s">
        <v>2445</v>
      </c>
      <c r="G465" s="415" t="s">
        <v>3366</v>
      </c>
      <c r="H465" s="415">
        <v>0</v>
      </c>
      <c r="I465" s="415">
        <v>0</v>
      </c>
      <c r="J465" s="415">
        <v>8</v>
      </c>
      <c r="K465" s="415">
        <v>1</v>
      </c>
      <c r="L465" s="415">
        <v>30</v>
      </c>
      <c r="M465" s="415">
        <v>485</v>
      </c>
      <c r="N465" s="415">
        <v>205</v>
      </c>
      <c r="O465" s="415">
        <v>816</v>
      </c>
      <c r="P465" s="415" t="s">
        <v>3069</v>
      </c>
      <c r="Q465" s="415" t="s">
        <v>3627</v>
      </c>
      <c r="R465" s="415">
        <v>30</v>
      </c>
      <c r="S465" s="415">
        <v>138</v>
      </c>
      <c r="T465" s="416">
        <v>138</v>
      </c>
      <c r="U465" s="416">
        <v>138</v>
      </c>
      <c r="V465" s="416">
        <v>138</v>
      </c>
      <c r="W465" s="416">
        <v>138</v>
      </c>
      <c r="X465" s="416">
        <v>138</v>
      </c>
      <c r="Y465" s="416">
        <v>138</v>
      </c>
      <c r="Z465" s="416">
        <v>138</v>
      </c>
      <c r="AA465" s="416">
        <v>138</v>
      </c>
      <c r="AB465" s="416">
        <v>135</v>
      </c>
      <c r="AC465" s="416">
        <v>131</v>
      </c>
      <c r="AD465" s="416">
        <v>128</v>
      </c>
      <c r="AE465" s="416">
        <v>125</v>
      </c>
      <c r="AF465" s="416">
        <v>123</v>
      </c>
      <c r="AG465" s="416">
        <v>120</v>
      </c>
      <c r="AH465" s="416">
        <v>119</v>
      </c>
      <c r="AI465" s="416">
        <v>117</v>
      </c>
      <c r="AJ465" s="416">
        <v>116</v>
      </c>
      <c r="AK465" s="416">
        <v>114</v>
      </c>
      <c r="AL465" s="416">
        <v>30</v>
      </c>
      <c r="AM465" s="416">
        <v>113</v>
      </c>
      <c r="AN465" s="416">
        <v>112</v>
      </c>
      <c r="AO465" s="416">
        <v>88.7</v>
      </c>
      <c r="AP465" s="416">
        <v>59.2</v>
      </c>
      <c r="AQ465" s="416">
        <v>44</v>
      </c>
      <c r="AR465" s="416">
        <v>32.9</v>
      </c>
      <c r="AS465" s="416">
        <v>24.5</v>
      </c>
      <c r="AT465" s="416">
        <v>18.3</v>
      </c>
      <c r="AU465" s="416">
        <v>12.5</v>
      </c>
      <c r="AV465" s="416">
        <v>8.49</v>
      </c>
      <c r="AW465" s="416">
        <v>6.19</v>
      </c>
      <c r="AX465" s="416">
        <v>4.28</v>
      </c>
      <c r="AY465" s="416">
        <v>2.75</v>
      </c>
      <c r="AZ465" s="416">
        <v>1.74</v>
      </c>
    </row>
    <row r="466" spans="1:52" x14ac:dyDescent="0.25">
      <c r="A466" s="415" t="str">
        <f t="shared" si="7"/>
        <v>SA-182 Gr.F321H</v>
      </c>
      <c r="B466" s="415">
        <v>461</v>
      </c>
      <c r="C466" s="415" t="s">
        <v>3365</v>
      </c>
      <c r="D466" s="415" t="s">
        <v>2737</v>
      </c>
      <c r="E466" s="415" t="s">
        <v>2188</v>
      </c>
      <c r="F466" s="415" t="s">
        <v>2446</v>
      </c>
      <c r="G466" s="415" t="s">
        <v>3368</v>
      </c>
      <c r="H466" s="415">
        <v>0</v>
      </c>
      <c r="I466" s="415" t="s">
        <v>3603</v>
      </c>
      <c r="J466" s="415">
        <v>8</v>
      </c>
      <c r="K466" s="415">
        <v>1</v>
      </c>
      <c r="L466" s="415">
        <v>31</v>
      </c>
      <c r="M466" s="415">
        <v>485</v>
      </c>
      <c r="N466" s="415">
        <v>205</v>
      </c>
      <c r="O466" s="415">
        <v>816</v>
      </c>
      <c r="P466" s="415" t="s">
        <v>3069</v>
      </c>
      <c r="Q466" s="415" t="s">
        <v>3633</v>
      </c>
      <c r="R466" s="415">
        <v>31</v>
      </c>
      <c r="S466" s="415">
        <v>138</v>
      </c>
      <c r="T466" s="416">
        <v>138</v>
      </c>
      <c r="U466" s="416">
        <v>138</v>
      </c>
      <c r="V466" s="416">
        <v>138</v>
      </c>
      <c r="W466" s="416">
        <v>138</v>
      </c>
      <c r="X466" s="416">
        <v>138</v>
      </c>
      <c r="Y466" s="416">
        <v>138</v>
      </c>
      <c r="Z466" s="416">
        <v>138</v>
      </c>
      <c r="AA466" s="416">
        <v>138</v>
      </c>
      <c r="AB466" s="416">
        <v>135</v>
      </c>
      <c r="AC466" s="416">
        <v>131</v>
      </c>
      <c r="AD466" s="416">
        <v>128</v>
      </c>
      <c r="AE466" s="416">
        <v>125</v>
      </c>
      <c r="AF466" s="416">
        <v>123</v>
      </c>
      <c r="AG466" s="416">
        <v>120</v>
      </c>
      <c r="AH466" s="416">
        <v>119</v>
      </c>
      <c r="AI466" s="416">
        <v>117</v>
      </c>
      <c r="AJ466" s="416">
        <v>116</v>
      </c>
      <c r="AK466" s="416">
        <v>114</v>
      </c>
      <c r="AL466" s="416">
        <v>31</v>
      </c>
      <c r="AM466" s="416">
        <v>113</v>
      </c>
      <c r="AN466" s="416">
        <v>112</v>
      </c>
      <c r="AO466" s="416">
        <v>100</v>
      </c>
      <c r="AP466" s="416">
        <v>76.5</v>
      </c>
      <c r="AQ466" s="416">
        <v>58.7</v>
      </c>
      <c r="AR466" s="416">
        <v>46</v>
      </c>
      <c r="AS466" s="416">
        <v>36.799999999999997</v>
      </c>
      <c r="AT466" s="416">
        <v>28.7</v>
      </c>
      <c r="AU466" s="416">
        <v>23</v>
      </c>
      <c r="AV466" s="416">
        <v>18.399999999999999</v>
      </c>
      <c r="AW466" s="416">
        <v>14.5</v>
      </c>
      <c r="AX466" s="416">
        <v>11.5</v>
      </c>
      <c r="AY466" s="416">
        <v>9.02</v>
      </c>
      <c r="AZ466" s="416">
        <v>6.83</v>
      </c>
    </row>
    <row r="467" spans="1:52" x14ac:dyDescent="0.25">
      <c r="A467" s="415" t="str">
        <f t="shared" si="7"/>
        <v>SA-965 Gr.F321H</v>
      </c>
      <c r="B467" s="415">
        <v>462</v>
      </c>
      <c r="C467" s="415" t="s">
        <v>3365</v>
      </c>
      <c r="D467" s="415" t="s">
        <v>2737</v>
      </c>
      <c r="E467" s="415" t="s">
        <v>2337</v>
      </c>
      <c r="F467" s="415" t="s">
        <v>2446</v>
      </c>
      <c r="G467" s="415" t="s">
        <v>3368</v>
      </c>
      <c r="H467" s="415">
        <v>0</v>
      </c>
      <c r="I467" s="415">
        <v>0</v>
      </c>
      <c r="J467" s="415">
        <v>8</v>
      </c>
      <c r="K467" s="415">
        <v>1</v>
      </c>
      <c r="L467" s="415">
        <v>32</v>
      </c>
      <c r="M467" s="415">
        <v>485</v>
      </c>
      <c r="N467" s="415">
        <v>205</v>
      </c>
      <c r="O467" s="415">
        <v>816</v>
      </c>
      <c r="P467" s="415" t="s">
        <v>3069</v>
      </c>
      <c r="Q467" s="415" t="s">
        <v>3635</v>
      </c>
      <c r="R467" s="415">
        <v>32</v>
      </c>
      <c r="S467" s="415">
        <v>138</v>
      </c>
      <c r="T467" s="416">
        <v>138</v>
      </c>
      <c r="U467" s="416">
        <v>138</v>
      </c>
      <c r="V467" s="416">
        <v>138</v>
      </c>
      <c r="W467" s="416">
        <v>138</v>
      </c>
      <c r="X467" s="416">
        <v>138</v>
      </c>
      <c r="Y467" s="416">
        <v>138</v>
      </c>
      <c r="Z467" s="416">
        <v>138</v>
      </c>
      <c r="AA467" s="416">
        <v>138</v>
      </c>
      <c r="AB467" s="416">
        <v>135</v>
      </c>
      <c r="AC467" s="416">
        <v>131</v>
      </c>
      <c r="AD467" s="416">
        <v>128</v>
      </c>
      <c r="AE467" s="416">
        <v>125</v>
      </c>
      <c r="AF467" s="416">
        <v>123</v>
      </c>
      <c r="AG467" s="416">
        <v>120</v>
      </c>
      <c r="AH467" s="416">
        <v>119</v>
      </c>
      <c r="AI467" s="416">
        <v>117</v>
      </c>
      <c r="AJ467" s="416">
        <v>116</v>
      </c>
      <c r="AK467" s="416">
        <v>114</v>
      </c>
      <c r="AL467" s="416">
        <v>32</v>
      </c>
      <c r="AM467" s="416">
        <v>113</v>
      </c>
      <c r="AN467" s="416">
        <v>112</v>
      </c>
      <c r="AO467" s="416">
        <v>100</v>
      </c>
      <c r="AP467" s="416">
        <v>76.5</v>
      </c>
      <c r="AQ467" s="416">
        <v>58.7</v>
      </c>
      <c r="AR467" s="416">
        <v>46</v>
      </c>
      <c r="AS467" s="416">
        <v>36.799999999999997</v>
      </c>
      <c r="AT467" s="416">
        <v>28.7</v>
      </c>
      <c r="AU467" s="416">
        <v>23</v>
      </c>
      <c r="AV467" s="416">
        <v>18.399999999999999</v>
      </c>
      <c r="AW467" s="416">
        <v>14.5</v>
      </c>
      <c r="AX467" s="416">
        <v>11.5</v>
      </c>
      <c r="AY467" s="416">
        <v>9.02</v>
      </c>
      <c r="AZ467" s="416">
        <v>6.83</v>
      </c>
    </row>
    <row r="468" spans="1:52" x14ac:dyDescent="0.25">
      <c r="A468" s="415" t="str">
        <f t="shared" si="7"/>
        <v>SA-182 Gr.F321</v>
      </c>
      <c r="B468" s="415">
        <v>463</v>
      </c>
      <c r="C468" s="415" t="s">
        <v>3365</v>
      </c>
      <c r="D468" s="415" t="s">
        <v>2737</v>
      </c>
      <c r="E468" s="415" t="s">
        <v>2188</v>
      </c>
      <c r="F468" s="415" t="s">
        <v>2445</v>
      </c>
      <c r="G468" s="415" t="s">
        <v>3366</v>
      </c>
      <c r="H468" s="415">
        <v>0</v>
      </c>
      <c r="I468" s="415" t="s">
        <v>3604</v>
      </c>
      <c r="J468" s="415">
        <v>8</v>
      </c>
      <c r="K468" s="415">
        <v>1</v>
      </c>
      <c r="L468" s="415">
        <v>33</v>
      </c>
      <c r="M468" s="415">
        <v>515</v>
      </c>
      <c r="N468" s="415">
        <v>205</v>
      </c>
      <c r="O468" s="415">
        <v>816</v>
      </c>
      <c r="P468" s="415" t="s">
        <v>3069</v>
      </c>
      <c r="Q468" s="415" t="s">
        <v>3627</v>
      </c>
      <c r="R468" s="415">
        <v>33</v>
      </c>
      <c r="S468" s="415">
        <v>138</v>
      </c>
      <c r="T468" s="416">
        <v>138</v>
      </c>
      <c r="U468" s="416">
        <v>138</v>
      </c>
      <c r="V468" s="416">
        <v>138</v>
      </c>
      <c r="W468" s="416">
        <v>138</v>
      </c>
      <c r="X468" s="416">
        <v>138</v>
      </c>
      <c r="Y468" s="416">
        <v>138</v>
      </c>
      <c r="Z468" s="416">
        <v>138</v>
      </c>
      <c r="AA468" s="416">
        <v>138</v>
      </c>
      <c r="AB468" s="416">
        <v>135</v>
      </c>
      <c r="AC468" s="416">
        <v>131</v>
      </c>
      <c r="AD468" s="416">
        <v>128</v>
      </c>
      <c r="AE468" s="416">
        <v>125</v>
      </c>
      <c r="AF468" s="416">
        <v>123</v>
      </c>
      <c r="AG468" s="416">
        <v>120</v>
      </c>
      <c r="AH468" s="416">
        <v>119</v>
      </c>
      <c r="AI468" s="416">
        <v>117</v>
      </c>
      <c r="AJ468" s="416">
        <v>116</v>
      </c>
      <c r="AK468" s="416">
        <v>114</v>
      </c>
      <c r="AL468" s="416">
        <v>33</v>
      </c>
      <c r="AM468" s="416">
        <v>113</v>
      </c>
      <c r="AN468" s="416">
        <v>112</v>
      </c>
      <c r="AO468" s="416">
        <v>88.7</v>
      </c>
      <c r="AP468" s="416">
        <v>59.2</v>
      </c>
      <c r="AQ468" s="416">
        <v>44</v>
      </c>
      <c r="AR468" s="416">
        <v>32.9</v>
      </c>
      <c r="AS468" s="416">
        <v>24.5</v>
      </c>
      <c r="AT468" s="416">
        <v>18.3</v>
      </c>
      <c r="AU468" s="416">
        <v>12.5</v>
      </c>
      <c r="AV468" s="416">
        <v>8.49</v>
      </c>
      <c r="AW468" s="416">
        <v>6.19</v>
      </c>
      <c r="AX468" s="416">
        <v>4.28</v>
      </c>
      <c r="AY468" s="416">
        <v>2.75</v>
      </c>
      <c r="AZ468" s="416">
        <v>1.74</v>
      </c>
    </row>
    <row r="469" spans="1:52" x14ac:dyDescent="0.25">
      <c r="A469" s="415" t="str">
        <f t="shared" si="7"/>
        <v>SA-213 Gr.TP321</v>
      </c>
      <c r="B469" s="415">
        <v>464</v>
      </c>
      <c r="C469" s="415" t="s">
        <v>3365</v>
      </c>
      <c r="D469" s="415" t="s">
        <v>2693</v>
      </c>
      <c r="E469" s="415" t="s">
        <v>2195</v>
      </c>
      <c r="F469" s="415" t="s">
        <v>2575</v>
      </c>
      <c r="G469" s="415" t="s">
        <v>3366</v>
      </c>
      <c r="H469" s="415">
        <v>0</v>
      </c>
      <c r="I469" s="415">
        <v>0</v>
      </c>
      <c r="J469" s="415">
        <v>8</v>
      </c>
      <c r="K469" s="415">
        <v>1</v>
      </c>
      <c r="L469" s="415">
        <v>34</v>
      </c>
      <c r="M469" s="415">
        <v>515</v>
      </c>
      <c r="N469" s="415">
        <v>205</v>
      </c>
      <c r="O469" s="415">
        <v>816</v>
      </c>
      <c r="P469" s="415" t="s">
        <v>3069</v>
      </c>
      <c r="Q469" s="415" t="s">
        <v>3627</v>
      </c>
      <c r="R469" s="415">
        <v>34</v>
      </c>
      <c r="S469" s="415">
        <v>138</v>
      </c>
      <c r="T469" s="416">
        <v>138</v>
      </c>
      <c r="U469" s="416">
        <v>138</v>
      </c>
      <c r="V469" s="416">
        <v>138</v>
      </c>
      <c r="W469" s="416">
        <v>138</v>
      </c>
      <c r="X469" s="416">
        <v>138</v>
      </c>
      <c r="Y469" s="416">
        <v>138</v>
      </c>
      <c r="Z469" s="416">
        <v>138</v>
      </c>
      <c r="AA469" s="416">
        <v>138</v>
      </c>
      <c r="AB469" s="416">
        <v>135</v>
      </c>
      <c r="AC469" s="416">
        <v>131</v>
      </c>
      <c r="AD469" s="416">
        <v>128</v>
      </c>
      <c r="AE469" s="416">
        <v>125</v>
      </c>
      <c r="AF469" s="416">
        <v>123</v>
      </c>
      <c r="AG469" s="416">
        <v>120</v>
      </c>
      <c r="AH469" s="416">
        <v>119</v>
      </c>
      <c r="AI469" s="416">
        <v>117</v>
      </c>
      <c r="AJ469" s="416">
        <v>116</v>
      </c>
      <c r="AK469" s="416">
        <v>114</v>
      </c>
      <c r="AL469" s="416">
        <v>34</v>
      </c>
      <c r="AM469" s="416">
        <v>113</v>
      </c>
      <c r="AN469" s="416">
        <v>112</v>
      </c>
      <c r="AO469" s="416">
        <v>88.7</v>
      </c>
      <c r="AP469" s="416">
        <v>59.2</v>
      </c>
      <c r="AQ469" s="416">
        <v>44</v>
      </c>
      <c r="AR469" s="416">
        <v>32.9</v>
      </c>
      <c r="AS469" s="416">
        <v>24.5</v>
      </c>
      <c r="AT469" s="416">
        <v>18.3</v>
      </c>
      <c r="AU469" s="416">
        <v>12.5</v>
      </c>
      <c r="AV469" s="416">
        <v>8.49</v>
      </c>
      <c r="AW469" s="416">
        <v>6.19</v>
      </c>
      <c r="AX469" s="416">
        <v>4.28</v>
      </c>
      <c r="AY469" s="416">
        <v>2.75</v>
      </c>
      <c r="AZ469" s="416">
        <v>1.74</v>
      </c>
    </row>
    <row r="470" spans="1:52" x14ac:dyDescent="0.25">
      <c r="A470" s="415" t="str">
        <f t="shared" si="7"/>
        <v>SA-240 Gr.321</v>
      </c>
      <c r="B470" s="415">
        <v>465</v>
      </c>
      <c r="C470" s="415" t="s">
        <v>3365</v>
      </c>
      <c r="D470" s="415" t="s">
        <v>2684</v>
      </c>
      <c r="E470" s="415" t="s">
        <v>2165</v>
      </c>
      <c r="F470" s="415">
        <v>321</v>
      </c>
      <c r="G470" s="415" t="s">
        <v>3366</v>
      </c>
      <c r="H470" s="415">
        <v>0</v>
      </c>
      <c r="I470" s="415">
        <v>0</v>
      </c>
      <c r="J470" s="415">
        <v>8</v>
      </c>
      <c r="K470" s="415">
        <v>1</v>
      </c>
      <c r="L470" s="415">
        <v>35</v>
      </c>
      <c r="M470" s="415">
        <v>515</v>
      </c>
      <c r="N470" s="415">
        <v>205</v>
      </c>
      <c r="O470" s="415">
        <v>816</v>
      </c>
      <c r="P470" s="415" t="s">
        <v>3069</v>
      </c>
      <c r="Q470" s="415" t="s">
        <v>3627</v>
      </c>
      <c r="R470" s="415">
        <v>35</v>
      </c>
      <c r="S470" s="415">
        <v>138</v>
      </c>
      <c r="T470" s="416">
        <v>138</v>
      </c>
      <c r="U470" s="416">
        <v>138</v>
      </c>
      <c r="V470" s="416">
        <v>138</v>
      </c>
      <c r="W470" s="416">
        <v>138</v>
      </c>
      <c r="X470" s="416">
        <v>138</v>
      </c>
      <c r="Y470" s="416">
        <v>138</v>
      </c>
      <c r="Z470" s="416">
        <v>138</v>
      </c>
      <c r="AA470" s="416">
        <v>138</v>
      </c>
      <c r="AB470" s="416">
        <v>135</v>
      </c>
      <c r="AC470" s="416">
        <v>131</v>
      </c>
      <c r="AD470" s="416">
        <v>128</v>
      </c>
      <c r="AE470" s="416">
        <v>125</v>
      </c>
      <c r="AF470" s="416">
        <v>123</v>
      </c>
      <c r="AG470" s="416">
        <v>120</v>
      </c>
      <c r="AH470" s="416">
        <v>119</v>
      </c>
      <c r="AI470" s="416">
        <v>117</v>
      </c>
      <c r="AJ470" s="416">
        <v>116</v>
      </c>
      <c r="AK470" s="416">
        <v>114</v>
      </c>
      <c r="AL470" s="416">
        <v>35</v>
      </c>
      <c r="AM470" s="416">
        <v>113</v>
      </c>
      <c r="AN470" s="416">
        <v>112</v>
      </c>
      <c r="AO470" s="416">
        <v>88.7</v>
      </c>
      <c r="AP470" s="416">
        <v>59.2</v>
      </c>
      <c r="AQ470" s="416">
        <v>44</v>
      </c>
      <c r="AR470" s="416">
        <v>32.9</v>
      </c>
      <c r="AS470" s="416">
        <v>24.5</v>
      </c>
      <c r="AT470" s="416">
        <v>18.3</v>
      </c>
      <c r="AU470" s="416">
        <v>12.5</v>
      </c>
      <c r="AV470" s="416">
        <v>8.49</v>
      </c>
      <c r="AW470" s="416">
        <v>6.19</v>
      </c>
      <c r="AX470" s="416">
        <v>4.28</v>
      </c>
      <c r="AY470" s="416">
        <v>2.75</v>
      </c>
      <c r="AZ470" s="416">
        <v>1.74</v>
      </c>
    </row>
    <row r="471" spans="1:52" x14ac:dyDescent="0.25">
      <c r="A471" s="415" t="str">
        <f t="shared" si="7"/>
        <v>SA-249 Gr.TP321</v>
      </c>
      <c r="B471" s="415">
        <v>466</v>
      </c>
      <c r="C471" s="415" t="s">
        <v>3365</v>
      </c>
      <c r="D471" s="415" t="s">
        <v>2689</v>
      </c>
      <c r="E471" s="415" t="s">
        <v>2200</v>
      </c>
      <c r="F471" s="415" t="s">
        <v>2575</v>
      </c>
      <c r="G471" s="415" t="s">
        <v>3366</v>
      </c>
      <c r="H471" s="415">
        <v>0</v>
      </c>
      <c r="I471" s="415">
        <v>0</v>
      </c>
      <c r="J471" s="415">
        <v>8</v>
      </c>
      <c r="K471" s="415">
        <v>1</v>
      </c>
      <c r="L471" s="415">
        <v>36</v>
      </c>
      <c r="M471" s="415">
        <v>515</v>
      </c>
      <c r="N471" s="415">
        <v>205</v>
      </c>
      <c r="O471" s="415">
        <v>816</v>
      </c>
      <c r="P471" s="415" t="s">
        <v>3069</v>
      </c>
      <c r="Q471" s="415" t="s">
        <v>3630</v>
      </c>
      <c r="R471" s="415">
        <v>36</v>
      </c>
      <c r="S471" s="415">
        <v>117</v>
      </c>
      <c r="T471" s="416">
        <v>117</v>
      </c>
      <c r="U471" s="416">
        <v>117</v>
      </c>
      <c r="V471" s="416">
        <v>117</v>
      </c>
      <c r="W471" s="416">
        <v>117</v>
      </c>
      <c r="X471" s="416">
        <v>117</v>
      </c>
      <c r="Y471" s="416">
        <v>117</v>
      </c>
      <c r="Z471" s="416">
        <v>117</v>
      </c>
      <c r="AA471" s="416">
        <v>117</v>
      </c>
      <c r="AB471" s="416">
        <v>115</v>
      </c>
      <c r="AC471" s="416">
        <v>111</v>
      </c>
      <c r="AD471" s="416">
        <v>109</v>
      </c>
      <c r="AE471" s="416">
        <v>106</v>
      </c>
      <c r="AF471" s="416">
        <v>104</v>
      </c>
      <c r="AG471" s="416">
        <v>102</v>
      </c>
      <c r="AH471" s="416">
        <v>101</v>
      </c>
      <c r="AI471" s="416">
        <v>99.4</v>
      </c>
      <c r="AJ471" s="416">
        <v>98.2</v>
      </c>
      <c r="AK471" s="416">
        <v>97.2</v>
      </c>
      <c r="AL471" s="416">
        <v>36</v>
      </c>
      <c r="AM471" s="416">
        <v>96.3</v>
      </c>
      <c r="AN471" s="416">
        <v>95.5</v>
      </c>
      <c r="AO471" s="416">
        <v>75.400000000000006</v>
      </c>
      <c r="AP471" s="416">
        <v>50.3</v>
      </c>
      <c r="AQ471" s="416">
        <v>37.4</v>
      </c>
      <c r="AR471" s="416">
        <v>28</v>
      </c>
      <c r="AS471" s="416">
        <v>20.8</v>
      </c>
      <c r="AT471" s="416">
        <v>15.5</v>
      </c>
      <c r="AU471" s="416">
        <v>10.7</v>
      </c>
      <c r="AV471" s="416">
        <v>7.22</v>
      </c>
      <c r="AW471" s="416">
        <v>5.26</v>
      </c>
      <c r="AX471" s="416">
        <v>3.64</v>
      </c>
      <c r="AY471" s="416">
        <v>2.34</v>
      </c>
      <c r="AZ471" s="416">
        <v>1.48</v>
      </c>
    </row>
    <row r="472" spans="1:52" x14ac:dyDescent="0.25">
      <c r="A472" s="415" t="str">
        <f t="shared" si="7"/>
        <v>SA-312 Gr.TP321</v>
      </c>
      <c r="B472" s="415">
        <v>467</v>
      </c>
      <c r="C472" s="415" t="s">
        <v>3365</v>
      </c>
      <c r="D472" s="415" t="s">
        <v>2703</v>
      </c>
      <c r="E472" s="415" t="s">
        <v>2208</v>
      </c>
      <c r="F472" s="415" t="s">
        <v>2575</v>
      </c>
      <c r="G472" s="415" t="s">
        <v>3366</v>
      </c>
      <c r="H472" s="415">
        <v>0</v>
      </c>
      <c r="I472" s="415" t="s">
        <v>3636</v>
      </c>
      <c r="J472" s="415">
        <v>8</v>
      </c>
      <c r="K472" s="415">
        <v>1</v>
      </c>
      <c r="L472" s="415">
        <v>37</v>
      </c>
      <c r="M472" s="415">
        <v>515</v>
      </c>
      <c r="N472" s="415">
        <v>205</v>
      </c>
      <c r="O472" s="415">
        <v>816</v>
      </c>
      <c r="P472" s="415" t="s">
        <v>3069</v>
      </c>
      <c r="Q472" s="415" t="s">
        <v>3627</v>
      </c>
      <c r="R472" s="415">
        <v>37</v>
      </c>
      <c r="S472" s="415">
        <v>138</v>
      </c>
      <c r="T472" s="416">
        <v>138</v>
      </c>
      <c r="U472" s="416">
        <v>138</v>
      </c>
      <c r="V472" s="416">
        <v>138</v>
      </c>
      <c r="W472" s="416">
        <v>138</v>
      </c>
      <c r="X472" s="416">
        <v>138</v>
      </c>
      <c r="Y472" s="416">
        <v>138</v>
      </c>
      <c r="Z472" s="416">
        <v>138</v>
      </c>
      <c r="AA472" s="416">
        <v>138</v>
      </c>
      <c r="AB472" s="416">
        <v>135</v>
      </c>
      <c r="AC472" s="416">
        <v>131</v>
      </c>
      <c r="AD472" s="416">
        <v>128</v>
      </c>
      <c r="AE472" s="416">
        <v>125</v>
      </c>
      <c r="AF472" s="416">
        <v>123</v>
      </c>
      <c r="AG472" s="416">
        <v>120</v>
      </c>
      <c r="AH472" s="416">
        <v>119</v>
      </c>
      <c r="AI472" s="416">
        <v>117</v>
      </c>
      <c r="AJ472" s="416">
        <v>116</v>
      </c>
      <c r="AK472" s="416">
        <v>114</v>
      </c>
      <c r="AL472" s="416">
        <v>37</v>
      </c>
      <c r="AM472" s="416">
        <v>113</v>
      </c>
      <c r="AN472" s="416">
        <v>112</v>
      </c>
      <c r="AO472" s="416">
        <v>88.7</v>
      </c>
      <c r="AP472" s="416">
        <v>59.2</v>
      </c>
      <c r="AQ472" s="416">
        <v>44</v>
      </c>
      <c r="AR472" s="416">
        <v>32.9</v>
      </c>
      <c r="AS472" s="416">
        <v>24.5</v>
      </c>
      <c r="AT472" s="416">
        <v>18.3</v>
      </c>
      <c r="AU472" s="416">
        <v>12.5</v>
      </c>
      <c r="AV472" s="416">
        <v>8.49</v>
      </c>
      <c r="AW472" s="416">
        <v>6.19</v>
      </c>
      <c r="AX472" s="416">
        <v>4.28</v>
      </c>
      <c r="AY472" s="416">
        <v>2.75</v>
      </c>
      <c r="AZ472" s="416">
        <v>1.74</v>
      </c>
    </row>
    <row r="473" spans="1:52" x14ac:dyDescent="0.25">
      <c r="A473" s="415" t="str">
        <f t="shared" si="7"/>
        <v>SA-312 Gr.TP321</v>
      </c>
      <c r="B473" s="415">
        <v>468</v>
      </c>
      <c r="C473" s="415" t="s">
        <v>3365</v>
      </c>
      <c r="D473" s="415" t="s">
        <v>2680</v>
      </c>
      <c r="E473" s="415" t="s">
        <v>2208</v>
      </c>
      <c r="F473" s="415" t="s">
        <v>2575</v>
      </c>
      <c r="G473" s="415" t="s">
        <v>3366</v>
      </c>
      <c r="H473" s="415">
        <v>0</v>
      </c>
      <c r="I473" s="415">
        <v>0</v>
      </c>
      <c r="J473" s="415">
        <v>8</v>
      </c>
      <c r="K473" s="415">
        <v>1</v>
      </c>
      <c r="L473" s="415">
        <v>38</v>
      </c>
      <c r="M473" s="415">
        <v>515</v>
      </c>
      <c r="N473" s="415">
        <v>205</v>
      </c>
      <c r="O473" s="415">
        <v>816</v>
      </c>
      <c r="P473" s="415" t="s">
        <v>3069</v>
      </c>
      <c r="Q473" s="415" t="s">
        <v>3630</v>
      </c>
      <c r="R473" s="415">
        <v>38</v>
      </c>
      <c r="S473" s="415">
        <v>117</v>
      </c>
      <c r="T473" s="416">
        <v>117</v>
      </c>
      <c r="U473" s="416">
        <v>117</v>
      </c>
      <c r="V473" s="416">
        <v>117</v>
      </c>
      <c r="W473" s="416">
        <v>117</v>
      </c>
      <c r="X473" s="416">
        <v>117</v>
      </c>
      <c r="Y473" s="416">
        <v>117</v>
      </c>
      <c r="Z473" s="416">
        <v>117</v>
      </c>
      <c r="AA473" s="416">
        <v>117</v>
      </c>
      <c r="AB473" s="416">
        <v>115</v>
      </c>
      <c r="AC473" s="416">
        <v>111</v>
      </c>
      <c r="AD473" s="416">
        <v>109</v>
      </c>
      <c r="AE473" s="416">
        <v>106</v>
      </c>
      <c r="AF473" s="416">
        <v>104</v>
      </c>
      <c r="AG473" s="416">
        <v>102</v>
      </c>
      <c r="AH473" s="416">
        <v>101</v>
      </c>
      <c r="AI473" s="416">
        <v>99.4</v>
      </c>
      <c r="AJ473" s="416">
        <v>98.2</v>
      </c>
      <c r="AK473" s="416">
        <v>97.2</v>
      </c>
      <c r="AL473" s="416">
        <v>38</v>
      </c>
      <c r="AM473" s="416">
        <v>96.3</v>
      </c>
      <c r="AN473" s="416">
        <v>95.5</v>
      </c>
      <c r="AO473" s="416">
        <v>75.400000000000006</v>
      </c>
      <c r="AP473" s="416">
        <v>50.3</v>
      </c>
      <c r="AQ473" s="416">
        <v>37.4</v>
      </c>
      <c r="AR473" s="416">
        <v>28</v>
      </c>
      <c r="AS473" s="416">
        <v>20.8</v>
      </c>
      <c r="AT473" s="416">
        <v>15.5</v>
      </c>
      <c r="AU473" s="416">
        <v>10.7</v>
      </c>
      <c r="AV473" s="416">
        <v>7.22</v>
      </c>
      <c r="AW473" s="416">
        <v>5.26</v>
      </c>
      <c r="AX473" s="416">
        <v>3.64</v>
      </c>
      <c r="AY473" s="416">
        <v>2.34</v>
      </c>
      <c r="AZ473" s="416">
        <v>1.48</v>
      </c>
    </row>
    <row r="474" spans="1:52" x14ac:dyDescent="0.25">
      <c r="A474" s="415" t="str">
        <f t="shared" si="7"/>
        <v>SA-376 Gr.TP321</v>
      </c>
      <c r="B474" s="415">
        <v>469</v>
      </c>
      <c r="C474" s="415" t="s">
        <v>3365</v>
      </c>
      <c r="D474" s="415" t="s">
        <v>2703</v>
      </c>
      <c r="E474" s="415" t="s">
        <v>2225</v>
      </c>
      <c r="F474" s="415" t="s">
        <v>2575</v>
      </c>
      <c r="G474" s="415" t="s">
        <v>3366</v>
      </c>
      <c r="H474" s="415">
        <v>0</v>
      </c>
      <c r="I474" s="415" t="s">
        <v>3636</v>
      </c>
      <c r="J474" s="415">
        <v>8</v>
      </c>
      <c r="K474" s="415">
        <v>1</v>
      </c>
      <c r="L474" s="415">
        <v>39</v>
      </c>
      <c r="M474" s="415">
        <v>515</v>
      </c>
      <c r="N474" s="415">
        <v>205</v>
      </c>
      <c r="O474" s="415">
        <v>816</v>
      </c>
      <c r="P474" s="415" t="s">
        <v>3069</v>
      </c>
      <c r="Q474" s="415" t="s">
        <v>3629</v>
      </c>
      <c r="R474" s="415">
        <v>39</v>
      </c>
      <c r="S474" s="415">
        <v>138</v>
      </c>
      <c r="T474" s="416">
        <v>138</v>
      </c>
      <c r="U474" s="416">
        <v>138</v>
      </c>
      <c r="V474" s="416">
        <v>138</v>
      </c>
      <c r="W474" s="416">
        <v>138</v>
      </c>
      <c r="X474" s="416">
        <v>138</v>
      </c>
      <c r="Y474" s="416">
        <v>138</v>
      </c>
      <c r="Z474" s="416">
        <v>138</v>
      </c>
      <c r="AA474" s="416">
        <v>138</v>
      </c>
      <c r="AB474" s="416">
        <v>135</v>
      </c>
      <c r="AC474" s="416">
        <v>131</v>
      </c>
      <c r="AD474" s="416">
        <v>128</v>
      </c>
      <c r="AE474" s="416">
        <v>125</v>
      </c>
      <c r="AF474" s="416">
        <v>123</v>
      </c>
      <c r="AG474" s="416">
        <v>120</v>
      </c>
      <c r="AH474" s="416">
        <v>119</v>
      </c>
      <c r="AI474" s="416">
        <v>117</v>
      </c>
      <c r="AJ474" s="416">
        <v>116</v>
      </c>
      <c r="AK474" s="416">
        <v>114</v>
      </c>
      <c r="AL474" s="416">
        <v>39</v>
      </c>
      <c r="AM474" s="416">
        <v>113</v>
      </c>
      <c r="AN474" s="416">
        <v>112</v>
      </c>
      <c r="AO474" s="416">
        <v>88.7</v>
      </c>
      <c r="AP474" s="416">
        <v>59.2</v>
      </c>
      <c r="AQ474" s="416">
        <v>44</v>
      </c>
      <c r="AR474" s="416">
        <v>32.9</v>
      </c>
      <c r="AS474" s="416">
        <v>24.5</v>
      </c>
      <c r="AT474" s="416">
        <v>18.3</v>
      </c>
      <c r="AU474" s="416">
        <v>12.5</v>
      </c>
      <c r="AV474" s="416">
        <v>8.49</v>
      </c>
      <c r="AW474" s="416">
        <v>6.19</v>
      </c>
      <c r="AX474" s="416">
        <v>4.28</v>
      </c>
      <c r="AY474" s="416">
        <v>2.75</v>
      </c>
      <c r="AZ474" s="416">
        <v>1.74</v>
      </c>
    </row>
    <row r="475" spans="1:52" x14ac:dyDescent="0.25">
      <c r="A475" s="415" t="str">
        <f t="shared" si="7"/>
        <v>SA-403 Gr.321</v>
      </c>
      <c r="B475" s="415">
        <v>470</v>
      </c>
      <c r="C475" s="415" t="s">
        <v>3365</v>
      </c>
      <c r="D475" s="415" t="s">
        <v>913</v>
      </c>
      <c r="E475" s="415" t="s">
        <v>2229</v>
      </c>
      <c r="F475" s="415">
        <v>321</v>
      </c>
      <c r="G475" s="415" t="s">
        <v>3366</v>
      </c>
      <c r="H475" s="415" t="s">
        <v>3380</v>
      </c>
      <c r="I475" s="415">
        <v>0</v>
      </c>
      <c r="J475" s="415">
        <v>8</v>
      </c>
      <c r="K475" s="415">
        <v>1</v>
      </c>
      <c r="L475" s="415">
        <v>40</v>
      </c>
      <c r="M475" s="415">
        <v>515</v>
      </c>
      <c r="N475" s="415">
        <v>205</v>
      </c>
      <c r="O475" s="415">
        <v>816</v>
      </c>
      <c r="P475" s="415" t="s">
        <v>3069</v>
      </c>
      <c r="Q475" s="415" t="s">
        <v>3624</v>
      </c>
      <c r="R475" s="415">
        <v>40</v>
      </c>
      <c r="S475" s="415">
        <v>117</v>
      </c>
      <c r="T475" s="416">
        <v>117</v>
      </c>
      <c r="U475" s="416">
        <v>117</v>
      </c>
      <c r="V475" s="416">
        <v>117</v>
      </c>
      <c r="W475" s="416">
        <v>117</v>
      </c>
      <c r="X475" s="416">
        <v>117</v>
      </c>
      <c r="Y475" s="416">
        <v>117</v>
      </c>
      <c r="Z475" s="416">
        <v>117</v>
      </c>
      <c r="AA475" s="416">
        <v>117</v>
      </c>
      <c r="AB475" s="416">
        <v>115</v>
      </c>
      <c r="AC475" s="416">
        <v>111</v>
      </c>
      <c r="AD475" s="416">
        <v>109</v>
      </c>
      <c r="AE475" s="416">
        <v>106</v>
      </c>
      <c r="AF475" s="416">
        <v>104</v>
      </c>
      <c r="AG475" s="416">
        <v>102</v>
      </c>
      <c r="AH475" s="416">
        <v>101</v>
      </c>
      <c r="AI475" s="416">
        <v>99.4</v>
      </c>
      <c r="AJ475" s="416">
        <v>98.2</v>
      </c>
      <c r="AK475" s="416">
        <v>97.2</v>
      </c>
      <c r="AL475" s="416">
        <v>40</v>
      </c>
      <c r="AM475" s="416">
        <v>96.3</v>
      </c>
      <c r="AN475" s="416">
        <v>95.5</v>
      </c>
      <c r="AO475" s="416">
        <v>75.400000000000006</v>
      </c>
      <c r="AP475" s="416">
        <v>50.3</v>
      </c>
      <c r="AQ475" s="416">
        <v>37.4</v>
      </c>
      <c r="AR475" s="416">
        <v>28</v>
      </c>
      <c r="AS475" s="416">
        <v>20.8</v>
      </c>
      <c r="AT475" s="416">
        <v>15.5</v>
      </c>
      <c r="AU475" s="416">
        <v>10.7</v>
      </c>
      <c r="AV475" s="416">
        <v>7.22</v>
      </c>
      <c r="AW475" s="416">
        <v>5.26</v>
      </c>
      <c r="AX475" s="416">
        <v>3.64</v>
      </c>
      <c r="AY475" s="416">
        <v>2.34</v>
      </c>
      <c r="AZ475" s="416">
        <v>1.48</v>
      </c>
    </row>
    <row r="476" spans="1:52" x14ac:dyDescent="0.25">
      <c r="A476" s="415" t="str">
        <f t="shared" si="7"/>
        <v>SA-403 Gr.321</v>
      </c>
      <c r="B476" s="415">
        <v>471</v>
      </c>
      <c r="C476" s="415" t="s">
        <v>3365</v>
      </c>
      <c r="D476" s="415" t="s">
        <v>913</v>
      </c>
      <c r="E476" s="415" t="s">
        <v>2229</v>
      </c>
      <c r="F476" s="415">
        <v>321</v>
      </c>
      <c r="G476" s="415" t="s">
        <v>3366</v>
      </c>
      <c r="H476" s="415" t="s">
        <v>3381</v>
      </c>
      <c r="I476" s="415">
        <v>0</v>
      </c>
      <c r="J476" s="415">
        <v>8</v>
      </c>
      <c r="K476" s="415">
        <v>1</v>
      </c>
      <c r="L476" s="415">
        <v>41</v>
      </c>
      <c r="M476" s="415">
        <v>515</v>
      </c>
      <c r="N476" s="415">
        <v>205</v>
      </c>
      <c r="O476" s="415">
        <v>816</v>
      </c>
      <c r="P476" s="415" t="s">
        <v>3069</v>
      </c>
      <c r="Q476" s="415" t="s">
        <v>3623</v>
      </c>
      <c r="R476" s="415">
        <v>41</v>
      </c>
      <c r="S476" s="415">
        <v>138</v>
      </c>
      <c r="T476" s="416">
        <v>138</v>
      </c>
      <c r="U476" s="416">
        <v>138</v>
      </c>
      <c r="V476" s="416">
        <v>138</v>
      </c>
      <c r="W476" s="416">
        <v>138</v>
      </c>
      <c r="X476" s="416">
        <v>138</v>
      </c>
      <c r="Y476" s="416">
        <v>138</v>
      </c>
      <c r="Z476" s="416">
        <v>138</v>
      </c>
      <c r="AA476" s="416">
        <v>138</v>
      </c>
      <c r="AB476" s="416">
        <v>135</v>
      </c>
      <c r="AC476" s="416">
        <v>131</v>
      </c>
      <c r="AD476" s="416">
        <v>128</v>
      </c>
      <c r="AE476" s="416">
        <v>125</v>
      </c>
      <c r="AF476" s="416">
        <v>123</v>
      </c>
      <c r="AG476" s="416">
        <v>120</v>
      </c>
      <c r="AH476" s="416">
        <v>119</v>
      </c>
      <c r="AI476" s="416">
        <v>117</v>
      </c>
      <c r="AJ476" s="416">
        <v>116</v>
      </c>
      <c r="AK476" s="416">
        <v>114</v>
      </c>
      <c r="AL476" s="416">
        <v>41</v>
      </c>
      <c r="AM476" s="416">
        <v>113</v>
      </c>
      <c r="AN476" s="416">
        <v>112</v>
      </c>
      <c r="AO476" s="416">
        <v>88.7</v>
      </c>
      <c r="AP476" s="416">
        <v>59.2</v>
      </c>
      <c r="AQ476" s="416">
        <v>44</v>
      </c>
      <c r="AR476" s="416">
        <v>32.9</v>
      </c>
      <c r="AS476" s="416">
        <v>24.5</v>
      </c>
      <c r="AT476" s="416">
        <v>18.3</v>
      </c>
      <c r="AU476" s="416">
        <v>12.5</v>
      </c>
      <c r="AV476" s="416">
        <v>8.49</v>
      </c>
      <c r="AW476" s="416">
        <v>6.19</v>
      </c>
      <c r="AX476" s="416">
        <v>4.28</v>
      </c>
      <c r="AY476" s="416">
        <v>2.75</v>
      </c>
      <c r="AZ476" s="416">
        <v>1.74</v>
      </c>
    </row>
    <row r="477" spans="1:52" x14ac:dyDescent="0.25">
      <c r="A477" s="415" t="str">
        <f t="shared" si="7"/>
        <v>SA-403 Gr.321</v>
      </c>
      <c r="B477" s="415">
        <v>472</v>
      </c>
      <c r="C477" s="415" t="s">
        <v>3365</v>
      </c>
      <c r="D477" s="415" t="s">
        <v>3414</v>
      </c>
      <c r="E477" s="415" t="s">
        <v>2229</v>
      </c>
      <c r="F477" s="415">
        <v>321</v>
      </c>
      <c r="G477" s="415" t="s">
        <v>3366</v>
      </c>
      <c r="H477" s="415" t="s">
        <v>3382</v>
      </c>
      <c r="I477" s="415">
        <v>0</v>
      </c>
      <c r="J477" s="415">
        <v>8</v>
      </c>
      <c r="K477" s="415">
        <v>1</v>
      </c>
      <c r="L477" s="415">
        <v>42</v>
      </c>
      <c r="M477" s="415">
        <v>515</v>
      </c>
      <c r="N477" s="415">
        <v>205</v>
      </c>
      <c r="O477" s="415">
        <v>816</v>
      </c>
      <c r="P477" s="415" t="s">
        <v>3069</v>
      </c>
      <c r="Q477" s="415" t="s">
        <v>3624</v>
      </c>
      <c r="R477" s="415">
        <v>42</v>
      </c>
      <c r="S477" s="415">
        <v>117</v>
      </c>
      <c r="T477" s="416">
        <v>117</v>
      </c>
      <c r="U477" s="416">
        <v>117</v>
      </c>
      <c r="V477" s="416">
        <v>117</v>
      </c>
      <c r="W477" s="416">
        <v>117</v>
      </c>
      <c r="X477" s="416">
        <v>117</v>
      </c>
      <c r="Y477" s="416">
        <v>117</v>
      </c>
      <c r="Z477" s="416">
        <v>117</v>
      </c>
      <c r="AA477" s="416">
        <v>117</v>
      </c>
      <c r="AB477" s="416">
        <v>115</v>
      </c>
      <c r="AC477" s="416">
        <v>111</v>
      </c>
      <c r="AD477" s="416">
        <v>109</v>
      </c>
      <c r="AE477" s="416">
        <v>106</v>
      </c>
      <c r="AF477" s="416">
        <v>104</v>
      </c>
      <c r="AG477" s="416">
        <v>102</v>
      </c>
      <c r="AH477" s="416">
        <v>101</v>
      </c>
      <c r="AI477" s="416">
        <v>99.4</v>
      </c>
      <c r="AJ477" s="416">
        <v>98.2</v>
      </c>
      <c r="AK477" s="416">
        <v>97.2</v>
      </c>
      <c r="AL477" s="416">
        <v>42</v>
      </c>
      <c r="AM477" s="416">
        <v>96.3</v>
      </c>
      <c r="AN477" s="416">
        <v>95.5</v>
      </c>
      <c r="AO477" s="416">
        <v>75.400000000000006</v>
      </c>
      <c r="AP477" s="416">
        <v>50.3</v>
      </c>
      <c r="AQ477" s="416">
        <v>37.4</v>
      </c>
      <c r="AR477" s="416">
        <v>28</v>
      </c>
      <c r="AS477" s="416">
        <v>20.8</v>
      </c>
      <c r="AT477" s="416">
        <v>15.5</v>
      </c>
      <c r="AU477" s="416">
        <v>10.7</v>
      </c>
      <c r="AV477" s="416">
        <v>7.22</v>
      </c>
      <c r="AW477" s="416">
        <v>5.26</v>
      </c>
      <c r="AX477" s="416">
        <v>3.64</v>
      </c>
      <c r="AY477" s="416">
        <v>2.34</v>
      </c>
      <c r="AZ477" s="416">
        <v>1.48</v>
      </c>
    </row>
    <row r="478" spans="1:52" x14ac:dyDescent="0.25">
      <c r="A478" s="415" t="str">
        <f t="shared" si="7"/>
        <v>SA-403 Gr.321</v>
      </c>
      <c r="B478" s="415">
        <v>473</v>
      </c>
      <c r="C478" s="415" t="s">
        <v>3365</v>
      </c>
      <c r="D478" s="415" t="s">
        <v>3414</v>
      </c>
      <c r="E478" s="415" t="s">
        <v>2229</v>
      </c>
      <c r="F478" s="415">
        <v>321</v>
      </c>
      <c r="G478" s="415" t="s">
        <v>3366</v>
      </c>
      <c r="H478" s="415" t="s">
        <v>3384</v>
      </c>
      <c r="I478" s="415">
        <v>0</v>
      </c>
      <c r="J478" s="415">
        <v>8</v>
      </c>
      <c r="K478" s="415">
        <v>1</v>
      </c>
      <c r="L478" s="415">
        <v>43</v>
      </c>
      <c r="M478" s="415">
        <v>515</v>
      </c>
      <c r="N478" s="415">
        <v>205</v>
      </c>
      <c r="O478" s="415">
        <v>816</v>
      </c>
      <c r="P478" s="415" t="s">
        <v>3069</v>
      </c>
      <c r="Q478" s="415" t="s">
        <v>3624</v>
      </c>
      <c r="R478" s="415">
        <v>43</v>
      </c>
      <c r="S478" s="415">
        <v>117</v>
      </c>
      <c r="T478" s="416">
        <v>117</v>
      </c>
      <c r="U478" s="416">
        <v>117</v>
      </c>
      <c r="V478" s="416">
        <v>117</v>
      </c>
      <c r="W478" s="416">
        <v>117</v>
      </c>
      <c r="X478" s="416">
        <v>117</v>
      </c>
      <c r="Y478" s="416">
        <v>117</v>
      </c>
      <c r="Z478" s="416">
        <v>117</v>
      </c>
      <c r="AA478" s="416">
        <v>117</v>
      </c>
      <c r="AB478" s="416">
        <v>115</v>
      </c>
      <c r="AC478" s="416">
        <v>111</v>
      </c>
      <c r="AD478" s="416">
        <v>109</v>
      </c>
      <c r="AE478" s="416">
        <v>106</v>
      </c>
      <c r="AF478" s="416">
        <v>104</v>
      </c>
      <c r="AG478" s="416">
        <v>102</v>
      </c>
      <c r="AH478" s="416">
        <v>101</v>
      </c>
      <c r="AI478" s="416">
        <v>99.4</v>
      </c>
      <c r="AJ478" s="416">
        <v>98.2</v>
      </c>
      <c r="AK478" s="416">
        <v>97.2</v>
      </c>
      <c r="AL478" s="416">
        <v>43</v>
      </c>
      <c r="AM478" s="416">
        <v>96.3</v>
      </c>
      <c r="AN478" s="416">
        <v>95.5</v>
      </c>
      <c r="AO478" s="416">
        <v>75.400000000000006</v>
      </c>
      <c r="AP478" s="416">
        <v>50.3</v>
      </c>
      <c r="AQ478" s="416">
        <v>37.4</v>
      </c>
      <c r="AR478" s="416">
        <v>28</v>
      </c>
      <c r="AS478" s="416">
        <v>20.8</v>
      </c>
      <c r="AT478" s="416">
        <v>15.5</v>
      </c>
      <c r="AU478" s="416">
        <v>10.7</v>
      </c>
      <c r="AV478" s="416">
        <v>7.22</v>
      </c>
      <c r="AW478" s="416">
        <v>5.26</v>
      </c>
      <c r="AX478" s="416">
        <v>3.64</v>
      </c>
      <c r="AY478" s="416">
        <v>2.34</v>
      </c>
      <c r="AZ478" s="416">
        <v>1.48</v>
      </c>
    </row>
    <row r="479" spans="1:52" x14ac:dyDescent="0.25">
      <c r="A479" s="415" t="str">
        <f t="shared" si="7"/>
        <v>SA-182 Gr.F321H</v>
      </c>
      <c r="B479" s="415">
        <v>474</v>
      </c>
      <c r="C479" s="415" t="s">
        <v>3365</v>
      </c>
      <c r="D479" s="415" t="s">
        <v>2737</v>
      </c>
      <c r="E479" s="415" t="s">
        <v>2188</v>
      </c>
      <c r="F479" s="415" t="s">
        <v>2446</v>
      </c>
      <c r="G479" s="415" t="s">
        <v>3368</v>
      </c>
      <c r="H479" s="415">
        <v>0</v>
      </c>
      <c r="I479" s="415" t="s">
        <v>3604</v>
      </c>
      <c r="J479" s="415">
        <v>8</v>
      </c>
      <c r="K479" s="415">
        <v>1</v>
      </c>
      <c r="L479" s="415">
        <v>1</v>
      </c>
      <c r="M479" s="415">
        <v>515</v>
      </c>
      <c r="N479" s="415">
        <v>205</v>
      </c>
      <c r="O479" s="415">
        <v>816</v>
      </c>
      <c r="P479" s="415" t="s">
        <v>3069</v>
      </c>
      <c r="Q479" s="415" t="s">
        <v>3633</v>
      </c>
      <c r="R479" s="415">
        <v>1</v>
      </c>
      <c r="S479" s="415">
        <v>138</v>
      </c>
      <c r="T479" s="416">
        <v>138</v>
      </c>
      <c r="U479" s="416">
        <v>138</v>
      </c>
      <c r="V479" s="416">
        <v>138</v>
      </c>
      <c r="W479" s="416">
        <v>138</v>
      </c>
      <c r="X479" s="416">
        <v>138</v>
      </c>
      <c r="Y479" s="416">
        <v>138</v>
      </c>
      <c r="Z479" s="416">
        <v>138</v>
      </c>
      <c r="AA479" s="416">
        <v>138</v>
      </c>
      <c r="AB479" s="416">
        <v>135</v>
      </c>
      <c r="AC479" s="416">
        <v>131</v>
      </c>
      <c r="AD479" s="416">
        <v>128</v>
      </c>
      <c r="AE479" s="416">
        <v>125</v>
      </c>
      <c r="AF479" s="416">
        <v>123</v>
      </c>
      <c r="AG479" s="416">
        <v>120</v>
      </c>
      <c r="AH479" s="416">
        <v>119</v>
      </c>
      <c r="AI479" s="416">
        <v>117</v>
      </c>
      <c r="AJ479" s="416">
        <v>116</v>
      </c>
      <c r="AK479" s="416">
        <v>114</v>
      </c>
      <c r="AL479" s="416">
        <v>1</v>
      </c>
      <c r="AM479" s="416">
        <v>113</v>
      </c>
      <c r="AN479" s="416">
        <v>112</v>
      </c>
      <c r="AO479" s="416">
        <v>100</v>
      </c>
      <c r="AP479" s="416">
        <v>76.5</v>
      </c>
      <c r="AQ479" s="416">
        <v>58.7</v>
      </c>
      <c r="AR479" s="416">
        <v>46</v>
      </c>
      <c r="AS479" s="416">
        <v>36.799999999999997</v>
      </c>
      <c r="AT479" s="416">
        <v>28.7</v>
      </c>
      <c r="AU479" s="416">
        <v>23</v>
      </c>
      <c r="AV479" s="416">
        <v>18.399999999999999</v>
      </c>
      <c r="AW479" s="416">
        <v>14.5</v>
      </c>
      <c r="AX479" s="416">
        <v>11.5</v>
      </c>
      <c r="AY479" s="416">
        <v>9.02</v>
      </c>
      <c r="AZ479" s="416">
        <v>6.83</v>
      </c>
    </row>
    <row r="480" spans="1:52" x14ac:dyDescent="0.25">
      <c r="A480" s="415" t="str">
        <f t="shared" si="7"/>
        <v>SA-213 Gr.TP321H</v>
      </c>
      <c r="B480" s="415">
        <v>475</v>
      </c>
      <c r="C480" s="415" t="s">
        <v>3365</v>
      </c>
      <c r="D480" s="415" t="s">
        <v>2693</v>
      </c>
      <c r="E480" s="415" t="s">
        <v>2195</v>
      </c>
      <c r="F480" s="415" t="s">
        <v>2576</v>
      </c>
      <c r="G480" s="415" t="s">
        <v>3368</v>
      </c>
      <c r="H480" s="415">
        <v>0</v>
      </c>
      <c r="I480" s="415">
        <v>0</v>
      </c>
      <c r="J480" s="415">
        <v>8</v>
      </c>
      <c r="K480" s="415">
        <v>1</v>
      </c>
      <c r="L480" s="415">
        <v>2</v>
      </c>
      <c r="M480" s="415">
        <v>485</v>
      </c>
      <c r="N480" s="415">
        <v>205</v>
      </c>
      <c r="O480" s="415">
        <v>816</v>
      </c>
      <c r="P480" s="415" t="s">
        <v>3069</v>
      </c>
      <c r="Q480" s="415" t="s">
        <v>3633</v>
      </c>
      <c r="R480" s="415">
        <v>2</v>
      </c>
      <c r="S480" s="415">
        <v>138</v>
      </c>
      <c r="T480" s="416">
        <v>138</v>
      </c>
      <c r="U480" s="416">
        <v>138</v>
      </c>
      <c r="V480" s="416">
        <v>138</v>
      </c>
      <c r="W480" s="416">
        <v>138</v>
      </c>
      <c r="X480" s="416">
        <v>138</v>
      </c>
      <c r="Y480" s="416">
        <v>138</v>
      </c>
      <c r="Z480" s="416">
        <v>138</v>
      </c>
      <c r="AA480" s="416">
        <v>138</v>
      </c>
      <c r="AB480" s="416">
        <v>135</v>
      </c>
      <c r="AC480" s="416">
        <v>131</v>
      </c>
      <c r="AD480" s="416">
        <v>128</v>
      </c>
      <c r="AE480" s="416">
        <v>125</v>
      </c>
      <c r="AF480" s="416">
        <v>123</v>
      </c>
      <c r="AG480" s="416">
        <v>120</v>
      </c>
      <c r="AH480" s="416">
        <v>119</v>
      </c>
      <c r="AI480" s="416">
        <v>117</v>
      </c>
      <c r="AJ480" s="416">
        <v>116</v>
      </c>
      <c r="AK480" s="416">
        <v>114</v>
      </c>
      <c r="AL480" s="416">
        <v>2</v>
      </c>
      <c r="AM480" s="416">
        <v>113</v>
      </c>
      <c r="AN480" s="416">
        <v>112</v>
      </c>
      <c r="AO480" s="416">
        <v>100</v>
      </c>
      <c r="AP480" s="416">
        <v>76.5</v>
      </c>
      <c r="AQ480" s="416">
        <v>58.7</v>
      </c>
      <c r="AR480" s="416">
        <v>46</v>
      </c>
      <c r="AS480" s="416">
        <v>36.799999999999997</v>
      </c>
      <c r="AT480" s="416">
        <v>28.7</v>
      </c>
      <c r="AU480" s="416">
        <v>23</v>
      </c>
      <c r="AV480" s="416">
        <v>18.399999999999999</v>
      </c>
      <c r="AW480" s="416">
        <v>14.5</v>
      </c>
      <c r="AX480" s="416">
        <v>11.5</v>
      </c>
      <c r="AY480" s="416">
        <v>9.02</v>
      </c>
      <c r="AZ480" s="416">
        <v>6.83</v>
      </c>
    </row>
    <row r="481" spans="1:52" x14ac:dyDescent="0.25">
      <c r="A481" s="415" t="str">
        <f t="shared" si="7"/>
        <v>SA-240 Gr.321H</v>
      </c>
      <c r="B481" s="415">
        <v>476</v>
      </c>
      <c r="C481" s="415" t="s">
        <v>3365</v>
      </c>
      <c r="D481" s="415" t="s">
        <v>2684</v>
      </c>
      <c r="E481" s="415" t="s">
        <v>2165</v>
      </c>
      <c r="F481" s="415" t="s">
        <v>2278</v>
      </c>
      <c r="G481" s="415" t="s">
        <v>3368</v>
      </c>
      <c r="H481" s="415">
        <v>0</v>
      </c>
      <c r="I481" s="415">
        <v>0</v>
      </c>
      <c r="J481" s="415">
        <v>8</v>
      </c>
      <c r="K481" s="415">
        <v>1</v>
      </c>
      <c r="L481" s="415">
        <v>3</v>
      </c>
      <c r="M481" s="415">
        <v>515</v>
      </c>
      <c r="N481" s="415">
        <v>205</v>
      </c>
      <c r="O481" s="415">
        <v>816</v>
      </c>
      <c r="P481" s="415" t="s">
        <v>3069</v>
      </c>
      <c r="Q481" s="415" t="s">
        <v>3633</v>
      </c>
      <c r="R481" s="415">
        <v>3</v>
      </c>
      <c r="S481" s="415">
        <v>138</v>
      </c>
      <c r="T481" s="416">
        <v>138</v>
      </c>
      <c r="U481" s="416">
        <v>138</v>
      </c>
      <c r="V481" s="416">
        <v>138</v>
      </c>
      <c r="W481" s="416">
        <v>138</v>
      </c>
      <c r="X481" s="416">
        <v>138</v>
      </c>
      <c r="Y481" s="416">
        <v>138</v>
      </c>
      <c r="Z481" s="416">
        <v>138</v>
      </c>
      <c r="AA481" s="416">
        <v>138</v>
      </c>
      <c r="AB481" s="416">
        <v>135</v>
      </c>
      <c r="AC481" s="416">
        <v>131</v>
      </c>
      <c r="AD481" s="416">
        <v>128</v>
      </c>
      <c r="AE481" s="416">
        <v>125</v>
      </c>
      <c r="AF481" s="416">
        <v>123</v>
      </c>
      <c r="AG481" s="416">
        <v>120</v>
      </c>
      <c r="AH481" s="416">
        <v>119</v>
      </c>
      <c r="AI481" s="416">
        <v>117</v>
      </c>
      <c r="AJ481" s="416">
        <v>116</v>
      </c>
      <c r="AK481" s="416">
        <v>114</v>
      </c>
      <c r="AL481" s="416">
        <v>3</v>
      </c>
      <c r="AM481" s="416">
        <v>113</v>
      </c>
      <c r="AN481" s="416">
        <v>112</v>
      </c>
      <c r="AO481" s="416">
        <v>100</v>
      </c>
      <c r="AP481" s="416">
        <v>76.5</v>
      </c>
      <c r="AQ481" s="416">
        <v>58.7</v>
      </c>
      <c r="AR481" s="416">
        <v>46</v>
      </c>
      <c r="AS481" s="416">
        <v>36.799999999999997</v>
      </c>
      <c r="AT481" s="416">
        <v>28.7</v>
      </c>
      <c r="AU481" s="416">
        <v>23</v>
      </c>
      <c r="AV481" s="416">
        <v>18.399999999999999</v>
      </c>
      <c r="AW481" s="416">
        <v>14.5</v>
      </c>
      <c r="AX481" s="416">
        <v>11.5</v>
      </c>
      <c r="AY481" s="416">
        <v>9.02</v>
      </c>
      <c r="AZ481" s="416">
        <v>6.83</v>
      </c>
    </row>
    <row r="482" spans="1:52" x14ac:dyDescent="0.25">
      <c r="A482" s="415" t="str">
        <f t="shared" si="7"/>
        <v>SA-249 Gr.TP321H</v>
      </c>
      <c r="B482" s="415">
        <v>477</v>
      </c>
      <c r="C482" s="415" t="s">
        <v>3365</v>
      </c>
      <c r="D482" s="415" t="s">
        <v>2689</v>
      </c>
      <c r="E482" s="415" t="s">
        <v>2200</v>
      </c>
      <c r="F482" s="415" t="s">
        <v>2576</v>
      </c>
      <c r="G482" s="415" t="s">
        <v>3368</v>
      </c>
      <c r="H482" s="415">
        <v>0</v>
      </c>
      <c r="I482" s="415">
        <v>0</v>
      </c>
      <c r="J482" s="415">
        <v>8</v>
      </c>
      <c r="K482" s="415">
        <v>1</v>
      </c>
      <c r="L482" s="415">
        <v>4</v>
      </c>
      <c r="M482" s="415">
        <v>515</v>
      </c>
      <c r="N482" s="415">
        <v>205</v>
      </c>
      <c r="O482" s="415">
        <v>816</v>
      </c>
      <c r="P482" s="415" t="s">
        <v>3069</v>
      </c>
      <c r="Q482" s="415" t="s">
        <v>3624</v>
      </c>
      <c r="R482" s="415">
        <v>4</v>
      </c>
      <c r="S482" s="415">
        <v>117</v>
      </c>
      <c r="T482" s="416">
        <v>117</v>
      </c>
      <c r="U482" s="416">
        <v>117</v>
      </c>
      <c r="V482" s="416">
        <v>117</v>
      </c>
      <c r="W482" s="416">
        <v>117</v>
      </c>
      <c r="X482" s="416">
        <v>117</v>
      </c>
      <c r="Y482" s="416">
        <v>117</v>
      </c>
      <c r="Z482" s="416">
        <v>117</v>
      </c>
      <c r="AA482" s="416">
        <v>117</v>
      </c>
      <c r="AB482" s="416">
        <v>115</v>
      </c>
      <c r="AC482" s="416">
        <v>111</v>
      </c>
      <c r="AD482" s="416">
        <v>109</v>
      </c>
      <c r="AE482" s="416">
        <v>106</v>
      </c>
      <c r="AF482" s="416">
        <v>104</v>
      </c>
      <c r="AG482" s="416">
        <v>102</v>
      </c>
      <c r="AH482" s="416">
        <v>101</v>
      </c>
      <c r="AI482" s="416">
        <v>99.4</v>
      </c>
      <c r="AJ482" s="416">
        <v>98.2</v>
      </c>
      <c r="AK482" s="416">
        <v>97.2</v>
      </c>
      <c r="AL482" s="416">
        <v>4</v>
      </c>
      <c r="AM482" s="416">
        <v>96.3</v>
      </c>
      <c r="AN482" s="416">
        <v>95.5</v>
      </c>
      <c r="AO482" s="416">
        <v>85.3</v>
      </c>
      <c r="AP482" s="416">
        <v>65.099999999999994</v>
      </c>
      <c r="AQ482" s="416">
        <v>49.9</v>
      </c>
      <c r="AR482" s="416">
        <v>39.1</v>
      </c>
      <c r="AS482" s="416">
        <v>31.3</v>
      </c>
      <c r="AT482" s="416">
        <v>24.4</v>
      </c>
      <c r="AU482" s="416">
        <v>19.5</v>
      </c>
      <c r="AV482" s="416">
        <v>15.6</v>
      </c>
      <c r="AW482" s="416">
        <v>12.3</v>
      </c>
      <c r="AX482" s="416">
        <v>9.8000000000000007</v>
      </c>
      <c r="AY482" s="416">
        <v>7.67</v>
      </c>
      <c r="AZ482" s="416">
        <v>5.8</v>
      </c>
    </row>
    <row r="483" spans="1:52" x14ac:dyDescent="0.25">
      <c r="A483" s="415" t="str">
        <f t="shared" si="7"/>
        <v>SA-312 Gr.TP321H</v>
      </c>
      <c r="B483" s="415">
        <v>478</v>
      </c>
      <c r="C483" s="415" t="s">
        <v>3365</v>
      </c>
      <c r="D483" s="415" t="s">
        <v>2703</v>
      </c>
      <c r="E483" s="415" t="s">
        <v>2208</v>
      </c>
      <c r="F483" s="415" t="s">
        <v>2576</v>
      </c>
      <c r="G483" s="415" t="s">
        <v>3368</v>
      </c>
      <c r="H483" s="415">
        <v>0</v>
      </c>
      <c r="I483" s="415" t="s">
        <v>3562</v>
      </c>
      <c r="J483" s="415">
        <v>8</v>
      </c>
      <c r="K483" s="415">
        <v>1</v>
      </c>
      <c r="L483" s="415">
        <v>5</v>
      </c>
      <c r="M483" s="415">
        <v>485</v>
      </c>
      <c r="N483" s="415">
        <v>170</v>
      </c>
      <c r="O483" s="415">
        <v>816</v>
      </c>
      <c r="P483" s="415" t="s">
        <v>3069</v>
      </c>
      <c r="Q483" s="415" t="s">
        <v>3623</v>
      </c>
      <c r="R483" s="415">
        <v>5</v>
      </c>
      <c r="S483" s="415">
        <v>138</v>
      </c>
      <c r="T483" s="416">
        <v>138</v>
      </c>
      <c r="U483" s="416">
        <v>138</v>
      </c>
      <c r="V483" s="416">
        <v>138</v>
      </c>
      <c r="W483" s="416">
        <v>138</v>
      </c>
      <c r="X483" s="416">
        <v>138</v>
      </c>
      <c r="Y483" s="416">
        <v>138</v>
      </c>
      <c r="Z483" s="416">
        <v>138</v>
      </c>
      <c r="AA483" s="416">
        <v>138</v>
      </c>
      <c r="AB483" s="416">
        <v>135</v>
      </c>
      <c r="AC483" s="416">
        <v>131</v>
      </c>
      <c r="AD483" s="416">
        <v>128</v>
      </c>
      <c r="AE483" s="416">
        <v>125</v>
      </c>
      <c r="AF483" s="416">
        <v>123</v>
      </c>
      <c r="AG483" s="416">
        <v>120</v>
      </c>
      <c r="AH483" s="416">
        <v>119</v>
      </c>
      <c r="AI483" s="416">
        <v>117</v>
      </c>
      <c r="AJ483" s="416">
        <v>116</v>
      </c>
      <c r="AK483" s="416">
        <v>114</v>
      </c>
      <c r="AL483" s="416">
        <v>5</v>
      </c>
      <c r="AM483" s="416">
        <v>113</v>
      </c>
      <c r="AN483" s="416">
        <v>112</v>
      </c>
      <c r="AO483" s="416">
        <v>100</v>
      </c>
      <c r="AP483" s="416">
        <v>76.5</v>
      </c>
      <c r="AQ483" s="416">
        <v>58.7</v>
      </c>
      <c r="AR483" s="416">
        <v>46</v>
      </c>
      <c r="AS483" s="416">
        <v>36.799999999999997</v>
      </c>
      <c r="AT483" s="416">
        <v>28.7</v>
      </c>
      <c r="AU483" s="416">
        <v>23</v>
      </c>
      <c r="AV483" s="416">
        <v>18.399999999999999</v>
      </c>
      <c r="AW483" s="416">
        <v>14.5</v>
      </c>
      <c r="AX483" s="416">
        <v>11.5</v>
      </c>
      <c r="AY483" s="416">
        <v>9.02</v>
      </c>
      <c r="AZ483" s="416">
        <v>6.83</v>
      </c>
    </row>
    <row r="484" spans="1:52" x14ac:dyDescent="0.25">
      <c r="A484" s="415" t="str">
        <f t="shared" si="7"/>
        <v>SA-312 Gr.TP321H</v>
      </c>
      <c r="B484" s="415">
        <v>479</v>
      </c>
      <c r="C484" s="415" t="s">
        <v>3365</v>
      </c>
      <c r="D484" s="415" t="s">
        <v>2680</v>
      </c>
      <c r="E484" s="415" t="s">
        <v>2208</v>
      </c>
      <c r="F484" s="415" t="s">
        <v>2576</v>
      </c>
      <c r="G484" s="415" t="s">
        <v>3368</v>
      </c>
      <c r="H484" s="415">
        <v>0</v>
      </c>
      <c r="I484" s="415" t="s">
        <v>3562</v>
      </c>
      <c r="J484" s="415">
        <v>8</v>
      </c>
      <c r="K484" s="415">
        <v>1</v>
      </c>
      <c r="L484" s="415">
        <v>6</v>
      </c>
      <c r="M484" s="415">
        <v>515</v>
      </c>
      <c r="N484" s="415">
        <v>205</v>
      </c>
      <c r="O484" s="415">
        <v>816</v>
      </c>
      <c r="P484" s="415" t="s">
        <v>3069</v>
      </c>
      <c r="Q484" s="415" t="s">
        <v>3624</v>
      </c>
      <c r="R484" s="415">
        <v>6</v>
      </c>
      <c r="S484" s="415">
        <v>117</v>
      </c>
      <c r="T484" s="416">
        <v>117</v>
      </c>
      <c r="U484" s="416">
        <v>117</v>
      </c>
      <c r="V484" s="416">
        <v>117</v>
      </c>
      <c r="W484" s="416">
        <v>117</v>
      </c>
      <c r="X484" s="416">
        <v>117</v>
      </c>
      <c r="Y484" s="416">
        <v>117</v>
      </c>
      <c r="Z484" s="416">
        <v>117</v>
      </c>
      <c r="AA484" s="416">
        <v>117</v>
      </c>
      <c r="AB484" s="416">
        <v>115</v>
      </c>
      <c r="AC484" s="416">
        <v>111</v>
      </c>
      <c r="AD484" s="416">
        <v>109</v>
      </c>
      <c r="AE484" s="416">
        <v>106</v>
      </c>
      <c r="AF484" s="416">
        <v>104</v>
      </c>
      <c r="AG484" s="416">
        <v>102</v>
      </c>
      <c r="AH484" s="416">
        <v>101</v>
      </c>
      <c r="AI484" s="416">
        <v>99.4</v>
      </c>
      <c r="AJ484" s="416">
        <v>98.2</v>
      </c>
      <c r="AK484" s="416">
        <v>97.2</v>
      </c>
      <c r="AL484" s="416">
        <v>6</v>
      </c>
      <c r="AM484" s="416">
        <v>96.3</v>
      </c>
      <c r="AN484" s="416">
        <v>95.5</v>
      </c>
      <c r="AO484" s="416">
        <v>85.3</v>
      </c>
      <c r="AP484" s="416">
        <v>65.099999999999994</v>
      </c>
      <c r="AQ484" s="416">
        <v>49.9</v>
      </c>
      <c r="AR484" s="416">
        <v>39.1</v>
      </c>
      <c r="AS484" s="416">
        <v>31.3</v>
      </c>
      <c r="AT484" s="416">
        <v>24.4</v>
      </c>
      <c r="AU484" s="416">
        <v>19.5</v>
      </c>
      <c r="AV484" s="416">
        <v>15.6</v>
      </c>
      <c r="AW484" s="416">
        <v>12.3</v>
      </c>
      <c r="AX484" s="416">
        <v>9.8000000000000007</v>
      </c>
      <c r="AY484" s="416">
        <v>7.67</v>
      </c>
      <c r="AZ484" s="416">
        <v>5.8</v>
      </c>
    </row>
    <row r="485" spans="1:52" x14ac:dyDescent="0.25">
      <c r="A485" s="415" t="str">
        <f t="shared" si="7"/>
        <v>SA-376 Gr.TP321H</v>
      </c>
      <c r="B485" s="415">
        <v>480</v>
      </c>
      <c r="C485" s="415" t="s">
        <v>3365</v>
      </c>
      <c r="D485" s="415" t="s">
        <v>2703</v>
      </c>
      <c r="E485" s="415" t="s">
        <v>2225</v>
      </c>
      <c r="F485" s="415" t="s">
        <v>2576</v>
      </c>
      <c r="G485" s="415" t="s">
        <v>3368</v>
      </c>
      <c r="H485" s="415">
        <v>0</v>
      </c>
      <c r="I485" s="415" t="s">
        <v>3636</v>
      </c>
      <c r="J485" s="415">
        <v>8</v>
      </c>
      <c r="K485" s="415">
        <v>1</v>
      </c>
      <c r="L485" s="415">
        <v>7</v>
      </c>
      <c r="M485" s="415">
        <v>515</v>
      </c>
      <c r="N485" s="415">
        <v>205</v>
      </c>
      <c r="O485" s="415">
        <v>816</v>
      </c>
      <c r="P485" s="415" t="s">
        <v>3069</v>
      </c>
      <c r="Q485" s="415" t="s">
        <v>3633</v>
      </c>
      <c r="R485" s="415">
        <v>7</v>
      </c>
      <c r="S485" s="415">
        <v>138</v>
      </c>
      <c r="T485" s="416">
        <v>138</v>
      </c>
      <c r="U485" s="416">
        <v>138</v>
      </c>
      <c r="V485" s="416">
        <v>138</v>
      </c>
      <c r="W485" s="416">
        <v>138</v>
      </c>
      <c r="X485" s="416">
        <v>138</v>
      </c>
      <c r="Y485" s="416">
        <v>138</v>
      </c>
      <c r="Z485" s="416">
        <v>138</v>
      </c>
      <c r="AA485" s="416">
        <v>138</v>
      </c>
      <c r="AB485" s="416">
        <v>135</v>
      </c>
      <c r="AC485" s="416">
        <v>131</v>
      </c>
      <c r="AD485" s="416">
        <v>128</v>
      </c>
      <c r="AE485" s="416">
        <v>125</v>
      </c>
      <c r="AF485" s="416">
        <v>123</v>
      </c>
      <c r="AG485" s="416">
        <v>120</v>
      </c>
      <c r="AH485" s="416">
        <v>119</v>
      </c>
      <c r="AI485" s="416">
        <v>117</v>
      </c>
      <c r="AJ485" s="416">
        <v>116</v>
      </c>
      <c r="AK485" s="416">
        <v>114</v>
      </c>
      <c r="AL485" s="416">
        <v>7</v>
      </c>
      <c r="AM485" s="416">
        <v>113</v>
      </c>
      <c r="AN485" s="416">
        <v>112</v>
      </c>
      <c r="AO485" s="416">
        <v>100</v>
      </c>
      <c r="AP485" s="416">
        <v>76.5</v>
      </c>
      <c r="AQ485" s="416">
        <v>58.7</v>
      </c>
      <c r="AR485" s="416">
        <v>46</v>
      </c>
      <c r="AS485" s="416">
        <v>36.799999999999997</v>
      </c>
      <c r="AT485" s="416">
        <v>28.7</v>
      </c>
      <c r="AU485" s="416">
        <v>23</v>
      </c>
      <c r="AV485" s="416">
        <v>18.399999999999999</v>
      </c>
      <c r="AW485" s="416">
        <v>14.5</v>
      </c>
      <c r="AX485" s="416">
        <v>11.5</v>
      </c>
      <c r="AY485" s="416">
        <v>9.02</v>
      </c>
      <c r="AZ485" s="416">
        <v>6.83</v>
      </c>
    </row>
    <row r="486" spans="1:52" x14ac:dyDescent="0.25">
      <c r="A486" s="415" t="str">
        <f t="shared" si="7"/>
        <v>SA-403 Gr.321H</v>
      </c>
      <c r="B486" s="415">
        <v>481</v>
      </c>
      <c r="C486" s="415" t="s">
        <v>3365</v>
      </c>
      <c r="D486" s="415" t="s">
        <v>913</v>
      </c>
      <c r="E486" s="415" t="s">
        <v>2229</v>
      </c>
      <c r="F486" s="415" t="s">
        <v>2278</v>
      </c>
      <c r="G486" s="415" t="s">
        <v>3368</v>
      </c>
      <c r="H486" s="415" t="s">
        <v>3380</v>
      </c>
      <c r="I486" s="415">
        <v>0</v>
      </c>
      <c r="J486" s="415">
        <v>8</v>
      </c>
      <c r="K486" s="415">
        <v>1</v>
      </c>
      <c r="L486" s="415">
        <v>8</v>
      </c>
      <c r="M486" s="415">
        <v>515</v>
      </c>
      <c r="N486" s="415">
        <v>205</v>
      </c>
      <c r="O486" s="415">
        <v>816</v>
      </c>
      <c r="P486" s="415" t="s">
        <v>3069</v>
      </c>
      <c r="Q486" s="415" t="s">
        <v>3632</v>
      </c>
      <c r="R486" s="415">
        <v>8</v>
      </c>
      <c r="S486" s="415">
        <v>117</v>
      </c>
      <c r="T486" s="416">
        <v>117</v>
      </c>
      <c r="U486" s="416">
        <v>117</v>
      </c>
      <c r="V486" s="416">
        <v>117</v>
      </c>
      <c r="W486" s="416">
        <v>117</v>
      </c>
      <c r="X486" s="416">
        <v>117</v>
      </c>
      <c r="Y486" s="416">
        <v>117</v>
      </c>
      <c r="Z486" s="416">
        <v>117</v>
      </c>
      <c r="AA486" s="416">
        <v>117</v>
      </c>
      <c r="AB486" s="416">
        <v>115</v>
      </c>
      <c r="AC486" s="416">
        <v>111</v>
      </c>
      <c r="AD486" s="416">
        <v>109</v>
      </c>
      <c r="AE486" s="416">
        <v>106</v>
      </c>
      <c r="AF486" s="416">
        <v>104</v>
      </c>
      <c r="AG486" s="416">
        <v>102</v>
      </c>
      <c r="AH486" s="416">
        <v>101</v>
      </c>
      <c r="AI486" s="416">
        <v>99.4</v>
      </c>
      <c r="AJ486" s="416">
        <v>98.2</v>
      </c>
      <c r="AK486" s="416">
        <v>97.2</v>
      </c>
      <c r="AL486" s="416">
        <v>8</v>
      </c>
      <c r="AM486" s="416">
        <v>96.3</v>
      </c>
      <c r="AN486" s="416">
        <v>95.5</v>
      </c>
      <c r="AO486" s="416">
        <v>85.3</v>
      </c>
      <c r="AP486" s="416">
        <v>65.099999999999994</v>
      </c>
      <c r="AQ486" s="416">
        <v>49.9</v>
      </c>
      <c r="AR486" s="416">
        <v>39.1</v>
      </c>
      <c r="AS486" s="416">
        <v>31.3</v>
      </c>
      <c r="AT486" s="416">
        <v>24.4</v>
      </c>
      <c r="AU486" s="416">
        <v>19.5</v>
      </c>
      <c r="AV486" s="416">
        <v>15.6</v>
      </c>
      <c r="AW486" s="416">
        <v>12.3</v>
      </c>
      <c r="AX486" s="416">
        <v>9.8000000000000007</v>
      </c>
      <c r="AY486" s="416">
        <v>7.67</v>
      </c>
      <c r="AZ486" s="416">
        <v>5.8</v>
      </c>
    </row>
    <row r="487" spans="1:52" x14ac:dyDescent="0.25">
      <c r="A487" s="415" t="str">
        <f t="shared" si="7"/>
        <v>SA-403 Gr.321H</v>
      </c>
      <c r="B487" s="415">
        <v>482</v>
      </c>
      <c r="C487" s="415" t="s">
        <v>3365</v>
      </c>
      <c r="D487" s="415" t="s">
        <v>913</v>
      </c>
      <c r="E487" s="415" t="s">
        <v>2229</v>
      </c>
      <c r="F487" s="415" t="s">
        <v>2278</v>
      </c>
      <c r="G487" s="415" t="s">
        <v>3368</v>
      </c>
      <c r="H487" s="415" t="s">
        <v>3381</v>
      </c>
      <c r="I487" s="415">
        <v>0</v>
      </c>
      <c r="J487" s="415">
        <v>8</v>
      </c>
      <c r="K487" s="415">
        <v>1</v>
      </c>
      <c r="L487" s="415">
        <v>9</v>
      </c>
      <c r="M487" s="415">
        <v>515</v>
      </c>
      <c r="N487" s="415">
        <v>205</v>
      </c>
      <c r="O487" s="415">
        <v>816</v>
      </c>
      <c r="P487" s="415" t="s">
        <v>3069</v>
      </c>
      <c r="Q487" s="415" t="s">
        <v>3633</v>
      </c>
      <c r="R487" s="415">
        <v>9</v>
      </c>
      <c r="S487" s="415">
        <v>138</v>
      </c>
      <c r="T487" s="416">
        <v>138</v>
      </c>
      <c r="U487" s="416">
        <v>138</v>
      </c>
      <c r="V487" s="416">
        <v>138</v>
      </c>
      <c r="W487" s="416">
        <v>138</v>
      </c>
      <c r="X487" s="416">
        <v>138</v>
      </c>
      <c r="Y487" s="416">
        <v>138</v>
      </c>
      <c r="Z487" s="416">
        <v>138</v>
      </c>
      <c r="AA487" s="416">
        <v>138</v>
      </c>
      <c r="AB487" s="416">
        <v>135</v>
      </c>
      <c r="AC487" s="416">
        <v>131</v>
      </c>
      <c r="AD487" s="416">
        <v>128</v>
      </c>
      <c r="AE487" s="416">
        <v>125</v>
      </c>
      <c r="AF487" s="416">
        <v>123</v>
      </c>
      <c r="AG487" s="416">
        <v>120</v>
      </c>
      <c r="AH487" s="416">
        <v>119</v>
      </c>
      <c r="AI487" s="416">
        <v>117</v>
      </c>
      <c r="AJ487" s="416">
        <v>116</v>
      </c>
      <c r="AK487" s="416">
        <v>114</v>
      </c>
      <c r="AL487" s="416">
        <v>9</v>
      </c>
      <c r="AM487" s="416">
        <v>113</v>
      </c>
      <c r="AN487" s="416">
        <v>112</v>
      </c>
      <c r="AO487" s="416">
        <v>100</v>
      </c>
      <c r="AP487" s="416">
        <v>76.5</v>
      </c>
      <c r="AQ487" s="416">
        <v>58.7</v>
      </c>
      <c r="AR487" s="416">
        <v>46</v>
      </c>
      <c r="AS487" s="416">
        <v>36.799999999999997</v>
      </c>
      <c r="AT487" s="416">
        <v>28.7</v>
      </c>
      <c r="AU487" s="416">
        <v>23</v>
      </c>
      <c r="AV487" s="416">
        <v>18.399999999999999</v>
      </c>
      <c r="AW487" s="416">
        <v>14.5</v>
      </c>
      <c r="AX487" s="416">
        <v>11.5</v>
      </c>
      <c r="AY487" s="416">
        <v>9.02</v>
      </c>
      <c r="AZ487" s="416">
        <v>6.83</v>
      </c>
    </row>
    <row r="488" spans="1:52" x14ac:dyDescent="0.25">
      <c r="A488" s="415" t="str">
        <f t="shared" si="7"/>
        <v>SA-403 Gr.321H</v>
      </c>
      <c r="B488" s="415">
        <v>483</v>
      </c>
      <c r="C488" s="415" t="s">
        <v>3365</v>
      </c>
      <c r="D488" s="415" t="s">
        <v>3414</v>
      </c>
      <c r="E488" s="415" t="s">
        <v>2229</v>
      </c>
      <c r="F488" s="415" t="s">
        <v>2278</v>
      </c>
      <c r="G488" s="415" t="s">
        <v>3368</v>
      </c>
      <c r="H488" s="415" t="s">
        <v>3382</v>
      </c>
      <c r="I488" s="415">
        <v>0</v>
      </c>
      <c r="J488" s="415">
        <v>8</v>
      </c>
      <c r="K488" s="415">
        <v>1</v>
      </c>
      <c r="L488" s="415">
        <v>10</v>
      </c>
      <c r="M488" s="415">
        <v>515</v>
      </c>
      <c r="N488" s="415">
        <v>205</v>
      </c>
      <c r="O488" s="415">
        <v>816</v>
      </c>
      <c r="P488" s="415" t="s">
        <v>3069</v>
      </c>
      <c r="Q488" s="415" t="s">
        <v>3632</v>
      </c>
      <c r="R488" s="415">
        <v>10</v>
      </c>
      <c r="S488" s="415">
        <v>117</v>
      </c>
      <c r="T488" s="416">
        <v>117</v>
      </c>
      <c r="U488" s="416">
        <v>117</v>
      </c>
      <c r="V488" s="416">
        <v>117</v>
      </c>
      <c r="W488" s="416">
        <v>117</v>
      </c>
      <c r="X488" s="416">
        <v>117</v>
      </c>
      <c r="Y488" s="416">
        <v>117</v>
      </c>
      <c r="Z488" s="416">
        <v>117</v>
      </c>
      <c r="AA488" s="416">
        <v>117</v>
      </c>
      <c r="AB488" s="416">
        <v>115</v>
      </c>
      <c r="AC488" s="416">
        <v>111</v>
      </c>
      <c r="AD488" s="416">
        <v>109</v>
      </c>
      <c r="AE488" s="416">
        <v>106</v>
      </c>
      <c r="AF488" s="416">
        <v>104</v>
      </c>
      <c r="AG488" s="416">
        <v>102</v>
      </c>
      <c r="AH488" s="416">
        <v>101</v>
      </c>
      <c r="AI488" s="416">
        <v>99.4</v>
      </c>
      <c r="AJ488" s="416">
        <v>98.2</v>
      </c>
      <c r="AK488" s="416">
        <v>97.2</v>
      </c>
      <c r="AL488" s="416">
        <v>10</v>
      </c>
      <c r="AM488" s="416">
        <v>96.3</v>
      </c>
      <c r="AN488" s="416">
        <v>95.5</v>
      </c>
      <c r="AO488" s="416">
        <v>85.3</v>
      </c>
      <c r="AP488" s="416">
        <v>65.099999999999994</v>
      </c>
      <c r="AQ488" s="416">
        <v>49.9</v>
      </c>
      <c r="AR488" s="416">
        <v>39.1</v>
      </c>
      <c r="AS488" s="416">
        <v>31.3</v>
      </c>
      <c r="AT488" s="416">
        <v>24.4</v>
      </c>
      <c r="AU488" s="416">
        <v>19.5</v>
      </c>
      <c r="AV488" s="416">
        <v>15.6</v>
      </c>
      <c r="AW488" s="416">
        <v>12.3</v>
      </c>
      <c r="AX488" s="416">
        <v>9.8000000000000007</v>
      </c>
      <c r="AY488" s="416">
        <v>7.67</v>
      </c>
      <c r="AZ488" s="416">
        <v>5.8</v>
      </c>
    </row>
    <row r="489" spans="1:52" x14ac:dyDescent="0.25">
      <c r="A489" s="415" t="str">
        <f t="shared" si="7"/>
        <v>SA-403 Gr.321H</v>
      </c>
      <c r="B489" s="415">
        <v>484</v>
      </c>
      <c r="C489" s="415" t="s">
        <v>3365</v>
      </c>
      <c r="D489" s="415" t="s">
        <v>3414</v>
      </c>
      <c r="E489" s="415" t="s">
        <v>2229</v>
      </c>
      <c r="F489" s="415" t="s">
        <v>2278</v>
      </c>
      <c r="G489" s="415" t="s">
        <v>3368</v>
      </c>
      <c r="H489" s="415" t="s">
        <v>3384</v>
      </c>
      <c r="I489" s="415">
        <v>0</v>
      </c>
      <c r="J489" s="415">
        <v>8</v>
      </c>
      <c r="K489" s="415">
        <v>1</v>
      </c>
      <c r="L489" s="415">
        <v>11</v>
      </c>
      <c r="M489" s="415">
        <v>515</v>
      </c>
      <c r="N489" s="415">
        <v>205</v>
      </c>
      <c r="O489" s="415">
        <v>816</v>
      </c>
      <c r="P489" s="415" t="s">
        <v>3069</v>
      </c>
      <c r="Q489" s="415" t="s">
        <v>3632</v>
      </c>
      <c r="R489" s="415">
        <v>11</v>
      </c>
      <c r="S489" s="415">
        <v>117</v>
      </c>
      <c r="T489" s="416">
        <v>117</v>
      </c>
      <c r="U489" s="416">
        <v>117</v>
      </c>
      <c r="V489" s="416">
        <v>117</v>
      </c>
      <c r="W489" s="416">
        <v>117</v>
      </c>
      <c r="X489" s="416">
        <v>117</v>
      </c>
      <c r="Y489" s="416">
        <v>117</v>
      </c>
      <c r="Z489" s="416">
        <v>117</v>
      </c>
      <c r="AA489" s="416">
        <v>117</v>
      </c>
      <c r="AB489" s="416">
        <v>115</v>
      </c>
      <c r="AC489" s="416">
        <v>111</v>
      </c>
      <c r="AD489" s="416">
        <v>109</v>
      </c>
      <c r="AE489" s="416">
        <v>106</v>
      </c>
      <c r="AF489" s="416">
        <v>104</v>
      </c>
      <c r="AG489" s="416">
        <v>102</v>
      </c>
      <c r="AH489" s="416">
        <v>101</v>
      </c>
      <c r="AI489" s="416">
        <v>99.4</v>
      </c>
      <c r="AJ489" s="416">
        <v>98.2</v>
      </c>
      <c r="AK489" s="416">
        <v>97.2</v>
      </c>
      <c r="AL489" s="416">
        <v>11</v>
      </c>
      <c r="AM489" s="416">
        <v>96.3</v>
      </c>
      <c r="AN489" s="416">
        <v>95.5</v>
      </c>
      <c r="AO489" s="416">
        <v>85.3</v>
      </c>
      <c r="AP489" s="416">
        <v>65.099999999999994</v>
      </c>
      <c r="AQ489" s="416">
        <v>49.9</v>
      </c>
      <c r="AR489" s="416">
        <v>39.1</v>
      </c>
      <c r="AS489" s="416">
        <v>31.3</v>
      </c>
      <c r="AT489" s="416">
        <v>24.4</v>
      </c>
      <c r="AU489" s="416">
        <v>19.5</v>
      </c>
      <c r="AV489" s="416">
        <v>15.6</v>
      </c>
      <c r="AW489" s="416">
        <v>12.3</v>
      </c>
      <c r="AX489" s="416">
        <v>9.8000000000000007</v>
      </c>
      <c r="AY489" s="416">
        <v>7.67</v>
      </c>
      <c r="AZ489" s="416">
        <v>5.8</v>
      </c>
    </row>
    <row r="490" spans="1:52" x14ac:dyDescent="0.25">
      <c r="A490" s="415" t="str">
        <f t="shared" si="7"/>
        <v>SA-240 Gr.317</v>
      </c>
      <c r="B490" s="415">
        <v>485</v>
      </c>
      <c r="C490" s="415" t="s">
        <v>3375</v>
      </c>
      <c r="D490" s="415" t="s">
        <v>2684</v>
      </c>
      <c r="E490" s="415" t="s">
        <v>2165</v>
      </c>
      <c r="F490" s="415">
        <v>317</v>
      </c>
      <c r="G490" s="415" t="s">
        <v>3377</v>
      </c>
      <c r="H490" s="415">
        <v>0</v>
      </c>
      <c r="I490" s="415" t="s">
        <v>3604</v>
      </c>
      <c r="J490" s="415">
        <v>8</v>
      </c>
      <c r="K490" s="415">
        <v>1</v>
      </c>
      <c r="L490" s="415">
        <v>12</v>
      </c>
      <c r="M490" s="415">
        <v>515</v>
      </c>
      <c r="N490" s="415">
        <v>205</v>
      </c>
      <c r="O490" s="415">
        <v>816</v>
      </c>
      <c r="P490" s="415" t="s">
        <v>3069</v>
      </c>
      <c r="Q490" s="415" t="s">
        <v>3608</v>
      </c>
      <c r="R490" s="415">
        <v>12</v>
      </c>
      <c r="S490" s="415">
        <v>138</v>
      </c>
      <c r="T490" s="416">
        <v>138</v>
      </c>
      <c r="U490" s="416">
        <v>138</v>
      </c>
      <c r="V490" s="416">
        <v>138</v>
      </c>
      <c r="W490" s="416">
        <v>138</v>
      </c>
      <c r="X490" s="416">
        <v>138</v>
      </c>
      <c r="Y490" s="416">
        <v>138</v>
      </c>
      <c r="Z490" s="416">
        <v>134</v>
      </c>
      <c r="AA490" s="416">
        <v>129</v>
      </c>
      <c r="AB490" s="416">
        <v>125</v>
      </c>
      <c r="AC490" s="416">
        <v>122</v>
      </c>
      <c r="AD490" s="416">
        <v>119</v>
      </c>
      <c r="AE490" s="416">
        <v>116</v>
      </c>
      <c r="AF490" s="416">
        <v>114</v>
      </c>
      <c r="AG490" s="416">
        <v>112</v>
      </c>
      <c r="AH490" s="416">
        <v>111</v>
      </c>
      <c r="AI490" s="416">
        <v>110</v>
      </c>
      <c r="AJ490" s="416">
        <v>109</v>
      </c>
      <c r="AK490" s="416">
        <v>108</v>
      </c>
      <c r="AL490" s="416">
        <v>12</v>
      </c>
      <c r="AM490" s="416">
        <v>107</v>
      </c>
      <c r="AN490" s="416">
        <v>106</v>
      </c>
      <c r="AO490" s="416">
        <v>105</v>
      </c>
      <c r="AP490" s="416">
        <v>99.9</v>
      </c>
      <c r="AQ490" s="416">
        <v>80.8</v>
      </c>
      <c r="AR490" s="416">
        <v>65</v>
      </c>
      <c r="AS490" s="416">
        <v>50.4</v>
      </c>
      <c r="AT490" s="416">
        <v>38.6</v>
      </c>
      <c r="AU490" s="416">
        <v>29.6</v>
      </c>
      <c r="AV490" s="416">
        <v>23</v>
      </c>
      <c r="AW490" s="416">
        <v>17.5</v>
      </c>
      <c r="AX490" s="416">
        <v>13.5</v>
      </c>
      <c r="AY490" s="416">
        <v>10.6</v>
      </c>
      <c r="AZ490" s="416">
        <v>8.1199999999999992</v>
      </c>
    </row>
    <row r="491" spans="1:52" x14ac:dyDescent="0.25">
      <c r="A491" s="415" t="str">
        <f t="shared" si="7"/>
        <v>SA-249 Gr.TP317</v>
      </c>
      <c r="B491" s="415">
        <v>486</v>
      </c>
      <c r="C491" s="415" t="s">
        <v>3375</v>
      </c>
      <c r="D491" s="415" t="s">
        <v>2689</v>
      </c>
      <c r="E491" s="415" t="s">
        <v>2200</v>
      </c>
      <c r="F491" s="415" t="s">
        <v>2573</v>
      </c>
      <c r="G491" s="415" t="s">
        <v>3377</v>
      </c>
      <c r="H491" s="415">
        <v>0</v>
      </c>
      <c r="I491" s="415">
        <v>0</v>
      </c>
      <c r="J491" s="415">
        <v>8</v>
      </c>
      <c r="K491" s="415">
        <v>1</v>
      </c>
      <c r="L491" s="415">
        <v>13</v>
      </c>
      <c r="M491" s="415">
        <v>515</v>
      </c>
      <c r="N491" s="415">
        <v>205</v>
      </c>
      <c r="O491" s="415">
        <v>816</v>
      </c>
      <c r="P491" s="415" t="s">
        <v>3069</v>
      </c>
      <c r="Q491" s="415" t="s">
        <v>3610</v>
      </c>
      <c r="R491" s="415">
        <v>13</v>
      </c>
      <c r="S491" s="415">
        <v>117</v>
      </c>
      <c r="T491" s="416">
        <v>117</v>
      </c>
      <c r="U491" s="416">
        <v>117</v>
      </c>
      <c r="V491" s="416">
        <v>117</v>
      </c>
      <c r="W491" s="416">
        <v>117</v>
      </c>
      <c r="X491" s="416">
        <v>117</v>
      </c>
      <c r="Y491" s="416">
        <v>117</v>
      </c>
      <c r="Z491" s="416">
        <v>114</v>
      </c>
      <c r="AA491" s="416">
        <v>110</v>
      </c>
      <c r="AB491" s="416">
        <v>107</v>
      </c>
      <c r="AC491" s="416">
        <v>104</v>
      </c>
      <c r="AD491" s="416">
        <v>101</v>
      </c>
      <c r="AE491" s="416">
        <v>98.9</v>
      </c>
      <c r="AF491" s="416">
        <v>97.1</v>
      </c>
      <c r="AG491" s="416">
        <v>95.6</v>
      </c>
      <c r="AH491" s="416">
        <v>94.3</v>
      </c>
      <c r="AI491" s="416">
        <v>93.2</v>
      </c>
      <c r="AJ491" s="416">
        <v>92.3</v>
      </c>
      <c r="AK491" s="416">
        <v>91.5</v>
      </c>
      <c r="AL491" s="416">
        <v>13</v>
      </c>
      <c r="AM491" s="416">
        <v>90.7</v>
      </c>
      <c r="AN491" s="416">
        <v>90</v>
      </c>
      <c r="AO491" s="416">
        <v>89.2</v>
      </c>
      <c r="AP491" s="416">
        <v>84.9</v>
      </c>
      <c r="AQ491" s="416">
        <v>68.7</v>
      </c>
      <c r="AR491" s="416">
        <v>55.2</v>
      </c>
      <c r="AS491" s="416">
        <v>42.9</v>
      </c>
      <c r="AT491" s="416">
        <v>32.799999999999997</v>
      </c>
      <c r="AU491" s="416">
        <v>25.2</v>
      </c>
      <c r="AV491" s="416">
        <v>19.5</v>
      </c>
      <c r="AW491" s="416">
        <v>14.8</v>
      </c>
      <c r="AX491" s="416">
        <v>11.5</v>
      </c>
      <c r="AY491" s="416">
        <v>8.9700000000000006</v>
      </c>
      <c r="AZ491" s="416">
        <v>6.9</v>
      </c>
    </row>
    <row r="492" spans="1:52" x14ac:dyDescent="0.25">
      <c r="A492" s="415" t="str">
        <f t="shared" si="7"/>
        <v>SA-312 Gr.TP317</v>
      </c>
      <c r="B492" s="415">
        <v>487</v>
      </c>
      <c r="C492" s="415" t="s">
        <v>3375</v>
      </c>
      <c r="D492" s="415" t="s">
        <v>2703</v>
      </c>
      <c r="E492" s="415" t="s">
        <v>2208</v>
      </c>
      <c r="F492" s="415" t="s">
        <v>2573</v>
      </c>
      <c r="G492" s="415" t="s">
        <v>3377</v>
      </c>
      <c r="H492" s="415">
        <v>0</v>
      </c>
      <c r="I492" s="415" t="s">
        <v>3604</v>
      </c>
      <c r="J492" s="415">
        <v>8</v>
      </c>
      <c r="K492" s="415">
        <v>1</v>
      </c>
      <c r="L492" s="415">
        <v>14</v>
      </c>
      <c r="M492" s="415">
        <v>515</v>
      </c>
      <c r="N492" s="415">
        <v>205</v>
      </c>
      <c r="O492" s="415">
        <v>816</v>
      </c>
      <c r="P492" s="415" t="s">
        <v>3069</v>
      </c>
      <c r="Q492" s="415" t="s">
        <v>3608</v>
      </c>
      <c r="R492" s="415">
        <v>14</v>
      </c>
      <c r="S492" s="415">
        <v>138</v>
      </c>
      <c r="T492" s="416">
        <v>138</v>
      </c>
      <c r="U492" s="416">
        <v>138</v>
      </c>
      <c r="V492" s="416">
        <v>138</v>
      </c>
      <c r="W492" s="416">
        <v>138</v>
      </c>
      <c r="X492" s="416">
        <v>138</v>
      </c>
      <c r="Y492" s="416">
        <v>138</v>
      </c>
      <c r="Z492" s="416">
        <v>134</v>
      </c>
      <c r="AA492" s="416">
        <v>129</v>
      </c>
      <c r="AB492" s="416">
        <v>125</v>
      </c>
      <c r="AC492" s="416">
        <v>122</v>
      </c>
      <c r="AD492" s="416">
        <v>119</v>
      </c>
      <c r="AE492" s="416">
        <v>116</v>
      </c>
      <c r="AF492" s="416">
        <v>114</v>
      </c>
      <c r="AG492" s="416">
        <v>112</v>
      </c>
      <c r="AH492" s="416">
        <v>111</v>
      </c>
      <c r="AI492" s="416">
        <v>110</v>
      </c>
      <c r="AJ492" s="416">
        <v>109</v>
      </c>
      <c r="AK492" s="416">
        <v>108</v>
      </c>
      <c r="AL492" s="416">
        <v>14</v>
      </c>
      <c r="AM492" s="416">
        <v>107</v>
      </c>
      <c r="AN492" s="416">
        <v>106</v>
      </c>
      <c r="AO492" s="416">
        <v>105</v>
      </c>
      <c r="AP492" s="416">
        <v>99.9</v>
      </c>
      <c r="AQ492" s="416">
        <v>80.8</v>
      </c>
      <c r="AR492" s="416">
        <v>65</v>
      </c>
      <c r="AS492" s="416">
        <v>50.4</v>
      </c>
      <c r="AT492" s="416">
        <v>38.6</v>
      </c>
      <c r="AU492" s="416">
        <v>29.6</v>
      </c>
      <c r="AV492" s="416">
        <v>23</v>
      </c>
      <c r="AW492" s="416">
        <v>17.5</v>
      </c>
      <c r="AX492" s="416">
        <v>13.5</v>
      </c>
      <c r="AY492" s="416">
        <v>10.6</v>
      </c>
      <c r="AZ492" s="416">
        <v>8.1199999999999992</v>
      </c>
    </row>
    <row r="493" spans="1:52" x14ac:dyDescent="0.25">
      <c r="A493" s="415" t="str">
        <f t="shared" si="7"/>
        <v>SA-312 Gr.TP317</v>
      </c>
      <c r="B493" s="415">
        <v>488</v>
      </c>
      <c r="C493" s="415" t="s">
        <v>3375</v>
      </c>
      <c r="D493" s="415" t="s">
        <v>2680</v>
      </c>
      <c r="E493" s="415" t="s">
        <v>2208</v>
      </c>
      <c r="F493" s="415" t="s">
        <v>2573</v>
      </c>
      <c r="G493" s="415" t="s">
        <v>3377</v>
      </c>
      <c r="H493" s="415">
        <v>0</v>
      </c>
      <c r="I493" s="415" t="s">
        <v>3604</v>
      </c>
      <c r="J493" s="415">
        <v>8</v>
      </c>
      <c r="K493" s="415">
        <v>1</v>
      </c>
      <c r="L493" s="415">
        <v>15</v>
      </c>
      <c r="M493" s="415">
        <v>515</v>
      </c>
      <c r="N493" s="415">
        <v>205</v>
      </c>
      <c r="O493" s="415">
        <v>816</v>
      </c>
      <c r="P493" s="415" t="s">
        <v>3069</v>
      </c>
      <c r="Q493" s="415" t="s">
        <v>3610</v>
      </c>
      <c r="R493" s="415">
        <v>15</v>
      </c>
      <c r="S493" s="415">
        <v>117</v>
      </c>
      <c r="T493" s="416">
        <v>117</v>
      </c>
      <c r="U493" s="416">
        <v>117</v>
      </c>
      <c r="V493" s="416">
        <v>117</v>
      </c>
      <c r="W493" s="416">
        <v>117</v>
      </c>
      <c r="X493" s="416">
        <v>117</v>
      </c>
      <c r="Y493" s="416">
        <v>117</v>
      </c>
      <c r="Z493" s="416">
        <v>114</v>
      </c>
      <c r="AA493" s="416">
        <v>110</v>
      </c>
      <c r="AB493" s="416">
        <v>107</v>
      </c>
      <c r="AC493" s="416">
        <v>104</v>
      </c>
      <c r="AD493" s="416">
        <v>101</v>
      </c>
      <c r="AE493" s="416">
        <v>98.9</v>
      </c>
      <c r="AF493" s="416">
        <v>97.1</v>
      </c>
      <c r="AG493" s="416">
        <v>95.6</v>
      </c>
      <c r="AH493" s="416">
        <v>94.3</v>
      </c>
      <c r="AI493" s="416">
        <v>93.2</v>
      </c>
      <c r="AJ493" s="416">
        <v>92.3</v>
      </c>
      <c r="AK493" s="416">
        <v>91.5</v>
      </c>
      <c r="AL493" s="416">
        <v>15</v>
      </c>
      <c r="AM493" s="416">
        <v>90.7</v>
      </c>
      <c r="AN493" s="416">
        <v>90</v>
      </c>
      <c r="AO493" s="416">
        <v>89.2</v>
      </c>
      <c r="AP493" s="416">
        <v>84.9</v>
      </c>
      <c r="AQ493" s="416">
        <v>68.7</v>
      </c>
      <c r="AR493" s="416">
        <v>55.2</v>
      </c>
      <c r="AS493" s="416">
        <v>42.9</v>
      </c>
      <c r="AT493" s="416">
        <v>32.799999999999997</v>
      </c>
      <c r="AU493" s="416">
        <v>25.2</v>
      </c>
      <c r="AV493" s="416">
        <v>19.5</v>
      </c>
      <c r="AW493" s="416">
        <v>14.8</v>
      </c>
      <c r="AX493" s="416">
        <v>11.5</v>
      </c>
      <c r="AY493" s="416">
        <v>8.9700000000000006</v>
      </c>
      <c r="AZ493" s="416">
        <v>6.9</v>
      </c>
    </row>
    <row r="494" spans="1:52" x14ac:dyDescent="0.25">
      <c r="A494" s="415" t="str">
        <f t="shared" si="7"/>
        <v>SA-403 Gr.317</v>
      </c>
      <c r="B494" s="415">
        <v>489</v>
      </c>
      <c r="C494" s="415" t="s">
        <v>3375</v>
      </c>
      <c r="D494" s="415" t="s">
        <v>913</v>
      </c>
      <c r="E494" s="415" t="s">
        <v>2229</v>
      </c>
      <c r="F494" s="415">
        <v>317</v>
      </c>
      <c r="G494" s="415" t="s">
        <v>3377</v>
      </c>
      <c r="H494" s="415" t="s">
        <v>3381</v>
      </c>
      <c r="I494" s="415">
        <v>0</v>
      </c>
      <c r="J494" s="415">
        <v>8</v>
      </c>
      <c r="K494" s="415">
        <v>1</v>
      </c>
      <c r="L494" s="415">
        <v>16</v>
      </c>
      <c r="M494" s="415">
        <v>515</v>
      </c>
      <c r="N494" s="415">
        <v>205</v>
      </c>
      <c r="O494" s="415">
        <v>816</v>
      </c>
      <c r="P494" s="415" t="s">
        <v>3069</v>
      </c>
      <c r="Q494" s="415" t="s">
        <v>3607</v>
      </c>
      <c r="R494" s="415">
        <v>16</v>
      </c>
      <c r="S494" s="415">
        <v>138</v>
      </c>
      <c r="T494" s="416">
        <v>138</v>
      </c>
      <c r="U494" s="416">
        <v>138</v>
      </c>
      <c r="V494" s="416">
        <v>138</v>
      </c>
      <c r="W494" s="416">
        <v>138</v>
      </c>
      <c r="X494" s="416">
        <v>138</v>
      </c>
      <c r="Y494" s="416">
        <v>138</v>
      </c>
      <c r="Z494" s="416">
        <v>134</v>
      </c>
      <c r="AA494" s="416">
        <v>129</v>
      </c>
      <c r="AB494" s="416">
        <v>125</v>
      </c>
      <c r="AC494" s="416">
        <v>122</v>
      </c>
      <c r="AD494" s="416">
        <v>119</v>
      </c>
      <c r="AE494" s="416">
        <v>116</v>
      </c>
      <c r="AF494" s="416">
        <v>114</v>
      </c>
      <c r="AG494" s="416">
        <v>112</v>
      </c>
      <c r="AH494" s="416">
        <v>111</v>
      </c>
      <c r="AI494" s="416">
        <v>110</v>
      </c>
      <c r="AJ494" s="416">
        <v>109</v>
      </c>
      <c r="AK494" s="416">
        <v>108</v>
      </c>
      <c r="AL494" s="416">
        <v>16</v>
      </c>
      <c r="AM494" s="416">
        <v>107</v>
      </c>
      <c r="AN494" s="416">
        <v>106</v>
      </c>
      <c r="AO494" s="416">
        <v>105</v>
      </c>
      <c r="AP494" s="416">
        <v>99.9</v>
      </c>
      <c r="AQ494" s="416">
        <v>80.8</v>
      </c>
      <c r="AR494" s="416">
        <v>65</v>
      </c>
      <c r="AS494" s="416">
        <v>50.4</v>
      </c>
      <c r="AT494" s="416">
        <v>38.6</v>
      </c>
      <c r="AU494" s="416">
        <v>29.6</v>
      </c>
      <c r="AV494" s="416">
        <v>23</v>
      </c>
      <c r="AW494" s="416">
        <v>17.5</v>
      </c>
      <c r="AX494" s="416">
        <v>13.5</v>
      </c>
      <c r="AY494" s="416">
        <v>10.6</v>
      </c>
      <c r="AZ494" s="416">
        <v>8.1199999999999992</v>
      </c>
    </row>
    <row r="495" spans="1:52" x14ac:dyDescent="0.25">
      <c r="A495" s="415" t="str">
        <f t="shared" si="7"/>
        <v>SA-240 Gr.317L</v>
      </c>
      <c r="B495" s="415">
        <v>490</v>
      </c>
      <c r="C495" s="415" t="s">
        <v>3375</v>
      </c>
      <c r="D495" s="415" t="s">
        <v>2684</v>
      </c>
      <c r="E495" s="415" t="s">
        <v>2165</v>
      </c>
      <c r="F495" s="415" t="s">
        <v>2276</v>
      </c>
      <c r="G495" s="415" t="s">
        <v>3376</v>
      </c>
      <c r="H495" s="415">
        <v>0</v>
      </c>
      <c r="I495" s="415">
        <v>0</v>
      </c>
      <c r="J495" s="415">
        <v>8</v>
      </c>
      <c r="K495" s="415">
        <v>1</v>
      </c>
      <c r="L495" s="415">
        <v>17</v>
      </c>
      <c r="M495" s="415">
        <v>515</v>
      </c>
      <c r="N495" s="415">
        <v>205</v>
      </c>
      <c r="O495" s="415">
        <v>454</v>
      </c>
      <c r="P495" s="415" t="s">
        <v>3203</v>
      </c>
      <c r="Q495" s="415" t="s">
        <v>3602</v>
      </c>
      <c r="R495" s="415">
        <v>17</v>
      </c>
      <c r="S495" s="415">
        <v>138</v>
      </c>
      <c r="T495" s="416">
        <v>138</v>
      </c>
      <c r="U495" s="416">
        <v>138</v>
      </c>
      <c r="V495" s="416">
        <v>138</v>
      </c>
      <c r="W495" s="416">
        <v>138</v>
      </c>
      <c r="X495" s="416">
        <v>138</v>
      </c>
      <c r="Y495" s="416">
        <v>136</v>
      </c>
      <c r="Z495" s="416">
        <v>131</v>
      </c>
      <c r="AA495" s="416">
        <v>127</v>
      </c>
      <c r="AB495" s="416">
        <v>123</v>
      </c>
      <c r="AC495" s="416">
        <v>120</v>
      </c>
      <c r="AD495" s="416">
        <v>118</v>
      </c>
      <c r="AE495" s="416">
        <v>115</v>
      </c>
      <c r="AF495" s="416">
        <v>113</v>
      </c>
      <c r="AG495" s="416">
        <v>111</v>
      </c>
      <c r="AH495" s="416">
        <v>109</v>
      </c>
      <c r="AI495" s="416">
        <v>107</v>
      </c>
      <c r="AJ495" s="416">
        <v>105</v>
      </c>
      <c r="AK495" s="416">
        <v>103</v>
      </c>
      <c r="AL495" s="416">
        <v>17</v>
      </c>
      <c r="AM495" s="416">
        <v>0</v>
      </c>
      <c r="AN495" s="416">
        <v>0</v>
      </c>
      <c r="AO495" s="416">
        <v>0</v>
      </c>
      <c r="AP495" s="416">
        <v>0</v>
      </c>
      <c r="AQ495" s="416">
        <v>0</v>
      </c>
      <c r="AR495" s="416">
        <v>0</v>
      </c>
      <c r="AS495" s="416">
        <v>0</v>
      </c>
      <c r="AT495" s="416">
        <v>0</v>
      </c>
      <c r="AU495" s="416">
        <v>0</v>
      </c>
      <c r="AV495" s="416">
        <v>0</v>
      </c>
      <c r="AW495" s="416">
        <v>0</v>
      </c>
      <c r="AX495" s="416">
        <v>0</v>
      </c>
      <c r="AY495" s="416">
        <v>0</v>
      </c>
      <c r="AZ495" s="416">
        <v>0</v>
      </c>
    </row>
    <row r="496" spans="1:52" x14ac:dyDescent="0.25">
      <c r="A496" s="415" t="str">
        <f t="shared" si="7"/>
        <v>SA-403 Gr.317L</v>
      </c>
      <c r="B496" s="415">
        <v>491</v>
      </c>
      <c r="C496" s="415" t="s">
        <v>3375</v>
      </c>
      <c r="D496" s="415" t="s">
        <v>913</v>
      </c>
      <c r="E496" s="415" t="s">
        <v>2229</v>
      </c>
      <c r="F496" s="415" t="s">
        <v>2276</v>
      </c>
      <c r="G496" s="415" t="s">
        <v>3376</v>
      </c>
      <c r="H496" s="415" t="s">
        <v>3381</v>
      </c>
      <c r="I496" s="415">
        <v>0</v>
      </c>
      <c r="J496" s="415">
        <v>8</v>
      </c>
      <c r="K496" s="415">
        <v>1</v>
      </c>
      <c r="L496" s="415">
        <v>18</v>
      </c>
      <c r="M496" s="415">
        <v>515</v>
      </c>
      <c r="N496" s="415">
        <v>205</v>
      </c>
      <c r="O496" s="415">
        <v>454</v>
      </c>
      <c r="P496" s="415" t="s">
        <v>3203</v>
      </c>
      <c r="Q496" s="415" t="s">
        <v>3602</v>
      </c>
      <c r="R496" s="415">
        <v>18</v>
      </c>
      <c r="S496" s="415">
        <v>138</v>
      </c>
      <c r="T496" s="416">
        <v>138</v>
      </c>
      <c r="U496" s="416">
        <v>138</v>
      </c>
      <c r="V496" s="416">
        <v>138</v>
      </c>
      <c r="W496" s="416">
        <v>138</v>
      </c>
      <c r="X496" s="416">
        <v>138</v>
      </c>
      <c r="Y496" s="416">
        <v>136</v>
      </c>
      <c r="Z496" s="416">
        <v>131</v>
      </c>
      <c r="AA496" s="416">
        <v>127</v>
      </c>
      <c r="AB496" s="416">
        <v>123</v>
      </c>
      <c r="AC496" s="416">
        <v>120</v>
      </c>
      <c r="AD496" s="416">
        <v>118</v>
      </c>
      <c r="AE496" s="416">
        <v>115</v>
      </c>
      <c r="AF496" s="416">
        <v>113</v>
      </c>
      <c r="AG496" s="416">
        <v>111</v>
      </c>
      <c r="AH496" s="416">
        <v>109</v>
      </c>
      <c r="AI496" s="416">
        <v>107</v>
      </c>
      <c r="AJ496" s="416">
        <v>105</v>
      </c>
      <c r="AK496" s="416">
        <v>103</v>
      </c>
      <c r="AL496" s="416">
        <v>18</v>
      </c>
      <c r="AM496" s="416">
        <v>0</v>
      </c>
      <c r="AN496" s="416">
        <v>0</v>
      </c>
      <c r="AO496" s="416">
        <v>0</v>
      </c>
      <c r="AP496" s="416">
        <v>0</v>
      </c>
      <c r="AQ496" s="416">
        <v>0</v>
      </c>
      <c r="AR496" s="416">
        <v>0</v>
      </c>
      <c r="AS496" s="416">
        <v>0</v>
      </c>
      <c r="AT496" s="416">
        <v>0</v>
      </c>
      <c r="AU496" s="416">
        <v>0</v>
      </c>
      <c r="AV496" s="416">
        <v>0</v>
      </c>
      <c r="AW496" s="416">
        <v>0</v>
      </c>
      <c r="AX496" s="416">
        <v>0</v>
      </c>
      <c r="AY496" s="416">
        <v>0</v>
      </c>
      <c r="AZ496" s="416">
        <v>0</v>
      </c>
    </row>
    <row r="497" spans="1:52" x14ac:dyDescent="0.25">
      <c r="A497" s="415" t="str">
        <f t="shared" si="7"/>
        <v>SA-213 Gr.XM-15</v>
      </c>
      <c r="B497" s="415">
        <v>492</v>
      </c>
      <c r="C497" s="415" t="s">
        <v>3385</v>
      </c>
      <c r="D497" s="415" t="s">
        <v>2693</v>
      </c>
      <c r="E497" s="415" t="s">
        <v>2195</v>
      </c>
      <c r="F497" s="415" t="s">
        <v>2620</v>
      </c>
      <c r="G497" s="415" t="s">
        <v>3386</v>
      </c>
      <c r="H497" s="415">
        <v>0</v>
      </c>
      <c r="I497" s="415" t="s">
        <v>3604</v>
      </c>
      <c r="J497" s="415">
        <v>8</v>
      </c>
      <c r="K497" s="415">
        <v>1</v>
      </c>
      <c r="L497" s="415">
        <v>19</v>
      </c>
      <c r="M497" s="415">
        <v>515</v>
      </c>
      <c r="N497" s="415">
        <v>205</v>
      </c>
      <c r="O497" s="415">
        <v>538</v>
      </c>
      <c r="P497" s="415" t="s">
        <v>3069</v>
      </c>
      <c r="Q497" s="415" t="s">
        <v>3621</v>
      </c>
      <c r="R497" s="415">
        <v>19</v>
      </c>
      <c r="S497" s="415">
        <v>138</v>
      </c>
      <c r="T497" s="416">
        <v>138</v>
      </c>
      <c r="U497" s="416">
        <v>138</v>
      </c>
      <c r="V497" s="416">
        <v>138</v>
      </c>
      <c r="W497" s="416">
        <v>138</v>
      </c>
      <c r="X497" s="416">
        <v>138</v>
      </c>
      <c r="Y497" s="416">
        <v>134</v>
      </c>
      <c r="Z497" s="416">
        <v>129</v>
      </c>
      <c r="AA497" s="416">
        <v>125</v>
      </c>
      <c r="AB497" s="416">
        <v>122</v>
      </c>
      <c r="AC497" s="416">
        <v>119</v>
      </c>
      <c r="AD497" s="416">
        <v>116</v>
      </c>
      <c r="AE497" s="416">
        <v>113</v>
      </c>
      <c r="AF497" s="416">
        <v>111</v>
      </c>
      <c r="AG497" s="416">
        <v>109</v>
      </c>
      <c r="AH497" s="416">
        <v>107</v>
      </c>
      <c r="AI497" s="416">
        <v>105</v>
      </c>
      <c r="AJ497" s="416">
        <v>103</v>
      </c>
      <c r="AK497" s="416">
        <v>101</v>
      </c>
      <c r="AL497" s="416">
        <v>19</v>
      </c>
      <c r="AM497" s="416">
        <v>99.1</v>
      </c>
      <c r="AN497" s="416">
        <v>97.3</v>
      </c>
      <c r="AO497" s="416">
        <v>95.5</v>
      </c>
      <c r="AP497" s="416">
        <v>0</v>
      </c>
      <c r="AQ497" s="416">
        <v>0</v>
      </c>
      <c r="AR497" s="416">
        <v>0</v>
      </c>
      <c r="AS497" s="416">
        <v>0</v>
      </c>
      <c r="AT497" s="416">
        <v>0</v>
      </c>
      <c r="AU497" s="416">
        <v>0</v>
      </c>
      <c r="AV497" s="416">
        <v>0</v>
      </c>
      <c r="AW497" s="416">
        <v>0</v>
      </c>
      <c r="AX497" s="416">
        <v>0</v>
      </c>
      <c r="AY497" s="416">
        <v>0</v>
      </c>
      <c r="AZ497" s="416">
        <v>0</v>
      </c>
    </row>
    <row r="498" spans="1:52" x14ac:dyDescent="0.25">
      <c r="A498" s="415" t="str">
        <f t="shared" si="7"/>
        <v>SA-240 Gr.XM-15</v>
      </c>
      <c r="B498" s="415">
        <v>493</v>
      </c>
      <c r="C498" s="415" t="s">
        <v>3385</v>
      </c>
      <c r="D498" s="415" t="s">
        <v>2684</v>
      </c>
      <c r="E498" s="415" t="s">
        <v>2165</v>
      </c>
      <c r="F498" s="415" t="s">
        <v>2620</v>
      </c>
      <c r="G498" s="415" t="s">
        <v>3386</v>
      </c>
      <c r="H498" s="415">
        <v>0</v>
      </c>
      <c r="I498" s="415" t="s">
        <v>3604</v>
      </c>
      <c r="J498" s="415">
        <v>8</v>
      </c>
      <c r="K498" s="415">
        <v>1</v>
      </c>
      <c r="L498" s="415">
        <v>20</v>
      </c>
      <c r="M498" s="415">
        <v>515</v>
      </c>
      <c r="N498" s="415">
        <v>205</v>
      </c>
      <c r="O498" s="415">
        <v>538</v>
      </c>
      <c r="P498" s="415" t="s">
        <v>3069</v>
      </c>
      <c r="Q498" s="415" t="s">
        <v>3621</v>
      </c>
      <c r="R498" s="415">
        <v>20</v>
      </c>
      <c r="S498" s="415">
        <v>138</v>
      </c>
      <c r="T498" s="416">
        <v>138</v>
      </c>
      <c r="U498" s="416">
        <v>138</v>
      </c>
      <c r="V498" s="416">
        <v>138</v>
      </c>
      <c r="W498" s="416">
        <v>138</v>
      </c>
      <c r="X498" s="416">
        <v>138</v>
      </c>
      <c r="Y498" s="416">
        <v>134</v>
      </c>
      <c r="Z498" s="416">
        <v>129</v>
      </c>
      <c r="AA498" s="416">
        <v>125</v>
      </c>
      <c r="AB498" s="416">
        <v>122</v>
      </c>
      <c r="AC498" s="416">
        <v>119</v>
      </c>
      <c r="AD498" s="416">
        <v>116</v>
      </c>
      <c r="AE498" s="416">
        <v>113</v>
      </c>
      <c r="AF498" s="416">
        <v>111</v>
      </c>
      <c r="AG498" s="416">
        <v>109</v>
      </c>
      <c r="AH498" s="416">
        <v>107</v>
      </c>
      <c r="AI498" s="416">
        <v>105</v>
      </c>
      <c r="AJ498" s="416">
        <v>103</v>
      </c>
      <c r="AK498" s="416">
        <v>101</v>
      </c>
      <c r="AL498" s="416">
        <v>20</v>
      </c>
      <c r="AM498" s="416">
        <v>99.1</v>
      </c>
      <c r="AN498" s="416">
        <v>97.3</v>
      </c>
      <c r="AO498" s="416">
        <v>95.5</v>
      </c>
      <c r="AP498" s="416">
        <v>0</v>
      </c>
      <c r="AQ498" s="416">
        <v>0</v>
      </c>
      <c r="AR498" s="416">
        <v>0</v>
      </c>
      <c r="AS498" s="416">
        <v>0</v>
      </c>
      <c r="AT498" s="416">
        <v>0</v>
      </c>
      <c r="AU498" s="416">
        <v>0</v>
      </c>
      <c r="AV498" s="416">
        <v>0</v>
      </c>
      <c r="AW498" s="416">
        <v>0</v>
      </c>
      <c r="AX498" s="416">
        <v>0</v>
      </c>
      <c r="AY498" s="416">
        <v>0</v>
      </c>
      <c r="AZ498" s="416">
        <v>0</v>
      </c>
    </row>
    <row r="499" spans="1:52" x14ac:dyDescent="0.25">
      <c r="A499" s="415" t="str">
        <f t="shared" si="7"/>
        <v>SA-249 Gr.TPXM-15</v>
      </c>
      <c r="B499" s="415">
        <v>494</v>
      </c>
      <c r="C499" s="415" t="s">
        <v>3385</v>
      </c>
      <c r="D499" s="415" t="s">
        <v>2689</v>
      </c>
      <c r="E499" s="415" t="s">
        <v>2200</v>
      </c>
      <c r="F499" s="415" t="s">
        <v>2591</v>
      </c>
      <c r="G499" s="415" t="s">
        <v>3386</v>
      </c>
      <c r="H499" s="415">
        <v>0</v>
      </c>
      <c r="I499" s="415" t="s">
        <v>3604</v>
      </c>
      <c r="J499" s="415">
        <v>8</v>
      </c>
      <c r="K499" s="415">
        <v>1</v>
      </c>
      <c r="L499" s="415">
        <v>21</v>
      </c>
      <c r="M499" s="415">
        <v>515</v>
      </c>
      <c r="N499" s="415">
        <v>205</v>
      </c>
      <c r="O499" s="415">
        <v>538</v>
      </c>
      <c r="P499" s="415" t="s">
        <v>3069</v>
      </c>
      <c r="Q499" s="415" t="s">
        <v>3637</v>
      </c>
      <c r="R499" s="415">
        <v>21</v>
      </c>
      <c r="S499" s="415">
        <v>117</v>
      </c>
      <c r="T499" s="416">
        <v>117</v>
      </c>
      <c r="U499" s="416">
        <v>117</v>
      </c>
      <c r="V499" s="416">
        <v>117</v>
      </c>
      <c r="W499" s="416">
        <v>117</v>
      </c>
      <c r="X499" s="416">
        <v>117</v>
      </c>
      <c r="Y499" s="416">
        <v>114</v>
      </c>
      <c r="Z499" s="416">
        <v>110</v>
      </c>
      <c r="AA499" s="416">
        <v>106</v>
      </c>
      <c r="AB499" s="416">
        <v>103</v>
      </c>
      <c r="AC499" s="416">
        <v>101</v>
      </c>
      <c r="AD499" s="416">
        <v>98.5</v>
      </c>
      <c r="AE499" s="416">
        <v>96.4</v>
      </c>
      <c r="AF499" s="416">
        <v>94.4</v>
      </c>
      <c r="AG499" s="416">
        <v>92.5</v>
      </c>
      <c r="AH499" s="416">
        <v>90.7</v>
      </c>
      <c r="AI499" s="416">
        <v>89</v>
      </c>
      <c r="AJ499" s="416">
        <v>87.4</v>
      </c>
      <c r="AK499" s="416">
        <v>85.8</v>
      </c>
      <c r="AL499" s="416">
        <v>21</v>
      </c>
      <c r="AM499" s="416">
        <v>84.3</v>
      </c>
      <c r="AN499" s="416">
        <v>82.7</v>
      </c>
      <c r="AO499" s="416">
        <v>81.2</v>
      </c>
      <c r="AP499" s="416">
        <v>0</v>
      </c>
      <c r="AQ499" s="416">
        <v>0</v>
      </c>
      <c r="AR499" s="416">
        <v>0</v>
      </c>
      <c r="AS499" s="416">
        <v>0</v>
      </c>
      <c r="AT499" s="416">
        <v>0</v>
      </c>
      <c r="AU499" s="416">
        <v>0</v>
      </c>
      <c r="AV499" s="416">
        <v>0</v>
      </c>
      <c r="AW499" s="416">
        <v>0</v>
      </c>
      <c r="AX499" s="416">
        <v>0</v>
      </c>
      <c r="AY499" s="416">
        <v>0</v>
      </c>
      <c r="AZ499" s="416">
        <v>0</v>
      </c>
    </row>
    <row r="500" spans="1:52" x14ac:dyDescent="0.25">
      <c r="A500" s="415" t="str">
        <f t="shared" si="7"/>
        <v>SA-312 Gr.TPXM-15</v>
      </c>
      <c r="B500" s="415">
        <v>495</v>
      </c>
      <c r="C500" s="415" t="s">
        <v>3385</v>
      </c>
      <c r="D500" s="415" t="s">
        <v>2703</v>
      </c>
      <c r="E500" s="415" t="s">
        <v>2208</v>
      </c>
      <c r="F500" s="415" t="s">
        <v>2591</v>
      </c>
      <c r="G500" s="415" t="s">
        <v>3386</v>
      </c>
      <c r="H500" s="415">
        <v>0</v>
      </c>
      <c r="I500" s="415" t="s">
        <v>3604</v>
      </c>
      <c r="J500" s="415">
        <v>8</v>
      </c>
      <c r="K500" s="415">
        <v>1</v>
      </c>
      <c r="L500" s="415">
        <v>22</v>
      </c>
      <c r="M500" s="415">
        <v>515</v>
      </c>
      <c r="N500" s="415">
        <v>205</v>
      </c>
      <c r="O500" s="415">
        <v>538</v>
      </c>
      <c r="P500" s="415" t="s">
        <v>3069</v>
      </c>
      <c r="Q500" s="415" t="s">
        <v>3621</v>
      </c>
      <c r="R500" s="415">
        <v>22</v>
      </c>
      <c r="S500" s="415">
        <v>138</v>
      </c>
      <c r="T500" s="416">
        <v>138</v>
      </c>
      <c r="U500" s="416">
        <v>138</v>
      </c>
      <c r="V500" s="416">
        <v>138</v>
      </c>
      <c r="W500" s="416">
        <v>138</v>
      </c>
      <c r="X500" s="416">
        <v>138</v>
      </c>
      <c r="Y500" s="416">
        <v>134</v>
      </c>
      <c r="Z500" s="416">
        <v>129</v>
      </c>
      <c r="AA500" s="416">
        <v>125</v>
      </c>
      <c r="AB500" s="416">
        <v>122</v>
      </c>
      <c r="AC500" s="416">
        <v>119</v>
      </c>
      <c r="AD500" s="416">
        <v>116</v>
      </c>
      <c r="AE500" s="416">
        <v>113</v>
      </c>
      <c r="AF500" s="416">
        <v>111</v>
      </c>
      <c r="AG500" s="416">
        <v>109</v>
      </c>
      <c r="AH500" s="416">
        <v>107</v>
      </c>
      <c r="AI500" s="416">
        <v>105</v>
      </c>
      <c r="AJ500" s="416">
        <v>103</v>
      </c>
      <c r="AK500" s="416">
        <v>101</v>
      </c>
      <c r="AL500" s="416">
        <v>22</v>
      </c>
      <c r="AM500" s="416">
        <v>99.1</v>
      </c>
      <c r="AN500" s="416">
        <v>97.3</v>
      </c>
      <c r="AO500" s="416">
        <v>95.5</v>
      </c>
      <c r="AP500" s="416">
        <v>0</v>
      </c>
      <c r="AQ500" s="416">
        <v>0</v>
      </c>
      <c r="AR500" s="416">
        <v>0</v>
      </c>
      <c r="AS500" s="416">
        <v>0</v>
      </c>
      <c r="AT500" s="416">
        <v>0</v>
      </c>
      <c r="AU500" s="416">
        <v>0</v>
      </c>
      <c r="AV500" s="416">
        <v>0</v>
      </c>
      <c r="AW500" s="416">
        <v>0</v>
      </c>
      <c r="AX500" s="416">
        <v>0</v>
      </c>
      <c r="AY500" s="416">
        <v>0</v>
      </c>
      <c r="AZ500" s="416">
        <v>0</v>
      </c>
    </row>
    <row r="501" spans="1:52" x14ac:dyDescent="0.25">
      <c r="A501" s="415" t="str">
        <f t="shared" si="7"/>
        <v>SA-312 Gr.TPXM-15</v>
      </c>
      <c r="B501" s="415">
        <v>496</v>
      </c>
      <c r="C501" s="415" t="s">
        <v>3385</v>
      </c>
      <c r="D501" s="415" t="s">
        <v>2680</v>
      </c>
      <c r="E501" s="415" t="s">
        <v>2208</v>
      </c>
      <c r="F501" s="415" t="s">
        <v>2591</v>
      </c>
      <c r="G501" s="415" t="s">
        <v>3386</v>
      </c>
      <c r="H501" s="415">
        <v>0</v>
      </c>
      <c r="I501" s="415" t="s">
        <v>3604</v>
      </c>
      <c r="J501" s="415">
        <v>8</v>
      </c>
      <c r="K501" s="415">
        <v>1</v>
      </c>
      <c r="L501" s="415">
        <v>23</v>
      </c>
      <c r="M501" s="415">
        <v>515</v>
      </c>
      <c r="N501" s="415">
        <v>205</v>
      </c>
      <c r="O501" s="415">
        <v>538</v>
      </c>
      <c r="P501" s="415" t="s">
        <v>3069</v>
      </c>
      <c r="Q501" s="415" t="s">
        <v>3637</v>
      </c>
      <c r="R501" s="415">
        <v>23</v>
      </c>
      <c r="S501" s="415">
        <v>117</v>
      </c>
      <c r="T501" s="416">
        <v>117</v>
      </c>
      <c r="U501" s="416">
        <v>117</v>
      </c>
      <c r="V501" s="416">
        <v>117</v>
      </c>
      <c r="W501" s="416">
        <v>117</v>
      </c>
      <c r="X501" s="416">
        <v>117</v>
      </c>
      <c r="Y501" s="416">
        <v>114</v>
      </c>
      <c r="Z501" s="416">
        <v>110</v>
      </c>
      <c r="AA501" s="416">
        <v>106</v>
      </c>
      <c r="AB501" s="416">
        <v>103</v>
      </c>
      <c r="AC501" s="416">
        <v>101</v>
      </c>
      <c r="AD501" s="416">
        <v>98.5</v>
      </c>
      <c r="AE501" s="416">
        <v>96.4</v>
      </c>
      <c r="AF501" s="416">
        <v>94.4</v>
      </c>
      <c r="AG501" s="416">
        <v>92.5</v>
      </c>
      <c r="AH501" s="416">
        <v>90.7</v>
      </c>
      <c r="AI501" s="416">
        <v>89</v>
      </c>
      <c r="AJ501" s="416">
        <v>87.4</v>
      </c>
      <c r="AK501" s="416">
        <v>85.8</v>
      </c>
      <c r="AL501" s="416">
        <v>23</v>
      </c>
      <c r="AM501" s="416">
        <v>84.3</v>
      </c>
      <c r="AN501" s="416">
        <v>82.7</v>
      </c>
      <c r="AO501" s="416">
        <v>81.2</v>
      </c>
      <c r="AP501" s="416">
        <v>0</v>
      </c>
      <c r="AQ501" s="416">
        <v>0</v>
      </c>
      <c r="AR501" s="416">
        <v>0</v>
      </c>
      <c r="AS501" s="416">
        <v>0</v>
      </c>
      <c r="AT501" s="416">
        <v>0</v>
      </c>
      <c r="AU501" s="416">
        <v>0</v>
      </c>
      <c r="AV501" s="416">
        <v>0</v>
      </c>
      <c r="AW501" s="416">
        <v>0</v>
      </c>
      <c r="AX501" s="416">
        <v>0</v>
      </c>
      <c r="AY501" s="416">
        <v>0</v>
      </c>
      <c r="AZ501" s="416">
        <v>0</v>
      </c>
    </row>
    <row r="502" spans="1:52" x14ac:dyDescent="0.25">
      <c r="A502" s="415" t="str">
        <f t="shared" si="7"/>
        <v>SA-182 Gr.FXM-11</v>
      </c>
      <c r="B502" s="415">
        <v>497</v>
      </c>
      <c r="C502" s="415" t="s">
        <v>3403</v>
      </c>
      <c r="D502" s="415" t="s">
        <v>2737</v>
      </c>
      <c r="E502" s="415" t="s">
        <v>2188</v>
      </c>
      <c r="F502" s="415" t="s">
        <v>2476</v>
      </c>
      <c r="G502" s="415" t="s">
        <v>3404</v>
      </c>
      <c r="H502" s="415">
        <v>0</v>
      </c>
      <c r="I502" s="415">
        <v>0</v>
      </c>
      <c r="J502" s="415">
        <v>8</v>
      </c>
      <c r="K502" s="415">
        <v>3</v>
      </c>
      <c r="L502" s="415">
        <v>24</v>
      </c>
      <c r="M502" s="415">
        <v>620</v>
      </c>
      <c r="N502" s="415">
        <v>345</v>
      </c>
      <c r="O502" s="415">
        <v>316</v>
      </c>
      <c r="P502" s="415" t="s">
        <v>3073</v>
      </c>
      <c r="Q502" s="415" t="s">
        <v>3602</v>
      </c>
      <c r="R502" s="415">
        <v>24</v>
      </c>
      <c r="S502" s="415">
        <v>230</v>
      </c>
      <c r="T502" s="416">
        <v>230</v>
      </c>
      <c r="U502" s="416">
        <v>230</v>
      </c>
      <c r="V502" s="416">
        <v>230</v>
      </c>
      <c r="W502" s="416">
        <v>218</v>
      </c>
      <c r="X502" s="416">
        <v>204</v>
      </c>
      <c r="Y502" s="416">
        <v>193</v>
      </c>
      <c r="Z502" s="416">
        <v>184</v>
      </c>
      <c r="AA502" s="416">
        <v>176</v>
      </c>
      <c r="AB502" s="416">
        <v>170</v>
      </c>
      <c r="AC502" s="416">
        <v>165</v>
      </c>
      <c r="AD502" s="416">
        <v>161</v>
      </c>
      <c r="AE502" s="416">
        <v>159</v>
      </c>
      <c r="AF502" s="416">
        <v>157</v>
      </c>
      <c r="AG502" s="416">
        <v>0</v>
      </c>
      <c r="AH502" s="416">
        <v>0</v>
      </c>
      <c r="AI502" s="416">
        <v>0</v>
      </c>
      <c r="AJ502" s="416">
        <v>0</v>
      </c>
      <c r="AK502" s="416">
        <v>0</v>
      </c>
      <c r="AL502" s="416">
        <v>24</v>
      </c>
      <c r="AM502" s="416">
        <v>0</v>
      </c>
      <c r="AN502" s="416">
        <v>0</v>
      </c>
      <c r="AO502" s="416">
        <v>0</v>
      </c>
      <c r="AP502" s="416">
        <v>0</v>
      </c>
      <c r="AQ502" s="416">
        <v>0</v>
      </c>
      <c r="AR502" s="416">
        <v>0</v>
      </c>
      <c r="AS502" s="416">
        <v>0</v>
      </c>
      <c r="AT502" s="416">
        <v>0</v>
      </c>
      <c r="AU502" s="416">
        <v>0</v>
      </c>
      <c r="AV502" s="416">
        <v>0</v>
      </c>
      <c r="AW502" s="416">
        <v>0</v>
      </c>
      <c r="AX502" s="416">
        <v>0</v>
      </c>
      <c r="AY502" s="416">
        <v>0</v>
      </c>
      <c r="AZ502" s="416">
        <v>0</v>
      </c>
    </row>
    <row r="503" spans="1:52" x14ac:dyDescent="0.25">
      <c r="A503" s="415" t="str">
        <f t="shared" si="7"/>
        <v>SA-312 Gr.TPXM-11</v>
      </c>
      <c r="B503" s="415">
        <v>498</v>
      </c>
      <c r="C503" s="415" t="s">
        <v>3403</v>
      </c>
      <c r="D503" s="415" t="s">
        <v>2703</v>
      </c>
      <c r="E503" s="415" t="s">
        <v>2208</v>
      </c>
      <c r="F503" s="415" t="s">
        <v>2590</v>
      </c>
      <c r="G503" s="415" t="s">
        <v>3404</v>
      </c>
      <c r="H503" s="415">
        <v>0</v>
      </c>
      <c r="I503" s="415">
        <v>0</v>
      </c>
      <c r="J503" s="415">
        <v>8</v>
      </c>
      <c r="K503" s="415">
        <v>3</v>
      </c>
      <c r="L503" s="415">
        <v>25</v>
      </c>
      <c r="M503" s="415">
        <v>620</v>
      </c>
      <c r="N503" s="415">
        <v>345</v>
      </c>
      <c r="O503" s="415">
        <v>316</v>
      </c>
      <c r="P503" s="415" t="s">
        <v>3073</v>
      </c>
      <c r="Q503" s="415" t="s">
        <v>3602</v>
      </c>
      <c r="R503" s="415">
        <v>25</v>
      </c>
      <c r="S503" s="415">
        <v>230</v>
      </c>
      <c r="T503" s="416">
        <v>230</v>
      </c>
      <c r="U503" s="416">
        <v>230</v>
      </c>
      <c r="V503" s="416">
        <v>230</v>
      </c>
      <c r="W503" s="416">
        <v>218</v>
      </c>
      <c r="X503" s="416">
        <v>204</v>
      </c>
      <c r="Y503" s="416">
        <v>193</v>
      </c>
      <c r="Z503" s="416">
        <v>184</v>
      </c>
      <c r="AA503" s="416">
        <v>176</v>
      </c>
      <c r="AB503" s="416">
        <v>170</v>
      </c>
      <c r="AC503" s="416">
        <v>165</v>
      </c>
      <c r="AD503" s="416">
        <v>161</v>
      </c>
      <c r="AE503" s="416">
        <v>159</v>
      </c>
      <c r="AF503" s="416">
        <v>157</v>
      </c>
      <c r="AG503" s="416">
        <v>0</v>
      </c>
      <c r="AH503" s="416">
        <v>0</v>
      </c>
      <c r="AI503" s="416">
        <v>0</v>
      </c>
      <c r="AJ503" s="416">
        <v>0</v>
      </c>
      <c r="AK503" s="416">
        <v>0</v>
      </c>
      <c r="AL503" s="416">
        <v>25</v>
      </c>
      <c r="AM503" s="416">
        <v>0</v>
      </c>
      <c r="AN503" s="416">
        <v>0</v>
      </c>
      <c r="AO503" s="416">
        <v>0</v>
      </c>
      <c r="AP503" s="416">
        <v>0</v>
      </c>
      <c r="AQ503" s="416">
        <v>0</v>
      </c>
      <c r="AR503" s="416">
        <v>0</v>
      </c>
      <c r="AS503" s="416">
        <v>0</v>
      </c>
      <c r="AT503" s="416">
        <v>0</v>
      </c>
      <c r="AU503" s="416">
        <v>0</v>
      </c>
      <c r="AV503" s="416">
        <v>0</v>
      </c>
      <c r="AW503" s="416">
        <v>0</v>
      </c>
      <c r="AX503" s="416">
        <v>0</v>
      </c>
      <c r="AY503" s="416">
        <v>0</v>
      </c>
      <c r="AZ503" s="416">
        <v>0</v>
      </c>
    </row>
    <row r="504" spans="1:52" x14ac:dyDescent="0.25">
      <c r="A504" s="415" t="str">
        <f t="shared" si="7"/>
        <v>SA-312 Gr.TPXM-11</v>
      </c>
      <c r="B504" s="415">
        <v>499</v>
      </c>
      <c r="C504" s="415" t="s">
        <v>3403</v>
      </c>
      <c r="D504" s="415" t="s">
        <v>2680</v>
      </c>
      <c r="E504" s="415" t="s">
        <v>2208</v>
      </c>
      <c r="F504" s="415" t="s">
        <v>2590</v>
      </c>
      <c r="G504" s="415" t="s">
        <v>3404</v>
      </c>
      <c r="H504" s="415">
        <v>0</v>
      </c>
      <c r="I504" s="415">
        <v>0</v>
      </c>
      <c r="J504" s="415">
        <v>8</v>
      </c>
      <c r="K504" s="415">
        <v>3</v>
      </c>
      <c r="L504" s="415">
        <v>26</v>
      </c>
      <c r="M504" s="415">
        <v>620</v>
      </c>
      <c r="N504" s="415">
        <v>345</v>
      </c>
      <c r="O504" s="415">
        <v>316</v>
      </c>
      <c r="P504" s="415" t="s">
        <v>3073</v>
      </c>
      <c r="Q504" s="415" t="s">
        <v>3605</v>
      </c>
      <c r="R504" s="415">
        <v>26</v>
      </c>
      <c r="S504" s="415">
        <v>195</v>
      </c>
      <c r="T504" s="416">
        <v>195</v>
      </c>
      <c r="U504" s="416">
        <v>195</v>
      </c>
      <c r="V504" s="416">
        <v>195</v>
      </c>
      <c r="W504" s="416">
        <v>185</v>
      </c>
      <c r="X504" s="416">
        <v>174</v>
      </c>
      <c r="Y504" s="416">
        <v>164</v>
      </c>
      <c r="Z504" s="416">
        <v>156</v>
      </c>
      <c r="AA504" s="416">
        <v>150</v>
      </c>
      <c r="AB504" s="416">
        <v>145</v>
      </c>
      <c r="AC504" s="416">
        <v>140</v>
      </c>
      <c r="AD504" s="416">
        <v>137</v>
      </c>
      <c r="AE504" s="416">
        <v>135</v>
      </c>
      <c r="AF504" s="416">
        <v>133</v>
      </c>
      <c r="AG504" s="416">
        <v>0</v>
      </c>
      <c r="AH504" s="416">
        <v>0</v>
      </c>
      <c r="AI504" s="416">
        <v>0</v>
      </c>
      <c r="AJ504" s="416">
        <v>0</v>
      </c>
      <c r="AK504" s="416">
        <v>0</v>
      </c>
      <c r="AL504" s="416">
        <v>26</v>
      </c>
      <c r="AM504" s="416">
        <v>0</v>
      </c>
      <c r="AN504" s="416">
        <v>0</v>
      </c>
      <c r="AO504" s="416">
        <v>0</v>
      </c>
      <c r="AP504" s="416">
        <v>0</v>
      </c>
      <c r="AQ504" s="416">
        <v>0</v>
      </c>
      <c r="AR504" s="416">
        <v>0</v>
      </c>
      <c r="AS504" s="416">
        <v>0</v>
      </c>
      <c r="AT504" s="416">
        <v>0</v>
      </c>
      <c r="AU504" s="416">
        <v>0</v>
      </c>
      <c r="AV504" s="416">
        <v>0</v>
      </c>
      <c r="AW504" s="416">
        <v>0</v>
      </c>
      <c r="AX504" s="416">
        <v>0</v>
      </c>
      <c r="AY504" s="416">
        <v>0</v>
      </c>
      <c r="AZ504" s="416">
        <v>0</v>
      </c>
    </row>
    <row r="505" spans="1:52" x14ac:dyDescent="0.25">
      <c r="A505" s="415" t="str">
        <f t="shared" si="7"/>
        <v>SA-666 Gr.XM-11</v>
      </c>
      <c r="B505" s="415">
        <v>500</v>
      </c>
      <c r="C505" s="415" t="s">
        <v>3403</v>
      </c>
      <c r="D505" s="415" t="s">
        <v>2684</v>
      </c>
      <c r="E505" s="415" t="s">
        <v>2293</v>
      </c>
      <c r="F505" s="415" t="s">
        <v>2619</v>
      </c>
      <c r="G505" s="415" t="s">
        <v>3404</v>
      </c>
      <c r="H505" s="415">
        <v>0</v>
      </c>
      <c r="I505" s="415">
        <v>0</v>
      </c>
      <c r="J505" s="415">
        <v>8</v>
      </c>
      <c r="K505" s="415">
        <v>3</v>
      </c>
      <c r="L505" s="415">
        <v>27</v>
      </c>
      <c r="M505" s="415">
        <v>620</v>
      </c>
      <c r="N505" s="415">
        <v>345</v>
      </c>
      <c r="O505" s="415">
        <v>316</v>
      </c>
      <c r="P505" s="415" t="s">
        <v>3073</v>
      </c>
      <c r="Q505" s="415" t="s">
        <v>3602</v>
      </c>
      <c r="R505" s="415">
        <v>27</v>
      </c>
      <c r="S505" s="415">
        <v>230</v>
      </c>
      <c r="T505" s="416">
        <v>230</v>
      </c>
      <c r="U505" s="416">
        <v>230</v>
      </c>
      <c r="V505" s="416">
        <v>230</v>
      </c>
      <c r="W505" s="416">
        <v>218</v>
      </c>
      <c r="X505" s="416">
        <v>204</v>
      </c>
      <c r="Y505" s="416">
        <v>193</v>
      </c>
      <c r="Z505" s="416">
        <v>184</v>
      </c>
      <c r="AA505" s="416">
        <v>176</v>
      </c>
      <c r="AB505" s="416">
        <v>170</v>
      </c>
      <c r="AC505" s="416">
        <v>165</v>
      </c>
      <c r="AD505" s="416">
        <v>161</v>
      </c>
      <c r="AE505" s="416">
        <v>159</v>
      </c>
      <c r="AF505" s="416">
        <v>157</v>
      </c>
      <c r="AG505" s="416">
        <v>0</v>
      </c>
      <c r="AH505" s="416">
        <v>0</v>
      </c>
      <c r="AI505" s="416">
        <v>0</v>
      </c>
      <c r="AJ505" s="416">
        <v>0</v>
      </c>
      <c r="AK505" s="416">
        <v>0</v>
      </c>
      <c r="AL505" s="416">
        <v>27</v>
      </c>
      <c r="AM505" s="416">
        <v>0</v>
      </c>
      <c r="AN505" s="416">
        <v>0</v>
      </c>
      <c r="AO505" s="416">
        <v>0</v>
      </c>
      <c r="AP505" s="416">
        <v>0</v>
      </c>
      <c r="AQ505" s="416">
        <v>0</v>
      </c>
      <c r="AR505" s="416">
        <v>0</v>
      </c>
      <c r="AS505" s="416">
        <v>0</v>
      </c>
      <c r="AT505" s="416">
        <v>0</v>
      </c>
      <c r="AU505" s="416">
        <v>0</v>
      </c>
      <c r="AV505" s="416">
        <v>0</v>
      </c>
      <c r="AW505" s="416">
        <v>0</v>
      </c>
      <c r="AX505" s="416">
        <v>0</v>
      </c>
      <c r="AY505" s="416">
        <v>0</v>
      </c>
      <c r="AZ505" s="416">
        <v>0</v>
      </c>
    </row>
    <row r="506" spans="1:52" x14ac:dyDescent="0.25">
      <c r="A506" s="415" t="str">
        <f t="shared" si="7"/>
        <v>SA-965 Gr.FXM-11</v>
      </c>
      <c r="B506" s="415">
        <v>501</v>
      </c>
      <c r="C506" s="415" t="s">
        <v>3403</v>
      </c>
      <c r="D506" s="415" t="s">
        <v>2737</v>
      </c>
      <c r="E506" s="415" t="s">
        <v>2337</v>
      </c>
      <c r="F506" s="415" t="s">
        <v>2476</v>
      </c>
      <c r="G506" s="415" t="s">
        <v>3404</v>
      </c>
      <c r="H506" s="415">
        <v>0</v>
      </c>
      <c r="I506" s="415">
        <v>0</v>
      </c>
      <c r="J506" s="415">
        <v>8</v>
      </c>
      <c r="K506" s="415">
        <v>3</v>
      </c>
      <c r="L506" s="415">
        <v>28</v>
      </c>
      <c r="M506" s="415">
        <v>620</v>
      </c>
      <c r="N506" s="415">
        <v>345</v>
      </c>
      <c r="O506" s="415">
        <v>316</v>
      </c>
      <c r="P506" s="415" t="s">
        <v>3073</v>
      </c>
      <c r="Q506" s="415" t="s">
        <v>3602</v>
      </c>
      <c r="R506" s="415">
        <v>28</v>
      </c>
      <c r="S506" s="415">
        <v>230</v>
      </c>
      <c r="T506" s="416">
        <v>230</v>
      </c>
      <c r="U506" s="416">
        <v>230</v>
      </c>
      <c r="V506" s="416">
        <v>230</v>
      </c>
      <c r="W506" s="416">
        <v>218</v>
      </c>
      <c r="X506" s="416">
        <v>204</v>
      </c>
      <c r="Y506" s="416">
        <v>193</v>
      </c>
      <c r="Z506" s="416">
        <v>184</v>
      </c>
      <c r="AA506" s="416">
        <v>176</v>
      </c>
      <c r="AB506" s="416">
        <v>170</v>
      </c>
      <c r="AC506" s="416">
        <v>165</v>
      </c>
      <c r="AD506" s="416">
        <v>161</v>
      </c>
      <c r="AE506" s="416">
        <v>159</v>
      </c>
      <c r="AF506" s="416">
        <v>157</v>
      </c>
      <c r="AG506" s="416">
        <v>0</v>
      </c>
      <c r="AH506" s="416">
        <v>0</v>
      </c>
      <c r="AI506" s="416">
        <v>0</v>
      </c>
      <c r="AJ506" s="416">
        <v>0</v>
      </c>
      <c r="AK506" s="416">
        <v>0</v>
      </c>
      <c r="AL506" s="416">
        <v>28</v>
      </c>
      <c r="AM506" s="416">
        <v>0</v>
      </c>
      <c r="AN506" s="416">
        <v>0</v>
      </c>
      <c r="AO506" s="416">
        <v>0</v>
      </c>
      <c r="AP506" s="416">
        <v>0</v>
      </c>
      <c r="AQ506" s="416">
        <v>0</v>
      </c>
      <c r="AR506" s="416">
        <v>0</v>
      </c>
      <c r="AS506" s="416">
        <v>0</v>
      </c>
      <c r="AT506" s="416">
        <v>0</v>
      </c>
      <c r="AU506" s="416">
        <v>0</v>
      </c>
      <c r="AV506" s="416">
        <v>0</v>
      </c>
      <c r="AW506" s="416">
        <v>0</v>
      </c>
      <c r="AX506" s="416">
        <v>0</v>
      </c>
      <c r="AY506" s="416">
        <v>0</v>
      </c>
      <c r="AZ506" s="416">
        <v>0</v>
      </c>
    </row>
    <row r="507" spans="1:52" x14ac:dyDescent="0.25">
      <c r="A507" s="415" t="str">
        <f t="shared" si="7"/>
        <v>SA-182 Gr.F51</v>
      </c>
      <c r="B507" s="415">
        <v>502</v>
      </c>
      <c r="C507" s="415" t="s">
        <v>3411</v>
      </c>
      <c r="D507" s="415" t="s">
        <v>2737</v>
      </c>
      <c r="E507" s="415" t="s">
        <v>2188</v>
      </c>
      <c r="F507" s="415" t="s">
        <v>2456</v>
      </c>
      <c r="G507" s="415" t="s">
        <v>3412</v>
      </c>
      <c r="H507" s="415">
        <v>0</v>
      </c>
      <c r="I507" s="415">
        <v>0</v>
      </c>
      <c r="J507" s="415" t="s">
        <v>3276</v>
      </c>
      <c r="K507" s="415">
        <v>1</v>
      </c>
      <c r="L507" s="415">
        <v>29</v>
      </c>
      <c r="M507" s="415">
        <v>620</v>
      </c>
      <c r="N507" s="415">
        <v>450</v>
      </c>
      <c r="O507" s="415">
        <v>204</v>
      </c>
      <c r="P507" s="415" t="s">
        <v>3061</v>
      </c>
      <c r="Q507" s="415" t="s">
        <v>3565</v>
      </c>
      <c r="R507" s="415">
        <v>29</v>
      </c>
      <c r="S507" s="415">
        <v>259</v>
      </c>
      <c r="T507" s="416">
        <v>259</v>
      </c>
      <c r="U507" s="416">
        <v>259</v>
      </c>
      <c r="V507" s="416">
        <v>259</v>
      </c>
      <c r="W507" s="416">
        <v>254</v>
      </c>
      <c r="X507" s="416">
        <v>247</v>
      </c>
      <c r="Y507" s="416">
        <v>241</v>
      </c>
      <c r="Z507" s="416">
        <v>236</v>
      </c>
      <c r="AA507" s="416">
        <v>232</v>
      </c>
      <c r="AB507" s="416">
        <v>0</v>
      </c>
      <c r="AC507" s="416">
        <v>0</v>
      </c>
      <c r="AD507" s="416">
        <v>0</v>
      </c>
      <c r="AE507" s="416">
        <v>0</v>
      </c>
      <c r="AF507" s="416">
        <v>0</v>
      </c>
      <c r="AG507" s="416">
        <v>0</v>
      </c>
      <c r="AH507" s="416">
        <v>0</v>
      </c>
      <c r="AI507" s="416">
        <v>0</v>
      </c>
      <c r="AJ507" s="416">
        <v>0</v>
      </c>
      <c r="AK507" s="416">
        <v>0</v>
      </c>
      <c r="AL507" s="416">
        <v>29</v>
      </c>
      <c r="AM507" s="416">
        <v>0</v>
      </c>
      <c r="AN507" s="416">
        <v>0</v>
      </c>
      <c r="AO507" s="416">
        <v>0</v>
      </c>
      <c r="AP507" s="416">
        <v>0</v>
      </c>
      <c r="AQ507" s="416">
        <v>0</v>
      </c>
      <c r="AR507" s="416">
        <v>0</v>
      </c>
      <c r="AS507" s="416">
        <v>0</v>
      </c>
      <c r="AT507" s="416">
        <v>0</v>
      </c>
      <c r="AU507" s="416">
        <v>0</v>
      </c>
      <c r="AV507" s="416">
        <v>0</v>
      </c>
      <c r="AW507" s="416">
        <v>0</v>
      </c>
      <c r="AX507" s="416">
        <v>0</v>
      </c>
      <c r="AY507" s="416">
        <v>0</v>
      </c>
      <c r="AZ507" s="416">
        <v>0</v>
      </c>
    </row>
    <row r="508" spans="1:52" x14ac:dyDescent="0.25">
      <c r="A508" s="415" t="str">
        <f t="shared" si="7"/>
        <v>SA-240 Gr.0</v>
      </c>
      <c r="B508" s="415">
        <v>503</v>
      </c>
      <c r="C508" s="415" t="s">
        <v>3411</v>
      </c>
      <c r="D508" s="415" t="s">
        <v>2684</v>
      </c>
      <c r="E508" s="415" t="s">
        <v>2165</v>
      </c>
      <c r="F508" s="415">
        <v>0</v>
      </c>
      <c r="G508" s="415" t="s">
        <v>3412</v>
      </c>
      <c r="H508" s="415">
        <v>0</v>
      </c>
      <c r="I508" s="415">
        <v>0</v>
      </c>
      <c r="J508" s="415" t="s">
        <v>3276</v>
      </c>
      <c r="K508" s="415">
        <v>1</v>
      </c>
      <c r="L508" s="415">
        <v>30</v>
      </c>
      <c r="M508" s="415">
        <v>620</v>
      </c>
      <c r="N508" s="415">
        <v>450</v>
      </c>
      <c r="O508" s="415">
        <v>204</v>
      </c>
      <c r="P508" s="415" t="s">
        <v>3061</v>
      </c>
      <c r="Q508" s="415" t="s">
        <v>3565</v>
      </c>
      <c r="R508" s="415">
        <v>30</v>
      </c>
      <c r="S508" s="415">
        <v>259</v>
      </c>
      <c r="T508" s="416">
        <v>259</v>
      </c>
      <c r="U508" s="416">
        <v>259</v>
      </c>
      <c r="V508" s="416">
        <v>259</v>
      </c>
      <c r="W508" s="416">
        <v>254</v>
      </c>
      <c r="X508" s="416">
        <v>247</v>
      </c>
      <c r="Y508" s="416">
        <v>241</v>
      </c>
      <c r="Z508" s="416">
        <v>236</v>
      </c>
      <c r="AA508" s="416">
        <v>232</v>
      </c>
      <c r="AB508" s="416">
        <v>0</v>
      </c>
      <c r="AC508" s="416">
        <v>0</v>
      </c>
      <c r="AD508" s="416">
        <v>0</v>
      </c>
      <c r="AE508" s="416">
        <v>0</v>
      </c>
      <c r="AF508" s="416">
        <v>0</v>
      </c>
      <c r="AG508" s="416">
        <v>0</v>
      </c>
      <c r="AH508" s="416">
        <v>0</v>
      </c>
      <c r="AI508" s="416">
        <v>0</v>
      </c>
      <c r="AJ508" s="416">
        <v>0</v>
      </c>
      <c r="AK508" s="416">
        <v>0</v>
      </c>
      <c r="AL508" s="416">
        <v>30</v>
      </c>
      <c r="AM508" s="416">
        <v>0</v>
      </c>
      <c r="AN508" s="416">
        <v>0</v>
      </c>
      <c r="AO508" s="416">
        <v>0</v>
      </c>
      <c r="AP508" s="416">
        <v>0</v>
      </c>
      <c r="AQ508" s="416">
        <v>0</v>
      </c>
      <c r="AR508" s="416">
        <v>0</v>
      </c>
      <c r="AS508" s="416">
        <v>0</v>
      </c>
      <c r="AT508" s="416">
        <v>0</v>
      </c>
      <c r="AU508" s="416">
        <v>0</v>
      </c>
      <c r="AV508" s="416">
        <v>0</v>
      </c>
      <c r="AW508" s="416">
        <v>0</v>
      </c>
      <c r="AX508" s="416">
        <v>0</v>
      </c>
      <c r="AY508" s="416">
        <v>0</v>
      </c>
      <c r="AZ508" s="416">
        <v>0</v>
      </c>
    </row>
    <row r="509" spans="1:52" x14ac:dyDescent="0.25">
      <c r="A509" s="415" t="str">
        <f t="shared" si="7"/>
        <v>SA-789 Gr.0</v>
      </c>
      <c r="B509" s="415">
        <v>504</v>
      </c>
      <c r="C509" s="415" t="s">
        <v>3411</v>
      </c>
      <c r="D509" s="415" t="s">
        <v>2693</v>
      </c>
      <c r="E509" s="415" t="s">
        <v>2322</v>
      </c>
      <c r="F509" s="415">
        <v>0</v>
      </c>
      <c r="G509" s="415" t="s">
        <v>3412</v>
      </c>
      <c r="H509" s="415">
        <v>0</v>
      </c>
      <c r="I509" s="415">
        <v>0</v>
      </c>
      <c r="J509" s="415" t="s">
        <v>3276</v>
      </c>
      <c r="K509" s="415">
        <v>1</v>
      </c>
      <c r="L509" s="415">
        <v>31</v>
      </c>
      <c r="M509" s="415">
        <v>620</v>
      </c>
      <c r="N509" s="415">
        <v>450</v>
      </c>
      <c r="O509" s="415">
        <v>204</v>
      </c>
      <c r="P509" s="415" t="s">
        <v>3061</v>
      </c>
      <c r="Q509" s="415" t="s">
        <v>3565</v>
      </c>
      <c r="R509" s="415">
        <v>31</v>
      </c>
      <c r="S509" s="415">
        <v>259</v>
      </c>
      <c r="T509" s="416">
        <v>259</v>
      </c>
      <c r="U509" s="416">
        <v>259</v>
      </c>
      <c r="V509" s="416">
        <v>259</v>
      </c>
      <c r="W509" s="416">
        <v>254</v>
      </c>
      <c r="X509" s="416">
        <v>247</v>
      </c>
      <c r="Y509" s="416">
        <v>241</v>
      </c>
      <c r="Z509" s="416">
        <v>236</v>
      </c>
      <c r="AA509" s="416">
        <v>232</v>
      </c>
      <c r="AB509" s="416">
        <v>0</v>
      </c>
      <c r="AC509" s="416">
        <v>0</v>
      </c>
      <c r="AD509" s="416">
        <v>0</v>
      </c>
      <c r="AE509" s="416">
        <v>0</v>
      </c>
      <c r="AF509" s="416">
        <v>0</v>
      </c>
      <c r="AG509" s="416">
        <v>0</v>
      </c>
      <c r="AH509" s="416">
        <v>0</v>
      </c>
      <c r="AI509" s="416">
        <v>0</v>
      </c>
      <c r="AJ509" s="416">
        <v>0</v>
      </c>
      <c r="AK509" s="416">
        <v>0</v>
      </c>
      <c r="AL509" s="416">
        <v>31</v>
      </c>
      <c r="AM509" s="416">
        <v>0</v>
      </c>
      <c r="AN509" s="416">
        <v>0</v>
      </c>
      <c r="AO509" s="416">
        <v>0</v>
      </c>
      <c r="AP509" s="416">
        <v>0</v>
      </c>
      <c r="AQ509" s="416">
        <v>0</v>
      </c>
      <c r="AR509" s="416">
        <v>0</v>
      </c>
      <c r="AS509" s="416">
        <v>0</v>
      </c>
      <c r="AT509" s="416">
        <v>0</v>
      </c>
      <c r="AU509" s="416">
        <v>0</v>
      </c>
      <c r="AV509" s="416">
        <v>0</v>
      </c>
      <c r="AW509" s="416">
        <v>0</v>
      </c>
      <c r="AX509" s="416">
        <v>0</v>
      </c>
      <c r="AY509" s="416">
        <v>0</v>
      </c>
      <c r="AZ509" s="416">
        <v>0</v>
      </c>
    </row>
    <row r="510" spans="1:52" x14ac:dyDescent="0.25">
      <c r="A510" s="415" t="str">
        <f t="shared" si="7"/>
        <v>SA-789 Gr.0</v>
      </c>
      <c r="B510" s="415">
        <v>505</v>
      </c>
      <c r="C510" s="415" t="s">
        <v>3411</v>
      </c>
      <c r="D510" s="415" t="s">
        <v>2689</v>
      </c>
      <c r="E510" s="415" t="s">
        <v>2322</v>
      </c>
      <c r="F510" s="415">
        <v>0</v>
      </c>
      <c r="G510" s="415" t="s">
        <v>3412</v>
      </c>
      <c r="H510" s="415">
        <v>0</v>
      </c>
      <c r="I510" s="415">
        <v>0</v>
      </c>
      <c r="J510" s="415" t="s">
        <v>3276</v>
      </c>
      <c r="K510" s="415">
        <v>1</v>
      </c>
      <c r="L510" s="415">
        <v>32</v>
      </c>
      <c r="M510" s="415">
        <v>620</v>
      </c>
      <c r="N510" s="415">
        <v>450</v>
      </c>
      <c r="O510" s="415">
        <v>204</v>
      </c>
      <c r="P510" s="415" t="s">
        <v>3061</v>
      </c>
      <c r="Q510" s="415" t="s">
        <v>3617</v>
      </c>
      <c r="R510" s="415">
        <v>32</v>
      </c>
      <c r="S510" s="415">
        <v>220</v>
      </c>
      <c r="T510" s="416">
        <v>220</v>
      </c>
      <c r="U510" s="416">
        <v>220</v>
      </c>
      <c r="V510" s="416">
        <v>220</v>
      </c>
      <c r="W510" s="416">
        <v>216</v>
      </c>
      <c r="X510" s="416">
        <v>210</v>
      </c>
      <c r="Y510" s="416">
        <v>205</v>
      </c>
      <c r="Z510" s="416">
        <v>201</v>
      </c>
      <c r="AA510" s="416">
        <v>198</v>
      </c>
      <c r="AB510" s="416">
        <v>0</v>
      </c>
      <c r="AC510" s="416">
        <v>0</v>
      </c>
      <c r="AD510" s="416">
        <v>0</v>
      </c>
      <c r="AE510" s="416">
        <v>0</v>
      </c>
      <c r="AF510" s="416">
        <v>0</v>
      </c>
      <c r="AG510" s="416">
        <v>0</v>
      </c>
      <c r="AH510" s="416">
        <v>0</v>
      </c>
      <c r="AI510" s="416">
        <v>0</v>
      </c>
      <c r="AJ510" s="416">
        <v>0</v>
      </c>
      <c r="AK510" s="416">
        <v>0</v>
      </c>
      <c r="AL510" s="416">
        <v>32</v>
      </c>
      <c r="AM510" s="416">
        <v>0</v>
      </c>
      <c r="AN510" s="416">
        <v>0</v>
      </c>
      <c r="AO510" s="416">
        <v>0</v>
      </c>
      <c r="AP510" s="416">
        <v>0</v>
      </c>
      <c r="AQ510" s="416">
        <v>0</v>
      </c>
      <c r="AR510" s="416">
        <v>0</v>
      </c>
      <c r="AS510" s="416">
        <v>0</v>
      </c>
      <c r="AT510" s="416">
        <v>0</v>
      </c>
      <c r="AU510" s="416">
        <v>0</v>
      </c>
      <c r="AV510" s="416">
        <v>0</v>
      </c>
      <c r="AW510" s="416">
        <v>0</v>
      </c>
      <c r="AX510" s="416">
        <v>0</v>
      </c>
      <c r="AY510" s="416">
        <v>0</v>
      </c>
      <c r="AZ510" s="416">
        <v>0</v>
      </c>
    </row>
    <row r="511" spans="1:52" x14ac:dyDescent="0.25">
      <c r="A511" s="415" t="str">
        <f t="shared" si="7"/>
        <v>SA-790 Gr.0</v>
      </c>
      <c r="B511" s="415">
        <v>506</v>
      </c>
      <c r="C511" s="415" t="s">
        <v>3411</v>
      </c>
      <c r="D511" s="415" t="s">
        <v>2703</v>
      </c>
      <c r="E511" s="415" t="s">
        <v>2324</v>
      </c>
      <c r="F511" s="415">
        <v>0</v>
      </c>
      <c r="G511" s="415" t="s">
        <v>3412</v>
      </c>
      <c r="H511" s="415">
        <v>0</v>
      </c>
      <c r="I511" s="415">
        <v>0</v>
      </c>
      <c r="J511" s="415" t="s">
        <v>3276</v>
      </c>
      <c r="K511" s="415">
        <v>1</v>
      </c>
      <c r="L511" s="415">
        <v>33</v>
      </c>
      <c r="M511" s="415">
        <v>620</v>
      </c>
      <c r="N511" s="415">
        <v>450</v>
      </c>
      <c r="O511" s="415">
        <v>204</v>
      </c>
      <c r="P511" s="415" t="s">
        <v>3061</v>
      </c>
      <c r="Q511" s="415" t="s">
        <v>3565</v>
      </c>
      <c r="R511" s="415">
        <v>33</v>
      </c>
      <c r="S511" s="415">
        <v>259</v>
      </c>
      <c r="T511" s="416">
        <v>259</v>
      </c>
      <c r="U511" s="416">
        <v>259</v>
      </c>
      <c r="V511" s="416">
        <v>259</v>
      </c>
      <c r="W511" s="416">
        <v>254</v>
      </c>
      <c r="X511" s="416">
        <v>247</v>
      </c>
      <c r="Y511" s="416">
        <v>241</v>
      </c>
      <c r="Z511" s="416">
        <v>236</v>
      </c>
      <c r="AA511" s="416">
        <v>232</v>
      </c>
      <c r="AB511" s="416">
        <v>0</v>
      </c>
      <c r="AC511" s="416">
        <v>0</v>
      </c>
      <c r="AD511" s="416">
        <v>0</v>
      </c>
      <c r="AE511" s="416">
        <v>0</v>
      </c>
      <c r="AF511" s="416">
        <v>0</v>
      </c>
      <c r="AG511" s="416">
        <v>0</v>
      </c>
      <c r="AH511" s="416">
        <v>0</v>
      </c>
      <c r="AI511" s="416">
        <v>0</v>
      </c>
      <c r="AJ511" s="416">
        <v>0</v>
      </c>
      <c r="AK511" s="416">
        <v>0</v>
      </c>
      <c r="AL511" s="416">
        <v>33</v>
      </c>
      <c r="AM511" s="416">
        <v>0</v>
      </c>
      <c r="AN511" s="416">
        <v>0</v>
      </c>
      <c r="AO511" s="416">
        <v>0</v>
      </c>
      <c r="AP511" s="416">
        <v>0</v>
      </c>
      <c r="AQ511" s="416">
        <v>0</v>
      </c>
      <c r="AR511" s="416">
        <v>0</v>
      </c>
      <c r="AS511" s="416">
        <v>0</v>
      </c>
      <c r="AT511" s="416">
        <v>0</v>
      </c>
      <c r="AU511" s="416">
        <v>0</v>
      </c>
      <c r="AV511" s="416">
        <v>0</v>
      </c>
      <c r="AW511" s="416">
        <v>0</v>
      </c>
      <c r="AX511" s="416">
        <v>0</v>
      </c>
      <c r="AY511" s="416">
        <v>0</v>
      </c>
      <c r="AZ511" s="416">
        <v>0</v>
      </c>
    </row>
    <row r="512" spans="1:52" x14ac:dyDescent="0.25">
      <c r="A512" s="415" t="str">
        <f t="shared" si="7"/>
        <v>SA-790 Gr.0</v>
      </c>
      <c r="B512" s="415">
        <v>507</v>
      </c>
      <c r="C512" s="415" t="s">
        <v>3411</v>
      </c>
      <c r="D512" s="415" t="s">
        <v>2680</v>
      </c>
      <c r="E512" s="415" t="s">
        <v>2324</v>
      </c>
      <c r="F512" s="415">
        <v>0</v>
      </c>
      <c r="G512" s="415" t="s">
        <v>3412</v>
      </c>
      <c r="H512" s="415">
        <v>0</v>
      </c>
      <c r="I512" s="415">
        <v>0</v>
      </c>
      <c r="J512" s="415" t="s">
        <v>3276</v>
      </c>
      <c r="K512" s="415">
        <v>1</v>
      </c>
      <c r="L512" s="415">
        <v>34</v>
      </c>
      <c r="M512" s="415">
        <v>620</v>
      </c>
      <c r="N512" s="415">
        <v>450</v>
      </c>
      <c r="O512" s="415">
        <v>204</v>
      </c>
      <c r="P512" s="415" t="s">
        <v>3061</v>
      </c>
      <c r="Q512" s="415" t="s">
        <v>3617</v>
      </c>
      <c r="R512" s="415">
        <v>34</v>
      </c>
      <c r="S512" s="415">
        <v>220</v>
      </c>
      <c r="T512" s="416">
        <v>220</v>
      </c>
      <c r="U512" s="416">
        <v>220</v>
      </c>
      <c r="V512" s="416">
        <v>220</v>
      </c>
      <c r="W512" s="416">
        <v>220</v>
      </c>
      <c r="X512" s="416">
        <v>220</v>
      </c>
      <c r="Y512" s="416">
        <v>220</v>
      </c>
      <c r="Z512" s="416">
        <v>220</v>
      </c>
      <c r="AA512" s="416">
        <v>219</v>
      </c>
      <c r="AB512" s="416">
        <v>0</v>
      </c>
      <c r="AC512" s="416">
        <v>0</v>
      </c>
      <c r="AD512" s="416">
        <v>0</v>
      </c>
      <c r="AE512" s="416">
        <v>0</v>
      </c>
      <c r="AF512" s="416">
        <v>0</v>
      </c>
      <c r="AG512" s="416">
        <v>0</v>
      </c>
      <c r="AH512" s="416">
        <v>0</v>
      </c>
      <c r="AI512" s="416">
        <v>0</v>
      </c>
      <c r="AJ512" s="416">
        <v>0</v>
      </c>
      <c r="AK512" s="416">
        <v>0</v>
      </c>
      <c r="AL512" s="416">
        <v>34</v>
      </c>
      <c r="AM512" s="416">
        <v>0</v>
      </c>
      <c r="AN512" s="416">
        <v>0</v>
      </c>
      <c r="AO512" s="416">
        <v>0</v>
      </c>
      <c r="AP512" s="416">
        <v>0</v>
      </c>
      <c r="AQ512" s="416">
        <v>0</v>
      </c>
      <c r="AR512" s="416">
        <v>0</v>
      </c>
      <c r="AS512" s="416">
        <v>0</v>
      </c>
      <c r="AT512" s="416">
        <v>0</v>
      </c>
      <c r="AU512" s="416">
        <v>0</v>
      </c>
      <c r="AV512" s="416">
        <v>0</v>
      </c>
      <c r="AW512" s="416">
        <v>0</v>
      </c>
      <c r="AX512" s="416">
        <v>0</v>
      </c>
      <c r="AY512" s="416">
        <v>0</v>
      </c>
      <c r="AZ512" s="416">
        <v>0</v>
      </c>
    </row>
    <row r="513" spans="1:52" x14ac:dyDescent="0.25">
      <c r="A513" s="415" t="str">
        <f t="shared" si="7"/>
        <v>SA-182 Gr.FXM-19</v>
      </c>
      <c r="B513" s="415">
        <v>508</v>
      </c>
      <c r="C513" s="415" t="s">
        <v>3415</v>
      </c>
      <c r="D513" s="415" t="s">
        <v>2737</v>
      </c>
      <c r="E513" s="415" t="s">
        <v>2188</v>
      </c>
      <c r="F513" s="415" t="s">
        <v>2477</v>
      </c>
      <c r="G513" s="415" t="s">
        <v>3417</v>
      </c>
      <c r="H513" s="415">
        <v>0</v>
      </c>
      <c r="I513" s="415">
        <v>0</v>
      </c>
      <c r="J513" s="415">
        <v>8</v>
      </c>
      <c r="K513" s="415">
        <v>3</v>
      </c>
      <c r="L513" s="415">
        <v>35</v>
      </c>
      <c r="M513" s="415">
        <v>690</v>
      </c>
      <c r="N513" s="415">
        <v>380</v>
      </c>
      <c r="O513" s="415">
        <v>649</v>
      </c>
      <c r="P513" s="415" t="s">
        <v>3073</v>
      </c>
      <c r="Q513" s="415" t="s">
        <v>3638</v>
      </c>
      <c r="R513" s="415">
        <v>35</v>
      </c>
      <c r="S513" s="415">
        <v>253</v>
      </c>
      <c r="T513" s="416">
        <v>253</v>
      </c>
      <c r="U513" s="416">
        <v>253</v>
      </c>
      <c r="V513" s="416">
        <v>253</v>
      </c>
      <c r="W513" s="416">
        <v>253</v>
      </c>
      <c r="X513" s="416">
        <v>253</v>
      </c>
      <c r="Y513" s="416">
        <v>253</v>
      </c>
      <c r="Z513" s="416">
        <v>253</v>
      </c>
      <c r="AA513" s="416">
        <v>248</v>
      </c>
      <c r="AB513" s="416">
        <v>243</v>
      </c>
      <c r="AC513" s="416">
        <v>239</v>
      </c>
      <c r="AD513" s="416">
        <v>234</v>
      </c>
      <c r="AE513" s="416">
        <v>231</v>
      </c>
      <c r="AF513" s="416">
        <v>227</v>
      </c>
      <c r="AG513" s="416">
        <v>225</v>
      </c>
      <c r="AH513" s="416">
        <v>222</v>
      </c>
      <c r="AI513" s="416">
        <v>219</v>
      </c>
      <c r="AJ513" s="416">
        <v>217</v>
      </c>
      <c r="AK513" s="416">
        <v>215</v>
      </c>
      <c r="AL513" s="416">
        <v>35</v>
      </c>
      <c r="AM513" s="416">
        <v>213</v>
      </c>
      <c r="AN513" s="416">
        <v>210</v>
      </c>
      <c r="AO513" s="416">
        <v>207</v>
      </c>
      <c r="AP513" s="416">
        <v>203</v>
      </c>
      <c r="AQ513" s="416">
        <v>126</v>
      </c>
      <c r="AR513" s="416">
        <v>84.2</v>
      </c>
      <c r="AS513" s="416">
        <v>56.2</v>
      </c>
      <c r="AT513" s="416">
        <v>0</v>
      </c>
      <c r="AU513" s="416">
        <v>0</v>
      </c>
      <c r="AV513" s="416">
        <v>0</v>
      </c>
      <c r="AW513" s="416">
        <v>0</v>
      </c>
      <c r="AX513" s="416">
        <v>0</v>
      </c>
      <c r="AY513" s="416">
        <v>0</v>
      </c>
      <c r="AZ513" s="416">
        <v>0</v>
      </c>
    </row>
    <row r="514" spans="1:52" x14ac:dyDescent="0.25">
      <c r="A514" s="415" t="str">
        <f t="shared" si="7"/>
        <v>SA-240 Gr.XM-19</v>
      </c>
      <c r="B514" s="415">
        <v>509</v>
      </c>
      <c r="C514" s="415" t="s">
        <v>3415</v>
      </c>
      <c r="D514" s="415" t="s">
        <v>2684</v>
      </c>
      <c r="E514" s="415" t="s">
        <v>2165</v>
      </c>
      <c r="F514" s="415" t="s">
        <v>2621</v>
      </c>
      <c r="G514" s="415" t="s">
        <v>3417</v>
      </c>
      <c r="H514" s="415">
        <v>0</v>
      </c>
      <c r="I514" s="415">
        <v>0</v>
      </c>
      <c r="J514" s="415">
        <v>8</v>
      </c>
      <c r="K514" s="415">
        <v>3</v>
      </c>
      <c r="L514" s="415">
        <v>36</v>
      </c>
      <c r="M514" s="415">
        <v>690</v>
      </c>
      <c r="N514" s="415">
        <v>380</v>
      </c>
      <c r="O514" s="415">
        <v>649</v>
      </c>
      <c r="P514" s="415" t="s">
        <v>3073</v>
      </c>
      <c r="Q514" s="415" t="s">
        <v>3638</v>
      </c>
      <c r="R514" s="415">
        <v>36</v>
      </c>
      <c r="S514" s="415">
        <v>253</v>
      </c>
      <c r="T514" s="416">
        <v>253</v>
      </c>
      <c r="U514" s="416">
        <v>253</v>
      </c>
      <c r="V514" s="416">
        <v>253</v>
      </c>
      <c r="W514" s="416">
        <v>253</v>
      </c>
      <c r="X514" s="416">
        <v>253</v>
      </c>
      <c r="Y514" s="416">
        <v>253</v>
      </c>
      <c r="Z514" s="416">
        <v>253</v>
      </c>
      <c r="AA514" s="416">
        <v>248</v>
      </c>
      <c r="AB514" s="416">
        <v>243</v>
      </c>
      <c r="AC514" s="416">
        <v>239</v>
      </c>
      <c r="AD514" s="416">
        <v>234</v>
      </c>
      <c r="AE514" s="416">
        <v>231</v>
      </c>
      <c r="AF514" s="416">
        <v>227</v>
      </c>
      <c r="AG514" s="416">
        <v>225</v>
      </c>
      <c r="AH514" s="416">
        <v>222</v>
      </c>
      <c r="AI514" s="416">
        <v>219</v>
      </c>
      <c r="AJ514" s="416">
        <v>217</v>
      </c>
      <c r="AK514" s="416">
        <v>215</v>
      </c>
      <c r="AL514" s="416">
        <v>36</v>
      </c>
      <c r="AM514" s="416">
        <v>213</v>
      </c>
      <c r="AN514" s="416">
        <v>210</v>
      </c>
      <c r="AO514" s="416">
        <v>207</v>
      </c>
      <c r="AP514" s="416">
        <v>203</v>
      </c>
      <c r="AQ514" s="416">
        <v>126</v>
      </c>
      <c r="AR514" s="416">
        <v>84.2</v>
      </c>
      <c r="AS514" s="416">
        <v>56.2</v>
      </c>
      <c r="AT514" s="416">
        <v>0</v>
      </c>
      <c r="AU514" s="416">
        <v>0</v>
      </c>
      <c r="AV514" s="416">
        <v>0</v>
      </c>
      <c r="AW514" s="416">
        <v>0</v>
      </c>
      <c r="AX514" s="416">
        <v>0</v>
      </c>
      <c r="AY514" s="416">
        <v>0</v>
      </c>
      <c r="AZ514" s="416">
        <v>0</v>
      </c>
    </row>
    <row r="515" spans="1:52" x14ac:dyDescent="0.25">
      <c r="A515" s="415" t="str">
        <f t="shared" si="7"/>
        <v>SA-249 Gr.TPXM-19</v>
      </c>
      <c r="B515" s="415">
        <v>510</v>
      </c>
      <c r="C515" s="415" t="s">
        <v>3415</v>
      </c>
      <c r="D515" s="415" t="s">
        <v>2689</v>
      </c>
      <c r="E515" s="415" t="s">
        <v>2200</v>
      </c>
      <c r="F515" s="415" t="s">
        <v>2592</v>
      </c>
      <c r="G515" s="415" t="s">
        <v>3417</v>
      </c>
      <c r="H515" s="415">
        <v>0</v>
      </c>
      <c r="I515" s="415">
        <v>0</v>
      </c>
      <c r="J515" s="415">
        <v>8</v>
      </c>
      <c r="K515" s="415">
        <v>3</v>
      </c>
      <c r="L515" s="415">
        <v>37</v>
      </c>
      <c r="M515" s="415">
        <v>690</v>
      </c>
      <c r="N515" s="415">
        <v>380</v>
      </c>
      <c r="O515" s="415">
        <v>649</v>
      </c>
      <c r="P515" s="415" t="s">
        <v>3073</v>
      </c>
      <c r="Q515" s="415" t="s">
        <v>3639</v>
      </c>
      <c r="R515" s="415">
        <v>37</v>
      </c>
      <c r="S515" s="415">
        <v>215</v>
      </c>
      <c r="T515" s="416">
        <v>215</v>
      </c>
      <c r="U515" s="416">
        <v>215</v>
      </c>
      <c r="V515" s="416">
        <v>215</v>
      </c>
      <c r="W515" s="416">
        <v>215</v>
      </c>
      <c r="X515" s="416">
        <v>215</v>
      </c>
      <c r="Y515" s="416">
        <v>215</v>
      </c>
      <c r="Z515" s="416">
        <v>215</v>
      </c>
      <c r="AA515" s="416">
        <v>211</v>
      </c>
      <c r="AB515" s="416">
        <v>207</v>
      </c>
      <c r="AC515" s="416">
        <v>203</v>
      </c>
      <c r="AD515" s="416">
        <v>199</v>
      </c>
      <c r="AE515" s="416">
        <v>196</v>
      </c>
      <c r="AF515" s="416">
        <v>193</v>
      </c>
      <c r="AG515" s="416">
        <v>191</v>
      </c>
      <c r="AH515" s="416">
        <v>189</v>
      </c>
      <c r="AI515" s="416">
        <v>187</v>
      </c>
      <c r="AJ515" s="416">
        <v>185</v>
      </c>
      <c r="AK515" s="416">
        <v>183</v>
      </c>
      <c r="AL515" s="416">
        <v>37</v>
      </c>
      <c r="AM515" s="416">
        <v>181</v>
      </c>
      <c r="AN515" s="416">
        <v>179</v>
      </c>
      <c r="AO515" s="416">
        <v>176</v>
      </c>
      <c r="AP515" s="416">
        <v>172</v>
      </c>
      <c r="AQ515" s="416">
        <v>107</v>
      </c>
      <c r="AR515" s="416">
        <v>71.5</v>
      </c>
      <c r="AS515" s="416">
        <v>47.8</v>
      </c>
      <c r="AT515" s="416">
        <v>0</v>
      </c>
      <c r="AU515" s="416">
        <v>0</v>
      </c>
      <c r="AV515" s="416">
        <v>0</v>
      </c>
      <c r="AW515" s="416">
        <v>0</v>
      </c>
      <c r="AX515" s="416">
        <v>0</v>
      </c>
      <c r="AY515" s="416">
        <v>0</v>
      </c>
      <c r="AZ515" s="416">
        <v>0</v>
      </c>
    </row>
    <row r="516" spans="1:52" x14ac:dyDescent="0.25">
      <c r="A516" s="415" t="str">
        <f t="shared" si="7"/>
        <v>SA-312 Gr.TPXM-19</v>
      </c>
      <c r="B516" s="415">
        <v>511</v>
      </c>
      <c r="C516" s="415" t="s">
        <v>3415</v>
      </c>
      <c r="D516" s="415" t="s">
        <v>2703</v>
      </c>
      <c r="E516" s="415" t="s">
        <v>2208</v>
      </c>
      <c r="F516" s="415" t="s">
        <v>2592</v>
      </c>
      <c r="G516" s="415" t="s">
        <v>3417</v>
      </c>
      <c r="H516" s="415">
        <v>0</v>
      </c>
      <c r="I516" s="415">
        <v>0</v>
      </c>
      <c r="J516" s="415">
        <v>8</v>
      </c>
      <c r="K516" s="415">
        <v>3</v>
      </c>
      <c r="L516" s="415">
        <v>38</v>
      </c>
      <c r="M516" s="415">
        <v>690</v>
      </c>
      <c r="N516" s="415">
        <v>380</v>
      </c>
      <c r="O516" s="415">
        <v>649</v>
      </c>
      <c r="P516" s="415" t="s">
        <v>3073</v>
      </c>
      <c r="Q516" s="415" t="s">
        <v>3638</v>
      </c>
      <c r="R516" s="415">
        <v>38</v>
      </c>
      <c r="S516" s="415">
        <v>253</v>
      </c>
      <c r="T516" s="416">
        <v>253</v>
      </c>
      <c r="U516" s="416">
        <v>253</v>
      </c>
      <c r="V516" s="416">
        <v>253</v>
      </c>
      <c r="W516" s="416">
        <v>253</v>
      </c>
      <c r="X516" s="416">
        <v>253</v>
      </c>
      <c r="Y516" s="416">
        <v>253</v>
      </c>
      <c r="Z516" s="416">
        <v>253</v>
      </c>
      <c r="AA516" s="416">
        <v>248</v>
      </c>
      <c r="AB516" s="416">
        <v>243</v>
      </c>
      <c r="AC516" s="416">
        <v>239</v>
      </c>
      <c r="AD516" s="416">
        <v>234</v>
      </c>
      <c r="AE516" s="416">
        <v>231</v>
      </c>
      <c r="AF516" s="416">
        <v>227</v>
      </c>
      <c r="AG516" s="416">
        <v>225</v>
      </c>
      <c r="AH516" s="416">
        <v>222</v>
      </c>
      <c r="AI516" s="416">
        <v>219</v>
      </c>
      <c r="AJ516" s="416">
        <v>217</v>
      </c>
      <c r="AK516" s="416">
        <v>215</v>
      </c>
      <c r="AL516" s="416">
        <v>38</v>
      </c>
      <c r="AM516" s="416">
        <v>213</v>
      </c>
      <c r="AN516" s="416">
        <v>210</v>
      </c>
      <c r="AO516" s="416">
        <v>207</v>
      </c>
      <c r="AP516" s="416">
        <v>203</v>
      </c>
      <c r="AQ516" s="416">
        <v>126</v>
      </c>
      <c r="AR516" s="416">
        <v>84.2</v>
      </c>
      <c r="AS516" s="416">
        <v>56.2</v>
      </c>
      <c r="AT516" s="416">
        <v>0</v>
      </c>
      <c r="AU516" s="416">
        <v>0</v>
      </c>
      <c r="AV516" s="416">
        <v>0</v>
      </c>
      <c r="AW516" s="416">
        <v>0</v>
      </c>
      <c r="AX516" s="416">
        <v>0</v>
      </c>
      <c r="AY516" s="416">
        <v>0</v>
      </c>
      <c r="AZ516" s="416">
        <v>0</v>
      </c>
    </row>
    <row r="517" spans="1:52" x14ac:dyDescent="0.25">
      <c r="A517" s="415" t="str">
        <f t="shared" si="7"/>
        <v>SA-312 Gr.TPXM-19</v>
      </c>
      <c r="B517" s="415">
        <v>512</v>
      </c>
      <c r="C517" s="415" t="s">
        <v>3415</v>
      </c>
      <c r="D517" s="415" t="s">
        <v>2680</v>
      </c>
      <c r="E517" s="415" t="s">
        <v>2208</v>
      </c>
      <c r="F517" s="415" t="s">
        <v>2592</v>
      </c>
      <c r="G517" s="415" t="s">
        <v>3417</v>
      </c>
      <c r="H517" s="415">
        <v>0</v>
      </c>
      <c r="I517" s="415">
        <v>0</v>
      </c>
      <c r="J517" s="415">
        <v>8</v>
      </c>
      <c r="K517" s="415">
        <v>3</v>
      </c>
      <c r="L517" s="415">
        <v>39</v>
      </c>
      <c r="M517" s="415">
        <v>690</v>
      </c>
      <c r="N517" s="415">
        <v>380</v>
      </c>
      <c r="O517" s="415">
        <v>649</v>
      </c>
      <c r="P517" s="415" t="s">
        <v>3073</v>
      </c>
      <c r="Q517" s="415" t="s">
        <v>3639</v>
      </c>
      <c r="R517" s="415">
        <v>39</v>
      </c>
      <c r="S517" s="415">
        <v>215</v>
      </c>
      <c r="T517" s="416">
        <v>215</v>
      </c>
      <c r="U517" s="416">
        <v>215</v>
      </c>
      <c r="V517" s="416">
        <v>215</v>
      </c>
      <c r="W517" s="416">
        <v>215</v>
      </c>
      <c r="X517" s="416">
        <v>215</v>
      </c>
      <c r="Y517" s="416">
        <v>215</v>
      </c>
      <c r="Z517" s="416">
        <v>215</v>
      </c>
      <c r="AA517" s="416">
        <v>211</v>
      </c>
      <c r="AB517" s="416">
        <v>207</v>
      </c>
      <c r="AC517" s="416">
        <v>203</v>
      </c>
      <c r="AD517" s="416">
        <v>199</v>
      </c>
      <c r="AE517" s="416">
        <v>196</v>
      </c>
      <c r="AF517" s="416">
        <v>193</v>
      </c>
      <c r="AG517" s="416">
        <v>191</v>
      </c>
      <c r="AH517" s="416">
        <v>189</v>
      </c>
      <c r="AI517" s="416">
        <v>187</v>
      </c>
      <c r="AJ517" s="416">
        <v>185</v>
      </c>
      <c r="AK517" s="416">
        <v>183</v>
      </c>
      <c r="AL517" s="416">
        <v>39</v>
      </c>
      <c r="AM517" s="416">
        <v>181</v>
      </c>
      <c r="AN517" s="416">
        <v>179</v>
      </c>
      <c r="AO517" s="416">
        <v>176</v>
      </c>
      <c r="AP517" s="416">
        <v>172</v>
      </c>
      <c r="AQ517" s="416">
        <v>107</v>
      </c>
      <c r="AR517" s="416">
        <v>71.5</v>
      </c>
      <c r="AS517" s="416">
        <v>47.8</v>
      </c>
      <c r="AT517" s="416">
        <v>0</v>
      </c>
      <c r="AU517" s="416">
        <v>0</v>
      </c>
      <c r="AV517" s="416">
        <v>0</v>
      </c>
      <c r="AW517" s="416">
        <v>0</v>
      </c>
      <c r="AX517" s="416">
        <v>0</v>
      </c>
      <c r="AY517" s="416">
        <v>0</v>
      </c>
      <c r="AZ517" s="416">
        <v>0</v>
      </c>
    </row>
    <row r="518" spans="1:52" x14ac:dyDescent="0.25">
      <c r="A518" s="415" t="str">
        <f t="shared" si="7"/>
        <v>SA-403 Gr.XM-19</v>
      </c>
      <c r="B518" s="415">
        <v>513</v>
      </c>
      <c r="C518" s="415" t="s">
        <v>3415</v>
      </c>
      <c r="D518" s="415" t="s">
        <v>913</v>
      </c>
      <c r="E518" s="415" t="s">
        <v>2229</v>
      </c>
      <c r="F518" s="415" t="s">
        <v>2621</v>
      </c>
      <c r="G518" s="415" t="s">
        <v>3417</v>
      </c>
      <c r="H518" s="415" t="s">
        <v>3380</v>
      </c>
      <c r="I518" s="415">
        <v>0</v>
      </c>
      <c r="J518" s="415">
        <v>8</v>
      </c>
      <c r="K518" s="415">
        <v>3</v>
      </c>
      <c r="L518" s="415">
        <v>40</v>
      </c>
      <c r="M518" s="415">
        <v>690</v>
      </c>
      <c r="N518" s="415">
        <v>380</v>
      </c>
      <c r="O518" s="415">
        <v>649</v>
      </c>
      <c r="P518" s="415" t="s">
        <v>3073</v>
      </c>
      <c r="Q518" s="415" t="s">
        <v>3639</v>
      </c>
      <c r="R518" s="415">
        <v>40</v>
      </c>
      <c r="S518" s="415">
        <v>215</v>
      </c>
      <c r="T518" s="416">
        <v>215</v>
      </c>
      <c r="U518" s="416">
        <v>215</v>
      </c>
      <c r="V518" s="416">
        <v>215</v>
      </c>
      <c r="W518" s="416">
        <v>215</v>
      </c>
      <c r="X518" s="416">
        <v>215</v>
      </c>
      <c r="Y518" s="416">
        <v>215</v>
      </c>
      <c r="Z518" s="416">
        <v>215</v>
      </c>
      <c r="AA518" s="416">
        <v>211</v>
      </c>
      <c r="AB518" s="416">
        <v>207</v>
      </c>
      <c r="AC518" s="416">
        <v>203</v>
      </c>
      <c r="AD518" s="416">
        <v>199</v>
      </c>
      <c r="AE518" s="416">
        <v>196</v>
      </c>
      <c r="AF518" s="416">
        <v>193</v>
      </c>
      <c r="AG518" s="416">
        <v>191</v>
      </c>
      <c r="AH518" s="416">
        <v>189</v>
      </c>
      <c r="AI518" s="416">
        <v>187</v>
      </c>
      <c r="AJ518" s="416">
        <v>185</v>
      </c>
      <c r="AK518" s="416">
        <v>183</v>
      </c>
      <c r="AL518" s="416">
        <v>40</v>
      </c>
      <c r="AM518" s="416">
        <v>181</v>
      </c>
      <c r="AN518" s="416">
        <v>179</v>
      </c>
      <c r="AO518" s="416">
        <v>176</v>
      </c>
      <c r="AP518" s="416">
        <v>172</v>
      </c>
      <c r="AQ518" s="416">
        <v>107</v>
      </c>
      <c r="AR518" s="416">
        <v>71.5</v>
      </c>
      <c r="AS518" s="416">
        <v>47.8</v>
      </c>
      <c r="AT518" s="416">
        <v>0</v>
      </c>
      <c r="AU518" s="416">
        <v>0</v>
      </c>
      <c r="AV518" s="416">
        <v>0</v>
      </c>
      <c r="AW518" s="416">
        <v>0</v>
      </c>
      <c r="AX518" s="416">
        <v>0</v>
      </c>
      <c r="AY518" s="416">
        <v>0</v>
      </c>
      <c r="AZ518" s="416">
        <v>0</v>
      </c>
    </row>
    <row r="519" spans="1:52" x14ac:dyDescent="0.25">
      <c r="A519" s="415" t="str">
        <f t="shared" ref="A519:A582" si="8">CONCATENATE(E519," Gr.",F519)</f>
        <v>SA-403 Gr.XM-19</v>
      </c>
      <c r="B519" s="415">
        <v>514</v>
      </c>
      <c r="C519" s="415" t="s">
        <v>3415</v>
      </c>
      <c r="D519" s="415" t="s">
        <v>3414</v>
      </c>
      <c r="E519" s="415" t="s">
        <v>2229</v>
      </c>
      <c r="F519" s="415" t="s">
        <v>2621</v>
      </c>
      <c r="G519" s="415" t="s">
        <v>3417</v>
      </c>
      <c r="H519" s="415" t="s">
        <v>3382</v>
      </c>
      <c r="I519" s="415">
        <v>0</v>
      </c>
      <c r="J519" s="415">
        <v>8</v>
      </c>
      <c r="K519" s="415">
        <v>3</v>
      </c>
      <c r="L519" s="415">
        <v>41</v>
      </c>
      <c r="M519" s="415">
        <v>690</v>
      </c>
      <c r="N519" s="415">
        <v>380</v>
      </c>
      <c r="O519" s="415">
        <v>649</v>
      </c>
      <c r="P519" s="415" t="s">
        <v>3073</v>
      </c>
      <c r="Q519" s="415" t="s">
        <v>3639</v>
      </c>
      <c r="R519" s="415">
        <v>41</v>
      </c>
      <c r="S519" s="415">
        <v>215</v>
      </c>
      <c r="T519" s="416">
        <v>215</v>
      </c>
      <c r="U519" s="416">
        <v>215</v>
      </c>
      <c r="V519" s="416">
        <v>215</v>
      </c>
      <c r="W519" s="416">
        <v>215</v>
      </c>
      <c r="X519" s="416">
        <v>215</v>
      </c>
      <c r="Y519" s="416">
        <v>215</v>
      </c>
      <c r="Z519" s="416">
        <v>215</v>
      </c>
      <c r="AA519" s="416">
        <v>211</v>
      </c>
      <c r="AB519" s="416">
        <v>207</v>
      </c>
      <c r="AC519" s="416">
        <v>203</v>
      </c>
      <c r="AD519" s="416">
        <v>199</v>
      </c>
      <c r="AE519" s="416">
        <v>196</v>
      </c>
      <c r="AF519" s="416">
        <v>193</v>
      </c>
      <c r="AG519" s="416">
        <v>191</v>
      </c>
      <c r="AH519" s="416">
        <v>189</v>
      </c>
      <c r="AI519" s="416">
        <v>187</v>
      </c>
      <c r="AJ519" s="416">
        <v>185</v>
      </c>
      <c r="AK519" s="416">
        <v>183</v>
      </c>
      <c r="AL519" s="416">
        <v>41</v>
      </c>
      <c r="AM519" s="416">
        <v>181</v>
      </c>
      <c r="AN519" s="416">
        <v>179</v>
      </c>
      <c r="AO519" s="416">
        <v>176</v>
      </c>
      <c r="AP519" s="416">
        <v>172</v>
      </c>
      <c r="AQ519" s="416">
        <v>107</v>
      </c>
      <c r="AR519" s="416">
        <v>71.5</v>
      </c>
      <c r="AS519" s="416">
        <v>47.8</v>
      </c>
      <c r="AT519" s="416">
        <v>0</v>
      </c>
      <c r="AU519" s="416">
        <v>0</v>
      </c>
      <c r="AV519" s="416">
        <v>0</v>
      </c>
      <c r="AW519" s="416">
        <v>0</v>
      </c>
      <c r="AX519" s="416">
        <v>0</v>
      </c>
      <c r="AY519" s="416">
        <v>0</v>
      </c>
      <c r="AZ519" s="416">
        <v>0</v>
      </c>
    </row>
    <row r="520" spans="1:52" x14ac:dyDescent="0.25">
      <c r="A520" s="415" t="str">
        <f t="shared" si="8"/>
        <v>SA-403 Gr.XM-19</v>
      </c>
      <c r="B520" s="415">
        <v>515</v>
      </c>
      <c r="C520" s="415" t="s">
        <v>3415</v>
      </c>
      <c r="D520" s="415" t="s">
        <v>3414</v>
      </c>
      <c r="E520" s="415" t="s">
        <v>2229</v>
      </c>
      <c r="F520" s="415" t="s">
        <v>2621</v>
      </c>
      <c r="G520" s="415" t="s">
        <v>3417</v>
      </c>
      <c r="H520" s="415" t="s">
        <v>3384</v>
      </c>
      <c r="I520" s="415">
        <v>0</v>
      </c>
      <c r="J520" s="415">
        <v>8</v>
      </c>
      <c r="K520" s="415">
        <v>3</v>
      </c>
      <c r="L520" s="415">
        <v>42</v>
      </c>
      <c r="M520" s="415">
        <v>690</v>
      </c>
      <c r="N520" s="415">
        <v>380</v>
      </c>
      <c r="O520" s="415">
        <v>649</v>
      </c>
      <c r="P520" s="415" t="s">
        <v>3073</v>
      </c>
      <c r="Q520" s="415" t="s">
        <v>3639</v>
      </c>
      <c r="R520" s="415">
        <v>42</v>
      </c>
      <c r="S520" s="415">
        <v>215</v>
      </c>
      <c r="T520" s="416">
        <v>215</v>
      </c>
      <c r="U520" s="416">
        <v>215</v>
      </c>
      <c r="V520" s="416">
        <v>215</v>
      </c>
      <c r="W520" s="416">
        <v>215</v>
      </c>
      <c r="X520" s="416">
        <v>215</v>
      </c>
      <c r="Y520" s="416">
        <v>215</v>
      </c>
      <c r="Z520" s="416">
        <v>215</v>
      </c>
      <c r="AA520" s="416">
        <v>211</v>
      </c>
      <c r="AB520" s="416">
        <v>207</v>
      </c>
      <c r="AC520" s="416">
        <v>203</v>
      </c>
      <c r="AD520" s="416">
        <v>199</v>
      </c>
      <c r="AE520" s="416">
        <v>196</v>
      </c>
      <c r="AF520" s="416">
        <v>193</v>
      </c>
      <c r="AG520" s="416">
        <v>191</v>
      </c>
      <c r="AH520" s="416">
        <v>189</v>
      </c>
      <c r="AI520" s="416">
        <v>187</v>
      </c>
      <c r="AJ520" s="416">
        <v>185</v>
      </c>
      <c r="AK520" s="416">
        <v>183</v>
      </c>
      <c r="AL520" s="416">
        <v>42</v>
      </c>
      <c r="AM520" s="416">
        <v>181</v>
      </c>
      <c r="AN520" s="416">
        <v>179</v>
      </c>
      <c r="AO520" s="416">
        <v>176</v>
      </c>
      <c r="AP520" s="416">
        <v>172</v>
      </c>
      <c r="AQ520" s="416">
        <v>107</v>
      </c>
      <c r="AR520" s="416">
        <v>71.5</v>
      </c>
      <c r="AS520" s="416">
        <v>47.8</v>
      </c>
      <c r="AT520" s="416">
        <v>0</v>
      </c>
      <c r="AU520" s="416">
        <v>0</v>
      </c>
      <c r="AV520" s="416">
        <v>0</v>
      </c>
      <c r="AW520" s="416">
        <v>0</v>
      </c>
      <c r="AX520" s="416">
        <v>0</v>
      </c>
      <c r="AY520" s="416">
        <v>0</v>
      </c>
      <c r="AZ520" s="416">
        <v>0</v>
      </c>
    </row>
    <row r="521" spans="1:52" x14ac:dyDescent="0.25">
      <c r="A521" s="415" t="str">
        <f t="shared" si="8"/>
        <v>SA-479 Gr.XM-19</v>
      </c>
      <c r="B521" s="415">
        <v>516</v>
      </c>
      <c r="C521" s="415" t="s">
        <v>3415</v>
      </c>
      <c r="D521" s="415" t="s">
        <v>2677</v>
      </c>
      <c r="E521" s="415" t="s">
        <v>2245</v>
      </c>
      <c r="F521" s="415" t="s">
        <v>2621</v>
      </c>
      <c r="G521" s="415" t="s">
        <v>3417</v>
      </c>
      <c r="H521" s="415">
        <v>0</v>
      </c>
      <c r="I521" s="415">
        <v>0</v>
      </c>
      <c r="J521" s="415">
        <v>8</v>
      </c>
      <c r="K521" s="415">
        <v>3</v>
      </c>
      <c r="L521" s="415">
        <v>43</v>
      </c>
      <c r="M521" s="415">
        <v>690</v>
      </c>
      <c r="N521" s="415">
        <v>380</v>
      </c>
      <c r="O521" s="415">
        <v>649</v>
      </c>
      <c r="P521" s="415" t="s">
        <v>3073</v>
      </c>
      <c r="Q521" s="415" t="s">
        <v>3638</v>
      </c>
      <c r="R521" s="415">
        <v>43</v>
      </c>
      <c r="S521" s="415">
        <v>253</v>
      </c>
      <c r="T521" s="416">
        <v>253</v>
      </c>
      <c r="U521" s="416">
        <v>253</v>
      </c>
      <c r="V521" s="416">
        <v>253</v>
      </c>
      <c r="W521" s="416">
        <v>253</v>
      </c>
      <c r="X521" s="416">
        <v>253</v>
      </c>
      <c r="Y521" s="416">
        <v>253</v>
      </c>
      <c r="Z521" s="416">
        <v>253</v>
      </c>
      <c r="AA521" s="416">
        <v>248</v>
      </c>
      <c r="AB521" s="416">
        <v>243</v>
      </c>
      <c r="AC521" s="416">
        <v>239</v>
      </c>
      <c r="AD521" s="416">
        <v>234</v>
      </c>
      <c r="AE521" s="416">
        <v>231</v>
      </c>
      <c r="AF521" s="416">
        <v>227</v>
      </c>
      <c r="AG521" s="416">
        <v>225</v>
      </c>
      <c r="AH521" s="416">
        <v>222</v>
      </c>
      <c r="AI521" s="416">
        <v>219</v>
      </c>
      <c r="AJ521" s="416">
        <v>217</v>
      </c>
      <c r="AK521" s="416">
        <v>215</v>
      </c>
      <c r="AL521" s="416">
        <v>43</v>
      </c>
      <c r="AM521" s="416">
        <v>213</v>
      </c>
      <c r="AN521" s="416">
        <v>210</v>
      </c>
      <c r="AO521" s="416">
        <v>207</v>
      </c>
      <c r="AP521" s="416">
        <v>203</v>
      </c>
      <c r="AQ521" s="416">
        <v>126</v>
      </c>
      <c r="AR521" s="416">
        <v>84.2</v>
      </c>
      <c r="AS521" s="416">
        <v>56.2</v>
      </c>
      <c r="AT521" s="416">
        <v>0</v>
      </c>
      <c r="AU521" s="416">
        <v>0</v>
      </c>
      <c r="AV521" s="416">
        <v>0</v>
      </c>
      <c r="AW521" s="416">
        <v>0</v>
      </c>
      <c r="AX521" s="416">
        <v>0</v>
      </c>
      <c r="AY521" s="416">
        <v>0</v>
      </c>
      <c r="AZ521" s="416">
        <v>0</v>
      </c>
    </row>
    <row r="522" spans="1:52" x14ac:dyDescent="0.25">
      <c r="A522" s="415" t="str">
        <f t="shared" si="8"/>
        <v>SA-965 Gr.FXM-19</v>
      </c>
      <c r="B522" s="415">
        <v>517</v>
      </c>
      <c r="C522" s="415" t="s">
        <v>3415</v>
      </c>
      <c r="D522" s="415" t="s">
        <v>2737</v>
      </c>
      <c r="E522" s="415" t="s">
        <v>2337</v>
      </c>
      <c r="F522" s="415" t="s">
        <v>2477</v>
      </c>
      <c r="G522" s="415" t="s">
        <v>3417</v>
      </c>
      <c r="H522" s="415">
        <v>0</v>
      </c>
      <c r="I522" s="415">
        <v>0</v>
      </c>
      <c r="J522" s="415">
        <v>8</v>
      </c>
      <c r="K522" s="415">
        <v>3</v>
      </c>
      <c r="L522" s="415">
        <v>44</v>
      </c>
      <c r="M522" s="415">
        <v>690</v>
      </c>
      <c r="N522" s="415">
        <v>380</v>
      </c>
      <c r="O522" s="415">
        <v>649</v>
      </c>
      <c r="P522" s="415" t="s">
        <v>3073</v>
      </c>
      <c r="Q522" s="415" t="s">
        <v>3638</v>
      </c>
      <c r="R522" s="415">
        <v>44</v>
      </c>
      <c r="S522" s="415">
        <v>253</v>
      </c>
      <c r="T522" s="416">
        <v>253</v>
      </c>
      <c r="U522" s="416">
        <v>253</v>
      </c>
      <c r="V522" s="416">
        <v>253</v>
      </c>
      <c r="W522" s="416">
        <v>253</v>
      </c>
      <c r="X522" s="416">
        <v>253</v>
      </c>
      <c r="Y522" s="416">
        <v>253</v>
      </c>
      <c r="Z522" s="416">
        <v>253</v>
      </c>
      <c r="AA522" s="416">
        <v>248</v>
      </c>
      <c r="AB522" s="416">
        <v>243</v>
      </c>
      <c r="AC522" s="416">
        <v>239</v>
      </c>
      <c r="AD522" s="416">
        <v>234</v>
      </c>
      <c r="AE522" s="416">
        <v>231</v>
      </c>
      <c r="AF522" s="416">
        <v>227</v>
      </c>
      <c r="AG522" s="416">
        <v>225</v>
      </c>
      <c r="AH522" s="416">
        <v>222</v>
      </c>
      <c r="AI522" s="416">
        <v>219</v>
      </c>
      <c r="AJ522" s="416">
        <v>217</v>
      </c>
      <c r="AK522" s="416">
        <v>215</v>
      </c>
      <c r="AL522" s="416">
        <v>44</v>
      </c>
      <c r="AM522" s="416">
        <v>213</v>
      </c>
      <c r="AN522" s="416">
        <v>210</v>
      </c>
      <c r="AO522" s="416">
        <v>207</v>
      </c>
      <c r="AP522" s="416">
        <v>203</v>
      </c>
      <c r="AQ522" s="416">
        <v>126</v>
      </c>
      <c r="AR522" s="416">
        <v>84.2</v>
      </c>
      <c r="AS522" s="416">
        <v>56.2</v>
      </c>
      <c r="AT522" s="416">
        <v>0</v>
      </c>
      <c r="AU522" s="416">
        <v>0</v>
      </c>
      <c r="AV522" s="416">
        <v>0</v>
      </c>
      <c r="AW522" s="416">
        <v>0</v>
      </c>
      <c r="AX522" s="416">
        <v>0</v>
      </c>
      <c r="AY522" s="416">
        <v>0</v>
      </c>
      <c r="AZ522" s="416">
        <v>0</v>
      </c>
    </row>
    <row r="523" spans="1:52" x14ac:dyDescent="0.25">
      <c r="A523" s="415" t="str">
        <f t="shared" si="8"/>
        <v>SA-240 Gr.0</v>
      </c>
      <c r="B523" s="415">
        <v>518</v>
      </c>
      <c r="C523" s="415" t="s">
        <v>3421</v>
      </c>
      <c r="D523" s="415" t="s">
        <v>2684</v>
      </c>
      <c r="E523" s="415" t="s">
        <v>2165</v>
      </c>
      <c r="F523" s="415">
        <v>0</v>
      </c>
      <c r="G523" s="415" t="s">
        <v>3422</v>
      </c>
      <c r="H523" s="415">
        <v>0</v>
      </c>
      <c r="I523" s="415">
        <v>0</v>
      </c>
      <c r="J523" s="415" t="s">
        <v>3276</v>
      </c>
      <c r="K523" s="415">
        <v>1</v>
      </c>
      <c r="L523" s="415">
        <v>1</v>
      </c>
      <c r="M523" s="415">
        <v>600</v>
      </c>
      <c r="N523" s="415">
        <v>400</v>
      </c>
      <c r="O523" s="415">
        <v>316</v>
      </c>
      <c r="P523" s="415" t="s">
        <v>3073</v>
      </c>
      <c r="Q523" s="415" t="s">
        <v>3618</v>
      </c>
      <c r="R523" s="415">
        <v>1</v>
      </c>
      <c r="S523" s="415">
        <v>250</v>
      </c>
      <c r="T523" s="416">
        <v>250</v>
      </c>
      <c r="U523" s="416">
        <v>242</v>
      </c>
      <c r="V523" s="416">
        <v>227</v>
      </c>
      <c r="W523" s="416">
        <v>219</v>
      </c>
      <c r="X523" s="416">
        <v>213</v>
      </c>
      <c r="Y523" s="416">
        <v>208</v>
      </c>
      <c r="Z523" s="416">
        <v>205</v>
      </c>
      <c r="AA523" s="416">
        <v>202</v>
      </c>
      <c r="AB523" s="416">
        <v>200</v>
      </c>
      <c r="AC523" s="416">
        <v>198</v>
      </c>
      <c r="AD523" s="416">
        <v>195</v>
      </c>
      <c r="AE523" s="416">
        <v>192</v>
      </c>
      <c r="AF523" s="416">
        <v>0</v>
      </c>
      <c r="AG523" s="416">
        <v>0</v>
      </c>
      <c r="AH523" s="416">
        <v>0</v>
      </c>
      <c r="AI523" s="416">
        <v>0</v>
      </c>
      <c r="AJ523" s="416">
        <v>0</v>
      </c>
      <c r="AK523" s="416">
        <v>0</v>
      </c>
      <c r="AL523" s="416">
        <v>1</v>
      </c>
      <c r="AM523" s="416">
        <v>0</v>
      </c>
      <c r="AN523" s="416">
        <v>0</v>
      </c>
      <c r="AO523" s="416">
        <v>0</v>
      </c>
      <c r="AP523" s="416">
        <v>0</v>
      </c>
      <c r="AQ523" s="416">
        <v>0</v>
      </c>
      <c r="AR523" s="416">
        <v>0</v>
      </c>
      <c r="AS523" s="416">
        <v>0</v>
      </c>
      <c r="AT523" s="416">
        <v>0</v>
      </c>
      <c r="AU523" s="416">
        <v>0</v>
      </c>
      <c r="AV523" s="416">
        <v>0</v>
      </c>
      <c r="AW523" s="416">
        <v>0</v>
      </c>
      <c r="AX523" s="416">
        <v>0</v>
      </c>
      <c r="AY523" s="416">
        <v>0</v>
      </c>
      <c r="AZ523" s="416">
        <v>0</v>
      </c>
    </row>
    <row r="524" spans="1:52" x14ac:dyDescent="0.25">
      <c r="A524" s="415" t="str">
        <f t="shared" si="8"/>
        <v>SA-403 Gr.309</v>
      </c>
      <c r="B524" s="415">
        <v>519</v>
      </c>
      <c r="C524" s="415" t="s">
        <v>3423</v>
      </c>
      <c r="D524" s="415" t="s">
        <v>913</v>
      </c>
      <c r="E524" s="415" t="s">
        <v>2229</v>
      </c>
      <c r="F524" s="415">
        <v>309</v>
      </c>
      <c r="G524" s="415" t="s">
        <v>3424</v>
      </c>
      <c r="H524" s="415">
        <v>0</v>
      </c>
      <c r="I524" s="415">
        <v>0</v>
      </c>
      <c r="J524" s="415">
        <v>8</v>
      </c>
      <c r="K524" s="415">
        <v>2</v>
      </c>
      <c r="L524" s="415">
        <v>2</v>
      </c>
      <c r="M524" s="415">
        <v>515</v>
      </c>
      <c r="N524" s="415">
        <v>205</v>
      </c>
      <c r="O524" s="415">
        <v>816</v>
      </c>
      <c r="P524" s="415" t="s">
        <v>3069</v>
      </c>
      <c r="Q524" s="415" t="s">
        <v>3640</v>
      </c>
      <c r="R524" s="415">
        <v>2</v>
      </c>
      <c r="S524" s="415">
        <v>117</v>
      </c>
      <c r="T524" s="416">
        <v>117</v>
      </c>
      <c r="U524" s="416">
        <v>117</v>
      </c>
      <c r="V524" s="416">
        <v>117</v>
      </c>
      <c r="W524" s="416">
        <v>117</v>
      </c>
      <c r="X524" s="416">
        <v>117</v>
      </c>
      <c r="Y524" s="416">
        <v>117</v>
      </c>
      <c r="Z524" s="416">
        <v>117</v>
      </c>
      <c r="AA524" s="416">
        <v>117</v>
      </c>
      <c r="AB524" s="416">
        <v>115</v>
      </c>
      <c r="AC524" s="416">
        <v>113</v>
      </c>
      <c r="AD524" s="416">
        <v>111</v>
      </c>
      <c r="AE524" s="416">
        <v>109</v>
      </c>
      <c r="AF524" s="416">
        <v>108</v>
      </c>
      <c r="AG524" s="416">
        <v>106</v>
      </c>
      <c r="AH524" s="416">
        <v>105</v>
      </c>
      <c r="AI524" s="416">
        <v>104</v>
      </c>
      <c r="AJ524" s="416">
        <v>103</v>
      </c>
      <c r="AK524" s="416">
        <v>101</v>
      </c>
      <c r="AL524" s="416">
        <v>2</v>
      </c>
      <c r="AM524" s="416">
        <v>99.7</v>
      </c>
      <c r="AN524" s="416">
        <v>72.099999999999994</v>
      </c>
      <c r="AO524" s="416">
        <v>50.1</v>
      </c>
      <c r="AP524" s="416">
        <v>36.9</v>
      </c>
      <c r="AQ524" s="416">
        <v>27.1</v>
      </c>
      <c r="AR524" s="416">
        <v>20</v>
      </c>
      <c r="AS524" s="416">
        <v>14.4</v>
      </c>
      <c r="AT524" s="416">
        <v>9.06</v>
      </c>
      <c r="AU524" s="416">
        <v>5.18</v>
      </c>
      <c r="AV524" s="416">
        <v>3.31</v>
      </c>
      <c r="AW524" s="416">
        <v>2.54</v>
      </c>
      <c r="AX524" s="416">
        <v>2.0099999999999998</v>
      </c>
      <c r="AY524" s="416">
        <v>1.47</v>
      </c>
      <c r="AZ524" s="416">
        <v>1.02</v>
      </c>
    </row>
    <row r="525" spans="1:52" x14ac:dyDescent="0.25">
      <c r="A525" s="415" t="str">
        <f t="shared" si="8"/>
        <v>SA-403 Gr.309</v>
      </c>
      <c r="B525" s="415">
        <v>520</v>
      </c>
      <c r="C525" s="415" t="s">
        <v>3423</v>
      </c>
      <c r="D525" s="415" t="s">
        <v>913</v>
      </c>
      <c r="E525" s="415" t="s">
        <v>2229</v>
      </c>
      <c r="F525" s="415">
        <v>309</v>
      </c>
      <c r="G525" s="415" t="s">
        <v>3424</v>
      </c>
      <c r="H525" s="415" t="s">
        <v>3381</v>
      </c>
      <c r="I525" s="415">
        <v>0</v>
      </c>
      <c r="J525" s="415">
        <v>8</v>
      </c>
      <c r="K525" s="415">
        <v>2</v>
      </c>
      <c r="L525" s="415">
        <v>3</v>
      </c>
      <c r="M525" s="415">
        <v>515</v>
      </c>
      <c r="N525" s="415">
        <v>205</v>
      </c>
      <c r="O525" s="415">
        <v>816</v>
      </c>
      <c r="P525" s="415" t="s">
        <v>3069</v>
      </c>
      <c r="Q525" s="415" t="s">
        <v>3641</v>
      </c>
      <c r="R525" s="415">
        <v>3</v>
      </c>
      <c r="S525" s="415">
        <v>138</v>
      </c>
      <c r="T525" s="416">
        <v>138</v>
      </c>
      <c r="U525" s="416">
        <v>138</v>
      </c>
      <c r="V525" s="416">
        <v>138</v>
      </c>
      <c r="W525" s="416">
        <v>138</v>
      </c>
      <c r="X525" s="416">
        <v>138</v>
      </c>
      <c r="Y525" s="416">
        <v>138</v>
      </c>
      <c r="Z525" s="416">
        <v>138</v>
      </c>
      <c r="AA525" s="416">
        <v>138</v>
      </c>
      <c r="AB525" s="416">
        <v>135</v>
      </c>
      <c r="AC525" s="416">
        <v>133</v>
      </c>
      <c r="AD525" s="416">
        <v>131</v>
      </c>
      <c r="AE525" s="416">
        <v>129</v>
      </c>
      <c r="AF525" s="416">
        <v>127</v>
      </c>
      <c r="AG525" s="416">
        <v>125</v>
      </c>
      <c r="AH525" s="416">
        <v>124</v>
      </c>
      <c r="AI525" s="416">
        <v>122</v>
      </c>
      <c r="AJ525" s="416">
        <v>121</v>
      </c>
      <c r="AK525" s="416">
        <v>119</v>
      </c>
      <c r="AL525" s="416">
        <v>3</v>
      </c>
      <c r="AM525" s="416">
        <v>117</v>
      </c>
      <c r="AN525" s="416">
        <v>84.9</v>
      </c>
      <c r="AO525" s="416">
        <v>59</v>
      </c>
      <c r="AP525" s="416">
        <v>43.5</v>
      </c>
      <c r="AQ525" s="416">
        <v>31.9</v>
      </c>
      <c r="AR525" s="416">
        <v>23.6</v>
      </c>
      <c r="AS525" s="416">
        <v>16.899999999999999</v>
      </c>
      <c r="AT525" s="416">
        <v>10.7</v>
      </c>
      <c r="AU525" s="416">
        <v>6.1</v>
      </c>
      <c r="AV525" s="416">
        <v>3.9</v>
      </c>
      <c r="AW525" s="416">
        <v>2.99</v>
      </c>
      <c r="AX525" s="416">
        <v>2.36</v>
      </c>
      <c r="AY525" s="416">
        <v>1.73</v>
      </c>
      <c r="AZ525" s="416">
        <v>1.2</v>
      </c>
    </row>
    <row r="526" spans="1:52" x14ac:dyDescent="0.25">
      <c r="A526" s="415" t="str">
        <f t="shared" si="8"/>
        <v>SA-403 Gr.309</v>
      </c>
      <c r="B526" s="415">
        <v>521</v>
      </c>
      <c r="C526" s="415" t="s">
        <v>3423</v>
      </c>
      <c r="D526" s="415" t="s">
        <v>3414</v>
      </c>
      <c r="E526" s="415" t="s">
        <v>2229</v>
      </c>
      <c r="F526" s="415">
        <v>309</v>
      </c>
      <c r="G526" s="415" t="s">
        <v>3424</v>
      </c>
      <c r="H526" s="415" t="s">
        <v>3382</v>
      </c>
      <c r="I526" s="415">
        <v>0</v>
      </c>
      <c r="J526" s="415">
        <v>8</v>
      </c>
      <c r="K526" s="415">
        <v>2</v>
      </c>
      <c r="L526" s="415">
        <v>4</v>
      </c>
      <c r="M526" s="415">
        <v>515</v>
      </c>
      <c r="N526" s="415">
        <v>205</v>
      </c>
      <c r="O526" s="415">
        <v>816</v>
      </c>
      <c r="P526" s="415" t="s">
        <v>3069</v>
      </c>
      <c r="Q526" s="415" t="s">
        <v>3640</v>
      </c>
      <c r="R526" s="415">
        <v>4</v>
      </c>
      <c r="S526" s="415">
        <v>117</v>
      </c>
      <c r="T526" s="416">
        <v>117</v>
      </c>
      <c r="U526" s="416">
        <v>117</v>
      </c>
      <c r="V526" s="416">
        <v>117</v>
      </c>
      <c r="W526" s="416">
        <v>117</v>
      </c>
      <c r="X526" s="416">
        <v>117</v>
      </c>
      <c r="Y526" s="416">
        <v>117</v>
      </c>
      <c r="Z526" s="416">
        <v>117</v>
      </c>
      <c r="AA526" s="416">
        <v>117</v>
      </c>
      <c r="AB526" s="416">
        <v>115</v>
      </c>
      <c r="AC526" s="416">
        <v>113</v>
      </c>
      <c r="AD526" s="416">
        <v>111</v>
      </c>
      <c r="AE526" s="416">
        <v>109</v>
      </c>
      <c r="AF526" s="416">
        <v>108</v>
      </c>
      <c r="AG526" s="416">
        <v>106</v>
      </c>
      <c r="AH526" s="416">
        <v>105</v>
      </c>
      <c r="AI526" s="416">
        <v>104</v>
      </c>
      <c r="AJ526" s="416">
        <v>103</v>
      </c>
      <c r="AK526" s="416">
        <v>101</v>
      </c>
      <c r="AL526" s="416">
        <v>4</v>
      </c>
      <c r="AM526" s="416">
        <v>99.7</v>
      </c>
      <c r="AN526" s="416">
        <v>72.099999999999994</v>
      </c>
      <c r="AO526" s="416">
        <v>50.1</v>
      </c>
      <c r="AP526" s="416">
        <v>36.9</v>
      </c>
      <c r="AQ526" s="416">
        <v>27.1</v>
      </c>
      <c r="AR526" s="416">
        <v>20</v>
      </c>
      <c r="AS526" s="416">
        <v>14.4</v>
      </c>
      <c r="AT526" s="416">
        <v>9.06</v>
      </c>
      <c r="AU526" s="416">
        <v>5.18</v>
      </c>
      <c r="AV526" s="416">
        <v>3.31</v>
      </c>
      <c r="AW526" s="416">
        <v>2.54</v>
      </c>
      <c r="AX526" s="416">
        <v>2.0099999999999998</v>
      </c>
      <c r="AY526" s="416">
        <v>1.47</v>
      </c>
      <c r="AZ526" s="416">
        <v>1.02</v>
      </c>
    </row>
    <row r="527" spans="1:52" x14ac:dyDescent="0.25">
      <c r="A527" s="415" t="str">
        <f t="shared" si="8"/>
        <v>SA-403 Gr.309</v>
      </c>
      <c r="B527" s="415">
        <v>522</v>
      </c>
      <c r="C527" s="415" t="s">
        <v>3423</v>
      </c>
      <c r="D527" s="415" t="s">
        <v>3414</v>
      </c>
      <c r="E527" s="415" t="s">
        <v>2229</v>
      </c>
      <c r="F527" s="415">
        <v>309</v>
      </c>
      <c r="G527" s="415" t="s">
        <v>3424</v>
      </c>
      <c r="H527" s="415" t="s">
        <v>3384</v>
      </c>
      <c r="I527" s="415">
        <v>0</v>
      </c>
      <c r="J527" s="415">
        <v>8</v>
      </c>
      <c r="K527" s="415">
        <v>2</v>
      </c>
      <c r="L527" s="415">
        <v>5</v>
      </c>
      <c r="M527" s="415">
        <v>515</v>
      </c>
      <c r="N527" s="415">
        <v>205</v>
      </c>
      <c r="O527" s="415">
        <v>816</v>
      </c>
      <c r="P527" s="415" t="s">
        <v>3069</v>
      </c>
      <c r="Q527" s="415" t="s">
        <v>3640</v>
      </c>
      <c r="R527" s="415">
        <v>5</v>
      </c>
      <c r="S527" s="415">
        <v>117</v>
      </c>
      <c r="T527" s="416">
        <v>117</v>
      </c>
      <c r="U527" s="416">
        <v>117</v>
      </c>
      <c r="V527" s="416">
        <v>117</v>
      </c>
      <c r="W527" s="416">
        <v>117</v>
      </c>
      <c r="X527" s="416">
        <v>117</v>
      </c>
      <c r="Y527" s="416">
        <v>117</v>
      </c>
      <c r="Z527" s="416">
        <v>117</v>
      </c>
      <c r="AA527" s="416">
        <v>117</v>
      </c>
      <c r="AB527" s="416">
        <v>115</v>
      </c>
      <c r="AC527" s="416">
        <v>113</v>
      </c>
      <c r="AD527" s="416">
        <v>111</v>
      </c>
      <c r="AE527" s="416">
        <v>109</v>
      </c>
      <c r="AF527" s="416">
        <v>108</v>
      </c>
      <c r="AG527" s="416">
        <v>106</v>
      </c>
      <c r="AH527" s="416">
        <v>105</v>
      </c>
      <c r="AI527" s="416">
        <v>104</v>
      </c>
      <c r="AJ527" s="416">
        <v>103</v>
      </c>
      <c r="AK527" s="416">
        <v>101</v>
      </c>
      <c r="AL527" s="416">
        <v>5</v>
      </c>
      <c r="AM527" s="416">
        <v>99.7</v>
      </c>
      <c r="AN527" s="416">
        <v>72.099999999999994</v>
      </c>
      <c r="AO527" s="416">
        <v>50.1</v>
      </c>
      <c r="AP527" s="416">
        <v>36.9</v>
      </c>
      <c r="AQ527" s="416">
        <v>27.1</v>
      </c>
      <c r="AR527" s="416">
        <v>20</v>
      </c>
      <c r="AS527" s="416">
        <v>14.4</v>
      </c>
      <c r="AT527" s="416">
        <v>9.06</v>
      </c>
      <c r="AU527" s="416">
        <v>5.18</v>
      </c>
      <c r="AV527" s="416">
        <v>3.31</v>
      </c>
      <c r="AW527" s="416">
        <v>2.54</v>
      </c>
      <c r="AX527" s="416">
        <v>2.0099999999999998</v>
      </c>
      <c r="AY527" s="416">
        <v>1.47</v>
      </c>
      <c r="AZ527" s="416">
        <v>1.02</v>
      </c>
    </row>
    <row r="528" spans="1:52" x14ac:dyDescent="0.25">
      <c r="A528" s="415" t="str">
        <f t="shared" si="8"/>
        <v>SA-213 Gr.TP309S</v>
      </c>
      <c r="B528" s="415">
        <v>523</v>
      </c>
      <c r="C528" s="415" t="s">
        <v>3423</v>
      </c>
      <c r="D528" s="415" t="s">
        <v>2693</v>
      </c>
      <c r="E528" s="415" t="s">
        <v>2195</v>
      </c>
      <c r="F528" s="415" t="s">
        <v>2562</v>
      </c>
      <c r="G528" s="415" t="s">
        <v>3426</v>
      </c>
      <c r="H528" s="415">
        <v>0</v>
      </c>
      <c r="I528" s="415">
        <v>0</v>
      </c>
      <c r="J528" s="415">
        <v>8</v>
      </c>
      <c r="K528" s="415">
        <v>2</v>
      </c>
      <c r="L528" s="415">
        <v>6</v>
      </c>
      <c r="M528" s="415">
        <v>515</v>
      </c>
      <c r="N528" s="415">
        <v>205</v>
      </c>
      <c r="O528" s="415">
        <v>816</v>
      </c>
      <c r="P528" s="415" t="s">
        <v>3069</v>
      </c>
      <c r="Q528" s="415" t="s">
        <v>3642</v>
      </c>
      <c r="R528" s="415">
        <v>6</v>
      </c>
      <c r="S528" s="415">
        <v>138</v>
      </c>
      <c r="T528" s="416">
        <v>138</v>
      </c>
      <c r="U528" s="416">
        <v>138</v>
      </c>
      <c r="V528" s="416">
        <v>138</v>
      </c>
      <c r="W528" s="416">
        <v>138</v>
      </c>
      <c r="X528" s="416">
        <v>138</v>
      </c>
      <c r="Y528" s="416">
        <v>138</v>
      </c>
      <c r="Z528" s="416">
        <v>138</v>
      </c>
      <c r="AA528" s="416">
        <v>138</v>
      </c>
      <c r="AB528" s="416">
        <v>135</v>
      </c>
      <c r="AC528" s="416">
        <v>133</v>
      </c>
      <c r="AD528" s="416">
        <v>131</v>
      </c>
      <c r="AE528" s="416">
        <v>129</v>
      </c>
      <c r="AF528" s="416">
        <v>127</v>
      </c>
      <c r="AG528" s="416">
        <v>125</v>
      </c>
      <c r="AH528" s="416">
        <v>124</v>
      </c>
      <c r="AI528" s="416">
        <v>122</v>
      </c>
      <c r="AJ528" s="416">
        <v>121</v>
      </c>
      <c r="AK528" s="416">
        <v>119</v>
      </c>
      <c r="AL528" s="416">
        <v>6</v>
      </c>
      <c r="AM528" s="416">
        <v>117</v>
      </c>
      <c r="AN528" s="416">
        <v>84.9</v>
      </c>
      <c r="AO528" s="416">
        <v>59</v>
      </c>
      <c r="AP528" s="416">
        <v>43.5</v>
      </c>
      <c r="AQ528" s="416">
        <v>31.9</v>
      </c>
      <c r="AR528" s="416">
        <v>23.6</v>
      </c>
      <c r="AS528" s="416">
        <v>16.899999999999999</v>
      </c>
      <c r="AT528" s="416">
        <v>10.7</v>
      </c>
      <c r="AU528" s="416">
        <v>6.1</v>
      </c>
      <c r="AV528" s="416">
        <v>3.9</v>
      </c>
      <c r="AW528" s="416">
        <v>2.99</v>
      </c>
      <c r="AX528" s="416">
        <v>2.36</v>
      </c>
      <c r="AY528" s="416">
        <v>1.73</v>
      </c>
      <c r="AZ528" s="416">
        <v>1.2</v>
      </c>
    </row>
    <row r="529" spans="1:52" x14ac:dyDescent="0.25">
      <c r="A529" s="415" t="str">
        <f t="shared" si="8"/>
        <v>SA-240 Gr.309S</v>
      </c>
      <c r="B529" s="415">
        <v>524</v>
      </c>
      <c r="C529" s="415" t="s">
        <v>3423</v>
      </c>
      <c r="D529" s="415" t="s">
        <v>2684</v>
      </c>
      <c r="E529" s="415" t="s">
        <v>2165</v>
      </c>
      <c r="F529" s="415" t="s">
        <v>2255</v>
      </c>
      <c r="G529" s="415" t="s">
        <v>3426</v>
      </c>
      <c r="H529" s="415">
        <v>0</v>
      </c>
      <c r="I529" s="415">
        <v>0</v>
      </c>
      <c r="J529" s="415">
        <v>8</v>
      </c>
      <c r="K529" s="415">
        <v>2</v>
      </c>
      <c r="L529" s="415">
        <v>7</v>
      </c>
      <c r="M529" s="415">
        <v>515</v>
      </c>
      <c r="N529" s="415">
        <v>205</v>
      </c>
      <c r="O529" s="415">
        <v>816</v>
      </c>
      <c r="P529" s="415" t="s">
        <v>3069</v>
      </c>
      <c r="Q529" s="415" t="s">
        <v>3642</v>
      </c>
      <c r="R529" s="415">
        <v>7</v>
      </c>
      <c r="S529" s="415">
        <v>138</v>
      </c>
      <c r="T529" s="416">
        <v>138</v>
      </c>
      <c r="U529" s="416">
        <v>138</v>
      </c>
      <c r="V529" s="416">
        <v>138</v>
      </c>
      <c r="W529" s="416">
        <v>138</v>
      </c>
      <c r="X529" s="416">
        <v>138</v>
      </c>
      <c r="Y529" s="416">
        <v>138</v>
      </c>
      <c r="Z529" s="416">
        <v>138</v>
      </c>
      <c r="AA529" s="416">
        <v>138</v>
      </c>
      <c r="AB529" s="416">
        <v>135</v>
      </c>
      <c r="AC529" s="416">
        <v>133</v>
      </c>
      <c r="AD529" s="416">
        <v>131</v>
      </c>
      <c r="AE529" s="416">
        <v>129</v>
      </c>
      <c r="AF529" s="416">
        <v>127</v>
      </c>
      <c r="AG529" s="416">
        <v>125</v>
      </c>
      <c r="AH529" s="416">
        <v>124</v>
      </c>
      <c r="AI529" s="416">
        <v>122</v>
      </c>
      <c r="AJ529" s="416">
        <v>121</v>
      </c>
      <c r="AK529" s="416">
        <v>119</v>
      </c>
      <c r="AL529" s="416">
        <v>7</v>
      </c>
      <c r="AM529" s="416">
        <v>117</v>
      </c>
      <c r="AN529" s="416">
        <v>84.9</v>
      </c>
      <c r="AO529" s="416">
        <v>59</v>
      </c>
      <c r="AP529" s="416">
        <v>43.5</v>
      </c>
      <c r="AQ529" s="416">
        <v>31.9</v>
      </c>
      <c r="AR529" s="416">
        <v>23.6</v>
      </c>
      <c r="AS529" s="416">
        <v>16.899999999999999</v>
      </c>
      <c r="AT529" s="416">
        <v>10.7</v>
      </c>
      <c r="AU529" s="416">
        <v>6.1</v>
      </c>
      <c r="AV529" s="416">
        <v>3.9</v>
      </c>
      <c r="AW529" s="416">
        <v>2.99</v>
      </c>
      <c r="AX529" s="416">
        <v>2.36</v>
      </c>
      <c r="AY529" s="416">
        <v>1.73</v>
      </c>
      <c r="AZ529" s="416">
        <v>1.2</v>
      </c>
    </row>
    <row r="530" spans="1:52" x14ac:dyDescent="0.25">
      <c r="A530" s="415" t="str">
        <f t="shared" si="8"/>
        <v>SA-249 Gr.TP309S</v>
      </c>
      <c r="B530" s="415">
        <v>525</v>
      </c>
      <c r="C530" s="415" t="s">
        <v>3423</v>
      </c>
      <c r="D530" s="415" t="s">
        <v>2689</v>
      </c>
      <c r="E530" s="415" t="s">
        <v>2200</v>
      </c>
      <c r="F530" s="415" t="s">
        <v>2562</v>
      </c>
      <c r="G530" s="415" t="s">
        <v>3426</v>
      </c>
      <c r="H530" s="415">
        <v>0</v>
      </c>
      <c r="I530" s="415">
        <v>0</v>
      </c>
      <c r="J530" s="415">
        <v>8</v>
      </c>
      <c r="K530" s="415">
        <v>2</v>
      </c>
      <c r="L530" s="415">
        <v>8</v>
      </c>
      <c r="M530" s="415">
        <v>515</v>
      </c>
      <c r="N530" s="415">
        <v>205</v>
      </c>
      <c r="O530" s="415">
        <v>816</v>
      </c>
      <c r="P530" s="415" t="s">
        <v>3069</v>
      </c>
      <c r="Q530" s="415" t="s">
        <v>3640</v>
      </c>
      <c r="R530" s="415">
        <v>8</v>
      </c>
      <c r="S530" s="415">
        <v>117</v>
      </c>
      <c r="T530" s="416">
        <v>117</v>
      </c>
      <c r="U530" s="416">
        <v>117</v>
      </c>
      <c r="V530" s="416">
        <v>117</v>
      </c>
      <c r="W530" s="416">
        <v>117</v>
      </c>
      <c r="X530" s="416">
        <v>117</v>
      </c>
      <c r="Y530" s="416">
        <v>117</v>
      </c>
      <c r="Z530" s="416">
        <v>117</v>
      </c>
      <c r="AA530" s="416">
        <v>117</v>
      </c>
      <c r="AB530" s="416">
        <v>115</v>
      </c>
      <c r="AC530" s="416">
        <v>113</v>
      </c>
      <c r="AD530" s="416">
        <v>111</v>
      </c>
      <c r="AE530" s="416">
        <v>109</v>
      </c>
      <c r="AF530" s="416">
        <v>108</v>
      </c>
      <c r="AG530" s="416">
        <v>106</v>
      </c>
      <c r="AH530" s="416">
        <v>105</v>
      </c>
      <c r="AI530" s="416">
        <v>104</v>
      </c>
      <c r="AJ530" s="416">
        <v>103</v>
      </c>
      <c r="AK530" s="416">
        <v>101</v>
      </c>
      <c r="AL530" s="416">
        <v>8</v>
      </c>
      <c r="AM530" s="416">
        <v>99.7</v>
      </c>
      <c r="AN530" s="416">
        <v>72.099999999999994</v>
      </c>
      <c r="AO530" s="416">
        <v>50.1</v>
      </c>
      <c r="AP530" s="416">
        <v>36.9</v>
      </c>
      <c r="AQ530" s="416">
        <v>27.1</v>
      </c>
      <c r="AR530" s="416">
        <v>20</v>
      </c>
      <c r="AS530" s="416">
        <v>14.4</v>
      </c>
      <c r="AT530" s="416">
        <v>9.06</v>
      </c>
      <c r="AU530" s="416">
        <v>5.18</v>
      </c>
      <c r="AV530" s="416">
        <v>3.31</v>
      </c>
      <c r="AW530" s="416">
        <v>2.54</v>
      </c>
      <c r="AX530" s="416">
        <v>2.0099999999999998</v>
      </c>
      <c r="AY530" s="416">
        <v>1.47</v>
      </c>
      <c r="AZ530" s="416">
        <v>1.02</v>
      </c>
    </row>
    <row r="531" spans="1:52" x14ac:dyDescent="0.25">
      <c r="A531" s="415" t="str">
        <f t="shared" si="8"/>
        <v>SA-312 Gr.TP309S</v>
      </c>
      <c r="B531" s="415">
        <v>526</v>
      </c>
      <c r="C531" s="415" t="s">
        <v>3423</v>
      </c>
      <c r="D531" s="415" t="s">
        <v>2703</v>
      </c>
      <c r="E531" s="415" t="s">
        <v>2208</v>
      </c>
      <c r="F531" s="415" t="s">
        <v>2562</v>
      </c>
      <c r="G531" s="415" t="s">
        <v>3426</v>
      </c>
      <c r="H531" s="415">
        <v>0</v>
      </c>
      <c r="I531" s="415">
        <v>0</v>
      </c>
      <c r="J531" s="415">
        <v>8</v>
      </c>
      <c r="K531" s="415">
        <v>2</v>
      </c>
      <c r="L531" s="415">
        <v>9</v>
      </c>
      <c r="M531" s="415">
        <v>515</v>
      </c>
      <c r="N531" s="415">
        <v>205</v>
      </c>
      <c r="O531" s="415">
        <v>816</v>
      </c>
      <c r="P531" s="415" t="s">
        <v>3069</v>
      </c>
      <c r="Q531" s="415" t="s">
        <v>3642</v>
      </c>
      <c r="R531" s="415">
        <v>9</v>
      </c>
      <c r="S531" s="415">
        <v>138</v>
      </c>
      <c r="T531" s="416">
        <v>138</v>
      </c>
      <c r="U531" s="416">
        <v>138</v>
      </c>
      <c r="V531" s="416">
        <v>138</v>
      </c>
      <c r="W531" s="416">
        <v>138</v>
      </c>
      <c r="X531" s="416">
        <v>138</v>
      </c>
      <c r="Y531" s="416">
        <v>138</v>
      </c>
      <c r="Z531" s="416">
        <v>138</v>
      </c>
      <c r="AA531" s="416">
        <v>138</v>
      </c>
      <c r="AB531" s="416">
        <v>135</v>
      </c>
      <c r="AC531" s="416">
        <v>133</v>
      </c>
      <c r="AD531" s="416">
        <v>131</v>
      </c>
      <c r="AE531" s="416">
        <v>129</v>
      </c>
      <c r="AF531" s="416">
        <v>127</v>
      </c>
      <c r="AG531" s="416">
        <v>125</v>
      </c>
      <c r="AH531" s="416">
        <v>124</v>
      </c>
      <c r="AI531" s="416">
        <v>122</v>
      </c>
      <c r="AJ531" s="416">
        <v>121</v>
      </c>
      <c r="AK531" s="416">
        <v>119</v>
      </c>
      <c r="AL531" s="416">
        <v>9</v>
      </c>
      <c r="AM531" s="416">
        <v>117</v>
      </c>
      <c r="AN531" s="416">
        <v>84.9</v>
      </c>
      <c r="AO531" s="416">
        <v>59</v>
      </c>
      <c r="AP531" s="416">
        <v>43.5</v>
      </c>
      <c r="AQ531" s="416">
        <v>31.9</v>
      </c>
      <c r="AR531" s="416">
        <v>23.6</v>
      </c>
      <c r="AS531" s="416">
        <v>16.899999999999999</v>
      </c>
      <c r="AT531" s="416">
        <v>10.7</v>
      </c>
      <c r="AU531" s="416">
        <v>6.1</v>
      </c>
      <c r="AV531" s="416">
        <v>3.9</v>
      </c>
      <c r="AW531" s="416">
        <v>2.99</v>
      </c>
      <c r="AX531" s="416">
        <v>2.36</v>
      </c>
      <c r="AY531" s="416">
        <v>1.73</v>
      </c>
      <c r="AZ531" s="416">
        <v>1.2</v>
      </c>
    </row>
    <row r="532" spans="1:52" x14ac:dyDescent="0.25">
      <c r="A532" s="415" t="str">
        <f t="shared" si="8"/>
        <v>SA-312 Gr.TP309S</v>
      </c>
      <c r="B532" s="415">
        <v>527</v>
      </c>
      <c r="C532" s="415" t="s">
        <v>3423</v>
      </c>
      <c r="D532" s="415" t="s">
        <v>2680</v>
      </c>
      <c r="E532" s="415" t="s">
        <v>2208</v>
      </c>
      <c r="F532" s="415" t="s">
        <v>2562</v>
      </c>
      <c r="G532" s="415" t="s">
        <v>3426</v>
      </c>
      <c r="H532" s="415">
        <v>0</v>
      </c>
      <c r="I532" s="415">
        <v>0</v>
      </c>
      <c r="J532" s="415">
        <v>8</v>
      </c>
      <c r="K532" s="415">
        <v>2</v>
      </c>
      <c r="L532" s="415">
        <v>10</v>
      </c>
      <c r="M532" s="415">
        <v>515</v>
      </c>
      <c r="N532" s="415">
        <v>205</v>
      </c>
      <c r="O532" s="415">
        <v>816</v>
      </c>
      <c r="P532" s="415" t="s">
        <v>3069</v>
      </c>
      <c r="Q532" s="415" t="s">
        <v>3643</v>
      </c>
      <c r="R532" s="415">
        <v>10</v>
      </c>
      <c r="S532" s="415">
        <v>117</v>
      </c>
      <c r="T532" s="416">
        <v>117</v>
      </c>
      <c r="U532" s="416">
        <v>117</v>
      </c>
      <c r="V532" s="416">
        <v>117</v>
      </c>
      <c r="W532" s="416">
        <v>117</v>
      </c>
      <c r="X532" s="416">
        <v>117</v>
      </c>
      <c r="Y532" s="416">
        <v>117</v>
      </c>
      <c r="Z532" s="416">
        <v>117</v>
      </c>
      <c r="AA532" s="416">
        <v>117</v>
      </c>
      <c r="AB532" s="416">
        <v>115</v>
      </c>
      <c r="AC532" s="416">
        <v>113</v>
      </c>
      <c r="AD532" s="416">
        <v>111</v>
      </c>
      <c r="AE532" s="416">
        <v>109</v>
      </c>
      <c r="AF532" s="416">
        <v>108</v>
      </c>
      <c r="AG532" s="416">
        <v>106</v>
      </c>
      <c r="AH532" s="416">
        <v>105</v>
      </c>
      <c r="AI532" s="416">
        <v>104</v>
      </c>
      <c r="AJ532" s="416">
        <v>103</v>
      </c>
      <c r="AK532" s="416">
        <v>101</v>
      </c>
      <c r="AL532" s="416">
        <v>10</v>
      </c>
      <c r="AM532" s="416">
        <v>99.7</v>
      </c>
      <c r="AN532" s="416">
        <v>72.099999999999994</v>
      </c>
      <c r="AO532" s="416">
        <v>50.1</v>
      </c>
      <c r="AP532" s="416">
        <v>36.9</v>
      </c>
      <c r="AQ532" s="416">
        <v>27.1</v>
      </c>
      <c r="AR532" s="416">
        <v>20</v>
      </c>
      <c r="AS532" s="416">
        <v>14.4</v>
      </c>
      <c r="AT532" s="416">
        <v>9.06</v>
      </c>
      <c r="AU532" s="416">
        <v>5.18</v>
      </c>
      <c r="AV532" s="416">
        <v>3.31</v>
      </c>
      <c r="AW532" s="416">
        <v>2.54</v>
      </c>
      <c r="AX532" s="416">
        <v>2.0099999999999998</v>
      </c>
      <c r="AY532" s="416">
        <v>1.47</v>
      </c>
      <c r="AZ532" s="416">
        <v>1.02</v>
      </c>
    </row>
    <row r="533" spans="1:52" x14ac:dyDescent="0.25">
      <c r="A533" s="415" t="str">
        <f t="shared" si="8"/>
        <v>SA-813 Gr.TP309S</v>
      </c>
      <c r="B533" s="415">
        <v>528</v>
      </c>
      <c r="C533" s="415" t="s">
        <v>3423</v>
      </c>
      <c r="D533" s="415" t="s">
        <v>2680</v>
      </c>
      <c r="E533" s="415" t="s">
        <v>2328</v>
      </c>
      <c r="F533" s="415" t="s">
        <v>2562</v>
      </c>
      <c r="G533" s="415" t="s">
        <v>3426</v>
      </c>
      <c r="H533" s="415">
        <v>0</v>
      </c>
      <c r="I533" s="415">
        <v>0</v>
      </c>
      <c r="J533" s="415">
        <v>8</v>
      </c>
      <c r="K533" s="415">
        <v>2</v>
      </c>
      <c r="L533" s="415">
        <v>11</v>
      </c>
      <c r="M533" s="415">
        <v>515</v>
      </c>
      <c r="N533" s="415">
        <v>205</v>
      </c>
      <c r="O533" s="415">
        <v>816</v>
      </c>
      <c r="P533" s="415" t="s">
        <v>3069</v>
      </c>
      <c r="Q533" s="415" t="s">
        <v>3643</v>
      </c>
      <c r="R533" s="415">
        <v>11</v>
      </c>
      <c r="S533" s="415">
        <v>117</v>
      </c>
      <c r="T533" s="416">
        <v>117</v>
      </c>
      <c r="U533" s="416">
        <v>117</v>
      </c>
      <c r="V533" s="416">
        <v>117</v>
      </c>
      <c r="W533" s="416">
        <v>117</v>
      </c>
      <c r="X533" s="416">
        <v>117</v>
      </c>
      <c r="Y533" s="416">
        <v>117</v>
      </c>
      <c r="Z533" s="416">
        <v>117</v>
      </c>
      <c r="AA533" s="416">
        <v>117</v>
      </c>
      <c r="AB533" s="416">
        <v>115</v>
      </c>
      <c r="AC533" s="416">
        <v>113</v>
      </c>
      <c r="AD533" s="416">
        <v>111</v>
      </c>
      <c r="AE533" s="416">
        <v>109</v>
      </c>
      <c r="AF533" s="416">
        <v>108</v>
      </c>
      <c r="AG533" s="416">
        <v>106</v>
      </c>
      <c r="AH533" s="416">
        <v>105</v>
      </c>
      <c r="AI533" s="416">
        <v>104</v>
      </c>
      <c r="AJ533" s="416">
        <v>103</v>
      </c>
      <c r="AK533" s="416">
        <v>101</v>
      </c>
      <c r="AL533" s="416">
        <v>11</v>
      </c>
      <c r="AM533" s="416">
        <v>99.7</v>
      </c>
      <c r="AN533" s="416">
        <v>72.099999999999994</v>
      </c>
      <c r="AO533" s="416">
        <v>50.1</v>
      </c>
      <c r="AP533" s="416">
        <v>36.9</v>
      </c>
      <c r="AQ533" s="416">
        <v>27.1</v>
      </c>
      <c r="AR533" s="416">
        <v>20</v>
      </c>
      <c r="AS533" s="416">
        <v>14.4</v>
      </c>
      <c r="AT533" s="416">
        <v>9.06</v>
      </c>
      <c r="AU533" s="416">
        <v>5.18</v>
      </c>
      <c r="AV533" s="416">
        <v>3.31</v>
      </c>
      <c r="AW533" s="416">
        <v>2.54</v>
      </c>
      <c r="AX533" s="416">
        <v>2.0099999999999998</v>
      </c>
      <c r="AY533" s="416">
        <v>1.47</v>
      </c>
      <c r="AZ533" s="416">
        <v>1.02</v>
      </c>
    </row>
    <row r="534" spans="1:52" x14ac:dyDescent="0.25">
      <c r="A534" s="415" t="str">
        <f t="shared" si="8"/>
        <v>SA-814 Gr.TP309S</v>
      </c>
      <c r="B534" s="415">
        <v>529</v>
      </c>
      <c r="C534" s="415" t="s">
        <v>3423</v>
      </c>
      <c r="D534" s="415" t="s">
        <v>2680</v>
      </c>
      <c r="E534" s="415" t="s">
        <v>2330</v>
      </c>
      <c r="F534" s="415" t="s">
        <v>2562</v>
      </c>
      <c r="G534" s="415" t="s">
        <v>3426</v>
      </c>
      <c r="H534" s="415">
        <v>0</v>
      </c>
      <c r="I534" s="415">
        <v>0</v>
      </c>
      <c r="J534" s="415">
        <v>8</v>
      </c>
      <c r="K534" s="415">
        <v>2</v>
      </c>
      <c r="L534" s="415">
        <v>12</v>
      </c>
      <c r="M534" s="415">
        <v>515</v>
      </c>
      <c r="N534" s="415">
        <v>205</v>
      </c>
      <c r="O534" s="415">
        <v>816</v>
      </c>
      <c r="P534" s="415" t="s">
        <v>3069</v>
      </c>
      <c r="Q534" s="415" t="s">
        <v>3643</v>
      </c>
      <c r="R534" s="415">
        <v>12</v>
      </c>
      <c r="S534" s="415">
        <v>117</v>
      </c>
      <c r="T534" s="416">
        <v>117</v>
      </c>
      <c r="U534" s="416">
        <v>117</v>
      </c>
      <c r="V534" s="416">
        <v>117</v>
      </c>
      <c r="W534" s="416">
        <v>117</v>
      </c>
      <c r="X534" s="416">
        <v>117</v>
      </c>
      <c r="Y534" s="416">
        <v>117</v>
      </c>
      <c r="Z534" s="416">
        <v>117</v>
      </c>
      <c r="AA534" s="416">
        <v>117</v>
      </c>
      <c r="AB534" s="416">
        <v>115</v>
      </c>
      <c r="AC534" s="416">
        <v>113</v>
      </c>
      <c r="AD534" s="416">
        <v>111</v>
      </c>
      <c r="AE534" s="416">
        <v>109</v>
      </c>
      <c r="AF534" s="416">
        <v>108</v>
      </c>
      <c r="AG534" s="416">
        <v>106</v>
      </c>
      <c r="AH534" s="416">
        <v>105</v>
      </c>
      <c r="AI534" s="416">
        <v>104</v>
      </c>
      <c r="AJ534" s="416">
        <v>103</v>
      </c>
      <c r="AK534" s="416">
        <v>101</v>
      </c>
      <c r="AL534" s="416">
        <v>12</v>
      </c>
      <c r="AM534" s="416">
        <v>99.7</v>
      </c>
      <c r="AN534" s="416">
        <v>72.099999999999994</v>
      </c>
      <c r="AO534" s="416">
        <v>50.1</v>
      </c>
      <c r="AP534" s="416">
        <v>36.9</v>
      </c>
      <c r="AQ534" s="416">
        <v>27.1</v>
      </c>
      <c r="AR534" s="416">
        <v>20</v>
      </c>
      <c r="AS534" s="416">
        <v>14.4</v>
      </c>
      <c r="AT534" s="416">
        <v>9.06</v>
      </c>
      <c r="AU534" s="416">
        <v>5.18</v>
      </c>
      <c r="AV534" s="416">
        <v>3.31</v>
      </c>
      <c r="AW534" s="416">
        <v>2.54</v>
      </c>
      <c r="AX534" s="416">
        <v>2.0099999999999998</v>
      </c>
      <c r="AY534" s="416">
        <v>1.47</v>
      </c>
      <c r="AZ534" s="416">
        <v>1.02</v>
      </c>
    </row>
    <row r="535" spans="1:52" x14ac:dyDescent="0.25">
      <c r="A535" s="415" t="str">
        <f t="shared" si="8"/>
        <v>SA-213 Gr.TP309H</v>
      </c>
      <c r="B535" s="415">
        <v>530</v>
      </c>
      <c r="C535" s="415" t="s">
        <v>3423</v>
      </c>
      <c r="D535" s="415" t="s">
        <v>2693</v>
      </c>
      <c r="E535" s="415" t="s">
        <v>2195</v>
      </c>
      <c r="F535" s="415" t="s">
        <v>2561</v>
      </c>
      <c r="G535" s="415" t="s">
        <v>3435</v>
      </c>
      <c r="H535" s="415">
        <v>0</v>
      </c>
      <c r="I535" s="415">
        <v>0</v>
      </c>
      <c r="J535" s="415">
        <v>8</v>
      </c>
      <c r="K535" s="415">
        <v>2</v>
      </c>
      <c r="L535" s="415">
        <v>13</v>
      </c>
      <c r="M535" s="415">
        <v>515</v>
      </c>
      <c r="N535" s="415">
        <v>205</v>
      </c>
      <c r="O535" s="415">
        <v>816</v>
      </c>
      <c r="P535" s="415" t="s">
        <v>3069</v>
      </c>
      <c r="Q535" s="415" t="s">
        <v>3641</v>
      </c>
      <c r="R535" s="415">
        <v>13</v>
      </c>
      <c r="S535" s="415">
        <v>138</v>
      </c>
      <c r="T535" s="416">
        <v>138</v>
      </c>
      <c r="U535" s="416">
        <v>138</v>
      </c>
      <c r="V535" s="416">
        <v>138</v>
      </c>
      <c r="W535" s="416">
        <v>138</v>
      </c>
      <c r="X535" s="416">
        <v>138</v>
      </c>
      <c r="Y535" s="416">
        <v>138</v>
      </c>
      <c r="Z535" s="416">
        <v>138</v>
      </c>
      <c r="AA535" s="416">
        <v>138</v>
      </c>
      <c r="AB535" s="416">
        <v>135</v>
      </c>
      <c r="AC535" s="416">
        <v>133</v>
      </c>
      <c r="AD535" s="416">
        <v>131</v>
      </c>
      <c r="AE535" s="416">
        <v>129</v>
      </c>
      <c r="AF535" s="416">
        <v>127</v>
      </c>
      <c r="AG535" s="416">
        <v>125</v>
      </c>
      <c r="AH535" s="416">
        <v>124</v>
      </c>
      <c r="AI535" s="416">
        <v>122</v>
      </c>
      <c r="AJ535" s="416">
        <v>121</v>
      </c>
      <c r="AK535" s="416">
        <v>119</v>
      </c>
      <c r="AL535" s="416">
        <v>13</v>
      </c>
      <c r="AM535" s="416">
        <v>117</v>
      </c>
      <c r="AN535" s="416">
        <v>108</v>
      </c>
      <c r="AO535" s="416">
        <v>83.7</v>
      </c>
      <c r="AP535" s="416">
        <v>64</v>
      </c>
      <c r="AQ535" s="416">
        <v>48.5</v>
      </c>
      <c r="AR535" s="416">
        <v>36.299999999999997</v>
      </c>
      <c r="AS535" s="416">
        <v>27.3</v>
      </c>
      <c r="AT535" s="416">
        <v>21</v>
      </c>
      <c r="AU535" s="416">
        <v>15.9</v>
      </c>
      <c r="AV535" s="416">
        <v>12.5</v>
      </c>
      <c r="AW535" s="416">
        <v>9.8699999999999992</v>
      </c>
      <c r="AX535" s="416">
        <v>7.65</v>
      </c>
      <c r="AY535" s="416">
        <v>5.97</v>
      </c>
      <c r="AZ535" s="416">
        <v>4.74</v>
      </c>
    </row>
    <row r="536" spans="1:52" x14ac:dyDescent="0.25">
      <c r="A536" s="415" t="str">
        <f t="shared" si="8"/>
        <v>SA-240 Gr.309H</v>
      </c>
      <c r="B536" s="415">
        <v>531</v>
      </c>
      <c r="C536" s="415" t="s">
        <v>3423</v>
      </c>
      <c r="D536" s="415" t="s">
        <v>2684</v>
      </c>
      <c r="E536" s="415" t="s">
        <v>2165</v>
      </c>
      <c r="F536" s="415" t="s">
        <v>2253</v>
      </c>
      <c r="G536" s="415" t="s">
        <v>3435</v>
      </c>
      <c r="H536" s="415">
        <v>0</v>
      </c>
      <c r="I536" s="415">
        <v>0</v>
      </c>
      <c r="J536" s="415">
        <v>8</v>
      </c>
      <c r="K536" s="415">
        <v>2</v>
      </c>
      <c r="L536" s="415">
        <v>14</v>
      </c>
      <c r="M536" s="415">
        <v>515</v>
      </c>
      <c r="N536" s="415">
        <v>205</v>
      </c>
      <c r="O536" s="415">
        <v>816</v>
      </c>
      <c r="P536" s="415" t="s">
        <v>3069</v>
      </c>
      <c r="Q536" s="415" t="s">
        <v>3644</v>
      </c>
      <c r="R536" s="415">
        <v>14</v>
      </c>
      <c r="S536" s="415">
        <v>138</v>
      </c>
      <c r="T536" s="416">
        <v>138</v>
      </c>
      <c r="U536" s="416">
        <v>138</v>
      </c>
      <c r="V536" s="416">
        <v>138</v>
      </c>
      <c r="W536" s="416">
        <v>138</v>
      </c>
      <c r="X536" s="416">
        <v>138</v>
      </c>
      <c r="Y536" s="416">
        <v>138</v>
      </c>
      <c r="Z536" s="416">
        <v>138</v>
      </c>
      <c r="AA536" s="416">
        <v>138</v>
      </c>
      <c r="AB536" s="416">
        <v>135</v>
      </c>
      <c r="AC536" s="416">
        <v>133</v>
      </c>
      <c r="AD536" s="416">
        <v>131</v>
      </c>
      <c r="AE536" s="416">
        <v>129</v>
      </c>
      <c r="AF536" s="416">
        <v>127</v>
      </c>
      <c r="AG536" s="416">
        <v>125</v>
      </c>
      <c r="AH536" s="416">
        <v>124</v>
      </c>
      <c r="AI536" s="416">
        <v>122</v>
      </c>
      <c r="AJ536" s="416">
        <v>121</v>
      </c>
      <c r="AK536" s="416">
        <v>119</v>
      </c>
      <c r="AL536" s="416">
        <v>14</v>
      </c>
      <c r="AM536" s="416">
        <v>117</v>
      </c>
      <c r="AN536" s="416">
        <v>108</v>
      </c>
      <c r="AO536" s="416">
        <v>83.7</v>
      </c>
      <c r="AP536" s="416">
        <v>64</v>
      </c>
      <c r="AQ536" s="416">
        <v>48.5</v>
      </c>
      <c r="AR536" s="416">
        <v>36.299999999999997</v>
      </c>
      <c r="AS536" s="416">
        <v>27.3</v>
      </c>
      <c r="AT536" s="416">
        <v>21</v>
      </c>
      <c r="AU536" s="416">
        <v>15.9</v>
      </c>
      <c r="AV536" s="416">
        <v>12.5</v>
      </c>
      <c r="AW536" s="416">
        <v>9.8699999999999992</v>
      </c>
      <c r="AX536" s="416">
        <v>7.65</v>
      </c>
      <c r="AY536" s="416">
        <v>5.97</v>
      </c>
      <c r="AZ536" s="416">
        <v>4.74</v>
      </c>
    </row>
    <row r="537" spans="1:52" x14ac:dyDescent="0.25">
      <c r="A537" s="415" t="str">
        <f t="shared" si="8"/>
        <v>SA-249 Gr.TP309H</v>
      </c>
      <c r="B537" s="415">
        <v>532</v>
      </c>
      <c r="C537" s="415" t="s">
        <v>3423</v>
      </c>
      <c r="D537" s="415" t="s">
        <v>2689</v>
      </c>
      <c r="E537" s="415" t="s">
        <v>2200</v>
      </c>
      <c r="F537" s="415" t="s">
        <v>2561</v>
      </c>
      <c r="G537" s="415" t="s">
        <v>3435</v>
      </c>
      <c r="H537" s="415">
        <v>0</v>
      </c>
      <c r="I537" s="415">
        <v>0</v>
      </c>
      <c r="J537" s="415">
        <v>8</v>
      </c>
      <c r="K537" s="415">
        <v>2</v>
      </c>
      <c r="L537" s="415">
        <v>15</v>
      </c>
      <c r="M537" s="415">
        <v>515</v>
      </c>
      <c r="N537" s="415">
        <v>205</v>
      </c>
      <c r="O537" s="415">
        <v>816</v>
      </c>
      <c r="P537" s="415" t="s">
        <v>3069</v>
      </c>
      <c r="Q537" s="415" t="s">
        <v>3640</v>
      </c>
      <c r="R537" s="415">
        <v>15</v>
      </c>
      <c r="S537" s="415">
        <v>117</v>
      </c>
      <c r="T537" s="416">
        <v>117</v>
      </c>
      <c r="U537" s="416">
        <v>117</v>
      </c>
      <c r="V537" s="416">
        <v>117</v>
      </c>
      <c r="W537" s="416">
        <v>117</v>
      </c>
      <c r="X537" s="416">
        <v>117</v>
      </c>
      <c r="Y537" s="416">
        <v>117</v>
      </c>
      <c r="Z537" s="416">
        <v>117</v>
      </c>
      <c r="AA537" s="416">
        <v>117</v>
      </c>
      <c r="AB537" s="416">
        <v>115</v>
      </c>
      <c r="AC537" s="416">
        <v>113</v>
      </c>
      <c r="AD537" s="416">
        <v>111</v>
      </c>
      <c r="AE537" s="416">
        <v>109</v>
      </c>
      <c r="AF537" s="416">
        <v>108</v>
      </c>
      <c r="AG537" s="416">
        <v>106</v>
      </c>
      <c r="AH537" s="416">
        <v>105</v>
      </c>
      <c r="AI537" s="416">
        <v>104</v>
      </c>
      <c r="AJ537" s="416">
        <v>103</v>
      </c>
      <c r="AK537" s="416">
        <v>101</v>
      </c>
      <c r="AL537" s="416">
        <v>15</v>
      </c>
      <c r="AM537" s="416">
        <v>99.7</v>
      </c>
      <c r="AN537" s="416">
        <v>91.6</v>
      </c>
      <c r="AO537" s="416">
        <v>71.099999999999994</v>
      </c>
      <c r="AP537" s="416">
        <v>54.4</v>
      </c>
      <c r="AQ537" s="416">
        <v>41.2</v>
      </c>
      <c r="AR537" s="416">
        <v>30.8</v>
      </c>
      <c r="AS537" s="416">
        <v>23.2</v>
      </c>
      <c r="AT537" s="416">
        <v>17.899999999999999</v>
      </c>
      <c r="AU537" s="416">
        <v>13.5</v>
      </c>
      <c r="AV537" s="416">
        <v>10.7</v>
      </c>
      <c r="AW537" s="416">
        <v>8.39</v>
      </c>
      <c r="AX537" s="416">
        <v>6.5</v>
      </c>
      <c r="AY537" s="416">
        <v>5.08</v>
      </c>
      <c r="AZ537" s="416">
        <v>4.03</v>
      </c>
    </row>
    <row r="538" spans="1:52" x14ac:dyDescent="0.25">
      <c r="A538" s="415" t="str">
        <f t="shared" si="8"/>
        <v>SA-312 Gr.TP309H</v>
      </c>
      <c r="B538" s="415">
        <v>533</v>
      </c>
      <c r="C538" s="415" t="s">
        <v>3423</v>
      </c>
      <c r="D538" s="415" t="s">
        <v>2703</v>
      </c>
      <c r="E538" s="415" t="s">
        <v>2208</v>
      </c>
      <c r="F538" s="415" t="s">
        <v>2561</v>
      </c>
      <c r="G538" s="415" t="s">
        <v>3435</v>
      </c>
      <c r="H538" s="415">
        <v>0</v>
      </c>
      <c r="I538" s="415">
        <v>0</v>
      </c>
      <c r="J538" s="415">
        <v>8</v>
      </c>
      <c r="K538" s="415">
        <v>2</v>
      </c>
      <c r="L538" s="415">
        <v>16</v>
      </c>
      <c r="M538" s="415">
        <v>515</v>
      </c>
      <c r="N538" s="415">
        <v>205</v>
      </c>
      <c r="O538" s="415">
        <v>816</v>
      </c>
      <c r="P538" s="415" t="s">
        <v>3069</v>
      </c>
      <c r="Q538" s="415" t="s">
        <v>3641</v>
      </c>
      <c r="R538" s="415">
        <v>16</v>
      </c>
      <c r="S538" s="415">
        <v>138</v>
      </c>
      <c r="T538" s="416">
        <v>138</v>
      </c>
      <c r="U538" s="416">
        <v>138</v>
      </c>
      <c r="V538" s="416">
        <v>138</v>
      </c>
      <c r="W538" s="416">
        <v>138</v>
      </c>
      <c r="X538" s="416">
        <v>138</v>
      </c>
      <c r="Y538" s="416">
        <v>138</v>
      </c>
      <c r="Z538" s="416">
        <v>138</v>
      </c>
      <c r="AA538" s="416">
        <v>138</v>
      </c>
      <c r="AB538" s="416">
        <v>135</v>
      </c>
      <c r="AC538" s="416">
        <v>133</v>
      </c>
      <c r="AD538" s="416">
        <v>131</v>
      </c>
      <c r="AE538" s="416">
        <v>129</v>
      </c>
      <c r="AF538" s="416">
        <v>127</v>
      </c>
      <c r="AG538" s="416">
        <v>125</v>
      </c>
      <c r="AH538" s="416">
        <v>124</v>
      </c>
      <c r="AI538" s="416">
        <v>122</v>
      </c>
      <c r="AJ538" s="416">
        <v>121</v>
      </c>
      <c r="AK538" s="416">
        <v>119</v>
      </c>
      <c r="AL538" s="416">
        <v>16</v>
      </c>
      <c r="AM538" s="416">
        <v>117</v>
      </c>
      <c r="AN538" s="416">
        <v>108</v>
      </c>
      <c r="AO538" s="416">
        <v>83.7</v>
      </c>
      <c r="AP538" s="416">
        <v>64</v>
      </c>
      <c r="AQ538" s="416">
        <v>48.5</v>
      </c>
      <c r="AR538" s="416">
        <v>36.299999999999997</v>
      </c>
      <c r="AS538" s="416">
        <v>27.3</v>
      </c>
      <c r="AT538" s="416">
        <v>21</v>
      </c>
      <c r="AU538" s="416">
        <v>15.9</v>
      </c>
      <c r="AV538" s="416">
        <v>12.5</v>
      </c>
      <c r="AW538" s="416">
        <v>9.8699999999999992</v>
      </c>
      <c r="AX538" s="416">
        <v>7.65</v>
      </c>
      <c r="AY538" s="416">
        <v>5.97</v>
      </c>
      <c r="AZ538" s="416">
        <v>4.74</v>
      </c>
    </row>
    <row r="539" spans="1:52" x14ac:dyDescent="0.25">
      <c r="A539" s="415" t="str">
        <f t="shared" si="8"/>
        <v>SA-312 Gr.TP309H</v>
      </c>
      <c r="B539" s="415">
        <v>534</v>
      </c>
      <c r="C539" s="415" t="s">
        <v>3423</v>
      </c>
      <c r="D539" s="415" t="s">
        <v>2680</v>
      </c>
      <c r="E539" s="415" t="s">
        <v>2208</v>
      </c>
      <c r="F539" s="415" t="s">
        <v>2561</v>
      </c>
      <c r="G539" s="415" t="s">
        <v>3435</v>
      </c>
      <c r="H539" s="415">
        <v>0</v>
      </c>
      <c r="I539" s="415">
        <v>0</v>
      </c>
      <c r="J539" s="415">
        <v>8</v>
      </c>
      <c r="K539" s="415">
        <v>2</v>
      </c>
      <c r="L539" s="415">
        <v>17</v>
      </c>
      <c r="M539" s="415">
        <v>515</v>
      </c>
      <c r="N539" s="415">
        <v>205</v>
      </c>
      <c r="O539" s="415">
        <v>816</v>
      </c>
      <c r="P539" s="415" t="s">
        <v>3069</v>
      </c>
      <c r="Q539" s="415" t="s">
        <v>3640</v>
      </c>
      <c r="R539" s="415">
        <v>17</v>
      </c>
      <c r="S539" s="415">
        <v>117</v>
      </c>
      <c r="T539" s="416">
        <v>117</v>
      </c>
      <c r="U539" s="416">
        <v>117</v>
      </c>
      <c r="V539" s="416">
        <v>117</v>
      </c>
      <c r="W539" s="416">
        <v>117</v>
      </c>
      <c r="X539" s="416">
        <v>117</v>
      </c>
      <c r="Y539" s="416">
        <v>117</v>
      </c>
      <c r="Z539" s="416">
        <v>117</v>
      </c>
      <c r="AA539" s="416">
        <v>117</v>
      </c>
      <c r="AB539" s="416">
        <v>115</v>
      </c>
      <c r="AC539" s="416">
        <v>113</v>
      </c>
      <c r="AD539" s="416">
        <v>111</v>
      </c>
      <c r="AE539" s="416">
        <v>109</v>
      </c>
      <c r="AF539" s="416">
        <v>108</v>
      </c>
      <c r="AG539" s="416">
        <v>106</v>
      </c>
      <c r="AH539" s="416">
        <v>105</v>
      </c>
      <c r="AI539" s="416">
        <v>104</v>
      </c>
      <c r="AJ539" s="416">
        <v>103</v>
      </c>
      <c r="AK539" s="416">
        <v>101</v>
      </c>
      <c r="AL539" s="416">
        <v>17</v>
      </c>
      <c r="AM539" s="416">
        <v>99.7</v>
      </c>
      <c r="AN539" s="416">
        <v>91.6</v>
      </c>
      <c r="AO539" s="416">
        <v>71.099999999999994</v>
      </c>
      <c r="AP539" s="416">
        <v>54.4</v>
      </c>
      <c r="AQ539" s="416">
        <v>41.2</v>
      </c>
      <c r="AR539" s="416">
        <v>30.8</v>
      </c>
      <c r="AS539" s="416">
        <v>23.2</v>
      </c>
      <c r="AT539" s="416">
        <v>17.899999999999999</v>
      </c>
      <c r="AU539" s="416">
        <v>13.5</v>
      </c>
      <c r="AV539" s="416">
        <v>10.7</v>
      </c>
      <c r="AW539" s="416">
        <v>8.39</v>
      </c>
      <c r="AX539" s="416">
        <v>6.5</v>
      </c>
      <c r="AY539" s="416">
        <v>5.08</v>
      </c>
      <c r="AZ539" s="416">
        <v>4.03</v>
      </c>
    </row>
    <row r="540" spans="1:52" x14ac:dyDescent="0.25">
      <c r="A540" s="415" t="str">
        <f t="shared" si="8"/>
        <v>SA-479 Gr.309H</v>
      </c>
      <c r="B540" s="415">
        <v>535</v>
      </c>
      <c r="C540" s="415" t="s">
        <v>3423</v>
      </c>
      <c r="D540" s="415" t="s">
        <v>2677</v>
      </c>
      <c r="E540" s="415" t="s">
        <v>2245</v>
      </c>
      <c r="F540" s="415" t="s">
        <v>2253</v>
      </c>
      <c r="G540" s="415" t="s">
        <v>3435</v>
      </c>
      <c r="H540" s="415">
        <v>0</v>
      </c>
      <c r="I540" s="415">
        <v>0</v>
      </c>
      <c r="J540" s="415">
        <v>8</v>
      </c>
      <c r="K540" s="415">
        <v>2</v>
      </c>
      <c r="L540" s="415">
        <v>18</v>
      </c>
      <c r="M540" s="415">
        <v>515</v>
      </c>
      <c r="N540" s="415">
        <v>205</v>
      </c>
      <c r="O540" s="415">
        <v>816</v>
      </c>
      <c r="P540" s="415" t="s">
        <v>3069</v>
      </c>
      <c r="Q540" s="415" t="s">
        <v>3641</v>
      </c>
      <c r="R540" s="415">
        <v>18</v>
      </c>
      <c r="S540" s="415">
        <v>138</v>
      </c>
      <c r="T540" s="416">
        <v>138</v>
      </c>
      <c r="U540" s="416">
        <v>138</v>
      </c>
      <c r="V540" s="416">
        <v>138</v>
      </c>
      <c r="W540" s="416">
        <v>138</v>
      </c>
      <c r="X540" s="416">
        <v>138</v>
      </c>
      <c r="Y540" s="416">
        <v>138</v>
      </c>
      <c r="Z540" s="416">
        <v>138</v>
      </c>
      <c r="AA540" s="416">
        <v>138</v>
      </c>
      <c r="AB540" s="416">
        <v>135</v>
      </c>
      <c r="AC540" s="416">
        <v>133</v>
      </c>
      <c r="AD540" s="416">
        <v>131</v>
      </c>
      <c r="AE540" s="416">
        <v>129</v>
      </c>
      <c r="AF540" s="416">
        <v>127</v>
      </c>
      <c r="AG540" s="416">
        <v>125</v>
      </c>
      <c r="AH540" s="416">
        <v>124</v>
      </c>
      <c r="AI540" s="416">
        <v>122</v>
      </c>
      <c r="AJ540" s="416">
        <v>121</v>
      </c>
      <c r="AK540" s="416">
        <v>119</v>
      </c>
      <c r="AL540" s="416">
        <v>18</v>
      </c>
      <c r="AM540" s="416">
        <v>117</v>
      </c>
      <c r="AN540" s="416">
        <v>108</v>
      </c>
      <c r="AO540" s="416">
        <v>83.7</v>
      </c>
      <c r="AP540" s="416">
        <v>64</v>
      </c>
      <c r="AQ540" s="416">
        <v>48.5</v>
      </c>
      <c r="AR540" s="416">
        <v>36.299999999999997</v>
      </c>
      <c r="AS540" s="416">
        <v>27.3</v>
      </c>
      <c r="AT540" s="416">
        <v>21</v>
      </c>
      <c r="AU540" s="416">
        <v>15.9</v>
      </c>
      <c r="AV540" s="416">
        <v>12.5</v>
      </c>
      <c r="AW540" s="416">
        <v>9.8699999999999992</v>
      </c>
      <c r="AX540" s="416">
        <v>7.65</v>
      </c>
      <c r="AY540" s="416">
        <v>5.97</v>
      </c>
      <c r="AZ540" s="416">
        <v>4.74</v>
      </c>
    </row>
    <row r="541" spans="1:52" x14ac:dyDescent="0.25">
      <c r="A541" s="415" t="str">
        <f t="shared" si="8"/>
        <v>SA-213 Gr.TP309Cb</v>
      </c>
      <c r="B541" s="415">
        <v>536</v>
      </c>
      <c r="C541" s="415" t="s">
        <v>3443</v>
      </c>
      <c r="D541" s="415" t="s">
        <v>2693</v>
      </c>
      <c r="E541" s="415" t="s">
        <v>2195</v>
      </c>
      <c r="F541" s="415" t="s">
        <v>2560</v>
      </c>
      <c r="G541" s="415" t="s">
        <v>3444</v>
      </c>
      <c r="H541" s="415">
        <v>0</v>
      </c>
      <c r="I541" s="415">
        <v>0</v>
      </c>
      <c r="J541" s="415">
        <v>8</v>
      </c>
      <c r="K541" s="415">
        <v>2</v>
      </c>
      <c r="L541" s="415">
        <v>19</v>
      </c>
      <c r="M541" s="415">
        <v>515</v>
      </c>
      <c r="N541" s="415">
        <v>205</v>
      </c>
      <c r="O541" s="415">
        <v>816</v>
      </c>
      <c r="P541" s="415" t="s">
        <v>3069</v>
      </c>
      <c r="Q541" s="415" t="s">
        <v>3642</v>
      </c>
      <c r="R541" s="415">
        <v>19</v>
      </c>
      <c r="S541" s="415">
        <v>138</v>
      </c>
      <c r="T541" s="416">
        <v>138</v>
      </c>
      <c r="U541" s="416">
        <v>138</v>
      </c>
      <c r="V541" s="416">
        <v>138</v>
      </c>
      <c r="W541" s="416">
        <v>138</v>
      </c>
      <c r="X541" s="416">
        <v>138</v>
      </c>
      <c r="Y541" s="416">
        <v>138</v>
      </c>
      <c r="Z541" s="416">
        <v>138</v>
      </c>
      <c r="AA541" s="416">
        <v>138</v>
      </c>
      <c r="AB541" s="416">
        <v>135</v>
      </c>
      <c r="AC541" s="416">
        <v>133</v>
      </c>
      <c r="AD541" s="416">
        <v>131</v>
      </c>
      <c r="AE541" s="416">
        <v>129</v>
      </c>
      <c r="AF541" s="416">
        <v>127</v>
      </c>
      <c r="AG541" s="416">
        <v>125</v>
      </c>
      <c r="AH541" s="416">
        <v>124</v>
      </c>
      <c r="AI541" s="416">
        <v>122</v>
      </c>
      <c r="AJ541" s="416">
        <v>121</v>
      </c>
      <c r="AK541" s="416">
        <v>119</v>
      </c>
      <c r="AL541" s="416">
        <v>19</v>
      </c>
      <c r="AM541" s="416">
        <v>117</v>
      </c>
      <c r="AN541" s="416">
        <v>84.9</v>
      </c>
      <c r="AO541" s="416">
        <v>59</v>
      </c>
      <c r="AP541" s="416">
        <v>43.5</v>
      </c>
      <c r="AQ541" s="416">
        <v>31.9</v>
      </c>
      <c r="AR541" s="416">
        <v>23.6</v>
      </c>
      <c r="AS541" s="416">
        <v>16.899999999999999</v>
      </c>
      <c r="AT541" s="416">
        <v>10.7</v>
      </c>
      <c r="AU541" s="416">
        <v>6.1</v>
      </c>
      <c r="AV541" s="416">
        <v>3.9</v>
      </c>
      <c r="AW541" s="416">
        <v>2.99</v>
      </c>
      <c r="AX541" s="416">
        <v>2.36</v>
      </c>
      <c r="AY541" s="416">
        <v>1.73</v>
      </c>
      <c r="AZ541" s="416">
        <v>1.2</v>
      </c>
    </row>
    <row r="542" spans="1:52" x14ac:dyDescent="0.25">
      <c r="A542" s="415" t="str">
        <f t="shared" si="8"/>
        <v>SA-240 Gr.309Cb</v>
      </c>
      <c r="B542" s="415">
        <v>537</v>
      </c>
      <c r="C542" s="415" t="s">
        <v>3443</v>
      </c>
      <c r="D542" s="415" t="s">
        <v>2684</v>
      </c>
      <c r="E542" s="415" t="s">
        <v>2165</v>
      </c>
      <c r="F542" s="415" t="s">
        <v>2252</v>
      </c>
      <c r="G542" s="415" t="s">
        <v>3444</v>
      </c>
      <c r="H542" s="415">
        <v>0</v>
      </c>
      <c r="I542" s="415">
        <v>0</v>
      </c>
      <c r="J542" s="415">
        <v>8</v>
      </c>
      <c r="K542" s="415">
        <v>2</v>
      </c>
      <c r="L542" s="415">
        <v>20</v>
      </c>
      <c r="M542" s="415">
        <v>515</v>
      </c>
      <c r="N542" s="415">
        <v>205</v>
      </c>
      <c r="O542" s="415">
        <v>816</v>
      </c>
      <c r="P542" s="415" t="s">
        <v>3069</v>
      </c>
      <c r="Q542" s="415" t="s">
        <v>3642</v>
      </c>
      <c r="R542" s="415">
        <v>20</v>
      </c>
      <c r="S542" s="415">
        <v>138</v>
      </c>
      <c r="T542" s="416">
        <v>138</v>
      </c>
      <c r="U542" s="416">
        <v>138</v>
      </c>
      <c r="V542" s="416">
        <v>138</v>
      </c>
      <c r="W542" s="416">
        <v>138</v>
      </c>
      <c r="X542" s="416">
        <v>138</v>
      </c>
      <c r="Y542" s="416">
        <v>138</v>
      </c>
      <c r="Z542" s="416">
        <v>138</v>
      </c>
      <c r="AA542" s="416">
        <v>138</v>
      </c>
      <c r="AB542" s="416">
        <v>135</v>
      </c>
      <c r="AC542" s="416">
        <v>133</v>
      </c>
      <c r="AD542" s="416">
        <v>131</v>
      </c>
      <c r="AE542" s="416">
        <v>129</v>
      </c>
      <c r="AF542" s="416">
        <v>127</v>
      </c>
      <c r="AG542" s="416">
        <v>125</v>
      </c>
      <c r="AH542" s="416">
        <v>124</v>
      </c>
      <c r="AI542" s="416">
        <v>122</v>
      </c>
      <c r="AJ542" s="416">
        <v>121</v>
      </c>
      <c r="AK542" s="416">
        <v>119</v>
      </c>
      <c r="AL542" s="416">
        <v>20</v>
      </c>
      <c r="AM542" s="416">
        <v>117</v>
      </c>
      <c r="AN542" s="416">
        <v>84.9</v>
      </c>
      <c r="AO542" s="416">
        <v>59</v>
      </c>
      <c r="AP542" s="416">
        <v>43.5</v>
      </c>
      <c r="AQ542" s="416">
        <v>31.9</v>
      </c>
      <c r="AR542" s="416">
        <v>23.6</v>
      </c>
      <c r="AS542" s="416">
        <v>16.899999999999999</v>
      </c>
      <c r="AT542" s="416">
        <v>10.7</v>
      </c>
      <c r="AU542" s="416">
        <v>6.1</v>
      </c>
      <c r="AV542" s="416">
        <v>3.9</v>
      </c>
      <c r="AW542" s="416">
        <v>2.99</v>
      </c>
      <c r="AX542" s="416">
        <v>2.36</v>
      </c>
      <c r="AY542" s="416">
        <v>1.73</v>
      </c>
      <c r="AZ542" s="416">
        <v>1.2</v>
      </c>
    </row>
    <row r="543" spans="1:52" x14ac:dyDescent="0.25">
      <c r="A543" s="415" t="str">
        <f t="shared" si="8"/>
        <v>SA-249 Gr.TP309Cb</v>
      </c>
      <c r="B543" s="415">
        <v>538</v>
      </c>
      <c r="C543" s="415" t="s">
        <v>3443</v>
      </c>
      <c r="D543" s="415" t="s">
        <v>2689</v>
      </c>
      <c r="E543" s="415" t="s">
        <v>2200</v>
      </c>
      <c r="F543" s="415" t="s">
        <v>2560</v>
      </c>
      <c r="G543" s="415" t="s">
        <v>3444</v>
      </c>
      <c r="H543" s="415">
        <v>0</v>
      </c>
      <c r="I543" s="415">
        <v>0</v>
      </c>
      <c r="J543" s="415">
        <v>8</v>
      </c>
      <c r="K543" s="415">
        <v>2</v>
      </c>
      <c r="L543" s="415">
        <v>21</v>
      </c>
      <c r="M543" s="415">
        <v>515</v>
      </c>
      <c r="N543" s="415">
        <v>205</v>
      </c>
      <c r="O543" s="415">
        <v>816</v>
      </c>
      <c r="P543" s="415" t="s">
        <v>3069</v>
      </c>
      <c r="Q543" s="415" t="s">
        <v>3643</v>
      </c>
      <c r="R543" s="415">
        <v>21</v>
      </c>
      <c r="S543" s="415">
        <v>117</v>
      </c>
      <c r="T543" s="416">
        <v>117</v>
      </c>
      <c r="U543" s="416">
        <v>117</v>
      </c>
      <c r="V543" s="416">
        <v>117</v>
      </c>
      <c r="W543" s="416">
        <v>117</v>
      </c>
      <c r="X543" s="416">
        <v>117</v>
      </c>
      <c r="Y543" s="416">
        <v>117</v>
      </c>
      <c r="Z543" s="416">
        <v>117</v>
      </c>
      <c r="AA543" s="416">
        <v>117</v>
      </c>
      <c r="AB543" s="416">
        <v>115</v>
      </c>
      <c r="AC543" s="416">
        <v>113</v>
      </c>
      <c r="AD543" s="416">
        <v>111</v>
      </c>
      <c r="AE543" s="416">
        <v>109</v>
      </c>
      <c r="AF543" s="416">
        <v>108</v>
      </c>
      <c r="AG543" s="416">
        <v>106</v>
      </c>
      <c r="AH543" s="416">
        <v>105</v>
      </c>
      <c r="AI543" s="416">
        <v>104</v>
      </c>
      <c r="AJ543" s="416">
        <v>103</v>
      </c>
      <c r="AK543" s="416">
        <v>101</v>
      </c>
      <c r="AL543" s="416">
        <v>21</v>
      </c>
      <c r="AM543" s="416">
        <v>99.7</v>
      </c>
      <c r="AN543" s="416">
        <v>72.099999999999994</v>
      </c>
      <c r="AO543" s="416">
        <v>50.1</v>
      </c>
      <c r="AP543" s="416">
        <v>36.9</v>
      </c>
      <c r="AQ543" s="416">
        <v>27.1</v>
      </c>
      <c r="AR543" s="416">
        <v>20</v>
      </c>
      <c r="AS543" s="416">
        <v>14.4</v>
      </c>
      <c r="AT543" s="416">
        <v>9.06</v>
      </c>
      <c r="AU543" s="416">
        <v>5.18</v>
      </c>
      <c r="AV543" s="416">
        <v>3.31</v>
      </c>
      <c r="AW543" s="416">
        <v>2.54</v>
      </c>
      <c r="AX543" s="416">
        <v>2.0099999999999998</v>
      </c>
      <c r="AY543" s="416">
        <v>1.47</v>
      </c>
      <c r="AZ543" s="416">
        <v>1.02</v>
      </c>
    </row>
    <row r="544" spans="1:52" x14ac:dyDescent="0.25">
      <c r="A544" s="415" t="str">
        <f t="shared" si="8"/>
        <v>SA-312 Gr.TP309Cb</v>
      </c>
      <c r="B544" s="415">
        <v>539</v>
      </c>
      <c r="C544" s="415" t="s">
        <v>3443</v>
      </c>
      <c r="D544" s="415" t="s">
        <v>2703</v>
      </c>
      <c r="E544" s="415" t="s">
        <v>2208</v>
      </c>
      <c r="F544" s="415" t="s">
        <v>2560</v>
      </c>
      <c r="G544" s="415" t="s">
        <v>3444</v>
      </c>
      <c r="H544" s="415">
        <v>0</v>
      </c>
      <c r="I544" s="415">
        <v>0</v>
      </c>
      <c r="J544" s="415">
        <v>8</v>
      </c>
      <c r="K544" s="415">
        <v>2</v>
      </c>
      <c r="L544" s="415">
        <v>22</v>
      </c>
      <c r="M544" s="415">
        <v>515</v>
      </c>
      <c r="N544" s="415">
        <v>205</v>
      </c>
      <c r="O544" s="415">
        <v>816</v>
      </c>
      <c r="P544" s="415" t="s">
        <v>3069</v>
      </c>
      <c r="Q544" s="415" t="s">
        <v>3642</v>
      </c>
      <c r="R544" s="415">
        <v>22</v>
      </c>
      <c r="S544" s="415">
        <v>138</v>
      </c>
      <c r="T544" s="416">
        <v>138</v>
      </c>
      <c r="U544" s="416">
        <v>138</v>
      </c>
      <c r="V544" s="416">
        <v>138</v>
      </c>
      <c r="W544" s="416">
        <v>138</v>
      </c>
      <c r="X544" s="416">
        <v>138</v>
      </c>
      <c r="Y544" s="416">
        <v>138</v>
      </c>
      <c r="Z544" s="416">
        <v>138</v>
      </c>
      <c r="AA544" s="416">
        <v>138</v>
      </c>
      <c r="AB544" s="416">
        <v>135</v>
      </c>
      <c r="AC544" s="416">
        <v>133</v>
      </c>
      <c r="AD544" s="416">
        <v>131</v>
      </c>
      <c r="AE544" s="416">
        <v>129</v>
      </c>
      <c r="AF544" s="416">
        <v>127</v>
      </c>
      <c r="AG544" s="416">
        <v>125</v>
      </c>
      <c r="AH544" s="416">
        <v>124</v>
      </c>
      <c r="AI544" s="416">
        <v>122</v>
      </c>
      <c r="AJ544" s="416">
        <v>121</v>
      </c>
      <c r="AK544" s="416">
        <v>119</v>
      </c>
      <c r="AL544" s="416">
        <v>22</v>
      </c>
      <c r="AM544" s="416">
        <v>117</v>
      </c>
      <c r="AN544" s="416">
        <v>84.9</v>
      </c>
      <c r="AO544" s="416">
        <v>59</v>
      </c>
      <c r="AP544" s="416">
        <v>43.5</v>
      </c>
      <c r="AQ544" s="416">
        <v>31.9</v>
      </c>
      <c r="AR544" s="416">
        <v>23.6</v>
      </c>
      <c r="AS544" s="416">
        <v>16.899999999999999</v>
      </c>
      <c r="AT544" s="416">
        <v>10.7</v>
      </c>
      <c r="AU544" s="416">
        <v>6.1</v>
      </c>
      <c r="AV544" s="416">
        <v>3.9</v>
      </c>
      <c r="AW544" s="416">
        <v>2.99</v>
      </c>
      <c r="AX544" s="416">
        <v>2.36</v>
      </c>
      <c r="AY544" s="416">
        <v>1.73</v>
      </c>
      <c r="AZ544" s="416">
        <v>1.2</v>
      </c>
    </row>
    <row r="545" spans="1:52" x14ac:dyDescent="0.25">
      <c r="A545" s="415" t="str">
        <f t="shared" si="8"/>
        <v>SA-312 Gr.TP309Cb</v>
      </c>
      <c r="B545" s="415">
        <v>540</v>
      </c>
      <c r="C545" s="415" t="s">
        <v>3443</v>
      </c>
      <c r="D545" s="415" t="s">
        <v>2680</v>
      </c>
      <c r="E545" s="415" t="s">
        <v>2208</v>
      </c>
      <c r="F545" s="415" t="s">
        <v>2560</v>
      </c>
      <c r="G545" s="415" t="s">
        <v>3444</v>
      </c>
      <c r="H545" s="415">
        <v>0</v>
      </c>
      <c r="I545" s="415">
        <v>0</v>
      </c>
      <c r="J545" s="415">
        <v>8</v>
      </c>
      <c r="K545" s="415">
        <v>2</v>
      </c>
      <c r="L545" s="415">
        <v>23</v>
      </c>
      <c r="M545" s="415">
        <v>515</v>
      </c>
      <c r="N545" s="415">
        <v>205</v>
      </c>
      <c r="O545" s="415">
        <v>816</v>
      </c>
      <c r="P545" s="415" t="s">
        <v>3069</v>
      </c>
      <c r="Q545" s="415" t="s">
        <v>3643</v>
      </c>
      <c r="R545" s="415">
        <v>23</v>
      </c>
      <c r="S545" s="415">
        <v>117</v>
      </c>
      <c r="T545" s="416">
        <v>117</v>
      </c>
      <c r="U545" s="416">
        <v>117</v>
      </c>
      <c r="V545" s="416">
        <v>117</v>
      </c>
      <c r="W545" s="416">
        <v>117</v>
      </c>
      <c r="X545" s="416">
        <v>117</v>
      </c>
      <c r="Y545" s="416">
        <v>117</v>
      </c>
      <c r="Z545" s="416">
        <v>117</v>
      </c>
      <c r="AA545" s="416">
        <v>117</v>
      </c>
      <c r="AB545" s="416">
        <v>115</v>
      </c>
      <c r="AC545" s="416">
        <v>113</v>
      </c>
      <c r="AD545" s="416">
        <v>111</v>
      </c>
      <c r="AE545" s="416">
        <v>109</v>
      </c>
      <c r="AF545" s="416">
        <v>108</v>
      </c>
      <c r="AG545" s="416">
        <v>106</v>
      </c>
      <c r="AH545" s="416">
        <v>105</v>
      </c>
      <c r="AI545" s="416">
        <v>104</v>
      </c>
      <c r="AJ545" s="416">
        <v>103</v>
      </c>
      <c r="AK545" s="416">
        <v>101</v>
      </c>
      <c r="AL545" s="416">
        <v>23</v>
      </c>
      <c r="AM545" s="416">
        <v>99.7</v>
      </c>
      <c r="AN545" s="416">
        <v>72.099999999999994</v>
      </c>
      <c r="AO545" s="416">
        <v>50.1</v>
      </c>
      <c r="AP545" s="416">
        <v>36.9</v>
      </c>
      <c r="AQ545" s="416">
        <v>27.1</v>
      </c>
      <c r="AR545" s="416">
        <v>20</v>
      </c>
      <c r="AS545" s="416">
        <v>14.4</v>
      </c>
      <c r="AT545" s="416">
        <v>9.06</v>
      </c>
      <c r="AU545" s="416">
        <v>5.18</v>
      </c>
      <c r="AV545" s="416">
        <v>3.31</v>
      </c>
      <c r="AW545" s="416">
        <v>2.54</v>
      </c>
      <c r="AX545" s="416">
        <v>2.0099999999999998</v>
      </c>
      <c r="AY545" s="416">
        <v>1.47</v>
      </c>
      <c r="AZ545" s="416">
        <v>1.02</v>
      </c>
    </row>
    <row r="546" spans="1:52" x14ac:dyDescent="0.25">
      <c r="A546" s="415" t="str">
        <f t="shared" si="8"/>
        <v>SA-813 Gr.TP309Cb</v>
      </c>
      <c r="B546" s="415">
        <v>541</v>
      </c>
      <c r="C546" s="415" t="s">
        <v>3443</v>
      </c>
      <c r="D546" s="415" t="s">
        <v>2680</v>
      </c>
      <c r="E546" s="415" t="s">
        <v>2328</v>
      </c>
      <c r="F546" s="415" t="s">
        <v>2560</v>
      </c>
      <c r="G546" s="415" t="s">
        <v>3444</v>
      </c>
      <c r="H546" s="415">
        <v>0</v>
      </c>
      <c r="I546" s="415">
        <v>0</v>
      </c>
      <c r="J546" s="415">
        <v>8</v>
      </c>
      <c r="K546" s="415">
        <v>2</v>
      </c>
      <c r="L546" s="415">
        <v>24</v>
      </c>
      <c r="M546" s="415">
        <v>515</v>
      </c>
      <c r="N546" s="415">
        <v>205</v>
      </c>
      <c r="O546" s="415">
        <v>816</v>
      </c>
      <c r="P546" s="415" t="s">
        <v>3069</v>
      </c>
      <c r="Q546" s="415" t="s">
        <v>3643</v>
      </c>
      <c r="R546" s="415">
        <v>24</v>
      </c>
      <c r="S546" s="415">
        <v>117</v>
      </c>
      <c r="T546" s="416">
        <v>117</v>
      </c>
      <c r="U546" s="416">
        <v>117</v>
      </c>
      <c r="V546" s="416">
        <v>117</v>
      </c>
      <c r="W546" s="416">
        <v>117</v>
      </c>
      <c r="X546" s="416">
        <v>117</v>
      </c>
      <c r="Y546" s="416">
        <v>117</v>
      </c>
      <c r="Z546" s="416">
        <v>117</v>
      </c>
      <c r="AA546" s="416">
        <v>117</v>
      </c>
      <c r="AB546" s="416">
        <v>115</v>
      </c>
      <c r="AC546" s="416">
        <v>113</v>
      </c>
      <c r="AD546" s="416">
        <v>111</v>
      </c>
      <c r="AE546" s="416">
        <v>109</v>
      </c>
      <c r="AF546" s="416">
        <v>108</v>
      </c>
      <c r="AG546" s="416">
        <v>106</v>
      </c>
      <c r="AH546" s="416">
        <v>105</v>
      </c>
      <c r="AI546" s="416">
        <v>104</v>
      </c>
      <c r="AJ546" s="416">
        <v>103</v>
      </c>
      <c r="AK546" s="416">
        <v>101</v>
      </c>
      <c r="AL546" s="416">
        <v>24</v>
      </c>
      <c r="AM546" s="416">
        <v>99.7</v>
      </c>
      <c r="AN546" s="416">
        <v>72.099999999999994</v>
      </c>
      <c r="AO546" s="416">
        <v>50.1</v>
      </c>
      <c r="AP546" s="416">
        <v>36.9</v>
      </c>
      <c r="AQ546" s="416">
        <v>27.1</v>
      </c>
      <c r="AR546" s="416">
        <v>20</v>
      </c>
      <c r="AS546" s="416">
        <v>14.4</v>
      </c>
      <c r="AT546" s="416">
        <v>9.06</v>
      </c>
      <c r="AU546" s="416">
        <v>5.18</v>
      </c>
      <c r="AV546" s="416">
        <v>3.31</v>
      </c>
      <c r="AW546" s="416">
        <v>2.54</v>
      </c>
      <c r="AX546" s="416">
        <v>2.0099999999999998</v>
      </c>
      <c r="AY546" s="416">
        <v>1.47</v>
      </c>
      <c r="AZ546" s="416">
        <v>1.02</v>
      </c>
    </row>
    <row r="547" spans="1:52" x14ac:dyDescent="0.25">
      <c r="A547" s="415" t="str">
        <f t="shared" si="8"/>
        <v>SA-814 Gr.TP309Cb</v>
      </c>
      <c r="B547" s="415">
        <v>542</v>
      </c>
      <c r="C547" s="415" t="s">
        <v>3443</v>
      </c>
      <c r="D547" s="415" t="s">
        <v>2680</v>
      </c>
      <c r="E547" s="415" t="s">
        <v>2330</v>
      </c>
      <c r="F547" s="415" t="s">
        <v>2560</v>
      </c>
      <c r="G547" s="415" t="s">
        <v>3444</v>
      </c>
      <c r="H547" s="415">
        <v>0</v>
      </c>
      <c r="I547" s="415">
        <v>0</v>
      </c>
      <c r="J547" s="415">
        <v>8</v>
      </c>
      <c r="K547" s="415">
        <v>2</v>
      </c>
      <c r="L547" s="415">
        <v>25</v>
      </c>
      <c r="M547" s="415">
        <v>515</v>
      </c>
      <c r="N547" s="415">
        <v>205</v>
      </c>
      <c r="O547" s="415">
        <v>816</v>
      </c>
      <c r="P547" s="415" t="s">
        <v>3069</v>
      </c>
      <c r="Q547" s="415" t="s">
        <v>3643</v>
      </c>
      <c r="R547" s="415">
        <v>25</v>
      </c>
      <c r="S547" s="415">
        <v>117</v>
      </c>
      <c r="T547" s="416">
        <v>117</v>
      </c>
      <c r="U547" s="416">
        <v>117</v>
      </c>
      <c r="V547" s="416">
        <v>117</v>
      </c>
      <c r="W547" s="416">
        <v>117</v>
      </c>
      <c r="X547" s="416">
        <v>117</v>
      </c>
      <c r="Y547" s="416">
        <v>117</v>
      </c>
      <c r="Z547" s="416">
        <v>117</v>
      </c>
      <c r="AA547" s="416">
        <v>117</v>
      </c>
      <c r="AB547" s="416">
        <v>115</v>
      </c>
      <c r="AC547" s="416">
        <v>113</v>
      </c>
      <c r="AD547" s="416">
        <v>111</v>
      </c>
      <c r="AE547" s="416">
        <v>109</v>
      </c>
      <c r="AF547" s="416">
        <v>108</v>
      </c>
      <c r="AG547" s="416">
        <v>106</v>
      </c>
      <c r="AH547" s="416">
        <v>105</v>
      </c>
      <c r="AI547" s="416">
        <v>104</v>
      </c>
      <c r="AJ547" s="416">
        <v>103</v>
      </c>
      <c r="AK547" s="416">
        <v>101</v>
      </c>
      <c r="AL547" s="416">
        <v>25</v>
      </c>
      <c r="AM547" s="416">
        <v>99.7</v>
      </c>
      <c r="AN547" s="416">
        <v>72.099999999999994</v>
      </c>
      <c r="AO547" s="416">
        <v>50.1</v>
      </c>
      <c r="AP547" s="416">
        <v>36.9</v>
      </c>
      <c r="AQ547" s="416">
        <v>27.1</v>
      </c>
      <c r="AR547" s="416">
        <v>20</v>
      </c>
      <c r="AS547" s="416">
        <v>14.4</v>
      </c>
      <c r="AT547" s="416">
        <v>9.06</v>
      </c>
      <c r="AU547" s="416">
        <v>5.18</v>
      </c>
      <c r="AV547" s="416">
        <v>3.31</v>
      </c>
      <c r="AW547" s="416">
        <v>2.54</v>
      </c>
      <c r="AX547" s="416">
        <v>2.0099999999999998</v>
      </c>
      <c r="AY547" s="416">
        <v>1.47</v>
      </c>
      <c r="AZ547" s="416">
        <v>1.02</v>
      </c>
    </row>
    <row r="548" spans="1:52" x14ac:dyDescent="0.25">
      <c r="A548" s="415" t="str">
        <f t="shared" si="8"/>
        <v>SA-240 Gr.255</v>
      </c>
      <c r="B548" s="415">
        <v>543</v>
      </c>
      <c r="C548" s="415" t="s">
        <v>3453</v>
      </c>
      <c r="D548" s="415" t="s">
        <v>2684</v>
      </c>
      <c r="E548" s="415" t="s">
        <v>2165</v>
      </c>
      <c r="F548" s="415">
        <v>255</v>
      </c>
      <c r="G548" s="415" t="s">
        <v>3456</v>
      </c>
      <c r="H548" s="415">
        <v>0</v>
      </c>
      <c r="I548" s="415">
        <v>0</v>
      </c>
      <c r="J548" s="415" t="s">
        <v>3276</v>
      </c>
      <c r="K548" s="415">
        <v>1</v>
      </c>
      <c r="L548" s="415">
        <v>26</v>
      </c>
      <c r="M548" s="415">
        <v>760</v>
      </c>
      <c r="N548" s="415">
        <v>550</v>
      </c>
      <c r="O548" s="415">
        <v>260</v>
      </c>
      <c r="P548" s="415" t="s">
        <v>3061</v>
      </c>
      <c r="Q548" s="415" t="s">
        <v>3565</v>
      </c>
      <c r="R548" s="415">
        <v>26</v>
      </c>
      <c r="S548" s="415">
        <v>316</v>
      </c>
      <c r="T548" s="416">
        <v>316</v>
      </c>
      <c r="U548" s="416">
        <v>316</v>
      </c>
      <c r="V548" s="416">
        <v>316</v>
      </c>
      <c r="W548" s="416">
        <v>306</v>
      </c>
      <c r="X548" s="416">
        <v>295</v>
      </c>
      <c r="Y548" s="416">
        <v>286</v>
      </c>
      <c r="Z548" s="416">
        <v>279</v>
      </c>
      <c r="AA548" s="416">
        <v>274</v>
      </c>
      <c r="AB548" s="416">
        <v>271</v>
      </c>
      <c r="AC548" s="416">
        <v>269</v>
      </c>
      <c r="AD548" s="416">
        <v>0</v>
      </c>
      <c r="AE548" s="416">
        <v>0</v>
      </c>
      <c r="AF548" s="416">
        <v>0</v>
      </c>
      <c r="AG548" s="416">
        <v>0</v>
      </c>
      <c r="AH548" s="416">
        <v>0</v>
      </c>
      <c r="AI548" s="416">
        <v>0</v>
      </c>
      <c r="AJ548" s="416">
        <v>0</v>
      </c>
      <c r="AK548" s="416">
        <v>0</v>
      </c>
      <c r="AL548" s="416">
        <v>26</v>
      </c>
      <c r="AM548" s="416">
        <v>0</v>
      </c>
      <c r="AN548" s="416">
        <v>0</v>
      </c>
      <c r="AO548" s="416">
        <v>0</v>
      </c>
      <c r="AP548" s="416">
        <v>0</v>
      </c>
      <c r="AQ548" s="416">
        <v>0</v>
      </c>
      <c r="AR548" s="416">
        <v>0</v>
      </c>
      <c r="AS548" s="416">
        <v>0</v>
      </c>
      <c r="AT548" s="416">
        <v>0</v>
      </c>
      <c r="AU548" s="416">
        <v>0</v>
      </c>
      <c r="AV548" s="416">
        <v>0</v>
      </c>
      <c r="AW548" s="416">
        <v>0</v>
      </c>
      <c r="AX548" s="416">
        <v>0</v>
      </c>
      <c r="AY548" s="416">
        <v>0</v>
      </c>
      <c r="AZ548" s="416">
        <v>0</v>
      </c>
    </row>
    <row r="549" spans="1:52" x14ac:dyDescent="0.25">
      <c r="A549" s="415" t="str">
        <f t="shared" si="8"/>
        <v>SA-240 Gr.0</v>
      </c>
      <c r="B549" s="415">
        <v>544</v>
      </c>
      <c r="C549" s="415" t="s">
        <v>3457</v>
      </c>
      <c r="D549" s="415" t="s">
        <v>2684</v>
      </c>
      <c r="E549" s="415" t="s">
        <v>2165</v>
      </c>
      <c r="F549" s="415">
        <v>0</v>
      </c>
      <c r="G549" s="415" t="s">
        <v>3458</v>
      </c>
      <c r="H549" s="415">
        <v>0</v>
      </c>
      <c r="I549" s="415">
        <v>0</v>
      </c>
      <c r="J549" s="415" t="s">
        <v>3276</v>
      </c>
      <c r="K549" s="415">
        <v>1</v>
      </c>
      <c r="L549" s="415">
        <v>27</v>
      </c>
      <c r="M549" s="415">
        <v>690</v>
      </c>
      <c r="N549" s="415">
        <v>450</v>
      </c>
      <c r="O549" s="415">
        <v>343</v>
      </c>
      <c r="P549" s="415" t="s">
        <v>3061</v>
      </c>
      <c r="Q549" s="415" t="s">
        <v>3618</v>
      </c>
      <c r="R549" s="415">
        <v>27</v>
      </c>
      <c r="S549" s="415">
        <v>287</v>
      </c>
      <c r="T549" s="416">
        <v>287</v>
      </c>
      <c r="U549" s="416">
        <v>287</v>
      </c>
      <c r="V549" s="416">
        <v>287</v>
      </c>
      <c r="W549" s="416">
        <v>287</v>
      </c>
      <c r="X549" s="416">
        <v>287</v>
      </c>
      <c r="Y549" s="416">
        <v>287</v>
      </c>
      <c r="Z549" s="416">
        <v>287</v>
      </c>
      <c r="AA549" s="416">
        <v>287</v>
      </c>
      <c r="AB549" s="416">
        <v>284</v>
      </c>
      <c r="AC549" s="416">
        <v>279</v>
      </c>
      <c r="AD549" s="416">
        <v>274</v>
      </c>
      <c r="AE549" s="416">
        <v>268</v>
      </c>
      <c r="AF549" s="416">
        <v>260</v>
      </c>
      <c r="AG549" s="416">
        <v>0</v>
      </c>
      <c r="AH549" s="416">
        <v>0</v>
      </c>
      <c r="AI549" s="416">
        <v>0</v>
      </c>
      <c r="AJ549" s="416">
        <v>0</v>
      </c>
      <c r="AK549" s="416">
        <v>0</v>
      </c>
      <c r="AL549" s="416">
        <v>27</v>
      </c>
      <c r="AM549" s="416">
        <v>0</v>
      </c>
      <c r="AN549" s="416">
        <v>0</v>
      </c>
      <c r="AO549" s="416">
        <v>0</v>
      </c>
      <c r="AP549" s="416">
        <v>0</v>
      </c>
      <c r="AQ549" s="416">
        <v>0</v>
      </c>
      <c r="AR549" s="416">
        <v>0</v>
      </c>
      <c r="AS549" s="416">
        <v>0</v>
      </c>
      <c r="AT549" s="416">
        <v>0</v>
      </c>
      <c r="AU549" s="416">
        <v>0</v>
      </c>
      <c r="AV549" s="416">
        <v>0</v>
      </c>
      <c r="AW549" s="416">
        <v>0</v>
      </c>
      <c r="AX549" s="416">
        <v>0</v>
      </c>
      <c r="AY549" s="416">
        <v>0</v>
      </c>
      <c r="AZ549" s="416">
        <v>0</v>
      </c>
    </row>
    <row r="550" spans="1:52" x14ac:dyDescent="0.25">
      <c r="A550" s="415" t="str">
        <f t="shared" si="8"/>
        <v>SA-351 Gr.CH8</v>
      </c>
      <c r="B550" s="415">
        <v>545</v>
      </c>
      <c r="C550" s="415" t="s">
        <v>3466</v>
      </c>
      <c r="D550" s="415" t="s">
        <v>2739</v>
      </c>
      <c r="E550" s="415" t="s">
        <v>2213</v>
      </c>
      <c r="F550" s="415" t="s">
        <v>2382</v>
      </c>
      <c r="G550" s="415" t="s">
        <v>3467</v>
      </c>
      <c r="H550" s="415">
        <v>0</v>
      </c>
      <c r="I550" s="415">
        <v>0</v>
      </c>
      <c r="J550" s="415">
        <v>8</v>
      </c>
      <c r="K550" s="415">
        <v>2</v>
      </c>
      <c r="L550" s="415">
        <v>28</v>
      </c>
      <c r="M550" s="415">
        <v>450</v>
      </c>
      <c r="N550" s="415">
        <v>195</v>
      </c>
      <c r="O550" s="415">
        <v>816</v>
      </c>
      <c r="P550" s="415" t="s">
        <v>3279</v>
      </c>
      <c r="Q550" s="415" t="s">
        <v>3645</v>
      </c>
      <c r="R550" s="415">
        <v>28</v>
      </c>
      <c r="S550" s="415">
        <v>129</v>
      </c>
      <c r="T550" s="416">
        <v>129</v>
      </c>
      <c r="U550" s="416">
        <v>129</v>
      </c>
      <c r="V550" s="416">
        <v>129</v>
      </c>
      <c r="W550" s="416">
        <v>129</v>
      </c>
      <c r="X550" s="416">
        <v>129</v>
      </c>
      <c r="Y550" s="416">
        <v>128</v>
      </c>
      <c r="Z550" s="416">
        <v>126</v>
      </c>
      <c r="AA550" s="416">
        <v>124</v>
      </c>
      <c r="AB550" s="416">
        <v>123</v>
      </c>
      <c r="AC550" s="416">
        <v>121</v>
      </c>
      <c r="AD550" s="416">
        <v>119</v>
      </c>
      <c r="AE550" s="416">
        <v>117</v>
      </c>
      <c r="AF550" s="416">
        <v>115</v>
      </c>
      <c r="AG550" s="416">
        <v>112</v>
      </c>
      <c r="AH550" s="416">
        <v>109</v>
      </c>
      <c r="AI550" s="416">
        <v>106</v>
      </c>
      <c r="AJ550" s="416">
        <v>103</v>
      </c>
      <c r="AK550" s="416">
        <v>100</v>
      </c>
      <c r="AL550" s="416">
        <v>28</v>
      </c>
      <c r="AM550" s="416">
        <v>96.9</v>
      </c>
      <c r="AN550" s="416">
        <v>93.7</v>
      </c>
      <c r="AO550" s="416">
        <v>68.099999999999994</v>
      </c>
      <c r="AP550" s="416">
        <v>53.5</v>
      </c>
      <c r="AQ550" s="416">
        <v>42.1</v>
      </c>
      <c r="AR550" s="416">
        <v>33.200000000000003</v>
      </c>
      <c r="AS550" s="416">
        <v>25.9</v>
      </c>
      <c r="AT550" s="416">
        <v>20.3</v>
      </c>
      <c r="AU550" s="416">
        <v>16.5</v>
      </c>
      <c r="AV550" s="416">
        <v>13.2</v>
      </c>
      <c r="AW550" s="416">
        <v>10.1</v>
      </c>
      <c r="AX550" s="416">
        <v>7.35</v>
      </c>
      <c r="AY550" s="416">
        <v>5.89</v>
      </c>
      <c r="AZ550" s="416">
        <v>5.3</v>
      </c>
    </row>
    <row r="551" spans="1:52" x14ac:dyDescent="0.25">
      <c r="A551" s="415" t="str">
        <f t="shared" si="8"/>
        <v>SA-351 Gr.CH20</v>
      </c>
      <c r="B551" s="415">
        <v>546</v>
      </c>
      <c r="C551" s="415" t="s">
        <v>3466</v>
      </c>
      <c r="D551" s="415" t="s">
        <v>2739</v>
      </c>
      <c r="E551" s="415" t="s">
        <v>2213</v>
      </c>
      <c r="F551" s="415" t="s">
        <v>2381</v>
      </c>
      <c r="G551" s="415" t="s">
        <v>3469</v>
      </c>
      <c r="H551" s="415">
        <v>0</v>
      </c>
      <c r="I551" s="415">
        <v>0</v>
      </c>
      <c r="J551" s="415">
        <v>8</v>
      </c>
      <c r="K551" s="415">
        <v>2</v>
      </c>
      <c r="L551" s="415">
        <v>29</v>
      </c>
      <c r="M551" s="415">
        <v>485</v>
      </c>
      <c r="N551" s="415">
        <v>205</v>
      </c>
      <c r="O551" s="415">
        <v>816</v>
      </c>
      <c r="P551" s="415" t="s">
        <v>3069</v>
      </c>
      <c r="Q551" s="415" t="s">
        <v>3623</v>
      </c>
      <c r="R551" s="415">
        <v>29</v>
      </c>
      <c r="S551" s="415">
        <v>138</v>
      </c>
      <c r="T551" s="416">
        <v>138</v>
      </c>
      <c r="U551" s="416">
        <v>138</v>
      </c>
      <c r="V551" s="416">
        <v>138</v>
      </c>
      <c r="W551" s="416">
        <v>138</v>
      </c>
      <c r="X551" s="416">
        <v>138</v>
      </c>
      <c r="Y551" s="416">
        <v>137</v>
      </c>
      <c r="Z551" s="416">
        <v>135</v>
      </c>
      <c r="AA551" s="416">
        <v>133</v>
      </c>
      <c r="AB551" s="416">
        <v>131</v>
      </c>
      <c r="AC551" s="416">
        <v>129</v>
      </c>
      <c r="AD551" s="416">
        <v>128</v>
      </c>
      <c r="AE551" s="416">
        <v>125</v>
      </c>
      <c r="AF551" s="416">
        <v>123</v>
      </c>
      <c r="AG551" s="416">
        <v>120</v>
      </c>
      <c r="AH551" s="416">
        <v>117</v>
      </c>
      <c r="AI551" s="416">
        <v>114</v>
      </c>
      <c r="AJ551" s="416">
        <v>111</v>
      </c>
      <c r="AK551" s="416">
        <v>107</v>
      </c>
      <c r="AL551" s="416">
        <v>29</v>
      </c>
      <c r="AM551" s="416">
        <v>104</v>
      </c>
      <c r="AN551" s="416">
        <v>100</v>
      </c>
      <c r="AO551" s="416">
        <v>68.099999999999994</v>
      </c>
      <c r="AP551" s="416">
        <v>53.5</v>
      </c>
      <c r="AQ551" s="416">
        <v>42.1</v>
      </c>
      <c r="AR551" s="416">
        <v>33.200000000000003</v>
      </c>
      <c r="AS551" s="416">
        <v>25.9</v>
      </c>
      <c r="AT551" s="416">
        <v>20.3</v>
      </c>
      <c r="AU551" s="416">
        <v>16.5</v>
      </c>
      <c r="AV551" s="416">
        <v>13.2</v>
      </c>
      <c r="AW551" s="416">
        <v>10.1</v>
      </c>
      <c r="AX551" s="416">
        <v>7.35</v>
      </c>
      <c r="AY551" s="416">
        <v>5.89</v>
      </c>
      <c r="AZ551" s="416">
        <v>5.3</v>
      </c>
    </row>
    <row r="552" spans="1:52" x14ac:dyDescent="0.25">
      <c r="A552" s="415" t="str">
        <f t="shared" si="8"/>
        <v>SA-351 Gr.CK20</v>
      </c>
      <c r="B552" s="415">
        <v>547</v>
      </c>
      <c r="C552" s="415" t="s">
        <v>3473</v>
      </c>
      <c r="D552" s="415" t="s">
        <v>2739</v>
      </c>
      <c r="E552" s="415" t="s">
        <v>2213</v>
      </c>
      <c r="F552" s="415" t="s">
        <v>2383</v>
      </c>
      <c r="G552" s="415" t="s">
        <v>3474</v>
      </c>
      <c r="H552" s="415">
        <v>0</v>
      </c>
      <c r="I552" s="415">
        <v>0</v>
      </c>
      <c r="J552" s="415">
        <v>8</v>
      </c>
      <c r="K552" s="415">
        <v>2</v>
      </c>
      <c r="L552" s="415">
        <v>30</v>
      </c>
      <c r="M552" s="415">
        <v>485</v>
      </c>
      <c r="N552" s="415">
        <v>205</v>
      </c>
      <c r="O552" s="415">
        <v>816</v>
      </c>
      <c r="P552" s="415" t="s">
        <v>3279</v>
      </c>
      <c r="Q552" s="415" t="s">
        <v>3623</v>
      </c>
      <c r="R552" s="415">
        <v>30</v>
      </c>
      <c r="S552" s="415">
        <v>129</v>
      </c>
      <c r="T552" s="416">
        <v>129</v>
      </c>
      <c r="U552" s="416">
        <v>129</v>
      </c>
      <c r="V552" s="416">
        <v>129</v>
      </c>
      <c r="W552" s="416">
        <v>129</v>
      </c>
      <c r="X552" s="416">
        <v>129</v>
      </c>
      <c r="Y552" s="416">
        <v>128</v>
      </c>
      <c r="Z552" s="416">
        <v>126</v>
      </c>
      <c r="AA552" s="416">
        <v>124</v>
      </c>
      <c r="AB552" s="416">
        <v>123</v>
      </c>
      <c r="AC552" s="416">
        <v>121</v>
      </c>
      <c r="AD552" s="416">
        <v>119</v>
      </c>
      <c r="AE552" s="416">
        <v>117</v>
      </c>
      <c r="AF552" s="416">
        <v>115</v>
      </c>
      <c r="AG552" s="416">
        <v>112</v>
      </c>
      <c r="AH552" s="416">
        <v>109</v>
      </c>
      <c r="AI552" s="416">
        <v>106</v>
      </c>
      <c r="AJ552" s="416">
        <v>103</v>
      </c>
      <c r="AK552" s="416">
        <v>100</v>
      </c>
      <c r="AL552" s="416">
        <v>30</v>
      </c>
      <c r="AM552" s="416">
        <v>96.9</v>
      </c>
      <c r="AN552" s="416">
        <v>93.7</v>
      </c>
      <c r="AO552" s="416">
        <v>73.2</v>
      </c>
      <c r="AP552" s="416">
        <v>64.400000000000006</v>
      </c>
      <c r="AQ552" s="416">
        <v>56.5</v>
      </c>
      <c r="AR552" s="416">
        <v>49</v>
      </c>
      <c r="AS552" s="416">
        <v>41</v>
      </c>
      <c r="AT552" s="416">
        <v>33.5</v>
      </c>
      <c r="AU552" s="416">
        <v>25.4</v>
      </c>
      <c r="AV552" s="416">
        <v>18.3</v>
      </c>
      <c r="AW552" s="416">
        <v>12.8</v>
      </c>
      <c r="AX552" s="416">
        <v>9.01</v>
      </c>
      <c r="AY552" s="416">
        <v>6.59</v>
      </c>
      <c r="AZ552" s="416">
        <v>4.95</v>
      </c>
    </row>
    <row r="553" spans="1:52" x14ac:dyDescent="0.25">
      <c r="A553" s="415" t="str">
        <f t="shared" si="8"/>
        <v>SA-182 Gr.F310</v>
      </c>
      <c r="B553" s="415">
        <v>548</v>
      </c>
      <c r="C553" s="415" t="s">
        <v>3473</v>
      </c>
      <c r="D553" s="415" t="s">
        <v>2737</v>
      </c>
      <c r="E553" s="415" t="s">
        <v>2188</v>
      </c>
      <c r="F553" s="415" t="s">
        <v>2437</v>
      </c>
      <c r="G553" s="415" t="s">
        <v>3476</v>
      </c>
      <c r="H553" s="415">
        <v>0</v>
      </c>
      <c r="I553" s="415" t="s">
        <v>3604</v>
      </c>
      <c r="J553" s="415">
        <v>8</v>
      </c>
      <c r="K553" s="415">
        <v>2</v>
      </c>
      <c r="L553" s="415">
        <v>31</v>
      </c>
      <c r="M553" s="415">
        <v>515</v>
      </c>
      <c r="N553" s="415">
        <v>205</v>
      </c>
      <c r="O553" s="415">
        <v>816</v>
      </c>
      <c r="P553" s="415" t="s">
        <v>3069</v>
      </c>
      <c r="Q553" s="415" t="s">
        <v>3646</v>
      </c>
      <c r="R553" s="415">
        <v>31</v>
      </c>
      <c r="S553" s="415">
        <v>138</v>
      </c>
      <c r="T553" s="416">
        <v>138</v>
      </c>
      <c r="U553" s="416">
        <v>138</v>
      </c>
      <c r="V553" s="416">
        <v>138</v>
      </c>
      <c r="W553" s="416">
        <v>138</v>
      </c>
      <c r="X553" s="416">
        <v>138</v>
      </c>
      <c r="Y553" s="416">
        <v>138</v>
      </c>
      <c r="Z553" s="416">
        <v>138</v>
      </c>
      <c r="AA553" s="416">
        <v>137</v>
      </c>
      <c r="AB553" s="416">
        <v>134</v>
      </c>
      <c r="AC553" s="416">
        <v>131</v>
      </c>
      <c r="AD553" s="416">
        <v>129</v>
      </c>
      <c r="AE553" s="416">
        <v>127</v>
      </c>
      <c r="AF553" s="416">
        <v>125</v>
      </c>
      <c r="AG553" s="416">
        <v>123</v>
      </c>
      <c r="AH553" s="416">
        <v>122</v>
      </c>
      <c r="AI553" s="416">
        <v>120</v>
      </c>
      <c r="AJ553" s="416">
        <v>119</v>
      </c>
      <c r="AK553" s="416">
        <v>117</v>
      </c>
      <c r="AL553" s="416">
        <v>31</v>
      </c>
      <c r="AM553" s="416">
        <v>116</v>
      </c>
      <c r="AN553" s="416">
        <v>84.9</v>
      </c>
      <c r="AO553" s="416">
        <v>59</v>
      </c>
      <c r="AP553" s="416">
        <v>43.5</v>
      </c>
      <c r="AQ553" s="416">
        <v>31.9</v>
      </c>
      <c r="AR553" s="416">
        <v>23.6</v>
      </c>
      <c r="AS553" s="416">
        <v>16.899999999999999</v>
      </c>
      <c r="AT553" s="416">
        <v>10.7</v>
      </c>
      <c r="AU553" s="416">
        <v>6.1</v>
      </c>
      <c r="AV553" s="416">
        <v>3.9</v>
      </c>
      <c r="AW553" s="416">
        <v>2.99</v>
      </c>
      <c r="AX553" s="416">
        <v>2.36</v>
      </c>
      <c r="AY553" s="416">
        <v>1.73</v>
      </c>
      <c r="AZ553" s="416">
        <v>1.2</v>
      </c>
    </row>
    <row r="554" spans="1:52" x14ac:dyDescent="0.25">
      <c r="A554" s="415" t="str">
        <f t="shared" si="8"/>
        <v>SA-965 Gr.F310</v>
      </c>
      <c r="B554" s="415">
        <v>549</v>
      </c>
      <c r="C554" s="415" t="s">
        <v>3473</v>
      </c>
      <c r="D554" s="415" t="s">
        <v>2737</v>
      </c>
      <c r="E554" s="415" t="s">
        <v>2337</v>
      </c>
      <c r="F554" s="415" t="s">
        <v>2437</v>
      </c>
      <c r="G554" s="415" t="s">
        <v>3476</v>
      </c>
      <c r="H554" s="415">
        <v>0</v>
      </c>
      <c r="I554" s="415">
        <v>0</v>
      </c>
      <c r="J554" s="415">
        <v>8</v>
      </c>
      <c r="K554" s="415">
        <v>2</v>
      </c>
      <c r="L554" s="415">
        <v>32</v>
      </c>
      <c r="M554" s="415">
        <v>515</v>
      </c>
      <c r="N554" s="415">
        <v>205</v>
      </c>
      <c r="O554" s="415">
        <v>816</v>
      </c>
      <c r="P554" s="415" t="s">
        <v>3069</v>
      </c>
      <c r="Q554" s="415" t="s">
        <v>3646</v>
      </c>
      <c r="R554" s="415">
        <v>32</v>
      </c>
      <c r="S554" s="415">
        <v>138</v>
      </c>
      <c r="T554" s="416">
        <v>138</v>
      </c>
      <c r="U554" s="416">
        <v>138</v>
      </c>
      <c r="V554" s="416">
        <v>138</v>
      </c>
      <c r="W554" s="416">
        <v>138</v>
      </c>
      <c r="X554" s="416">
        <v>138</v>
      </c>
      <c r="Y554" s="416">
        <v>138</v>
      </c>
      <c r="Z554" s="416">
        <v>138</v>
      </c>
      <c r="AA554" s="416">
        <v>137</v>
      </c>
      <c r="AB554" s="416">
        <v>134</v>
      </c>
      <c r="AC554" s="416">
        <v>131</v>
      </c>
      <c r="AD554" s="416">
        <v>129</v>
      </c>
      <c r="AE554" s="416">
        <v>127</v>
      </c>
      <c r="AF554" s="416">
        <v>125</v>
      </c>
      <c r="AG554" s="416">
        <v>123</v>
      </c>
      <c r="AH554" s="416">
        <v>122</v>
      </c>
      <c r="AI554" s="416">
        <v>120</v>
      </c>
      <c r="AJ554" s="416">
        <v>119</v>
      </c>
      <c r="AK554" s="416">
        <v>117</v>
      </c>
      <c r="AL554" s="416">
        <v>32</v>
      </c>
      <c r="AM554" s="416">
        <v>116</v>
      </c>
      <c r="AN554" s="416">
        <v>84.9</v>
      </c>
      <c r="AO554" s="416">
        <v>59</v>
      </c>
      <c r="AP554" s="416">
        <v>43.5</v>
      </c>
      <c r="AQ554" s="416">
        <v>31.9</v>
      </c>
      <c r="AR554" s="416">
        <v>23.6</v>
      </c>
      <c r="AS554" s="416">
        <v>16.899999999999999</v>
      </c>
      <c r="AT554" s="416">
        <v>10.7</v>
      </c>
      <c r="AU554" s="416">
        <v>6.1</v>
      </c>
      <c r="AV554" s="416">
        <v>3.9</v>
      </c>
      <c r="AW554" s="416">
        <v>2.99</v>
      </c>
      <c r="AX554" s="416">
        <v>2.36</v>
      </c>
      <c r="AY554" s="416">
        <v>1.73</v>
      </c>
      <c r="AZ554" s="416">
        <v>1.2</v>
      </c>
    </row>
    <row r="555" spans="1:52" x14ac:dyDescent="0.25">
      <c r="A555" s="415" t="str">
        <f t="shared" si="8"/>
        <v>SA-213 Gr.TP310S</v>
      </c>
      <c r="B555" s="415">
        <v>550</v>
      </c>
      <c r="C555" s="415" t="s">
        <v>3473</v>
      </c>
      <c r="D555" s="415" t="s">
        <v>2693</v>
      </c>
      <c r="E555" s="415" t="s">
        <v>2195</v>
      </c>
      <c r="F555" s="415" t="s">
        <v>2567</v>
      </c>
      <c r="G555" s="415" t="s">
        <v>3478</v>
      </c>
      <c r="H555" s="415">
        <v>0</v>
      </c>
      <c r="I555" s="415">
        <v>0</v>
      </c>
      <c r="J555" s="415">
        <v>8</v>
      </c>
      <c r="K555" s="415">
        <v>2</v>
      </c>
      <c r="L555" s="415">
        <v>33</v>
      </c>
      <c r="M555" s="415">
        <v>515</v>
      </c>
      <c r="N555" s="415">
        <v>205</v>
      </c>
      <c r="O555" s="415">
        <v>816</v>
      </c>
      <c r="P555" s="415" t="s">
        <v>3069</v>
      </c>
      <c r="Q555" s="415" t="s">
        <v>3646</v>
      </c>
      <c r="R555" s="415">
        <v>33</v>
      </c>
      <c r="S555" s="415">
        <v>138</v>
      </c>
      <c r="T555" s="416">
        <v>138</v>
      </c>
      <c r="U555" s="416">
        <v>138</v>
      </c>
      <c r="V555" s="416">
        <v>138</v>
      </c>
      <c r="W555" s="416">
        <v>138</v>
      </c>
      <c r="X555" s="416">
        <v>138</v>
      </c>
      <c r="Y555" s="416">
        <v>138</v>
      </c>
      <c r="Z555" s="416">
        <v>138</v>
      </c>
      <c r="AA555" s="416">
        <v>137</v>
      </c>
      <c r="AB555" s="416">
        <v>134</v>
      </c>
      <c r="AC555" s="416">
        <v>131</v>
      </c>
      <c r="AD555" s="416">
        <v>129</v>
      </c>
      <c r="AE555" s="416">
        <v>127</v>
      </c>
      <c r="AF555" s="416">
        <v>125</v>
      </c>
      <c r="AG555" s="416">
        <v>123</v>
      </c>
      <c r="AH555" s="416">
        <v>122</v>
      </c>
      <c r="AI555" s="416">
        <v>120</v>
      </c>
      <c r="AJ555" s="416">
        <v>119</v>
      </c>
      <c r="AK555" s="416">
        <v>117</v>
      </c>
      <c r="AL555" s="416">
        <v>33</v>
      </c>
      <c r="AM555" s="416">
        <v>116</v>
      </c>
      <c r="AN555" s="416">
        <v>84.9</v>
      </c>
      <c r="AO555" s="416">
        <v>59</v>
      </c>
      <c r="AP555" s="416">
        <v>43.5</v>
      </c>
      <c r="AQ555" s="416">
        <v>31.9</v>
      </c>
      <c r="AR555" s="416">
        <v>23.6</v>
      </c>
      <c r="AS555" s="416">
        <v>16.899999999999999</v>
      </c>
      <c r="AT555" s="416">
        <v>10.7</v>
      </c>
      <c r="AU555" s="416">
        <v>6.1</v>
      </c>
      <c r="AV555" s="416">
        <v>3.9</v>
      </c>
      <c r="AW555" s="416">
        <v>2.99</v>
      </c>
      <c r="AX555" s="416">
        <v>2.36</v>
      </c>
      <c r="AY555" s="416">
        <v>1.73</v>
      </c>
      <c r="AZ555" s="416">
        <v>1.2</v>
      </c>
    </row>
    <row r="556" spans="1:52" x14ac:dyDescent="0.25">
      <c r="A556" s="415" t="str">
        <f t="shared" si="8"/>
        <v>SA-240 Gr.310S</v>
      </c>
      <c r="B556" s="415">
        <v>551</v>
      </c>
      <c r="C556" s="415" t="s">
        <v>3473</v>
      </c>
      <c r="D556" s="415" t="s">
        <v>2684</v>
      </c>
      <c r="E556" s="415" t="s">
        <v>2165</v>
      </c>
      <c r="F556" s="415" t="s">
        <v>2264</v>
      </c>
      <c r="G556" s="415" t="s">
        <v>3478</v>
      </c>
      <c r="H556" s="415">
        <v>0</v>
      </c>
      <c r="I556" s="415">
        <v>0</v>
      </c>
      <c r="J556" s="415">
        <v>8</v>
      </c>
      <c r="K556" s="415">
        <v>2</v>
      </c>
      <c r="L556" s="415">
        <v>34</v>
      </c>
      <c r="M556" s="415">
        <v>515</v>
      </c>
      <c r="N556" s="415">
        <v>205</v>
      </c>
      <c r="O556" s="415">
        <v>816</v>
      </c>
      <c r="P556" s="415" t="s">
        <v>3069</v>
      </c>
      <c r="Q556" s="415" t="s">
        <v>3646</v>
      </c>
      <c r="R556" s="415">
        <v>34</v>
      </c>
      <c r="S556" s="415">
        <v>138</v>
      </c>
      <c r="T556" s="416">
        <v>138</v>
      </c>
      <c r="U556" s="416">
        <v>138</v>
      </c>
      <c r="V556" s="416">
        <v>138</v>
      </c>
      <c r="W556" s="416">
        <v>138</v>
      </c>
      <c r="X556" s="416">
        <v>138</v>
      </c>
      <c r="Y556" s="416">
        <v>138</v>
      </c>
      <c r="Z556" s="416">
        <v>138</v>
      </c>
      <c r="AA556" s="416">
        <v>137</v>
      </c>
      <c r="AB556" s="416">
        <v>134</v>
      </c>
      <c r="AC556" s="416">
        <v>131</v>
      </c>
      <c r="AD556" s="416">
        <v>129</v>
      </c>
      <c r="AE556" s="416">
        <v>127</v>
      </c>
      <c r="AF556" s="416">
        <v>125</v>
      </c>
      <c r="AG556" s="416">
        <v>123</v>
      </c>
      <c r="AH556" s="416">
        <v>122</v>
      </c>
      <c r="AI556" s="416">
        <v>120</v>
      </c>
      <c r="AJ556" s="416">
        <v>119</v>
      </c>
      <c r="AK556" s="416">
        <v>117</v>
      </c>
      <c r="AL556" s="416">
        <v>34</v>
      </c>
      <c r="AM556" s="416">
        <v>116</v>
      </c>
      <c r="AN556" s="416">
        <v>84.9</v>
      </c>
      <c r="AO556" s="416">
        <v>59</v>
      </c>
      <c r="AP556" s="416">
        <v>43.5</v>
      </c>
      <c r="AQ556" s="416">
        <v>31.9</v>
      </c>
      <c r="AR556" s="416">
        <v>23.6</v>
      </c>
      <c r="AS556" s="416">
        <v>16.899999999999999</v>
      </c>
      <c r="AT556" s="416">
        <v>10.7</v>
      </c>
      <c r="AU556" s="416">
        <v>6.1</v>
      </c>
      <c r="AV556" s="416">
        <v>3.9</v>
      </c>
      <c r="AW556" s="416">
        <v>2.99</v>
      </c>
      <c r="AX556" s="416">
        <v>2.36</v>
      </c>
      <c r="AY556" s="416">
        <v>1.73</v>
      </c>
      <c r="AZ556" s="416">
        <v>1.2</v>
      </c>
    </row>
    <row r="557" spans="1:52" x14ac:dyDescent="0.25">
      <c r="A557" s="415" t="str">
        <f t="shared" si="8"/>
        <v>SA-249 Gr.TP310S</v>
      </c>
      <c r="B557" s="415">
        <v>552</v>
      </c>
      <c r="C557" s="415" t="s">
        <v>3473</v>
      </c>
      <c r="D557" s="415" t="s">
        <v>2689</v>
      </c>
      <c r="E557" s="415" t="s">
        <v>2200</v>
      </c>
      <c r="F557" s="415" t="s">
        <v>2567</v>
      </c>
      <c r="G557" s="415" t="s">
        <v>3478</v>
      </c>
      <c r="H557" s="415">
        <v>0</v>
      </c>
      <c r="I557" s="415">
        <v>0</v>
      </c>
      <c r="J557" s="415">
        <v>8</v>
      </c>
      <c r="K557" s="415">
        <v>2</v>
      </c>
      <c r="L557" s="415">
        <v>35</v>
      </c>
      <c r="M557" s="415">
        <v>515</v>
      </c>
      <c r="N557" s="415">
        <v>205</v>
      </c>
      <c r="O557" s="415">
        <v>816</v>
      </c>
      <c r="P557" s="415" t="s">
        <v>3069</v>
      </c>
      <c r="Q557" s="415" t="s">
        <v>3647</v>
      </c>
      <c r="R557" s="415">
        <v>35</v>
      </c>
      <c r="S557" s="415">
        <v>117</v>
      </c>
      <c r="T557" s="416">
        <v>117</v>
      </c>
      <c r="U557" s="416">
        <v>117</v>
      </c>
      <c r="V557" s="416">
        <v>117</v>
      </c>
      <c r="W557" s="416">
        <v>117</v>
      </c>
      <c r="X557" s="416">
        <v>117</v>
      </c>
      <c r="Y557" s="416">
        <v>117</v>
      </c>
      <c r="Z557" s="416">
        <v>114</v>
      </c>
      <c r="AA557" s="416">
        <v>112</v>
      </c>
      <c r="AB557" s="416">
        <v>110</v>
      </c>
      <c r="AC557" s="416">
        <v>108</v>
      </c>
      <c r="AD557" s="416">
        <v>106</v>
      </c>
      <c r="AE557" s="416">
        <v>105</v>
      </c>
      <c r="AF557" s="416">
        <v>104</v>
      </c>
      <c r="AG557" s="416">
        <v>102</v>
      </c>
      <c r="AH557" s="416">
        <v>101</v>
      </c>
      <c r="AI557" s="416">
        <v>99.6</v>
      </c>
      <c r="AJ557" s="416">
        <v>98.2</v>
      </c>
      <c r="AK557" s="416">
        <v>72.099999999999994</v>
      </c>
      <c r="AL557" s="416">
        <v>35</v>
      </c>
      <c r="AM557" s="416">
        <v>50.1</v>
      </c>
      <c r="AN557" s="416">
        <v>36.9</v>
      </c>
      <c r="AO557" s="416">
        <v>27.1</v>
      </c>
      <c r="AP557" s="416">
        <v>20</v>
      </c>
      <c r="AQ557" s="416">
        <v>14.4</v>
      </c>
      <c r="AR557" s="416">
        <v>9.06</v>
      </c>
      <c r="AS557" s="416">
        <v>5.18</v>
      </c>
      <c r="AT557" s="416">
        <v>3.31</v>
      </c>
      <c r="AU557" s="416">
        <v>2.54</v>
      </c>
      <c r="AV557" s="416">
        <v>2.0099999999999998</v>
      </c>
      <c r="AW557" s="416">
        <v>1.47</v>
      </c>
      <c r="AX557" s="416">
        <v>1.02</v>
      </c>
      <c r="AY557" s="416">
        <v>0.71</v>
      </c>
      <c r="AZ557" s="416">
        <v>1.02</v>
      </c>
    </row>
    <row r="558" spans="1:52" x14ac:dyDescent="0.25">
      <c r="A558" s="415" t="str">
        <f t="shared" si="8"/>
        <v>SA-312 Gr.TP310S</v>
      </c>
      <c r="B558" s="415">
        <v>553</v>
      </c>
      <c r="C558" s="415" t="s">
        <v>3473</v>
      </c>
      <c r="D558" s="415" t="s">
        <v>2703</v>
      </c>
      <c r="E558" s="415" t="s">
        <v>2208</v>
      </c>
      <c r="F558" s="415" t="s">
        <v>2567</v>
      </c>
      <c r="G558" s="415" t="s">
        <v>3478</v>
      </c>
      <c r="H558" s="415">
        <v>0</v>
      </c>
      <c r="I558" s="415">
        <v>0</v>
      </c>
      <c r="J558" s="415">
        <v>8</v>
      </c>
      <c r="K558" s="415">
        <v>2</v>
      </c>
      <c r="L558" s="415">
        <v>36</v>
      </c>
      <c r="M558" s="415">
        <v>515</v>
      </c>
      <c r="N558" s="415">
        <v>205</v>
      </c>
      <c r="O558" s="415">
        <v>816</v>
      </c>
      <c r="P558" s="415" t="s">
        <v>3069</v>
      </c>
      <c r="Q558" s="415" t="s">
        <v>3646</v>
      </c>
      <c r="R558" s="415">
        <v>36</v>
      </c>
      <c r="S558" s="415">
        <v>138</v>
      </c>
      <c r="T558" s="416">
        <v>138</v>
      </c>
      <c r="U558" s="416">
        <v>138</v>
      </c>
      <c r="V558" s="416">
        <v>138</v>
      </c>
      <c r="W558" s="416">
        <v>138</v>
      </c>
      <c r="X558" s="416">
        <v>138</v>
      </c>
      <c r="Y558" s="416">
        <v>138</v>
      </c>
      <c r="Z558" s="416">
        <v>138</v>
      </c>
      <c r="AA558" s="416">
        <v>137</v>
      </c>
      <c r="AB558" s="416">
        <v>134</v>
      </c>
      <c r="AC558" s="416">
        <v>131</v>
      </c>
      <c r="AD558" s="416">
        <v>129</v>
      </c>
      <c r="AE558" s="416">
        <v>127</v>
      </c>
      <c r="AF558" s="416">
        <v>125</v>
      </c>
      <c r="AG558" s="416">
        <v>123</v>
      </c>
      <c r="AH558" s="416">
        <v>122</v>
      </c>
      <c r="AI558" s="416">
        <v>120</v>
      </c>
      <c r="AJ558" s="416">
        <v>119</v>
      </c>
      <c r="AK558" s="416">
        <v>117</v>
      </c>
      <c r="AL558" s="416">
        <v>36</v>
      </c>
      <c r="AM558" s="416">
        <v>116</v>
      </c>
      <c r="AN558" s="416">
        <v>84.9</v>
      </c>
      <c r="AO558" s="416">
        <v>59</v>
      </c>
      <c r="AP558" s="416">
        <v>43.5</v>
      </c>
      <c r="AQ558" s="416">
        <v>31.9</v>
      </c>
      <c r="AR558" s="416">
        <v>23.6</v>
      </c>
      <c r="AS558" s="416">
        <v>16.899999999999999</v>
      </c>
      <c r="AT558" s="416">
        <v>10.7</v>
      </c>
      <c r="AU558" s="416">
        <v>6.1</v>
      </c>
      <c r="AV558" s="416">
        <v>3.9</v>
      </c>
      <c r="AW558" s="416">
        <v>2.99</v>
      </c>
      <c r="AX558" s="416">
        <v>2.36</v>
      </c>
      <c r="AY558" s="416">
        <v>1.73</v>
      </c>
      <c r="AZ558" s="416">
        <v>1.2</v>
      </c>
    </row>
    <row r="559" spans="1:52" x14ac:dyDescent="0.25">
      <c r="A559" s="415" t="str">
        <f t="shared" si="8"/>
        <v>SA-312 Gr.TP310S</v>
      </c>
      <c r="B559" s="415">
        <v>554</v>
      </c>
      <c r="C559" s="415" t="s">
        <v>3473</v>
      </c>
      <c r="D559" s="415" t="s">
        <v>2680</v>
      </c>
      <c r="E559" s="415" t="s">
        <v>2208</v>
      </c>
      <c r="F559" s="415" t="s">
        <v>2567</v>
      </c>
      <c r="G559" s="415" t="s">
        <v>3478</v>
      </c>
      <c r="H559" s="415">
        <v>0</v>
      </c>
      <c r="I559" s="415">
        <v>0</v>
      </c>
      <c r="J559" s="415">
        <v>8</v>
      </c>
      <c r="K559" s="415">
        <v>2</v>
      </c>
      <c r="L559" s="415">
        <v>37</v>
      </c>
      <c r="M559" s="415">
        <v>515</v>
      </c>
      <c r="N559" s="415">
        <v>205</v>
      </c>
      <c r="O559" s="415">
        <v>40</v>
      </c>
      <c r="P559" s="415" t="s">
        <v>3069</v>
      </c>
      <c r="Q559" s="415" t="s">
        <v>3648</v>
      </c>
      <c r="R559" s="415">
        <v>37</v>
      </c>
      <c r="S559" s="415">
        <v>117</v>
      </c>
      <c r="T559" s="416">
        <v>117</v>
      </c>
      <c r="U559" s="416">
        <v>0</v>
      </c>
      <c r="V559" s="416">
        <v>0</v>
      </c>
      <c r="W559" s="416">
        <v>0</v>
      </c>
      <c r="X559" s="416">
        <v>0</v>
      </c>
      <c r="Y559" s="416">
        <v>0</v>
      </c>
      <c r="Z559" s="416">
        <v>0</v>
      </c>
      <c r="AA559" s="416">
        <v>0</v>
      </c>
      <c r="AB559" s="416">
        <v>0</v>
      </c>
      <c r="AC559" s="416">
        <v>0</v>
      </c>
      <c r="AD559" s="416">
        <v>0</v>
      </c>
      <c r="AE559" s="416">
        <v>0</v>
      </c>
      <c r="AF559" s="416">
        <v>0</v>
      </c>
      <c r="AG559" s="416">
        <v>0</v>
      </c>
      <c r="AH559" s="416">
        <v>0</v>
      </c>
      <c r="AI559" s="416">
        <v>0</v>
      </c>
      <c r="AJ559" s="416">
        <v>0</v>
      </c>
      <c r="AK559" s="416">
        <v>0</v>
      </c>
      <c r="AL559" s="416">
        <v>37</v>
      </c>
      <c r="AM559" s="416">
        <v>0</v>
      </c>
      <c r="AN559" s="416">
        <v>0</v>
      </c>
      <c r="AO559" s="416">
        <v>0</v>
      </c>
      <c r="AP559" s="416">
        <v>0</v>
      </c>
      <c r="AQ559" s="416">
        <v>0</v>
      </c>
      <c r="AR559" s="416">
        <v>0</v>
      </c>
      <c r="AS559" s="416">
        <v>0</v>
      </c>
      <c r="AT559" s="416">
        <v>0</v>
      </c>
      <c r="AU559" s="416">
        <v>0</v>
      </c>
      <c r="AV559" s="416">
        <v>0</v>
      </c>
      <c r="AW559" s="416">
        <v>0</v>
      </c>
      <c r="AX559" s="416">
        <v>0</v>
      </c>
      <c r="AY559" s="416">
        <v>0</v>
      </c>
      <c r="AZ559" s="416">
        <v>0</v>
      </c>
    </row>
    <row r="560" spans="1:52" x14ac:dyDescent="0.25">
      <c r="A560" s="415" t="str">
        <f t="shared" si="8"/>
        <v>SA-403 Gr.310S</v>
      </c>
      <c r="B560" s="415">
        <v>555</v>
      </c>
      <c r="C560" s="415" t="s">
        <v>3473</v>
      </c>
      <c r="D560" s="415" t="s">
        <v>913</v>
      </c>
      <c r="E560" s="415" t="s">
        <v>2229</v>
      </c>
      <c r="F560" s="415" t="s">
        <v>2264</v>
      </c>
      <c r="G560" s="415" t="s">
        <v>3478</v>
      </c>
      <c r="H560" s="415" t="s">
        <v>3380</v>
      </c>
      <c r="I560" s="415">
        <v>0</v>
      </c>
      <c r="J560" s="415">
        <v>8</v>
      </c>
      <c r="K560" s="415">
        <v>2</v>
      </c>
      <c r="L560" s="415">
        <v>38</v>
      </c>
      <c r="M560" s="415">
        <v>515</v>
      </c>
      <c r="N560" s="415">
        <v>205</v>
      </c>
      <c r="O560" s="415">
        <v>816</v>
      </c>
      <c r="P560" s="415" t="s">
        <v>3069</v>
      </c>
      <c r="Q560" s="415" t="s">
        <v>3649</v>
      </c>
      <c r="R560" s="415">
        <v>38</v>
      </c>
      <c r="S560" s="415">
        <v>117</v>
      </c>
      <c r="T560" s="416">
        <v>117</v>
      </c>
      <c r="U560" s="416">
        <v>117</v>
      </c>
      <c r="V560" s="416">
        <v>117</v>
      </c>
      <c r="W560" s="416">
        <v>117</v>
      </c>
      <c r="X560" s="416">
        <v>117</v>
      </c>
      <c r="Y560" s="416">
        <v>117</v>
      </c>
      <c r="Z560" s="416">
        <v>114</v>
      </c>
      <c r="AA560" s="416">
        <v>112</v>
      </c>
      <c r="AB560" s="416">
        <v>110</v>
      </c>
      <c r="AC560" s="416">
        <v>108</v>
      </c>
      <c r="AD560" s="416">
        <v>106</v>
      </c>
      <c r="AE560" s="416">
        <v>105</v>
      </c>
      <c r="AF560" s="416">
        <v>104</v>
      </c>
      <c r="AG560" s="416">
        <v>102</v>
      </c>
      <c r="AH560" s="416">
        <v>101</v>
      </c>
      <c r="AI560" s="416">
        <v>99.6</v>
      </c>
      <c r="AJ560" s="416">
        <v>98.2</v>
      </c>
      <c r="AK560" s="416">
        <v>72.099999999999994</v>
      </c>
      <c r="AL560" s="416">
        <v>38</v>
      </c>
      <c r="AM560" s="416">
        <v>50.1</v>
      </c>
      <c r="AN560" s="416">
        <v>36.9</v>
      </c>
      <c r="AO560" s="416">
        <v>27.1</v>
      </c>
      <c r="AP560" s="416">
        <v>20</v>
      </c>
      <c r="AQ560" s="416">
        <v>14.4</v>
      </c>
      <c r="AR560" s="416">
        <v>9.06</v>
      </c>
      <c r="AS560" s="416">
        <v>5.18</v>
      </c>
      <c r="AT560" s="416">
        <v>3.31</v>
      </c>
      <c r="AU560" s="416">
        <v>2.54</v>
      </c>
      <c r="AV560" s="416">
        <v>2.0099999999999998</v>
      </c>
      <c r="AW560" s="416">
        <v>1.47</v>
      </c>
      <c r="AX560" s="416">
        <v>1.02</v>
      </c>
      <c r="AY560" s="416">
        <v>0.71</v>
      </c>
      <c r="AZ560" s="416">
        <v>1.2</v>
      </c>
    </row>
    <row r="561" spans="1:52" x14ac:dyDescent="0.25">
      <c r="A561" s="415" t="str">
        <f t="shared" si="8"/>
        <v>SA-403 Gr.310S</v>
      </c>
      <c r="B561" s="415">
        <v>556</v>
      </c>
      <c r="C561" s="415" t="s">
        <v>3473</v>
      </c>
      <c r="D561" s="415" t="s">
        <v>913</v>
      </c>
      <c r="E561" s="415" t="s">
        <v>2229</v>
      </c>
      <c r="F561" s="415" t="s">
        <v>2264</v>
      </c>
      <c r="G561" s="415" t="s">
        <v>3478</v>
      </c>
      <c r="H561" s="415" t="s">
        <v>3381</v>
      </c>
      <c r="I561" s="415">
        <v>0</v>
      </c>
      <c r="J561" s="415">
        <v>8</v>
      </c>
      <c r="K561" s="415">
        <v>2</v>
      </c>
      <c r="L561" s="415">
        <v>39</v>
      </c>
      <c r="M561" s="415">
        <v>515</v>
      </c>
      <c r="N561" s="415">
        <v>205</v>
      </c>
      <c r="O561" s="415">
        <v>816</v>
      </c>
      <c r="P561" s="415" t="s">
        <v>3069</v>
      </c>
      <c r="Q561" s="415" t="s">
        <v>3641</v>
      </c>
      <c r="R561" s="415">
        <v>39</v>
      </c>
      <c r="S561" s="415">
        <v>138</v>
      </c>
      <c r="T561" s="416">
        <v>138</v>
      </c>
      <c r="U561" s="416">
        <v>138</v>
      </c>
      <c r="V561" s="416">
        <v>138</v>
      </c>
      <c r="W561" s="416">
        <v>138</v>
      </c>
      <c r="X561" s="416">
        <v>138</v>
      </c>
      <c r="Y561" s="416">
        <v>138</v>
      </c>
      <c r="Z561" s="416">
        <v>138</v>
      </c>
      <c r="AA561" s="416">
        <v>137</v>
      </c>
      <c r="AB561" s="416">
        <v>134</v>
      </c>
      <c r="AC561" s="416">
        <v>131</v>
      </c>
      <c r="AD561" s="416">
        <v>129</v>
      </c>
      <c r="AE561" s="416">
        <v>127</v>
      </c>
      <c r="AF561" s="416">
        <v>125</v>
      </c>
      <c r="AG561" s="416">
        <v>123</v>
      </c>
      <c r="AH561" s="416">
        <v>122</v>
      </c>
      <c r="AI561" s="416">
        <v>120</v>
      </c>
      <c r="AJ561" s="416">
        <v>119</v>
      </c>
      <c r="AK561" s="416">
        <v>117</v>
      </c>
      <c r="AL561" s="416">
        <v>39</v>
      </c>
      <c r="AM561" s="416">
        <v>116</v>
      </c>
      <c r="AN561" s="416">
        <v>84.9</v>
      </c>
      <c r="AO561" s="416">
        <v>59</v>
      </c>
      <c r="AP561" s="416">
        <v>43.5</v>
      </c>
      <c r="AQ561" s="416">
        <v>31.9</v>
      </c>
      <c r="AR561" s="416">
        <v>23.6</v>
      </c>
      <c r="AS561" s="416">
        <v>16.899999999999999</v>
      </c>
      <c r="AT561" s="416">
        <v>10.7</v>
      </c>
      <c r="AU561" s="416">
        <v>6.1</v>
      </c>
      <c r="AV561" s="416">
        <v>3.9</v>
      </c>
      <c r="AW561" s="416">
        <v>2.99</v>
      </c>
      <c r="AX561" s="416">
        <v>2.36</v>
      </c>
      <c r="AY561" s="416">
        <v>1.73</v>
      </c>
      <c r="AZ561" s="416">
        <v>1.2</v>
      </c>
    </row>
    <row r="562" spans="1:52" x14ac:dyDescent="0.25">
      <c r="A562" s="415" t="str">
        <f t="shared" si="8"/>
        <v>SA-403 Gr.310S</v>
      </c>
      <c r="B562" s="415">
        <v>557</v>
      </c>
      <c r="C562" s="415" t="s">
        <v>3473</v>
      </c>
      <c r="D562" s="415" t="s">
        <v>3414</v>
      </c>
      <c r="E562" s="415" t="s">
        <v>2229</v>
      </c>
      <c r="F562" s="415" t="s">
        <v>2264</v>
      </c>
      <c r="G562" s="415" t="s">
        <v>3478</v>
      </c>
      <c r="H562" s="415" t="s">
        <v>3382</v>
      </c>
      <c r="I562" s="415">
        <v>0</v>
      </c>
      <c r="J562" s="415">
        <v>8</v>
      </c>
      <c r="K562" s="415">
        <v>2</v>
      </c>
      <c r="L562" s="415">
        <v>40</v>
      </c>
      <c r="M562" s="415">
        <v>515</v>
      </c>
      <c r="N562" s="415">
        <v>205</v>
      </c>
      <c r="O562" s="415">
        <v>816</v>
      </c>
      <c r="P562" s="415" t="s">
        <v>3069</v>
      </c>
      <c r="Q562" s="415" t="s">
        <v>3649</v>
      </c>
      <c r="R562" s="415">
        <v>40</v>
      </c>
      <c r="S562" s="415">
        <v>117</v>
      </c>
      <c r="T562" s="416">
        <v>117</v>
      </c>
      <c r="U562" s="416">
        <v>117</v>
      </c>
      <c r="V562" s="416">
        <v>117</v>
      </c>
      <c r="W562" s="416">
        <v>117</v>
      </c>
      <c r="X562" s="416">
        <v>117</v>
      </c>
      <c r="Y562" s="416">
        <v>117</v>
      </c>
      <c r="Z562" s="416">
        <v>114</v>
      </c>
      <c r="AA562" s="416">
        <v>112</v>
      </c>
      <c r="AB562" s="416">
        <v>110</v>
      </c>
      <c r="AC562" s="416">
        <v>108</v>
      </c>
      <c r="AD562" s="416">
        <v>106</v>
      </c>
      <c r="AE562" s="416">
        <v>105</v>
      </c>
      <c r="AF562" s="416">
        <v>104</v>
      </c>
      <c r="AG562" s="416">
        <v>102</v>
      </c>
      <c r="AH562" s="416">
        <v>101</v>
      </c>
      <c r="AI562" s="416">
        <v>99.6</v>
      </c>
      <c r="AJ562" s="416">
        <v>98.2</v>
      </c>
      <c r="AK562" s="416">
        <v>72.099999999999994</v>
      </c>
      <c r="AL562" s="416">
        <v>40</v>
      </c>
      <c r="AM562" s="416">
        <v>50.1</v>
      </c>
      <c r="AN562" s="416">
        <v>36.9</v>
      </c>
      <c r="AO562" s="416">
        <v>27.1</v>
      </c>
      <c r="AP562" s="416">
        <v>20</v>
      </c>
      <c r="AQ562" s="416">
        <v>14.4</v>
      </c>
      <c r="AR562" s="416">
        <v>9.06</v>
      </c>
      <c r="AS562" s="416">
        <v>5.18</v>
      </c>
      <c r="AT562" s="416">
        <v>3.31</v>
      </c>
      <c r="AU562" s="416">
        <v>2.54</v>
      </c>
      <c r="AV562" s="416">
        <v>2.0099999999999998</v>
      </c>
      <c r="AW562" s="416">
        <v>1.47</v>
      </c>
      <c r="AX562" s="416">
        <v>1.02</v>
      </c>
      <c r="AY562" s="416">
        <v>0.71</v>
      </c>
      <c r="AZ562" s="416">
        <v>1.02</v>
      </c>
    </row>
    <row r="563" spans="1:52" x14ac:dyDescent="0.25">
      <c r="A563" s="415" t="str">
        <f t="shared" si="8"/>
        <v>SA-403 Gr.310S</v>
      </c>
      <c r="B563" s="415">
        <v>558</v>
      </c>
      <c r="C563" s="415" t="s">
        <v>3473</v>
      </c>
      <c r="D563" s="415" t="s">
        <v>3414</v>
      </c>
      <c r="E563" s="415" t="s">
        <v>2229</v>
      </c>
      <c r="F563" s="415" t="s">
        <v>2264</v>
      </c>
      <c r="G563" s="415" t="s">
        <v>3478</v>
      </c>
      <c r="H563" s="415" t="s">
        <v>3384</v>
      </c>
      <c r="I563" s="415">
        <v>0</v>
      </c>
      <c r="J563" s="415">
        <v>8</v>
      </c>
      <c r="K563" s="415">
        <v>2</v>
      </c>
      <c r="L563" s="415">
        <v>41</v>
      </c>
      <c r="M563" s="415">
        <v>515</v>
      </c>
      <c r="N563" s="415">
        <v>205</v>
      </c>
      <c r="O563" s="415">
        <v>816</v>
      </c>
      <c r="P563" s="415" t="s">
        <v>3069</v>
      </c>
      <c r="Q563" s="415" t="s">
        <v>3649</v>
      </c>
      <c r="R563" s="415">
        <v>41</v>
      </c>
      <c r="S563" s="415">
        <v>117</v>
      </c>
      <c r="T563" s="416">
        <v>117</v>
      </c>
      <c r="U563" s="416">
        <v>117</v>
      </c>
      <c r="V563" s="416">
        <v>117</v>
      </c>
      <c r="W563" s="416">
        <v>117</v>
      </c>
      <c r="X563" s="416">
        <v>117</v>
      </c>
      <c r="Y563" s="416">
        <v>117</v>
      </c>
      <c r="Z563" s="416">
        <v>114</v>
      </c>
      <c r="AA563" s="416">
        <v>112</v>
      </c>
      <c r="AB563" s="416">
        <v>110</v>
      </c>
      <c r="AC563" s="416">
        <v>108</v>
      </c>
      <c r="AD563" s="416">
        <v>106</v>
      </c>
      <c r="AE563" s="416">
        <v>105</v>
      </c>
      <c r="AF563" s="416">
        <v>104</v>
      </c>
      <c r="AG563" s="416">
        <v>102</v>
      </c>
      <c r="AH563" s="416">
        <v>101</v>
      </c>
      <c r="AI563" s="416">
        <v>99.6</v>
      </c>
      <c r="AJ563" s="416">
        <v>98.2</v>
      </c>
      <c r="AK563" s="416">
        <v>72.099999999999994</v>
      </c>
      <c r="AL563" s="416">
        <v>41</v>
      </c>
      <c r="AM563" s="416">
        <v>50.1</v>
      </c>
      <c r="AN563" s="416">
        <v>36.9</v>
      </c>
      <c r="AO563" s="416">
        <v>27.1</v>
      </c>
      <c r="AP563" s="416">
        <v>20</v>
      </c>
      <c r="AQ563" s="416">
        <v>14.4</v>
      </c>
      <c r="AR563" s="416">
        <v>9.06</v>
      </c>
      <c r="AS563" s="416">
        <v>5.18</v>
      </c>
      <c r="AT563" s="416">
        <v>3.31</v>
      </c>
      <c r="AU563" s="416">
        <v>2.54</v>
      </c>
      <c r="AV563" s="416">
        <v>2.0099999999999998</v>
      </c>
      <c r="AW563" s="416">
        <v>1.47</v>
      </c>
      <c r="AX563" s="416">
        <v>1.02</v>
      </c>
      <c r="AY563" s="416">
        <v>0.71</v>
      </c>
      <c r="AZ563" s="416">
        <v>1.2</v>
      </c>
    </row>
    <row r="564" spans="1:52" x14ac:dyDescent="0.25">
      <c r="A564" s="415" t="str">
        <f t="shared" si="8"/>
        <v>SA-813 Gr.TP310S</v>
      </c>
      <c r="B564" s="415">
        <v>559</v>
      </c>
      <c r="C564" s="415" t="s">
        <v>3473</v>
      </c>
      <c r="D564" s="415" t="s">
        <v>2680</v>
      </c>
      <c r="E564" s="415" t="s">
        <v>2328</v>
      </c>
      <c r="F564" s="415" t="s">
        <v>2567</v>
      </c>
      <c r="G564" s="415" t="s">
        <v>3478</v>
      </c>
      <c r="H564" s="415">
        <v>0</v>
      </c>
      <c r="I564" s="415">
        <v>0</v>
      </c>
      <c r="J564" s="415">
        <v>8</v>
      </c>
      <c r="K564" s="415">
        <v>2</v>
      </c>
      <c r="L564" s="415">
        <v>42</v>
      </c>
      <c r="M564" s="415">
        <v>515</v>
      </c>
      <c r="N564" s="415">
        <v>205</v>
      </c>
      <c r="O564" s="415">
        <v>816</v>
      </c>
      <c r="P564" s="415" t="s">
        <v>3069</v>
      </c>
      <c r="Q564" s="415" t="s">
        <v>3650</v>
      </c>
      <c r="R564" s="415">
        <v>42</v>
      </c>
      <c r="S564" s="415">
        <v>117</v>
      </c>
      <c r="T564" s="416">
        <v>117</v>
      </c>
      <c r="U564" s="416">
        <v>117</v>
      </c>
      <c r="V564" s="416">
        <v>117</v>
      </c>
      <c r="W564" s="416">
        <v>117</v>
      </c>
      <c r="X564" s="416">
        <v>117</v>
      </c>
      <c r="Y564" s="416">
        <v>117</v>
      </c>
      <c r="Z564" s="416">
        <v>117</v>
      </c>
      <c r="AA564" s="416">
        <v>117</v>
      </c>
      <c r="AB564" s="416">
        <v>114</v>
      </c>
      <c r="AC564" s="416">
        <v>112</v>
      </c>
      <c r="AD564" s="416">
        <v>110</v>
      </c>
      <c r="AE564" s="416">
        <v>108</v>
      </c>
      <c r="AF564" s="416">
        <v>106</v>
      </c>
      <c r="AG564" s="416">
        <v>105</v>
      </c>
      <c r="AH564" s="416">
        <v>104</v>
      </c>
      <c r="AI564" s="416">
        <v>102</v>
      </c>
      <c r="AJ564" s="416">
        <v>101</v>
      </c>
      <c r="AK564" s="416">
        <v>99.6</v>
      </c>
      <c r="AL564" s="416">
        <v>42</v>
      </c>
      <c r="AM564" s="416">
        <v>98.2</v>
      </c>
      <c r="AN564" s="416">
        <v>72.099999999999994</v>
      </c>
      <c r="AO564" s="416">
        <v>50.1</v>
      </c>
      <c r="AP564" s="416">
        <v>36.9</v>
      </c>
      <c r="AQ564" s="416">
        <v>27.1</v>
      </c>
      <c r="AR564" s="416">
        <v>20</v>
      </c>
      <c r="AS564" s="416">
        <v>14.4</v>
      </c>
      <c r="AT564" s="416">
        <v>9.06</v>
      </c>
      <c r="AU564" s="416">
        <v>5.18</v>
      </c>
      <c r="AV564" s="416">
        <v>3.31</v>
      </c>
      <c r="AW564" s="416">
        <v>2.54</v>
      </c>
      <c r="AX564" s="416">
        <v>2.0099999999999998</v>
      </c>
      <c r="AY564" s="416">
        <v>1.47</v>
      </c>
      <c r="AZ564" s="416">
        <v>1.02</v>
      </c>
    </row>
    <row r="565" spans="1:52" x14ac:dyDescent="0.25">
      <c r="A565" s="415" t="str">
        <f t="shared" si="8"/>
        <v>SA-814 Gr.TP310S</v>
      </c>
      <c r="B565" s="415">
        <v>560</v>
      </c>
      <c r="C565" s="415" t="s">
        <v>3473</v>
      </c>
      <c r="D565" s="415" t="s">
        <v>2680</v>
      </c>
      <c r="E565" s="415" t="s">
        <v>2330</v>
      </c>
      <c r="F565" s="415" t="s">
        <v>2567</v>
      </c>
      <c r="G565" s="415" t="s">
        <v>3478</v>
      </c>
      <c r="H565" s="415">
        <v>0</v>
      </c>
      <c r="I565" s="415">
        <v>0</v>
      </c>
      <c r="J565" s="415">
        <v>8</v>
      </c>
      <c r="K565" s="415">
        <v>2</v>
      </c>
      <c r="L565" s="415">
        <v>43</v>
      </c>
      <c r="M565" s="415">
        <v>515</v>
      </c>
      <c r="N565" s="415">
        <v>205</v>
      </c>
      <c r="O565" s="415">
        <v>816</v>
      </c>
      <c r="P565" s="415" t="s">
        <v>3069</v>
      </c>
      <c r="Q565" s="415" t="s">
        <v>3650</v>
      </c>
      <c r="R565" s="415">
        <v>43</v>
      </c>
      <c r="S565" s="415">
        <v>117</v>
      </c>
      <c r="T565" s="416">
        <v>117</v>
      </c>
      <c r="U565" s="416">
        <v>117</v>
      </c>
      <c r="V565" s="416">
        <v>117</v>
      </c>
      <c r="W565" s="416">
        <v>117</v>
      </c>
      <c r="X565" s="416">
        <v>117</v>
      </c>
      <c r="Y565" s="416">
        <v>117</v>
      </c>
      <c r="Z565" s="416">
        <v>117</v>
      </c>
      <c r="AA565" s="416">
        <v>117</v>
      </c>
      <c r="AB565" s="416">
        <v>114</v>
      </c>
      <c r="AC565" s="416">
        <v>112</v>
      </c>
      <c r="AD565" s="416">
        <v>110</v>
      </c>
      <c r="AE565" s="416">
        <v>108</v>
      </c>
      <c r="AF565" s="416">
        <v>106</v>
      </c>
      <c r="AG565" s="416">
        <v>105</v>
      </c>
      <c r="AH565" s="416">
        <v>104</v>
      </c>
      <c r="AI565" s="416">
        <v>102</v>
      </c>
      <c r="AJ565" s="416">
        <v>101</v>
      </c>
      <c r="AK565" s="416">
        <v>99.6</v>
      </c>
      <c r="AL565" s="416">
        <v>43</v>
      </c>
      <c r="AM565" s="416">
        <v>98.2</v>
      </c>
      <c r="AN565" s="416">
        <v>72.099999999999994</v>
      </c>
      <c r="AO565" s="416">
        <v>50.1</v>
      </c>
      <c r="AP565" s="416">
        <v>36.9</v>
      </c>
      <c r="AQ565" s="416">
        <v>27.1</v>
      </c>
      <c r="AR565" s="416">
        <v>20</v>
      </c>
      <c r="AS565" s="416">
        <v>14.4</v>
      </c>
      <c r="AT565" s="416">
        <v>9.06</v>
      </c>
      <c r="AU565" s="416">
        <v>5.18</v>
      </c>
      <c r="AV565" s="416">
        <v>3.31</v>
      </c>
      <c r="AW565" s="416">
        <v>2.54</v>
      </c>
      <c r="AX565" s="416">
        <v>2.0099999999999998</v>
      </c>
      <c r="AY565" s="416">
        <v>1.47</v>
      </c>
      <c r="AZ565" s="416">
        <v>1.02</v>
      </c>
    </row>
    <row r="566" spans="1:52" x14ac:dyDescent="0.25">
      <c r="A566" s="415" t="str">
        <f t="shared" si="8"/>
        <v>SA-213 Gr.TP310H</v>
      </c>
      <c r="B566" s="415">
        <v>561</v>
      </c>
      <c r="C566" s="415" t="s">
        <v>3473</v>
      </c>
      <c r="D566" s="415" t="s">
        <v>2693</v>
      </c>
      <c r="E566" s="415" t="s">
        <v>2195</v>
      </c>
      <c r="F566" s="415" t="s">
        <v>2564</v>
      </c>
      <c r="G566" s="415" t="s">
        <v>3481</v>
      </c>
      <c r="H566" s="415">
        <v>0</v>
      </c>
      <c r="I566" s="415">
        <v>0</v>
      </c>
      <c r="J566" s="415">
        <v>8</v>
      </c>
      <c r="K566" s="415">
        <v>2</v>
      </c>
      <c r="L566" s="415">
        <v>1</v>
      </c>
      <c r="M566" s="415">
        <v>515</v>
      </c>
      <c r="N566" s="415">
        <v>205</v>
      </c>
      <c r="O566" s="415">
        <v>816</v>
      </c>
      <c r="P566" s="415" t="s">
        <v>3069</v>
      </c>
      <c r="Q566" s="415" t="s">
        <v>3641</v>
      </c>
      <c r="R566" s="415">
        <v>1</v>
      </c>
      <c r="S566" s="415">
        <v>138</v>
      </c>
      <c r="T566" s="416">
        <v>138</v>
      </c>
      <c r="U566" s="416">
        <v>138</v>
      </c>
      <c r="V566" s="416">
        <v>138</v>
      </c>
      <c r="W566" s="416">
        <v>138</v>
      </c>
      <c r="X566" s="416">
        <v>138</v>
      </c>
      <c r="Y566" s="416">
        <v>138</v>
      </c>
      <c r="Z566" s="416">
        <v>138</v>
      </c>
      <c r="AA566" s="416">
        <v>137</v>
      </c>
      <c r="AB566" s="416">
        <v>134</v>
      </c>
      <c r="AC566" s="416">
        <v>131</v>
      </c>
      <c r="AD566" s="416">
        <v>129</v>
      </c>
      <c r="AE566" s="416">
        <v>127</v>
      </c>
      <c r="AF566" s="416">
        <v>125</v>
      </c>
      <c r="AG566" s="416">
        <v>123</v>
      </c>
      <c r="AH566" s="416">
        <v>122</v>
      </c>
      <c r="AI566" s="416">
        <v>120</v>
      </c>
      <c r="AJ566" s="416">
        <v>119</v>
      </c>
      <c r="AK566" s="416">
        <v>117</v>
      </c>
      <c r="AL566" s="416">
        <v>1</v>
      </c>
      <c r="AM566" s="416">
        <v>116</v>
      </c>
      <c r="AN566" s="416">
        <v>108</v>
      </c>
      <c r="AO566" s="416">
        <v>83.7</v>
      </c>
      <c r="AP566" s="416">
        <v>64</v>
      </c>
      <c r="AQ566" s="416">
        <v>48.5</v>
      </c>
      <c r="AR566" s="416">
        <v>36.299999999999997</v>
      </c>
      <c r="AS566" s="416">
        <v>27.3</v>
      </c>
      <c r="AT566" s="416">
        <v>21</v>
      </c>
      <c r="AU566" s="416">
        <v>15.9</v>
      </c>
      <c r="AV566" s="416">
        <v>12.5</v>
      </c>
      <c r="AW566" s="416">
        <v>9.8699999999999992</v>
      </c>
      <c r="AX566" s="416">
        <v>7.65</v>
      </c>
      <c r="AY566" s="416">
        <v>5.97</v>
      </c>
      <c r="AZ566" s="416">
        <v>4.74</v>
      </c>
    </row>
    <row r="567" spans="1:52" x14ac:dyDescent="0.25">
      <c r="A567" s="415" t="str">
        <f t="shared" si="8"/>
        <v>SA-240 Gr.310H</v>
      </c>
      <c r="B567" s="415">
        <v>562</v>
      </c>
      <c r="C567" s="415" t="s">
        <v>3473</v>
      </c>
      <c r="D567" s="415" t="s">
        <v>2684</v>
      </c>
      <c r="E567" s="415" t="s">
        <v>2165</v>
      </c>
      <c r="F567" s="415" t="s">
        <v>2259</v>
      </c>
      <c r="G567" s="415" t="s">
        <v>3481</v>
      </c>
      <c r="H567" s="415">
        <v>0</v>
      </c>
      <c r="I567" s="415">
        <v>0</v>
      </c>
      <c r="J567" s="415">
        <v>8</v>
      </c>
      <c r="K567" s="415">
        <v>2</v>
      </c>
      <c r="L567" s="415">
        <v>2</v>
      </c>
      <c r="M567" s="415">
        <v>515</v>
      </c>
      <c r="N567" s="415">
        <v>205</v>
      </c>
      <c r="O567" s="415">
        <v>816</v>
      </c>
      <c r="P567" s="415" t="s">
        <v>3069</v>
      </c>
      <c r="Q567" s="415" t="s">
        <v>3641</v>
      </c>
      <c r="R567" s="415">
        <v>2</v>
      </c>
      <c r="S567" s="415">
        <v>138</v>
      </c>
      <c r="T567" s="416">
        <v>138</v>
      </c>
      <c r="U567" s="416">
        <v>138</v>
      </c>
      <c r="V567" s="416">
        <v>138</v>
      </c>
      <c r="W567" s="416">
        <v>138</v>
      </c>
      <c r="X567" s="416">
        <v>138</v>
      </c>
      <c r="Y567" s="416">
        <v>138</v>
      </c>
      <c r="Z567" s="416">
        <v>138</v>
      </c>
      <c r="AA567" s="416">
        <v>137</v>
      </c>
      <c r="AB567" s="416">
        <v>134</v>
      </c>
      <c r="AC567" s="416">
        <v>131</v>
      </c>
      <c r="AD567" s="416">
        <v>129</v>
      </c>
      <c r="AE567" s="416">
        <v>127</v>
      </c>
      <c r="AF567" s="416">
        <v>125</v>
      </c>
      <c r="AG567" s="416">
        <v>123</v>
      </c>
      <c r="AH567" s="416">
        <v>122</v>
      </c>
      <c r="AI567" s="416">
        <v>120</v>
      </c>
      <c r="AJ567" s="416">
        <v>119</v>
      </c>
      <c r="AK567" s="416">
        <v>117</v>
      </c>
      <c r="AL567" s="416">
        <v>2</v>
      </c>
      <c r="AM567" s="416">
        <v>116</v>
      </c>
      <c r="AN567" s="416">
        <v>108</v>
      </c>
      <c r="AO567" s="416">
        <v>83.7</v>
      </c>
      <c r="AP567" s="416">
        <v>64</v>
      </c>
      <c r="AQ567" s="416">
        <v>48.5</v>
      </c>
      <c r="AR567" s="416">
        <v>36.299999999999997</v>
      </c>
      <c r="AS567" s="416">
        <v>27.3</v>
      </c>
      <c r="AT567" s="416">
        <v>21</v>
      </c>
      <c r="AU567" s="416">
        <v>15.9</v>
      </c>
      <c r="AV567" s="416">
        <v>12.5</v>
      </c>
      <c r="AW567" s="416">
        <v>9.8699999999999992</v>
      </c>
      <c r="AX567" s="416">
        <v>7.65</v>
      </c>
      <c r="AY567" s="416">
        <v>5.97</v>
      </c>
      <c r="AZ567" s="416">
        <v>4.74</v>
      </c>
    </row>
    <row r="568" spans="1:52" x14ac:dyDescent="0.25">
      <c r="A568" s="415" t="str">
        <f t="shared" si="8"/>
        <v>SA-249 Gr.TP310H</v>
      </c>
      <c r="B568" s="415">
        <v>563</v>
      </c>
      <c r="C568" s="415" t="s">
        <v>3473</v>
      </c>
      <c r="D568" s="415" t="s">
        <v>2689</v>
      </c>
      <c r="E568" s="415" t="s">
        <v>2200</v>
      </c>
      <c r="F568" s="415" t="s">
        <v>2564</v>
      </c>
      <c r="G568" s="415" t="s">
        <v>3481</v>
      </c>
      <c r="H568" s="415">
        <v>0</v>
      </c>
      <c r="I568" s="415">
        <v>0</v>
      </c>
      <c r="J568" s="415">
        <v>8</v>
      </c>
      <c r="K568" s="415">
        <v>2</v>
      </c>
      <c r="L568" s="415">
        <v>3</v>
      </c>
      <c r="M568" s="415">
        <v>515</v>
      </c>
      <c r="N568" s="415">
        <v>205</v>
      </c>
      <c r="O568" s="415">
        <v>816</v>
      </c>
      <c r="P568" s="415" t="s">
        <v>3069</v>
      </c>
      <c r="Q568" s="415" t="s">
        <v>3640</v>
      </c>
      <c r="R568" s="415">
        <v>3</v>
      </c>
      <c r="S568" s="415">
        <v>117</v>
      </c>
      <c r="T568" s="416">
        <v>117</v>
      </c>
      <c r="U568" s="416">
        <v>117</v>
      </c>
      <c r="V568" s="416">
        <v>117</v>
      </c>
      <c r="W568" s="416">
        <v>117</v>
      </c>
      <c r="X568" s="416">
        <v>117</v>
      </c>
      <c r="Y568" s="416">
        <v>117</v>
      </c>
      <c r="Z568" s="416">
        <v>117</v>
      </c>
      <c r="AA568" s="416">
        <v>117</v>
      </c>
      <c r="AB568" s="416">
        <v>114</v>
      </c>
      <c r="AC568" s="416">
        <v>112</v>
      </c>
      <c r="AD568" s="416">
        <v>110</v>
      </c>
      <c r="AE568" s="416">
        <v>108</v>
      </c>
      <c r="AF568" s="416">
        <v>106</v>
      </c>
      <c r="AG568" s="416">
        <v>105</v>
      </c>
      <c r="AH568" s="416">
        <v>104</v>
      </c>
      <c r="AI568" s="416">
        <v>102</v>
      </c>
      <c r="AJ568" s="416">
        <v>101</v>
      </c>
      <c r="AK568" s="416">
        <v>99.6</v>
      </c>
      <c r="AL568" s="416">
        <v>3</v>
      </c>
      <c r="AM568" s="416">
        <v>98.2</v>
      </c>
      <c r="AN568" s="416">
        <v>91.6</v>
      </c>
      <c r="AO568" s="416">
        <v>71.099999999999994</v>
      </c>
      <c r="AP568" s="416">
        <v>54.4</v>
      </c>
      <c r="AQ568" s="416">
        <v>41.2</v>
      </c>
      <c r="AR568" s="416">
        <v>30.8</v>
      </c>
      <c r="AS568" s="416">
        <v>23.2</v>
      </c>
      <c r="AT568" s="416">
        <v>17.899999999999999</v>
      </c>
      <c r="AU568" s="416">
        <v>13.5</v>
      </c>
      <c r="AV568" s="416">
        <v>10.7</v>
      </c>
      <c r="AW568" s="416">
        <v>8.39</v>
      </c>
      <c r="AX568" s="416">
        <v>6.5</v>
      </c>
      <c r="AY568" s="416">
        <v>5.08</v>
      </c>
      <c r="AZ568" s="416">
        <v>4.03</v>
      </c>
    </row>
    <row r="569" spans="1:52" x14ac:dyDescent="0.25">
      <c r="A569" s="415" t="str">
        <f t="shared" si="8"/>
        <v>SA-312 Gr.TP310H</v>
      </c>
      <c r="B569" s="415">
        <v>564</v>
      </c>
      <c r="C569" s="415" t="s">
        <v>3473</v>
      </c>
      <c r="D569" s="415" t="s">
        <v>2703</v>
      </c>
      <c r="E569" s="415" t="s">
        <v>2208</v>
      </c>
      <c r="F569" s="415" t="s">
        <v>2564</v>
      </c>
      <c r="G569" s="415" t="s">
        <v>3481</v>
      </c>
      <c r="H569" s="415">
        <v>0</v>
      </c>
      <c r="I569" s="415">
        <v>0</v>
      </c>
      <c r="J569" s="415">
        <v>8</v>
      </c>
      <c r="K569" s="415">
        <v>2</v>
      </c>
      <c r="L569" s="415">
        <v>4</v>
      </c>
      <c r="M569" s="415">
        <v>515</v>
      </c>
      <c r="N569" s="415">
        <v>205</v>
      </c>
      <c r="O569" s="415">
        <v>816</v>
      </c>
      <c r="P569" s="415" t="s">
        <v>3069</v>
      </c>
      <c r="Q569" s="415" t="s">
        <v>3641</v>
      </c>
      <c r="R569" s="415">
        <v>4</v>
      </c>
      <c r="S569" s="415">
        <v>138</v>
      </c>
      <c r="T569" s="416">
        <v>138</v>
      </c>
      <c r="U569" s="416">
        <v>138</v>
      </c>
      <c r="V569" s="416">
        <v>138</v>
      </c>
      <c r="W569" s="416">
        <v>138</v>
      </c>
      <c r="X569" s="416">
        <v>138</v>
      </c>
      <c r="Y569" s="416">
        <v>138</v>
      </c>
      <c r="Z569" s="416">
        <v>138</v>
      </c>
      <c r="AA569" s="416">
        <v>137</v>
      </c>
      <c r="AB569" s="416">
        <v>134</v>
      </c>
      <c r="AC569" s="416">
        <v>131</v>
      </c>
      <c r="AD569" s="416">
        <v>129</v>
      </c>
      <c r="AE569" s="416">
        <v>127</v>
      </c>
      <c r="AF569" s="416">
        <v>125</v>
      </c>
      <c r="AG569" s="416">
        <v>123</v>
      </c>
      <c r="AH569" s="416">
        <v>122</v>
      </c>
      <c r="AI569" s="416">
        <v>120</v>
      </c>
      <c r="AJ569" s="416">
        <v>119</v>
      </c>
      <c r="AK569" s="416">
        <v>117</v>
      </c>
      <c r="AL569" s="416">
        <v>4</v>
      </c>
      <c r="AM569" s="416">
        <v>116</v>
      </c>
      <c r="AN569" s="416">
        <v>108</v>
      </c>
      <c r="AO569" s="416">
        <v>83.7</v>
      </c>
      <c r="AP569" s="416">
        <v>64</v>
      </c>
      <c r="AQ569" s="416">
        <v>48.5</v>
      </c>
      <c r="AR569" s="416">
        <v>36.299999999999997</v>
      </c>
      <c r="AS569" s="416">
        <v>27.3</v>
      </c>
      <c r="AT569" s="416">
        <v>21</v>
      </c>
      <c r="AU569" s="416">
        <v>15.9</v>
      </c>
      <c r="AV569" s="416">
        <v>12.5</v>
      </c>
      <c r="AW569" s="416">
        <v>9.8699999999999992</v>
      </c>
      <c r="AX569" s="416">
        <v>7.65</v>
      </c>
      <c r="AY569" s="416">
        <v>5.97</v>
      </c>
      <c r="AZ569" s="416">
        <v>4.74</v>
      </c>
    </row>
    <row r="570" spans="1:52" x14ac:dyDescent="0.25">
      <c r="A570" s="415" t="str">
        <f t="shared" si="8"/>
        <v>SA-312 Gr.TP310H</v>
      </c>
      <c r="B570" s="415">
        <v>565</v>
      </c>
      <c r="C570" s="415" t="s">
        <v>3473</v>
      </c>
      <c r="D570" s="415" t="s">
        <v>2680</v>
      </c>
      <c r="E570" s="415" t="s">
        <v>2208</v>
      </c>
      <c r="F570" s="415" t="s">
        <v>2564</v>
      </c>
      <c r="G570" s="415" t="s">
        <v>3481</v>
      </c>
      <c r="H570" s="415">
        <v>0</v>
      </c>
      <c r="I570" s="415">
        <v>0</v>
      </c>
      <c r="J570" s="415">
        <v>8</v>
      </c>
      <c r="K570" s="415">
        <v>2</v>
      </c>
      <c r="L570" s="415">
        <v>5</v>
      </c>
      <c r="M570" s="415">
        <v>515</v>
      </c>
      <c r="N570" s="415">
        <v>205</v>
      </c>
      <c r="O570" s="415">
        <v>816</v>
      </c>
      <c r="P570" s="415" t="s">
        <v>3069</v>
      </c>
      <c r="Q570" s="415" t="s">
        <v>3640</v>
      </c>
      <c r="R570" s="415">
        <v>5</v>
      </c>
      <c r="S570" s="415">
        <v>117</v>
      </c>
      <c r="T570" s="416">
        <v>117</v>
      </c>
      <c r="U570" s="416">
        <v>117</v>
      </c>
      <c r="V570" s="416">
        <v>117</v>
      </c>
      <c r="W570" s="416">
        <v>117</v>
      </c>
      <c r="X570" s="416">
        <v>117</v>
      </c>
      <c r="Y570" s="416">
        <v>117</v>
      </c>
      <c r="Z570" s="416">
        <v>117</v>
      </c>
      <c r="AA570" s="416">
        <v>117</v>
      </c>
      <c r="AB570" s="416">
        <v>114</v>
      </c>
      <c r="AC570" s="416">
        <v>112</v>
      </c>
      <c r="AD570" s="416">
        <v>110</v>
      </c>
      <c r="AE570" s="416">
        <v>108</v>
      </c>
      <c r="AF570" s="416">
        <v>106</v>
      </c>
      <c r="AG570" s="416">
        <v>105</v>
      </c>
      <c r="AH570" s="416">
        <v>104</v>
      </c>
      <c r="AI570" s="416">
        <v>102</v>
      </c>
      <c r="AJ570" s="416">
        <v>101</v>
      </c>
      <c r="AK570" s="416">
        <v>99.6</v>
      </c>
      <c r="AL570" s="416">
        <v>5</v>
      </c>
      <c r="AM570" s="416">
        <v>98.2</v>
      </c>
      <c r="AN570" s="416">
        <v>91.6</v>
      </c>
      <c r="AO570" s="416">
        <v>71.099999999999994</v>
      </c>
      <c r="AP570" s="416">
        <v>54.4</v>
      </c>
      <c r="AQ570" s="416">
        <v>41.2</v>
      </c>
      <c r="AR570" s="416">
        <v>30.8</v>
      </c>
      <c r="AS570" s="416">
        <v>23.2</v>
      </c>
      <c r="AT570" s="416">
        <v>17.899999999999999</v>
      </c>
      <c r="AU570" s="416">
        <v>13.5</v>
      </c>
      <c r="AV570" s="416">
        <v>10.7</v>
      </c>
      <c r="AW570" s="416">
        <v>8.39</v>
      </c>
      <c r="AX570" s="416">
        <v>6.5</v>
      </c>
      <c r="AY570" s="416">
        <v>5.08</v>
      </c>
      <c r="AZ570" s="416">
        <v>4.03</v>
      </c>
    </row>
    <row r="571" spans="1:52" x14ac:dyDescent="0.25">
      <c r="A571" s="415" t="str">
        <f t="shared" si="8"/>
        <v>SA-249 Gr.TP310Cb</v>
      </c>
      <c r="B571" s="415">
        <v>566</v>
      </c>
      <c r="C571" s="415" t="s">
        <v>3482</v>
      </c>
      <c r="D571" s="415" t="s">
        <v>2689</v>
      </c>
      <c r="E571" s="415" t="s">
        <v>2200</v>
      </c>
      <c r="F571" s="415" t="s">
        <v>2563</v>
      </c>
      <c r="G571" s="415" t="s">
        <v>3483</v>
      </c>
      <c r="H571" s="415">
        <v>0</v>
      </c>
      <c r="I571" s="415">
        <v>0</v>
      </c>
      <c r="J571" s="415">
        <v>8</v>
      </c>
      <c r="K571" s="415">
        <v>2</v>
      </c>
      <c r="L571" s="415">
        <v>6</v>
      </c>
      <c r="M571" s="415">
        <v>515</v>
      </c>
      <c r="N571" s="415">
        <v>205</v>
      </c>
      <c r="O571" s="415">
        <v>816</v>
      </c>
      <c r="P571" s="415" t="s">
        <v>3069</v>
      </c>
      <c r="Q571" s="415" t="s">
        <v>3650</v>
      </c>
      <c r="R571" s="415">
        <v>6</v>
      </c>
      <c r="S571" s="415">
        <v>117</v>
      </c>
      <c r="T571" s="416">
        <v>117</v>
      </c>
      <c r="U571" s="416">
        <v>117</v>
      </c>
      <c r="V571" s="416">
        <v>117</v>
      </c>
      <c r="W571" s="416">
        <v>117</v>
      </c>
      <c r="X571" s="416">
        <v>117</v>
      </c>
      <c r="Y571" s="416">
        <v>117</v>
      </c>
      <c r="Z571" s="416">
        <v>117</v>
      </c>
      <c r="AA571" s="416">
        <v>117</v>
      </c>
      <c r="AB571" s="416">
        <v>114</v>
      </c>
      <c r="AC571" s="416">
        <v>112</v>
      </c>
      <c r="AD571" s="416">
        <v>110</v>
      </c>
      <c r="AE571" s="416">
        <v>108</v>
      </c>
      <c r="AF571" s="416">
        <v>106</v>
      </c>
      <c r="AG571" s="416">
        <v>105</v>
      </c>
      <c r="AH571" s="416">
        <v>104</v>
      </c>
      <c r="AI571" s="416">
        <v>102</v>
      </c>
      <c r="AJ571" s="416">
        <v>101</v>
      </c>
      <c r="AK571" s="416">
        <v>99.6</v>
      </c>
      <c r="AL571" s="416">
        <v>6</v>
      </c>
      <c r="AM571" s="416">
        <v>98.2</v>
      </c>
      <c r="AN571" s="416">
        <v>72.099999999999994</v>
      </c>
      <c r="AO571" s="416">
        <v>50.1</v>
      </c>
      <c r="AP571" s="416">
        <v>36.9</v>
      </c>
      <c r="AQ571" s="416">
        <v>27.1</v>
      </c>
      <c r="AR571" s="416">
        <v>20</v>
      </c>
      <c r="AS571" s="416">
        <v>14.4</v>
      </c>
      <c r="AT571" s="416">
        <v>9.06</v>
      </c>
      <c r="AU571" s="416">
        <v>5.18</v>
      </c>
      <c r="AV571" s="416">
        <v>3.31</v>
      </c>
      <c r="AW571" s="416">
        <v>2.54</v>
      </c>
      <c r="AX571" s="416">
        <v>2.0099999999999998</v>
      </c>
      <c r="AY571" s="416">
        <v>1.47</v>
      </c>
      <c r="AZ571" s="416">
        <v>1.02</v>
      </c>
    </row>
    <row r="572" spans="1:52" x14ac:dyDescent="0.25">
      <c r="A572" s="415" t="str">
        <f t="shared" si="8"/>
        <v>SA-312 Gr.TP310Cb</v>
      </c>
      <c r="B572" s="415">
        <v>567</v>
      </c>
      <c r="C572" s="415" t="s">
        <v>3482</v>
      </c>
      <c r="D572" s="415" t="s">
        <v>2680</v>
      </c>
      <c r="E572" s="415" t="s">
        <v>2208</v>
      </c>
      <c r="F572" s="415" t="s">
        <v>2563</v>
      </c>
      <c r="G572" s="415" t="s">
        <v>3483</v>
      </c>
      <c r="H572" s="415">
        <v>0</v>
      </c>
      <c r="I572" s="415">
        <v>0</v>
      </c>
      <c r="J572" s="415">
        <v>8</v>
      </c>
      <c r="K572" s="415">
        <v>2</v>
      </c>
      <c r="L572" s="415">
        <v>7</v>
      </c>
      <c r="M572" s="415">
        <v>515</v>
      </c>
      <c r="N572" s="415">
        <v>205</v>
      </c>
      <c r="O572" s="415">
        <v>816</v>
      </c>
      <c r="P572" s="415" t="s">
        <v>3069</v>
      </c>
      <c r="Q572" s="415" t="s">
        <v>3650</v>
      </c>
      <c r="R572" s="415">
        <v>7</v>
      </c>
      <c r="S572" s="415">
        <v>117</v>
      </c>
      <c r="T572" s="416">
        <v>117</v>
      </c>
      <c r="U572" s="416">
        <v>117</v>
      </c>
      <c r="V572" s="416">
        <v>117</v>
      </c>
      <c r="W572" s="416">
        <v>117</v>
      </c>
      <c r="X572" s="416">
        <v>117</v>
      </c>
      <c r="Y572" s="416">
        <v>117</v>
      </c>
      <c r="Z572" s="416">
        <v>117</v>
      </c>
      <c r="AA572" s="416">
        <v>117</v>
      </c>
      <c r="AB572" s="416">
        <v>114</v>
      </c>
      <c r="AC572" s="416">
        <v>112</v>
      </c>
      <c r="AD572" s="416">
        <v>110</v>
      </c>
      <c r="AE572" s="416">
        <v>108</v>
      </c>
      <c r="AF572" s="416">
        <v>106</v>
      </c>
      <c r="AG572" s="416">
        <v>105</v>
      </c>
      <c r="AH572" s="416">
        <v>104</v>
      </c>
      <c r="AI572" s="416">
        <v>102</v>
      </c>
      <c r="AJ572" s="416">
        <v>101</v>
      </c>
      <c r="AK572" s="416">
        <v>99.6</v>
      </c>
      <c r="AL572" s="416">
        <v>7</v>
      </c>
      <c r="AM572" s="416">
        <v>98.2</v>
      </c>
      <c r="AN572" s="416">
        <v>72.099999999999994</v>
      </c>
      <c r="AO572" s="416">
        <v>50.1</v>
      </c>
      <c r="AP572" s="416">
        <v>36.9</v>
      </c>
      <c r="AQ572" s="416">
        <v>27.1</v>
      </c>
      <c r="AR572" s="416">
        <v>20</v>
      </c>
      <c r="AS572" s="416">
        <v>14.4</v>
      </c>
      <c r="AT572" s="416">
        <v>9.06</v>
      </c>
      <c r="AU572" s="416">
        <v>5.18</v>
      </c>
      <c r="AV572" s="416">
        <v>3.31</v>
      </c>
      <c r="AW572" s="416">
        <v>2.54</v>
      </c>
      <c r="AX572" s="416">
        <v>2.0099999999999998</v>
      </c>
      <c r="AY572" s="416">
        <v>1.47</v>
      </c>
      <c r="AZ572" s="416">
        <v>1.02</v>
      </c>
    </row>
    <row r="573" spans="1:52" x14ac:dyDescent="0.25">
      <c r="A573" s="415" t="str">
        <f t="shared" si="8"/>
        <v>SA-813 Gr.TP310Cb</v>
      </c>
      <c r="B573" s="415">
        <v>568</v>
      </c>
      <c r="C573" s="415" t="s">
        <v>3482</v>
      </c>
      <c r="D573" s="415" t="s">
        <v>2680</v>
      </c>
      <c r="E573" s="415" t="s">
        <v>2328</v>
      </c>
      <c r="F573" s="415" t="s">
        <v>2563</v>
      </c>
      <c r="G573" s="415" t="s">
        <v>3483</v>
      </c>
      <c r="H573" s="415">
        <v>0</v>
      </c>
      <c r="I573" s="415">
        <v>0</v>
      </c>
      <c r="J573" s="415">
        <v>8</v>
      </c>
      <c r="K573" s="415">
        <v>2</v>
      </c>
      <c r="L573" s="415">
        <v>8</v>
      </c>
      <c r="M573" s="415">
        <v>515</v>
      </c>
      <c r="N573" s="415">
        <v>205</v>
      </c>
      <c r="O573" s="415">
        <v>816</v>
      </c>
      <c r="P573" s="415" t="s">
        <v>3069</v>
      </c>
      <c r="Q573" s="415" t="s">
        <v>3650</v>
      </c>
      <c r="R573" s="415">
        <v>8</v>
      </c>
      <c r="S573" s="415">
        <v>117</v>
      </c>
      <c r="T573" s="416">
        <v>117</v>
      </c>
      <c r="U573" s="416">
        <v>117</v>
      </c>
      <c r="V573" s="416">
        <v>117</v>
      </c>
      <c r="W573" s="416">
        <v>117</v>
      </c>
      <c r="X573" s="416">
        <v>117</v>
      </c>
      <c r="Y573" s="416">
        <v>117</v>
      </c>
      <c r="Z573" s="416">
        <v>117</v>
      </c>
      <c r="AA573" s="416">
        <v>117</v>
      </c>
      <c r="AB573" s="416">
        <v>114</v>
      </c>
      <c r="AC573" s="416">
        <v>112</v>
      </c>
      <c r="AD573" s="416">
        <v>110</v>
      </c>
      <c r="AE573" s="416">
        <v>108</v>
      </c>
      <c r="AF573" s="416">
        <v>106</v>
      </c>
      <c r="AG573" s="416">
        <v>105</v>
      </c>
      <c r="AH573" s="416">
        <v>104</v>
      </c>
      <c r="AI573" s="416">
        <v>102</v>
      </c>
      <c r="AJ573" s="416">
        <v>101</v>
      </c>
      <c r="AK573" s="416">
        <v>99.6</v>
      </c>
      <c r="AL573" s="416">
        <v>8</v>
      </c>
      <c r="AM573" s="416">
        <v>98.2</v>
      </c>
      <c r="AN573" s="416">
        <v>72.099999999999994</v>
      </c>
      <c r="AO573" s="416">
        <v>50.1</v>
      </c>
      <c r="AP573" s="416">
        <v>36.9</v>
      </c>
      <c r="AQ573" s="416">
        <v>27.1</v>
      </c>
      <c r="AR573" s="416">
        <v>20</v>
      </c>
      <c r="AS573" s="416">
        <v>14.4</v>
      </c>
      <c r="AT573" s="416">
        <v>9.06</v>
      </c>
      <c r="AU573" s="416">
        <v>5.18</v>
      </c>
      <c r="AV573" s="416">
        <v>3.31</v>
      </c>
      <c r="AW573" s="416">
        <v>2.54</v>
      </c>
      <c r="AX573" s="416">
        <v>2.0099999999999998</v>
      </c>
      <c r="AY573" s="416">
        <v>1.47</v>
      </c>
      <c r="AZ573" s="416">
        <v>1.02</v>
      </c>
    </row>
    <row r="574" spans="1:52" x14ac:dyDescent="0.25">
      <c r="A574" s="415" t="str">
        <f t="shared" si="8"/>
        <v>SA-814 Gr.TP310Cb</v>
      </c>
      <c r="B574" s="415">
        <v>569</v>
      </c>
      <c r="C574" s="415" t="s">
        <v>3482</v>
      </c>
      <c r="D574" s="415" t="s">
        <v>2680</v>
      </c>
      <c r="E574" s="415" t="s">
        <v>2330</v>
      </c>
      <c r="F574" s="415" t="s">
        <v>2563</v>
      </c>
      <c r="G574" s="415" t="s">
        <v>3483</v>
      </c>
      <c r="H574" s="415">
        <v>0</v>
      </c>
      <c r="I574" s="415">
        <v>0</v>
      </c>
      <c r="J574" s="415">
        <v>8</v>
      </c>
      <c r="K574" s="415">
        <v>2</v>
      </c>
      <c r="L574" s="415">
        <v>9</v>
      </c>
      <c r="M574" s="415">
        <v>515</v>
      </c>
      <c r="N574" s="415">
        <v>205</v>
      </c>
      <c r="O574" s="415">
        <v>816</v>
      </c>
      <c r="P574" s="415" t="s">
        <v>3069</v>
      </c>
      <c r="Q574" s="415" t="s">
        <v>3650</v>
      </c>
      <c r="R574" s="415">
        <v>9</v>
      </c>
      <c r="S574" s="415">
        <v>117</v>
      </c>
      <c r="T574" s="416">
        <v>117</v>
      </c>
      <c r="U574" s="416">
        <v>117</v>
      </c>
      <c r="V574" s="416">
        <v>117</v>
      </c>
      <c r="W574" s="416">
        <v>117</v>
      </c>
      <c r="X574" s="416">
        <v>117</v>
      </c>
      <c r="Y574" s="416">
        <v>117</v>
      </c>
      <c r="Z574" s="416">
        <v>117</v>
      </c>
      <c r="AA574" s="416">
        <v>117</v>
      </c>
      <c r="AB574" s="416">
        <v>114</v>
      </c>
      <c r="AC574" s="416">
        <v>112</v>
      </c>
      <c r="AD574" s="416">
        <v>110</v>
      </c>
      <c r="AE574" s="416">
        <v>108</v>
      </c>
      <c r="AF574" s="416">
        <v>106</v>
      </c>
      <c r="AG574" s="416">
        <v>105</v>
      </c>
      <c r="AH574" s="416">
        <v>104</v>
      </c>
      <c r="AI574" s="416">
        <v>102</v>
      </c>
      <c r="AJ574" s="416">
        <v>101</v>
      </c>
      <c r="AK574" s="416">
        <v>99.6</v>
      </c>
      <c r="AL574" s="416">
        <v>9</v>
      </c>
      <c r="AM574" s="416">
        <v>98.2</v>
      </c>
      <c r="AN574" s="416">
        <v>72.099999999999994</v>
      </c>
      <c r="AO574" s="416">
        <v>50.1</v>
      </c>
      <c r="AP574" s="416">
        <v>36.9</v>
      </c>
      <c r="AQ574" s="416">
        <v>27.1</v>
      </c>
      <c r="AR574" s="416">
        <v>20</v>
      </c>
      <c r="AS574" s="416">
        <v>14.4</v>
      </c>
      <c r="AT574" s="416">
        <v>9.06</v>
      </c>
      <c r="AU574" s="416">
        <v>5.18</v>
      </c>
      <c r="AV574" s="416">
        <v>3.31</v>
      </c>
      <c r="AW574" s="416">
        <v>2.54</v>
      </c>
      <c r="AX574" s="416">
        <v>2.0099999999999998</v>
      </c>
      <c r="AY574" s="416">
        <v>1.47</v>
      </c>
      <c r="AZ574" s="416">
        <v>1.02</v>
      </c>
    </row>
    <row r="575" spans="1:52" x14ac:dyDescent="0.25">
      <c r="A575" s="415" t="str">
        <f t="shared" si="8"/>
        <v>SA-182 Gr.F310MoLN</v>
      </c>
      <c r="B575" s="415">
        <v>570</v>
      </c>
      <c r="C575" s="415" t="s">
        <v>3489</v>
      </c>
      <c r="D575" s="415" t="s">
        <v>2737</v>
      </c>
      <c r="E575" s="415" t="s">
        <v>2188</v>
      </c>
      <c r="F575" s="415" t="s">
        <v>2438</v>
      </c>
      <c r="G575" s="415" t="s">
        <v>3490</v>
      </c>
      <c r="H575" s="415">
        <v>0</v>
      </c>
      <c r="I575" s="415">
        <v>0</v>
      </c>
      <c r="J575" s="415">
        <v>8</v>
      </c>
      <c r="K575" s="415">
        <v>2</v>
      </c>
      <c r="L575" s="415">
        <v>10</v>
      </c>
      <c r="M575" s="415">
        <v>540</v>
      </c>
      <c r="N575" s="415">
        <v>255</v>
      </c>
      <c r="O575" s="415">
        <v>482</v>
      </c>
      <c r="P575" s="415" t="s">
        <v>3069</v>
      </c>
      <c r="Q575" s="415">
        <v>0</v>
      </c>
      <c r="R575" s="415">
        <v>10</v>
      </c>
      <c r="S575" s="415">
        <v>170</v>
      </c>
      <c r="T575" s="416">
        <v>170</v>
      </c>
      <c r="U575" s="416">
        <v>170</v>
      </c>
      <c r="V575" s="416">
        <v>170</v>
      </c>
      <c r="W575" s="416">
        <v>170</v>
      </c>
      <c r="X575" s="416">
        <v>170</v>
      </c>
      <c r="Y575" s="416">
        <v>170</v>
      </c>
      <c r="Z575" s="416">
        <v>166</v>
      </c>
      <c r="AA575" s="416">
        <v>162</v>
      </c>
      <c r="AB575" s="416">
        <v>158</v>
      </c>
      <c r="AC575" s="416">
        <v>154</v>
      </c>
      <c r="AD575" s="416">
        <v>150</v>
      </c>
      <c r="AE575" s="416">
        <v>147</v>
      </c>
      <c r="AF575" s="416">
        <v>144</v>
      </c>
      <c r="AG575" s="416">
        <v>140</v>
      </c>
      <c r="AH575" s="416">
        <v>137</v>
      </c>
      <c r="AI575" s="416">
        <v>134</v>
      </c>
      <c r="AJ575" s="416">
        <v>131</v>
      </c>
      <c r="AK575" s="416">
        <v>128</v>
      </c>
      <c r="AL575" s="416">
        <v>10</v>
      </c>
      <c r="AM575" s="416">
        <v>126</v>
      </c>
      <c r="AN575" s="416">
        <v>0</v>
      </c>
      <c r="AO575" s="416">
        <v>0</v>
      </c>
      <c r="AP575" s="416">
        <v>0</v>
      </c>
      <c r="AQ575" s="416">
        <v>0</v>
      </c>
      <c r="AR575" s="416">
        <v>0</v>
      </c>
      <c r="AS575" s="416">
        <v>0</v>
      </c>
      <c r="AT575" s="416">
        <v>0</v>
      </c>
      <c r="AU575" s="416">
        <v>0</v>
      </c>
      <c r="AV575" s="416">
        <v>0</v>
      </c>
      <c r="AW575" s="416">
        <v>0</v>
      </c>
      <c r="AX575" s="416">
        <v>0</v>
      </c>
      <c r="AY575" s="416">
        <v>0</v>
      </c>
      <c r="AZ575" s="416">
        <v>0</v>
      </c>
    </row>
    <row r="576" spans="1:52" x14ac:dyDescent="0.25">
      <c r="A576" s="415" t="str">
        <f t="shared" si="8"/>
        <v>SA-213 Gr.TP310MoLN</v>
      </c>
      <c r="B576" s="415">
        <v>571</v>
      </c>
      <c r="C576" s="415" t="s">
        <v>3489</v>
      </c>
      <c r="D576" s="415" t="s">
        <v>2693</v>
      </c>
      <c r="E576" s="415" t="s">
        <v>2195</v>
      </c>
      <c r="F576" s="415" t="s">
        <v>2566</v>
      </c>
      <c r="G576" s="415" t="s">
        <v>3490</v>
      </c>
      <c r="H576" s="415">
        <v>0</v>
      </c>
      <c r="I576" s="415" t="s">
        <v>3491</v>
      </c>
      <c r="J576" s="415">
        <v>8</v>
      </c>
      <c r="K576" s="415">
        <v>2</v>
      </c>
      <c r="L576" s="415">
        <v>11</v>
      </c>
      <c r="M576" s="415">
        <v>540</v>
      </c>
      <c r="N576" s="415">
        <v>255</v>
      </c>
      <c r="O576" s="415">
        <v>482</v>
      </c>
      <c r="P576" s="415" t="s">
        <v>3069</v>
      </c>
      <c r="Q576" s="415">
        <v>0</v>
      </c>
      <c r="R576" s="415">
        <v>11</v>
      </c>
      <c r="S576" s="415">
        <v>170</v>
      </c>
      <c r="T576" s="416">
        <v>170</v>
      </c>
      <c r="U576" s="416">
        <v>170</v>
      </c>
      <c r="V576" s="416">
        <v>170</v>
      </c>
      <c r="W576" s="416">
        <v>170</v>
      </c>
      <c r="X576" s="416">
        <v>170</v>
      </c>
      <c r="Y576" s="416">
        <v>170</v>
      </c>
      <c r="Z576" s="416">
        <v>166</v>
      </c>
      <c r="AA576" s="416">
        <v>162</v>
      </c>
      <c r="AB576" s="416">
        <v>158</v>
      </c>
      <c r="AC576" s="416">
        <v>154</v>
      </c>
      <c r="AD576" s="416">
        <v>150</v>
      </c>
      <c r="AE576" s="416">
        <v>147</v>
      </c>
      <c r="AF576" s="416">
        <v>144</v>
      </c>
      <c r="AG576" s="416">
        <v>140</v>
      </c>
      <c r="AH576" s="416">
        <v>137</v>
      </c>
      <c r="AI576" s="416">
        <v>134</v>
      </c>
      <c r="AJ576" s="416">
        <v>131</v>
      </c>
      <c r="AK576" s="416">
        <v>128</v>
      </c>
      <c r="AL576" s="416">
        <v>11</v>
      </c>
      <c r="AM576" s="416">
        <v>126</v>
      </c>
      <c r="AN576" s="416">
        <v>0</v>
      </c>
      <c r="AO576" s="416">
        <v>0</v>
      </c>
      <c r="AP576" s="416">
        <v>0</v>
      </c>
      <c r="AQ576" s="416">
        <v>0</v>
      </c>
      <c r="AR576" s="416">
        <v>0</v>
      </c>
      <c r="AS576" s="416">
        <v>0</v>
      </c>
      <c r="AT576" s="416">
        <v>0</v>
      </c>
      <c r="AU576" s="416">
        <v>0</v>
      </c>
      <c r="AV576" s="416">
        <v>0</v>
      </c>
      <c r="AW576" s="416">
        <v>0</v>
      </c>
      <c r="AX576" s="416">
        <v>0</v>
      </c>
      <c r="AY576" s="416">
        <v>0</v>
      </c>
      <c r="AZ576" s="416">
        <v>0</v>
      </c>
    </row>
    <row r="577" spans="1:52" x14ac:dyDescent="0.25">
      <c r="A577" s="415" t="str">
        <f t="shared" si="8"/>
        <v>SA-249 Gr.TP310MoLN</v>
      </c>
      <c r="B577" s="415">
        <v>572</v>
      </c>
      <c r="C577" s="415" t="s">
        <v>3489</v>
      </c>
      <c r="D577" s="415" t="s">
        <v>2689</v>
      </c>
      <c r="E577" s="415" t="s">
        <v>2200</v>
      </c>
      <c r="F577" s="415" t="s">
        <v>2566</v>
      </c>
      <c r="G577" s="415" t="s">
        <v>3490</v>
      </c>
      <c r="H577" s="415">
        <v>0</v>
      </c>
      <c r="I577" s="415" t="s">
        <v>3491</v>
      </c>
      <c r="J577" s="415">
        <v>8</v>
      </c>
      <c r="K577" s="415">
        <v>2</v>
      </c>
      <c r="L577" s="415">
        <v>12</v>
      </c>
      <c r="M577" s="415">
        <v>540</v>
      </c>
      <c r="N577" s="415">
        <v>255</v>
      </c>
      <c r="O577" s="415">
        <v>482</v>
      </c>
      <c r="P577" s="415" t="s">
        <v>3069</v>
      </c>
      <c r="Q577" s="415" t="s">
        <v>3651</v>
      </c>
      <c r="R577" s="415">
        <v>12</v>
      </c>
      <c r="S577" s="415">
        <v>145</v>
      </c>
      <c r="T577" s="416">
        <v>145</v>
      </c>
      <c r="U577" s="416">
        <v>145</v>
      </c>
      <c r="V577" s="416">
        <v>145</v>
      </c>
      <c r="W577" s="416">
        <v>145</v>
      </c>
      <c r="X577" s="416">
        <v>145</v>
      </c>
      <c r="Y577" s="416">
        <v>145</v>
      </c>
      <c r="Z577" s="416">
        <v>141</v>
      </c>
      <c r="AA577" s="416">
        <v>138</v>
      </c>
      <c r="AB577" s="416">
        <v>134</v>
      </c>
      <c r="AC577" s="416">
        <v>131</v>
      </c>
      <c r="AD577" s="416">
        <v>128</v>
      </c>
      <c r="AE577" s="416">
        <v>125</v>
      </c>
      <c r="AF577" s="416">
        <v>122</v>
      </c>
      <c r="AG577" s="416">
        <v>119</v>
      </c>
      <c r="AH577" s="416">
        <v>117</v>
      </c>
      <c r="AI577" s="416">
        <v>114</v>
      </c>
      <c r="AJ577" s="416">
        <v>111</v>
      </c>
      <c r="AK577" s="416">
        <v>109</v>
      </c>
      <c r="AL577" s="416">
        <v>12</v>
      </c>
      <c r="AM577" s="416">
        <v>107</v>
      </c>
      <c r="AN577" s="416">
        <v>0</v>
      </c>
      <c r="AO577" s="416">
        <v>0</v>
      </c>
      <c r="AP577" s="416">
        <v>0</v>
      </c>
      <c r="AQ577" s="416">
        <v>0</v>
      </c>
      <c r="AR577" s="416">
        <v>0</v>
      </c>
      <c r="AS577" s="416">
        <v>0</v>
      </c>
      <c r="AT577" s="416">
        <v>0</v>
      </c>
      <c r="AU577" s="416">
        <v>0</v>
      </c>
      <c r="AV577" s="416">
        <v>0</v>
      </c>
      <c r="AW577" s="416">
        <v>0</v>
      </c>
      <c r="AX577" s="416">
        <v>0</v>
      </c>
      <c r="AY577" s="416">
        <v>0</v>
      </c>
      <c r="AZ577" s="416">
        <v>0</v>
      </c>
    </row>
    <row r="578" spans="1:52" x14ac:dyDescent="0.25">
      <c r="A578" s="415" t="str">
        <f t="shared" si="8"/>
        <v>SA-312 Gr.TP310MoLN</v>
      </c>
      <c r="B578" s="415">
        <v>573</v>
      </c>
      <c r="C578" s="415" t="s">
        <v>3489</v>
      </c>
      <c r="D578" s="415" t="s">
        <v>2680</v>
      </c>
      <c r="E578" s="415" t="s">
        <v>2208</v>
      </c>
      <c r="F578" s="415" t="s">
        <v>2566</v>
      </c>
      <c r="G578" s="415" t="s">
        <v>3490</v>
      </c>
      <c r="H578" s="415">
        <v>0</v>
      </c>
      <c r="I578" s="415" t="s">
        <v>3491</v>
      </c>
      <c r="J578" s="415">
        <v>8</v>
      </c>
      <c r="K578" s="415">
        <v>2</v>
      </c>
      <c r="L578" s="415">
        <v>13</v>
      </c>
      <c r="M578" s="415">
        <v>540</v>
      </c>
      <c r="N578" s="415">
        <v>255</v>
      </c>
      <c r="O578" s="415">
        <v>482</v>
      </c>
      <c r="P578" s="415" t="s">
        <v>3069</v>
      </c>
      <c r="Q578" s="415" t="s">
        <v>3651</v>
      </c>
      <c r="R578" s="415">
        <v>13</v>
      </c>
      <c r="S578" s="415">
        <v>145</v>
      </c>
      <c r="T578" s="416">
        <v>145</v>
      </c>
      <c r="U578" s="416">
        <v>145</v>
      </c>
      <c r="V578" s="416">
        <v>145</v>
      </c>
      <c r="W578" s="416">
        <v>145</v>
      </c>
      <c r="X578" s="416">
        <v>145</v>
      </c>
      <c r="Y578" s="416">
        <v>145</v>
      </c>
      <c r="Z578" s="416">
        <v>141</v>
      </c>
      <c r="AA578" s="416">
        <v>138</v>
      </c>
      <c r="AB578" s="416">
        <v>134</v>
      </c>
      <c r="AC578" s="416">
        <v>131</v>
      </c>
      <c r="AD578" s="416">
        <v>128</v>
      </c>
      <c r="AE578" s="416">
        <v>125</v>
      </c>
      <c r="AF578" s="416">
        <v>122</v>
      </c>
      <c r="AG578" s="416">
        <v>119</v>
      </c>
      <c r="AH578" s="416">
        <v>117</v>
      </c>
      <c r="AI578" s="416">
        <v>114</v>
      </c>
      <c r="AJ578" s="416">
        <v>111</v>
      </c>
      <c r="AK578" s="416">
        <v>109</v>
      </c>
      <c r="AL578" s="416">
        <v>13</v>
      </c>
      <c r="AM578" s="416">
        <v>107</v>
      </c>
      <c r="AN578" s="416">
        <v>0</v>
      </c>
      <c r="AO578" s="416">
        <v>0</v>
      </c>
      <c r="AP578" s="416">
        <v>0</v>
      </c>
      <c r="AQ578" s="416">
        <v>0</v>
      </c>
      <c r="AR578" s="416">
        <v>0</v>
      </c>
      <c r="AS578" s="416">
        <v>0</v>
      </c>
      <c r="AT578" s="416">
        <v>0</v>
      </c>
      <c r="AU578" s="416">
        <v>0</v>
      </c>
      <c r="AV578" s="416">
        <v>0</v>
      </c>
      <c r="AW578" s="416">
        <v>0</v>
      </c>
      <c r="AX578" s="416">
        <v>0</v>
      </c>
      <c r="AY578" s="416">
        <v>0</v>
      </c>
      <c r="AZ578" s="416">
        <v>0</v>
      </c>
    </row>
    <row r="579" spans="1:52" x14ac:dyDescent="0.25">
      <c r="A579" s="415" t="str">
        <f t="shared" si="8"/>
        <v>SA-240 Gr.310MoLN</v>
      </c>
      <c r="B579" s="415">
        <v>574</v>
      </c>
      <c r="C579" s="415" t="s">
        <v>3489</v>
      </c>
      <c r="D579" s="415" t="s">
        <v>2684</v>
      </c>
      <c r="E579" s="415" t="s">
        <v>2165</v>
      </c>
      <c r="F579" s="415" t="s">
        <v>2261</v>
      </c>
      <c r="G579" s="415" t="s">
        <v>3490</v>
      </c>
      <c r="H579" s="415">
        <v>0</v>
      </c>
      <c r="I579" s="415">
        <v>0</v>
      </c>
      <c r="J579" s="415">
        <v>8</v>
      </c>
      <c r="K579" s="415">
        <v>2</v>
      </c>
      <c r="L579" s="415">
        <v>14</v>
      </c>
      <c r="M579" s="415">
        <v>550</v>
      </c>
      <c r="N579" s="415">
        <v>240</v>
      </c>
      <c r="O579" s="415">
        <v>316</v>
      </c>
      <c r="P579" s="415" t="s">
        <v>3069</v>
      </c>
      <c r="Q579" s="415">
        <v>0</v>
      </c>
      <c r="R579" s="415">
        <v>14</v>
      </c>
      <c r="S579" s="415">
        <v>161</v>
      </c>
      <c r="T579" s="416">
        <v>161</v>
      </c>
      <c r="U579" s="416">
        <v>161</v>
      </c>
      <c r="V579" s="416">
        <v>161</v>
      </c>
      <c r="W579" s="416">
        <v>161</v>
      </c>
      <c r="X579" s="416">
        <v>161</v>
      </c>
      <c r="Y579" s="416">
        <v>161</v>
      </c>
      <c r="Z579" s="416">
        <v>157</v>
      </c>
      <c r="AA579" s="416">
        <v>153</v>
      </c>
      <c r="AB579" s="416">
        <v>149</v>
      </c>
      <c r="AC579" s="416">
        <v>146</v>
      </c>
      <c r="AD579" s="416">
        <v>142</v>
      </c>
      <c r="AE579" s="416">
        <v>139</v>
      </c>
      <c r="AF579" s="416">
        <v>0</v>
      </c>
      <c r="AG579" s="416">
        <v>0</v>
      </c>
      <c r="AH579" s="416">
        <v>0</v>
      </c>
      <c r="AI579" s="416">
        <v>0</v>
      </c>
      <c r="AJ579" s="416">
        <v>0</v>
      </c>
      <c r="AK579" s="416">
        <v>0</v>
      </c>
      <c r="AL579" s="416">
        <v>14</v>
      </c>
      <c r="AM579" s="416">
        <v>0</v>
      </c>
      <c r="AN579" s="416">
        <v>0</v>
      </c>
      <c r="AO579" s="416">
        <v>0</v>
      </c>
      <c r="AP579" s="416">
        <v>0</v>
      </c>
      <c r="AQ579" s="416">
        <v>0</v>
      </c>
      <c r="AR579" s="416">
        <v>0</v>
      </c>
      <c r="AS579" s="416">
        <v>0</v>
      </c>
      <c r="AT579" s="416">
        <v>0</v>
      </c>
      <c r="AU579" s="416">
        <v>0</v>
      </c>
      <c r="AV579" s="416">
        <v>0</v>
      </c>
      <c r="AW579" s="416">
        <v>0</v>
      </c>
      <c r="AX579" s="416">
        <v>0</v>
      </c>
      <c r="AY579" s="416">
        <v>0</v>
      </c>
      <c r="AZ579" s="416">
        <v>0</v>
      </c>
    </row>
    <row r="580" spans="1:52" x14ac:dyDescent="0.25">
      <c r="A580" s="415" t="str">
        <f t="shared" si="8"/>
        <v>SA-213 Gr.TP310MoLN</v>
      </c>
      <c r="B580" s="415">
        <v>575</v>
      </c>
      <c r="C580" s="415" t="s">
        <v>3489</v>
      </c>
      <c r="D580" s="415" t="s">
        <v>2693</v>
      </c>
      <c r="E580" s="415" t="s">
        <v>2195</v>
      </c>
      <c r="F580" s="415" t="s">
        <v>2566</v>
      </c>
      <c r="G580" s="415" t="s">
        <v>3490</v>
      </c>
      <c r="H580" s="415">
        <v>0</v>
      </c>
      <c r="I580" s="415" t="s">
        <v>3652</v>
      </c>
      <c r="J580" s="415">
        <v>8</v>
      </c>
      <c r="K580" s="415">
        <v>2</v>
      </c>
      <c r="L580" s="415">
        <v>15</v>
      </c>
      <c r="M580" s="415">
        <v>580</v>
      </c>
      <c r="N580" s="415">
        <v>270</v>
      </c>
      <c r="O580" s="415">
        <v>482</v>
      </c>
      <c r="P580" s="415" t="s">
        <v>3069</v>
      </c>
      <c r="Q580" s="415">
        <v>0</v>
      </c>
      <c r="R580" s="415">
        <v>15</v>
      </c>
      <c r="S580" s="415">
        <v>179</v>
      </c>
      <c r="T580" s="416">
        <v>179</v>
      </c>
      <c r="U580" s="416">
        <v>179</v>
      </c>
      <c r="V580" s="416">
        <v>179</v>
      </c>
      <c r="W580" s="416">
        <v>179</v>
      </c>
      <c r="X580" s="416">
        <v>179</v>
      </c>
      <c r="Y580" s="416">
        <v>179</v>
      </c>
      <c r="Z580" s="416">
        <v>175</v>
      </c>
      <c r="AA580" s="416">
        <v>171</v>
      </c>
      <c r="AB580" s="416">
        <v>166</v>
      </c>
      <c r="AC580" s="416">
        <v>162</v>
      </c>
      <c r="AD580" s="416">
        <v>159</v>
      </c>
      <c r="AE580" s="416">
        <v>155</v>
      </c>
      <c r="AF580" s="416">
        <v>151</v>
      </c>
      <c r="AG580" s="416">
        <v>148</v>
      </c>
      <c r="AH580" s="416">
        <v>145</v>
      </c>
      <c r="AI580" s="416">
        <v>141</v>
      </c>
      <c r="AJ580" s="416">
        <v>138</v>
      </c>
      <c r="AK580" s="416">
        <v>135</v>
      </c>
      <c r="AL580" s="416">
        <v>15</v>
      </c>
      <c r="AM580" s="416">
        <v>133</v>
      </c>
      <c r="AN580" s="416">
        <v>0</v>
      </c>
      <c r="AO580" s="416">
        <v>0</v>
      </c>
      <c r="AP580" s="416">
        <v>0</v>
      </c>
      <c r="AQ580" s="416">
        <v>0</v>
      </c>
      <c r="AR580" s="416">
        <v>0</v>
      </c>
      <c r="AS580" s="416">
        <v>0</v>
      </c>
      <c r="AT580" s="416">
        <v>0</v>
      </c>
      <c r="AU580" s="416">
        <v>0</v>
      </c>
      <c r="AV580" s="416">
        <v>0</v>
      </c>
      <c r="AW580" s="416">
        <v>0</v>
      </c>
      <c r="AX580" s="416">
        <v>0</v>
      </c>
      <c r="AY580" s="416">
        <v>0</v>
      </c>
      <c r="AZ580" s="416">
        <v>0</v>
      </c>
    </row>
    <row r="581" spans="1:52" x14ac:dyDescent="0.25">
      <c r="A581" s="415" t="str">
        <f t="shared" si="8"/>
        <v>SA-249 Gr.TP310MoLN</v>
      </c>
      <c r="B581" s="415">
        <v>576</v>
      </c>
      <c r="C581" s="415" t="s">
        <v>3489</v>
      </c>
      <c r="D581" s="415" t="s">
        <v>2689</v>
      </c>
      <c r="E581" s="415" t="s">
        <v>2200</v>
      </c>
      <c r="F581" s="415" t="s">
        <v>2566</v>
      </c>
      <c r="G581" s="415" t="s">
        <v>3490</v>
      </c>
      <c r="H581" s="415">
        <v>0</v>
      </c>
      <c r="I581" s="415" t="s">
        <v>3652</v>
      </c>
      <c r="J581" s="415">
        <v>8</v>
      </c>
      <c r="K581" s="415">
        <v>2</v>
      </c>
      <c r="L581" s="415">
        <v>16</v>
      </c>
      <c r="M581" s="415">
        <v>580</v>
      </c>
      <c r="N581" s="415">
        <v>270</v>
      </c>
      <c r="O581" s="415">
        <v>482</v>
      </c>
      <c r="P581" s="415" t="s">
        <v>3069</v>
      </c>
      <c r="Q581" s="415" t="s">
        <v>3651</v>
      </c>
      <c r="R581" s="415">
        <v>16</v>
      </c>
      <c r="S581" s="415">
        <v>152</v>
      </c>
      <c r="T581" s="416">
        <v>152</v>
      </c>
      <c r="U581" s="416">
        <v>152</v>
      </c>
      <c r="V581" s="416">
        <v>152</v>
      </c>
      <c r="W581" s="416">
        <v>152</v>
      </c>
      <c r="X581" s="416">
        <v>152</v>
      </c>
      <c r="Y581" s="416">
        <v>152</v>
      </c>
      <c r="Z581" s="416">
        <v>149</v>
      </c>
      <c r="AA581" s="416">
        <v>145</v>
      </c>
      <c r="AB581" s="416">
        <v>141</v>
      </c>
      <c r="AC581" s="416">
        <v>138</v>
      </c>
      <c r="AD581" s="416">
        <v>135</v>
      </c>
      <c r="AE581" s="416">
        <v>132</v>
      </c>
      <c r="AF581" s="416">
        <v>129</v>
      </c>
      <c r="AG581" s="416">
        <v>126</v>
      </c>
      <c r="AH581" s="416">
        <v>123</v>
      </c>
      <c r="AI581" s="416">
        <v>120</v>
      </c>
      <c r="AJ581" s="416">
        <v>117</v>
      </c>
      <c r="AK581" s="416">
        <v>115</v>
      </c>
      <c r="AL581" s="416">
        <v>16</v>
      </c>
      <c r="AM581" s="416">
        <v>113</v>
      </c>
      <c r="AN581" s="416">
        <v>0</v>
      </c>
      <c r="AO581" s="416">
        <v>0</v>
      </c>
      <c r="AP581" s="416">
        <v>0</v>
      </c>
      <c r="AQ581" s="416">
        <v>0</v>
      </c>
      <c r="AR581" s="416">
        <v>0</v>
      </c>
      <c r="AS581" s="416">
        <v>0</v>
      </c>
      <c r="AT581" s="416">
        <v>0</v>
      </c>
      <c r="AU581" s="416">
        <v>0</v>
      </c>
      <c r="AV581" s="416">
        <v>0</v>
      </c>
      <c r="AW581" s="416">
        <v>0</v>
      </c>
      <c r="AX581" s="416">
        <v>0</v>
      </c>
      <c r="AY581" s="416">
        <v>0</v>
      </c>
      <c r="AZ581" s="416">
        <v>0</v>
      </c>
    </row>
    <row r="582" spans="1:52" x14ac:dyDescent="0.25">
      <c r="A582" s="415" t="str">
        <f t="shared" si="8"/>
        <v>SA-312 Gr.TP310MoLN</v>
      </c>
      <c r="B582" s="415">
        <v>577</v>
      </c>
      <c r="C582" s="415" t="s">
        <v>3489</v>
      </c>
      <c r="D582" s="415" t="s">
        <v>2680</v>
      </c>
      <c r="E582" s="415" t="s">
        <v>2208</v>
      </c>
      <c r="F582" s="415" t="s">
        <v>2566</v>
      </c>
      <c r="G582" s="415" t="s">
        <v>3490</v>
      </c>
      <c r="H582" s="415">
        <v>0</v>
      </c>
      <c r="I582" s="415" t="s">
        <v>3652</v>
      </c>
      <c r="J582" s="415">
        <v>8</v>
      </c>
      <c r="K582" s="415">
        <v>2</v>
      </c>
      <c r="L582" s="415">
        <v>17</v>
      </c>
      <c r="M582" s="415">
        <v>580</v>
      </c>
      <c r="N582" s="415">
        <v>270</v>
      </c>
      <c r="O582" s="415">
        <v>482</v>
      </c>
      <c r="P582" s="415" t="s">
        <v>3069</v>
      </c>
      <c r="Q582" s="415" t="s">
        <v>3651</v>
      </c>
      <c r="R582" s="415">
        <v>17</v>
      </c>
      <c r="S582" s="415">
        <v>152</v>
      </c>
      <c r="T582" s="416">
        <v>152</v>
      </c>
      <c r="U582" s="416">
        <v>152</v>
      </c>
      <c r="V582" s="416">
        <v>152</v>
      </c>
      <c r="W582" s="416">
        <v>152</v>
      </c>
      <c r="X582" s="416">
        <v>152</v>
      </c>
      <c r="Y582" s="416">
        <v>152</v>
      </c>
      <c r="Z582" s="416">
        <v>149</v>
      </c>
      <c r="AA582" s="416">
        <v>145</v>
      </c>
      <c r="AB582" s="416">
        <v>141</v>
      </c>
      <c r="AC582" s="416">
        <v>138</v>
      </c>
      <c r="AD582" s="416">
        <v>135</v>
      </c>
      <c r="AE582" s="416">
        <v>132</v>
      </c>
      <c r="AF582" s="416">
        <v>129</v>
      </c>
      <c r="AG582" s="416">
        <v>126</v>
      </c>
      <c r="AH582" s="416">
        <v>123</v>
      </c>
      <c r="AI582" s="416">
        <v>120</v>
      </c>
      <c r="AJ582" s="416">
        <v>117</v>
      </c>
      <c r="AK582" s="416">
        <v>115</v>
      </c>
      <c r="AL582" s="416">
        <v>17</v>
      </c>
      <c r="AM582" s="416">
        <v>113</v>
      </c>
      <c r="AN582" s="416">
        <v>0</v>
      </c>
      <c r="AO582" s="416">
        <v>0</v>
      </c>
      <c r="AP582" s="416">
        <v>0</v>
      </c>
      <c r="AQ582" s="416">
        <v>0</v>
      </c>
      <c r="AR582" s="416">
        <v>0</v>
      </c>
      <c r="AS582" s="416">
        <v>0</v>
      </c>
      <c r="AT582" s="416">
        <v>0</v>
      </c>
      <c r="AU582" s="416">
        <v>0</v>
      </c>
      <c r="AV582" s="416">
        <v>0</v>
      </c>
      <c r="AW582" s="416">
        <v>0</v>
      </c>
      <c r="AX582" s="416">
        <v>0</v>
      </c>
      <c r="AY582" s="416">
        <v>0</v>
      </c>
      <c r="AZ582" s="416">
        <v>0</v>
      </c>
    </row>
  </sheetData>
  <autoFilter ref="A5:AZ582" xr:uid="{00000000-0009-0000-0000-000018000000}"/>
  <pageMargins left="0.7" right="0.7" top="0.75" bottom="0.75" header="0.3" footer="0.3"/>
  <pageSetup paperSize="9" scale="10" orientation="portrait" r:id="rId1"/>
  <headerFooter>
    <oddHeader>&amp;R&amp;"Calibri"&amp;8 Document classified as: 2 - Company Confidential&amp;1#</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Foglio18">
    <tabColor rgb="FFFF0000"/>
  </sheetPr>
  <dimension ref="A1:K79"/>
  <sheetViews>
    <sheetView workbookViewId="0"/>
  </sheetViews>
  <sheetFormatPr defaultRowHeight="14.4" x14ac:dyDescent="0.3"/>
  <cols>
    <col min="1" max="1" width="23.5546875" bestFit="1" customWidth="1"/>
    <col min="2" max="2" width="17" customWidth="1"/>
    <col min="4" max="6" width="10.21875" bestFit="1" customWidth="1"/>
    <col min="8" max="9" width="9.5546875" bestFit="1" customWidth="1"/>
  </cols>
  <sheetData>
    <row r="1" spans="1:11" ht="15" thickBot="1" x14ac:dyDescent="0.35">
      <c r="A1" s="292"/>
      <c r="B1" s="293"/>
      <c r="C1" s="294"/>
      <c r="D1" s="295">
        <v>150</v>
      </c>
      <c r="E1" s="295">
        <v>300</v>
      </c>
      <c r="F1" s="295">
        <v>600</v>
      </c>
      <c r="G1" s="295">
        <v>800</v>
      </c>
      <c r="H1" s="295">
        <v>900</v>
      </c>
      <c r="I1" s="295">
        <v>1500</v>
      </c>
      <c r="J1" s="295">
        <v>2500</v>
      </c>
      <c r="K1" s="296" t="s">
        <v>1655</v>
      </c>
    </row>
    <row r="2" spans="1:11" ht="28.8" x14ac:dyDescent="0.3">
      <c r="A2" s="287" t="s">
        <v>151</v>
      </c>
      <c r="B2" s="114"/>
      <c r="C2" s="114"/>
      <c r="D2" s="288"/>
      <c r="E2" s="288"/>
      <c r="F2" s="288"/>
      <c r="G2" s="288"/>
      <c r="H2" s="288"/>
      <c r="I2" s="288"/>
      <c r="J2" s="288"/>
      <c r="K2" s="114"/>
    </row>
    <row r="3" spans="1:11" x14ac:dyDescent="0.3">
      <c r="A3" s="299" t="str">
        <f>C3&amp;"."&amp;B3</f>
        <v>0,5.Globe_valve</v>
      </c>
      <c r="B3" s="300" t="str">
        <f>$A$2</f>
        <v>Globe_valve</v>
      </c>
      <c r="C3" s="300">
        <v>0.5</v>
      </c>
      <c r="D3" s="301"/>
      <c r="E3" s="301">
        <v>3</v>
      </c>
      <c r="F3" s="301">
        <v>3.5</v>
      </c>
      <c r="G3" s="302"/>
      <c r="H3" s="301">
        <v>18</v>
      </c>
      <c r="I3" s="301">
        <v>18</v>
      </c>
      <c r="J3" s="302"/>
      <c r="K3" s="303"/>
    </row>
    <row r="4" spans="1:11" x14ac:dyDescent="0.3">
      <c r="A4" s="299" t="str">
        <f t="shared" ref="A4:A27" si="0">C4&amp;"."&amp;B4</f>
        <v>0,75.Globe_valve</v>
      </c>
      <c r="B4" s="300" t="str">
        <f t="shared" ref="B4:B27" si="1">$A$2</f>
        <v>Globe_valve</v>
      </c>
      <c r="C4" s="300">
        <v>0.75</v>
      </c>
      <c r="D4" s="301"/>
      <c r="E4" s="301">
        <v>5</v>
      </c>
      <c r="F4" s="301">
        <v>6</v>
      </c>
      <c r="G4" s="302"/>
      <c r="H4" s="301">
        <v>25</v>
      </c>
      <c r="I4" s="301">
        <v>25</v>
      </c>
      <c r="J4" s="302"/>
      <c r="K4" s="303"/>
    </row>
    <row r="5" spans="1:11" x14ac:dyDescent="0.3">
      <c r="A5" s="299" t="str">
        <f t="shared" si="0"/>
        <v>1.Globe_valve</v>
      </c>
      <c r="B5" s="300" t="str">
        <f t="shared" si="1"/>
        <v>Globe_valve</v>
      </c>
      <c r="C5" s="300">
        <v>1</v>
      </c>
      <c r="D5" s="301"/>
      <c r="E5" s="301">
        <v>8</v>
      </c>
      <c r="F5" s="301">
        <v>9</v>
      </c>
      <c r="G5" s="306"/>
      <c r="H5" s="306">
        <v>35</v>
      </c>
      <c r="I5" s="306">
        <v>35</v>
      </c>
      <c r="J5" s="302"/>
      <c r="K5" s="303"/>
    </row>
    <row r="6" spans="1:11" x14ac:dyDescent="0.3">
      <c r="A6" s="299" t="str">
        <f t="shared" si="0"/>
        <v>1,5.Globe_valve</v>
      </c>
      <c r="B6" s="300" t="str">
        <f t="shared" si="1"/>
        <v>Globe_valve</v>
      </c>
      <c r="C6" s="300">
        <v>1.5</v>
      </c>
      <c r="D6" s="301"/>
      <c r="E6" s="301">
        <v>14</v>
      </c>
      <c r="F6" s="301">
        <v>18</v>
      </c>
      <c r="G6" s="306"/>
      <c r="H6" s="306">
        <v>70</v>
      </c>
      <c r="I6" s="306">
        <v>70</v>
      </c>
      <c r="J6" s="302"/>
      <c r="K6" s="303"/>
    </row>
    <row r="7" spans="1:11" x14ac:dyDescent="0.3">
      <c r="A7" s="299" t="str">
        <f t="shared" si="0"/>
        <v>2.Globe_valve</v>
      </c>
      <c r="B7" s="300" t="str">
        <f t="shared" si="1"/>
        <v>Globe_valve</v>
      </c>
      <c r="C7" s="300">
        <v>2</v>
      </c>
      <c r="D7" s="301">
        <v>20</v>
      </c>
      <c r="E7" s="301">
        <v>38</v>
      </c>
      <c r="F7" s="301">
        <v>50</v>
      </c>
      <c r="G7" s="302"/>
      <c r="H7" s="301">
        <v>100</v>
      </c>
      <c r="I7" s="301">
        <v>100</v>
      </c>
      <c r="J7" s="302"/>
      <c r="K7" s="303"/>
    </row>
    <row r="8" spans="1:11" x14ac:dyDescent="0.3">
      <c r="A8" s="299" t="str">
        <f t="shared" si="0"/>
        <v>3.Globe_valve</v>
      </c>
      <c r="B8" s="300" t="str">
        <f t="shared" si="1"/>
        <v>Globe_valve</v>
      </c>
      <c r="C8" s="300">
        <v>3</v>
      </c>
      <c r="D8" s="301">
        <v>33</v>
      </c>
      <c r="E8" s="301">
        <v>50</v>
      </c>
      <c r="F8" s="301">
        <v>90</v>
      </c>
      <c r="G8" s="302"/>
      <c r="H8" s="301">
        <v>150</v>
      </c>
      <c r="I8" s="301">
        <v>250</v>
      </c>
      <c r="J8" s="302"/>
      <c r="K8" s="303"/>
    </row>
    <row r="9" spans="1:11" x14ac:dyDescent="0.3">
      <c r="A9" s="299" t="str">
        <f t="shared" si="0"/>
        <v>4.Globe_valve</v>
      </c>
      <c r="B9" s="300" t="str">
        <f t="shared" si="1"/>
        <v>Globe_valve</v>
      </c>
      <c r="C9" s="300">
        <v>4</v>
      </c>
      <c r="D9" s="301">
        <v>50</v>
      </c>
      <c r="E9" s="301">
        <v>90</v>
      </c>
      <c r="F9" s="301">
        <v>155</v>
      </c>
      <c r="G9" s="302"/>
      <c r="H9" s="301">
        <v>250</v>
      </c>
      <c r="I9" s="301">
        <v>400</v>
      </c>
      <c r="J9" s="302"/>
      <c r="K9" s="303"/>
    </row>
    <row r="10" spans="1:11" x14ac:dyDescent="0.3">
      <c r="A10" s="299" t="str">
        <f t="shared" si="0"/>
        <v>6.Globe_valve</v>
      </c>
      <c r="B10" s="300" t="str">
        <f t="shared" si="1"/>
        <v>Globe_valve</v>
      </c>
      <c r="C10" s="300">
        <v>6</v>
      </c>
      <c r="D10" s="301">
        <v>90</v>
      </c>
      <c r="E10" s="301">
        <v>190</v>
      </c>
      <c r="F10" s="301">
        <v>320</v>
      </c>
      <c r="G10" s="302"/>
      <c r="H10" s="301">
        <v>500</v>
      </c>
      <c r="I10" s="301">
        <v>750</v>
      </c>
      <c r="J10" s="302"/>
      <c r="K10" s="303"/>
    </row>
    <row r="11" spans="1:11" x14ac:dyDescent="0.3">
      <c r="A11" s="299" t="str">
        <f t="shared" si="0"/>
        <v>8.Globe_valve</v>
      </c>
      <c r="B11" s="300" t="str">
        <f t="shared" si="1"/>
        <v>Globe_valve</v>
      </c>
      <c r="C11" s="300">
        <v>8</v>
      </c>
      <c r="D11" s="301">
        <v>150</v>
      </c>
      <c r="E11" s="301">
        <v>290</v>
      </c>
      <c r="F11" s="301">
        <v>570</v>
      </c>
      <c r="G11" s="302"/>
      <c r="H11" s="301">
        <v>850</v>
      </c>
      <c r="I11" s="301">
        <v>1400</v>
      </c>
      <c r="J11" s="302"/>
      <c r="K11" s="303"/>
    </row>
    <row r="12" spans="1:11" x14ac:dyDescent="0.3">
      <c r="A12" s="299" t="str">
        <f t="shared" si="0"/>
        <v>10.Globe_valve</v>
      </c>
      <c r="B12" s="300" t="str">
        <f t="shared" si="1"/>
        <v>Globe_valve</v>
      </c>
      <c r="C12" s="300">
        <v>10</v>
      </c>
      <c r="D12" s="301">
        <v>240</v>
      </c>
      <c r="E12" s="301">
        <v>420</v>
      </c>
      <c r="F12" s="301">
        <v>900</v>
      </c>
      <c r="G12" s="302"/>
      <c r="H12" s="301">
        <v>1300</v>
      </c>
      <c r="I12" s="301">
        <v>2400</v>
      </c>
      <c r="J12" s="302"/>
      <c r="K12" s="303"/>
    </row>
    <row r="13" spans="1:11" x14ac:dyDescent="0.3">
      <c r="A13" s="299" t="str">
        <f t="shared" si="0"/>
        <v>12.Globe_valve</v>
      </c>
      <c r="B13" s="300" t="str">
        <f t="shared" si="1"/>
        <v>Globe_valve</v>
      </c>
      <c r="C13" s="300">
        <v>12</v>
      </c>
      <c r="D13" s="301">
        <v>330</v>
      </c>
      <c r="E13" s="301">
        <v>600</v>
      </c>
      <c r="F13" s="301">
        <v>1250</v>
      </c>
      <c r="G13" s="302"/>
      <c r="H13" s="301">
        <v>2000</v>
      </c>
      <c r="I13" s="301">
        <v>3500</v>
      </c>
      <c r="J13" s="302"/>
      <c r="K13" s="303"/>
    </row>
    <row r="14" spans="1:11" x14ac:dyDescent="0.3">
      <c r="A14" s="299" t="str">
        <f t="shared" si="0"/>
        <v>14.Globe_valve</v>
      </c>
      <c r="B14" s="300" t="str">
        <f t="shared" si="1"/>
        <v>Globe_valve</v>
      </c>
      <c r="C14" s="300">
        <v>14</v>
      </c>
      <c r="D14" s="301">
        <v>420</v>
      </c>
      <c r="E14" s="301">
        <v>900</v>
      </c>
      <c r="F14" s="301">
        <v>1700</v>
      </c>
      <c r="G14" s="302"/>
      <c r="H14" s="301"/>
      <c r="I14" s="301"/>
      <c r="J14" s="302"/>
      <c r="K14" s="303"/>
    </row>
    <row r="15" spans="1:11" x14ac:dyDescent="0.3">
      <c r="A15" s="299" t="str">
        <f t="shared" si="0"/>
        <v>16.Globe_valve</v>
      </c>
      <c r="B15" s="300" t="str">
        <f t="shared" si="1"/>
        <v>Globe_valve</v>
      </c>
      <c r="C15" s="300">
        <v>16</v>
      </c>
      <c r="D15" s="301">
        <v>540</v>
      </c>
      <c r="E15" s="301">
        <v>1200</v>
      </c>
      <c r="F15" s="301">
        <v>2100</v>
      </c>
      <c r="G15" s="302"/>
      <c r="H15" s="301"/>
      <c r="I15" s="301"/>
      <c r="J15" s="302"/>
      <c r="K15" s="303"/>
    </row>
    <row r="16" spans="1:11" x14ac:dyDescent="0.3">
      <c r="A16" s="299" t="str">
        <f t="shared" si="0"/>
        <v>18.Globe_valve</v>
      </c>
      <c r="B16" s="300" t="str">
        <f t="shared" si="1"/>
        <v>Globe_valve</v>
      </c>
      <c r="C16" s="300">
        <v>18</v>
      </c>
      <c r="D16" s="301">
        <v>730</v>
      </c>
      <c r="E16" s="301">
        <v>1650</v>
      </c>
      <c r="F16" s="301">
        <v>2900</v>
      </c>
      <c r="G16" s="302"/>
      <c r="H16" s="301"/>
      <c r="I16" s="301"/>
      <c r="J16" s="302"/>
      <c r="K16" s="303"/>
    </row>
    <row r="17" spans="1:11" x14ac:dyDescent="0.3">
      <c r="A17" s="299" t="str">
        <f t="shared" si="0"/>
        <v>20.Globe_valve</v>
      </c>
      <c r="B17" s="300" t="str">
        <f t="shared" si="1"/>
        <v>Globe_valve</v>
      </c>
      <c r="C17" s="300">
        <v>20</v>
      </c>
      <c r="D17" s="301">
        <v>870</v>
      </c>
      <c r="E17" s="301">
        <v>2000</v>
      </c>
      <c r="F17" s="301">
        <v>4000</v>
      </c>
      <c r="G17" s="302"/>
      <c r="H17" s="301"/>
      <c r="I17" s="301"/>
      <c r="J17" s="302"/>
      <c r="K17" s="303"/>
    </row>
    <row r="18" spans="1:11" x14ac:dyDescent="0.3">
      <c r="A18" s="299" t="str">
        <f t="shared" si="0"/>
        <v>24.Globe_valve</v>
      </c>
      <c r="B18" s="300" t="str">
        <f t="shared" si="1"/>
        <v>Globe_valve</v>
      </c>
      <c r="C18" s="300">
        <v>24</v>
      </c>
      <c r="D18" s="301">
        <v>1350</v>
      </c>
      <c r="E18" s="301">
        <v>2300</v>
      </c>
      <c r="F18" s="301">
        <v>5000</v>
      </c>
      <c r="G18" s="302"/>
      <c r="H18" s="301"/>
      <c r="I18" s="301"/>
      <c r="J18" s="302"/>
      <c r="K18" s="303"/>
    </row>
    <row r="19" spans="1:11" x14ac:dyDescent="0.3">
      <c r="A19" s="299" t="str">
        <f t="shared" si="0"/>
        <v>26.Globe_valve</v>
      </c>
      <c r="B19" s="300" t="str">
        <f t="shared" si="1"/>
        <v>Globe_valve</v>
      </c>
      <c r="C19" s="300">
        <v>26</v>
      </c>
      <c r="D19" s="301">
        <f>+D18*(C19/C18)*1.23</f>
        <v>1798.875</v>
      </c>
      <c r="E19" s="301">
        <f>+E18*(C19/C18)*1.23</f>
        <v>3064.7499999999995</v>
      </c>
      <c r="F19" s="301">
        <f>+F18*(C19/C18)*1.23</f>
        <v>6662.4999999999991</v>
      </c>
      <c r="G19" s="302"/>
      <c r="H19" s="301"/>
      <c r="I19" s="301"/>
      <c r="J19" s="302"/>
      <c r="K19" s="303"/>
    </row>
    <row r="20" spans="1:11" x14ac:dyDescent="0.3">
      <c r="A20" s="299" t="str">
        <f t="shared" si="0"/>
        <v>28.Globe_valve</v>
      </c>
      <c r="B20" s="300" t="str">
        <f t="shared" si="1"/>
        <v>Globe_valve</v>
      </c>
      <c r="C20" s="300">
        <v>28</v>
      </c>
      <c r="D20" s="301">
        <f t="shared" ref="D20:D27" si="2">+D19*(C20/C19)*1.23</f>
        <v>2382.8175000000001</v>
      </c>
      <c r="E20" s="301">
        <f t="shared" ref="E20:E27" si="3">+E19*(C20/C19)*1.23</f>
        <v>4059.6149999999993</v>
      </c>
      <c r="F20" s="301">
        <f t="shared" ref="F20:F27" si="4">+F19*(C20/C19)*1.23</f>
        <v>8825.2499999999982</v>
      </c>
      <c r="G20" s="302"/>
      <c r="H20" s="301"/>
      <c r="I20" s="301"/>
      <c r="J20" s="302"/>
      <c r="K20" s="303"/>
    </row>
    <row r="21" spans="1:11" x14ac:dyDescent="0.3">
      <c r="A21" s="299" t="str">
        <f t="shared" si="0"/>
        <v>30.Globe_valve</v>
      </c>
      <c r="B21" s="300" t="str">
        <f t="shared" si="1"/>
        <v>Globe_valve</v>
      </c>
      <c r="C21" s="300">
        <v>30</v>
      </c>
      <c r="D21" s="301">
        <f t="shared" si="2"/>
        <v>3140.2130625</v>
      </c>
      <c r="E21" s="301">
        <f t="shared" si="3"/>
        <v>5349.992624999998</v>
      </c>
      <c r="F21" s="301">
        <f t="shared" si="4"/>
        <v>11630.418749999997</v>
      </c>
      <c r="G21" s="302"/>
      <c r="H21" s="301"/>
      <c r="I21" s="301"/>
      <c r="J21" s="302"/>
      <c r="K21" s="303"/>
    </row>
    <row r="22" spans="1:11" x14ac:dyDescent="0.3">
      <c r="A22" s="299" t="str">
        <f t="shared" si="0"/>
        <v>32.Globe_valve</v>
      </c>
      <c r="B22" s="300" t="str">
        <f t="shared" si="1"/>
        <v>Globe_valve</v>
      </c>
      <c r="C22" s="300">
        <v>32</v>
      </c>
      <c r="D22" s="301">
        <f t="shared" si="2"/>
        <v>4119.9595380000001</v>
      </c>
      <c r="E22" s="301">
        <f t="shared" si="3"/>
        <v>7019.1903239999965</v>
      </c>
      <c r="F22" s="301">
        <f t="shared" si="4"/>
        <v>15259.109399999996</v>
      </c>
      <c r="G22" s="302"/>
      <c r="H22" s="301"/>
      <c r="I22" s="301"/>
      <c r="J22" s="302"/>
      <c r="K22" s="303"/>
    </row>
    <row r="23" spans="1:11" x14ac:dyDescent="0.3">
      <c r="A23" s="299" t="str">
        <f t="shared" si="0"/>
        <v>34.Globe_valve</v>
      </c>
      <c r="B23" s="300" t="str">
        <f t="shared" si="1"/>
        <v>Globe_valve</v>
      </c>
      <c r="C23" s="300">
        <v>34</v>
      </c>
      <c r="D23" s="301">
        <f t="shared" si="2"/>
        <v>5384.2721212237493</v>
      </c>
      <c r="E23" s="301">
        <f t="shared" si="3"/>
        <v>9173.2043546774948</v>
      </c>
      <c r="F23" s="301">
        <f t="shared" si="4"/>
        <v>19941.748597124992</v>
      </c>
      <c r="G23" s="302"/>
      <c r="H23" s="301"/>
      <c r="I23" s="301"/>
      <c r="J23" s="302"/>
      <c r="K23" s="303"/>
    </row>
    <row r="24" spans="1:11" x14ac:dyDescent="0.3">
      <c r="A24" s="299" t="str">
        <f t="shared" si="0"/>
        <v>36.Globe_valve</v>
      </c>
      <c r="B24" s="300" t="str">
        <f t="shared" si="1"/>
        <v>Globe_valve</v>
      </c>
      <c r="C24" s="300">
        <v>36</v>
      </c>
      <c r="D24" s="301">
        <f t="shared" si="2"/>
        <v>7012.2226331702241</v>
      </c>
      <c r="E24" s="301">
        <f t="shared" si="3"/>
        <v>11946.749671327045</v>
      </c>
      <c r="F24" s="301">
        <f t="shared" si="4"/>
        <v>25971.194937667489</v>
      </c>
      <c r="G24" s="302"/>
      <c r="H24" s="301"/>
      <c r="I24" s="301"/>
      <c r="J24" s="302"/>
      <c r="K24" s="303"/>
    </row>
    <row r="25" spans="1:11" x14ac:dyDescent="0.3">
      <c r="A25" s="299" t="str">
        <f t="shared" si="0"/>
        <v>38.Globe_valve</v>
      </c>
      <c r="B25" s="300" t="str">
        <f t="shared" si="1"/>
        <v>Globe_valve</v>
      </c>
      <c r="C25" s="300">
        <v>38</v>
      </c>
      <c r="D25" s="301">
        <f t="shared" si="2"/>
        <v>9104.2023853993414</v>
      </c>
      <c r="E25" s="301">
        <f t="shared" si="3"/>
        <v>15510.863323272946</v>
      </c>
      <c r="F25" s="301">
        <f t="shared" si="4"/>
        <v>33719.268094071624</v>
      </c>
      <c r="G25" s="302"/>
      <c r="H25" s="301"/>
      <c r="I25" s="301"/>
      <c r="J25" s="302"/>
      <c r="K25" s="303"/>
    </row>
    <row r="26" spans="1:11" x14ac:dyDescent="0.3">
      <c r="A26" s="299" t="str">
        <f t="shared" si="0"/>
        <v>40.Globe_valve</v>
      </c>
      <c r="B26" s="300" t="str">
        <f t="shared" si="1"/>
        <v>Globe_valve</v>
      </c>
      <c r="C26" s="300">
        <v>40</v>
      </c>
      <c r="D26" s="301">
        <f t="shared" si="2"/>
        <v>11787.546246359147</v>
      </c>
      <c r="E26" s="301">
        <f t="shared" si="3"/>
        <v>20082.486197500763</v>
      </c>
      <c r="F26" s="301">
        <f t="shared" si="4"/>
        <v>43657.578690219045</v>
      </c>
      <c r="G26" s="302"/>
      <c r="H26" s="301"/>
      <c r="I26" s="301"/>
      <c r="J26" s="302"/>
      <c r="K26" s="303"/>
    </row>
    <row r="27" spans="1:11" ht="15" thickBot="1" x14ac:dyDescent="0.35">
      <c r="A27" s="299" t="str">
        <f t="shared" si="0"/>
        <v>42.Globe_valve</v>
      </c>
      <c r="B27" s="300" t="str">
        <f t="shared" si="1"/>
        <v>Globe_valve</v>
      </c>
      <c r="C27" s="300">
        <v>42</v>
      </c>
      <c r="D27" s="301">
        <f t="shared" si="2"/>
        <v>15223.615977172838</v>
      </c>
      <c r="E27" s="301">
        <f t="shared" si="3"/>
        <v>25936.530924072234</v>
      </c>
      <c r="F27" s="301">
        <f t="shared" si="4"/>
        <v>56383.762878417896</v>
      </c>
      <c r="G27" s="302"/>
      <c r="H27" s="301"/>
      <c r="I27" s="301"/>
      <c r="J27" s="302"/>
      <c r="K27" s="303"/>
    </row>
    <row r="28" spans="1:11" ht="28.8" x14ac:dyDescent="0.3">
      <c r="A28" s="287" t="s">
        <v>154</v>
      </c>
      <c r="B28" s="114"/>
      <c r="C28" s="114"/>
      <c r="D28" s="288"/>
      <c r="E28" s="288"/>
      <c r="F28" s="288"/>
      <c r="G28" s="288"/>
      <c r="H28" s="288"/>
      <c r="I28" s="288"/>
      <c r="J28" s="288"/>
      <c r="K28" s="114"/>
    </row>
    <row r="29" spans="1:11" x14ac:dyDescent="0.3">
      <c r="A29" s="299" t="str">
        <f>C29&amp;"."&amp;B29</f>
        <v>0,5.Gate_valve</v>
      </c>
      <c r="B29" s="300" t="str">
        <f>$A$28</f>
        <v>Gate_valve</v>
      </c>
      <c r="C29" s="300">
        <v>0.5</v>
      </c>
      <c r="D29" s="301"/>
      <c r="E29" s="301">
        <v>3</v>
      </c>
      <c r="F29" s="301">
        <v>3.5</v>
      </c>
      <c r="G29" s="302"/>
      <c r="H29" s="301">
        <v>18</v>
      </c>
      <c r="I29" s="301">
        <v>18</v>
      </c>
      <c r="J29" s="302"/>
      <c r="K29" s="303"/>
    </row>
    <row r="30" spans="1:11" x14ac:dyDescent="0.3">
      <c r="A30" s="299" t="str">
        <f t="shared" ref="A30:A53" si="5">C30&amp;"."&amp;B30</f>
        <v>0,75.Gate_valve</v>
      </c>
      <c r="B30" s="300" t="str">
        <f t="shared" ref="B30:B53" si="6">$A$28</f>
        <v>Gate_valve</v>
      </c>
      <c r="C30" s="300">
        <v>0.75</v>
      </c>
      <c r="D30" s="301"/>
      <c r="E30" s="301">
        <v>5</v>
      </c>
      <c r="F30" s="301">
        <v>6</v>
      </c>
      <c r="G30" s="302"/>
      <c r="H30" s="301">
        <v>25</v>
      </c>
      <c r="I30" s="301">
        <v>25</v>
      </c>
      <c r="J30" s="302"/>
      <c r="K30" s="303"/>
    </row>
    <row r="31" spans="1:11" x14ac:dyDescent="0.3">
      <c r="A31" s="299" t="str">
        <f t="shared" si="5"/>
        <v>1.Gate_valve</v>
      </c>
      <c r="B31" s="300" t="str">
        <f t="shared" si="6"/>
        <v>Gate_valve</v>
      </c>
      <c r="C31" s="300">
        <v>1</v>
      </c>
      <c r="D31" s="301"/>
      <c r="E31" s="301">
        <v>8</v>
      </c>
      <c r="F31" s="301">
        <v>9</v>
      </c>
      <c r="G31" s="306"/>
      <c r="H31" s="306">
        <v>35</v>
      </c>
      <c r="I31" s="306">
        <v>35</v>
      </c>
      <c r="J31" s="302"/>
      <c r="K31" s="303"/>
    </row>
    <row r="32" spans="1:11" x14ac:dyDescent="0.3">
      <c r="A32" s="299" t="str">
        <f t="shared" si="5"/>
        <v>1,5.Gate_valve</v>
      </c>
      <c r="B32" s="300" t="str">
        <f t="shared" si="6"/>
        <v>Gate_valve</v>
      </c>
      <c r="C32" s="300">
        <v>1.5</v>
      </c>
      <c r="D32" s="301"/>
      <c r="E32" s="301">
        <v>14</v>
      </c>
      <c r="F32" s="301">
        <v>18</v>
      </c>
      <c r="G32" s="306"/>
      <c r="H32" s="306">
        <v>70</v>
      </c>
      <c r="I32" s="306">
        <v>70</v>
      </c>
      <c r="J32" s="302"/>
      <c r="K32" s="303"/>
    </row>
    <row r="33" spans="1:11" x14ac:dyDescent="0.3">
      <c r="A33" s="299" t="str">
        <f t="shared" si="5"/>
        <v>2.Gate_valve</v>
      </c>
      <c r="B33" s="300" t="str">
        <f t="shared" si="6"/>
        <v>Gate_valve</v>
      </c>
      <c r="C33" s="300">
        <v>2</v>
      </c>
      <c r="D33" s="301">
        <v>20</v>
      </c>
      <c r="E33" s="301">
        <v>38</v>
      </c>
      <c r="F33" s="301">
        <v>50</v>
      </c>
      <c r="G33" s="302"/>
      <c r="H33" s="301">
        <v>100</v>
      </c>
      <c r="I33" s="301">
        <v>100</v>
      </c>
      <c r="J33" s="302"/>
      <c r="K33" s="303"/>
    </row>
    <row r="34" spans="1:11" x14ac:dyDescent="0.3">
      <c r="A34" s="299" t="str">
        <f t="shared" si="5"/>
        <v>3.Gate_valve</v>
      </c>
      <c r="B34" s="300" t="str">
        <f t="shared" si="6"/>
        <v>Gate_valve</v>
      </c>
      <c r="C34" s="300">
        <v>3</v>
      </c>
      <c r="D34" s="301">
        <v>33</v>
      </c>
      <c r="E34" s="301">
        <v>50</v>
      </c>
      <c r="F34" s="301">
        <v>90</v>
      </c>
      <c r="G34" s="302"/>
      <c r="H34" s="301">
        <v>150</v>
      </c>
      <c r="I34" s="301">
        <v>250</v>
      </c>
      <c r="J34" s="302"/>
      <c r="K34" s="303"/>
    </row>
    <row r="35" spans="1:11" x14ac:dyDescent="0.3">
      <c r="A35" s="299" t="str">
        <f t="shared" si="5"/>
        <v>4.Gate_valve</v>
      </c>
      <c r="B35" s="300" t="str">
        <f t="shared" si="6"/>
        <v>Gate_valve</v>
      </c>
      <c r="C35" s="300">
        <v>4</v>
      </c>
      <c r="D35" s="301">
        <v>50</v>
      </c>
      <c r="E35" s="301">
        <v>90</v>
      </c>
      <c r="F35" s="301">
        <v>155</v>
      </c>
      <c r="G35" s="302"/>
      <c r="H35" s="301">
        <v>250</v>
      </c>
      <c r="I35" s="301">
        <v>400</v>
      </c>
      <c r="J35" s="302"/>
      <c r="K35" s="303"/>
    </row>
    <row r="36" spans="1:11" x14ac:dyDescent="0.3">
      <c r="A36" s="299" t="str">
        <f t="shared" si="5"/>
        <v>6.Gate_valve</v>
      </c>
      <c r="B36" s="300" t="str">
        <f t="shared" si="6"/>
        <v>Gate_valve</v>
      </c>
      <c r="C36" s="300">
        <v>6</v>
      </c>
      <c r="D36" s="301">
        <v>90</v>
      </c>
      <c r="E36" s="301">
        <v>190</v>
      </c>
      <c r="F36" s="301">
        <v>320</v>
      </c>
      <c r="G36" s="302"/>
      <c r="H36" s="301">
        <v>500</v>
      </c>
      <c r="I36" s="301">
        <v>750</v>
      </c>
      <c r="J36" s="302"/>
      <c r="K36" s="303"/>
    </row>
    <row r="37" spans="1:11" x14ac:dyDescent="0.3">
      <c r="A37" s="299" t="str">
        <f t="shared" si="5"/>
        <v>8.Gate_valve</v>
      </c>
      <c r="B37" s="300" t="str">
        <f t="shared" si="6"/>
        <v>Gate_valve</v>
      </c>
      <c r="C37" s="300">
        <v>8</v>
      </c>
      <c r="D37" s="301">
        <v>150</v>
      </c>
      <c r="E37" s="301">
        <v>290</v>
      </c>
      <c r="F37" s="301">
        <v>570</v>
      </c>
      <c r="G37" s="302"/>
      <c r="H37" s="301">
        <v>850</v>
      </c>
      <c r="I37" s="301">
        <v>1400</v>
      </c>
      <c r="J37" s="302"/>
      <c r="K37" s="303"/>
    </row>
    <row r="38" spans="1:11" x14ac:dyDescent="0.3">
      <c r="A38" s="299" t="str">
        <f t="shared" si="5"/>
        <v>10.Gate_valve</v>
      </c>
      <c r="B38" s="300" t="str">
        <f t="shared" si="6"/>
        <v>Gate_valve</v>
      </c>
      <c r="C38" s="300">
        <v>10</v>
      </c>
      <c r="D38" s="301">
        <v>240</v>
      </c>
      <c r="E38" s="301">
        <v>420</v>
      </c>
      <c r="F38" s="301">
        <v>900</v>
      </c>
      <c r="G38" s="302"/>
      <c r="H38" s="301">
        <v>1300</v>
      </c>
      <c r="I38" s="301">
        <v>2400</v>
      </c>
      <c r="J38" s="302"/>
      <c r="K38" s="303"/>
    </row>
    <row r="39" spans="1:11" x14ac:dyDescent="0.3">
      <c r="A39" s="299" t="str">
        <f t="shared" si="5"/>
        <v>12.Gate_valve</v>
      </c>
      <c r="B39" s="300" t="str">
        <f t="shared" si="6"/>
        <v>Gate_valve</v>
      </c>
      <c r="C39" s="300">
        <v>12</v>
      </c>
      <c r="D39" s="301">
        <v>330</v>
      </c>
      <c r="E39" s="301">
        <v>600</v>
      </c>
      <c r="F39" s="301">
        <v>1250</v>
      </c>
      <c r="G39" s="302"/>
      <c r="H39" s="301">
        <v>2000</v>
      </c>
      <c r="I39" s="301">
        <v>3500</v>
      </c>
      <c r="J39" s="302"/>
      <c r="K39" s="303"/>
    </row>
    <row r="40" spans="1:11" x14ac:dyDescent="0.3">
      <c r="A40" s="299" t="str">
        <f t="shared" si="5"/>
        <v>14.Gate_valve</v>
      </c>
      <c r="B40" s="300" t="str">
        <f t="shared" si="6"/>
        <v>Gate_valve</v>
      </c>
      <c r="C40" s="300">
        <v>14</v>
      </c>
      <c r="D40" s="301">
        <v>420</v>
      </c>
      <c r="E40" s="301">
        <v>900</v>
      </c>
      <c r="F40" s="301">
        <v>1700</v>
      </c>
      <c r="G40" s="302"/>
      <c r="H40" s="301"/>
      <c r="I40" s="301"/>
      <c r="J40" s="302"/>
      <c r="K40" s="303"/>
    </row>
    <row r="41" spans="1:11" x14ac:dyDescent="0.3">
      <c r="A41" s="299" t="str">
        <f t="shared" si="5"/>
        <v>16.Gate_valve</v>
      </c>
      <c r="B41" s="300" t="str">
        <f t="shared" si="6"/>
        <v>Gate_valve</v>
      </c>
      <c r="C41" s="300">
        <v>16</v>
      </c>
      <c r="D41" s="301">
        <v>540</v>
      </c>
      <c r="E41" s="301">
        <v>1200</v>
      </c>
      <c r="F41" s="301">
        <v>2100</v>
      </c>
      <c r="G41" s="302"/>
      <c r="H41" s="301"/>
      <c r="I41" s="301"/>
      <c r="J41" s="302"/>
      <c r="K41" s="303"/>
    </row>
    <row r="42" spans="1:11" x14ac:dyDescent="0.3">
      <c r="A42" s="299" t="str">
        <f t="shared" si="5"/>
        <v>18.Gate_valve</v>
      </c>
      <c r="B42" s="300" t="str">
        <f t="shared" si="6"/>
        <v>Gate_valve</v>
      </c>
      <c r="C42" s="300">
        <v>18</v>
      </c>
      <c r="D42" s="301">
        <v>730</v>
      </c>
      <c r="E42" s="301">
        <v>1650</v>
      </c>
      <c r="F42" s="301">
        <v>2900</v>
      </c>
      <c r="G42" s="302"/>
      <c r="H42" s="301"/>
      <c r="I42" s="306"/>
      <c r="J42" s="302"/>
      <c r="K42" s="303"/>
    </row>
    <row r="43" spans="1:11" x14ac:dyDescent="0.3">
      <c r="A43" s="299" t="str">
        <f t="shared" si="5"/>
        <v>20.Gate_valve</v>
      </c>
      <c r="B43" s="300" t="str">
        <f t="shared" si="6"/>
        <v>Gate_valve</v>
      </c>
      <c r="C43" s="300">
        <v>20</v>
      </c>
      <c r="D43" s="301">
        <v>870</v>
      </c>
      <c r="E43" s="301">
        <v>2000</v>
      </c>
      <c r="F43" s="301">
        <v>4000</v>
      </c>
      <c r="G43" s="302"/>
      <c r="H43" s="306"/>
      <c r="I43" s="306"/>
      <c r="J43" s="302"/>
      <c r="K43" s="303"/>
    </row>
    <row r="44" spans="1:11" x14ac:dyDescent="0.3">
      <c r="A44" s="299" t="str">
        <f t="shared" si="5"/>
        <v>24.Gate_valve</v>
      </c>
      <c r="B44" s="300" t="str">
        <f t="shared" si="6"/>
        <v>Gate_valve</v>
      </c>
      <c r="C44" s="300">
        <v>24</v>
      </c>
      <c r="D44" s="301">
        <v>1350</v>
      </c>
      <c r="E44" s="301">
        <v>2300</v>
      </c>
      <c r="F44" s="301">
        <v>5000</v>
      </c>
      <c r="G44" s="302"/>
      <c r="H44" s="306"/>
      <c r="I44" s="306"/>
      <c r="J44" s="302"/>
      <c r="K44" s="303"/>
    </row>
    <row r="45" spans="1:11" x14ac:dyDescent="0.3">
      <c r="A45" s="299" t="str">
        <f t="shared" si="5"/>
        <v>26.Gate_valve</v>
      </c>
      <c r="B45" s="300" t="str">
        <f t="shared" si="6"/>
        <v>Gate_valve</v>
      </c>
      <c r="C45" s="300">
        <v>26</v>
      </c>
      <c r="D45" s="301">
        <f>+D44*(C45/C44)*1.23</f>
        <v>1798.875</v>
      </c>
      <c r="E45" s="301">
        <f>+E44*(C45/C44)*1.23</f>
        <v>3064.7499999999995</v>
      </c>
      <c r="F45" s="301">
        <f>+F44*(C45/C44)*1.23</f>
        <v>6662.4999999999991</v>
      </c>
      <c r="G45" s="302"/>
      <c r="H45" s="306"/>
      <c r="I45" s="306"/>
      <c r="J45" s="302"/>
      <c r="K45" s="303"/>
    </row>
    <row r="46" spans="1:11" x14ac:dyDescent="0.3">
      <c r="A46" s="299" t="str">
        <f t="shared" si="5"/>
        <v>28.Gate_valve</v>
      </c>
      <c r="B46" s="300" t="str">
        <f t="shared" si="6"/>
        <v>Gate_valve</v>
      </c>
      <c r="C46" s="300">
        <v>28</v>
      </c>
      <c r="D46" s="301">
        <f t="shared" ref="D46:D53" si="7">+D45*(C46/C45)*1.23</f>
        <v>2382.8175000000001</v>
      </c>
      <c r="E46" s="301">
        <f t="shared" ref="E46:E53" si="8">+E45*(C46/C45)*1.23</f>
        <v>4059.6149999999993</v>
      </c>
      <c r="F46" s="301">
        <f t="shared" ref="F46:F53" si="9">+F45*(C46/C45)*1.23</f>
        <v>8825.2499999999982</v>
      </c>
      <c r="G46" s="302"/>
      <c r="H46" s="306"/>
      <c r="I46" s="306"/>
      <c r="J46" s="302"/>
      <c r="K46" s="303"/>
    </row>
    <row r="47" spans="1:11" x14ac:dyDescent="0.3">
      <c r="A47" s="299" t="str">
        <f t="shared" si="5"/>
        <v>30.Gate_valve</v>
      </c>
      <c r="B47" s="300" t="str">
        <f t="shared" si="6"/>
        <v>Gate_valve</v>
      </c>
      <c r="C47" s="300">
        <v>30</v>
      </c>
      <c r="D47" s="301">
        <f t="shared" si="7"/>
        <v>3140.2130625</v>
      </c>
      <c r="E47" s="301">
        <f t="shared" si="8"/>
        <v>5349.992624999998</v>
      </c>
      <c r="F47" s="301">
        <f t="shared" si="9"/>
        <v>11630.418749999997</v>
      </c>
      <c r="G47" s="302"/>
      <c r="H47" s="306"/>
      <c r="I47" s="306"/>
      <c r="J47" s="302"/>
      <c r="K47" s="303"/>
    </row>
    <row r="48" spans="1:11" x14ac:dyDescent="0.3">
      <c r="A48" s="299" t="str">
        <f t="shared" si="5"/>
        <v>32.Gate_valve</v>
      </c>
      <c r="B48" s="300" t="str">
        <f t="shared" si="6"/>
        <v>Gate_valve</v>
      </c>
      <c r="C48" s="300">
        <v>32</v>
      </c>
      <c r="D48" s="301">
        <f t="shared" si="7"/>
        <v>4119.9595380000001</v>
      </c>
      <c r="E48" s="301">
        <f t="shared" si="8"/>
        <v>7019.1903239999965</v>
      </c>
      <c r="F48" s="301">
        <f t="shared" si="9"/>
        <v>15259.109399999996</v>
      </c>
      <c r="G48" s="302"/>
      <c r="H48" s="306"/>
      <c r="I48" s="306"/>
      <c r="J48" s="302"/>
      <c r="K48" s="303"/>
    </row>
    <row r="49" spans="1:11" x14ac:dyDescent="0.3">
      <c r="A49" s="299" t="str">
        <f t="shared" si="5"/>
        <v>34.Gate_valve</v>
      </c>
      <c r="B49" s="300" t="str">
        <f t="shared" si="6"/>
        <v>Gate_valve</v>
      </c>
      <c r="C49" s="300">
        <v>34</v>
      </c>
      <c r="D49" s="301">
        <f t="shared" si="7"/>
        <v>5384.2721212237493</v>
      </c>
      <c r="E49" s="301">
        <f t="shared" si="8"/>
        <v>9173.2043546774948</v>
      </c>
      <c r="F49" s="301">
        <f t="shared" si="9"/>
        <v>19941.748597124992</v>
      </c>
      <c r="G49" s="302"/>
      <c r="H49" s="306"/>
      <c r="I49" s="306"/>
      <c r="J49" s="302"/>
      <c r="K49" s="303"/>
    </row>
    <row r="50" spans="1:11" x14ac:dyDescent="0.3">
      <c r="A50" s="299" t="str">
        <f t="shared" si="5"/>
        <v>36.Gate_valve</v>
      </c>
      <c r="B50" s="300" t="str">
        <f t="shared" si="6"/>
        <v>Gate_valve</v>
      </c>
      <c r="C50" s="300">
        <v>36</v>
      </c>
      <c r="D50" s="301">
        <f t="shared" si="7"/>
        <v>7012.2226331702241</v>
      </c>
      <c r="E50" s="301">
        <f t="shared" si="8"/>
        <v>11946.749671327045</v>
      </c>
      <c r="F50" s="301">
        <f t="shared" si="9"/>
        <v>25971.194937667489</v>
      </c>
      <c r="G50" s="302"/>
      <c r="H50" s="306"/>
      <c r="I50" s="306"/>
      <c r="J50" s="302"/>
      <c r="K50" s="303"/>
    </row>
    <row r="51" spans="1:11" x14ac:dyDescent="0.3">
      <c r="A51" s="299" t="str">
        <f t="shared" si="5"/>
        <v>38.Gate_valve</v>
      </c>
      <c r="B51" s="300" t="str">
        <f t="shared" si="6"/>
        <v>Gate_valve</v>
      </c>
      <c r="C51" s="300">
        <v>38</v>
      </c>
      <c r="D51" s="301">
        <f t="shared" si="7"/>
        <v>9104.2023853993414</v>
      </c>
      <c r="E51" s="301">
        <f t="shared" si="8"/>
        <v>15510.863323272946</v>
      </c>
      <c r="F51" s="301">
        <f t="shared" si="9"/>
        <v>33719.268094071624</v>
      </c>
      <c r="G51" s="302"/>
      <c r="H51" s="306"/>
      <c r="I51" s="306"/>
      <c r="J51" s="302"/>
      <c r="K51" s="303"/>
    </row>
    <row r="52" spans="1:11" x14ac:dyDescent="0.3">
      <c r="A52" s="299" t="str">
        <f t="shared" si="5"/>
        <v>40.Gate_valve</v>
      </c>
      <c r="B52" s="300" t="str">
        <f t="shared" si="6"/>
        <v>Gate_valve</v>
      </c>
      <c r="C52" s="300">
        <v>40</v>
      </c>
      <c r="D52" s="301">
        <f t="shared" si="7"/>
        <v>11787.546246359147</v>
      </c>
      <c r="E52" s="301">
        <f t="shared" si="8"/>
        <v>20082.486197500763</v>
      </c>
      <c r="F52" s="301">
        <f t="shared" si="9"/>
        <v>43657.578690219045</v>
      </c>
      <c r="G52" s="302"/>
      <c r="H52" s="306"/>
      <c r="I52" s="306"/>
      <c r="J52" s="302"/>
      <c r="K52" s="303"/>
    </row>
    <row r="53" spans="1:11" ht="15" thickBot="1" x14ac:dyDescent="0.35">
      <c r="A53" s="299" t="str">
        <f t="shared" si="5"/>
        <v>42.Gate_valve</v>
      </c>
      <c r="B53" s="300" t="str">
        <f t="shared" si="6"/>
        <v>Gate_valve</v>
      </c>
      <c r="C53" s="300">
        <v>42</v>
      </c>
      <c r="D53" s="301">
        <f t="shared" si="7"/>
        <v>15223.615977172838</v>
      </c>
      <c r="E53" s="301">
        <f t="shared" si="8"/>
        <v>25936.530924072234</v>
      </c>
      <c r="F53" s="301">
        <f t="shared" si="9"/>
        <v>56383.762878417896</v>
      </c>
      <c r="G53" s="302"/>
      <c r="H53" s="306"/>
      <c r="I53" s="306"/>
      <c r="J53" s="302"/>
      <c r="K53" s="303"/>
    </row>
    <row r="54" spans="1:11" ht="28.8" x14ac:dyDescent="0.3">
      <c r="A54" s="287" t="s">
        <v>147</v>
      </c>
      <c r="B54" s="114"/>
      <c r="C54" s="114"/>
      <c r="D54" s="288"/>
      <c r="E54" s="288"/>
      <c r="F54" s="288"/>
      <c r="G54" s="288"/>
      <c r="H54" s="288"/>
      <c r="I54" s="288"/>
      <c r="J54" s="288"/>
      <c r="K54" s="114"/>
    </row>
    <row r="55" spans="1:11" x14ac:dyDescent="0.3">
      <c r="A55" s="299" t="str">
        <f>C55&amp;"."&amp;B55</f>
        <v>0,5.Check_valve</v>
      </c>
      <c r="B55" s="300" t="str">
        <f>$A$54</f>
        <v>Check_valve</v>
      </c>
      <c r="C55" s="300">
        <v>0.5</v>
      </c>
      <c r="D55" s="301">
        <v>2</v>
      </c>
      <c r="E55" s="301">
        <v>2.5</v>
      </c>
      <c r="F55" s="301">
        <v>2.5</v>
      </c>
      <c r="G55" s="302"/>
      <c r="H55" s="301"/>
      <c r="I55" s="301">
        <v>14</v>
      </c>
      <c r="J55" s="302"/>
      <c r="K55" s="303"/>
    </row>
    <row r="56" spans="1:11" x14ac:dyDescent="0.3">
      <c r="A56" s="299" t="str">
        <f t="shared" ref="A56:A79" si="10">C56&amp;"."&amp;B56</f>
        <v>0,75.Check_valve</v>
      </c>
      <c r="B56" s="300" t="str">
        <f t="shared" ref="B56:B79" si="11">$A$54</f>
        <v>Check_valve</v>
      </c>
      <c r="C56" s="300">
        <v>0.75</v>
      </c>
      <c r="D56" s="301">
        <v>3</v>
      </c>
      <c r="E56" s="301">
        <v>3.5</v>
      </c>
      <c r="F56" s="301">
        <v>4</v>
      </c>
      <c r="G56" s="302"/>
      <c r="H56" s="301"/>
      <c r="I56" s="301">
        <v>18</v>
      </c>
      <c r="J56" s="302"/>
      <c r="K56" s="303"/>
    </row>
    <row r="57" spans="1:11" x14ac:dyDescent="0.3">
      <c r="A57" s="299" t="str">
        <f t="shared" si="10"/>
        <v>1.Check_valve</v>
      </c>
      <c r="B57" s="300" t="str">
        <f t="shared" si="11"/>
        <v>Check_valve</v>
      </c>
      <c r="C57" s="300">
        <v>1</v>
      </c>
      <c r="D57" s="301">
        <v>5</v>
      </c>
      <c r="E57" s="301">
        <v>6</v>
      </c>
      <c r="F57" s="301">
        <v>7</v>
      </c>
      <c r="G57" s="306"/>
      <c r="H57" s="306"/>
      <c r="I57" s="306">
        <v>29</v>
      </c>
      <c r="J57" s="302"/>
      <c r="K57" s="303"/>
    </row>
    <row r="58" spans="1:11" x14ac:dyDescent="0.3">
      <c r="A58" s="299" t="str">
        <f t="shared" si="10"/>
        <v>1,5.Check_valve</v>
      </c>
      <c r="B58" s="300" t="str">
        <f t="shared" si="11"/>
        <v>Check_valve</v>
      </c>
      <c r="C58" s="300">
        <v>1.5</v>
      </c>
      <c r="D58" s="301">
        <v>9</v>
      </c>
      <c r="E58" s="301">
        <v>12</v>
      </c>
      <c r="F58" s="301">
        <v>15</v>
      </c>
      <c r="G58" s="306"/>
      <c r="H58" s="306"/>
      <c r="I58" s="306">
        <v>50</v>
      </c>
      <c r="J58" s="302"/>
      <c r="K58" s="303"/>
    </row>
    <row r="59" spans="1:11" x14ac:dyDescent="0.3">
      <c r="A59" s="299" t="str">
        <f t="shared" si="10"/>
        <v>2.Check_valve</v>
      </c>
      <c r="B59" s="300" t="str">
        <f t="shared" si="11"/>
        <v>Check_valve</v>
      </c>
      <c r="C59" s="300">
        <v>2</v>
      </c>
      <c r="D59" s="301">
        <v>18</v>
      </c>
      <c r="E59" s="301">
        <v>25</v>
      </c>
      <c r="F59" s="301">
        <v>35</v>
      </c>
      <c r="G59" s="302"/>
      <c r="H59" s="301"/>
      <c r="I59" s="301">
        <v>80</v>
      </c>
      <c r="J59" s="302"/>
      <c r="K59" s="303"/>
    </row>
    <row r="60" spans="1:11" x14ac:dyDescent="0.3">
      <c r="A60" s="299" t="str">
        <f t="shared" si="10"/>
        <v>3.Check_valve</v>
      </c>
      <c r="B60" s="300" t="str">
        <f t="shared" si="11"/>
        <v>Check_valve</v>
      </c>
      <c r="C60" s="300">
        <v>3</v>
      </c>
      <c r="D60" s="301">
        <v>30</v>
      </c>
      <c r="E60" s="301">
        <v>50</v>
      </c>
      <c r="F60" s="301">
        <v>65</v>
      </c>
      <c r="G60" s="302"/>
      <c r="H60" s="301">
        <v>100</v>
      </c>
      <c r="I60" s="301">
        <v>150</v>
      </c>
      <c r="J60" s="302"/>
      <c r="K60" s="303"/>
    </row>
    <row r="61" spans="1:11" x14ac:dyDescent="0.3">
      <c r="A61" s="299" t="str">
        <f t="shared" si="10"/>
        <v>4.Check_valve</v>
      </c>
      <c r="B61" s="300" t="str">
        <f t="shared" si="11"/>
        <v>Check_valve</v>
      </c>
      <c r="C61" s="300">
        <v>4</v>
      </c>
      <c r="D61" s="301">
        <v>50</v>
      </c>
      <c r="E61" s="301">
        <v>80</v>
      </c>
      <c r="F61" s="301">
        <v>110</v>
      </c>
      <c r="G61" s="302"/>
      <c r="H61" s="301">
        <v>180</v>
      </c>
      <c r="I61" s="301">
        <v>270</v>
      </c>
      <c r="J61" s="302"/>
      <c r="K61" s="303"/>
    </row>
    <row r="62" spans="1:11" x14ac:dyDescent="0.3">
      <c r="A62" s="299" t="str">
        <f t="shared" si="10"/>
        <v>6.Check_valve</v>
      </c>
      <c r="B62" s="300" t="str">
        <f t="shared" si="11"/>
        <v>Check_valve</v>
      </c>
      <c r="C62" s="300">
        <v>6</v>
      </c>
      <c r="D62" s="301">
        <v>80</v>
      </c>
      <c r="E62" s="301">
        <v>150</v>
      </c>
      <c r="F62" s="301">
        <v>240</v>
      </c>
      <c r="G62" s="302"/>
      <c r="H62" s="301">
        <v>340</v>
      </c>
      <c r="I62" s="301">
        <v>570</v>
      </c>
      <c r="J62" s="302"/>
      <c r="K62" s="303"/>
    </row>
    <row r="63" spans="1:11" x14ac:dyDescent="0.3">
      <c r="A63" s="299" t="str">
        <f t="shared" si="10"/>
        <v>8.Check_valve</v>
      </c>
      <c r="B63" s="300" t="str">
        <f t="shared" si="11"/>
        <v>Check_valve</v>
      </c>
      <c r="C63" s="300">
        <v>8</v>
      </c>
      <c r="D63" s="301">
        <v>140</v>
      </c>
      <c r="E63" s="301">
        <v>230</v>
      </c>
      <c r="F63" s="301">
        <v>450</v>
      </c>
      <c r="G63" s="302"/>
      <c r="H63" s="301">
        <v>570</v>
      </c>
      <c r="I63" s="301">
        <v>900</v>
      </c>
      <c r="J63" s="302"/>
      <c r="K63" s="303"/>
    </row>
    <row r="64" spans="1:11" x14ac:dyDescent="0.3">
      <c r="A64" s="299" t="str">
        <f t="shared" si="10"/>
        <v>10.Check_valve</v>
      </c>
      <c r="B64" s="300" t="str">
        <f t="shared" si="11"/>
        <v>Check_valve</v>
      </c>
      <c r="C64" s="300">
        <v>10</v>
      </c>
      <c r="D64" s="301">
        <v>200</v>
      </c>
      <c r="E64" s="301">
        <v>350</v>
      </c>
      <c r="F64" s="301">
        <v>650</v>
      </c>
      <c r="G64" s="302"/>
      <c r="H64" s="301">
        <v>950</v>
      </c>
      <c r="I64" s="301">
        <v>1500</v>
      </c>
      <c r="J64" s="302"/>
      <c r="K64" s="303"/>
    </row>
    <row r="65" spans="1:11" x14ac:dyDescent="0.3">
      <c r="A65" s="299" t="str">
        <f t="shared" si="10"/>
        <v>12.Check_valve</v>
      </c>
      <c r="B65" s="300" t="str">
        <f t="shared" si="11"/>
        <v>Check_valve</v>
      </c>
      <c r="C65" s="300">
        <v>12</v>
      </c>
      <c r="D65" s="301">
        <v>320</v>
      </c>
      <c r="E65" s="301">
        <v>540</v>
      </c>
      <c r="F65" s="301">
        <v>900</v>
      </c>
      <c r="G65" s="302"/>
      <c r="H65" s="301">
        <v>1400</v>
      </c>
      <c r="I65" s="301">
        <v>2500</v>
      </c>
      <c r="J65" s="302"/>
      <c r="K65" s="303"/>
    </row>
    <row r="66" spans="1:11" x14ac:dyDescent="0.3">
      <c r="A66" s="299" t="str">
        <f t="shared" si="10"/>
        <v>14.Check_valve</v>
      </c>
      <c r="B66" s="300" t="str">
        <f t="shared" si="11"/>
        <v>Check_valve</v>
      </c>
      <c r="C66" s="300">
        <v>14</v>
      </c>
      <c r="D66" s="301">
        <v>500</v>
      </c>
      <c r="E66" s="301">
        <v>700</v>
      </c>
      <c r="F66" s="301">
        <v>1200</v>
      </c>
      <c r="G66" s="302"/>
      <c r="H66" s="301">
        <v>1900</v>
      </c>
      <c r="I66" s="301">
        <v>3600</v>
      </c>
      <c r="J66" s="302"/>
      <c r="K66" s="303"/>
    </row>
    <row r="67" spans="1:11" x14ac:dyDescent="0.3">
      <c r="A67" s="299" t="str">
        <f t="shared" si="10"/>
        <v>16.Check_valve</v>
      </c>
      <c r="B67" s="300" t="str">
        <f t="shared" si="11"/>
        <v>Check_valve</v>
      </c>
      <c r="C67" s="300">
        <v>16</v>
      </c>
      <c r="D67" s="301">
        <v>650</v>
      </c>
      <c r="E67" s="301">
        <v>900</v>
      </c>
      <c r="F67" s="301">
        <v>1700</v>
      </c>
      <c r="G67" s="302"/>
      <c r="H67" s="301">
        <v>2400</v>
      </c>
      <c r="I67" s="301"/>
      <c r="J67" s="302"/>
      <c r="K67" s="303"/>
    </row>
    <row r="68" spans="1:11" x14ac:dyDescent="0.3">
      <c r="A68" s="299" t="str">
        <f t="shared" si="10"/>
        <v>18.Check_valve</v>
      </c>
      <c r="B68" s="300" t="str">
        <f t="shared" si="11"/>
        <v>Check_valve</v>
      </c>
      <c r="C68" s="300">
        <v>18</v>
      </c>
      <c r="D68" s="301">
        <v>720</v>
      </c>
      <c r="E68" s="301">
        <v>1200</v>
      </c>
      <c r="F68" s="301">
        <v>2500</v>
      </c>
      <c r="G68" s="302"/>
      <c r="H68" s="301"/>
      <c r="I68" s="306"/>
      <c r="J68" s="302"/>
      <c r="K68" s="303"/>
    </row>
    <row r="69" spans="1:11" x14ac:dyDescent="0.3">
      <c r="A69" s="299" t="str">
        <f t="shared" si="10"/>
        <v>20.Check_valve</v>
      </c>
      <c r="B69" s="300" t="str">
        <f t="shared" si="11"/>
        <v>Check_valve</v>
      </c>
      <c r="C69" s="300">
        <v>20</v>
      </c>
      <c r="D69" s="301">
        <v>950</v>
      </c>
      <c r="E69" s="301">
        <v>1500</v>
      </c>
      <c r="F69" s="301">
        <v>3200</v>
      </c>
      <c r="G69" s="302"/>
      <c r="H69" s="306"/>
      <c r="I69" s="306"/>
      <c r="J69" s="302"/>
      <c r="K69" s="303"/>
    </row>
    <row r="70" spans="1:11" x14ac:dyDescent="0.3">
      <c r="A70" s="299" t="str">
        <f t="shared" si="10"/>
        <v>24.Check_valve</v>
      </c>
      <c r="B70" s="300" t="str">
        <f t="shared" si="11"/>
        <v>Check_valve</v>
      </c>
      <c r="C70" s="300">
        <v>24</v>
      </c>
      <c r="D70" s="301">
        <v>1400</v>
      </c>
      <c r="E70" s="301">
        <v>2400</v>
      </c>
      <c r="F70" s="301">
        <v>4500</v>
      </c>
      <c r="G70" s="302"/>
      <c r="H70" s="301"/>
      <c r="I70" s="301"/>
      <c r="J70" s="302"/>
      <c r="K70" s="303"/>
    </row>
    <row r="71" spans="1:11" x14ac:dyDescent="0.3">
      <c r="A71" s="299" t="str">
        <f t="shared" si="10"/>
        <v>26.Check_valve</v>
      </c>
      <c r="B71" s="300" t="str">
        <f t="shared" si="11"/>
        <v>Check_valve</v>
      </c>
      <c r="C71" s="300">
        <v>26</v>
      </c>
      <c r="D71" s="301">
        <f>+D70*(C71/C70)*1.23</f>
        <v>1865.4999999999998</v>
      </c>
      <c r="E71" s="301">
        <f>+E70*(C71/C70)*1.23</f>
        <v>3198</v>
      </c>
      <c r="F71" s="301">
        <f>+F70*(C71/C70)*1.23</f>
        <v>5996.25</v>
      </c>
      <c r="G71" s="302"/>
      <c r="H71" s="301"/>
      <c r="I71" s="301"/>
      <c r="J71" s="302"/>
      <c r="K71" s="303"/>
    </row>
    <row r="72" spans="1:11" x14ac:dyDescent="0.3">
      <c r="A72" s="299" t="str">
        <f t="shared" si="10"/>
        <v>28.Check_valve</v>
      </c>
      <c r="B72" s="300" t="str">
        <f t="shared" si="11"/>
        <v>Check_valve</v>
      </c>
      <c r="C72" s="300">
        <v>28</v>
      </c>
      <c r="D72" s="301">
        <f t="shared" ref="D72:D79" si="12">+D71*(C72/C71)*1.23</f>
        <v>2471.0699999999997</v>
      </c>
      <c r="E72" s="301">
        <f t="shared" ref="E72:E79" si="13">+E71*(C72/C71)*1.23</f>
        <v>4236.12</v>
      </c>
      <c r="F72" s="301">
        <f t="shared" ref="F72:F79" si="14">+F71*(C72/C71)*1.23</f>
        <v>7942.7249999999995</v>
      </c>
      <c r="G72" s="302"/>
      <c r="H72" s="301"/>
      <c r="I72" s="301"/>
      <c r="J72" s="302"/>
      <c r="K72" s="303"/>
    </row>
    <row r="73" spans="1:11" x14ac:dyDescent="0.3">
      <c r="A73" s="299" t="str">
        <f t="shared" si="10"/>
        <v>30.Check_valve</v>
      </c>
      <c r="B73" s="300" t="str">
        <f t="shared" si="11"/>
        <v>Check_valve</v>
      </c>
      <c r="C73" s="300">
        <v>30</v>
      </c>
      <c r="D73" s="301">
        <f t="shared" si="12"/>
        <v>3256.5172499999999</v>
      </c>
      <c r="E73" s="301">
        <f t="shared" si="13"/>
        <v>5582.6009999999997</v>
      </c>
      <c r="F73" s="301">
        <f t="shared" si="14"/>
        <v>10467.376875</v>
      </c>
      <c r="G73" s="302"/>
      <c r="H73" s="301"/>
      <c r="I73" s="301"/>
      <c r="J73" s="302"/>
      <c r="K73" s="303"/>
    </row>
    <row r="74" spans="1:11" x14ac:dyDescent="0.3">
      <c r="A74" s="299" t="str">
        <f t="shared" si="10"/>
        <v>32.Check_valve</v>
      </c>
      <c r="B74" s="300" t="str">
        <f t="shared" si="11"/>
        <v>Check_valve</v>
      </c>
      <c r="C74" s="300">
        <v>32</v>
      </c>
      <c r="D74" s="301">
        <f t="shared" si="12"/>
        <v>4272.5506319999995</v>
      </c>
      <c r="E74" s="301">
        <f t="shared" si="13"/>
        <v>7324.372511999999</v>
      </c>
      <c r="F74" s="301">
        <f t="shared" si="14"/>
        <v>13733.19846</v>
      </c>
      <c r="G74" s="302"/>
      <c r="H74" s="301"/>
      <c r="I74" s="301"/>
      <c r="J74" s="302"/>
      <c r="K74" s="303"/>
    </row>
    <row r="75" spans="1:11" x14ac:dyDescent="0.3">
      <c r="A75" s="299" t="str">
        <f t="shared" si="10"/>
        <v>34.Check_valve</v>
      </c>
      <c r="B75" s="300" t="str">
        <f t="shared" si="11"/>
        <v>Check_valve</v>
      </c>
      <c r="C75" s="300">
        <v>34</v>
      </c>
      <c r="D75" s="301">
        <f t="shared" si="12"/>
        <v>5583.6896071949996</v>
      </c>
      <c r="E75" s="301">
        <f t="shared" si="13"/>
        <v>9572.039326619999</v>
      </c>
      <c r="F75" s="301">
        <f t="shared" si="14"/>
        <v>17947.573737412498</v>
      </c>
      <c r="G75" s="302"/>
      <c r="H75" s="301"/>
      <c r="I75" s="301"/>
      <c r="J75" s="302"/>
      <c r="K75" s="303"/>
    </row>
    <row r="76" spans="1:11" x14ac:dyDescent="0.3">
      <c r="A76" s="299" t="str">
        <f t="shared" si="10"/>
        <v>36.Check_valve</v>
      </c>
      <c r="B76" s="300" t="str">
        <f t="shared" si="11"/>
        <v>Check_valve</v>
      </c>
      <c r="C76" s="300">
        <v>36</v>
      </c>
      <c r="D76" s="301">
        <f t="shared" si="12"/>
        <v>7271.9345825468999</v>
      </c>
      <c r="E76" s="301">
        <f t="shared" si="13"/>
        <v>12466.173570080398</v>
      </c>
      <c r="F76" s="301">
        <f t="shared" si="14"/>
        <v>23374.075443900751</v>
      </c>
      <c r="G76" s="302"/>
      <c r="H76" s="301"/>
      <c r="I76" s="301"/>
      <c r="J76" s="302"/>
      <c r="K76" s="303"/>
    </row>
    <row r="77" spans="1:11" x14ac:dyDescent="0.3">
      <c r="A77" s="299" t="str">
        <f t="shared" si="10"/>
        <v>38.Check_valve</v>
      </c>
      <c r="B77" s="300" t="str">
        <f t="shared" si="11"/>
        <v>Check_valve</v>
      </c>
      <c r="C77" s="300">
        <v>38</v>
      </c>
      <c r="D77" s="301">
        <f t="shared" si="12"/>
        <v>9441.3950663400592</v>
      </c>
      <c r="E77" s="301">
        <f t="shared" si="13"/>
        <v>16185.248685154385</v>
      </c>
      <c r="F77" s="301">
        <f t="shared" si="14"/>
        <v>30347.341284664475</v>
      </c>
      <c r="G77" s="302"/>
      <c r="H77" s="301"/>
      <c r="I77" s="301"/>
      <c r="J77" s="302"/>
      <c r="K77" s="303"/>
    </row>
    <row r="78" spans="1:11" x14ac:dyDescent="0.3">
      <c r="A78" s="299" t="str">
        <f t="shared" si="10"/>
        <v>40.Check_valve</v>
      </c>
      <c r="B78" s="300" t="str">
        <f t="shared" si="11"/>
        <v>Check_valve</v>
      </c>
      <c r="C78" s="300">
        <v>40</v>
      </c>
      <c r="D78" s="301">
        <f t="shared" si="12"/>
        <v>12224.122033261339</v>
      </c>
      <c r="E78" s="301">
        <f t="shared" si="13"/>
        <v>20955.637771305152</v>
      </c>
      <c r="F78" s="301">
        <f t="shared" si="14"/>
        <v>39291.820821197165</v>
      </c>
      <c r="G78" s="302"/>
      <c r="H78" s="301"/>
      <c r="I78" s="301"/>
      <c r="J78" s="302"/>
      <c r="K78" s="303"/>
    </row>
    <row r="79" spans="1:11" x14ac:dyDescent="0.3">
      <c r="A79" s="299" t="str">
        <f t="shared" si="10"/>
        <v>42.Check_valve</v>
      </c>
      <c r="B79" s="300" t="str">
        <f t="shared" si="11"/>
        <v>Check_valve</v>
      </c>
      <c r="C79" s="300">
        <v>42</v>
      </c>
      <c r="D79" s="301">
        <f t="shared" si="12"/>
        <v>15787.45360595702</v>
      </c>
      <c r="E79" s="301">
        <f t="shared" si="13"/>
        <v>27064.206181640606</v>
      </c>
      <c r="F79" s="301">
        <f t="shared" si="14"/>
        <v>50745.386590576141</v>
      </c>
      <c r="G79" s="302"/>
      <c r="H79" s="301"/>
      <c r="I79" s="301"/>
      <c r="J79" s="302"/>
      <c r="K79" s="303"/>
    </row>
  </sheetData>
  <pageMargins left="0.7" right="0.7" top="0.75" bottom="0.75" header="0.3" footer="0.3"/>
  <pageSetup orientation="portrait" r:id="rId1"/>
  <headerFooter>
    <oddHeader>&amp;R&amp;"Calibri"&amp;8 Document classified as: 2 - Company Confidential&amp;1#</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Foglio19">
    <tabColor rgb="FFFF0000"/>
    <pageSetUpPr fitToPage="1"/>
  </sheetPr>
  <dimension ref="A1:T58"/>
  <sheetViews>
    <sheetView workbookViewId="0"/>
  </sheetViews>
  <sheetFormatPr defaultRowHeight="14.4" x14ac:dyDescent="0.3"/>
  <cols>
    <col min="1" max="1" width="13" style="4" customWidth="1"/>
    <col min="2" max="2" width="9.21875" customWidth="1"/>
    <col min="3" max="3" width="11.77734375" customWidth="1"/>
    <col min="4" max="10" width="11.21875" style="3" customWidth="1"/>
    <col min="11" max="11" width="11.5546875" customWidth="1"/>
  </cols>
  <sheetData>
    <row r="1" spans="1:20" ht="32.25" customHeight="1" x14ac:dyDescent="0.3">
      <c r="A1" s="287" t="s">
        <v>3653</v>
      </c>
      <c r="B1" s="114"/>
      <c r="C1" s="114"/>
      <c r="D1" s="288"/>
      <c r="E1" s="288"/>
      <c r="F1" s="288"/>
      <c r="G1" s="288"/>
      <c r="H1" s="288"/>
      <c r="I1" s="288"/>
      <c r="J1" s="288"/>
      <c r="K1" s="114"/>
      <c r="L1" s="114"/>
      <c r="M1" s="114"/>
      <c r="N1" s="114"/>
      <c r="O1" s="114"/>
      <c r="P1" s="114"/>
      <c r="Q1" s="114"/>
      <c r="R1" s="114"/>
      <c r="S1" s="114"/>
      <c r="T1" s="115"/>
    </row>
    <row r="2" spans="1:20" ht="22.5" customHeight="1" thickBot="1" x14ac:dyDescent="0.35">
      <c r="A2" s="289" t="s">
        <v>3654</v>
      </c>
      <c r="B2" s="290"/>
      <c r="C2" s="290"/>
      <c r="D2" s="291"/>
      <c r="E2" s="291"/>
      <c r="F2" s="291"/>
      <c r="G2" s="291"/>
      <c r="H2" s="291"/>
      <c r="I2" s="291"/>
      <c r="J2" s="291"/>
      <c r="K2" s="290"/>
      <c r="L2" s="59"/>
      <c r="M2" s="59"/>
      <c r="N2" s="59"/>
      <c r="O2" s="59"/>
      <c r="P2" s="59"/>
      <c r="Q2" s="59"/>
      <c r="R2" s="59"/>
      <c r="S2" s="59"/>
      <c r="T2" s="117"/>
    </row>
    <row r="3" spans="1:20" ht="15" thickTop="1" x14ac:dyDescent="0.3">
      <c r="A3" s="292"/>
      <c r="B3" s="293"/>
      <c r="C3" s="294"/>
      <c r="D3" s="295">
        <v>150</v>
      </c>
      <c r="E3" s="295">
        <v>300</v>
      </c>
      <c r="F3" s="295">
        <v>600</v>
      </c>
      <c r="G3" s="295">
        <v>800</v>
      </c>
      <c r="H3" s="295">
        <v>900</v>
      </c>
      <c r="I3" s="295">
        <v>1500</v>
      </c>
      <c r="J3" s="295">
        <v>2500</v>
      </c>
      <c r="K3" s="296" t="s">
        <v>1655</v>
      </c>
      <c r="L3" s="297"/>
      <c r="M3" s="298"/>
      <c r="N3" s="288"/>
      <c r="O3" s="288"/>
      <c r="P3" s="288"/>
      <c r="Q3" s="288"/>
      <c r="R3" s="288"/>
      <c r="S3" s="288"/>
      <c r="T3" s="115"/>
    </row>
    <row r="4" spans="1:20" x14ac:dyDescent="0.3">
      <c r="A4" s="299" t="str">
        <f>B4&amp;"."&amp;C4</f>
        <v>FB.0,5</v>
      </c>
      <c r="B4" s="300" t="s">
        <v>2149</v>
      </c>
      <c r="C4" s="300">
        <v>0.5</v>
      </c>
      <c r="D4" s="301">
        <v>5</v>
      </c>
      <c r="E4" s="301">
        <v>5</v>
      </c>
      <c r="F4" s="301">
        <v>8</v>
      </c>
      <c r="G4" s="302"/>
      <c r="H4" s="301">
        <v>10</v>
      </c>
      <c r="I4" s="301">
        <v>15</v>
      </c>
      <c r="J4" s="302"/>
      <c r="K4" s="303" t="s">
        <v>142</v>
      </c>
      <c r="L4" s="297"/>
      <c r="M4" s="304"/>
      <c r="N4" s="305"/>
      <c r="O4" s="305"/>
      <c r="P4" s="59"/>
      <c r="Q4" s="59"/>
      <c r="R4" s="59"/>
      <c r="S4" s="59"/>
      <c r="T4" s="117"/>
    </row>
    <row r="5" spans="1:20" x14ac:dyDescent="0.3">
      <c r="A5" s="299" t="str">
        <f t="shared" ref="A5:A18" si="0">B5&amp;"."&amp;C5</f>
        <v>FB.0,75</v>
      </c>
      <c r="B5" s="300" t="s">
        <v>2149</v>
      </c>
      <c r="C5" s="300">
        <v>0.75</v>
      </c>
      <c r="D5" s="301">
        <v>5</v>
      </c>
      <c r="E5" s="301">
        <v>5</v>
      </c>
      <c r="F5" s="301">
        <v>8</v>
      </c>
      <c r="G5" s="302"/>
      <c r="H5" s="301">
        <v>10</v>
      </c>
      <c r="I5" s="301">
        <v>15</v>
      </c>
      <c r="J5" s="302"/>
      <c r="K5" s="303" t="s">
        <v>142</v>
      </c>
      <c r="L5" s="297"/>
      <c r="M5" s="304"/>
      <c r="N5" s="305"/>
      <c r="O5" s="305"/>
      <c r="P5" s="59"/>
      <c r="Q5" s="59"/>
      <c r="R5" s="59"/>
      <c r="S5" s="59"/>
      <c r="T5" s="117"/>
    </row>
    <row r="6" spans="1:20" x14ac:dyDescent="0.3">
      <c r="A6" s="299" t="str">
        <f t="shared" si="0"/>
        <v>FB.1</v>
      </c>
      <c r="B6" s="300" t="s">
        <v>2149</v>
      </c>
      <c r="C6" s="300">
        <v>1</v>
      </c>
      <c r="D6" s="301">
        <v>8</v>
      </c>
      <c r="E6" s="301">
        <v>8</v>
      </c>
      <c r="F6" s="301">
        <v>10</v>
      </c>
      <c r="G6" s="306"/>
      <c r="H6" s="306">
        <v>15</v>
      </c>
      <c r="I6" s="306">
        <v>19</v>
      </c>
      <c r="J6" s="302"/>
      <c r="K6" s="303" t="s">
        <v>142</v>
      </c>
      <c r="L6" s="297"/>
      <c r="M6" s="304"/>
      <c r="N6" s="305"/>
      <c r="O6" s="305"/>
      <c r="P6" s="307"/>
      <c r="Q6" s="307"/>
      <c r="R6" s="307"/>
      <c r="S6" s="59"/>
      <c r="T6" s="117"/>
    </row>
    <row r="7" spans="1:20" x14ac:dyDescent="0.3">
      <c r="A7" s="299" t="str">
        <f t="shared" si="0"/>
        <v>FB.1,5</v>
      </c>
      <c r="B7" s="300" t="s">
        <v>2149</v>
      </c>
      <c r="C7" s="300">
        <v>1.5</v>
      </c>
      <c r="D7" s="301">
        <v>9.1999999999999993</v>
      </c>
      <c r="E7" s="301">
        <v>12.2</v>
      </c>
      <c r="F7" s="301">
        <v>18.600000000000001</v>
      </c>
      <c r="G7" s="306"/>
      <c r="H7" s="306">
        <v>31</v>
      </c>
      <c r="I7" s="306">
        <v>33</v>
      </c>
      <c r="J7" s="302"/>
      <c r="K7" s="303" t="s">
        <v>142</v>
      </c>
      <c r="L7" s="297"/>
      <c r="M7" s="304"/>
      <c r="N7" s="305"/>
      <c r="O7" s="305"/>
      <c r="P7" s="307"/>
      <c r="Q7" s="307"/>
      <c r="R7" s="307"/>
      <c r="S7" s="59"/>
      <c r="T7" s="117"/>
    </row>
    <row r="8" spans="1:20" x14ac:dyDescent="0.3">
      <c r="A8" s="299" t="str">
        <f t="shared" si="0"/>
        <v>FB.2</v>
      </c>
      <c r="B8" s="300" t="s">
        <v>2149</v>
      </c>
      <c r="C8" s="300">
        <v>2</v>
      </c>
      <c r="D8" s="301">
        <v>13</v>
      </c>
      <c r="E8" s="301">
        <v>16</v>
      </c>
      <c r="F8" s="301">
        <v>30</v>
      </c>
      <c r="G8" s="302"/>
      <c r="H8" s="301">
        <v>45</v>
      </c>
      <c r="I8" s="301">
        <v>51</v>
      </c>
      <c r="J8" s="302"/>
      <c r="K8" s="303" t="s">
        <v>142</v>
      </c>
      <c r="L8" s="297"/>
      <c r="M8" s="304"/>
      <c r="N8" s="305"/>
      <c r="O8" s="305"/>
      <c r="P8" s="59"/>
      <c r="Q8" s="305"/>
      <c r="R8" s="305"/>
      <c r="S8" s="59"/>
      <c r="T8" s="117"/>
    </row>
    <row r="9" spans="1:20" x14ac:dyDescent="0.3">
      <c r="A9" s="299" t="str">
        <f t="shared" si="0"/>
        <v>FB.3</v>
      </c>
      <c r="B9" s="300" t="s">
        <v>2149</v>
      </c>
      <c r="C9" s="300">
        <v>3</v>
      </c>
      <c r="D9" s="301">
        <v>28.6</v>
      </c>
      <c r="E9" s="301">
        <v>33</v>
      </c>
      <c r="F9" s="301">
        <v>65</v>
      </c>
      <c r="G9" s="302"/>
      <c r="H9" s="301">
        <v>93</v>
      </c>
      <c r="I9" s="301">
        <v>122</v>
      </c>
      <c r="J9" s="302"/>
      <c r="K9" s="303" t="s">
        <v>142</v>
      </c>
      <c r="L9" s="297"/>
      <c r="M9" s="304"/>
      <c r="N9" s="305"/>
      <c r="O9" s="305"/>
      <c r="P9" s="59"/>
      <c r="Q9" s="305"/>
      <c r="R9" s="305"/>
      <c r="S9" s="59"/>
      <c r="T9" s="117"/>
    </row>
    <row r="10" spans="1:20" x14ac:dyDescent="0.3">
      <c r="A10" s="299" t="str">
        <f t="shared" si="0"/>
        <v>FB.4</v>
      </c>
      <c r="B10" s="300" t="s">
        <v>2149</v>
      </c>
      <c r="C10" s="300">
        <v>4</v>
      </c>
      <c r="D10" s="301">
        <v>82</v>
      </c>
      <c r="E10" s="301">
        <v>110</v>
      </c>
      <c r="F10" s="301">
        <v>134</v>
      </c>
      <c r="G10" s="302"/>
      <c r="H10" s="301">
        <v>175</v>
      </c>
      <c r="I10" s="301">
        <v>209</v>
      </c>
      <c r="J10" s="302"/>
      <c r="K10" s="303" t="s">
        <v>3655</v>
      </c>
      <c r="L10" s="297"/>
      <c r="M10" s="116"/>
      <c r="N10" s="59"/>
      <c r="O10" s="59"/>
      <c r="P10" s="59"/>
      <c r="Q10" s="59"/>
      <c r="R10" s="59"/>
      <c r="S10" s="59"/>
      <c r="T10" s="117"/>
    </row>
    <row r="11" spans="1:20" x14ac:dyDescent="0.3">
      <c r="A11" s="299" t="str">
        <f t="shared" si="0"/>
        <v>FB.6</v>
      </c>
      <c r="B11" s="300" t="s">
        <v>2149</v>
      </c>
      <c r="C11" s="300">
        <v>6</v>
      </c>
      <c r="D11" s="301">
        <v>136</v>
      </c>
      <c r="E11" s="301">
        <v>150</v>
      </c>
      <c r="F11" s="301">
        <v>285</v>
      </c>
      <c r="G11" s="302"/>
      <c r="H11" s="301">
        <v>395</v>
      </c>
      <c r="I11" s="301">
        <v>590</v>
      </c>
      <c r="J11" s="302"/>
      <c r="K11" s="303" t="s">
        <v>3655</v>
      </c>
      <c r="L11" s="297"/>
      <c r="M11" s="116"/>
      <c r="N11" s="59"/>
      <c r="O11" s="59"/>
      <c r="P11" s="59"/>
      <c r="Q11" s="59"/>
      <c r="R11" s="59"/>
      <c r="S11" s="59"/>
      <c r="T11" s="117"/>
    </row>
    <row r="12" spans="1:20" x14ac:dyDescent="0.3">
      <c r="A12" s="299" t="str">
        <f t="shared" si="0"/>
        <v>FB.8</v>
      </c>
      <c r="B12" s="300" t="s">
        <v>2149</v>
      </c>
      <c r="C12" s="300">
        <v>8</v>
      </c>
      <c r="D12" s="301">
        <v>335</v>
      </c>
      <c r="E12" s="301">
        <v>370</v>
      </c>
      <c r="F12" s="301">
        <v>480</v>
      </c>
      <c r="G12" s="302"/>
      <c r="H12" s="301">
        <v>580</v>
      </c>
      <c r="I12" s="301">
        <v>780</v>
      </c>
      <c r="J12" s="302"/>
      <c r="K12" s="303" t="s">
        <v>3655</v>
      </c>
      <c r="L12" s="297"/>
      <c r="M12" s="116"/>
      <c r="N12" s="59"/>
      <c r="O12" s="59"/>
      <c r="P12" s="59"/>
      <c r="Q12" s="59"/>
      <c r="R12" s="59"/>
      <c r="S12" s="59"/>
      <c r="T12" s="117"/>
    </row>
    <row r="13" spans="1:20" x14ac:dyDescent="0.3">
      <c r="A13" s="299" t="str">
        <f t="shared" si="0"/>
        <v>FB.10</v>
      </c>
      <c r="B13" s="300" t="s">
        <v>2149</v>
      </c>
      <c r="C13" s="300">
        <v>10</v>
      </c>
      <c r="D13" s="301">
        <v>490</v>
      </c>
      <c r="E13" s="301">
        <v>530</v>
      </c>
      <c r="F13" s="301">
        <v>690</v>
      </c>
      <c r="G13" s="302"/>
      <c r="H13" s="301">
        <v>850</v>
      </c>
      <c r="I13" s="301">
        <v>1220</v>
      </c>
      <c r="J13" s="302"/>
      <c r="K13" s="303" t="s">
        <v>3655</v>
      </c>
      <c r="L13" s="297"/>
      <c r="M13" s="116"/>
      <c r="N13" s="59"/>
      <c r="O13" s="59"/>
      <c r="P13" s="59"/>
      <c r="Q13" s="59"/>
      <c r="R13" s="59"/>
      <c r="S13" s="59"/>
      <c r="T13" s="117"/>
    </row>
    <row r="14" spans="1:20" x14ac:dyDescent="0.3">
      <c r="A14" s="299" t="str">
        <f t="shared" si="0"/>
        <v>FB.12</v>
      </c>
      <c r="B14" s="300" t="s">
        <v>2149</v>
      </c>
      <c r="C14" s="300">
        <v>12</v>
      </c>
      <c r="D14" s="301">
        <v>720</v>
      </c>
      <c r="E14" s="301">
        <v>768</v>
      </c>
      <c r="F14" s="301">
        <v>925</v>
      </c>
      <c r="G14" s="302"/>
      <c r="H14" s="301">
        <v>1250</v>
      </c>
      <c r="I14" s="301">
        <v>1690</v>
      </c>
      <c r="J14" s="302"/>
      <c r="K14" s="303" t="s">
        <v>3655</v>
      </c>
      <c r="L14" s="297"/>
      <c r="M14" s="116"/>
      <c r="N14" s="59"/>
      <c r="O14" s="59"/>
      <c r="P14" s="59"/>
      <c r="Q14" s="59"/>
      <c r="R14" s="59"/>
      <c r="S14" s="59"/>
      <c r="T14" s="117"/>
    </row>
    <row r="15" spans="1:20" x14ac:dyDescent="0.3">
      <c r="A15" s="299" t="str">
        <f t="shared" si="0"/>
        <v>FB.14</v>
      </c>
      <c r="B15" s="300" t="s">
        <v>2149</v>
      </c>
      <c r="C15" s="300">
        <v>14</v>
      </c>
      <c r="D15" s="301">
        <v>905</v>
      </c>
      <c r="E15" s="301">
        <v>940</v>
      </c>
      <c r="F15" s="301">
        <v>1240</v>
      </c>
      <c r="G15" s="302"/>
      <c r="H15" s="301">
        <v>1640</v>
      </c>
      <c r="I15" s="301">
        <v>2850</v>
      </c>
      <c r="J15" s="302"/>
      <c r="K15" s="303" t="s">
        <v>3655</v>
      </c>
      <c r="L15" s="297"/>
      <c r="M15" s="116"/>
      <c r="N15" s="59"/>
      <c r="O15" s="59"/>
      <c r="P15" s="59"/>
      <c r="Q15" s="59"/>
      <c r="R15" s="59"/>
      <c r="S15" s="59"/>
      <c r="T15" s="117"/>
    </row>
    <row r="16" spans="1:20" x14ac:dyDescent="0.3">
      <c r="A16" s="299" t="str">
        <f t="shared" si="0"/>
        <v>FB.16</v>
      </c>
      <c r="B16" s="300" t="s">
        <v>2149</v>
      </c>
      <c r="C16" s="300">
        <v>16</v>
      </c>
      <c r="D16" s="301">
        <v>1050</v>
      </c>
      <c r="E16" s="301">
        <v>1430</v>
      </c>
      <c r="F16" s="301">
        <v>1595</v>
      </c>
      <c r="G16" s="302"/>
      <c r="H16" s="301">
        <v>2050</v>
      </c>
      <c r="I16" s="301">
        <v>4100</v>
      </c>
      <c r="J16" s="302"/>
      <c r="K16" s="303" t="s">
        <v>3655</v>
      </c>
      <c r="L16" s="297"/>
      <c r="M16" s="116"/>
      <c r="N16" s="59"/>
      <c r="O16" s="59"/>
      <c r="P16" s="59"/>
      <c r="Q16" s="59"/>
      <c r="R16" s="59"/>
      <c r="S16" s="59"/>
      <c r="T16" s="117"/>
    </row>
    <row r="17" spans="1:20" x14ac:dyDescent="0.3">
      <c r="A17" s="299" t="str">
        <f t="shared" si="0"/>
        <v>FB.18</v>
      </c>
      <c r="B17" s="300" t="s">
        <v>2149</v>
      </c>
      <c r="C17" s="300">
        <v>18</v>
      </c>
      <c r="D17" s="301">
        <v>1620</v>
      </c>
      <c r="E17" s="301">
        <v>1895</v>
      </c>
      <c r="F17" s="301">
        <v>2327</v>
      </c>
      <c r="G17" s="302"/>
      <c r="H17" s="301">
        <v>3000</v>
      </c>
      <c r="I17" s="306">
        <v>7000</v>
      </c>
      <c r="J17" s="302"/>
      <c r="K17" s="303" t="s">
        <v>3655</v>
      </c>
      <c r="L17" s="297"/>
      <c r="M17" s="116"/>
      <c r="N17" s="59"/>
      <c r="O17" s="59"/>
      <c r="P17" s="59"/>
      <c r="Q17" s="59"/>
      <c r="R17" s="59"/>
      <c r="S17" s="59"/>
      <c r="T17" s="117"/>
    </row>
    <row r="18" spans="1:20" x14ac:dyDescent="0.3">
      <c r="A18" s="299" t="str">
        <f t="shared" si="0"/>
        <v>FB.20</v>
      </c>
      <c r="B18" s="300" t="s">
        <v>2149</v>
      </c>
      <c r="C18" s="300">
        <v>20</v>
      </c>
      <c r="D18" s="301">
        <v>2110</v>
      </c>
      <c r="E18" s="301">
        <v>2270</v>
      </c>
      <c r="F18" s="301">
        <v>2827</v>
      </c>
      <c r="G18" s="302"/>
      <c r="H18" s="306">
        <v>3850</v>
      </c>
      <c r="I18" s="306">
        <v>9600</v>
      </c>
      <c r="J18" s="302"/>
      <c r="K18" s="303" t="s">
        <v>3655</v>
      </c>
      <c r="L18" s="297"/>
      <c r="M18" s="116"/>
      <c r="N18" s="59"/>
      <c r="O18" s="59"/>
      <c r="P18" s="59"/>
      <c r="Q18" s="59"/>
      <c r="R18" s="59"/>
      <c r="S18" s="59"/>
      <c r="T18" s="117"/>
    </row>
    <row r="19" spans="1:20" x14ac:dyDescent="0.3">
      <c r="A19" s="837" t="s">
        <v>3656</v>
      </c>
      <c r="B19" s="838" t="s">
        <v>2149</v>
      </c>
      <c r="C19" s="838">
        <v>24</v>
      </c>
      <c r="D19" s="839">
        <v>3072</v>
      </c>
      <c r="E19" s="839">
        <v>3780</v>
      </c>
      <c r="F19" s="839">
        <v>4498</v>
      </c>
      <c r="G19" s="840"/>
      <c r="H19" s="841">
        <v>5700</v>
      </c>
      <c r="I19" s="841">
        <v>15300</v>
      </c>
      <c r="J19" s="840"/>
      <c r="K19" s="842" t="s">
        <v>3655</v>
      </c>
      <c r="L19" s="297"/>
      <c r="M19" s="116"/>
      <c r="N19" s="59"/>
      <c r="O19" s="59"/>
      <c r="P19" s="59"/>
      <c r="Q19" s="59"/>
      <c r="R19" s="59"/>
      <c r="S19" s="59"/>
      <c r="T19" s="117"/>
    </row>
    <row r="20" spans="1:20" x14ac:dyDescent="0.3">
      <c r="A20" s="837" t="s">
        <v>3657</v>
      </c>
      <c r="B20" s="838" t="s">
        <v>2149</v>
      </c>
      <c r="C20" s="838">
        <v>26</v>
      </c>
      <c r="D20" s="839">
        <v>3535</v>
      </c>
      <c r="E20" s="839">
        <v>3865</v>
      </c>
      <c r="F20" s="839">
        <v>5155</v>
      </c>
      <c r="G20" s="840"/>
      <c r="H20" s="839">
        <f>+H19*(E20/E19)</f>
        <v>5828.1746031746034</v>
      </c>
      <c r="I20" s="839">
        <f>+I19*(C20/C19)</f>
        <v>16575</v>
      </c>
      <c r="J20" s="840"/>
      <c r="K20" s="842" t="s">
        <v>3655</v>
      </c>
      <c r="L20" s="297"/>
      <c r="M20" s="116"/>
      <c r="N20" s="59"/>
      <c r="O20" s="59"/>
      <c r="P20" s="59"/>
      <c r="Q20" s="59"/>
      <c r="R20" s="59"/>
      <c r="S20" s="59"/>
      <c r="T20" s="117"/>
    </row>
    <row r="21" spans="1:20" x14ac:dyDescent="0.3">
      <c r="A21" s="837" t="s">
        <v>3658</v>
      </c>
      <c r="B21" s="838" t="s">
        <v>2149</v>
      </c>
      <c r="C21" s="838">
        <v>28</v>
      </c>
      <c r="D21" s="839">
        <v>4053</v>
      </c>
      <c r="E21" s="839">
        <v>4550</v>
      </c>
      <c r="F21" s="839">
        <v>6040</v>
      </c>
      <c r="G21" s="840"/>
      <c r="H21" s="839">
        <f>+H20*(C21/C20)</f>
        <v>6276.4957264957266</v>
      </c>
      <c r="I21" s="839">
        <f>+I20*(C21/C20)</f>
        <v>17850</v>
      </c>
      <c r="J21" s="840"/>
      <c r="K21" s="842" t="s">
        <v>3655</v>
      </c>
      <c r="L21" s="297"/>
      <c r="M21" s="116"/>
      <c r="N21" s="59"/>
      <c r="O21" s="59"/>
      <c r="P21" s="59"/>
      <c r="Q21" s="59"/>
      <c r="R21" s="59"/>
      <c r="S21" s="59"/>
      <c r="T21" s="117"/>
    </row>
    <row r="22" spans="1:20" x14ac:dyDescent="0.3">
      <c r="A22" s="837" t="s">
        <v>3659</v>
      </c>
      <c r="B22" s="838" t="s">
        <v>2149</v>
      </c>
      <c r="C22" s="838">
        <v>30</v>
      </c>
      <c r="D22" s="839">
        <v>4822</v>
      </c>
      <c r="E22" s="839">
        <v>5570</v>
      </c>
      <c r="F22" s="839">
        <v>6685</v>
      </c>
      <c r="G22" s="840"/>
      <c r="H22" s="839">
        <f>+H21*(C22/C21)</f>
        <v>6724.8168498168498</v>
      </c>
      <c r="I22" s="839">
        <f>+I21*(C22/C21)</f>
        <v>19125</v>
      </c>
      <c r="J22" s="840"/>
      <c r="K22" s="842" t="s">
        <v>3655</v>
      </c>
      <c r="L22" s="297"/>
      <c r="M22" s="116"/>
      <c r="N22" s="59"/>
      <c r="O22" s="59"/>
      <c r="P22" s="59"/>
      <c r="Q22" s="59"/>
      <c r="R22" s="59"/>
      <c r="S22" s="59"/>
      <c r="T22" s="117"/>
    </row>
    <row r="23" spans="1:20" x14ac:dyDescent="0.3">
      <c r="A23" s="837" t="s">
        <v>3660</v>
      </c>
      <c r="B23" s="838" t="s">
        <v>2149</v>
      </c>
      <c r="C23" s="838">
        <v>32</v>
      </c>
      <c r="D23" s="839">
        <v>5495</v>
      </c>
      <c r="E23" s="839">
        <v>6220</v>
      </c>
      <c r="F23" s="839">
        <v>7810</v>
      </c>
      <c r="G23" s="840"/>
      <c r="H23" s="839">
        <f>+H22*(C23/C22)</f>
        <v>7173.1379731379729</v>
      </c>
      <c r="I23" s="839">
        <f>+I22*(C23/C22)</f>
        <v>20400</v>
      </c>
      <c r="J23" s="840"/>
      <c r="K23" s="842" t="s">
        <v>3655</v>
      </c>
      <c r="L23" s="297"/>
      <c r="M23" s="116"/>
      <c r="N23" s="59"/>
      <c r="O23" s="59"/>
      <c r="P23" s="59"/>
      <c r="Q23" s="59"/>
      <c r="R23" s="59"/>
      <c r="S23" s="59"/>
      <c r="T23" s="117"/>
    </row>
    <row r="24" spans="1:20" x14ac:dyDescent="0.3">
      <c r="A24" s="837" t="s">
        <v>3661</v>
      </c>
      <c r="B24" s="838" t="s">
        <v>2149</v>
      </c>
      <c r="C24" s="838">
        <v>34</v>
      </c>
      <c r="D24" s="839">
        <f>+D23*(C24/C23)</f>
        <v>5838.4375</v>
      </c>
      <c r="E24" s="839">
        <f>+E23*(C24/C23)*1.24</f>
        <v>8194.85</v>
      </c>
      <c r="F24" s="839">
        <f>+F23*(C24/C23)*1.24</f>
        <v>10289.674999999999</v>
      </c>
      <c r="G24" s="840"/>
      <c r="H24" s="839">
        <f>+H23*(C24/C23)*1.24</f>
        <v>9450.6092796092798</v>
      </c>
      <c r="I24" s="839">
        <f>+I23*(C24/C23)*1.24</f>
        <v>26877</v>
      </c>
      <c r="J24" s="840"/>
      <c r="K24" s="842" t="s">
        <v>3655</v>
      </c>
      <c r="L24" s="297"/>
      <c r="M24" s="116"/>
      <c r="N24" s="59"/>
      <c r="O24" s="59"/>
      <c r="P24" s="59"/>
      <c r="Q24" s="59"/>
      <c r="R24" s="59"/>
      <c r="S24" s="59"/>
      <c r="T24" s="117"/>
    </row>
    <row r="25" spans="1:20" x14ac:dyDescent="0.3">
      <c r="A25" s="837" t="s">
        <v>3662</v>
      </c>
      <c r="B25" s="838" t="s">
        <v>2149</v>
      </c>
      <c r="C25" s="838">
        <v>36</v>
      </c>
      <c r="D25" s="839">
        <f>+D24*(C25/C24)*1.24</f>
        <v>7665.5249999999996</v>
      </c>
      <c r="E25" s="839">
        <v>8415</v>
      </c>
      <c r="F25" s="839">
        <v>10645</v>
      </c>
      <c r="G25" s="839"/>
      <c r="H25" s="839">
        <f>+H24*(C25/C24)*1.24</f>
        <v>12408.094065934065</v>
      </c>
      <c r="I25" s="839">
        <f>+I24*(C25/C24)*1.24</f>
        <v>35287.919999999998</v>
      </c>
      <c r="J25" s="840"/>
      <c r="K25" s="842" t="s">
        <v>3655</v>
      </c>
      <c r="L25" s="297"/>
      <c r="M25" s="116"/>
      <c r="N25" s="59"/>
      <c r="O25" s="59"/>
      <c r="P25" s="59"/>
      <c r="Q25" s="59"/>
      <c r="R25" s="59"/>
      <c r="S25" s="59"/>
      <c r="T25" s="117"/>
    </row>
    <row r="26" spans="1:20" x14ac:dyDescent="0.3">
      <c r="A26" s="837" t="s">
        <v>3663</v>
      </c>
      <c r="B26" s="838" t="s">
        <v>2149</v>
      </c>
      <c r="C26" s="838">
        <v>38</v>
      </c>
      <c r="D26" s="839">
        <f>+D25*(C26/C25)*1.24</f>
        <v>10033.3205</v>
      </c>
      <c r="E26" s="839">
        <f>+E25*(C26/C25)*1.24</f>
        <v>11014.3</v>
      </c>
      <c r="F26" s="839">
        <f>+F25*(C26/C25)*1.24</f>
        <v>13933.122222222222</v>
      </c>
      <c r="G26" s="839"/>
      <c r="H26" s="839">
        <f>+H25*(C26/C25)*1.24</f>
        <v>16240.816455189253</v>
      </c>
      <c r="I26" s="839">
        <f>+I25*(C26/C25)*1.24</f>
        <v>46187.966399999998</v>
      </c>
      <c r="J26" s="840"/>
      <c r="K26" s="842" t="s">
        <v>3655</v>
      </c>
      <c r="L26" s="297"/>
      <c r="M26" s="116"/>
      <c r="N26" s="59"/>
      <c r="O26" s="59"/>
      <c r="P26" s="59"/>
      <c r="Q26" s="59"/>
      <c r="R26" s="59"/>
      <c r="S26" s="59"/>
      <c r="T26" s="117"/>
    </row>
    <row r="27" spans="1:20" x14ac:dyDescent="0.3">
      <c r="A27" s="837" t="s">
        <v>3664</v>
      </c>
      <c r="B27" s="838" t="s">
        <v>2149</v>
      </c>
      <c r="C27" s="838">
        <v>40</v>
      </c>
      <c r="D27" s="839">
        <f>+D26*(C27/C26)*1.24</f>
        <v>13096.123599999999</v>
      </c>
      <c r="E27" s="839">
        <f>+E26*(C27/C26)*1.24</f>
        <v>14376.559999999998</v>
      </c>
      <c r="F27" s="839">
        <f>+F26*(C27/C26)*1.24</f>
        <v>18186.391111111108</v>
      </c>
      <c r="G27" s="839"/>
      <c r="H27" s="839">
        <f>+H26*(C27/C26)*1.24</f>
        <v>21198.53937308913</v>
      </c>
      <c r="I27" s="839">
        <f>+I26*(C27/C26)*1.24</f>
        <v>60287.450879999997</v>
      </c>
      <c r="J27" s="840"/>
      <c r="K27" s="842" t="s">
        <v>3655</v>
      </c>
      <c r="L27" s="297"/>
      <c r="M27" s="116"/>
      <c r="N27" s="59"/>
      <c r="O27" s="59"/>
      <c r="P27" s="59"/>
      <c r="Q27" s="59"/>
      <c r="R27" s="59"/>
      <c r="S27" s="59"/>
      <c r="T27" s="117"/>
    </row>
    <row r="28" spans="1:20" ht="15" thickBot="1" x14ac:dyDescent="0.35">
      <c r="A28" s="308" t="s">
        <v>3665</v>
      </c>
      <c r="B28" s="309" t="s">
        <v>2149</v>
      </c>
      <c r="C28" s="309">
        <v>42</v>
      </c>
      <c r="D28" s="310">
        <f>+D27*(C28/C27)*1.24</f>
        <v>17051.152927200001</v>
      </c>
      <c r="E28" s="310">
        <f>+E27*(C28/C27)*1.24</f>
        <v>18718.28112</v>
      </c>
      <c r="F28" s="310">
        <f>+F27*(C28/C27)*1.24</f>
        <v>23678.681226666664</v>
      </c>
      <c r="G28" s="310"/>
      <c r="H28" s="310">
        <f>+H27*(C28/C27)*1.24</f>
        <v>27600.498263762049</v>
      </c>
      <c r="I28" s="310">
        <f>+I27*(C28/C27)*1.24</f>
        <v>78494.261045759995</v>
      </c>
      <c r="J28" s="311"/>
      <c r="K28" s="843" t="s">
        <v>3655</v>
      </c>
      <c r="L28" s="297"/>
      <c r="M28" s="118"/>
      <c r="N28" s="119"/>
      <c r="O28" s="119"/>
      <c r="P28" s="119"/>
      <c r="Q28" s="119"/>
      <c r="R28" s="119"/>
      <c r="S28" s="119"/>
      <c r="T28" s="120"/>
    </row>
    <row r="29" spans="1:20" ht="28.5" customHeight="1" thickTop="1" thickBot="1" x14ac:dyDescent="0.35">
      <c r="A29" s="289" t="s">
        <v>3666</v>
      </c>
      <c r="B29" s="290"/>
      <c r="C29" s="290"/>
      <c r="D29" s="291"/>
      <c r="E29" s="291"/>
      <c r="F29" s="291"/>
      <c r="G29" s="291"/>
      <c r="H29" s="291"/>
      <c r="I29" s="291"/>
      <c r="J29" s="291"/>
      <c r="K29" s="290"/>
      <c r="L29" s="59"/>
      <c r="M29" s="59"/>
      <c r="N29" s="59"/>
      <c r="O29" s="59"/>
      <c r="P29" s="59"/>
      <c r="Q29" s="59"/>
      <c r="R29" s="59"/>
      <c r="S29" s="59"/>
      <c r="T29" s="117"/>
    </row>
    <row r="30" spans="1:20" ht="15" thickTop="1" x14ac:dyDescent="0.3">
      <c r="A30" s="292"/>
      <c r="B30" s="293"/>
      <c r="C30" s="294"/>
      <c r="D30" s="295">
        <v>150</v>
      </c>
      <c r="E30" s="295">
        <v>300</v>
      </c>
      <c r="F30" s="295">
        <v>600</v>
      </c>
      <c r="G30" s="295">
        <v>800</v>
      </c>
      <c r="H30" s="295">
        <v>900</v>
      </c>
      <c r="I30" s="295">
        <v>1500</v>
      </c>
      <c r="J30" s="295">
        <v>2500</v>
      </c>
      <c r="K30" s="296" t="s">
        <v>1655</v>
      </c>
      <c r="L30" s="297"/>
      <c r="M30" s="113"/>
      <c r="N30" s="114"/>
      <c r="O30" s="114"/>
      <c r="P30" s="114"/>
      <c r="Q30" s="114"/>
      <c r="R30" s="114"/>
      <c r="S30" s="114"/>
      <c r="T30" s="115"/>
    </row>
    <row r="31" spans="1:20" x14ac:dyDescent="0.3">
      <c r="A31" s="299" t="str">
        <f t="shared" ref="A31:A45" si="1">B31&amp;"."&amp;C31</f>
        <v>RB.0,5</v>
      </c>
      <c r="B31" s="300" t="s">
        <v>136</v>
      </c>
      <c r="C31" s="300">
        <v>0.5</v>
      </c>
      <c r="D31" s="301">
        <v>5</v>
      </c>
      <c r="E31" s="301">
        <v>5</v>
      </c>
      <c r="F31" s="301">
        <v>8</v>
      </c>
      <c r="G31" s="302"/>
      <c r="H31" s="301">
        <v>10</v>
      </c>
      <c r="I31" s="301">
        <v>15</v>
      </c>
      <c r="J31" s="302"/>
      <c r="K31" s="303" t="s">
        <v>142</v>
      </c>
      <c r="L31" s="297"/>
      <c r="M31" s="116"/>
      <c r="N31" s="59"/>
      <c r="O31" s="59"/>
      <c r="P31" s="59"/>
      <c r="Q31" s="59"/>
      <c r="R31" s="59"/>
      <c r="S31" s="59"/>
      <c r="T31" s="117"/>
    </row>
    <row r="32" spans="1:20" x14ac:dyDescent="0.3">
      <c r="A32" s="299" t="str">
        <f t="shared" si="1"/>
        <v>RB.0,75</v>
      </c>
      <c r="B32" s="300" t="s">
        <v>136</v>
      </c>
      <c r="C32" s="300">
        <v>0.75</v>
      </c>
      <c r="D32" s="301">
        <v>5</v>
      </c>
      <c r="E32" s="301">
        <v>5</v>
      </c>
      <c r="F32" s="301">
        <v>8</v>
      </c>
      <c r="G32" s="302"/>
      <c r="H32" s="301">
        <v>10</v>
      </c>
      <c r="I32" s="301">
        <v>15</v>
      </c>
      <c r="J32" s="302"/>
      <c r="K32" s="303" t="s">
        <v>142</v>
      </c>
      <c r="L32" s="297"/>
      <c r="M32" s="116"/>
      <c r="N32" s="59"/>
      <c r="O32" s="59"/>
      <c r="P32" s="59"/>
      <c r="Q32" s="59"/>
      <c r="R32" s="59"/>
      <c r="S32" s="59"/>
      <c r="T32" s="117"/>
    </row>
    <row r="33" spans="1:20" x14ac:dyDescent="0.3">
      <c r="A33" s="299" t="str">
        <f t="shared" si="1"/>
        <v>RB.1</v>
      </c>
      <c r="B33" s="300" t="s">
        <v>136</v>
      </c>
      <c r="C33" s="300">
        <v>1</v>
      </c>
      <c r="D33" s="301">
        <v>8</v>
      </c>
      <c r="E33" s="301">
        <v>8</v>
      </c>
      <c r="F33" s="301">
        <v>10</v>
      </c>
      <c r="G33" s="306"/>
      <c r="H33" s="306">
        <v>15</v>
      </c>
      <c r="I33" s="306">
        <v>19</v>
      </c>
      <c r="J33" s="302"/>
      <c r="K33" s="303" t="s">
        <v>142</v>
      </c>
      <c r="L33" s="297"/>
      <c r="M33" s="116"/>
      <c r="N33" s="59"/>
      <c r="O33" s="59"/>
      <c r="P33" s="59"/>
      <c r="Q33" s="59"/>
      <c r="R33" s="59"/>
      <c r="S33" s="59"/>
      <c r="T33" s="117"/>
    </row>
    <row r="34" spans="1:20" x14ac:dyDescent="0.3">
      <c r="A34" s="299" t="str">
        <f t="shared" si="1"/>
        <v>RB.1,5</v>
      </c>
      <c r="B34" s="300" t="s">
        <v>136</v>
      </c>
      <c r="C34" s="300">
        <v>1.5</v>
      </c>
      <c r="D34" s="301">
        <v>9.1999999999999993</v>
      </c>
      <c r="E34" s="301">
        <v>12.2</v>
      </c>
      <c r="F34" s="301">
        <v>18.600000000000001</v>
      </c>
      <c r="G34" s="306"/>
      <c r="H34" s="306">
        <v>31</v>
      </c>
      <c r="I34" s="306">
        <v>33</v>
      </c>
      <c r="J34" s="302"/>
      <c r="K34" s="303" t="s">
        <v>142</v>
      </c>
      <c r="L34" s="297"/>
      <c r="M34" s="116"/>
      <c r="N34" s="59"/>
      <c r="O34" s="59"/>
      <c r="P34" s="59"/>
      <c r="Q34" s="59"/>
      <c r="R34" s="59"/>
      <c r="S34" s="59"/>
      <c r="T34" s="117"/>
    </row>
    <row r="35" spans="1:20" x14ac:dyDescent="0.3">
      <c r="A35" s="299" t="str">
        <f t="shared" si="1"/>
        <v>RB.2</v>
      </c>
      <c r="B35" s="300" t="s">
        <v>136</v>
      </c>
      <c r="C35" s="300">
        <v>2</v>
      </c>
      <c r="D35" s="301">
        <v>10.1</v>
      </c>
      <c r="E35" s="301">
        <v>12.7</v>
      </c>
      <c r="F35" s="301">
        <v>19.100000000000001</v>
      </c>
      <c r="G35" s="302"/>
      <c r="H35" s="301">
        <f>H8/F8*F35</f>
        <v>28.650000000000002</v>
      </c>
      <c r="I35" s="301">
        <f>I8/F8*F35</f>
        <v>32.47</v>
      </c>
      <c r="J35" s="302"/>
      <c r="K35" s="303" t="s">
        <v>142</v>
      </c>
      <c r="L35" s="297"/>
      <c r="M35" s="116"/>
      <c r="N35" s="59"/>
      <c r="O35" s="59"/>
      <c r="P35" s="59"/>
      <c r="Q35" s="59"/>
      <c r="R35" s="59"/>
      <c r="S35" s="59"/>
      <c r="T35" s="117"/>
    </row>
    <row r="36" spans="1:20" x14ac:dyDescent="0.3">
      <c r="A36" s="299" t="str">
        <f t="shared" si="1"/>
        <v>RB.3</v>
      </c>
      <c r="B36" s="300" t="s">
        <v>136</v>
      </c>
      <c r="C36" s="300">
        <v>3</v>
      </c>
      <c r="D36" s="301">
        <v>17.899999999999999</v>
      </c>
      <c r="E36" s="301">
        <v>25.2</v>
      </c>
      <c r="F36" s="301">
        <v>39</v>
      </c>
      <c r="G36" s="302"/>
      <c r="H36" s="301">
        <f>H9/F9*F36</f>
        <v>55.800000000000004</v>
      </c>
      <c r="I36" s="301">
        <f>I9/F9*F36</f>
        <v>73.2</v>
      </c>
      <c r="J36" s="302"/>
      <c r="K36" s="303" t="s">
        <v>142</v>
      </c>
      <c r="L36" s="297"/>
      <c r="M36" s="116"/>
      <c r="N36" s="59"/>
      <c r="O36" s="59"/>
      <c r="P36" s="59"/>
      <c r="Q36" s="59"/>
      <c r="R36" s="59"/>
      <c r="S36" s="59"/>
      <c r="T36" s="117"/>
    </row>
    <row r="37" spans="1:20" x14ac:dyDescent="0.3">
      <c r="A37" s="299" t="str">
        <f t="shared" si="1"/>
        <v>RB.4</v>
      </c>
      <c r="B37" s="300" t="s">
        <v>136</v>
      </c>
      <c r="C37" s="300">
        <v>4</v>
      </c>
      <c r="D37" s="301">
        <v>65</v>
      </c>
      <c r="E37" s="301">
        <v>70</v>
      </c>
      <c r="F37" s="301">
        <v>76</v>
      </c>
      <c r="G37" s="302"/>
      <c r="H37" s="301">
        <v>105</v>
      </c>
      <c r="I37" s="301">
        <v>165</v>
      </c>
      <c r="J37" s="302"/>
      <c r="K37" s="303" t="s">
        <v>3655</v>
      </c>
      <c r="L37" s="297"/>
      <c r="M37" s="116"/>
      <c r="N37" s="59"/>
      <c r="O37" s="59"/>
      <c r="P37" s="59"/>
      <c r="Q37" s="59"/>
      <c r="R37" s="59"/>
      <c r="S37" s="59"/>
      <c r="T37" s="117"/>
    </row>
    <row r="38" spans="1:20" x14ac:dyDescent="0.3">
      <c r="A38" s="299" t="str">
        <f t="shared" si="1"/>
        <v>RB.6</v>
      </c>
      <c r="B38" s="300" t="s">
        <v>136</v>
      </c>
      <c r="C38" s="300">
        <v>6</v>
      </c>
      <c r="D38" s="301">
        <v>91</v>
      </c>
      <c r="E38" s="301">
        <v>119</v>
      </c>
      <c r="F38" s="301">
        <v>145</v>
      </c>
      <c r="G38" s="302"/>
      <c r="H38" s="301">
        <v>240</v>
      </c>
      <c r="I38" s="301">
        <v>315</v>
      </c>
      <c r="J38" s="302"/>
      <c r="K38" s="303" t="s">
        <v>3655</v>
      </c>
      <c r="L38" s="297"/>
      <c r="M38" s="116"/>
      <c r="N38" s="59"/>
      <c r="O38" s="59"/>
      <c r="P38" s="59"/>
      <c r="Q38" s="59"/>
      <c r="R38" s="59"/>
      <c r="S38" s="59"/>
      <c r="T38" s="117"/>
    </row>
    <row r="39" spans="1:20" x14ac:dyDescent="0.3">
      <c r="A39" s="299" t="str">
        <f t="shared" si="1"/>
        <v>RB.8</v>
      </c>
      <c r="B39" s="300" t="s">
        <v>136</v>
      </c>
      <c r="C39" s="300">
        <v>8</v>
      </c>
      <c r="D39" s="301">
        <v>165</v>
      </c>
      <c r="E39" s="301">
        <v>162</v>
      </c>
      <c r="F39" s="301">
        <v>308</v>
      </c>
      <c r="G39" s="302"/>
      <c r="H39" s="301">
        <v>485</v>
      </c>
      <c r="I39" s="301">
        <v>720</v>
      </c>
      <c r="J39" s="302"/>
      <c r="K39" s="303" t="s">
        <v>3655</v>
      </c>
      <c r="L39" s="297"/>
      <c r="M39" s="116"/>
      <c r="N39" s="59"/>
      <c r="O39" s="59"/>
      <c r="P39" s="59"/>
      <c r="Q39" s="59"/>
      <c r="R39" s="59"/>
      <c r="S39" s="59"/>
      <c r="T39" s="117"/>
    </row>
    <row r="40" spans="1:20" x14ac:dyDescent="0.3">
      <c r="A40" s="299" t="str">
        <f t="shared" si="1"/>
        <v>RB.10</v>
      </c>
      <c r="B40" s="300" t="s">
        <v>136</v>
      </c>
      <c r="C40" s="300">
        <v>10</v>
      </c>
      <c r="D40" s="301">
        <v>350</v>
      </c>
      <c r="E40" s="301">
        <v>400</v>
      </c>
      <c r="F40" s="301">
        <v>518</v>
      </c>
      <c r="G40" s="302"/>
      <c r="H40" s="301">
        <v>685</v>
      </c>
      <c r="I40" s="301">
        <v>950</v>
      </c>
      <c r="J40" s="302"/>
      <c r="K40" s="303" t="s">
        <v>3655</v>
      </c>
      <c r="L40" s="297"/>
      <c r="M40" s="116"/>
      <c r="N40" s="59"/>
      <c r="O40" s="59"/>
      <c r="P40" s="59"/>
      <c r="Q40" s="59"/>
      <c r="R40" s="59"/>
      <c r="S40" s="59"/>
      <c r="T40" s="117"/>
    </row>
    <row r="41" spans="1:20" x14ac:dyDescent="0.3">
      <c r="A41" s="299" t="str">
        <f t="shared" si="1"/>
        <v>RB.12</v>
      </c>
      <c r="B41" s="300" t="s">
        <v>136</v>
      </c>
      <c r="C41" s="300">
        <v>12</v>
      </c>
      <c r="D41" s="301">
        <v>540</v>
      </c>
      <c r="E41" s="301">
        <v>572</v>
      </c>
      <c r="F41" s="301">
        <v>754</v>
      </c>
      <c r="G41" s="302"/>
      <c r="H41" s="301">
        <v>970</v>
      </c>
      <c r="I41" s="301">
        <v>1350</v>
      </c>
      <c r="J41" s="302"/>
      <c r="K41" s="303" t="s">
        <v>3655</v>
      </c>
      <c r="L41" s="297"/>
      <c r="M41" s="116"/>
      <c r="N41" s="59"/>
      <c r="O41" s="59"/>
      <c r="P41" s="59"/>
      <c r="Q41" s="59"/>
      <c r="R41" s="59"/>
      <c r="S41" s="59"/>
      <c r="T41" s="117"/>
    </row>
    <row r="42" spans="1:20" x14ac:dyDescent="0.3">
      <c r="A42" s="299" t="str">
        <f t="shared" si="1"/>
        <v>RB.14</v>
      </c>
      <c r="B42" s="300" t="s">
        <v>136</v>
      </c>
      <c r="C42" s="300">
        <v>14</v>
      </c>
      <c r="D42" s="301">
        <v>730</v>
      </c>
      <c r="E42" s="301">
        <v>829</v>
      </c>
      <c r="F42" s="301">
        <v>999</v>
      </c>
      <c r="G42" s="302"/>
      <c r="H42" s="301">
        <v>1170</v>
      </c>
      <c r="I42" s="301">
        <v>1585</v>
      </c>
      <c r="J42" s="302"/>
      <c r="K42" s="303" t="s">
        <v>3655</v>
      </c>
      <c r="L42" s="297"/>
      <c r="M42" s="116"/>
      <c r="N42" s="59"/>
      <c r="O42" s="59"/>
      <c r="P42" s="59"/>
      <c r="Q42" s="59"/>
      <c r="R42" s="59"/>
      <c r="S42" s="59"/>
      <c r="T42" s="117"/>
    </row>
    <row r="43" spans="1:20" x14ac:dyDescent="0.3">
      <c r="A43" s="299" t="str">
        <f t="shared" si="1"/>
        <v>RB.16</v>
      </c>
      <c r="B43" s="300" t="s">
        <v>136</v>
      </c>
      <c r="C43" s="300">
        <v>16</v>
      </c>
      <c r="D43" s="301">
        <v>980</v>
      </c>
      <c r="E43" s="301">
        <v>1015</v>
      </c>
      <c r="F43" s="301">
        <v>1339</v>
      </c>
      <c r="G43" s="302"/>
      <c r="H43" s="301">
        <v>1980</v>
      </c>
      <c r="I43" s="301">
        <v>2250</v>
      </c>
      <c r="J43" s="302"/>
      <c r="K43" s="303" t="s">
        <v>3655</v>
      </c>
      <c r="L43" s="297"/>
      <c r="M43" s="116"/>
      <c r="N43" s="59"/>
      <c r="O43" s="59"/>
      <c r="P43" s="59"/>
      <c r="Q43" s="59"/>
      <c r="R43" s="59"/>
      <c r="S43" s="59"/>
      <c r="T43" s="117"/>
    </row>
    <row r="44" spans="1:20" x14ac:dyDescent="0.3">
      <c r="A44" s="299" t="str">
        <f t="shared" si="1"/>
        <v>RB.18</v>
      </c>
      <c r="B44" s="300" t="s">
        <v>136</v>
      </c>
      <c r="C44" s="300">
        <v>18</v>
      </c>
      <c r="D44" s="301">
        <v>1180</v>
      </c>
      <c r="E44" s="301">
        <v>1544</v>
      </c>
      <c r="F44" s="301">
        <v>1723</v>
      </c>
      <c r="G44" s="302"/>
      <c r="H44" s="301">
        <v>2100</v>
      </c>
      <c r="I44" s="306">
        <v>3320</v>
      </c>
      <c r="J44" s="302"/>
      <c r="K44" s="303" t="s">
        <v>3655</v>
      </c>
      <c r="L44" s="297"/>
      <c r="M44" s="116"/>
      <c r="N44" s="59"/>
      <c r="O44" s="59"/>
      <c r="P44" s="59"/>
      <c r="Q44" s="59"/>
      <c r="R44" s="59"/>
      <c r="S44" s="59"/>
      <c r="T44" s="117"/>
    </row>
    <row r="45" spans="1:20" x14ac:dyDescent="0.3">
      <c r="A45" s="299" t="str">
        <f t="shared" si="1"/>
        <v>RB.20</v>
      </c>
      <c r="B45" s="300" t="s">
        <v>136</v>
      </c>
      <c r="C45" s="300">
        <v>20</v>
      </c>
      <c r="D45" s="301">
        <v>1710</v>
      </c>
      <c r="E45" s="301">
        <v>2047</v>
      </c>
      <c r="F45" s="301">
        <v>2513</v>
      </c>
      <c r="G45" s="302"/>
      <c r="H45" s="306">
        <v>2630</v>
      </c>
      <c r="I45" s="306">
        <v>6500</v>
      </c>
      <c r="J45" s="302"/>
      <c r="K45" s="303" t="s">
        <v>3655</v>
      </c>
      <c r="L45" s="297"/>
      <c r="M45" s="116"/>
      <c r="N45" s="59"/>
      <c r="O45" s="59"/>
      <c r="P45" s="59"/>
      <c r="Q45" s="59"/>
      <c r="R45" s="59"/>
      <c r="S45" s="59"/>
      <c r="T45" s="117"/>
    </row>
    <row r="46" spans="1:20" x14ac:dyDescent="0.3">
      <c r="A46" s="837" t="s">
        <v>3656</v>
      </c>
      <c r="B46" s="838" t="s">
        <v>2149</v>
      </c>
      <c r="C46" s="838">
        <v>24</v>
      </c>
      <c r="D46" s="839">
        <v>2250</v>
      </c>
      <c r="E46" s="839">
        <v>2610</v>
      </c>
      <c r="F46" s="839">
        <v>3251</v>
      </c>
      <c r="G46" s="840"/>
      <c r="H46" s="841">
        <v>4119.7643397065367</v>
      </c>
      <c r="I46" s="841">
        <v>12000</v>
      </c>
      <c r="J46" s="840"/>
      <c r="K46" s="842" t="s">
        <v>3655</v>
      </c>
      <c r="L46" s="297"/>
      <c r="M46" s="116"/>
      <c r="N46" s="59"/>
      <c r="O46" s="59"/>
      <c r="P46" s="59"/>
      <c r="Q46" s="59"/>
      <c r="R46" s="59"/>
      <c r="S46" s="59"/>
      <c r="T46" s="117"/>
    </row>
    <row r="47" spans="1:20" x14ac:dyDescent="0.3">
      <c r="A47" s="837" t="s">
        <v>3657</v>
      </c>
      <c r="B47" s="838" t="s">
        <v>2149</v>
      </c>
      <c r="C47" s="838">
        <v>26</v>
      </c>
      <c r="D47" s="839">
        <v>3535</v>
      </c>
      <c r="E47" s="839">
        <v>3865</v>
      </c>
      <c r="F47" s="839">
        <v>5155</v>
      </c>
      <c r="G47" s="840"/>
      <c r="H47" s="839">
        <f>+H46*(E47/E46)</f>
        <v>6100.7238210596797</v>
      </c>
      <c r="I47" s="839">
        <f>+I46*(C47/C46)</f>
        <v>13000</v>
      </c>
      <c r="J47" s="840"/>
      <c r="K47" s="842" t="s">
        <v>3655</v>
      </c>
      <c r="L47" s="297"/>
      <c r="M47" s="116"/>
      <c r="N47" s="59"/>
      <c r="O47" s="59"/>
      <c r="P47" s="59"/>
      <c r="Q47" s="59"/>
      <c r="R47" s="59"/>
      <c r="S47" s="59"/>
      <c r="T47" s="117"/>
    </row>
    <row r="48" spans="1:20" x14ac:dyDescent="0.3">
      <c r="A48" s="837" t="s">
        <v>3658</v>
      </c>
      <c r="B48" s="838" t="s">
        <v>2149</v>
      </c>
      <c r="C48" s="838">
        <v>28</v>
      </c>
      <c r="D48" s="839">
        <v>4053</v>
      </c>
      <c r="E48" s="839">
        <v>4550</v>
      </c>
      <c r="F48" s="839">
        <v>6040</v>
      </c>
      <c r="G48" s="840"/>
      <c r="H48" s="839">
        <f>+H47*(C48/C47)</f>
        <v>6570.010268833501</v>
      </c>
      <c r="I48" s="839">
        <f>+I47*(C48/C47)</f>
        <v>14000</v>
      </c>
      <c r="J48" s="840"/>
      <c r="K48" s="842" t="s">
        <v>3655</v>
      </c>
      <c r="L48" s="297"/>
      <c r="M48" s="116"/>
      <c r="N48" s="59"/>
      <c r="O48" s="59"/>
      <c r="P48" s="59"/>
      <c r="Q48" s="59"/>
      <c r="R48" s="59"/>
      <c r="S48" s="59"/>
      <c r="T48" s="117"/>
    </row>
    <row r="49" spans="1:20" x14ac:dyDescent="0.3">
      <c r="A49" s="837" t="s">
        <v>3659</v>
      </c>
      <c r="B49" s="838" t="s">
        <v>2149</v>
      </c>
      <c r="C49" s="838">
        <v>30</v>
      </c>
      <c r="D49" s="839">
        <v>4822</v>
      </c>
      <c r="E49" s="839">
        <v>5570</v>
      </c>
      <c r="F49" s="839">
        <v>6685</v>
      </c>
      <c r="G49" s="840"/>
      <c r="H49" s="839">
        <f>+H48*(C49/C48)</f>
        <v>7039.2967166073222</v>
      </c>
      <c r="I49" s="839">
        <f>+I48*(C49/C48)</f>
        <v>15000</v>
      </c>
      <c r="J49" s="840"/>
      <c r="K49" s="842" t="s">
        <v>3655</v>
      </c>
      <c r="L49" s="297"/>
      <c r="M49" s="116"/>
      <c r="N49" s="59"/>
      <c r="O49" s="59"/>
      <c r="P49" s="59"/>
      <c r="Q49" s="59"/>
      <c r="R49" s="59"/>
      <c r="S49" s="59"/>
      <c r="T49" s="117"/>
    </row>
    <row r="50" spans="1:20" x14ac:dyDescent="0.3">
      <c r="A50" s="837" t="s">
        <v>3660</v>
      </c>
      <c r="B50" s="838" t="s">
        <v>2149</v>
      </c>
      <c r="C50" s="838">
        <v>32</v>
      </c>
      <c r="D50" s="839">
        <v>5495</v>
      </c>
      <c r="E50" s="839">
        <v>6220</v>
      </c>
      <c r="F50" s="839">
        <v>7810</v>
      </c>
      <c r="G50" s="840"/>
      <c r="H50" s="839">
        <f>+H49*(C50/C49)</f>
        <v>7508.5831643811434</v>
      </c>
      <c r="I50" s="839">
        <f>+I49*(C50/C49)</f>
        <v>16000</v>
      </c>
      <c r="J50" s="840"/>
      <c r="K50" s="842" t="s">
        <v>3655</v>
      </c>
      <c r="L50" s="297"/>
      <c r="M50" s="116"/>
      <c r="N50" s="59"/>
      <c r="O50" s="59"/>
      <c r="P50" s="59"/>
      <c r="Q50" s="59"/>
      <c r="R50" s="59"/>
      <c r="S50" s="59"/>
      <c r="T50" s="117"/>
    </row>
    <row r="51" spans="1:20" x14ac:dyDescent="0.3">
      <c r="A51" s="837" t="s">
        <v>3661</v>
      </c>
      <c r="B51" s="838" t="s">
        <v>2149</v>
      </c>
      <c r="C51" s="838">
        <v>34</v>
      </c>
      <c r="D51" s="839">
        <f>+D50*(C51/C50)</f>
        <v>5838.4375</v>
      </c>
      <c r="E51" s="839">
        <f>+E50*(C51/C50)*1.24</f>
        <v>8194.85</v>
      </c>
      <c r="F51" s="839">
        <f>+F50*(C51/C50)*1.24</f>
        <v>10289.674999999999</v>
      </c>
      <c r="G51" s="840"/>
      <c r="H51" s="839">
        <f>+H50*(C51/C50)*1.24</f>
        <v>9892.5583190721554</v>
      </c>
      <c r="I51" s="839">
        <f>+I50*(C51/C50)*1.24</f>
        <v>21080</v>
      </c>
      <c r="J51" s="840"/>
      <c r="K51" s="842" t="s">
        <v>3655</v>
      </c>
      <c r="L51" s="297"/>
      <c r="M51" s="116"/>
      <c r="N51" s="59"/>
      <c r="O51" s="59"/>
      <c r="P51" s="59"/>
      <c r="Q51" s="59"/>
      <c r="R51" s="59"/>
      <c r="S51" s="59"/>
      <c r="T51" s="117"/>
    </row>
    <row r="52" spans="1:20" x14ac:dyDescent="0.3">
      <c r="A52" s="837" t="s">
        <v>3662</v>
      </c>
      <c r="B52" s="838" t="s">
        <v>2149</v>
      </c>
      <c r="C52" s="838">
        <v>36</v>
      </c>
      <c r="D52" s="839">
        <f>+D51*(C52/C51)*1.24</f>
        <v>7665.5249999999996</v>
      </c>
      <c r="E52" s="839">
        <v>8415</v>
      </c>
      <c r="F52" s="839">
        <v>10645</v>
      </c>
      <c r="G52" s="839"/>
      <c r="H52" s="839">
        <f>+H51*(C52/C51)*1.24</f>
        <v>12988.347157746501</v>
      </c>
      <c r="I52" s="839">
        <f>+I51*(C52/C51)*1.24</f>
        <v>27676.799999999999</v>
      </c>
      <c r="J52" s="840"/>
      <c r="K52" s="842" t="s">
        <v>3655</v>
      </c>
      <c r="L52" s="297"/>
      <c r="M52" s="116"/>
      <c r="N52" s="59"/>
      <c r="O52" s="59"/>
      <c r="P52" s="59"/>
      <c r="Q52" s="59"/>
      <c r="R52" s="59"/>
      <c r="S52" s="59"/>
      <c r="T52" s="117"/>
    </row>
    <row r="53" spans="1:20" x14ac:dyDescent="0.3">
      <c r="A53" s="837" t="s">
        <v>3663</v>
      </c>
      <c r="B53" s="838" t="s">
        <v>2149</v>
      </c>
      <c r="C53" s="838">
        <v>38</v>
      </c>
      <c r="D53" s="839">
        <f>+D52*(C53/C52)*1.24</f>
        <v>10033.3205</v>
      </c>
      <c r="E53" s="839">
        <f>+E52*(C53/C52)*1.24</f>
        <v>11014.3</v>
      </c>
      <c r="F53" s="839">
        <f>+F52*(C53/C52)*1.24</f>
        <v>13933.122222222222</v>
      </c>
      <c r="G53" s="839"/>
      <c r="H53" s="839">
        <f>+H52*(C53/C52)*1.24</f>
        <v>17000.303279805976</v>
      </c>
      <c r="I53" s="839">
        <f>+I52*(C53/C52)*1.24</f>
        <v>36225.856</v>
      </c>
      <c r="J53" s="840"/>
      <c r="K53" s="842" t="s">
        <v>3655</v>
      </c>
      <c r="L53" s="297"/>
      <c r="M53" s="116"/>
      <c r="N53" s="59"/>
      <c r="O53" s="59"/>
      <c r="P53" s="59"/>
      <c r="Q53" s="59"/>
      <c r="R53" s="59"/>
      <c r="S53" s="59"/>
      <c r="T53" s="117"/>
    </row>
    <row r="54" spans="1:20" x14ac:dyDescent="0.3">
      <c r="A54" s="837" t="s">
        <v>3664</v>
      </c>
      <c r="B54" s="838" t="s">
        <v>2149</v>
      </c>
      <c r="C54" s="838">
        <v>40</v>
      </c>
      <c r="D54" s="839">
        <f>+D53*(C54/C53)*1.24</f>
        <v>13096.123599999999</v>
      </c>
      <c r="E54" s="839">
        <f>+E53*(C54/C53)*1.24</f>
        <v>14376.559999999998</v>
      </c>
      <c r="F54" s="839">
        <f>+F53*(C54/C53)*1.24</f>
        <v>18186.391111111108</v>
      </c>
      <c r="G54" s="839"/>
      <c r="H54" s="839">
        <f>+H53*(C54/C53)*1.24</f>
        <v>22189.869544167799</v>
      </c>
      <c r="I54" s="839">
        <f>+I53*(C54/C53)*1.24</f>
        <v>47284.275199999996</v>
      </c>
      <c r="J54" s="840"/>
      <c r="K54" s="842" t="s">
        <v>3655</v>
      </c>
      <c r="L54" s="297"/>
      <c r="M54" s="116"/>
      <c r="N54" s="59"/>
      <c r="O54" s="59"/>
      <c r="P54" s="59"/>
      <c r="Q54" s="59"/>
      <c r="R54" s="59"/>
      <c r="S54" s="59"/>
      <c r="T54" s="117"/>
    </row>
    <row r="55" spans="1:20" ht="15" thickBot="1" x14ac:dyDescent="0.35">
      <c r="A55" s="308" t="s">
        <v>3665</v>
      </c>
      <c r="B55" s="309" t="s">
        <v>2149</v>
      </c>
      <c r="C55" s="309">
        <v>42</v>
      </c>
      <c r="D55" s="310">
        <f>+D54*(C55/C54)*1.24</f>
        <v>17051.152927200001</v>
      </c>
      <c r="E55" s="310">
        <f>+E54*(C55/C54)*1.24</f>
        <v>18718.28112</v>
      </c>
      <c r="F55" s="310">
        <f>+F54*(C55/C54)*1.24</f>
        <v>23678.681226666664</v>
      </c>
      <c r="G55" s="310"/>
      <c r="H55" s="310">
        <f>+H54*(C55/C54)*1.24</f>
        <v>28891.210146506477</v>
      </c>
      <c r="I55" s="310">
        <f>+I54*(C55/C54)*1.24</f>
        <v>61564.126310399995</v>
      </c>
      <c r="J55" s="312"/>
      <c r="K55" s="842" t="s">
        <v>3655</v>
      </c>
      <c r="L55" s="313"/>
      <c r="M55" s="118"/>
      <c r="N55" s="119"/>
      <c r="O55" s="119"/>
      <c r="P55" s="119"/>
      <c r="Q55" s="119"/>
      <c r="R55" s="119"/>
      <c r="S55" s="119"/>
      <c r="T55" s="120"/>
    </row>
    <row r="56" spans="1:20" ht="15" thickTop="1" x14ac:dyDescent="0.3">
      <c r="B56" s="314"/>
      <c r="C56" s="314"/>
      <c r="D56" s="315"/>
    </row>
    <row r="57" spans="1:20" x14ac:dyDescent="0.3">
      <c r="B57" s="314"/>
      <c r="C57" s="314"/>
      <c r="D57" s="315"/>
    </row>
    <row r="58" spans="1:20" x14ac:dyDescent="0.3">
      <c r="B58" s="314"/>
      <c r="C58" s="314"/>
      <c r="D58" s="315"/>
    </row>
  </sheetData>
  <printOptions horizontalCentered="1" verticalCentered="1"/>
  <pageMargins left="0.70866141732283472" right="0.70866141732283472" top="0.74803149606299213" bottom="0.74803149606299213" header="0.31496062992125984" footer="0.31496062992125984"/>
  <pageSetup paperSize="8" scale="87" orientation="landscape" r:id="rId1"/>
  <headerFooter>
    <oddHeader>&amp;R&amp;"Calibri"&amp;8 Document classified as: 2 - Company Confidential&amp;1#</oddHead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Foglio21">
    <tabColor theme="5" tint="0.39997558519241921"/>
    <pageSetUpPr fitToPage="1"/>
  </sheetPr>
  <dimension ref="A1:AH101"/>
  <sheetViews>
    <sheetView topLeftCell="I23" zoomScale="55" zoomScaleNormal="55" workbookViewId="0">
      <selection activeCell="Y11" sqref="Y11"/>
    </sheetView>
  </sheetViews>
  <sheetFormatPr defaultRowHeight="14.4" x14ac:dyDescent="0.3"/>
  <cols>
    <col min="1" max="1" width="8.5546875" customWidth="1"/>
    <col min="2" max="2" width="22.21875" customWidth="1"/>
    <col min="3" max="3" width="11.44140625" bestFit="1" customWidth="1"/>
    <col min="4" max="4" width="11.44140625" customWidth="1"/>
    <col min="5" max="6" width="11.44140625" style="323" customWidth="1"/>
    <col min="7" max="34" width="22.21875" customWidth="1"/>
  </cols>
  <sheetData>
    <row r="1" spans="1:34" ht="15" thickBot="1" x14ac:dyDescent="0.35">
      <c r="A1" s="362" t="s">
        <v>109</v>
      </c>
      <c r="B1" s="317" t="s">
        <v>110</v>
      </c>
      <c r="C1" s="131" t="s">
        <v>58</v>
      </c>
      <c r="D1" s="316" t="s">
        <v>2017</v>
      </c>
      <c r="E1" s="320" t="s">
        <v>112</v>
      </c>
      <c r="F1" s="112" t="s">
        <v>113</v>
      </c>
      <c r="G1" s="321">
        <v>0.5</v>
      </c>
      <c r="H1" s="322">
        <v>0.75</v>
      </c>
      <c r="I1" s="322">
        <v>1</v>
      </c>
      <c r="J1" s="322">
        <v>1.5</v>
      </c>
      <c r="K1" s="322">
        <v>2</v>
      </c>
      <c r="L1" s="322">
        <v>2.5</v>
      </c>
      <c r="M1" s="322">
        <v>3</v>
      </c>
      <c r="N1" s="322">
        <v>4</v>
      </c>
      <c r="O1" s="322">
        <v>5</v>
      </c>
      <c r="P1" s="322">
        <v>6</v>
      </c>
      <c r="Q1" s="322">
        <v>8</v>
      </c>
      <c r="R1" s="322">
        <v>10</v>
      </c>
      <c r="S1" s="322">
        <v>12</v>
      </c>
      <c r="T1" s="322">
        <v>14</v>
      </c>
      <c r="U1" s="322">
        <v>16</v>
      </c>
      <c r="V1" s="322">
        <v>18</v>
      </c>
      <c r="W1" s="322">
        <v>20</v>
      </c>
      <c r="X1" s="322">
        <v>22</v>
      </c>
      <c r="Y1" s="322">
        <v>24</v>
      </c>
      <c r="Z1" s="844">
        <v>26</v>
      </c>
      <c r="AA1" s="844">
        <v>28</v>
      </c>
      <c r="AB1" s="844">
        <v>30</v>
      </c>
      <c r="AC1" s="844">
        <v>32</v>
      </c>
      <c r="AD1" s="844">
        <v>34</v>
      </c>
      <c r="AE1" s="844">
        <v>36</v>
      </c>
      <c r="AF1" s="844">
        <v>38</v>
      </c>
      <c r="AG1" s="844">
        <v>40</v>
      </c>
      <c r="AH1" s="112">
        <v>42</v>
      </c>
    </row>
    <row r="2" spans="1:34" x14ac:dyDescent="0.3">
      <c r="A2" s="363">
        <v>1</v>
      </c>
      <c r="B2" s="359" t="str">
        <f>'Valve Data'!B2</f>
        <v>Ball_valve</v>
      </c>
      <c r="C2" s="90" t="str">
        <f>'Valve Data'!C2</f>
        <v>CS-150#</v>
      </c>
      <c r="D2" s="352" t="str">
        <f>IF('Valve Data'!D2=0,"",'Valve Data'!D2)</f>
        <v>RB</v>
      </c>
      <c r="E2" s="279">
        <f>'Valve Data'!E2</f>
        <v>0.5</v>
      </c>
      <c r="F2" s="276">
        <f>'Valve Data'!F2</f>
        <v>1.5</v>
      </c>
      <c r="G2" s="355" t="str">
        <f t="shared" ref="G2:G18" si="0">IF(AND($E2&lt;=G$1,$F2&gt;=G$1),CONCATENATE($B2,".",$C2,".",$D2,".",G$1),"X")</f>
        <v>Ball_valve.CS-150#.RB.0,5</v>
      </c>
      <c r="H2" s="348" t="str">
        <f t="shared" ref="H2:X16" si="1">IF(AND($E2&lt;=H$1,$F2&gt;=H$1),CONCATENATE($B2,".",$C2,".",$D2,".",H$1),"X")</f>
        <v>Ball_valve.CS-150#.RB.0,75</v>
      </c>
      <c r="I2" s="348" t="str">
        <f t="shared" si="1"/>
        <v>Ball_valve.CS-150#.RB.1</v>
      </c>
      <c r="J2" s="348" t="str">
        <f t="shared" si="1"/>
        <v>Ball_valve.CS-150#.RB.1,5</v>
      </c>
      <c r="K2" s="348" t="str">
        <f t="shared" si="1"/>
        <v>X</v>
      </c>
      <c r="L2" s="348" t="str">
        <f t="shared" si="1"/>
        <v>X</v>
      </c>
      <c r="M2" s="348" t="str">
        <f t="shared" si="1"/>
        <v>X</v>
      </c>
      <c r="N2" s="348" t="str">
        <f t="shared" si="1"/>
        <v>X</v>
      </c>
      <c r="O2" s="348" t="str">
        <f t="shared" si="1"/>
        <v>X</v>
      </c>
      <c r="P2" s="348" t="str">
        <f t="shared" si="1"/>
        <v>X</v>
      </c>
      <c r="Q2" s="348" t="str">
        <f t="shared" si="1"/>
        <v>X</v>
      </c>
      <c r="R2" s="348" t="str">
        <f t="shared" si="1"/>
        <v>X</v>
      </c>
      <c r="S2" s="348" t="str">
        <f t="shared" si="1"/>
        <v>X</v>
      </c>
      <c r="T2" s="348" t="str">
        <f t="shared" si="1"/>
        <v>X</v>
      </c>
      <c r="U2" s="348" t="str">
        <f t="shared" si="1"/>
        <v>X</v>
      </c>
      <c r="V2" s="348" t="str">
        <f t="shared" si="1"/>
        <v>X</v>
      </c>
      <c r="W2" s="348" t="str">
        <f t="shared" si="1"/>
        <v>X</v>
      </c>
      <c r="X2" s="348" t="str">
        <f t="shared" si="1"/>
        <v>X</v>
      </c>
      <c r="Y2" s="348" t="str">
        <f t="shared" ref="Y2:AH17" si="2">IF(AND($E2&lt;=Y$1,$F2&gt;=Y$1),CONCATENATE($B2,".",$C2,".",$D2,".",Y$1),"X")</f>
        <v>X</v>
      </c>
      <c r="Z2" s="348" t="str">
        <f t="shared" si="2"/>
        <v>X</v>
      </c>
      <c r="AA2" s="348" t="str">
        <f t="shared" si="2"/>
        <v>X</v>
      </c>
      <c r="AB2" s="348" t="str">
        <f t="shared" si="2"/>
        <v>X</v>
      </c>
      <c r="AC2" s="348" t="str">
        <f t="shared" si="2"/>
        <v>X</v>
      </c>
      <c r="AD2" s="348" t="str">
        <f t="shared" si="2"/>
        <v>X</v>
      </c>
      <c r="AE2" s="348" t="str">
        <f t="shared" si="2"/>
        <v>X</v>
      </c>
      <c r="AF2" s="348" t="str">
        <f t="shared" si="2"/>
        <v>X</v>
      </c>
      <c r="AG2" s="348" t="str">
        <f t="shared" si="2"/>
        <v>X</v>
      </c>
      <c r="AH2" s="348" t="str">
        <f t="shared" si="2"/>
        <v>X</v>
      </c>
    </row>
    <row r="3" spans="1:34" x14ac:dyDescent="0.3">
      <c r="A3" s="364">
        <v>2</v>
      </c>
      <c r="B3" s="360" t="str">
        <f>'Valve Data'!B6</f>
        <v>Globe_valve</v>
      </c>
      <c r="C3" s="349" t="str">
        <f>'Valve Data'!C6</f>
        <v>CS-150#</v>
      </c>
      <c r="D3" s="353" t="str">
        <f>IF('Valve Data'!D6=0,"",'Valve Data'!D6)</f>
        <v/>
      </c>
      <c r="E3" s="20">
        <f>'Valve Data'!E6</f>
        <v>0.5</v>
      </c>
      <c r="F3" s="358">
        <f>'Valve Data'!F6</f>
        <v>24</v>
      </c>
      <c r="G3" s="356" t="str">
        <f t="shared" si="0"/>
        <v>Globe_valve.CS-150#..0,5</v>
      </c>
      <c r="H3" s="350" t="str">
        <f t="shared" si="1"/>
        <v>Globe_valve.CS-150#..0,75</v>
      </c>
      <c r="I3" s="350" t="str">
        <f t="shared" si="1"/>
        <v>Globe_valve.CS-150#..1</v>
      </c>
      <c r="J3" s="350" t="str">
        <f t="shared" si="1"/>
        <v>Globe_valve.CS-150#..1,5</v>
      </c>
      <c r="K3" s="350" t="str">
        <f t="shared" si="1"/>
        <v>Globe_valve.CS-150#..2</v>
      </c>
      <c r="L3" s="350" t="str">
        <f t="shared" si="1"/>
        <v>Globe_valve.CS-150#..2,5</v>
      </c>
      <c r="M3" s="350" t="str">
        <f t="shared" si="1"/>
        <v>Globe_valve.CS-150#..3</v>
      </c>
      <c r="N3" s="350" t="str">
        <f t="shared" si="1"/>
        <v>Globe_valve.CS-150#..4</v>
      </c>
      <c r="O3" s="350" t="str">
        <f t="shared" si="1"/>
        <v>Globe_valve.CS-150#..5</v>
      </c>
      <c r="P3" s="350" t="str">
        <f t="shared" si="1"/>
        <v>Globe_valve.CS-150#..6</v>
      </c>
      <c r="Q3" s="350" t="str">
        <f t="shared" si="1"/>
        <v>Globe_valve.CS-150#..8</v>
      </c>
      <c r="R3" s="350" t="str">
        <f t="shared" si="1"/>
        <v>Globe_valve.CS-150#..10</v>
      </c>
      <c r="S3" s="350" t="str">
        <f t="shared" si="1"/>
        <v>Globe_valve.CS-150#..12</v>
      </c>
      <c r="T3" s="350" t="str">
        <f t="shared" si="1"/>
        <v>Globe_valve.CS-150#..14</v>
      </c>
      <c r="U3" s="350" t="str">
        <f t="shared" si="1"/>
        <v>Globe_valve.CS-150#..16</v>
      </c>
      <c r="V3" s="350" t="str">
        <f t="shared" si="1"/>
        <v>Globe_valve.CS-150#..18</v>
      </c>
      <c r="W3" s="350" t="str">
        <f t="shared" si="1"/>
        <v>Globe_valve.CS-150#..20</v>
      </c>
      <c r="X3" s="350" t="str">
        <f t="shared" si="1"/>
        <v>Globe_valve.CS-150#..22</v>
      </c>
      <c r="Y3" s="350" t="str">
        <f t="shared" si="2"/>
        <v>Globe_valve.CS-150#..24</v>
      </c>
      <c r="Z3" s="350" t="str">
        <f t="shared" si="2"/>
        <v>X</v>
      </c>
      <c r="AA3" s="350" t="str">
        <f t="shared" si="2"/>
        <v>X</v>
      </c>
      <c r="AB3" s="350" t="str">
        <f t="shared" si="2"/>
        <v>X</v>
      </c>
      <c r="AC3" s="350" t="str">
        <f t="shared" si="2"/>
        <v>X</v>
      </c>
      <c r="AD3" s="350" t="str">
        <f t="shared" si="2"/>
        <v>X</v>
      </c>
      <c r="AE3" s="350" t="str">
        <f t="shared" si="2"/>
        <v>X</v>
      </c>
      <c r="AF3" s="350" t="str">
        <f t="shared" si="2"/>
        <v>X</v>
      </c>
      <c r="AG3" s="350" t="str">
        <f t="shared" si="2"/>
        <v>X</v>
      </c>
      <c r="AH3" s="350" t="str">
        <f t="shared" si="2"/>
        <v>X</v>
      </c>
    </row>
    <row r="4" spans="1:34" x14ac:dyDescent="0.3">
      <c r="A4" s="364">
        <v>3</v>
      </c>
      <c r="B4" s="360" t="str">
        <f>'Valve Data'!B18</f>
        <v>DBB</v>
      </c>
      <c r="C4" s="349" t="str">
        <f>'Valve Data'!C18</f>
        <v>CS-900#</v>
      </c>
      <c r="D4" s="353" t="str">
        <f>IF('Valve Data'!D18=0,"",'Valve Data'!D18)</f>
        <v/>
      </c>
      <c r="E4" s="20">
        <f>'Valve Data'!E18</f>
        <v>0.5</v>
      </c>
      <c r="F4" s="358">
        <f>'Valve Data'!F18</f>
        <v>3</v>
      </c>
      <c r="G4" s="356" t="str">
        <f t="shared" si="0"/>
        <v>DBB.CS-900#..0,5</v>
      </c>
      <c r="H4" s="350" t="str">
        <f t="shared" si="1"/>
        <v>DBB.CS-900#..0,75</v>
      </c>
      <c r="I4" s="350" t="str">
        <f t="shared" si="1"/>
        <v>DBB.CS-900#..1</v>
      </c>
      <c r="J4" s="350" t="str">
        <f t="shared" si="1"/>
        <v>DBB.CS-900#..1,5</v>
      </c>
      <c r="K4" s="350" t="str">
        <f t="shared" si="1"/>
        <v>DBB.CS-900#..2</v>
      </c>
      <c r="L4" s="350" t="str">
        <f t="shared" si="1"/>
        <v>DBB.CS-900#..2,5</v>
      </c>
      <c r="M4" s="350" t="str">
        <f t="shared" si="1"/>
        <v>DBB.CS-900#..3</v>
      </c>
      <c r="N4" s="350" t="str">
        <f t="shared" si="1"/>
        <v>X</v>
      </c>
      <c r="O4" s="350" t="str">
        <f t="shared" si="1"/>
        <v>X</v>
      </c>
      <c r="P4" s="350" t="str">
        <f t="shared" si="1"/>
        <v>X</v>
      </c>
      <c r="Q4" s="350" t="str">
        <f t="shared" si="1"/>
        <v>X</v>
      </c>
      <c r="R4" s="350" t="str">
        <f t="shared" si="1"/>
        <v>X</v>
      </c>
      <c r="S4" s="350" t="str">
        <f t="shared" si="1"/>
        <v>X</v>
      </c>
      <c r="T4" s="350" t="str">
        <f t="shared" si="1"/>
        <v>X</v>
      </c>
      <c r="U4" s="350" t="str">
        <f t="shared" si="1"/>
        <v>X</v>
      </c>
      <c r="V4" s="350" t="str">
        <f t="shared" si="1"/>
        <v>X</v>
      </c>
      <c r="W4" s="350" t="str">
        <f t="shared" si="1"/>
        <v>X</v>
      </c>
      <c r="X4" s="350" t="str">
        <f t="shared" si="1"/>
        <v>X</v>
      </c>
      <c r="Y4" s="350" t="str">
        <f t="shared" si="2"/>
        <v>X</v>
      </c>
      <c r="Z4" s="350" t="str">
        <f t="shared" si="2"/>
        <v>X</v>
      </c>
      <c r="AA4" s="350" t="str">
        <f t="shared" si="2"/>
        <v>X</v>
      </c>
      <c r="AB4" s="350" t="str">
        <f t="shared" si="2"/>
        <v>X</v>
      </c>
      <c r="AC4" s="350" t="str">
        <f t="shared" si="2"/>
        <v>X</v>
      </c>
      <c r="AD4" s="350" t="str">
        <f t="shared" si="2"/>
        <v>X</v>
      </c>
      <c r="AE4" s="350" t="str">
        <f t="shared" si="2"/>
        <v>X</v>
      </c>
      <c r="AF4" s="350" t="str">
        <f t="shared" si="2"/>
        <v>X</v>
      </c>
      <c r="AG4" s="350" t="str">
        <f t="shared" si="2"/>
        <v>X</v>
      </c>
      <c r="AH4" s="350" t="str">
        <f t="shared" si="2"/>
        <v>X</v>
      </c>
    </row>
    <row r="5" spans="1:34" x14ac:dyDescent="0.3">
      <c r="A5" s="364">
        <v>4</v>
      </c>
      <c r="B5" s="360">
        <f>'Valve Data'!B19</f>
        <v>0</v>
      </c>
      <c r="C5" s="349">
        <f>'Valve Data'!C19</f>
        <v>0</v>
      </c>
      <c r="D5" s="353" t="str">
        <f>IF('Valve Data'!D19=0,"",'Valve Data'!D19)</f>
        <v/>
      </c>
      <c r="E5" s="20">
        <f>'Valve Data'!E19</f>
        <v>0</v>
      </c>
      <c r="F5" s="358">
        <f>'Valve Data'!F19</f>
        <v>0</v>
      </c>
      <c r="G5" s="356" t="str">
        <f t="shared" si="0"/>
        <v>X</v>
      </c>
      <c r="H5" s="350" t="str">
        <f t="shared" si="1"/>
        <v>X</v>
      </c>
      <c r="I5" s="350" t="str">
        <f t="shared" si="1"/>
        <v>X</v>
      </c>
      <c r="J5" s="350" t="str">
        <f t="shared" si="1"/>
        <v>X</v>
      </c>
      <c r="K5" s="350" t="str">
        <f t="shared" si="1"/>
        <v>X</v>
      </c>
      <c r="L5" s="350" t="str">
        <f t="shared" si="1"/>
        <v>X</v>
      </c>
      <c r="M5" s="350" t="str">
        <f t="shared" si="1"/>
        <v>X</v>
      </c>
      <c r="N5" s="350" t="str">
        <f t="shared" si="1"/>
        <v>X</v>
      </c>
      <c r="O5" s="350" t="str">
        <f t="shared" si="1"/>
        <v>X</v>
      </c>
      <c r="P5" s="350" t="str">
        <f t="shared" si="1"/>
        <v>X</v>
      </c>
      <c r="Q5" s="350" t="str">
        <f t="shared" si="1"/>
        <v>X</v>
      </c>
      <c r="R5" s="350" t="str">
        <f t="shared" si="1"/>
        <v>X</v>
      </c>
      <c r="S5" s="350" t="str">
        <f t="shared" si="1"/>
        <v>X</v>
      </c>
      <c r="T5" s="350" t="str">
        <f t="shared" si="1"/>
        <v>X</v>
      </c>
      <c r="U5" s="350" t="str">
        <f t="shared" si="1"/>
        <v>X</v>
      </c>
      <c r="V5" s="350" t="str">
        <f t="shared" si="1"/>
        <v>X</v>
      </c>
      <c r="W5" s="350" t="str">
        <f t="shared" si="1"/>
        <v>X</v>
      </c>
      <c r="X5" s="350" t="str">
        <f t="shared" si="1"/>
        <v>X</v>
      </c>
      <c r="Y5" s="350" t="str">
        <f t="shared" si="2"/>
        <v>X</v>
      </c>
      <c r="Z5" s="350" t="str">
        <f t="shared" si="2"/>
        <v>X</v>
      </c>
      <c r="AA5" s="350" t="str">
        <f t="shared" si="2"/>
        <v>X</v>
      </c>
      <c r="AB5" s="350" t="str">
        <f t="shared" si="2"/>
        <v>X</v>
      </c>
      <c r="AC5" s="350" t="str">
        <f t="shared" si="2"/>
        <v>X</v>
      </c>
      <c r="AD5" s="350" t="str">
        <f t="shared" si="2"/>
        <v>X</v>
      </c>
      <c r="AE5" s="350" t="str">
        <f t="shared" si="2"/>
        <v>X</v>
      </c>
      <c r="AF5" s="350" t="str">
        <f t="shared" si="2"/>
        <v>X</v>
      </c>
      <c r="AG5" s="350" t="str">
        <f t="shared" si="2"/>
        <v>X</v>
      </c>
      <c r="AH5" s="350" t="str">
        <f t="shared" si="2"/>
        <v>X</v>
      </c>
    </row>
    <row r="6" spans="1:34" x14ac:dyDescent="0.3">
      <c r="A6" s="364">
        <v>5</v>
      </c>
      <c r="B6" s="360" t="str">
        <f>'Valve Data'!B7</f>
        <v>Gate_valve</v>
      </c>
      <c r="C6" s="349" t="str">
        <f>'Valve Data'!C7</f>
        <v>CS-150#</v>
      </c>
      <c r="D6" s="353" t="str">
        <f>IF('Valve Data'!D7=0,"",'Valve Data'!D7)</f>
        <v/>
      </c>
      <c r="E6" s="20">
        <f>'Valve Data'!E7</f>
        <v>0.5</v>
      </c>
      <c r="F6" s="358">
        <f>'Valve Data'!F7</f>
        <v>24</v>
      </c>
      <c r="G6" s="356" t="str">
        <f t="shared" si="0"/>
        <v>Gate_valve.CS-150#..0,5</v>
      </c>
      <c r="H6" s="350" t="str">
        <f t="shared" si="1"/>
        <v>Gate_valve.CS-150#..0,75</v>
      </c>
      <c r="I6" s="350" t="str">
        <f t="shared" si="1"/>
        <v>Gate_valve.CS-150#..1</v>
      </c>
      <c r="J6" s="350" t="str">
        <f t="shared" si="1"/>
        <v>Gate_valve.CS-150#..1,5</v>
      </c>
      <c r="K6" s="350" t="str">
        <f t="shared" si="1"/>
        <v>Gate_valve.CS-150#..2</v>
      </c>
      <c r="L6" s="350" t="str">
        <f t="shared" si="1"/>
        <v>Gate_valve.CS-150#..2,5</v>
      </c>
      <c r="M6" s="350" t="str">
        <f t="shared" si="1"/>
        <v>Gate_valve.CS-150#..3</v>
      </c>
      <c r="N6" s="350" t="str">
        <f t="shared" si="1"/>
        <v>Gate_valve.CS-150#..4</v>
      </c>
      <c r="O6" s="350" t="str">
        <f t="shared" si="1"/>
        <v>Gate_valve.CS-150#..5</v>
      </c>
      <c r="P6" s="350" t="str">
        <f t="shared" si="1"/>
        <v>Gate_valve.CS-150#..6</v>
      </c>
      <c r="Q6" s="350" t="str">
        <f t="shared" si="1"/>
        <v>Gate_valve.CS-150#..8</v>
      </c>
      <c r="R6" s="350" t="str">
        <f t="shared" si="1"/>
        <v>Gate_valve.CS-150#..10</v>
      </c>
      <c r="S6" s="350" t="str">
        <f t="shared" si="1"/>
        <v>Gate_valve.CS-150#..12</v>
      </c>
      <c r="T6" s="350" t="str">
        <f t="shared" si="1"/>
        <v>Gate_valve.CS-150#..14</v>
      </c>
      <c r="U6" s="350" t="str">
        <f t="shared" si="1"/>
        <v>Gate_valve.CS-150#..16</v>
      </c>
      <c r="V6" s="350" t="str">
        <f t="shared" si="1"/>
        <v>Gate_valve.CS-150#..18</v>
      </c>
      <c r="W6" s="350" t="str">
        <f t="shared" si="1"/>
        <v>Gate_valve.CS-150#..20</v>
      </c>
      <c r="X6" s="350" t="str">
        <f t="shared" si="1"/>
        <v>Gate_valve.CS-150#..22</v>
      </c>
      <c r="Y6" s="350" t="str">
        <f t="shared" si="2"/>
        <v>Gate_valve.CS-150#..24</v>
      </c>
      <c r="Z6" s="350" t="str">
        <f t="shared" si="2"/>
        <v>X</v>
      </c>
      <c r="AA6" s="350" t="str">
        <f t="shared" si="2"/>
        <v>X</v>
      </c>
      <c r="AB6" s="350" t="str">
        <f t="shared" si="2"/>
        <v>X</v>
      </c>
      <c r="AC6" s="350" t="str">
        <f t="shared" si="2"/>
        <v>X</v>
      </c>
      <c r="AD6" s="350" t="str">
        <f t="shared" si="2"/>
        <v>X</v>
      </c>
      <c r="AE6" s="350" t="str">
        <f t="shared" si="2"/>
        <v>X</v>
      </c>
      <c r="AF6" s="350" t="str">
        <f t="shared" si="2"/>
        <v>X</v>
      </c>
      <c r="AG6" s="350" t="str">
        <f t="shared" si="2"/>
        <v>X</v>
      </c>
      <c r="AH6" s="350" t="str">
        <f t="shared" si="2"/>
        <v>X</v>
      </c>
    </row>
    <row r="7" spans="1:34" x14ac:dyDescent="0.3">
      <c r="A7" s="364">
        <v>6</v>
      </c>
      <c r="B7" s="360" t="str">
        <f>'Valve Data'!B4</f>
        <v>Ball_valve</v>
      </c>
      <c r="C7" s="349" t="str">
        <f>'Valve Data'!C4</f>
        <v>CS-150#</v>
      </c>
      <c r="D7" s="353" t="str">
        <f>IF('Valve Data'!D4=0,"",'Valve Data'!D4)</f>
        <v>RB</v>
      </c>
      <c r="E7" s="20">
        <f>'Valve Data'!E4</f>
        <v>8</v>
      </c>
      <c r="F7" s="358">
        <f>'Valve Data'!F4</f>
        <v>24</v>
      </c>
      <c r="G7" s="356" t="str">
        <f t="shared" si="0"/>
        <v>X</v>
      </c>
      <c r="H7" s="350" t="str">
        <f t="shared" si="1"/>
        <v>X</v>
      </c>
      <c r="I7" s="350" t="str">
        <f t="shared" si="1"/>
        <v>X</v>
      </c>
      <c r="J7" s="350" t="str">
        <f t="shared" si="1"/>
        <v>X</v>
      </c>
      <c r="K7" s="350" t="str">
        <f t="shared" si="1"/>
        <v>X</v>
      </c>
      <c r="L7" s="350" t="str">
        <f t="shared" si="1"/>
        <v>X</v>
      </c>
      <c r="M7" s="350" t="str">
        <f t="shared" si="1"/>
        <v>X</v>
      </c>
      <c r="N7" s="350" t="str">
        <f t="shared" si="1"/>
        <v>X</v>
      </c>
      <c r="O7" s="350" t="str">
        <f t="shared" si="1"/>
        <v>X</v>
      </c>
      <c r="P7" s="350" t="str">
        <f t="shared" si="1"/>
        <v>X</v>
      </c>
      <c r="Q7" s="350" t="str">
        <f t="shared" si="1"/>
        <v>Ball_valve.CS-150#.RB.8</v>
      </c>
      <c r="R7" s="350" t="str">
        <f t="shared" si="1"/>
        <v>Ball_valve.CS-150#.RB.10</v>
      </c>
      <c r="S7" s="350" t="str">
        <f t="shared" si="1"/>
        <v>Ball_valve.CS-150#.RB.12</v>
      </c>
      <c r="T7" s="350" t="str">
        <f t="shared" si="1"/>
        <v>Ball_valve.CS-150#.RB.14</v>
      </c>
      <c r="U7" s="350" t="str">
        <f t="shared" si="1"/>
        <v>Ball_valve.CS-150#.RB.16</v>
      </c>
      <c r="V7" s="350" t="str">
        <f t="shared" si="1"/>
        <v>Ball_valve.CS-150#.RB.18</v>
      </c>
      <c r="W7" s="350" t="str">
        <f t="shared" si="1"/>
        <v>Ball_valve.CS-150#.RB.20</v>
      </c>
      <c r="X7" s="350" t="str">
        <f t="shared" si="1"/>
        <v>Ball_valve.CS-150#.RB.22</v>
      </c>
      <c r="Y7" s="350" t="str">
        <f t="shared" si="2"/>
        <v>Ball_valve.CS-150#.RB.24</v>
      </c>
      <c r="Z7" s="350" t="str">
        <f t="shared" si="2"/>
        <v>X</v>
      </c>
      <c r="AA7" s="350" t="str">
        <f t="shared" si="2"/>
        <v>X</v>
      </c>
      <c r="AB7" s="350" t="str">
        <f t="shared" si="2"/>
        <v>X</v>
      </c>
      <c r="AC7" s="350" t="str">
        <f t="shared" si="2"/>
        <v>X</v>
      </c>
      <c r="AD7" s="350" t="str">
        <f t="shared" si="2"/>
        <v>X</v>
      </c>
      <c r="AE7" s="350" t="str">
        <f t="shared" si="2"/>
        <v>X</v>
      </c>
      <c r="AF7" s="350" t="str">
        <f t="shared" si="2"/>
        <v>X</v>
      </c>
      <c r="AG7" s="350" t="str">
        <f t="shared" si="2"/>
        <v>X</v>
      </c>
      <c r="AH7" s="350" t="str">
        <f t="shared" si="2"/>
        <v>X</v>
      </c>
    </row>
    <row r="8" spans="1:34" x14ac:dyDescent="0.3">
      <c r="A8" s="364">
        <v>7</v>
      </c>
      <c r="B8" s="360" t="str">
        <f>'Valve Data'!B11</f>
        <v>Ball_valve</v>
      </c>
      <c r="C8" s="349" t="str">
        <f>'Valve Data'!C11</f>
        <v>SS-600#</v>
      </c>
      <c r="D8" s="353" t="str">
        <f>IF('Valve Data'!D11=0,"",'Valve Data'!D11)</f>
        <v>RB</v>
      </c>
      <c r="E8" s="20">
        <f>'Valve Data'!E11</f>
        <v>0.5</v>
      </c>
      <c r="F8" s="358">
        <f>'Valve Data'!F11</f>
        <v>1.5</v>
      </c>
      <c r="G8" s="356" t="str">
        <f t="shared" si="0"/>
        <v>Ball_valve.SS-600#.RB.0,5</v>
      </c>
      <c r="H8" s="350" t="str">
        <f t="shared" si="1"/>
        <v>Ball_valve.SS-600#.RB.0,75</v>
      </c>
      <c r="I8" s="350" t="str">
        <f t="shared" si="1"/>
        <v>Ball_valve.SS-600#.RB.1</v>
      </c>
      <c r="J8" s="350" t="str">
        <f t="shared" si="1"/>
        <v>Ball_valve.SS-600#.RB.1,5</v>
      </c>
      <c r="K8" s="350" t="str">
        <f t="shared" si="1"/>
        <v>X</v>
      </c>
      <c r="L8" s="350" t="str">
        <f t="shared" si="1"/>
        <v>X</v>
      </c>
      <c r="M8" s="350" t="str">
        <f t="shared" si="1"/>
        <v>X</v>
      </c>
      <c r="N8" s="350" t="str">
        <f t="shared" si="1"/>
        <v>X</v>
      </c>
      <c r="O8" s="350" t="str">
        <f t="shared" si="1"/>
        <v>X</v>
      </c>
      <c r="P8" s="350" t="str">
        <f t="shared" si="1"/>
        <v>X</v>
      </c>
      <c r="Q8" s="350" t="str">
        <f t="shared" si="1"/>
        <v>X</v>
      </c>
      <c r="R8" s="350" t="str">
        <f t="shared" si="1"/>
        <v>X</v>
      </c>
      <c r="S8" s="350" t="str">
        <f t="shared" si="1"/>
        <v>X</v>
      </c>
      <c r="T8" s="350" t="str">
        <f t="shared" si="1"/>
        <v>X</v>
      </c>
      <c r="U8" s="350" t="str">
        <f t="shared" si="1"/>
        <v>X</v>
      </c>
      <c r="V8" s="350" t="str">
        <f t="shared" si="1"/>
        <v>X</v>
      </c>
      <c r="W8" s="350" t="str">
        <f t="shared" si="1"/>
        <v>X</v>
      </c>
      <c r="X8" s="350" t="str">
        <f t="shared" si="1"/>
        <v>X</v>
      </c>
      <c r="Y8" s="350" t="str">
        <f t="shared" si="2"/>
        <v>X</v>
      </c>
      <c r="Z8" s="350" t="str">
        <f t="shared" si="2"/>
        <v>X</v>
      </c>
      <c r="AA8" s="350" t="str">
        <f t="shared" si="2"/>
        <v>X</v>
      </c>
      <c r="AB8" s="350" t="str">
        <f t="shared" si="2"/>
        <v>X</v>
      </c>
      <c r="AC8" s="350" t="str">
        <f t="shared" si="2"/>
        <v>X</v>
      </c>
      <c r="AD8" s="350" t="str">
        <f t="shared" si="2"/>
        <v>X</v>
      </c>
      <c r="AE8" s="350" t="str">
        <f t="shared" si="2"/>
        <v>X</v>
      </c>
      <c r="AF8" s="350" t="str">
        <f t="shared" si="2"/>
        <v>X</v>
      </c>
      <c r="AG8" s="350" t="str">
        <f t="shared" si="2"/>
        <v>X</v>
      </c>
      <c r="AH8" s="350" t="str">
        <f t="shared" si="2"/>
        <v>X</v>
      </c>
    </row>
    <row r="9" spans="1:34" x14ac:dyDescent="0.3">
      <c r="A9" s="364">
        <v>8</v>
      </c>
      <c r="B9" s="360" t="str">
        <f>'Valve Data'!B20</f>
        <v>Ball_valve</v>
      </c>
      <c r="C9" s="349" t="str">
        <f>'Valve Data'!C20</f>
        <v>SS-300#</v>
      </c>
      <c r="D9" s="353" t="str">
        <f>IF('Valve Data'!D20=0,"",'Valve Data'!D20)</f>
        <v>RB</v>
      </c>
      <c r="E9" s="20">
        <f>'Valve Data'!E20</f>
        <v>0.5</v>
      </c>
      <c r="F9" s="358">
        <f>'Valve Data'!F20</f>
        <v>1.5</v>
      </c>
      <c r="G9" s="356" t="str">
        <f t="shared" si="0"/>
        <v>Ball_valve.SS-300#.RB.0,5</v>
      </c>
      <c r="H9" s="350" t="str">
        <f t="shared" si="1"/>
        <v>Ball_valve.SS-300#.RB.0,75</v>
      </c>
      <c r="I9" s="350" t="str">
        <f t="shared" si="1"/>
        <v>Ball_valve.SS-300#.RB.1</v>
      </c>
      <c r="J9" s="350" t="str">
        <f t="shared" si="1"/>
        <v>Ball_valve.SS-300#.RB.1,5</v>
      </c>
      <c r="K9" s="350" t="str">
        <f t="shared" si="1"/>
        <v>X</v>
      </c>
      <c r="L9" s="350" t="str">
        <f t="shared" si="1"/>
        <v>X</v>
      </c>
      <c r="M9" s="350" t="str">
        <f t="shared" si="1"/>
        <v>X</v>
      </c>
      <c r="N9" s="350" t="str">
        <f t="shared" si="1"/>
        <v>X</v>
      </c>
      <c r="O9" s="350" t="str">
        <f t="shared" si="1"/>
        <v>X</v>
      </c>
      <c r="P9" s="350" t="str">
        <f t="shared" si="1"/>
        <v>X</v>
      </c>
      <c r="Q9" s="350" t="str">
        <f t="shared" si="1"/>
        <v>X</v>
      </c>
      <c r="R9" s="350" t="str">
        <f t="shared" si="1"/>
        <v>X</v>
      </c>
      <c r="S9" s="350" t="str">
        <f t="shared" si="1"/>
        <v>X</v>
      </c>
      <c r="T9" s="350" t="str">
        <f t="shared" si="1"/>
        <v>X</v>
      </c>
      <c r="U9" s="350" t="str">
        <f t="shared" si="1"/>
        <v>X</v>
      </c>
      <c r="V9" s="350" t="str">
        <f t="shared" si="1"/>
        <v>X</v>
      </c>
      <c r="W9" s="350" t="str">
        <f t="shared" si="1"/>
        <v>X</v>
      </c>
      <c r="X9" s="350" t="str">
        <f t="shared" si="1"/>
        <v>X</v>
      </c>
      <c r="Y9" s="350" t="str">
        <f t="shared" si="2"/>
        <v>X</v>
      </c>
      <c r="Z9" s="350" t="str">
        <f t="shared" si="2"/>
        <v>X</v>
      </c>
      <c r="AA9" s="350" t="str">
        <f t="shared" si="2"/>
        <v>X</v>
      </c>
      <c r="AB9" s="350" t="str">
        <f t="shared" si="2"/>
        <v>X</v>
      </c>
      <c r="AC9" s="350" t="str">
        <f t="shared" si="2"/>
        <v>X</v>
      </c>
      <c r="AD9" s="350" t="str">
        <f t="shared" si="2"/>
        <v>X</v>
      </c>
      <c r="AE9" s="350" t="str">
        <f t="shared" si="2"/>
        <v>X</v>
      </c>
      <c r="AF9" s="350" t="str">
        <f t="shared" si="2"/>
        <v>X</v>
      </c>
      <c r="AG9" s="350" t="str">
        <f t="shared" si="2"/>
        <v>X</v>
      </c>
      <c r="AH9" s="350" t="str">
        <f t="shared" si="2"/>
        <v>X</v>
      </c>
    </row>
    <row r="10" spans="1:34" x14ac:dyDescent="0.3">
      <c r="A10" s="364">
        <v>9</v>
      </c>
      <c r="B10" s="360" t="str">
        <f>'Valve Data'!B21</f>
        <v>Ball_valve</v>
      </c>
      <c r="C10" s="349" t="str">
        <f>'Valve Data'!C21</f>
        <v>SS-300#</v>
      </c>
      <c r="D10" s="353" t="str">
        <f>IF('Valve Data'!D21=0,"",'Valve Data'!D21)</f>
        <v>RB</v>
      </c>
      <c r="E10" s="20">
        <f>'Valve Data'!E21</f>
        <v>2</v>
      </c>
      <c r="F10" s="358">
        <f>'Valve Data'!F21</f>
        <v>6</v>
      </c>
      <c r="G10" s="356" t="str">
        <f t="shared" si="0"/>
        <v>X</v>
      </c>
      <c r="H10" s="350" t="str">
        <f t="shared" si="1"/>
        <v>X</v>
      </c>
      <c r="I10" s="350" t="str">
        <f t="shared" si="1"/>
        <v>X</v>
      </c>
      <c r="J10" s="350" t="str">
        <f t="shared" si="1"/>
        <v>X</v>
      </c>
      <c r="K10" s="350" t="str">
        <f t="shared" si="1"/>
        <v>Ball_valve.SS-300#.RB.2</v>
      </c>
      <c r="L10" s="350" t="str">
        <f t="shared" si="1"/>
        <v>Ball_valve.SS-300#.RB.2,5</v>
      </c>
      <c r="M10" s="350" t="str">
        <f t="shared" si="1"/>
        <v>Ball_valve.SS-300#.RB.3</v>
      </c>
      <c r="N10" s="350" t="str">
        <f t="shared" si="1"/>
        <v>Ball_valve.SS-300#.RB.4</v>
      </c>
      <c r="O10" s="350" t="str">
        <f t="shared" si="1"/>
        <v>Ball_valve.SS-300#.RB.5</v>
      </c>
      <c r="P10" s="350" t="str">
        <f t="shared" si="1"/>
        <v>Ball_valve.SS-300#.RB.6</v>
      </c>
      <c r="Q10" s="350" t="str">
        <f t="shared" si="1"/>
        <v>X</v>
      </c>
      <c r="R10" s="350" t="str">
        <f t="shared" si="1"/>
        <v>X</v>
      </c>
      <c r="S10" s="350" t="str">
        <f t="shared" si="1"/>
        <v>X</v>
      </c>
      <c r="T10" s="350" t="str">
        <f t="shared" si="1"/>
        <v>X</v>
      </c>
      <c r="U10" s="350" t="str">
        <f t="shared" si="1"/>
        <v>X</v>
      </c>
      <c r="V10" s="350" t="str">
        <f t="shared" si="1"/>
        <v>X</v>
      </c>
      <c r="W10" s="350" t="str">
        <f t="shared" si="1"/>
        <v>X</v>
      </c>
      <c r="X10" s="350" t="str">
        <f t="shared" si="1"/>
        <v>X</v>
      </c>
      <c r="Y10" s="350" t="str">
        <f t="shared" si="2"/>
        <v>X</v>
      </c>
      <c r="Z10" s="350" t="str">
        <f t="shared" si="2"/>
        <v>X</v>
      </c>
      <c r="AA10" s="350" t="str">
        <f t="shared" si="2"/>
        <v>X</v>
      </c>
      <c r="AB10" s="350" t="str">
        <f t="shared" si="2"/>
        <v>X</v>
      </c>
      <c r="AC10" s="350" t="str">
        <f t="shared" si="2"/>
        <v>X</v>
      </c>
      <c r="AD10" s="350" t="str">
        <f t="shared" si="2"/>
        <v>X</v>
      </c>
      <c r="AE10" s="350" t="str">
        <f t="shared" si="2"/>
        <v>X</v>
      </c>
      <c r="AF10" s="350" t="str">
        <f t="shared" si="2"/>
        <v>X</v>
      </c>
      <c r="AG10" s="350" t="str">
        <f t="shared" si="2"/>
        <v>X</v>
      </c>
      <c r="AH10" s="350" t="str">
        <f t="shared" si="2"/>
        <v>X</v>
      </c>
    </row>
    <row r="11" spans="1:34" x14ac:dyDescent="0.3">
      <c r="A11" s="364">
        <v>10</v>
      </c>
      <c r="B11" s="360">
        <f>'Valve Data'!B8</f>
        <v>0</v>
      </c>
      <c r="C11" s="349">
        <f>'Valve Data'!C8</f>
        <v>0</v>
      </c>
      <c r="D11" s="353" t="str">
        <f>IF('Valve Data'!D8=0,"",'Valve Data'!D8)</f>
        <v/>
      </c>
      <c r="E11" s="20">
        <f>'Valve Data'!E8</f>
        <v>0</v>
      </c>
      <c r="F11" s="358">
        <f>'Valve Data'!F8</f>
        <v>0</v>
      </c>
      <c r="G11" s="356" t="str">
        <f t="shared" si="0"/>
        <v>X</v>
      </c>
      <c r="H11" s="350" t="str">
        <f t="shared" si="1"/>
        <v>X</v>
      </c>
      <c r="I11" s="350" t="str">
        <f t="shared" si="1"/>
        <v>X</v>
      </c>
      <c r="J11" s="350" t="str">
        <f t="shared" si="1"/>
        <v>X</v>
      </c>
      <c r="K11" s="350" t="str">
        <f t="shared" si="1"/>
        <v>X</v>
      </c>
      <c r="L11" s="350" t="str">
        <f t="shared" si="1"/>
        <v>X</v>
      </c>
      <c r="M11" s="350" t="str">
        <f t="shared" si="1"/>
        <v>X</v>
      </c>
      <c r="N11" s="350" t="str">
        <f t="shared" si="1"/>
        <v>X</v>
      </c>
      <c r="O11" s="350" t="str">
        <f t="shared" si="1"/>
        <v>X</v>
      </c>
      <c r="P11" s="350" t="str">
        <f t="shared" si="1"/>
        <v>X</v>
      </c>
      <c r="Q11" s="350" t="str">
        <f t="shared" si="1"/>
        <v>X</v>
      </c>
      <c r="R11" s="350" t="str">
        <f t="shared" si="1"/>
        <v>X</v>
      </c>
      <c r="S11" s="350" t="str">
        <f t="shared" si="1"/>
        <v>X</v>
      </c>
      <c r="T11" s="350" t="str">
        <f t="shared" si="1"/>
        <v>X</v>
      </c>
      <c r="U11" s="350" t="str">
        <f t="shared" si="1"/>
        <v>X</v>
      </c>
      <c r="V11" s="350" t="str">
        <f t="shared" si="1"/>
        <v>X</v>
      </c>
      <c r="W11" s="350" t="str">
        <f t="shared" si="1"/>
        <v>X</v>
      </c>
      <c r="X11" s="350" t="str">
        <f t="shared" si="1"/>
        <v>X</v>
      </c>
      <c r="Y11" s="350" t="str">
        <f t="shared" si="2"/>
        <v>X</v>
      </c>
      <c r="Z11" s="350" t="str">
        <f t="shared" si="2"/>
        <v>X</v>
      </c>
      <c r="AA11" s="350" t="str">
        <f t="shared" si="2"/>
        <v>X</v>
      </c>
      <c r="AB11" s="350" t="str">
        <f t="shared" si="2"/>
        <v>X</v>
      </c>
      <c r="AC11" s="350" t="str">
        <f t="shared" si="2"/>
        <v>X</v>
      </c>
      <c r="AD11" s="350" t="str">
        <f t="shared" si="2"/>
        <v>X</v>
      </c>
      <c r="AE11" s="350" t="str">
        <f t="shared" si="2"/>
        <v>X</v>
      </c>
      <c r="AF11" s="350" t="str">
        <f t="shared" si="2"/>
        <v>X</v>
      </c>
      <c r="AG11" s="350" t="str">
        <f t="shared" si="2"/>
        <v>X</v>
      </c>
      <c r="AH11" s="350" t="str">
        <f t="shared" si="2"/>
        <v>X</v>
      </c>
    </row>
    <row r="12" spans="1:34" x14ac:dyDescent="0.3">
      <c r="A12" s="364">
        <v>11</v>
      </c>
      <c r="B12" s="360" t="str">
        <f>'Valve Data'!B12</f>
        <v>Ball_valve</v>
      </c>
      <c r="C12" s="349" t="str">
        <f>'Valve Data'!C12</f>
        <v>SS-600#</v>
      </c>
      <c r="D12" s="353" t="str">
        <f>IF('Valve Data'!D12=0,"",'Valve Data'!D12)</f>
        <v>RB</v>
      </c>
      <c r="E12" s="20">
        <f>'Valve Data'!E12</f>
        <v>1</v>
      </c>
      <c r="F12" s="358">
        <f>'Valve Data'!F12</f>
        <v>6</v>
      </c>
      <c r="G12" s="356" t="str">
        <f t="shared" si="0"/>
        <v>X</v>
      </c>
      <c r="H12" s="350" t="str">
        <f t="shared" si="1"/>
        <v>X</v>
      </c>
      <c r="I12" s="350" t="str">
        <f t="shared" si="1"/>
        <v>Ball_valve.SS-600#.RB.1</v>
      </c>
      <c r="J12" s="350" t="str">
        <f t="shared" si="1"/>
        <v>Ball_valve.SS-600#.RB.1,5</v>
      </c>
      <c r="K12" s="350" t="str">
        <f t="shared" si="1"/>
        <v>Ball_valve.SS-600#.RB.2</v>
      </c>
      <c r="L12" s="350" t="str">
        <f t="shared" si="1"/>
        <v>Ball_valve.SS-600#.RB.2,5</v>
      </c>
      <c r="M12" s="350" t="str">
        <f t="shared" si="1"/>
        <v>Ball_valve.SS-600#.RB.3</v>
      </c>
      <c r="N12" s="350" t="str">
        <f t="shared" si="1"/>
        <v>Ball_valve.SS-600#.RB.4</v>
      </c>
      <c r="O12" s="350" t="str">
        <f t="shared" si="1"/>
        <v>Ball_valve.SS-600#.RB.5</v>
      </c>
      <c r="P12" s="350" t="str">
        <f t="shared" si="1"/>
        <v>Ball_valve.SS-600#.RB.6</v>
      </c>
      <c r="Q12" s="350" t="str">
        <f t="shared" si="1"/>
        <v>X</v>
      </c>
      <c r="R12" s="350" t="str">
        <f t="shared" si="1"/>
        <v>X</v>
      </c>
      <c r="S12" s="350" t="str">
        <f t="shared" si="1"/>
        <v>X</v>
      </c>
      <c r="T12" s="350" t="str">
        <f t="shared" si="1"/>
        <v>X</v>
      </c>
      <c r="U12" s="350" t="str">
        <f t="shared" si="1"/>
        <v>X</v>
      </c>
      <c r="V12" s="350" t="str">
        <f t="shared" si="1"/>
        <v>X</v>
      </c>
      <c r="W12" s="350" t="str">
        <f t="shared" si="1"/>
        <v>X</v>
      </c>
      <c r="X12" s="350" t="str">
        <f t="shared" si="1"/>
        <v>X</v>
      </c>
      <c r="Y12" s="350" t="str">
        <f t="shared" si="2"/>
        <v>X</v>
      </c>
      <c r="Z12" s="350" t="str">
        <f t="shared" si="2"/>
        <v>X</v>
      </c>
      <c r="AA12" s="350" t="str">
        <f t="shared" si="2"/>
        <v>X</v>
      </c>
      <c r="AB12" s="350" t="str">
        <f t="shared" si="2"/>
        <v>X</v>
      </c>
      <c r="AC12" s="350" t="str">
        <f t="shared" si="2"/>
        <v>X</v>
      </c>
      <c r="AD12" s="350" t="str">
        <f t="shared" si="2"/>
        <v>X</v>
      </c>
      <c r="AE12" s="350" t="str">
        <f t="shared" si="2"/>
        <v>X</v>
      </c>
      <c r="AF12" s="350" t="str">
        <f t="shared" si="2"/>
        <v>X</v>
      </c>
      <c r="AG12" s="350" t="str">
        <f t="shared" si="2"/>
        <v>X</v>
      </c>
      <c r="AH12" s="350" t="str">
        <f t="shared" si="2"/>
        <v>X</v>
      </c>
    </row>
    <row r="13" spans="1:34" x14ac:dyDescent="0.3">
      <c r="A13" s="364">
        <v>12</v>
      </c>
      <c r="B13" s="360" t="str">
        <f>'Valve Data'!B22</f>
        <v>Ball_valve</v>
      </c>
      <c r="C13" s="349" t="str">
        <f>'Valve Data'!C22</f>
        <v>SS-300#</v>
      </c>
      <c r="D13" s="353" t="str">
        <f>IF('Valve Data'!D22=0,"",'Valve Data'!D22)</f>
        <v>RB</v>
      </c>
      <c r="E13" s="20">
        <f>'Valve Data'!E22</f>
        <v>8</v>
      </c>
      <c r="F13" s="358">
        <f>'Valve Data'!F22</f>
        <v>24</v>
      </c>
      <c r="G13" s="356" t="str">
        <f t="shared" si="0"/>
        <v>X</v>
      </c>
      <c r="H13" s="350" t="str">
        <f t="shared" si="1"/>
        <v>X</v>
      </c>
      <c r="I13" s="350" t="str">
        <f t="shared" si="1"/>
        <v>X</v>
      </c>
      <c r="J13" s="350" t="str">
        <f t="shared" si="1"/>
        <v>X</v>
      </c>
      <c r="K13" s="350" t="str">
        <f t="shared" si="1"/>
        <v>X</v>
      </c>
      <c r="L13" s="350" t="str">
        <f t="shared" si="1"/>
        <v>X</v>
      </c>
      <c r="M13" s="350" t="str">
        <f t="shared" si="1"/>
        <v>X</v>
      </c>
      <c r="N13" s="350" t="str">
        <f t="shared" si="1"/>
        <v>X</v>
      </c>
      <c r="O13" s="350" t="str">
        <f t="shared" si="1"/>
        <v>X</v>
      </c>
      <c r="P13" s="350" t="str">
        <f t="shared" si="1"/>
        <v>X</v>
      </c>
      <c r="Q13" s="350" t="str">
        <f t="shared" si="1"/>
        <v>Ball_valve.SS-300#.RB.8</v>
      </c>
      <c r="R13" s="350" t="str">
        <f t="shared" si="1"/>
        <v>Ball_valve.SS-300#.RB.10</v>
      </c>
      <c r="S13" s="350" t="str">
        <f t="shared" si="1"/>
        <v>Ball_valve.SS-300#.RB.12</v>
      </c>
      <c r="T13" s="350" t="str">
        <f t="shared" si="1"/>
        <v>Ball_valve.SS-300#.RB.14</v>
      </c>
      <c r="U13" s="350" t="str">
        <f t="shared" si="1"/>
        <v>Ball_valve.SS-300#.RB.16</v>
      </c>
      <c r="V13" s="350" t="str">
        <f t="shared" si="1"/>
        <v>Ball_valve.SS-300#.RB.18</v>
      </c>
      <c r="W13" s="350" t="str">
        <f t="shared" si="1"/>
        <v>Ball_valve.SS-300#.RB.20</v>
      </c>
      <c r="X13" s="350" t="str">
        <f t="shared" si="1"/>
        <v>Ball_valve.SS-300#.RB.22</v>
      </c>
      <c r="Y13" s="350" t="str">
        <f t="shared" si="2"/>
        <v>Ball_valve.SS-300#.RB.24</v>
      </c>
      <c r="Z13" s="350" t="str">
        <f t="shared" si="2"/>
        <v>X</v>
      </c>
      <c r="AA13" s="350" t="str">
        <f t="shared" si="2"/>
        <v>X</v>
      </c>
      <c r="AB13" s="350" t="str">
        <f t="shared" si="2"/>
        <v>X</v>
      </c>
      <c r="AC13" s="350" t="str">
        <f t="shared" si="2"/>
        <v>X</v>
      </c>
      <c r="AD13" s="350" t="str">
        <f t="shared" si="2"/>
        <v>X</v>
      </c>
      <c r="AE13" s="350" t="str">
        <f t="shared" si="2"/>
        <v>X</v>
      </c>
      <c r="AF13" s="350" t="str">
        <f t="shared" si="2"/>
        <v>X</v>
      </c>
      <c r="AG13" s="350" t="str">
        <f t="shared" si="2"/>
        <v>X</v>
      </c>
      <c r="AH13" s="350" t="str">
        <f t="shared" si="2"/>
        <v>X</v>
      </c>
    </row>
    <row r="14" spans="1:34" x14ac:dyDescent="0.3">
      <c r="A14" s="364">
        <v>13</v>
      </c>
      <c r="B14" s="360" t="str">
        <f>'Valve Data'!B23</f>
        <v>Check_valve</v>
      </c>
      <c r="C14" s="349" t="str">
        <f>'Valve Data'!C23</f>
        <v>SS-300#</v>
      </c>
      <c r="D14" s="353" t="str">
        <f>IF('Valve Data'!D23=0,"",'Valve Data'!D23)</f>
        <v/>
      </c>
      <c r="E14" s="20">
        <f>'Valve Data'!E23</f>
        <v>0.5</v>
      </c>
      <c r="F14" s="358">
        <f>'Valve Data'!F23</f>
        <v>24</v>
      </c>
      <c r="G14" s="356" t="str">
        <f t="shared" si="0"/>
        <v>Check_valve.SS-300#..0,5</v>
      </c>
      <c r="H14" s="350" t="str">
        <f t="shared" si="1"/>
        <v>Check_valve.SS-300#..0,75</v>
      </c>
      <c r="I14" s="350" t="str">
        <f t="shared" si="1"/>
        <v>Check_valve.SS-300#..1</v>
      </c>
      <c r="J14" s="350" t="str">
        <f t="shared" si="1"/>
        <v>Check_valve.SS-300#..1,5</v>
      </c>
      <c r="K14" s="350" t="str">
        <f t="shared" si="1"/>
        <v>Check_valve.SS-300#..2</v>
      </c>
      <c r="L14" s="350" t="str">
        <f t="shared" si="1"/>
        <v>Check_valve.SS-300#..2,5</v>
      </c>
      <c r="M14" s="350" t="str">
        <f t="shared" si="1"/>
        <v>Check_valve.SS-300#..3</v>
      </c>
      <c r="N14" s="350" t="str">
        <f t="shared" si="1"/>
        <v>Check_valve.SS-300#..4</v>
      </c>
      <c r="O14" s="350" t="str">
        <f t="shared" si="1"/>
        <v>Check_valve.SS-300#..5</v>
      </c>
      <c r="P14" s="350" t="str">
        <f t="shared" si="1"/>
        <v>Check_valve.SS-300#..6</v>
      </c>
      <c r="Q14" s="350" t="str">
        <f t="shared" si="1"/>
        <v>Check_valve.SS-300#..8</v>
      </c>
      <c r="R14" s="350" t="str">
        <f t="shared" si="1"/>
        <v>Check_valve.SS-300#..10</v>
      </c>
      <c r="S14" s="350" t="str">
        <f t="shared" si="1"/>
        <v>Check_valve.SS-300#..12</v>
      </c>
      <c r="T14" s="350" t="str">
        <f t="shared" si="1"/>
        <v>Check_valve.SS-300#..14</v>
      </c>
      <c r="U14" s="350" t="str">
        <f t="shared" si="1"/>
        <v>Check_valve.SS-300#..16</v>
      </c>
      <c r="V14" s="350" t="str">
        <f t="shared" si="1"/>
        <v>Check_valve.SS-300#..18</v>
      </c>
      <c r="W14" s="350" t="str">
        <f t="shared" si="1"/>
        <v>Check_valve.SS-300#..20</v>
      </c>
      <c r="X14" s="350" t="str">
        <f t="shared" si="1"/>
        <v>Check_valve.SS-300#..22</v>
      </c>
      <c r="Y14" s="350" t="str">
        <f t="shared" si="2"/>
        <v>Check_valve.SS-300#..24</v>
      </c>
      <c r="Z14" s="350" t="str">
        <f t="shared" si="2"/>
        <v>X</v>
      </c>
      <c r="AA14" s="350" t="str">
        <f t="shared" si="2"/>
        <v>X</v>
      </c>
      <c r="AB14" s="350" t="str">
        <f t="shared" si="2"/>
        <v>X</v>
      </c>
      <c r="AC14" s="350" t="str">
        <f t="shared" si="2"/>
        <v>X</v>
      </c>
      <c r="AD14" s="350" t="str">
        <f t="shared" si="2"/>
        <v>X</v>
      </c>
      <c r="AE14" s="350" t="str">
        <f t="shared" si="2"/>
        <v>X</v>
      </c>
      <c r="AF14" s="350" t="str">
        <f t="shared" si="2"/>
        <v>X</v>
      </c>
      <c r="AG14" s="350" t="str">
        <f t="shared" si="2"/>
        <v>X</v>
      </c>
      <c r="AH14" s="350" t="str">
        <f t="shared" si="2"/>
        <v>X</v>
      </c>
    </row>
    <row r="15" spans="1:34" x14ac:dyDescent="0.3">
      <c r="A15" s="364">
        <v>14</v>
      </c>
      <c r="B15" s="360" t="str">
        <f>'Valve Data'!B13</f>
        <v>Ball_valve</v>
      </c>
      <c r="C15" s="349" t="str">
        <f>'Valve Data'!C13</f>
        <v>SS-600#</v>
      </c>
      <c r="D15" s="353" t="str">
        <f>IF('Valve Data'!D13=0,"",'Valve Data'!D13)</f>
        <v>RB</v>
      </c>
      <c r="E15" s="20">
        <f>'Valve Data'!E13</f>
        <v>8</v>
      </c>
      <c r="F15" s="358">
        <f>'Valve Data'!F13</f>
        <v>24</v>
      </c>
      <c r="G15" s="356" t="str">
        <f t="shared" si="0"/>
        <v>X</v>
      </c>
      <c r="H15" s="350" t="str">
        <f t="shared" si="1"/>
        <v>X</v>
      </c>
      <c r="I15" s="350" t="str">
        <f t="shared" si="1"/>
        <v>X</v>
      </c>
      <c r="J15" s="350" t="str">
        <f t="shared" si="1"/>
        <v>X</v>
      </c>
      <c r="K15" s="350" t="str">
        <f t="shared" si="1"/>
        <v>X</v>
      </c>
      <c r="L15" s="350" t="str">
        <f t="shared" si="1"/>
        <v>X</v>
      </c>
      <c r="M15" s="350" t="str">
        <f t="shared" si="1"/>
        <v>X</v>
      </c>
      <c r="N15" s="350" t="str">
        <f t="shared" si="1"/>
        <v>X</v>
      </c>
      <c r="O15" s="350" t="str">
        <f t="shared" si="1"/>
        <v>X</v>
      </c>
      <c r="P15" s="350" t="str">
        <f t="shared" si="1"/>
        <v>X</v>
      </c>
      <c r="Q15" s="350" t="str">
        <f t="shared" si="1"/>
        <v>Ball_valve.SS-600#.RB.8</v>
      </c>
      <c r="R15" s="350" t="str">
        <f t="shared" si="1"/>
        <v>Ball_valve.SS-600#.RB.10</v>
      </c>
      <c r="S15" s="350" t="str">
        <f t="shared" si="1"/>
        <v>Ball_valve.SS-600#.RB.12</v>
      </c>
      <c r="T15" s="350" t="str">
        <f t="shared" si="1"/>
        <v>Ball_valve.SS-600#.RB.14</v>
      </c>
      <c r="U15" s="350" t="str">
        <f t="shared" si="1"/>
        <v>Ball_valve.SS-600#.RB.16</v>
      </c>
      <c r="V15" s="350" t="str">
        <f t="shared" si="1"/>
        <v>Ball_valve.SS-600#.RB.18</v>
      </c>
      <c r="W15" s="350" t="str">
        <f t="shared" si="1"/>
        <v>Ball_valve.SS-600#.RB.20</v>
      </c>
      <c r="X15" s="350" t="str">
        <f t="shared" si="1"/>
        <v>Ball_valve.SS-600#.RB.22</v>
      </c>
      <c r="Y15" s="350" t="str">
        <f t="shared" si="2"/>
        <v>Ball_valve.SS-600#.RB.24</v>
      </c>
      <c r="Z15" s="350" t="str">
        <f t="shared" si="2"/>
        <v>X</v>
      </c>
      <c r="AA15" s="350" t="str">
        <f t="shared" si="2"/>
        <v>X</v>
      </c>
      <c r="AB15" s="350" t="str">
        <f t="shared" si="2"/>
        <v>X</v>
      </c>
      <c r="AC15" s="350" t="str">
        <f t="shared" si="2"/>
        <v>X</v>
      </c>
      <c r="AD15" s="350" t="str">
        <f t="shared" si="2"/>
        <v>X</v>
      </c>
      <c r="AE15" s="350" t="str">
        <f t="shared" si="2"/>
        <v>X</v>
      </c>
      <c r="AF15" s="350" t="str">
        <f t="shared" si="2"/>
        <v>X</v>
      </c>
      <c r="AG15" s="350" t="str">
        <f t="shared" si="2"/>
        <v>X</v>
      </c>
      <c r="AH15" s="350" t="str">
        <f t="shared" si="2"/>
        <v>X</v>
      </c>
    </row>
    <row r="16" spans="1:34" x14ac:dyDescent="0.3">
      <c r="A16" s="364">
        <v>15</v>
      </c>
      <c r="B16" s="360" t="str">
        <f>'Valve Data'!B5</f>
        <v>Check_valve</v>
      </c>
      <c r="C16" s="349" t="str">
        <f>'Valve Data'!C5</f>
        <v>CS-150#</v>
      </c>
      <c r="D16" s="353" t="str">
        <f>IF('Valve Data'!D5=0,"",'Valve Data'!D5)</f>
        <v/>
      </c>
      <c r="E16" s="20">
        <f>'Valve Data'!E5</f>
        <v>0.5</v>
      </c>
      <c r="F16" s="358">
        <f>'Valve Data'!F5</f>
        <v>24</v>
      </c>
      <c r="G16" s="356" t="str">
        <f t="shared" si="0"/>
        <v>Check_valve.CS-150#..0,5</v>
      </c>
      <c r="H16" s="350" t="str">
        <f t="shared" si="1"/>
        <v>Check_valve.CS-150#..0,75</v>
      </c>
      <c r="I16" s="350" t="str">
        <f t="shared" si="1"/>
        <v>Check_valve.CS-150#..1</v>
      </c>
      <c r="J16" s="350" t="str">
        <f t="shared" si="1"/>
        <v>Check_valve.CS-150#..1,5</v>
      </c>
      <c r="K16" s="350" t="str">
        <f t="shared" ref="K16:Z16" si="3">IF(AND($E16&lt;=K$1,$F16&gt;=K$1),CONCATENATE($B16,".",$C16,".",$D16,".",K$1),"X")</f>
        <v>Check_valve.CS-150#..2</v>
      </c>
      <c r="L16" s="350" t="str">
        <f t="shared" si="3"/>
        <v>Check_valve.CS-150#..2,5</v>
      </c>
      <c r="M16" s="350" t="str">
        <f t="shared" si="3"/>
        <v>Check_valve.CS-150#..3</v>
      </c>
      <c r="N16" s="350" t="str">
        <f t="shared" si="3"/>
        <v>Check_valve.CS-150#..4</v>
      </c>
      <c r="O16" s="350" t="str">
        <f t="shared" si="3"/>
        <v>Check_valve.CS-150#..5</v>
      </c>
      <c r="P16" s="350" t="str">
        <f t="shared" si="3"/>
        <v>Check_valve.CS-150#..6</v>
      </c>
      <c r="Q16" s="350" t="str">
        <f t="shared" si="3"/>
        <v>Check_valve.CS-150#..8</v>
      </c>
      <c r="R16" s="350" t="str">
        <f t="shared" si="3"/>
        <v>Check_valve.CS-150#..10</v>
      </c>
      <c r="S16" s="350" t="str">
        <f t="shared" si="3"/>
        <v>Check_valve.CS-150#..12</v>
      </c>
      <c r="T16" s="350" t="str">
        <f t="shared" si="3"/>
        <v>Check_valve.CS-150#..14</v>
      </c>
      <c r="U16" s="350" t="str">
        <f t="shared" si="3"/>
        <v>Check_valve.CS-150#..16</v>
      </c>
      <c r="V16" s="350" t="str">
        <f t="shared" si="3"/>
        <v>Check_valve.CS-150#..18</v>
      </c>
      <c r="W16" s="350" t="str">
        <f t="shared" si="3"/>
        <v>Check_valve.CS-150#..20</v>
      </c>
      <c r="X16" s="350" t="str">
        <f t="shared" si="3"/>
        <v>Check_valve.CS-150#..22</v>
      </c>
      <c r="Y16" s="350" t="str">
        <f t="shared" si="3"/>
        <v>Check_valve.CS-150#..24</v>
      </c>
      <c r="Z16" s="350" t="str">
        <f t="shared" si="3"/>
        <v>X</v>
      </c>
      <c r="AA16" s="350" t="str">
        <f t="shared" si="2"/>
        <v>X</v>
      </c>
      <c r="AB16" s="350" t="str">
        <f t="shared" si="2"/>
        <v>X</v>
      </c>
      <c r="AC16" s="350" t="str">
        <f t="shared" si="2"/>
        <v>X</v>
      </c>
      <c r="AD16" s="350" t="str">
        <f t="shared" si="2"/>
        <v>X</v>
      </c>
      <c r="AE16" s="350" t="str">
        <f t="shared" si="2"/>
        <v>X</v>
      </c>
      <c r="AF16" s="350" t="str">
        <f t="shared" si="2"/>
        <v>X</v>
      </c>
      <c r="AG16" s="350" t="str">
        <f t="shared" si="2"/>
        <v>X</v>
      </c>
      <c r="AH16" s="350" t="str">
        <f t="shared" si="2"/>
        <v>X</v>
      </c>
    </row>
    <row r="17" spans="1:34" x14ac:dyDescent="0.3">
      <c r="A17" s="364">
        <v>16</v>
      </c>
      <c r="B17" s="360">
        <f>'Valve Data'!B10</f>
        <v>0</v>
      </c>
      <c r="C17" s="349">
        <f>'Valve Data'!C10</f>
        <v>0</v>
      </c>
      <c r="D17" s="353" t="str">
        <f>IF('Valve Data'!D10=0,"",'Valve Data'!D10)</f>
        <v/>
      </c>
      <c r="E17" s="20">
        <f>'Valve Data'!E10</f>
        <v>0</v>
      </c>
      <c r="F17" s="358">
        <f>'Valve Data'!F10</f>
        <v>0</v>
      </c>
      <c r="G17" s="356" t="str">
        <f t="shared" si="0"/>
        <v>X</v>
      </c>
      <c r="H17" s="350" t="str">
        <f t="shared" ref="H17:Q18" si="4">IF(AND($E17&lt;=H$1,$F17&gt;=H$1),CONCATENATE($B17,".",$C17,".",$D17,".",H$1),"X")</f>
        <v>X</v>
      </c>
      <c r="I17" s="350" t="str">
        <f t="shared" si="4"/>
        <v>X</v>
      </c>
      <c r="J17" s="350" t="str">
        <f t="shared" si="4"/>
        <v>X</v>
      </c>
      <c r="K17" s="350" t="str">
        <f t="shared" si="4"/>
        <v>X</v>
      </c>
      <c r="L17" s="350" t="str">
        <f t="shared" si="4"/>
        <v>X</v>
      </c>
      <c r="M17" s="350" t="str">
        <f t="shared" si="4"/>
        <v>X</v>
      </c>
      <c r="N17" s="350" t="str">
        <f t="shared" si="4"/>
        <v>X</v>
      </c>
      <c r="O17" s="350" t="str">
        <f t="shared" si="4"/>
        <v>X</v>
      </c>
      <c r="P17" s="350" t="str">
        <f t="shared" si="4"/>
        <v>X</v>
      </c>
      <c r="Q17" s="350" t="str">
        <f t="shared" si="4"/>
        <v>X</v>
      </c>
      <c r="R17" s="350" t="str">
        <f t="shared" ref="R17:Y18" si="5">IF(AND($E17&lt;=R$1,$F17&gt;=R$1),CONCATENATE($B17,".",$C17,".",$D17,".",R$1),"X")</f>
        <v>X</v>
      </c>
      <c r="S17" s="350" t="str">
        <f t="shared" si="5"/>
        <v>X</v>
      </c>
      <c r="T17" s="350" t="str">
        <f t="shared" si="5"/>
        <v>X</v>
      </c>
      <c r="U17" s="350" t="str">
        <f t="shared" si="5"/>
        <v>X</v>
      </c>
      <c r="V17" s="350" t="str">
        <f t="shared" si="5"/>
        <v>X</v>
      </c>
      <c r="W17" s="350" t="str">
        <f t="shared" si="5"/>
        <v>X</v>
      </c>
      <c r="X17" s="350" t="str">
        <f t="shared" si="5"/>
        <v>X</v>
      </c>
      <c r="Y17" s="350" t="str">
        <f t="shared" si="5"/>
        <v>X</v>
      </c>
      <c r="Z17" s="350" t="str">
        <f t="shared" si="2"/>
        <v>X</v>
      </c>
      <c r="AA17" s="350" t="str">
        <f t="shared" si="2"/>
        <v>X</v>
      </c>
      <c r="AB17" s="350" t="str">
        <f t="shared" si="2"/>
        <v>X</v>
      </c>
      <c r="AC17" s="350" t="str">
        <f t="shared" si="2"/>
        <v>X</v>
      </c>
      <c r="AD17" s="350" t="str">
        <f t="shared" si="2"/>
        <v>X</v>
      </c>
      <c r="AE17" s="350" t="str">
        <f t="shared" si="2"/>
        <v>X</v>
      </c>
      <c r="AF17" s="350" t="str">
        <f t="shared" si="2"/>
        <v>X</v>
      </c>
      <c r="AG17" s="350" t="str">
        <f t="shared" si="2"/>
        <v>X</v>
      </c>
      <c r="AH17" s="350" t="str">
        <f t="shared" si="2"/>
        <v>X</v>
      </c>
    </row>
    <row r="18" spans="1:34" x14ac:dyDescent="0.3">
      <c r="A18" s="364">
        <v>17</v>
      </c>
      <c r="B18" s="360" t="str">
        <f>'Valve Data'!B25</f>
        <v>Gate_valve</v>
      </c>
      <c r="C18" s="349" t="str">
        <f>'Valve Data'!C25</f>
        <v>SS-150#</v>
      </c>
      <c r="D18" s="353" t="str">
        <f>IF('Valve Data'!D25=0,"",'Valve Data'!D25)</f>
        <v/>
      </c>
      <c r="E18" s="20">
        <f>'Valve Data'!E25</f>
        <v>0.5</v>
      </c>
      <c r="F18" s="358">
        <f>'Valve Data'!F25</f>
        <v>24</v>
      </c>
      <c r="G18" s="356" t="str">
        <f t="shared" si="0"/>
        <v>Gate_valve.SS-150#..0,5</v>
      </c>
      <c r="H18" s="350" t="str">
        <f t="shared" si="4"/>
        <v>Gate_valve.SS-150#..0,75</v>
      </c>
      <c r="I18" s="350" t="str">
        <f t="shared" si="4"/>
        <v>Gate_valve.SS-150#..1</v>
      </c>
      <c r="J18" s="350" t="str">
        <f t="shared" si="4"/>
        <v>Gate_valve.SS-150#..1,5</v>
      </c>
      <c r="K18" s="350" t="str">
        <f t="shared" si="4"/>
        <v>Gate_valve.SS-150#..2</v>
      </c>
      <c r="L18" s="350" t="str">
        <f t="shared" si="4"/>
        <v>Gate_valve.SS-150#..2,5</v>
      </c>
      <c r="M18" s="350" t="str">
        <f t="shared" si="4"/>
        <v>Gate_valve.SS-150#..3</v>
      </c>
      <c r="N18" s="350" t="str">
        <f t="shared" si="4"/>
        <v>Gate_valve.SS-150#..4</v>
      </c>
      <c r="O18" s="350" t="str">
        <f t="shared" si="4"/>
        <v>Gate_valve.SS-150#..5</v>
      </c>
      <c r="P18" s="350" t="str">
        <f t="shared" si="4"/>
        <v>Gate_valve.SS-150#..6</v>
      </c>
      <c r="Q18" s="350" t="str">
        <f t="shared" si="4"/>
        <v>Gate_valve.SS-150#..8</v>
      </c>
      <c r="R18" s="350" t="str">
        <f t="shared" si="5"/>
        <v>Gate_valve.SS-150#..10</v>
      </c>
      <c r="S18" s="350" t="str">
        <f t="shared" si="5"/>
        <v>Gate_valve.SS-150#..12</v>
      </c>
      <c r="T18" s="350" t="str">
        <f t="shared" si="5"/>
        <v>Gate_valve.SS-150#..14</v>
      </c>
      <c r="U18" s="350" t="str">
        <f t="shared" si="5"/>
        <v>Gate_valve.SS-150#..16</v>
      </c>
      <c r="V18" s="350" t="str">
        <f t="shared" si="5"/>
        <v>Gate_valve.SS-150#..18</v>
      </c>
      <c r="W18" s="350" t="str">
        <f t="shared" si="5"/>
        <v>Gate_valve.SS-150#..20</v>
      </c>
      <c r="X18" s="350" t="str">
        <f t="shared" si="5"/>
        <v>Gate_valve.SS-150#..22</v>
      </c>
      <c r="Y18" s="350" t="str">
        <f t="shared" si="5"/>
        <v>Gate_valve.SS-150#..24</v>
      </c>
      <c r="Z18" s="350" t="str">
        <f t="shared" ref="Z18:AH33" si="6">IF(AND($E18&lt;=Z$1,$F18&gt;=Z$1),CONCATENATE($B18,".",$C18,".",$D18,".",Z$1),"X")</f>
        <v>X</v>
      </c>
      <c r="AA18" s="350" t="str">
        <f t="shared" si="6"/>
        <v>X</v>
      </c>
      <c r="AB18" s="350" t="str">
        <f t="shared" si="6"/>
        <v>X</v>
      </c>
      <c r="AC18" s="350" t="str">
        <f t="shared" si="6"/>
        <v>X</v>
      </c>
      <c r="AD18" s="350" t="str">
        <f t="shared" si="6"/>
        <v>X</v>
      </c>
      <c r="AE18" s="350" t="str">
        <f t="shared" si="6"/>
        <v>X</v>
      </c>
      <c r="AF18" s="350" t="str">
        <f t="shared" si="6"/>
        <v>X</v>
      </c>
      <c r="AG18" s="350" t="str">
        <f t="shared" si="6"/>
        <v>X</v>
      </c>
      <c r="AH18" s="350" t="str">
        <f t="shared" si="6"/>
        <v>X</v>
      </c>
    </row>
    <row r="19" spans="1:34" x14ac:dyDescent="0.3">
      <c r="A19" s="364">
        <v>18</v>
      </c>
      <c r="B19" s="360">
        <f>'Valve Data'!B26</f>
        <v>0</v>
      </c>
      <c r="C19" s="349">
        <f>'Valve Data'!C26</f>
        <v>0</v>
      </c>
      <c r="D19" s="353" t="str">
        <f>IF('Valve Data'!D26=0,"",'Valve Data'!D26)</f>
        <v/>
      </c>
      <c r="E19" s="20">
        <f>'Valve Data'!E26</f>
        <v>0</v>
      </c>
      <c r="F19" s="358">
        <f>'Valve Data'!F26</f>
        <v>0</v>
      </c>
      <c r="G19" s="356" t="str">
        <f t="shared" ref="G19:V34" si="7">IF(AND($E19&lt;=G$1,$F19&gt;=G$1),CONCATENATE($B19,".",$C19,".",$D19,".",G$1),"X")</f>
        <v>X</v>
      </c>
      <c r="H19" s="350" t="str">
        <f t="shared" si="7"/>
        <v>X</v>
      </c>
      <c r="I19" s="350" t="str">
        <f t="shared" si="7"/>
        <v>X</v>
      </c>
      <c r="J19" s="350" t="str">
        <f t="shared" si="7"/>
        <v>X</v>
      </c>
      <c r="K19" s="350" t="str">
        <f t="shared" si="7"/>
        <v>X</v>
      </c>
      <c r="L19" s="350" t="str">
        <f t="shared" si="7"/>
        <v>X</v>
      </c>
      <c r="M19" s="350" t="str">
        <f t="shared" si="7"/>
        <v>X</v>
      </c>
      <c r="N19" s="350" t="str">
        <f t="shared" si="7"/>
        <v>X</v>
      </c>
      <c r="O19" s="350" t="str">
        <f t="shared" si="7"/>
        <v>X</v>
      </c>
      <c r="P19" s="350" t="str">
        <f t="shared" si="7"/>
        <v>X</v>
      </c>
      <c r="Q19" s="350" t="str">
        <f t="shared" si="7"/>
        <v>X</v>
      </c>
      <c r="R19" s="350" t="str">
        <f t="shared" si="7"/>
        <v>X</v>
      </c>
      <c r="S19" s="350" t="str">
        <f t="shared" si="7"/>
        <v>X</v>
      </c>
      <c r="T19" s="350" t="str">
        <f t="shared" si="7"/>
        <v>X</v>
      </c>
      <c r="U19" s="350" t="str">
        <f t="shared" si="7"/>
        <v>X</v>
      </c>
      <c r="V19" s="350" t="str">
        <f t="shared" si="7"/>
        <v>X</v>
      </c>
      <c r="W19" s="350" t="str">
        <f t="shared" ref="W19:Y33" si="8">IF(AND($E19&lt;=W$1,$F19&gt;=W$1),CONCATENATE($B19,".",$C19,".",$D19,".",W$1),"X")</f>
        <v>X</v>
      </c>
      <c r="X19" s="350" t="str">
        <f t="shared" si="8"/>
        <v>X</v>
      </c>
      <c r="Y19" s="350" t="str">
        <f t="shared" si="8"/>
        <v>X</v>
      </c>
      <c r="Z19" s="350" t="str">
        <f t="shared" si="6"/>
        <v>X</v>
      </c>
      <c r="AA19" s="350" t="str">
        <f t="shared" si="6"/>
        <v>X</v>
      </c>
      <c r="AB19" s="350" t="str">
        <f t="shared" si="6"/>
        <v>X</v>
      </c>
      <c r="AC19" s="350" t="str">
        <f t="shared" si="6"/>
        <v>X</v>
      </c>
      <c r="AD19" s="350" t="str">
        <f t="shared" si="6"/>
        <v>X</v>
      </c>
      <c r="AE19" s="350" t="str">
        <f t="shared" si="6"/>
        <v>X</v>
      </c>
      <c r="AF19" s="350" t="str">
        <f t="shared" si="6"/>
        <v>X</v>
      </c>
      <c r="AG19" s="350" t="str">
        <f t="shared" si="6"/>
        <v>X</v>
      </c>
      <c r="AH19" s="350" t="str">
        <f t="shared" si="6"/>
        <v>X</v>
      </c>
    </row>
    <row r="20" spans="1:34" x14ac:dyDescent="0.3">
      <c r="A20" s="364">
        <v>19</v>
      </c>
      <c r="B20" s="360" t="str">
        <f>'Valve Data'!B9</f>
        <v>DBB</v>
      </c>
      <c r="C20" s="349" t="str">
        <f>'Valve Data'!C9</f>
        <v>SS-600#</v>
      </c>
      <c r="D20" s="353" t="str">
        <f>IF('Valve Data'!D9=0,"",'Valve Data'!D9)</f>
        <v/>
      </c>
      <c r="E20" s="20">
        <f>'Valve Data'!E9</f>
        <v>0.5</v>
      </c>
      <c r="F20" s="358">
        <f>'Valve Data'!F9</f>
        <v>3</v>
      </c>
      <c r="G20" s="356" t="str">
        <f t="shared" si="7"/>
        <v>DBB.SS-600#..0,5</v>
      </c>
      <c r="H20" s="350" t="str">
        <f t="shared" si="7"/>
        <v>DBB.SS-600#..0,75</v>
      </c>
      <c r="I20" s="350" t="str">
        <f t="shared" si="7"/>
        <v>DBB.SS-600#..1</v>
      </c>
      <c r="J20" s="350" t="str">
        <f t="shared" si="7"/>
        <v>DBB.SS-600#..1,5</v>
      </c>
      <c r="K20" s="350" t="str">
        <f t="shared" si="7"/>
        <v>DBB.SS-600#..2</v>
      </c>
      <c r="L20" s="350" t="str">
        <f t="shared" si="7"/>
        <v>DBB.SS-600#..2,5</v>
      </c>
      <c r="M20" s="350" t="str">
        <f t="shared" si="7"/>
        <v>DBB.SS-600#..3</v>
      </c>
      <c r="N20" s="350" t="str">
        <f t="shared" si="7"/>
        <v>X</v>
      </c>
      <c r="O20" s="350" t="str">
        <f t="shared" si="7"/>
        <v>X</v>
      </c>
      <c r="P20" s="350" t="str">
        <f t="shared" si="7"/>
        <v>X</v>
      </c>
      <c r="Q20" s="350" t="str">
        <f t="shared" si="7"/>
        <v>X</v>
      </c>
      <c r="R20" s="350" t="str">
        <f t="shared" si="7"/>
        <v>X</v>
      </c>
      <c r="S20" s="350" t="str">
        <f t="shared" si="7"/>
        <v>X</v>
      </c>
      <c r="T20" s="350" t="str">
        <f t="shared" si="7"/>
        <v>X</v>
      </c>
      <c r="U20" s="350" t="str">
        <f t="shared" si="7"/>
        <v>X</v>
      </c>
      <c r="V20" s="350" t="str">
        <f t="shared" si="7"/>
        <v>X</v>
      </c>
      <c r="W20" s="350" t="str">
        <f t="shared" si="8"/>
        <v>X</v>
      </c>
      <c r="X20" s="350" t="str">
        <f t="shared" si="8"/>
        <v>X</v>
      </c>
      <c r="Y20" s="350" t="str">
        <f t="shared" si="8"/>
        <v>X</v>
      </c>
      <c r="Z20" s="350" t="str">
        <f t="shared" si="6"/>
        <v>X</v>
      </c>
      <c r="AA20" s="350" t="str">
        <f t="shared" si="6"/>
        <v>X</v>
      </c>
      <c r="AB20" s="350" t="str">
        <f t="shared" si="6"/>
        <v>X</v>
      </c>
      <c r="AC20" s="350" t="str">
        <f t="shared" si="6"/>
        <v>X</v>
      </c>
      <c r="AD20" s="350" t="str">
        <f t="shared" si="6"/>
        <v>X</v>
      </c>
      <c r="AE20" s="350" t="str">
        <f t="shared" si="6"/>
        <v>X</v>
      </c>
      <c r="AF20" s="350" t="str">
        <f t="shared" si="6"/>
        <v>X</v>
      </c>
      <c r="AG20" s="350" t="str">
        <f t="shared" si="6"/>
        <v>X</v>
      </c>
      <c r="AH20" s="350" t="str">
        <f t="shared" si="6"/>
        <v>X</v>
      </c>
    </row>
    <row r="21" spans="1:34" x14ac:dyDescent="0.3">
      <c r="A21" s="364">
        <v>20</v>
      </c>
      <c r="B21" s="360" t="str">
        <f>'Valve Data'!B15</f>
        <v>Globe_valve</v>
      </c>
      <c r="C21" s="349" t="str">
        <f>'Valve Data'!C15</f>
        <v>SS-600#</v>
      </c>
      <c r="D21" s="353" t="str">
        <f>IF('Valve Data'!D15=0,"",'Valve Data'!D15)</f>
        <v/>
      </c>
      <c r="E21" s="20">
        <f>'Valve Data'!E15</f>
        <v>0.5</v>
      </c>
      <c r="F21" s="358">
        <f>'Valve Data'!F15</f>
        <v>24</v>
      </c>
      <c r="G21" s="356" t="str">
        <f t="shared" si="7"/>
        <v>Globe_valve.SS-600#..0,5</v>
      </c>
      <c r="H21" s="350" t="str">
        <f t="shared" si="7"/>
        <v>Globe_valve.SS-600#..0,75</v>
      </c>
      <c r="I21" s="350" t="str">
        <f t="shared" si="7"/>
        <v>Globe_valve.SS-600#..1</v>
      </c>
      <c r="J21" s="350" t="str">
        <f t="shared" si="7"/>
        <v>Globe_valve.SS-600#..1,5</v>
      </c>
      <c r="K21" s="350" t="str">
        <f t="shared" si="7"/>
        <v>Globe_valve.SS-600#..2</v>
      </c>
      <c r="L21" s="350" t="str">
        <f t="shared" si="7"/>
        <v>Globe_valve.SS-600#..2,5</v>
      </c>
      <c r="M21" s="350" t="str">
        <f t="shared" si="7"/>
        <v>Globe_valve.SS-600#..3</v>
      </c>
      <c r="N21" s="350" t="str">
        <f t="shared" si="7"/>
        <v>Globe_valve.SS-600#..4</v>
      </c>
      <c r="O21" s="350" t="str">
        <f t="shared" si="7"/>
        <v>Globe_valve.SS-600#..5</v>
      </c>
      <c r="P21" s="350" t="str">
        <f t="shared" si="7"/>
        <v>Globe_valve.SS-600#..6</v>
      </c>
      <c r="Q21" s="350" t="str">
        <f t="shared" si="7"/>
        <v>Globe_valve.SS-600#..8</v>
      </c>
      <c r="R21" s="350" t="str">
        <f t="shared" si="7"/>
        <v>Globe_valve.SS-600#..10</v>
      </c>
      <c r="S21" s="350" t="str">
        <f t="shared" si="7"/>
        <v>Globe_valve.SS-600#..12</v>
      </c>
      <c r="T21" s="350" t="str">
        <f t="shared" si="7"/>
        <v>Globe_valve.SS-600#..14</v>
      </c>
      <c r="U21" s="350" t="str">
        <f t="shared" si="7"/>
        <v>Globe_valve.SS-600#..16</v>
      </c>
      <c r="V21" s="350" t="str">
        <f t="shared" si="7"/>
        <v>Globe_valve.SS-600#..18</v>
      </c>
      <c r="W21" s="350" t="str">
        <f t="shared" si="8"/>
        <v>Globe_valve.SS-600#..20</v>
      </c>
      <c r="X21" s="350" t="str">
        <f t="shared" si="8"/>
        <v>Globe_valve.SS-600#..22</v>
      </c>
      <c r="Y21" s="350" t="str">
        <f t="shared" si="8"/>
        <v>Globe_valve.SS-600#..24</v>
      </c>
      <c r="Z21" s="350" t="str">
        <f t="shared" si="6"/>
        <v>X</v>
      </c>
      <c r="AA21" s="350" t="str">
        <f t="shared" si="6"/>
        <v>X</v>
      </c>
      <c r="AB21" s="350" t="str">
        <f t="shared" si="6"/>
        <v>X</v>
      </c>
      <c r="AC21" s="350" t="str">
        <f t="shared" si="6"/>
        <v>X</v>
      </c>
      <c r="AD21" s="350" t="str">
        <f t="shared" si="6"/>
        <v>X</v>
      </c>
      <c r="AE21" s="350" t="str">
        <f t="shared" si="6"/>
        <v>X</v>
      </c>
      <c r="AF21" s="350" t="str">
        <f t="shared" si="6"/>
        <v>X</v>
      </c>
      <c r="AG21" s="350" t="str">
        <f t="shared" si="6"/>
        <v>X</v>
      </c>
      <c r="AH21" s="350" t="str">
        <f t="shared" si="6"/>
        <v>X</v>
      </c>
    </row>
    <row r="22" spans="1:34" x14ac:dyDescent="0.3">
      <c r="A22" s="364">
        <v>21</v>
      </c>
      <c r="B22" s="360" t="str">
        <f>'Valve Data'!B27</f>
        <v>DBB</v>
      </c>
      <c r="C22" s="349" t="str">
        <f>'Valve Data'!C27</f>
        <v>SS-150#</v>
      </c>
      <c r="D22" s="353" t="str">
        <f>IF('Valve Data'!D27=0,"",'Valve Data'!D27)</f>
        <v/>
      </c>
      <c r="E22" s="20">
        <f>'Valve Data'!E27</f>
        <v>0.5</v>
      </c>
      <c r="F22" s="358">
        <f>'Valve Data'!F27</f>
        <v>3</v>
      </c>
      <c r="G22" s="356" t="str">
        <f t="shared" si="7"/>
        <v>DBB.SS-150#..0,5</v>
      </c>
      <c r="H22" s="350" t="str">
        <f t="shared" si="7"/>
        <v>DBB.SS-150#..0,75</v>
      </c>
      <c r="I22" s="350" t="str">
        <f t="shared" si="7"/>
        <v>DBB.SS-150#..1</v>
      </c>
      <c r="J22" s="350" t="str">
        <f t="shared" si="7"/>
        <v>DBB.SS-150#..1,5</v>
      </c>
      <c r="K22" s="350" t="str">
        <f t="shared" si="7"/>
        <v>DBB.SS-150#..2</v>
      </c>
      <c r="L22" s="350" t="str">
        <f t="shared" si="7"/>
        <v>DBB.SS-150#..2,5</v>
      </c>
      <c r="M22" s="350" t="str">
        <f t="shared" si="7"/>
        <v>DBB.SS-150#..3</v>
      </c>
      <c r="N22" s="350" t="str">
        <f t="shared" si="7"/>
        <v>X</v>
      </c>
      <c r="O22" s="350" t="str">
        <f t="shared" si="7"/>
        <v>X</v>
      </c>
      <c r="P22" s="350" t="str">
        <f t="shared" si="7"/>
        <v>X</v>
      </c>
      <c r="Q22" s="350" t="str">
        <f t="shared" si="7"/>
        <v>X</v>
      </c>
      <c r="R22" s="350" t="str">
        <f t="shared" si="7"/>
        <v>X</v>
      </c>
      <c r="S22" s="350" t="str">
        <f t="shared" si="7"/>
        <v>X</v>
      </c>
      <c r="T22" s="350" t="str">
        <f t="shared" si="7"/>
        <v>X</v>
      </c>
      <c r="U22" s="350" t="str">
        <f t="shared" si="7"/>
        <v>X</v>
      </c>
      <c r="V22" s="350" t="str">
        <f t="shared" si="7"/>
        <v>X</v>
      </c>
      <c r="W22" s="350" t="str">
        <f t="shared" si="8"/>
        <v>X</v>
      </c>
      <c r="X22" s="350" t="str">
        <f t="shared" si="8"/>
        <v>X</v>
      </c>
      <c r="Y22" s="350" t="str">
        <f t="shared" si="8"/>
        <v>X</v>
      </c>
      <c r="Z22" s="350" t="str">
        <f t="shared" si="6"/>
        <v>X</v>
      </c>
      <c r="AA22" s="350" t="str">
        <f t="shared" si="6"/>
        <v>X</v>
      </c>
      <c r="AB22" s="350" t="str">
        <f t="shared" si="6"/>
        <v>X</v>
      </c>
      <c r="AC22" s="350" t="str">
        <f t="shared" si="6"/>
        <v>X</v>
      </c>
      <c r="AD22" s="350" t="str">
        <f t="shared" si="6"/>
        <v>X</v>
      </c>
      <c r="AE22" s="350" t="str">
        <f t="shared" si="6"/>
        <v>X</v>
      </c>
      <c r="AF22" s="350" t="str">
        <f t="shared" si="6"/>
        <v>X</v>
      </c>
      <c r="AG22" s="350" t="str">
        <f t="shared" si="6"/>
        <v>X</v>
      </c>
      <c r="AH22" s="350" t="str">
        <f t="shared" si="6"/>
        <v>X</v>
      </c>
    </row>
    <row r="23" spans="1:34" x14ac:dyDescent="0.3">
      <c r="A23" s="364">
        <v>22</v>
      </c>
      <c r="B23" s="360" t="str">
        <f>'Valve Data'!B16</f>
        <v>Gate_valve</v>
      </c>
      <c r="C23" s="349" t="str">
        <f>'Valve Data'!C16</f>
        <v>SS-600#</v>
      </c>
      <c r="D23" s="353" t="str">
        <f>IF('Valve Data'!D16=0,"",'Valve Data'!D16)</f>
        <v/>
      </c>
      <c r="E23" s="20">
        <f>'Valve Data'!E16</f>
        <v>0.5</v>
      </c>
      <c r="F23" s="358">
        <f>'Valve Data'!F16</f>
        <v>24</v>
      </c>
      <c r="G23" s="356" t="str">
        <f t="shared" si="7"/>
        <v>Gate_valve.SS-600#..0,5</v>
      </c>
      <c r="H23" s="350" t="str">
        <f t="shared" si="7"/>
        <v>Gate_valve.SS-600#..0,75</v>
      </c>
      <c r="I23" s="350" t="str">
        <f t="shared" si="7"/>
        <v>Gate_valve.SS-600#..1</v>
      </c>
      <c r="J23" s="350" t="str">
        <f t="shared" si="7"/>
        <v>Gate_valve.SS-600#..1,5</v>
      </c>
      <c r="K23" s="350" t="str">
        <f t="shared" si="7"/>
        <v>Gate_valve.SS-600#..2</v>
      </c>
      <c r="L23" s="350" t="str">
        <f t="shared" si="7"/>
        <v>Gate_valve.SS-600#..2,5</v>
      </c>
      <c r="M23" s="350" t="str">
        <f t="shared" si="7"/>
        <v>Gate_valve.SS-600#..3</v>
      </c>
      <c r="N23" s="350" t="str">
        <f t="shared" si="7"/>
        <v>Gate_valve.SS-600#..4</v>
      </c>
      <c r="O23" s="350" t="str">
        <f t="shared" si="7"/>
        <v>Gate_valve.SS-600#..5</v>
      </c>
      <c r="P23" s="350" t="str">
        <f t="shared" si="7"/>
        <v>Gate_valve.SS-600#..6</v>
      </c>
      <c r="Q23" s="350" t="str">
        <f t="shared" si="7"/>
        <v>Gate_valve.SS-600#..8</v>
      </c>
      <c r="R23" s="350" t="str">
        <f t="shared" si="7"/>
        <v>Gate_valve.SS-600#..10</v>
      </c>
      <c r="S23" s="350" t="str">
        <f t="shared" si="7"/>
        <v>Gate_valve.SS-600#..12</v>
      </c>
      <c r="T23" s="350" t="str">
        <f t="shared" si="7"/>
        <v>Gate_valve.SS-600#..14</v>
      </c>
      <c r="U23" s="350" t="str">
        <f t="shared" si="7"/>
        <v>Gate_valve.SS-600#..16</v>
      </c>
      <c r="V23" s="350" t="str">
        <f t="shared" si="7"/>
        <v>Gate_valve.SS-600#..18</v>
      </c>
      <c r="W23" s="350" t="str">
        <f t="shared" si="8"/>
        <v>Gate_valve.SS-600#..20</v>
      </c>
      <c r="X23" s="350" t="str">
        <f t="shared" si="8"/>
        <v>Gate_valve.SS-600#..22</v>
      </c>
      <c r="Y23" s="350" t="str">
        <f t="shared" si="8"/>
        <v>Gate_valve.SS-600#..24</v>
      </c>
      <c r="Z23" s="350" t="str">
        <f t="shared" si="6"/>
        <v>X</v>
      </c>
      <c r="AA23" s="350" t="str">
        <f t="shared" si="6"/>
        <v>X</v>
      </c>
      <c r="AB23" s="350" t="str">
        <f t="shared" si="6"/>
        <v>X</v>
      </c>
      <c r="AC23" s="350" t="str">
        <f t="shared" si="6"/>
        <v>X</v>
      </c>
      <c r="AD23" s="350" t="str">
        <f t="shared" si="6"/>
        <v>X</v>
      </c>
      <c r="AE23" s="350" t="str">
        <f t="shared" si="6"/>
        <v>X</v>
      </c>
      <c r="AF23" s="350" t="str">
        <f t="shared" si="6"/>
        <v>X</v>
      </c>
      <c r="AG23" s="350" t="str">
        <f t="shared" si="6"/>
        <v>X</v>
      </c>
      <c r="AH23" s="350" t="str">
        <f t="shared" si="6"/>
        <v>X</v>
      </c>
    </row>
    <row r="24" spans="1:34" x14ac:dyDescent="0.3">
      <c r="A24" s="364">
        <v>23</v>
      </c>
      <c r="B24" s="360">
        <f>'Valve Data'!B28</f>
        <v>0</v>
      </c>
      <c r="C24" s="349">
        <f>'Valve Data'!C28</f>
        <v>0</v>
      </c>
      <c r="D24" s="353" t="str">
        <f>IF('Valve Data'!D28=0,"",'Valve Data'!D28)</f>
        <v/>
      </c>
      <c r="E24" s="20">
        <f>'Valve Data'!E28</f>
        <v>0</v>
      </c>
      <c r="F24" s="358">
        <f>'Valve Data'!F28</f>
        <v>0</v>
      </c>
      <c r="G24" s="356" t="str">
        <f t="shared" si="7"/>
        <v>X</v>
      </c>
      <c r="H24" s="350" t="str">
        <f t="shared" si="7"/>
        <v>X</v>
      </c>
      <c r="I24" s="350" t="str">
        <f t="shared" si="7"/>
        <v>X</v>
      </c>
      <c r="J24" s="350" t="str">
        <f t="shared" si="7"/>
        <v>X</v>
      </c>
      <c r="K24" s="350" t="str">
        <f t="shared" si="7"/>
        <v>X</v>
      </c>
      <c r="L24" s="350" t="str">
        <f t="shared" si="7"/>
        <v>X</v>
      </c>
      <c r="M24" s="350" t="str">
        <f t="shared" si="7"/>
        <v>X</v>
      </c>
      <c r="N24" s="350" t="str">
        <f t="shared" si="7"/>
        <v>X</v>
      </c>
      <c r="O24" s="350" t="str">
        <f t="shared" si="7"/>
        <v>X</v>
      </c>
      <c r="P24" s="350" t="str">
        <f t="shared" si="7"/>
        <v>X</v>
      </c>
      <c r="Q24" s="350" t="str">
        <f t="shared" si="7"/>
        <v>X</v>
      </c>
      <c r="R24" s="350" t="str">
        <f t="shared" si="7"/>
        <v>X</v>
      </c>
      <c r="S24" s="350" t="str">
        <f t="shared" si="7"/>
        <v>X</v>
      </c>
      <c r="T24" s="350" t="str">
        <f t="shared" si="7"/>
        <v>X</v>
      </c>
      <c r="U24" s="350" t="str">
        <f t="shared" si="7"/>
        <v>X</v>
      </c>
      <c r="V24" s="350" t="str">
        <f t="shared" si="7"/>
        <v>X</v>
      </c>
      <c r="W24" s="350" t="str">
        <f t="shared" si="8"/>
        <v>X</v>
      </c>
      <c r="X24" s="350" t="str">
        <f t="shared" si="8"/>
        <v>X</v>
      </c>
      <c r="Y24" s="350" t="str">
        <f t="shared" si="8"/>
        <v>X</v>
      </c>
      <c r="Z24" s="350" t="str">
        <f t="shared" si="6"/>
        <v>X</v>
      </c>
      <c r="AA24" s="350" t="str">
        <f t="shared" si="6"/>
        <v>X</v>
      </c>
      <c r="AB24" s="350" t="str">
        <f t="shared" si="6"/>
        <v>X</v>
      </c>
      <c r="AC24" s="350" t="str">
        <f t="shared" si="6"/>
        <v>X</v>
      </c>
      <c r="AD24" s="350" t="str">
        <f t="shared" si="6"/>
        <v>X</v>
      </c>
      <c r="AE24" s="350" t="str">
        <f t="shared" si="6"/>
        <v>X</v>
      </c>
      <c r="AF24" s="350" t="str">
        <f t="shared" si="6"/>
        <v>X</v>
      </c>
      <c r="AG24" s="350" t="str">
        <f t="shared" si="6"/>
        <v>X</v>
      </c>
      <c r="AH24" s="350" t="str">
        <f t="shared" si="6"/>
        <v>X</v>
      </c>
    </row>
    <row r="25" spans="1:34" x14ac:dyDescent="0.3">
      <c r="A25" s="364">
        <v>24</v>
      </c>
      <c r="B25" s="360">
        <f>'Valve Data'!B17</f>
        <v>0</v>
      </c>
      <c r="C25" s="349">
        <f>'Valve Data'!C17</f>
        <v>0</v>
      </c>
      <c r="D25" s="353" t="str">
        <f>IF('Valve Data'!D17=0,"",'Valve Data'!D17)</f>
        <v/>
      </c>
      <c r="E25" s="20">
        <f>'Valve Data'!E17</f>
        <v>0</v>
      </c>
      <c r="F25" s="358">
        <f>'Valve Data'!F17</f>
        <v>0</v>
      </c>
      <c r="G25" s="356" t="str">
        <f t="shared" si="7"/>
        <v>X</v>
      </c>
      <c r="H25" s="350" t="str">
        <f t="shared" si="7"/>
        <v>X</v>
      </c>
      <c r="I25" s="350" t="str">
        <f t="shared" si="7"/>
        <v>X</v>
      </c>
      <c r="J25" s="350" t="str">
        <f t="shared" si="7"/>
        <v>X</v>
      </c>
      <c r="K25" s="350" t="str">
        <f t="shared" si="7"/>
        <v>X</v>
      </c>
      <c r="L25" s="350" t="str">
        <f t="shared" si="7"/>
        <v>X</v>
      </c>
      <c r="M25" s="350" t="str">
        <f t="shared" si="7"/>
        <v>X</v>
      </c>
      <c r="N25" s="350" t="str">
        <f t="shared" si="7"/>
        <v>X</v>
      </c>
      <c r="O25" s="350" t="str">
        <f t="shared" si="7"/>
        <v>X</v>
      </c>
      <c r="P25" s="350" t="str">
        <f t="shared" si="7"/>
        <v>X</v>
      </c>
      <c r="Q25" s="350" t="str">
        <f t="shared" si="7"/>
        <v>X</v>
      </c>
      <c r="R25" s="350" t="str">
        <f t="shared" si="7"/>
        <v>X</v>
      </c>
      <c r="S25" s="350" t="str">
        <f t="shared" si="7"/>
        <v>X</v>
      </c>
      <c r="T25" s="350" t="str">
        <f t="shared" si="7"/>
        <v>X</v>
      </c>
      <c r="U25" s="350" t="str">
        <f t="shared" si="7"/>
        <v>X</v>
      </c>
      <c r="V25" s="350" t="str">
        <f t="shared" si="7"/>
        <v>X</v>
      </c>
      <c r="W25" s="350" t="str">
        <f t="shared" si="8"/>
        <v>X</v>
      </c>
      <c r="X25" s="350" t="str">
        <f t="shared" si="8"/>
        <v>X</v>
      </c>
      <c r="Y25" s="350" t="str">
        <f t="shared" si="8"/>
        <v>X</v>
      </c>
      <c r="Z25" s="350" t="str">
        <f t="shared" si="6"/>
        <v>X</v>
      </c>
      <c r="AA25" s="350" t="str">
        <f t="shared" si="6"/>
        <v>X</v>
      </c>
      <c r="AB25" s="350" t="str">
        <f t="shared" si="6"/>
        <v>X</v>
      </c>
      <c r="AC25" s="350" t="str">
        <f t="shared" si="6"/>
        <v>X</v>
      </c>
      <c r="AD25" s="350" t="str">
        <f t="shared" si="6"/>
        <v>X</v>
      </c>
      <c r="AE25" s="350" t="str">
        <f t="shared" si="6"/>
        <v>X</v>
      </c>
      <c r="AF25" s="350" t="str">
        <f t="shared" si="6"/>
        <v>X</v>
      </c>
      <c r="AG25" s="350" t="str">
        <f t="shared" si="6"/>
        <v>X</v>
      </c>
      <c r="AH25" s="350" t="str">
        <f t="shared" si="6"/>
        <v>X</v>
      </c>
    </row>
    <row r="26" spans="1:34" x14ac:dyDescent="0.3">
      <c r="A26" s="364">
        <v>25</v>
      </c>
      <c r="B26" s="360" t="str">
        <f>'Valve Data'!B29</f>
        <v>Ball_valve</v>
      </c>
      <c r="C26" s="349" t="str">
        <f>'Valve Data'!C29</f>
        <v>SS-900#</v>
      </c>
      <c r="D26" s="353" t="str">
        <f>IF('Valve Data'!D29=0,"",'Valve Data'!D29)</f>
        <v>RB</v>
      </c>
      <c r="E26" s="20">
        <f>'Valve Data'!E29</f>
        <v>0.5</v>
      </c>
      <c r="F26" s="358">
        <f>'Valve Data'!F29</f>
        <v>1.5</v>
      </c>
      <c r="G26" s="356" t="str">
        <f t="shared" si="7"/>
        <v>Ball_valve.SS-900#.RB.0,5</v>
      </c>
      <c r="H26" s="350" t="str">
        <f t="shared" si="7"/>
        <v>Ball_valve.SS-900#.RB.0,75</v>
      </c>
      <c r="I26" s="350" t="str">
        <f t="shared" si="7"/>
        <v>Ball_valve.SS-900#.RB.1</v>
      </c>
      <c r="J26" s="350" t="str">
        <f t="shared" si="7"/>
        <v>Ball_valve.SS-900#.RB.1,5</v>
      </c>
      <c r="K26" s="350" t="str">
        <f t="shared" si="7"/>
        <v>X</v>
      </c>
      <c r="L26" s="350" t="str">
        <f t="shared" si="7"/>
        <v>X</v>
      </c>
      <c r="M26" s="350" t="str">
        <f t="shared" si="7"/>
        <v>X</v>
      </c>
      <c r="N26" s="350" t="str">
        <f t="shared" si="7"/>
        <v>X</v>
      </c>
      <c r="O26" s="350" t="str">
        <f t="shared" si="7"/>
        <v>X</v>
      </c>
      <c r="P26" s="350" t="str">
        <f t="shared" si="7"/>
        <v>X</v>
      </c>
      <c r="Q26" s="350" t="str">
        <f t="shared" si="7"/>
        <v>X</v>
      </c>
      <c r="R26" s="350" t="str">
        <f t="shared" si="7"/>
        <v>X</v>
      </c>
      <c r="S26" s="350" t="str">
        <f t="shared" si="7"/>
        <v>X</v>
      </c>
      <c r="T26" s="350" t="str">
        <f t="shared" si="7"/>
        <v>X</v>
      </c>
      <c r="U26" s="350" t="str">
        <f t="shared" si="7"/>
        <v>X</v>
      </c>
      <c r="V26" s="350" t="str">
        <f t="shared" si="7"/>
        <v>X</v>
      </c>
      <c r="W26" s="350" t="str">
        <f t="shared" si="8"/>
        <v>X</v>
      </c>
      <c r="X26" s="350" t="str">
        <f t="shared" si="8"/>
        <v>X</v>
      </c>
      <c r="Y26" s="350" t="str">
        <f t="shared" si="8"/>
        <v>X</v>
      </c>
      <c r="Z26" s="350" t="str">
        <f t="shared" si="6"/>
        <v>X</v>
      </c>
      <c r="AA26" s="350" t="str">
        <f t="shared" si="6"/>
        <v>X</v>
      </c>
      <c r="AB26" s="350" t="str">
        <f t="shared" si="6"/>
        <v>X</v>
      </c>
      <c r="AC26" s="350" t="str">
        <f t="shared" si="6"/>
        <v>X</v>
      </c>
      <c r="AD26" s="350" t="str">
        <f t="shared" si="6"/>
        <v>X</v>
      </c>
      <c r="AE26" s="350" t="str">
        <f t="shared" si="6"/>
        <v>X</v>
      </c>
      <c r="AF26" s="350" t="str">
        <f t="shared" si="6"/>
        <v>X</v>
      </c>
      <c r="AG26" s="350" t="str">
        <f t="shared" si="6"/>
        <v>X</v>
      </c>
      <c r="AH26" s="350" t="str">
        <f t="shared" si="6"/>
        <v>X</v>
      </c>
    </row>
    <row r="27" spans="1:34" x14ac:dyDescent="0.3">
      <c r="A27" s="364">
        <v>26</v>
      </c>
      <c r="B27" s="360" t="str">
        <f>'Valve Data'!B14</f>
        <v>Check_valve</v>
      </c>
      <c r="C27" s="349" t="str">
        <f>'Valve Data'!C14</f>
        <v>SS-600#</v>
      </c>
      <c r="D27" s="353" t="str">
        <f>IF('Valve Data'!D14=0,"",'Valve Data'!D14)</f>
        <v/>
      </c>
      <c r="E27" s="20">
        <f>'Valve Data'!E14</f>
        <v>0.5</v>
      </c>
      <c r="F27" s="358">
        <f>'Valve Data'!F14</f>
        <v>24</v>
      </c>
      <c r="G27" s="356" t="str">
        <f t="shared" si="7"/>
        <v>Check_valve.SS-600#..0,5</v>
      </c>
      <c r="H27" s="350" t="str">
        <f t="shared" si="7"/>
        <v>Check_valve.SS-600#..0,75</v>
      </c>
      <c r="I27" s="350" t="str">
        <f t="shared" si="7"/>
        <v>Check_valve.SS-600#..1</v>
      </c>
      <c r="J27" s="350" t="str">
        <f t="shared" si="7"/>
        <v>Check_valve.SS-600#..1,5</v>
      </c>
      <c r="K27" s="350" t="str">
        <f t="shared" si="7"/>
        <v>Check_valve.SS-600#..2</v>
      </c>
      <c r="L27" s="350" t="str">
        <f t="shared" si="7"/>
        <v>Check_valve.SS-600#..2,5</v>
      </c>
      <c r="M27" s="350" t="str">
        <f t="shared" si="7"/>
        <v>Check_valve.SS-600#..3</v>
      </c>
      <c r="N27" s="350" t="str">
        <f t="shared" si="7"/>
        <v>Check_valve.SS-600#..4</v>
      </c>
      <c r="O27" s="350" t="str">
        <f t="shared" si="7"/>
        <v>Check_valve.SS-600#..5</v>
      </c>
      <c r="P27" s="350" t="str">
        <f t="shared" si="7"/>
        <v>Check_valve.SS-600#..6</v>
      </c>
      <c r="Q27" s="350" t="str">
        <f t="shared" si="7"/>
        <v>Check_valve.SS-600#..8</v>
      </c>
      <c r="R27" s="350" t="str">
        <f t="shared" si="7"/>
        <v>Check_valve.SS-600#..10</v>
      </c>
      <c r="S27" s="350" t="str">
        <f t="shared" si="7"/>
        <v>Check_valve.SS-600#..12</v>
      </c>
      <c r="T27" s="350" t="str">
        <f t="shared" si="7"/>
        <v>Check_valve.SS-600#..14</v>
      </c>
      <c r="U27" s="350" t="str">
        <f t="shared" si="7"/>
        <v>Check_valve.SS-600#..16</v>
      </c>
      <c r="V27" s="350" t="str">
        <f t="shared" si="7"/>
        <v>Check_valve.SS-600#..18</v>
      </c>
      <c r="W27" s="350" t="str">
        <f t="shared" si="8"/>
        <v>Check_valve.SS-600#..20</v>
      </c>
      <c r="X27" s="350" t="str">
        <f t="shared" si="8"/>
        <v>Check_valve.SS-600#..22</v>
      </c>
      <c r="Y27" s="350" t="str">
        <f t="shared" si="8"/>
        <v>Check_valve.SS-600#..24</v>
      </c>
      <c r="Z27" s="350" t="str">
        <f t="shared" si="6"/>
        <v>X</v>
      </c>
      <c r="AA27" s="350" t="str">
        <f t="shared" si="6"/>
        <v>X</v>
      </c>
      <c r="AB27" s="350" t="str">
        <f t="shared" si="6"/>
        <v>X</v>
      </c>
      <c r="AC27" s="350" t="str">
        <f t="shared" si="6"/>
        <v>X</v>
      </c>
      <c r="AD27" s="350" t="str">
        <f t="shared" si="6"/>
        <v>X</v>
      </c>
      <c r="AE27" s="350" t="str">
        <f t="shared" si="6"/>
        <v>X</v>
      </c>
      <c r="AF27" s="350" t="str">
        <f t="shared" si="6"/>
        <v>X</v>
      </c>
      <c r="AG27" s="350" t="str">
        <f t="shared" si="6"/>
        <v>X</v>
      </c>
      <c r="AH27" s="350" t="str">
        <f t="shared" si="6"/>
        <v>X</v>
      </c>
    </row>
    <row r="28" spans="1:34" x14ac:dyDescent="0.3">
      <c r="A28" s="364">
        <v>27</v>
      </c>
      <c r="B28" s="360" t="str">
        <f>'Valve Data'!B24</f>
        <v>Globe_valve</v>
      </c>
      <c r="C28" s="349" t="str">
        <f>'Valve Data'!C24</f>
        <v>SS-150#</v>
      </c>
      <c r="D28" s="353" t="str">
        <f>IF('Valve Data'!D24=0,"",'Valve Data'!D24)</f>
        <v/>
      </c>
      <c r="E28" s="20">
        <f>'Valve Data'!E24</f>
        <v>0.5</v>
      </c>
      <c r="F28" s="358">
        <f>'Valve Data'!F24</f>
        <v>24</v>
      </c>
      <c r="G28" s="356" t="str">
        <f t="shared" si="7"/>
        <v>Globe_valve.SS-150#..0,5</v>
      </c>
      <c r="H28" s="350" t="str">
        <f t="shared" si="7"/>
        <v>Globe_valve.SS-150#..0,75</v>
      </c>
      <c r="I28" s="350" t="str">
        <f t="shared" si="7"/>
        <v>Globe_valve.SS-150#..1</v>
      </c>
      <c r="J28" s="350" t="str">
        <f t="shared" si="7"/>
        <v>Globe_valve.SS-150#..1,5</v>
      </c>
      <c r="K28" s="350" t="str">
        <f t="shared" si="7"/>
        <v>Globe_valve.SS-150#..2</v>
      </c>
      <c r="L28" s="350" t="str">
        <f t="shared" si="7"/>
        <v>Globe_valve.SS-150#..2,5</v>
      </c>
      <c r="M28" s="350" t="str">
        <f t="shared" si="7"/>
        <v>Globe_valve.SS-150#..3</v>
      </c>
      <c r="N28" s="350" t="str">
        <f t="shared" si="7"/>
        <v>Globe_valve.SS-150#..4</v>
      </c>
      <c r="O28" s="350" t="str">
        <f t="shared" si="7"/>
        <v>Globe_valve.SS-150#..5</v>
      </c>
      <c r="P28" s="350" t="str">
        <f t="shared" si="7"/>
        <v>Globe_valve.SS-150#..6</v>
      </c>
      <c r="Q28" s="350" t="str">
        <f t="shared" si="7"/>
        <v>Globe_valve.SS-150#..8</v>
      </c>
      <c r="R28" s="350" t="str">
        <f t="shared" si="7"/>
        <v>Globe_valve.SS-150#..10</v>
      </c>
      <c r="S28" s="350" t="str">
        <f t="shared" si="7"/>
        <v>Globe_valve.SS-150#..12</v>
      </c>
      <c r="T28" s="350" t="str">
        <f t="shared" si="7"/>
        <v>Globe_valve.SS-150#..14</v>
      </c>
      <c r="U28" s="350" t="str">
        <f t="shared" si="7"/>
        <v>Globe_valve.SS-150#..16</v>
      </c>
      <c r="V28" s="350" t="str">
        <f t="shared" si="7"/>
        <v>Globe_valve.SS-150#..18</v>
      </c>
      <c r="W28" s="350" t="str">
        <f t="shared" si="8"/>
        <v>Globe_valve.SS-150#..20</v>
      </c>
      <c r="X28" s="350" t="str">
        <f t="shared" si="8"/>
        <v>Globe_valve.SS-150#..22</v>
      </c>
      <c r="Y28" s="350" t="str">
        <f t="shared" si="8"/>
        <v>Globe_valve.SS-150#..24</v>
      </c>
      <c r="Z28" s="350" t="str">
        <f t="shared" si="6"/>
        <v>X</v>
      </c>
      <c r="AA28" s="350" t="str">
        <f t="shared" si="6"/>
        <v>X</v>
      </c>
      <c r="AB28" s="350" t="str">
        <f t="shared" si="6"/>
        <v>X</v>
      </c>
      <c r="AC28" s="350" t="str">
        <f t="shared" si="6"/>
        <v>X</v>
      </c>
      <c r="AD28" s="350" t="str">
        <f t="shared" si="6"/>
        <v>X</v>
      </c>
      <c r="AE28" s="350" t="str">
        <f t="shared" si="6"/>
        <v>X</v>
      </c>
      <c r="AF28" s="350" t="str">
        <f t="shared" si="6"/>
        <v>X</v>
      </c>
      <c r="AG28" s="350" t="str">
        <f t="shared" si="6"/>
        <v>X</v>
      </c>
      <c r="AH28" s="350" t="str">
        <f t="shared" si="6"/>
        <v>X</v>
      </c>
    </row>
    <row r="29" spans="1:34" x14ac:dyDescent="0.3">
      <c r="A29" s="364">
        <v>28</v>
      </c>
      <c r="B29" s="360" t="str">
        <f>'Valve Data'!B3</f>
        <v>Ball_valve</v>
      </c>
      <c r="C29" s="349" t="str">
        <f>'Valve Data'!C3</f>
        <v>CS-150#</v>
      </c>
      <c r="D29" s="353" t="str">
        <f>IF('Valve Data'!D3=0,"",'Valve Data'!D3)</f>
        <v>RB</v>
      </c>
      <c r="E29" s="20">
        <f>'Valve Data'!E3</f>
        <v>1</v>
      </c>
      <c r="F29" s="358">
        <f>'Valve Data'!F3</f>
        <v>6</v>
      </c>
      <c r="G29" s="356" t="str">
        <f t="shared" si="7"/>
        <v>X</v>
      </c>
      <c r="H29" s="350" t="str">
        <f t="shared" si="7"/>
        <v>X</v>
      </c>
      <c r="I29" s="350" t="str">
        <f t="shared" si="7"/>
        <v>Ball_valve.CS-150#.RB.1</v>
      </c>
      <c r="J29" s="350" t="str">
        <f t="shared" si="7"/>
        <v>Ball_valve.CS-150#.RB.1,5</v>
      </c>
      <c r="K29" s="350" t="str">
        <f t="shared" si="7"/>
        <v>Ball_valve.CS-150#.RB.2</v>
      </c>
      <c r="L29" s="350" t="str">
        <f t="shared" si="7"/>
        <v>Ball_valve.CS-150#.RB.2,5</v>
      </c>
      <c r="M29" s="350" t="str">
        <f t="shared" si="7"/>
        <v>Ball_valve.CS-150#.RB.3</v>
      </c>
      <c r="N29" s="350" t="str">
        <f t="shared" si="7"/>
        <v>Ball_valve.CS-150#.RB.4</v>
      </c>
      <c r="O29" s="350" t="str">
        <f t="shared" si="7"/>
        <v>Ball_valve.CS-150#.RB.5</v>
      </c>
      <c r="P29" s="350" t="str">
        <f t="shared" si="7"/>
        <v>Ball_valve.CS-150#.RB.6</v>
      </c>
      <c r="Q29" s="350" t="str">
        <f t="shared" si="7"/>
        <v>X</v>
      </c>
      <c r="R29" s="350" t="str">
        <f t="shared" si="7"/>
        <v>X</v>
      </c>
      <c r="S29" s="350" t="str">
        <f t="shared" si="7"/>
        <v>X</v>
      </c>
      <c r="T29" s="350" t="str">
        <f t="shared" si="7"/>
        <v>X</v>
      </c>
      <c r="U29" s="350" t="str">
        <f t="shared" si="7"/>
        <v>X</v>
      </c>
      <c r="V29" s="350" t="str">
        <f t="shared" si="7"/>
        <v>X</v>
      </c>
      <c r="W29" s="350" t="str">
        <f t="shared" si="8"/>
        <v>X</v>
      </c>
      <c r="X29" s="350" t="str">
        <f t="shared" si="8"/>
        <v>X</v>
      </c>
      <c r="Y29" s="350" t="str">
        <f t="shared" si="8"/>
        <v>X</v>
      </c>
      <c r="Z29" s="350" t="str">
        <f t="shared" si="6"/>
        <v>X</v>
      </c>
      <c r="AA29" s="350" t="str">
        <f t="shared" si="6"/>
        <v>X</v>
      </c>
      <c r="AB29" s="350" t="str">
        <f t="shared" si="6"/>
        <v>X</v>
      </c>
      <c r="AC29" s="350" t="str">
        <f t="shared" si="6"/>
        <v>X</v>
      </c>
      <c r="AD29" s="350" t="str">
        <f t="shared" si="6"/>
        <v>X</v>
      </c>
      <c r="AE29" s="350" t="str">
        <f t="shared" si="6"/>
        <v>X</v>
      </c>
      <c r="AF29" s="350" t="str">
        <f t="shared" si="6"/>
        <v>X</v>
      </c>
      <c r="AG29" s="350" t="str">
        <f t="shared" si="6"/>
        <v>X</v>
      </c>
      <c r="AH29" s="350" t="str">
        <f t="shared" si="6"/>
        <v>X</v>
      </c>
    </row>
    <row r="30" spans="1:34" x14ac:dyDescent="0.3">
      <c r="A30" s="364">
        <v>29</v>
      </c>
      <c r="B30" s="360" t="str">
        <f>'Valve Data'!B30</f>
        <v>Ball_valve</v>
      </c>
      <c r="C30" s="349" t="str">
        <f>'Valve Data'!C30</f>
        <v>SS-900#</v>
      </c>
      <c r="D30" s="353" t="str">
        <f>IF('Valve Data'!D30=0,"",'Valve Data'!D30)</f>
        <v>RB</v>
      </c>
      <c r="E30" s="20">
        <f>'Valve Data'!E30</f>
        <v>2</v>
      </c>
      <c r="F30" s="358">
        <f>'Valve Data'!F30</f>
        <v>6</v>
      </c>
      <c r="G30" s="356" t="str">
        <f t="shared" si="7"/>
        <v>X</v>
      </c>
      <c r="H30" s="350" t="str">
        <f t="shared" si="7"/>
        <v>X</v>
      </c>
      <c r="I30" s="350" t="str">
        <f t="shared" si="7"/>
        <v>X</v>
      </c>
      <c r="J30" s="350" t="str">
        <f t="shared" si="7"/>
        <v>X</v>
      </c>
      <c r="K30" s="350" t="str">
        <f t="shared" si="7"/>
        <v>Ball_valve.SS-900#.RB.2</v>
      </c>
      <c r="L30" s="350" t="str">
        <f t="shared" si="7"/>
        <v>Ball_valve.SS-900#.RB.2,5</v>
      </c>
      <c r="M30" s="350" t="str">
        <f t="shared" si="7"/>
        <v>Ball_valve.SS-900#.RB.3</v>
      </c>
      <c r="N30" s="350" t="str">
        <f t="shared" si="7"/>
        <v>Ball_valve.SS-900#.RB.4</v>
      </c>
      <c r="O30" s="350" t="str">
        <f t="shared" si="7"/>
        <v>Ball_valve.SS-900#.RB.5</v>
      </c>
      <c r="P30" s="350" t="str">
        <f t="shared" si="7"/>
        <v>Ball_valve.SS-900#.RB.6</v>
      </c>
      <c r="Q30" s="350" t="str">
        <f t="shared" si="7"/>
        <v>X</v>
      </c>
      <c r="R30" s="350" t="str">
        <f t="shared" si="7"/>
        <v>X</v>
      </c>
      <c r="S30" s="350" t="str">
        <f t="shared" si="7"/>
        <v>X</v>
      </c>
      <c r="T30" s="350" t="str">
        <f t="shared" si="7"/>
        <v>X</v>
      </c>
      <c r="U30" s="350" t="str">
        <f t="shared" si="7"/>
        <v>X</v>
      </c>
      <c r="V30" s="350" t="str">
        <f t="shared" si="7"/>
        <v>X</v>
      </c>
      <c r="W30" s="350" t="str">
        <f t="shared" si="8"/>
        <v>X</v>
      </c>
      <c r="X30" s="350" t="str">
        <f t="shared" si="8"/>
        <v>X</v>
      </c>
      <c r="Y30" s="350" t="str">
        <f t="shared" si="8"/>
        <v>X</v>
      </c>
      <c r="Z30" s="350" t="str">
        <f t="shared" si="6"/>
        <v>X</v>
      </c>
      <c r="AA30" s="350" t="str">
        <f t="shared" si="6"/>
        <v>X</v>
      </c>
      <c r="AB30" s="350" t="str">
        <f t="shared" si="6"/>
        <v>X</v>
      </c>
      <c r="AC30" s="350" t="str">
        <f t="shared" si="6"/>
        <v>X</v>
      </c>
      <c r="AD30" s="350" t="str">
        <f t="shared" si="6"/>
        <v>X</v>
      </c>
      <c r="AE30" s="350" t="str">
        <f t="shared" si="6"/>
        <v>X</v>
      </c>
      <c r="AF30" s="350" t="str">
        <f t="shared" si="6"/>
        <v>X</v>
      </c>
      <c r="AG30" s="350" t="str">
        <f t="shared" si="6"/>
        <v>X</v>
      </c>
      <c r="AH30" s="350" t="str">
        <f t="shared" si="6"/>
        <v>X</v>
      </c>
    </row>
    <row r="31" spans="1:34" x14ac:dyDescent="0.3">
      <c r="A31" s="364">
        <v>30</v>
      </c>
      <c r="B31" s="360" t="str">
        <f>'Valve Data'!B31</f>
        <v>Ball_valve</v>
      </c>
      <c r="C31" s="349" t="str">
        <f>'Valve Data'!C31</f>
        <v>SS-900#</v>
      </c>
      <c r="D31" s="353" t="str">
        <f>IF('Valve Data'!D31=0,"",'Valve Data'!D31)</f>
        <v>RB</v>
      </c>
      <c r="E31" s="20">
        <f>'Valve Data'!E31</f>
        <v>8</v>
      </c>
      <c r="F31" s="358">
        <f>'Valve Data'!F31</f>
        <v>24</v>
      </c>
      <c r="G31" s="356" t="str">
        <f t="shared" si="7"/>
        <v>X</v>
      </c>
      <c r="H31" s="350" t="str">
        <f t="shared" si="7"/>
        <v>X</v>
      </c>
      <c r="I31" s="350" t="str">
        <f t="shared" si="7"/>
        <v>X</v>
      </c>
      <c r="J31" s="350" t="str">
        <f t="shared" si="7"/>
        <v>X</v>
      </c>
      <c r="K31" s="350" t="str">
        <f t="shared" si="7"/>
        <v>X</v>
      </c>
      <c r="L31" s="350" t="str">
        <f t="shared" si="7"/>
        <v>X</v>
      </c>
      <c r="M31" s="350" t="str">
        <f t="shared" si="7"/>
        <v>X</v>
      </c>
      <c r="N31" s="350" t="str">
        <f t="shared" si="7"/>
        <v>X</v>
      </c>
      <c r="O31" s="350" t="str">
        <f t="shared" si="7"/>
        <v>X</v>
      </c>
      <c r="P31" s="350" t="str">
        <f t="shared" si="7"/>
        <v>X</v>
      </c>
      <c r="Q31" s="350" t="str">
        <f t="shared" si="7"/>
        <v>Ball_valve.SS-900#.RB.8</v>
      </c>
      <c r="R31" s="350" t="str">
        <f t="shared" si="7"/>
        <v>Ball_valve.SS-900#.RB.10</v>
      </c>
      <c r="S31" s="350" t="str">
        <f t="shared" si="7"/>
        <v>Ball_valve.SS-900#.RB.12</v>
      </c>
      <c r="T31" s="350" t="str">
        <f t="shared" si="7"/>
        <v>Ball_valve.SS-900#.RB.14</v>
      </c>
      <c r="U31" s="350" t="str">
        <f t="shared" si="7"/>
        <v>Ball_valve.SS-900#.RB.16</v>
      </c>
      <c r="V31" s="350" t="str">
        <f t="shared" si="7"/>
        <v>Ball_valve.SS-900#.RB.18</v>
      </c>
      <c r="W31" s="350" t="str">
        <f t="shared" si="8"/>
        <v>Ball_valve.SS-900#.RB.20</v>
      </c>
      <c r="X31" s="350" t="str">
        <f t="shared" si="8"/>
        <v>Ball_valve.SS-900#.RB.22</v>
      </c>
      <c r="Y31" s="350" t="str">
        <f t="shared" si="8"/>
        <v>Ball_valve.SS-900#.RB.24</v>
      </c>
      <c r="Z31" s="350" t="str">
        <f t="shared" si="6"/>
        <v>X</v>
      </c>
      <c r="AA31" s="350" t="str">
        <f t="shared" si="6"/>
        <v>X</v>
      </c>
      <c r="AB31" s="350" t="str">
        <f t="shared" si="6"/>
        <v>X</v>
      </c>
      <c r="AC31" s="350" t="str">
        <f t="shared" si="6"/>
        <v>X</v>
      </c>
      <c r="AD31" s="350" t="str">
        <f t="shared" si="6"/>
        <v>X</v>
      </c>
      <c r="AE31" s="350" t="str">
        <f t="shared" si="6"/>
        <v>X</v>
      </c>
      <c r="AF31" s="350" t="str">
        <f t="shared" si="6"/>
        <v>X</v>
      </c>
      <c r="AG31" s="350" t="str">
        <f t="shared" si="6"/>
        <v>X</v>
      </c>
      <c r="AH31" s="350" t="str">
        <f t="shared" si="6"/>
        <v>X</v>
      </c>
    </row>
    <row r="32" spans="1:34" x14ac:dyDescent="0.3">
      <c r="A32" s="364">
        <v>31</v>
      </c>
      <c r="B32" s="360" t="str">
        <f>'Valve Data'!B32</f>
        <v>Check_valve</v>
      </c>
      <c r="C32" s="349" t="str">
        <f>'Valve Data'!C32</f>
        <v>SS-900#</v>
      </c>
      <c r="D32" s="353" t="str">
        <f>IF('Valve Data'!D32=0,"",'Valve Data'!D32)</f>
        <v/>
      </c>
      <c r="E32" s="20">
        <f>'Valve Data'!E32</f>
        <v>0.5</v>
      </c>
      <c r="F32" s="358">
        <f>'Valve Data'!F32</f>
        <v>24</v>
      </c>
      <c r="G32" s="356" t="str">
        <f t="shared" si="7"/>
        <v>Check_valve.SS-900#..0,5</v>
      </c>
      <c r="H32" s="350" t="str">
        <f t="shared" si="7"/>
        <v>Check_valve.SS-900#..0,75</v>
      </c>
      <c r="I32" s="350" t="str">
        <f t="shared" si="7"/>
        <v>Check_valve.SS-900#..1</v>
      </c>
      <c r="J32" s="350" t="str">
        <f t="shared" si="7"/>
        <v>Check_valve.SS-900#..1,5</v>
      </c>
      <c r="K32" s="350" t="str">
        <f t="shared" si="7"/>
        <v>Check_valve.SS-900#..2</v>
      </c>
      <c r="L32" s="350" t="str">
        <f t="shared" si="7"/>
        <v>Check_valve.SS-900#..2,5</v>
      </c>
      <c r="M32" s="350" t="str">
        <f t="shared" si="7"/>
        <v>Check_valve.SS-900#..3</v>
      </c>
      <c r="N32" s="350" t="str">
        <f t="shared" si="7"/>
        <v>Check_valve.SS-900#..4</v>
      </c>
      <c r="O32" s="350" t="str">
        <f t="shared" si="7"/>
        <v>Check_valve.SS-900#..5</v>
      </c>
      <c r="P32" s="350" t="str">
        <f t="shared" si="7"/>
        <v>Check_valve.SS-900#..6</v>
      </c>
      <c r="Q32" s="350" t="str">
        <f t="shared" si="7"/>
        <v>Check_valve.SS-900#..8</v>
      </c>
      <c r="R32" s="350" t="str">
        <f t="shared" si="7"/>
        <v>Check_valve.SS-900#..10</v>
      </c>
      <c r="S32" s="350" t="str">
        <f t="shared" si="7"/>
        <v>Check_valve.SS-900#..12</v>
      </c>
      <c r="T32" s="350" t="str">
        <f t="shared" si="7"/>
        <v>Check_valve.SS-900#..14</v>
      </c>
      <c r="U32" s="350" t="str">
        <f t="shared" si="7"/>
        <v>Check_valve.SS-900#..16</v>
      </c>
      <c r="V32" s="350" t="str">
        <f t="shared" si="7"/>
        <v>Check_valve.SS-900#..18</v>
      </c>
      <c r="W32" s="350" t="str">
        <f t="shared" si="8"/>
        <v>Check_valve.SS-900#..20</v>
      </c>
      <c r="X32" s="350" t="str">
        <f t="shared" si="8"/>
        <v>Check_valve.SS-900#..22</v>
      </c>
      <c r="Y32" s="350" t="str">
        <f t="shared" si="8"/>
        <v>Check_valve.SS-900#..24</v>
      </c>
      <c r="Z32" s="350" t="str">
        <f t="shared" si="6"/>
        <v>X</v>
      </c>
      <c r="AA32" s="350" t="str">
        <f t="shared" si="6"/>
        <v>X</v>
      </c>
      <c r="AB32" s="350" t="str">
        <f t="shared" si="6"/>
        <v>X</v>
      </c>
      <c r="AC32" s="350" t="str">
        <f t="shared" si="6"/>
        <v>X</v>
      </c>
      <c r="AD32" s="350" t="str">
        <f t="shared" si="6"/>
        <v>X</v>
      </c>
      <c r="AE32" s="350" t="str">
        <f t="shared" si="6"/>
        <v>X</v>
      </c>
      <c r="AF32" s="350" t="str">
        <f t="shared" si="6"/>
        <v>X</v>
      </c>
      <c r="AG32" s="350" t="str">
        <f t="shared" si="6"/>
        <v>X</v>
      </c>
      <c r="AH32" s="350" t="str">
        <f t="shared" si="6"/>
        <v>X</v>
      </c>
    </row>
    <row r="33" spans="1:34" x14ac:dyDescent="0.3">
      <c r="A33" s="364">
        <v>32</v>
      </c>
      <c r="B33" s="360" t="str">
        <f>'Valve Data'!B33</f>
        <v>Globe_valve</v>
      </c>
      <c r="C33" s="349" t="str">
        <f>'Valve Data'!C33</f>
        <v>SS-900#</v>
      </c>
      <c r="D33" s="353" t="str">
        <f>IF('Valve Data'!D33=0,"",'Valve Data'!D33)</f>
        <v/>
      </c>
      <c r="E33" s="20">
        <f>'Valve Data'!E33</f>
        <v>0.5</v>
      </c>
      <c r="F33" s="358">
        <f>'Valve Data'!F33</f>
        <v>24</v>
      </c>
      <c r="G33" s="356" t="str">
        <f t="shared" si="7"/>
        <v>Globe_valve.SS-900#..0,5</v>
      </c>
      <c r="H33" s="350" t="str">
        <f t="shared" si="7"/>
        <v>Globe_valve.SS-900#..0,75</v>
      </c>
      <c r="I33" s="350" t="str">
        <f t="shared" si="7"/>
        <v>Globe_valve.SS-900#..1</v>
      </c>
      <c r="J33" s="350" t="str">
        <f t="shared" si="7"/>
        <v>Globe_valve.SS-900#..1,5</v>
      </c>
      <c r="K33" s="350" t="str">
        <f t="shared" si="7"/>
        <v>Globe_valve.SS-900#..2</v>
      </c>
      <c r="L33" s="350" t="str">
        <f t="shared" si="7"/>
        <v>Globe_valve.SS-900#..2,5</v>
      </c>
      <c r="M33" s="350" t="str">
        <f t="shared" si="7"/>
        <v>Globe_valve.SS-900#..3</v>
      </c>
      <c r="N33" s="350" t="str">
        <f t="shared" si="7"/>
        <v>Globe_valve.SS-900#..4</v>
      </c>
      <c r="O33" s="350" t="str">
        <f t="shared" si="7"/>
        <v>Globe_valve.SS-900#..5</v>
      </c>
      <c r="P33" s="350" t="str">
        <f t="shared" si="7"/>
        <v>Globe_valve.SS-900#..6</v>
      </c>
      <c r="Q33" s="350" t="str">
        <f t="shared" si="7"/>
        <v>Globe_valve.SS-900#..8</v>
      </c>
      <c r="R33" s="350" t="str">
        <f t="shared" si="7"/>
        <v>Globe_valve.SS-900#..10</v>
      </c>
      <c r="S33" s="350" t="str">
        <f t="shared" si="7"/>
        <v>Globe_valve.SS-900#..12</v>
      </c>
      <c r="T33" s="350" t="str">
        <f t="shared" si="7"/>
        <v>Globe_valve.SS-900#..14</v>
      </c>
      <c r="U33" s="350" t="str">
        <f t="shared" si="7"/>
        <v>Globe_valve.SS-900#..16</v>
      </c>
      <c r="V33" s="350" t="str">
        <f t="shared" si="7"/>
        <v>Globe_valve.SS-900#..18</v>
      </c>
      <c r="W33" s="350" t="str">
        <f t="shared" si="8"/>
        <v>Globe_valve.SS-900#..20</v>
      </c>
      <c r="X33" s="350" t="str">
        <f t="shared" si="8"/>
        <v>Globe_valve.SS-900#..22</v>
      </c>
      <c r="Y33" s="350" t="str">
        <f t="shared" si="8"/>
        <v>Globe_valve.SS-900#..24</v>
      </c>
      <c r="Z33" s="350" t="str">
        <f t="shared" si="6"/>
        <v>X</v>
      </c>
      <c r="AA33" s="350" t="str">
        <f t="shared" si="6"/>
        <v>X</v>
      </c>
      <c r="AB33" s="350" t="str">
        <f t="shared" si="6"/>
        <v>X</v>
      </c>
      <c r="AC33" s="350" t="str">
        <f t="shared" si="6"/>
        <v>X</v>
      </c>
      <c r="AD33" s="350" t="str">
        <f t="shared" si="6"/>
        <v>X</v>
      </c>
      <c r="AE33" s="350" t="str">
        <f t="shared" si="6"/>
        <v>X</v>
      </c>
      <c r="AF33" s="350" t="str">
        <f t="shared" si="6"/>
        <v>X</v>
      </c>
      <c r="AG33" s="350" t="str">
        <f t="shared" si="6"/>
        <v>X</v>
      </c>
      <c r="AH33" s="350" t="str">
        <f t="shared" si="6"/>
        <v>X</v>
      </c>
    </row>
    <row r="34" spans="1:34" x14ac:dyDescent="0.3">
      <c r="A34" s="364">
        <v>33</v>
      </c>
      <c r="B34" s="360" t="str">
        <f>'Valve Data'!B34</f>
        <v>Gate_valve</v>
      </c>
      <c r="C34" s="349" t="str">
        <f>'Valve Data'!C34</f>
        <v>CS-900#</v>
      </c>
      <c r="D34" s="353" t="str">
        <f>IF('Valve Data'!D34=0,"",'Valve Data'!D34)</f>
        <v/>
      </c>
      <c r="E34" s="20">
        <f>'Valve Data'!E34</f>
        <v>0.5</v>
      </c>
      <c r="F34" s="358">
        <f>'Valve Data'!F34</f>
        <v>24</v>
      </c>
      <c r="G34" s="356" t="str">
        <f t="shared" si="7"/>
        <v>Gate_valve.CS-900#..0,5</v>
      </c>
      <c r="H34" s="350" t="str">
        <f t="shared" si="7"/>
        <v>Gate_valve.CS-900#..0,75</v>
      </c>
      <c r="I34" s="350" t="str">
        <f t="shared" si="7"/>
        <v>Gate_valve.CS-900#..1</v>
      </c>
      <c r="J34" s="350" t="str">
        <f t="shared" si="7"/>
        <v>Gate_valve.CS-900#..1,5</v>
      </c>
      <c r="K34" s="350" t="str">
        <f t="shared" si="7"/>
        <v>Gate_valve.CS-900#..2</v>
      </c>
      <c r="L34" s="350" t="str">
        <f t="shared" si="7"/>
        <v>Gate_valve.CS-900#..2,5</v>
      </c>
      <c r="M34" s="350" t="str">
        <f t="shared" si="7"/>
        <v>Gate_valve.CS-900#..3</v>
      </c>
      <c r="N34" s="350" t="str">
        <f t="shared" si="7"/>
        <v>Gate_valve.CS-900#..4</v>
      </c>
      <c r="O34" s="350" t="str">
        <f t="shared" si="7"/>
        <v>Gate_valve.CS-900#..5</v>
      </c>
      <c r="P34" s="350" t="str">
        <f t="shared" si="7"/>
        <v>Gate_valve.CS-900#..6</v>
      </c>
      <c r="Q34" s="350" t="str">
        <f t="shared" si="7"/>
        <v>Gate_valve.CS-900#..8</v>
      </c>
      <c r="R34" s="350" t="str">
        <f t="shared" si="7"/>
        <v>Gate_valve.CS-900#..10</v>
      </c>
      <c r="S34" s="350" t="str">
        <f t="shared" si="7"/>
        <v>Gate_valve.CS-900#..12</v>
      </c>
      <c r="T34" s="350" t="str">
        <f t="shared" si="7"/>
        <v>Gate_valve.CS-900#..14</v>
      </c>
      <c r="U34" s="350" t="str">
        <f t="shared" si="7"/>
        <v>Gate_valve.CS-900#..16</v>
      </c>
      <c r="V34" s="350" t="str">
        <f t="shared" ref="V34:AH49" si="9">IF(AND($E34&lt;=V$1,$F34&gt;=V$1),CONCATENATE($B34,".",$C34,".",$D34,".",V$1),"X")</f>
        <v>Gate_valve.CS-900#..18</v>
      </c>
      <c r="W34" s="350" t="str">
        <f t="shared" si="9"/>
        <v>Gate_valve.CS-900#..20</v>
      </c>
      <c r="X34" s="350" t="str">
        <f t="shared" si="9"/>
        <v>Gate_valve.CS-900#..22</v>
      </c>
      <c r="Y34" s="350" t="str">
        <f t="shared" si="9"/>
        <v>Gate_valve.CS-900#..24</v>
      </c>
      <c r="Z34" s="350" t="str">
        <f t="shared" si="9"/>
        <v>X</v>
      </c>
      <c r="AA34" s="350" t="str">
        <f t="shared" si="9"/>
        <v>X</v>
      </c>
      <c r="AB34" s="350" t="str">
        <f t="shared" si="9"/>
        <v>X</v>
      </c>
      <c r="AC34" s="350" t="str">
        <f t="shared" si="9"/>
        <v>X</v>
      </c>
      <c r="AD34" s="350" t="str">
        <f t="shared" si="9"/>
        <v>X</v>
      </c>
      <c r="AE34" s="350" t="str">
        <f t="shared" si="9"/>
        <v>X</v>
      </c>
      <c r="AF34" s="350" t="str">
        <f t="shared" si="9"/>
        <v>X</v>
      </c>
      <c r="AG34" s="350" t="str">
        <f t="shared" si="9"/>
        <v>X</v>
      </c>
      <c r="AH34" s="350" t="str">
        <f t="shared" si="9"/>
        <v>X</v>
      </c>
    </row>
    <row r="35" spans="1:34" x14ac:dyDescent="0.3">
      <c r="A35" s="364">
        <v>34</v>
      </c>
      <c r="B35" s="360">
        <f>'Valve Data'!B35</f>
        <v>0</v>
      </c>
      <c r="C35" s="349">
        <f>'Valve Data'!C35</f>
        <v>0</v>
      </c>
      <c r="D35" s="353" t="str">
        <f>IF('Valve Data'!D35=0,"",'Valve Data'!D35)</f>
        <v/>
      </c>
      <c r="E35" s="20">
        <f>'Valve Data'!E35</f>
        <v>0</v>
      </c>
      <c r="F35" s="358">
        <f>'Valve Data'!F35</f>
        <v>0</v>
      </c>
      <c r="G35" s="356" t="str">
        <f t="shared" ref="G35:V50" si="10">IF(AND($E35&lt;=G$1,$F35&gt;=G$1),CONCATENATE($B35,".",$C35,".",$D35,".",G$1),"X")</f>
        <v>X</v>
      </c>
      <c r="H35" s="350" t="str">
        <f t="shared" si="10"/>
        <v>X</v>
      </c>
      <c r="I35" s="350" t="str">
        <f t="shared" si="10"/>
        <v>X</v>
      </c>
      <c r="J35" s="350" t="str">
        <f t="shared" si="10"/>
        <v>X</v>
      </c>
      <c r="K35" s="350" t="str">
        <f t="shared" si="10"/>
        <v>X</v>
      </c>
      <c r="L35" s="350" t="str">
        <f t="shared" si="10"/>
        <v>X</v>
      </c>
      <c r="M35" s="350" t="str">
        <f t="shared" si="10"/>
        <v>X</v>
      </c>
      <c r="N35" s="350" t="str">
        <f t="shared" si="10"/>
        <v>X</v>
      </c>
      <c r="O35" s="350" t="str">
        <f t="shared" si="10"/>
        <v>X</v>
      </c>
      <c r="P35" s="350" t="str">
        <f t="shared" si="10"/>
        <v>X</v>
      </c>
      <c r="Q35" s="350" t="str">
        <f t="shared" si="10"/>
        <v>X</v>
      </c>
      <c r="R35" s="350" t="str">
        <f t="shared" si="10"/>
        <v>X</v>
      </c>
      <c r="S35" s="350" t="str">
        <f t="shared" si="10"/>
        <v>X</v>
      </c>
      <c r="T35" s="350" t="str">
        <f t="shared" si="10"/>
        <v>X</v>
      </c>
      <c r="U35" s="350" t="str">
        <f t="shared" si="10"/>
        <v>X</v>
      </c>
      <c r="V35" s="350" t="str">
        <f t="shared" si="10"/>
        <v>X</v>
      </c>
      <c r="W35" s="350" t="str">
        <f t="shared" si="9"/>
        <v>X</v>
      </c>
      <c r="X35" s="350" t="str">
        <f t="shared" si="9"/>
        <v>X</v>
      </c>
      <c r="Y35" s="350" t="str">
        <f t="shared" si="9"/>
        <v>X</v>
      </c>
      <c r="Z35" s="350" t="str">
        <f t="shared" si="9"/>
        <v>X</v>
      </c>
      <c r="AA35" s="350" t="str">
        <f t="shared" si="9"/>
        <v>X</v>
      </c>
      <c r="AB35" s="350" t="str">
        <f t="shared" si="9"/>
        <v>X</v>
      </c>
      <c r="AC35" s="350" t="str">
        <f t="shared" si="9"/>
        <v>X</v>
      </c>
      <c r="AD35" s="350" t="str">
        <f t="shared" si="9"/>
        <v>X</v>
      </c>
      <c r="AE35" s="350" t="str">
        <f t="shared" si="9"/>
        <v>X</v>
      </c>
      <c r="AF35" s="350" t="str">
        <f t="shared" si="9"/>
        <v>X</v>
      </c>
      <c r="AG35" s="350" t="str">
        <f t="shared" si="9"/>
        <v>X</v>
      </c>
      <c r="AH35" s="350" t="str">
        <f t="shared" si="9"/>
        <v>X</v>
      </c>
    </row>
    <row r="36" spans="1:34" x14ac:dyDescent="0.3">
      <c r="A36" s="364">
        <v>35</v>
      </c>
      <c r="B36" s="360" t="str">
        <f>'Valve Data'!B36</f>
        <v>DBB</v>
      </c>
      <c r="C36" s="349" t="str">
        <f>'Valve Data'!C36</f>
        <v>CS-150#</v>
      </c>
      <c r="D36" s="353" t="str">
        <f>IF('Valve Data'!D36=0,"",'Valve Data'!D36)</f>
        <v/>
      </c>
      <c r="E36" s="20">
        <f>'Valve Data'!E36</f>
        <v>0.5</v>
      </c>
      <c r="F36" s="358">
        <f>'Valve Data'!F36</f>
        <v>3</v>
      </c>
      <c r="G36" s="356" t="str">
        <f t="shared" si="10"/>
        <v>DBB.CS-150#..0,5</v>
      </c>
      <c r="H36" s="350" t="str">
        <f t="shared" si="10"/>
        <v>DBB.CS-150#..0,75</v>
      </c>
      <c r="I36" s="350" t="str">
        <f t="shared" si="10"/>
        <v>DBB.CS-150#..1</v>
      </c>
      <c r="J36" s="350" t="str">
        <f t="shared" si="10"/>
        <v>DBB.CS-150#..1,5</v>
      </c>
      <c r="K36" s="350" t="str">
        <f t="shared" si="10"/>
        <v>DBB.CS-150#..2</v>
      </c>
      <c r="L36" s="350" t="str">
        <f t="shared" si="10"/>
        <v>DBB.CS-150#..2,5</v>
      </c>
      <c r="M36" s="350" t="str">
        <f t="shared" si="10"/>
        <v>DBB.CS-150#..3</v>
      </c>
      <c r="N36" s="350" t="str">
        <f t="shared" si="10"/>
        <v>X</v>
      </c>
      <c r="O36" s="350" t="str">
        <f t="shared" si="10"/>
        <v>X</v>
      </c>
      <c r="P36" s="350" t="str">
        <f t="shared" si="10"/>
        <v>X</v>
      </c>
      <c r="Q36" s="350" t="str">
        <f t="shared" si="10"/>
        <v>X</v>
      </c>
      <c r="R36" s="350" t="str">
        <f t="shared" si="10"/>
        <v>X</v>
      </c>
      <c r="S36" s="350" t="str">
        <f t="shared" si="10"/>
        <v>X</v>
      </c>
      <c r="T36" s="350" t="str">
        <f t="shared" si="10"/>
        <v>X</v>
      </c>
      <c r="U36" s="350" t="str">
        <f t="shared" si="10"/>
        <v>X</v>
      </c>
      <c r="V36" s="350" t="str">
        <f t="shared" si="10"/>
        <v>X</v>
      </c>
      <c r="W36" s="350" t="str">
        <f t="shared" si="9"/>
        <v>X</v>
      </c>
      <c r="X36" s="350" t="str">
        <f t="shared" si="9"/>
        <v>X</v>
      </c>
      <c r="Y36" s="350" t="str">
        <f t="shared" si="9"/>
        <v>X</v>
      </c>
      <c r="Z36" s="350" t="str">
        <f t="shared" si="9"/>
        <v>X</v>
      </c>
      <c r="AA36" s="350" t="str">
        <f t="shared" si="9"/>
        <v>X</v>
      </c>
      <c r="AB36" s="350" t="str">
        <f t="shared" si="9"/>
        <v>X</v>
      </c>
      <c r="AC36" s="350" t="str">
        <f t="shared" si="9"/>
        <v>X</v>
      </c>
      <c r="AD36" s="350" t="str">
        <f t="shared" si="9"/>
        <v>X</v>
      </c>
      <c r="AE36" s="350" t="str">
        <f t="shared" si="9"/>
        <v>X</v>
      </c>
      <c r="AF36" s="350" t="str">
        <f t="shared" si="9"/>
        <v>X</v>
      </c>
      <c r="AG36" s="350" t="str">
        <f t="shared" si="9"/>
        <v>X</v>
      </c>
      <c r="AH36" s="350" t="str">
        <f t="shared" si="9"/>
        <v>X</v>
      </c>
    </row>
    <row r="37" spans="1:34" x14ac:dyDescent="0.3">
      <c r="A37" s="364">
        <v>36</v>
      </c>
      <c r="B37" s="360" t="str">
        <f>'Valve Data'!B37</f>
        <v>SBB</v>
      </c>
      <c r="C37" s="349" t="str">
        <f>'Valve Data'!C37</f>
        <v>SS-900#</v>
      </c>
      <c r="D37" s="353" t="str">
        <f>IF('Valve Data'!D37=0,"",'Valve Data'!D37)</f>
        <v/>
      </c>
      <c r="E37" s="20">
        <f>'Valve Data'!E37</f>
        <v>0.5</v>
      </c>
      <c r="F37" s="358">
        <f>'Valve Data'!F37</f>
        <v>3</v>
      </c>
      <c r="G37" s="356" t="str">
        <f t="shared" si="10"/>
        <v>SBB.SS-900#..0,5</v>
      </c>
      <c r="H37" s="350" t="str">
        <f t="shared" si="10"/>
        <v>SBB.SS-900#..0,75</v>
      </c>
      <c r="I37" s="350" t="str">
        <f t="shared" si="10"/>
        <v>SBB.SS-900#..1</v>
      </c>
      <c r="J37" s="350" t="str">
        <f t="shared" si="10"/>
        <v>SBB.SS-900#..1,5</v>
      </c>
      <c r="K37" s="350" t="str">
        <f t="shared" si="10"/>
        <v>SBB.SS-900#..2</v>
      </c>
      <c r="L37" s="350" t="str">
        <f t="shared" si="10"/>
        <v>SBB.SS-900#..2,5</v>
      </c>
      <c r="M37" s="350" t="str">
        <f t="shared" si="10"/>
        <v>SBB.SS-900#..3</v>
      </c>
      <c r="N37" s="350" t="str">
        <f t="shared" si="10"/>
        <v>X</v>
      </c>
      <c r="O37" s="350" t="str">
        <f t="shared" si="10"/>
        <v>X</v>
      </c>
      <c r="P37" s="350" t="str">
        <f t="shared" si="10"/>
        <v>X</v>
      </c>
      <c r="Q37" s="350" t="str">
        <f t="shared" si="10"/>
        <v>X</v>
      </c>
      <c r="R37" s="350" t="str">
        <f t="shared" si="10"/>
        <v>X</v>
      </c>
      <c r="S37" s="350" t="str">
        <f t="shared" si="10"/>
        <v>X</v>
      </c>
      <c r="T37" s="350" t="str">
        <f t="shared" si="10"/>
        <v>X</v>
      </c>
      <c r="U37" s="350" t="str">
        <f t="shared" si="10"/>
        <v>X</v>
      </c>
      <c r="V37" s="350" t="str">
        <f t="shared" si="10"/>
        <v>X</v>
      </c>
      <c r="W37" s="350" t="str">
        <f t="shared" si="9"/>
        <v>X</v>
      </c>
      <c r="X37" s="350" t="str">
        <f t="shared" si="9"/>
        <v>X</v>
      </c>
      <c r="Y37" s="350" t="str">
        <f t="shared" si="9"/>
        <v>X</v>
      </c>
      <c r="Z37" s="350" t="str">
        <f t="shared" si="9"/>
        <v>X</v>
      </c>
      <c r="AA37" s="350" t="str">
        <f t="shared" si="9"/>
        <v>X</v>
      </c>
      <c r="AB37" s="350" t="str">
        <f t="shared" si="9"/>
        <v>X</v>
      </c>
      <c r="AC37" s="350" t="str">
        <f t="shared" si="9"/>
        <v>X</v>
      </c>
      <c r="AD37" s="350" t="str">
        <f t="shared" si="9"/>
        <v>X</v>
      </c>
      <c r="AE37" s="350" t="str">
        <f t="shared" si="9"/>
        <v>X</v>
      </c>
      <c r="AF37" s="350" t="str">
        <f t="shared" si="9"/>
        <v>X</v>
      </c>
      <c r="AG37" s="350" t="str">
        <f t="shared" si="9"/>
        <v>X</v>
      </c>
      <c r="AH37" s="350" t="str">
        <f t="shared" si="9"/>
        <v>X</v>
      </c>
    </row>
    <row r="38" spans="1:34" x14ac:dyDescent="0.3">
      <c r="A38" s="364">
        <v>37</v>
      </c>
      <c r="B38" s="360">
        <f>'Valve Data'!B38</f>
        <v>0</v>
      </c>
      <c r="C38" s="349">
        <f>'Valve Data'!C38</f>
        <v>0</v>
      </c>
      <c r="D38" s="353" t="str">
        <f>IF('Valve Data'!D38=0,"",'Valve Data'!D38)</f>
        <v/>
      </c>
      <c r="E38" s="20">
        <f>'Valve Data'!E38</f>
        <v>0</v>
      </c>
      <c r="F38" s="358">
        <f>'Valve Data'!F38</f>
        <v>0</v>
      </c>
      <c r="G38" s="356" t="str">
        <f t="shared" si="10"/>
        <v>X</v>
      </c>
      <c r="H38" s="350" t="str">
        <f t="shared" si="10"/>
        <v>X</v>
      </c>
      <c r="I38" s="350" t="str">
        <f t="shared" si="10"/>
        <v>X</v>
      </c>
      <c r="J38" s="350" t="str">
        <f t="shared" si="10"/>
        <v>X</v>
      </c>
      <c r="K38" s="350" t="str">
        <f t="shared" si="10"/>
        <v>X</v>
      </c>
      <c r="L38" s="350" t="str">
        <f t="shared" si="10"/>
        <v>X</v>
      </c>
      <c r="M38" s="350" t="str">
        <f t="shared" si="10"/>
        <v>X</v>
      </c>
      <c r="N38" s="350" t="str">
        <f t="shared" si="10"/>
        <v>X</v>
      </c>
      <c r="O38" s="350" t="str">
        <f t="shared" si="10"/>
        <v>X</v>
      </c>
      <c r="P38" s="350" t="str">
        <f t="shared" si="10"/>
        <v>X</v>
      </c>
      <c r="Q38" s="350" t="str">
        <f t="shared" si="10"/>
        <v>X</v>
      </c>
      <c r="R38" s="350" t="str">
        <f t="shared" si="10"/>
        <v>X</v>
      </c>
      <c r="S38" s="350" t="str">
        <f t="shared" si="10"/>
        <v>X</v>
      </c>
      <c r="T38" s="350" t="str">
        <f t="shared" si="10"/>
        <v>X</v>
      </c>
      <c r="U38" s="350" t="str">
        <f t="shared" si="10"/>
        <v>X</v>
      </c>
      <c r="V38" s="350" t="str">
        <f t="shared" si="10"/>
        <v>X</v>
      </c>
      <c r="W38" s="350" t="str">
        <f t="shared" si="9"/>
        <v>X</v>
      </c>
      <c r="X38" s="350" t="str">
        <f t="shared" si="9"/>
        <v>X</v>
      </c>
      <c r="Y38" s="350" t="str">
        <f t="shared" si="9"/>
        <v>X</v>
      </c>
      <c r="Z38" s="350" t="str">
        <f t="shared" si="9"/>
        <v>X</v>
      </c>
      <c r="AA38" s="350" t="str">
        <f t="shared" si="9"/>
        <v>X</v>
      </c>
      <c r="AB38" s="350" t="str">
        <f t="shared" si="9"/>
        <v>X</v>
      </c>
      <c r="AC38" s="350" t="str">
        <f t="shared" si="9"/>
        <v>X</v>
      </c>
      <c r="AD38" s="350" t="str">
        <f t="shared" si="9"/>
        <v>X</v>
      </c>
      <c r="AE38" s="350" t="str">
        <f t="shared" si="9"/>
        <v>X</v>
      </c>
      <c r="AF38" s="350" t="str">
        <f t="shared" si="9"/>
        <v>X</v>
      </c>
      <c r="AG38" s="350" t="str">
        <f t="shared" si="9"/>
        <v>X</v>
      </c>
      <c r="AH38" s="350" t="str">
        <f t="shared" si="9"/>
        <v>X</v>
      </c>
    </row>
    <row r="39" spans="1:34" x14ac:dyDescent="0.3">
      <c r="A39" s="364">
        <v>38</v>
      </c>
      <c r="B39" s="360" t="str">
        <f>'Valve Data'!B39</f>
        <v>Globe_valve</v>
      </c>
      <c r="C39" s="349" t="str">
        <f>'Valve Data'!C39</f>
        <v>SS-150#</v>
      </c>
      <c r="D39" s="353" t="str">
        <f>IF('Valve Data'!D39=0,"",'Valve Data'!D39)</f>
        <v/>
      </c>
      <c r="E39" s="20">
        <f>'Valve Data'!E39</f>
        <v>0.5</v>
      </c>
      <c r="F39" s="358">
        <f>'Valve Data'!F39</f>
        <v>24</v>
      </c>
      <c r="G39" s="356" t="str">
        <f t="shared" si="10"/>
        <v>Globe_valve.SS-150#..0,5</v>
      </c>
      <c r="H39" s="350" t="str">
        <f t="shared" si="10"/>
        <v>Globe_valve.SS-150#..0,75</v>
      </c>
      <c r="I39" s="350" t="str">
        <f t="shared" si="10"/>
        <v>Globe_valve.SS-150#..1</v>
      </c>
      <c r="J39" s="350" t="str">
        <f t="shared" si="10"/>
        <v>Globe_valve.SS-150#..1,5</v>
      </c>
      <c r="K39" s="350" t="str">
        <f t="shared" si="10"/>
        <v>Globe_valve.SS-150#..2</v>
      </c>
      <c r="L39" s="350" t="str">
        <f t="shared" si="10"/>
        <v>Globe_valve.SS-150#..2,5</v>
      </c>
      <c r="M39" s="350" t="str">
        <f t="shared" si="10"/>
        <v>Globe_valve.SS-150#..3</v>
      </c>
      <c r="N39" s="350" t="str">
        <f t="shared" si="10"/>
        <v>Globe_valve.SS-150#..4</v>
      </c>
      <c r="O39" s="350" t="str">
        <f t="shared" si="10"/>
        <v>Globe_valve.SS-150#..5</v>
      </c>
      <c r="P39" s="350" t="str">
        <f t="shared" si="10"/>
        <v>Globe_valve.SS-150#..6</v>
      </c>
      <c r="Q39" s="350" t="str">
        <f t="shared" si="10"/>
        <v>Globe_valve.SS-150#..8</v>
      </c>
      <c r="R39" s="350" t="str">
        <f t="shared" si="10"/>
        <v>Globe_valve.SS-150#..10</v>
      </c>
      <c r="S39" s="350" t="str">
        <f t="shared" si="10"/>
        <v>Globe_valve.SS-150#..12</v>
      </c>
      <c r="T39" s="350" t="str">
        <f t="shared" si="10"/>
        <v>Globe_valve.SS-150#..14</v>
      </c>
      <c r="U39" s="350" t="str">
        <f t="shared" si="10"/>
        <v>Globe_valve.SS-150#..16</v>
      </c>
      <c r="V39" s="350" t="str">
        <f t="shared" si="10"/>
        <v>Globe_valve.SS-150#..18</v>
      </c>
      <c r="W39" s="350" t="str">
        <f t="shared" si="9"/>
        <v>Globe_valve.SS-150#..20</v>
      </c>
      <c r="X39" s="350" t="str">
        <f t="shared" si="9"/>
        <v>Globe_valve.SS-150#..22</v>
      </c>
      <c r="Y39" s="350" t="str">
        <f t="shared" si="9"/>
        <v>Globe_valve.SS-150#..24</v>
      </c>
      <c r="Z39" s="350" t="str">
        <f t="shared" si="9"/>
        <v>X</v>
      </c>
      <c r="AA39" s="350" t="str">
        <f t="shared" si="9"/>
        <v>X</v>
      </c>
      <c r="AB39" s="350" t="str">
        <f t="shared" si="9"/>
        <v>X</v>
      </c>
      <c r="AC39" s="350" t="str">
        <f t="shared" si="9"/>
        <v>X</v>
      </c>
      <c r="AD39" s="350" t="str">
        <f t="shared" si="9"/>
        <v>X</v>
      </c>
      <c r="AE39" s="350" t="str">
        <f t="shared" si="9"/>
        <v>X</v>
      </c>
      <c r="AF39" s="350" t="str">
        <f t="shared" si="9"/>
        <v>X</v>
      </c>
      <c r="AG39" s="350" t="str">
        <f t="shared" si="9"/>
        <v>X</v>
      </c>
      <c r="AH39" s="350" t="str">
        <f t="shared" si="9"/>
        <v>X</v>
      </c>
    </row>
    <row r="40" spans="1:34" x14ac:dyDescent="0.3">
      <c r="A40" s="364">
        <v>39</v>
      </c>
      <c r="B40" s="360" t="str">
        <f>'Valve Data'!B40</f>
        <v>Globe_valve</v>
      </c>
      <c r="C40" s="349" t="str">
        <f>'Valve Data'!C40</f>
        <v>CS-150#</v>
      </c>
      <c r="D40" s="353" t="str">
        <f>IF('Valve Data'!D40=0,"",'Valve Data'!D40)</f>
        <v/>
      </c>
      <c r="E40" s="20">
        <f>'Valve Data'!E40</f>
        <v>0.5</v>
      </c>
      <c r="F40" s="358">
        <f>'Valve Data'!F40</f>
        <v>24</v>
      </c>
      <c r="G40" s="356" t="str">
        <f t="shared" si="10"/>
        <v>Globe_valve.CS-150#..0,5</v>
      </c>
      <c r="H40" s="350" t="str">
        <f t="shared" si="10"/>
        <v>Globe_valve.CS-150#..0,75</v>
      </c>
      <c r="I40" s="350" t="str">
        <f t="shared" si="10"/>
        <v>Globe_valve.CS-150#..1</v>
      </c>
      <c r="J40" s="350" t="str">
        <f t="shared" si="10"/>
        <v>Globe_valve.CS-150#..1,5</v>
      </c>
      <c r="K40" s="350" t="str">
        <f t="shared" si="10"/>
        <v>Globe_valve.CS-150#..2</v>
      </c>
      <c r="L40" s="350" t="str">
        <f t="shared" si="10"/>
        <v>Globe_valve.CS-150#..2,5</v>
      </c>
      <c r="M40" s="350" t="str">
        <f t="shared" si="10"/>
        <v>Globe_valve.CS-150#..3</v>
      </c>
      <c r="N40" s="350" t="str">
        <f t="shared" si="10"/>
        <v>Globe_valve.CS-150#..4</v>
      </c>
      <c r="O40" s="350" t="str">
        <f t="shared" si="10"/>
        <v>Globe_valve.CS-150#..5</v>
      </c>
      <c r="P40" s="350" t="str">
        <f t="shared" si="10"/>
        <v>Globe_valve.CS-150#..6</v>
      </c>
      <c r="Q40" s="350" t="str">
        <f t="shared" si="10"/>
        <v>Globe_valve.CS-150#..8</v>
      </c>
      <c r="R40" s="350" t="str">
        <f t="shared" si="10"/>
        <v>Globe_valve.CS-150#..10</v>
      </c>
      <c r="S40" s="350" t="str">
        <f t="shared" si="10"/>
        <v>Globe_valve.CS-150#..12</v>
      </c>
      <c r="T40" s="350" t="str">
        <f t="shared" si="10"/>
        <v>Globe_valve.CS-150#..14</v>
      </c>
      <c r="U40" s="350" t="str">
        <f t="shared" si="10"/>
        <v>Globe_valve.CS-150#..16</v>
      </c>
      <c r="V40" s="350" t="str">
        <f t="shared" si="10"/>
        <v>Globe_valve.CS-150#..18</v>
      </c>
      <c r="W40" s="350" t="str">
        <f t="shared" si="9"/>
        <v>Globe_valve.CS-150#..20</v>
      </c>
      <c r="X40" s="350" t="str">
        <f t="shared" si="9"/>
        <v>Globe_valve.CS-150#..22</v>
      </c>
      <c r="Y40" s="350" t="str">
        <f t="shared" si="9"/>
        <v>Globe_valve.CS-150#..24</v>
      </c>
      <c r="Z40" s="350" t="str">
        <f t="shared" si="9"/>
        <v>X</v>
      </c>
      <c r="AA40" s="350" t="str">
        <f t="shared" si="9"/>
        <v>X</v>
      </c>
      <c r="AB40" s="350" t="str">
        <f t="shared" si="9"/>
        <v>X</v>
      </c>
      <c r="AC40" s="350" t="str">
        <f t="shared" si="9"/>
        <v>X</v>
      </c>
      <c r="AD40" s="350" t="str">
        <f t="shared" si="9"/>
        <v>X</v>
      </c>
      <c r="AE40" s="350" t="str">
        <f t="shared" si="9"/>
        <v>X</v>
      </c>
      <c r="AF40" s="350" t="str">
        <f t="shared" si="9"/>
        <v>X</v>
      </c>
      <c r="AG40" s="350" t="str">
        <f t="shared" si="9"/>
        <v>X</v>
      </c>
      <c r="AH40" s="350" t="str">
        <f t="shared" si="9"/>
        <v>X</v>
      </c>
    </row>
    <row r="41" spans="1:34" x14ac:dyDescent="0.3">
      <c r="A41" s="364">
        <v>40</v>
      </c>
      <c r="B41" s="360" t="str">
        <f>'Valve Data'!B41</f>
        <v>Globe_valve</v>
      </c>
      <c r="C41" s="349" t="str">
        <f>'Valve Data'!C41</f>
        <v>CS-150#</v>
      </c>
      <c r="D41" s="353" t="str">
        <f>IF('Valve Data'!D41=0,"",'Valve Data'!D41)</f>
        <v/>
      </c>
      <c r="E41" s="20">
        <f>'Valve Data'!E41</f>
        <v>0.5</v>
      </c>
      <c r="F41" s="358">
        <f>'Valve Data'!F41</f>
        <v>24</v>
      </c>
      <c r="G41" s="356" t="str">
        <f t="shared" si="10"/>
        <v>Globe_valve.CS-150#..0,5</v>
      </c>
      <c r="H41" s="350" t="str">
        <f t="shared" si="10"/>
        <v>Globe_valve.CS-150#..0,75</v>
      </c>
      <c r="I41" s="350" t="str">
        <f t="shared" si="10"/>
        <v>Globe_valve.CS-150#..1</v>
      </c>
      <c r="J41" s="350" t="str">
        <f t="shared" si="10"/>
        <v>Globe_valve.CS-150#..1,5</v>
      </c>
      <c r="K41" s="350" t="str">
        <f t="shared" si="10"/>
        <v>Globe_valve.CS-150#..2</v>
      </c>
      <c r="L41" s="350" t="str">
        <f t="shared" si="10"/>
        <v>Globe_valve.CS-150#..2,5</v>
      </c>
      <c r="M41" s="350" t="str">
        <f t="shared" si="10"/>
        <v>Globe_valve.CS-150#..3</v>
      </c>
      <c r="N41" s="350" t="str">
        <f t="shared" si="10"/>
        <v>Globe_valve.CS-150#..4</v>
      </c>
      <c r="O41" s="350" t="str">
        <f t="shared" si="10"/>
        <v>Globe_valve.CS-150#..5</v>
      </c>
      <c r="P41" s="350" t="str">
        <f t="shared" si="10"/>
        <v>Globe_valve.CS-150#..6</v>
      </c>
      <c r="Q41" s="350" t="str">
        <f t="shared" si="10"/>
        <v>Globe_valve.CS-150#..8</v>
      </c>
      <c r="R41" s="350" t="str">
        <f t="shared" si="10"/>
        <v>Globe_valve.CS-150#..10</v>
      </c>
      <c r="S41" s="350" t="str">
        <f t="shared" si="10"/>
        <v>Globe_valve.CS-150#..12</v>
      </c>
      <c r="T41" s="350" t="str">
        <f t="shared" si="10"/>
        <v>Globe_valve.CS-150#..14</v>
      </c>
      <c r="U41" s="350" t="str">
        <f t="shared" si="10"/>
        <v>Globe_valve.CS-150#..16</v>
      </c>
      <c r="V41" s="350" t="str">
        <f t="shared" si="10"/>
        <v>Globe_valve.CS-150#..18</v>
      </c>
      <c r="W41" s="350" t="str">
        <f t="shared" si="9"/>
        <v>Globe_valve.CS-150#..20</v>
      </c>
      <c r="X41" s="350" t="str">
        <f t="shared" si="9"/>
        <v>Globe_valve.CS-150#..22</v>
      </c>
      <c r="Y41" s="350" t="str">
        <f t="shared" si="9"/>
        <v>Globe_valve.CS-150#..24</v>
      </c>
      <c r="Z41" s="350" t="str">
        <f t="shared" si="9"/>
        <v>X</v>
      </c>
      <c r="AA41" s="350" t="str">
        <f t="shared" si="9"/>
        <v>X</v>
      </c>
      <c r="AB41" s="350" t="str">
        <f t="shared" si="9"/>
        <v>X</v>
      </c>
      <c r="AC41" s="350" t="str">
        <f t="shared" si="9"/>
        <v>X</v>
      </c>
      <c r="AD41" s="350" t="str">
        <f t="shared" si="9"/>
        <v>X</v>
      </c>
      <c r="AE41" s="350" t="str">
        <f t="shared" si="9"/>
        <v>X</v>
      </c>
      <c r="AF41" s="350" t="str">
        <f t="shared" si="9"/>
        <v>X</v>
      </c>
      <c r="AG41" s="350" t="str">
        <f t="shared" si="9"/>
        <v>X</v>
      </c>
      <c r="AH41" s="350" t="str">
        <f t="shared" si="9"/>
        <v>X</v>
      </c>
    </row>
    <row r="42" spans="1:34" x14ac:dyDescent="0.3">
      <c r="A42" s="364">
        <v>41</v>
      </c>
      <c r="B42" s="360">
        <f>'Valve Data'!B42</f>
        <v>0</v>
      </c>
      <c r="C42" s="349">
        <f>'Valve Data'!C42</f>
        <v>0</v>
      </c>
      <c r="D42" s="353" t="str">
        <f>IF('Valve Data'!D42=0,"",'Valve Data'!D42)</f>
        <v/>
      </c>
      <c r="E42" s="20">
        <f>'Valve Data'!E42</f>
        <v>0</v>
      </c>
      <c r="F42" s="358">
        <f>'Valve Data'!F42</f>
        <v>0</v>
      </c>
      <c r="G42" s="356" t="str">
        <f t="shared" si="10"/>
        <v>X</v>
      </c>
      <c r="H42" s="350" t="str">
        <f t="shared" si="10"/>
        <v>X</v>
      </c>
      <c r="I42" s="350" t="str">
        <f t="shared" si="10"/>
        <v>X</v>
      </c>
      <c r="J42" s="350" t="str">
        <f t="shared" si="10"/>
        <v>X</v>
      </c>
      <c r="K42" s="350" t="str">
        <f t="shared" si="10"/>
        <v>X</v>
      </c>
      <c r="L42" s="350" t="str">
        <f t="shared" si="10"/>
        <v>X</v>
      </c>
      <c r="M42" s="350" t="str">
        <f t="shared" si="10"/>
        <v>X</v>
      </c>
      <c r="N42" s="350" t="str">
        <f t="shared" si="10"/>
        <v>X</v>
      </c>
      <c r="O42" s="350" t="str">
        <f t="shared" si="10"/>
        <v>X</v>
      </c>
      <c r="P42" s="350" t="str">
        <f t="shared" si="10"/>
        <v>X</v>
      </c>
      <c r="Q42" s="350" t="str">
        <f t="shared" si="10"/>
        <v>X</v>
      </c>
      <c r="R42" s="350" t="str">
        <f t="shared" si="10"/>
        <v>X</v>
      </c>
      <c r="S42" s="350" t="str">
        <f t="shared" si="10"/>
        <v>X</v>
      </c>
      <c r="T42" s="350" t="str">
        <f t="shared" si="10"/>
        <v>X</v>
      </c>
      <c r="U42" s="350" t="str">
        <f t="shared" si="10"/>
        <v>X</v>
      </c>
      <c r="V42" s="350" t="str">
        <f t="shared" si="10"/>
        <v>X</v>
      </c>
      <c r="W42" s="350" t="str">
        <f t="shared" si="9"/>
        <v>X</v>
      </c>
      <c r="X42" s="350" t="str">
        <f t="shared" si="9"/>
        <v>X</v>
      </c>
      <c r="Y42" s="350" t="str">
        <f t="shared" si="9"/>
        <v>X</v>
      </c>
      <c r="Z42" s="350" t="str">
        <f t="shared" si="9"/>
        <v>X</v>
      </c>
      <c r="AA42" s="350" t="str">
        <f t="shared" si="9"/>
        <v>X</v>
      </c>
      <c r="AB42" s="350" t="str">
        <f t="shared" si="9"/>
        <v>X</v>
      </c>
      <c r="AC42" s="350" t="str">
        <f t="shared" si="9"/>
        <v>X</v>
      </c>
      <c r="AD42" s="350" t="str">
        <f t="shared" si="9"/>
        <v>X</v>
      </c>
      <c r="AE42" s="350" t="str">
        <f t="shared" si="9"/>
        <v>X</v>
      </c>
      <c r="AF42" s="350" t="str">
        <f t="shared" si="9"/>
        <v>X</v>
      </c>
      <c r="AG42" s="350" t="str">
        <f t="shared" si="9"/>
        <v>X</v>
      </c>
      <c r="AH42" s="350" t="str">
        <f t="shared" si="9"/>
        <v>X</v>
      </c>
    </row>
    <row r="43" spans="1:34" x14ac:dyDescent="0.3">
      <c r="A43" s="364">
        <v>42</v>
      </c>
      <c r="B43" s="360" t="str">
        <f>'Valve Data'!B43</f>
        <v>Gate_valve</v>
      </c>
      <c r="C43" s="349" t="str">
        <f>'Valve Data'!C43</f>
        <v>CS-900#</v>
      </c>
      <c r="D43" s="353" t="str">
        <f>IF('Valve Data'!D43=0,"",'Valve Data'!D43)</f>
        <v/>
      </c>
      <c r="E43" s="20">
        <f>'Valve Data'!E43</f>
        <v>0.5</v>
      </c>
      <c r="F43" s="358">
        <f>'Valve Data'!F43</f>
        <v>24</v>
      </c>
      <c r="G43" s="356" t="str">
        <f t="shared" si="10"/>
        <v>Gate_valve.CS-900#..0,5</v>
      </c>
      <c r="H43" s="350" t="str">
        <f t="shared" si="10"/>
        <v>Gate_valve.CS-900#..0,75</v>
      </c>
      <c r="I43" s="350" t="str">
        <f t="shared" si="10"/>
        <v>Gate_valve.CS-900#..1</v>
      </c>
      <c r="J43" s="350" t="str">
        <f t="shared" si="10"/>
        <v>Gate_valve.CS-900#..1,5</v>
      </c>
      <c r="K43" s="350" t="str">
        <f t="shared" si="10"/>
        <v>Gate_valve.CS-900#..2</v>
      </c>
      <c r="L43" s="350" t="str">
        <f t="shared" si="10"/>
        <v>Gate_valve.CS-900#..2,5</v>
      </c>
      <c r="M43" s="350" t="str">
        <f t="shared" si="10"/>
        <v>Gate_valve.CS-900#..3</v>
      </c>
      <c r="N43" s="350" t="str">
        <f t="shared" si="10"/>
        <v>Gate_valve.CS-900#..4</v>
      </c>
      <c r="O43" s="350" t="str">
        <f t="shared" si="10"/>
        <v>Gate_valve.CS-900#..5</v>
      </c>
      <c r="P43" s="350" t="str">
        <f t="shared" si="10"/>
        <v>Gate_valve.CS-900#..6</v>
      </c>
      <c r="Q43" s="350" t="str">
        <f t="shared" si="10"/>
        <v>Gate_valve.CS-900#..8</v>
      </c>
      <c r="R43" s="350" t="str">
        <f t="shared" si="10"/>
        <v>Gate_valve.CS-900#..10</v>
      </c>
      <c r="S43" s="350" t="str">
        <f t="shared" si="10"/>
        <v>Gate_valve.CS-900#..12</v>
      </c>
      <c r="T43" s="350" t="str">
        <f t="shared" si="10"/>
        <v>Gate_valve.CS-900#..14</v>
      </c>
      <c r="U43" s="350" t="str">
        <f t="shared" si="10"/>
        <v>Gate_valve.CS-900#..16</v>
      </c>
      <c r="V43" s="350" t="str">
        <f t="shared" si="10"/>
        <v>Gate_valve.CS-900#..18</v>
      </c>
      <c r="W43" s="350" t="str">
        <f t="shared" si="9"/>
        <v>Gate_valve.CS-900#..20</v>
      </c>
      <c r="X43" s="350" t="str">
        <f t="shared" si="9"/>
        <v>Gate_valve.CS-900#..22</v>
      </c>
      <c r="Y43" s="350" t="str">
        <f t="shared" si="9"/>
        <v>Gate_valve.CS-900#..24</v>
      </c>
      <c r="Z43" s="350" t="str">
        <f t="shared" si="9"/>
        <v>X</v>
      </c>
      <c r="AA43" s="350" t="str">
        <f t="shared" si="9"/>
        <v>X</v>
      </c>
      <c r="AB43" s="350" t="str">
        <f t="shared" si="9"/>
        <v>X</v>
      </c>
      <c r="AC43" s="350" t="str">
        <f t="shared" si="9"/>
        <v>X</v>
      </c>
      <c r="AD43" s="350" t="str">
        <f t="shared" si="9"/>
        <v>X</v>
      </c>
      <c r="AE43" s="350" t="str">
        <f t="shared" si="9"/>
        <v>X</v>
      </c>
      <c r="AF43" s="350" t="str">
        <f t="shared" si="9"/>
        <v>X</v>
      </c>
      <c r="AG43" s="350" t="str">
        <f t="shared" si="9"/>
        <v>X</v>
      </c>
      <c r="AH43" s="350" t="str">
        <f t="shared" si="9"/>
        <v>X</v>
      </c>
    </row>
    <row r="44" spans="1:34" x14ac:dyDescent="0.3">
      <c r="A44" s="364">
        <v>43</v>
      </c>
      <c r="B44" s="360" t="str">
        <f>'Valve Data'!B44</f>
        <v>Gate_valve</v>
      </c>
      <c r="C44" s="349" t="str">
        <f>'Valve Data'!C44</f>
        <v>SS-150#</v>
      </c>
      <c r="D44" s="353" t="str">
        <f>IF('Valve Data'!D44=0,"",'Valve Data'!D44)</f>
        <v/>
      </c>
      <c r="E44" s="20">
        <f>'Valve Data'!E44</f>
        <v>0.5</v>
      </c>
      <c r="F44" s="358">
        <f>'Valve Data'!F44</f>
        <v>24</v>
      </c>
      <c r="G44" s="356" t="str">
        <f t="shared" si="10"/>
        <v>Gate_valve.SS-150#..0,5</v>
      </c>
      <c r="H44" s="350" t="str">
        <f t="shared" si="10"/>
        <v>Gate_valve.SS-150#..0,75</v>
      </c>
      <c r="I44" s="350" t="str">
        <f t="shared" si="10"/>
        <v>Gate_valve.SS-150#..1</v>
      </c>
      <c r="J44" s="350" t="str">
        <f t="shared" si="10"/>
        <v>Gate_valve.SS-150#..1,5</v>
      </c>
      <c r="K44" s="350" t="str">
        <f t="shared" si="10"/>
        <v>Gate_valve.SS-150#..2</v>
      </c>
      <c r="L44" s="350" t="str">
        <f t="shared" si="10"/>
        <v>Gate_valve.SS-150#..2,5</v>
      </c>
      <c r="M44" s="350" t="str">
        <f t="shared" si="10"/>
        <v>Gate_valve.SS-150#..3</v>
      </c>
      <c r="N44" s="350" t="str">
        <f t="shared" si="10"/>
        <v>Gate_valve.SS-150#..4</v>
      </c>
      <c r="O44" s="350" t="str">
        <f t="shared" si="10"/>
        <v>Gate_valve.SS-150#..5</v>
      </c>
      <c r="P44" s="350" t="str">
        <f t="shared" si="10"/>
        <v>Gate_valve.SS-150#..6</v>
      </c>
      <c r="Q44" s="350" t="str">
        <f t="shared" si="10"/>
        <v>Gate_valve.SS-150#..8</v>
      </c>
      <c r="R44" s="350" t="str">
        <f t="shared" si="10"/>
        <v>Gate_valve.SS-150#..10</v>
      </c>
      <c r="S44" s="350" t="str">
        <f t="shared" si="10"/>
        <v>Gate_valve.SS-150#..12</v>
      </c>
      <c r="T44" s="350" t="str">
        <f t="shared" si="10"/>
        <v>Gate_valve.SS-150#..14</v>
      </c>
      <c r="U44" s="350" t="str">
        <f t="shared" si="10"/>
        <v>Gate_valve.SS-150#..16</v>
      </c>
      <c r="V44" s="350" t="str">
        <f t="shared" si="10"/>
        <v>Gate_valve.SS-150#..18</v>
      </c>
      <c r="W44" s="350" t="str">
        <f t="shared" si="9"/>
        <v>Gate_valve.SS-150#..20</v>
      </c>
      <c r="X44" s="350" t="str">
        <f t="shared" si="9"/>
        <v>Gate_valve.SS-150#..22</v>
      </c>
      <c r="Y44" s="350" t="str">
        <f t="shared" si="9"/>
        <v>Gate_valve.SS-150#..24</v>
      </c>
      <c r="Z44" s="350" t="str">
        <f t="shared" si="9"/>
        <v>X</v>
      </c>
      <c r="AA44" s="350" t="str">
        <f t="shared" si="9"/>
        <v>X</v>
      </c>
      <c r="AB44" s="350" t="str">
        <f t="shared" si="9"/>
        <v>X</v>
      </c>
      <c r="AC44" s="350" t="str">
        <f t="shared" si="9"/>
        <v>X</v>
      </c>
      <c r="AD44" s="350" t="str">
        <f t="shared" si="9"/>
        <v>X</v>
      </c>
      <c r="AE44" s="350" t="str">
        <f t="shared" si="9"/>
        <v>X</v>
      </c>
      <c r="AF44" s="350" t="str">
        <f t="shared" si="9"/>
        <v>X</v>
      </c>
      <c r="AG44" s="350" t="str">
        <f t="shared" si="9"/>
        <v>X</v>
      </c>
      <c r="AH44" s="350" t="str">
        <f t="shared" si="9"/>
        <v>X</v>
      </c>
    </row>
    <row r="45" spans="1:34" x14ac:dyDescent="0.3">
      <c r="A45" s="364">
        <v>44</v>
      </c>
      <c r="B45" s="360" t="str">
        <f>'Valve Data'!B45</f>
        <v>Gate_valve</v>
      </c>
      <c r="C45" s="349" t="str">
        <f>'Valve Data'!C45</f>
        <v>CS-150#</v>
      </c>
      <c r="D45" s="353" t="str">
        <f>IF('Valve Data'!D45=0,"",'Valve Data'!D45)</f>
        <v/>
      </c>
      <c r="E45" s="20">
        <f>'Valve Data'!E45</f>
        <v>0.5</v>
      </c>
      <c r="F45" s="358">
        <f>'Valve Data'!F45</f>
        <v>24</v>
      </c>
      <c r="G45" s="356" t="str">
        <f t="shared" si="10"/>
        <v>Gate_valve.CS-150#..0,5</v>
      </c>
      <c r="H45" s="350" t="str">
        <f t="shared" si="10"/>
        <v>Gate_valve.CS-150#..0,75</v>
      </c>
      <c r="I45" s="350" t="str">
        <f t="shared" si="10"/>
        <v>Gate_valve.CS-150#..1</v>
      </c>
      <c r="J45" s="350" t="str">
        <f t="shared" si="10"/>
        <v>Gate_valve.CS-150#..1,5</v>
      </c>
      <c r="K45" s="350" t="str">
        <f t="shared" si="10"/>
        <v>Gate_valve.CS-150#..2</v>
      </c>
      <c r="L45" s="350" t="str">
        <f t="shared" si="10"/>
        <v>Gate_valve.CS-150#..2,5</v>
      </c>
      <c r="M45" s="350" t="str">
        <f t="shared" si="10"/>
        <v>Gate_valve.CS-150#..3</v>
      </c>
      <c r="N45" s="350" t="str">
        <f t="shared" si="10"/>
        <v>Gate_valve.CS-150#..4</v>
      </c>
      <c r="O45" s="350" t="str">
        <f t="shared" si="10"/>
        <v>Gate_valve.CS-150#..5</v>
      </c>
      <c r="P45" s="350" t="str">
        <f t="shared" si="10"/>
        <v>Gate_valve.CS-150#..6</v>
      </c>
      <c r="Q45" s="350" t="str">
        <f t="shared" si="10"/>
        <v>Gate_valve.CS-150#..8</v>
      </c>
      <c r="R45" s="350" t="str">
        <f t="shared" si="10"/>
        <v>Gate_valve.CS-150#..10</v>
      </c>
      <c r="S45" s="350" t="str">
        <f t="shared" si="10"/>
        <v>Gate_valve.CS-150#..12</v>
      </c>
      <c r="T45" s="350" t="str">
        <f t="shared" si="10"/>
        <v>Gate_valve.CS-150#..14</v>
      </c>
      <c r="U45" s="350" t="str">
        <f t="shared" si="10"/>
        <v>Gate_valve.CS-150#..16</v>
      </c>
      <c r="V45" s="350" t="str">
        <f t="shared" si="10"/>
        <v>Gate_valve.CS-150#..18</v>
      </c>
      <c r="W45" s="350" t="str">
        <f t="shared" si="9"/>
        <v>Gate_valve.CS-150#..20</v>
      </c>
      <c r="X45" s="350" t="str">
        <f t="shared" si="9"/>
        <v>Gate_valve.CS-150#..22</v>
      </c>
      <c r="Y45" s="350" t="str">
        <f t="shared" si="9"/>
        <v>Gate_valve.CS-150#..24</v>
      </c>
      <c r="Z45" s="350" t="str">
        <f t="shared" si="9"/>
        <v>X</v>
      </c>
      <c r="AA45" s="350" t="str">
        <f t="shared" si="9"/>
        <v>X</v>
      </c>
      <c r="AB45" s="350" t="str">
        <f t="shared" si="9"/>
        <v>X</v>
      </c>
      <c r="AC45" s="350" t="str">
        <f t="shared" si="9"/>
        <v>X</v>
      </c>
      <c r="AD45" s="350" t="str">
        <f t="shared" si="9"/>
        <v>X</v>
      </c>
      <c r="AE45" s="350" t="str">
        <f t="shared" si="9"/>
        <v>X</v>
      </c>
      <c r="AF45" s="350" t="str">
        <f t="shared" si="9"/>
        <v>X</v>
      </c>
      <c r="AG45" s="350" t="str">
        <f t="shared" si="9"/>
        <v>X</v>
      </c>
      <c r="AH45" s="350" t="str">
        <f t="shared" si="9"/>
        <v>X</v>
      </c>
    </row>
    <row r="46" spans="1:34" x14ac:dyDescent="0.3">
      <c r="A46" s="364">
        <v>45</v>
      </c>
      <c r="B46" s="360">
        <f>'Valve Data'!B46</f>
        <v>0</v>
      </c>
      <c r="C46" s="349">
        <f>'Valve Data'!C46</f>
        <v>0</v>
      </c>
      <c r="D46" s="353" t="str">
        <f>IF('Valve Data'!D46=0,"",'Valve Data'!D46)</f>
        <v/>
      </c>
      <c r="E46" s="20">
        <f>'Valve Data'!E46</f>
        <v>0</v>
      </c>
      <c r="F46" s="358">
        <f>'Valve Data'!F46</f>
        <v>0</v>
      </c>
      <c r="G46" s="356" t="str">
        <f t="shared" si="10"/>
        <v>X</v>
      </c>
      <c r="H46" s="350" t="str">
        <f t="shared" si="10"/>
        <v>X</v>
      </c>
      <c r="I46" s="350" t="str">
        <f t="shared" si="10"/>
        <v>X</v>
      </c>
      <c r="J46" s="350" t="str">
        <f t="shared" si="10"/>
        <v>X</v>
      </c>
      <c r="K46" s="350" t="str">
        <f t="shared" si="10"/>
        <v>X</v>
      </c>
      <c r="L46" s="350" t="str">
        <f t="shared" si="10"/>
        <v>X</v>
      </c>
      <c r="M46" s="350" t="str">
        <f t="shared" si="10"/>
        <v>X</v>
      </c>
      <c r="N46" s="350" t="str">
        <f t="shared" si="10"/>
        <v>X</v>
      </c>
      <c r="O46" s="350" t="str">
        <f t="shared" si="10"/>
        <v>X</v>
      </c>
      <c r="P46" s="350" t="str">
        <f t="shared" si="10"/>
        <v>X</v>
      </c>
      <c r="Q46" s="350" t="str">
        <f t="shared" si="10"/>
        <v>X</v>
      </c>
      <c r="R46" s="350" t="str">
        <f t="shared" si="10"/>
        <v>X</v>
      </c>
      <c r="S46" s="350" t="str">
        <f t="shared" si="10"/>
        <v>X</v>
      </c>
      <c r="T46" s="350" t="str">
        <f t="shared" si="10"/>
        <v>X</v>
      </c>
      <c r="U46" s="350" t="str">
        <f t="shared" si="10"/>
        <v>X</v>
      </c>
      <c r="V46" s="350" t="str">
        <f t="shared" si="10"/>
        <v>X</v>
      </c>
      <c r="W46" s="350" t="str">
        <f t="shared" si="9"/>
        <v>X</v>
      </c>
      <c r="X46" s="350" t="str">
        <f t="shared" si="9"/>
        <v>X</v>
      </c>
      <c r="Y46" s="350" t="str">
        <f t="shared" si="9"/>
        <v>X</v>
      </c>
      <c r="Z46" s="350" t="str">
        <f t="shared" si="9"/>
        <v>X</v>
      </c>
      <c r="AA46" s="350" t="str">
        <f t="shared" si="9"/>
        <v>X</v>
      </c>
      <c r="AB46" s="350" t="str">
        <f t="shared" si="9"/>
        <v>X</v>
      </c>
      <c r="AC46" s="350" t="str">
        <f t="shared" si="9"/>
        <v>X</v>
      </c>
      <c r="AD46" s="350" t="str">
        <f t="shared" si="9"/>
        <v>X</v>
      </c>
      <c r="AE46" s="350" t="str">
        <f t="shared" si="9"/>
        <v>X</v>
      </c>
      <c r="AF46" s="350" t="str">
        <f t="shared" si="9"/>
        <v>X</v>
      </c>
      <c r="AG46" s="350" t="str">
        <f t="shared" si="9"/>
        <v>X</v>
      </c>
      <c r="AH46" s="350" t="str">
        <f t="shared" si="9"/>
        <v>X</v>
      </c>
    </row>
    <row r="47" spans="1:34" x14ac:dyDescent="0.3">
      <c r="A47" s="364">
        <v>46</v>
      </c>
      <c r="B47" s="360" t="str">
        <f>'Valve Data'!B47</f>
        <v>SBB</v>
      </c>
      <c r="C47" s="349" t="str">
        <f>'Valve Data'!C47</f>
        <v>CS-900#</v>
      </c>
      <c r="D47" s="353" t="str">
        <f>IF('Valve Data'!D47=0,"",'Valve Data'!D47)</f>
        <v/>
      </c>
      <c r="E47" s="20">
        <f>'Valve Data'!E47</f>
        <v>0.5</v>
      </c>
      <c r="F47" s="358">
        <f>'Valve Data'!F47</f>
        <v>3</v>
      </c>
      <c r="G47" s="356" t="str">
        <f t="shared" si="10"/>
        <v>SBB.CS-900#..0,5</v>
      </c>
      <c r="H47" s="350" t="str">
        <f t="shared" si="10"/>
        <v>SBB.CS-900#..0,75</v>
      </c>
      <c r="I47" s="350" t="str">
        <f t="shared" si="10"/>
        <v>SBB.CS-900#..1</v>
      </c>
      <c r="J47" s="350" t="str">
        <f t="shared" si="10"/>
        <v>SBB.CS-900#..1,5</v>
      </c>
      <c r="K47" s="350" t="str">
        <f t="shared" si="10"/>
        <v>SBB.CS-900#..2</v>
      </c>
      <c r="L47" s="350" t="str">
        <f t="shared" si="10"/>
        <v>SBB.CS-900#..2,5</v>
      </c>
      <c r="M47" s="350" t="str">
        <f t="shared" si="10"/>
        <v>SBB.CS-900#..3</v>
      </c>
      <c r="N47" s="350" t="str">
        <f t="shared" si="10"/>
        <v>X</v>
      </c>
      <c r="O47" s="350" t="str">
        <f t="shared" si="10"/>
        <v>X</v>
      </c>
      <c r="P47" s="350" t="str">
        <f t="shared" si="10"/>
        <v>X</v>
      </c>
      <c r="Q47" s="350" t="str">
        <f t="shared" si="10"/>
        <v>X</v>
      </c>
      <c r="R47" s="350" t="str">
        <f t="shared" si="10"/>
        <v>X</v>
      </c>
      <c r="S47" s="350" t="str">
        <f t="shared" si="10"/>
        <v>X</v>
      </c>
      <c r="T47" s="350" t="str">
        <f t="shared" si="10"/>
        <v>X</v>
      </c>
      <c r="U47" s="350" t="str">
        <f t="shared" si="10"/>
        <v>X</v>
      </c>
      <c r="V47" s="350" t="str">
        <f t="shared" si="10"/>
        <v>X</v>
      </c>
      <c r="W47" s="350" t="str">
        <f t="shared" si="9"/>
        <v>X</v>
      </c>
      <c r="X47" s="350" t="str">
        <f t="shared" si="9"/>
        <v>X</v>
      </c>
      <c r="Y47" s="350" t="str">
        <f t="shared" si="9"/>
        <v>X</v>
      </c>
      <c r="Z47" s="350" t="str">
        <f t="shared" si="9"/>
        <v>X</v>
      </c>
      <c r="AA47" s="350" t="str">
        <f t="shared" si="9"/>
        <v>X</v>
      </c>
      <c r="AB47" s="350" t="str">
        <f t="shared" si="9"/>
        <v>X</v>
      </c>
      <c r="AC47" s="350" t="str">
        <f t="shared" si="9"/>
        <v>X</v>
      </c>
      <c r="AD47" s="350" t="str">
        <f t="shared" si="9"/>
        <v>X</v>
      </c>
      <c r="AE47" s="350" t="str">
        <f t="shared" si="9"/>
        <v>X</v>
      </c>
      <c r="AF47" s="350" t="str">
        <f t="shared" si="9"/>
        <v>X</v>
      </c>
      <c r="AG47" s="350" t="str">
        <f t="shared" si="9"/>
        <v>X</v>
      </c>
      <c r="AH47" s="350" t="str">
        <f t="shared" si="9"/>
        <v>X</v>
      </c>
    </row>
    <row r="48" spans="1:34" x14ac:dyDescent="0.3">
      <c r="A48" s="364">
        <v>47</v>
      </c>
      <c r="B48" s="360" t="str">
        <f>'Valve Data'!B48</f>
        <v>SBB</v>
      </c>
      <c r="C48" s="349" t="str">
        <f>'Valve Data'!C48</f>
        <v>CS-150#</v>
      </c>
      <c r="D48" s="353" t="str">
        <f>IF('Valve Data'!D48=0,"",'Valve Data'!D48)</f>
        <v/>
      </c>
      <c r="E48" s="20">
        <f>'Valve Data'!E48</f>
        <v>0.5</v>
      </c>
      <c r="F48" s="358">
        <f>'Valve Data'!F48</f>
        <v>3</v>
      </c>
      <c r="G48" s="356" t="str">
        <f t="shared" si="10"/>
        <v>SBB.CS-150#..0,5</v>
      </c>
      <c r="H48" s="350" t="str">
        <f t="shared" si="10"/>
        <v>SBB.CS-150#..0,75</v>
      </c>
      <c r="I48" s="350" t="str">
        <f t="shared" si="10"/>
        <v>SBB.CS-150#..1</v>
      </c>
      <c r="J48" s="350" t="str">
        <f t="shared" si="10"/>
        <v>SBB.CS-150#..1,5</v>
      </c>
      <c r="K48" s="350" t="str">
        <f t="shared" si="10"/>
        <v>SBB.CS-150#..2</v>
      </c>
      <c r="L48" s="350" t="str">
        <f t="shared" si="10"/>
        <v>SBB.CS-150#..2,5</v>
      </c>
      <c r="M48" s="350" t="str">
        <f t="shared" si="10"/>
        <v>SBB.CS-150#..3</v>
      </c>
      <c r="N48" s="350" t="str">
        <f t="shared" si="10"/>
        <v>X</v>
      </c>
      <c r="O48" s="350" t="str">
        <f t="shared" si="10"/>
        <v>X</v>
      </c>
      <c r="P48" s="350" t="str">
        <f t="shared" si="10"/>
        <v>X</v>
      </c>
      <c r="Q48" s="350" t="str">
        <f t="shared" si="10"/>
        <v>X</v>
      </c>
      <c r="R48" s="350" t="str">
        <f t="shared" si="10"/>
        <v>X</v>
      </c>
      <c r="S48" s="350" t="str">
        <f t="shared" si="10"/>
        <v>X</v>
      </c>
      <c r="T48" s="350" t="str">
        <f t="shared" si="10"/>
        <v>X</v>
      </c>
      <c r="U48" s="350" t="str">
        <f t="shared" si="10"/>
        <v>X</v>
      </c>
      <c r="V48" s="350" t="str">
        <f t="shared" si="10"/>
        <v>X</v>
      </c>
      <c r="W48" s="350" t="str">
        <f t="shared" si="9"/>
        <v>X</v>
      </c>
      <c r="X48" s="350" t="str">
        <f t="shared" si="9"/>
        <v>X</v>
      </c>
      <c r="Y48" s="350" t="str">
        <f t="shared" si="9"/>
        <v>X</v>
      </c>
      <c r="Z48" s="350" t="str">
        <f t="shared" si="9"/>
        <v>X</v>
      </c>
      <c r="AA48" s="350" t="str">
        <f t="shared" si="9"/>
        <v>X</v>
      </c>
      <c r="AB48" s="350" t="str">
        <f t="shared" si="9"/>
        <v>X</v>
      </c>
      <c r="AC48" s="350" t="str">
        <f t="shared" si="9"/>
        <v>X</v>
      </c>
      <c r="AD48" s="350" t="str">
        <f t="shared" si="9"/>
        <v>X</v>
      </c>
      <c r="AE48" s="350" t="str">
        <f t="shared" si="9"/>
        <v>X</v>
      </c>
      <c r="AF48" s="350" t="str">
        <f t="shared" si="9"/>
        <v>X</v>
      </c>
      <c r="AG48" s="350" t="str">
        <f t="shared" si="9"/>
        <v>X</v>
      </c>
      <c r="AH48" s="350" t="str">
        <f t="shared" si="9"/>
        <v>X</v>
      </c>
    </row>
    <row r="49" spans="1:34" x14ac:dyDescent="0.3">
      <c r="A49" s="364">
        <v>48</v>
      </c>
      <c r="B49" s="360" t="str">
        <f>'Valve Data'!B49</f>
        <v>SBB</v>
      </c>
      <c r="C49" s="349" t="str">
        <f>'Valve Data'!C49</f>
        <v>SS-150#</v>
      </c>
      <c r="D49" s="353" t="str">
        <f>IF('Valve Data'!D49=0,"",'Valve Data'!D49)</f>
        <v/>
      </c>
      <c r="E49" s="20">
        <f>'Valve Data'!E49</f>
        <v>0.5</v>
      </c>
      <c r="F49" s="358">
        <f>'Valve Data'!F49</f>
        <v>3</v>
      </c>
      <c r="G49" s="356" t="str">
        <f t="shared" si="10"/>
        <v>SBB.SS-150#..0,5</v>
      </c>
      <c r="H49" s="350" t="str">
        <f t="shared" si="10"/>
        <v>SBB.SS-150#..0,75</v>
      </c>
      <c r="I49" s="350" t="str">
        <f t="shared" si="10"/>
        <v>SBB.SS-150#..1</v>
      </c>
      <c r="J49" s="350" t="str">
        <f t="shared" si="10"/>
        <v>SBB.SS-150#..1,5</v>
      </c>
      <c r="K49" s="350" t="str">
        <f t="shared" si="10"/>
        <v>SBB.SS-150#..2</v>
      </c>
      <c r="L49" s="350" t="str">
        <f t="shared" si="10"/>
        <v>SBB.SS-150#..2,5</v>
      </c>
      <c r="M49" s="350" t="str">
        <f t="shared" si="10"/>
        <v>SBB.SS-150#..3</v>
      </c>
      <c r="N49" s="350" t="str">
        <f t="shared" si="10"/>
        <v>X</v>
      </c>
      <c r="O49" s="350" t="str">
        <f t="shared" si="10"/>
        <v>X</v>
      </c>
      <c r="P49" s="350" t="str">
        <f t="shared" si="10"/>
        <v>X</v>
      </c>
      <c r="Q49" s="350" t="str">
        <f t="shared" si="10"/>
        <v>X</v>
      </c>
      <c r="R49" s="350" t="str">
        <f t="shared" si="10"/>
        <v>X</v>
      </c>
      <c r="S49" s="350" t="str">
        <f t="shared" si="10"/>
        <v>X</v>
      </c>
      <c r="T49" s="350" t="str">
        <f t="shared" si="10"/>
        <v>X</v>
      </c>
      <c r="U49" s="350" t="str">
        <f t="shared" si="10"/>
        <v>X</v>
      </c>
      <c r="V49" s="350" t="str">
        <f t="shared" si="10"/>
        <v>X</v>
      </c>
      <c r="W49" s="350" t="str">
        <f t="shared" si="9"/>
        <v>X</v>
      </c>
      <c r="X49" s="350" t="str">
        <f t="shared" si="9"/>
        <v>X</v>
      </c>
      <c r="Y49" s="350" t="str">
        <f t="shared" si="9"/>
        <v>X</v>
      </c>
      <c r="Z49" s="350" t="str">
        <f t="shared" si="9"/>
        <v>X</v>
      </c>
      <c r="AA49" s="350" t="str">
        <f t="shared" si="9"/>
        <v>X</v>
      </c>
      <c r="AB49" s="350" t="str">
        <f t="shared" si="9"/>
        <v>X</v>
      </c>
      <c r="AC49" s="350" t="str">
        <f t="shared" si="9"/>
        <v>X</v>
      </c>
      <c r="AD49" s="350" t="str">
        <f t="shared" si="9"/>
        <v>X</v>
      </c>
      <c r="AE49" s="350" t="str">
        <f t="shared" si="9"/>
        <v>X</v>
      </c>
      <c r="AF49" s="350" t="str">
        <f t="shared" si="9"/>
        <v>X</v>
      </c>
      <c r="AG49" s="350" t="str">
        <f t="shared" si="9"/>
        <v>X</v>
      </c>
      <c r="AH49" s="350" t="str">
        <f t="shared" si="9"/>
        <v>X</v>
      </c>
    </row>
    <row r="50" spans="1:34" x14ac:dyDescent="0.3">
      <c r="A50" s="364">
        <v>49</v>
      </c>
      <c r="B50" s="360">
        <f>'Valve Data'!B50</f>
        <v>0</v>
      </c>
      <c r="C50" s="349">
        <f>'Valve Data'!C50</f>
        <v>0</v>
      </c>
      <c r="D50" s="353" t="str">
        <f>IF('Valve Data'!D50=0,"",'Valve Data'!D50)</f>
        <v/>
      </c>
      <c r="E50" s="20">
        <f>'Valve Data'!E50</f>
        <v>0</v>
      </c>
      <c r="F50" s="358">
        <f>'Valve Data'!F50</f>
        <v>0</v>
      </c>
      <c r="G50" s="356" t="str">
        <f t="shared" si="10"/>
        <v>X</v>
      </c>
      <c r="H50" s="350" t="str">
        <f t="shared" si="10"/>
        <v>X</v>
      </c>
      <c r="I50" s="350" t="str">
        <f t="shared" si="10"/>
        <v>X</v>
      </c>
      <c r="J50" s="350" t="str">
        <f t="shared" si="10"/>
        <v>X</v>
      </c>
      <c r="K50" s="350" t="str">
        <f t="shared" si="10"/>
        <v>X</v>
      </c>
      <c r="L50" s="350" t="str">
        <f t="shared" si="10"/>
        <v>X</v>
      </c>
      <c r="M50" s="350" t="str">
        <f t="shared" si="10"/>
        <v>X</v>
      </c>
      <c r="N50" s="350" t="str">
        <f t="shared" si="10"/>
        <v>X</v>
      </c>
      <c r="O50" s="350" t="str">
        <f t="shared" si="10"/>
        <v>X</v>
      </c>
      <c r="P50" s="350" t="str">
        <f t="shared" si="10"/>
        <v>X</v>
      </c>
      <c r="Q50" s="350" t="str">
        <f t="shared" si="10"/>
        <v>X</v>
      </c>
      <c r="R50" s="350" t="str">
        <f t="shared" si="10"/>
        <v>X</v>
      </c>
      <c r="S50" s="350" t="str">
        <f t="shared" si="10"/>
        <v>X</v>
      </c>
      <c r="T50" s="350" t="str">
        <f t="shared" si="10"/>
        <v>X</v>
      </c>
      <c r="U50" s="350" t="str">
        <f t="shared" si="10"/>
        <v>X</v>
      </c>
      <c r="V50" s="350" t="str">
        <f t="shared" ref="V50:AH65" si="11">IF(AND($E50&lt;=V$1,$F50&gt;=V$1),CONCATENATE($B50,".",$C50,".",$D50,".",V$1),"X")</f>
        <v>X</v>
      </c>
      <c r="W50" s="350" t="str">
        <f t="shared" si="11"/>
        <v>X</v>
      </c>
      <c r="X50" s="350" t="str">
        <f t="shared" si="11"/>
        <v>X</v>
      </c>
      <c r="Y50" s="350" t="str">
        <f t="shared" si="11"/>
        <v>X</v>
      </c>
      <c r="Z50" s="350" t="str">
        <f t="shared" si="11"/>
        <v>X</v>
      </c>
      <c r="AA50" s="350" t="str">
        <f t="shared" si="11"/>
        <v>X</v>
      </c>
      <c r="AB50" s="350" t="str">
        <f t="shared" si="11"/>
        <v>X</v>
      </c>
      <c r="AC50" s="350" t="str">
        <f t="shared" si="11"/>
        <v>X</v>
      </c>
      <c r="AD50" s="350" t="str">
        <f t="shared" si="11"/>
        <v>X</v>
      </c>
      <c r="AE50" s="350" t="str">
        <f t="shared" si="11"/>
        <v>X</v>
      </c>
      <c r="AF50" s="350" t="str">
        <f t="shared" si="11"/>
        <v>X</v>
      </c>
      <c r="AG50" s="350" t="str">
        <f t="shared" si="11"/>
        <v>X</v>
      </c>
      <c r="AH50" s="350" t="str">
        <f t="shared" si="11"/>
        <v>X</v>
      </c>
    </row>
    <row r="51" spans="1:34" x14ac:dyDescent="0.3">
      <c r="A51" s="364">
        <v>50</v>
      </c>
      <c r="B51" s="360" t="str">
        <f>'Valve Data'!B51</f>
        <v>Ball_valve</v>
      </c>
      <c r="C51" s="349" t="str">
        <f>'Valve Data'!C51</f>
        <v>CS-900#</v>
      </c>
      <c r="D51" s="353" t="str">
        <f>IF('Valve Data'!D51=0,"",'Valve Data'!D51)</f>
        <v>RB</v>
      </c>
      <c r="E51" s="20">
        <f>'Valve Data'!E51</f>
        <v>0.5</v>
      </c>
      <c r="F51" s="358">
        <f>'Valve Data'!F51</f>
        <v>1.5</v>
      </c>
      <c r="G51" s="356" t="str">
        <f t="shared" ref="G51:V66" si="12">IF(AND($E51&lt;=G$1,$F51&gt;=G$1),CONCATENATE($B51,".",$C51,".",$D51,".",G$1),"X")</f>
        <v>Ball_valve.CS-900#.RB.0,5</v>
      </c>
      <c r="H51" s="350" t="str">
        <f t="shared" si="12"/>
        <v>Ball_valve.CS-900#.RB.0,75</v>
      </c>
      <c r="I51" s="350" t="str">
        <f t="shared" si="12"/>
        <v>Ball_valve.CS-900#.RB.1</v>
      </c>
      <c r="J51" s="350" t="str">
        <f t="shared" si="12"/>
        <v>Ball_valve.CS-900#.RB.1,5</v>
      </c>
      <c r="K51" s="350" t="str">
        <f t="shared" si="12"/>
        <v>X</v>
      </c>
      <c r="L51" s="350" t="str">
        <f t="shared" si="12"/>
        <v>X</v>
      </c>
      <c r="M51" s="350" t="str">
        <f t="shared" si="12"/>
        <v>X</v>
      </c>
      <c r="N51" s="350" t="str">
        <f t="shared" si="12"/>
        <v>X</v>
      </c>
      <c r="O51" s="350" t="str">
        <f t="shared" si="12"/>
        <v>X</v>
      </c>
      <c r="P51" s="350" t="str">
        <f t="shared" si="12"/>
        <v>X</v>
      </c>
      <c r="Q51" s="350" t="str">
        <f t="shared" si="12"/>
        <v>X</v>
      </c>
      <c r="R51" s="350" t="str">
        <f t="shared" si="12"/>
        <v>X</v>
      </c>
      <c r="S51" s="350" t="str">
        <f t="shared" si="12"/>
        <v>X</v>
      </c>
      <c r="T51" s="350" t="str">
        <f t="shared" si="12"/>
        <v>X</v>
      </c>
      <c r="U51" s="350" t="str">
        <f t="shared" si="12"/>
        <v>X</v>
      </c>
      <c r="V51" s="350" t="str">
        <f t="shared" si="12"/>
        <v>X</v>
      </c>
      <c r="W51" s="350" t="str">
        <f t="shared" si="11"/>
        <v>X</v>
      </c>
      <c r="X51" s="350" t="str">
        <f t="shared" si="11"/>
        <v>X</v>
      </c>
      <c r="Y51" s="350" t="str">
        <f t="shared" si="11"/>
        <v>X</v>
      </c>
      <c r="Z51" s="350" t="str">
        <f t="shared" si="11"/>
        <v>X</v>
      </c>
      <c r="AA51" s="350" t="str">
        <f t="shared" si="11"/>
        <v>X</v>
      </c>
      <c r="AB51" s="350" t="str">
        <f t="shared" si="11"/>
        <v>X</v>
      </c>
      <c r="AC51" s="350" t="str">
        <f t="shared" si="11"/>
        <v>X</v>
      </c>
      <c r="AD51" s="350" t="str">
        <f t="shared" si="11"/>
        <v>X</v>
      </c>
      <c r="AE51" s="350" t="str">
        <f t="shared" si="11"/>
        <v>X</v>
      </c>
      <c r="AF51" s="350" t="str">
        <f t="shared" si="11"/>
        <v>X</v>
      </c>
      <c r="AG51" s="350" t="str">
        <f t="shared" si="11"/>
        <v>X</v>
      </c>
      <c r="AH51" s="350" t="str">
        <f t="shared" si="11"/>
        <v>X</v>
      </c>
    </row>
    <row r="52" spans="1:34" x14ac:dyDescent="0.3">
      <c r="A52" s="364">
        <v>51</v>
      </c>
      <c r="B52" s="360" t="str">
        <f>'Valve Data'!B52</f>
        <v>Ball_valve</v>
      </c>
      <c r="C52" s="349" t="str">
        <f>'Valve Data'!C52</f>
        <v>CS-900#</v>
      </c>
      <c r="D52" s="353" t="str">
        <f>IF('Valve Data'!D52=0,"",'Valve Data'!D52)</f>
        <v>RB</v>
      </c>
      <c r="E52" s="20">
        <f>'Valve Data'!E52</f>
        <v>2</v>
      </c>
      <c r="F52" s="358">
        <f>'Valve Data'!F52</f>
        <v>6</v>
      </c>
      <c r="G52" s="356" t="str">
        <f t="shared" si="12"/>
        <v>X</v>
      </c>
      <c r="H52" s="350" t="str">
        <f t="shared" si="12"/>
        <v>X</v>
      </c>
      <c r="I52" s="350" t="str">
        <f t="shared" si="12"/>
        <v>X</v>
      </c>
      <c r="J52" s="350" t="str">
        <f t="shared" si="12"/>
        <v>X</v>
      </c>
      <c r="K52" s="350" t="str">
        <f t="shared" si="12"/>
        <v>Ball_valve.CS-900#.RB.2</v>
      </c>
      <c r="L52" s="350" t="str">
        <f t="shared" si="12"/>
        <v>Ball_valve.CS-900#.RB.2,5</v>
      </c>
      <c r="M52" s="350" t="str">
        <f t="shared" si="12"/>
        <v>Ball_valve.CS-900#.RB.3</v>
      </c>
      <c r="N52" s="350" t="str">
        <f t="shared" si="12"/>
        <v>Ball_valve.CS-900#.RB.4</v>
      </c>
      <c r="O52" s="350" t="str">
        <f t="shared" si="12"/>
        <v>Ball_valve.CS-900#.RB.5</v>
      </c>
      <c r="P52" s="350" t="str">
        <f t="shared" si="12"/>
        <v>Ball_valve.CS-900#.RB.6</v>
      </c>
      <c r="Q52" s="350" t="str">
        <f t="shared" si="12"/>
        <v>X</v>
      </c>
      <c r="R52" s="350" t="str">
        <f t="shared" si="12"/>
        <v>X</v>
      </c>
      <c r="S52" s="350" t="str">
        <f t="shared" si="12"/>
        <v>X</v>
      </c>
      <c r="T52" s="350" t="str">
        <f t="shared" si="12"/>
        <v>X</v>
      </c>
      <c r="U52" s="350" t="str">
        <f t="shared" si="12"/>
        <v>X</v>
      </c>
      <c r="V52" s="350" t="str">
        <f t="shared" si="12"/>
        <v>X</v>
      </c>
      <c r="W52" s="350" t="str">
        <f t="shared" si="11"/>
        <v>X</v>
      </c>
      <c r="X52" s="350" t="str">
        <f t="shared" si="11"/>
        <v>X</v>
      </c>
      <c r="Y52" s="350" t="str">
        <f t="shared" si="11"/>
        <v>X</v>
      </c>
      <c r="Z52" s="350" t="str">
        <f t="shared" si="11"/>
        <v>X</v>
      </c>
      <c r="AA52" s="350" t="str">
        <f t="shared" si="11"/>
        <v>X</v>
      </c>
      <c r="AB52" s="350" t="str">
        <f t="shared" si="11"/>
        <v>X</v>
      </c>
      <c r="AC52" s="350" t="str">
        <f t="shared" si="11"/>
        <v>X</v>
      </c>
      <c r="AD52" s="350" t="str">
        <f t="shared" si="11"/>
        <v>X</v>
      </c>
      <c r="AE52" s="350" t="str">
        <f t="shared" si="11"/>
        <v>X</v>
      </c>
      <c r="AF52" s="350" t="str">
        <f t="shared" si="11"/>
        <v>X</v>
      </c>
      <c r="AG52" s="350" t="str">
        <f t="shared" si="11"/>
        <v>X</v>
      </c>
      <c r="AH52" s="350" t="str">
        <f t="shared" si="11"/>
        <v>X</v>
      </c>
    </row>
    <row r="53" spans="1:34" x14ac:dyDescent="0.3">
      <c r="A53" s="364">
        <v>52</v>
      </c>
      <c r="B53" s="360" t="str">
        <f>'Valve Data'!B53</f>
        <v>Ball_valve</v>
      </c>
      <c r="C53" s="349" t="str">
        <f>'Valve Data'!C53</f>
        <v>CS-900#</v>
      </c>
      <c r="D53" s="353" t="str">
        <f>IF('Valve Data'!D53=0,"",'Valve Data'!D53)</f>
        <v>RB</v>
      </c>
      <c r="E53" s="20">
        <f>'Valve Data'!E53</f>
        <v>8</v>
      </c>
      <c r="F53" s="358">
        <f>'Valve Data'!F53</f>
        <v>24</v>
      </c>
      <c r="G53" s="356" t="str">
        <f t="shared" si="12"/>
        <v>X</v>
      </c>
      <c r="H53" s="350" t="str">
        <f t="shared" si="12"/>
        <v>X</v>
      </c>
      <c r="I53" s="350" t="str">
        <f t="shared" si="12"/>
        <v>X</v>
      </c>
      <c r="J53" s="350" t="str">
        <f t="shared" si="12"/>
        <v>X</v>
      </c>
      <c r="K53" s="350" t="str">
        <f t="shared" si="12"/>
        <v>X</v>
      </c>
      <c r="L53" s="350" t="str">
        <f t="shared" si="12"/>
        <v>X</v>
      </c>
      <c r="M53" s="350" t="str">
        <f t="shared" si="12"/>
        <v>X</v>
      </c>
      <c r="N53" s="350" t="str">
        <f t="shared" si="12"/>
        <v>X</v>
      </c>
      <c r="O53" s="350" t="str">
        <f t="shared" si="12"/>
        <v>X</v>
      </c>
      <c r="P53" s="350" t="str">
        <f t="shared" si="12"/>
        <v>X</v>
      </c>
      <c r="Q53" s="350" t="str">
        <f t="shared" si="12"/>
        <v>Ball_valve.CS-900#.RB.8</v>
      </c>
      <c r="R53" s="350" t="str">
        <f t="shared" si="12"/>
        <v>Ball_valve.CS-900#.RB.10</v>
      </c>
      <c r="S53" s="350" t="str">
        <f t="shared" si="12"/>
        <v>Ball_valve.CS-900#.RB.12</v>
      </c>
      <c r="T53" s="350" t="str">
        <f t="shared" si="12"/>
        <v>Ball_valve.CS-900#.RB.14</v>
      </c>
      <c r="U53" s="350" t="str">
        <f t="shared" si="12"/>
        <v>Ball_valve.CS-900#.RB.16</v>
      </c>
      <c r="V53" s="350" t="str">
        <f t="shared" si="12"/>
        <v>Ball_valve.CS-900#.RB.18</v>
      </c>
      <c r="W53" s="350" t="str">
        <f t="shared" si="11"/>
        <v>Ball_valve.CS-900#.RB.20</v>
      </c>
      <c r="X53" s="350" t="str">
        <f t="shared" si="11"/>
        <v>Ball_valve.CS-900#.RB.22</v>
      </c>
      <c r="Y53" s="350" t="str">
        <f t="shared" si="11"/>
        <v>Ball_valve.CS-900#.RB.24</v>
      </c>
      <c r="Z53" s="350" t="str">
        <f t="shared" si="11"/>
        <v>X</v>
      </c>
      <c r="AA53" s="350" t="str">
        <f t="shared" si="11"/>
        <v>X</v>
      </c>
      <c r="AB53" s="350" t="str">
        <f t="shared" si="11"/>
        <v>X</v>
      </c>
      <c r="AC53" s="350" t="str">
        <f t="shared" si="11"/>
        <v>X</v>
      </c>
      <c r="AD53" s="350" t="str">
        <f t="shared" si="11"/>
        <v>X</v>
      </c>
      <c r="AE53" s="350" t="str">
        <f t="shared" si="11"/>
        <v>X</v>
      </c>
      <c r="AF53" s="350" t="str">
        <f t="shared" si="11"/>
        <v>X</v>
      </c>
      <c r="AG53" s="350" t="str">
        <f t="shared" si="11"/>
        <v>X</v>
      </c>
      <c r="AH53" s="350" t="str">
        <f t="shared" si="11"/>
        <v>X</v>
      </c>
    </row>
    <row r="54" spans="1:34" x14ac:dyDescent="0.3">
      <c r="A54" s="364">
        <v>53</v>
      </c>
      <c r="B54" s="360">
        <f>'Valve Data'!B54</f>
        <v>0</v>
      </c>
      <c r="C54" s="349">
        <f>'Valve Data'!C54</f>
        <v>0</v>
      </c>
      <c r="D54" s="353" t="str">
        <f>IF('Valve Data'!D54=0,"",'Valve Data'!D54)</f>
        <v/>
      </c>
      <c r="E54" s="20">
        <f>'Valve Data'!E54</f>
        <v>0</v>
      </c>
      <c r="F54" s="358">
        <f>'Valve Data'!F54</f>
        <v>0</v>
      </c>
      <c r="G54" s="356" t="str">
        <f t="shared" si="12"/>
        <v>X</v>
      </c>
      <c r="H54" s="350" t="str">
        <f t="shared" si="12"/>
        <v>X</v>
      </c>
      <c r="I54" s="350" t="str">
        <f t="shared" si="12"/>
        <v>X</v>
      </c>
      <c r="J54" s="350" t="str">
        <f t="shared" si="12"/>
        <v>X</v>
      </c>
      <c r="K54" s="350" t="str">
        <f t="shared" si="12"/>
        <v>X</v>
      </c>
      <c r="L54" s="350" t="str">
        <f t="shared" si="12"/>
        <v>X</v>
      </c>
      <c r="M54" s="350" t="str">
        <f t="shared" si="12"/>
        <v>X</v>
      </c>
      <c r="N54" s="350" t="str">
        <f t="shared" si="12"/>
        <v>X</v>
      </c>
      <c r="O54" s="350" t="str">
        <f t="shared" si="12"/>
        <v>X</v>
      </c>
      <c r="P54" s="350" t="str">
        <f t="shared" si="12"/>
        <v>X</v>
      </c>
      <c r="Q54" s="350" t="str">
        <f t="shared" si="12"/>
        <v>X</v>
      </c>
      <c r="R54" s="350" t="str">
        <f t="shared" si="12"/>
        <v>X</v>
      </c>
      <c r="S54" s="350" t="str">
        <f t="shared" si="12"/>
        <v>X</v>
      </c>
      <c r="T54" s="350" t="str">
        <f t="shared" si="12"/>
        <v>X</v>
      </c>
      <c r="U54" s="350" t="str">
        <f t="shared" si="12"/>
        <v>X</v>
      </c>
      <c r="V54" s="350" t="str">
        <f t="shared" si="12"/>
        <v>X</v>
      </c>
      <c r="W54" s="350" t="str">
        <f t="shared" si="11"/>
        <v>X</v>
      </c>
      <c r="X54" s="350" t="str">
        <f t="shared" si="11"/>
        <v>X</v>
      </c>
      <c r="Y54" s="350" t="str">
        <f t="shared" si="11"/>
        <v>X</v>
      </c>
      <c r="Z54" s="350" t="str">
        <f t="shared" si="11"/>
        <v>X</v>
      </c>
      <c r="AA54" s="350" t="str">
        <f t="shared" si="11"/>
        <v>X</v>
      </c>
      <c r="AB54" s="350" t="str">
        <f t="shared" si="11"/>
        <v>X</v>
      </c>
      <c r="AC54" s="350" t="str">
        <f t="shared" si="11"/>
        <v>X</v>
      </c>
      <c r="AD54" s="350" t="str">
        <f t="shared" si="11"/>
        <v>X</v>
      </c>
      <c r="AE54" s="350" t="str">
        <f t="shared" si="11"/>
        <v>X</v>
      </c>
      <c r="AF54" s="350" t="str">
        <f t="shared" si="11"/>
        <v>X</v>
      </c>
      <c r="AG54" s="350" t="str">
        <f t="shared" si="11"/>
        <v>X</v>
      </c>
      <c r="AH54" s="350" t="str">
        <f t="shared" si="11"/>
        <v>X</v>
      </c>
    </row>
    <row r="55" spans="1:34" x14ac:dyDescent="0.3">
      <c r="A55" s="364">
        <v>54</v>
      </c>
      <c r="B55" s="360" t="str">
        <f>'Valve Data'!B55</f>
        <v>Ball_valve</v>
      </c>
      <c r="C55" s="349" t="str">
        <f>'Valve Data'!C55</f>
        <v>SS-900#</v>
      </c>
      <c r="D55" s="353" t="str">
        <f>IF('Valve Data'!D55=0,"",'Valve Data'!D55)</f>
        <v>RB</v>
      </c>
      <c r="E55" s="20">
        <f>'Valve Data'!E55</f>
        <v>0.5</v>
      </c>
      <c r="F55" s="358">
        <f>'Valve Data'!F55</f>
        <v>1.5</v>
      </c>
      <c r="G55" s="356" t="str">
        <f t="shared" si="12"/>
        <v>Ball_valve.SS-900#.RB.0,5</v>
      </c>
      <c r="H55" s="350" t="str">
        <f t="shared" si="12"/>
        <v>Ball_valve.SS-900#.RB.0,75</v>
      </c>
      <c r="I55" s="350" t="str">
        <f t="shared" si="12"/>
        <v>Ball_valve.SS-900#.RB.1</v>
      </c>
      <c r="J55" s="350" t="str">
        <f t="shared" si="12"/>
        <v>Ball_valve.SS-900#.RB.1,5</v>
      </c>
      <c r="K55" s="350" t="str">
        <f t="shared" si="12"/>
        <v>X</v>
      </c>
      <c r="L55" s="350" t="str">
        <f t="shared" si="12"/>
        <v>X</v>
      </c>
      <c r="M55" s="350" t="str">
        <f t="shared" si="12"/>
        <v>X</v>
      </c>
      <c r="N55" s="350" t="str">
        <f t="shared" si="12"/>
        <v>X</v>
      </c>
      <c r="O55" s="350" t="str">
        <f t="shared" si="12"/>
        <v>X</v>
      </c>
      <c r="P55" s="350" t="str">
        <f t="shared" si="12"/>
        <v>X</v>
      </c>
      <c r="Q55" s="350" t="str">
        <f t="shared" si="12"/>
        <v>X</v>
      </c>
      <c r="R55" s="350" t="str">
        <f t="shared" si="12"/>
        <v>X</v>
      </c>
      <c r="S55" s="350" t="str">
        <f t="shared" si="12"/>
        <v>X</v>
      </c>
      <c r="T55" s="350" t="str">
        <f t="shared" si="12"/>
        <v>X</v>
      </c>
      <c r="U55" s="350" t="str">
        <f t="shared" si="12"/>
        <v>X</v>
      </c>
      <c r="V55" s="350" t="str">
        <f t="shared" si="12"/>
        <v>X</v>
      </c>
      <c r="W55" s="350" t="str">
        <f t="shared" si="11"/>
        <v>X</v>
      </c>
      <c r="X55" s="350" t="str">
        <f t="shared" si="11"/>
        <v>X</v>
      </c>
      <c r="Y55" s="350" t="str">
        <f t="shared" si="11"/>
        <v>X</v>
      </c>
      <c r="Z55" s="350" t="str">
        <f t="shared" si="11"/>
        <v>X</v>
      </c>
      <c r="AA55" s="350" t="str">
        <f t="shared" si="11"/>
        <v>X</v>
      </c>
      <c r="AB55" s="350" t="str">
        <f t="shared" si="11"/>
        <v>X</v>
      </c>
      <c r="AC55" s="350" t="str">
        <f t="shared" si="11"/>
        <v>X</v>
      </c>
      <c r="AD55" s="350" t="str">
        <f t="shared" si="11"/>
        <v>X</v>
      </c>
      <c r="AE55" s="350" t="str">
        <f t="shared" si="11"/>
        <v>X</v>
      </c>
      <c r="AF55" s="350" t="str">
        <f t="shared" si="11"/>
        <v>X</v>
      </c>
      <c r="AG55" s="350" t="str">
        <f t="shared" si="11"/>
        <v>X</v>
      </c>
      <c r="AH55" s="350" t="str">
        <f t="shared" si="11"/>
        <v>X</v>
      </c>
    </row>
    <row r="56" spans="1:34" x14ac:dyDescent="0.3">
      <c r="A56" s="364">
        <v>55</v>
      </c>
      <c r="B56" s="360" t="str">
        <f>'Valve Data'!B56</f>
        <v>Ball_valve</v>
      </c>
      <c r="C56" s="349" t="str">
        <f>'Valve Data'!C56</f>
        <v>SS-900#</v>
      </c>
      <c r="D56" s="353" t="str">
        <f>IF('Valve Data'!D56=0,"",'Valve Data'!D56)</f>
        <v>RB</v>
      </c>
      <c r="E56" s="20">
        <f>'Valve Data'!E56</f>
        <v>2</v>
      </c>
      <c r="F56" s="358">
        <f>'Valve Data'!F56</f>
        <v>6</v>
      </c>
      <c r="G56" s="356" t="str">
        <f t="shared" si="12"/>
        <v>X</v>
      </c>
      <c r="H56" s="350" t="str">
        <f t="shared" si="12"/>
        <v>X</v>
      </c>
      <c r="I56" s="350" t="str">
        <f t="shared" si="12"/>
        <v>X</v>
      </c>
      <c r="J56" s="350" t="str">
        <f t="shared" si="12"/>
        <v>X</v>
      </c>
      <c r="K56" s="350" t="str">
        <f t="shared" si="12"/>
        <v>Ball_valve.SS-900#.RB.2</v>
      </c>
      <c r="L56" s="350" t="str">
        <f t="shared" si="12"/>
        <v>Ball_valve.SS-900#.RB.2,5</v>
      </c>
      <c r="M56" s="350" t="str">
        <f t="shared" si="12"/>
        <v>Ball_valve.SS-900#.RB.3</v>
      </c>
      <c r="N56" s="350" t="str">
        <f t="shared" si="12"/>
        <v>Ball_valve.SS-900#.RB.4</v>
      </c>
      <c r="O56" s="350" t="str">
        <f t="shared" si="12"/>
        <v>Ball_valve.SS-900#.RB.5</v>
      </c>
      <c r="P56" s="350" t="str">
        <f t="shared" si="12"/>
        <v>Ball_valve.SS-900#.RB.6</v>
      </c>
      <c r="Q56" s="350" t="str">
        <f t="shared" si="12"/>
        <v>X</v>
      </c>
      <c r="R56" s="350" t="str">
        <f t="shared" si="12"/>
        <v>X</v>
      </c>
      <c r="S56" s="350" t="str">
        <f t="shared" si="12"/>
        <v>X</v>
      </c>
      <c r="T56" s="350" t="str">
        <f t="shared" si="12"/>
        <v>X</v>
      </c>
      <c r="U56" s="350" t="str">
        <f t="shared" si="12"/>
        <v>X</v>
      </c>
      <c r="V56" s="350" t="str">
        <f t="shared" si="12"/>
        <v>X</v>
      </c>
      <c r="W56" s="350" t="str">
        <f t="shared" si="11"/>
        <v>X</v>
      </c>
      <c r="X56" s="350" t="str">
        <f t="shared" si="11"/>
        <v>X</v>
      </c>
      <c r="Y56" s="350" t="str">
        <f t="shared" si="11"/>
        <v>X</v>
      </c>
      <c r="Z56" s="350" t="str">
        <f t="shared" si="11"/>
        <v>X</v>
      </c>
      <c r="AA56" s="350" t="str">
        <f t="shared" si="11"/>
        <v>X</v>
      </c>
      <c r="AB56" s="350" t="str">
        <f t="shared" si="11"/>
        <v>X</v>
      </c>
      <c r="AC56" s="350" t="str">
        <f t="shared" si="11"/>
        <v>X</v>
      </c>
      <c r="AD56" s="350" t="str">
        <f t="shared" si="11"/>
        <v>X</v>
      </c>
      <c r="AE56" s="350" t="str">
        <f t="shared" si="11"/>
        <v>X</v>
      </c>
      <c r="AF56" s="350" t="str">
        <f t="shared" si="11"/>
        <v>X</v>
      </c>
      <c r="AG56" s="350" t="str">
        <f t="shared" si="11"/>
        <v>X</v>
      </c>
      <c r="AH56" s="350" t="str">
        <f t="shared" si="11"/>
        <v>X</v>
      </c>
    </row>
    <row r="57" spans="1:34" x14ac:dyDescent="0.3">
      <c r="A57" s="364">
        <v>56</v>
      </c>
      <c r="B57" s="360" t="str">
        <f>'Valve Data'!B57</f>
        <v>Ball_valve</v>
      </c>
      <c r="C57" s="349" t="str">
        <f>'Valve Data'!C57</f>
        <v>SS-900#</v>
      </c>
      <c r="D57" s="353" t="str">
        <f>IF('Valve Data'!D57=0,"",'Valve Data'!D57)</f>
        <v>RB</v>
      </c>
      <c r="E57" s="20">
        <f>'Valve Data'!E57</f>
        <v>8</v>
      </c>
      <c r="F57" s="358">
        <f>'Valve Data'!F57</f>
        <v>24</v>
      </c>
      <c r="G57" s="356" t="str">
        <f t="shared" si="12"/>
        <v>X</v>
      </c>
      <c r="H57" s="350" t="str">
        <f t="shared" si="12"/>
        <v>X</v>
      </c>
      <c r="I57" s="350" t="str">
        <f t="shared" si="12"/>
        <v>X</v>
      </c>
      <c r="J57" s="350" t="str">
        <f t="shared" si="12"/>
        <v>X</v>
      </c>
      <c r="K57" s="350" t="str">
        <f t="shared" si="12"/>
        <v>X</v>
      </c>
      <c r="L57" s="350" t="str">
        <f t="shared" si="12"/>
        <v>X</v>
      </c>
      <c r="M57" s="350" t="str">
        <f t="shared" si="12"/>
        <v>X</v>
      </c>
      <c r="N57" s="350" t="str">
        <f t="shared" si="12"/>
        <v>X</v>
      </c>
      <c r="O57" s="350" t="str">
        <f t="shared" si="12"/>
        <v>X</v>
      </c>
      <c r="P57" s="350" t="str">
        <f t="shared" si="12"/>
        <v>X</v>
      </c>
      <c r="Q57" s="350" t="str">
        <f t="shared" si="12"/>
        <v>Ball_valve.SS-900#.RB.8</v>
      </c>
      <c r="R57" s="350" t="str">
        <f t="shared" si="12"/>
        <v>Ball_valve.SS-900#.RB.10</v>
      </c>
      <c r="S57" s="350" t="str">
        <f t="shared" si="12"/>
        <v>Ball_valve.SS-900#.RB.12</v>
      </c>
      <c r="T57" s="350" t="str">
        <f t="shared" si="12"/>
        <v>Ball_valve.SS-900#.RB.14</v>
      </c>
      <c r="U57" s="350" t="str">
        <f t="shared" si="12"/>
        <v>Ball_valve.SS-900#.RB.16</v>
      </c>
      <c r="V57" s="350" t="str">
        <f t="shared" si="12"/>
        <v>Ball_valve.SS-900#.RB.18</v>
      </c>
      <c r="W57" s="350" t="str">
        <f t="shared" si="11"/>
        <v>Ball_valve.SS-900#.RB.20</v>
      </c>
      <c r="X57" s="350" t="str">
        <f t="shared" si="11"/>
        <v>Ball_valve.SS-900#.RB.22</v>
      </c>
      <c r="Y57" s="350" t="str">
        <f t="shared" si="11"/>
        <v>Ball_valve.SS-900#.RB.24</v>
      </c>
      <c r="Z57" s="350" t="str">
        <f t="shared" si="11"/>
        <v>X</v>
      </c>
      <c r="AA57" s="350" t="str">
        <f t="shared" si="11"/>
        <v>X</v>
      </c>
      <c r="AB57" s="350" t="str">
        <f t="shared" si="11"/>
        <v>X</v>
      </c>
      <c r="AC57" s="350" t="str">
        <f t="shared" si="11"/>
        <v>X</v>
      </c>
      <c r="AD57" s="350" t="str">
        <f t="shared" si="11"/>
        <v>X</v>
      </c>
      <c r="AE57" s="350" t="str">
        <f t="shared" si="11"/>
        <v>X</v>
      </c>
      <c r="AF57" s="350" t="str">
        <f t="shared" si="11"/>
        <v>X</v>
      </c>
      <c r="AG57" s="350" t="str">
        <f t="shared" si="11"/>
        <v>X</v>
      </c>
      <c r="AH57" s="350" t="str">
        <f t="shared" si="11"/>
        <v>X</v>
      </c>
    </row>
    <row r="58" spans="1:34" x14ac:dyDescent="0.3">
      <c r="A58" s="364">
        <v>57</v>
      </c>
      <c r="B58" s="360">
        <f>'Valve Data'!B58</f>
        <v>0</v>
      </c>
      <c r="C58" s="349">
        <f>'Valve Data'!C58</f>
        <v>0</v>
      </c>
      <c r="D58" s="353" t="str">
        <f>IF('Valve Data'!D58=0,"",'Valve Data'!D58)</f>
        <v/>
      </c>
      <c r="E58" s="20">
        <f>'Valve Data'!E58</f>
        <v>0</v>
      </c>
      <c r="F58" s="358">
        <f>'Valve Data'!F58</f>
        <v>0</v>
      </c>
      <c r="G58" s="356" t="str">
        <f t="shared" si="12"/>
        <v>X</v>
      </c>
      <c r="H58" s="350" t="str">
        <f t="shared" si="12"/>
        <v>X</v>
      </c>
      <c r="I58" s="350" t="str">
        <f t="shared" si="12"/>
        <v>X</v>
      </c>
      <c r="J58" s="350" t="str">
        <f t="shared" si="12"/>
        <v>X</v>
      </c>
      <c r="K58" s="350" t="str">
        <f t="shared" si="12"/>
        <v>X</v>
      </c>
      <c r="L58" s="350" t="str">
        <f t="shared" si="12"/>
        <v>X</v>
      </c>
      <c r="M58" s="350" t="str">
        <f t="shared" si="12"/>
        <v>X</v>
      </c>
      <c r="N58" s="350" t="str">
        <f t="shared" si="12"/>
        <v>X</v>
      </c>
      <c r="O58" s="350" t="str">
        <f t="shared" si="12"/>
        <v>X</v>
      </c>
      <c r="P58" s="350" t="str">
        <f t="shared" si="12"/>
        <v>X</v>
      </c>
      <c r="Q58" s="350" t="str">
        <f t="shared" si="12"/>
        <v>X</v>
      </c>
      <c r="R58" s="350" t="str">
        <f t="shared" si="12"/>
        <v>X</v>
      </c>
      <c r="S58" s="350" t="str">
        <f t="shared" si="12"/>
        <v>X</v>
      </c>
      <c r="T58" s="350" t="str">
        <f t="shared" si="12"/>
        <v>X</v>
      </c>
      <c r="U58" s="350" t="str">
        <f t="shared" si="12"/>
        <v>X</v>
      </c>
      <c r="V58" s="350" t="str">
        <f t="shared" si="12"/>
        <v>X</v>
      </c>
      <c r="W58" s="350" t="str">
        <f t="shared" si="11"/>
        <v>X</v>
      </c>
      <c r="X58" s="350" t="str">
        <f t="shared" si="11"/>
        <v>X</v>
      </c>
      <c r="Y58" s="350" t="str">
        <f t="shared" si="11"/>
        <v>X</v>
      </c>
      <c r="Z58" s="350" t="str">
        <f t="shared" si="11"/>
        <v>X</v>
      </c>
      <c r="AA58" s="350" t="str">
        <f t="shared" si="11"/>
        <v>X</v>
      </c>
      <c r="AB58" s="350" t="str">
        <f t="shared" si="11"/>
        <v>X</v>
      </c>
      <c r="AC58" s="350" t="str">
        <f t="shared" si="11"/>
        <v>X</v>
      </c>
      <c r="AD58" s="350" t="str">
        <f t="shared" si="11"/>
        <v>X</v>
      </c>
      <c r="AE58" s="350" t="str">
        <f t="shared" si="11"/>
        <v>X</v>
      </c>
      <c r="AF58" s="350" t="str">
        <f t="shared" si="11"/>
        <v>X</v>
      </c>
      <c r="AG58" s="350" t="str">
        <f t="shared" si="11"/>
        <v>X</v>
      </c>
      <c r="AH58" s="350" t="str">
        <f t="shared" si="11"/>
        <v>X</v>
      </c>
    </row>
    <row r="59" spans="1:34" x14ac:dyDescent="0.3">
      <c r="A59" s="364">
        <v>58</v>
      </c>
      <c r="B59" s="360" t="str">
        <f>'Valve Data'!B59</f>
        <v>Ball_valve</v>
      </c>
      <c r="C59" s="349" t="str">
        <f>'Valve Data'!C59</f>
        <v>SS-150#</v>
      </c>
      <c r="D59" s="353" t="str">
        <f>IF('Valve Data'!D59=0,"",'Valve Data'!D59)</f>
        <v>RB</v>
      </c>
      <c r="E59" s="20">
        <f>'Valve Data'!E59</f>
        <v>0.5</v>
      </c>
      <c r="F59" s="358">
        <f>'Valve Data'!F59</f>
        <v>1.5</v>
      </c>
      <c r="G59" s="356" t="str">
        <f t="shared" si="12"/>
        <v>Ball_valve.SS-150#.RB.0,5</v>
      </c>
      <c r="H59" s="350" t="str">
        <f t="shared" si="12"/>
        <v>Ball_valve.SS-150#.RB.0,75</v>
      </c>
      <c r="I59" s="350" t="str">
        <f t="shared" si="12"/>
        <v>Ball_valve.SS-150#.RB.1</v>
      </c>
      <c r="J59" s="350" t="str">
        <f t="shared" si="12"/>
        <v>Ball_valve.SS-150#.RB.1,5</v>
      </c>
      <c r="K59" s="350" t="str">
        <f t="shared" si="12"/>
        <v>X</v>
      </c>
      <c r="L59" s="350" t="str">
        <f t="shared" si="12"/>
        <v>X</v>
      </c>
      <c r="M59" s="350" t="str">
        <f t="shared" si="12"/>
        <v>X</v>
      </c>
      <c r="N59" s="350" t="str">
        <f t="shared" si="12"/>
        <v>X</v>
      </c>
      <c r="O59" s="350" t="str">
        <f t="shared" si="12"/>
        <v>X</v>
      </c>
      <c r="P59" s="350" t="str">
        <f t="shared" si="12"/>
        <v>X</v>
      </c>
      <c r="Q59" s="350" t="str">
        <f t="shared" si="12"/>
        <v>X</v>
      </c>
      <c r="R59" s="350" t="str">
        <f t="shared" si="12"/>
        <v>X</v>
      </c>
      <c r="S59" s="350" t="str">
        <f t="shared" si="12"/>
        <v>X</v>
      </c>
      <c r="T59" s="350" t="str">
        <f t="shared" si="12"/>
        <v>X</v>
      </c>
      <c r="U59" s="350" t="str">
        <f t="shared" si="12"/>
        <v>X</v>
      </c>
      <c r="V59" s="350" t="str">
        <f t="shared" si="12"/>
        <v>X</v>
      </c>
      <c r="W59" s="350" t="str">
        <f t="shared" si="11"/>
        <v>X</v>
      </c>
      <c r="X59" s="350" t="str">
        <f t="shared" si="11"/>
        <v>X</v>
      </c>
      <c r="Y59" s="350" t="str">
        <f t="shared" si="11"/>
        <v>X</v>
      </c>
      <c r="Z59" s="350" t="str">
        <f t="shared" si="11"/>
        <v>X</v>
      </c>
      <c r="AA59" s="350" t="str">
        <f t="shared" si="11"/>
        <v>X</v>
      </c>
      <c r="AB59" s="350" t="str">
        <f t="shared" si="11"/>
        <v>X</v>
      </c>
      <c r="AC59" s="350" t="str">
        <f t="shared" si="11"/>
        <v>X</v>
      </c>
      <c r="AD59" s="350" t="str">
        <f t="shared" si="11"/>
        <v>X</v>
      </c>
      <c r="AE59" s="350" t="str">
        <f t="shared" si="11"/>
        <v>X</v>
      </c>
      <c r="AF59" s="350" t="str">
        <f t="shared" si="11"/>
        <v>X</v>
      </c>
      <c r="AG59" s="350" t="str">
        <f t="shared" si="11"/>
        <v>X</v>
      </c>
      <c r="AH59" s="350" t="str">
        <f t="shared" si="11"/>
        <v>X</v>
      </c>
    </row>
    <row r="60" spans="1:34" x14ac:dyDescent="0.3">
      <c r="A60" s="364">
        <v>59</v>
      </c>
      <c r="B60" s="360" t="str">
        <f>'Valve Data'!B60</f>
        <v>Ball_valve</v>
      </c>
      <c r="C60" s="349" t="str">
        <f>'Valve Data'!C60</f>
        <v>SS-150#</v>
      </c>
      <c r="D60" s="353" t="str">
        <f>IF('Valve Data'!D60=0,"",'Valve Data'!D60)</f>
        <v>RB</v>
      </c>
      <c r="E60" s="20">
        <f>'Valve Data'!E60</f>
        <v>2</v>
      </c>
      <c r="F60" s="358">
        <f>'Valve Data'!F60</f>
        <v>6</v>
      </c>
      <c r="G60" s="356" t="str">
        <f t="shared" si="12"/>
        <v>X</v>
      </c>
      <c r="H60" s="350" t="str">
        <f t="shared" si="12"/>
        <v>X</v>
      </c>
      <c r="I60" s="350" t="str">
        <f t="shared" si="12"/>
        <v>X</v>
      </c>
      <c r="J60" s="350" t="str">
        <f t="shared" si="12"/>
        <v>X</v>
      </c>
      <c r="K60" s="350" t="str">
        <f t="shared" si="12"/>
        <v>Ball_valve.SS-150#.RB.2</v>
      </c>
      <c r="L60" s="350" t="str">
        <f t="shared" si="12"/>
        <v>Ball_valve.SS-150#.RB.2,5</v>
      </c>
      <c r="M60" s="350" t="str">
        <f t="shared" si="12"/>
        <v>Ball_valve.SS-150#.RB.3</v>
      </c>
      <c r="N60" s="350" t="str">
        <f t="shared" si="12"/>
        <v>Ball_valve.SS-150#.RB.4</v>
      </c>
      <c r="O60" s="350" t="str">
        <f t="shared" si="12"/>
        <v>Ball_valve.SS-150#.RB.5</v>
      </c>
      <c r="P60" s="350" t="str">
        <f t="shared" si="12"/>
        <v>Ball_valve.SS-150#.RB.6</v>
      </c>
      <c r="Q60" s="350" t="str">
        <f t="shared" si="12"/>
        <v>X</v>
      </c>
      <c r="R60" s="350" t="str">
        <f t="shared" si="12"/>
        <v>X</v>
      </c>
      <c r="S60" s="350" t="str">
        <f t="shared" si="12"/>
        <v>X</v>
      </c>
      <c r="T60" s="350" t="str">
        <f t="shared" si="12"/>
        <v>X</v>
      </c>
      <c r="U60" s="350" t="str">
        <f t="shared" si="12"/>
        <v>X</v>
      </c>
      <c r="V60" s="350" t="str">
        <f t="shared" si="12"/>
        <v>X</v>
      </c>
      <c r="W60" s="350" t="str">
        <f t="shared" si="11"/>
        <v>X</v>
      </c>
      <c r="X60" s="350" t="str">
        <f t="shared" si="11"/>
        <v>X</v>
      </c>
      <c r="Y60" s="350" t="str">
        <f t="shared" si="11"/>
        <v>X</v>
      </c>
      <c r="Z60" s="350" t="str">
        <f t="shared" si="11"/>
        <v>X</v>
      </c>
      <c r="AA60" s="350" t="str">
        <f t="shared" si="11"/>
        <v>X</v>
      </c>
      <c r="AB60" s="350" t="str">
        <f t="shared" si="11"/>
        <v>X</v>
      </c>
      <c r="AC60" s="350" t="str">
        <f t="shared" si="11"/>
        <v>X</v>
      </c>
      <c r="AD60" s="350" t="str">
        <f t="shared" si="11"/>
        <v>X</v>
      </c>
      <c r="AE60" s="350" t="str">
        <f t="shared" si="11"/>
        <v>X</v>
      </c>
      <c r="AF60" s="350" t="str">
        <f t="shared" si="11"/>
        <v>X</v>
      </c>
      <c r="AG60" s="350" t="str">
        <f t="shared" si="11"/>
        <v>X</v>
      </c>
      <c r="AH60" s="350" t="str">
        <f t="shared" si="11"/>
        <v>X</v>
      </c>
    </row>
    <row r="61" spans="1:34" x14ac:dyDescent="0.3">
      <c r="A61" s="364">
        <v>60</v>
      </c>
      <c r="B61" s="360" t="str">
        <f>'Valve Data'!B61</f>
        <v>Ball_valve</v>
      </c>
      <c r="C61" s="349" t="str">
        <f>'Valve Data'!C61</f>
        <v>SS-150#</v>
      </c>
      <c r="D61" s="353" t="str">
        <f>IF('Valve Data'!D61=0,"",'Valve Data'!D61)</f>
        <v>RB</v>
      </c>
      <c r="E61" s="20">
        <f>'Valve Data'!E61</f>
        <v>8</v>
      </c>
      <c r="F61" s="358">
        <f>'Valve Data'!F61</f>
        <v>24</v>
      </c>
      <c r="G61" s="356" t="str">
        <f t="shared" si="12"/>
        <v>X</v>
      </c>
      <c r="H61" s="350" t="str">
        <f t="shared" si="12"/>
        <v>X</v>
      </c>
      <c r="I61" s="350" t="str">
        <f t="shared" si="12"/>
        <v>X</v>
      </c>
      <c r="J61" s="350" t="str">
        <f t="shared" si="12"/>
        <v>X</v>
      </c>
      <c r="K61" s="350" t="str">
        <f t="shared" si="12"/>
        <v>X</v>
      </c>
      <c r="L61" s="350" t="str">
        <f t="shared" si="12"/>
        <v>X</v>
      </c>
      <c r="M61" s="350" t="str">
        <f t="shared" si="12"/>
        <v>X</v>
      </c>
      <c r="N61" s="350" t="str">
        <f t="shared" si="12"/>
        <v>X</v>
      </c>
      <c r="O61" s="350" t="str">
        <f t="shared" si="12"/>
        <v>X</v>
      </c>
      <c r="P61" s="350" t="str">
        <f t="shared" si="12"/>
        <v>X</v>
      </c>
      <c r="Q61" s="350" t="str">
        <f t="shared" si="12"/>
        <v>Ball_valve.SS-150#.RB.8</v>
      </c>
      <c r="R61" s="350" t="str">
        <f t="shared" si="12"/>
        <v>Ball_valve.SS-150#.RB.10</v>
      </c>
      <c r="S61" s="350" t="str">
        <f t="shared" si="12"/>
        <v>Ball_valve.SS-150#.RB.12</v>
      </c>
      <c r="T61" s="350" t="str">
        <f t="shared" si="12"/>
        <v>Ball_valve.SS-150#.RB.14</v>
      </c>
      <c r="U61" s="350" t="str">
        <f t="shared" si="12"/>
        <v>Ball_valve.SS-150#.RB.16</v>
      </c>
      <c r="V61" s="350" t="str">
        <f t="shared" si="12"/>
        <v>Ball_valve.SS-150#.RB.18</v>
      </c>
      <c r="W61" s="350" t="str">
        <f t="shared" si="11"/>
        <v>Ball_valve.SS-150#.RB.20</v>
      </c>
      <c r="X61" s="350" t="str">
        <f t="shared" si="11"/>
        <v>Ball_valve.SS-150#.RB.22</v>
      </c>
      <c r="Y61" s="350" t="str">
        <f t="shared" si="11"/>
        <v>Ball_valve.SS-150#.RB.24</v>
      </c>
      <c r="Z61" s="350" t="str">
        <f t="shared" si="11"/>
        <v>X</v>
      </c>
      <c r="AA61" s="350" t="str">
        <f t="shared" si="11"/>
        <v>X</v>
      </c>
      <c r="AB61" s="350" t="str">
        <f t="shared" si="11"/>
        <v>X</v>
      </c>
      <c r="AC61" s="350" t="str">
        <f t="shared" si="11"/>
        <v>X</v>
      </c>
      <c r="AD61" s="350" t="str">
        <f t="shared" si="11"/>
        <v>X</v>
      </c>
      <c r="AE61" s="350" t="str">
        <f t="shared" si="11"/>
        <v>X</v>
      </c>
      <c r="AF61" s="350" t="str">
        <f t="shared" si="11"/>
        <v>X</v>
      </c>
      <c r="AG61" s="350" t="str">
        <f t="shared" si="11"/>
        <v>X</v>
      </c>
      <c r="AH61" s="350" t="str">
        <f t="shared" si="11"/>
        <v>X</v>
      </c>
    </row>
    <row r="62" spans="1:34" x14ac:dyDescent="0.3">
      <c r="A62" s="364">
        <v>61</v>
      </c>
      <c r="B62" s="360">
        <f>'Valve Data'!B62</f>
        <v>0</v>
      </c>
      <c r="C62" s="349">
        <f>'Valve Data'!C62</f>
        <v>0</v>
      </c>
      <c r="D62" s="353" t="str">
        <f>IF('Valve Data'!D62=0,"",'Valve Data'!D62)</f>
        <v/>
      </c>
      <c r="E62" s="20">
        <f>'Valve Data'!E62</f>
        <v>0</v>
      </c>
      <c r="F62" s="358">
        <f>'Valve Data'!F62</f>
        <v>0</v>
      </c>
      <c r="G62" s="356" t="str">
        <f t="shared" si="12"/>
        <v>X</v>
      </c>
      <c r="H62" s="350" t="str">
        <f t="shared" si="12"/>
        <v>X</v>
      </c>
      <c r="I62" s="350" t="str">
        <f t="shared" si="12"/>
        <v>X</v>
      </c>
      <c r="J62" s="350" t="str">
        <f t="shared" si="12"/>
        <v>X</v>
      </c>
      <c r="K62" s="350" t="str">
        <f t="shared" si="12"/>
        <v>X</v>
      </c>
      <c r="L62" s="350" t="str">
        <f t="shared" si="12"/>
        <v>X</v>
      </c>
      <c r="M62" s="350" t="str">
        <f t="shared" si="12"/>
        <v>X</v>
      </c>
      <c r="N62" s="350" t="str">
        <f t="shared" si="12"/>
        <v>X</v>
      </c>
      <c r="O62" s="350" t="str">
        <f t="shared" si="12"/>
        <v>X</v>
      </c>
      <c r="P62" s="350" t="str">
        <f t="shared" si="12"/>
        <v>X</v>
      </c>
      <c r="Q62" s="350" t="str">
        <f t="shared" si="12"/>
        <v>X</v>
      </c>
      <c r="R62" s="350" t="str">
        <f t="shared" si="12"/>
        <v>X</v>
      </c>
      <c r="S62" s="350" t="str">
        <f t="shared" si="12"/>
        <v>X</v>
      </c>
      <c r="T62" s="350" t="str">
        <f t="shared" si="12"/>
        <v>X</v>
      </c>
      <c r="U62" s="350" t="str">
        <f t="shared" si="12"/>
        <v>X</v>
      </c>
      <c r="V62" s="350" t="str">
        <f t="shared" si="12"/>
        <v>X</v>
      </c>
      <c r="W62" s="350" t="str">
        <f t="shared" si="11"/>
        <v>X</v>
      </c>
      <c r="X62" s="350" t="str">
        <f t="shared" si="11"/>
        <v>X</v>
      </c>
      <c r="Y62" s="350" t="str">
        <f t="shared" si="11"/>
        <v>X</v>
      </c>
      <c r="Z62" s="350" t="str">
        <f t="shared" si="11"/>
        <v>X</v>
      </c>
      <c r="AA62" s="350" t="str">
        <f t="shared" si="11"/>
        <v>X</v>
      </c>
      <c r="AB62" s="350" t="str">
        <f t="shared" si="11"/>
        <v>X</v>
      </c>
      <c r="AC62" s="350" t="str">
        <f t="shared" si="11"/>
        <v>X</v>
      </c>
      <c r="AD62" s="350" t="str">
        <f t="shared" si="11"/>
        <v>X</v>
      </c>
      <c r="AE62" s="350" t="str">
        <f t="shared" si="11"/>
        <v>X</v>
      </c>
      <c r="AF62" s="350" t="str">
        <f t="shared" si="11"/>
        <v>X</v>
      </c>
      <c r="AG62" s="350" t="str">
        <f t="shared" si="11"/>
        <v>X</v>
      </c>
      <c r="AH62" s="350" t="str">
        <f t="shared" si="11"/>
        <v>X</v>
      </c>
    </row>
    <row r="63" spans="1:34" x14ac:dyDescent="0.3">
      <c r="A63" s="364">
        <v>62</v>
      </c>
      <c r="B63" s="360" t="str">
        <f>'Valve Data'!B63</f>
        <v>Ball_valve</v>
      </c>
      <c r="C63" s="349" t="str">
        <f>'Valve Data'!C63</f>
        <v>CS-150#</v>
      </c>
      <c r="D63" s="353" t="str">
        <f>IF('Valve Data'!D63=0,"",'Valve Data'!D63)</f>
        <v>RB</v>
      </c>
      <c r="E63" s="20">
        <f>'Valve Data'!E63</f>
        <v>0.5</v>
      </c>
      <c r="F63" s="358">
        <f>'Valve Data'!F63</f>
        <v>1.5</v>
      </c>
      <c r="G63" s="356" t="str">
        <f t="shared" si="12"/>
        <v>Ball_valve.CS-150#.RB.0,5</v>
      </c>
      <c r="H63" s="350" t="str">
        <f t="shared" si="12"/>
        <v>Ball_valve.CS-150#.RB.0,75</v>
      </c>
      <c r="I63" s="350" t="str">
        <f t="shared" si="12"/>
        <v>Ball_valve.CS-150#.RB.1</v>
      </c>
      <c r="J63" s="350" t="str">
        <f t="shared" si="12"/>
        <v>Ball_valve.CS-150#.RB.1,5</v>
      </c>
      <c r="K63" s="350" t="str">
        <f t="shared" si="12"/>
        <v>X</v>
      </c>
      <c r="L63" s="350" t="str">
        <f t="shared" si="12"/>
        <v>X</v>
      </c>
      <c r="M63" s="350" t="str">
        <f t="shared" si="12"/>
        <v>X</v>
      </c>
      <c r="N63" s="350" t="str">
        <f t="shared" si="12"/>
        <v>X</v>
      </c>
      <c r="O63" s="350" t="str">
        <f t="shared" si="12"/>
        <v>X</v>
      </c>
      <c r="P63" s="350" t="str">
        <f t="shared" si="12"/>
        <v>X</v>
      </c>
      <c r="Q63" s="350" t="str">
        <f t="shared" si="12"/>
        <v>X</v>
      </c>
      <c r="R63" s="350" t="str">
        <f t="shared" si="12"/>
        <v>X</v>
      </c>
      <c r="S63" s="350" t="str">
        <f t="shared" si="12"/>
        <v>X</v>
      </c>
      <c r="T63" s="350" t="str">
        <f t="shared" si="12"/>
        <v>X</v>
      </c>
      <c r="U63" s="350" t="str">
        <f t="shared" si="12"/>
        <v>X</v>
      </c>
      <c r="V63" s="350" t="str">
        <f t="shared" si="12"/>
        <v>X</v>
      </c>
      <c r="W63" s="350" t="str">
        <f t="shared" si="11"/>
        <v>X</v>
      </c>
      <c r="X63" s="350" t="str">
        <f t="shared" si="11"/>
        <v>X</v>
      </c>
      <c r="Y63" s="350" t="str">
        <f t="shared" si="11"/>
        <v>X</v>
      </c>
      <c r="Z63" s="350" t="str">
        <f t="shared" si="11"/>
        <v>X</v>
      </c>
      <c r="AA63" s="350" t="str">
        <f t="shared" si="11"/>
        <v>X</v>
      </c>
      <c r="AB63" s="350" t="str">
        <f t="shared" si="11"/>
        <v>X</v>
      </c>
      <c r="AC63" s="350" t="str">
        <f t="shared" si="11"/>
        <v>X</v>
      </c>
      <c r="AD63" s="350" t="str">
        <f t="shared" si="11"/>
        <v>X</v>
      </c>
      <c r="AE63" s="350" t="str">
        <f t="shared" si="11"/>
        <v>X</v>
      </c>
      <c r="AF63" s="350" t="str">
        <f t="shared" si="11"/>
        <v>X</v>
      </c>
      <c r="AG63" s="350" t="str">
        <f t="shared" si="11"/>
        <v>X</v>
      </c>
      <c r="AH63" s="350" t="str">
        <f t="shared" si="11"/>
        <v>X</v>
      </c>
    </row>
    <row r="64" spans="1:34" x14ac:dyDescent="0.3">
      <c r="A64" s="364">
        <v>63</v>
      </c>
      <c r="B64" s="360" t="str">
        <f>'Valve Data'!B64</f>
        <v>Ball_valve</v>
      </c>
      <c r="C64" s="349" t="str">
        <f>'Valve Data'!C64</f>
        <v>CS-150#</v>
      </c>
      <c r="D64" s="353" t="str">
        <f>IF('Valve Data'!D64=0,"",'Valve Data'!D64)</f>
        <v>RB</v>
      </c>
      <c r="E64" s="20">
        <f>'Valve Data'!E64</f>
        <v>2</v>
      </c>
      <c r="F64" s="358">
        <f>'Valve Data'!F64</f>
        <v>6</v>
      </c>
      <c r="G64" s="356" t="str">
        <f t="shared" si="12"/>
        <v>X</v>
      </c>
      <c r="H64" s="350" t="str">
        <f t="shared" si="12"/>
        <v>X</v>
      </c>
      <c r="I64" s="350" t="str">
        <f t="shared" si="12"/>
        <v>X</v>
      </c>
      <c r="J64" s="350" t="str">
        <f t="shared" si="12"/>
        <v>X</v>
      </c>
      <c r="K64" s="350" t="str">
        <f t="shared" si="12"/>
        <v>Ball_valve.CS-150#.RB.2</v>
      </c>
      <c r="L64" s="350" t="str">
        <f t="shared" si="12"/>
        <v>Ball_valve.CS-150#.RB.2,5</v>
      </c>
      <c r="M64" s="350" t="str">
        <f t="shared" si="12"/>
        <v>Ball_valve.CS-150#.RB.3</v>
      </c>
      <c r="N64" s="350" t="str">
        <f t="shared" si="12"/>
        <v>Ball_valve.CS-150#.RB.4</v>
      </c>
      <c r="O64" s="350" t="str">
        <f t="shared" si="12"/>
        <v>Ball_valve.CS-150#.RB.5</v>
      </c>
      <c r="P64" s="350" t="str">
        <f t="shared" si="12"/>
        <v>Ball_valve.CS-150#.RB.6</v>
      </c>
      <c r="Q64" s="350" t="str">
        <f t="shared" si="12"/>
        <v>X</v>
      </c>
      <c r="R64" s="350" t="str">
        <f t="shared" si="12"/>
        <v>X</v>
      </c>
      <c r="S64" s="350" t="str">
        <f t="shared" si="12"/>
        <v>X</v>
      </c>
      <c r="T64" s="350" t="str">
        <f t="shared" si="12"/>
        <v>X</v>
      </c>
      <c r="U64" s="350" t="str">
        <f t="shared" si="12"/>
        <v>X</v>
      </c>
      <c r="V64" s="350" t="str">
        <f t="shared" si="12"/>
        <v>X</v>
      </c>
      <c r="W64" s="350" t="str">
        <f t="shared" si="11"/>
        <v>X</v>
      </c>
      <c r="X64" s="350" t="str">
        <f t="shared" si="11"/>
        <v>X</v>
      </c>
      <c r="Y64" s="350" t="str">
        <f t="shared" si="11"/>
        <v>X</v>
      </c>
      <c r="Z64" s="350" t="str">
        <f t="shared" si="11"/>
        <v>X</v>
      </c>
      <c r="AA64" s="350" t="str">
        <f t="shared" si="11"/>
        <v>X</v>
      </c>
      <c r="AB64" s="350" t="str">
        <f t="shared" si="11"/>
        <v>X</v>
      </c>
      <c r="AC64" s="350" t="str">
        <f t="shared" si="11"/>
        <v>X</v>
      </c>
      <c r="AD64" s="350" t="str">
        <f t="shared" si="11"/>
        <v>X</v>
      </c>
      <c r="AE64" s="350" t="str">
        <f t="shared" si="11"/>
        <v>X</v>
      </c>
      <c r="AF64" s="350" t="str">
        <f t="shared" si="11"/>
        <v>X</v>
      </c>
      <c r="AG64" s="350" t="str">
        <f t="shared" si="11"/>
        <v>X</v>
      </c>
      <c r="AH64" s="350" t="str">
        <f t="shared" si="11"/>
        <v>X</v>
      </c>
    </row>
    <row r="65" spans="1:34" x14ac:dyDescent="0.3">
      <c r="A65" s="364">
        <v>64</v>
      </c>
      <c r="B65" s="360" t="str">
        <f>'Valve Data'!B65</f>
        <v>Ball_valve</v>
      </c>
      <c r="C65" s="349" t="str">
        <f>'Valve Data'!C65</f>
        <v>CS-150#</v>
      </c>
      <c r="D65" s="353" t="str">
        <f>IF('Valve Data'!D65=0,"",'Valve Data'!D65)</f>
        <v>RB</v>
      </c>
      <c r="E65" s="20">
        <f>'Valve Data'!E65</f>
        <v>8</v>
      </c>
      <c r="F65" s="358">
        <f>'Valve Data'!F65</f>
        <v>24</v>
      </c>
      <c r="G65" s="356" t="str">
        <f t="shared" si="12"/>
        <v>X</v>
      </c>
      <c r="H65" s="350" t="str">
        <f t="shared" si="12"/>
        <v>X</v>
      </c>
      <c r="I65" s="350" t="str">
        <f t="shared" si="12"/>
        <v>X</v>
      </c>
      <c r="J65" s="350" t="str">
        <f t="shared" si="12"/>
        <v>X</v>
      </c>
      <c r="K65" s="350" t="str">
        <f t="shared" si="12"/>
        <v>X</v>
      </c>
      <c r="L65" s="350" t="str">
        <f t="shared" si="12"/>
        <v>X</v>
      </c>
      <c r="M65" s="350" t="str">
        <f t="shared" si="12"/>
        <v>X</v>
      </c>
      <c r="N65" s="350" t="str">
        <f t="shared" si="12"/>
        <v>X</v>
      </c>
      <c r="O65" s="350" t="str">
        <f t="shared" si="12"/>
        <v>X</v>
      </c>
      <c r="P65" s="350" t="str">
        <f t="shared" si="12"/>
        <v>X</v>
      </c>
      <c r="Q65" s="350" t="str">
        <f t="shared" si="12"/>
        <v>Ball_valve.CS-150#.RB.8</v>
      </c>
      <c r="R65" s="350" t="str">
        <f t="shared" si="12"/>
        <v>Ball_valve.CS-150#.RB.10</v>
      </c>
      <c r="S65" s="350" t="str">
        <f t="shared" si="12"/>
        <v>Ball_valve.CS-150#.RB.12</v>
      </c>
      <c r="T65" s="350" t="str">
        <f t="shared" si="12"/>
        <v>Ball_valve.CS-150#.RB.14</v>
      </c>
      <c r="U65" s="350" t="str">
        <f t="shared" si="12"/>
        <v>Ball_valve.CS-150#.RB.16</v>
      </c>
      <c r="V65" s="350" t="str">
        <f t="shared" si="12"/>
        <v>Ball_valve.CS-150#.RB.18</v>
      </c>
      <c r="W65" s="350" t="str">
        <f t="shared" si="11"/>
        <v>Ball_valve.CS-150#.RB.20</v>
      </c>
      <c r="X65" s="350" t="str">
        <f t="shared" si="11"/>
        <v>Ball_valve.CS-150#.RB.22</v>
      </c>
      <c r="Y65" s="350" t="str">
        <f t="shared" si="11"/>
        <v>Ball_valve.CS-150#.RB.24</v>
      </c>
      <c r="Z65" s="350" t="str">
        <f t="shared" si="11"/>
        <v>X</v>
      </c>
      <c r="AA65" s="350" t="str">
        <f t="shared" si="11"/>
        <v>X</v>
      </c>
      <c r="AB65" s="350" t="str">
        <f t="shared" si="11"/>
        <v>X</v>
      </c>
      <c r="AC65" s="350" t="str">
        <f t="shared" si="11"/>
        <v>X</v>
      </c>
      <c r="AD65" s="350" t="str">
        <f t="shared" si="11"/>
        <v>X</v>
      </c>
      <c r="AE65" s="350" t="str">
        <f t="shared" si="11"/>
        <v>X</v>
      </c>
      <c r="AF65" s="350" t="str">
        <f t="shared" si="11"/>
        <v>X</v>
      </c>
      <c r="AG65" s="350" t="str">
        <f t="shared" si="11"/>
        <v>X</v>
      </c>
      <c r="AH65" s="350" t="str">
        <f t="shared" si="11"/>
        <v>X</v>
      </c>
    </row>
    <row r="66" spans="1:34" x14ac:dyDescent="0.3">
      <c r="A66" s="364">
        <v>65</v>
      </c>
      <c r="B66" s="360">
        <f>'Valve Data'!B66</f>
        <v>0</v>
      </c>
      <c r="C66" s="349">
        <f>'Valve Data'!C66</f>
        <v>0</v>
      </c>
      <c r="D66" s="353" t="str">
        <f>IF('Valve Data'!D66=0,"",'Valve Data'!D66)</f>
        <v/>
      </c>
      <c r="E66" s="20">
        <f>'Valve Data'!E66</f>
        <v>0</v>
      </c>
      <c r="F66" s="358">
        <f>'Valve Data'!F66</f>
        <v>0</v>
      </c>
      <c r="G66" s="356" t="str">
        <f t="shared" si="12"/>
        <v>X</v>
      </c>
      <c r="H66" s="350" t="str">
        <f t="shared" si="12"/>
        <v>X</v>
      </c>
      <c r="I66" s="350" t="str">
        <f t="shared" si="12"/>
        <v>X</v>
      </c>
      <c r="J66" s="350" t="str">
        <f t="shared" si="12"/>
        <v>X</v>
      </c>
      <c r="K66" s="350" t="str">
        <f t="shared" si="12"/>
        <v>X</v>
      </c>
      <c r="L66" s="350" t="str">
        <f t="shared" si="12"/>
        <v>X</v>
      </c>
      <c r="M66" s="350" t="str">
        <f t="shared" si="12"/>
        <v>X</v>
      </c>
      <c r="N66" s="350" t="str">
        <f t="shared" si="12"/>
        <v>X</v>
      </c>
      <c r="O66" s="350" t="str">
        <f t="shared" si="12"/>
        <v>X</v>
      </c>
      <c r="P66" s="350" t="str">
        <f t="shared" si="12"/>
        <v>X</v>
      </c>
      <c r="Q66" s="350" t="str">
        <f t="shared" si="12"/>
        <v>X</v>
      </c>
      <c r="R66" s="350" t="str">
        <f t="shared" si="12"/>
        <v>X</v>
      </c>
      <c r="S66" s="350" t="str">
        <f t="shared" si="12"/>
        <v>X</v>
      </c>
      <c r="T66" s="350" t="str">
        <f t="shared" si="12"/>
        <v>X</v>
      </c>
      <c r="U66" s="350" t="str">
        <f t="shared" si="12"/>
        <v>X</v>
      </c>
      <c r="V66" s="350" t="str">
        <f t="shared" ref="V66:AH81" si="13">IF(AND($E66&lt;=V$1,$F66&gt;=V$1),CONCATENATE($B66,".",$C66,".",$D66,".",V$1),"X")</f>
        <v>X</v>
      </c>
      <c r="W66" s="350" t="str">
        <f t="shared" si="13"/>
        <v>X</v>
      </c>
      <c r="X66" s="350" t="str">
        <f t="shared" si="13"/>
        <v>X</v>
      </c>
      <c r="Y66" s="350" t="str">
        <f t="shared" si="13"/>
        <v>X</v>
      </c>
      <c r="Z66" s="350" t="str">
        <f t="shared" si="13"/>
        <v>X</v>
      </c>
      <c r="AA66" s="350" t="str">
        <f t="shared" si="13"/>
        <v>X</v>
      </c>
      <c r="AB66" s="350" t="str">
        <f t="shared" si="13"/>
        <v>X</v>
      </c>
      <c r="AC66" s="350" t="str">
        <f t="shared" si="13"/>
        <v>X</v>
      </c>
      <c r="AD66" s="350" t="str">
        <f t="shared" si="13"/>
        <v>X</v>
      </c>
      <c r="AE66" s="350" t="str">
        <f t="shared" si="13"/>
        <v>X</v>
      </c>
      <c r="AF66" s="350" t="str">
        <f t="shared" si="13"/>
        <v>X</v>
      </c>
      <c r="AG66" s="350" t="str">
        <f t="shared" si="13"/>
        <v>X</v>
      </c>
      <c r="AH66" s="350" t="str">
        <f t="shared" si="13"/>
        <v>X</v>
      </c>
    </row>
    <row r="67" spans="1:34" x14ac:dyDescent="0.3">
      <c r="A67" s="364">
        <v>66</v>
      </c>
      <c r="B67" s="360" t="str">
        <f>'Valve Data'!B67</f>
        <v>Gate_valve</v>
      </c>
      <c r="C67" s="349" t="str">
        <f>'Valve Data'!C67</f>
        <v>SS-900#</v>
      </c>
      <c r="D67" s="353" t="str">
        <f>IF('Valve Data'!D67=0,"",'Valve Data'!D67)</f>
        <v/>
      </c>
      <c r="E67" s="20">
        <f>'Valve Data'!E67</f>
        <v>0.5</v>
      </c>
      <c r="F67" s="358">
        <f>'Valve Data'!F67</f>
        <v>24</v>
      </c>
      <c r="G67" s="356" t="str">
        <f t="shared" ref="G67:V82" si="14">IF(AND($E67&lt;=G$1,$F67&gt;=G$1),CONCATENATE($B67,".",$C67,".",$D67,".",G$1),"X")</f>
        <v>Gate_valve.SS-900#..0,5</v>
      </c>
      <c r="H67" s="350" t="str">
        <f t="shared" si="14"/>
        <v>Gate_valve.SS-900#..0,75</v>
      </c>
      <c r="I67" s="350" t="str">
        <f t="shared" si="14"/>
        <v>Gate_valve.SS-900#..1</v>
      </c>
      <c r="J67" s="350" t="str">
        <f t="shared" si="14"/>
        <v>Gate_valve.SS-900#..1,5</v>
      </c>
      <c r="K67" s="350" t="str">
        <f t="shared" si="14"/>
        <v>Gate_valve.SS-900#..2</v>
      </c>
      <c r="L67" s="350" t="str">
        <f t="shared" si="14"/>
        <v>Gate_valve.SS-900#..2,5</v>
      </c>
      <c r="M67" s="350" t="str">
        <f t="shared" si="14"/>
        <v>Gate_valve.SS-900#..3</v>
      </c>
      <c r="N67" s="350" t="str">
        <f t="shared" si="14"/>
        <v>Gate_valve.SS-900#..4</v>
      </c>
      <c r="O67" s="350" t="str">
        <f t="shared" si="14"/>
        <v>Gate_valve.SS-900#..5</v>
      </c>
      <c r="P67" s="350" t="str">
        <f t="shared" si="14"/>
        <v>Gate_valve.SS-900#..6</v>
      </c>
      <c r="Q67" s="350" t="str">
        <f t="shared" si="14"/>
        <v>Gate_valve.SS-900#..8</v>
      </c>
      <c r="R67" s="350" t="str">
        <f t="shared" si="14"/>
        <v>Gate_valve.SS-900#..10</v>
      </c>
      <c r="S67" s="350" t="str">
        <f t="shared" si="14"/>
        <v>Gate_valve.SS-900#..12</v>
      </c>
      <c r="T67" s="350" t="str">
        <f t="shared" si="14"/>
        <v>Gate_valve.SS-900#..14</v>
      </c>
      <c r="U67" s="350" t="str">
        <f t="shared" si="14"/>
        <v>Gate_valve.SS-900#..16</v>
      </c>
      <c r="V67" s="350" t="str">
        <f t="shared" si="14"/>
        <v>Gate_valve.SS-900#..18</v>
      </c>
      <c r="W67" s="350" t="str">
        <f t="shared" si="13"/>
        <v>Gate_valve.SS-900#..20</v>
      </c>
      <c r="X67" s="350" t="str">
        <f t="shared" si="13"/>
        <v>Gate_valve.SS-900#..22</v>
      </c>
      <c r="Y67" s="350" t="str">
        <f t="shared" si="13"/>
        <v>Gate_valve.SS-900#..24</v>
      </c>
      <c r="Z67" s="350" t="str">
        <f t="shared" si="13"/>
        <v>X</v>
      </c>
      <c r="AA67" s="350" t="str">
        <f t="shared" si="13"/>
        <v>X</v>
      </c>
      <c r="AB67" s="350" t="str">
        <f t="shared" si="13"/>
        <v>X</v>
      </c>
      <c r="AC67" s="350" t="str">
        <f t="shared" si="13"/>
        <v>X</v>
      </c>
      <c r="AD67" s="350" t="str">
        <f t="shared" si="13"/>
        <v>X</v>
      </c>
      <c r="AE67" s="350" t="str">
        <f t="shared" si="13"/>
        <v>X</v>
      </c>
      <c r="AF67" s="350" t="str">
        <f t="shared" si="13"/>
        <v>X</v>
      </c>
      <c r="AG67" s="350" t="str">
        <f t="shared" si="13"/>
        <v>X</v>
      </c>
      <c r="AH67" s="350" t="str">
        <f t="shared" si="13"/>
        <v>X</v>
      </c>
    </row>
    <row r="68" spans="1:34" x14ac:dyDescent="0.3">
      <c r="A68" s="364">
        <v>67</v>
      </c>
      <c r="B68" s="360">
        <f>'Valve Data'!B68</f>
        <v>0</v>
      </c>
      <c r="C68" s="349">
        <f>'Valve Data'!C68</f>
        <v>0</v>
      </c>
      <c r="D68" s="353" t="str">
        <f>IF('Valve Data'!D68=0,"",'Valve Data'!D68)</f>
        <v/>
      </c>
      <c r="E68" s="20">
        <f>'Valve Data'!E68</f>
        <v>0</v>
      </c>
      <c r="F68" s="358">
        <f>'Valve Data'!F68</f>
        <v>0</v>
      </c>
      <c r="G68" s="356" t="str">
        <f t="shared" si="14"/>
        <v>X</v>
      </c>
      <c r="H68" s="350" t="str">
        <f t="shared" si="14"/>
        <v>X</v>
      </c>
      <c r="I68" s="350" t="str">
        <f t="shared" si="14"/>
        <v>X</v>
      </c>
      <c r="J68" s="350" t="str">
        <f t="shared" si="14"/>
        <v>X</v>
      </c>
      <c r="K68" s="350" t="str">
        <f t="shared" si="14"/>
        <v>X</v>
      </c>
      <c r="L68" s="350" t="str">
        <f t="shared" si="14"/>
        <v>X</v>
      </c>
      <c r="M68" s="350" t="str">
        <f t="shared" si="14"/>
        <v>X</v>
      </c>
      <c r="N68" s="350" t="str">
        <f t="shared" si="14"/>
        <v>X</v>
      </c>
      <c r="O68" s="350" t="str">
        <f t="shared" si="14"/>
        <v>X</v>
      </c>
      <c r="P68" s="350" t="str">
        <f t="shared" si="14"/>
        <v>X</v>
      </c>
      <c r="Q68" s="350" t="str">
        <f t="shared" si="14"/>
        <v>X</v>
      </c>
      <c r="R68" s="350" t="str">
        <f t="shared" si="14"/>
        <v>X</v>
      </c>
      <c r="S68" s="350" t="str">
        <f t="shared" si="14"/>
        <v>X</v>
      </c>
      <c r="T68" s="350" t="str">
        <f t="shared" si="14"/>
        <v>X</v>
      </c>
      <c r="U68" s="350" t="str">
        <f t="shared" si="14"/>
        <v>X</v>
      </c>
      <c r="V68" s="350" t="str">
        <f t="shared" si="14"/>
        <v>X</v>
      </c>
      <c r="W68" s="350" t="str">
        <f t="shared" si="13"/>
        <v>X</v>
      </c>
      <c r="X68" s="350" t="str">
        <f t="shared" si="13"/>
        <v>X</v>
      </c>
      <c r="Y68" s="350" t="str">
        <f t="shared" si="13"/>
        <v>X</v>
      </c>
      <c r="Z68" s="350" t="str">
        <f t="shared" si="13"/>
        <v>X</v>
      </c>
      <c r="AA68" s="350" t="str">
        <f t="shared" si="13"/>
        <v>X</v>
      </c>
      <c r="AB68" s="350" t="str">
        <f t="shared" si="13"/>
        <v>X</v>
      </c>
      <c r="AC68" s="350" t="str">
        <f t="shared" si="13"/>
        <v>X</v>
      </c>
      <c r="AD68" s="350" t="str">
        <f t="shared" si="13"/>
        <v>X</v>
      </c>
      <c r="AE68" s="350" t="str">
        <f t="shared" si="13"/>
        <v>X</v>
      </c>
      <c r="AF68" s="350" t="str">
        <f t="shared" si="13"/>
        <v>X</v>
      </c>
      <c r="AG68" s="350" t="str">
        <f t="shared" si="13"/>
        <v>X</v>
      </c>
      <c r="AH68" s="350" t="str">
        <f t="shared" si="13"/>
        <v>X</v>
      </c>
    </row>
    <row r="69" spans="1:34" x14ac:dyDescent="0.3">
      <c r="A69" s="364">
        <v>68</v>
      </c>
      <c r="B69" s="360">
        <f>'Valve Data'!B69</f>
        <v>0</v>
      </c>
      <c r="C69" s="349">
        <f>'Valve Data'!C69</f>
        <v>0</v>
      </c>
      <c r="D69" s="353" t="str">
        <f>IF('Valve Data'!D69=0,"",'Valve Data'!D69)</f>
        <v/>
      </c>
      <c r="E69" s="20">
        <f>'Valve Data'!E69</f>
        <v>0</v>
      </c>
      <c r="F69" s="358">
        <f>'Valve Data'!F69</f>
        <v>0</v>
      </c>
      <c r="G69" s="356" t="str">
        <f t="shared" si="14"/>
        <v>X</v>
      </c>
      <c r="H69" s="350" t="str">
        <f t="shared" si="14"/>
        <v>X</v>
      </c>
      <c r="I69" s="350" t="str">
        <f t="shared" si="14"/>
        <v>X</v>
      </c>
      <c r="J69" s="350" t="str">
        <f t="shared" si="14"/>
        <v>X</v>
      </c>
      <c r="K69" s="350" t="str">
        <f t="shared" si="14"/>
        <v>X</v>
      </c>
      <c r="L69" s="350" t="str">
        <f t="shared" si="14"/>
        <v>X</v>
      </c>
      <c r="M69" s="350" t="str">
        <f t="shared" si="14"/>
        <v>X</v>
      </c>
      <c r="N69" s="350" t="str">
        <f t="shared" si="14"/>
        <v>X</v>
      </c>
      <c r="O69" s="350" t="str">
        <f t="shared" si="14"/>
        <v>X</v>
      </c>
      <c r="P69" s="350" t="str">
        <f t="shared" si="14"/>
        <v>X</v>
      </c>
      <c r="Q69" s="350" t="str">
        <f t="shared" si="14"/>
        <v>X</v>
      </c>
      <c r="R69" s="350" t="str">
        <f t="shared" si="14"/>
        <v>X</v>
      </c>
      <c r="S69" s="350" t="str">
        <f t="shared" si="14"/>
        <v>X</v>
      </c>
      <c r="T69" s="350" t="str">
        <f t="shared" si="14"/>
        <v>X</v>
      </c>
      <c r="U69" s="350" t="str">
        <f t="shared" si="14"/>
        <v>X</v>
      </c>
      <c r="V69" s="350" t="str">
        <f t="shared" si="14"/>
        <v>X</v>
      </c>
      <c r="W69" s="350" t="str">
        <f t="shared" si="13"/>
        <v>X</v>
      </c>
      <c r="X69" s="350" t="str">
        <f t="shared" si="13"/>
        <v>X</v>
      </c>
      <c r="Y69" s="350" t="str">
        <f t="shared" si="13"/>
        <v>X</v>
      </c>
      <c r="Z69" s="350" t="str">
        <f t="shared" si="13"/>
        <v>X</v>
      </c>
      <c r="AA69" s="350" t="str">
        <f t="shared" si="13"/>
        <v>X</v>
      </c>
      <c r="AB69" s="350" t="str">
        <f t="shared" si="13"/>
        <v>X</v>
      </c>
      <c r="AC69" s="350" t="str">
        <f t="shared" si="13"/>
        <v>X</v>
      </c>
      <c r="AD69" s="350" t="str">
        <f t="shared" si="13"/>
        <v>X</v>
      </c>
      <c r="AE69" s="350" t="str">
        <f t="shared" si="13"/>
        <v>X</v>
      </c>
      <c r="AF69" s="350" t="str">
        <f t="shared" si="13"/>
        <v>X</v>
      </c>
      <c r="AG69" s="350" t="str">
        <f t="shared" si="13"/>
        <v>X</v>
      </c>
      <c r="AH69" s="350" t="str">
        <f t="shared" si="13"/>
        <v>X</v>
      </c>
    </row>
    <row r="70" spans="1:34" x14ac:dyDescent="0.3">
      <c r="A70" s="364">
        <v>69</v>
      </c>
      <c r="B70" s="360">
        <f>'Valve Data'!B70</f>
        <v>0</v>
      </c>
      <c r="C70" s="349">
        <f>'Valve Data'!C70</f>
        <v>0</v>
      </c>
      <c r="D70" s="353" t="str">
        <f>IF('Valve Data'!D70=0,"",'Valve Data'!D70)</f>
        <v/>
      </c>
      <c r="E70" s="20">
        <f>'Valve Data'!E70</f>
        <v>0</v>
      </c>
      <c r="F70" s="358">
        <f>'Valve Data'!F70</f>
        <v>0</v>
      </c>
      <c r="G70" s="356" t="str">
        <f t="shared" si="14"/>
        <v>X</v>
      </c>
      <c r="H70" s="350" t="str">
        <f t="shared" si="14"/>
        <v>X</v>
      </c>
      <c r="I70" s="350" t="str">
        <f t="shared" si="14"/>
        <v>X</v>
      </c>
      <c r="J70" s="350" t="str">
        <f t="shared" si="14"/>
        <v>X</v>
      </c>
      <c r="K70" s="350" t="str">
        <f t="shared" si="14"/>
        <v>X</v>
      </c>
      <c r="L70" s="350" t="str">
        <f t="shared" si="14"/>
        <v>X</v>
      </c>
      <c r="M70" s="350" t="str">
        <f t="shared" si="14"/>
        <v>X</v>
      </c>
      <c r="N70" s="350" t="str">
        <f t="shared" si="14"/>
        <v>X</v>
      </c>
      <c r="O70" s="350" t="str">
        <f t="shared" si="14"/>
        <v>X</v>
      </c>
      <c r="P70" s="350" t="str">
        <f t="shared" si="14"/>
        <v>X</v>
      </c>
      <c r="Q70" s="350" t="str">
        <f t="shared" si="14"/>
        <v>X</v>
      </c>
      <c r="R70" s="350" t="str">
        <f t="shared" si="14"/>
        <v>X</v>
      </c>
      <c r="S70" s="350" t="str">
        <f t="shared" si="14"/>
        <v>X</v>
      </c>
      <c r="T70" s="350" t="str">
        <f t="shared" si="14"/>
        <v>X</v>
      </c>
      <c r="U70" s="350" t="str">
        <f t="shared" si="14"/>
        <v>X</v>
      </c>
      <c r="V70" s="350" t="str">
        <f t="shared" si="14"/>
        <v>X</v>
      </c>
      <c r="W70" s="350" t="str">
        <f t="shared" si="13"/>
        <v>X</v>
      </c>
      <c r="X70" s="350" t="str">
        <f t="shared" si="13"/>
        <v>X</v>
      </c>
      <c r="Y70" s="350" t="str">
        <f t="shared" si="13"/>
        <v>X</v>
      </c>
      <c r="Z70" s="350" t="str">
        <f t="shared" si="13"/>
        <v>X</v>
      </c>
      <c r="AA70" s="350" t="str">
        <f t="shared" si="13"/>
        <v>X</v>
      </c>
      <c r="AB70" s="350" t="str">
        <f t="shared" si="13"/>
        <v>X</v>
      </c>
      <c r="AC70" s="350" t="str">
        <f t="shared" si="13"/>
        <v>X</v>
      </c>
      <c r="AD70" s="350" t="str">
        <f t="shared" si="13"/>
        <v>X</v>
      </c>
      <c r="AE70" s="350" t="str">
        <f t="shared" si="13"/>
        <v>X</v>
      </c>
      <c r="AF70" s="350" t="str">
        <f t="shared" si="13"/>
        <v>X</v>
      </c>
      <c r="AG70" s="350" t="str">
        <f t="shared" si="13"/>
        <v>X</v>
      </c>
      <c r="AH70" s="350" t="str">
        <f t="shared" si="13"/>
        <v>X</v>
      </c>
    </row>
    <row r="71" spans="1:34" x14ac:dyDescent="0.3">
      <c r="A71" s="364">
        <v>70</v>
      </c>
      <c r="B71" s="360">
        <f>'Valve Data'!B71</f>
        <v>0</v>
      </c>
      <c r="C71" s="349">
        <f>'Valve Data'!C71</f>
        <v>0</v>
      </c>
      <c r="D71" s="353" t="str">
        <f>IF('Valve Data'!D71=0,"",'Valve Data'!D71)</f>
        <v/>
      </c>
      <c r="E71" s="20">
        <f>'Valve Data'!E71</f>
        <v>0</v>
      </c>
      <c r="F71" s="358">
        <f>'Valve Data'!F71</f>
        <v>0</v>
      </c>
      <c r="G71" s="356" t="str">
        <f t="shared" si="14"/>
        <v>X</v>
      </c>
      <c r="H71" s="350" t="str">
        <f t="shared" si="14"/>
        <v>X</v>
      </c>
      <c r="I71" s="350" t="str">
        <f t="shared" si="14"/>
        <v>X</v>
      </c>
      <c r="J71" s="350" t="str">
        <f t="shared" si="14"/>
        <v>X</v>
      </c>
      <c r="K71" s="350" t="str">
        <f t="shared" si="14"/>
        <v>X</v>
      </c>
      <c r="L71" s="350" t="str">
        <f t="shared" si="14"/>
        <v>X</v>
      </c>
      <c r="M71" s="350" t="str">
        <f t="shared" si="14"/>
        <v>X</v>
      </c>
      <c r="N71" s="350" t="str">
        <f t="shared" si="14"/>
        <v>X</v>
      </c>
      <c r="O71" s="350" t="str">
        <f t="shared" si="14"/>
        <v>X</v>
      </c>
      <c r="P71" s="350" t="str">
        <f t="shared" si="14"/>
        <v>X</v>
      </c>
      <c r="Q71" s="350" t="str">
        <f t="shared" si="14"/>
        <v>X</v>
      </c>
      <c r="R71" s="350" t="str">
        <f t="shared" si="14"/>
        <v>X</v>
      </c>
      <c r="S71" s="350" t="str">
        <f t="shared" si="14"/>
        <v>X</v>
      </c>
      <c r="T71" s="350" t="str">
        <f t="shared" si="14"/>
        <v>X</v>
      </c>
      <c r="U71" s="350" t="str">
        <f t="shared" si="14"/>
        <v>X</v>
      </c>
      <c r="V71" s="350" t="str">
        <f t="shared" si="14"/>
        <v>X</v>
      </c>
      <c r="W71" s="350" t="str">
        <f t="shared" si="13"/>
        <v>X</v>
      </c>
      <c r="X71" s="350" t="str">
        <f t="shared" si="13"/>
        <v>X</v>
      </c>
      <c r="Y71" s="350" t="str">
        <f t="shared" si="13"/>
        <v>X</v>
      </c>
      <c r="Z71" s="350" t="str">
        <f t="shared" si="13"/>
        <v>X</v>
      </c>
      <c r="AA71" s="350" t="str">
        <f t="shared" si="13"/>
        <v>X</v>
      </c>
      <c r="AB71" s="350" t="str">
        <f t="shared" si="13"/>
        <v>X</v>
      </c>
      <c r="AC71" s="350" t="str">
        <f t="shared" si="13"/>
        <v>X</v>
      </c>
      <c r="AD71" s="350" t="str">
        <f t="shared" si="13"/>
        <v>X</v>
      </c>
      <c r="AE71" s="350" t="str">
        <f t="shared" si="13"/>
        <v>X</v>
      </c>
      <c r="AF71" s="350" t="str">
        <f t="shared" si="13"/>
        <v>X</v>
      </c>
      <c r="AG71" s="350" t="str">
        <f t="shared" si="13"/>
        <v>X</v>
      </c>
      <c r="AH71" s="350" t="str">
        <f t="shared" si="13"/>
        <v>X</v>
      </c>
    </row>
    <row r="72" spans="1:34" x14ac:dyDescent="0.3">
      <c r="A72" s="364">
        <v>71</v>
      </c>
      <c r="B72" s="360">
        <f>'Valve Data'!B72</f>
        <v>0</v>
      </c>
      <c r="C72" s="349">
        <f>'Valve Data'!C72</f>
        <v>0</v>
      </c>
      <c r="D72" s="353" t="str">
        <f>IF('Valve Data'!D72=0,"",'Valve Data'!D72)</f>
        <v/>
      </c>
      <c r="E72" s="20">
        <f>'Valve Data'!E72</f>
        <v>0</v>
      </c>
      <c r="F72" s="358">
        <f>'Valve Data'!F72</f>
        <v>0</v>
      </c>
      <c r="G72" s="356" t="str">
        <f t="shared" si="14"/>
        <v>X</v>
      </c>
      <c r="H72" s="350" t="str">
        <f t="shared" si="14"/>
        <v>X</v>
      </c>
      <c r="I72" s="350" t="str">
        <f t="shared" si="14"/>
        <v>X</v>
      </c>
      <c r="J72" s="350" t="str">
        <f t="shared" si="14"/>
        <v>X</v>
      </c>
      <c r="K72" s="350" t="str">
        <f t="shared" si="14"/>
        <v>X</v>
      </c>
      <c r="L72" s="350" t="str">
        <f t="shared" si="14"/>
        <v>X</v>
      </c>
      <c r="M72" s="350" t="str">
        <f t="shared" si="14"/>
        <v>X</v>
      </c>
      <c r="N72" s="350" t="str">
        <f t="shared" si="14"/>
        <v>X</v>
      </c>
      <c r="O72" s="350" t="str">
        <f t="shared" si="14"/>
        <v>X</v>
      </c>
      <c r="P72" s="350" t="str">
        <f t="shared" si="14"/>
        <v>X</v>
      </c>
      <c r="Q72" s="350" t="str">
        <f t="shared" si="14"/>
        <v>X</v>
      </c>
      <c r="R72" s="350" t="str">
        <f t="shared" si="14"/>
        <v>X</v>
      </c>
      <c r="S72" s="350" t="str">
        <f t="shared" si="14"/>
        <v>X</v>
      </c>
      <c r="T72" s="350" t="str">
        <f t="shared" si="14"/>
        <v>X</v>
      </c>
      <c r="U72" s="350" t="str">
        <f t="shared" si="14"/>
        <v>X</v>
      </c>
      <c r="V72" s="350" t="str">
        <f t="shared" si="14"/>
        <v>X</v>
      </c>
      <c r="W72" s="350" t="str">
        <f t="shared" si="13"/>
        <v>X</v>
      </c>
      <c r="X72" s="350" t="str">
        <f t="shared" si="13"/>
        <v>X</v>
      </c>
      <c r="Y72" s="350" t="str">
        <f t="shared" si="13"/>
        <v>X</v>
      </c>
      <c r="Z72" s="350" t="str">
        <f t="shared" si="13"/>
        <v>X</v>
      </c>
      <c r="AA72" s="350" t="str">
        <f t="shared" si="13"/>
        <v>X</v>
      </c>
      <c r="AB72" s="350" t="str">
        <f t="shared" si="13"/>
        <v>X</v>
      </c>
      <c r="AC72" s="350" t="str">
        <f t="shared" si="13"/>
        <v>X</v>
      </c>
      <c r="AD72" s="350" t="str">
        <f t="shared" si="13"/>
        <v>X</v>
      </c>
      <c r="AE72" s="350" t="str">
        <f t="shared" si="13"/>
        <v>X</v>
      </c>
      <c r="AF72" s="350" t="str">
        <f t="shared" si="13"/>
        <v>X</v>
      </c>
      <c r="AG72" s="350" t="str">
        <f t="shared" si="13"/>
        <v>X</v>
      </c>
      <c r="AH72" s="350" t="str">
        <f t="shared" si="13"/>
        <v>X</v>
      </c>
    </row>
    <row r="73" spans="1:34" x14ac:dyDescent="0.3">
      <c r="A73" s="364">
        <v>72</v>
      </c>
      <c r="B73" s="360">
        <f>'Valve Data'!B73</f>
        <v>0</v>
      </c>
      <c r="C73" s="349">
        <f>'Valve Data'!C73</f>
        <v>0</v>
      </c>
      <c r="D73" s="353" t="str">
        <f>IF('Valve Data'!D73=0,"",'Valve Data'!D73)</f>
        <v/>
      </c>
      <c r="E73" s="20">
        <f>'Valve Data'!E73</f>
        <v>0</v>
      </c>
      <c r="F73" s="358">
        <f>'Valve Data'!F73</f>
        <v>0</v>
      </c>
      <c r="G73" s="356" t="str">
        <f t="shared" si="14"/>
        <v>X</v>
      </c>
      <c r="H73" s="350" t="str">
        <f t="shared" si="14"/>
        <v>X</v>
      </c>
      <c r="I73" s="350" t="str">
        <f t="shared" si="14"/>
        <v>X</v>
      </c>
      <c r="J73" s="350" t="str">
        <f t="shared" si="14"/>
        <v>X</v>
      </c>
      <c r="K73" s="350" t="str">
        <f t="shared" si="14"/>
        <v>X</v>
      </c>
      <c r="L73" s="350" t="str">
        <f t="shared" si="14"/>
        <v>X</v>
      </c>
      <c r="M73" s="350" t="str">
        <f t="shared" si="14"/>
        <v>X</v>
      </c>
      <c r="N73" s="350" t="str">
        <f t="shared" si="14"/>
        <v>X</v>
      </c>
      <c r="O73" s="350" t="str">
        <f t="shared" si="14"/>
        <v>X</v>
      </c>
      <c r="P73" s="350" t="str">
        <f t="shared" si="14"/>
        <v>X</v>
      </c>
      <c r="Q73" s="350" t="str">
        <f t="shared" si="14"/>
        <v>X</v>
      </c>
      <c r="R73" s="350" t="str">
        <f t="shared" si="14"/>
        <v>X</v>
      </c>
      <c r="S73" s="350" t="str">
        <f t="shared" si="14"/>
        <v>X</v>
      </c>
      <c r="T73" s="350" t="str">
        <f t="shared" si="14"/>
        <v>X</v>
      </c>
      <c r="U73" s="350" t="str">
        <f t="shared" si="14"/>
        <v>X</v>
      </c>
      <c r="V73" s="350" t="str">
        <f t="shared" si="14"/>
        <v>X</v>
      </c>
      <c r="W73" s="350" t="str">
        <f t="shared" si="13"/>
        <v>X</v>
      </c>
      <c r="X73" s="350" t="str">
        <f t="shared" si="13"/>
        <v>X</v>
      </c>
      <c r="Y73" s="350" t="str">
        <f t="shared" si="13"/>
        <v>X</v>
      </c>
      <c r="Z73" s="350" t="str">
        <f t="shared" si="13"/>
        <v>X</v>
      </c>
      <c r="AA73" s="350" t="str">
        <f t="shared" si="13"/>
        <v>X</v>
      </c>
      <c r="AB73" s="350" t="str">
        <f t="shared" si="13"/>
        <v>X</v>
      </c>
      <c r="AC73" s="350" t="str">
        <f t="shared" si="13"/>
        <v>X</v>
      </c>
      <c r="AD73" s="350" t="str">
        <f t="shared" si="13"/>
        <v>X</v>
      </c>
      <c r="AE73" s="350" t="str">
        <f t="shared" si="13"/>
        <v>X</v>
      </c>
      <c r="AF73" s="350" t="str">
        <f t="shared" si="13"/>
        <v>X</v>
      </c>
      <c r="AG73" s="350" t="str">
        <f t="shared" si="13"/>
        <v>X</v>
      </c>
      <c r="AH73" s="350" t="str">
        <f t="shared" si="13"/>
        <v>X</v>
      </c>
    </row>
    <row r="74" spans="1:34" x14ac:dyDescent="0.3">
      <c r="A74" s="364">
        <v>73</v>
      </c>
      <c r="B74" s="360">
        <f>'Valve Data'!B74</f>
        <v>0</v>
      </c>
      <c r="C74" s="349">
        <f>'Valve Data'!C74</f>
        <v>0</v>
      </c>
      <c r="D74" s="353" t="str">
        <f>IF('Valve Data'!D74=0,"",'Valve Data'!D74)</f>
        <v/>
      </c>
      <c r="E74" s="20">
        <f>'Valve Data'!E74</f>
        <v>0</v>
      </c>
      <c r="F74" s="358">
        <f>'Valve Data'!F74</f>
        <v>0</v>
      </c>
      <c r="G74" s="356" t="str">
        <f t="shared" si="14"/>
        <v>X</v>
      </c>
      <c r="H74" s="350" t="str">
        <f t="shared" si="14"/>
        <v>X</v>
      </c>
      <c r="I74" s="350" t="str">
        <f t="shared" si="14"/>
        <v>X</v>
      </c>
      <c r="J74" s="350" t="str">
        <f t="shared" si="14"/>
        <v>X</v>
      </c>
      <c r="K74" s="350" t="str">
        <f t="shared" si="14"/>
        <v>X</v>
      </c>
      <c r="L74" s="350" t="str">
        <f t="shared" si="14"/>
        <v>X</v>
      </c>
      <c r="M74" s="350" t="str">
        <f t="shared" si="14"/>
        <v>X</v>
      </c>
      <c r="N74" s="350" t="str">
        <f t="shared" si="14"/>
        <v>X</v>
      </c>
      <c r="O74" s="350" t="str">
        <f t="shared" si="14"/>
        <v>X</v>
      </c>
      <c r="P74" s="350" t="str">
        <f t="shared" si="14"/>
        <v>X</v>
      </c>
      <c r="Q74" s="350" t="str">
        <f t="shared" si="14"/>
        <v>X</v>
      </c>
      <c r="R74" s="350" t="str">
        <f t="shared" si="14"/>
        <v>X</v>
      </c>
      <c r="S74" s="350" t="str">
        <f t="shared" si="14"/>
        <v>X</v>
      </c>
      <c r="T74" s="350" t="str">
        <f t="shared" si="14"/>
        <v>X</v>
      </c>
      <c r="U74" s="350" t="str">
        <f t="shared" si="14"/>
        <v>X</v>
      </c>
      <c r="V74" s="350" t="str">
        <f t="shared" si="14"/>
        <v>X</v>
      </c>
      <c r="W74" s="350" t="str">
        <f t="shared" si="13"/>
        <v>X</v>
      </c>
      <c r="X74" s="350" t="str">
        <f t="shared" si="13"/>
        <v>X</v>
      </c>
      <c r="Y74" s="350" t="str">
        <f t="shared" si="13"/>
        <v>X</v>
      </c>
      <c r="Z74" s="350" t="str">
        <f t="shared" si="13"/>
        <v>X</v>
      </c>
      <c r="AA74" s="350" t="str">
        <f t="shared" si="13"/>
        <v>X</v>
      </c>
      <c r="AB74" s="350" t="str">
        <f t="shared" si="13"/>
        <v>X</v>
      </c>
      <c r="AC74" s="350" t="str">
        <f t="shared" si="13"/>
        <v>X</v>
      </c>
      <c r="AD74" s="350" t="str">
        <f t="shared" si="13"/>
        <v>X</v>
      </c>
      <c r="AE74" s="350" t="str">
        <f t="shared" si="13"/>
        <v>X</v>
      </c>
      <c r="AF74" s="350" t="str">
        <f t="shared" si="13"/>
        <v>X</v>
      </c>
      <c r="AG74" s="350" t="str">
        <f t="shared" si="13"/>
        <v>X</v>
      </c>
      <c r="AH74" s="350" t="str">
        <f t="shared" si="13"/>
        <v>X</v>
      </c>
    </row>
    <row r="75" spans="1:34" x14ac:dyDescent="0.3">
      <c r="A75" s="364">
        <v>74</v>
      </c>
      <c r="B75" s="360">
        <f>'Valve Data'!B75</f>
        <v>0</v>
      </c>
      <c r="C75" s="349">
        <f>'Valve Data'!C75</f>
        <v>0</v>
      </c>
      <c r="D75" s="353" t="str">
        <f>IF('Valve Data'!D75=0,"",'Valve Data'!D75)</f>
        <v/>
      </c>
      <c r="E75" s="20">
        <f>'Valve Data'!E75</f>
        <v>0</v>
      </c>
      <c r="F75" s="358">
        <f>'Valve Data'!F75</f>
        <v>0</v>
      </c>
      <c r="G75" s="356" t="str">
        <f t="shared" si="14"/>
        <v>X</v>
      </c>
      <c r="H75" s="350" t="str">
        <f t="shared" si="14"/>
        <v>X</v>
      </c>
      <c r="I75" s="350" t="str">
        <f t="shared" si="14"/>
        <v>X</v>
      </c>
      <c r="J75" s="350" t="str">
        <f t="shared" si="14"/>
        <v>X</v>
      </c>
      <c r="K75" s="350" t="str">
        <f t="shared" si="14"/>
        <v>X</v>
      </c>
      <c r="L75" s="350" t="str">
        <f t="shared" si="14"/>
        <v>X</v>
      </c>
      <c r="M75" s="350" t="str">
        <f t="shared" si="14"/>
        <v>X</v>
      </c>
      <c r="N75" s="350" t="str">
        <f t="shared" si="14"/>
        <v>X</v>
      </c>
      <c r="O75" s="350" t="str">
        <f t="shared" si="14"/>
        <v>X</v>
      </c>
      <c r="P75" s="350" t="str">
        <f t="shared" si="14"/>
        <v>X</v>
      </c>
      <c r="Q75" s="350" t="str">
        <f t="shared" si="14"/>
        <v>X</v>
      </c>
      <c r="R75" s="350" t="str">
        <f t="shared" si="14"/>
        <v>X</v>
      </c>
      <c r="S75" s="350" t="str">
        <f t="shared" si="14"/>
        <v>X</v>
      </c>
      <c r="T75" s="350" t="str">
        <f t="shared" si="14"/>
        <v>X</v>
      </c>
      <c r="U75" s="350" t="str">
        <f t="shared" si="14"/>
        <v>X</v>
      </c>
      <c r="V75" s="350" t="str">
        <f t="shared" si="14"/>
        <v>X</v>
      </c>
      <c r="W75" s="350" t="str">
        <f t="shared" si="13"/>
        <v>X</v>
      </c>
      <c r="X75" s="350" t="str">
        <f t="shared" si="13"/>
        <v>X</v>
      </c>
      <c r="Y75" s="350" t="str">
        <f t="shared" si="13"/>
        <v>X</v>
      </c>
      <c r="Z75" s="350" t="str">
        <f t="shared" si="13"/>
        <v>X</v>
      </c>
      <c r="AA75" s="350" t="str">
        <f t="shared" si="13"/>
        <v>X</v>
      </c>
      <c r="AB75" s="350" t="str">
        <f t="shared" si="13"/>
        <v>X</v>
      </c>
      <c r="AC75" s="350" t="str">
        <f t="shared" si="13"/>
        <v>X</v>
      </c>
      <c r="AD75" s="350" t="str">
        <f t="shared" si="13"/>
        <v>X</v>
      </c>
      <c r="AE75" s="350" t="str">
        <f t="shared" si="13"/>
        <v>X</v>
      </c>
      <c r="AF75" s="350" t="str">
        <f t="shared" si="13"/>
        <v>X</v>
      </c>
      <c r="AG75" s="350" t="str">
        <f t="shared" si="13"/>
        <v>X</v>
      </c>
      <c r="AH75" s="350" t="str">
        <f t="shared" si="13"/>
        <v>X</v>
      </c>
    </row>
    <row r="76" spans="1:34" x14ac:dyDescent="0.3">
      <c r="A76" s="364">
        <v>75</v>
      </c>
      <c r="B76" s="360">
        <f>'Valve Data'!B76</f>
        <v>0</v>
      </c>
      <c r="C76" s="349">
        <f>'Valve Data'!C76</f>
        <v>0</v>
      </c>
      <c r="D76" s="353" t="str">
        <f>IF('Valve Data'!D76=0,"",'Valve Data'!D76)</f>
        <v/>
      </c>
      <c r="E76" s="20">
        <f>'Valve Data'!E76</f>
        <v>0</v>
      </c>
      <c r="F76" s="358">
        <f>'Valve Data'!F76</f>
        <v>0</v>
      </c>
      <c r="G76" s="356" t="str">
        <f t="shared" si="14"/>
        <v>X</v>
      </c>
      <c r="H76" s="350" t="str">
        <f t="shared" si="14"/>
        <v>X</v>
      </c>
      <c r="I76" s="350" t="str">
        <f t="shared" si="14"/>
        <v>X</v>
      </c>
      <c r="J76" s="350" t="str">
        <f t="shared" si="14"/>
        <v>X</v>
      </c>
      <c r="K76" s="350" t="str">
        <f t="shared" si="14"/>
        <v>X</v>
      </c>
      <c r="L76" s="350" t="str">
        <f t="shared" si="14"/>
        <v>X</v>
      </c>
      <c r="M76" s="350" t="str">
        <f t="shared" si="14"/>
        <v>X</v>
      </c>
      <c r="N76" s="350" t="str">
        <f t="shared" si="14"/>
        <v>X</v>
      </c>
      <c r="O76" s="350" t="str">
        <f t="shared" si="14"/>
        <v>X</v>
      </c>
      <c r="P76" s="350" t="str">
        <f t="shared" si="14"/>
        <v>X</v>
      </c>
      <c r="Q76" s="350" t="str">
        <f t="shared" si="14"/>
        <v>X</v>
      </c>
      <c r="R76" s="350" t="str">
        <f t="shared" si="14"/>
        <v>X</v>
      </c>
      <c r="S76" s="350" t="str">
        <f t="shared" si="14"/>
        <v>X</v>
      </c>
      <c r="T76" s="350" t="str">
        <f t="shared" si="14"/>
        <v>X</v>
      </c>
      <c r="U76" s="350" t="str">
        <f t="shared" si="14"/>
        <v>X</v>
      </c>
      <c r="V76" s="350" t="str">
        <f t="shared" si="14"/>
        <v>X</v>
      </c>
      <c r="W76" s="350" t="str">
        <f t="shared" si="13"/>
        <v>X</v>
      </c>
      <c r="X76" s="350" t="str">
        <f t="shared" si="13"/>
        <v>X</v>
      </c>
      <c r="Y76" s="350" t="str">
        <f t="shared" si="13"/>
        <v>X</v>
      </c>
      <c r="Z76" s="350" t="str">
        <f t="shared" si="13"/>
        <v>X</v>
      </c>
      <c r="AA76" s="350" t="str">
        <f t="shared" si="13"/>
        <v>X</v>
      </c>
      <c r="AB76" s="350" t="str">
        <f t="shared" si="13"/>
        <v>X</v>
      </c>
      <c r="AC76" s="350" t="str">
        <f t="shared" si="13"/>
        <v>X</v>
      </c>
      <c r="AD76" s="350" t="str">
        <f t="shared" si="13"/>
        <v>X</v>
      </c>
      <c r="AE76" s="350" t="str">
        <f t="shared" si="13"/>
        <v>X</v>
      </c>
      <c r="AF76" s="350" t="str">
        <f t="shared" si="13"/>
        <v>X</v>
      </c>
      <c r="AG76" s="350" t="str">
        <f t="shared" si="13"/>
        <v>X</v>
      </c>
      <c r="AH76" s="350" t="str">
        <f t="shared" si="13"/>
        <v>X</v>
      </c>
    </row>
    <row r="77" spans="1:34" x14ac:dyDescent="0.3">
      <c r="A77" s="364">
        <v>76</v>
      </c>
      <c r="B77" s="360">
        <f>'Valve Data'!B77</f>
        <v>0</v>
      </c>
      <c r="C77" s="349">
        <f>'Valve Data'!C77</f>
        <v>0</v>
      </c>
      <c r="D77" s="353" t="str">
        <f>IF('Valve Data'!D77=0,"",'Valve Data'!D77)</f>
        <v/>
      </c>
      <c r="E77" s="20">
        <f>'Valve Data'!E77</f>
        <v>0</v>
      </c>
      <c r="F77" s="358">
        <f>'Valve Data'!F77</f>
        <v>0</v>
      </c>
      <c r="G77" s="356" t="str">
        <f t="shared" si="14"/>
        <v>X</v>
      </c>
      <c r="H77" s="350" t="str">
        <f t="shared" si="14"/>
        <v>X</v>
      </c>
      <c r="I77" s="350" t="str">
        <f t="shared" si="14"/>
        <v>X</v>
      </c>
      <c r="J77" s="350" t="str">
        <f t="shared" si="14"/>
        <v>X</v>
      </c>
      <c r="K77" s="350" t="str">
        <f t="shared" si="14"/>
        <v>X</v>
      </c>
      <c r="L77" s="350" t="str">
        <f t="shared" si="14"/>
        <v>X</v>
      </c>
      <c r="M77" s="350" t="str">
        <f t="shared" si="14"/>
        <v>X</v>
      </c>
      <c r="N77" s="350" t="str">
        <f t="shared" si="14"/>
        <v>X</v>
      </c>
      <c r="O77" s="350" t="str">
        <f t="shared" si="14"/>
        <v>X</v>
      </c>
      <c r="P77" s="350" t="str">
        <f t="shared" si="14"/>
        <v>X</v>
      </c>
      <c r="Q77" s="350" t="str">
        <f t="shared" si="14"/>
        <v>X</v>
      </c>
      <c r="R77" s="350" t="str">
        <f t="shared" si="14"/>
        <v>X</v>
      </c>
      <c r="S77" s="350" t="str">
        <f t="shared" si="14"/>
        <v>X</v>
      </c>
      <c r="T77" s="350" t="str">
        <f t="shared" si="14"/>
        <v>X</v>
      </c>
      <c r="U77" s="350" t="str">
        <f t="shared" si="14"/>
        <v>X</v>
      </c>
      <c r="V77" s="350" t="str">
        <f t="shared" si="14"/>
        <v>X</v>
      </c>
      <c r="W77" s="350" t="str">
        <f t="shared" si="13"/>
        <v>X</v>
      </c>
      <c r="X77" s="350" t="str">
        <f t="shared" si="13"/>
        <v>X</v>
      </c>
      <c r="Y77" s="350" t="str">
        <f t="shared" si="13"/>
        <v>X</v>
      </c>
      <c r="Z77" s="350" t="str">
        <f t="shared" si="13"/>
        <v>X</v>
      </c>
      <c r="AA77" s="350" t="str">
        <f t="shared" si="13"/>
        <v>X</v>
      </c>
      <c r="AB77" s="350" t="str">
        <f t="shared" si="13"/>
        <v>X</v>
      </c>
      <c r="AC77" s="350" t="str">
        <f t="shared" si="13"/>
        <v>X</v>
      </c>
      <c r="AD77" s="350" t="str">
        <f t="shared" si="13"/>
        <v>X</v>
      </c>
      <c r="AE77" s="350" t="str">
        <f t="shared" si="13"/>
        <v>X</v>
      </c>
      <c r="AF77" s="350" t="str">
        <f t="shared" si="13"/>
        <v>X</v>
      </c>
      <c r="AG77" s="350" t="str">
        <f t="shared" si="13"/>
        <v>X</v>
      </c>
      <c r="AH77" s="350" t="str">
        <f t="shared" si="13"/>
        <v>X</v>
      </c>
    </row>
    <row r="78" spans="1:34" x14ac:dyDescent="0.3">
      <c r="A78" s="364">
        <v>77</v>
      </c>
      <c r="B78" s="360">
        <f>'Valve Data'!B78</f>
        <v>0</v>
      </c>
      <c r="C78" s="349">
        <f>'Valve Data'!C78</f>
        <v>0</v>
      </c>
      <c r="D78" s="353" t="str">
        <f>IF('Valve Data'!D78=0,"",'Valve Data'!D78)</f>
        <v/>
      </c>
      <c r="E78" s="20">
        <f>'Valve Data'!E78</f>
        <v>0</v>
      </c>
      <c r="F78" s="358">
        <f>'Valve Data'!F78</f>
        <v>0</v>
      </c>
      <c r="G78" s="356" t="str">
        <f t="shared" si="14"/>
        <v>X</v>
      </c>
      <c r="H78" s="350" t="str">
        <f t="shared" si="14"/>
        <v>X</v>
      </c>
      <c r="I78" s="350" t="str">
        <f t="shared" si="14"/>
        <v>X</v>
      </c>
      <c r="J78" s="350" t="str">
        <f t="shared" si="14"/>
        <v>X</v>
      </c>
      <c r="K78" s="350" t="str">
        <f t="shared" si="14"/>
        <v>X</v>
      </c>
      <c r="L78" s="350" t="str">
        <f t="shared" si="14"/>
        <v>X</v>
      </c>
      <c r="M78" s="350" t="str">
        <f t="shared" si="14"/>
        <v>X</v>
      </c>
      <c r="N78" s="350" t="str">
        <f t="shared" si="14"/>
        <v>X</v>
      </c>
      <c r="O78" s="350" t="str">
        <f t="shared" si="14"/>
        <v>X</v>
      </c>
      <c r="P78" s="350" t="str">
        <f t="shared" si="14"/>
        <v>X</v>
      </c>
      <c r="Q78" s="350" t="str">
        <f t="shared" si="14"/>
        <v>X</v>
      </c>
      <c r="R78" s="350" t="str">
        <f t="shared" si="14"/>
        <v>X</v>
      </c>
      <c r="S78" s="350" t="str">
        <f t="shared" si="14"/>
        <v>X</v>
      </c>
      <c r="T78" s="350" t="str">
        <f t="shared" si="14"/>
        <v>X</v>
      </c>
      <c r="U78" s="350" t="str">
        <f t="shared" si="14"/>
        <v>X</v>
      </c>
      <c r="V78" s="350" t="str">
        <f t="shared" si="14"/>
        <v>X</v>
      </c>
      <c r="W78" s="350" t="str">
        <f t="shared" si="13"/>
        <v>X</v>
      </c>
      <c r="X78" s="350" t="str">
        <f t="shared" si="13"/>
        <v>X</v>
      </c>
      <c r="Y78" s="350" t="str">
        <f t="shared" si="13"/>
        <v>X</v>
      </c>
      <c r="Z78" s="350" t="str">
        <f t="shared" si="13"/>
        <v>X</v>
      </c>
      <c r="AA78" s="350" t="str">
        <f t="shared" si="13"/>
        <v>X</v>
      </c>
      <c r="AB78" s="350" t="str">
        <f t="shared" si="13"/>
        <v>X</v>
      </c>
      <c r="AC78" s="350" t="str">
        <f t="shared" si="13"/>
        <v>X</v>
      </c>
      <c r="AD78" s="350" t="str">
        <f t="shared" si="13"/>
        <v>X</v>
      </c>
      <c r="AE78" s="350" t="str">
        <f t="shared" si="13"/>
        <v>X</v>
      </c>
      <c r="AF78" s="350" t="str">
        <f t="shared" si="13"/>
        <v>X</v>
      </c>
      <c r="AG78" s="350" t="str">
        <f t="shared" si="13"/>
        <v>X</v>
      </c>
      <c r="AH78" s="350" t="str">
        <f t="shared" si="13"/>
        <v>X</v>
      </c>
    </row>
    <row r="79" spans="1:34" x14ac:dyDescent="0.3">
      <c r="A79" s="364">
        <v>78</v>
      </c>
      <c r="B79" s="360">
        <f>'Valve Data'!B79</f>
        <v>0</v>
      </c>
      <c r="C79" s="349">
        <f>'Valve Data'!C79</f>
        <v>0</v>
      </c>
      <c r="D79" s="353" t="str">
        <f>IF('Valve Data'!D79=0,"",'Valve Data'!D79)</f>
        <v/>
      </c>
      <c r="E79" s="20">
        <f>'Valve Data'!E79</f>
        <v>0</v>
      </c>
      <c r="F79" s="358">
        <f>'Valve Data'!F79</f>
        <v>0</v>
      </c>
      <c r="G79" s="356" t="str">
        <f t="shared" si="14"/>
        <v>X</v>
      </c>
      <c r="H79" s="350" t="str">
        <f t="shared" si="14"/>
        <v>X</v>
      </c>
      <c r="I79" s="350" t="str">
        <f t="shared" si="14"/>
        <v>X</v>
      </c>
      <c r="J79" s="350" t="str">
        <f t="shared" si="14"/>
        <v>X</v>
      </c>
      <c r="K79" s="350" t="str">
        <f t="shared" si="14"/>
        <v>X</v>
      </c>
      <c r="L79" s="350" t="str">
        <f t="shared" si="14"/>
        <v>X</v>
      </c>
      <c r="M79" s="350" t="str">
        <f t="shared" si="14"/>
        <v>X</v>
      </c>
      <c r="N79" s="350" t="str">
        <f t="shared" si="14"/>
        <v>X</v>
      </c>
      <c r="O79" s="350" t="str">
        <f t="shared" si="14"/>
        <v>X</v>
      </c>
      <c r="P79" s="350" t="str">
        <f t="shared" si="14"/>
        <v>X</v>
      </c>
      <c r="Q79" s="350" t="str">
        <f t="shared" si="14"/>
        <v>X</v>
      </c>
      <c r="R79" s="350" t="str">
        <f t="shared" si="14"/>
        <v>X</v>
      </c>
      <c r="S79" s="350" t="str">
        <f t="shared" si="14"/>
        <v>X</v>
      </c>
      <c r="T79" s="350" t="str">
        <f t="shared" si="14"/>
        <v>X</v>
      </c>
      <c r="U79" s="350" t="str">
        <f t="shared" si="14"/>
        <v>X</v>
      </c>
      <c r="V79" s="350" t="str">
        <f t="shared" si="14"/>
        <v>X</v>
      </c>
      <c r="W79" s="350" t="str">
        <f t="shared" si="13"/>
        <v>X</v>
      </c>
      <c r="X79" s="350" t="str">
        <f t="shared" si="13"/>
        <v>X</v>
      </c>
      <c r="Y79" s="350" t="str">
        <f t="shared" si="13"/>
        <v>X</v>
      </c>
      <c r="Z79" s="350" t="str">
        <f t="shared" si="13"/>
        <v>X</v>
      </c>
      <c r="AA79" s="350" t="str">
        <f t="shared" si="13"/>
        <v>X</v>
      </c>
      <c r="AB79" s="350" t="str">
        <f t="shared" si="13"/>
        <v>X</v>
      </c>
      <c r="AC79" s="350" t="str">
        <f t="shared" si="13"/>
        <v>X</v>
      </c>
      <c r="AD79" s="350" t="str">
        <f t="shared" si="13"/>
        <v>X</v>
      </c>
      <c r="AE79" s="350" t="str">
        <f t="shared" si="13"/>
        <v>X</v>
      </c>
      <c r="AF79" s="350" t="str">
        <f t="shared" si="13"/>
        <v>X</v>
      </c>
      <c r="AG79" s="350" t="str">
        <f t="shared" si="13"/>
        <v>X</v>
      </c>
      <c r="AH79" s="350" t="str">
        <f t="shared" si="13"/>
        <v>X</v>
      </c>
    </row>
    <row r="80" spans="1:34" x14ac:dyDescent="0.3">
      <c r="A80" s="364">
        <v>79</v>
      </c>
      <c r="B80" s="360">
        <f>'Valve Data'!B80</f>
        <v>0</v>
      </c>
      <c r="C80" s="349">
        <f>'Valve Data'!C80</f>
        <v>0</v>
      </c>
      <c r="D80" s="353" t="str">
        <f>IF('Valve Data'!D80=0,"",'Valve Data'!D80)</f>
        <v/>
      </c>
      <c r="E80" s="20">
        <f>'Valve Data'!E80</f>
        <v>0</v>
      </c>
      <c r="F80" s="358">
        <f>'Valve Data'!F80</f>
        <v>0</v>
      </c>
      <c r="G80" s="356" t="str">
        <f t="shared" si="14"/>
        <v>X</v>
      </c>
      <c r="H80" s="350" t="str">
        <f t="shared" si="14"/>
        <v>X</v>
      </c>
      <c r="I80" s="350" t="str">
        <f t="shared" si="14"/>
        <v>X</v>
      </c>
      <c r="J80" s="350" t="str">
        <f t="shared" si="14"/>
        <v>X</v>
      </c>
      <c r="K80" s="350" t="str">
        <f t="shared" si="14"/>
        <v>X</v>
      </c>
      <c r="L80" s="350" t="str">
        <f t="shared" si="14"/>
        <v>X</v>
      </c>
      <c r="M80" s="350" t="str">
        <f t="shared" si="14"/>
        <v>X</v>
      </c>
      <c r="N80" s="350" t="str">
        <f t="shared" si="14"/>
        <v>X</v>
      </c>
      <c r="O80" s="350" t="str">
        <f t="shared" si="14"/>
        <v>X</v>
      </c>
      <c r="P80" s="350" t="str">
        <f t="shared" si="14"/>
        <v>X</v>
      </c>
      <c r="Q80" s="350" t="str">
        <f t="shared" si="14"/>
        <v>X</v>
      </c>
      <c r="R80" s="350" t="str">
        <f t="shared" si="14"/>
        <v>X</v>
      </c>
      <c r="S80" s="350" t="str">
        <f t="shared" si="14"/>
        <v>X</v>
      </c>
      <c r="T80" s="350" t="str">
        <f t="shared" si="14"/>
        <v>X</v>
      </c>
      <c r="U80" s="350" t="str">
        <f t="shared" si="14"/>
        <v>X</v>
      </c>
      <c r="V80" s="350" t="str">
        <f t="shared" si="14"/>
        <v>X</v>
      </c>
      <c r="W80" s="350" t="str">
        <f t="shared" si="13"/>
        <v>X</v>
      </c>
      <c r="X80" s="350" t="str">
        <f t="shared" si="13"/>
        <v>X</v>
      </c>
      <c r="Y80" s="350" t="str">
        <f t="shared" si="13"/>
        <v>X</v>
      </c>
      <c r="Z80" s="350" t="str">
        <f t="shared" si="13"/>
        <v>X</v>
      </c>
      <c r="AA80" s="350" t="str">
        <f t="shared" si="13"/>
        <v>X</v>
      </c>
      <c r="AB80" s="350" t="str">
        <f t="shared" si="13"/>
        <v>X</v>
      </c>
      <c r="AC80" s="350" t="str">
        <f t="shared" si="13"/>
        <v>X</v>
      </c>
      <c r="AD80" s="350" t="str">
        <f t="shared" si="13"/>
        <v>X</v>
      </c>
      <c r="AE80" s="350" t="str">
        <f t="shared" si="13"/>
        <v>X</v>
      </c>
      <c r="AF80" s="350" t="str">
        <f t="shared" si="13"/>
        <v>X</v>
      </c>
      <c r="AG80" s="350" t="str">
        <f t="shared" si="13"/>
        <v>X</v>
      </c>
      <c r="AH80" s="350" t="str">
        <f t="shared" si="13"/>
        <v>X</v>
      </c>
    </row>
    <row r="81" spans="1:34" x14ac:dyDescent="0.3">
      <c r="A81" s="364">
        <v>80</v>
      </c>
      <c r="B81" s="360">
        <f>'Valve Data'!B81</f>
        <v>0</v>
      </c>
      <c r="C81" s="349">
        <f>'Valve Data'!C81</f>
        <v>0</v>
      </c>
      <c r="D81" s="353" t="str">
        <f>IF('Valve Data'!D81=0,"",'Valve Data'!D81)</f>
        <v/>
      </c>
      <c r="E81" s="20">
        <f>'Valve Data'!E81</f>
        <v>0</v>
      </c>
      <c r="F81" s="358">
        <f>'Valve Data'!F81</f>
        <v>0</v>
      </c>
      <c r="G81" s="356" t="str">
        <f t="shared" si="14"/>
        <v>X</v>
      </c>
      <c r="H81" s="350" t="str">
        <f t="shared" si="14"/>
        <v>X</v>
      </c>
      <c r="I81" s="350" t="str">
        <f t="shared" si="14"/>
        <v>X</v>
      </c>
      <c r="J81" s="350" t="str">
        <f t="shared" si="14"/>
        <v>X</v>
      </c>
      <c r="K81" s="350" t="str">
        <f t="shared" si="14"/>
        <v>X</v>
      </c>
      <c r="L81" s="350" t="str">
        <f t="shared" si="14"/>
        <v>X</v>
      </c>
      <c r="M81" s="350" t="str">
        <f t="shared" si="14"/>
        <v>X</v>
      </c>
      <c r="N81" s="350" t="str">
        <f t="shared" si="14"/>
        <v>X</v>
      </c>
      <c r="O81" s="350" t="str">
        <f t="shared" si="14"/>
        <v>X</v>
      </c>
      <c r="P81" s="350" t="str">
        <f t="shared" si="14"/>
        <v>X</v>
      </c>
      <c r="Q81" s="350" t="str">
        <f t="shared" si="14"/>
        <v>X</v>
      </c>
      <c r="R81" s="350" t="str">
        <f t="shared" si="14"/>
        <v>X</v>
      </c>
      <c r="S81" s="350" t="str">
        <f t="shared" si="14"/>
        <v>X</v>
      </c>
      <c r="T81" s="350" t="str">
        <f t="shared" si="14"/>
        <v>X</v>
      </c>
      <c r="U81" s="350" t="str">
        <f t="shared" si="14"/>
        <v>X</v>
      </c>
      <c r="V81" s="350" t="str">
        <f t="shared" si="14"/>
        <v>X</v>
      </c>
      <c r="W81" s="350" t="str">
        <f t="shared" si="13"/>
        <v>X</v>
      </c>
      <c r="X81" s="350" t="str">
        <f t="shared" si="13"/>
        <v>X</v>
      </c>
      <c r="Y81" s="350" t="str">
        <f t="shared" si="13"/>
        <v>X</v>
      </c>
      <c r="Z81" s="350" t="str">
        <f t="shared" si="13"/>
        <v>X</v>
      </c>
      <c r="AA81" s="350" t="str">
        <f t="shared" si="13"/>
        <v>X</v>
      </c>
      <c r="AB81" s="350" t="str">
        <f t="shared" si="13"/>
        <v>X</v>
      </c>
      <c r="AC81" s="350" t="str">
        <f t="shared" si="13"/>
        <v>X</v>
      </c>
      <c r="AD81" s="350" t="str">
        <f t="shared" si="13"/>
        <v>X</v>
      </c>
      <c r="AE81" s="350" t="str">
        <f t="shared" si="13"/>
        <v>X</v>
      </c>
      <c r="AF81" s="350" t="str">
        <f t="shared" si="13"/>
        <v>X</v>
      </c>
      <c r="AG81" s="350" t="str">
        <f t="shared" si="13"/>
        <v>X</v>
      </c>
      <c r="AH81" s="350" t="str">
        <f t="shared" si="13"/>
        <v>X</v>
      </c>
    </row>
    <row r="82" spans="1:34" x14ac:dyDescent="0.3">
      <c r="A82" s="364">
        <v>81</v>
      </c>
      <c r="B82" s="360">
        <f>'Valve Data'!B82</f>
        <v>0</v>
      </c>
      <c r="C82" s="349">
        <f>'Valve Data'!C82</f>
        <v>0</v>
      </c>
      <c r="D82" s="353" t="str">
        <f>IF('Valve Data'!D82=0,"",'Valve Data'!D82)</f>
        <v/>
      </c>
      <c r="E82" s="20">
        <f>'Valve Data'!E82</f>
        <v>0</v>
      </c>
      <c r="F82" s="358">
        <f>'Valve Data'!F82</f>
        <v>0</v>
      </c>
      <c r="G82" s="356" t="str">
        <f t="shared" si="14"/>
        <v>X</v>
      </c>
      <c r="H82" s="350" t="str">
        <f t="shared" si="14"/>
        <v>X</v>
      </c>
      <c r="I82" s="350" t="str">
        <f t="shared" si="14"/>
        <v>X</v>
      </c>
      <c r="J82" s="350" t="str">
        <f t="shared" si="14"/>
        <v>X</v>
      </c>
      <c r="K82" s="350" t="str">
        <f t="shared" si="14"/>
        <v>X</v>
      </c>
      <c r="L82" s="350" t="str">
        <f t="shared" si="14"/>
        <v>X</v>
      </c>
      <c r="M82" s="350" t="str">
        <f t="shared" si="14"/>
        <v>X</v>
      </c>
      <c r="N82" s="350" t="str">
        <f t="shared" si="14"/>
        <v>X</v>
      </c>
      <c r="O82" s="350" t="str">
        <f t="shared" si="14"/>
        <v>X</v>
      </c>
      <c r="P82" s="350" t="str">
        <f t="shared" si="14"/>
        <v>X</v>
      </c>
      <c r="Q82" s="350" t="str">
        <f t="shared" si="14"/>
        <v>X</v>
      </c>
      <c r="R82" s="350" t="str">
        <f t="shared" si="14"/>
        <v>X</v>
      </c>
      <c r="S82" s="350" t="str">
        <f t="shared" si="14"/>
        <v>X</v>
      </c>
      <c r="T82" s="350" t="str">
        <f t="shared" si="14"/>
        <v>X</v>
      </c>
      <c r="U82" s="350" t="str">
        <f t="shared" si="14"/>
        <v>X</v>
      </c>
      <c r="V82" s="350" t="str">
        <f t="shared" ref="V82:AH97" si="15">IF(AND($E82&lt;=V$1,$F82&gt;=V$1),CONCATENATE($B82,".",$C82,".",$D82,".",V$1),"X")</f>
        <v>X</v>
      </c>
      <c r="W82" s="350" t="str">
        <f t="shared" si="15"/>
        <v>X</v>
      </c>
      <c r="X82" s="350" t="str">
        <f t="shared" si="15"/>
        <v>X</v>
      </c>
      <c r="Y82" s="350" t="str">
        <f t="shared" si="15"/>
        <v>X</v>
      </c>
      <c r="Z82" s="350" t="str">
        <f t="shared" si="15"/>
        <v>X</v>
      </c>
      <c r="AA82" s="350" t="str">
        <f t="shared" si="15"/>
        <v>X</v>
      </c>
      <c r="AB82" s="350" t="str">
        <f t="shared" si="15"/>
        <v>X</v>
      </c>
      <c r="AC82" s="350" t="str">
        <f t="shared" si="15"/>
        <v>X</v>
      </c>
      <c r="AD82" s="350" t="str">
        <f t="shared" si="15"/>
        <v>X</v>
      </c>
      <c r="AE82" s="350" t="str">
        <f t="shared" si="15"/>
        <v>X</v>
      </c>
      <c r="AF82" s="350" t="str">
        <f t="shared" si="15"/>
        <v>X</v>
      </c>
      <c r="AG82" s="350" t="str">
        <f t="shared" si="15"/>
        <v>X</v>
      </c>
      <c r="AH82" s="350" t="str">
        <f t="shared" si="15"/>
        <v>X</v>
      </c>
    </row>
    <row r="83" spans="1:34" x14ac:dyDescent="0.3">
      <c r="A83" s="364">
        <v>82</v>
      </c>
      <c r="B83" s="360">
        <f>'Valve Data'!B83</f>
        <v>0</v>
      </c>
      <c r="C83" s="349">
        <f>'Valve Data'!C83</f>
        <v>0</v>
      </c>
      <c r="D83" s="353" t="str">
        <f>IF('Valve Data'!D83=0,"",'Valve Data'!D83)</f>
        <v/>
      </c>
      <c r="E83" s="20">
        <f>'Valve Data'!E83</f>
        <v>0</v>
      </c>
      <c r="F83" s="358">
        <f>'Valve Data'!F83</f>
        <v>0</v>
      </c>
      <c r="G83" s="356" t="str">
        <f t="shared" ref="G83:V98" si="16">IF(AND($E83&lt;=G$1,$F83&gt;=G$1),CONCATENATE($B83,".",$C83,".",$D83,".",G$1),"X")</f>
        <v>X</v>
      </c>
      <c r="H83" s="350" t="str">
        <f t="shared" si="16"/>
        <v>X</v>
      </c>
      <c r="I83" s="350" t="str">
        <f t="shared" si="16"/>
        <v>X</v>
      </c>
      <c r="J83" s="350" t="str">
        <f t="shared" si="16"/>
        <v>X</v>
      </c>
      <c r="K83" s="350" t="str">
        <f t="shared" si="16"/>
        <v>X</v>
      </c>
      <c r="L83" s="350" t="str">
        <f t="shared" si="16"/>
        <v>X</v>
      </c>
      <c r="M83" s="350" t="str">
        <f t="shared" si="16"/>
        <v>X</v>
      </c>
      <c r="N83" s="350" t="str">
        <f t="shared" si="16"/>
        <v>X</v>
      </c>
      <c r="O83" s="350" t="str">
        <f t="shared" si="16"/>
        <v>X</v>
      </c>
      <c r="P83" s="350" t="str">
        <f t="shared" si="16"/>
        <v>X</v>
      </c>
      <c r="Q83" s="350" t="str">
        <f t="shared" si="16"/>
        <v>X</v>
      </c>
      <c r="R83" s="350" t="str">
        <f t="shared" si="16"/>
        <v>X</v>
      </c>
      <c r="S83" s="350" t="str">
        <f t="shared" si="16"/>
        <v>X</v>
      </c>
      <c r="T83" s="350" t="str">
        <f t="shared" si="16"/>
        <v>X</v>
      </c>
      <c r="U83" s="350" t="str">
        <f t="shared" si="16"/>
        <v>X</v>
      </c>
      <c r="V83" s="350" t="str">
        <f t="shared" si="16"/>
        <v>X</v>
      </c>
      <c r="W83" s="350" t="str">
        <f t="shared" si="15"/>
        <v>X</v>
      </c>
      <c r="X83" s="350" t="str">
        <f t="shared" si="15"/>
        <v>X</v>
      </c>
      <c r="Y83" s="350" t="str">
        <f t="shared" si="15"/>
        <v>X</v>
      </c>
      <c r="Z83" s="350" t="str">
        <f t="shared" si="15"/>
        <v>X</v>
      </c>
      <c r="AA83" s="350" t="str">
        <f t="shared" si="15"/>
        <v>X</v>
      </c>
      <c r="AB83" s="350" t="str">
        <f t="shared" si="15"/>
        <v>X</v>
      </c>
      <c r="AC83" s="350" t="str">
        <f t="shared" si="15"/>
        <v>X</v>
      </c>
      <c r="AD83" s="350" t="str">
        <f t="shared" si="15"/>
        <v>X</v>
      </c>
      <c r="AE83" s="350" t="str">
        <f t="shared" si="15"/>
        <v>X</v>
      </c>
      <c r="AF83" s="350" t="str">
        <f t="shared" si="15"/>
        <v>X</v>
      </c>
      <c r="AG83" s="350" t="str">
        <f t="shared" si="15"/>
        <v>X</v>
      </c>
      <c r="AH83" s="350" t="str">
        <f t="shared" si="15"/>
        <v>X</v>
      </c>
    </row>
    <row r="84" spans="1:34" x14ac:dyDescent="0.3">
      <c r="A84" s="364">
        <v>83</v>
      </c>
      <c r="B84" s="360">
        <f>'Valve Data'!B84</f>
        <v>0</v>
      </c>
      <c r="C84" s="349">
        <f>'Valve Data'!C84</f>
        <v>0</v>
      </c>
      <c r="D84" s="353" t="str">
        <f>IF('Valve Data'!D84=0,"",'Valve Data'!D84)</f>
        <v/>
      </c>
      <c r="E84" s="20">
        <f>'Valve Data'!E84</f>
        <v>0</v>
      </c>
      <c r="F84" s="358">
        <f>'Valve Data'!F84</f>
        <v>0</v>
      </c>
      <c r="G84" s="356" t="str">
        <f t="shared" si="16"/>
        <v>X</v>
      </c>
      <c r="H84" s="350" t="str">
        <f t="shared" si="16"/>
        <v>X</v>
      </c>
      <c r="I84" s="350" t="str">
        <f t="shared" si="16"/>
        <v>X</v>
      </c>
      <c r="J84" s="350" t="str">
        <f t="shared" si="16"/>
        <v>X</v>
      </c>
      <c r="K84" s="350" t="str">
        <f t="shared" si="16"/>
        <v>X</v>
      </c>
      <c r="L84" s="350" t="str">
        <f t="shared" si="16"/>
        <v>X</v>
      </c>
      <c r="M84" s="350" t="str">
        <f t="shared" si="16"/>
        <v>X</v>
      </c>
      <c r="N84" s="350" t="str">
        <f t="shared" si="16"/>
        <v>X</v>
      </c>
      <c r="O84" s="350" t="str">
        <f t="shared" si="16"/>
        <v>X</v>
      </c>
      <c r="P84" s="350" t="str">
        <f t="shared" si="16"/>
        <v>X</v>
      </c>
      <c r="Q84" s="350" t="str">
        <f t="shared" si="16"/>
        <v>X</v>
      </c>
      <c r="R84" s="350" t="str">
        <f t="shared" si="16"/>
        <v>X</v>
      </c>
      <c r="S84" s="350" t="str">
        <f t="shared" si="16"/>
        <v>X</v>
      </c>
      <c r="T84" s="350" t="str">
        <f t="shared" si="16"/>
        <v>X</v>
      </c>
      <c r="U84" s="350" t="str">
        <f t="shared" si="16"/>
        <v>X</v>
      </c>
      <c r="V84" s="350" t="str">
        <f t="shared" si="16"/>
        <v>X</v>
      </c>
      <c r="W84" s="350" t="str">
        <f t="shared" si="15"/>
        <v>X</v>
      </c>
      <c r="X84" s="350" t="str">
        <f t="shared" si="15"/>
        <v>X</v>
      </c>
      <c r="Y84" s="350" t="str">
        <f t="shared" si="15"/>
        <v>X</v>
      </c>
      <c r="Z84" s="350" t="str">
        <f t="shared" si="15"/>
        <v>X</v>
      </c>
      <c r="AA84" s="350" t="str">
        <f t="shared" si="15"/>
        <v>X</v>
      </c>
      <c r="AB84" s="350" t="str">
        <f t="shared" si="15"/>
        <v>X</v>
      </c>
      <c r="AC84" s="350" t="str">
        <f t="shared" si="15"/>
        <v>X</v>
      </c>
      <c r="AD84" s="350" t="str">
        <f t="shared" si="15"/>
        <v>X</v>
      </c>
      <c r="AE84" s="350" t="str">
        <f t="shared" si="15"/>
        <v>X</v>
      </c>
      <c r="AF84" s="350" t="str">
        <f t="shared" si="15"/>
        <v>X</v>
      </c>
      <c r="AG84" s="350" t="str">
        <f t="shared" si="15"/>
        <v>X</v>
      </c>
      <c r="AH84" s="350" t="str">
        <f t="shared" si="15"/>
        <v>X</v>
      </c>
    </row>
    <row r="85" spans="1:34" x14ac:dyDescent="0.3">
      <c r="A85" s="364">
        <v>84</v>
      </c>
      <c r="B85" s="360">
        <f>'Valve Data'!B85</f>
        <v>0</v>
      </c>
      <c r="C85" s="349">
        <f>'Valve Data'!C85</f>
        <v>0</v>
      </c>
      <c r="D85" s="353" t="str">
        <f>IF('Valve Data'!D85=0,"",'Valve Data'!D85)</f>
        <v/>
      </c>
      <c r="E85" s="20">
        <f>'Valve Data'!E85</f>
        <v>0</v>
      </c>
      <c r="F85" s="358">
        <f>'Valve Data'!F85</f>
        <v>0</v>
      </c>
      <c r="G85" s="356" t="str">
        <f t="shared" si="16"/>
        <v>X</v>
      </c>
      <c r="H85" s="350" t="str">
        <f t="shared" si="16"/>
        <v>X</v>
      </c>
      <c r="I85" s="350" t="str">
        <f t="shared" si="16"/>
        <v>X</v>
      </c>
      <c r="J85" s="350" t="str">
        <f t="shared" si="16"/>
        <v>X</v>
      </c>
      <c r="K85" s="350" t="str">
        <f t="shared" si="16"/>
        <v>X</v>
      </c>
      <c r="L85" s="350" t="str">
        <f t="shared" si="16"/>
        <v>X</v>
      </c>
      <c r="M85" s="350" t="str">
        <f t="shared" si="16"/>
        <v>X</v>
      </c>
      <c r="N85" s="350" t="str">
        <f t="shared" si="16"/>
        <v>X</v>
      </c>
      <c r="O85" s="350" t="str">
        <f t="shared" si="16"/>
        <v>X</v>
      </c>
      <c r="P85" s="350" t="str">
        <f t="shared" si="16"/>
        <v>X</v>
      </c>
      <c r="Q85" s="350" t="str">
        <f t="shared" si="16"/>
        <v>X</v>
      </c>
      <c r="R85" s="350" t="str">
        <f t="shared" si="16"/>
        <v>X</v>
      </c>
      <c r="S85" s="350" t="str">
        <f t="shared" si="16"/>
        <v>X</v>
      </c>
      <c r="T85" s="350" t="str">
        <f t="shared" si="16"/>
        <v>X</v>
      </c>
      <c r="U85" s="350" t="str">
        <f t="shared" si="16"/>
        <v>X</v>
      </c>
      <c r="V85" s="350" t="str">
        <f t="shared" si="16"/>
        <v>X</v>
      </c>
      <c r="W85" s="350" t="str">
        <f t="shared" si="15"/>
        <v>X</v>
      </c>
      <c r="X85" s="350" t="str">
        <f t="shared" si="15"/>
        <v>X</v>
      </c>
      <c r="Y85" s="350" t="str">
        <f t="shared" si="15"/>
        <v>X</v>
      </c>
      <c r="Z85" s="350" t="str">
        <f t="shared" si="15"/>
        <v>X</v>
      </c>
      <c r="AA85" s="350" t="str">
        <f t="shared" si="15"/>
        <v>X</v>
      </c>
      <c r="AB85" s="350" t="str">
        <f t="shared" si="15"/>
        <v>X</v>
      </c>
      <c r="AC85" s="350" t="str">
        <f t="shared" si="15"/>
        <v>X</v>
      </c>
      <c r="AD85" s="350" t="str">
        <f t="shared" si="15"/>
        <v>X</v>
      </c>
      <c r="AE85" s="350" t="str">
        <f t="shared" si="15"/>
        <v>X</v>
      </c>
      <c r="AF85" s="350" t="str">
        <f t="shared" si="15"/>
        <v>X</v>
      </c>
      <c r="AG85" s="350" t="str">
        <f t="shared" si="15"/>
        <v>X</v>
      </c>
      <c r="AH85" s="350" t="str">
        <f t="shared" si="15"/>
        <v>X</v>
      </c>
    </row>
    <row r="86" spans="1:34" x14ac:dyDescent="0.3">
      <c r="A86" s="364">
        <v>85</v>
      </c>
      <c r="B86" s="360">
        <f>'Valve Data'!B86</f>
        <v>0</v>
      </c>
      <c r="C86" s="349">
        <f>'Valve Data'!C86</f>
        <v>0</v>
      </c>
      <c r="D86" s="353" t="str">
        <f>IF('Valve Data'!D86=0,"",'Valve Data'!D86)</f>
        <v/>
      </c>
      <c r="E86" s="20">
        <f>'Valve Data'!E86</f>
        <v>0</v>
      </c>
      <c r="F86" s="358">
        <f>'Valve Data'!F86</f>
        <v>0</v>
      </c>
      <c r="G86" s="356" t="str">
        <f t="shared" si="16"/>
        <v>X</v>
      </c>
      <c r="H86" s="350" t="str">
        <f t="shared" si="16"/>
        <v>X</v>
      </c>
      <c r="I86" s="350" t="str">
        <f t="shared" si="16"/>
        <v>X</v>
      </c>
      <c r="J86" s="350" t="str">
        <f t="shared" si="16"/>
        <v>X</v>
      </c>
      <c r="K86" s="350" t="str">
        <f t="shared" si="16"/>
        <v>X</v>
      </c>
      <c r="L86" s="350" t="str">
        <f t="shared" si="16"/>
        <v>X</v>
      </c>
      <c r="M86" s="350" t="str">
        <f t="shared" si="16"/>
        <v>X</v>
      </c>
      <c r="N86" s="350" t="str">
        <f t="shared" si="16"/>
        <v>X</v>
      </c>
      <c r="O86" s="350" t="str">
        <f t="shared" si="16"/>
        <v>X</v>
      </c>
      <c r="P86" s="350" t="str">
        <f t="shared" si="16"/>
        <v>X</v>
      </c>
      <c r="Q86" s="350" t="str">
        <f t="shared" si="16"/>
        <v>X</v>
      </c>
      <c r="R86" s="350" t="str">
        <f t="shared" si="16"/>
        <v>X</v>
      </c>
      <c r="S86" s="350" t="str">
        <f t="shared" si="16"/>
        <v>X</v>
      </c>
      <c r="T86" s="350" t="str">
        <f t="shared" si="16"/>
        <v>X</v>
      </c>
      <c r="U86" s="350" t="str">
        <f t="shared" si="16"/>
        <v>X</v>
      </c>
      <c r="V86" s="350" t="str">
        <f t="shared" si="16"/>
        <v>X</v>
      </c>
      <c r="W86" s="350" t="str">
        <f t="shared" si="15"/>
        <v>X</v>
      </c>
      <c r="X86" s="350" t="str">
        <f t="shared" si="15"/>
        <v>X</v>
      </c>
      <c r="Y86" s="350" t="str">
        <f t="shared" si="15"/>
        <v>X</v>
      </c>
      <c r="Z86" s="350" t="str">
        <f t="shared" si="15"/>
        <v>X</v>
      </c>
      <c r="AA86" s="350" t="str">
        <f t="shared" si="15"/>
        <v>X</v>
      </c>
      <c r="AB86" s="350" t="str">
        <f t="shared" si="15"/>
        <v>X</v>
      </c>
      <c r="AC86" s="350" t="str">
        <f t="shared" si="15"/>
        <v>X</v>
      </c>
      <c r="AD86" s="350" t="str">
        <f t="shared" si="15"/>
        <v>X</v>
      </c>
      <c r="AE86" s="350" t="str">
        <f t="shared" si="15"/>
        <v>X</v>
      </c>
      <c r="AF86" s="350" t="str">
        <f t="shared" si="15"/>
        <v>X</v>
      </c>
      <c r="AG86" s="350" t="str">
        <f t="shared" si="15"/>
        <v>X</v>
      </c>
      <c r="AH86" s="350" t="str">
        <f t="shared" si="15"/>
        <v>X</v>
      </c>
    </row>
    <row r="87" spans="1:34" x14ac:dyDescent="0.3">
      <c r="A87" s="364">
        <v>86</v>
      </c>
      <c r="B87" s="360">
        <f>'Valve Data'!B87</f>
        <v>0</v>
      </c>
      <c r="C87" s="349">
        <f>'Valve Data'!C87</f>
        <v>0</v>
      </c>
      <c r="D87" s="353" t="str">
        <f>IF('Valve Data'!D87=0,"",'Valve Data'!D87)</f>
        <v/>
      </c>
      <c r="E87" s="20">
        <f>'Valve Data'!E87</f>
        <v>0</v>
      </c>
      <c r="F87" s="358">
        <f>'Valve Data'!F87</f>
        <v>0</v>
      </c>
      <c r="G87" s="356" t="str">
        <f t="shared" si="16"/>
        <v>X</v>
      </c>
      <c r="H87" s="350" t="str">
        <f t="shared" si="16"/>
        <v>X</v>
      </c>
      <c r="I87" s="350" t="str">
        <f t="shared" si="16"/>
        <v>X</v>
      </c>
      <c r="J87" s="350" t="str">
        <f t="shared" si="16"/>
        <v>X</v>
      </c>
      <c r="K87" s="350" t="str">
        <f t="shared" si="16"/>
        <v>X</v>
      </c>
      <c r="L87" s="350" t="str">
        <f t="shared" si="16"/>
        <v>X</v>
      </c>
      <c r="M87" s="350" t="str">
        <f t="shared" si="16"/>
        <v>X</v>
      </c>
      <c r="N87" s="350" t="str">
        <f t="shared" si="16"/>
        <v>X</v>
      </c>
      <c r="O87" s="350" t="str">
        <f t="shared" si="16"/>
        <v>X</v>
      </c>
      <c r="P87" s="350" t="str">
        <f t="shared" si="16"/>
        <v>X</v>
      </c>
      <c r="Q87" s="350" t="str">
        <f t="shared" si="16"/>
        <v>X</v>
      </c>
      <c r="R87" s="350" t="str">
        <f t="shared" si="16"/>
        <v>X</v>
      </c>
      <c r="S87" s="350" t="str">
        <f t="shared" si="16"/>
        <v>X</v>
      </c>
      <c r="T87" s="350" t="str">
        <f t="shared" si="16"/>
        <v>X</v>
      </c>
      <c r="U87" s="350" t="str">
        <f t="shared" si="16"/>
        <v>X</v>
      </c>
      <c r="V87" s="350" t="str">
        <f t="shared" si="16"/>
        <v>X</v>
      </c>
      <c r="W87" s="350" t="str">
        <f t="shared" si="15"/>
        <v>X</v>
      </c>
      <c r="X87" s="350" t="str">
        <f t="shared" si="15"/>
        <v>X</v>
      </c>
      <c r="Y87" s="350" t="str">
        <f t="shared" si="15"/>
        <v>X</v>
      </c>
      <c r="Z87" s="350" t="str">
        <f t="shared" si="15"/>
        <v>X</v>
      </c>
      <c r="AA87" s="350" t="str">
        <f t="shared" si="15"/>
        <v>X</v>
      </c>
      <c r="AB87" s="350" t="str">
        <f t="shared" si="15"/>
        <v>X</v>
      </c>
      <c r="AC87" s="350" t="str">
        <f t="shared" si="15"/>
        <v>X</v>
      </c>
      <c r="AD87" s="350" t="str">
        <f t="shared" si="15"/>
        <v>X</v>
      </c>
      <c r="AE87" s="350" t="str">
        <f t="shared" si="15"/>
        <v>X</v>
      </c>
      <c r="AF87" s="350" t="str">
        <f t="shared" si="15"/>
        <v>X</v>
      </c>
      <c r="AG87" s="350" t="str">
        <f t="shared" si="15"/>
        <v>X</v>
      </c>
      <c r="AH87" s="350" t="str">
        <f t="shared" si="15"/>
        <v>X</v>
      </c>
    </row>
    <row r="88" spans="1:34" x14ac:dyDescent="0.3">
      <c r="A88" s="364">
        <v>87</v>
      </c>
      <c r="B88" s="360">
        <f>'Valve Data'!B88</f>
        <v>0</v>
      </c>
      <c r="C88" s="349">
        <f>'Valve Data'!C88</f>
        <v>0</v>
      </c>
      <c r="D88" s="353" t="str">
        <f>IF('Valve Data'!D88=0,"",'Valve Data'!D88)</f>
        <v/>
      </c>
      <c r="E88" s="20">
        <f>'Valve Data'!E88</f>
        <v>0</v>
      </c>
      <c r="F88" s="358">
        <f>'Valve Data'!F88</f>
        <v>0</v>
      </c>
      <c r="G88" s="356" t="str">
        <f t="shared" si="16"/>
        <v>X</v>
      </c>
      <c r="H88" s="350" t="str">
        <f t="shared" si="16"/>
        <v>X</v>
      </c>
      <c r="I88" s="350" t="str">
        <f t="shared" si="16"/>
        <v>X</v>
      </c>
      <c r="J88" s="350" t="str">
        <f t="shared" si="16"/>
        <v>X</v>
      </c>
      <c r="K88" s="350" t="str">
        <f t="shared" si="16"/>
        <v>X</v>
      </c>
      <c r="L88" s="350" t="str">
        <f t="shared" si="16"/>
        <v>X</v>
      </c>
      <c r="M88" s="350" t="str">
        <f t="shared" si="16"/>
        <v>X</v>
      </c>
      <c r="N88" s="350" t="str">
        <f t="shared" si="16"/>
        <v>X</v>
      </c>
      <c r="O88" s="350" t="str">
        <f t="shared" si="16"/>
        <v>X</v>
      </c>
      <c r="P88" s="350" t="str">
        <f t="shared" si="16"/>
        <v>X</v>
      </c>
      <c r="Q88" s="350" t="str">
        <f t="shared" si="16"/>
        <v>X</v>
      </c>
      <c r="R88" s="350" t="str">
        <f t="shared" si="16"/>
        <v>X</v>
      </c>
      <c r="S88" s="350" t="str">
        <f t="shared" si="16"/>
        <v>X</v>
      </c>
      <c r="T88" s="350" t="str">
        <f t="shared" si="16"/>
        <v>X</v>
      </c>
      <c r="U88" s="350" t="str">
        <f t="shared" si="16"/>
        <v>X</v>
      </c>
      <c r="V88" s="350" t="str">
        <f t="shared" si="16"/>
        <v>X</v>
      </c>
      <c r="W88" s="350" t="str">
        <f t="shared" si="15"/>
        <v>X</v>
      </c>
      <c r="X88" s="350" t="str">
        <f t="shared" si="15"/>
        <v>X</v>
      </c>
      <c r="Y88" s="350" t="str">
        <f t="shared" si="15"/>
        <v>X</v>
      </c>
      <c r="Z88" s="350" t="str">
        <f t="shared" si="15"/>
        <v>X</v>
      </c>
      <c r="AA88" s="350" t="str">
        <f t="shared" si="15"/>
        <v>X</v>
      </c>
      <c r="AB88" s="350" t="str">
        <f t="shared" si="15"/>
        <v>X</v>
      </c>
      <c r="AC88" s="350" t="str">
        <f t="shared" si="15"/>
        <v>X</v>
      </c>
      <c r="AD88" s="350" t="str">
        <f t="shared" si="15"/>
        <v>X</v>
      </c>
      <c r="AE88" s="350" t="str">
        <f t="shared" si="15"/>
        <v>X</v>
      </c>
      <c r="AF88" s="350" t="str">
        <f t="shared" si="15"/>
        <v>X</v>
      </c>
      <c r="AG88" s="350" t="str">
        <f t="shared" si="15"/>
        <v>X</v>
      </c>
      <c r="AH88" s="350" t="str">
        <f t="shared" si="15"/>
        <v>X</v>
      </c>
    </row>
    <row r="89" spans="1:34" x14ac:dyDescent="0.3">
      <c r="A89" s="364">
        <v>88</v>
      </c>
      <c r="B89" s="360">
        <f>'Valve Data'!B89</f>
        <v>0</v>
      </c>
      <c r="C89" s="349">
        <f>'Valve Data'!C89</f>
        <v>0</v>
      </c>
      <c r="D89" s="353" t="str">
        <f>IF('Valve Data'!D89=0,"",'Valve Data'!D89)</f>
        <v/>
      </c>
      <c r="E89" s="20">
        <f>'Valve Data'!E89</f>
        <v>0</v>
      </c>
      <c r="F89" s="358">
        <f>'Valve Data'!F89</f>
        <v>0</v>
      </c>
      <c r="G89" s="356" t="str">
        <f t="shared" si="16"/>
        <v>X</v>
      </c>
      <c r="H89" s="350" t="str">
        <f t="shared" si="16"/>
        <v>X</v>
      </c>
      <c r="I89" s="350" t="str">
        <f t="shared" si="16"/>
        <v>X</v>
      </c>
      <c r="J89" s="350" t="str">
        <f t="shared" si="16"/>
        <v>X</v>
      </c>
      <c r="K89" s="350" t="str">
        <f t="shared" si="16"/>
        <v>X</v>
      </c>
      <c r="L89" s="350" t="str">
        <f t="shared" si="16"/>
        <v>X</v>
      </c>
      <c r="M89" s="350" t="str">
        <f t="shared" si="16"/>
        <v>X</v>
      </c>
      <c r="N89" s="350" t="str">
        <f t="shared" si="16"/>
        <v>X</v>
      </c>
      <c r="O89" s="350" t="str">
        <f t="shared" si="16"/>
        <v>X</v>
      </c>
      <c r="P89" s="350" t="str">
        <f t="shared" si="16"/>
        <v>X</v>
      </c>
      <c r="Q89" s="350" t="str">
        <f t="shared" si="16"/>
        <v>X</v>
      </c>
      <c r="R89" s="350" t="str">
        <f t="shared" si="16"/>
        <v>X</v>
      </c>
      <c r="S89" s="350" t="str">
        <f t="shared" si="16"/>
        <v>X</v>
      </c>
      <c r="T89" s="350" t="str">
        <f t="shared" si="16"/>
        <v>X</v>
      </c>
      <c r="U89" s="350" t="str">
        <f t="shared" si="16"/>
        <v>X</v>
      </c>
      <c r="V89" s="350" t="str">
        <f t="shared" si="16"/>
        <v>X</v>
      </c>
      <c r="W89" s="350" t="str">
        <f t="shared" si="15"/>
        <v>X</v>
      </c>
      <c r="X89" s="350" t="str">
        <f t="shared" si="15"/>
        <v>X</v>
      </c>
      <c r="Y89" s="350" t="str">
        <f t="shared" si="15"/>
        <v>X</v>
      </c>
      <c r="Z89" s="350" t="str">
        <f t="shared" si="15"/>
        <v>X</v>
      </c>
      <c r="AA89" s="350" t="str">
        <f t="shared" si="15"/>
        <v>X</v>
      </c>
      <c r="AB89" s="350" t="str">
        <f t="shared" si="15"/>
        <v>X</v>
      </c>
      <c r="AC89" s="350" t="str">
        <f t="shared" si="15"/>
        <v>X</v>
      </c>
      <c r="AD89" s="350" t="str">
        <f t="shared" si="15"/>
        <v>X</v>
      </c>
      <c r="AE89" s="350" t="str">
        <f t="shared" si="15"/>
        <v>X</v>
      </c>
      <c r="AF89" s="350" t="str">
        <f t="shared" si="15"/>
        <v>X</v>
      </c>
      <c r="AG89" s="350" t="str">
        <f t="shared" si="15"/>
        <v>X</v>
      </c>
      <c r="AH89" s="350" t="str">
        <f t="shared" si="15"/>
        <v>X</v>
      </c>
    </row>
    <row r="90" spans="1:34" x14ac:dyDescent="0.3">
      <c r="A90" s="364">
        <v>89</v>
      </c>
      <c r="B90" s="360">
        <f>'Valve Data'!B90</f>
        <v>0</v>
      </c>
      <c r="C90" s="349">
        <f>'Valve Data'!C90</f>
        <v>0</v>
      </c>
      <c r="D90" s="353" t="str">
        <f>IF('Valve Data'!D90=0,"",'Valve Data'!D90)</f>
        <v/>
      </c>
      <c r="E90" s="20">
        <f>'Valve Data'!E90</f>
        <v>0</v>
      </c>
      <c r="F90" s="358">
        <f>'Valve Data'!F90</f>
        <v>0</v>
      </c>
      <c r="G90" s="356" t="str">
        <f t="shared" si="16"/>
        <v>X</v>
      </c>
      <c r="H90" s="350" t="str">
        <f t="shared" si="16"/>
        <v>X</v>
      </c>
      <c r="I90" s="350" t="str">
        <f t="shared" si="16"/>
        <v>X</v>
      </c>
      <c r="J90" s="350" t="str">
        <f t="shared" si="16"/>
        <v>X</v>
      </c>
      <c r="K90" s="350" t="str">
        <f t="shared" si="16"/>
        <v>X</v>
      </c>
      <c r="L90" s="350" t="str">
        <f t="shared" si="16"/>
        <v>X</v>
      </c>
      <c r="M90" s="350" t="str">
        <f t="shared" si="16"/>
        <v>X</v>
      </c>
      <c r="N90" s="350" t="str">
        <f t="shared" si="16"/>
        <v>X</v>
      </c>
      <c r="O90" s="350" t="str">
        <f t="shared" si="16"/>
        <v>X</v>
      </c>
      <c r="P90" s="350" t="str">
        <f t="shared" si="16"/>
        <v>X</v>
      </c>
      <c r="Q90" s="350" t="str">
        <f t="shared" si="16"/>
        <v>X</v>
      </c>
      <c r="R90" s="350" t="str">
        <f t="shared" si="16"/>
        <v>X</v>
      </c>
      <c r="S90" s="350" t="str">
        <f t="shared" si="16"/>
        <v>X</v>
      </c>
      <c r="T90" s="350" t="str">
        <f t="shared" si="16"/>
        <v>X</v>
      </c>
      <c r="U90" s="350" t="str">
        <f t="shared" si="16"/>
        <v>X</v>
      </c>
      <c r="V90" s="350" t="str">
        <f t="shared" si="16"/>
        <v>X</v>
      </c>
      <c r="W90" s="350" t="str">
        <f t="shared" si="15"/>
        <v>X</v>
      </c>
      <c r="X90" s="350" t="str">
        <f t="shared" si="15"/>
        <v>X</v>
      </c>
      <c r="Y90" s="350" t="str">
        <f t="shared" si="15"/>
        <v>X</v>
      </c>
      <c r="Z90" s="350" t="str">
        <f t="shared" si="15"/>
        <v>X</v>
      </c>
      <c r="AA90" s="350" t="str">
        <f t="shared" si="15"/>
        <v>X</v>
      </c>
      <c r="AB90" s="350" t="str">
        <f t="shared" si="15"/>
        <v>X</v>
      </c>
      <c r="AC90" s="350" t="str">
        <f t="shared" si="15"/>
        <v>X</v>
      </c>
      <c r="AD90" s="350" t="str">
        <f t="shared" si="15"/>
        <v>X</v>
      </c>
      <c r="AE90" s="350" t="str">
        <f t="shared" si="15"/>
        <v>X</v>
      </c>
      <c r="AF90" s="350" t="str">
        <f t="shared" si="15"/>
        <v>X</v>
      </c>
      <c r="AG90" s="350" t="str">
        <f t="shared" si="15"/>
        <v>X</v>
      </c>
      <c r="AH90" s="350" t="str">
        <f t="shared" si="15"/>
        <v>X</v>
      </c>
    </row>
    <row r="91" spans="1:34" x14ac:dyDescent="0.3">
      <c r="A91" s="364">
        <v>90</v>
      </c>
      <c r="B91" s="360">
        <f>'Valve Data'!B91</f>
        <v>0</v>
      </c>
      <c r="C91" s="349">
        <f>'Valve Data'!C91</f>
        <v>0</v>
      </c>
      <c r="D91" s="353" t="str">
        <f>IF('Valve Data'!D91=0,"",'Valve Data'!D91)</f>
        <v/>
      </c>
      <c r="E91" s="20">
        <f>'Valve Data'!E91</f>
        <v>0</v>
      </c>
      <c r="F91" s="358">
        <f>'Valve Data'!F91</f>
        <v>0</v>
      </c>
      <c r="G91" s="356" t="str">
        <f t="shared" si="16"/>
        <v>X</v>
      </c>
      <c r="H91" s="350" t="str">
        <f t="shared" si="16"/>
        <v>X</v>
      </c>
      <c r="I91" s="350" t="str">
        <f t="shared" si="16"/>
        <v>X</v>
      </c>
      <c r="J91" s="350" t="str">
        <f t="shared" si="16"/>
        <v>X</v>
      </c>
      <c r="K91" s="350" t="str">
        <f t="shared" si="16"/>
        <v>X</v>
      </c>
      <c r="L91" s="350" t="str">
        <f t="shared" si="16"/>
        <v>X</v>
      </c>
      <c r="M91" s="350" t="str">
        <f t="shared" si="16"/>
        <v>X</v>
      </c>
      <c r="N91" s="350" t="str">
        <f t="shared" si="16"/>
        <v>X</v>
      </c>
      <c r="O91" s="350" t="str">
        <f t="shared" si="16"/>
        <v>X</v>
      </c>
      <c r="P91" s="350" t="str">
        <f t="shared" si="16"/>
        <v>X</v>
      </c>
      <c r="Q91" s="350" t="str">
        <f t="shared" si="16"/>
        <v>X</v>
      </c>
      <c r="R91" s="350" t="str">
        <f t="shared" si="16"/>
        <v>X</v>
      </c>
      <c r="S91" s="350" t="str">
        <f t="shared" si="16"/>
        <v>X</v>
      </c>
      <c r="T91" s="350" t="str">
        <f t="shared" si="16"/>
        <v>X</v>
      </c>
      <c r="U91" s="350" t="str">
        <f t="shared" si="16"/>
        <v>X</v>
      </c>
      <c r="V91" s="350" t="str">
        <f t="shared" si="16"/>
        <v>X</v>
      </c>
      <c r="W91" s="350" t="str">
        <f t="shared" si="15"/>
        <v>X</v>
      </c>
      <c r="X91" s="350" t="str">
        <f t="shared" si="15"/>
        <v>X</v>
      </c>
      <c r="Y91" s="350" t="str">
        <f t="shared" si="15"/>
        <v>X</v>
      </c>
      <c r="Z91" s="350" t="str">
        <f t="shared" si="15"/>
        <v>X</v>
      </c>
      <c r="AA91" s="350" t="str">
        <f t="shared" si="15"/>
        <v>X</v>
      </c>
      <c r="AB91" s="350" t="str">
        <f t="shared" si="15"/>
        <v>X</v>
      </c>
      <c r="AC91" s="350" t="str">
        <f t="shared" si="15"/>
        <v>X</v>
      </c>
      <c r="AD91" s="350" t="str">
        <f t="shared" si="15"/>
        <v>X</v>
      </c>
      <c r="AE91" s="350" t="str">
        <f t="shared" si="15"/>
        <v>X</v>
      </c>
      <c r="AF91" s="350" t="str">
        <f t="shared" si="15"/>
        <v>X</v>
      </c>
      <c r="AG91" s="350" t="str">
        <f t="shared" si="15"/>
        <v>X</v>
      </c>
      <c r="AH91" s="350" t="str">
        <f t="shared" si="15"/>
        <v>X</v>
      </c>
    </row>
    <row r="92" spans="1:34" x14ac:dyDescent="0.3">
      <c r="A92" s="364">
        <v>91</v>
      </c>
      <c r="B92" s="360">
        <f>'Valve Data'!B92</f>
        <v>0</v>
      </c>
      <c r="C92" s="349">
        <f>'Valve Data'!C92</f>
        <v>0</v>
      </c>
      <c r="D92" s="353" t="str">
        <f>IF('Valve Data'!D92=0,"",'Valve Data'!D92)</f>
        <v/>
      </c>
      <c r="E92" s="20">
        <f>'Valve Data'!E92</f>
        <v>0</v>
      </c>
      <c r="F92" s="358">
        <f>'Valve Data'!F92</f>
        <v>0</v>
      </c>
      <c r="G92" s="356" t="str">
        <f t="shared" si="16"/>
        <v>X</v>
      </c>
      <c r="H92" s="350" t="str">
        <f t="shared" si="16"/>
        <v>X</v>
      </c>
      <c r="I92" s="350" t="str">
        <f t="shared" si="16"/>
        <v>X</v>
      </c>
      <c r="J92" s="350" t="str">
        <f t="shared" si="16"/>
        <v>X</v>
      </c>
      <c r="K92" s="350" t="str">
        <f t="shared" si="16"/>
        <v>X</v>
      </c>
      <c r="L92" s="350" t="str">
        <f t="shared" si="16"/>
        <v>X</v>
      </c>
      <c r="M92" s="350" t="str">
        <f t="shared" si="16"/>
        <v>X</v>
      </c>
      <c r="N92" s="350" t="str">
        <f t="shared" si="16"/>
        <v>X</v>
      </c>
      <c r="O92" s="350" t="str">
        <f t="shared" si="16"/>
        <v>X</v>
      </c>
      <c r="P92" s="350" t="str">
        <f t="shared" si="16"/>
        <v>X</v>
      </c>
      <c r="Q92" s="350" t="str">
        <f t="shared" si="16"/>
        <v>X</v>
      </c>
      <c r="R92" s="350" t="str">
        <f t="shared" si="16"/>
        <v>X</v>
      </c>
      <c r="S92" s="350" t="str">
        <f t="shared" si="16"/>
        <v>X</v>
      </c>
      <c r="T92" s="350" t="str">
        <f t="shared" si="16"/>
        <v>X</v>
      </c>
      <c r="U92" s="350" t="str">
        <f t="shared" si="16"/>
        <v>X</v>
      </c>
      <c r="V92" s="350" t="str">
        <f t="shared" si="16"/>
        <v>X</v>
      </c>
      <c r="W92" s="350" t="str">
        <f t="shared" si="15"/>
        <v>X</v>
      </c>
      <c r="X92" s="350" t="str">
        <f t="shared" si="15"/>
        <v>X</v>
      </c>
      <c r="Y92" s="350" t="str">
        <f t="shared" si="15"/>
        <v>X</v>
      </c>
      <c r="Z92" s="350" t="str">
        <f t="shared" si="15"/>
        <v>X</v>
      </c>
      <c r="AA92" s="350" t="str">
        <f t="shared" si="15"/>
        <v>X</v>
      </c>
      <c r="AB92" s="350" t="str">
        <f t="shared" si="15"/>
        <v>X</v>
      </c>
      <c r="AC92" s="350" t="str">
        <f t="shared" si="15"/>
        <v>X</v>
      </c>
      <c r="AD92" s="350" t="str">
        <f t="shared" si="15"/>
        <v>X</v>
      </c>
      <c r="AE92" s="350" t="str">
        <f t="shared" si="15"/>
        <v>X</v>
      </c>
      <c r="AF92" s="350" t="str">
        <f t="shared" si="15"/>
        <v>X</v>
      </c>
      <c r="AG92" s="350" t="str">
        <f t="shared" si="15"/>
        <v>X</v>
      </c>
      <c r="AH92" s="350" t="str">
        <f t="shared" si="15"/>
        <v>X</v>
      </c>
    </row>
    <row r="93" spans="1:34" x14ac:dyDescent="0.3">
      <c r="A93" s="364">
        <v>92</v>
      </c>
      <c r="B93" s="360">
        <f>'Valve Data'!B93</f>
        <v>0</v>
      </c>
      <c r="C93" s="349">
        <f>'Valve Data'!C93</f>
        <v>0</v>
      </c>
      <c r="D93" s="353" t="str">
        <f>IF('Valve Data'!D93=0,"",'Valve Data'!D93)</f>
        <v/>
      </c>
      <c r="E93" s="20">
        <f>'Valve Data'!E93</f>
        <v>0</v>
      </c>
      <c r="F93" s="358">
        <f>'Valve Data'!F93</f>
        <v>0</v>
      </c>
      <c r="G93" s="356" t="str">
        <f t="shared" si="16"/>
        <v>X</v>
      </c>
      <c r="H93" s="350" t="str">
        <f t="shared" si="16"/>
        <v>X</v>
      </c>
      <c r="I93" s="350" t="str">
        <f t="shared" si="16"/>
        <v>X</v>
      </c>
      <c r="J93" s="350" t="str">
        <f t="shared" si="16"/>
        <v>X</v>
      </c>
      <c r="K93" s="350" t="str">
        <f t="shared" si="16"/>
        <v>X</v>
      </c>
      <c r="L93" s="350" t="str">
        <f t="shared" si="16"/>
        <v>X</v>
      </c>
      <c r="M93" s="350" t="str">
        <f t="shared" si="16"/>
        <v>X</v>
      </c>
      <c r="N93" s="350" t="str">
        <f t="shared" si="16"/>
        <v>X</v>
      </c>
      <c r="O93" s="350" t="str">
        <f t="shared" si="16"/>
        <v>X</v>
      </c>
      <c r="P93" s="350" t="str">
        <f t="shared" si="16"/>
        <v>X</v>
      </c>
      <c r="Q93" s="350" t="str">
        <f t="shared" si="16"/>
        <v>X</v>
      </c>
      <c r="R93" s="350" t="str">
        <f t="shared" si="16"/>
        <v>X</v>
      </c>
      <c r="S93" s="350" t="str">
        <f t="shared" si="16"/>
        <v>X</v>
      </c>
      <c r="T93" s="350" t="str">
        <f t="shared" si="16"/>
        <v>X</v>
      </c>
      <c r="U93" s="350" t="str">
        <f t="shared" si="16"/>
        <v>X</v>
      </c>
      <c r="V93" s="350" t="str">
        <f t="shared" si="16"/>
        <v>X</v>
      </c>
      <c r="W93" s="350" t="str">
        <f t="shared" si="15"/>
        <v>X</v>
      </c>
      <c r="X93" s="350" t="str">
        <f t="shared" si="15"/>
        <v>X</v>
      </c>
      <c r="Y93" s="350" t="str">
        <f t="shared" si="15"/>
        <v>X</v>
      </c>
      <c r="Z93" s="350" t="str">
        <f t="shared" si="15"/>
        <v>X</v>
      </c>
      <c r="AA93" s="350" t="str">
        <f t="shared" si="15"/>
        <v>X</v>
      </c>
      <c r="AB93" s="350" t="str">
        <f t="shared" si="15"/>
        <v>X</v>
      </c>
      <c r="AC93" s="350" t="str">
        <f t="shared" si="15"/>
        <v>X</v>
      </c>
      <c r="AD93" s="350" t="str">
        <f t="shared" si="15"/>
        <v>X</v>
      </c>
      <c r="AE93" s="350" t="str">
        <f t="shared" si="15"/>
        <v>X</v>
      </c>
      <c r="AF93" s="350" t="str">
        <f t="shared" si="15"/>
        <v>X</v>
      </c>
      <c r="AG93" s="350" t="str">
        <f t="shared" si="15"/>
        <v>X</v>
      </c>
      <c r="AH93" s="350" t="str">
        <f t="shared" si="15"/>
        <v>X</v>
      </c>
    </row>
    <row r="94" spans="1:34" x14ac:dyDescent="0.3">
      <c r="A94" s="364">
        <v>93</v>
      </c>
      <c r="B94" s="360">
        <f>'Valve Data'!B94</f>
        <v>0</v>
      </c>
      <c r="C94" s="349">
        <f>'Valve Data'!C94</f>
        <v>0</v>
      </c>
      <c r="D94" s="353" t="str">
        <f>IF('Valve Data'!D94=0,"",'Valve Data'!D94)</f>
        <v/>
      </c>
      <c r="E94" s="20">
        <f>'Valve Data'!E94</f>
        <v>0</v>
      </c>
      <c r="F94" s="358">
        <f>'Valve Data'!F94</f>
        <v>0</v>
      </c>
      <c r="G94" s="356" t="str">
        <f t="shared" si="16"/>
        <v>X</v>
      </c>
      <c r="H94" s="350" t="str">
        <f t="shared" si="16"/>
        <v>X</v>
      </c>
      <c r="I94" s="350" t="str">
        <f t="shared" si="16"/>
        <v>X</v>
      </c>
      <c r="J94" s="350" t="str">
        <f t="shared" si="16"/>
        <v>X</v>
      </c>
      <c r="K94" s="350" t="str">
        <f t="shared" si="16"/>
        <v>X</v>
      </c>
      <c r="L94" s="350" t="str">
        <f t="shared" si="16"/>
        <v>X</v>
      </c>
      <c r="M94" s="350" t="str">
        <f t="shared" si="16"/>
        <v>X</v>
      </c>
      <c r="N94" s="350" t="str">
        <f t="shared" si="16"/>
        <v>X</v>
      </c>
      <c r="O94" s="350" t="str">
        <f t="shared" si="16"/>
        <v>X</v>
      </c>
      <c r="P94" s="350" t="str">
        <f t="shared" si="16"/>
        <v>X</v>
      </c>
      <c r="Q94" s="350" t="str">
        <f t="shared" si="16"/>
        <v>X</v>
      </c>
      <c r="R94" s="350" t="str">
        <f t="shared" si="16"/>
        <v>X</v>
      </c>
      <c r="S94" s="350" t="str">
        <f t="shared" si="16"/>
        <v>X</v>
      </c>
      <c r="T94" s="350" t="str">
        <f t="shared" si="16"/>
        <v>X</v>
      </c>
      <c r="U94" s="350" t="str">
        <f t="shared" si="16"/>
        <v>X</v>
      </c>
      <c r="V94" s="350" t="str">
        <f t="shared" si="16"/>
        <v>X</v>
      </c>
      <c r="W94" s="350" t="str">
        <f t="shared" si="15"/>
        <v>X</v>
      </c>
      <c r="X94" s="350" t="str">
        <f t="shared" si="15"/>
        <v>X</v>
      </c>
      <c r="Y94" s="350" t="str">
        <f t="shared" si="15"/>
        <v>X</v>
      </c>
      <c r="Z94" s="350" t="str">
        <f t="shared" si="15"/>
        <v>X</v>
      </c>
      <c r="AA94" s="350" t="str">
        <f t="shared" si="15"/>
        <v>X</v>
      </c>
      <c r="AB94" s="350" t="str">
        <f t="shared" si="15"/>
        <v>X</v>
      </c>
      <c r="AC94" s="350" t="str">
        <f t="shared" si="15"/>
        <v>X</v>
      </c>
      <c r="AD94" s="350" t="str">
        <f t="shared" si="15"/>
        <v>X</v>
      </c>
      <c r="AE94" s="350" t="str">
        <f t="shared" si="15"/>
        <v>X</v>
      </c>
      <c r="AF94" s="350" t="str">
        <f t="shared" si="15"/>
        <v>X</v>
      </c>
      <c r="AG94" s="350" t="str">
        <f t="shared" si="15"/>
        <v>X</v>
      </c>
      <c r="AH94" s="350" t="str">
        <f t="shared" si="15"/>
        <v>X</v>
      </c>
    </row>
    <row r="95" spans="1:34" x14ac:dyDescent="0.3">
      <c r="A95" s="364">
        <v>94</v>
      </c>
      <c r="B95" s="360">
        <f>'Valve Data'!B95</f>
        <v>0</v>
      </c>
      <c r="C95" s="349">
        <f>'Valve Data'!C95</f>
        <v>0</v>
      </c>
      <c r="D95" s="353" t="str">
        <f>IF('Valve Data'!D95=0,"",'Valve Data'!D95)</f>
        <v/>
      </c>
      <c r="E95" s="20">
        <f>'Valve Data'!E95</f>
        <v>0</v>
      </c>
      <c r="F95" s="358">
        <f>'Valve Data'!F95</f>
        <v>0</v>
      </c>
      <c r="G95" s="356" t="str">
        <f t="shared" si="16"/>
        <v>X</v>
      </c>
      <c r="H95" s="350" t="str">
        <f t="shared" si="16"/>
        <v>X</v>
      </c>
      <c r="I95" s="350" t="str">
        <f t="shared" si="16"/>
        <v>X</v>
      </c>
      <c r="J95" s="350" t="str">
        <f t="shared" si="16"/>
        <v>X</v>
      </c>
      <c r="K95" s="350" t="str">
        <f t="shared" si="16"/>
        <v>X</v>
      </c>
      <c r="L95" s="350" t="str">
        <f t="shared" si="16"/>
        <v>X</v>
      </c>
      <c r="M95" s="350" t="str">
        <f t="shared" si="16"/>
        <v>X</v>
      </c>
      <c r="N95" s="350" t="str">
        <f t="shared" si="16"/>
        <v>X</v>
      </c>
      <c r="O95" s="350" t="str">
        <f t="shared" si="16"/>
        <v>X</v>
      </c>
      <c r="P95" s="350" t="str">
        <f t="shared" si="16"/>
        <v>X</v>
      </c>
      <c r="Q95" s="350" t="str">
        <f t="shared" si="16"/>
        <v>X</v>
      </c>
      <c r="R95" s="350" t="str">
        <f t="shared" si="16"/>
        <v>X</v>
      </c>
      <c r="S95" s="350" t="str">
        <f t="shared" si="16"/>
        <v>X</v>
      </c>
      <c r="T95" s="350" t="str">
        <f t="shared" si="16"/>
        <v>X</v>
      </c>
      <c r="U95" s="350" t="str">
        <f t="shared" si="16"/>
        <v>X</v>
      </c>
      <c r="V95" s="350" t="str">
        <f t="shared" si="16"/>
        <v>X</v>
      </c>
      <c r="W95" s="350" t="str">
        <f t="shared" si="15"/>
        <v>X</v>
      </c>
      <c r="X95" s="350" t="str">
        <f t="shared" si="15"/>
        <v>X</v>
      </c>
      <c r="Y95" s="350" t="str">
        <f t="shared" si="15"/>
        <v>X</v>
      </c>
      <c r="Z95" s="350" t="str">
        <f t="shared" si="15"/>
        <v>X</v>
      </c>
      <c r="AA95" s="350" t="str">
        <f t="shared" si="15"/>
        <v>X</v>
      </c>
      <c r="AB95" s="350" t="str">
        <f t="shared" si="15"/>
        <v>X</v>
      </c>
      <c r="AC95" s="350" t="str">
        <f t="shared" si="15"/>
        <v>X</v>
      </c>
      <c r="AD95" s="350" t="str">
        <f t="shared" si="15"/>
        <v>X</v>
      </c>
      <c r="AE95" s="350" t="str">
        <f t="shared" si="15"/>
        <v>X</v>
      </c>
      <c r="AF95" s="350" t="str">
        <f t="shared" si="15"/>
        <v>X</v>
      </c>
      <c r="AG95" s="350" t="str">
        <f t="shared" si="15"/>
        <v>X</v>
      </c>
      <c r="AH95" s="350" t="str">
        <f t="shared" si="15"/>
        <v>X</v>
      </c>
    </row>
    <row r="96" spans="1:34" x14ac:dyDescent="0.3">
      <c r="A96" s="364">
        <v>95</v>
      </c>
      <c r="B96" s="360">
        <f>'Valve Data'!B96</f>
        <v>0</v>
      </c>
      <c r="C96" s="349">
        <f>'Valve Data'!C96</f>
        <v>0</v>
      </c>
      <c r="D96" s="353" t="str">
        <f>IF('Valve Data'!D96=0,"",'Valve Data'!D96)</f>
        <v/>
      </c>
      <c r="E96" s="20">
        <f>'Valve Data'!E96</f>
        <v>0</v>
      </c>
      <c r="F96" s="358">
        <f>'Valve Data'!F96</f>
        <v>0</v>
      </c>
      <c r="G96" s="356" t="str">
        <f t="shared" si="16"/>
        <v>X</v>
      </c>
      <c r="H96" s="350" t="str">
        <f t="shared" si="16"/>
        <v>X</v>
      </c>
      <c r="I96" s="350" t="str">
        <f t="shared" si="16"/>
        <v>X</v>
      </c>
      <c r="J96" s="350" t="str">
        <f t="shared" si="16"/>
        <v>X</v>
      </c>
      <c r="K96" s="350" t="str">
        <f t="shared" si="16"/>
        <v>X</v>
      </c>
      <c r="L96" s="350" t="str">
        <f t="shared" si="16"/>
        <v>X</v>
      </c>
      <c r="M96" s="350" t="str">
        <f t="shared" si="16"/>
        <v>X</v>
      </c>
      <c r="N96" s="350" t="str">
        <f t="shared" si="16"/>
        <v>X</v>
      </c>
      <c r="O96" s="350" t="str">
        <f t="shared" si="16"/>
        <v>X</v>
      </c>
      <c r="P96" s="350" t="str">
        <f t="shared" si="16"/>
        <v>X</v>
      </c>
      <c r="Q96" s="350" t="str">
        <f t="shared" si="16"/>
        <v>X</v>
      </c>
      <c r="R96" s="350" t="str">
        <f t="shared" si="16"/>
        <v>X</v>
      </c>
      <c r="S96" s="350" t="str">
        <f t="shared" si="16"/>
        <v>X</v>
      </c>
      <c r="T96" s="350" t="str">
        <f t="shared" si="16"/>
        <v>X</v>
      </c>
      <c r="U96" s="350" t="str">
        <f t="shared" si="16"/>
        <v>X</v>
      </c>
      <c r="V96" s="350" t="str">
        <f t="shared" si="16"/>
        <v>X</v>
      </c>
      <c r="W96" s="350" t="str">
        <f t="shared" si="15"/>
        <v>X</v>
      </c>
      <c r="X96" s="350" t="str">
        <f t="shared" si="15"/>
        <v>X</v>
      </c>
      <c r="Y96" s="350" t="str">
        <f t="shared" si="15"/>
        <v>X</v>
      </c>
      <c r="Z96" s="350" t="str">
        <f t="shared" si="15"/>
        <v>X</v>
      </c>
      <c r="AA96" s="350" t="str">
        <f t="shared" si="15"/>
        <v>X</v>
      </c>
      <c r="AB96" s="350" t="str">
        <f t="shared" si="15"/>
        <v>X</v>
      </c>
      <c r="AC96" s="350" t="str">
        <f t="shared" si="15"/>
        <v>X</v>
      </c>
      <c r="AD96" s="350" t="str">
        <f t="shared" si="15"/>
        <v>X</v>
      </c>
      <c r="AE96" s="350" t="str">
        <f t="shared" si="15"/>
        <v>X</v>
      </c>
      <c r="AF96" s="350" t="str">
        <f t="shared" si="15"/>
        <v>X</v>
      </c>
      <c r="AG96" s="350" t="str">
        <f t="shared" si="15"/>
        <v>X</v>
      </c>
      <c r="AH96" s="350" t="str">
        <f t="shared" si="15"/>
        <v>X</v>
      </c>
    </row>
    <row r="97" spans="1:34" x14ac:dyDescent="0.3">
      <c r="A97" s="364">
        <v>96</v>
      </c>
      <c r="B97" s="360">
        <f>'Valve Data'!B97</f>
        <v>0</v>
      </c>
      <c r="C97" s="349">
        <f>'Valve Data'!C97</f>
        <v>0</v>
      </c>
      <c r="D97" s="353" t="str">
        <f>IF('Valve Data'!D97=0,"",'Valve Data'!D97)</f>
        <v/>
      </c>
      <c r="E97" s="20">
        <f>'Valve Data'!E97</f>
        <v>0</v>
      </c>
      <c r="F97" s="358">
        <f>'Valve Data'!F97</f>
        <v>0</v>
      </c>
      <c r="G97" s="356" t="str">
        <f t="shared" si="16"/>
        <v>X</v>
      </c>
      <c r="H97" s="350" t="str">
        <f t="shared" si="16"/>
        <v>X</v>
      </c>
      <c r="I97" s="350" t="str">
        <f t="shared" si="16"/>
        <v>X</v>
      </c>
      <c r="J97" s="350" t="str">
        <f t="shared" si="16"/>
        <v>X</v>
      </c>
      <c r="K97" s="350" t="str">
        <f t="shared" si="16"/>
        <v>X</v>
      </c>
      <c r="L97" s="350" t="str">
        <f t="shared" si="16"/>
        <v>X</v>
      </c>
      <c r="M97" s="350" t="str">
        <f t="shared" si="16"/>
        <v>X</v>
      </c>
      <c r="N97" s="350" t="str">
        <f t="shared" si="16"/>
        <v>X</v>
      </c>
      <c r="O97" s="350" t="str">
        <f t="shared" si="16"/>
        <v>X</v>
      </c>
      <c r="P97" s="350" t="str">
        <f t="shared" si="16"/>
        <v>X</v>
      </c>
      <c r="Q97" s="350" t="str">
        <f t="shared" si="16"/>
        <v>X</v>
      </c>
      <c r="R97" s="350" t="str">
        <f t="shared" si="16"/>
        <v>X</v>
      </c>
      <c r="S97" s="350" t="str">
        <f t="shared" si="16"/>
        <v>X</v>
      </c>
      <c r="T97" s="350" t="str">
        <f t="shared" si="16"/>
        <v>X</v>
      </c>
      <c r="U97" s="350" t="str">
        <f t="shared" si="16"/>
        <v>X</v>
      </c>
      <c r="V97" s="350" t="str">
        <f t="shared" si="16"/>
        <v>X</v>
      </c>
      <c r="W97" s="350" t="str">
        <f t="shared" si="15"/>
        <v>X</v>
      </c>
      <c r="X97" s="350" t="str">
        <f t="shared" si="15"/>
        <v>X</v>
      </c>
      <c r="Y97" s="350" t="str">
        <f t="shared" si="15"/>
        <v>X</v>
      </c>
      <c r="Z97" s="350" t="str">
        <f t="shared" si="15"/>
        <v>X</v>
      </c>
      <c r="AA97" s="350" t="str">
        <f t="shared" si="15"/>
        <v>X</v>
      </c>
      <c r="AB97" s="350" t="str">
        <f t="shared" si="15"/>
        <v>X</v>
      </c>
      <c r="AC97" s="350" t="str">
        <f t="shared" si="15"/>
        <v>X</v>
      </c>
      <c r="AD97" s="350" t="str">
        <f t="shared" si="15"/>
        <v>X</v>
      </c>
      <c r="AE97" s="350" t="str">
        <f t="shared" si="15"/>
        <v>X</v>
      </c>
      <c r="AF97" s="350" t="str">
        <f t="shared" si="15"/>
        <v>X</v>
      </c>
      <c r="AG97" s="350" t="str">
        <f t="shared" si="15"/>
        <v>X</v>
      </c>
      <c r="AH97" s="350" t="str">
        <f t="shared" si="15"/>
        <v>X</v>
      </c>
    </row>
    <row r="98" spans="1:34" x14ac:dyDescent="0.3">
      <c r="A98" s="364">
        <v>97</v>
      </c>
      <c r="B98" s="360">
        <f>'Valve Data'!B98</f>
        <v>0</v>
      </c>
      <c r="C98" s="349">
        <f>'Valve Data'!C98</f>
        <v>0</v>
      </c>
      <c r="D98" s="353" t="str">
        <f>IF('Valve Data'!D98=0,"",'Valve Data'!D98)</f>
        <v/>
      </c>
      <c r="E98" s="20">
        <f>'Valve Data'!E98</f>
        <v>0</v>
      </c>
      <c r="F98" s="358">
        <f>'Valve Data'!F98</f>
        <v>0</v>
      </c>
      <c r="G98" s="356" t="str">
        <f t="shared" si="16"/>
        <v>X</v>
      </c>
      <c r="H98" s="350" t="str">
        <f t="shared" si="16"/>
        <v>X</v>
      </c>
      <c r="I98" s="350" t="str">
        <f t="shared" si="16"/>
        <v>X</v>
      </c>
      <c r="J98" s="350" t="str">
        <f t="shared" si="16"/>
        <v>X</v>
      </c>
      <c r="K98" s="350" t="str">
        <f t="shared" si="16"/>
        <v>X</v>
      </c>
      <c r="L98" s="350" t="str">
        <f t="shared" si="16"/>
        <v>X</v>
      </c>
      <c r="M98" s="350" t="str">
        <f t="shared" si="16"/>
        <v>X</v>
      </c>
      <c r="N98" s="350" t="str">
        <f t="shared" si="16"/>
        <v>X</v>
      </c>
      <c r="O98" s="350" t="str">
        <f t="shared" si="16"/>
        <v>X</v>
      </c>
      <c r="P98" s="350" t="str">
        <f t="shared" si="16"/>
        <v>X</v>
      </c>
      <c r="Q98" s="350" t="str">
        <f t="shared" si="16"/>
        <v>X</v>
      </c>
      <c r="R98" s="350" t="str">
        <f t="shared" si="16"/>
        <v>X</v>
      </c>
      <c r="S98" s="350" t="str">
        <f t="shared" si="16"/>
        <v>X</v>
      </c>
      <c r="T98" s="350" t="str">
        <f t="shared" si="16"/>
        <v>X</v>
      </c>
      <c r="U98" s="350" t="str">
        <f t="shared" si="16"/>
        <v>X</v>
      </c>
      <c r="V98" s="350" t="str">
        <f t="shared" ref="V98:AH101" si="17">IF(AND($E98&lt;=V$1,$F98&gt;=V$1),CONCATENATE($B98,".",$C98,".",$D98,".",V$1),"X")</f>
        <v>X</v>
      </c>
      <c r="W98" s="350" t="str">
        <f t="shared" si="17"/>
        <v>X</v>
      </c>
      <c r="X98" s="350" t="str">
        <f t="shared" si="17"/>
        <v>X</v>
      </c>
      <c r="Y98" s="350" t="str">
        <f t="shared" si="17"/>
        <v>X</v>
      </c>
      <c r="Z98" s="350" t="str">
        <f t="shared" si="17"/>
        <v>X</v>
      </c>
      <c r="AA98" s="350" t="str">
        <f t="shared" si="17"/>
        <v>X</v>
      </c>
      <c r="AB98" s="350" t="str">
        <f t="shared" si="17"/>
        <v>X</v>
      </c>
      <c r="AC98" s="350" t="str">
        <f t="shared" si="17"/>
        <v>X</v>
      </c>
      <c r="AD98" s="350" t="str">
        <f t="shared" si="17"/>
        <v>X</v>
      </c>
      <c r="AE98" s="350" t="str">
        <f t="shared" si="17"/>
        <v>X</v>
      </c>
      <c r="AF98" s="350" t="str">
        <f t="shared" si="17"/>
        <v>X</v>
      </c>
      <c r="AG98" s="350" t="str">
        <f t="shared" si="17"/>
        <v>X</v>
      </c>
      <c r="AH98" s="350" t="str">
        <f t="shared" si="17"/>
        <v>X</v>
      </c>
    </row>
    <row r="99" spans="1:34" x14ac:dyDescent="0.3">
      <c r="A99" s="364">
        <v>98</v>
      </c>
      <c r="B99" s="360">
        <f>'Valve Data'!B99</f>
        <v>0</v>
      </c>
      <c r="C99" s="349">
        <f>'Valve Data'!C99</f>
        <v>0</v>
      </c>
      <c r="D99" s="353" t="str">
        <f>IF('Valve Data'!D99=0,"",'Valve Data'!D99)</f>
        <v/>
      </c>
      <c r="E99" s="20">
        <f>'Valve Data'!E99</f>
        <v>0</v>
      </c>
      <c r="F99" s="358">
        <f>'Valve Data'!F99</f>
        <v>0</v>
      </c>
      <c r="G99" s="356" t="str">
        <f t="shared" ref="G99:V101" si="18">IF(AND($E99&lt;=G$1,$F99&gt;=G$1),CONCATENATE($B99,".",$C99,".",$D99,".",G$1),"X")</f>
        <v>X</v>
      </c>
      <c r="H99" s="350" t="str">
        <f t="shared" si="18"/>
        <v>X</v>
      </c>
      <c r="I99" s="350" t="str">
        <f t="shared" si="18"/>
        <v>X</v>
      </c>
      <c r="J99" s="350" t="str">
        <f t="shared" si="18"/>
        <v>X</v>
      </c>
      <c r="K99" s="350" t="str">
        <f t="shared" si="18"/>
        <v>X</v>
      </c>
      <c r="L99" s="350" t="str">
        <f t="shared" si="18"/>
        <v>X</v>
      </c>
      <c r="M99" s="350" t="str">
        <f t="shared" si="18"/>
        <v>X</v>
      </c>
      <c r="N99" s="350" t="str">
        <f t="shared" si="18"/>
        <v>X</v>
      </c>
      <c r="O99" s="350" t="str">
        <f t="shared" si="18"/>
        <v>X</v>
      </c>
      <c r="P99" s="350" t="str">
        <f t="shared" si="18"/>
        <v>X</v>
      </c>
      <c r="Q99" s="350" t="str">
        <f t="shared" si="18"/>
        <v>X</v>
      </c>
      <c r="R99" s="350" t="str">
        <f t="shared" si="18"/>
        <v>X</v>
      </c>
      <c r="S99" s="350" t="str">
        <f t="shared" si="18"/>
        <v>X</v>
      </c>
      <c r="T99" s="350" t="str">
        <f t="shared" si="18"/>
        <v>X</v>
      </c>
      <c r="U99" s="350" t="str">
        <f t="shared" si="18"/>
        <v>X</v>
      </c>
      <c r="V99" s="350" t="str">
        <f t="shared" si="18"/>
        <v>X</v>
      </c>
      <c r="W99" s="350" t="str">
        <f t="shared" si="17"/>
        <v>X</v>
      </c>
      <c r="X99" s="350" t="str">
        <f t="shared" si="17"/>
        <v>X</v>
      </c>
      <c r="Y99" s="350" t="str">
        <f t="shared" si="17"/>
        <v>X</v>
      </c>
      <c r="Z99" s="350" t="str">
        <f t="shared" si="17"/>
        <v>X</v>
      </c>
      <c r="AA99" s="350" t="str">
        <f t="shared" si="17"/>
        <v>X</v>
      </c>
      <c r="AB99" s="350" t="str">
        <f t="shared" si="17"/>
        <v>X</v>
      </c>
      <c r="AC99" s="350" t="str">
        <f t="shared" si="17"/>
        <v>X</v>
      </c>
      <c r="AD99" s="350" t="str">
        <f t="shared" si="17"/>
        <v>X</v>
      </c>
      <c r="AE99" s="350" t="str">
        <f t="shared" si="17"/>
        <v>X</v>
      </c>
      <c r="AF99" s="350" t="str">
        <f t="shared" si="17"/>
        <v>X</v>
      </c>
      <c r="AG99" s="350" t="str">
        <f t="shared" si="17"/>
        <v>X</v>
      </c>
      <c r="AH99" s="350" t="str">
        <f t="shared" si="17"/>
        <v>X</v>
      </c>
    </row>
    <row r="100" spans="1:34" x14ac:dyDescent="0.3">
      <c r="A100" s="364">
        <v>99</v>
      </c>
      <c r="B100" s="360">
        <f>'Valve Data'!B100</f>
        <v>0</v>
      </c>
      <c r="C100" s="349">
        <f>'Valve Data'!C100</f>
        <v>0</v>
      </c>
      <c r="D100" s="353" t="str">
        <f>IF('Valve Data'!D100=0,"",'Valve Data'!D100)</f>
        <v/>
      </c>
      <c r="E100" s="20">
        <f>'Valve Data'!E100</f>
        <v>0</v>
      </c>
      <c r="F100" s="358">
        <f>'Valve Data'!F100</f>
        <v>0</v>
      </c>
      <c r="G100" s="356" t="str">
        <f t="shared" si="18"/>
        <v>X</v>
      </c>
      <c r="H100" s="350" t="str">
        <f t="shared" si="18"/>
        <v>X</v>
      </c>
      <c r="I100" s="350" t="str">
        <f t="shared" si="18"/>
        <v>X</v>
      </c>
      <c r="J100" s="350" t="str">
        <f t="shared" si="18"/>
        <v>X</v>
      </c>
      <c r="K100" s="350" t="str">
        <f t="shared" si="18"/>
        <v>X</v>
      </c>
      <c r="L100" s="350" t="str">
        <f t="shared" si="18"/>
        <v>X</v>
      </c>
      <c r="M100" s="350" t="str">
        <f t="shared" si="18"/>
        <v>X</v>
      </c>
      <c r="N100" s="350" t="str">
        <f t="shared" si="18"/>
        <v>X</v>
      </c>
      <c r="O100" s="350" t="str">
        <f t="shared" si="18"/>
        <v>X</v>
      </c>
      <c r="P100" s="350" t="str">
        <f t="shared" si="18"/>
        <v>X</v>
      </c>
      <c r="Q100" s="350" t="str">
        <f t="shared" si="18"/>
        <v>X</v>
      </c>
      <c r="R100" s="350" t="str">
        <f t="shared" si="18"/>
        <v>X</v>
      </c>
      <c r="S100" s="350" t="str">
        <f t="shared" si="18"/>
        <v>X</v>
      </c>
      <c r="T100" s="350" t="str">
        <f t="shared" si="18"/>
        <v>X</v>
      </c>
      <c r="U100" s="350" t="str">
        <f t="shared" si="18"/>
        <v>X</v>
      </c>
      <c r="V100" s="350" t="str">
        <f t="shared" si="18"/>
        <v>X</v>
      </c>
      <c r="W100" s="350" t="str">
        <f t="shared" si="17"/>
        <v>X</v>
      </c>
      <c r="X100" s="350" t="str">
        <f t="shared" si="17"/>
        <v>X</v>
      </c>
      <c r="Y100" s="350" t="str">
        <f t="shared" si="17"/>
        <v>X</v>
      </c>
      <c r="Z100" s="350" t="str">
        <f t="shared" si="17"/>
        <v>X</v>
      </c>
      <c r="AA100" s="350" t="str">
        <f t="shared" si="17"/>
        <v>X</v>
      </c>
      <c r="AB100" s="350" t="str">
        <f t="shared" si="17"/>
        <v>X</v>
      </c>
      <c r="AC100" s="350" t="str">
        <f t="shared" si="17"/>
        <v>X</v>
      </c>
      <c r="AD100" s="350" t="str">
        <f t="shared" si="17"/>
        <v>X</v>
      </c>
      <c r="AE100" s="350" t="str">
        <f t="shared" si="17"/>
        <v>X</v>
      </c>
      <c r="AF100" s="350" t="str">
        <f t="shared" si="17"/>
        <v>X</v>
      </c>
      <c r="AG100" s="350" t="str">
        <f t="shared" si="17"/>
        <v>X</v>
      </c>
      <c r="AH100" s="350" t="str">
        <f t="shared" si="17"/>
        <v>X</v>
      </c>
    </row>
    <row r="101" spans="1:34" ht="15" thickBot="1" x14ac:dyDescent="0.35">
      <c r="A101" s="365">
        <v>100</v>
      </c>
      <c r="B101" s="361">
        <f>'Valve Data'!B101</f>
        <v>0</v>
      </c>
      <c r="C101" s="278">
        <f>'Valve Data'!C101</f>
        <v>0</v>
      </c>
      <c r="D101" s="354" t="str">
        <f>IF('Valve Data'!D101=0,"",'Valve Data'!D101)</f>
        <v/>
      </c>
      <c r="E101" s="22">
        <f>'Valve Data'!E101</f>
        <v>0</v>
      </c>
      <c r="F101" s="277">
        <f>'Valve Data'!F101</f>
        <v>0</v>
      </c>
      <c r="G101" s="357" t="str">
        <f t="shared" si="18"/>
        <v>X</v>
      </c>
      <c r="H101" s="351" t="str">
        <f t="shared" si="18"/>
        <v>X</v>
      </c>
      <c r="I101" s="351" t="str">
        <f t="shared" si="18"/>
        <v>X</v>
      </c>
      <c r="J101" s="351" t="str">
        <f t="shared" si="18"/>
        <v>X</v>
      </c>
      <c r="K101" s="351" t="str">
        <f t="shared" si="18"/>
        <v>X</v>
      </c>
      <c r="L101" s="351" t="str">
        <f t="shared" si="18"/>
        <v>X</v>
      </c>
      <c r="M101" s="351" t="str">
        <f t="shared" si="18"/>
        <v>X</v>
      </c>
      <c r="N101" s="351" t="str">
        <f t="shared" si="18"/>
        <v>X</v>
      </c>
      <c r="O101" s="351" t="str">
        <f t="shared" si="18"/>
        <v>X</v>
      </c>
      <c r="P101" s="351" t="str">
        <f t="shared" si="18"/>
        <v>X</v>
      </c>
      <c r="Q101" s="351" t="str">
        <f t="shared" si="18"/>
        <v>X</v>
      </c>
      <c r="R101" s="351" t="str">
        <f t="shared" si="18"/>
        <v>X</v>
      </c>
      <c r="S101" s="351" t="str">
        <f t="shared" si="18"/>
        <v>X</v>
      </c>
      <c r="T101" s="351" t="str">
        <f t="shared" si="18"/>
        <v>X</v>
      </c>
      <c r="U101" s="351" t="str">
        <f t="shared" si="18"/>
        <v>X</v>
      </c>
      <c r="V101" s="351" t="str">
        <f t="shared" si="18"/>
        <v>X</v>
      </c>
      <c r="W101" s="351" t="str">
        <f t="shared" si="17"/>
        <v>X</v>
      </c>
      <c r="X101" s="351" t="str">
        <f t="shared" si="17"/>
        <v>X</v>
      </c>
      <c r="Y101" s="351" t="str">
        <f t="shared" si="17"/>
        <v>X</v>
      </c>
      <c r="Z101" s="351" t="str">
        <f t="shared" si="17"/>
        <v>X</v>
      </c>
      <c r="AA101" s="351" t="str">
        <f t="shared" si="17"/>
        <v>X</v>
      </c>
      <c r="AB101" s="351" t="str">
        <f t="shared" si="17"/>
        <v>X</v>
      </c>
      <c r="AC101" s="351" t="str">
        <f t="shared" si="17"/>
        <v>X</v>
      </c>
      <c r="AD101" s="351" t="str">
        <f t="shared" si="17"/>
        <v>X</v>
      </c>
      <c r="AE101" s="351" t="str">
        <f t="shared" si="17"/>
        <v>X</v>
      </c>
      <c r="AF101" s="351" t="str">
        <f t="shared" si="17"/>
        <v>X</v>
      </c>
      <c r="AG101" s="351" t="str">
        <f t="shared" si="17"/>
        <v>X</v>
      </c>
      <c r="AH101" s="351" t="str">
        <f t="shared" si="17"/>
        <v>X</v>
      </c>
    </row>
  </sheetData>
  <pageMargins left="0.7" right="0.7" top="0.75" bottom="0.75" header="0.3" footer="0.3"/>
  <pageSetup paperSize="9" scale="12" orientation="portrait" r:id="rId1"/>
  <headerFooter>
    <oddHeader>&amp;R&amp;"Calibri"&amp;8 Document classified as: 2 - Company Confidential&amp;1#</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Foglio22">
    <tabColor rgb="FFFF0000"/>
    <pageSetUpPr fitToPage="1"/>
  </sheetPr>
  <dimension ref="A1:AB133"/>
  <sheetViews>
    <sheetView workbookViewId="0"/>
  </sheetViews>
  <sheetFormatPr defaultRowHeight="14.4" x14ac:dyDescent="0.3"/>
  <cols>
    <col min="1" max="1" width="13.44140625" customWidth="1"/>
    <col min="2" max="2" width="12.77734375" customWidth="1"/>
    <col min="23" max="23" width="13.44140625" style="4" customWidth="1"/>
    <col min="24" max="24" width="10.77734375" style="4" customWidth="1"/>
    <col min="25" max="25" width="9.21875" style="3"/>
    <col min="26" max="26" width="10.77734375" style="4" customWidth="1"/>
  </cols>
  <sheetData>
    <row r="1" spans="1:28" ht="31.5" customHeight="1" thickBot="1" x14ac:dyDescent="0.35">
      <c r="A1" s="104" t="s">
        <v>3667</v>
      </c>
      <c r="B1" s="105"/>
      <c r="C1" s="105"/>
      <c r="D1" s="105"/>
      <c r="E1" s="105"/>
      <c r="F1" s="105"/>
      <c r="G1" s="105"/>
      <c r="H1" s="105"/>
      <c r="I1" s="105"/>
      <c r="J1" s="105"/>
      <c r="K1" s="105"/>
      <c r="L1" s="105"/>
      <c r="M1" s="105"/>
      <c r="N1" s="105"/>
      <c r="O1" s="105"/>
      <c r="P1" s="106"/>
    </row>
    <row r="2" spans="1:28" ht="28.8" x14ac:dyDescent="0.3">
      <c r="A2" s="1863" t="s">
        <v>3668</v>
      </c>
      <c r="B2" s="1856" t="s">
        <v>3669</v>
      </c>
      <c r="C2" s="1856" t="s">
        <v>3670</v>
      </c>
      <c r="D2" s="1856"/>
      <c r="E2" s="1856"/>
      <c r="F2" s="1856"/>
      <c r="G2" s="1856"/>
      <c r="H2" s="90" t="s">
        <v>3671</v>
      </c>
      <c r="I2" s="1856" t="s">
        <v>3672</v>
      </c>
      <c r="J2" s="1856"/>
      <c r="K2" s="1856"/>
      <c r="L2" s="1856"/>
      <c r="M2" s="1856"/>
      <c r="N2" s="1856" t="s">
        <v>311</v>
      </c>
      <c r="O2" s="1856"/>
      <c r="P2" s="1857"/>
      <c r="Z2" s="5"/>
      <c r="AA2" s="5"/>
      <c r="AB2" s="5"/>
    </row>
    <row r="3" spans="1:28" ht="29.4" thickBot="1" x14ac:dyDescent="0.35">
      <c r="A3" s="1864"/>
      <c r="B3" s="1862"/>
      <c r="C3" s="23" t="s">
        <v>3673</v>
      </c>
      <c r="D3" s="23" t="s">
        <v>414</v>
      </c>
      <c r="E3" s="23" t="s">
        <v>3674</v>
      </c>
      <c r="F3" s="23" t="s">
        <v>3675</v>
      </c>
      <c r="G3" s="23" t="s">
        <v>3676</v>
      </c>
      <c r="H3" s="23" t="s">
        <v>12</v>
      </c>
      <c r="I3" s="23" t="s">
        <v>3677</v>
      </c>
      <c r="J3" s="23" t="s">
        <v>3678</v>
      </c>
      <c r="K3" s="23" t="s">
        <v>3679</v>
      </c>
      <c r="L3" s="23" t="s">
        <v>3680</v>
      </c>
      <c r="M3" s="23" t="s">
        <v>3681</v>
      </c>
      <c r="N3" s="23" t="s">
        <v>3682</v>
      </c>
      <c r="O3" s="23" t="s">
        <v>13</v>
      </c>
      <c r="P3" s="100" t="s">
        <v>3683</v>
      </c>
      <c r="Z3" s="5"/>
      <c r="AA3" s="5"/>
      <c r="AB3" s="5"/>
    </row>
    <row r="4" spans="1:28" ht="15" thickBot="1" x14ac:dyDescent="0.35">
      <c r="A4" s="101"/>
      <c r="B4" s="102" t="s">
        <v>307</v>
      </c>
      <c r="C4" s="102" t="s">
        <v>93</v>
      </c>
      <c r="D4" s="102" t="s">
        <v>93</v>
      </c>
      <c r="E4" s="102" t="s">
        <v>93</v>
      </c>
      <c r="F4" s="102" t="s">
        <v>93</v>
      </c>
      <c r="G4" s="102" t="s">
        <v>93</v>
      </c>
      <c r="H4" s="102" t="s">
        <v>3684</v>
      </c>
      <c r="I4" s="102" t="s">
        <v>93</v>
      </c>
      <c r="J4" s="102" t="s">
        <v>93</v>
      </c>
      <c r="K4" s="102"/>
      <c r="L4" s="102" t="s">
        <v>93</v>
      </c>
      <c r="M4" s="102"/>
      <c r="N4" s="102" t="s">
        <v>3685</v>
      </c>
      <c r="O4" s="102" t="s">
        <v>3685</v>
      </c>
      <c r="P4" s="103" t="s">
        <v>1663</v>
      </c>
      <c r="Z4" s="5"/>
      <c r="AA4" s="5"/>
      <c r="AB4" s="5"/>
    </row>
    <row r="5" spans="1:28" x14ac:dyDescent="0.3">
      <c r="A5" s="97" t="s">
        <v>3686</v>
      </c>
      <c r="B5" s="19">
        <v>16.7</v>
      </c>
      <c r="C5" s="19">
        <v>100</v>
      </c>
      <c r="D5" s="19">
        <v>96</v>
      </c>
      <c r="E5" s="19">
        <v>5</v>
      </c>
      <c r="F5" s="19">
        <v>8</v>
      </c>
      <c r="G5" s="19">
        <v>12</v>
      </c>
      <c r="H5" s="19">
        <v>21.2</v>
      </c>
      <c r="I5" s="19">
        <v>80</v>
      </c>
      <c r="J5" s="19">
        <v>56</v>
      </c>
      <c r="K5" s="19" t="s">
        <v>3687</v>
      </c>
      <c r="L5" s="19">
        <v>54</v>
      </c>
      <c r="M5" s="19">
        <v>58</v>
      </c>
      <c r="N5" s="98">
        <v>0.56100000000000005</v>
      </c>
      <c r="O5" s="98">
        <v>33.68</v>
      </c>
      <c r="P5" s="99">
        <f>N5/B5</f>
        <v>3.3592814371257489E-2</v>
      </c>
      <c r="Z5" s="5"/>
      <c r="AA5" s="5"/>
      <c r="AB5" s="5"/>
    </row>
    <row r="6" spans="1:28" x14ac:dyDescent="0.3">
      <c r="A6" s="91" t="s">
        <v>1679</v>
      </c>
      <c r="B6" s="21">
        <v>19.899999999999999</v>
      </c>
      <c r="C6" s="21">
        <v>120</v>
      </c>
      <c r="D6" s="21">
        <v>114</v>
      </c>
      <c r="E6" s="21">
        <v>5</v>
      </c>
      <c r="F6" s="21">
        <v>8</v>
      </c>
      <c r="G6" s="21">
        <v>12</v>
      </c>
      <c r="H6" s="21">
        <v>25.3</v>
      </c>
      <c r="I6" s="21">
        <v>98</v>
      </c>
      <c r="J6" s="21">
        <v>74</v>
      </c>
      <c r="K6" s="21" t="s">
        <v>1695</v>
      </c>
      <c r="L6" s="21">
        <v>58</v>
      </c>
      <c r="M6" s="21">
        <v>68</v>
      </c>
      <c r="N6" s="92">
        <v>0.67700000000000005</v>
      </c>
      <c r="O6" s="92">
        <v>34.06</v>
      </c>
      <c r="P6" s="93">
        <f t="shared" ref="P6:P69" si="0">N6/B6</f>
        <v>3.4020100502512571E-2</v>
      </c>
      <c r="Z6" s="5"/>
      <c r="AA6" s="5"/>
      <c r="AB6" s="5"/>
    </row>
    <row r="7" spans="1:28" x14ac:dyDescent="0.3">
      <c r="A7" s="91" t="s">
        <v>1665</v>
      </c>
      <c r="B7" s="21">
        <v>24.7</v>
      </c>
      <c r="C7" s="21">
        <v>140</v>
      </c>
      <c r="D7" s="21">
        <v>133</v>
      </c>
      <c r="E7" s="21">
        <v>5.5</v>
      </c>
      <c r="F7" s="21">
        <v>8.5</v>
      </c>
      <c r="G7" s="21">
        <v>12</v>
      </c>
      <c r="H7" s="21">
        <v>31.4</v>
      </c>
      <c r="I7" s="21">
        <v>116</v>
      </c>
      <c r="J7" s="21">
        <v>92</v>
      </c>
      <c r="K7" s="21" t="s">
        <v>1697</v>
      </c>
      <c r="L7" s="21">
        <v>64</v>
      </c>
      <c r="M7" s="21">
        <v>76</v>
      </c>
      <c r="N7" s="92">
        <v>0.79400000000000004</v>
      </c>
      <c r="O7" s="92">
        <v>32.21</v>
      </c>
      <c r="P7" s="93">
        <f t="shared" si="0"/>
        <v>3.2145748987854252E-2</v>
      </c>
      <c r="Z7" s="5"/>
      <c r="AA7" s="6"/>
    </row>
    <row r="8" spans="1:28" x14ac:dyDescent="0.3">
      <c r="A8" s="91" t="s">
        <v>3688</v>
      </c>
      <c r="B8" s="21">
        <v>30.4</v>
      </c>
      <c r="C8" s="21">
        <v>160</v>
      </c>
      <c r="D8" s="21">
        <v>152</v>
      </c>
      <c r="E8" s="21">
        <v>6</v>
      </c>
      <c r="F8" s="21">
        <v>9</v>
      </c>
      <c r="G8" s="21">
        <v>15</v>
      </c>
      <c r="H8" s="21">
        <v>38.799999999999997</v>
      </c>
      <c r="I8" s="21">
        <v>134</v>
      </c>
      <c r="J8" s="21">
        <v>104</v>
      </c>
      <c r="K8" s="21" t="s">
        <v>1699</v>
      </c>
      <c r="L8" s="21">
        <v>78</v>
      </c>
      <c r="M8" s="21">
        <v>84</v>
      </c>
      <c r="N8" s="92">
        <v>0.90600000000000003</v>
      </c>
      <c r="O8" s="92">
        <v>29.78</v>
      </c>
      <c r="P8" s="93">
        <f t="shared" si="0"/>
        <v>2.9802631578947372E-2</v>
      </c>
      <c r="Z8" s="5"/>
      <c r="AA8" s="6"/>
    </row>
    <row r="9" spans="1:28" x14ac:dyDescent="0.3">
      <c r="A9" s="91" t="s">
        <v>3689</v>
      </c>
      <c r="B9" s="21">
        <v>35.5</v>
      </c>
      <c r="C9" s="21">
        <v>180</v>
      </c>
      <c r="D9" s="21">
        <v>171</v>
      </c>
      <c r="E9" s="21">
        <v>6</v>
      </c>
      <c r="F9" s="21">
        <v>9.5</v>
      </c>
      <c r="G9" s="21">
        <v>15</v>
      </c>
      <c r="H9" s="21">
        <v>45.3</v>
      </c>
      <c r="I9" s="21">
        <v>152</v>
      </c>
      <c r="J9" s="21">
        <v>122</v>
      </c>
      <c r="K9" s="21" t="s">
        <v>1701</v>
      </c>
      <c r="L9" s="21">
        <v>86</v>
      </c>
      <c r="M9" s="21">
        <v>92</v>
      </c>
      <c r="N9" s="92">
        <v>1.024</v>
      </c>
      <c r="O9" s="92">
        <v>28.83</v>
      </c>
      <c r="P9" s="93">
        <f t="shared" si="0"/>
        <v>2.8845070422535212E-2</v>
      </c>
      <c r="Z9" s="5"/>
      <c r="AA9" s="6"/>
    </row>
    <row r="10" spans="1:28" x14ac:dyDescent="0.3">
      <c r="A10" s="91" t="s">
        <v>1670</v>
      </c>
      <c r="B10" s="21">
        <v>42.3</v>
      </c>
      <c r="C10" s="21">
        <v>200</v>
      </c>
      <c r="D10" s="21">
        <v>190</v>
      </c>
      <c r="E10" s="21">
        <v>6.5</v>
      </c>
      <c r="F10" s="21">
        <v>10</v>
      </c>
      <c r="G10" s="21">
        <v>18</v>
      </c>
      <c r="H10" s="21">
        <v>53.8</v>
      </c>
      <c r="I10" s="21">
        <v>170</v>
      </c>
      <c r="J10" s="21">
        <v>134</v>
      </c>
      <c r="K10" s="21" t="s">
        <v>1702</v>
      </c>
      <c r="L10" s="21">
        <v>98</v>
      </c>
      <c r="M10" s="21">
        <v>100</v>
      </c>
      <c r="N10" s="92">
        <v>1.1359999999999999</v>
      </c>
      <c r="O10" s="92">
        <v>26.89</v>
      </c>
      <c r="P10" s="93">
        <f t="shared" si="0"/>
        <v>2.6855791962174941E-2</v>
      </c>
      <c r="Z10" s="5"/>
      <c r="AA10" s="6"/>
    </row>
    <row r="11" spans="1:28" x14ac:dyDescent="0.3">
      <c r="A11" s="91" t="s">
        <v>3690</v>
      </c>
      <c r="B11" s="21">
        <v>50.5</v>
      </c>
      <c r="C11" s="21">
        <v>220</v>
      </c>
      <c r="D11" s="21">
        <v>210</v>
      </c>
      <c r="E11" s="21">
        <v>7</v>
      </c>
      <c r="F11" s="21">
        <v>11</v>
      </c>
      <c r="G11" s="21">
        <v>18</v>
      </c>
      <c r="H11" s="21">
        <v>64.3</v>
      </c>
      <c r="I11" s="21">
        <v>188</v>
      </c>
      <c r="J11" s="21">
        <v>152</v>
      </c>
      <c r="K11" s="21" t="s">
        <v>1702</v>
      </c>
      <c r="L11" s="21">
        <v>98</v>
      </c>
      <c r="M11" s="21">
        <v>118</v>
      </c>
      <c r="N11" s="92">
        <v>1.2549999999999999</v>
      </c>
      <c r="O11" s="92">
        <v>24.85</v>
      </c>
      <c r="P11" s="93">
        <f t="shared" si="0"/>
        <v>2.4851485148514849E-2</v>
      </c>
      <c r="Z11" s="5"/>
      <c r="AA11" s="6"/>
    </row>
    <row r="12" spans="1:28" x14ac:dyDescent="0.3">
      <c r="A12" s="91" t="s">
        <v>3691</v>
      </c>
      <c r="B12" s="21">
        <v>60.3</v>
      </c>
      <c r="C12" s="21">
        <v>240</v>
      </c>
      <c r="D12" s="21">
        <v>230</v>
      </c>
      <c r="E12" s="21">
        <v>7.5</v>
      </c>
      <c r="F12" s="21">
        <v>12</v>
      </c>
      <c r="G12" s="21">
        <v>21</v>
      </c>
      <c r="H12" s="21">
        <v>76.8</v>
      </c>
      <c r="I12" s="21">
        <v>206</v>
      </c>
      <c r="J12" s="21">
        <v>164</v>
      </c>
      <c r="K12" s="21" t="s">
        <v>1702</v>
      </c>
      <c r="L12" s="21">
        <v>104</v>
      </c>
      <c r="M12" s="21">
        <v>138</v>
      </c>
      <c r="N12" s="92">
        <v>1.369</v>
      </c>
      <c r="O12" s="92">
        <v>22.7</v>
      </c>
      <c r="P12" s="93">
        <f t="shared" si="0"/>
        <v>2.2703150912106135E-2</v>
      </c>
      <c r="Z12" s="5"/>
      <c r="AA12" s="6"/>
    </row>
    <row r="13" spans="1:28" x14ac:dyDescent="0.3">
      <c r="A13" s="91" t="s">
        <v>3692</v>
      </c>
      <c r="B13" s="21">
        <v>68.2</v>
      </c>
      <c r="C13" s="21">
        <v>260</v>
      </c>
      <c r="D13" s="21">
        <v>250</v>
      </c>
      <c r="E13" s="21">
        <v>7.5</v>
      </c>
      <c r="F13" s="21">
        <v>12.5</v>
      </c>
      <c r="G13" s="21">
        <v>24</v>
      </c>
      <c r="H13" s="21">
        <v>86.8</v>
      </c>
      <c r="I13" s="21">
        <v>225</v>
      </c>
      <c r="J13" s="21">
        <v>177</v>
      </c>
      <c r="K13" s="21" t="s">
        <v>1702</v>
      </c>
      <c r="L13" s="21">
        <v>110</v>
      </c>
      <c r="M13" s="21">
        <v>158</v>
      </c>
      <c r="N13" s="92">
        <v>1.484</v>
      </c>
      <c r="O13" s="92">
        <v>21.77</v>
      </c>
      <c r="P13" s="93">
        <f t="shared" si="0"/>
        <v>2.1759530791788856E-2</v>
      </c>
      <c r="Z13" s="5"/>
      <c r="AA13" s="6"/>
    </row>
    <row r="14" spans="1:28" x14ac:dyDescent="0.3">
      <c r="A14" s="91" t="s">
        <v>3693</v>
      </c>
      <c r="B14" s="21">
        <v>76.400000000000006</v>
      </c>
      <c r="C14" s="21">
        <v>280</v>
      </c>
      <c r="D14" s="21">
        <v>270</v>
      </c>
      <c r="E14" s="21">
        <v>8</v>
      </c>
      <c r="F14" s="21">
        <v>13</v>
      </c>
      <c r="G14" s="21">
        <v>24</v>
      </c>
      <c r="H14" s="21">
        <v>97.3</v>
      </c>
      <c r="I14" s="21">
        <v>244</v>
      </c>
      <c r="J14" s="21">
        <v>196</v>
      </c>
      <c r="K14" s="21" t="s">
        <v>1702</v>
      </c>
      <c r="L14" s="21">
        <v>112</v>
      </c>
      <c r="M14" s="21">
        <v>178</v>
      </c>
      <c r="N14" s="92">
        <v>1.603</v>
      </c>
      <c r="O14" s="92">
        <v>20.99</v>
      </c>
      <c r="P14" s="93">
        <f t="shared" si="0"/>
        <v>2.0981675392670155E-2</v>
      </c>
      <c r="Z14" s="5"/>
      <c r="AA14" s="6"/>
    </row>
    <row r="15" spans="1:28" x14ac:dyDescent="0.3">
      <c r="A15" s="91" t="s">
        <v>1666</v>
      </c>
      <c r="B15" s="21">
        <v>88.3</v>
      </c>
      <c r="C15" s="21">
        <v>300</v>
      </c>
      <c r="D15" s="21">
        <v>290</v>
      </c>
      <c r="E15" s="21">
        <v>8.5</v>
      </c>
      <c r="F15" s="21">
        <v>14</v>
      </c>
      <c r="G15" s="21">
        <v>27</v>
      </c>
      <c r="H15" s="21">
        <v>112.5</v>
      </c>
      <c r="I15" s="21">
        <v>262</v>
      </c>
      <c r="J15" s="21">
        <v>208</v>
      </c>
      <c r="K15" s="21" t="s">
        <v>1702</v>
      </c>
      <c r="L15" s="21">
        <v>118</v>
      </c>
      <c r="M15" s="21">
        <v>198</v>
      </c>
      <c r="N15" s="92">
        <v>1.7170000000000001</v>
      </c>
      <c r="O15" s="92">
        <v>19.43</v>
      </c>
      <c r="P15" s="93">
        <f t="shared" si="0"/>
        <v>1.9445073612684032E-2</v>
      </c>
      <c r="Z15" s="5"/>
      <c r="AA15" s="6"/>
    </row>
    <row r="16" spans="1:28" x14ac:dyDescent="0.3">
      <c r="A16" s="91" t="s">
        <v>1674</v>
      </c>
      <c r="B16" s="21">
        <v>97.6</v>
      </c>
      <c r="C16" s="21">
        <v>300</v>
      </c>
      <c r="D16" s="21">
        <v>310</v>
      </c>
      <c r="E16" s="21">
        <v>9</v>
      </c>
      <c r="F16" s="21">
        <v>15.5</v>
      </c>
      <c r="G16" s="21">
        <v>27</v>
      </c>
      <c r="H16" s="21">
        <v>124.4</v>
      </c>
      <c r="I16" s="21">
        <v>279</v>
      </c>
      <c r="J16" s="21">
        <v>225</v>
      </c>
      <c r="K16" s="21" t="s">
        <v>1702</v>
      </c>
      <c r="L16" s="21">
        <v>118</v>
      </c>
      <c r="M16" s="21">
        <v>198</v>
      </c>
      <c r="N16" s="92">
        <v>1.756</v>
      </c>
      <c r="O16" s="92">
        <v>17.98</v>
      </c>
      <c r="P16" s="93">
        <f t="shared" si="0"/>
        <v>1.7991803278688524E-2</v>
      </c>
    </row>
    <row r="17" spans="1:16" x14ac:dyDescent="0.3">
      <c r="A17" s="91" t="s">
        <v>3694</v>
      </c>
      <c r="B17" s="21">
        <v>105</v>
      </c>
      <c r="C17" s="21">
        <v>300</v>
      </c>
      <c r="D17" s="21">
        <v>330</v>
      </c>
      <c r="E17" s="21">
        <v>9.5</v>
      </c>
      <c r="F17" s="21">
        <v>16.5</v>
      </c>
      <c r="G17" s="21">
        <v>27</v>
      </c>
      <c r="H17" s="21">
        <v>133.5</v>
      </c>
      <c r="I17" s="21">
        <v>297</v>
      </c>
      <c r="J17" s="21">
        <v>243</v>
      </c>
      <c r="K17" s="21" t="s">
        <v>1702</v>
      </c>
      <c r="L17" s="21">
        <v>118</v>
      </c>
      <c r="M17" s="21">
        <v>198</v>
      </c>
      <c r="N17" s="92">
        <v>1.7949999999999999</v>
      </c>
      <c r="O17" s="92">
        <v>17.13</v>
      </c>
      <c r="P17" s="93">
        <f t="shared" si="0"/>
        <v>1.7095238095238094E-2</v>
      </c>
    </row>
    <row r="18" spans="1:16" x14ac:dyDescent="0.3">
      <c r="A18" s="91" t="s">
        <v>3695</v>
      </c>
      <c r="B18" s="21">
        <v>112</v>
      </c>
      <c r="C18" s="21">
        <v>300</v>
      </c>
      <c r="D18" s="21">
        <v>350</v>
      </c>
      <c r="E18" s="21">
        <v>10</v>
      </c>
      <c r="F18" s="21">
        <v>17.5</v>
      </c>
      <c r="G18" s="21">
        <v>27</v>
      </c>
      <c r="H18" s="21">
        <v>142.80000000000001</v>
      </c>
      <c r="I18" s="21">
        <v>315</v>
      </c>
      <c r="J18" s="21">
        <v>261</v>
      </c>
      <c r="K18" s="21" t="s">
        <v>1702</v>
      </c>
      <c r="L18" s="21">
        <v>120</v>
      </c>
      <c r="M18" s="21">
        <v>198</v>
      </c>
      <c r="N18" s="92">
        <v>1.8340000000000001</v>
      </c>
      <c r="O18" s="92">
        <v>16.36</v>
      </c>
      <c r="P18" s="93">
        <f t="shared" si="0"/>
        <v>1.6375000000000001E-2</v>
      </c>
    </row>
    <row r="19" spans="1:16" x14ac:dyDescent="0.3">
      <c r="A19" s="91" t="s">
        <v>3696</v>
      </c>
      <c r="B19" s="21">
        <v>125</v>
      </c>
      <c r="C19" s="21">
        <v>300</v>
      </c>
      <c r="D19" s="21">
        <v>390</v>
      </c>
      <c r="E19" s="21">
        <v>11</v>
      </c>
      <c r="F19" s="21">
        <v>19</v>
      </c>
      <c r="G19" s="21">
        <v>27</v>
      </c>
      <c r="H19" s="21">
        <v>159</v>
      </c>
      <c r="I19" s="21">
        <v>352</v>
      </c>
      <c r="J19" s="21">
        <v>298</v>
      </c>
      <c r="K19" s="21" t="s">
        <v>1702</v>
      </c>
      <c r="L19" s="21">
        <v>120</v>
      </c>
      <c r="M19" s="21">
        <v>198</v>
      </c>
      <c r="N19" s="92">
        <v>1.9119999999999999</v>
      </c>
      <c r="O19" s="92">
        <v>15.32</v>
      </c>
      <c r="P19" s="93">
        <f t="shared" si="0"/>
        <v>1.5295999999999999E-2</v>
      </c>
    </row>
    <row r="20" spans="1:16" x14ac:dyDescent="0.3">
      <c r="A20" s="91" t="s">
        <v>3697</v>
      </c>
      <c r="B20" s="21">
        <v>140</v>
      </c>
      <c r="C20" s="21">
        <v>300</v>
      </c>
      <c r="D20" s="21">
        <v>440</v>
      </c>
      <c r="E20" s="21">
        <v>11.5</v>
      </c>
      <c r="F20" s="21">
        <v>21</v>
      </c>
      <c r="G20" s="21">
        <v>27</v>
      </c>
      <c r="H20" s="21">
        <v>178</v>
      </c>
      <c r="I20" s="21">
        <v>398</v>
      </c>
      <c r="J20" s="21">
        <v>344</v>
      </c>
      <c r="K20" s="21" t="s">
        <v>1702</v>
      </c>
      <c r="L20" s="21">
        <v>122</v>
      </c>
      <c r="M20" s="21">
        <v>198</v>
      </c>
      <c r="N20" s="92">
        <v>2.0110000000000001</v>
      </c>
      <c r="O20" s="92">
        <v>14.39</v>
      </c>
      <c r="P20" s="93">
        <f t="shared" si="0"/>
        <v>1.4364285714285715E-2</v>
      </c>
    </row>
    <row r="21" spans="1:16" x14ac:dyDescent="0.3">
      <c r="A21" s="91" t="s">
        <v>3698</v>
      </c>
      <c r="B21" s="21">
        <v>155</v>
      </c>
      <c r="C21" s="21">
        <v>300</v>
      </c>
      <c r="D21" s="21">
        <v>490</v>
      </c>
      <c r="E21" s="21">
        <v>12</v>
      </c>
      <c r="F21" s="21">
        <v>23</v>
      </c>
      <c r="G21" s="21">
        <v>27</v>
      </c>
      <c r="H21" s="21">
        <v>197.5</v>
      </c>
      <c r="I21" s="21">
        <v>444</v>
      </c>
      <c r="J21" s="21">
        <v>390</v>
      </c>
      <c r="K21" s="21" t="s">
        <v>1702</v>
      </c>
      <c r="L21" s="21">
        <v>122</v>
      </c>
      <c r="M21" s="21">
        <v>198</v>
      </c>
      <c r="N21" s="92">
        <v>2.11</v>
      </c>
      <c r="O21" s="92">
        <v>13.6</v>
      </c>
      <c r="P21" s="93">
        <f t="shared" si="0"/>
        <v>1.3612903225806451E-2</v>
      </c>
    </row>
    <row r="22" spans="1:16" x14ac:dyDescent="0.3">
      <c r="A22" s="91" t="s">
        <v>3699</v>
      </c>
      <c r="B22" s="21">
        <v>166</v>
      </c>
      <c r="C22" s="21">
        <v>300</v>
      </c>
      <c r="D22" s="21">
        <v>540</v>
      </c>
      <c r="E22" s="21">
        <v>12.5</v>
      </c>
      <c r="F22" s="21">
        <v>24</v>
      </c>
      <c r="G22" s="21">
        <v>27</v>
      </c>
      <c r="H22" s="21">
        <v>211.8</v>
      </c>
      <c r="I22" s="21">
        <v>492</v>
      </c>
      <c r="J22" s="21">
        <v>438</v>
      </c>
      <c r="K22" s="21" t="s">
        <v>1702</v>
      </c>
      <c r="L22" s="21">
        <v>122</v>
      </c>
      <c r="M22" s="21">
        <v>198</v>
      </c>
      <c r="N22" s="92">
        <v>2.2090000000000001</v>
      </c>
      <c r="O22" s="92">
        <v>13.29</v>
      </c>
      <c r="P22" s="93">
        <f t="shared" si="0"/>
        <v>1.3307228915662651E-2</v>
      </c>
    </row>
    <row r="23" spans="1:16" x14ac:dyDescent="0.3">
      <c r="A23" s="91" t="s">
        <v>1667</v>
      </c>
      <c r="B23" s="21">
        <v>178</v>
      </c>
      <c r="C23" s="21">
        <v>300</v>
      </c>
      <c r="D23" s="21">
        <v>590</v>
      </c>
      <c r="E23" s="21">
        <v>13</v>
      </c>
      <c r="F23" s="21">
        <v>25</v>
      </c>
      <c r="G23" s="21">
        <v>27</v>
      </c>
      <c r="H23" s="21">
        <v>226.5</v>
      </c>
      <c r="I23" s="21">
        <v>540</v>
      </c>
      <c r="J23" s="21">
        <v>486</v>
      </c>
      <c r="K23" s="21" t="s">
        <v>1702</v>
      </c>
      <c r="L23" s="21">
        <v>122</v>
      </c>
      <c r="M23" s="21">
        <v>198</v>
      </c>
      <c r="N23" s="92">
        <v>2.3079999999999998</v>
      </c>
      <c r="O23" s="92">
        <v>12.98</v>
      </c>
      <c r="P23" s="93">
        <f t="shared" si="0"/>
        <v>1.2966292134831459E-2</v>
      </c>
    </row>
    <row r="24" spans="1:16" x14ac:dyDescent="0.3">
      <c r="A24" s="91" t="s">
        <v>3700</v>
      </c>
      <c r="B24" s="21">
        <v>190</v>
      </c>
      <c r="C24" s="21">
        <v>300</v>
      </c>
      <c r="D24" s="21">
        <v>640</v>
      </c>
      <c r="E24" s="21">
        <v>13.5</v>
      </c>
      <c r="F24" s="21">
        <v>26</v>
      </c>
      <c r="G24" s="21">
        <v>27</v>
      </c>
      <c r="H24" s="21">
        <v>241.6</v>
      </c>
      <c r="I24" s="21">
        <v>588</v>
      </c>
      <c r="J24" s="21">
        <v>534</v>
      </c>
      <c r="K24" s="21" t="s">
        <v>1702</v>
      </c>
      <c r="L24" s="21">
        <v>124</v>
      </c>
      <c r="M24" s="21">
        <v>198</v>
      </c>
      <c r="N24" s="92">
        <v>2.407</v>
      </c>
      <c r="O24" s="92">
        <v>12.69</v>
      </c>
      <c r="P24" s="93">
        <f t="shared" si="0"/>
        <v>1.2668421052631579E-2</v>
      </c>
    </row>
    <row r="25" spans="1:16" x14ac:dyDescent="0.3">
      <c r="A25" s="91" t="s">
        <v>3701</v>
      </c>
      <c r="B25" s="21">
        <v>204</v>
      </c>
      <c r="C25" s="21">
        <v>300</v>
      </c>
      <c r="D25" s="21">
        <v>690</v>
      </c>
      <c r="E25" s="21">
        <v>14.5</v>
      </c>
      <c r="F25" s="21">
        <v>27</v>
      </c>
      <c r="G25" s="21">
        <v>27</v>
      </c>
      <c r="H25" s="21">
        <v>260.5</v>
      </c>
      <c r="I25" s="21">
        <v>636</v>
      </c>
      <c r="J25" s="21">
        <v>582</v>
      </c>
      <c r="K25" s="21" t="s">
        <v>1702</v>
      </c>
      <c r="L25" s="21">
        <v>124</v>
      </c>
      <c r="M25" s="21">
        <v>198</v>
      </c>
      <c r="N25" s="92">
        <v>2.5049999999999999</v>
      </c>
      <c r="O25" s="92">
        <v>12.25</v>
      </c>
      <c r="P25" s="93">
        <f t="shared" si="0"/>
        <v>1.2279411764705882E-2</v>
      </c>
    </row>
    <row r="26" spans="1:16" x14ac:dyDescent="0.3">
      <c r="A26" s="91" t="s">
        <v>3702</v>
      </c>
      <c r="B26" s="21">
        <v>224</v>
      </c>
      <c r="C26" s="21">
        <v>300</v>
      </c>
      <c r="D26" s="21">
        <v>790</v>
      </c>
      <c r="E26" s="21">
        <v>15</v>
      </c>
      <c r="F26" s="21">
        <v>28</v>
      </c>
      <c r="G26" s="21">
        <v>30</v>
      </c>
      <c r="H26" s="21">
        <v>285.8</v>
      </c>
      <c r="I26" s="21">
        <v>734</v>
      </c>
      <c r="J26" s="21">
        <v>674</v>
      </c>
      <c r="K26" s="21" t="s">
        <v>1702</v>
      </c>
      <c r="L26" s="21">
        <v>130</v>
      </c>
      <c r="M26" s="21">
        <v>198</v>
      </c>
      <c r="N26" s="92">
        <v>2.698</v>
      </c>
      <c r="O26" s="92">
        <v>12.03</v>
      </c>
      <c r="P26" s="93">
        <f t="shared" si="0"/>
        <v>1.2044642857142856E-2</v>
      </c>
    </row>
    <row r="27" spans="1:16" x14ac:dyDescent="0.3">
      <c r="A27" s="91" t="s">
        <v>3703</v>
      </c>
      <c r="B27" s="21">
        <v>252</v>
      </c>
      <c r="C27" s="21">
        <v>300</v>
      </c>
      <c r="D27" s="21">
        <v>890</v>
      </c>
      <c r="E27" s="21">
        <v>16</v>
      </c>
      <c r="F27" s="21">
        <v>30</v>
      </c>
      <c r="G27" s="21">
        <v>30</v>
      </c>
      <c r="H27" s="21">
        <v>320.5</v>
      </c>
      <c r="I27" s="21">
        <v>830</v>
      </c>
      <c r="J27" s="21">
        <v>770</v>
      </c>
      <c r="K27" s="21" t="s">
        <v>1702</v>
      </c>
      <c r="L27" s="21">
        <v>132</v>
      </c>
      <c r="M27" s="21">
        <v>198</v>
      </c>
      <c r="N27" s="92">
        <v>2.8959999999999999</v>
      </c>
      <c r="O27" s="92">
        <v>11.51</v>
      </c>
      <c r="P27" s="93">
        <f t="shared" si="0"/>
        <v>1.1492063492063491E-2</v>
      </c>
    </row>
    <row r="28" spans="1:16" x14ac:dyDescent="0.3">
      <c r="A28" s="91" t="s">
        <v>3704</v>
      </c>
      <c r="B28" s="21">
        <v>272</v>
      </c>
      <c r="C28" s="21">
        <v>300</v>
      </c>
      <c r="D28" s="21">
        <v>990</v>
      </c>
      <c r="E28" s="21">
        <v>16.5</v>
      </c>
      <c r="F28" s="21">
        <v>31</v>
      </c>
      <c r="G28" s="21">
        <v>30</v>
      </c>
      <c r="H28" s="21">
        <v>346.8</v>
      </c>
      <c r="I28" s="21">
        <v>928</v>
      </c>
      <c r="J28" s="21">
        <v>868</v>
      </c>
      <c r="K28" s="21" t="s">
        <v>1702</v>
      </c>
      <c r="L28" s="21">
        <v>132</v>
      </c>
      <c r="M28" s="21">
        <v>198</v>
      </c>
      <c r="N28" s="92">
        <v>3.0950000000000002</v>
      </c>
      <c r="O28" s="92">
        <v>11.37</v>
      </c>
      <c r="P28" s="93">
        <f t="shared" si="0"/>
        <v>1.1378676470588236E-2</v>
      </c>
    </row>
    <row r="29" spans="1:16" x14ac:dyDescent="0.3">
      <c r="A29" s="91" t="s">
        <v>3705</v>
      </c>
      <c r="B29" s="21">
        <v>20.399999999999999</v>
      </c>
      <c r="C29" s="21">
        <v>100</v>
      </c>
      <c r="D29" s="21">
        <v>100</v>
      </c>
      <c r="E29" s="21">
        <v>6</v>
      </c>
      <c r="F29" s="21">
        <v>10</v>
      </c>
      <c r="G29" s="21">
        <v>12</v>
      </c>
      <c r="H29" s="21">
        <v>26</v>
      </c>
      <c r="I29" s="21">
        <v>80</v>
      </c>
      <c r="J29" s="21">
        <v>56</v>
      </c>
      <c r="K29" s="21" t="s">
        <v>3687</v>
      </c>
      <c r="L29" s="21">
        <v>56</v>
      </c>
      <c r="M29" s="21">
        <v>58</v>
      </c>
      <c r="N29" s="92">
        <v>0.56699999999999995</v>
      </c>
      <c r="O29" s="92">
        <v>27.76</v>
      </c>
      <c r="P29" s="93">
        <f t="shared" si="0"/>
        <v>2.7794117647058823E-2</v>
      </c>
    </row>
    <row r="30" spans="1:16" x14ac:dyDescent="0.3">
      <c r="A30" s="91" t="s">
        <v>3706</v>
      </c>
      <c r="B30" s="21">
        <v>26.7</v>
      </c>
      <c r="C30" s="21">
        <v>120</v>
      </c>
      <c r="D30" s="21">
        <v>120</v>
      </c>
      <c r="E30" s="21">
        <v>6.5</v>
      </c>
      <c r="F30" s="21">
        <v>11</v>
      </c>
      <c r="G30" s="21">
        <v>12</v>
      </c>
      <c r="H30" s="21">
        <v>34</v>
      </c>
      <c r="I30" s="21">
        <v>98</v>
      </c>
      <c r="J30" s="21">
        <v>74</v>
      </c>
      <c r="K30" s="21" t="s">
        <v>3707</v>
      </c>
      <c r="L30" s="21">
        <v>60</v>
      </c>
      <c r="M30" s="21">
        <v>68</v>
      </c>
      <c r="N30" s="92">
        <v>0.68600000000000005</v>
      </c>
      <c r="O30" s="92">
        <v>25.71</v>
      </c>
      <c r="P30" s="93">
        <f t="shared" si="0"/>
        <v>2.569288389513109E-2</v>
      </c>
    </row>
    <row r="31" spans="1:16" x14ac:dyDescent="0.3">
      <c r="A31" s="91" t="s">
        <v>3708</v>
      </c>
      <c r="B31" s="21">
        <v>33.700000000000003</v>
      </c>
      <c r="C31" s="21">
        <v>140</v>
      </c>
      <c r="D31" s="21">
        <v>140</v>
      </c>
      <c r="E31" s="21">
        <v>7</v>
      </c>
      <c r="F31" s="21">
        <v>12</v>
      </c>
      <c r="G31" s="21">
        <v>12</v>
      </c>
      <c r="H31" s="21">
        <v>43</v>
      </c>
      <c r="I31" s="21">
        <v>116</v>
      </c>
      <c r="J31" s="21">
        <v>92</v>
      </c>
      <c r="K31" s="21" t="s">
        <v>3709</v>
      </c>
      <c r="L31" s="21">
        <v>66</v>
      </c>
      <c r="M31" s="21">
        <v>76</v>
      </c>
      <c r="N31" s="92">
        <v>0.80500000000000005</v>
      </c>
      <c r="O31" s="92">
        <v>23.88</v>
      </c>
      <c r="P31" s="93">
        <f t="shared" si="0"/>
        <v>2.3887240356083087E-2</v>
      </c>
    </row>
    <row r="32" spans="1:16" x14ac:dyDescent="0.3">
      <c r="A32" s="91" t="s">
        <v>3710</v>
      </c>
      <c r="B32" s="21">
        <v>42.6</v>
      </c>
      <c r="C32" s="21">
        <v>160</v>
      </c>
      <c r="D32" s="21">
        <v>160</v>
      </c>
      <c r="E32" s="21">
        <v>8</v>
      </c>
      <c r="F32" s="21">
        <v>13</v>
      </c>
      <c r="G32" s="21">
        <v>15</v>
      </c>
      <c r="H32" s="21">
        <v>54.3</v>
      </c>
      <c r="I32" s="21">
        <v>134</v>
      </c>
      <c r="J32" s="21">
        <v>104</v>
      </c>
      <c r="K32" s="21" t="s">
        <v>3711</v>
      </c>
      <c r="L32" s="21">
        <v>80</v>
      </c>
      <c r="M32" s="21">
        <v>84</v>
      </c>
      <c r="N32" s="92">
        <v>0.91800000000000004</v>
      </c>
      <c r="O32" s="92">
        <v>21.56</v>
      </c>
      <c r="P32" s="93">
        <f t="shared" si="0"/>
        <v>2.1549295774647887E-2</v>
      </c>
    </row>
    <row r="33" spans="1:16" x14ac:dyDescent="0.3">
      <c r="A33" s="91" t="s">
        <v>3712</v>
      </c>
      <c r="B33" s="21">
        <v>51.2</v>
      </c>
      <c r="C33" s="21">
        <v>180</v>
      </c>
      <c r="D33" s="21">
        <v>180</v>
      </c>
      <c r="E33" s="21">
        <v>8.5</v>
      </c>
      <c r="F33" s="21">
        <v>14</v>
      </c>
      <c r="G33" s="21">
        <v>15</v>
      </c>
      <c r="H33" s="21">
        <v>65.3</v>
      </c>
      <c r="I33" s="21">
        <v>152</v>
      </c>
      <c r="J33" s="21">
        <v>122</v>
      </c>
      <c r="K33" s="21" t="s">
        <v>3713</v>
      </c>
      <c r="L33" s="21">
        <v>88</v>
      </c>
      <c r="M33" s="21">
        <v>92</v>
      </c>
      <c r="N33" s="92">
        <v>1.0369999999999999</v>
      </c>
      <c r="O33" s="92">
        <v>20.25</v>
      </c>
      <c r="P33" s="93">
        <f t="shared" si="0"/>
        <v>2.0253906249999998E-2</v>
      </c>
    </row>
    <row r="34" spans="1:16" x14ac:dyDescent="0.3">
      <c r="A34" s="91" t="s">
        <v>3714</v>
      </c>
      <c r="B34" s="21">
        <v>61.3</v>
      </c>
      <c r="C34" s="21">
        <v>200</v>
      </c>
      <c r="D34" s="21">
        <v>200</v>
      </c>
      <c r="E34" s="21">
        <v>9</v>
      </c>
      <c r="F34" s="21">
        <v>15</v>
      </c>
      <c r="G34" s="21">
        <v>18</v>
      </c>
      <c r="H34" s="21">
        <v>78.099999999999994</v>
      </c>
      <c r="I34" s="21">
        <v>170</v>
      </c>
      <c r="J34" s="21">
        <v>134</v>
      </c>
      <c r="K34" s="21" t="s">
        <v>3715</v>
      </c>
      <c r="L34" s="21">
        <v>100</v>
      </c>
      <c r="M34" s="21">
        <v>100</v>
      </c>
      <c r="N34" s="92">
        <v>1.151</v>
      </c>
      <c r="O34" s="92">
        <v>18.78</v>
      </c>
      <c r="P34" s="93">
        <f t="shared" si="0"/>
        <v>1.8776508972267538E-2</v>
      </c>
    </row>
    <row r="35" spans="1:16" x14ac:dyDescent="0.3">
      <c r="A35" s="91" t="s">
        <v>3716</v>
      </c>
      <c r="B35" s="21">
        <v>71.5</v>
      </c>
      <c r="C35" s="21">
        <v>220</v>
      </c>
      <c r="D35" s="21">
        <v>220</v>
      </c>
      <c r="E35" s="21">
        <v>9.5</v>
      </c>
      <c r="F35" s="21">
        <v>16</v>
      </c>
      <c r="G35" s="21">
        <v>18</v>
      </c>
      <c r="H35" s="21">
        <v>91</v>
      </c>
      <c r="I35" s="21">
        <v>188</v>
      </c>
      <c r="J35" s="21">
        <v>152</v>
      </c>
      <c r="K35" s="21" t="s">
        <v>3715</v>
      </c>
      <c r="L35" s="21">
        <v>100</v>
      </c>
      <c r="M35" s="21">
        <v>118</v>
      </c>
      <c r="N35" s="92">
        <v>1.27</v>
      </c>
      <c r="O35" s="92">
        <v>17.77</v>
      </c>
      <c r="P35" s="93">
        <f t="shared" si="0"/>
        <v>1.7762237762237763E-2</v>
      </c>
    </row>
    <row r="36" spans="1:16" x14ac:dyDescent="0.3">
      <c r="A36" s="91" t="s">
        <v>3717</v>
      </c>
      <c r="B36" s="21">
        <v>83.2</v>
      </c>
      <c r="C36" s="21">
        <v>240</v>
      </c>
      <c r="D36" s="21">
        <v>240</v>
      </c>
      <c r="E36" s="21">
        <v>10</v>
      </c>
      <c r="F36" s="21">
        <v>17</v>
      </c>
      <c r="G36" s="21">
        <v>21</v>
      </c>
      <c r="H36" s="21">
        <v>106</v>
      </c>
      <c r="I36" s="21">
        <v>206</v>
      </c>
      <c r="J36" s="21">
        <v>164</v>
      </c>
      <c r="K36" s="21" t="s">
        <v>3715</v>
      </c>
      <c r="L36" s="21">
        <v>108</v>
      </c>
      <c r="M36" s="21">
        <v>138</v>
      </c>
      <c r="N36" s="92">
        <v>1.3839999999999999</v>
      </c>
      <c r="O36" s="92">
        <v>16.63</v>
      </c>
      <c r="P36" s="93">
        <f t="shared" si="0"/>
        <v>1.6634615384615383E-2</v>
      </c>
    </row>
    <row r="37" spans="1:16" x14ac:dyDescent="0.3">
      <c r="A37" s="91" t="s">
        <v>3718</v>
      </c>
      <c r="B37" s="21">
        <v>93</v>
      </c>
      <c r="C37" s="21">
        <v>260</v>
      </c>
      <c r="D37" s="21">
        <v>260</v>
      </c>
      <c r="E37" s="21">
        <v>10</v>
      </c>
      <c r="F37" s="21">
        <v>17.5</v>
      </c>
      <c r="G37" s="21">
        <v>24</v>
      </c>
      <c r="H37" s="21">
        <v>118.4</v>
      </c>
      <c r="I37" s="21">
        <v>225</v>
      </c>
      <c r="J37" s="21">
        <v>177</v>
      </c>
      <c r="K37" s="21" t="s">
        <v>3715</v>
      </c>
      <c r="L37" s="21">
        <v>114</v>
      </c>
      <c r="M37" s="21">
        <v>158</v>
      </c>
      <c r="N37" s="92">
        <v>1.4990000000000001</v>
      </c>
      <c r="O37" s="92">
        <v>16.12</v>
      </c>
      <c r="P37" s="93">
        <f t="shared" si="0"/>
        <v>1.6118279569892473E-2</v>
      </c>
    </row>
    <row r="38" spans="1:16" x14ac:dyDescent="0.3">
      <c r="A38" s="91" t="s">
        <v>3719</v>
      </c>
      <c r="B38" s="21">
        <v>103</v>
      </c>
      <c r="C38" s="21">
        <v>280</v>
      </c>
      <c r="D38" s="21">
        <v>280</v>
      </c>
      <c r="E38" s="21">
        <v>10.5</v>
      </c>
      <c r="F38" s="21">
        <v>18</v>
      </c>
      <c r="G38" s="21">
        <v>24</v>
      </c>
      <c r="H38" s="21">
        <v>131.4</v>
      </c>
      <c r="I38" s="21">
        <v>244</v>
      </c>
      <c r="J38" s="21">
        <v>196</v>
      </c>
      <c r="K38" s="21" t="s">
        <v>3715</v>
      </c>
      <c r="L38" s="21">
        <v>114</v>
      </c>
      <c r="M38" s="21">
        <v>178</v>
      </c>
      <c r="N38" s="92">
        <v>1.6180000000000001</v>
      </c>
      <c r="O38" s="92">
        <v>15.69</v>
      </c>
      <c r="P38" s="93">
        <f t="shared" si="0"/>
        <v>1.5708737864077671E-2</v>
      </c>
    </row>
    <row r="39" spans="1:16" x14ac:dyDescent="0.3">
      <c r="A39" s="91" t="s">
        <v>3720</v>
      </c>
      <c r="B39" s="21">
        <v>117</v>
      </c>
      <c r="C39" s="21">
        <v>300</v>
      </c>
      <c r="D39" s="21">
        <v>300</v>
      </c>
      <c r="E39" s="21">
        <v>11</v>
      </c>
      <c r="F39" s="21">
        <v>19</v>
      </c>
      <c r="G39" s="21">
        <v>27</v>
      </c>
      <c r="H39" s="21">
        <v>149.1</v>
      </c>
      <c r="I39" s="21">
        <v>262</v>
      </c>
      <c r="J39" s="21">
        <v>208</v>
      </c>
      <c r="K39" s="21" t="s">
        <v>3715</v>
      </c>
      <c r="L39" s="21">
        <v>120</v>
      </c>
      <c r="M39" s="21">
        <v>198</v>
      </c>
      <c r="N39" s="92">
        <v>1.732</v>
      </c>
      <c r="O39" s="92">
        <v>14.8</v>
      </c>
      <c r="P39" s="93">
        <f t="shared" si="0"/>
        <v>1.4803418803418802E-2</v>
      </c>
    </row>
    <row r="40" spans="1:16" x14ac:dyDescent="0.3">
      <c r="A40" s="91" t="s">
        <v>3721</v>
      </c>
      <c r="B40" s="21">
        <v>127</v>
      </c>
      <c r="C40" s="21">
        <v>300</v>
      </c>
      <c r="D40" s="21">
        <v>320</v>
      </c>
      <c r="E40" s="21">
        <v>11.5</v>
      </c>
      <c r="F40" s="21">
        <v>20.5</v>
      </c>
      <c r="G40" s="21">
        <v>27</v>
      </c>
      <c r="H40" s="21">
        <v>161.30000000000001</v>
      </c>
      <c r="I40" s="21">
        <v>279</v>
      </c>
      <c r="J40" s="21">
        <v>225</v>
      </c>
      <c r="K40" s="21" t="s">
        <v>3715</v>
      </c>
      <c r="L40" s="21">
        <v>122</v>
      </c>
      <c r="M40" s="21">
        <v>198</v>
      </c>
      <c r="N40" s="92">
        <v>1.7709999999999999</v>
      </c>
      <c r="O40" s="92">
        <v>13.98</v>
      </c>
      <c r="P40" s="93">
        <f t="shared" si="0"/>
        <v>1.3944881889763779E-2</v>
      </c>
    </row>
    <row r="41" spans="1:16" x14ac:dyDescent="0.3">
      <c r="A41" s="91" t="s">
        <v>3722</v>
      </c>
      <c r="B41" s="21">
        <v>134</v>
      </c>
      <c r="C41" s="21">
        <v>300</v>
      </c>
      <c r="D41" s="21">
        <v>340</v>
      </c>
      <c r="E41" s="21">
        <v>12</v>
      </c>
      <c r="F41" s="21">
        <v>21.5</v>
      </c>
      <c r="G41" s="21">
        <v>27</v>
      </c>
      <c r="H41" s="21">
        <v>170.9</v>
      </c>
      <c r="I41" s="21">
        <v>297</v>
      </c>
      <c r="J41" s="21">
        <v>243</v>
      </c>
      <c r="K41" s="21" t="s">
        <v>3715</v>
      </c>
      <c r="L41" s="21">
        <v>122</v>
      </c>
      <c r="M41" s="21">
        <v>198</v>
      </c>
      <c r="N41" s="92">
        <v>1.81</v>
      </c>
      <c r="O41" s="92">
        <v>13.49</v>
      </c>
      <c r="P41" s="93">
        <f t="shared" si="0"/>
        <v>1.3507462686567164E-2</v>
      </c>
    </row>
    <row r="42" spans="1:16" x14ac:dyDescent="0.3">
      <c r="A42" s="91" t="s">
        <v>3723</v>
      </c>
      <c r="B42" s="21">
        <v>142</v>
      </c>
      <c r="C42" s="21">
        <v>300</v>
      </c>
      <c r="D42" s="21">
        <v>360</v>
      </c>
      <c r="E42" s="21">
        <v>12.5</v>
      </c>
      <c r="F42" s="21">
        <v>22.5</v>
      </c>
      <c r="G42" s="21">
        <v>27</v>
      </c>
      <c r="H42" s="21">
        <v>180.6</v>
      </c>
      <c r="I42" s="21">
        <v>315</v>
      </c>
      <c r="J42" s="21">
        <v>261</v>
      </c>
      <c r="K42" s="21" t="s">
        <v>3715</v>
      </c>
      <c r="L42" s="21">
        <v>122</v>
      </c>
      <c r="M42" s="21">
        <v>198</v>
      </c>
      <c r="N42" s="92">
        <v>1.849</v>
      </c>
      <c r="O42" s="92">
        <v>13.04</v>
      </c>
      <c r="P42" s="93">
        <f t="shared" si="0"/>
        <v>1.3021126760563381E-2</v>
      </c>
    </row>
    <row r="43" spans="1:16" x14ac:dyDescent="0.3">
      <c r="A43" s="91" t="s">
        <v>3724</v>
      </c>
      <c r="B43" s="21">
        <v>155</v>
      </c>
      <c r="C43" s="21">
        <v>300</v>
      </c>
      <c r="D43" s="21">
        <v>400</v>
      </c>
      <c r="E43" s="21">
        <v>13.5</v>
      </c>
      <c r="F43" s="21">
        <v>24</v>
      </c>
      <c r="G43" s="21">
        <v>27</v>
      </c>
      <c r="H43" s="21">
        <v>197.8</v>
      </c>
      <c r="I43" s="21">
        <v>352</v>
      </c>
      <c r="J43" s="21">
        <v>298</v>
      </c>
      <c r="K43" s="21" t="s">
        <v>3715</v>
      </c>
      <c r="L43" s="21">
        <v>124</v>
      </c>
      <c r="M43" s="21">
        <v>198</v>
      </c>
      <c r="N43" s="92">
        <v>1.927</v>
      </c>
      <c r="O43" s="92">
        <v>12.41</v>
      </c>
      <c r="P43" s="93">
        <f t="shared" si="0"/>
        <v>1.243225806451613E-2</v>
      </c>
    </row>
    <row r="44" spans="1:16" x14ac:dyDescent="0.3">
      <c r="A44" s="91" t="s">
        <v>3725</v>
      </c>
      <c r="B44" s="21">
        <v>171</v>
      </c>
      <c r="C44" s="21">
        <v>300</v>
      </c>
      <c r="D44" s="21">
        <v>450</v>
      </c>
      <c r="E44" s="21">
        <v>14</v>
      </c>
      <c r="F44" s="21">
        <v>26</v>
      </c>
      <c r="G44" s="21">
        <v>27</v>
      </c>
      <c r="H44" s="21">
        <v>218</v>
      </c>
      <c r="I44" s="21">
        <v>398</v>
      </c>
      <c r="J44" s="21">
        <v>344</v>
      </c>
      <c r="K44" s="21" t="s">
        <v>3715</v>
      </c>
      <c r="L44" s="21">
        <v>124</v>
      </c>
      <c r="M44" s="21">
        <v>198</v>
      </c>
      <c r="N44" s="92">
        <v>2.0259999999999998</v>
      </c>
      <c r="O44" s="92">
        <v>11.84</v>
      </c>
      <c r="P44" s="93">
        <f t="shared" si="0"/>
        <v>1.1847953216374267E-2</v>
      </c>
    </row>
    <row r="45" spans="1:16" x14ac:dyDescent="0.3">
      <c r="A45" s="91" t="s">
        <v>3726</v>
      </c>
      <c r="B45" s="21">
        <v>187</v>
      </c>
      <c r="C45" s="21">
        <v>300</v>
      </c>
      <c r="D45" s="21">
        <v>500</v>
      </c>
      <c r="E45" s="21">
        <v>14.5</v>
      </c>
      <c r="F45" s="21">
        <v>28</v>
      </c>
      <c r="G45" s="21">
        <v>27</v>
      </c>
      <c r="H45" s="21">
        <v>238.6</v>
      </c>
      <c r="I45" s="21">
        <v>444</v>
      </c>
      <c r="J45" s="21">
        <v>390</v>
      </c>
      <c r="K45" s="21" t="s">
        <v>3715</v>
      </c>
      <c r="L45" s="21">
        <v>124</v>
      </c>
      <c r="M45" s="21">
        <v>198</v>
      </c>
      <c r="N45" s="92">
        <v>2.125</v>
      </c>
      <c r="O45" s="92">
        <v>11.34</v>
      </c>
      <c r="P45" s="93">
        <f t="shared" si="0"/>
        <v>1.1363636363636364E-2</v>
      </c>
    </row>
    <row r="46" spans="1:16" x14ac:dyDescent="0.3">
      <c r="A46" s="91" t="s">
        <v>3727</v>
      </c>
      <c r="B46" s="21">
        <v>199</v>
      </c>
      <c r="C46" s="21">
        <v>300</v>
      </c>
      <c r="D46" s="21">
        <v>550</v>
      </c>
      <c r="E46" s="21">
        <v>15</v>
      </c>
      <c r="F46" s="21">
        <v>29</v>
      </c>
      <c r="G46" s="21">
        <v>27</v>
      </c>
      <c r="H46" s="21">
        <v>254.1</v>
      </c>
      <c r="I46" s="21">
        <v>492</v>
      </c>
      <c r="J46" s="21">
        <v>438</v>
      </c>
      <c r="K46" s="21" t="s">
        <v>3715</v>
      </c>
      <c r="L46" s="21">
        <v>124</v>
      </c>
      <c r="M46" s="21">
        <v>198</v>
      </c>
      <c r="N46" s="92">
        <v>2.2240000000000002</v>
      </c>
      <c r="O46" s="92">
        <v>11.15</v>
      </c>
      <c r="P46" s="93">
        <f t="shared" si="0"/>
        <v>1.1175879396984926E-2</v>
      </c>
    </row>
    <row r="47" spans="1:16" x14ac:dyDescent="0.3">
      <c r="A47" s="91" t="s">
        <v>3728</v>
      </c>
      <c r="B47" s="21">
        <v>212</v>
      </c>
      <c r="C47" s="21">
        <v>300</v>
      </c>
      <c r="D47" s="21">
        <v>600</v>
      </c>
      <c r="E47" s="21">
        <v>15.5</v>
      </c>
      <c r="F47" s="21">
        <v>30</v>
      </c>
      <c r="G47" s="21">
        <v>27</v>
      </c>
      <c r="H47" s="21">
        <v>270</v>
      </c>
      <c r="I47" s="21">
        <v>540</v>
      </c>
      <c r="J47" s="21">
        <v>486</v>
      </c>
      <c r="K47" s="21" t="s">
        <v>3715</v>
      </c>
      <c r="L47" s="21">
        <v>126</v>
      </c>
      <c r="M47" s="21">
        <v>198</v>
      </c>
      <c r="N47" s="92">
        <v>2.323</v>
      </c>
      <c r="O47" s="92">
        <v>10.96</v>
      </c>
      <c r="P47" s="93">
        <f t="shared" si="0"/>
        <v>1.0957547169811321E-2</v>
      </c>
    </row>
    <row r="48" spans="1:16" x14ac:dyDescent="0.3">
      <c r="A48" s="91" t="s">
        <v>3729</v>
      </c>
      <c r="B48" s="21">
        <v>225</v>
      </c>
      <c r="C48" s="21">
        <v>300</v>
      </c>
      <c r="D48" s="21">
        <v>650</v>
      </c>
      <c r="E48" s="21">
        <v>16</v>
      </c>
      <c r="F48" s="21">
        <v>31</v>
      </c>
      <c r="G48" s="21">
        <v>27</v>
      </c>
      <c r="H48" s="21">
        <v>286.3</v>
      </c>
      <c r="I48" s="21">
        <v>588</v>
      </c>
      <c r="J48" s="21">
        <v>534</v>
      </c>
      <c r="K48" s="21" t="s">
        <v>3715</v>
      </c>
      <c r="L48" s="21">
        <v>126</v>
      </c>
      <c r="M48" s="21">
        <v>198</v>
      </c>
      <c r="N48" s="92">
        <v>2.4220000000000002</v>
      </c>
      <c r="O48" s="92">
        <v>10.77</v>
      </c>
      <c r="P48" s="93">
        <f t="shared" si="0"/>
        <v>1.0764444444444445E-2</v>
      </c>
    </row>
    <row r="49" spans="1:24" x14ac:dyDescent="0.3">
      <c r="A49" s="91" t="s">
        <v>3730</v>
      </c>
      <c r="B49" s="21">
        <v>241</v>
      </c>
      <c r="C49" s="21">
        <v>300</v>
      </c>
      <c r="D49" s="21">
        <v>700</v>
      </c>
      <c r="E49" s="21">
        <v>17</v>
      </c>
      <c r="F49" s="21">
        <v>32</v>
      </c>
      <c r="G49" s="21">
        <v>27</v>
      </c>
      <c r="H49" s="21">
        <v>306.39999999999998</v>
      </c>
      <c r="I49" s="21">
        <v>636</v>
      </c>
      <c r="J49" s="21">
        <v>582</v>
      </c>
      <c r="K49" s="21" t="s">
        <v>3715</v>
      </c>
      <c r="L49" s="21">
        <v>126</v>
      </c>
      <c r="M49" s="21">
        <v>198</v>
      </c>
      <c r="N49" s="92">
        <v>2.52</v>
      </c>
      <c r="O49" s="92">
        <v>10.48</v>
      </c>
      <c r="P49" s="93">
        <f t="shared" si="0"/>
        <v>1.0456431535269709E-2</v>
      </c>
    </row>
    <row r="50" spans="1:24" x14ac:dyDescent="0.3">
      <c r="A50" s="91" t="s">
        <v>3731</v>
      </c>
      <c r="B50" s="21">
        <v>262</v>
      </c>
      <c r="C50" s="21">
        <v>300</v>
      </c>
      <c r="D50" s="21">
        <v>800</v>
      </c>
      <c r="E50" s="21">
        <v>17.5</v>
      </c>
      <c r="F50" s="21">
        <v>33</v>
      </c>
      <c r="G50" s="21">
        <v>30</v>
      </c>
      <c r="H50" s="21">
        <v>334.2</v>
      </c>
      <c r="I50" s="21">
        <v>734</v>
      </c>
      <c r="J50" s="21">
        <v>674</v>
      </c>
      <c r="K50" s="21" t="s">
        <v>3715</v>
      </c>
      <c r="L50" s="21">
        <v>134</v>
      </c>
      <c r="M50" s="21">
        <v>198</v>
      </c>
      <c r="N50" s="92">
        <v>2.7130000000000001</v>
      </c>
      <c r="O50" s="92">
        <v>10.34</v>
      </c>
      <c r="P50" s="93">
        <f t="shared" si="0"/>
        <v>1.0354961832061069E-2</v>
      </c>
    </row>
    <row r="51" spans="1:24" x14ac:dyDescent="0.3">
      <c r="A51" s="91" t="s">
        <v>3732</v>
      </c>
      <c r="B51" s="21">
        <v>291</v>
      </c>
      <c r="C51" s="21">
        <v>300</v>
      </c>
      <c r="D51" s="21">
        <v>900</v>
      </c>
      <c r="E51" s="21">
        <v>18.5</v>
      </c>
      <c r="F51" s="21">
        <v>35</v>
      </c>
      <c r="G51" s="21">
        <v>30</v>
      </c>
      <c r="H51" s="21">
        <v>371.3</v>
      </c>
      <c r="I51" s="21">
        <v>830</v>
      </c>
      <c r="J51" s="21">
        <v>770</v>
      </c>
      <c r="K51" s="21" t="s">
        <v>3715</v>
      </c>
      <c r="L51" s="21">
        <v>134</v>
      </c>
      <c r="M51" s="21">
        <v>198</v>
      </c>
      <c r="N51" s="92">
        <v>2.911</v>
      </c>
      <c r="O51" s="92">
        <v>9.99</v>
      </c>
      <c r="P51" s="93">
        <f t="shared" si="0"/>
        <v>1.0003436426116839E-2</v>
      </c>
    </row>
    <row r="52" spans="1:24" x14ac:dyDescent="0.3">
      <c r="A52" s="91" t="s">
        <v>3733</v>
      </c>
      <c r="B52" s="21">
        <v>314</v>
      </c>
      <c r="C52" s="21">
        <v>300</v>
      </c>
      <c r="D52" s="21">
        <v>1000</v>
      </c>
      <c r="E52" s="21">
        <v>19</v>
      </c>
      <c r="F52" s="21">
        <v>36</v>
      </c>
      <c r="G52" s="21">
        <v>30</v>
      </c>
      <c r="H52" s="21">
        <v>400</v>
      </c>
      <c r="I52" s="21">
        <v>928</v>
      </c>
      <c r="J52" s="21">
        <v>868</v>
      </c>
      <c r="K52" s="21" t="s">
        <v>3715</v>
      </c>
      <c r="L52" s="21">
        <v>134</v>
      </c>
      <c r="M52" s="21">
        <v>198</v>
      </c>
      <c r="N52" s="92">
        <v>3.11</v>
      </c>
      <c r="O52" s="92">
        <v>9.9049999999999994</v>
      </c>
      <c r="P52" s="93">
        <f t="shared" si="0"/>
        <v>9.9044585987261135E-3</v>
      </c>
    </row>
    <row r="53" spans="1:24" x14ac:dyDescent="0.3">
      <c r="A53" s="91" t="s">
        <v>3734</v>
      </c>
      <c r="B53" s="21">
        <v>41.8</v>
      </c>
      <c r="C53" s="21">
        <v>106</v>
      </c>
      <c r="D53" s="21">
        <v>120</v>
      </c>
      <c r="E53" s="21">
        <v>12</v>
      </c>
      <c r="F53" s="21">
        <v>20</v>
      </c>
      <c r="G53" s="21">
        <v>12</v>
      </c>
      <c r="H53" s="21">
        <v>53.2</v>
      </c>
      <c r="I53" s="21">
        <v>80</v>
      </c>
      <c r="J53" s="21">
        <v>56</v>
      </c>
      <c r="K53" s="21" t="s">
        <v>1694</v>
      </c>
      <c r="L53" s="21">
        <v>62</v>
      </c>
      <c r="M53" s="21">
        <v>64</v>
      </c>
      <c r="N53" s="92">
        <v>0.61899999999999999</v>
      </c>
      <c r="O53" s="92">
        <v>14.82</v>
      </c>
      <c r="P53" s="93">
        <f t="shared" si="0"/>
        <v>1.4808612440191389E-2</v>
      </c>
    </row>
    <row r="54" spans="1:24" x14ac:dyDescent="0.3">
      <c r="A54" s="91" t="s">
        <v>3735</v>
      </c>
      <c r="B54" s="21">
        <v>52.1</v>
      </c>
      <c r="C54" s="21">
        <v>126</v>
      </c>
      <c r="D54" s="21">
        <v>140</v>
      </c>
      <c r="E54" s="21">
        <v>12.5</v>
      </c>
      <c r="F54" s="21">
        <v>21</v>
      </c>
      <c r="G54" s="21">
        <v>12</v>
      </c>
      <c r="H54" s="21">
        <v>66.400000000000006</v>
      </c>
      <c r="I54" s="21">
        <v>98</v>
      </c>
      <c r="J54" s="21">
        <v>74</v>
      </c>
      <c r="K54" s="21" t="s">
        <v>1695</v>
      </c>
      <c r="L54" s="21">
        <v>66</v>
      </c>
      <c r="M54" s="21">
        <v>74</v>
      </c>
      <c r="N54" s="92">
        <v>0.73799999999999999</v>
      </c>
      <c r="O54" s="92">
        <v>14.16</v>
      </c>
      <c r="P54" s="93">
        <f t="shared" si="0"/>
        <v>1.4165067178502879E-2</v>
      </c>
    </row>
    <row r="55" spans="1:24" x14ac:dyDescent="0.3">
      <c r="A55" s="91" t="s">
        <v>3736</v>
      </c>
      <c r="B55" s="21">
        <v>63.2</v>
      </c>
      <c r="C55" s="21">
        <v>146</v>
      </c>
      <c r="D55" s="21">
        <v>160</v>
      </c>
      <c r="E55" s="21">
        <v>13</v>
      </c>
      <c r="F55" s="21">
        <v>22</v>
      </c>
      <c r="G55" s="21">
        <v>12</v>
      </c>
      <c r="H55" s="21">
        <v>80.599999999999994</v>
      </c>
      <c r="I55" s="21">
        <v>116</v>
      </c>
      <c r="J55" s="21">
        <v>92</v>
      </c>
      <c r="K55" s="21" t="s">
        <v>1697</v>
      </c>
      <c r="L55" s="21">
        <v>72</v>
      </c>
      <c r="M55" s="21">
        <v>82</v>
      </c>
      <c r="N55" s="92">
        <v>0.85699999999999998</v>
      </c>
      <c r="O55" s="92">
        <v>13.56</v>
      </c>
      <c r="P55" s="93">
        <f t="shared" si="0"/>
        <v>1.3560126582278479E-2</v>
      </c>
    </row>
    <row r="56" spans="1:24" x14ac:dyDescent="0.3">
      <c r="A56" s="91" t="s">
        <v>3737</v>
      </c>
      <c r="B56" s="21">
        <v>76.2</v>
      </c>
      <c r="C56" s="21">
        <v>166</v>
      </c>
      <c r="D56" s="21">
        <v>180</v>
      </c>
      <c r="E56" s="21">
        <v>14</v>
      </c>
      <c r="F56" s="21">
        <v>23</v>
      </c>
      <c r="G56" s="21">
        <v>15</v>
      </c>
      <c r="H56" s="21">
        <v>97.1</v>
      </c>
      <c r="I56" s="21">
        <v>134</v>
      </c>
      <c r="J56" s="21">
        <v>104</v>
      </c>
      <c r="K56" s="21" t="s">
        <v>1699</v>
      </c>
      <c r="L56" s="21">
        <v>86</v>
      </c>
      <c r="M56" s="21">
        <v>90</v>
      </c>
      <c r="N56" s="92">
        <v>0.97</v>
      </c>
      <c r="O56" s="92">
        <v>12.74</v>
      </c>
      <c r="P56" s="93">
        <f t="shared" si="0"/>
        <v>1.2729658792650918E-2</v>
      </c>
    </row>
    <row r="57" spans="1:24" x14ac:dyDescent="0.3">
      <c r="A57" s="91" t="s">
        <v>3738</v>
      </c>
      <c r="B57" s="21">
        <v>88.9</v>
      </c>
      <c r="C57" s="21">
        <v>186</v>
      </c>
      <c r="D57" s="21">
        <v>200</v>
      </c>
      <c r="E57" s="21">
        <v>14.5</v>
      </c>
      <c r="F57" s="21">
        <v>24</v>
      </c>
      <c r="G57" s="21">
        <v>15</v>
      </c>
      <c r="H57" s="21">
        <v>113.3</v>
      </c>
      <c r="I57" s="21">
        <v>152</v>
      </c>
      <c r="J57" s="21">
        <v>122</v>
      </c>
      <c r="K57" s="21" t="s">
        <v>1701</v>
      </c>
      <c r="L57" s="21">
        <v>94</v>
      </c>
      <c r="M57" s="21">
        <v>98</v>
      </c>
      <c r="N57" s="92">
        <v>1.089</v>
      </c>
      <c r="O57" s="92">
        <v>12.25</v>
      </c>
      <c r="P57" s="93">
        <f t="shared" si="0"/>
        <v>1.2249718785151855E-2</v>
      </c>
    </row>
    <row r="58" spans="1:24" x14ac:dyDescent="0.3">
      <c r="A58" s="91" t="s">
        <v>3739</v>
      </c>
      <c r="B58" s="21">
        <v>103</v>
      </c>
      <c r="C58" s="21">
        <v>206</v>
      </c>
      <c r="D58" s="21">
        <v>220</v>
      </c>
      <c r="E58" s="21">
        <v>15</v>
      </c>
      <c r="F58" s="21">
        <v>25</v>
      </c>
      <c r="G58" s="21">
        <v>18</v>
      </c>
      <c r="H58" s="21">
        <v>131.30000000000001</v>
      </c>
      <c r="I58" s="21">
        <v>170</v>
      </c>
      <c r="J58" s="21">
        <v>134</v>
      </c>
      <c r="K58" s="21" t="s">
        <v>1702</v>
      </c>
      <c r="L58" s="21">
        <v>106</v>
      </c>
      <c r="M58" s="21">
        <v>106</v>
      </c>
      <c r="N58" s="92">
        <v>1.2030000000000001</v>
      </c>
      <c r="O58" s="92">
        <v>11.67</v>
      </c>
      <c r="P58" s="93">
        <f t="shared" si="0"/>
        <v>1.1679611650485438E-2</v>
      </c>
      <c r="X58" s="5"/>
    </row>
    <row r="59" spans="1:24" x14ac:dyDescent="0.3">
      <c r="A59" s="91" t="s">
        <v>3740</v>
      </c>
      <c r="B59" s="21">
        <v>117</v>
      </c>
      <c r="C59" s="21">
        <v>226</v>
      </c>
      <c r="D59" s="21">
        <v>240</v>
      </c>
      <c r="E59" s="21">
        <v>15.5</v>
      </c>
      <c r="F59" s="21">
        <v>26</v>
      </c>
      <c r="G59" s="21">
        <v>18</v>
      </c>
      <c r="H59" s="21">
        <v>149.4</v>
      </c>
      <c r="I59" s="21">
        <v>188</v>
      </c>
      <c r="J59" s="21">
        <v>152</v>
      </c>
      <c r="K59" s="21" t="s">
        <v>3715</v>
      </c>
      <c r="L59" s="21">
        <v>108</v>
      </c>
      <c r="M59" s="21">
        <v>124</v>
      </c>
      <c r="N59" s="92">
        <v>1.3220000000000001</v>
      </c>
      <c r="O59" s="92">
        <v>11.27</v>
      </c>
      <c r="P59" s="93">
        <f t="shared" si="0"/>
        <v>1.1299145299145299E-2</v>
      </c>
      <c r="X59" s="5"/>
    </row>
    <row r="60" spans="1:24" x14ac:dyDescent="0.3">
      <c r="A60" s="91" t="s">
        <v>3741</v>
      </c>
      <c r="B60" s="21">
        <v>157</v>
      </c>
      <c r="C60" s="21">
        <v>248</v>
      </c>
      <c r="D60" s="21">
        <v>270</v>
      </c>
      <c r="E60" s="21">
        <v>18</v>
      </c>
      <c r="F60" s="21">
        <v>32</v>
      </c>
      <c r="G60" s="21">
        <v>21</v>
      </c>
      <c r="H60" s="21">
        <v>199.6</v>
      </c>
      <c r="I60" s="21">
        <v>206</v>
      </c>
      <c r="J60" s="21">
        <v>164</v>
      </c>
      <c r="K60" s="21" t="s">
        <v>1702</v>
      </c>
      <c r="L60" s="21">
        <v>116</v>
      </c>
      <c r="M60" s="21">
        <v>146</v>
      </c>
      <c r="N60" s="92">
        <v>1.46</v>
      </c>
      <c r="O60" s="92">
        <v>9.3179999999999996</v>
      </c>
      <c r="P60" s="93">
        <f t="shared" si="0"/>
        <v>9.2993630573248408E-3</v>
      </c>
      <c r="X60" s="5"/>
    </row>
    <row r="61" spans="1:24" x14ac:dyDescent="0.3">
      <c r="A61" s="91" t="s">
        <v>3742</v>
      </c>
      <c r="B61" s="21">
        <v>172</v>
      </c>
      <c r="C61" s="21">
        <v>268</v>
      </c>
      <c r="D61" s="21">
        <v>290</v>
      </c>
      <c r="E61" s="21">
        <v>18</v>
      </c>
      <c r="F61" s="21">
        <v>32.5</v>
      </c>
      <c r="G61" s="21">
        <v>24</v>
      </c>
      <c r="H61" s="21">
        <v>219.6</v>
      </c>
      <c r="I61" s="21">
        <v>225</v>
      </c>
      <c r="J61" s="21">
        <v>177</v>
      </c>
      <c r="K61" s="21" t="s">
        <v>1702</v>
      </c>
      <c r="L61" s="21">
        <v>122</v>
      </c>
      <c r="M61" s="21">
        <v>166</v>
      </c>
      <c r="N61" s="92">
        <v>1.575</v>
      </c>
      <c r="O61" s="92">
        <v>9.1329999999999991</v>
      </c>
      <c r="P61" s="93">
        <f t="shared" si="0"/>
        <v>9.1569767441860468E-3</v>
      </c>
      <c r="X61" s="5"/>
    </row>
    <row r="62" spans="1:24" x14ac:dyDescent="0.3">
      <c r="A62" s="91" t="s">
        <v>3743</v>
      </c>
      <c r="B62" s="21">
        <v>189</v>
      </c>
      <c r="C62" s="21">
        <v>288</v>
      </c>
      <c r="D62" s="21">
        <v>310</v>
      </c>
      <c r="E62" s="21">
        <v>18.5</v>
      </c>
      <c r="F62" s="21">
        <v>33</v>
      </c>
      <c r="G62" s="21">
        <v>24</v>
      </c>
      <c r="H62" s="21">
        <v>240.2</v>
      </c>
      <c r="I62" s="21">
        <v>244</v>
      </c>
      <c r="J62" s="21">
        <v>196</v>
      </c>
      <c r="K62" s="21" t="s">
        <v>1702</v>
      </c>
      <c r="L62" s="21">
        <v>122</v>
      </c>
      <c r="M62" s="21">
        <v>186</v>
      </c>
      <c r="N62" s="92">
        <v>1.694</v>
      </c>
      <c r="O62" s="92">
        <v>8.984</v>
      </c>
      <c r="P62" s="93">
        <f t="shared" si="0"/>
        <v>8.9629629629629625E-3</v>
      </c>
      <c r="X62" s="5"/>
    </row>
    <row r="63" spans="1:24" x14ac:dyDescent="0.3">
      <c r="A63" s="91" t="s">
        <v>3744</v>
      </c>
      <c r="B63" s="21">
        <v>238</v>
      </c>
      <c r="C63" s="21">
        <v>310</v>
      </c>
      <c r="D63" s="21">
        <v>340</v>
      </c>
      <c r="E63" s="21">
        <v>21</v>
      </c>
      <c r="F63" s="21">
        <v>39</v>
      </c>
      <c r="G63" s="21">
        <v>27</v>
      </c>
      <c r="H63" s="21">
        <v>303.10000000000002</v>
      </c>
      <c r="I63" s="21">
        <v>262</v>
      </c>
      <c r="J63" s="21">
        <v>208</v>
      </c>
      <c r="K63" s="21" t="s">
        <v>1702</v>
      </c>
      <c r="L63" s="21">
        <v>132</v>
      </c>
      <c r="M63" s="21">
        <v>208</v>
      </c>
      <c r="N63" s="92">
        <v>1.8320000000000001</v>
      </c>
      <c r="O63" s="92">
        <v>7.6989999999999998</v>
      </c>
      <c r="P63" s="93">
        <f t="shared" si="0"/>
        <v>7.6974789915966388E-3</v>
      </c>
      <c r="X63" s="5"/>
    </row>
    <row r="64" spans="1:24" x14ac:dyDescent="0.3">
      <c r="A64" s="91" t="s">
        <v>3745</v>
      </c>
      <c r="B64" s="21">
        <v>246</v>
      </c>
      <c r="C64" s="21">
        <v>309</v>
      </c>
      <c r="D64" s="21">
        <v>359</v>
      </c>
      <c r="E64" s="21">
        <v>21</v>
      </c>
      <c r="F64" s="21">
        <v>40</v>
      </c>
      <c r="G64" s="21">
        <v>27</v>
      </c>
      <c r="H64" s="21">
        <v>312</v>
      </c>
      <c r="I64" s="21">
        <v>279</v>
      </c>
      <c r="J64" s="21">
        <v>225</v>
      </c>
      <c r="K64" s="21" t="s">
        <v>1702</v>
      </c>
      <c r="L64" s="21">
        <v>132</v>
      </c>
      <c r="M64" s="21">
        <v>204</v>
      </c>
      <c r="N64" s="92">
        <v>1.8660000000000001</v>
      </c>
      <c r="O64" s="92">
        <v>7.6159999999999997</v>
      </c>
      <c r="P64" s="93">
        <f t="shared" si="0"/>
        <v>7.5853658536585373E-3</v>
      </c>
    </row>
    <row r="65" spans="1:16" x14ac:dyDescent="0.3">
      <c r="A65" s="91" t="s">
        <v>3746</v>
      </c>
      <c r="B65" s="21">
        <v>248</v>
      </c>
      <c r="C65" s="21">
        <v>309</v>
      </c>
      <c r="D65" s="21">
        <v>377</v>
      </c>
      <c r="E65" s="21">
        <v>21</v>
      </c>
      <c r="F65" s="21">
        <v>40</v>
      </c>
      <c r="G65" s="21">
        <v>27</v>
      </c>
      <c r="H65" s="21">
        <v>315.8</v>
      </c>
      <c r="I65" s="21">
        <v>297</v>
      </c>
      <c r="J65" s="21">
        <v>243</v>
      </c>
      <c r="K65" s="21" t="s">
        <v>1702</v>
      </c>
      <c r="L65" s="21">
        <v>132</v>
      </c>
      <c r="M65" s="21">
        <v>204</v>
      </c>
      <c r="N65" s="92">
        <v>1.9019999999999999</v>
      </c>
      <c r="O65" s="92">
        <v>7.67</v>
      </c>
      <c r="P65" s="93">
        <f t="shared" si="0"/>
        <v>7.669354838709677E-3</v>
      </c>
    </row>
    <row r="66" spans="1:16" x14ac:dyDescent="0.3">
      <c r="A66" s="91" t="s">
        <v>3747</v>
      </c>
      <c r="B66" s="21">
        <v>250</v>
      </c>
      <c r="C66" s="21">
        <v>308</v>
      </c>
      <c r="D66" s="21">
        <v>395</v>
      </c>
      <c r="E66" s="21">
        <v>21</v>
      </c>
      <c r="F66" s="21">
        <v>40</v>
      </c>
      <c r="G66" s="21">
        <v>27</v>
      </c>
      <c r="H66" s="21">
        <v>318.8</v>
      </c>
      <c r="I66" s="21">
        <v>315</v>
      </c>
      <c r="J66" s="21">
        <v>261</v>
      </c>
      <c r="K66" s="21" t="s">
        <v>1702</v>
      </c>
      <c r="L66" s="21">
        <v>132</v>
      </c>
      <c r="M66" s="21">
        <v>204</v>
      </c>
      <c r="N66" s="92">
        <v>1.9339999999999999</v>
      </c>
      <c r="O66" s="92">
        <v>7.73</v>
      </c>
      <c r="P66" s="93">
        <f t="shared" si="0"/>
        <v>7.7359999999999998E-3</v>
      </c>
    </row>
    <row r="67" spans="1:16" x14ac:dyDescent="0.3">
      <c r="A67" s="91" t="s">
        <v>3748</v>
      </c>
      <c r="B67" s="21">
        <v>256</v>
      </c>
      <c r="C67" s="21">
        <v>307</v>
      </c>
      <c r="D67" s="21">
        <v>432</v>
      </c>
      <c r="E67" s="21">
        <v>21</v>
      </c>
      <c r="F67" s="21">
        <v>40</v>
      </c>
      <c r="G67" s="21">
        <v>27</v>
      </c>
      <c r="H67" s="21">
        <v>325.8</v>
      </c>
      <c r="I67" s="21">
        <v>352</v>
      </c>
      <c r="J67" s="21">
        <v>298</v>
      </c>
      <c r="K67" s="21" t="s">
        <v>1702</v>
      </c>
      <c r="L67" s="21">
        <v>132</v>
      </c>
      <c r="M67" s="21">
        <v>202</v>
      </c>
      <c r="N67" s="92">
        <v>2.004</v>
      </c>
      <c r="O67" s="92">
        <v>7.835</v>
      </c>
      <c r="P67" s="93">
        <f t="shared" si="0"/>
        <v>7.828125E-3</v>
      </c>
    </row>
    <row r="68" spans="1:16" x14ac:dyDescent="0.3">
      <c r="A68" s="91" t="s">
        <v>3749</v>
      </c>
      <c r="B68" s="21">
        <v>263</v>
      </c>
      <c r="C68" s="21">
        <v>307</v>
      </c>
      <c r="D68" s="21">
        <v>478</v>
      </c>
      <c r="E68" s="21">
        <v>21</v>
      </c>
      <c r="F68" s="21">
        <v>40</v>
      </c>
      <c r="G68" s="21">
        <v>27</v>
      </c>
      <c r="H68" s="21">
        <v>335.4</v>
      </c>
      <c r="I68" s="21">
        <v>398</v>
      </c>
      <c r="J68" s="21">
        <v>344</v>
      </c>
      <c r="K68" s="21" t="s">
        <v>1702</v>
      </c>
      <c r="L68" s="21">
        <v>132</v>
      </c>
      <c r="M68" s="21">
        <v>202</v>
      </c>
      <c r="N68" s="92">
        <v>2.0960000000000001</v>
      </c>
      <c r="O68" s="92">
        <v>7.9589999999999996</v>
      </c>
      <c r="P68" s="93">
        <f t="shared" si="0"/>
        <v>7.96958174904943E-3</v>
      </c>
    </row>
    <row r="69" spans="1:16" x14ac:dyDescent="0.3">
      <c r="A69" s="91" t="s">
        <v>3750</v>
      </c>
      <c r="B69" s="21">
        <v>270</v>
      </c>
      <c r="C69" s="21">
        <v>306</v>
      </c>
      <c r="D69" s="21">
        <v>524</v>
      </c>
      <c r="E69" s="21">
        <v>21</v>
      </c>
      <c r="F69" s="21">
        <v>40</v>
      </c>
      <c r="G69" s="21">
        <v>27</v>
      </c>
      <c r="H69" s="21">
        <v>344.3</v>
      </c>
      <c r="I69" s="21">
        <v>444</v>
      </c>
      <c r="J69" s="21">
        <v>390</v>
      </c>
      <c r="K69" s="21" t="s">
        <v>1702</v>
      </c>
      <c r="L69" s="21">
        <v>132</v>
      </c>
      <c r="M69" s="21">
        <v>202</v>
      </c>
      <c r="N69" s="92">
        <v>2.1840000000000002</v>
      </c>
      <c r="O69" s="92">
        <v>8.0790000000000006</v>
      </c>
      <c r="P69" s="93">
        <f t="shared" si="0"/>
        <v>8.0888888888888903E-3</v>
      </c>
    </row>
    <row r="70" spans="1:16" x14ac:dyDescent="0.3">
      <c r="A70" s="91" t="s">
        <v>3751</v>
      </c>
      <c r="B70" s="21">
        <v>278</v>
      </c>
      <c r="C70" s="21">
        <v>306</v>
      </c>
      <c r="D70" s="21">
        <v>572</v>
      </c>
      <c r="E70" s="21">
        <v>21</v>
      </c>
      <c r="F70" s="21">
        <v>40</v>
      </c>
      <c r="G70" s="21">
        <v>27</v>
      </c>
      <c r="H70" s="21">
        <v>354.4</v>
      </c>
      <c r="I70" s="21">
        <v>492</v>
      </c>
      <c r="J70" s="21">
        <v>438</v>
      </c>
      <c r="K70" s="21" t="s">
        <v>1702</v>
      </c>
      <c r="L70" s="21">
        <v>132</v>
      </c>
      <c r="M70" s="21">
        <v>202</v>
      </c>
      <c r="N70" s="92">
        <v>2.2799999999999998</v>
      </c>
      <c r="O70" s="92">
        <v>8.1950000000000003</v>
      </c>
      <c r="P70" s="93">
        <f t="shared" ref="P70:P76" si="1">N70/B70</f>
        <v>8.2014388489208626E-3</v>
      </c>
    </row>
    <row r="71" spans="1:16" x14ac:dyDescent="0.3">
      <c r="A71" s="91" t="s">
        <v>3752</v>
      </c>
      <c r="B71" s="21">
        <v>285</v>
      </c>
      <c r="C71" s="21">
        <v>305</v>
      </c>
      <c r="D71" s="21">
        <v>620</v>
      </c>
      <c r="E71" s="21">
        <v>21</v>
      </c>
      <c r="F71" s="21">
        <v>40</v>
      </c>
      <c r="G71" s="21">
        <v>27</v>
      </c>
      <c r="H71" s="21">
        <v>363.7</v>
      </c>
      <c r="I71" s="21">
        <v>540</v>
      </c>
      <c r="J71" s="21">
        <v>486</v>
      </c>
      <c r="K71" s="21" t="s">
        <v>1702</v>
      </c>
      <c r="L71" s="21">
        <v>132</v>
      </c>
      <c r="M71" s="21">
        <v>200</v>
      </c>
      <c r="N71" s="92">
        <v>2.3719999999999999</v>
      </c>
      <c r="O71" s="92">
        <v>8.3079999999999998</v>
      </c>
      <c r="P71" s="93">
        <f t="shared" si="1"/>
        <v>8.3228070175438585E-3</v>
      </c>
    </row>
    <row r="72" spans="1:16" x14ac:dyDescent="0.3">
      <c r="A72" s="91" t="s">
        <v>3753</v>
      </c>
      <c r="B72" s="21">
        <v>293</v>
      </c>
      <c r="C72" s="21">
        <v>305</v>
      </c>
      <c r="D72" s="21">
        <v>668</v>
      </c>
      <c r="E72" s="21">
        <v>21</v>
      </c>
      <c r="F72" s="21">
        <v>40</v>
      </c>
      <c r="G72" s="21">
        <v>27</v>
      </c>
      <c r="H72" s="21">
        <v>373.7</v>
      </c>
      <c r="I72" s="21">
        <v>588</v>
      </c>
      <c r="J72" s="21">
        <v>534</v>
      </c>
      <c r="K72" s="21" t="s">
        <v>1702</v>
      </c>
      <c r="L72" s="21">
        <v>132</v>
      </c>
      <c r="M72" s="21">
        <v>200</v>
      </c>
      <c r="N72" s="92">
        <v>2.468</v>
      </c>
      <c r="O72" s="92">
        <v>8.4109999999999996</v>
      </c>
      <c r="P72" s="93">
        <f t="shared" si="1"/>
        <v>8.4232081911262795E-3</v>
      </c>
    </row>
    <row r="73" spans="1:16" x14ac:dyDescent="0.3">
      <c r="A73" s="91" t="s">
        <v>3754</v>
      </c>
      <c r="B73" s="21">
        <v>301</v>
      </c>
      <c r="C73" s="21">
        <v>304</v>
      </c>
      <c r="D73" s="21">
        <v>716</v>
      </c>
      <c r="E73" s="21">
        <v>21</v>
      </c>
      <c r="F73" s="21">
        <v>40</v>
      </c>
      <c r="G73" s="21">
        <v>27</v>
      </c>
      <c r="H73" s="21">
        <v>383</v>
      </c>
      <c r="I73" s="21">
        <v>636</v>
      </c>
      <c r="J73" s="21">
        <v>582</v>
      </c>
      <c r="K73" s="21" t="s">
        <v>1702</v>
      </c>
      <c r="L73" s="21">
        <v>132</v>
      </c>
      <c r="M73" s="21">
        <v>200</v>
      </c>
      <c r="N73" s="92">
        <v>2.56</v>
      </c>
      <c r="O73" s="92">
        <v>8.5129999999999999</v>
      </c>
      <c r="P73" s="93">
        <f t="shared" si="1"/>
        <v>8.5049833887043194E-3</v>
      </c>
    </row>
    <row r="74" spans="1:16" x14ac:dyDescent="0.3">
      <c r="A74" s="91" t="s">
        <v>3755</v>
      </c>
      <c r="B74" s="21">
        <v>317</v>
      </c>
      <c r="C74" s="21">
        <v>303</v>
      </c>
      <c r="D74" s="21">
        <v>814</v>
      </c>
      <c r="E74" s="21">
        <v>21</v>
      </c>
      <c r="F74" s="21">
        <v>40</v>
      </c>
      <c r="G74" s="21">
        <v>30</v>
      </c>
      <c r="H74" s="21">
        <v>404.3</v>
      </c>
      <c r="I74" s="21">
        <v>734</v>
      </c>
      <c r="J74" s="21">
        <v>674</v>
      </c>
      <c r="K74" s="21" t="s">
        <v>1702</v>
      </c>
      <c r="L74" s="21">
        <v>138</v>
      </c>
      <c r="M74" s="21">
        <v>198</v>
      </c>
      <c r="N74" s="92">
        <v>2.746</v>
      </c>
      <c r="O74" s="92">
        <v>8.6549999999999994</v>
      </c>
      <c r="P74" s="93">
        <f t="shared" si="1"/>
        <v>8.6624605678233442E-3</v>
      </c>
    </row>
    <row r="75" spans="1:16" x14ac:dyDescent="0.3">
      <c r="A75" s="91" t="s">
        <v>3756</v>
      </c>
      <c r="B75" s="21">
        <v>333</v>
      </c>
      <c r="C75" s="21">
        <v>302</v>
      </c>
      <c r="D75" s="21">
        <v>910</v>
      </c>
      <c r="E75" s="21">
        <v>21</v>
      </c>
      <c r="F75" s="21">
        <v>40</v>
      </c>
      <c r="G75" s="21">
        <v>30</v>
      </c>
      <c r="H75" s="21">
        <v>423.6</v>
      </c>
      <c r="I75" s="21">
        <v>830</v>
      </c>
      <c r="J75" s="21">
        <v>770</v>
      </c>
      <c r="K75" s="21" t="s">
        <v>1702</v>
      </c>
      <c r="L75" s="21">
        <v>138</v>
      </c>
      <c r="M75" s="21">
        <v>198</v>
      </c>
      <c r="N75" s="92">
        <v>2.9340000000000002</v>
      </c>
      <c r="O75" s="92">
        <v>8.8239999999999998</v>
      </c>
      <c r="P75" s="93">
        <f t="shared" si="1"/>
        <v>8.8108108108108114E-3</v>
      </c>
    </row>
    <row r="76" spans="1:16" ht="15" thickBot="1" x14ac:dyDescent="0.35">
      <c r="A76" s="94" t="s">
        <v>3757</v>
      </c>
      <c r="B76" s="23">
        <v>349</v>
      </c>
      <c r="C76" s="23">
        <v>302</v>
      </c>
      <c r="D76" s="23">
        <v>1008</v>
      </c>
      <c r="E76" s="23">
        <v>21</v>
      </c>
      <c r="F76" s="23">
        <v>40</v>
      </c>
      <c r="G76" s="23">
        <v>30</v>
      </c>
      <c r="H76" s="23">
        <v>444.2</v>
      </c>
      <c r="I76" s="23">
        <v>928</v>
      </c>
      <c r="J76" s="23">
        <v>868</v>
      </c>
      <c r="K76" s="23" t="s">
        <v>1702</v>
      </c>
      <c r="L76" s="23">
        <v>138</v>
      </c>
      <c r="M76" s="23">
        <v>198</v>
      </c>
      <c r="N76" s="95">
        <v>3.13</v>
      </c>
      <c r="O76" s="95">
        <v>8.9779999999999998</v>
      </c>
      <c r="P76" s="96">
        <f t="shared" si="1"/>
        <v>8.9684813753581651E-3</v>
      </c>
    </row>
    <row r="77" spans="1:16" ht="24" thickBot="1" x14ac:dyDescent="0.35">
      <c r="A77" s="108" t="s">
        <v>3758</v>
      </c>
      <c r="B77" s="109"/>
      <c r="C77" s="109"/>
      <c r="D77" s="105"/>
      <c r="E77" s="105"/>
      <c r="F77" s="105"/>
      <c r="G77" s="105"/>
      <c r="H77" s="105"/>
      <c r="I77" s="105"/>
      <c r="J77" s="105"/>
      <c r="K77" s="105"/>
      <c r="L77" s="105"/>
      <c r="M77" s="105"/>
      <c r="N77" s="105"/>
      <c r="O77" s="105"/>
      <c r="P77" s="106"/>
    </row>
    <row r="78" spans="1:16" x14ac:dyDescent="0.3">
      <c r="A78" s="1865" t="s">
        <v>3759</v>
      </c>
      <c r="B78" s="1858" t="s">
        <v>312</v>
      </c>
      <c r="C78" s="1859"/>
      <c r="D78" s="113"/>
      <c r="E78" s="114"/>
      <c r="F78" s="114"/>
      <c r="G78" s="114"/>
      <c r="H78" s="114"/>
      <c r="I78" s="114"/>
      <c r="J78" s="114"/>
      <c r="K78" s="113"/>
      <c r="L78" s="114"/>
      <c r="M78" s="114"/>
      <c r="N78" s="114"/>
      <c r="O78" s="114"/>
      <c r="P78" s="115"/>
    </row>
    <row r="79" spans="1:16" ht="15" thickBot="1" x14ac:dyDescent="0.35">
      <c r="A79" s="1866"/>
      <c r="B79" s="1860"/>
      <c r="C79" s="1861"/>
      <c r="D79" s="116"/>
      <c r="E79" s="59"/>
      <c r="F79" s="59"/>
      <c r="G79" s="59"/>
      <c r="H79" s="59"/>
      <c r="I79" s="59"/>
      <c r="J79" s="59"/>
      <c r="K79" s="116"/>
      <c r="L79" s="59"/>
      <c r="M79" s="59"/>
      <c r="N79" s="59"/>
      <c r="O79" s="59"/>
      <c r="P79" s="117"/>
    </row>
    <row r="80" spans="1:16" ht="29.4" thickBot="1" x14ac:dyDescent="0.35">
      <c r="A80" s="111" t="s">
        <v>3760</v>
      </c>
      <c r="B80" s="102" t="s">
        <v>1662</v>
      </c>
      <c r="C80" s="112" t="s">
        <v>3761</v>
      </c>
      <c r="D80" s="116"/>
      <c r="E80" s="59"/>
      <c r="F80" s="59"/>
      <c r="G80" s="59"/>
      <c r="H80" s="59"/>
      <c r="I80" s="59"/>
      <c r="J80" s="59"/>
      <c r="K80" s="116"/>
      <c r="L80" s="59"/>
      <c r="M80" s="59"/>
      <c r="N80" s="59"/>
      <c r="O80" s="59"/>
      <c r="P80" s="117"/>
    </row>
    <row r="81" spans="1:16" x14ac:dyDescent="0.3">
      <c r="A81" s="18" t="s">
        <v>3762</v>
      </c>
      <c r="B81" s="54">
        <f t="shared" ref="B81:B112" si="2">4.88242764*C81</f>
        <v>27.683364718800004</v>
      </c>
      <c r="C81" s="110">
        <v>5.67</v>
      </c>
      <c r="D81" s="116"/>
      <c r="E81" s="59"/>
      <c r="F81" s="59"/>
      <c r="G81" s="59"/>
      <c r="H81" s="59"/>
      <c r="I81" s="59"/>
      <c r="J81" s="59"/>
      <c r="K81" s="116"/>
      <c r="L81" s="59"/>
      <c r="M81" s="59"/>
      <c r="N81" s="59"/>
      <c r="O81" s="59"/>
      <c r="P81" s="117"/>
    </row>
    <row r="82" spans="1:16" x14ac:dyDescent="0.3">
      <c r="A82" s="20" t="s">
        <v>3763</v>
      </c>
      <c r="B82" s="55">
        <f t="shared" si="2"/>
        <v>25.144502346000003</v>
      </c>
      <c r="C82" s="107">
        <v>5.15</v>
      </c>
      <c r="D82" s="116"/>
      <c r="E82" s="59"/>
      <c r="F82" s="59"/>
      <c r="G82" s="59"/>
      <c r="H82" s="59"/>
      <c r="I82" s="59"/>
      <c r="J82" s="59"/>
      <c r="K82" s="116"/>
      <c r="L82" s="59"/>
      <c r="M82" s="59"/>
      <c r="N82" s="59"/>
      <c r="O82" s="59"/>
      <c r="P82" s="117"/>
    </row>
    <row r="83" spans="1:16" x14ac:dyDescent="0.3">
      <c r="A83" s="20" t="s">
        <v>3764</v>
      </c>
      <c r="B83" s="55">
        <f t="shared" si="2"/>
        <v>35.885843154</v>
      </c>
      <c r="C83" s="107">
        <v>7.35</v>
      </c>
      <c r="D83" s="116"/>
      <c r="E83" s="59"/>
      <c r="F83" s="59"/>
      <c r="G83" s="59"/>
      <c r="H83" s="59"/>
      <c r="I83" s="59"/>
      <c r="J83" s="59"/>
      <c r="K83" s="116"/>
      <c r="L83" s="59"/>
      <c r="M83" s="59"/>
      <c r="N83" s="59"/>
      <c r="O83" s="59"/>
      <c r="P83" s="117"/>
    </row>
    <row r="84" spans="1:16" x14ac:dyDescent="0.3">
      <c r="A84" s="20" t="s">
        <v>3765</v>
      </c>
      <c r="B84" s="55">
        <f t="shared" si="2"/>
        <v>30.271051368000002</v>
      </c>
      <c r="C84" s="107">
        <v>6.2</v>
      </c>
      <c r="D84" s="116"/>
      <c r="E84" s="59"/>
      <c r="F84" s="59"/>
      <c r="G84" s="59"/>
      <c r="H84" s="59"/>
      <c r="I84" s="59"/>
      <c r="J84" s="59"/>
      <c r="K84" s="116"/>
      <c r="L84" s="59"/>
      <c r="M84" s="59"/>
      <c r="N84" s="59"/>
      <c r="O84" s="59"/>
      <c r="P84" s="117"/>
    </row>
    <row r="85" spans="1:16" x14ac:dyDescent="0.3">
      <c r="A85" s="20" t="s">
        <v>3766</v>
      </c>
      <c r="B85" s="55">
        <f t="shared" si="2"/>
        <v>44.0883215892</v>
      </c>
      <c r="C85" s="107">
        <v>9.0299999999999994</v>
      </c>
      <c r="D85" s="116"/>
      <c r="E85" s="59"/>
      <c r="F85" s="59"/>
      <c r="G85" s="59"/>
      <c r="H85" s="59"/>
      <c r="I85" s="59"/>
      <c r="J85" s="59"/>
      <c r="K85" s="116"/>
      <c r="L85" s="59"/>
      <c r="M85" s="59"/>
      <c r="N85" s="59"/>
      <c r="O85" s="59"/>
      <c r="P85" s="117"/>
    </row>
    <row r="86" spans="1:16" x14ac:dyDescent="0.3">
      <c r="A86" s="20" t="s">
        <v>3767</v>
      </c>
      <c r="B86" s="55">
        <f t="shared" si="2"/>
        <v>35.885843154</v>
      </c>
      <c r="C86" s="107">
        <v>7.35</v>
      </c>
      <c r="D86" s="116"/>
      <c r="E86" s="59"/>
      <c r="F86" s="59"/>
      <c r="G86" s="59"/>
      <c r="H86" s="59"/>
      <c r="I86" s="59"/>
      <c r="J86" s="59"/>
      <c r="K86" s="116"/>
      <c r="L86" s="59"/>
      <c r="M86" s="59"/>
      <c r="N86" s="59"/>
      <c r="O86" s="59"/>
      <c r="P86" s="117"/>
    </row>
    <row r="87" spans="1:16" x14ac:dyDescent="0.3">
      <c r="A87" s="20" t="s">
        <v>3768</v>
      </c>
      <c r="B87" s="55">
        <f t="shared" si="2"/>
        <v>53.413758381600005</v>
      </c>
      <c r="C87" s="107">
        <v>10.94</v>
      </c>
      <c r="D87" s="116"/>
      <c r="E87" s="59"/>
      <c r="F87" s="59"/>
      <c r="G87" s="59"/>
      <c r="H87" s="59"/>
      <c r="I87" s="59"/>
      <c r="J87" s="59"/>
      <c r="K87" s="116"/>
      <c r="L87" s="59"/>
      <c r="M87" s="59"/>
      <c r="N87" s="59"/>
      <c r="O87" s="59"/>
      <c r="P87" s="117"/>
    </row>
    <row r="88" spans="1:16" x14ac:dyDescent="0.3">
      <c r="A88" s="20" t="s">
        <v>3769</v>
      </c>
      <c r="B88" s="55">
        <f t="shared" si="2"/>
        <v>61.616236816800004</v>
      </c>
      <c r="C88" s="107">
        <v>12.62</v>
      </c>
      <c r="D88" s="116"/>
      <c r="E88" s="59"/>
      <c r="F88" s="59"/>
      <c r="G88" s="59"/>
      <c r="H88" s="59"/>
      <c r="I88" s="59"/>
      <c r="J88" s="59"/>
      <c r="K88" s="116"/>
      <c r="L88" s="59"/>
      <c r="M88" s="59"/>
      <c r="N88" s="59"/>
      <c r="O88" s="59"/>
      <c r="P88" s="117"/>
    </row>
    <row r="89" spans="1:16" x14ac:dyDescent="0.3">
      <c r="A89" s="20" t="s">
        <v>3770</v>
      </c>
      <c r="B89" s="55">
        <f t="shared" si="2"/>
        <v>69.818715252000004</v>
      </c>
      <c r="C89" s="107">
        <v>14.3</v>
      </c>
      <c r="D89" s="116"/>
      <c r="E89" s="59"/>
      <c r="F89" s="59"/>
      <c r="G89" s="59"/>
      <c r="H89" s="59"/>
      <c r="I89" s="59"/>
      <c r="J89" s="59"/>
      <c r="K89" s="116"/>
      <c r="L89" s="59"/>
      <c r="M89" s="59"/>
      <c r="N89" s="59"/>
      <c r="O89" s="59"/>
      <c r="P89" s="117"/>
    </row>
    <row r="90" spans="1:16" x14ac:dyDescent="0.3">
      <c r="A90" s="20" t="s">
        <v>3771</v>
      </c>
      <c r="B90" s="55">
        <f t="shared" si="2"/>
        <v>77.484126646800007</v>
      </c>
      <c r="C90" s="107">
        <v>15.87</v>
      </c>
      <c r="D90" s="116"/>
      <c r="E90" s="59"/>
      <c r="F90" s="59"/>
      <c r="G90" s="59"/>
      <c r="H90" s="59"/>
      <c r="I90" s="59"/>
      <c r="J90" s="59"/>
      <c r="K90" s="116"/>
      <c r="L90" s="59"/>
      <c r="M90" s="59"/>
      <c r="N90" s="59"/>
      <c r="O90" s="59"/>
      <c r="P90" s="117"/>
    </row>
    <row r="91" spans="1:16" x14ac:dyDescent="0.3">
      <c r="A91" s="20" t="s">
        <v>3772</v>
      </c>
      <c r="B91" s="55">
        <f t="shared" si="2"/>
        <v>85.686605082000014</v>
      </c>
      <c r="C91" s="107">
        <v>17.55</v>
      </c>
      <c r="D91" s="116"/>
      <c r="E91" s="59"/>
      <c r="F91" s="59"/>
      <c r="G91" s="59"/>
      <c r="H91" s="59"/>
      <c r="I91" s="59"/>
      <c r="J91" s="59"/>
      <c r="K91" s="116"/>
      <c r="L91" s="59"/>
      <c r="M91" s="59"/>
      <c r="N91" s="59"/>
      <c r="O91" s="59"/>
      <c r="P91" s="117"/>
    </row>
    <row r="92" spans="1:16" x14ac:dyDescent="0.3">
      <c r="A92" s="20" t="s">
        <v>3773</v>
      </c>
      <c r="B92" s="55">
        <f t="shared" si="2"/>
        <v>47.40837238440001</v>
      </c>
      <c r="C92" s="107">
        <v>9.7100000000000009</v>
      </c>
      <c r="D92" s="116"/>
      <c r="E92" s="59"/>
      <c r="F92" s="59"/>
      <c r="G92" s="59"/>
      <c r="H92" s="59"/>
      <c r="I92" s="59"/>
      <c r="J92" s="59"/>
      <c r="K92" s="116"/>
      <c r="L92" s="59"/>
      <c r="M92" s="59"/>
      <c r="N92" s="59"/>
      <c r="O92" s="59"/>
      <c r="P92" s="117"/>
    </row>
    <row r="93" spans="1:16" x14ac:dyDescent="0.3">
      <c r="A93" s="20" t="s">
        <v>3774</v>
      </c>
      <c r="B93" s="55">
        <f t="shared" si="2"/>
        <v>68.402811236399998</v>
      </c>
      <c r="C93" s="107">
        <v>14.01</v>
      </c>
      <c r="D93" s="116"/>
      <c r="E93" s="59"/>
      <c r="F93" s="59"/>
      <c r="G93" s="59"/>
      <c r="H93" s="59"/>
      <c r="I93" s="59"/>
      <c r="J93" s="59"/>
      <c r="K93" s="116"/>
      <c r="L93" s="59"/>
      <c r="M93" s="59"/>
      <c r="N93" s="59"/>
      <c r="O93" s="59"/>
      <c r="P93" s="117"/>
    </row>
    <row r="94" spans="1:16" x14ac:dyDescent="0.3">
      <c r="A94" s="20" t="s">
        <v>3775</v>
      </c>
      <c r="B94" s="55">
        <f t="shared" si="2"/>
        <v>57.954416086800002</v>
      </c>
      <c r="C94" s="107">
        <v>11.87</v>
      </c>
      <c r="D94" s="116"/>
      <c r="E94" s="59"/>
      <c r="F94" s="59"/>
      <c r="G94" s="59"/>
      <c r="H94" s="59"/>
      <c r="I94" s="59"/>
      <c r="J94" s="59"/>
      <c r="K94" s="116"/>
      <c r="L94" s="59"/>
      <c r="M94" s="59"/>
      <c r="N94" s="59"/>
      <c r="O94" s="59"/>
      <c r="P94" s="117"/>
    </row>
    <row r="95" spans="1:16" x14ac:dyDescent="0.3">
      <c r="A95" s="20" t="s">
        <v>3776</v>
      </c>
      <c r="B95" s="55">
        <f t="shared" si="2"/>
        <v>84.124228237200015</v>
      </c>
      <c r="C95" s="107">
        <v>17.23</v>
      </c>
      <c r="D95" s="116"/>
      <c r="E95" s="59"/>
      <c r="F95" s="59"/>
      <c r="G95" s="59"/>
      <c r="H95" s="59"/>
      <c r="I95" s="59"/>
      <c r="J95" s="59"/>
      <c r="K95" s="116"/>
      <c r="L95" s="59"/>
      <c r="M95" s="59"/>
      <c r="N95" s="59"/>
      <c r="O95" s="59"/>
      <c r="P95" s="117"/>
    </row>
    <row r="96" spans="1:16" ht="15" thickBot="1" x14ac:dyDescent="0.35">
      <c r="A96" s="20" t="s">
        <v>3777</v>
      </c>
      <c r="B96" s="55">
        <f t="shared" si="2"/>
        <v>68.402811236399998</v>
      </c>
      <c r="C96" s="107">
        <v>14.01</v>
      </c>
      <c r="D96" s="116"/>
      <c r="E96" s="59"/>
      <c r="F96" s="59"/>
      <c r="G96" s="59"/>
      <c r="H96" s="59"/>
      <c r="I96" s="59"/>
      <c r="J96" s="59"/>
      <c r="K96" s="118"/>
      <c r="L96" s="119"/>
      <c r="M96" s="119"/>
      <c r="N96" s="119"/>
      <c r="O96" s="119"/>
      <c r="P96" s="120"/>
    </row>
    <row r="97" spans="1:16" x14ac:dyDescent="0.3">
      <c r="A97" s="20" t="s">
        <v>3778</v>
      </c>
      <c r="B97" s="55">
        <f t="shared" si="2"/>
        <v>84.124228237200015</v>
      </c>
      <c r="C97" s="107">
        <v>17.23</v>
      </c>
      <c r="D97" s="116"/>
      <c r="E97" s="59"/>
      <c r="F97" s="59"/>
      <c r="G97" s="59"/>
      <c r="H97" s="59"/>
      <c r="I97" s="59"/>
      <c r="J97" s="59"/>
      <c r="K97" s="59"/>
      <c r="L97" s="59"/>
      <c r="M97" s="59"/>
      <c r="N97" s="59"/>
      <c r="O97" s="59"/>
      <c r="P97" s="117"/>
    </row>
    <row r="98" spans="1:16" x14ac:dyDescent="0.3">
      <c r="A98" s="20" t="s">
        <v>3779</v>
      </c>
      <c r="B98" s="55">
        <f t="shared" si="2"/>
        <v>98.429741222400011</v>
      </c>
      <c r="C98" s="107">
        <v>20.16</v>
      </c>
      <c r="D98" s="116"/>
      <c r="E98" s="59"/>
      <c r="F98" s="59"/>
      <c r="G98" s="59"/>
      <c r="H98" s="59"/>
      <c r="I98" s="59"/>
      <c r="J98" s="59"/>
      <c r="K98" s="59"/>
      <c r="L98" s="59"/>
      <c r="M98" s="59"/>
      <c r="N98" s="59"/>
      <c r="O98" s="59"/>
      <c r="P98" s="117"/>
    </row>
    <row r="99" spans="1:16" x14ac:dyDescent="0.3">
      <c r="A99" s="20" t="s">
        <v>3780</v>
      </c>
      <c r="B99" s="55">
        <f t="shared" si="2"/>
        <v>78.900030662400013</v>
      </c>
      <c r="C99" s="107">
        <v>16.16</v>
      </c>
      <c r="D99" s="116"/>
      <c r="E99" s="59"/>
      <c r="F99" s="59"/>
      <c r="G99" s="59"/>
      <c r="H99" s="59"/>
      <c r="I99" s="59"/>
      <c r="J99" s="59"/>
      <c r="K99" s="59"/>
      <c r="L99" s="59"/>
      <c r="M99" s="59"/>
      <c r="N99" s="59"/>
      <c r="O99" s="59"/>
      <c r="P99" s="117"/>
    </row>
    <row r="100" spans="1:16" x14ac:dyDescent="0.3">
      <c r="A100" s="20" t="s">
        <v>3781</v>
      </c>
      <c r="B100" s="55">
        <f t="shared" si="2"/>
        <v>115.56706223880002</v>
      </c>
      <c r="C100" s="107">
        <v>23.67</v>
      </c>
      <c r="D100" s="116"/>
      <c r="E100" s="59"/>
      <c r="F100" s="59"/>
      <c r="G100" s="59"/>
      <c r="H100" s="59"/>
      <c r="I100" s="59"/>
      <c r="J100" s="59"/>
      <c r="K100" s="59"/>
      <c r="L100" s="59"/>
      <c r="M100" s="59"/>
      <c r="N100" s="59"/>
      <c r="O100" s="59"/>
      <c r="P100" s="117"/>
    </row>
    <row r="101" spans="1:16" x14ac:dyDescent="0.3">
      <c r="A101" s="20" t="s">
        <v>3782</v>
      </c>
      <c r="B101" s="55">
        <f t="shared" si="2"/>
        <v>89.348425812000016</v>
      </c>
      <c r="C101" s="107">
        <v>18.3</v>
      </c>
      <c r="D101" s="116"/>
      <c r="E101" s="59"/>
      <c r="F101" s="59"/>
      <c r="G101" s="59"/>
      <c r="H101" s="59"/>
      <c r="I101" s="59"/>
      <c r="J101" s="59"/>
      <c r="K101" s="59"/>
      <c r="L101" s="59"/>
      <c r="M101" s="59"/>
      <c r="N101" s="59"/>
      <c r="O101" s="59"/>
      <c r="P101" s="117"/>
    </row>
    <row r="102" spans="1:16" x14ac:dyDescent="0.3">
      <c r="A102" s="20" t="s">
        <v>3783</v>
      </c>
      <c r="B102" s="55">
        <f t="shared" si="2"/>
        <v>110.34286466400002</v>
      </c>
      <c r="C102" s="107">
        <v>22.6</v>
      </c>
      <c r="D102" s="116"/>
      <c r="E102" s="59"/>
      <c r="F102" s="59"/>
      <c r="G102" s="59"/>
      <c r="H102" s="59"/>
      <c r="I102" s="59"/>
      <c r="J102" s="59"/>
      <c r="K102" s="59"/>
      <c r="L102" s="59"/>
      <c r="M102" s="59"/>
      <c r="N102" s="59"/>
      <c r="O102" s="59"/>
      <c r="P102" s="117"/>
    </row>
    <row r="103" spans="1:16" x14ac:dyDescent="0.3">
      <c r="A103" s="20" t="s">
        <v>3784</v>
      </c>
      <c r="B103" s="55">
        <f t="shared" si="2"/>
        <v>131.28847923960001</v>
      </c>
      <c r="C103" s="107">
        <v>26.89</v>
      </c>
      <c r="D103" s="116"/>
      <c r="E103" s="59"/>
      <c r="F103" s="59"/>
      <c r="G103" s="59"/>
      <c r="H103" s="59"/>
      <c r="I103" s="59"/>
      <c r="J103" s="59"/>
      <c r="K103" s="59"/>
      <c r="L103" s="59"/>
      <c r="M103" s="59"/>
      <c r="N103" s="59"/>
      <c r="O103" s="59"/>
      <c r="P103" s="117"/>
    </row>
    <row r="104" spans="1:16" x14ac:dyDescent="0.3">
      <c r="A104" s="20" t="s">
        <v>3785</v>
      </c>
      <c r="B104" s="55">
        <f t="shared" si="2"/>
        <v>99.894469514400015</v>
      </c>
      <c r="C104" s="107">
        <v>20.46</v>
      </c>
      <c r="D104" s="116"/>
      <c r="E104" s="59"/>
      <c r="F104" s="59"/>
      <c r="G104" s="59"/>
      <c r="H104" s="59"/>
      <c r="I104" s="59"/>
      <c r="J104" s="59"/>
      <c r="K104" s="59"/>
      <c r="L104" s="59"/>
      <c r="M104" s="59"/>
      <c r="N104" s="59"/>
      <c r="O104" s="59"/>
      <c r="P104" s="117"/>
    </row>
    <row r="105" spans="1:16" x14ac:dyDescent="0.3">
      <c r="A105" s="20" t="s">
        <v>3786</v>
      </c>
      <c r="B105" s="55">
        <f t="shared" si="2"/>
        <v>147.05872051680001</v>
      </c>
      <c r="C105" s="107">
        <v>30.12</v>
      </c>
      <c r="D105" s="116"/>
      <c r="E105" s="59"/>
      <c r="F105" s="59"/>
      <c r="G105" s="59"/>
      <c r="H105" s="59"/>
      <c r="I105" s="59"/>
      <c r="J105" s="59"/>
      <c r="K105" s="59"/>
      <c r="L105" s="59"/>
      <c r="M105" s="59"/>
      <c r="N105" s="59"/>
      <c r="O105" s="59"/>
      <c r="P105" s="117"/>
    </row>
    <row r="106" spans="1:16" x14ac:dyDescent="0.3">
      <c r="A106" s="20" t="s">
        <v>3787</v>
      </c>
      <c r="B106" s="55">
        <f t="shared" si="2"/>
        <v>110.34286466400002</v>
      </c>
      <c r="C106" s="107">
        <v>22.6</v>
      </c>
      <c r="D106" s="116"/>
      <c r="E106" s="59"/>
      <c r="F106" s="59"/>
      <c r="G106" s="59"/>
      <c r="H106" s="59"/>
      <c r="I106" s="59"/>
      <c r="J106" s="59"/>
      <c r="K106" s="59"/>
      <c r="L106" s="59"/>
      <c r="M106" s="59"/>
      <c r="N106" s="59"/>
      <c r="O106" s="59"/>
      <c r="P106" s="117"/>
    </row>
    <row r="107" spans="1:16" x14ac:dyDescent="0.3">
      <c r="A107" s="20" t="s">
        <v>3788</v>
      </c>
      <c r="B107" s="55">
        <f t="shared" si="2"/>
        <v>136.51267681440001</v>
      </c>
      <c r="C107" s="107">
        <v>27.96</v>
      </c>
      <c r="D107" s="116"/>
      <c r="E107" s="59"/>
      <c r="F107" s="59"/>
      <c r="G107" s="59"/>
      <c r="H107" s="59"/>
      <c r="I107" s="59"/>
      <c r="J107" s="59"/>
      <c r="K107" s="59"/>
      <c r="L107" s="59"/>
      <c r="M107" s="59"/>
      <c r="N107" s="59"/>
      <c r="O107" s="59"/>
      <c r="P107" s="117"/>
    </row>
    <row r="108" spans="1:16" x14ac:dyDescent="0.3">
      <c r="A108" s="20" t="s">
        <v>3789</v>
      </c>
      <c r="B108" s="55">
        <f t="shared" si="2"/>
        <v>162.78013751760002</v>
      </c>
      <c r="C108" s="107">
        <v>33.340000000000003</v>
      </c>
      <c r="D108" s="116"/>
      <c r="E108" s="59"/>
      <c r="F108" s="59"/>
      <c r="G108" s="59"/>
      <c r="H108" s="59"/>
      <c r="I108" s="59"/>
      <c r="J108" s="59"/>
      <c r="K108" s="59"/>
      <c r="L108" s="59"/>
      <c r="M108" s="59"/>
      <c r="N108" s="59"/>
      <c r="O108" s="59"/>
      <c r="P108" s="117"/>
    </row>
    <row r="109" spans="1:16" x14ac:dyDescent="0.3">
      <c r="A109" s="20" t="s">
        <v>3790</v>
      </c>
      <c r="B109" s="55">
        <f t="shared" si="2"/>
        <v>138.27035076480001</v>
      </c>
      <c r="C109" s="107">
        <v>28.32</v>
      </c>
      <c r="D109" s="116"/>
      <c r="E109" s="59"/>
      <c r="F109" s="59"/>
      <c r="G109" s="59"/>
      <c r="H109" s="59"/>
      <c r="I109" s="59"/>
      <c r="J109" s="59"/>
      <c r="K109" s="59"/>
      <c r="L109" s="59"/>
      <c r="M109" s="59"/>
      <c r="N109" s="59"/>
      <c r="O109" s="59"/>
      <c r="P109" s="117"/>
    </row>
    <row r="110" spans="1:16" x14ac:dyDescent="0.3">
      <c r="A110" s="20" t="s">
        <v>3791</v>
      </c>
      <c r="B110" s="55">
        <f t="shared" si="2"/>
        <v>169.71318476639999</v>
      </c>
      <c r="C110" s="107">
        <v>34.76</v>
      </c>
      <c r="D110" s="116"/>
      <c r="E110" s="59"/>
      <c r="F110" s="59"/>
      <c r="G110" s="59"/>
      <c r="H110" s="59"/>
      <c r="I110" s="59"/>
      <c r="J110" s="59"/>
      <c r="K110" s="59"/>
      <c r="L110" s="59"/>
      <c r="M110" s="59"/>
      <c r="N110" s="59"/>
      <c r="O110" s="59"/>
      <c r="P110" s="117"/>
    </row>
    <row r="111" spans="1:16" x14ac:dyDescent="0.3">
      <c r="A111" s="20" t="s">
        <v>3792</v>
      </c>
      <c r="B111" s="55">
        <f t="shared" si="2"/>
        <v>201.15601876800002</v>
      </c>
      <c r="C111" s="107">
        <v>41.2</v>
      </c>
      <c r="D111" s="116"/>
      <c r="E111" s="59"/>
      <c r="F111" s="59"/>
      <c r="G111" s="59"/>
      <c r="H111" s="59"/>
      <c r="I111" s="59"/>
      <c r="J111" s="59"/>
      <c r="K111" s="59"/>
      <c r="L111" s="59"/>
      <c r="M111" s="59"/>
      <c r="N111" s="59"/>
      <c r="O111" s="59"/>
      <c r="P111" s="117"/>
    </row>
    <row r="112" spans="1:16" x14ac:dyDescent="0.3">
      <c r="A112" s="20" t="s">
        <v>3793</v>
      </c>
      <c r="B112" s="55">
        <f t="shared" si="2"/>
        <v>264.09051104760005</v>
      </c>
      <c r="C112" s="107">
        <v>54.09</v>
      </c>
      <c r="D112" s="116"/>
      <c r="E112" s="59"/>
      <c r="F112" s="59"/>
      <c r="G112" s="59"/>
      <c r="H112" s="59"/>
      <c r="I112" s="59"/>
      <c r="J112" s="59"/>
      <c r="K112" s="59"/>
      <c r="L112" s="59"/>
      <c r="M112" s="59"/>
      <c r="N112" s="59"/>
      <c r="O112" s="59"/>
      <c r="P112" s="117"/>
    </row>
    <row r="113" spans="1:16" x14ac:dyDescent="0.3">
      <c r="A113" s="20" t="s">
        <v>3794</v>
      </c>
      <c r="B113" s="55">
        <f t="shared" ref="B113:B133" si="3">4.88242764*C113</f>
        <v>159.2159653404</v>
      </c>
      <c r="C113" s="107">
        <v>32.61</v>
      </c>
      <c r="D113" s="116"/>
      <c r="E113" s="59"/>
      <c r="F113" s="59"/>
      <c r="G113" s="59"/>
      <c r="H113" s="59"/>
      <c r="I113" s="59"/>
      <c r="J113" s="59"/>
      <c r="K113" s="59"/>
      <c r="L113" s="59"/>
      <c r="M113" s="59"/>
      <c r="N113" s="59"/>
      <c r="O113" s="59"/>
      <c r="P113" s="117"/>
    </row>
    <row r="114" spans="1:16" x14ac:dyDescent="0.3">
      <c r="A114" s="20" t="s">
        <v>3795</v>
      </c>
      <c r="B114" s="55">
        <f t="shared" si="3"/>
        <v>232.64767704600001</v>
      </c>
      <c r="C114" s="107">
        <v>47.65</v>
      </c>
      <c r="D114" s="116"/>
      <c r="E114" s="59"/>
      <c r="F114" s="59"/>
      <c r="G114" s="59"/>
      <c r="H114" s="59"/>
      <c r="I114" s="59"/>
      <c r="J114" s="59"/>
      <c r="K114" s="59"/>
      <c r="L114" s="59"/>
      <c r="M114" s="59"/>
      <c r="N114" s="59"/>
      <c r="O114" s="59"/>
      <c r="P114" s="117"/>
    </row>
    <row r="115" spans="1:16" x14ac:dyDescent="0.3">
      <c r="A115" s="20" t="s">
        <v>3796</v>
      </c>
      <c r="B115" s="55">
        <f t="shared" si="3"/>
        <v>305.98174019880003</v>
      </c>
      <c r="C115" s="107">
        <v>62.67</v>
      </c>
      <c r="D115" s="116"/>
      <c r="E115" s="59"/>
      <c r="F115" s="59"/>
      <c r="G115" s="59"/>
      <c r="H115" s="59"/>
      <c r="I115" s="59"/>
      <c r="J115" s="59"/>
      <c r="K115" s="59"/>
      <c r="L115" s="59"/>
      <c r="M115" s="59"/>
      <c r="N115" s="59"/>
      <c r="O115" s="59"/>
      <c r="P115" s="117"/>
    </row>
    <row r="116" spans="1:16" x14ac:dyDescent="0.3">
      <c r="A116" s="20" t="s">
        <v>3797</v>
      </c>
      <c r="B116" s="55">
        <f t="shared" si="3"/>
        <v>180.21040419240001</v>
      </c>
      <c r="C116" s="107">
        <v>36.909999999999997</v>
      </c>
      <c r="D116" s="116"/>
      <c r="E116" s="59"/>
      <c r="F116" s="59"/>
      <c r="G116" s="59"/>
      <c r="H116" s="59"/>
      <c r="I116" s="59"/>
      <c r="J116" s="59"/>
      <c r="K116" s="59"/>
      <c r="L116" s="59"/>
      <c r="M116" s="59"/>
      <c r="N116" s="59"/>
      <c r="O116" s="59"/>
      <c r="P116" s="117"/>
    </row>
    <row r="117" spans="1:16" x14ac:dyDescent="0.3">
      <c r="A117" s="20" t="s">
        <v>3798</v>
      </c>
      <c r="B117" s="55">
        <f t="shared" si="3"/>
        <v>222.15045762000003</v>
      </c>
      <c r="C117" s="107">
        <v>45.5</v>
      </c>
      <c r="D117" s="116"/>
      <c r="E117" s="59"/>
      <c r="F117" s="59"/>
      <c r="G117" s="59"/>
      <c r="H117" s="59"/>
      <c r="I117" s="59"/>
      <c r="J117" s="59"/>
      <c r="K117" s="59"/>
      <c r="L117" s="59"/>
      <c r="M117" s="59"/>
      <c r="N117" s="59"/>
      <c r="O117" s="59"/>
      <c r="P117" s="117"/>
    </row>
    <row r="118" spans="1:16" x14ac:dyDescent="0.3">
      <c r="A118" s="20" t="s">
        <v>3799</v>
      </c>
      <c r="B118" s="55">
        <f t="shared" si="3"/>
        <v>264.09051104760005</v>
      </c>
      <c r="C118" s="107">
        <v>54.09</v>
      </c>
      <c r="D118" s="116"/>
      <c r="E118" s="59"/>
      <c r="F118" s="59"/>
      <c r="G118" s="59"/>
      <c r="H118" s="59"/>
      <c r="I118" s="59"/>
      <c r="J118" s="59"/>
      <c r="K118" s="59"/>
      <c r="L118" s="59"/>
      <c r="M118" s="59"/>
      <c r="N118" s="59"/>
      <c r="O118" s="59"/>
      <c r="P118" s="117"/>
    </row>
    <row r="119" spans="1:16" x14ac:dyDescent="0.3">
      <c r="A119" s="20" t="s">
        <v>3800</v>
      </c>
      <c r="B119" s="55">
        <f t="shared" si="3"/>
        <v>347.92179362640007</v>
      </c>
      <c r="C119" s="107">
        <v>71.260000000000005</v>
      </c>
      <c r="D119" s="116"/>
      <c r="E119" s="59"/>
      <c r="F119" s="59"/>
      <c r="G119" s="59"/>
      <c r="H119" s="59"/>
      <c r="I119" s="59"/>
      <c r="J119" s="59"/>
      <c r="K119" s="59"/>
      <c r="L119" s="59"/>
      <c r="M119" s="59"/>
      <c r="N119" s="59"/>
      <c r="O119" s="59"/>
      <c r="P119" s="117"/>
    </row>
    <row r="120" spans="1:16" x14ac:dyDescent="0.3">
      <c r="A120" s="20" t="s">
        <v>3801</v>
      </c>
      <c r="B120" s="55">
        <f t="shared" si="3"/>
        <v>201.15601876800002</v>
      </c>
      <c r="C120" s="107">
        <v>41.2</v>
      </c>
      <c r="D120" s="116"/>
      <c r="E120" s="59"/>
      <c r="F120" s="59"/>
      <c r="G120" s="59"/>
      <c r="H120" s="59"/>
      <c r="I120" s="59"/>
      <c r="J120" s="59"/>
      <c r="K120" s="59"/>
      <c r="L120" s="59"/>
      <c r="M120" s="59"/>
      <c r="N120" s="59"/>
      <c r="O120" s="59"/>
      <c r="P120" s="117"/>
    </row>
    <row r="121" spans="1:16" x14ac:dyDescent="0.3">
      <c r="A121" s="20" t="s">
        <v>3802</v>
      </c>
      <c r="B121" s="55">
        <f t="shared" si="3"/>
        <v>295.53334504920002</v>
      </c>
      <c r="C121" s="107">
        <v>60.53</v>
      </c>
      <c r="D121" s="116"/>
      <c r="E121" s="59"/>
      <c r="F121" s="59"/>
      <c r="G121" s="59"/>
      <c r="H121" s="59"/>
      <c r="I121" s="59"/>
      <c r="J121" s="59"/>
      <c r="K121" s="59"/>
      <c r="L121" s="59"/>
      <c r="M121" s="59"/>
      <c r="N121" s="59"/>
      <c r="O121" s="59"/>
      <c r="P121" s="117"/>
    </row>
    <row r="122" spans="1:16" x14ac:dyDescent="0.3">
      <c r="A122" s="20" t="s">
        <v>3803</v>
      </c>
      <c r="B122" s="55">
        <f t="shared" si="3"/>
        <v>389.86184705400001</v>
      </c>
      <c r="C122" s="107">
        <v>79.849999999999994</v>
      </c>
      <c r="D122" s="116"/>
      <c r="E122" s="59"/>
      <c r="F122" s="59"/>
      <c r="G122" s="59"/>
      <c r="H122" s="59"/>
      <c r="I122" s="59"/>
      <c r="J122" s="59"/>
      <c r="K122" s="59"/>
      <c r="L122" s="59"/>
      <c r="M122" s="59"/>
      <c r="N122" s="59"/>
      <c r="O122" s="59"/>
      <c r="P122" s="117"/>
    </row>
    <row r="123" spans="1:16" x14ac:dyDescent="0.3">
      <c r="A123" s="20" t="s">
        <v>3804</v>
      </c>
      <c r="B123" s="55">
        <f t="shared" si="3"/>
        <v>222.15045762000003</v>
      </c>
      <c r="C123" s="107">
        <v>45.5</v>
      </c>
      <c r="D123" s="116"/>
      <c r="E123" s="59"/>
      <c r="F123" s="59"/>
      <c r="G123" s="59"/>
      <c r="H123" s="59"/>
      <c r="I123" s="59"/>
      <c r="J123" s="59"/>
      <c r="K123" s="59"/>
      <c r="L123" s="59"/>
      <c r="M123" s="59"/>
      <c r="N123" s="59"/>
      <c r="O123" s="59"/>
      <c r="P123" s="117"/>
    </row>
    <row r="124" spans="1:16" x14ac:dyDescent="0.3">
      <c r="A124" s="20" t="s">
        <v>3805</v>
      </c>
      <c r="B124" s="55">
        <f t="shared" si="3"/>
        <v>274.5877304736</v>
      </c>
      <c r="C124" s="107">
        <v>56.24</v>
      </c>
      <c r="D124" s="116"/>
      <c r="E124" s="59"/>
      <c r="F124" s="59"/>
      <c r="G124" s="59"/>
      <c r="H124" s="59"/>
      <c r="I124" s="59"/>
      <c r="J124" s="59"/>
      <c r="K124" s="59"/>
      <c r="L124" s="59"/>
      <c r="M124" s="59"/>
      <c r="N124" s="59"/>
      <c r="O124" s="59"/>
      <c r="P124" s="117"/>
    </row>
    <row r="125" spans="1:16" x14ac:dyDescent="0.3">
      <c r="A125" s="20" t="s">
        <v>3806</v>
      </c>
      <c r="B125" s="55">
        <f t="shared" si="3"/>
        <v>326.9761790508</v>
      </c>
      <c r="C125" s="107">
        <v>66.97</v>
      </c>
      <c r="D125" s="116"/>
      <c r="E125" s="59"/>
      <c r="F125" s="59"/>
      <c r="G125" s="59"/>
      <c r="H125" s="59"/>
      <c r="I125" s="59"/>
      <c r="J125" s="59"/>
      <c r="K125" s="59"/>
      <c r="L125" s="59"/>
      <c r="M125" s="59"/>
      <c r="N125" s="59"/>
      <c r="O125" s="59"/>
      <c r="P125" s="117"/>
    </row>
    <row r="126" spans="1:16" x14ac:dyDescent="0.3">
      <c r="A126" s="20" t="s">
        <v>3807</v>
      </c>
      <c r="B126" s="55">
        <f t="shared" si="3"/>
        <v>431.8019004816</v>
      </c>
      <c r="C126" s="107">
        <v>88.44</v>
      </c>
      <c r="D126" s="116"/>
      <c r="E126" s="59"/>
      <c r="F126" s="59"/>
      <c r="G126" s="59"/>
      <c r="H126" s="59"/>
      <c r="I126" s="59"/>
      <c r="J126" s="59"/>
      <c r="K126" s="59"/>
      <c r="L126" s="59"/>
      <c r="M126" s="59"/>
      <c r="N126" s="59"/>
      <c r="O126" s="59"/>
      <c r="P126" s="117"/>
    </row>
    <row r="127" spans="1:16" x14ac:dyDescent="0.3">
      <c r="A127" s="20" t="s">
        <v>3808</v>
      </c>
      <c r="B127" s="55">
        <f t="shared" si="3"/>
        <v>243.09607219560002</v>
      </c>
      <c r="C127" s="107">
        <v>49.79</v>
      </c>
      <c r="D127" s="116"/>
      <c r="E127" s="59"/>
      <c r="F127" s="59"/>
      <c r="G127" s="59"/>
      <c r="H127" s="59"/>
      <c r="I127" s="59"/>
      <c r="J127" s="59"/>
      <c r="K127" s="59"/>
      <c r="L127" s="59"/>
      <c r="M127" s="59"/>
      <c r="N127" s="59"/>
      <c r="O127" s="59"/>
      <c r="P127" s="117"/>
    </row>
    <row r="128" spans="1:16" x14ac:dyDescent="0.3">
      <c r="A128" s="20" t="s">
        <v>3809</v>
      </c>
      <c r="B128" s="55">
        <f t="shared" si="3"/>
        <v>358.46783732880004</v>
      </c>
      <c r="C128" s="107">
        <v>73.42</v>
      </c>
      <c r="D128" s="116"/>
      <c r="E128" s="59"/>
      <c r="F128" s="59"/>
      <c r="G128" s="59"/>
      <c r="H128" s="59"/>
      <c r="I128" s="59"/>
      <c r="J128" s="59"/>
      <c r="K128" s="59"/>
      <c r="L128" s="59"/>
      <c r="M128" s="59"/>
      <c r="N128" s="59"/>
      <c r="O128" s="59"/>
      <c r="P128" s="117"/>
    </row>
    <row r="129" spans="1:16" x14ac:dyDescent="0.3">
      <c r="A129" s="20" t="s">
        <v>3810</v>
      </c>
      <c r="B129" s="55">
        <f t="shared" si="3"/>
        <v>473.74195390920005</v>
      </c>
      <c r="C129" s="107">
        <v>97.03</v>
      </c>
      <c r="D129" s="116"/>
      <c r="E129" s="59"/>
      <c r="F129" s="59"/>
      <c r="G129" s="59"/>
      <c r="H129" s="59"/>
      <c r="I129" s="59"/>
      <c r="J129" s="59"/>
      <c r="K129" s="59"/>
      <c r="L129" s="59"/>
      <c r="M129" s="59"/>
      <c r="N129" s="59"/>
      <c r="O129" s="59"/>
      <c r="P129" s="117"/>
    </row>
    <row r="130" spans="1:16" x14ac:dyDescent="0.3">
      <c r="A130" s="20" t="s">
        <v>3811</v>
      </c>
      <c r="B130" s="55">
        <f t="shared" si="3"/>
        <v>264.09051104760005</v>
      </c>
      <c r="C130" s="107">
        <v>54.09</v>
      </c>
      <c r="D130" s="116"/>
      <c r="E130" s="59"/>
      <c r="F130" s="59"/>
      <c r="G130" s="59"/>
      <c r="H130" s="59"/>
      <c r="I130" s="59"/>
      <c r="J130" s="59"/>
      <c r="K130" s="59"/>
      <c r="L130" s="59"/>
      <c r="M130" s="59"/>
      <c r="N130" s="59"/>
      <c r="O130" s="59"/>
      <c r="P130" s="117"/>
    </row>
    <row r="131" spans="1:16" x14ac:dyDescent="0.3">
      <c r="A131" s="20" t="s">
        <v>3812</v>
      </c>
      <c r="B131" s="55">
        <f t="shared" si="3"/>
        <v>326.9761790508</v>
      </c>
      <c r="C131" s="107">
        <v>66.97</v>
      </c>
      <c r="D131" s="116"/>
      <c r="E131" s="59"/>
      <c r="F131" s="59"/>
      <c r="G131" s="59"/>
      <c r="H131" s="59"/>
      <c r="I131" s="59"/>
      <c r="J131" s="59"/>
      <c r="K131" s="59"/>
      <c r="L131" s="59"/>
      <c r="M131" s="59"/>
      <c r="N131" s="59"/>
      <c r="O131" s="59"/>
      <c r="P131" s="117"/>
    </row>
    <row r="132" spans="1:16" x14ac:dyDescent="0.3">
      <c r="A132" s="20" t="s">
        <v>3813</v>
      </c>
      <c r="B132" s="55">
        <f t="shared" si="3"/>
        <v>389.86184705400001</v>
      </c>
      <c r="C132" s="107">
        <v>79.849999999999994</v>
      </c>
      <c r="D132" s="116"/>
      <c r="E132" s="59"/>
      <c r="F132" s="59"/>
      <c r="G132" s="59"/>
      <c r="H132" s="59"/>
      <c r="I132" s="59"/>
      <c r="J132" s="59"/>
      <c r="K132" s="59"/>
      <c r="L132" s="59"/>
      <c r="M132" s="59"/>
      <c r="N132" s="59"/>
      <c r="O132" s="59"/>
      <c r="P132" s="117"/>
    </row>
    <row r="133" spans="1:16" ht="15" thickBot="1" x14ac:dyDescent="0.35">
      <c r="A133" s="22" t="s">
        <v>3814</v>
      </c>
      <c r="B133" s="56">
        <f t="shared" si="3"/>
        <v>515.6820073368001</v>
      </c>
      <c r="C133" s="100">
        <v>105.62</v>
      </c>
      <c r="D133" s="118"/>
      <c r="E133" s="119"/>
      <c r="F133" s="119"/>
      <c r="G133" s="119"/>
      <c r="H133" s="119"/>
      <c r="I133" s="119"/>
      <c r="J133" s="119"/>
      <c r="K133" s="119"/>
      <c r="L133" s="119"/>
      <c r="M133" s="119"/>
      <c r="N133" s="119"/>
      <c r="O133" s="119"/>
      <c r="P133" s="120"/>
    </row>
  </sheetData>
  <mergeCells count="7">
    <mergeCell ref="I2:M2"/>
    <mergeCell ref="N2:P2"/>
    <mergeCell ref="B78:C79"/>
    <mergeCell ref="B2:B3"/>
    <mergeCell ref="A2:A3"/>
    <mergeCell ref="A78:A79"/>
    <mergeCell ref="C2:G2"/>
  </mergeCells>
  <pageMargins left="0.7" right="0.7" top="0.75" bottom="0.75" header="0.3" footer="0.3"/>
  <pageSetup paperSize="9" scale="58" fitToHeight="0" orientation="portrait" r:id="rId1"/>
  <headerFooter>
    <oddHeader>&amp;R&amp;"Calibri"&amp;8 Document classified as: 2 - Company Confidential&amp;1#</oddHead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Foglio23">
    <tabColor rgb="FFFF0000"/>
    <pageSetUpPr fitToPage="1"/>
  </sheetPr>
  <dimension ref="A1:AX445"/>
  <sheetViews>
    <sheetView workbookViewId="0"/>
  </sheetViews>
  <sheetFormatPr defaultColWidth="9.21875" defaultRowHeight="12.6" outlineLevelRow="1" x14ac:dyDescent="0.25"/>
  <cols>
    <col min="1" max="1" width="9.21875" style="266"/>
    <col min="2" max="2" width="9.21875" style="140"/>
    <col min="3" max="3" width="9.21875" style="267"/>
    <col min="4" max="7" width="9.21875" style="140"/>
    <col min="8" max="8" width="9.21875" style="140" customWidth="1"/>
    <col min="9" max="28" width="9.21875" style="140"/>
    <col min="29" max="32" width="10.77734375" style="140" bestFit="1" customWidth="1"/>
    <col min="33" max="16384" width="9.21875" style="140"/>
  </cols>
  <sheetData>
    <row r="1" spans="1:50" ht="33" customHeight="1" thickBot="1" x14ac:dyDescent="0.3">
      <c r="A1" s="133" t="s">
        <v>3815</v>
      </c>
      <c r="B1" s="134"/>
      <c r="C1" s="134"/>
      <c r="D1" s="134"/>
      <c r="E1" s="134"/>
      <c r="F1" s="134"/>
      <c r="G1" s="134"/>
      <c r="H1" s="134"/>
      <c r="I1" s="134"/>
      <c r="J1" s="134"/>
      <c r="K1" s="134"/>
      <c r="L1" s="134"/>
      <c r="M1" s="134"/>
      <c r="N1" s="135"/>
      <c r="O1" s="136" t="str">
        <f>O19&amp;"."&amp;O20</f>
        <v>Slip on.Unit Weight</v>
      </c>
      <c r="P1" s="137"/>
      <c r="Q1" s="137"/>
      <c r="R1" s="138" t="str">
        <f>R19&amp;"."&amp;R20</f>
        <v>Welding neck.Unit Weight</v>
      </c>
      <c r="S1" s="137"/>
      <c r="T1" s="137"/>
      <c r="U1" s="137"/>
      <c r="V1" s="138" t="str">
        <f>V19&amp;"."&amp;V20</f>
        <v>Lapped.Unit Weight</v>
      </c>
      <c r="W1" s="137"/>
      <c r="X1" s="137" t="str">
        <f>X19&amp;"."&amp;X20</f>
        <v>Threaded.Unit Weight</v>
      </c>
      <c r="Y1" s="137" t="str">
        <f>Y19&amp;"."&amp;Y20</f>
        <v>Blind.Unit Weight</v>
      </c>
      <c r="Z1" s="137"/>
      <c r="AA1" s="137"/>
      <c r="AB1" s="137" t="str">
        <f>AB19&amp;"."&amp;AB20</f>
        <v>Socket Welding.Unit Weight</v>
      </c>
      <c r="AC1" s="137"/>
      <c r="AD1" s="137"/>
      <c r="AE1" s="137"/>
      <c r="AF1" s="137" t="str">
        <f>AF19&amp;"."&amp;AF20</f>
        <v>Welding neck.Unit Surface</v>
      </c>
      <c r="AG1" s="137"/>
      <c r="AH1" s="137"/>
      <c r="AI1" s="139" t="str">
        <f>AI19&amp;"."&amp;AI20</f>
        <v>Blind.Unit Surface</v>
      </c>
      <c r="AV1" s="588"/>
      <c r="AW1" s="588" t="str">
        <f>AW19&amp;"."&amp;AW20</f>
        <v>LWN.Unit Weight</v>
      </c>
      <c r="AX1" s="588" t="str">
        <f>AX19&amp;"."&amp;AX20</f>
        <v>LWN.Unit Surface</v>
      </c>
    </row>
    <row r="2" spans="1:50" ht="13.2" hidden="1" outlineLevel="1" thickBot="1" x14ac:dyDescent="0.3">
      <c r="A2" s="141"/>
      <c r="B2" s="142"/>
      <c r="C2" s="143"/>
      <c r="D2" s="142"/>
      <c r="E2" s="142"/>
      <c r="F2" s="142"/>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4"/>
      <c r="AV2" s="589"/>
      <c r="AW2" s="589"/>
      <c r="AX2" s="589"/>
    </row>
    <row r="3" spans="1:50" ht="13.2" hidden="1" outlineLevel="1" thickBot="1" x14ac:dyDescent="0.3">
      <c r="A3" s="141"/>
      <c r="B3" s="142"/>
      <c r="C3" s="143"/>
      <c r="D3" s="142"/>
      <c r="E3" s="142"/>
      <c r="F3" s="142"/>
      <c r="G3" s="142"/>
      <c r="H3" s="142"/>
      <c r="I3" s="142"/>
      <c r="J3" s="142"/>
      <c r="K3" s="142"/>
      <c r="L3" s="142"/>
      <c r="M3" s="142"/>
      <c r="N3" s="142"/>
      <c r="O3" s="142"/>
      <c r="P3" s="142"/>
      <c r="Q3" s="142"/>
      <c r="R3" s="142"/>
      <c r="S3" s="142"/>
      <c r="T3" s="142"/>
      <c r="U3" s="142"/>
      <c r="V3" s="142"/>
      <c r="W3" s="142"/>
      <c r="X3" s="142"/>
      <c r="Y3" s="142"/>
      <c r="Z3" s="142"/>
      <c r="AA3" s="142"/>
      <c r="AB3" s="142"/>
      <c r="AC3" s="142"/>
      <c r="AD3" s="142"/>
      <c r="AE3" s="142"/>
      <c r="AF3" s="142"/>
      <c r="AG3" s="142"/>
      <c r="AH3" s="142"/>
      <c r="AI3" s="144"/>
      <c r="AV3" s="589"/>
      <c r="AW3" s="589"/>
      <c r="AX3" s="589"/>
    </row>
    <row r="4" spans="1:50" ht="13.2" hidden="1" outlineLevel="1" thickBot="1" x14ac:dyDescent="0.3">
      <c r="A4" s="141"/>
      <c r="B4" s="142"/>
      <c r="C4" s="143"/>
      <c r="D4" s="142"/>
      <c r="E4" s="142"/>
      <c r="F4" s="142"/>
      <c r="G4" s="142"/>
      <c r="H4" s="142"/>
      <c r="I4" s="142"/>
      <c r="J4" s="142"/>
      <c r="K4" s="142"/>
      <c r="L4" s="142"/>
      <c r="M4" s="142"/>
      <c r="N4" s="142"/>
      <c r="O4" s="142"/>
      <c r="P4" s="142"/>
      <c r="Q4" s="142"/>
      <c r="R4" s="142"/>
      <c r="S4" s="142"/>
      <c r="T4" s="142"/>
      <c r="U4" s="142"/>
      <c r="V4" s="142"/>
      <c r="W4" s="142"/>
      <c r="X4" s="142"/>
      <c r="Y4" s="142"/>
      <c r="Z4" s="142"/>
      <c r="AA4" s="142"/>
      <c r="AB4" s="142"/>
      <c r="AC4" s="142"/>
      <c r="AD4" s="142"/>
      <c r="AE4" s="142"/>
      <c r="AF4" s="142"/>
      <c r="AG4" s="142"/>
      <c r="AH4" s="142"/>
      <c r="AI4" s="144"/>
      <c r="AV4" s="589"/>
      <c r="AW4" s="589"/>
      <c r="AX4" s="589"/>
    </row>
    <row r="5" spans="1:50" ht="13.2" hidden="1" outlineLevel="1" thickBot="1" x14ac:dyDescent="0.3">
      <c r="A5" s="141"/>
      <c r="B5" s="142"/>
      <c r="C5" s="143"/>
      <c r="D5" s="142"/>
      <c r="E5" s="142"/>
      <c r="F5" s="142"/>
      <c r="G5" s="142"/>
      <c r="H5" s="142"/>
      <c r="I5" s="142"/>
      <c r="J5" s="142"/>
      <c r="K5" s="142"/>
      <c r="L5" s="142"/>
      <c r="M5" s="142"/>
      <c r="N5" s="142"/>
      <c r="O5" s="142"/>
      <c r="P5" s="142"/>
      <c r="Q5" s="142"/>
      <c r="R5" s="142"/>
      <c r="S5" s="142"/>
      <c r="T5" s="142"/>
      <c r="U5" s="142"/>
      <c r="V5" s="142"/>
      <c r="W5" s="142"/>
      <c r="X5" s="142"/>
      <c r="Y5" s="142"/>
      <c r="Z5" s="142"/>
      <c r="AA5" s="142"/>
      <c r="AB5" s="142"/>
      <c r="AC5" s="142"/>
      <c r="AD5" s="142"/>
      <c r="AE5" s="142"/>
      <c r="AF5" s="142"/>
      <c r="AG5" s="142"/>
      <c r="AH5" s="142"/>
      <c r="AI5" s="144"/>
      <c r="AV5" s="589"/>
      <c r="AW5" s="589"/>
      <c r="AX5" s="589"/>
    </row>
    <row r="6" spans="1:50" ht="13.2" hidden="1" outlineLevel="1" thickBot="1" x14ac:dyDescent="0.3">
      <c r="A6" s="141"/>
      <c r="B6" s="142"/>
      <c r="C6" s="143"/>
      <c r="D6" s="142"/>
      <c r="E6" s="142"/>
      <c r="F6" s="142"/>
      <c r="G6" s="142"/>
      <c r="H6" s="142"/>
      <c r="I6" s="142"/>
      <c r="J6" s="142"/>
      <c r="K6" s="142"/>
      <c r="L6" s="142"/>
      <c r="M6" s="142"/>
      <c r="N6" s="142"/>
      <c r="O6" s="142"/>
      <c r="P6" s="142"/>
      <c r="Q6" s="142"/>
      <c r="R6" s="142"/>
      <c r="S6" s="142"/>
      <c r="T6" s="142"/>
      <c r="U6" s="142"/>
      <c r="V6" s="142"/>
      <c r="W6" s="142"/>
      <c r="X6" s="142"/>
      <c r="Y6" s="142"/>
      <c r="Z6" s="142"/>
      <c r="AA6" s="142"/>
      <c r="AB6" s="142"/>
      <c r="AC6" s="142"/>
      <c r="AD6" s="142"/>
      <c r="AE6" s="142"/>
      <c r="AF6" s="142"/>
      <c r="AG6" s="142"/>
      <c r="AH6" s="142"/>
      <c r="AI6" s="144"/>
      <c r="AV6" s="589"/>
      <c r="AW6" s="589"/>
      <c r="AX6" s="589"/>
    </row>
    <row r="7" spans="1:50" ht="13.2" hidden="1" outlineLevel="1" thickBot="1" x14ac:dyDescent="0.3">
      <c r="A7" s="141"/>
      <c r="B7" s="142"/>
      <c r="C7" s="143"/>
      <c r="D7" s="142"/>
      <c r="E7" s="142"/>
      <c r="F7" s="142"/>
      <c r="G7" s="142"/>
      <c r="H7" s="142"/>
      <c r="I7" s="142"/>
      <c r="J7" s="142"/>
      <c r="K7" s="142"/>
      <c r="L7" s="142"/>
      <c r="M7" s="142"/>
      <c r="N7" s="142"/>
      <c r="O7" s="142"/>
      <c r="P7" s="142"/>
      <c r="Q7" s="142"/>
      <c r="R7" s="142"/>
      <c r="S7" s="142"/>
      <c r="T7" s="142"/>
      <c r="U7" s="142"/>
      <c r="V7" s="142"/>
      <c r="W7" s="142"/>
      <c r="X7" s="142"/>
      <c r="Y7" s="142"/>
      <c r="Z7" s="142"/>
      <c r="AA7" s="142"/>
      <c r="AB7" s="142"/>
      <c r="AC7" s="142"/>
      <c r="AD7" s="142"/>
      <c r="AE7" s="142"/>
      <c r="AF7" s="142"/>
      <c r="AG7" s="142"/>
      <c r="AH7" s="142"/>
      <c r="AI7" s="144"/>
      <c r="AV7" s="589"/>
      <c r="AW7" s="589"/>
      <c r="AX7" s="589"/>
    </row>
    <row r="8" spans="1:50" ht="13.2" hidden="1" outlineLevel="1" thickBot="1" x14ac:dyDescent="0.3">
      <c r="A8" s="141"/>
      <c r="B8" s="142"/>
      <c r="C8" s="143"/>
      <c r="D8" s="142"/>
      <c r="E8" s="142"/>
      <c r="F8" s="142"/>
      <c r="G8" s="142"/>
      <c r="H8" s="142"/>
      <c r="I8" s="142"/>
      <c r="J8" s="142"/>
      <c r="K8" s="142"/>
      <c r="L8" s="142"/>
      <c r="M8" s="142"/>
      <c r="N8" s="142"/>
      <c r="O8" s="142"/>
      <c r="P8" s="142"/>
      <c r="Q8" s="142"/>
      <c r="R8" s="142"/>
      <c r="S8" s="142"/>
      <c r="T8" s="142"/>
      <c r="U8" s="142"/>
      <c r="V8" s="142"/>
      <c r="W8" s="142"/>
      <c r="X8" s="142"/>
      <c r="Y8" s="142"/>
      <c r="Z8" s="142"/>
      <c r="AA8" s="142"/>
      <c r="AB8" s="142"/>
      <c r="AC8" s="142"/>
      <c r="AD8" s="142"/>
      <c r="AE8" s="142"/>
      <c r="AF8" s="142"/>
      <c r="AG8" s="142"/>
      <c r="AH8" s="142"/>
      <c r="AI8" s="144"/>
      <c r="AV8" s="589"/>
      <c r="AW8" s="589"/>
      <c r="AX8" s="589"/>
    </row>
    <row r="9" spans="1:50" ht="13.2" hidden="1" outlineLevel="1" thickBot="1" x14ac:dyDescent="0.3">
      <c r="A9" s="141"/>
      <c r="B9" s="142"/>
      <c r="C9" s="143"/>
      <c r="D9" s="142"/>
      <c r="E9" s="142"/>
      <c r="F9" s="142"/>
      <c r="G9" s="142"/>
      <c r="H9" s="142"/>
      <c r="I9" s="142"/>
      <c r="J9" s="142"/>
      <c r="K9" s="142"/>
      <c r="L9" s="142"/>
      <c r="M9" s="142"/>
      <c r="N9" s="142"/>
      <c r="O9" s="142"/>
      <c r="P9" s="142"/>
      <c r="Q9" s="142"/>
      <c r="R9" s="142"/>
      <c r="S9" s="142"/>
      <c r="T9" s="142"/>
      <c r="U9" s="142"/>
      <c r="V9" s="142"/>
      <c r="W9" s="142"/>
      <c r="X9" s="142"/>
      <c r="Y9" s="142"/>
      <c r="Z9" s="142"/>
      <c r="AA9" s="142"/>
      <c r="AB9" s="142"/>
      <c r="AC9" s="142"/>
      <c r="AD9" s="142"/>
      <c r="AE9" s="142"/>
      <c r="AF9" s="142"/>
      <c r="AG9" s="142"/>
      <c r="AH9" s="142"/>
      <c r="AI9" s="144"/>
      <c r="AV9" s="589"/>
      <c r="AW9" s="589"/>
      <c r="AX9" s="589"/>
    </row>
    <row r="10" spans="1:50" ht="13.2" hidden="1" outlineLevel="1" thickBot="1" x14ac:dyDescent="0.3">
      <c r="A10" s="141"/>
      <c r="B10" s="142"/>
      <c r="C10" s="143"/>
      <c r="D10" s="142"/>
      <c r="E10" s="142"/>
      <c r="F10" s="142"/>
      <c r="G10" s="142"/>
      <c r="H10" s="142"/>
      <c r="I10" s="142"/>
      <c r="J10" s="142"/>
      <c r="K10" s="142"/>
      <c r="L10" s="142"/>
      <c r="M10" s="142"/>
      <c r="N10" s="142"/>
      <c r="O10" s="142"/>
      <c r="P10" s="142"/>
      <c r="Q10" s="142"/>
      <c r="R10" s="142"/>
      <c r="S10" s="142"/>
      <c r="T10" s="142"/>
      <c r="U10" s="142"/>
      <c r="V10" s="142"/>
      <c r="W10" s="142"/>
      <c r="X10" s="142"/>
      <c r="Y10" s="142"/>
      <c r="Z10" s="142"/>
      <c r="AA10" s="142"/>
      <c r="AB10" s="142"/>
      <c r="AC10" s="142"/>
      <c r="AD10" s="142"/>
      <c r="AE10" s="142"/>
      <c r="AF10" s="142"/>
      <c r="AG10" s="142"/>
      <c r="AH10" s="142"/>
      <c r="AI10" s="144"/>
      <c r="AV10" s="589"/>
      <c r="AW10" s="589"/>
      <c r="AX10" s="589"/>
    </row>
    <row r="11" spans="1:50" ht="13.2" hidden="1" outlineLevel="1" thickBot="1" x14ac:dyDescent="0.3">
      <c r="A11" s="141"/>
      <c r="B11" s="142"/>
      <c r="C11" s="143"/>
      <c r="D11" s="142"/>
      <c r="E11" s="142"/>
      <c r="F11" s="142"/>
      <c r="G11" s="142"/>
      <c r="H11" s="142"/>
      <c r="I11" s="142"/>
      <c r="J11" s="142"/>
      <c r="K11" s="142"/>
      <c r="L11" s="142"/>
      <c r="M11" s="142"/>
      <c r="N11" s="142"/>
      <c r="O11" s="142"/>
      <c r="P11" s="142"/>
      <c r="Q11" s="142"/>
      <c r="R11" s="142"/>
      <c r="S11" s="142"/>
      <c r="T11" s="142"/>
      <c r="U11" s="142"/>
      <c r="V11" s="142"/>
      <c r="W11" s="142"/>
      <c r="X11" s="142"/>
      <c r="Y11" s="142"/>
      <c r="Z11" s="142"/>
      <c r="AA11" s="142"/>
      <c r="AB11" s="142"/>
      <c r="AC11" s="142"/>
      <c r="AD11" s="142"/>
      <c r="AE11" s="142"/>
      <c r="AF11" s="142"/>
      <c r="AG11" s="142"/>
      <c r="AH11" s="142"/>
      <c r="AI11" s="144"/>
      <c r="AV11" s="589"/>
      <c r="AW11" s="589"/>
      <c r="AX11" s="589"/>
    </row>
    <row r="12" spans="1:50" ht="13.2" hidden="1" outlineLevel="1" thickBot="1" x14ac:dyDescent="0.3">
      <c r="A12" s="141"/>
      <c r="B12" s="142"/>
      <c r="C12" s="143"/>
      <c r="D12" s="142"/>
      <c r="E12" s="142"/>
      <c r="F12" s="142"/>
      <c r="G12" s="142"/>
      <c r="H12" s="142"/>
      <c r="I12" s="142"/>
      <c r="J12" s="142"/>
      <c r="K12" s="142"/>
      <c r="L12" s="142"/>
      <c r="M12" s="142"/>
      <c r="N12" s="142"/>
      <c r="O12" s="142"/>
      <c r="P12" s="142"/>
      <c r="Q12" s="142"/>
      <c r="R12" s="142"/>
      <c r="S12" s="142"/>
      <c r="T12" s="142"/>
      <c r="U12" s="142"/>
      <c r="V12" s="142"/>
      <c r="W12" s="142"/>
      <c r="X12" s="142"/>
      <c r="Y12" s="142"/>
      <c r="Z12" s="142"/>
      <c r="AA12" s="142"/>
      <c r="AB12" s="142"/>
      <c r="AC12" s="142"/>
      <c r="AD12" s="142"/>
      <c r="AE12" s="142"/>
      <c r="AF12" s="142"/>
      <c r="AG12" s="142"/>
      <c r="AH12" s="142"/>
      <c r="AI12" s="144"/>
      <c r="AV12" s="589"/>
      <c r="AW12" s="589"/>
      <c r="AX12" s="589"/>
    </row>
    <row r="13" spans="1:50" ht="13.2" hidden="1" outlineLevel="1" thickBot="1" x14ac:dyDescent="0.3">
      <c r="A13" s="141"/>
      <c r="B13" s="142"/>
      <c r="C13" s="143"/>
      <c r="D13" s="142"/>
      <c r="E13" s="142"/>
      <c r="F13" s="142"/>
      <c r="G13" s="142"/>
      <c r="H13" s="142"/>
      <c r="I13" s="142"/>
      <c r="J13" s="142"/>
      <c r="K13" s="142"/>
      <c r="L13" s="142"/>
      <c r="M13" s="142"/>
      <c r="N13" s="142"/>
      <c r="O13" s="142"/>
      <c r="P13" s="142"/>
      <c r="Q13" s="142"/>
      <c r="R13" s="142"/>
      <c r="S13" s="142"/>
      <c r="T13" s="142"/>
      <c r="U13" s="142"/>
      <c r="V13" s="142"/>
      <c r="W13" s="142"/>
      <c r="X13" s="142"/>
      <c r="Y13" s="142"/>
      <c r="Z13" s="142"/>
      <c r="AA13" s="142"/>
      <c r="AB13" s="142"/>
      <c r="AC13" s="142"/>
      <c r="AD13" s="142"/>
      <c r="AE13" s="142"/>
      <c r="AF13" s="142"/>
      <c r="AG13" s="142"/>
      <c r="AH13" s="142"/>
      <c r="AI13" s="144"/>
      <c r="AV13" s="589"/>
      <c r="AW13" s="589"/>
      <c r="AX13" s="589"/>
    </row>
    <row r="14" spans="1:50" ht="13.2" hidden="1" outlineLevel="1" thickBot="1" x14ac:dyDescent="0.3">
      <c r="A14" s="141"/>
      <c r="B14" s="142"/>
      <c r="C14" s="143"/>
      <c r="D14" s="142"/>
      <c r="E14" s="142"/>
      <c r="F14" s="142"/>
      <c r="G14" s="142"/>
      <c r="H14" s="142"/>
      <c r="I14" s="142"/>
      <c r="J14" s="142"/>
      <c r="K14" s="142"/>
      <c r="L14" s="142"/>
      <c r="M14" s="142"/>
      <c r="N14" s="142"/>
      <c r="O14" s="142"/>
      <c r="P14" s="142"/>
      <c r="Q14" s="142"/>
      <c r="R14" s="142"/>
      <c r="S14" s="142"/>
      <c r="T14" s="142"/>
      <c r="U14" s="142"/>
      <c r="V14" s="142"/>
      <c r="W14" s="142"/>
      <c r="X14" s="142"/>
      <c r="Y14" s="142"/>
      <c r="Z14" s="142"/>
      <c r="AA14" s="142"/>
      <c r="AB14" s="142"/>
      <c r="AC14" s="142"/>
      <c r="AD14" s="142"/>
      <c r="AE14" s="142"/>
      <c r="AF14" s="142"/>
      <c r="AG14" s="142"/>
      <c r="AH14" s="142"/>
      <c r="AI14" s="144"/>
      <c r="AV14" s="589"/>
      <c r="AW14" s="589"/>
      <c r="AX14" s="589"/>
    </row>
    <row r="15" spans="1:50" ht="13.2" hidden="1" outlineLevel="1" thickBot="1" x14ac:dyDescent="0.3">
      <c r="A15" s="141"/>
      <c r="B15" s="142"/>
      <c r="C15" s="143"/>
      <c r="D15" s="142"/>
      <c r="E15" s="142"/>
      <c r="F15" s="142"/>
      <c r="G15" s="142"/>
      <c r="H15" s="142"/>
      <c r="I15" s="142"/>
      <c r="J15" s="142"/>
      <c r="K15" s="142"/>
      <c r="L15" s="142"/>
      <c r="M15" s="142"/>
      <c r="N15" s="142"/>
      <c r="O15" s="142"/>
      <c r="P15" s="142"/>
      <c r="Q15" s="142"/>
      <c r="R15" s="142"/>
      <c r="S15" s="142"/>
      <c r="T15" s="142"/>
      <c r="U15" s="142"/>
      <c r="V15" s="142"/>
      <c r="W15" s="142"/>
      <c r="X15" s="142"/>
      <c r="Y15" s="142"/>
      <c r="Z15" s="142"/>
      <c r="AA15" s="142"/>
      <c r="AB15" s="142"/>
      <c r="AC15" s="142"/>
      <c r="AD15" s="142"/>
      <c r="AE15" s="142"/>
      <c r="AF15" s="142"/>
      <c r="AG15" s="142"/>
      <c r="AH15" s="142"/>
      <c r="AI15" s="144"/>
      <c r="AV15" s="589"/>
      <c r="AW15" s="589"/>
      <c r="AX15" s="589"/>
    </row>
    <row r="16" spans="1:50" ht="13.2" hidden="1" outlineLevel="1" thickBot="1" x14ac:dyDescent="0.3">
      <c r="A16" s="141"/>
      <c r="B16" s="142"/>
      <c r="C16" s="143"/>
      <c r="D16" s="142"/>
      <c r="E16" s="142"/>
      <c r="F16" s="142"/>
      <c r="G16" s="142"/>
      <c r="H16" s="142"/>
      <c r="I16" s="142"/>
      <c r="J16" s="142"/>
      <c r="K16" s="142"/>
      <c r="L16" s="142"/>
      <c r="M16" s="142"/>
      <c r="N16" s="142"/>
      <c r="O16" s="142"/>
      <c r="P16" s="142"/>
      <c r="Q16" s="142"/>
      <c r="R16" s="142"/>
      <c r="S16" s="142"/>
      <c r="T16" s="142"/>
      <c r="U16" s="142"/>
      <c r="V16" s="142"/>
      <c r="W16" s="142"/>
      <c r="X16" s="142"/>
      <c r="Y16" s="142"/>
      <c r="Z16" s="142"/>
      <c r="AA16" s="142"/>
      <c r="AB16" s="142"/>
      <c r="AC16" s="142"/>
      <c r="AD16" s="142"/>
      <c r="AE16" s="142"/>
      <c r="AF16" s="142"/>
      <c r="AG16" s="142"/>
      <c r="AH16" s="142"/>
      <c r="AI16" s="144"/>
      <c r="AV16" s="589"/>
      <c r="AW16" s="589"/>
      <c r="AX16" s="589"/>
    </row>
    <row r="17" spans="1:50" ht="13.2" hidden="1" outlineLevel="1" thickBot="1" x14ac:dyDescent="0.3">
      <c r="A17" s="145"/>
      <c r="B17" s="146"/>
      <c r="C17" s="147"/>
      <c r="D17" s="146"/>
      <c r="E17" s="146"/>
      <c r="F17" s="146"/>
      <c r="G17" s="146"/>
      <c r="H17" s="146"/>
      <c r="I17" s="146"/>
      <c r="J17" s="146"/>
      <c r="K17" s="146"/>
      <c r="L17" s="146"/>
      <c r="M17" s="146"/>
      <c r="N17" s="146"/>
      <c r="O17" s="146"/>
      <c r="P17" s="146"/>
      <c r="Q17" s="146"/>
      <c r="R17" s="146"/>
      <c r="S17" s="146"/>
      <c r="T17" s="146"/>
      <c r="U17" s="146"/>
      <c r="V17" s="146"/>
      <c r="W17" s="146"/>
      <c r="X17" s="146"/>
      <c r="Y17" s="146"/>
      <c r="Z17" s="146"/>
      <c r="AA17" s="146"/>
      <c r="AB17" s="146"/>
      <c r="AC17" s="146"/>
      <c r="AD17" s="146"/>
      <c r="AE17" s="146"/>
      <c r="AF17" s="146"/>
      <c r="AG17" s="146"/>
      <c r="AH17" s="146"/>
      <c r="AI17" s="148"/>
      <c r="AV17" s="590"/>
      <c r="AW17" s="590"/>
      <c r="AX17" s="590"/>
    </row>
    <row r="18" spans="1:50" s="155" customFormat="1" ht="18.600000000000001" collapsed="1" thickBot="1" x14ac:dyDescent="0.4">
      <c r="A18" s="149" t="s">
        <v>3816</v>
      </c>
      <c r="B18" s="150"/>
      <c r="C18" s="151"/>
      <c r="D18" s="150"/>
      <c r="E18" s="150"/>
      <c r="F18" s="150"/>
      <c r="G18" s="150"/>
      <c r="H18" s="150"/>
      <c r="I18" s="150"/>
      <c r="J18" s="150"/>
      <c r="K18" s="150"/>
      <c r="L18" s="150"/>
      <c r="M18" s="150"/>
      <c r="N18" s="150"/>
      <c r="O18" s="152"/>
      <c r="P18" s="152"/>
      <c r="Q18" s="152"/>
      <c r="R18" s="152"/>
      <c r="S18" s="152"/>
      <c r="T18" s="152"/>
      <c r="U18" s="152"/>
      <c r="V18" s="152"/>
      <c r="W18" s="152"/>
      <c r="X18" s="152"/>
      <c r="Y18" s="152"/>
      <c r="Z18" s="153"/>
      <c r="AA18" s="152"/>
      <c r="AB18" s="152"/>
      <c r="AC18" s="152"/>
      <c r="AD18" s="152"/>
      <c r="AE18" s="152"/>
      <c r="AF18" s="152"/>
      <c r="AG18" s="152"/>
      <c r="AH18" s="152"/>
      <c r="AI18" s="154"/>
      <c r="AV18" s="591"/>
      <c r="AW18" s="591"/>
      <c r="AX18" s="591"/>
    </row>
    <row r="19" spans="1:50" ht="22.5" customHeight="1" thickBot="1" x14ac:dyDescent="0.3">
      <c r="A19" s="156"/>
      <c r="B19" s="157"/>
      <c r="C19" s="158"/>
      <c r="D19" s="159"/>
      <c r="E19" s="159"/>
      <c r="F19" s="159"/>
      <c r="G19" s="159"/>
      <c r="H19" s="159"/>
      <c r="I19" s="159"/>
      <c r="J19" s="159"/>
      <c r="K19" s="159"/>
      <c r="L19" s="159"/>
      <c r="M19" s="159"/>
      <c r="N19" s="159"/>
      <c r="O19" s="160" t="s">
        <v>3817</v>
      </c>
      <c r="P19" s="161" t="s">
        <v>3818</v>
      </c>
      <c r="Q19" s="162" t="s">
        <v>3818</v>
      </c>
      <c r="R19" s="163" t="s">
        <v>3818</v>
      </c>
      <c r="S19" s="161" t="s">
        <v>2152</v>
      </c>
      <c r="T19" s="137" t="s">
        <v>2152</v>
      </c>
      <c r="U19" s="137" t="s">
        <v>2152</v>
      </c>
      <c r="V19" s="139" t="s">
        <v>2152</v>
      </c>
      <c r="W19" s="161" t="s">
        <v>2159</v>
      </c>
      <c r="X19" s="139" t="s">
        <v>2159</v>
      </c>
      <c r="Y19" s="164" t="s">
        <v>345</v>
      </c>
      <c r="Z19" s="161" t="s">
        <v>2167</v>
      </c>
      <c r="AA19" s="137" t="s">
        <v>2167</v>
      </c>
      <c r="AB19" s="139" t="s">
        <v>2167</v>
      </c>
      <c r="AC19" s="161" t="s">
        <v>3818</v>
      </c>
      <c r="AD19" s="162" t="s">
        <v>3818</v>
      </c>
      <c r="AE19" s="162" t="s">
        <v>3818</v>
      </c>
      <c r="AF19" s="163" t="s">
        <v>3818</v>
      </c>
      <c r="AG19" s="162" t="s">
        <v>345</v>
      </c>
      <c r="AH19" s="137" t="s">
        <v>345</v>
      </c>
      <c r="AI19" s="139" t="s">
        <v>345</v>
      </c>
      <c r="AV19" s="592" t="s">
        <v>3819</v>
      </c>
      <c r="AW19" s="592" t="s">
        <v>360</v>
      </c>
      <c r="AX19" s="592" t="s">
        <v>360</v>
      </c>
    </row>
    <row r="20" spans="1:50" x14ac:dyDescent="0.25">
      <c r="A20" s="1349"/>
      <c r="B20" s="1593" t="s">
        <v>3820</v>
      </c>
      <c r="C20" s="1594"/>
      <c r="D20" s="1595" t="s">
        <v>3821</v>
      </c>
      <c r="E20" s="1593" t="s">
        <v>3822</v>
      </c>
      <c r="F20" s="1593" t="s">
        <v>3823</v>
      </c>
      <c r="G20" s="1593" t="s">
        <v>3824</v>
      </c>
      <c r="H20" s="1593" t="s">
        <v>2417</v>
      </c>
      <c r="I20" s="1874" t="s">
        <v>3825</v>
      </c>
      <c r="J20" s="1875"/>
      <c r="K20" s="1876"/>
      <c r="L20" s="1593" t="s">
        <v>3826</v>
      </c>
      <c r="M20" s="1593" t="s">
        <v>3827</v>
      </c>
      <c r="N20" s="1596" t="s">
        <v>3828</v>
      </c>
      <c r="O20" s="165" t="s">
        <v>184</v>
      </c>
      <c r="P20" s="1350" t="s">
        <v>12</v>
      </c>
      <c r="Q20" s="1593" t="s">
        <v>3829</v>
      </c>
      <c r="R20" s="1598" t="s">
        <v>184</v>
      </c>
      <c r="S20" s="1350" t="s">
        <v>3830</v>
      </c>
      <c r="T20" s="1593" t="s">
        <v>3831</v>
      </c>
      <c r="U20" s="1593" t="s">
        <v>3676</v>
      </c>
      <c r="V20" s="1598" t="s">
        <v>184</v>
      </c>
      <c r="W20" s="1350" t="s">
        <v>3832</v>
      </c>
      <c r="X20" s="1598" t="s">
        <v>184</v>
      </c>
      <c r="Y20" s="1351" t="s">
        <v>184</v>
      </c>
      <c r="Z20" s="1350" t="s">
        <v>3833</v>
      </c>
      <c r="AA20" s="1593" t="s">
        <v>2414</v>
      </c>
      <c r="AB20" s="1598" t="s">
        <v>184</v>
      </c>
      <c r="AC20" s="1350" t="s">
        <v>3834</v>
      </c>
      <c r="AD20" s="1593" t="s">
        <v>3835</v>
      </c>
      <c r="AE20" s="1593" t="s">
        <v>3836</v>
      </c>
      <c r="AF20" s="1598" t="s">
        <v>336</v>
      </c>
      <c r="AG20" s="1595" t="s">
        <v>3834</v>
      </c>
      <c r="AH20" s="1593" t="s">
        <v>3835</v>
      </c>
      <c r="AI20" s="1598" t="s">
        <v>336</v>
      </c>
      <c r="AV20" s="1599"/>
      <c r="AW20" s="1599" t="s">
        <v>184</v>
      </c>
      <c r="AX20" s="1598" t="s">
        <v>336</v>
      </c>
    </row>
    <row r="21" spans="1:50" ht="13.2" thickBot="1" x14ac:dyDescent="0.3">
      <c r="A21" s="1600"/>
      <c r="B21" s="1601" t="s">
        <v>59</v>
      </c>
      <c r="C21" s="1602" t="s">
        <v>1685</v>
      </c>
      <c r="D21" s="1603" t="s">
        <v>93</v>
      </c>
      <c r="E21" s="1601" t="s">
        <v>93</v>
      </c>
      <c r="F21" s="1601" t="s">
        <v>93</v>
      </c>
      <c r="G21" s="1601" t="s">
        <v>93</v>
      </c>
      <c r="H21" s="166" t="s">
        <v>93</v>
      </c>
      <c r="I21" s="1601" t="s">
        <v>3837</v>
      </c>
      <c r="J21" s="1601" t="s">
        <v>3838</v>
      </c>
      <c r="K21" s="1601" t="s">
        <v>3839</v>
      </c>
      <c r="L21" s="1601" t="s">
        <v>93</v>
      </c>
      <c r="M21" s="1601" t="s">
        <v>93</v>
      </c>
      <c r="N21" s="1604" t="s">
        <v>93</v>
      </c>
      <c r="O21" s="167" t="s">
        <v>222</v>
      </c>
      <c r="P21" s="168" t="s">
        <v>93</v>
      </c>
      <c r="Q21" s="166" t="s">
        <v>93</v>
      </c>
      <c r="R21" s="169" t="s">
        <v>222</v>
      </c>
      <c r="S21" s="168" t="s">
        <v>93</v>
      </c>
      <c r="T21" s="166" t="s">
        <v>93</v>
      </c>
      <c r="U21" s="166" t="s">
        <v>93</v>
      </c>
      <c r="V21" s="169" t="s">
        <v>222</v>
      </c>
      <c r="W21" s="168" t="s">
        <v>93</v>
      </c>
      <c r="X21" s="169" t="s">
        <v>222</v>
      </c>
      <c r="Y21" s="170" t="s">
        <v>222</v>
      </c>
      <c r="Z21" s="168" t="s">
        <v>93</v>
      </c>
      <c r="AA21" s="166" t="s">
        <v>93</v>
      </c>
      <c r="AB21" s="169" t="s">
        <v>222</v>
      </c>
      <c r="AC21" s="168" t="s">
        <v>228</v>
      </c>
      <c r="AD21" s="166" t="s">
        <v>228</v>
      </c>
      <c r="AE21" s="166" t="s">
        <v>228</v>
      </c>
      <c r="AF21" s="169" t="s">
        <v>228</v>
      </c>
      <c r="AG21" s="171" t="s">
        <v>228</v>
      </c>
      <c r="AH21" s="166" t="s">
        <v>228</v>
      </c>
      <c r="AI21" s="169" t="s">
        <v>228</v>
      </c>
      <c r="AV21" s="593"/>
      <c r="AW21" s="593" t="s">
        <v>222</v>
      </c>
      <c r="AX21" s="169" t="s">
        <v>228</v>
      </c>
    </row>
    <row r="22" spans="1:50" x14ac:dyDescent="0.25">
      <c r="A22" s="1444" t="s">
        <v>3840</v>
      </c>
      <c r="B22" s="1445">
        <v>0</v>
      </c>
      <c r="C22" s="1446">
        <v>0</v>
      </c>
      <c r="D22" s="1447">
        <v>0</v>
      </c>
      <c r="E22" s="1445">
        <v>0</v>
      </c>
      <c r="F22" s="1445">
        <v>0</v>
      </c>
      <c r="G22" s="1445">
        <v>0</v>
      </c>
      <c r="H22" s="1445">
        <v>0</v>
      </c>
      <c r="I22" s="1445">
        <v>0</v>
      </c>
      <c r="J22" s="1445">
        <v>0</v>
      </c>
      <c r="K22" s="1445">
        <v>0</v>
      </c>
      <c r="L22" s="1445">
        <v>0</v>
      </c>
      <c r="M22" s="1445">
        <v>0</v>
      </c>
      <c r="N22" s="1448">
        <v>0</v>
      </c>
      <c r="O22" s="172">
        <v>0</v>
      </c>
      <c r="P22" s="1449">
        <v>0</v>
      </c>
      <c r="Q22" s="1445">
        <v>0</v>
      </c>
      <c r="R22" s="1605">
        <v>0</v>
      </c>
      <c r="S22" s="1449">
        <v>0</v>
      </c>
      <c r="T22" s="1445">
        <v>0</v>
      </c>
      <c r="U22" s="1445">
        <v>0</v>
      </c>
      <c r="V22" s="1605">
        <v>0</v>
      </c>
      <c r="W22" s="1449">
        <v>0</v>
      </c>
      <c r="X22" s="1605">
        <v>0</v>
      </c>
      <c r="Y22" s="1606">
        <v>0</v>
      </c>
      <c r="Z22" s="1449">
        <v>0</v>
      </c>
      <c r="AA22" s="1445">
        <v>0</v>
      </c>
      <c r="AB22" s="1605">
        <v>0</v>
      </c>
      <c r="AC22" s="1450">
        <v>0</v>
      </c>
      <c r="AD22" s="1451">
        <v>0</v>
      </c>
      <c r="AE22" s="1451">
        <v>0</v>
      </c>
      <c r="AF22" s="1607">
        <v>0</v>
      </c>
      <c r="AG22" s="1452">
        <v>0</v>
      </c>
      <c r="AH22" s="1451">
        <v>0</v>
      </c>
      <c r="AI22" s="1607">
        <v>0</v>
      </c>
      <c r="AV22" s="1608"/>
      <c r="AW22" s="1608">
        <v>0</v>
      </c>
      <c r="AX22" s="1608">
        <v>0</v>
      </c>
    </row>
    <row r="23" spans="1:50" x14ac:dyDescent="0.25">
      <c r="A23" s="1349" t="s">
        <v>3841</v>
      </c>
      <c r="B23" s="1593">
        <v>0</v>
      </c>
      <c r="C23" s="1594">
        <v>0</v>
      </c>
      <c r="D23" s="1595">
        <v>0</v>
      </c>
      <c r="E23" s="1593">
        <v>0</v>
      </c>
      <c r="F23" s="1593">
        <v>0</v>
      </c>
      <c r="G23" s="1593">
        <v>0</v>
      </c>
      <c r="H23" s="1593">
        <v>0</v>
      </c>
      <c r="I23" s="1593">
        <v>0</v>
      </c>
      <c r="J23" s="1593">
        <v>0</v>
      </c>
      <c r="K23" s="1593">
        <v>0</v>
      </c>
      <c r="L23" s="1593">
        <v>0</v>
      </c>
      <c r="M23" s="1593">
        <v>0</v>
      </c>
      <c r="N23" s="1596">
        <v>0</v>
      </c>
      <c r="O23" s="1362">
        <v>0</v>
      </c>
      <c r="P23" s="1609">
        <v>0</v>
      </c>
      <c r="Q23" s="1504">
        <v>0</v>
      </c>
      <c r="R23" s="1610">
        <v>0</v>
      </c>
      <c r="S23" s="1609">
        <v>0</v>
      </c>
      <c r="T23" s="1504">
        <v>0</v>
      </c>
      <c r="U23" s="1504">
        <v>0</v>
      </c>
      <c r="V23" s="1610">
        <v>0</v>
      </c>
      <c r="W23" s="1609">
        <v>0</v>
      </c>
      <c r="X23" s="1610">
        <v>0</v>
      </c>
      <c r="Y23" s="1611">
        <v>0</v>
      </c>
      <c r="Z23" s="1609">
        <v>0</v>
      </c>
      <c r="AA23" s="1504">
        <v>0</v>
      </c>
      <c r="AB23" s="1610">
        <v>0</v>
      </c>
      <c r="AC23" s="1612">
        <v>0</v>
      </c>
      <c r="AD23" s="1613">
        <v>0</v>
      </c>
      <c r="AE23" s="1613">
        <v>0</v>
      </c>
      <c r="AF23" s="1614">
        <v>0</v>
      </c>
      <c r="AG23" s="1615">
        <v>0</v>
      </c>
      <c r="AH23" s="1613">
        <v>0</v>
      </c>
      <c r="AI23" s="1614">
        <v>0</v>
      </c>
      <c r="AV23" s="1616"/>
      <c r="AW23" s="1616">
        <v>0</v>
      </c>
      <c r="AX23" s="1616">
        <v>0</v>
      </c>
    </row>
    <row r="24" spans="1:50" ht="13.2" thickBot="1" x14ac:dyDescent="0.3">
      <c r="A24" s="173" t="s">
        <v>2423</v>
      </c>
      <c r="B24" s="174">
        <v>0</v>
      </c>
      <c r="C24" s="175">
        <v>0</v>
      </c>
      <c r="D24" s="176">
        <v>0</v>
      </c>
      <c r="E24" s="174">
        <v>0</v>
      </c>
      <c r="F24" s="174">
        <v>0</v>
      </c>
      <c r="G24" s="174">
        <v>0</v>
      </c>
      <c r="H24" s="174">
        <v>0</v>
      </c>
      <c r="I24" s="174">
        <v>0</v>
      </c>
      <c r="J24" s="174">
        <v>0</v>
      </c>
      <c r="K24" s="174">
        <v>0</v>
      </c>
      <c r="L24" s="174">
        <v>0</v>
      </c>
      <c r="M24" s="174">
        <v>0</v>
      </c>
      <c r="N24" s="177">
        <v>0</v>
      </c>
      <c r="O24" s="167">
        <v>0</v>
      </c>
      <c r="P24" s="168">
        <v>0</v>
      </c>
      <c r="Q24" s="166">
        <v>0</v>
      </c>
      <c r="R24" s="169">
        <v>0</v>
      </c>
      <c r="S24" s="168">
        <v>0</v>
      </c>
      <c r="T24" s="166">
        <v>0</v>
      </c>
      <c r="U24" s="166">
        <v>0</v>
      </c>
      <c r="V24" s="169">
        <v>0</v>
      </c>
      <c r="W24" s="168">
        <v>0</v>
      </c>
      <c r="X24" s="169">
        <v>0</v>
      </c>
      <c r="Y24" s="170">
        <v>0</v>
      </c>
      <c r="Z24" s="168">
        <v>0</v>
      </c>
      <c r="AA24" s="166">
        <v>0</v>
      </c>
      <c r="AB24" s="169">
        <v>0</v>
      </c>
      <c r="AC24" s="178">
        <v>0</v>
      </c>
      <c r="AD24" s="179">
        <v>0</v>
      </c>
      <c r="AE24" s="179">
        <v>0</v>
      </c>
      <c r="AF24" s="180">
        <v>0</v>
      </c>
      <c r="AG24" s="181">
        <v>0</v>
      </c>
      <c r="AH24" s="179">
        <v>0</v>
      </c>
      <c r="AI24" s="180">
        <v>0</v>
      </c>
      <c r="AV24" s="593"/>
      <c r="AW24" s="593">
        <v>0</v>
      </c>
      <c r="AX24" s="593">
        <v>0</v>
      </c>
    </row>
    <row r="25" spans="1:50" x14ac:dyDescent="0.25">
      <c r="A25" s="1349" t="s">
        <v>3842</v>
      </c>
      <c r="B25" s="1593">
        <v>15</v>
      </c>
      <c r="C25" s="1594">
        <v>0.5</v>
      </c>
      <c r="D25" s="1595">
        <v>89</v>
      </c>
      <c r="E25" s="1593">
        <v>11.2</v>
      </c>
      <c r="F25" s="1593">
        <v>34.9</v>
      </c>
      <c r="G25" s="1593" t="s">
        <v>1712</v>
      </c>
      <c r="H25" s="1593" t="s">
        <v>1712</v>
      </c>
      <c r="I25" s="1593">
        <v>4</v>
      </c>
      <c r="J25" s="1593">
        <v>60.3</v>
      </c>
      <c r="K25" s="1593">
        <v>15.8</v>
      </c>
      <c r="L25" s="1593">
        <v>22.4</v>
      </c>
      <c r="M25" s="1593">
        <v>30</v>
      </c>
      <c r="N25" s="1596">
        <v>16</v>
      </c>
      <c r="O25" s="165">
        <v>0.8</v>
      </c>
      <c r="P25" s="1350">
        <v>21.3</v>
      </c>
      <c r="Q25" s="1593">
        <v>48</v>
      </c>
      <c r="R25" s="1598">
        <v>0.6</v>
      </c>
      <c r="S25" s="1350">
        <v>22.9</v>
      </c>
      <c r="T25" s="1593">
        <v>16</v>
      </c>
      <c r="U25" s="1593">
        <v>3</v>
      </c>
      <c r="V25" s="1598">
        <v>0.8</v>
      </c>
      <c r="W25" s="1350">
        <v>16</v>
      </c>
      <c r="X25" s="1598">
        <v>0.8</v>
      </c>
      <c r="Y25" s="1351">
        <v>1.2</v>
      </c>
      <c r="Z25" s="1350">
        <v>15.8</v>
      </c>
      <c r="AA25" s="1593">
        <v>10</v>
      </c>
      <c r="AB25" s="1598">
        <v>0.8</v>
      </c>
      <c r="AC25" s="1352">
        <f>PI()*D25*E25/1000000</f>
        <v>3.1315395570983059E-3</v>
      </c>
      <c r="AD25" s="1617">
        <f>D25^2*PI()/4/1000000</f>
        <v>6.2211388522711878E-3</v>
      </c>
      <c r="AE25" s="1617">
        <f>P25*PI()*(Q25-E25)/1000000</f>
        <v>2.4625059855898235E-3</v>
      </c>
      <c r="AF25" s="1618">
        <f>AE25+AD25+AC25</f>
        <v>1.1815184394959316E-2</v>
      </c>
      <c r="AG25" s="1619">
        <f>PI()*D25*E25/1000000</f>
        <v>3.1315395570983059E-3</v>
      </c>
      <c r="AH25" s="1617">
        <f>D25^2*PI()/4/1000000</f>
        <v>6.2211388522711878E-3</v>
      </c>
      <c r="AI25" s="1618">
        <f>AH25+AG25</f>
        <v>9.3526784093694929E-3</v>
      </c>
      <c r="AV25" s="1599">
        <v>3.2727272727272725</v>
      </c>
      <c r="AW25" s="1599">
        <f>AV25*R25</f>
        <v>1.9636363636363634</v>
      </c>
      <c r="AX25" s="1599">
        <f>AV25*AF25</f>
        <v>3.8667876201685034E-2</v>
      </c>
    </row>
    <row r="26" spans="1:50" x14ac:dyDescent="0.25">
      <c r="A26" s="1620" t="s">
        <v>3843</v>
      </c>
      <c r="B26" s="1504">
        <v>20</v>
      </c>
      <c r="C26" s="1505">
        <v>0.75</v>
      </c>
      <c r="D26" s="1506">
        <v>99</v>
      </c>
      <c r="E26" s="1504">
        <v>12.7</v>
      </c>
      <c r="F26" s="1504">
        <v>42.9</v>
      </c>
      <c r="G26" s="1504" t="s">
        <v>1712</v>
      </c>
      <c r="H26" s="1504" t="s">
        <v>1712</v>
      </c>
      <c r="I26" s="1504">
        <v>4</v>
      </c>
      <c r="J26" s="1504">
        <v>69.8</v>
      </c>
      <c r="K26" s="1504">
        <v>15.8</v>
      </c>
      <c r="L26" s="1504">
        <v>27.7</v>
      </c>
      <c r="M26" s="1504">
        <v>38</v>
      </c>
      <c r="N26" s="1508">
        <v>16</v>
      </c>
      <c r="O26" s="1362">
        <v>0.9</v>
      </c>
      <c r="P26" s="1609">
        <v>26.7</v>
      </c>
      <c r="Q26" s="1504">
        <v>52</v>
      </c>
      <c r="R26" s="1610">
        <v>0.8</v>
      </c>
      <c r="S26" s="1609">
        <v>28.2</v>
      </c>
      <c r="T26" s="1504">
        <v>16</v>
      </c>
      <c r="U26" s="1504">
        <v>3</v>
      </c>
      <c r="V26" s="1610">
        <v>0.9</v>
      </c>
      <c r="W26" s="1609">
        <v>16</v>
      </c>
      <c r="X26" s="1610">
        <v>0.9</v>
      </c>
      <c r="Y26" s="1611">
        <v>1.3</v>
      </c>
      <c r="Z26" s="1609">
        <v>20.8</v>
      </c>
      <c r="AA26" s="1504">
        <v>11</v>
      </c>
      <c r="AB26" s="1610">
        <v>0.9</v>
      </c>
      <c r="AC26" s="1612">
        <f t="shared" ref="AC26:AC44" si="0">PI()*D26*E26/1000000</f>
        <v>3.9499244433584468E-3</v>
      </c>
      <c r="AD26" s="1613">
        <f t="shared" ref="AD26:AD44" si="1">D26^2*PI()/4/1000000</f>
        <v>7.6976873994583899E-3</v>
      </c>
      <c r="AE26" s="1613">
        <f t="shared" ref="AE26:AE44" si="2">P26*PI()*(Q26-E26)/1000000</f>
        <v>3.2965045873383052E-3</v>
      </c>
      <c r="AF26" s="1614">
        <f t="shared" ref="AF26:AF44" si="3">AE26+AD26+AC26</f>
        <v>1.4944116430155141E-2</v>
      </c>
      <c r="AG26" s="1615">
        <f t="shared" ref="AG26:AG44" si="4">PI()*D26*E26/1000000</f>
        <v>3.9499244433584468E-3</v>
      </c>
      <c r="AH26" s="1613">
        <f t="shared" ref="AH26:AH44" si="5">D26^2*PI()/4/1000000</f>
        <v>7.6976873994583899E-3</v>
      </c>
      <c r="AI26" s="1614">
        <f t="shared" ref="AI26:AI44" si="6">AH26+AG26</f>
        <v>1.1647611842816836E-2</v>
      </c>
      <c r="AV26" s="1616">
        <v>3.2727272727272725</v>
      </c>
      <c r="AW26" s="1616">
        <f t="shared" ref="AW26:AW44" si="7">AV26*R26</f>
        <v>2.6181818181818182</v>
      </c>
      <c r="AX26" s="1616">
        <f t="shared" ref="AX26:AX44" si="8">AV26*AF26</f>
        <v>4.890801740778046E-2</v>
      </c>
    </row>
    <row r="27" spans="1:50" x14ac:dyDescent="0.25">
      <c r="A27" s="1620" t="s">
        <v>3844</v>
      </c>
      <c r="B27" s="1504">
        <v>25</v>
      </c>
      <c r="C27" s="1505">
        <v>1</v>
      </c>
      <c r="D27" s="1506">
        <v>108</v>
      </c>
      <c r="E27" s="1504">
        <v>14.3</v>
      </c>
      <c r="F27" s="1504">
        <v>50.8</v>
      </c>
      <c r="G27" s="1504">
        <v>63.5</v>
      </c>
      <c r="H27" s="1504" t="s">
        <v>1712</v>
      </c>
      <c r="I27" s="1504">
        <v>4</v>
      </c>
      <c r="J27" s="1504">
        <v>79.400000000000006</v>
      </c>
      <c r="K27" s="1504">
        <v>15.8</v>
      </c>
      <c r="L27" s="1504">
        <v>34.5</v>
      </c>
      <c r="M27" s="1504">
        <v>49</v>
      </c>
      <c r="N27" s="1508">
        <v>17</v>
      </c>
      <c r="O27" s="1362">
        <v>1</v>
      </c>
      <c r="P27" s="1609">
        <v>33.4</v>
      </c>
      <c r="Q27" s="1504">
        <v>56</v>
      </c>
      <c r="R27" s="1610">
        <v>1.1000000000000001</v>
      </c>
      <c r="S27" s="1609">
        <v>35</v>
      </c>
      <c r="T27" s="1504">
        <v>17</v>
      </c>
      <c r="U27" s="1504">
        <v>3</v>
      </c>
      <c r="V27" s="1610">
        <v>1</v>
      </c>
      <c r="W27" s="1609">
        <v>18</v>
      </c>
      <c r="X27" s="1610">
        <v>1</v>
      </c>
      <c r="Y27" s="1611">
        <v>1.4</v>
      </c>
      <c r="Z27" s="1609">
        <v>26.7</v>
      </c>
      <c r="AA27" s="1504">
        <v>13</v>
      </c>
      <c r="AB27" s="1610">
        <v>1</v>
      </c>
      <c r="AC27" s="1612">
        <f t="shared" si="0"/>
        <v>4.8518756942040765E-3</v>
      </c>
      <c r="AD27" s="1613">
        <f t="shared" si="1"/>
        <v>9.1608841778678361E-3</v>
      </c>
      <c r="AE27" s="1613">
        <f t="shared" si="2"/>
        <v>4.3755474160667917E-3</v>
      </c>
      <c r="AF27" s="1614">
        <f t="shared" si="3"/>
        <v>1.8388307288138707E-2</v>
      </c>
      <c r="AG27" s="1615">
        <f t="shared" si="4"/>
        <v>4.8518756942040765E-3</v>
      </c>
      <c r="AH27" s="1613">
        <f t="shared" si="5"/>
        <v>9.1608841778678361E-3</v>
      </c>
      <c r="AI27" s="1614">
        <f t="shared" si="6"/>
        <v>1.4012759872071913E-2</v>
      </c>
      <c r="AV27" s="1616">
        <v>3.2727272727272725</v>
      </c>
      <c r="AW27" s="1616">
        <f t="shared" si="7"/>
        <v>3.6</v>
      </c>
      <c r="AX27" s="1616">
        <f t="shared" si="8"/>
        <v>6.0179914761181216E-2</v>
      </c>
    </row>
    <row r="28" spans="1:50" x14ac:dyDescent="0.25">
      <c r="A28" s="1620" t="s">
        <v>3845</v>
      </c>
      <c r="B28" s="1504">
        <v>32</v>
      </c>
      <c r="C28" s="1505">
        <v>1.25</v>
      </c>
      <c r="D28" s="1506">
        <v>117</v>
      </c>
      <c r="E28" s="1504">
        <v>15.7</v>
      </c>
      <c r="F28" s="1504">
        <v>63.5</v>
      </c>
      <c r="G28" s="1504">
        <v>73.2</v>
      </c>
      <c r="H28" s="1504" t="s">
        <v>1712</v>
      </c>
      <c r="I28" s="1504">
        <v>4</v>
      </c>
      <c r="J28" s="1504">
        <v>88.9</v>
      </c>
      <c r="K28" s="1504">
        <v>15.8</v>
      </c>
      <c r="L28" s="1504">
        <v>43.2</v>
      </c>
      <c r="M28" s="1504">
        <v>59</v>
      </c>
      <c r="N28" s="1508">
        <v>21</v>
      </c>
      <c r="O28" s="1362">
        <v>1.3</v>
      </c>
      <c r="P28" s="1609">
        <v>42.2</v>
      </c>
      <c r="Q28" s="1504">
        <v>57</v>
      </c>
      <c r="R28" s="1610">
        <v>1.4</v>
      </c>
      <c r="S28" s="1609">
        <v>43.7</v>
      </c>
      <c r="T28" s="1504">
        <v>21</v>
      </c>
      <c r="U28" s="1504">
        <v>5</v>
      </c>
      <c r="V28" s="1610">
        <v>1.3</v>
      </c>
      <c r="W28" s="1609">
        <v>21</v>
      </c>
      <c r="X28" s="1610">
        <v>1.3</v>
      </c>
      <c r="Y28" s="1611">
        <v>1.8</v>
      </c>
      <c r="Z28" s="1609">
        <v>35</v>
      </c>
      <c r="AA28" s="1504">
        <v>14</v>
      </c>
      <c r="AB28" s="1610">
        <v>1.3</v>
      </c>
      <c r="AC28" s="1612">
        <f t="shared" si="0"/>
        <v>5.7707915453790908E-3</v>
      </c>
      <c r="AD28" s="1613">
        <f t="shared" si="1"/>
        <v>1.0751315458747669E-2</v>
      </c>
      <c r="AE28" s="1613">
        <f t="shared" si="2"/>
        <v>5.4753561722355069E-3</v>
      </c>
      <c r="AF28" s="1614">
        <f t="shared" si="3"/>
        <v>2.1997463176362267E-2</v>
      </c>
      <c r="AG28" s="1615">
        <f t="shared" si="4"/>
        <v>5.7707915453790908E-3</v>
      </c>
      <c r="AH28" s="1613">
        <f t="shared" si="5"/>
        <v>1.0751315458747669E-2</v>
      </c>
      <c r="AI28" s="1614">
        <f t="shared" si="6"/>
        <v>1.6522107004126759E-2</v>
      </c>
      <c r="AV28" s="1616">
        <v>3.2727272727272725</v>
      </c>
      <c r="AW28" s="1616">
        <f t="shared" si="7"/>
        <v>4.5818181818181811</v>
      </c>
      <c r="AX28" s="1616">
        <f t="shared" si="8"/>
        <v>7.1991697668094684E-2</v>
      </c>
    </row>
    <row r="29" spans="1:50" x14ac:dyDescent="0.25">
      <c r="A29" s="1620" t="s">
        <v>3846</v>
      </c>
      <c r="B29" s="1504">
        <v>40</v>
      </c>
      <c r="C29" s="1505">
        <v>1.5</v>
      </c>
      <c r="D29" s="1506">
        <v>127</v>
      </c>
      <c r="E29" s="1504">
        <v>17.5</v>
      </c>
      <c r="F29" s="1504">
        <v>73</v>
      </c>
      <c r="G29" s="1504">
        <v>82.5</v>
      </c>
      <c r="H29" s="1504" t="s">
        <v>1712</v>
      </c>
      <c r="I29" s="1504">
        <v>4</v>
      </c>
      <c r="J29" s="1504">
        <v>98.4</v>
      </c>
      <c r="K29" s="1504">
        <v>15.8</v>
      </c>
      <c r="L29" s="1504">
        <v>49.5</v>
      </c>
      <c r="M29" s="1504">
        <v>65</v>
      </c>
      <c r="N29" s="1508">
        <v>22</v>
      </c>
      <c r="O29" s="1362">
        <v>1.5</v>
      </c>
      <c r="P29" s="1609">
        <v>48.3</v>
      </c>
      <c r="Q29" s="1504">
        <v>62</v>
      </c>
      <c r="R29" s="1610">
        <v>1.8</v>
      </c>
      <c r="S29" s="1609">
        <v>50</v>
      </c>
      <c r="T29" s="1504">
        <v>22</v>
      </c>
      <c r="U29" s="1504">
        <v>6</v>
      </c>
      <c r="V29" s="1610">
        <v>1.5</v>
      </c>
      <c r="W29" s="1609">
        <v>22</v>
      </c>
      <c r="X29" s="1610">
        <v>1.5</v>
      </c>
      <c r="Y29" s="1611">
        <v>2.2000000000000002</v>
      </c>
      <c r="Z29" s="1609">
        <v>40.9</v>
      </c>
      <c r="AA29" s="1504">
        <v>16</v>
      </c>
      <c r="AB29" s="1610">
        <v>1.4</v>
      </c>
      <c r="AC29" s="1612">
        <f t="shared" si="0"/>
        <v>6.9821896726033157E-3</v>
      </c>
      <c r="AD29" s="1613">
        <f t="shared" si="1"/>
        <v>1.2667686977437443E-2</v>
      </c>
      <c r="AE29" s="1613">
        <f t="shared" si="2"/>
        <v>6.7523821699932212E-3</v>
      </c>
      <c r="AF29" s="1614">
        <f t="shared" si="3"/>
        <v>2.640225882003398E-2</v>
      </c>
      <c r="AG29" s="1615">
        <f t="shared" si="4"/>
        <v>6.9821896726033157E-3</v>
      </c>
      <c r="AH29" s="1613">
        <f t="shared" si="5"/>
        <v>1.2667686977437443E-2</v>
      </c>
      <c r="AI29" s="1614">
        <f t="shared" si="6"/>
        <v>1.9649876650040757E-2</v>
      </c>
      <c r="AV29" s="1616">
        <v>3.0555555555555554</v>
      </c>
      <c r="AW29" s="1616">
        <f t="shared" si="7"/>
        <v>5.5</v>
      </c>
      <c r="AX29" s="1616">
        <f t="shared" si="8"/>
        <v>8.0673568616770483E-2</v>
      </c>
    </row>
    <row r="30" spans="1:50" x14ac:dyDescent="0.25">
      <c r="A30" s="1620" t="s">
        <v>3847</v>
      </c>
      <c r="B30" s="1504">
        <v>50</v>
      </c>
      <c r="C30" s="1505">
        <v>2</v>
      </c>
      <c r="D30" s="1506">
        <v>152</v>
      </c>
      <c r="E30" s="1504">
        <v>19.100000000000001</v>
      </c>
      <c r="F30" s="1504">
        <v>92.1</v>
      </c>
      <c r="G30" s="1504">
        <v>101.6</v>
      </c>
      <c r="H30" s="1504" t="s">
        <v>1712</v>
      </c>
      <c r="I30" s="1504">
        <v>4</v>
      </c>
      <c r="J30" s="1504">
        <v>120.6</v>
      </c>
      <c r="K30" s="1504">
        <v>19</v>
      </c>
      <c r="L30" s="1504">
        <v>62</v>
      </c>
      <c r="M30" s="1504">
        <v>78</v>
      </c>
      <c r="N30" s="1508">
        <v>25</v>
      </c>
      <c r="O30" s="1362">
        <v>2.2999999999999998</v>
      </c>
      <c r="P30" s="1609">
        <v>60.3</v>
      </c>
      <c r="Q30" s="1504">
        <v>63</v>
      </c>
      <c r="R30" s="1610">
        <v>2.7</v>
      </c>
      <c r="S30" s="1609">
        <v>62.5</v>
      </c>
      <c r="T30" s="1504">
        <v>25</v>
      </c>
      <c r="U30" s="1504">
        <v>8</v>
      </c>
      <c r="V30" s="1610">
        <v>2.2999999999999998</v>
      </c>
      <c r="W30" s="1609">
        <v>25</v>
      </c>
      <c r="X30" s="1610">
        <v>2.2999999999999998</v>
      </c>
      <c r="Y30" s="1611">
        <v>2.8</v>
      </c>
      <c r="Z30" s="1609">
        <v>52.6</v>
      </c>
      <c r="AA30" s="1504">
        <v>17</v>
      </c>
      <c r="AB30" s="1610">
        <v>2.2999999999999998</v>
      </c>
      <c r="AC30" s="1612">
        <f t="shared" si="0"/>
        <v>9.1206717919018881E-3</v>
      </c>
      <c r="AD30" s="1613">
        <f t="shared" si="1"/>
        <v>1.8145839167134643E-2</v>
      </c>
      <c r="AE30" s="1613">
        <f t="shared" si="2"/>
        <v>8.3163298248032924E-3</v>
      </c>
      <c r="AF30" s="1614">
        <f t="shared" si="3"/>
        <v>3.5582840783839824E-2</v>
      </c>
      <c r="AG30" s="1615">
        <f t="shared" si="4"/>
        <v>9.1206717919018881E-3</v>
      </c>
      <c r="AH30" s="1613">
        <f t="shared" si="5"/>
        <v>1.8145839167134643E-2</v>
      </c>
      <c r="AI30" s="1614">
        <f t="shared" si="6"/>
        <v>2.7266510959036531E-2</v>
      </c>
      <c r="AV30" s="1616">
        <v>2.7037037037037033</v>
      </c>
      <c r="AW30" s="1616">
        <f t="shared" si="7"/>
        <v>7.2999999999999989</v>
      </c>
      <c r="AX30" s="1616">
        <f t="shared" si="8"/>
        <v>9.6205458415566922E-2</v>
      </c>
    </row>
    <row r="31" spans="1:50" x14ac:dyDescent="0.25">
      <c r="A31" s="1620" t="s">
        <v>3848</v>
      </c>
      <c r="B31" s="1504">
        <v>65</v>
      </c>
      <c r="C31" s="1505">
        <v>2.5</v>
      </c>
      <c r="D31" s="1506">
        <v>178</v>
      </c>
      <c r="E31" s="1504">
        <v>22.3</v>
      </c>
      <c r="F31" s="1504">
        <v>104.8</v>
      </c>
      <c r="G31" s="1504">
        <v>120.7</v>
      </c>
      <c r="H31" s="1504" t="s">
        <v>1712</v>
      </c>
      <c r="I31" s="1504">
        <v>4</v>
      </c>
      <c r="J31" s="1504">
        <v>139.69999999999999</v>
      </c>
      <c r="K31" s="1504">
        <v>19</v>
      </c>
      <c r="L31" s="1504">
        <v>74.7</v>
      </c>
      <c r="M31" s="1504">
        <v>90</v>
      </c>
      <c r="N31" s="1508">
        <v>29</v>
      </c>
      <c r="O31" s="1362">
        <v>3.7</v>
      </c>
      <c r="P31" s="1609">
        <v>73</v>
      </c>
      <c r="Q31" s="1504">
        <v>70</v>
      </c>
      <c r="R31" s="1610">
        <v>4</v>
      </c>
      <c r="S31" s="1609">
        <v>75.400000000000006</v>
      </c>
      <c r="T31" s="1504">
        <v>29</v>
      </c>
      <c r="U31" s="1504">
        <v>8</v>
      </c>
      <c r="V31" s="1610">
        <v>3.7</v>
      </c>
      <c r="W31" s="1609">
        <v>29</v>
      </c>
      <c r="X31" s="1610">
        <v>3.7</v>
      </c>
      <c r="Y31" s="1611">
        <v>4.7</v>
      </c>
      <c r="Z31" s="1609">
        <v>62.7</v>
      </c>
      <c r="AA31" s="1504">
        <v>19</v>
      </c>
      <c r="AB31" s="1610">
        <v>3</v>
      </c>
      <c r="AC31" s="1612">
        <f t="shared" si="0"/>
        <v>1.2470237879159326E-2</v>
      </c>
      <c r="AD31" s="1613">
        <f t="shared" si="1"/>
        <v>2.4884555409084751E-2</v>
      </c>
      <c r="AE31" s="1613">
        <f t="shared" si="2"/>
        <v>1.0939339779065018E-2</v>
      </c>
      <c r="AF31" s="1614">
        <f t="shared" si="3"/>
        <v>4.8294133067309092E-2</v>
      </c>
      <c r="AG31" s="1615">
        <f t="shared" si="4"/>
        <v>1.2470237879159326E-2</v>
      </c>
      <c r="AH31" s="1613">
        <f t="shared" si="5"/>
        <v>2.4884555409084751E-2</v>
      </c>
      <c r="AI31" s="1614">
        <f t="shared" si="6"/>
        <v>3.7354793288244079E-2</v>
      </c>
      <c r="AV31" s="1616">
        <v>2.6388888888888888</v>
      </c>
      <c r="AW31" s="1616">
        <f t="shared" si="7"/>
        <v>10.555555555555555</v>
      </c>
      <c r="AX31" s="1616">
        <f t="shared" si="8"/>
        <v>0.12744285114984344</v>
      </c>
    </row>
    <row r="32" spans="1:50" x14ac:dyDescent="0.25">
      <c r="A32" s="1620" t="s">
        <v>3849</v>
      </c>
      <c r="B32" s="1504">
        <v>80</v>
      </c>
      <c r="C32" s="1505">
        <v>3</v>
      </c>
      <c r="D32" s="1506">
        <v>190</v>
      </c>
      <c r="E32" s="1504">
        <v>23.9</v>
      </c>
      <c r="F32" s="1504">
        <v>127</v>
      </c>
      <c r="G32" s="1504">
        <v>133.4</v>
      </c>
      <c r="H32" s="1504" t="s">
        <v>1712</v>
      </c>
      <c r="I32" s="1504">
        <v>4</v>
      </c>
      <c r="J32" s="1504">
        <v>152.4</v>
      </c>
      <c r="K32" s="1504">
        <v>19</v>
      </c>
      <c r="L32" s="1504">
        <v>90.7</v>
      </c>
      <c r="M32" s="1504">
        <v>108</v>
      </c>
      <c r="N32" s="1508">
        <v>30</v>
      </c>
      <c r="O32" s="1362">
        <v>4.2</v>
      </c>
      <c r="P32" s="1609">
        <v>88.9</v>
      </c>
      <c r="Q32" s="1504">
        <v>70</v>
      </c>
      <c r="R32" s="1610">
        <v>4.5</v>
      </c>
      <c r="S32" s="1609">
        <v>91.4</v>
      </c>
      <c r="T32" s="1504">
        <v>30</v>
      </c>
      <c r="U32" s="1504">
        <v>10</v>
      </c>
      <c r="V32" s="1610">
        <v>4.2</v>
      </c>
      <c r="W32" s="1609">
        <v>30</v>
      </c>
      <c r="X32" s="1610">
        <v>4.2</v>
      </c>
      <c r="Y32" s="1611">
        <v>5.5</v>
      </c>
      <c r="Z32" s="1609">
        <v>78</v>
      </c>
      <c r="AA32" s="1504">
        <v>21</v>
      </c>
      <c r="AB32" s="1610">
        <v>3.5</v>
      </c>
      <c r="AC32" s="1612">
        <f t="shared" si="0"/>
        <v>1.426597223995125E-2</v>
      </c>
      <c r="AD32" s="1613">
        <f t="shared" si="1"/>
        <v>2.8352873698647883E-2</v>
      </c>
      <c r="AE32" s="1613">
        <f t="shared" si="2"/>
        <v>1.2875157756280514E-2</v>
      </c>
      <c r="AF32" s="1614">
        <f t="shared" si="3"/>
        <v>5.5494003694879647E-2</v>
      </c>
      <c r="AG32" s="1615">
        <f t="shared" si="4"/>
        <v>1.426597223995125E-2</v>
      </c>
      <c r="AH32" s="1613">
        <f t="shared" si="5"/>
        <v>2.8352873698647883E-2</v>
      </c>
      <c r="AI32" s="1614">
        <f t="shared" si="6"/>
        <v>4.2618845938599131E-2</v>
      </c>
      <c r="AV32" s="1616">
        <v>2.4222222222222225</v>
      </c>
      <c r="AW32" s="1616">
        <f t="shared" si="7"/>
        <v>10.900000000000002</v>
      </c>
      <c r="AX32" s="1616">
        <f t="shared" si="8"/>
        <v>0.13441880894981961</v>
      </c>
    </row>
    <row r="33" spans="1:50" x14ac:dyDescent="0.25">
      <c r="A33" s="1620" t="s">
        <v>3850</v>
      </c>
      <c r="B33" s="1504" t="s">
        <v>1721</v>
      </c>
      <c r="C33" s="1505">
        <v>3.5</v>
      </c>
      <c r="D33" s="1506">
        <v>216</v>
      </c>
      <c r="E33" s="1504">
        <v>23.9</v>
      </c>
      <c r="F33" s="1504">
        <v>139.69999999999999</v>
      </c>
      <c r="G33" s="1504">
        <v>154</v>
      </c>
      <c r="H33" s="1504" t="s">
        <v>1712</v>
      </c>
      <c r="I33" s="1504">
        <v>8</v>
      </c>
      <c r="J33" s="1504">
        <v>177.8</v>
      </c>
      <c r="K33" s="1504">
        <v>19</v>
      </c>
      <c r="L33" s="1504">
        <v>103.4</v>
      </c>
      <c r="M33" s="1504">
        <v>122</v>
      </c>
      <c r="N33" s="1508">
        <v>32</v>
      </c>
      <c r="O33" s="1362">
        <v>5.3</v>
      </c>
      <c r="P33" s="1609">
        <v>101.6</v>
      </c>
      <c r="Q33" s="1504">
        <v>71</v>
      </c>
      <c r="R33" s="1610">
        <v>6.2</v>
      </c>
      <c r="S33" s="1609">
        <v>104.1</v>
      </c>
      <c r="T33" s="1504">
        <v>32</v>
      </c>
      <c r="U33" s="1504">
        <v>11</v>
      </c>
      <c r="V33" s="1610">
        <v>5.3</v>
      </c>
      <c r="W33" s="1609">
        <v>32</v>
      </c>
      <c r="X33" s="1610">
        <v>5.3</v>
      </c>
      <c r="Y33" s="1611">
        <v>6.8</v>
      </c>
      <c r="Z33" s="1609" t="s">
        <v>1712</v>
      </c>
      <c r="AA33" s="1504" t="s">
        <v>1712</v>
      </c>
      <c r="AB33" s="1610" t="s">
        <v>1712</v>
      </c>
      <c r="AC33" s="1612">
        <f t="shared" si="0"/>
        <v>1.6218157914891947E-2</v>
      </c>
      <c r="AD33" s="1613">
        <f t="shared" si="1"/>
        <v>3.6643536711471345E-2</v>
      </c>
      <c r="AE33" s="1613">
        <f t="shared" si="2"/>
        <v>1.5033651820782453E-2</v>
      </c>
      <c r="AF33" s="1614">
        <f t="shared" si="3"/>
        <v>6.7895346447145746E-2</v>
      </c>
      <c r="AG33" s="1615">
        <f t="shared" si="4"/>
        <v>1.6218157914891947E-2</v>
      </c>
      <c r="AH33" s="1613">
        <f t="shared" si="5"/>
        <v>3.6643536711471345E-2</v>
      </c>
      <c r="AI33" s="1614">
        <f t="shared" si="6"/>
        <v>5.2861694626363295E-2</v>
      </c>
      <c r="AV33" s="1616">
        <v>2.4222222222222225</v>
      </c>
      <c r="AW33" s="1616">
        <f t="shared" si="7"/>
        <v>15.017777777777781</v>
      </c>
      <c r="AX33" s="1616">
        <f t="shared" si="8"/>
        <v>0.16445761694975305</v>
      </c>
    </row>
    <row r="34" spans="1:50" x14ac:dyDescent="0.25">
      <c r="A34" s="1620" t="s">
        <v>3851</v>
      </c>
      <c r="B34" s="1504">
        <v>100</v>
      </c>
      <c r="C34" s="1505">
        <v>4</v>
      </c>
      <c r="D34" s="1506">
        <v>229</v>
      </c>
      <c r="E34" s="1504">
        <v>23.9</v>
      </c>
      <c r="F34" s="1504">
        <v>157.19999999999999</v>
      </c>
      <c r="G34" s="1504">
        <v>171.5</v>
      </c>
      <c r="H34" s="1504" t="s">
        <v>1712</v>
      </c>
      <c r="I34" s="1504">
        <v>8</v>
      </c>
      <c r="J34" s="1504">
        <v>190.5</v>
      </c>
      <c r="K34" s="1504">
        <v>19</v>
      </c>
      <c r="L34" s="1504">
        <v>116.1</v>
      </c>
      <c r="M34" s="1504">
        <v>135</v>
      </c>
      <c r="N34" s="1508">
        <v>33</v>
      </c>
      <c r="O34" s="1362">
        <v>5.9</v>
      </c>
      <c r="P34" s="1609">
        <v>114.3</v>
      </c>
      <c r="Q34" s="1504">
        <v>76</v>
      </c>
      <c r="R34" s="1610">
        <v>7</v>
      </c>
      <c r="S34" s="1609">
        <v>116.8</v>
      </c>
      <c r="T34" s="1504">
        <v>33</v>
      </c>
      <c r="U34" s="1504">
        <v>11</v>
      </c>
      <c r="V34" s="1610">
        <v>5.9</v>
      </c>
      <c r="W34" s="1609">
        <v>33</v>
      </c>
      <c r="X34" s="1610">
        <v>5.9</v>
      </c>
      <c r="Y34" s="1611">
        <v>8</v>
      </c>
      <c r="Z34" s="1609" t="s">
        <v>1712</v>
      </c>
      <c r="AA34" s="1504" t="s">
        <v>1712</v>
      </c>
      <c r="AB34" s="1610" t="s">
        <v>1712</v>
      </c>
      <c r="AC34" s="1612">
        <f t="shared" si="0"/>
        <v>1.7194250752362295E-2</v>
      </c>
      <c r="AD34" s="1613">
        <f t="shared" si="1"/>
        <v>4.118706508672558E-2</v>
      </c>
      <c r="AE34" s="1613">
        <f t="shared" si="2"/>
        <v>1.8708278499906826E-2</v>
      </c>
      <c r="AF34" s="1614">
        <f t="shared" si="3"/>
        <v>7.7089594338994705E-2</v>
      </c>
      <c r="AG34" s="1615">
        <f t="shared" si="4"/>
        <v>1.7194250752362295E-2</v>
      </c>
      <c r="AH34" s="1613">
        <f t="shared" si="5"/>
        <v>4.118706508672558E-2</v>
      </c>
      <c r="AI34" s="1614">
        <f t="shared" si="6"/>
        <v>5.8381315839087872E-2</v>
      </c>
      <c r="AV34" s="1616">
        <v>3.1323529411764706</v>
      </c>
      <c r="AW34" s="1616">
        <f t="shared" si="7"/>
        <v>21.926470588235293</v>
      </c>
      <c r="AX34" s="1616">
        <f t="shared" si="8"/>
        <v>0.24147181756185107</v>
      </c>
    </row>
    <row r="35" spans="1:50" x14ac:dyDescent="0.25">
      <c r="A35" s="1620" t="s">
        <v>3852</v>
      </c>
      <c r="B35" s="1504">
        <v>125</v>
      </c>
      <c r="C35" s="1505">
        <v>5</v>
      </c>
      <c r="D35" s="1506">
        <v>254</v>
      </c>
      <c r="E35" s="1504">
        <v>23.9</v>
      </c>
      <c r="F35" s="1504">
        <v>185.7</v>
      </c>
      <c r="G35" s="1504">
        <v>193.5</v>
      </c>
      <c r="H35" s="1504" t="s">
        <v>1712</v>
      </c>
      <c r="I35" s="1504">
        <v>8</v>
      </c>
      <c r="J35" s="1504">
        <v>215.9</v>
      </c>
      <c r="K35" s="1504">
        <v>22.2</v>
      </c>
      <c r="L35" s="1504">
        <v>143.80000000000001</v>
      </c>
      <c r="M35" s="1504">
        <v>164</v>
      </c>
      <c r="N35" s="1508">
        <v>37</v>
      </c>
      <c r="O35" s="1362">
        <v>7</v>
      </c>
      <c r="P35" s="1609">
        <v>141.30000000000001</v>
      </c>
      <c r="Q35" s="1504">
        <v>89</v>
      </c>
      <c r="R35" s="1610">
        <v>8.6</v>
      </c>
      <c r="S35" s="1609">
        <v>144.5</v>
      </c>
      <c r="T35" s="1504">
        <v>37</v>
      </c>
      <c r="U35" s="1504">
        <v>11</v>
      </c>
      <c r="V35" s="1610">
        <v>7</v>
      </c>
      <c r="W35" s="1609">
        <v>37</v>
      </c>
      <c r="X35" s="1610">
        <v>7</v>
      </c>
      <c r="Y35" s="1611">
        <v>9</v>
      </c>
      <c r="Z35" s="1609" t="s">
        <v>1712</v>
      </c>
      <c r="AA35" s="1504" t="s">
        <v>1712</v>
      </c>
      <c r="AB35" s="1610" t="s">
        <v>1712</v>
      </c>
      <c r="AC35" s="1612">
        <f t="shared" si="0"/>
        <v>1.9071352362882196E-2</v>
      </c>
      <c r="AD35" s="1613">
        <f t="shared" si="1"/>
        <v>5.0670747909749771E-2</v>
      </c>
      <c r="AE35" s="1613">
        <f t="shared" si="2"/>
        <v>2.8898348431090678E-2</v>
      </c>
      <c r="AF35" s="1614">
        <f t="shared" si="3"/>
        <v>9.8640448703722641E-2</v>
      </c>
      <c r="AG35" s="1615">
        <f t="shared" si="4"/>
        <v>1.9071352362882196E-2</v>
      </c>
      <c r="AH35" s="1613">
        <f t="shared" si="5"/>
        <v>5.0670747909749771E-2</v>
      </c>
      <c r="AI35" s="1614">
        <f t="shared" si="6"/>
        <v>6.9742100272631974E-2</v>
      </c>
      <c r="AV35" s="1616">
        <v>3.0116279069767442</v>
      </c>
      <c r="AW35" s="1616">
        <f t="shared" si="7"/>
        <v>25.9</v>
      </c>
      <c r="AX35" s="1616">
        <f t="shared" si="8"/>
        <v>0.29706832807283912</v>
      </c>
    </row>
    <row r="36" spans="1:50" x14ac:dyDescent="0.25">
      <c r="A36" s="1620" t="s">
        <v>3853</v>
      </c>
      <c r="B36" s="1504">
        <v>150</v>
      </c>
      <c r="C36" s="1505">
        <v>6</v>
      </c>
      <c r="D36" s="1506">
        <v>279</v>
      </c>
      <c r="E36" s="1504">
        <v>25.4</v>
      </c>
      <c r="F36" s="1504">
        <v>215.9</v>
      </c>
      <c r="G36" s="1504">
        <v>219</v>
      </c>
      <c r="H36" s="1504" t="s">
        <v>1712</v>
      </c>
      <c r="I36" s="1504">
        <v>8</v>
      </c>
      <c r="J36" s="1504">
        <v>241.3</v>
      </c>
      <c r="K36" s="1504">
        <v>22.2</v>
      </c>
      <c r="L36" s="1504">
        <v>170.7</v>
      </c>
      <c r="M36" s="1504">
        <v>192</v>
      </c>
      <c r="N36" s="1508">
        <v>40</v>
      </c>
      <c r="O36" s="1362">
        <v>8.5</v>
      </c>
      <c r="P36" s="1609">
        <v>168.3</v>
      </c>
      <c r="Q36" s="1504">
        <v>89</v>
      </c>
      <c r="R36" s="1610">
        <v>10.8</v>
      </c>
      <c r="S36" s="1609">
        <v>171.4</v>
      </c>
      <c r="T36" s="1504">
        <v>40</v>
      </c>
      <c r="U36" s="1504">
        <v>13</v>
      </c>
      <c r="V36" s="1610">
        <v>8.5</v>
      </c>
      <c r="W36" s="1609">
        <v>40</v>
      </c>
      <c r="X36" s="1610">
        <v>8.5</v>
      </c>
      <c r="Y36" s="1611">
        <v>12</v>
      </c>
      <c r="Z36" s="1609" t="s">
        <v>1712</v>
      </c>
      <c r="AA36" s="1504" t="s">
        <v>1712</v>
      </c>
      <c r="AB36" s="1610" t="s">
        <v>1712</v>
      </c>
      <c r="AC36" s="1612">
        <f t="shared" si="0"/>
        <v>2.2263210498929428E-2</v>
      </c>
      <c r="AD36" s="1613">
        <f t="shared" si="1"/>
        <v>6.1136178437020766E-2</v>
      </c>
      <c r="AE36" s="1613">
        <f t="shared" si="2"/>
        <v>3.3627230772906719E-2</v>
      </c>
      <c r="AF36" s="1614">
        <f t="shared" si="3"/>
        <v>0.11702661970885692</v>
      </c>
      <c r="AG36" s="1615">
        <f t="shared" si="4"/>
        <v>2.2263210498929428E-2</v>
      </c>
      <c r="AH36" s="1613">
        <f t="shared" si="5"/>
        <v>6.1136178437020766E-2</v>
      </c>
      <c r="AI36" s="1614">
        <f t="shared" si="6"/>
        <v>8.3399388935950197E-2</v>
      </c>
      <c r="AJ36" s="268"/>
      <c r="AV36" s="1616">
        <v>3.2110091743119265</v>
      </c>
      <c r="AW36" s="1616">
        <f t="shared" si="7"/>
        <v>34.678899082568805</v>
      </c>
      <c r="AX36" s="1616">
        <f t="shared" si="8"/>
        <v>0.37577354952385245</v>
      </c>
    </row>
    <row r="37" spans="1:50" x14ac:dyDescent="0.25">
      <c r="A37" s="1620" t="s">
        <v>3854</v>
      </c>
      <c r="B37" s="1504">
        <v>200</v>
      </c>
      <c r="C37" s="1505">
        <v>8</v>
      </c>
      <c r="D37" s="1506">
        <v>343</v>
      </c>
      <c r="E37" s="1504">
        <v>28.5</v>
      </c>
      <c r="F37" s="1504">
        <v>269.89999999999998</v>
      </c>
      <c r="G37" s="1504">
        <v>273</v>
      </c>
      <c r="H37" s="1504" t="s">
        <v>1712</v>
      </c>
      <c r="I37" s="1504">
        <v>8</v>
      </c>
      <c r="J37" s="1504">
        <v>298.39999999999998</v>
      </c>
      <c r="K37" s="1504">
        <v>22.2</v>
      </c>
      <c r="L37" s="1504">
        <v>221.5</v>
      </c>
      <c r="M37" s="1504">
        <v>246</v>
      </c>
      <c r="N37" s="1508">
        <v>44</v>
      </c>
      <c r="O37" s="1362">
        <v>13.5</v>
      </c>
      <c r="P37" s="1609">
        <v>219.1</v>
      </c>
      <c r="Q37" s="1504">
        <v>102</v>
      </c>
      <c r="R37" s="1610">
        <v>18</v>
      </c>
      <c r="S37" s="1609">
        <v>222.2</v>
      </c>
      <c r="T37" s="1504">
        <v>44</v>
      </c>
      <c r="U37" s="1504">
        <v>13</v>
      </c>
      <c r="V37" s="1610">
        <v>13.5</v>
      </c>
      <c r="W37" s="1609">
        <v>44</v>
      </c>
      <c r="X37" s="1610">
        <v>13.5</v>
      </c>
      <c r="Y37" s="1611">
        <v>20</v>
      </c>
      <c r="Z37" s="1609" t="s">
        <v>1712</v>
      </c>
      <c r="AA37" s="1504" t="s">
        <v>1712</v>
      </c>
      <c r="AB37" s="1610" t="s">
        <v>1712</v>
      </c>
      <c r="AC37" s="1612">
        <f t="shared" si="0"/>
        <v>3.0710638985167026E-2</v>
      </c>
      <c r="AD37" s="1613">
        <f t="shared" si="1"/>
        <v>9.24013085255464E-2</v>
      </c>
      <c r="AE37" s="1613">
        <f t="shared" si="2"/>
        <v>5.059173685451198E-2</v>
      </c>
      <c r="AF37" s="1614">
        <f t="shared" si="3"/>
        <v>0.1737036843652254</v>
      </c>
      <c r="AG37" s="1615">
        <f t="shared" si="4"/>
        <v>3.0710638985167026E-2</v>
      </c>
      <c r="AH37" s="1613">
        <f t="shared" si="5"/>
        <v>9.24013085255464E-2</v>
      </c>
      <c r="AI37" s="1614">
        <f t="shared" si="6"/>
        <v>0.12311194751071343</v>
      </c>
      <c r="AV37" s="1616">
        <v>2.6440677966101696</v>
      </c>
      <c r="AW37" s="1616">
        <f t="shared" si="7"/>
        <v>47.593220338983052</v>
      </c>
      <c r="AX37" s="1616">
        <f t="shared" si="8"/>
        <v>0.45928431798262986</v>
      </c>
    </row>
    <row r="38" spans="1:50" x14ac:dyDescent="0.25">
      <c r="A38" s="1620" t="s">
        <v>3855</v>
      </c>
      <c r="B38" s="1504">
        <v>250</v>
      </c>
      <c r="C38" s="1505">
        <v>10</v>
      </c>
      <c r="D38" s="1506">
        <v>406</v>
      </c>
      <c r="E38" s="1504">
        <v>30.2</v>
      </c>
      <c r="F38" s="1504">
        <v>323.8</v>
      </c>
      <c r="G38" s="1504">
        <v>330.2</v>
      </c>
      <c r="H38" s="1504" t="s">
        <v>1712</v>
      </c>
      <c r="I38" s="1504">
        <v>12</v>
      </c>
      <c r="J38" s="1504">
        <v>362</v>
      </c>
      <c r="K38" s="1504">
        <v>25.4</v>
      </c>
      <c r="L38" s="1504">
        <v>276.39999999999998</v>
      </c>
      <c r="M38" s="1504">
        <v>305</v>
      </c>
      <c r="N38" s="1508">
        <v>49</v>
      </c>
      <c r="O38" s="1362">
        <v>19.5</v>
      </c>
      <c r="P38" s="1609">
        <v>273</v>
      </c>
      <c r="Q38" s="1504">
        <v>102</v>
      </c>
      <c r="R38" s="1610">
        <v>24</v>
      </c>
      <c r="S38" s="1609">
        <v>277.39999999999998</v>
      </c>
      <c r="T38" s="1504">
        <v>49</v>
      </c>
      <c r="U38" s="1504">
        <v>13</v>
      </c>
      <c r="V38" s="1610">
        <v>19.5</v>
      </c>
      <c r="W38" s="1609">
        <v>49</v>
      </c>
      <c r="X38" s="1610">
        <v>19.5</v>
      </c>
      <c r="Y38" s="1611">
        <v>32</v>
      </c>
      <c r="Z38" s="1609" t="s">
        <v>1712</v>
      </c>
      <c r="AA38" s="1504" t="s">
        <v>1712</v>
      </c>
      <c r="AB38" s="1610" t="s">
        <v>1712</v>
      </c>
      <c r="AC38" s="1612">
        <f t="shared" si="0"/>
        <v>3.8519695844195172E-2</v>
      </c>
      <c r="AD38" s="1613">
        <f t="shared" si="1"/>
        <v>0.12946189166178179</v>
      </c>
      <c r="AE38" s="1613">
        <f t="shared" si="2"/>
        <v>6.1579614240074972E-2</v>
      </c>
      <c r="AF38" s="1614">
        <f t="shared" si="3"/>
        <v>0.22956120174605193</v>
      </c>
      <c r="AG38" s="1615">
        <f t="shared" si="4"/>
        <v>3.8519695844195172E-2</v>
      </c>
      <c r="AH38" s="1613">
        <f t="shared" si="5"/>
        <v>0.12946189166178179</v>
      </c>
      <c r="AI38" s="1614">
        <f t="shared" si="6"/>
        <v>0.16798158750597697</v>
      </c>
      <c r="AV38" s="1616">
        <v>2.8855932203389827</v>
      </c>
      <c r="AW38" s="1616">
        <f t="shared" si="7"/>
        <v>69.254237288135585</v>
      </c>
      <c r="AX38" s="1616">
        <f t="shared" si="8"/>
        <v>0.66242024741127692</v>
      </c>
    </row>
    <row r="39" spans="1:50" x14ac:dyDescent="0.25">
      <c r="A39" s="1620" t="s">
        <v>3856</v>
      </c>
      <c r="B39" s="1504">
        <v>300</v>
      </c>
      <c r="C39" s="1505">
        <v>12</v>
      </c>
      <c r="D39" s="1506">
        <v>483</v>
      </c>
      <c r="E39" s="1504">
        <v>31.8</v>
      </c>
      <c r="F39" s="1504">
        <v>381</v>
      </c>
      <c r="G39" s="1504">
        <v>406.4</v>
      </c>
      <c r="H39" s="1504" t="s">
        <v>1712</v>
      </c>
      <c r="I39" s="1504">
        <v>12</v>
      </c>
      <c r="J39" s="1504">
        <v>431.8</v>
      </c>
      <c r="K39" s="1504">
        <v>25.4</v>
      </c>
      <c r="L39" s="1504">
        <v>327.2</v>
      </c>
      <c r="M39" s="1504">
        <v>365</v>
      </c>
      <c r="N39" s="1508">
        <v>56</v>
      </c>
      <c r="O39" s="1362">
        <v>29</v>
      </c>
      <c r="P39" s="1609">
        <v>323.89999999999998</v>
      </c>
      <c r="Q39" s="1504">
        <v>114</v>
      </c>
      <c r="R39" s="1610">
        <v>37</v>
      </c>
      <c r="S39" s="1609">
        <v>328.2</v>
      </c>
      <c r="T39" s="1504">
        <v>56</v>
      </c>
      <c r="U39" s="1504">
        <v>13</v>
      </c>
      <c r="V39" s="1610">
        <v>29</v>
      </c>
      <c r="W39" s="1609">
        <v>56</v>
      </c>
      <c r="X39" s="1610">
        <v>29</v>
      </c>
      <c r="Y39" s="1611">
        <v>40</v>
      </c>
      <c r="Z39" s="1609" t="s">
        <v>1712</v>
      </c>
      <c r="AA39" s="1504" t="s">
        <v>1712</v>
      </c>
      <c r="AB39" s="1610" t="s">
        <v>1712</v>
      </c>
      <c r="AC39" s="1612">
        <f t="shared" si="0"/>
        <v>4.825297820354707E-2</v>
      </c>
      <c r="AD39" s="1613">
        <f t="shared" si="1"/>
        <v>0.18322475214082731</v>
      </c>
      <c r="AE39" s="1613">
        <f t="shared" si="2"/>
        <v>8.3643584932913725E-2</v>
      </c>
      <c r="AF39" s="1614">
        <f t="shared" si="3"/>
        <v>0.31512131527728809</v>
      </c>
      <c r="AG39" s="1615">
        <f t="shared" si="4"/>
        <v>4.825297820354707E-2</v>
      </c>
      <c r="AH39" s="1613">
        <f t="shared" si="5"/>
        <v>0.18322475214082731</v>
      </c>
      <c r="AI39" s="1614">
        <f t="shared" si="6"/>
        <v>0.23147773034437438</v>
      </c>
      <c r="AV39" s="1616">
        <v>2.6887052341597797</v>
      </c>
      <c r="AW39" s="1616">
        <f t="shared" si="7"/>
        <v>99.482093663911854</v>
      </c>
      <c r="AX39" s="1616">
        <f t="shared" si="8"/>
        <v>0.84726832978135869</v>
      </c>
    </row>
    <row r="40" spans="1:50" x14ac:dyDescent="0.25">
      <c r="A40" s="1620" t="s">
        <v>3857</v>
      </c>
      <c r="B40" s="1504">
        <v>350</v>
      </c>
      <c r="C40" s="1505">
        <v>14</v>
      </c>
      <c r="D40" s="1506">
        <v>533</v>
      </c>
      <c r="E40" s="1504">
        <v>35</v>
      </c>
      <c r="F40" s="1504">
        <v>412.8</v>
      </c>
      <c r="G40" s="1504">
        <v>425.5</v>
      </c>
      <c r="H40" s="1504" t="s">
        <v>1712</v>
      </c>
      <c r="I40" s="1504">
        <v>12</v>
      </c>
      <c r="J40" s="1504">
        <v>476.2</v>
      </c>
      <c r="K40" s="1504">
        <v>28.5</v>
      </c>
      <c r="L40" s="1504">
        <v>359.2</v>
      </c>
      <c r="M40" s="1504">
        <v>400</v>
      </c>
      <c r="N40" s="1508">
        <v>57</v>
      </c>
      <c r="O40" s="1362">
        <v>39</v>
      </c>
      <c r="P40" s="1609">
        <v>355.6</v>
      </c>
      <c r="Q40" s="1504">
        <v>127</v>
      </c>
      <c r="R40" s="1610">
        <v>47</v>
      </c>
      <c r="S40" s="1609">
        <v>360.2</v>
      </c>
      <c r="T40" s="1504">
        <v>79</v>
      </c>
      <c r="U40" s="1504">
        <v>13</v>
      </c>
      <c r="V40" s="1610">
        <v>45</v>
      </c>
      <c r="W40" s="1609">
        <v>57</v>
      </c>
      <c r="X40" s="1610">
        <v>39</v>
      </c>
      <c r="Y40" s="1611">
        <v>59</v>
      </c>
      <c r="Z40" s="1609" t="s">
        <v>1712</v>
      </c>
      <c r="AA40" s="1504" t="s">
        <v>1712</v>
      </c>
      <c r="AB40" s="1610" t="s">
        <v>1712</v>
      </c>
      <c r="AC40" s="1612">
        <f t="shared" si="0"/>
        <v>5.860641095271759E-2</v>
      </c>
      <c r="AD40" s="1613">
        <f t="shared" si="1"/>
        <v>0.22312297884141769</v>
      </c>
      <c r="AE40" s="1613">
        <f t="shared" si="2"/>
        <v>0.10277783198072082</v>
      </c>
      <c r="AF40" s="1614">
        <f t="shared" si="3"/>
        <v>0.38450722177485608</v>
      </c>
      <c r="AG40" s="1615">
        <f t="shared" si="4"/>
        <v>5.860641095271759E-2</v>
      </c>
      <c r="AH40" s="1613">
        <f t="shared" si="5"/>
        <v>0.22312297884141769</v>
      </c>
      <c r="AI40" s="1614">
        <f t="shared" si="6"/>
        <v>0.28172938979413525</v>
      </c>
      <c r="AV40" s="1616">
        <v>2.1598272138228944</v>
      </c>
      <c r="AW40" s="1616">
        <f t="shared" si="7"/>
        <v>101.51187904967604</v>
      </c>
      <c r="AX40" s="1616">
        <f t="shared" si="8"/>
        <v>0.83046916150076922</v>
      </c>
    </row>
    <row r="41" spans="1:50" x14ac:dyDescent="0.25">
      <c r="A41" s="1620" t="s">
        <v>3858</v>
      </c>
      <c r="B41" s="1504">
        <v>400</v>
      </c>
      <c r="C41" s="1505">
        <v>16</v>
      </c>
      <c r="D41" s="1506">
        <v>597</v>
      </c>
      <c r="E41" s="1504">
        <v>36.6</v>
      </c>
      <c r="F41" s="1504">
        <v>469.9</v>
      </c>
      <c r="G41" s="1504">
        <v>482.6</v>
      </c>
      <c r="H41" s="1504" t="s">
        <v>1712</v>
      </c>
      <c r="I41" s="1504">
        <v>16</v>
      </c>
      <c r="J41" s="1504">
        <v>539.79999999999995</v>
      </c>
      <c r="K41" s="1504">
        <v>28.5</v>
      </c>
      <c r="L41" s="1504">
        <v>410.5</v>
      </c>
      <c r="M41" s="1504">
        <v>457</v>
      </c>
      <c r="N41" s="1508">
        <v>63</v>
      </c>
      <c r="O41" s="1362">
        <v>47</v>
      </c>
      <c r="P41" s="1609">
        <v>406.4</v>
      </c>
      <c r="Q41" s="1504">
        <v>127</v>
      </c>
      <c r="R41" s="1610">
        <v>58</v>
      </c>
      <c r="S41" s="1609">
        <v>411.2</v>
      </c>
      <c r="T41" s="1504">
        <v>87</v>
      </c>
      <c r="U41" s="1504">
        <v>13</v>
      </c>
      <c r="V41" s="1610">
        <v>58</v>
      </c>
      <c r="W41" s="1609">
        <v>64</v>
      </c>
      <c r="X41" s="1610">
        <v>47</v>
      </c>
      <c r="Y41" s="1611">
        <v>77</v>
      </c>
      <c r="Z41" s="1609" t="s">
        <v>1712</v>
      </c>
      <c r="AA41" s="1504" t="s">
        <v>1712</v>
      </c>
      <c r="AB41" s="1610" t="s">
        <v>1712</v>
      </c>
      <c r="AC41" s="1612">
        <f t="shared" si="0"/>
        <v>6.8644427799467694E-2</v>
      </c>
      <c r="AD41" s="1613">
        <f t="shared" si="1"/>
        <v>0.27992297401832111</v>
      </c>
      <c r="AE41" s="1613">
        <f t="shared" si="2"/>
        <v>0.11541759019946783</v>
      </c>
      <c r="AF41" s="1614">
        <f t="shared" si="3"/>
        <v>0.46398499201725663</v>
      </c>
      <c r="AG41" s="1615">
        <f t="shared" si="4"/>
        <v>6.8644427799467694E-2</v>
      </c>
      <c r="AH41" s="1613">
        <f t="shared" si="5"/>
        <v>0.27992297401832111</v>
      </c>
      <c r="AI41" s="1614">
        <f t="shared" si="6"/>
        <v>0.34856740181778878</v>
      </c>
      <c r="AV41" s="1616">
        <v>1.9930675909878681</v>
      </c>
      <c r="AW41" s="1616">
        <f t="shared" si="7"/>
        <v>115.59792027729635</v>
      </c>
      <c r="AX41" s="1616">
        <f t="shared" si="8"/>
        <v>0.92475345029435885</v>
      </c>
    </row>
    <row r="42" spans="1:50" x14ac:dyDescent="0.25">
      <c r="A42" s="1620" t="s">
        <v>3859</v>
      </c>
      <c r="B42" s="1504">
        <v>450</v>
      </c>
      <c r="C42" s="1505">
        <v>18</v>
      </c>
      <c r="D42" s="1506">
        <v>635</v>
      </c>
      <c r="E42" s="1504">
        <v>39.700000000000003</v>
      </c>
      <c r="F42" s="1504">
        <v>533.4</v>
      </c>
      <c r="G42" s="1504">
        <v>546.1</v>
      </c>
      <c r="H42" s="1504" t="s">
        <v>1712</v>
      </c>
      <c r="I42" s="1504">
        <v>16</v>
      </c>
      <c r="J42" s="1504">
        <v>577.79999999999995</v>
      </c>
      <c r="K42" s="1504">
        <v>31.8</v>
      </c>
      <c r="L42" s="1504">
        <v>461.8</v>
      </c>
      <c r="M42" s="1504">
        <v>505</v>
      </c>
      <c r="N42" s="1508">
        <v>68</v>
      </c>
      <c r="O42" s="1362">
        <v>54</v>
      </c>
      <c r="P42" s="1609">
        <v>457</v>
      </c>
      <c r="Q42" s="1504">
        <v>140</v>
      </c>
      <c r="R42" s="1610">
        <v>64</v>
      </c>
      <c r="S42" s="1609">
        <v>462.3</v>
      </c>
      <c r="T42" s="1504">
        <v>97</v>
      </c>
      <c r="U42" s="1504">
        <v>13</v>
      </c>
      <c r="V42" s="1610">
        <v>66</v>
      </c>
      <c r="W42" s="1609">
        <v>68</v>
      </c>
      <c r="X42" s="1610">
        <v>54</v>
      </c>
      <c r="Y42" s="1611">
        <v>95</v>
      </c>
      <c r="Z42" s="1609" t="s">
        <v>1712</v>
      </c>
      <c r="AA42" s="1504" t="s">
        <v>1712</v>
      </c>
      <c r="AB42" s="1610" t="s">
        <v>1712</v>
      </c>
      <c r="AC42" s="1612">
        <f t="shared" si="0"/>
        <v>7.919798000067188E-2</v>
      </c>
      <c r="AD42" s="1613">
        <f t="shared" si="1"/>
        <v>0.31669217443593611</v>
      </c>
      <c r="AE42" s="1613">
        <f t="shared" si="2"/>
        <v>0.14400149662186071</v>
      </c>
      <c r="AF42" s="1614">
        <f t="shared" si="3"/>
        <v>0.5398916510584687</v>
      </c>
      <c r="AG42" s="1615">
        <f t="shared" si="4"/>
        <v>7.919798000067188E-2</v>
      </c>
      <c r="AH42" s="1613">
        <f t="shared" si="5"/>
        <v>0.31669217443593611</v>
      </c>
      <c r="AI42" s="1614">
        <f t="shared" si="6"/>
        <v>0.39589015443660802</v>
      </c>
      <c r="AV42" s="1616">
        <v>1.9811320754716981</v>
      </c>
      <c r="AW42" s="1616">
        <f t="shared" si="7"/>
        <v>126.79245283018868</v>
      </c>
      <c r="AX42" s="1616">
        <f t="shared" si="8"/>
        <v>1.069596667191306</v>
      </c>
    </row>
    <row r="43" spans="1:50" x14ac:dyDescent="0.25">
      <c r="A43" s="1620" t="s">
        <v>3860</v>
      </c>
      <c r="B43" s="1504">
        <v>500</v>
      </c>
      <c r="C43" s="1505">
        <v>20</v>
      </c>
      <c r="D43" s="1506">
        <v>698</v>
      </c>
      <c r="E43" s="1504">
        <v>42.9</v>
      </c>
      <c r="F43" s="1504">
        <v>584.20000000000005</v>
      </c>
      <c r="G43" s="1504">
        <v>596.9</v>
      </c>
      <c r="H43" s="1504" t="s">
        <v>1712</v>
      </c>
      <c r="I43" s="1504">
        <v>20</v>
      </c>
      <c r="J43" s="1504">
        <v>635</v>
      </c>
      <c r="K43" s="1504">
        <v>31.8</v>
      </c>
      <c r="L43" s="1504">
        <v>513.1</v>
      </c>
      <c r="M43" s="1504">
        <v>559</v>
      </c>
      <c r="N43" s="1508">
        <v>73</v>
      </c>
      <c r="O43" s="1362">
        <v>70</v>
      </c>
      <c r="P43" s="1609">
        <v>508</v>
      </c>
      <c r="Q43" s="1504">
        <v>144</v>
      </c>
      <c r="R43" s="1610">
        <v>77</v>
      </c>
      <c r="S43" s="1609">
        <v>514.4</v>
      </c>
      <c r="T43" s="1504">
        <v>103</v>
      </c>
      <c r="U43" s="1504">
        <v>13</v>
      </c>
      <c r="V43" s="1610">
        <v>84</v>
      </c>
      <c r="W43" s="1609">
        <v>73</v>
      </c>
      <c r="X43" s="1610">
        <v>70</v>
      </c>
      <c r="Y43" s="1611">
        <v>123</v>
      </c>
      <c r="Z43" s="1609" t="s">
        <v>1712</v>
      </c>
      <c r="AA43" s="1504" t="s">
        <v>1712</v>
      </c>
      <c r="AB43" s="1610" t="s">
        <v>1712</v>
      </c>
      <c r="AC43" s="1612">
        <f t="shared" si="0"/>
        <v>9.4072478737623491E-2</v>
      </c>
      <c r="AD43" s="1613">
        <f t="shared" si="1"/>
        <v>0.38264912679989038</v>
      </c>
      <c r="AE43" s="1613">
        <f t="shared" si="2"/>
        <v>0.16134842877718744</v>
      </c>
      <c r="AF43" s="1614">
        <f t="shared" si="3"/>
        <v>0.63807003431470133</v>
      </c>
      <c r="AG43" s="1615">
        <f t="shared" si="4"/>
        <v>9.4072478737623491E-2</v>
      </c>
      <c r="AH43" s="1613">
        <f t="shared" si="5"/>
        <v>0.38264912679989038</v>
      </c>
      <c r="AI43" s="1614">
        <f t="shared" si="6"/>
        <v>0.47672160553751386</v>
      </c>
      <c r="AV43" s="1616">
        <v>1.9041450777202071</v>
      </c>
      <c r="AW43" s="1616">
        <f t="shared" si="7"/>
        <v>146.61917098445596</v>
      </c>
      <c r="AX43" s="1616">
        <f t="shared" si="8"/>
        <v>1.2149779150811022</v>
      </c>
    </row>
    <row r="44" spans="1:50" ht="13.2" thickBot="1" x14ac:dyDescent="0.3">
      <c r="A44" s="1600" t="s">
        <v>3861</v>
      </c>
      <c r="B44" s="1601">
        <v>600</v>
      </c>
      <c r="C44" s="1602">
        <v>24</v>
      </c>
      <c r="D44" s="1603">
        <v>813</v>
      </c>
      <c r="E44" s="1601">
        <v>47.7</v>
      </c>
      <c r="F44" s="1601">
        <v>692.2</v>
      </c>
      <c r="G44" s="1601">
        <v>711.2</v>
      </c>
      <c r="H44" s="1601" t="s">
        <v>1712</v>
      </c>
      <c r="I44" s="1601">
        <v>20</v>
      </c>
      <c r="J44" s="1601">
        <v>749.3</v>
      </c>
      <c r="K44" s="1601">
        <v>35</v>
      </c>
      <c r="L44" s="1601">
        <v>616</v>
      </c>
      <c r="M44" s="1601">
        <v>664</v>
      </c>
      <c r="N44" s="1604">
        <v>83</v>
      </c>
      <c r="O44" s="1621">
        <v>95</v>
      </c>
      <c r="P44" s="168">
        <v>610</v>
      </c>
      <c r="Q44" s="166">
        <v>152</v>
      </c>
      <c r="R44" s="169">
        <v>118</v>
      </c>
      <c r="S44" s="168">
        <v>616</v>
      </c>
      <c r="T44" s="166">
        <v>111</v>
      </c>
      <c r="U44" s="166">
        <v>13</v>
      </c>
      <c r="V44" s="169">
        <v>118</v>
      </c>
      <c r="W44" s="168">
        <v>83</v>
      </c>
      <c r="X44" s="169">
        <v>95</v>
      </c>
      <c r="Y44" s="170">
        <v>186</v>
      </c>
      <c r="Z44" s="168" t="s">
        <v>1712</v>
      </c>
      <c r="AA44" s="166" t="s">
        <v>1712</v>
      </c>
      <c r="AB44" s="169" t="s">
        <v>1712</v>
      </c>
      <c r="AC44" s="178">
        <f t="shared" si="0"/>
        <v>0.12183127726547753</v>
      </c>
      <c r="AD44" s="179">
        <f t="shared" si="1"/>
        <v>0.519123838662648</v>
      </c>
      <c r="AE44" s="179">
        <f t="shared" si="2"/>
        <v>0.19987754939934341</v>
      </c>
      <c r="AF44" s="180">
        <f t="shared" si="3"/>
        <v>0.84083266532746892</v>
      </c>
      <c r="AG44" s="1622">
        <f t="shared" si="4"/>
        <v>0.12183127726547753</v>
      </c>
      <c r="AH44" s="1623">
        <f t="shared" si="5"/>
        <v>0.519123838662648</v>
      </c>
      <c r="AI44" s="1624">
        <f t="shared" si="6"/>
        <v>0.64095511592812549</v>
      </c>
      <c r="AV44" s="593">
        <v>1.6864406779661016</v>
      </c>
      <c r="AW44" s="593">
        <f t="shared" si="7"/>
        <v>199</v>
      </c>
      <c r="AX44" s="593">
        <f t="shared" si="8"/>
        <v>1.4180144101709009</v>
      </c>
    </row>
    <row r="45" spans="1:50" ht="13.2" hidden="1" outlineLevel="1" thickBot="1" x14ac:dyDescent="0.3">
      <c r="A45" s="182"/>
      <c r="B45" s="183"/>
      <c r="C45" s="184"/>
      <c r="D45" s="183"/>
      <c r="E45" s="183"/>
      <c r="F45" s="183"/>
      <c r="G45" s="183"/>
      <c r="H45" s="183"/>
      <c r="I45" s="183"/>
      <c r="J45" s="183"/>
      <c r="K45" s="183"/>
      <c r="L45" s="183"/>
      <c r="M45" s="183"/>
      <c r="N45" s="183"/>
      <c r="O45" s="183"/>
      <c r="P45" s="183"/>
      <c r="Q45" s="183"/>
      <c r="R45" s="183"/>
      <c r="S45" s="183"/>
      <c r="T45" s="183"/>
      <c r="U45" s="183"/>
      <c r="V45" s="183"/>
      <c r="W45" s="183"/>
      <c r="X45" s="183"/>
      <c r="Y45" s="183"/>
      <c r="Z45" s="183"/>
      <c r="AA45" s="183"/>
      <c r="AB45" s="183"/>
      <c r="AC45" s="183"/>
      <c r="AD45" s="183"/>
      <c r="AE45" s="183"/>
      <c r="AF45" s="183"/>
      <c r="AG45" s="183"/>
      <c r="AH45" s="183"/>
      <c r="AI45" s="185"/>
      <c r="AV45" s="594" t="e">
        <v>#N/A</v>
      </c>
      <c r="AW45" s="594"/>
      <c r="AX45" s="594"/>
    </row>
    <row r="46" spans="1:50" ht="13.2" hidden="1" outlineLevel="1" thickBot="1" x14ac:dyDescent="0.3">
      <c r="A46" s="141"/>
      <c r="B46" s="142"/>
      <c r="C46" s="143"/>
      <c r="D46" s="142"/>
      <c r="E46" s="142"/>
      <c r="F46" s="142"/>
      <c r="G46" s="142"/>
      <c r="H46" s="142"/>
      <c r="I46" s="142"/>
      <c r="J46" s="142"/>
      <c r="K46" s="142"/>
      <c r="L46" s="142"/>
      <c r="M46" s="142"/>
      <c r="N46" s="142"/>
      <c r="O46" s="142"/>
      <c r="P46" s="142"/>
      <c r="Q46" s="142"/>
      <c r="R46" s="142"/>
      <c r="S46" s="142"/>
      <c r="T46" s="142"/>
      <c r="U46" s="142"/>
      <c r="V46" s="142"/>
      <c r="W46" s="142"/>
      <c r="X46" s="142"/>
      <c r="Y46" s="142"/>
      <c r="Z46" s="142"/>
      <c r="AA46" s="142"/>
      <c r="AB46" s="142"/>
      <c r="AC46" s="142"/>
      <c r="AD46" s="142"/>
      <c r="AE46" s="142"/>
      <c r="AF46" s="142"/>
      <c r="AG46" s="142"/>
      <c r="AH46" s="142"/>
      <c r="AI46" s="144"/>
      <c r="AV46" s="589" t="e">
        <v>#N/A</v>
      </c>
      <c r="AW46" s="589"/>
      <c r="AX46" s="589"/>
    </row>
    <row r="47" spans="1:50" ht="13.2" hidden="1" outlineLevel="1" thickBot="1" x14ac:dyDescent="0.3">
      <c r="A47" s="141"/>
      <c r="B47" s="142"/>
      <c r="C47" s="143"/>
      <c r="D47" s="142"/>
      <c r="E47" s="142"/>
      <c r="F47" s="142"/>
      <c r="G47" s="142"/>
      <c r="H47" s="142"/>
      <c r="I47" s="142"/>
      <c r="J47" s="142"/>
      <c r="K47" s="142"/>
      <c r="L47" s="142"/>
      <c r="M47" s="142"/>
      <c r="N47" s="142"/>
      <c r="O47" s="142"/>
      <c r="P47" s="142"/>
      <c r="Q47" s="142"/>
      <c r="R47" s="142"/>
      <c r="S47" s="142"/>
      <c r="T47" s="142"/>
      <c r="U47" s="142"/>
      <c r="V47" s="142"/>
      <c r="W47" s="142"/>
      <c r="X47" s="142"/>
      <c r="Y47" s="142"/>
      <c r="Z47" s="142"/>
      <c r="AA47" s="142"/>
      <c r="AB47" s="142"/>
      <c r="AC47" s="142"/>
      <c r="AD47" s="142"/>
      <c r="AE47" s="142"/>
      <c r="AF47" s="142"/>
      <c r="AG47" s="142"/>
      <c r="AH47" s="142"/>
      <c r="AI47" s="144"/>
      <c r="AV47" s="589" t="e">
        <v>#N/A</v>
      </c>
      <c r="AW47" s="589"/>
      <c r="AX47" s="589"/>
    </row>
    <row r="48" spans="1:50" ht="13.2" hidden="1" outlineLevel="1" thickBot="1" x14ac:dyDescent="0.3">
      <c r="A48" s="141"/>
      <c r="B48" s="142"/>
      <c r="C48" s="143"/>
      <c r="D48" s="142"/>
      <c r="E48" s="142"/>
      <c r="F48" s="142"/>
      <c r="G48" s="142"/>
      <c r="H48" s="142"/>
      <c r="I48" s="142"/>
      <c r="J48" s="142"/>
      <c r="K48" s="142"/>
      <c r="L48" s="142"/>
      <c r="M48" s="142"/>
      <c r="N48" s="142"/>
      <c r="O48" s="142"/>
      <c r="P48" s="142"/>
      <c r="Q48" s="142"/>
      <c r="R48" s="142"/>
      <c r="S48" s="142"/>
      <c r="T48" s="142"/>
      <c r="U48" s="142"/>
      <c r="V48" s="142"/>
      <c r="W48" s="142"/>
      <c r="X48" s="142"/>
      <c r="Y48" s="142"/>
      <c r="Z48" s="142"/>
      <c r="AA48" s="142"/>
      <c r="AB48" s="142"/>
      <c r="AC48" s="142"/>
      <c r="AD48" s="142"/>
      <c r="AE48" s="142"/>
      <c r="AF48" s="142"/>
      <c r="AG48" s="142"/>
      <c r="AH48" s="142"/>
      <c r="AI48" s="144"/>
      <c r="AV48" s="589" t="e">
        <v>#N/A</v>
      </c>
      <c r="AW48" s="589"/>
      <c r="AX48" s="589"/>
    </row>
    <row r="49" spans="1:50" ht="13.2" hidden="1" outlineLevel="1" thickBot="1" x14ac:dyDescent="0.3">
      <c r="A49" s="141"/>
      <c r="B49" s="142"/>
      <c r="C49" s="143"/>
      <c r="D49" s="142"/>
      <c r="E49" s="142"/>
      <c r="F49" s="142"/>
      <c r="G49" s="142"/>
      <c r="H49" s="142"/>
      <c r="I49" s="142"/>
      <c r="J49" s="142"/>
      <c r="K49" s="142"/>
      <c r="L49" s="142"/>
      <c r="M49" s="142"/>
      <c r="N49" s="142"/>
      <c r="O49" s="142"/>
      <c r="P49" s="142"/>
      <c r="Q49" s="142"/>
      <c r="R49" s="142"/>
      <c r="S49" s="142"/>
      <c r="T49" s="142"/>
      <c r="U49" s="142"/>
      <c r="V49" s="142"/>
      <c r="W49" s="142"/>
      <c r="X49" s="142"/>
      <c r="Y49" s="142"/>
      <c r="Z49" s="142"/>
      <c r="AA49" s="142"/>
      <c r="AB49" s="142"/>
      <c r="AC49" s="142"/>
      <c r="AD49" s="142"/>
      <c r="AE49" s="142"/>
      <c r="AF49" s="142"/>
      <c r="AG49" s="142"/>
      <c r="AH49" s="142"/>
      <c r="AI49" s="144"/>
      <c r="AV49" s="589" t="e">
        <v>#N/A</v>
      </c>
      <c r="AW49" s="589"/>
      <c r="AX49" s="589"/>
    </row>
    <row r="50" spans="1:50" ht="13.2" hidden="1" outlineLevel="1" thickBot="1" x14ac:dyDescent="0.3">
      <c r="A50" s="141"/>
      <c r="B50" s="142"/>
      <c r="C50" s="143"/>
      <c r="D50" s="142"/>
      <c r="E50" s="142"/>
      <c r="F50" s="142"/>
      <c r="G50" s="142"/>
      <c r="H50" s="142"/>
      <c r="I50" s="142"/>
      <c r="J50" s="142"/>
      <c r="K50" s="142"/>
      <c r="L50" s="142"/>
      <c r="M50" s="142"/>
      <c r="N50" s="142"/>
      <c r="O50" s="142"/>
      <c r="P50" s="142"/>
      <c r="Q50" s="142"/>
      <c r="R50" s="142"/>
      <c r="S50" s="142"/>
      <c r="T50" s="142"/>
      <c r="U50" s="142"/>
      <c r="V50" s="142"/>
      <c r="W50" s="142"/>
      <c r="X50" s="142"/>
      <c r="Y50" s="142"/>
      <c r="Z50" s="142"/>
      <c r="AA50" s="142"/>
      <c r="AB50" s="142"/>
      <c r="AC50" s="142"/>
      <c r="AD50" s="142"/>
      <c r="AE50" s="142"/>
      <c r="AF50" s="142"/>
      <c r="AG50" s="142"/>
      <c r="AH50" s="142"/>
      <c r="AI50" s="144"/>
      <c r="AV50" s="589" t="e">
        <v>#N/A</v>
      </c>
      <c r="AW50" s="589"/>
      <c r="AX50" s="589"/>
    </row>
    <row r="51" spans="1:50" ht="13.2" hidden="1" outlineLevel="1" thickBot="1" x14ac:dyDescent="0.3">
      <c r="A51" s="141"/>
      <c r="B51" s="142"/>
      <c r="C51" s="143"/>
      <c r="D51" s="142"/>
      <c r="E51" s="142"/>
      <c r="F51" s="142"/>
      <c r="G51" s="142"/>
      <c r="H51" s="142"/>
      <c r="I51" s="142"/>
      <c r="J51" s="142"/>
      <c r="K51" s="142"/>
      <c r="L51" s="142"/>
      <c r="M51" s="142"/>
      <c r="N51" s="142"/>
      <c r="O51" s="142"/>
      <c r="P51" s="142"/>
      <c r="Q51" s="142"/>
      <c r="R51" s="142"/>
      <c r="S51" s="142"/>
      <c r="T51" s="142"/>
      <c r="U51" s="142"/>
      <c r="V51" s="142"/>
      <c r="W51" s="142"/>
      <c r="X51" s="142"/>
      <c r="Y51" s="142"/>
      <c r="Z51" s="142"/>
      <c r="AA51" s="142"/>
      <c r="AB51" s="142"/>
      <c r="AC51" s="142"/>
      <c r="AD51" s="142"/>
      <c r="AE51" s="142"/>
      <c r="AF51" s="142"/>
      <c r="AG51" s="142"/>
      <c r="AH51" s="142"/>
      <c r="AI51" s="144"/>
      <c r="AV51" s="589" t="e">
        <v>#N/A</v>
      </c>
      <c r="AW51" s="589"/>
      <c r="AX51" s="589"/>
    </row>
    <row r="52" spans="1:50" ht="13.2" hidden="1" outlineLevel="1" thickBot="1" x14ac:dyDescent="0.3">
      <c r="A52" s="141"/>
      <c r="B52" s="142"/>
      <c r="C52" s="143"/>
      <c r="D52" s="142"/>
      <c r="E52" s="142"/>
      <c r="F52" s="142"/>
      <c r="G52" s="142"/>
      <c r="H52" s="142"/>
      <c r="I52" s="142"/>
      <c r="J52" s="142"/>
      <c r="K52" s="142"/>
      <c r="L52" s="142"/>
      <c r="M52" s="142"/>
      <c r="N52" s="142"/>
      <c r="O52" s="142"/>
      <c r="P52" s="142"/>
      <c r="Q52" s="142"/>
      <c r="R52" s="142"/>
      <c r="S52" s="142"/>
      <c r="T52" s="142"/>
      <c r="U52" s="142"/>
      <c r="V52" s="142"/>
      <c r="W52" s="142"/>
      <c r="X52" s="142"/>
      <c r="Y52" s="142"/>
      <c r="Z52" s="142"/>
      <c r="AA52" s="142"/>
      <c r="AB52" s="142"/>
      <c r="AC52" s="142"/>
      <c r="AD52" s="142"/>
      <c r="AE52" s="142"/>
      <c r="AF52" s="142"/>
      <c r="AG52" s="142"/>
      <c r="AH52" s="142"/>
      <c r="AI52" s="144"/>
      <c r="AV52" s="589" t="e">
        <v>#N/A</v>
      </c>
      <c r="AW52" s="589"/>
      <c r="AX52" s="589"/>
    </row>
    <row r="53" spans="1:50" ht="13.2" hidden="1" outlineLevel="1" thickBot="1" x14ac:dyDescent="0.3">
      <c r="A53" s="141"/>
      <c r="B53" s="142"/>
      <c r="C53" s="143"/>
      <c r="D53" s="142"/>
      <c r="E53" s="142"/>
      <c r="F53" s="142"/>
      <c r="G53" s="142"/>
      <c r="H53" s="142"/>
      <c r="I53" s="142"/>
      <c r="J53" s="142"/>
      <c r="K53" s="142"/>
      <c r="L53" s="142"/>
      <c r="M53" s="142"/>
      <c r="N53" s="142"/>
      <c r="O53" s="142"/>
      <c r="P53" s="142"/>
      <c r="Q53" s="142"/>
      <c r="R53" s="142"/>
      <c r="S53" s="142"/>
      <c r="T53" s="142"/>
      <c r="U53" s="142"/>
      <c r="V53" s="142"/>
      <c r="W53" s="142"/>
      <c r="X53" s="142"/>
      <c r="Y53" s="142"/>
      <c r="Z53" s="142"/>
      <c r="AA53" s="142"/>
      <c r="AB53" s="142"/>
      <c r="AC53" s="142"/>
      <c r="AD53" s="142"/>
      <c r="AE53" s="142"/>
      <c r="AF53" s="142"/>
      <c r="AG53" s="142"/>
      <c r="AH53" s="142"/>
      <c r="AI53" s="144"/>
      <c r="AV53" s="589" t="e">
        <v>#N/A</v>
      </c>
      <c r="AW53" s="589"/>
      <c r="AX53" s="589"/>
    </row>
    <row r="54" spans="1:50" ht="13.2" hidden="1" outlineLevel="1" thickBot="1" x14ac:dyDescent="0.3">
      <c r="A54" s="141"/>
      <c r="B54" s="142"/>
      <c r="C54" s="143"/>
      <c r="D54" s="142"/>
      <c r="E54" s="142"/>
      <c r="F54" s="142"/>
      <c r="G54" s="142"/>
      <c r="H54" s="142"/>
      <c r="I54" s="142"/>
      <c r="J54" s="142"/>
      <c r="K54" s="142"/>
      <c r="L54" s="142"/>
      <c r="M54" s="142"/>
      <c r="N54" s="142"/>
      <c r="O54" s="142"/>
      <c r="P54" s="142"/>
      <c r="Q54" s="142"/>
      <c r="R54" s="142"/>
      <c r="S54" s="142"/>
      <c r="T54" s="142"/>
      <c r="U54" s="142"/>
      <c r="V54" s="142"/>
      <c r="W54" s="142"/>
      <c r="X54" s="142"/>
      <c r="Y54" s="142"/>
      <c r="Z54" s="142"/>
      <c r="AA54" s="142"/>
      <c r="AB54" s="142"/>
      <c r="AC54" s="142"/>
      <c r="AD54" s="142"/>
      <c r="AE54" s="142"/>
      <c r="AF54" s="142"/>
      <c r="AG54" s="142"/>
      <c r="AH54" s="142"/>
      <c r="AI54" s="144"/>
      <c r="AV54" s="589" t="e">
        <v>#N/A</v>
      </c>
      <c r="AW54" s="589"/>
      <c r="AX54" s="589"/>
    </row>
    <row r="55" spans="1:50" ht="13.2" hidden="1" outlineLevel="1" thickBot="1" x14ac:dyDescent="0.3">
      <c r="A55" s="141"/>
      <c r="B55" s="142"/>
      <c r="C55" s="143"/>
      <c r="D55" s="142"/>
      <c r="E55" s="142"/>
      <c r="F55" s="142"/>
      <c r="G55" s="142"/>
      <c r="H55" s="142"/>
      <c r="I55" s="142"/>
      <c r="J55" s="142"/>
      <c r="K55" s="142"/>
      <c r="L55" s="142"/>
      <c r="M55" s="142"/>
      <c r="N55" s="142"/>
      <c r="O55" s="142"/>
      <c r="P55" s="142"/>
      <c r="Q55" s="142"/>
      <c r="R55" s="142"/>
      <c r="S55" s="142"/>
      <c r="T55" s="142"/>
      <c r="U55" s="142"/>
      <c r="V55" s="142"/>
      <c r="W55" s="142"/>
      <c r="X55" s="142"/>
      <c r="Y55" s="142"/>
      <c r="Z55" s="142"/>
      <c r="AA55" s="142"/>
      <c r="AB55" s="142"/>
      <c r="AC55" s="142"/>
      <c r="AD55" s="142"/>
      <c r="AE55" s="142"/>
      <c r="AF55" s="142"/>
      <c r="AG55" s="142"/>
      <c r="AH55" s="142"/>
      <c r="AI55" s="144"/>
      <c r="AV55" s="589" t="e">
        <v>#N/A</v>
      </c>
      <c r="AW55" s="589"/>
      <c r="AX55" s="589"/>
    </row>
    <row r="56" spans="1:50" ht="13.2" hidden="1" outlineLevel="1" thickBot="1" x14ac:dyDescent="0.3">
      <c r="A56" s="141"/>
      <c r="B56" s="142"/>
      <c r="C56" s="143"/>
      <c r="D56" s="142"/>
      <c r="E56" s="142"/>
      <c r="F56" s="142"/>
      <c r="G56" s="142"/>
      <c r="H56" s="142"/>
      <c r="I56" s="142"/>
      <c r="J56" s="142"/>
      <c r="K56" s="142"/>
      <c r="L56" s="142"/>
      <c r="M56" s="142"/>
      <c r="N56" s="142"/>
      <c r="O56" s="142"/>
      <c r="P56" s="142"/>
      <c r="Q56" s="142"/>
      <c r="R56" s="142"/>
      <c r="S56" s="142"/>
      <c r="T56" s="142"/>
      <c r="U56" s="142"/>
      <c r="V56" s="142"/>
      <c r="W56" s="142"/>
      <c r="X56" s="142"/>
      <c r="Y56" s="142"/>
      <c r="Z56" s="142"/>
      <c r="AA56" s="142"/>
      <c r="AB56" s="142"/>
      <c r="AC56" s="142"/>
      <c r="AD56" s="142"/>
      <c r="AE56" s="142"/>
      <c r="AF56" s="142"/>
      <c r="AG56" s="142"/>
      <c r="AH56" s="142"/>
      <c r="AI56" s="144"/>
      <c r="AV56" s="589" t="e">
        <v>#N/A</v>
      </c>
      <c r="AW56" s="589"/>
      <c r="AX56" s="589"/>
    </row>
    <row r="57" spans="1:50" ht="13.2" hidden="1" outlineLevel="1" thickBot="1" x14ac:dyDescent="0.3">
      <c r="A57" s="141"/>
      <c r="B57" s="142"/>
      <c r="C57" s="143"/>
      <c r="D57" s="142"/>
      <c r="E57" s="142"/>
      <c r="F57" s="142"/>
      <c r="G57" s="142"/>
      <c r="H57" s="142"/>
      <c r="I57" s="142"/>
      <c r="J57" s="142"/>
      <c r="K57" s="142"/>
      <c r="L57" s="142"/>
      <c r="M57" s="142"/>
      <c r="N57" s="142"/>
      <c r="O57" s="142"/>
      <c r="P57" s="142"/>
      <c r="Q57" s="142"/>
      <c r="R57" s="142"/>
      <c r="S57" s="142"/>
      <c r="T57" s="142"/>
      <c r="U57" s="142"/>
      <c r="V57" s="142"/>
      <c r="W57" s="142"/>
      <c r="X57" s="142"/>
      <c r="Y57" s="142"/>
      <c r="Z57" s="142"/>
      <c r="AA57" s="142"/>
      <c r="AB57" s="142"/>
      <c r="AC57" s="142"/>
      <c r="AD57" s="142"/>
      <c r="AE57" s="142"/>
      <c r="AF57" s="142"/>
      <c r="AG57" s="142"/>
      <c r="AH57" s="142"/>
      <c r="AI57" s="144"/>
      <c r="AV57" s="589" t="e">
        <v>#N/A</v>
      </c>
      <c r="AW57" s="589"/>
      <c r="AX57" s="589"/>
    </row>
    <row r="58" spans="1:50" ht="13.2" hidden="1" outlineLevel="1" thickBot="1" x14ac:dyDescent="0.3">
      <c r="A58" s="141"/>
      <c r="B58" s="142"/>
      <c r="C58" s="143"/>
      <c r="D58" s="142"/>
      <c r="E58" s="142"/>
      <c r="F58" s="142"/>
      <c r="G58" s="142"/>
      <c r="H58" s="142"/>
      <c r="I58" s="142"/>
      <c r="J58" s="142"/>
      <c r="K58" s="142"/>
      <c r="L58" s="142"/>
      <c r="M58" s="142"/>
      <c r="N58" s="142"/>
      <c r="O58" s="142"/>
      <c r="P58" s="142"/>
      <c r="Q58" s="142"/>
      <c r="R58" s="142"/>
      <c r="S58" s="142"/>
      <c r="T58" s="142"/>
      <c r="U58" s="142"/>
      <c r="V58" s="142"/>
      <c r="W58" s="142"/>
      <c r="X58" s="142"/>
      <c r="Y58" s="142"/>
      <c r="Z58" s="142"/>
      <c r="AA58" s="142"/>
      <c r="AB58" s="142"/>
      <c r="AC58" s="142"/>
      <c r="AD58" s="142"/>
      <c r="AE58" s="142"/>
      <c r="AF58" s="142"/>
      <c r="AG58" s="142"/>
      <c r="AH58" s="142"/>
      <c r="AI58" s="144"/>
      <c r="AV58" s="589" t="e">
        <v>#N/A</v>
      </c>
      <c r="AW58" s="589"/>
      <c r="AX58" s="589"/>
    </row>
    <row r="59" spans="1:50" ht="13.2" hidden="1" outlineLevel="1" thickBot="1" x14ac:dyDescent="0.3">
      <c r="A59" s="141"/>
      <c r="B59" s="142"/>
      <c r="C59" s="143"/>
      <c r="D59" s="142"/>
      <c r="E59" s="142"/>
      <c r="F59" s="142"/>
      <c r="G59" s="142"/>
      <c r="H59" s="142"/>
      <c r="I59" s="142"/>
      <c r="J59" s="142"/>
      <c r="K59" s="142"/>
      <c r="L59" s="142"/>
      <c r="M59" s="142"/>
      <c r="N59" s="142"/>
      <c r="O59" s="142"/>
      <c r="P59" s="142"/>
      <c r="Q59" s="142"/>
      <c r="R59" s="142"/>
      <c r="S59" s="142"/>
      <c r="T59" s="142"/>
      <c r="U59" s="142"/>
      <c r="V59" s="142"/>
      <c r="W59" s="142"/>
      <c r="X59" s="142"/>
      <c r="Y59" s="142"/>
      <c r="Z59" s="142"/>
      <c r="AA59" s="142"/>
      <c r="AB59" s="142"/>
      <c r="AC59" s="142"/>
      <c r="AD59" s="142"/>
      <c r="AE59" s="142"/>
      <c r="AF59" s="142"/>
      <c r="AG59" s="142"/>
      <c r="AH59" s="142"/>
      <c r="AI59" s="144"/>
      <c r="AV59" s="589" t="e">
        <v>#N/A</v>
      </c>
      <c r="AW59" s="589"/>
      <c r="AX59" s="589"/>
    </row>
    <row r="60" spans="1:50" ht="13.2" hidden="1" outlineLevel="1" thickBot="1" x14ac:dyDescent="0.3">
      <c r="A60" s="141"/>
      <c r="B60" s="142"/>
      <c r="C60" s="143"/>
      <c r="D60" s="142"/>
      <c r="E60" s="142"/>
      <c r="F60" s="142"/>
      <c r="G60" s="142"/>
      <c r="H60" s="142"/>
      <c r="I60" s="142"/>
      <c r="J60" s="142"/>
      <c r="K60" s="142"/>
      <c r="L60" s="142"/>
      <c r="M60" s="142"/>
      <c r="N60" s="142"/>
      <c r="O60" s="142"/>
      <c r="P60" s="142"/>
      <c r="Q60" s="142"/>
      <c r="R60" s="142"/>
      <c r="S60" s="142"/>
      <c r="T60" s="142"/>
      <c r="U60" s="142"/>
      <c r="V60" s="142"/>
      <c r="W60" s="142"/>
      <c r="X60" s="142"/>
      <c r="Y60" s="142"/>
      <c r="Z60" s="142"/>
      <c r="AA60" s="142"/>
      <c r="AB60" s="142"/>
      <c r="AC60" s="142"/>
      <c r="AD60" s="142"/>
      <c r="AE60" s="142"/>
      <c r="AF60" s="142"/>
      <c r="AG60" s="142"/>
      <c r="AH60" s="142"/>
      <c r="AI60" s="144"/>
      <c r="AV60" s="589" t="e">
        <v>#N/A</v>
      </c>
      <c r="AW60" s="589"/>
      <c r="AX60" s="589"/>
    </row>
    <row r="61" spans="1:50" ht="13.2" hidden="1" outlineLevel="1" thickBot="1" x14ac:dyDescent="0.3">
      <c r="A61" s="145"/>
      <c r="B61" s="146"/>
      <c r="C61" s="147"/>
      <c r="D61" s="146"/>
      <c r="E61" s="146"/>
      <c r="F61" s="146"/>
      <c r="G61" s="146"/>
      <c r="H61" s="146"/>
      <c r="I61" s="146"/>
      <c r="J61" s="146"/>
      <c r="K61" s="146"/>
      <c r="L61" s="146"/>
      <c r="M61" s="146"/>
      <c r="N61" s="146"/>
      <c r="O61" s="146"/>
      <c r="P61" s="146"/>
      <c r="Q61" s="146"/>
      <c r="R61" s="146"/>
      <c r="S61" s="146"/>
      <c r="T61" s="146"/>
      <c r="U61" s="146"/>
      <c r="V61" s="146"/>
      <c r="W61" s="146"/>
      <c r="X61" s="146"/>
      <c r="Y61" s="146"/>
      <c r="Z61" s="142"/>
      <c r="AA61" s="142"/>
      <c r="AB61" s="142"/>
      <c r="AC61" s="146"/>
      <c r="AD61" s="146"/>
      <c r="AE61" s="146"/>
      <c r="AF61" s="146"/>
      <c r="AG61" s="146"/>
      <c r="AH61" s="146"/>
      <c r="AI61" s="148"/>
      <c r="AV61" s="590" t="e">
        <v>#N/A</v>
      </c>
      <c r="AW61" s="590"/>
      <c r="AX61" s="590"/>
    </row>
    <row r="62" spans="1:50" ht="22.5" customHeight="1" collapsed="1" thickBot="1" x14ac:dyDescent="0.3">
      <c r="A62" s="156"/>
      <c r="B62" s="157"/>
      <c r="C62" s="158"/>
      <c r="D62" s="159"/>
      <c r="E62" s="159"/>
      <c r="F62" s="159"/>
      <c r="G62" s="159"/>
      <c r="H62" s="159"/>
      <c r="I62" s="159"/>
      <c r="J62" s="159"/>
      <c r="K62" s="159"/>
      <c r="L62" s="159"/>
      <c r="M62" s="159"/>
      <c r="N62" s="159"/>
      <c r="O62" s="160" t="s">
        <v>3817</v>
      </c>
      <c r="P62" s="161" t="s">
        <v>3818</v>
      </c>
      <c r="Q62" s="162" t="s">
        <v>3818</v>
      </c>
      <c r="R62" s="163" t="s">
        <v>3818</v>
      </c>
      <c r="S62" s="161" t="s">
        <v>2152</v>
      </c>
      <c r="T62" s="137" t="s">
        <v>2152</v>
      </c>
      <c r="U62" s="137" t="s">
        <v>2152</v>
      </c>
      <c r="V62" s="139" t="s">
        <v>2152</v>
      </c>
      <c r="W62" s="161" t="s">
        <v>2159</v>
      </c>
      <c r="X62" s="139" t="s">
        <v>2159</v>
      </c>
      <c r="Y62" s="164" t="s">
        <v>345</v>
      </c>
      <c r="Z62" s="161" t="s">
        <v>2167</v>
      </c>
      <c r="AA62" s="137" t="s">
        <v>2167</v>
      </c>
      <c r="AB62" s="139" t="s">
        <v>2167</v>
      </c>
      <c r="AC62" s="161" t="s">
        <v>3818</v>
      </c>
      <c r="AD62" s="162" t="s">
        <v>3818</v>
      </c>
      <c r="AE62" s="162" t="s">
        <v>3818</v>
      </c>
      <c r="AF62" s="163" t="s">
        <v>3818</v>
      </c>
      <c r="AG62" s="162" t="s">
        <v>345</v>
      </c>
      <c r="AH62" s="137" t="s">
        <v>345</v>
      </c>
      <c r="AI62" s="139" t="s">
        <v>345</v>
      </c>
      <c r="AV62" s="592"/>
      <c r="AW62" s="592" t="str">
        <f>$AW$19</f>
        <v>LWN</v>
      </c>
      <c r="AX62" s="592" t="str">
        <f>$AW$19</f>
        <v>LWN</v>
      </c>
    </row>
    <row r="63" spans="1:50" x14ac:dyDescent="0.25">
      <c r="A63" s="1349"/>
      <c r="B63" s="1593" t="s">
        <v>3820</v>
      </c>
      <c r="C63" s="1594"/>
      <c r="D63" s="1595" t="s">
        <v>3821</v>
      </c>
      <c r="E63" s="1593" t="s">
        <v>3822</v>
      </c>
      <c r="F63" s="1593" t="s">
        <v>3823</v>
      </c>
      <c r="G63" s="1593" t="s">
        <v>3824</v>
      </c>
      <c r="H63" s="1593" t="s">
        <v>2417</v>
      </c>
      <c r="I63" s="1874" t="s">
        <v>3825</v>
      </c>
      <c r="J63" s="1875"/>
      <c r="K63" s="1876"/>
      <c r="L63" s="1593" t="s">
        <v>3826</v>
      </c>
      <c r="M63" s="1593" t="s">
        <v>3827</v>
      </c>
      <c r="N63" s="1596" t="s">
        <v>3828</v>
      </c>
      <c r="O63" s="165" t="s">
        <v>184</v>
      </c>
      <c r="P63" s="1350" t="s">
        <v>12</v>
      </c>
      <c r="Q63" s="1593" t="s">
        <v>3829</v>
      </c>
      <c r="R63" s="1598" t="s">
        <v>184</v>
      </c>
      <c r="S63" s="1350" t="s">
        <v>3830</v>
      </c>
      <c r="T63" s="1593" t="s">
        <v>3831</v>
      </c>
      <c r="U63" s="1593" t="s">
        <v>3676</v>
      </c>
      <c r="V63" s="1598" t="s">
        <v>184</v>
      </c>
      <c r="W63" s="1350" t="s">
        <v>3832</v>
      </c>
      <c r="X63" s="1598" t="s">
        <v>184</v>
      </c>
      <c r="Y63" s="1597" t="s">
        <v>184</v>
      </c>
      <c r="Z63" s="1350" t="s">
        <v>3833</v>
      </c>
      <c r="AA63" s="1593" t="s">
        <v>2414</v>
      </c>
      <c r="AB63" s="1598" t="s">
        <v>184</v>
      </c>
      <c r="AC63" s="1350" t="s">
        <v>3834</v>
      </c>
      <c r="AD63" s="1593" t="s">
        <v>3835</v>
      </c>
      <c r="AE63" s="1593" t="s">
        <v>3836</v>
      </c>
      <c r="AF63" s="1598" t="s">
        <v>336</v>
      </c>
      <c r="AG63" s="1595" t="s">
        <v>3834</v>
      </c>
      <c r="AH63" s="1593" t="s">
        <v>3835</v>
      </c>
      <c r="AI63" s="1598" t="s">
        <v>336</v>
      </c>
      <c r="AV63" s="1599"/>
      <c r="AW63" s="1599" t="s">
        <v>184</v>
      </c>
      <c r="AX63" s="1598" t="str">
        <f>$AX$20</f>
        <v>Unit Surface</v>
      </c>
    </row>
    <row r="64" spans="1:50" ht="13.2" thickBot="1" x14ac:dyDescent="0.3">
      <c r="A64" s="186"/>
      <c r="B64" s="166" t="s">
        <v>59</v>
      </c>
      <c r="C64" s="187" t="s">
        <v>1685</v>
      </c>
      <c r="D64" s="171" t="s">
        <v>93</v>
      </c>
      <c r="E64" s="166" t="s">
        <v>93</v>
      </c>
      <c r="F64" s="166" t="s">
        <v>93</v>
      </c>
      <c r="G64" s="166" t="s">
        <v>93</v>
      </c>
      <c r="H64" s="166" t="s">
        <v>93</v>
      </c>
      <c r="I64" s="166" t="s">
        <v>3837</v>
      </c>
      <c r="J64" s="166" t="s">
        <v>3838</v>
      </c>
      <c r="K64" s="166" t="s">
        <v>3839</v>
      </c>
      <c r="L64" s="166" t="s">
        <v>93</v>
      </c>
      <c r="M64" s="166" t="s">
        <v>93</v>
      </c>
      <c r="N64" s="188" t="s">
        <v>93</v>
      </c>
      <c r="O64" s="167" t="s">
        <v>222</v>
      </c>
      <c r="P64" s="168" t="s">
        <v>93</v>
      </c>
      <c r="Q64" s="166" t="s">
        <v>93</v>
      </c>
      <c r="R64" s="169" t="s">
        <v>222</v>
      </c>
      <c r="S64" s="168" t="s">
        <v>93</v>
      </c>
      <c r="T64" s="166" t="s">
        <v>93</v>
      </c>
      <c r="U64" s="166" t="s">
        <v>93</v>
      </c>
      <c r="V64" s="169" t="s">
        <v>222</v>
      </c>
      <c r="W64" s="168" t="s">
        <v>93</v>
      </c>
      <c r="X64" s="169" t="s">
        <v>222</v>
      </c>
      <c r="Y64" s="189" t="s">
        <v>222</v>
      </c>
      <c r="Z64" s="168" t="s">
        <v>93</v>
      </c>
      <c r="AA64" s="166" t="s">
        <v>93</v>
      </c>
      <c r="AB64" s="169" t="s">
        <v>222</v>
      </c>
      <c r="AC64" s="168" t="s">
        <v>228</v>
      </c>
      <c r="AD64" s="166" t="s">
        <v>228</v>
      </c>
      <c r="AE64" s="166" t="s">
        <v>228</v>
      </c>
      <c r="AF64" s="169" t="s">
        <v>228</v>
      </c>
      <c r="AG64" s="171" t="s">
        <v>228</v>
      </c>
      <c r="AH64" s="166" t="s">
        <v>228</v>
      </c>
      <c r="AI64" s="169" t="s">
        <v>228</v>
      </c>
      <c r="AV64" s="593"/>
      <c r="AW64" s="593" t="s">
        <v>222</v>
      </c>
      <c r="AX64" s="593" t="str">
        <f>$AX$21</f>
        <v>m2</v>
      </c>
    </row>
    <row r="65" spans="1:50" ht="13.2" thickBot="1" x14ac:dyDescent="0.3">
      <c r="A65" s="190" t="s">
        <v>3862</v>
      </c>
      <c r="B65" s="137">
        <v>0</v>
      </c>
      <c r="C65" s="191">
        <v>0</v>
      </c>
      <c r="D65" s="162">
        <v>0</v>
      </c>
      <c r="E65" s="137">
        <v>0</v>
      </c>
      <c r="F65" s="137">
        <v>0</v>
      </c>
      <c r="G65" s="137">
        <v>0</v>
      </c>
      <c r="H65" s="137">
        <v>0</v>
      </c>
      <c r="I65" s="137">
        <v>0</v>
      </c>
      <c r="J65" s="137">
        <v>0</v>
      </c>
      <c r="K65" s="137">
        <v>0</v>
      </c>
      <c r="L65" s="137">
        <v>0</v>
      </c>
      <c r="M65" s="137">
        <v>0</v>
      </c>
      <c r="N65" s="192">
        <v>0</v>
      </c>
      <c r="O65" s="160">
        <v>0</v>
      </c>
      <c r="P65" s="161">
        <v>0</v>
      </c>
      <c r="Q65" s="137">
        <v>0</v>
      </c>
      <c r="R65" s="139">
        <v>0</v>
      </c>
      <c r="S65" s="161">
        <v>0</v>
      </c>
      <c r="T65" s="137">
        <v>0</v>
      </c>
      <c r="U65" s="137">
        <v>0</v>
      </c>
      <c r="V65" s="139">
        <v>0</v>
      </c>
      <c r="W65" s="161">
        <v>0</v>
      </c>
      <c r="X65" s="139">
        <v>0</v>
      </c>
      <c r="Y65" s="164">
        <v>0</v>
      </c>
      <c r="Z65" s="161">
        <v>0</v>
      </c>
      <c r="AA65" s="137">
        <v>0</v>
      </c>
      <c r="AB65" s="139">
        <v>0</v>
      </c>
      <c r="AC65" s="193">
        <v>0</v>
      </c>
      <c r="AD65" s="194">
        <v>0</v>
      </c>
      <c r="AE65" s="194">
        <v>0</v>
      </c>
      <c r="AF65" s="195">
        <v>0</v>
      </c>
      <c r="AG65" s="196">
        <v>0</v>
      </c>
      <c r="AH65" s="194">
        <v>0</v>
      </c>
      <c r="AI65" s="195">
        <v>0</v>
      </c>
      <c r="AV65" s="595"/>
      <c r="AW65" s="595">
        <v>0</v>
      </c>
      <c r="AX65" s="595">
        <v>0</v>
      </c>
    </row>
    <row r="66" spans="1:50" x14ac:dyDescent="0.25">
      <c r="A66" s="1349" t="s">
        <v>3863</v>
      </c>
      <c r="B66" s="1593">
        <v>15</v>
      </c>
      <c r="C66" s="1594">
        <v>0.5</v>
      </c>
      <c r="D66" s="1595">
        <v>95</v>
      </c>
      <c r="E66" s="1593">
        <v>14.2</v>
      </c>
      <c r="F66" s="1593">
        <v>34.9</v>
      </c>
      <c r="G66" s="1593">
        <v>50.8</v>
      </c>
      <c r="H66" s="1593">
        <v>5.56</v>
      </c>
      <c r="I66" s="1593">
        <v>4</v>
      </c>
      <c r="J66" s="1593">
        <v>66.7</v>
      </c>
      <c r="K66" s="1593">
        <v>15.8</v>
      </c>
      <c r="L66" s="1593">
        <v>22.4</v>
      </c>
      <c r="M66" s="1593">
        <v>38</v>
      </c>
      <c r="N66" s="1596">
        <v>22</v>
      </c>
      <c r="O66" s="165">
        <v>1.2</v>
      </c>
      <c r="P66" s="1350">
        <v>21.3</v>
      </c>
      <c r="Q66" s="1593">
        <v>52</v>
      </c>
      <c r="R66" s="1598">
        <v>1.5</v>
      </c>
      <c r="S66" s="1350">
        <v>22.9</v>
      </c>
      <c r="T66" s="1593">
        <v>22</v>
      </c>
      <c r="U66" s="1593">
        <v>3</v>
      </c>
      <c r="V66" s="1598">
        <v>1.2</v>
      </c>
      <c r="W66" s="1350">
        <v>16</v>
      </c>
      <c r="X66" s="1598">
        <v>1.2</v>
      </c>
      <c r="Y66" s="1597">
        <v>1.5</v>
      </c>
      <c r="Z66" s="1350">
        <v>15.8</v>
      </c>
      <c r="AA66" s="1593">
        <v>10</v>
      </c>
      <c r="AB66" s="1598">
        <v>1.2</v>
      </c>
      <c r="AC66" s="1352">
        <f>PI()*D66*E66/1000000</f>
        <v>4.2380084896926308E-3</v>
      </c>
      <c r="AD66" s="1617">
        <f>D66^2*PI()/4/1000000</f>
        <v>7.0882184246619708E-3</v>
      </c>
      <c r="AE66" s="1617">
        <f>P66*PI()*(Q66-E66)/1000000</f>
        <v>2.5294219091112863E-3</v>
      </c>
      <c r="AF66" s="1618">
        <f>AE66+AD66+AC66</f>
        <v>1.3855648823465887E-2</v>
      </c>
      <c r="AG66" s="1619">
        <f>PI()*D66*E66/1000000</f>
        <v>4.2380084896926308E-3</v>
      </c>
      <c r="AH66" s="1617">
        <f>D66^2*PI()/4/1000000</f>
        <v>7.0882184246619708E-3</v>
      </c>
      <c r="AI66" s="1618">
        <f>AH66+AG66</f>
        <v>1.1326226914354601E-2</v>
      </c>
      <c r="AV66" s="1599">
        <v>2.5</v>
      </c>
      <c r="AW66" s="1599">
        <f t="shared" ref="AW66:AW85" si="9">AV66*R66</f>
        <v>3.75</v>
      </c>
      <c r="AX66" s="1616">
        <f t="shared" ref="AX66:AX85" si="10">AV66*AF66</f>
        <v>3.463912205866472E-2</v>
      </c>
    </row>
    <row r="67" spans="1:50" x14ac:dyDescent="0.25">
      <c r="A67" s="1620" t="s">
        <v>3864</v>
      </c>
      <c r="B67" s="1504">
        <v>20</v>
      </c>
      <c r="C67" s="1505">
        <v>0.75</v>
      </c>
      <c r="D67" s="1595">
        <v>117</v>
      </c>
      <c r="E67" s="1593">
        <v>15.7</v>
      </c>
      <c r="F67" s="1593">
        <v>42.9</v>
      </c>
      <c r="G67" s="1593">
        <v>63.5</v>
      </c>
      <c r="H67" s="1593">
        <v>6.35</v>
      </c>
      <c r="I67" s="1593">
        <v>4</v>
      </c>
      <c r="J67" s="1593">
        <v>82.6</v>
      </c>
      <c r="K67" s="1593">
        <v>19</v>
      </c>
      <c r="L67" s="1593">
        <v>27.7</v>
      </c>
      <c r="M67" s="1593">
        <v>48</v>
      </c>
      <c r="N67" s="1596">
        <v>25</v>
      </c>
      <c r="O67" s="1362">
        <v>1.3</v>
      </c>
      <c r="P67" s="1609">
        <v>26.7</v>
      </c>
      <c r="Q67" s="1504">
        <v>57</v>
      </c>
      <c r="R67" s="1610">
        <v>1.8</v>
      </c>
      <c r="S67" s="1609">
        <v>28.2</v>
      </c>
      <c r="T67" s="1504">
        <v>25</v>
      </c>
      <c r="U67" s="1504">
        <v>3</v>
      </c>
      <c r="V67" s="1610">
        <v>1.3</v>
      </c>
      <c r="W67" s="1609">
        <v>16</v>
      </c>
      <c r="X67" s="1610">
        <v>1.3</v>
      </c>
      <c r="Y67" s="1625">
        <v>1.6</v>
      </c>
      <c r="Z67" s="1609">
        <v>20.8</v>
      </c>
      <c r="AA67" s="1504">
        <v>11</v>
      </c>
      <c r="AB67" s="1610">
        <v>1.3</v>
      </c>
      <c r="AC67" s="1612">
        <f t="shared" ref="AC67:AC85" si="11">PI()*D67*E67/1000000</f>
        <v>5.7707915453790908E-3</v>
      </c>
      <c r="AD67" s="1613">
        <f t="shared" ref="AD67:AD85" si="12">D67^2*PI()/4/1000000</f>
        <v>1.0751315458747669E-2</v>
      </c>
      <c r="AE67" s="1613">
        <f t="shared" ref="AE67:AE85" si="13">P67*PI()*(Q67-E67)/1000000</f>
        <v>3.4642656350400004E-3</v>
      </c>
      <c r="AF67" s="1614">
        <f t="shared" ref="AF67:AF85" si="14">AE67+AD67+AC67</f>
        <v>1.998637263916676E-2</v>
      </c>
      <c r="AG67" s="1615">
        <f t="shared" ref="AG67:AG85" si="15">PI()*D67*E67/1000000</f>
        <v>5.7707915453790908E-3</v>
      </c>
      <c r="AH67" s="1613">
        <f t="shared" ref="AH67:AH85" si="16">D67^2*PI()/4/1000000</f>
        <v>1.0751315458747669E-2</v>
      </c>
      <c r="AI67" s="1614">
        <f t="shared" ref="AI67:AI85" si="17">AH67+AG67</f>
        <v>1.6522107004126759E-2</v>
      </c>
      <c r="AV67" s="1616">
        <v>2.5</v>
      </c>
      <c r="AW67" s="1616">
        <f t="shared" si="9"/>
        <v>4.5</v>
      </c>
      <c r="AX67" s="1616">
        <f t="shared" si="10"/>
        <v>4.9965931597916902E-2</v>
      </c>
    </row>
    <row r="68" spans="1:50" x14ac:dyDescent="0.25">
      <c r="A68" s="1620" t="s">
        <v>3865</v>
      </c>
      <c r="B68" s="1504">
        <v>25</v>
      </c>
      <c r="C68" s="1505">
        <v>1</v>
      </c>
      <c r="D68" s="1506">
        <v>124</v>
      </c>
      <c r="E68" s="1504">
        <v>17.5</v>
      </c>
      <c r="F68" s="1504">
        <v>50.8</v>
      </c>
      <c r="G68" s="1504">
        <v>69.900000000000006</v>
      </c>
      <c r="H68" s="1504">
        <v>6.35</v>
      </c>
      <c r="I68" s="1504">
        <v>4</v>
      </c>
      <c r="J68" s="1504">
        <v>88.9</v>
      </c>
      <c r="K68" s="1504">
        <v>19</v>
      </c>
      <c r="L68" s="1504">
        <v>34.5</v>
      </c>
      <c r="M68" s="1504">
        <v>54</v>
      </c>
      <c r="N68" s="1508">
        <v>27</v>
      </c>
      <c r="O68" s="1362">
        <v>1.4</v>
      </c>
      <c r="P68" s="1609">
        <v>33.5</v>
      </c>
      <c r="Q68" s="1504">
        <v>62</v>
      </c>
      <c r="R68" s="1610">
        <v>2</v>
      </c>
      <c r="S68" s="1609">
        <v>35</v>
      </c>
      <c r="T68" s="1504">
        <v>27</v>
      </c>
      <c r="U68" s="1504">
        <v>3</v>
      </c>
      <c r="V68" s="1610">
        <v>1.4</v>
      </c>
      <c r="W68" s="1609">
        <v>18</v>
      </c>
      <c r="X68" s="1610">
        <v>1.4</v>
      </c>
      <c r="Y68" s="1625">
        <v>2</v>
      </c>
      <c r="Z68" s="1609">
        <v>26.7</v>
      </c>
      <c r="AA68" s="1504">
        <v>13</v>
      </c>
      <c r="AB68" s="1610">
        <v>1.4</v>
      </c>
      <c r="AC68" s="1612">
        <f t="shared" si="11"/>
        <v>6.8172560582898502E-3</v>
      </c>
      <c r="AD68" s="1613">
        <f t="shared" si="12"/>
        <v>1.2076282160399165E-2</v>
      </c>
      <c r="AE68" s="1613">
        <f t="shared" si="13"/>
        <v>4.6833292483389839E-3</v>
      </c>
      <c r="AF68" s="1614">
        <f t="shared" si="14"/>
        <v>2.3576867467027997E-2</v>
      </c>
      <c r="AG68" s="1615">
        <f t="shared" si="15"/>
        <v>6.8172560582898502E-3</v>
      </c>
      <c r="AH68" s="1613">
        <f t="shared" si="16"/>
        <v>1.2076282160399165E-2</v>
      </c>
      <c r="AI68" s="1614">
        <f t="shared" si="17"/>
        <v>1.8893538218689016E-2</v>
      </c>
      <c r="AV68" s="1616">
        <v>2.5</v>
      </c>
      <c r="AW68" s="1616">
        <f t="shared" si="9"/>
        <v>5</v>
      </c>
      <c r="AX68" s="1616">
        <f t="shared" si="10"/>
        <v>5.8942168667569995E-2</v>
      </c>
    </row>
    <row r="69" spans="1:50" x14ac:dyDescent="0.25">
      <c r="A69" s="1620" t="s">
        <v>3866</v>
      </c>
      <c r="B69" s="1504">
        <v>32</v>
      </c>
      <c r="C69" s="1505">
        <v>1.25</v>
      </c>
      <c r="D69" s="1506">
        <v>133</v>
      </c>
      <c r="E69" s="1504">
        <v>19</v>
      </c>
      <c r="F69" s="1504">
        <v>63.5</v>
      </c>
      <c r="G69" s="1504">
        <v>79.2</v>
      </c>
      <c r="H69" s="1504">
        <v>6.35</v>
      </c>
      <c r="I69" s="1504">
        <v>4</v>
      </c>
      <c r="J69" s="1504">
        <v>98.4</v>
      </c>
      <c r="K69" s="1504">
        <v>19</v>
      </c>
      <c r="L69" s="1504">
        <v>43.2</v>
      </c>
      <c r="M69" s="1504">
        <v>63</v>
      </c>
      <c r="N69" s="1508">
        <v>27</v>
      </c>
      <c r="O69" s="1362">
        <v>1.8</v>
      </c>
      <c r="P69" s="1609">
        <v>42.2</v>
      </c>
      <c r="Q69" s="1504">
        <v>65</v>
      </c>
      <c r="R69" s="1610">
        <v>2.5</v>
      </c>
      <c r="S69" s="1609">
        <v>43.7</v>
      </c>
      <c r="T69" s="1504">
        <v>27</v>
      </c>
      <c r="U69" s="1504">
        <v>5</v>
      </c>
      <c r="V69" s="1610">
        <v>1.8</v>
      </c>
      <c r="W69" s="1609">
        <v>21</v>
      </c>
      <c r="X69" s="1610">
        <v>1.9</v>
      </c>
      <c r="Y69" s="1625">
        <v>2.5</v>
      </c>
      <c r="Z69" s="1609">
        <v>35</v>
      </c>
      <c r="AA69" s="1504">
        <v>14</v>
      </c>
      <c r="AB69" s="1610">
        <v>1.8</v>
      </c>
      <c r="AC69" s="1612">
        <f t="shared" si="11"/>
        <v>7.9388046356214069E-3</v>
      </c>
      <c r="AD69" s="1613">
        <f t="shared" si="12"/>
        <v>1.3892908112337461E-2</v>
      </c>
      <c r="AE69" s="1613">
        <f t="shared" si="13"/>
        <v>6.0984596591485071E-3</v>
      </c>
      <c r="AF69" s="1614">
        <f t="shared" si="14"/>
        <v>2.7930172407107375E-2</v>
      </c>
      <c r="AG69" s="1615">
        <f t="shared" si="15"/>
        <v>7.9388046356214069E-3</v>
      </c>
      <c r="AH69" s="1613">
        <f t="shared" si="16"/>
        <v>1.3892908112337461E-2</v>
      </c>
      <c r="AI69" s="1614">
        <f t="shared" si="17"/>
        <v>2.1831712747958868E-2</v>
      </c>
      <c r="AV69" s="1616">
        <v>2.5</v>
      </c>
      <c r="AW69" s="1616">
        <f t="shared" si="9"/>
        <v>6.25</v>
      </c>
      <c r="AX69" s="1616">
        <f t="shared" si="10"/>
        <v>6.9825431017768433E-2</v>
      </c>
    </row>
    <row r="70" spans="1:50" x14ac:dyDescent="0.25">
      <c r="A70" s="1620" t="s">
        <v>3867</v>
      </c>
      <c r="B70" s="1504">
        <v>40</v>
      </c>
      <c r="C70" s="1505">
        <v>1.5</v>
      </c>
      <c r="D70" s="1506">
        <v>156</v>
      </c>
      <c r="E70" s="1504">
        <v>20.6</v>
      </c>
      <c r="F70" s="1504">
        <v>73</v>
      </c>
      <c r="G70" s="1504">
        <v>90.4</v>
      </c>
      <c r="H70" s="1504">
        <v>6.35</v>
      </c>
      <c r="I70" s="1504">
        <v>4</v>
      </c>
      <c r="J70" s="1504">
        <v>114.3</v>
      </c>
      <c r="K70" s="1504">
        <v>22.2</v>
      </c>
      <c r="L70" s="1504">
        <v>49.5</v>
      </c>
      <c r="M70" s="1504">
        <v>70</v>
      </c>
      <c r="N70" s="1508">
        <v>30</v>
      </c>
      <c r="O70" s="1362">
        <v>2.5</v>
      </c>
      <c r="P70" s="1609">
        <v>48.3</v>
      </c>
      <c r="Q70" s="1504">
        <v>68</v>
      </c>
      <c r="R70" s="1610">
        <v>3.5</v>
      </c>
      <c r="S70" s="1609">
        <v>50</v>
      </c>
      <c r="T70" s="1504">
        <v>30</v>
      </c>
      <c r="U70" s="1504">
        <v>6</v>
      </c>
      <c r="V70" s="1610">
        <v>2.5</v>
      </c>
      <c r="W70" s="1609">
        <v>22</v>
      </c>
      <c r="X70" s="1610">
        <v>2.8</v>
      </c>
      <c r="Y70" s="1625">
        <v>3</v>
      </c>
      <c r="Z70" s="1609">
        <v>40.9</v>
      </c>
      <c r="AA70" s="1504">
        <v>16</v>
      </c>
      <c r="AB70" s="1610">
        <v>2.5</v>
      </c>
      <c r="AC70" s="1612">
        <f t="shared" si="11"/>
        <v>1.009582215157616E-2</v>
      </c>
      <c r="AD70" s="1613">
        <f t="shared" si="12"/>
        <v>1.9113449704440299E-2</v>
      </c>
      <c r="AE70" s="1613">
        <f t="shared" si="13"/>
        <v>7.1924250529815433E-3</v>
      </c>
      <c r="AF70" s="1614">
        <f t="shared" si="14"/>
        <v>3.6401696908997999E-2</v>
      </c>
      <c r="AG70" s="1615">
        <f t="shared" si="15"/>
        <v>1.009582215157616E-2</v>
      </c>
      <c r="AH70" s="1613">
        <f t="shared" si="16"/>
        <v>1.9113449704440299E-2</v>
      </c>
      <c r="AI70" s="1614">
        <f t="shared" si="17"/>
        <v>2.9209271856016461E-2</v>
      </c>
      <c r="AV70" s="1616">
        <v>2.1388888888888888</v>
      </c>
      <c r="AW70" s="1616">
        <f t="shared" si="9"/>
        <v>7.4861111111111107</v>
      </c>
      <c r="AX70" s="1616">
        <f t="shared" si="10"/>
        <v>7.7859185055356828E-2</v>
      </c>
    </row>
    <row r="71" spans="1:50" x14ac:dyDescent="0.25">
      <c r="A71" s="1620" t="s">
        <v>3868</v>
      </c>
      <c r="B71" s="1504">
        <v>50</v>
      </c>
      <c r="C71" s="1505">
        <v>2</v>
      </c>
      <c r="D71" s="1506">
        <v>165</v>
      </c>
      <c r="E71" s="1504">
        <v>22.4</v>
      </c>
      <c r="F71" s="1504">
        <v>92.1</v>
      </c>
      <c r="G71" s="1504">
        <v>108</v>
      </c>
      <c r="H71" s="1504">
        <v>7.92</v>
      </c>
      <c r="I71" s="1504">
        <v>8</v>
      </c>
      <c r="J71" s="1504">
        <v>127</v>
      </c>
      <c r="K71" s="1504">
        <v>19</v>
      </c>
      <c r="L71" s="1504">
        <v>62</v>
      </c>
      <c r="M71" s="1504">
        <v>84</v>
      </c>
      <c r="N71" s="1508">
        <v>33</v>
      </c>
      <c r="O71" s="1362">
        <v>3</v>
      </c>
      <c r="P71" s="1609">
        <v>60.3</v>
      </c>
      <c r="Q71" s="1504">
        <v>70</v>
      </c>
      <c r="R71" s="1610">
        <v>4</v>
      </c>
      <c r="S71" s="1609">
        <v>62.5</v>
      </c>
      <c r="T71" s="1504">
        <v>33</v>
      </c>
      <c r="U71" s="1504">
        <v>8</v>
      </c>
      <c r="V71" s="1610">
        <v>3</v>
      </c>
      <c r="W71" s="1609">
        <v>29</v>
      </c>
      <c r="X71" s="1610">
        <v>3.3</v>
      </c>
      <c r="Y71" s="1625">
        <v>3.5</v>
      </c>
      <c r="Z71" s="1609">
        <v>52.6</v>
      </c>
      <c r="AA71" s="1504">
        <v>17</v>
      </c>
      <c r="AB71" s="1610">
        <v>3</v>
      </c>
      <c r="AC71" s="1612">
        <f t="shared" si="11"/>
        <v>1.1611326447667875E-2</v>
      </c>
      <c r="AD71" s="1613">
        <f t="shared" si="12"/>
        <v>2.138246499849553E-2</v>
      </c>
      <c r="AE71" s="1613">
        <f t="shared" si="13"/>
        <v>9.0172505617457099E-3</v>
      </c>
      <c r="AF71" s="1614">
        <f t="shared" si="14"/>
        <v>4.2011042007909116E-2</v>
      </c>
      <c r="AG71" s="1615">
        <f t="shared" si="15"/>
        <v>1.1611326447667875E-2</v>
      </c>
      <c r="AH71" s="1613">
        <f t="shared" si="16"/>
        <v>2.138246499849553E-2</v>
      </c>
      <c r="AI71" s="1614">
        <f t="shared" si="17"/>
        <v>3.2993791446163406E-2</v>
      </c>
      <c r="AV71" s="1616">
        <v>2.0975609756097562</v>
      </c>
      <c r="AW71" s="1616">
        <f t="shared" si="9"/>
        <v>8.3902439024390247</v>
      </c>
      <c r="AX71" s="1616">
        <f t="shared" si="10"/>
        <v>8.8120722260492293E-2</v>
      </c>
    </row>
    <row r="72" spans="1:50" x14ac:dyDescent="0.25">
      <c r="A72" s="1620" t="s">
        <v>3869</v>
      </c>
      <c r="B72" s="1504">
        <v>65</v>
      </c>
      <c r="C72" s="1505">
        <v>2.5</v>
      </c>
      <c r="D72" s="1506">
        <v>190</v>
      </c>
      <c r="E72" s="1504">
        <v>25.4</v>
      </c>
      <c r="F72" s="1504">
        <v>104.8</v>
      </c>
      <c r="G72" s="1504">
        <v>127</v>
      </c>
      <c r="H72" s="1504">
        <v>7.92</v>
      </c>
      <c r="I72" s="1504">
        <v>8</v>
      </c>
      <c r="J72" s="1504">
        <v>149.19999999999999</v>
      </c>
      <c r="K72" s="1504">
        <v>22.2</v>
      </c>
      <c r="L72" s="1504">
        <v>74.7</v>
      </c>
      <c r="M72" s="1504">
        <v>100</v>
      </c>
      <c r="N72" s="1508">
        <v>38</v>
      </c>
      <c r="O72" s="1362">
        <v>4.5</v>
      </c>
      <c r="P72" s="1609">
        <v>73</v>
      </c>
      <c r="Q72" s="1504">
        <v>76</v>
      </c>
      <c r="R72" s="1610">
        <v>5</v>
      </c>
      <c r="S72" s="1609">
        <v>75.400000000000006</v>
      </c>
      <c r="T72" s="1504">
        <v>38</v>
      </c>
      <c r="U72" s="1504">
        <v>8</v>
      </c>
      <c r="V72" s="1610">
        <v>4.5</v>
      </c>
      <c r="W72" s="1609">
        <v>32</v>
      </c>
      <c r="X72" s="1610">
        <v>4.5999999999999996</v>
      </c>
      <c r="Y72" s="1625">
        <v>5.5</v>
      </c>
      <c r="Z72" s="1609">
        <v>62.7</v>
      </c>
      <c r="AA72" s="1504">
        <v>19</v>
      </c>
      <c r="AB72" s="1610">
        <v>4.5</v>
      </c>
      <c r="AC72" s="1612">
        <f t="shared" si="11"/>
        <v>1.5161326146224341E-2</v>
      </c>
      <c r="AD72" s="1613">
        <f t="shared" si="12"/>
        <v>2.8352873698647883E-2</v>
      </c>
      <c r="AE72" s="1613">
        <f t="shared" si="13"/>
        <v>1.1604414943829978E-2</v>
      </c>
      <c r="AF72" s="1614">
        <f t="shared" si="14"/>
        <v>5.5118614788702204E-2</v>
      </c>
      <c r="AG72" s="1615">
        <f t="shared" si="15"/>
        <v>1.5161326146224341E-2</v>
      </c>
      <c r="AH72" s="1613">
        <f t="shared" si="16"/>
        <v>2.8352873698647883E-2</v>
      </c>
      <c r="AI72" s="1614">
        <f t="shared" si="17"/>
        <v>4.3514199844872224E-2</v>
      </c>
      <c r="AV72" s="1616">
        <v>2.3518518518518516</v>
      </c>
      <c r="AW72" s="1616">
        <f t="shared" si="9"/>
        <v>11.759259259259258</v>
      </c>
      <c r="AX72" s="1616">
        <f t="shared" si="10"/>
        <v>0.12963081626231812</v>
      </c>
    </row>
    <row r="73" spans="1:50" x14ac:dyDescent="0.25">
      <c r="A73" s="1620" t="s">
        <v>3870</v>
      </c>
      <c r="B73" s="1504">
        <v>80</v>
      </c>
      <c r="C73" s="1505">
        <v>3</v>
      </c>
      <c r="D73" s="1506">
        <v>210</v>
      </c>
      <c r="E73" s="1504">
        <v>28.4</v>
      </c>
      <c r="F73" s="1504">
        <v>127</v>
      </c>
      <c r="G73" s="1504">
        <v>146.1</v>
      </c>
      <c r="H73" s="1504">
        <v>7.92</v>
      </c>
      <c r="I73" s="1504">
        <v>8</v>
      </c>
      <c r="J73" s="1504">
        <v>168.3</v>
      </c>
      <c r="K73" s="1504">
        <v>22.2</v>
      </c>
      <c r="L73" s="1504">
        <v>90.7</v>
      </c>
      <c r="M73" s="1504">
        <v>117</v>
      </c>
      <c r="N73" s="1508">
        <v>43</v>
      </c>
      <c r="O73" s="1362">
        <v>6</v>
      </c>
      <c r="P73" s="1609">
        <v>88.9</v>
      </c>
      <c r="Q73" s="1504">
        <v>79</v>
      </c>
      <c r="R73" s="1610">
        <v>7</v>
      </c>
      <c r="S73" s="1609">
        <v>91.4</v>
      </c>
      <c r="T73" s="1504">
        <v>43</v>
      </c>
      <c r="U73" s="1504">
        <v>10</v>
      </c>
      <c r="V73" s="1610">
        <v>6</v>
      </c>
      <c r="W73" s="1609">
        <v>32</v>
      </c>
      <c r="X73" s="1610">
        <v>6.3</v>
      </c>
      <c r="Y73" s="1625">
        <v>7</v>
      </c>
      <c r="Z73" s="1609">
        <v>78</v>
      </c>
      <c r="AA73" s="1504">
        <v>21</v>
      </c>
      <c r="AB73" s="1610">
        <v>6</v>
      </c>
      <c r="AC73" s="1612">
        <f t="shared" si="11"/>
        <v>1.8736458586009527E-2</v>
      </c>
      <c r="AD73" s="1613">
        <f t="shared" si="12"/>
        <v>3.4636059005827467E-2</v>
      </c>
      <c r="AE73" s="1613">
        <f t="shared" si="13"/>
        <v>1.4131951897349112E-2</v>
      </c>
      <c r="AF73" s="1614">
        <f t="shared" si="14"/>
        <v>6.7504469489186106E-2</v>
      </c>
      <c r="AG73" s="1615">
        <f t="shared" si="15"/>
        <v>1.8736458586009527E-2</v>
      </c>
      <c r="AH73" s="1613">
        <f t="shared" si="16"/>
        <v>3.4636059005827467E-2</v>
      </c>
      <c r="AI73" s="1614">
        <f t="shared" si="17"/>
        <v>5.337251759183699E-2</v>
      </c>
      <c r="AV73" s="1616">
        <v>2.3970588235294121</v>
      </c>
      <c r="AW73" s="1616">
        <f t="shared" si="9"/>
        <v>16.779411764705884</v>
      </c>
      <c r="AX73" s="1616">
        <f t="shared" si="10"/>
        <v>0.16181218421672555</v>
      </c>
    </row>
    <row r="74" spans="1:50" x14ac:dyDescent="0.25">
      <c r="A74" s="1620" t="s">
        <v>3871</v>
      </c>
      <c r="B74" s="1504" t="s">
        <v>1721</v>
      </c>
      <c r="C74" s="1505">
        <v>3.5</v>
      </c>
      <c r="D74" s="1506">
        <v>229</v>
      </c>
      <c r="E74" s="1504">
        <v>30.2</v>
      </c>
      <c r="F74" s="1504">
        <v>139.69999999999999</v>
      </c>
      <c r="G74" s="1504">
        <v>158.80000000000001</v>
      </c>
      <c r="H74" s="1504">
        <v>7.92</v>
      </c>
      <c r="I74" s="1504">
        <v>8</v>
      </c>
      <c r="J74" s="1504">
        <v>184.1</v>
      </c>
      <c r="K74" s="1504">
        <v>22.2</v>
      </c>
      <c r="L74" s="1504">
        <v>103.4</v>
      </c>
      <c r="M74" s="1504">
        <v>133</v>
      </c>
      <c r="N74" s="1508">
        <v>44</v>
      </c>
      <c r="O74" s="1362">
        <v>7.5</v>
      </c>
      <c r="P74" s="1609">
        <v>101.6</v>
      </c>
      <c r="Q74" s="1504">
        <v>81</v>
      </c>
      <c r="R74" s="1610">
        <v>9.1999999999999993</v>
      </c>
      <c r="S74" s="1609">
        <v>104.1</v>
      </c>
      <c r="T74" s="1504">
        <v>44</v>
      </c>
      <c r="U74" s="1504">
        <v>10</v>
      </c>
      <c r="V74" s="1610">
        <v>7.5</v>
      </c>
      <c r="W74" s="1609">
        <v>37</v>
      </c>
      <c r="X74" s="1610">
        <v>7.8</v>
      </c>
      <c r="Y74" s="1625">
        <v>9</v>
      </c>
      <c r="Z74" s="1609" t="s">
        <v>1712</v>
      </c>
      <c r="AA74" s="1504" t="s">
        <v>1712</v>
      </c>
      <c r="AB74" s="1610" t="s">
        <v>1712</v>
      </c>
      <c r="AC74" s="1612">
        <f t="shared" si="11"/>
        <v>2.1726626473696286E-2</v>
      </c>
      <c r="AD74" s="1613">
        <f t="shared" si="12"/>
        <v>4.118706508672558E-2</v>
      </c>
      <c r="AE74" s="1613">
        <f t="shared" si="13"/>
        <v>1.6214639331119926E-2</v>
      </c>
      <c r="AF74" s="1614">
        <f t="shared" si="14"/>
        <v>7.9128330891541795E-2</v>
      </c>
      <c r="AG74" s="1615">
        <f t="shared" si="15"/>
        <v>2.1726626473696286E-2</v>
      </c>
      <c r="AH74" s="1613">
        <f t="shared" si="16"/>
        <v>4.118706508672558E-2</v>
      </c>
      <c r="AI74" s="1614">
        <f t="shared" si="17"/>
        <v>6.2913691560421869E-2</v>
      </c>
      <c r="AV74" s="1616">
        <v>2.3970588235294121</v>
      </c>
      <c r="AW74" s="1616">
        <f t="shared" si="9"/>
        <v>22.05294117647059</v>
      </c>
      <c r="AX74" s="1616">
        <f t="shared" si="10"/>
        <v>0.18967526375472521</v>
      </c>
    </row>
    <row r="75" spans="1:50" x14ac:dyDescent="0.25">
      <c r="A75" s="1620" t="s">
        <v>3872</v>
      </c>
      <c r="B75" s="1504">
        <v>100</v>
      </c>
      <c r="C75" s="1505">
        <v>4</v>
      </c>
      <c r="D75" s="1506">
        <v>254</v>
      </c>
      <c r="E75" s="1504">
        <v>31.8</v>
      </c>
      <c r="F75" s="1504">
        <v>157.19999999999999</v>
      </c>
      <c r="G75" s="1504">
        <v>174.8</v>
      </c>
      <c r="H75" s="1504">
        <v>7.92</v>
      </c>
      <c r="I75" s="1504">
        <v>8</v>
      </c>
      <c r="J75" s="1504">
        <v>200</v>
      </c>
      <c r="K75" s="1504">
        <v>22.2</v>
      </c>
      <c r="L75" s="1504">
        <v>116.1</v>
      </c>
      <c r="M75" s="1504">
        <v>146</v>
      </c>
      <c r="N75" s="1508">
        <v>48</v>
      </c>
      <c r="O75" s="1362">
        <v>10.1</v>
      </c>
      <c r="P75" s="1609">
        <v>114.3</v>
      </c>
      <c r="Q75" s="1504">
        <v>86</v>
      </c>
      <c r="R75" s="1610">
        <v>11</v>
      </c>
      <c r="S75" s="1609">
        <v>116.8</v>
      </c>
      <c r="T75" s="1504">
        <v>48</v>
      </c>
      <c r="U75" s="1504">
        <v>11</v>
      </c>
      <c r="V75" s="1610">
        <v>10.1</v>
      </c>
      <c r="W75" s="1609">
        <v>37</v>
      </c>
      <c r="X75" s="1610">
        <v>10.199999999999999</v>
      </c>
      <c r="Y75" s="1625">
        <v>12</v>
      </c>
      <c r="Z75" s="1609" t="s">
        <v>1712</v>
      </c>
      <c r="AA75" s="1504" t="s">
        <v>1712</v>
      </c>
      <c r="AB75" s="1610" t="s">
        <v>1712</v>
      </c>
      <c r="AC75" s="1612">
        <f t="shared" si="11"/>
        <v>2.5375272181575478E-2</v>
      </c>
      <c r="AD75" s="1613">
        <f t="shared" si="12"/>
        <v>5.0670747909749771E-2</v>
      </c>
      <c r="AE75" s="1613">
        <f t="shared" si="13"/>
        <v>1.9462354984547982E-2</v>
      </c>
      <c r="AF75" s="1614">
        <f t="shared" si="14"/>
        <v>9.5508375075873231E-2</v>
      </c>
      <c r="AG75" s="1615">
        <f t="shared" si="15"/>
        <v>2.5375272181575478E-2</v>
      </c>
      <c r="AH75" s="1613">
        <f t="shared" si="16"/>
        <v>5.0670747909749771E-2</v>
      </c>
      <c r="AI75" s="1614">
        <f t="shared" si="17"/>
        <v>7.6046020091325245E-2</v>
      </c>
      <c r="AV75" s="1616">
        <v>2.168141592920354</v>
      </c>
      <c r="AW75" s="1616">
        <f t="shared" si="9"/>
        <v>23.849557522123895</v>
      </c>
      <c r="AX75" s="1616">
        <f t="shared" si="10"/>
        <v>0.20707568047423844</v>
      </c>
    </row>
    <row r="76" spans="1:50" x14ac:dyDescent="0.25">
      <c r="A76" s="1620" t="s">
        <v>3873</v>
      </c>
      <c r="B76" s="1504">
        <v>125</v>
      </c>
      <c r="C76" s="1505">
        <v>5</v>
      </c>
      <c r="D76" s="1506">
        <v>279</v>
      </c>
      <c r="E76" s="1504">
        <v>35</v>
      </c>
      <c r="F76" s="1504">
        <v>185.7</v>
      </c>
      <c r="G76" s="1504">
        <v>209.6</v>
      </c>
      <c r="H76" s="1504">
        <v>7.92</v>
      </c>
      <c r="I76" s="1504">
        <v>8</v>
      </c>
      <c r="J76" s="1504">
        <v>235</v>
      </c>
      <c r="K76" s="1504">
        <v>22.2</v>
      </c>
      <c r="L76" s="1504">
        <v>143.80000000000001</v>
      </c>
      <c r="M76" s="1504">
        <v>178</v>
      </c>
      <c r="N76" s="1508">
        <v>51</v>
      </c>
      <c r="O76" s="1362">
        <v>12.5</v>
      </c>
      <c r="P76" s="1609">
        <v>141.30000000000001</v>
      </c>
      <c r="Q76" s="1504">
        <v>98</v>
      </c>
      <c r="R76" s="1610">
        <v>14</v>
      </c>
      <c r="S76" s="1609">
        <v>144.5</v>
      </c>
      <c r="T76" s="1504">
        <v>51</v>
      </c>
      <c r="U76" s="1504">
        <v>11</v>
      </c>
      <c r="V76" s="1610">
        <v>12.5</v>
      </c>
      <c r="W76" s="1609">
        <v>43</v>
      </c>
      <c r="X76" s="1610">
        <v>12.9</v>
      </c>
      <c r="Y76" s="1625">
        <v>15.8</v>
      </c>
      <c r="Z76" s="1609" t="s">
        <v>1712</v>
      </c>
      <c r="AA76" s="1504" t="s">
        <v>1712</v>
      </c>
      <c r="AB76" s="1610" t="s">
        <v>1712</v>
      </c>
      <c r="AC76" s="1612">
        <f t="shared" si="11"/>
        <v>3.0677652262304327E-2</v>
      </c>
      <c r="AD76" s="1613">
        <f t="shared" si="12"/>
        <v>6.1136178437020766E-2</v>
      </c>
      <c r="AE76" s="1613">
        <f t="shared" si="13"/>
        <v>2.7966143642990982E-2</v>
      </c>
      <c r="AF76" s="1614">
        <f t="shared" si="14"/>
        <v>0.11977997434231608</v>
      </c>
      <c r="AG76" s="1615">
        <f t="shared" si="15"/>
        <v>3.0677652262304327E-2</v>
      </c>
      <c r="AH76" s="1613">
        <f t="shared" si="16"/>
        <v>6.1136178437020766E-2</v>
      </c>
      <c r="AI76" s="1614">
        <f t="shared" si="17"/>
        <v>9.1813830699325097E-2</v>
      </c>
      <c r="AV76" s="1616">
        <v>2.6896551724137931</v>
      </c>
      <c r="AW76" s="1616">
        <f t="shared" si="9"/>
        <v>37.655172413793103</v>
      </c>
      <c r="AX76" s="1616">
        <f t="shared" si="10"/>
        <v>0.32216682754140186</v>
      </c>
    </row>
    <row r="77" spans="1:50" x14ac:dyDescent="0.25">
      <c r="A77" s="1620" t="s">
        <v>3874</v>
      </c>
      <c r="B77" s="1504">
        <v>150</v>
      </c>
      <c r="C77" s="1505">
        <v>6</v>
      </c>
      <c r="D77" s="1506">
        <v>318</v>
      </c>
      <c r="E77" s="1504">
        <v>36.6</v>
      </c>
      <c r="F77" s="1504">
        <v>215.9</v>
      </c>
      <c r="G77" s="1504">
        <v>241.3</v>
      </c>
      <c r="H77" s="1504">
        <v>7.92</v>
      </c>
      <c r="I77" s="1504">
        <v>12</v>
      </c>
      <c r="J77" s="1504">
        <v>269.89999999999998</v>
      </c>
      <c r="K77" s="1504">
        <v>22.2</v>
      </c>
      <c r="L77" s="1504">
        <v>170.7</v>
      </c>
      <c r="M77" s="1504">
        <v>206</v>
      </c>
      <c r="N77" s="1508">
        <v>52</v>
      </c>
      <c r="O77" s="1362">
        <v>17.5</v>
      </c>
      <c r="P77" s="1609">
        <v>168.3</v>
      </c>
      <c r="Q77" s="1504">
        <v>98</v>
      </c>
      <c r="R77" s="1610">
        <v>19</v>
      </c>
      <c r="S77" s="1609">
        <v>171.4</v>
      </c>
      <c r="T77" s="1504">
        <v>52</v>
      </c>
      <c r="U77" s="1504">
        <v>13</v>
      </c>
      <c r="V77" s="1610">
        <v>17.5</v>
      </c>
      <c r="W77" s="1609">
        <v>46</v>
      </c>
      <c r="X77" s="1610">
        <v>18</v>
      </c>
      <c r="Y77" s="1625">
        <v>23</v>
      </c>
      <c r="Z77" s="1609" t="s">
        <v>1712</v>
      </c>
      <c r="AA77" s="1504" t="s">
        <v>1712</v>
      </c>
      <c r="AB77" s="1610" t="s">
        <v>1712</v>
      </c>
      <c r="AC77" s="1612">
        <f t="shared" si="11"/>
        <v>3.6564368576600885E-2</v>
      </c>
      <c r="AD77" s="1613">
        <f t="shared" si="12"/>
        <v>7.942260387540355E-2</v>
      </c>
      <c r="AE77" s="1613">
        <f t="shared" si="13"/>
        <v>3.2464024676988557E-2</v>
      </c>
      <c r="AF77" s="1614">
        <f t="shared" si="14"/>
        <v>0.14845099712899298</v>
      </c>
      <c r="AG77" s="1615">
        <f t="shared" si="15"/>
        <v>3.6564368576600885E-2</v>
      </c>
      <c r="AH77" s="1613">
        <f t="shared" si="16"/>
        <v>7.942260387540355E-2</v>
      </c>
      <c r="AI77" s="1614">
        <f t="shared" si="17"/>
        <v>0.11598697245200443</v>
      </c>
      <c r="AV77" s="1616">
        <v>2.5789473684210527</v>
      </c>
      <c r="AW77" s="1616">
        <f t="shared" si="9"/>
        <v>49</v>
      </c>
      <c r="AX77" s="1616">
        <f t="shared" si="10"/>
        <v>0.38284730838529768</v>
      </c>
    </row>
    <row r="78" spans="1:50" x14ac:dyDescent="0.25">
      <c r="A78" s="1620" t="s">
        <v>3875</v>
      </c>
      <c r="B78" s="1504">
        <v>200</v>
      </c>
      <c r="C78" s="1505">
        <v>8</v>
      </c>
      <c r="D78" s="1506">
        <v>381</v>
      </c>
      <c r="E78" s="1504">
        <v>41.1</v>
      </c>
      <c r="F78" s="1504">
        <v>269.89999999999998</v>
      </c>
      <c r="G78" s="1504">
        <v>301.8</v>
      </c>
      <c r="H78" s="1504">
        <v>7.92</v>
      </c>
      <c r="I78" s="1504">
        <v>12</v>
      </c>
      <c r="J78" s="1504">
        <v>330.2</v>
      </c>
      <c r="K78" s="1504">
        <v>25.4</v>
      </c>
      <c r="L78" s="1504">
        <v>221.5</v>
      </c>
      <c r="M78" s="1504">
        <v>260</v>
      </c>
      <c r="N78" s="1508">
        <v>62</v>
      </c>
      <c r="O78" s="1362">
        <v>26</v>
      </c>
      <c r="P78" s="1609">
        <v>219.1</v>
      </c>
      <c r="Q78" s="1504">
        <v>111</v>
      </c>
      <c r="R78" s="1610">
        <v>30</v>
      </c>
      <c r="S78" s="1609">
        <v>222.2</v>
      </c>
      <c r="T78" s="1504">
        <v>62</v>
      </c>
      <c r="U78" s="1504">
        <v>13</v>
      </c>
      <c r="V78" s="1610">
        <v>26</v>
      </c>
      <c r="W78" s="1609">
        <v>51</v>
      </c>
      <c r="X78" s="1610">
        <v>26</v>
      </c>
      <c r="Y78" s="1625">
        <v>37</v>
      </c>
      <c r="Z78" s="1609" t="s">
        <v>1712</v>
      </c>
      <c r="AA78" s="1504" t="s">
        <v>1712</v>
      </c>
      <c r="AB78" s="1610" t="s">
        <v>1712</v>
      </c>
      <c r="AC78" s="1612">
        <f t="shared" si="11"/>
        <v>4.9194513521827923E-2</v>
      </c>
      <c r="AD78" s="1613">
        <f t="shared" si="12"/>
        <v>0.11400918279693699</v>
      </c>
      <c r="AE78" s="1613">
        <f t="shared" si="13"/>
        <v>4.8113774233066509E-2</v>
      </c>
      <c r="AF78" s="1614">
        <f t="shared" si="14"/>
        <v>0.21131747055183142</v>
      </c>
      <c r="AG78" s="1615">
        <f t="shared" si="15"/>
        <v>4.9194513521827923E-2</v>
      </c>
      <c r="AH78" s="1613">
        <f t="shared" si="16"/>
        <v>0.11400918279693699</v>
      </c>
      <c r="AI78" s="1614">
        <f t="shared" si="17"/>
        <v>0.16320369631876491</v>
      </c>
      <c r="AV78" s="1616">
        <v>2.2327868852459014</v>
      </c>
      <c r="AW78" s="1616">
        <f t="shared" si="9"/>
        <v>66.983606557377044</v>
      </c>
      <c r="AX78" s="1616">
        <f t="shared" si="10"/>
        <v>0.47182687687146618</v>
      </c>
    </row>
    <row r="79" spans="1:50" x14ac:dyDescent="0.25">
      <c r="A79" s="1620" t="s">
        <v>3876</v>
      </c>
      <c r="B79" s="1504">
        <v>250</v>
      </c>
      <c r="C79" s="1505">
        <v>10</v>
      </c>
      <c r="D79" s="1506">
        <v>444</v>
      </c>
      <c r="E79" s="1504">
        <v>47.8</v>
      </c>
      <c r="F79" s="1504">
        <v>323.8</v>
      </c>
      <c r="G79" s="1504">
        <v>355.6</v>
      </c>
      <c r="H79" s="1504">
        <v>7.92</v>
      </c>
      <c r="I79" s="1504">
        <v>16</v>
      </c>
      <c r="J79" s="1504">
        <v>387.4</v>
      </c>
      <c r="K79" s="1504">
        <v>28.5</v>
      </c>
      <c r="L79" s="1504">
        <v>276.39999999999998</v>
      </c>
      <c r="M79" s="1504">
        <v>320</v>
      </c>
      <c r="N79" s="1508">
        <v>66</v>
      </c>
      <c r="O79" s="1362">
        <v>38</v>
      </c>
      <c r="P79" s="1609">
        <v>273</v>
      </c>
      <c r="Q79" s="1504">
        <v>117</v>
      </c>
      <c r="R79" s="1610">
        <v>41</v>
      </c>
      <c r="S79" s="1609">
        <v>277.39999999999998</v>
      </c>
      <c r="T79" s="1504">
        <v>95</v>
      </c>
      <c r="U79" s="1504">
        <v>13</v>
      </c>
      <c r="V79" s="1610">
        <v>41</v>
      </c>
      <c r="W79" s="1609">
        <v>56</v>
      </c>
      <c r="X79" s="1610">
        <v>38</v>
      </c>
      <c r="Y79" s="1625">
        <v>58</v>
      </c>
      <c r="Z79" s="1609" t="s">
        <v>1712</v>
      </c>
      <c r="AA79" s="1504" t="s">
        <v>1712</v>
      </c>
      <c r="AB79" s="1610" t="s">
        <v>1712</v>
      </c>
      <c r="AC79" s="1612">
        <f t="shared" si="11"/>
        <v>6.6674649205666889E-2</v>
      </c>
      <c r="AD79" s="1613">
        <f t="shared" si="12"/>
        <v>0.15483025233951936</v>
      </c>
      <c r="AE79" s="1613">
        <f t="shared" si="13"/>
        <v>5.9349711774556939E-2</v>
      </c>
      <c r="AF79" s="1614">
        <f t="shared" si="14"/>
        <v>0.28085461331974321</v>
      </c>
      <c r="AG79" s="1615">
        <f t="shared" si="15"/>
        <v>6.6674649205666889E-2</v>
      </c>
      <c r="AH79" s="1613">
        <f t="shared" si="16"/>
        <v>0.15483025233951936</v>
      </c>
      <c r="AI79" s="1614">
        <f t="shared" si="17"/>
        <v>0.22150490154518626</v>
      </c>
      <c r="AV79" s="1616">
        <v>2.3855421686746987</v>
      </c>
      <c r="AW79" s="1616">
        <f t="shared" si="9"/>
        <v>97.807228915662648</v>
      </c>
      <c r="AX79" s="1616">
        <f t="shared" si="10"/>
        <v>0.66999052334107412</v>
      </c>
    </row>
    <row r="80" spans="1:50" x14ac:dyDescent="0.25">
      <c r="A80" s="1620" t="s">
        <v>3877</v>
      </c>
      <c r="B80" s="1504">
        <v>300</v>
      </c>
      <c r="C80" s="1505">
        <v>12</v>
      </c>
      <c r="D80" s="1506">
        <v>521</v>
      </c>
      <c r="E80" s="1504">
        <v>50.8</v>
      </c>
      <c r="F80" s="1504">
        <v>381</v>
      </c>
      <c r="G80" s="1504">
        <v>412.8</v>
      </c>
      <c r="H80" s="1504">
        <v>7.92</v>
      </c>
      <c r="I80" s="1504">
        <v>16</v>
      </c>
      <c r="J80" s="1504">
        <v>450.8</v>
      </c>
      <c r="K80" s="1504">
        <v>31.8</v>
      </c>
      <c r="L80" s="1504">
        <v>327.2</v>
      </c>
      <c r="M80" s="1504">
        <v>375</v>
      </c>
      <c r="N80" s="1508">
        <v>73</v>
      </c>
      <c r="O80" s="1362">
        <v>52</v>
      </c>
      <c r="P80" s="1609">
        <v>323.89999999999998</v>
      </c>
      <c r="Q80" s="1504">
        <v>130</v>
      </c>
      <c r="R80" s="1610">
        <v>62</v>
      </c>
      <c r="S80" s="1609">
        <v>328.2</v>
      </c>
      <c r="T80" s="1504">
        <v>102</v>
      </c>
      <c r="U80" s="1504">
        <v>13</v>
      </c>
      <c r="V80" s="1610">
        <v>63</v>
      </c>
      <c r="W80" s="1609">
        <v>61</v>
      </c>
      <c r="X80" s="1610">
        <v>52</v>
      </c>
      <c r="Y80" s="1625">
        <v>83</v>
      </c>
      <c r="Z80" s="1609" t="s">
        <v>1712</v>
      </c>
      <c r="AA80" s="1504" t="s">
        <v>1712</v>
      </c>
      <c r="AB80" s="1610" t="s">
        <v>1712</v>
      </c>
      <c r="AC80" s="1612">
        <f t="shared" si="11"/>
        <v>8.3147904444030321E-2</v>
      </c>
      <c r="AD80" s="1613">
        <f t="shared" si="12"/>
        <v>0.21318926287076675</v>
      </c>
      <c r="AE80" s="1613">
        <f t="shared" si="13"/>
        <v>8.0590899351420539E-2</v>
      </c>
      <c r="AF80" s="1614">
        <f t="shared" si="14"/>
        <v>0.37692806666621759</v>
      </c>
      <c r="AG80" s="1615">
        <f t="shared" si="15"/>
        <v>8.3147904444030321E-2</v>
      </c>
      <c r="AH80" s="1613">
        <f t="shared" si="16"/>
        <v>0.21318926287076675</v>
      </c>
      <c r="AI80" s="1614">
        <f t="shared" si="17"/>
        <v>0.29633716731479709</v>
      </c>
      <c r="AV80" s="1616">
        <v>2.0960000000000001</v>
      </c>
      <c r="AW80" s="1616">
        <f t="shared" si="9"/>
        <v>129.952</v>
      </c>
      <c r="AX80" s="1616">
        <f t="shared" si="10"/>
        <v>0.79004122773239205</v>
      </c>
    </row>
    <row r="81" spans="1:50" x14ac:dyDescent="0.25">
      <c r="A81" s="1620" t="s">
        <v>3878</v>
      </c>
      <c r="B81" s="1504">
        <v>350</v>
      </c>
      <c r="C81" s="1505">
        <v>14</v>
      </c>
      <c r="D81" s="1506">
        <v>584</v>
      </c>
      <c r="E81" s="1504">
        <v>53.8</v>
      </c>
      <c r="F81" s="1504">
        <v>412.8</v>
      </c>
      <c r="G81" s="1504">
        <v>457.2</v>
      </c>
      <c r="H81" s="1504">
        <v>7.92</v>
      </c>
      <c r="I81" s="1504">
        <v>20</v>
      </c>
      <c r="J81" s="1504">
        <v>514.4</v>
      </c>
      <c r="K81" s="1504">
        <v>31.8</v>
      </c>
      <c r="L81" s="1504">
        <v>359.2</v>
      </c>
      <c r="M81" s="1504">
        <v>425</v>
      </c>
      <c r="N81" s="1508">
        <v>76</v>
      </c>
      <c r="O81" s="1362">
        <v>74</v>
      </c>
      <c r="P81" s="1609">
        <v>355.6</v>
      </c>
      <c r="Q81" s="1504">
        <v>143</v>
      </c>
      <c r="R81" s="1610">
        <v>84</v>
      </c>
      <c r="S81" s="1609">
        <v>360.2</v>
      </c>
      <c r="T81" s="1504">
        <v>111</v>
      </c>
      <c r="U81" s="1504">
        <v>13</v>
      </c>
      <c r="V81" s="1610">
        <v>86</v>
      </c>
      <c r="W81" s="1609">
        <v>64</v>
      </c>
      <c r="X81" s="1610">
        <v>74</v>
      </c>
      <c r="Y81" s="1625">
        <v>107</v>
      </c>
      <c r="Z81" s="1609" t="s">
        <v>1712</v>
      </c>
      <c r="AA81" s="1504" t="s">
        <v>1712</v>
      </c>
      <c r="AB81" s="1610" t="s">
        <v>1712</v>
      </c>
      <c r="AC81" s="1612">
        <f t="shared" si="11"/>
        <v>9.8706327901668431E-2</v>
      </c>
      <c r="AD81" s="1613">
        <f t="shared" si="12"/>
        <v>0.26786475601568016</v>
      </c>
      <c r="AE81" s="1613">
        <f t="shared" si="13"/>
        <v>9.9649811007394534E-2</v>
      </c>
      <c r="AF81" s="1614">
        <f t="shared" si="14"/>
        <v>0.46622089492474317</v>
      </c>
      <c r="AG81" s="1615">
        <f t="shared" si="15"/>
        <v>9.8706327901668431E-2</v>
      </c>
      <c r="AH81" s="1613">
        <f t="shared" si="16"/>
        <v>0.26786475601568016</v>
      </c>
      <c r="AI81" s="1614">
        <f t="shared" si="17"/>
        <v>0.36657108391734861</v>
      </c>
      <c r="AV81" s="1616">
        <v>1.834319526627219</v>
      </c>
      <c r="AW81" s="1616">
        <f t="shared" si="9"/>
        <v>154.08284023668639</v>
      </c>
      <c r="AX81" s="1616">
        <f t="shared" si="10"/>
        <v>0.85519809128207325</v>
      </c>
    </row>
    <row r="82" spans="1:50" x14ac:dyDescent="0.25">
      <c r="A82" s="1620" t="s">
        <v>3879</v>
      </c>
      <c r="B82" s="1504">
        <v>400</v>
      </c>
      <c r="C82" s="1505">
        <v>16</v>
      </c>
      <c r="D82" s="1506">
        <v>648</v>
      </c>
      <c r="E82" s="1504">
        <v>57.2</v>
      </c>
      <c r="F82" s="1504">
        <v>469.9</v>
      </c>
      <c r="G82" s="1504">
        <v>508</v>
      </c>
      <c r="H82" s="1504">
        <v>7.92</v>
      </c>
      <c r="I82" s="1504">
        <v>20</v>
      </c>
      <c r="J82" s="1504">
        <v>571.5</v>
      </c>
      <c r="K82" s="1504">
        <v>35</v>
      </c>
      <c r="L82" s="1504">
        <v>410.5</v>
      </c>
      <c r="M82" s="1504">
        <v>483</v>
      </c>
      <c r="N82" s="1508">
        <v>83</v>
      </c>
      <c r="O82" s="1362">
        <v>100</v>
      </c>
      <c r="P82" s="1609">
        <v>406.4</v>
      </c>
      <c r="Q82" s="1504">
        <v>146</v>
      </c>
      <c r="R82" s="1610">
        <v>111</v>
      </c>
      <c r="S82" s="1609">
        <v>411.2</v>
      </c>
      <c r="T82" s="1504">
        <v>121</v>
      </c>
      <c r="U82" s="1504">
        <v>13</v>
      </c>
      <c r="V82" s="1610">
        <v>109</v>
      </c>
      <c r="W82" s="1609">
        <v>68</v>
      </c>
      <c r="X82" s="1610">
        <v>100</v>
      </c>
      <c r="Y82" s="1625">
        <v>139</v>
      </c>
      <c r="Z82" s="1609" t="s">
        <v>1712</v>
      </c>
      <c r="AA82" s="1504" t="s">
        <v>1712</v>
      </c>
      <c r="AB82" s="1610" t="s">
        <v>1712</v>
      </c>
      <c r="AC82" s="1612">
        <f t="shared" si="11"/>
        <v>0.11644501666089783</v>
      </c>
      <c r="AD82" s="1613">
        <f t="shared" si="12"/>
        <v>0.32979183040324217</v>
      </c>
      <c r="AE82" s="1613">
        <f t="shared" si="13"/>
        <v>0.11337480099239759</v>
      </c>
      <c r="AF82" s="1614">
        <f t="shared" si="14"/>
        <v>0.55961164805653762</v>
      </c>
      <c r="AG82" s="1615">
        <f t="shared" si="15"/>
        <v>0.11644501666089783</v>
      </c>
      <c r="AH82" s="1613">
        <f t="shared" si="16"/>
        <v>0.32979183040324217</v>
      </c>
      <c r="AI82" s="1614">
        <f t="shared" si="17"/>
        <v>0.44623684706414002</v>
      </c>
      <c r="AV82" s="1616">
        <v>1.7309417040358743</v>
      </c>
      <c r="AW82" s="1616">
        <f t="shared" si="9"/>
        <v>192.13452914798205</v>
      </c>
      <c r="AX82" s="1616">
        <f t="shared" si="10"/>
        <v>0.96865513968530725</v>
      </c>
    </row>
    <row r="83" spans="1:50" x14ac:dyDescent="0.25">
      <c r="A83" s="1620" t="s">
        <v>3880</v>
      </c>
      <c r="B83" s="1504">
        <v>450</v>
      </c>
      <c r="C83" s="1505">
        <v>18</v>
      </c>
      <c r="D83" s="1506">
        <v>711</v>
      </c>
      <c r="E83" s="1504">
        <v>60.5</v>
      </c>
      <c r="F83" s="1504">
        <v>533.4</v>
      </c>
      <c r="G83" s="1504">
        <v>574.5</v>
      </c>
      <c r="H83" s="1504">
        <v>7.92</v>
      </c>
      <c r="I83" s="1504">
        <v>24</v>
      </c>
      <c r="J83" s="1504">
        <v>628.6</v>
      </c>
      <c r="K83" s="1504">
        <v>35</v>
      </c>
      <c r="L83" s="1504">
        <v>461.8</v>
      </c>
      <c r="M83" s="1504">
        <v>533</v>
      </c>
      <c r="N83" s="1508">
        <v>89</v>
      </c>
      <c r="O83" s="1362">
        <v>127</v>
      </c>
      <c r="P83" s="1609">
        <v>457</v>
      </c>
      <c r="Q83" s="1504">
        <v>159</v>
      </c>
      <c r="R83" s="1610">
        <v>138</v>
      </c>
      <c r="S83" s="1609">
        <v>462.3</v>
      </c>
      <c r="T83" s="1504">
        <v>130</v>
      </c>
      <c r="U83" s="1504">
        <v>13</v>
      </c>
      <c r="V83" s="1610">
        <v>138</v>
      </c>
      <c r="W83" s="1609">
        <v>70</v>
      </c>
      <c r="X83" s="1610">
        <v>127</v>
      </c>
      <c r="Y83" s="1625">
        <v>177</v>
      </c>
      <c r="Z83" s="1609" t="s">
        <v>1712</v>
      </c>
      <c r="AA83" s="1504" t="s">
        <v>1712</v>
      </c>
      <c r="AB83" s="1610" t="s">
        <v>1712</v>
      </c>
      <c r="AC83" s="1612">
        <f t="shared" si="11"/>
        <v>0.13513717879049175</v>
      </c>
      <c r="AD83" s="1613">
        <f t="shared" si="12"/>
        <v>0.39703526495884145</v>
      </c>
      <c r="AE83" s="1613">
        <f t="shared" si="13"/>
        <v>0.14141722250501773</v>
      </c>
      <c r="AF83" s="1614">
        <f t="shared" si="14"/>
        <v>0.67358966625435102</v>
      </c>
      <c r="AG83" s="1615">
        <f t="shared" si="15"/>
        <v>0.13513717879049175</v>
      </c>
      <c r="AH83" s="1613">
        <f t="shared" si="16"/>
        <v>0.39703526495884145</v>
      </c>
      <c r="AI83" s="1614">
        <f t="shared" si="17"/>
        <v>0.53217244374933315</v>
      </c>
      <c r="AV83" s="1616">
        <v>1.6231884057971016</v>
      </c>
      <c r="AW83" s="1616">
        <f t="shared" si="9"/>
        <v>224</v>
      </c>
      <c r="AX83" s="1616">
        <f t="shared" si="10"/>
        <v>1.0933629365288018</v>
      </c>
    </row>
    <row r="84" spans="1:50" x14ac:dyDescent="0.25">
      <c r="A84" s="1620" t="s">
        <v>3881</v>
      </c>
      <c r="B84" s="1504">
        <v>500</v>
      </c>
      <c r="C84" s="1505">
        <v>20</v>
      </c>
      <c r="D84" s="1506">
        <v>775</v>
      </c>
      <c r="E84" s="1504">
        <v>63.5</v>
      </c>
      <c r="F84" s="1504">
        <v>584.20000000000005</v>
      </c>
      <c r="G84" s="1504">
        <v>635</v>
      </c>
      <c r="H84" s="1504">
        <v>9.52</v>
      </c>
      <c r="I84" s="1504">
        <v>24</v>
      </c>
      <c r="J84" s="1504">
        <v>685.8</v>
      </c>
      <c r="K84" s="1504">
        <v>35</v>
      </c>
      <c r="L84" s="1504">
        <v>513.1</v>
      </c>
      <c r="M84" s="1504">
        <v>587</v>
      </c>
      <c r="N84" s="1508">
        <v>95</v>
      </c>
      <c r="O84" s="1362">
        <v>147</v>
      </c>
      <c r="P84" s="1609">
        <v>508</v>
      </c>
      <c r="Q84" s="1504">
        <v>162</v>
      </c>
      <c r="R84" s="1610">
        <v>171</v>
      </c>
      <c r="S84" s="1609">
        <v>514.4</v>
      </c>
      <c r="T84" s="1504">
        <v>140</v>
      </c>
      <c r="U84" s="1504">
        <v>13</v>
      </c>
      <c r="V84" s="1610">
        <v>170</v>
      </c>
      <c r="W84" s="1609">
        <v>73</v>
      </c>
      <c r="X84" s="1610">
        <v>147</v>
      </c>
      <c r="Y84" s="1625">
        <v>223</v>
      </c>
      <c r="Z84" s="1609" t="s">
        <v>1712</v>
      </c>
      <c r="AA84" s="1504" t="s">
        <v>1712</v>
      </c>
      <c r="AB84" s="1610" t="s">
        <v>1712</v>
      </c>
      <c r="AC84" s="1612">
        <f t="shared" si="11"/>
        <v>0.1546056284647877</v>
      </c>
      <c r="AD84" s="1613">
        <f t="shared" si="12"/>
        <v>0.47172977189059234</v>
      </c>
      <c r="AE84" s="1613">
        <f t="shared" si="13"/>
        <v>0.15719901320032606</v>
      </c>
      <c r="AF84" s="1614">
        <f t="shared" si="14"/>
        <v>0.78353441355570608</v>
      </c>
      <c r="AG84" s="1615">
        <f t="shared" si="15"/>
        <v>0.1546056284647877</v>
      </c>
      <c r="AH84" s="1613">
        <f t="shared" si="16"/>
        <v>0.47172977189059234</v>
      </c>
      <c r="AI84" s="1614">
        <f t="shared" si="17"/>
        <v>0.62633540035538005</v>
      </c>
      <c r="AV84" s="1616">
        <v>1.5174418604651163</v>
      </c>
      <c r="AW84" s="1616">
        <f t="shared" si="9"/>
        <v>259.48255813953489</v>
      </c>
      <c r="AX84" s="1616">
        <f t="shared" si="10"/>
        <v>1.1889679182444144</v>
      </c>
    </row>
    <row r="85" spans="1:50" ht="13.2" thickBot="1" x14ac:dyDescent="0.3">
      <c r="A85" s="1600" t="s">
        <v>3882</v>
      </c>
      <c r="B85" s="1601">
        <v>600</v>
      </c>
      <c r="C85" s="1602">
        <v>24</v>
      </c>
      <c r="D85" s="1603">
        <v>914</v>
      </c>
      <c r="E85" s="1601">
        <v>69.900000000000006</v>
      </c>
      <c r="F85" s="1601">
        <v>692.2</v>
      </c>
      <c r="G85" s="1601">
        <v>749.3</v>
      </c>
      <c r="H85" s="1601">
        <v>11.13</v>
      </c>
      <c r="I85" s="1601">
        <v>24</v>
      </c>
      <c r="J85" s="1601">
        <v>812.8</v>
      </c>
      <c r="K85" s="1601">
        <v>41.1</v>
      </c>
      <c r="L85" s="1601">
        <v>616</v>
      </c>
      <c r="M85" s="1601">
        <v>701</v>
      </c>
      <c r="N85" s="1604">
        <v>106</v>
      </c>
      <c r="O85" s="1621">
        <v>208</v>
      </c>
      <c r="P85" s="168">
        <v>610</v>
      </c>
      <c r="Q85" s="166">
        <v>168</v>
      </c>
      <c r="R85" s="169">
        <v>247</v>
      </c>
      <c r="S85" s="168">
        <v>616</v>
      </c>
      <c r="T85" s="166">
        <v>152</v>
      </c>
      <c r="U85" s="166">
        <v>13</v>
      </c>
      <c r="V85" s="169">
        <v>241</v>
      </c>
      <c r="W85" s="168">
        <v>83</v>
      </c>
      <c r="X85" s="169">
        <v>213</v>
      </c>
      <c r="Y85" s="1626">
        <v>342</v>
      </c>
      <c r="Z85" s="1627" t="s">
        <v>1712</v>
      </c>
      <c r="AA85" s="1601" t="s">
        <v>1712</v>
      </c>
      <c r="AB85" s="1628" t="s">
        <v>1712</v>
      </c>
      <c r="AC85" s="178">
        <f t="shared" si="11"/>
        <v>0.20071195640813688</v>
      </c>
      <c r="AD85" s="179">
        <f t="shared" si="12"/>
        <v>0.65611848410957474</v>
      </c>
      <c r="AE85" s="179">
        <f t="shared" si="13"/>
        <v>0.18799604598346681</v>
      </c>
      <c r="AF85" s="180">
        <f t="shared" si="14"/>
        <v>1.0448264865011785</v>
      </c>
      <c r="AG85" s="1622">
        <f t="shared" si="15"/>
        <v>0.20071195640813688</v>
      </c>
      <c r="AH85" s="1623">
        <f t="shared" si="16"/>
        <v>0.65611848410957474</v>
      </c>
      <c r="AI85" s="1624">
        <f t="shared" si="17"/>
        <v>0.85683044051771162</v>
      </c>
      <c r="AV85" s="593">
        <v>1.51417004048583</v>
      </c>
      <c r="AW85" s="593">
        <f t="shared" si="9"/>
        <v>374</v>
      </c>
      <c r="AX85" s="1616">
        <f t="shared" si="10"/>
        <v>1.5820449633661571</v>
      </c>
    </row>
    <row r="86" spans="1:50" ht="22.5" customHeight="1" thickBot="1" x14ac:dyDescent="0.3">
      <c r="A86" s="156"/>
      <c r="B86" s="157"/>
      <c r="C86" s="158"/>
      <c r="D86" s="159"/>
      <c r="E86" s="159"/>
      <c r="F86" s="159"/>
      <c r="G86" s="159"/>
      <c r="H86" s="159"/>
      <c r="I86" s="159"/>
      <c r="J86" s="159"/>
      <c r="K86" s="159"/>
      <c r="L86" s="159"/>
      <c r="M86" s="159"/>
      <c r="N86" s="159"/>
      <c r="O86" s="160" t="s">
        <v>3817</v>
      </c>
      <c r="P86" s="161" t="s">
        <v>3818</v>
      </c>
      <c r="Q86" s="162" t="s">
        <v>3818</v>
      </c>
      <c r="R86" s="163" t="s">
        <v>3818</v>
      </c>
      <c r="S86" s="161" t="s">
        <v>2152</v>
      </c>
      <c r="T86" s="137" t="s">
        <v>2152</v>
      </c>
      <c r="U86" s="137" t="s">
        <v>2152</v>
      </c>
      <c r="V86" s="139" t="s">
        <v>2152</v>
      </c>
      <c r="W86" s="161" t="s">
        <v>2159</v>
      </c>
      <c r="X86" s="139" t="s">
        <v>2159</v>
      </c>
      <c r="Y86" s="164" t="s">
        <v>345</v>
      </c>
      <c r="Z86" s="161" t="s">
        <v>2167</v>
      </c>
      <c r="AA86" s="137" t="s">
        <v>2167</v>
      </c>
      <c r="AB86" s="139" t="s">
        <v>2167</v>
      </c>
      <c r="AC86" s="161" t="s">
        <v>3818</v>
      </c>
      <c r="AD86" s="162" t="s">
        <v>3818</v>
      </c>
      <c r="AE86" s="162" t="s">
        <v>3818</v>
      </c>
      <c r="AF86" s="163" t="s">
        <v>3818</v>
      </c>
      <c r="AG86" s="162" t="s">
        <v>345</v>
      </c>
      <c r="AH86" s="137" t="s">
        <v>345</v>
      </c>
      <c r="AI86" s="139" t="s">
        <v>345</v>
      </c>
      <c r="AV86" s="592"/>
      <c r="AW86" s="592" t="str">
        <f>$AW$19</f>
        <v>LWN</v>
      </c>
      <c r="AX86" s="592" t="str">
        <f>$AW$19</f>
        <v>LWN</v>
      </c>
    </row>
    <row r="87" spans="1:50" x14ac:dyDescent="0.25">
      <c r="A87" s="1349"/>
      <c r="B87" s="1593" t="s">
        <v>3820</v>
      </c>
      <c r="C87" s="1594"/>
      <c r="D87" s="1595" t="s">
        <v>3821</v>
      </c>
      <c r="E87" s="1593" t="s">
        <v>3822</v>
      </c>
      <c r="F87" s="1593" t="s">
        <v>3823</v>
      </c>
      <c r="G87" s="1593" t="s">
        <v>3824</v>
      </c>
      <c r="H87" s="1593" t="s">
        <v>2417</v>
      </c>
      <c r="I87" s="1874" t="s">
        <v>3825</v>
      </c>
      <c r="J87" s="1875"/>
      <c r="K87" s="1876"/>
      <c r="L87" s="1593" t="s">
        <v>3826</v>
      </c>
      <c r="M87" s="1593" t="s">
        <v>3827</v>
      </c>
      <c r="N87" s="1596" t="s">
        <v>3828</v>
      </c>
      <c r="O87" s="165" t="s">
        <v>184</v>
      </c>
      <c r="P87" s="1350" t="s">
        <v>12</v>
      </c>
      <c r="Q87" s="1593" t="s">
        <v>3829</v>
      </c>
      <c r="R87" s="1598" t="s">
        <v>184</v>
      </c>
      <c r="S87" s="1350" t="s">
        <v>3830</v>
      </c>
      <c r="T87" s="1593" t="s">
        <v>3831</v>
      </c>
      <c r="U87" s="1593" t="s">
        <v>3676</v>
      </c>
      <c r="V87" s="1598" t="s">
        <v>184</v>
      </c>
      <c r="W87" s="1350" t="s">
        <v>3832</v>
      </c>
      <c r="X87" s="1598" t="s">
        <v>184</v>
      </c>
      <c r="Y87" s="1597" t="s">
        <v>184</v>
      </c>
      <c r="Z87" s="1350" t="s">
        <v>3833</v>
      </c>
      <c r="AA87" s="1593" t="s">
        <v>2414</v>
      </c>
      <c r="AB87" s="1598" t="s">
        <v>184</v>
      </c>
      <c r="AC87" s="1350" t="s">
        <v>3834</v>
      </c>
      <c r="AD87" s="1593" t="s">
        <v>3835</v>
      </c>
      <c r="AE87" s="1593" t="s">
        <v>3836</v>
      </c>
      <c r="AF87" s="1598" t="s">
        <v>336</v>
      </c>
      <c r="AG87" s="1595" t="s">
        <v>3834</v>
      </c>
      <c r="AH87" s="1593" t="s">
        <v>3835</v>
      </c>
      <c r="AI87" s="1598" t="s">
        <v>336</v>
      </c>
      <c r="AV87" s="1599"/>
      <c r="AW87" s="1599" t="s">
        <v>184</v>
      </c>
      <c r="AX87" s="1598" t="str">
        <f>$AX$20</f>
        <v>Unit Surface</v>
      </c>
    </row>
    <row r="88" spans="1:50" ht="13.2" thickBot="1" x14ac:dyDescent="0.3">
      <c r="A88" s="186"/>
      <c r="B88" s="166" t="s">
        <v>59</v>
      </c>
      <c r="C88" s="187" t="s">
        <v>1685</v>
      </c>
      <c r="D88" s="171" t="s">
        <v>93</v>
      </c>
      <c r="E88" s="166" t="s">
        <v>93</v>
      </c>
      <c r="F88" s="166" t="s">
        <v>93</v>
      </c>
      <c r="G88" s="166" t="s">
        <v>93</v>
      </c>
      <c r="H88" s="166" t="s">
        <v>93</v>
      </c>
      <c r="I88" s="166" t="s">
        <v>3837</v>
      </c>
      <c r="J88" s="166" t="s">
        <v>3838</v>
      </c>
      <c r="K88" s="166" t="s">
        <v>3839</v>
      </c>
      <c r="L88" s="166" t="s">
        <v>93</v>
      </c>
      <c r="M88" s="166" t="s">
        <v>93</v>
      </c>
      <c r="N88" s="188" t="s">
        <v>93</v>
      </c>
      <c r="O88" s="167" t="s">
        <v>222</v>
      </c>
      <c r="P88" s="168" t="s">
        <v>93</v>
      </c>
      <c r="Q88" s="166" t="s">
        <v>93</v>
      </c>
      <c r="R88" s="169" t="s">
        <v>222</v>
      </c>
      <c r="S88" s="168" t="s">
        <v>93</v>
      </c>
      <c r="T88" s="166" t="s">
        <v>93</v>
      </c>
      <c r="U88" s="166" t="s">
        <v>93</v>
      </c>
      <c r="V88" s="169" t="s">
        <v>222</v>
      </c>
      <c r="W88" s="168" t="s">
        <v>93</v>
      </c>
      <c r="X88" s="169" t="s">
        <v>222</v>
      </c>
      <c r="Y88" s="189" t="s">
        <v>222</v>
      </c>
      <c r="Z88" s="168" t="s">
        <v>93</v>
      </c>
      <c r="AA88" s="166" t="s">
        <v>93</v>
      </c>
      <c r="AB88" s="169" t="s">
        <v>222</v>
      </c>
      <c r="AC88" s="168" t="s">
        <v>228</v>
      </c>
      <c r="AD88" s="166" t="s">
        <v>228</v>
      </c>
      <c r="AE88" s="166" t="s">
        <v>228</v>
      </c>
      <c r="AF88" s="169" t="s">
        <v>228</v>
      </c>
      <c r="AG88" s="171" t="s">
        <v>228</v>
      </c>
      <c r="AH88" s="166" t="s">
        <v>228</v>
      </c>
      <c r="AI88" s="169" t="s">
        <v>228</v>
      </c>
      <c r="AV88" s="593"/>
      <c r="AW88" s="593" t="s">
        <v>222</v>
      </c>
      <c r="AX88" s="593" t="str">
        <f>$AX$21</f>
        <v>m2</v>
      </c>
    </row>
    <row r="89" spans="1:50" ht="13.2" thickBot="1" x14ac:dyDescent="0.3">
      <c r="A89" s="190" t="s">
        <v>3883</v>
      </c>
      <c r="B89" s="137">
        <v>0</v>
      </c>
      <c r="C89" s="137">
        <v>0</v>
      </c>
      <c r="D89" s="137">
        <v>0</v>
      </c>
      <c r="E89" s="137">
        <v>0</v>
      </c>
      <c r="F89" s="137">
        <v>0</v>
      </c>
      <c r="G89" s="137">
        <v>0</v>
      </c>
      <c r="H89" s="137">
        <v>0</v>
      </c>
      <c r="I89" s="137">
        <v>0</v>
      </c>
      <c r="J89" s="137">
        <v>0</v>
      </c>
      <c r="K89" s="137">
        <v>0</v>
      </c>
      <c r="L89" s="137">
        <v>0</v>
      </c>
      <c r="M89" s="137">
        <v>0</v>
      </c>
      <c r="N89" s="192">
        <v>0</v>
      </c>
      <c r="O89" s="160">
        <v>0</v>
      </c>
      <c r="P89" s="161">
        <v>0</v>
      </c>
      <c r="Q89" s="137">
        <v>0</v>
      </c>
      <c r="R89" s="139">
        <v>0</v>
      </c>
      <c r="S89" s="161">
        <v>0</v>
      </c>
      <c r="T89" s="137">
        <v>0</v>
      </c>
      <c r="U89" s="137">
        <v>0</v>
      </c>
      <c r="V89" s="139">
        <v>0</v>
      </c>
      <c r="W89" s="161">
        <v>0</v>
      </c>
      <c r="X89" s="139">
        <v>0</v>
      </c>
      <c r="Y89" s="164">
        <v>0</v>
      </c>
      <c r="Z89" s="161">
        <v>0</v>
      </c>
      <c r="AA89" s="137">
        <v>0</v>
      </c>
      <c r="AB89" s="139">
        <v>0</v>
      </c>
      <c r="AC89" s="161">
        <v>0</v>
      </c>
      <c r="AD89" s="137">
        <v>0</v>
      </c>
      <c r="AE89" s="137">
        <v>0</v>
      </c>
      <c r="AF89" s="139">
        <v>0</v>
      </c>
      <c r="AG89" s="162">
        <v>0</v>
      </c>
      <c r="AH89" s="137">
        <v>0</v>
      </c>
      <c r="AI89" s="139">
        <v>0</v>
      </c>
      <c r="AV89" s="595"/>
      <c r="AW89" s="595">
        <v>0</v>
      </c>
      <c r="AX89" s="595">
        <v>0</v>
      </c>
    </row>
    <row r="90" spans="1:50" x14ac:dyDescent="0.25">
      <c r="A90" s="1349" t="s">
        <v>3884</v>
      </c>
      <c r="B90" s="1593">
        <v>15</v>
      </c>
      <c r="C90" s="1594">
        <v>0.5</v>
      </c>
      <c r="D90" s="1595">
        <v>95</v>
      </c>
      <c r="E90" s="1593">
        <v>14.2</v>
      </c>
      <c r="F90" s="1593">
        <v>34.9</v>
      </c>
      <c r="G90" s="1593">
        <v>50.8</v>
      </c>
      <c r="H90" s="1593">
        <v>5.56</v>
      </c>
      <c r="I90" s="1593">
        <v>4</v>
      </c>
      <c r="J90" s="1593">
        <v>66.7</v>
      </c>
      <c r="K90" s="1593">
        <v>15.8</v>
      </c>
      <c r="L90" s="1593">
        <v>22.4</v>
      </c>
      <c r="M90" s="1593">
        <v>38</v>
      </c>
      <c r="N90" s="1596">
        <v>22</v>
      </c>
      <c r="O90" s="165">
        <v>1.3</v>
      </c>
      <c r="P90" s="1350">
        <v>21.3</v>
      </c>
      <c r="Q90" s="1593">
        <v>52</v>
      </c>
      <c r="R90" s="1598">
        <v>1.5</v>
      </c>
      <c r="S90" s="1350">
        <v>22.9</v>
      </c>
      <c r="T90" s="1593">
        <v>22</v>
      </c>
      <c r="U90" s="1593">
        <v>3</v>
      </c>
      <c r="V90" s="1598">
        <v>1.3</v>
      </c>
      <c r="W90" s="1350">
        <v>16</v>
      </c>
      <c r="X90" s="1598">
        <v>1.4</v>
      </c>
      <c r="Y90" s="1597">
        <v>1.4</v>
      </c>
      <c r="Z90" s="1350">
        <v>15.8</v>
      </c>
      <c r="AA90" s="1593">
        <v>10</v>
      </c>
      <c r="AB90" s="1598">
        <v>1.3</v>
      </c>
      <c r="AC90" s="1352">
        <f>PI()*D90*E90/1000000</f>
        <v>4.2380084896926308E-3</v>
      </c>
      <c r="AD90" s="1617">
        <f>D90^2*PI()/4/1000000</f>
        <v>7.0882184246619708E-3</v>
      </c>
      <c r="AE90" s="1617">
        <f>P90*PI()*(Q90-E90)/1000000</f>
        <v>2.5294219091112863E-3</v>
      </c>
      <c r="AF90" s="1618">
        <f>AE90+AD90+AC90</f>
        <v>1.3855648823465887E-2</v>
      </c>
      <c r="AG90" s="1619">
        <f>PI()*D90*E90/1000000</f>
        <v>4.2380084896926308E-3</v>
      </c>
      <c r="AH90" s="1617">
        <f>D90^2*PI()/4/1000000</f>
        <v>7.0882184246619708E-3</v>
      </c>
      <c r="AI90" s="1618">
        <f>AH90+AG90</f>
        <v>1.1326226914354601E-2</v>
      </c>
      <c r="AV90" s="1599"/>
      <c r="AW90" s="1599">
        <f t="shared" ref="AW90:AW109" si="18">AV90*R90</f>
        <v>0</v>
      </c>
      <c r="AX90" s="1599">
        <f t="shared" ref="AX90:AX109" si="19">AV90*AF90</f>
        <v>0</v>
      </c>
    </row>
    <row r="91" spans="1:50" x14ac:dyDescent="0.25">
      <c r="A91" s="1620" t="s">
        <v>3885</v>
      </c>
      <c r="B91" s="1504">
        <v>20</v>
      </c>
      <c r="C91" s="1505">
        <v>0.75</v>
      </c>
      <c r="D91" s="1595">
        <v>117</v>
      </c>
      <c r="E91" s="1593">
        <v>15.7</v>
      </c>
      <c r="F91" s="1593">
        <v>42.9</v>
      </c>
      <c r="G91" s="1593">
        <v>63.5</v>
      </c>
      <c r="H91" s="1593">
        <v>6.35</v>
      </c>
      <c r="I91" s="1593">
        <v>4</v>
      </c>
      <c r="J91" s="1593">
        <v>82.6</v>
      </c>
      <c r="K91" s="1593">
        <v>19</v>
      </c>
      <c r="L91" s="1593">
        <v>27.7</v>
      </c>
      <c r="M91" s="1593">
        <v>48</v>
      </c>
      <c r="N91" s="1596">
        <v>25</v>
      </c>
      <c r="O91" s="1362">
        <v>1.4</v>
      </c>
      <c r="P91" s="1609">
        <v>26.7</v>
      </c>
      <c r="Q91" s="1504">
        <v>57</v>
      </c>
      <c r="R91" s="1610">
        <v>2</v>
      </c>
      <c r="S91" s="1609">
        <v>29.2</v>
      </c>
      <c r="T91" s="1504">
        <v>25</v>
      </c>
      <c r="U91" s="1504">
        <v>3</v>
      </c>
      <c r="V91" s="1610">
        <v>1.4</v>
      </c>
      <c r="W91" s="1609">
        <v>16</v>
      </c>
      <c r="X91" s="1610">
        <v>1.6</v>
      </c>
      <c r="Y91" s="1625">
        <v>1.6</v>
      </c>
      <c r="Z91" s="1609">
        <v>20.8</v>
      </c>
      <c r="AA91" s="1504">
        <v>11</v>
      </c>
      <c r="AB91" s="1610">
        <v>1.4</v>
      </c>
      <c r="AC91" s="1612">
        <f t="shared" ref="AC91:AC109" si="20">PI()*D91*E91/1000000</f>
        <v>5.7707915453790908E-3</v>
      </c>
      <c r="AD91" s="1613">
        <f t="shared" ref="AD91:AD109" si="21">D91^2*PI()/4/1000000</f>
        <v>1.0751315458747669E-2</v>
      </c>
      <c r="AE91" s="1613">
        <f t="shared" ref="AE91:AE109" si="22">P91*PI()*(Q91-E91)/1000000</f>
        <v>3.4642656350400004E-3</v>
      </c>
      <c r="AF91" s="1614">
        <f t="shared" ref="AF91:AF109" si="23">AE91+AD91+AC91</f>
        <v>1.998637263916676E-2</v>
      </c>
      <c r="AG91" s="1615">
        <f t="shared" ref="AG91:AG109" si="24">PI()*D91*E91/1000000</f>
        <v>5.7707915453790908E-3</v>
      </c>
      <c r="AH91" s="1613">
        <f t="shared" ref="AH91:AH109" si="25">D91^2*PI()/4/1000000</f>
        <v>1.0751315458747669E-2</v>
      </c>
      <c r="AI91" s="1614">
        <f t="shared" ref="AI91:AI109" si="26">AH91+AG91</f>
        <v>1.6522107004126759E-2</v>
      </c>
      <c r="AV91" s="1616"/>
      <c r="AW91" s="1616">
        <f t="shared" si="18"/>
        <v>0</v>
      </c>
      <c r="AX91" s="1616">
        <f t="shared" si="19"/>
        <v>0</v>
      </c>
    </row>
    <row r="92" spans="1:50" x14ac:dyDescent="0.25">
      <c r="A92" s="1620" t="s">
        <v>3886</v>
      </c>
      <c r="B92" s="1504">
        <v>25</v>
      </c>
      <c r="C92" s="1505">
        <v>1</v>
      </c>
      <c r="D92" s="1506">
        <v>124</v>
      </c>
      <c r="E92" s="1504">
        <v>17.5</v>
      </c>
      <c r="F92" s="1504">
        <v>50.8</v>
      </c>
      <c r="G92" s="1504">
        <v>69.900000000000006</v>
      </c>
      <c r="H92" s="1504">
        <v>6.35</v>
      </c>
      <c r="I92" s="1504">
        <v>4</v>
      </c>
      <c r="J92" s="1504">
        <v>88.9</v>
      </c>
      <c r="K92" s="1504">
        <v>19</v>
      </c>
      <c r="L92" s="1504">
        <v>34.5</v>
      </c>
      <c r="M92" s="1504">
        <v>54</v>
      </c>
      <c r="N92" s="1508">
        <v>27</v>
      </c>
      <c r="O92" s="1362">
        <v>1.8</v>
      </c>
      <c r="P92" s="1609">
        <v>33.4</v>
      </c>
      <c r="Q92" s="1504">
        <v>62</v>
      </c>
      <c r="R92" s="1610">
        <v>2.5</v>
      </c>
      <c r="S92" s="1609">
        <v>35</v>
      </c>
      <c r="T92" s="1504">
        <v>27</v>
      </c>
      <c r="U92" s="1504">
        <v>3</v>
      </c>
      <c r="V92" s="1610">
        <v>1.8</v>
      </c>
      <c r="W92" s="1609">
        <v>18</v>
      </c>
      <c r="X92" s="1610">
        <v>2.1</v>
      </c>
      <c r="Y92" s="1625">
        <v>2.1</v>
      </c>
      <c r="Z92" s="1609">
        <v>26.7</v>
      </c>
      <c r="AA92" s="1504">
        <v>13</v>
      </c>
      <c r="AB92" s="1610">
        <v>1.8</v>
      </c>
      <c r="AC92" s="1612">
        <f t="shared" si="20"/>
        <v>6.8172560582898502E-3</v>
      </c>
      <c r="AD92" s="1613">
        <f t="shared" si="21"/>
        <v>1.2076282160399165E-2</v>
      </c>
      <c r="AE92" s="1613">
        <f t="shared" si="22"/>
        <v>4.669349161030509E-3</v>
      </c>
      <c r="AF92" s="1614">
        <f t="shared" si="23"/>
        <v>2.3562887379719524E-2</v>
      </c>
      <c r="AG92" s="1615">
        <f t="shared" si="24"/>
        <v>6.8172560582898502E-3</v>
      </c>
      <c r="AH92" s="1613">
        <f t="shared" si="25"/>
        <v>1.2076282160399165E-2</v>
      </c>
      <c r="AI92" s="1614">
        <f t="shared" si="26"/>
        <v>1.8893538218689016E-2</v>
      </c>
      <c r="AV92" s="1616"/>
      <c r="AW92" s="1616">
        <f t="shared" si="18"/>
        <v>0</v>
      </c>
      <c r="AX92" s="1616">
        <f t="shared" si="19"/>
        <v>0</v>
      </c>
    </row>
    <row r="93" spans="1:50" x14ac:dyDescent="0.25">
      <c r="A93" s="1620" t="s">
        <v>3887</v>
      </c>
      <c r="B93" s="1504">
        <v>32</v>
      </c>
      <c r="C93" s="1505">
        <v>1.25</v>
      </c>
      <c r="D93" s="1506">
        <v>133</v>
      </c>
      <c r="E93" s="1504">
        <v>20.6</v>
      </c>
      <c r="F93" s="1504">
        <v>63.5</v>
      </c>
      <c r="G93" s="1504">
        <v>79.2</v>
      </c>
      <c r="H93" s="1504">
        <v>6.35</v>
      </c>
      <c r="I93" s="1504">
        <v>4</v>
      </c>
      <c r="J93" s="1504">
        <v>98.4</v>
      </c>
      <c r="K93" s="1504">
        <v>19</v>
      </c>
      <c r="L93" s="1504">
        <v>43.2</v>
      </c>
      <c r="M93" s="1504">
        <v>64</v>
      </c>
      <c r="N93" s="1508">
        <v>29</v>
      </c>
      <c r="O93" s="1362">
        <v>2.1</v>
      </c>
      <c r="P93" s="1609">
        <v>42.2</v>
      </c>
      <c r="Q93" s="1504">
        <v>67</v>
      </c>
      <c r="R93" s="1610">
        <v>3.2</v>
      </c>
      <c r="S93" s="1609">
        <v>43.7</v>
      </c>
      <c r="T93" s="1504">
        <v>29</v>
      </c>
      <c r="U93" s="1504">
        <v>5</v>
      </c>
      <c r="V93" s="1610">
        <v>2.1</v>
      </c>
      <c r="W93" s="1609">
        <v>21</v>
      </c>
      <c r="X93" s="1610">
        <v>2.6</v>
      </c>
      <c r="Y93" s="1625">
        <v>2.6</v>
      </c>
      <c r="Z93" s="1609">
        <v>35</v>
      </c>
      <c r="AA93" s="1504">
        <v>14</v>
      </c>
      <c r="AB93" s="1610">
        <v>2.6</v>
      </c>
      <c r="AC93" s="1612">
        <f t="shared" si="20"/>
        <v>8.6073355523053167E-3</v>
      </c>
      <c r="AD93" s="1613">
        <f t="shared" si="21"/>
        <v>1.3892908112337461E-2</v>
      </c>
      <c r="AE93" s="1613">
        <f t="shared" si="22"/>
        <v>6.1514897431411029E-3</v>
      </c>
      <c r="AF93" s="1614">
        <f t="shared" si="23"/>
        <v>2.8651733407783882E-2</v>
      </c>
      <c r="AG93" s="1615">
        <f t="shared" si="24"/>
        <v>8.6073355523053167E-3</v>
      </c>
      <c r="AH93" s="1613">
        <f t="shared" si="25"/>
        <v>1.3892908112337461E-2</v>
      </c>
      <c r="AI93" s="1614">
        <f t="shared" si="26"/>
        <v>2.2500243664642778E-2</v>
      </c>
      <c r="AV93" s="1616"/>
      <c r="AW93" s="1616">
        <f t="shared" si="18"/>
        <v>0</v>
      </c>
      <c r="AX93" s="1616">
        <f t="shared" si="19"/>
        <v>0</v>
      </c>
    </row>
    <row r="94" spans="1:50" x14ac:dyDescent="0.25">
      <c r="A94" s="1620" t="s">
        <v>3888</v>
      </c>
      <c r="B94" s="1504">
        <v>40</v>
      </c>
      <c r="C94" s="1505">
        <v>1.5</v>
      </c>
      <c r="D94" s="1506">
        <v>156</v>
      </c>
      <c r="E94" s="1504">
        <v>22.4</v>
      </c>
      <c r="F94" s="1504">
        <v>73</v>
      </c>
      <c r="G94" s="1504">
        <v>90.4</v>
      </c>
      <c r="H94" s="1504">
        <v>6.35</v>
      </c>
      <c r="I94" s="1504">
        <v>4</v>
      </c>
      <c r="J94" s="1504">
        <v>114.3</v>
      </c>
      <c r="K94" s="1504">
        <v>22.2</v>
      </c>
      <c r="L94" s="1504">
        <v>49.5</v>
      </c>
      <c r="M94" s="1504">
        <v>70</v>
      </c>
      <c r="N94" s="1508">
        <v>32</v>
      </c>
      <c r="O94" s="1362">
        <v>3.1</v>
      </c>
      <c r="P94" s="1609">
        <v>48.3</v>
      </c>
      <c r="Q94" s="1504">
        <v>70</v>
      </c>
      <c r="R94" s="1610">
        <v>4.5</v>
      </c>
      <c r="S94" s="1609">
        <v>50</v>
      </c>
      <c r="T94" s="1504">
        <v>32</v>
      </c>
      <c r="U94" s="1504">
        <v>6</v>
      </c>
      <c r="V94" s="1610">
        <v>3.1</v>
      </c>
      <c r="W94" s="1609">
        <v>22</v>
      </c>
      <c r="X94" s="1610">
        <v>3.3</v>
      </c>
      <c r="Y94" s="1625">
        <v>3.3</v>
      </c>
      <c r="Z94" s="1609">
        <v>40.9</v>
      </c>
      <c r="AA94" s="1504">
        <v>16</v>
      </c>
      <c r="AB94" s="1610">
        <v>3.1</v>
      </c>
      <c r="AC94" s="1612">
        <f t="shared" si="20"/>
        <v>1.0977981368704171E-2</v>
      </c>
      <c r="AD94" s="1613">
        <f t="shared" si="21"/>
        <v>1.9113449704440299E-2</v>
      </c>
      <c r="AE94" s="1613">
        <f t="shared" si="22"/>
        <v>7.2227728380152212E-3</v>
      </c>
      <c r="AF94" s="1614">
        <f t="shared" si="23"/>
        <v>3.7314203911159693E-2</v>
      </c>
      <c r="AG94" s="1615">
        <f t="shared" si="24"/>
        <v>1.0977981368704171E-2</v>
      </c>
      <c r="AH94" s="1613">
        <f t="shared" si="25"/>
        <v>1.9113449704440299E-2</v>
      </c>
      <c r="AI94" s="1614">
        <f t="shared" si="26"/>
        <v>3.0091431073144471E-2</v>
      </c>
      <c r="AV94" s="1616"/>
      <c r="AW94" s="1616">
        <f t="shared" si="18"/>
        <v>0</v>
      </c>
      <c r="AX94" s="1616">
        <f t="shared" si="19"/>
        <v>0</v>
      </c>
    </row>
    <row r="95" spans="1:50" x14ac:dyDescent="0.25">
      <c r="A95" s="1620" t="s">
        <v>3889</v>
      </c>
      <c r="B95" s="1504">
        <v>50</v>
      </c>
      <c r="C95" s="1505">
        <v>2</v>
      </c>
      <c r="D95" s="1506">
        <v>165</v>
      </c>
      <c r="E95" s="1504">
        <v>25.4</v>
      </c>
      <c r="F95" s="1504">
        <v>92.1</v>
      </c>
      <c r="G95" s="1504">
        <v>108</v>
      </c>
      <c r="H95" s="1504">
        <v>7.92</v>
      </c>
      <c r="I95" s="1504">
        <v>8</v>
      </c>
      <c r="J95" s="1504">
        <v>127</v>
      </c>
      <c r="K95" s="1504">
        <v>19</v>
      </c>
      <c r="L95" s="1504">
        <v>62</v>
      </c>
      <c r="M95" s="1504">
        <v>84</v>
      </c>
      <c r="N95" s="1508">
        <v>37</v>
      </c>
      <c r="O95" s="1362">
        <v>4</v>
      </c>
      <c r="P95" s="1609">
        <v>60.3</v>
      </c>
      <c r="Q95" s="1504">
        <v>73</v>
      </c>
      <c r="R95" s="1610">
        <v>5.5</v>
      </c>
      <c r="S95" s="1609">
        <v>62.5</v>
      </c>
      <c r="T95" s="1504">
        <v>37</v>
      </c>
      <c r="U95" s="1504">
        <v>8</v>
      </c>
      <c r="V95" s="1610">
        <v>4</v>
      </c>
      <c r="W95" s="1609">
        <v>29</v>
      </c>
      <c r="X95" s="1610">
        <v>4.4000000000000004</v>
      </c>
      <c r="Y95" s="1625">
        <v>4.4000000000000004</v>
      </c>
      <c r="Z95" s="1609">
        <v>52.6</v>
      </c>
      <c r="AA95" s="1504">
        <v>17</v>
      </c>
      <c r="AB95" s="1610">
        <v>4</v>
      </c>
      <c r="AC95" s="1612">
        <f t="shared" si="20"/>
        <v>1.3166414811194821E-2</v>
      </c>
      <c r="AD95" s="1613">
        <f t="shared" si="21"/>
        <v>2.138246499849553E-2</v>
      </c>
      <c r="AE95" s="1613">
        <f t="shared" si="22"/>
        <v>9.0172505617457099E-3</v>
      </c>
      <c r="AF95" s="1614">
        <f t="shared" si="23"/>
        <v>4.3566130371436057E-2</v>
      </c>
      <c r="AG95" s="1615">
        <f t="shared" si="24"/>
        <v>1.3166414811194821E-2</v>
      </c>
      <c r="AH95" s="1613">
        <f t="shared" si="25"/>
        <v>2.138246499849553E-2</v>
      </c>
      <c r="AI95" s="1614">
        <f t="shared" si="26"/>
        <v>3.4548879809690347E-2</v>
      </c>
      <c r="AV95" s="1616"/>
      <c r="AW95" s="1616">
        <f t="shared" si="18"/>
        <v>0</v>
      </c>
      <c r="AX95" s="1616">
        <f t="shared" si="19"/>
        <v>0</v>
      </c>
    </row>
    <row r="96" spans="1:50" x14ac:dyDescent="0.25">
      <c r="A96" s="1620" t="s">
        <v>3890</v>
      </c>
      <c r="B96" s="1504">
        <v>65</v>
      </c>
      <c r="C96" s="1505">
        <v>2.5</v>
      </c>
      <c r="D96" s="1506">
        <v>190</v>
      </c>
      <c r="E96" s="1504">
        <v>28.4</v>
      </c>
      <c r="F96" s="1504">
        <v>104.8</v>
      </c>
      <c r="G96" s="1504">
        <v>127</v>
      </c>
      <c r="H96" s="1504">
        <v>7.92</v>
      </c>
      <c r="I96" s="1504">
        <v>8</v>
      </c>
      <c r="J96" s="1504">
        <v>149.19999999999999</v>
      </c>
      <c r="K96" s="1504">
        <v>22.2</v>
      </c>
      <c r="L96" s="1504">
        <v>74.7</v>
      </c>
      <c r="M96" s="1504">
        <v>100</v>
      </c>
      <c r="N96" s="1508">
        <v>41</v>
      </c>
      <c r="O96" s="1362">
        <v>5.4</v>
      </c>
      <c r="P96" s="1609">
        <v>73</v>
      </c>
      <c r="Q96" s="1504">
        <v>79</v>
      </c>
      <c r="R96" s="1610">
        <v>8</v>
      </c>
      <c r="S96" s="1609">
        <v>75.400000000000006</v>
      </c>
      <c r="T96" s="1504">
        <v>41</v>
      </c>
      <c r="U96" s="1504">
        <v>8</v>
      </c>
      <c r="V96" s="1610">
        <v>5.4</v>
      </c>
      <c r="W96" s="1609">
        <v>32</v>
      </c>
      <c r="X96" s="1610">
        <v>6</v>
      </c>
      <c r="Y96" s="1625">
        <v>6</v>
      </c>
      <c r="Z96" s="1609">
        <v>62.7</v>
      </c>
      <c r="AA96" s="1504">
        <v>19</v>
      </c>
      <c r="AB96" s="1610">
        <v>5.5</v>
      </c>
      <c r="AC96" s="1612">
        <f t="shared" si="20"/>
        <v>1.6952033958770523E-2</v>
      </c>
      <c r="AD96" s="1613">
        <f t="shared" si="21"/>
        <v>2.8352873698647883E-2</v>
      </c>
      <c r="AE96" s="1613">
        <f t="shared" si="22"/>
        <v>1.1604414943829978E-2</v>
      </c>
      <c r="AF96" s="1614">
        <f t="shared" si="23"/>
        <v>5.6909322601248383E-2</v>
      </c>
      <c r="AG96" s="1615">
        <f t="shared" si="24"/>
        <v>1.6952033958770523E-2</v>
      </c>
      <c r="AH96" s="1613">
        <f t="shared" si="25"/>
        <v>2.8352873698647883E-2</v>
      </c>
      <c r="AI96" s="1614">
        <f t="shared" si="26"/>
        <v>4.5304907657418403E-2</v>
      </c>
      <c r="AV96" s="1616"/>
      <c r="AW96" s="1616">
        <f t="shared" si="18"/>
        <v>0</v>
      </c>
      <c r="AX96" s="1616">
        <f t="shared" si="19"/>
        <v>0</v>
      </c>
    </row>
    <row r="97" spans="1:50" x14ac:dyDescent="0.25">
      <c r="A97" s="1620" t="s">
        <v>3891</v>
      </c>
      <c r="B97" s="1504">
        <v>80</v>
      </c>
      <c r="C97" s="1505">
        <v>3</v>
      </c>
      <c r="D97" s="1506">
        <v>210</v>
      </c>
      <c r="E97" s="1504">
        <v>31.8</v>
      </c>
      <c r="F97" s="1504">
        <v>127</v>
      </c>
      <c r="G97" s="1504">
        <v>146.1</v>
      </c>
      <c r="H97" s="1504">
        <v>7.92</v>
      </c>
      <c r="I97" s="1504">
        <v>8</v>
      </c>
      <c r="J97" s="1504">
        <v>168.3</v>
      </c>
      <c r="K97" s="1504">
        <v>22.2</v>
      </c>
      <c r="L97" s="1504">
        <v>90.7</v>
      </c>
      <c r="M97" s="1504">
        <v>118</v>
      </c>
      <c r="N97" s="1508">
        <v>46</v>
      </c>
      <c r="O97" s="1362">
        <v>7</v>
      </c>
      <c r="P97" s="1609">
        <v>88.9</v>
      </c>
      <c r="Q97" s="1504">
        <v>83</v>
      </c>
      <c r="R97" s="1610">
        <v>10.5</v>
      </c>
      <c r="S97" s="1609">
        <v>91.4</v>
      </c>
      <c r="T97" s="1504">
        <v>46</v>
      </c>
      <c r="U97" s="1504">
        <v>10</v>
      </c>
      <c r="V97" s="1610">
        <v>7</v>
      </c>
      <c r="W97" s="1609">
        <v>35</v>
      </c>
      <c r="X97" s="1610">
        <v>7.4</v>
      </c>
      <c r="Y97" s="1625">
        <v>7.4</v>
      </c>
      <c r="Z97" s="1609">
        <v>78</v>
      </c>
      <c r="AA97" s="1504">
        <v>21</v>
      </c>
      <c r="AB97" s="1610">
        <v>7</v>
      </c>
      <c r="AC97" s="1612">
        <f t="shared" si="20"/>
        <v>2.0979555740672642E-2</v>
      </c>
      <c r="AD97" s="1613">
        <f t="shared" si="21"/>
        <v>3.4636059005827467E-2</v>
      </c>
      <c r="AE97" s="1613">
        <f t="shared" si="22"/>
        <v>1.4299524449491591E-2</v>
      </c>
      <c r="AF97" s="1614">
        <f t="shared" si="23"/>
        <v>6.9915139195991696E-2</v>
      </c>
      <c r="AG97" s="1615">
        <f t="shared" si="24"/>
        <v>2.0979555740672642E-2</v>
      </c>
      <c r="AH97" s="1613">
        <f t="shared" si="25"/>
        <v>3.4636059005827467E-2</v>
      </c>
      <c r="AI97" s="1614">
        <f t="shared" si="26"/>
        <v>5.5615614746500106E-2</v>
      </c>
      <c r="AV97" s="1616"/>
      <c r="AW97" s="1616">
        <f t="shared" si="18"/>
        <v>0</v>
      </c>
      <c r="AX97" s="1616">
        <f t="shared" si="19"/>
        <v>0</v>
      </c>
    </row>
    <row r="98" spans="1:50" x14ac:dyDescent="0.25">
      <c r="A98" s="1620" t="s">
        <v>3892</v>
      </c>
      <c r="B98" s="1504" t="s">
        <v>1721</v>
      </c>
      <c r="C98" s="1505">
        <v>3.5</v>
      </c>
      <c r="D98" s="1506">
        <v>229</v>
      </c>
      <c r="E98" s="1504">
        <v>35</v>
      </c>
      <c r="F98" s="1504">
        <v>139.69999999999999</v>
      </c>
      <c r="G98" s="1504">
        <v>158.80000000000001</v>
      </c>
      <c r="H98" s="1504">
        <v>7.92</v>
      </c>
      <c r="I98" s="1504">
        <v>8</v>
      </c>
      <c r="J98" s="1504">
        <v>184.1</v>
      </c>
      <c r="K98" s="1504">
        <v>25.4</v>
      </c>
      <c r="L98" s="1504">
        <v>103.4</v>
      </c>
      <c r="M98" s="1504">
        <v>133</v>
      </c>
      <c r="N98" s="1508">
        <v>49</v>
      </c>
      <c r="O98" s="1362">
        <v>8.9</v>
      </c>
      <c r="P98" s="1609">
        <v>101.6</v>
      </c>
      <c r="Q98" s="1504">
        <v>86</v>
      </c>
      <c r="R98" s="1610">
        <v>15.6</v>
      </c>
      <c r="S98" s="1609">
        <v>104.1</v>
      </c>
      <c r="T98" s="1504">
        <v>49</v>
      </c>
      <c r="U98" s="1504">
        <v>10</v>
      </c>
      <c r="V98" s="1610">
        <v>8.9</v>
      </c>
      <c r="W98" s="1609">
        <v>40</v>
      </c>
      <c r="X98" s="1610">
        <v>9.5</v>
      </c>
      <c r="Y98" s="1625">
        <v>9.5</v>
      </c>
      <c r="Z98" s="1609" t="s">
        <v>1712</v>
      </c>
      <c r="AA98" s="1504" t="s">
        <v>1712</v>
      </c>
      <c r="AB98" s="1610" t="s">
        <v>1712</v>
      </c>
      <c r="AC98" s="1612">
        <f t="shared" si="20"/>
        <v>2.5179865118522191E-2</v>
      </c>
      <c r="AD98" s="1613">
        <f t="shared" si="21"/>
        <v>4.118706508672558E-2</v>
      </c>
      <c r="AE98" s="1613">
        <f t="shared" si="22"/>
        <v>1.6278476493840871E-2</v>
      </c>
      <c r="AF98" s="1614">
        <f t="shared" si="23"/>
        <v>8.2645406699088639E-2</v>
      </c>
      <c r="AG98" s="1615">
        <f t="shared" si="24"/>
        <v>2.5179865118522191E-2</v>
      </c>
      <c r="AH98" s="1613">
        <f t="shared" si="25"/>
        <v>4.118706508672558E-2</v>
      </c>
      <c r="AI98" s="1614">
        <f t="shared" si="26"/>
        <v>6.6366930205247768E-2</v>
      </c>
      <c r="AV98" s="1616"/>
      <c r="AW98" s="1616">
        <f t="shared" si="18"/>
        <v>0</v>
      </c>
      <c r="AX98" s="1616">
        <f t="shared" si="19"/>
        <v>0</v>
      </c>
    </row>
    <row r="99" spans="1:50" x14ac:dyDescent="0.25">
      <c r="A99" s="1620" t="s">
        <v>3893</v>
      </c>
      <c r="B99" s="1504">
        <v>100</v>
      </c>
      <c r="C99" s="1505">
        <v>4</v>
      </c>
      <c r="D99" s="1506">
        <v>254</v>
      </c>
      <c r="E99" s="1504">
        <v>35</v>
      </c>
      <c r="F99" s="1504">
        <v>157.19999999999999</v>
      </c>
      <c r="G99" s="1504">
        <v>174.8</v>
      </c>
      <c r="H99" s="1504">
        <v>7.92</v>
      </c>
      <c r="I99" s="1504">
        <v>8</v>
      </c>
      <c r="J99" s="1504">
        <v>200.1</v>
      </c>
      <c r="K99" s="1504">
        <v>25.4</v>
      </c>
      <c r="L99" s="1504">
        <v>116.1</v>
      </c>
      <c r="M99" s="1504">
        <v>146</v>
      </c>
      <c r="N99" s="1508">
        <v>51</v>
      </c>
      <c r="O99" s="1362">
        <v>13</v>
      </c>
      <c r="P99" s="1609">
        <v>114.3</v>
      </c>
      <c r="Q99" s="1504">
        <v>89</v>
      </c>
      <c r="R99" s="1610">
        <v>16</v>
      </c>
      <c r="S99" s="1609">
        <v>116.8</v>
      </c>
      <c r="T99" s="1504">
        <v>51</v>
      </c>
      <c r="U99" s="1504">
        <v>11</v>
      </c>
      <c r="V99" s="1610">
        <v>13</v>
      </c>
      <c r="W99" s="1609">
        <v>37</v>
      </c>
      <c r="X99" s="1610">
        <v>15</v>
      </c>
      <c r="Y99" s="1625">
        <v>15</v>
      </c>
      <c r="Z99" s="1609" t="s">
        <v>1712</v>
      </c>
      <c r="AA99" s="1504" t="s">
        <v>1712</v>
      </c>
      <c r="AB99" s="1610" t="s">
        <v>1712</v>
      </c>
      <c r="AC99" s="1612">
        <f t="shared" si="20"/>
        <v>2.7928758690413263E-2</v>
      </c>
      <c r="AD99" s="1613">
        <f t="shared" si="21"/>
        <v>5.0670747909749771E-2</v>
      </c>
      <c r="AE99" s="1613">
        <f t="shared" si="22"/>
        <v>1.9390538176486921E-2</v>
      </c>
      <c r="AF99" s="1614">
        <f t="shared" si="23"/>
        <v>9.7990044776649951E-2</v>
      </c>
      <c r="AG99" s="1615">
        <f t="shared" si="24"/>
        <v>2.7928758690413263E-2</v>
      </c>
      <c r="AH99" s="1613">
        <f t="shared" si="25"/>
        <v>5.0670747909749771E-2</v>
      </c>
      <c r="AI99" s="1614">
        <f t="shared" si="26"/>
        <v>7.859950660016303E-2</v>
      </c>
      <c r="AV99" s="1616"/>
      <c r="AW99" s="1616">
        <f t="shared" si="18"/>
        <v>0</v>
      </c>
      <c r="AX99" s="1616">
        <f t="shared" si="19"/>
        <v>0</v>
      </c>
    </row>
    <row r="100" spans="1:50" x14ac:dyDescent="0.25">
      <c r="A100" s="1620" t="s">
        <v>3894</v>
      </c>
      <c r="B100" s="1504">
        <v>125</v>
      </c>
      <c r="C100" s="1505">
        <v>5</v>
      </c>
      <c r="D100" s="1506">
        <v>279</v>
      </c>
      <c r="E100" s="1504">
        <v>38.1</v>
      </c>
      <c r="F100" s="1504">
        <v>185.7</v>
      </c>
      <c r="G100" s="1504">
        <v>209.6</v>
      </c>
      <c r="H100" s="1504">
        <v>7.92</v>
      </c>
      <c r="I100" s="1504">
        <v>8</v>
      </c>
      <c r="J100" s="1504">
        <v>235</v>
      </c>
      <c r="K100" s="1504">
        <v>25.4</v>
      </c>
      <c r="L100" s="1504">
        <v>143.80000000000001</v>
      </c>
      <c r="M100" s="1504">
        <v>178</v>
      </c>
      <c r="N100" s="1508">
        <v>54</v>
      </c>
      <c r="O100" s="1362">
        <v>18.5</v>
      </c>
      <c r="P100" s="1609">
        <v>141.30000000000001</v>
      </c>
      <c r="Q100" s="1504">
        <v>102</v>
      </c>
      <c r="R100" s="1610">
        <v>19</v>
      </c>
      <c r="S100" s="1609">
        <v>144.5</v>
      </c>
      <c r="T100" s="1504">
        <v>54</v>
      </c>
      <c r="U100" s="1504">
        <v>11</v>
      </c>
      <c r="V100" s="1610">
        <v>18.5</v>
      </c>
      <c r="W100" s="1609">
        <v>43</v>
      </c>
      <c r="X100" s="1610">
        <v>20</v>
      </c>
      <c r="Y100" s="1625">
        <v>21</v>
      </c>
      <c r="Z100" s="1609" t="s">
        <v>1712</v>
      </c>
      <c r="AA100" s="1504" t="s">
        <v>1712</v>
      </c>
      <c r="AB100" s="1610" t="s">
        <v>1712</v>
      </c>
      <c r="AC100" s="1612">
        <f t="shared" si="20"/>
        <v>3.339481574839414E-2</v>
      </c>
      <c r="AD100" s="1613">
        <f t="shared" si="21"/>
        <v>6.1136178437020766E-2</v>
      </c>
      <c r="AE100" s="1613">
        <f t="shared" si="22"/>
        <v>2.8365659980747995E-2</v>
      </c>
      <c r="AF100" s="1614">
        <f t="shared" si="23"/>
        <v>0.12289665416616291</v>
      </c>
      <c r="AG100" s="1615">
        <f t="shared" si="24"/>
        <v>3.339481574839414E-2</v>
      </c>
      <c r="AH100" s="1613">
        <f t="shared" si="25"/>
        <v>6.1136178437020766E-2</v>
      </c>
      <c r="AI100" s="1614">
        <f t="shared" si="26"/>
        <v>9.4530994185414913E-2</v>
      </c>
      <c r="AV100" s="1616"/>
      <c r="AW100" s="1616">
        <f t="shared" si="18"/>
        <v>0</v>
      </c>
      <c r="AX100" s="1616">
        <f t="shared" si="19"/>
        <v>0</v>
      </c>
    </row>
    <row r="101" spans="1:50" x14ac:dyDescent="0.25">
      <c r="A101" s="1620" t="s">
        <v>3895</v>
      </c>
      <c r="B101" s="1504">
        <v>150</v>
      </c>
      <c r="C101" s="1505">
        <v>6</v>
      </c>
      <c r="D101" s="1506">
        <v>318</v>
      </c>
      <c r="E101" s="1504">
        <v>41.1</v>
      </c>
      <c r="F101" s="1504">
        <v>215.9</v>
      </c>
      <c r="G101" s="1504">
        <v>241.3</v>
      </c>
      <c r="H101" s="1504">
        <v>7.92</v>
      </c>
      <c r="I101" s="1504">
        <v>12</v>
      </c>
      <c r="J101" s="1504">
        <v>269.89999999999998</v>
      </c>
      <c r="K101" s="1504">
        <v>25.4</v>
      </c>
      <c r="L101" s="1504">
        <v>170.7</v>
      </c>
      <c r="M101" s="1504">
        <v>206</v>
      </c>
      <c r="N101" s="1508">
        <v>57</v>
      </c>
      <c r="O101" s="1362">
        <v>25</v>
      </c>
      <c r="P101" s="1609">
        <v>168.3</v>
      </c>
      <c r="Q101" s="1504">
        <v>103</v>
      </c>
      <c r="R101" s="1610">
        <v>26</v>
      </c>
      <c r="S101" s="1609">
        <v>171.4</v>
      </c>
      <c r="T101" s="1504">
        <v>57</v>
      </c>
      <c r="U101" s="1504">
        <v>13</v>
      </c>
      <c r="V101" s="1610">
        <v>25</v>
      </c>
      <c r="W101" s="1609">
        <v>46</v>
      </c>
      <c r="X101" s="1610">
        <v>28</v>
      </c>
      <c r="Y101" s="1625">
        <v>28</v>
      </c>
      <c r="Z101" s="1609" t="s">
        <v>1712</v>
      </c>
      <c r="AA101" s="1504" t="s">
        <v>1712</v>
      </c>
      <c r="AB101" s="1610" t="s">
        <v>1712</v>
      </c>
      <c r="AC101" s="1612">
        <f t="shared" si="20"/>
        <v>4.1059987663887874E-2</v>
      </c>
      <c r="AD101" s="1613">
        <f t="shared" si="21"/>
        <v>7.942260387540355E-2</v>
      </c>
      <c r="AE101" s="1613">
        <f t="shared" si="22"/>
        <v>3.2728389698788135E-2</v>
      </c>
      <c r="AF101" s="1614">
        <f t="shared" si="23"/>
        <v>0.15321098123807955</v>
      </c>
      <c r="AG101" s="1615">
        <f t="shared" si="24"/>
        <v>4.1059987663887874E-2</v>
      </c>
      <c r="AH101" s="1613">
        <f t="shared" si="25"/>
        <v>7.942260387540355E-2</v>
      </c>
      <c r="AI101" s="1614">
        <f t="shared" si="26"/>
        <v>0.12048259153929142</v>
      </c>
      <c r="AV101" s="1616"/>
      <c r="AW101" s="1616">
        <f t="shared" si="18"/>
        <v>0</v>
      </c>
      <c r="AX101" s="1616">
        <f t="shared" si="19"/>
        <v>0</v>
      </c>
    </row>
    <row r="102" spans="1:50" x14ac:dyDescent="0.25">
      <c r="A102" s="1620" t="s">
        <v>3896</v>
      </c>
      <c r="B102" s="1504">
        <v>200</v>
      </c>
      <c r="C102" s="1505">
        <v>8</v>
      </c>
      <c r="D102" s="1506">
        <v>381</v>
      </c>
      <c r="E102" s="1504">
        <v>47.8</v>
      </c>
      <c r="F102" s="1504">
        <v>269.89999999999998</v>
      </c>
      <c r="G102" s="1504">
        <v>301.8</v>
      </c>
      <c r="H102" s="1504">
        <v>7.92</v>
      </c>
      <c r="I102" s="1504">
        <v>12</v>
      </c>
      <c r="J102" s="1504">
        <v>330.2</v>
      </c>
      <c r="K102" s="1504">
        <v>28.5</v>
      </c>
      <c r="L102" s="1504">
        <v>221.5</v>
      </c>
      <c r="M102" s="1504">
        <v>260</v>
      </c>
      <c r="N102" s="1508">
        <v>68</v>
      </c>
      <c r="O102" s="1362">
        <v>34</v>
      </c>
      <c r="P102" s="1609">
        <v>219.1</v>
      </c>
      <c r="Q102" s="1504">
        <v>117</v>
      </c>
      <c r="R102" s="1610">
        <v>40</v>
      </c>
      <c r="S102" s="1609">
        <v>222.2</v>
      </c>
      <c r="T102" s="1504">
        <v>68</v>
      </c>
      <c r="U102" s="1504">
        <v>13</v>
      </c>
      <c r="V102" s="1610">
        <v>34</v>
      </c>
      <c r="W102" s="1609">
        <v>51</v>
      </c>
      <c r="X102" s="1610">
        <v>37</v>
      </c>
      <c r="Y102" s="1625">
        <v>43</v>
      </c>
      <c r="Z102" s="1609" t="s">
        <v>1712</v>
      </c>
      <c r="AA102" s="1504" t="s">
        <v>1712</v>
      </c>
      <c r="AB102" s="1610" t="s">
        <v>1712</v>
      </c>
      <c r="AC102" s="1612">
        <f t="shared" si="20"/>
        <v>5.7214057088646589E-2</v>
      </c>
      <c r="AD102" s="1613">
        <f t="shared" si="21"/>
        <v>0.11400918279693699</v>
      </c>
      <c r="AE102" s="1613">
        <f t="shared" si="22"/>
        <v>4.7631948167785432E-2</v>
      </c>
      <c r="AF102" s="1614">
        <f t="shared" si="23"/>
        <v>0.21885518805336901</v>
      </c>
      <c r="AG102" s="1615">
        <f t="shared" si="24"/>
        <v>5.7214057088646589E-2</v>
      </c>
      <c r="AH102" s="1613">
        <f t="shared" si="25"/>
        <v>0.11400918279693699</v>
      </c>
      <c r="AI102" s="1614">
        <f t="shared" si="26"/>
        <v>0.17122323988558358</v>
      </c>
      <c r="AV102" s="1616"/>
      <c r="AW102" s="1616">
        <f t="shared" si="18"/>
        <v>0</v>
      </c>
      <c r="AX102" s="1616">
        <f t="shared" si="19"/>
        <v>0</v>
      </c>
    </row>
    <row r="103" spans="1:50" x14ac:dyDescent="0.25">
      <c r="A103" s="1620" t="s">
        <v>3897</v>
      </c>
      <c r="B103" s="1504">
        <v>250</v>
      </c>
      <c r="C103" s="1505">
        <v>10</v>
      </c>
      <c r="D103" s="1506">
        <v>444</v>
      </c>
      <c r="E103" s="1504">
        <v>53.8</v>
      </c>
      <c r="F103" s="1504">
        <v>323.8</v>
      </c>
      <c r="G103" s="1504">
        <v>355.6</v>
      </c>
      <c r="H103" s="1504">
        <v>7.92</v>
      </c>
      <c r="I103" s="1504">
        <v>16</v>
      </c>
      <c r="J103" s="1504">
        <v>387.4</v>
      </c>
      <c r="K103" s="1504">
        <v>31.8</v>
      </c>
      <c r="L103" s="1504">
        <v>276.39999999999998</v>
      </c>
      <c r="M103" s="1504">
        <v>320</v>
      </c>
      <c r="N103" s="1508">
        <v>73</v>
      </c>
      <c r="O103" s="1362">
        <v>54</v>
      </c>
      <c r="P103" s="1609">
        <v>273</v>
      </c>
      <c r="Q103" s="1504">
        <v>124</v>
      </c>
      <c r="R103" s="1610">
        <v>57</v>
      </c>
      <c r="S103" s="1609">
        <v>277.39999999999998</v>
      </c>
      <c r="T103" s="1504">
        <v>102</v>
      </c>
      <c r="U103" s="1504">
        <v>13</v>
      </c>
      <c r="V103" s="1610">
        <v>51</v>
      </c>
      <c r="W103" s="1609">
        <v>56</v>
      </c>
      <c r="X103" s="1610">
        <v>60</v>
      </c>
      <c r="Y103" s="1625">
        <v>65</v>
      </c>
      <c r="Z103" s="1609" t="s">
        <v>1712</v>
      </c>
      <c r="AA103" s="1504" t="s">
        <v>1712</v>
      </c>
      <c r="AB103" s="1610" t="s">
        <v>1712</v>
      </c>
      <c r="AC103" s="1612">
        <f t="shared" si="20"/>
        <v>7.5043852034830105E-2</v>
      </c>
      <c r="AD103" s="1613">
        <f t="shared" si="21"/>
        <v>0.15483025233951936</v>
      </c>
      <c r="AE103" s="1613">
        <f t="shared" si="22"/>
        <v>6.0207366568986953E-2</v>
      </c>
      <c r="AF103" s="1614">
        <f t="shared" si="23"/>
        <v>0.29008147094333642</v>
      </c>
      <c r="AG103" s="1615">
        <f t="shared" si="24"/>
        <v>7.5043852034830105E-2</v>
      </c>
      <c r="AH103" s="1613">
        <f t="shared" si="25"/>
        <v>0.15483025233951936</v>
      </c>
      <c r="AI103" s="1614">
        <f t="shared" si="26"/>
        <v>0.22987410437434946</v>
      </c>
      <c r="AV103" s="1616"/>
      <c r="AW103" s="1616">
        <f t="shared" si="18"/>
        <v>0</v>
      </c>
      <c r="AX103" s="1616">
        <f t="shared" si="19"/>
        <v>0</v>
      </c>
    </row>
    <row r="104" spans="1:50" x14ac:dyDescent="0.25">
      <c r="A104" s="1620" t="s">
        <v>3898</v>
      </c>
      <c r="B104" s="1504">
        <v>300</v>
      </c>
      <c r="C104" s="1505">
        <v>12</v>
      </c>
      <c r="D104" s="1506">
        <v>521</v>
      </c>
      <c r="E104" s="1504">
        <v>57.2</v>
      </c>
      <c r="F104" s="1504">
        <v>381</v>
      </c>
      <c r="G104" s="1504">
        <v>412.8</v>
      </c>
      <c r="H104" s="1504">
        <v>7.92</v>
      </c>
      <c r="I104" s="1504">
        <v>16</v>
      </c>
      <c r="J104" s="1504">
        <v>450.8</v>
      </c>
      <c r="K104" s="1504">
        <v>35</v>
      </c>
      <c r="L104" s="1504">
        <v>327.2</v>
      </c>
      <c r="M104" s="1504">
        <v>375</v>
      </c>
      <c r="N104" s="1508">
        <v>79</v>
      </c>
      <c r="O104" s="1362">
        <v>70</v>
      </c>
      <c r="P104" s="1609">
        <v>323.89999999999998</v>
      </c>
      <c r="Q104" s="1504">
        <v>137</v>
      </c>
      <c r="R104" s="1610">
        <v>80</v>
      </c>
      <c r="S104" s="1609">
        <v>328.2</v>
      </c>
      <c r="T104" s="1504">
        <v>108</v>
      </c>
      <c r="U104" s="1504">
        <v>13</v>
      </c>
      <c r="V104" s="1610">
        <v>69</v>
      </c>
      <c r="W104" s="1609">
        <v>60</v>
      </c>
      <c r="X104" s="1610">
        <v>76</v>
      </c>
      <c r="Y104" s="1625">
        <v>95</v>
      </c>
      <c r="Z104" s="1609" t="s">
        <v>1712</v>
      </c>
      <c r="AA104" s="1504" t="s">
        <v>1712</v>
      </c>
      <c r="AB104" s="1610" t="s">
        <v>1712</v>
      </c>
      <c r="AC104" s="1612">
        <f t="shared" si="20"/>
        <v>9.3623230988160153E-2</v>
      </c>
      <c r="AD104" s="1613">
        <f t="shared" si="21"/>
        <v>0.21318926287076675</v>
      </c>
      <c r="AE104" s="1613">
        <f t="shared" si="22"/>
        <v>8.1201436467719157E-2</v>
      </c>
      <c r="AF104" s="1614">
        <f t="shared" si="23"/>
        <v>0.38801393032664611</v>
      </c>
      <c r="AG104" s="1615">
        <f t="shared" si="24"/>
        <v>9.3623230988160153E-2</v>
      </c>
      <c r="AH104" s="1613">
        <f t="shared" si="25"/>
        <v>0.21318926287076675</v>
      </c>
      <c r="AI104" s="1614">
        <f t="shared" si="26"/>
        <v>0.30681249385892689</v>
      </c>
      <c r="AV104" s="1616"/>
      <c r="AW104" s="1616">
        <f t="shared" si="18"/>
        <v>0</v>
      </c>
      <c r="AX104" s="1616">
        <f t="shared" si="19"/>
        <v>0</v>
      </c>
    </row>
    <row r="105" spans="1:50" x14ac:dyDescent="0.25">
      <c r="A105" s="1620" t="s">
        <v>3899</v>
      </c>
      <c r="B105" s="1504">
        <v>350</v>
      </c>
      <c r="C105" s="1505">
        <v>14</v>
      </c>
      <c r="D105" s="1506">
        <v>584</v>
      </c>
      <c r="E105" s="1504">
        <v>60.5</v>
      </c>
      <c r="F105" s="1504">
        <v>412.8</v>
      </c>
      <c r="G105" s="1504">
        <v>457.2</v>
      </c>
      <c r="H105" s="1504">
        <v>7.92</v>
      </c>
      <c r="I105" s="1504">
        <v>20</v>
      </c>
      <c r="J105" s="1504">
        <v>514.4</v>
      </c>
      <c r="K105" s="1504">
        <v>35</v>
      </c>
      <c r="L105" s="1504">
        <v>359.2</v>
      </c>
      <c r="M105" s="1504">
        <v>425</v>
      </c>
      <c r="N105" s="1508">
        <v>84</v>
      </c>
      <c r="O105" s="1362">
        <v>85</v>
      </c>
      <c r="P105" s="1609">
        <v>355.6</v>
      </c>
      <c r="Q105" s="1504">
        <v>149</v>
      </c>
      <c r="R105" s="1610">
        <v>105</v>
      </c>
      <c r="S105" s="1609">
        <v>360.2</v>
      </c>
      <c r="T105" s="1504">
        <v>117</v>
      </c>
      <c r="U105" s="1504">
        <v>13</v>
      </c>
      <c r="V105" s="1610">
        <v>95</v>
      </c>
      <c r="W105" s="1609">
        <v>64</v>
      </c>
      <c r="X105" s="1610">
        <v>93</v>
      </c>
      <c r="Y105" s="1625">
        <v>126</v>
      </c>
      <c r="Z105" s="1609" t="s">
        <v>1712</v>
      </c>
      <c r="AA105" s="1504" t="s">
        <v>1712</v>
      </c>
      <c r="AB105" s="1610" t="s">
        <v>1712</v>
      </c>
      <c r="AC105" s="1612">
        <f t="shared" si="20"/>
        <v>0.11099875163663457</v>
      </c>
      <c r="AD105" s="1613">
        <f t="shared" si="21"/>
        <v>0.26786475601568016</v>
      </c>
      <c r="AE105" s="1613">
        <f t="shared" si="22"/>
        <v>9.8867805764062955E-2</v>
      </c>
      <c r="AF105" s="1614">
        <f t="shared" si="23"/>
        <v>0.4777313134163777</v>
      </c>
      <c r="AG105" s="1615">
        <f t="shared" si="24"/>
        <v>0.11099875163663457</v>
      </c>
      <c r="AH105" s="1613">
        <f t="shared" si="25"/>
        <v>0.26786475601568016</v>
      </c>
      <c r="AI105" s="1614">
        <f t="shared" si="26"/>
        <v>0.37886350765231475</v>
      </c>
      <c r="AV105" s="1616"/>
      <c r="AW105" s="1616">
        <f t="shared" si="18"/>
        <v>0</v>
      </c>
      <c r="AX105" s="1616">
        <f t="shared" si="19"/>
        <v>0</v>
      </c>
    </row>
    <row r="106" spans="1:50" x14ac:dyDescent="0.25">
      <c r="A106" s="1620" t="s">
        <v>3900</v>
      </c>
      <c r="B106" s="1504">
        <v>400</v>
      </c>
      <c r="C106" s="1505">
        <v>16</v>
      </c>
      <c r="D106" s="1506">
        <v>648</v>
      </c>
      <c r="E106" s="1504">
        <v>63.5</v>
      </c>
      <c r="F106" s="1504">
        <v>469.9</v>
      </c>
      <c r="G106" s="1504">
        <v>508</v>
      </c>
      <c r="H106" s="1504">
        <v>7.92</v>
      </c>
      <c r="I106" s="1504">
        <v>20</v>
      </c>
      <c r="J106" s="1504">
        <v>571.5</v>
      </c>
      <c r="K106" s="1504">
        <v>38.1</v>
      </c>
      <c r="L106" s="1504">
        <v>410.5</v>
      </c>
      <c r="M106" s="1504">
        <v>483</v>
      </c>
      <c r="N106" s="1508">
        <v>94</v>
      </c>
      <c r="O106" s="1362">
        <v>120</v>
      </c>
      <c r="P106" s="1609">
        <v>406.4</v>
      </c>
      <c r="Q106" s="1504">
        <v>152</v>
      </c>
      <c r="R106" s="1610">
        <v>131</v>
      </c>
      <c r="S106" s="1609">
        <v>411.2</v>
      </c>
      <c r="T106" s="1504">
        <v>127</v>
      </c>
      <c r="U106" s="1504">
        <v>13</v>
      </c>
      <c r="V106" s="1610">
        <v>127</v>
      </c>
      <c r="W106" s="1609">
        <v>68</v>
      </c>
      <c r="X106" s="1610">
        <v>132</v>
      </c>
      <c r="Y106" s="1625">
        <v>163</v>
      </c>
      <c r="Z106" s="1609" t="s">
        <v>1712</v>
      </c>
      <c r="AA106" s="1504" t="s">
        <v>1712</v>
      </c>
      <c r="AB106" s="1610" t="s">
        <v>1712</v>
      </c>
      <c r="AC106" s="1612">
        <f t="shared" si="20"/>
        <v>0.12927025450991281</v>
      </c>
      <c r="AD106" s="1613">
        <f t="shared" si="21"/>
        <v>0.32979183040324217</v>
      </c>
      <c r="AE106" s="1613">
        <f t="shared" si="22"/>
        <v>0.11299177801607192</v>
      </c>
      <c r="AF106" s="1614">
        <f t="shared" si="23"/>
        <v>0.57205386292922689</v>
      </c>
      <c r="AG106" s="1615">
        <f t="shared" si="24"/>
        <v>0.12927025450991281</v>
      </c>
      <c r="AH106" s="1613">
        <f t="shared" si="25"/>
        <v>0.32979183040324217</v>
      </c>
      <c r="AI106" s="1614">
        <f t="shared" si="26"/>
        <v>0.45906208491315498</v>
      </c>
      <c r="AV106" s="1616"/>
      <c r="AW106" s="1616">
        <f t="shared" si="18"/>
        <v>0</v>
      </c>
      <c r="AX106" s="1616">
        <f t="shared" si="19"/>
        <v>0</v>
      </c>
    </row>
    <row r="107" spans="1:50" x14ac:dyDescent="0.25">
      <c r="A107" s="1620" t="s">
        <v>3901</v>
      </c>
      <c r="B107" s="1504">
        <v>450</v>
      </c>
      <c r="C107" s="1505">
        <v>18</v>
      </c>
      <c r="D107" s="1506">
        <v>711</v>
      </c>
      <c r="E107" s="1504">
        <v>66.5</v>
      </c>
      <c r="F107" s="1504">
        <v>533.4</v>
      </c>
      <c r="G107" s="1504">
        <v>574.5</v>
      </c>
      <c r="H107" s="1504">
        <v>7.92</v>
      </c>
      <c r="I107" s="1504">
        <v>24</v>
      </c>
      <c r="J107" s="1504">
        <v>628.6</v>
      </c>
      <c r="K107" s="1504">
        <v>38.1</v>
      </c>
      <c r="L107" s="1504">
        <v>461.8</v>
      </c>
      <c r="M107" s="1504">
        <v>533</v>
      </c>
      <c r="N107" s="1508">
        <v>98</v>
      </c>
      <c r="O107" s="1362">
        <v>150</v>
      </c>
      <c r="P107" s="1609">
        <v>457</v>
      </c>
      <c r="Q107" s="1504">
        <v>165</v>
      </c>
      <c r="R107" s="1610">
        <v>159</v>
      </c>
      <c r="S107" s="1609">
        <v>462.3</v>
      </c>
      <c r="T107" s="1504">
        <v>137</v>
      </c>
      <c r="U107" s="1504">
        <v>13</v>
      </c>
      <c r="V107" s="1610">
        <v>157</v>
      </c>
      <c r="W107" s="1609">
        <v>70</v>
      </c>
      <c r="X107" s="1610">
        <v>165</v>
      </c>
      <c r="Y107" s="1625">
        <v>206</v>
      </c>
      <c r="Z107" s="1609" t="s">
        <v>1712</v>
      </c>
      <c r="AA107" s="1504" t="s">
        <v>1712</v>
      </c>
      <c r="AB107" s="1610" t="s">
        <v>1712</v>
      </c>
      <c r="AC107" s="1612">
        <f t="shared" si="20"/>
        <v>0.14853921305070578</v>
      </c>
      <c r="AD107" s="1613">
        <f t="shared" si="21"/>
        <v>0.39703526495884145</v>
      </c>
      <c r="AE107" s="1613">
        <f t="shared" si="22"/>
        <v>0.14141722250501773</v>
      </c>
      <c r="AF107" s="1614">
        <f t="shared" si="23"/>
        <v>0.68699170051456493</v>
      </c>
      <c r="AG107" s="1615">
        <f t="shared" si="24"/>
        <v>0.14853921305070578</v>
      </c>
      <c r="AH107" s="1613">
        <f t="shared" si="25"/>
        <v>0.39703526495884145</v>
      </c>
      <c r="AI107" s="1614">
        <f t="shared" si="26"/>
        <v>0.54557447800954728</v>
      </c>
      <c r="AV107" s="1616"/>
      <c r="AW107" s="1616">
        <f t="shared" si="18"/>
        <v>0</v>
      </c>
      <c r="AX107" s="1616">
        <f t="shared" si="19"/>
        <v>0</v>
      </c>
    </row>
    <row r="108" spans="1:50" x14ac:dyDescent="0.25">
      <c r="A108" s="1620" t="s">
        <v>3902</v>
      </c>
      <c r="B108" s="1504">
        <v>500</v>
      </c>
      <c r="C108" s="1505">
        <v>20</v>
      </c>
      <c r="D108" s="1506">
        <v>775</v>
      </c>
      <c r="E108" s="1504">
        <v>69.900000000000006</v>
      </c>
      <c r="F108" s="1504">
        <v>584.20000000000005</v>
      </c>
      <c r="G108" s="1504">
        <v>635</v>
      </c>
      <c r="H108" s="1504">
        <v>9.52</v>
      </c>
      <c r="I108" s="1504">
        <v>24</v>
      </c>
      <c r="J108" s="1504">
        <v>685.8</v>
      </c>
      <c r="K108" s="1504">
        <v>41.1</v>
      </c>
      <c r="L108" s="1504">
        <v>513.1</v>
      </c>
      <c r="M108" s="1504">
        <v>587</v>
      </c>
      <c r="N108" s="1508">
        <v>102</v>
      </c>
      <c r="O108" s="1362">
        <v>185</v>
      </c>
      <c r="P108" s="1609">
        <v>508</v>
      </c>
      <c r="Q108" s="1504">
        <v>168</v>
      </c>
      <c r="R108" s="1610">
        <v>190</v>
      </c>
      <c r="S108" s="1609">
        <v>514.4</v>
      </c>
      <c r="T108" s="1504">
        <v>146</v>
      </c>
      <c r="U108" s="1504">
        <v>13</v>
      </c>
      <c r="V108" s="1610">
        <v>191</v>
      </c>
      <c r="W108" s="1609">
        <v>73</v>
      </c>
      <c r="X108" s="1610">
        <v>205</v>
      </c>
      <c r="Y108" s="1625">
        <v>256</v>
      </c>
      <c r="Z108" s="1609" t="s">
        <v>1712</v>
      </c>
      <c r="AA108" s="1504" t="s">
        <v>1712</v>
      </c>
      <c r="AB108" s="1610" t="s">
        <v>1712</v>
      </c>
      <c r="AC108" s="1612">
        <f t="shared" si="20"/>
        <v>0.17018792802659308</v>
      </c>
      <c r="AD108" s="1613">
        <f t="shared" si="21"/>
        <v>0.47172977189059234</v>
      </c>
      <c r="AE108" s="1613">
        <f t="shared" si="22"/>
        <v>0.15656064157311661</v>
      </c>
      <c r="AF108" s="1614">
        <f t="shared" si="23"/>
        <v>0.79847834149030206</v>
      </c>
      <c r="AG108" s="1615">
        <f t="shared" si="24"/>
        <v>0.17018792802659308</v>
      </c>
      <c r="AH108" s="1613">
        <f t="shared" si="25"/>
        <v>0.47172977189059234</v>
      </c>
      <c r="AI108" s="1614">
        <f t="shared" si="26"/>
        <v>0.64191769991718539</v>
      </c>
      <c r="AV108" s="1616"/>
      <c r="AW108" s="1616">
        <f t="shared" si="18"/>
        <v>0</v>
      </c>
      <c r="AX108" s="1616">
        <f t="shared" si="19"/>
        <v>0</v>
      </c>
    </row>
    <row r="109" spans="1:50" ht="13.2" thickBot="1" x14ac:dyDescent="0.3">
      <c r="A109" s="1600" t="s">
        <v>3903</v>
      </c>
      <c r="B109" s="1601">
        <v>600</v>
      </c>
      <c r="C109" s="1602">
        <v>24</v>
      </c>
      <c r="D109" s="1603">
        <v>914</v>
      </c>
      <c r="E109" s="1601">
        <v>76.2</v>
      </c>
      <c r="F109" s="1601">
        <v>692.2</v>
      </c>
      <c r="G109" s="1601">
        <v>749.3</v>
      </c>
      <c r="H109" s="1601">
        <v>11.13</v>
      </c>
      <c r="I109" s="1601">
        <v>24</v>
      </c>
      <c r="J109" s="1601">
        <v>812.8</v>
      </c>
      <c r="K109" s="1601">
        <v>47.8</v>
      </c>
      <c r="L109" s="1601">
        <v>616</v>
      </c>
      <c r="M109" s="1601">
        <v>701</v>
      </c>
      <c r="N109" s="1604">
        <v>114</v>
      </c>
      <c r="O109" s="1621">
        <v>260</v>
      </c>
      <c r="P109" s="168">
        <v>610</v>
      </c>
      <c r="Q109" s="166">
        <v>175</v>
      </c>
      <c r="R109" s="169">
        <v>275</v>
      </c>
      <c r="S109" s="168">
        <v>616</v>
      </c>
      <c r="T109" s="166">
        <v>159</v>
      </c>
      <c r="U109" s="166">
        <v>13</v>
      </c>
      <c r="V109" s="169">
        <v>279</v>
      </c>
      <c r="W109" s="168">
        <v>83</v>
      </c>
      <c r="X109" s="169">
        <v>285</v>
      </c>
      <c r="Y109" s="1626">
        <v>387</v>
      </c>
      <c r="Z109" s="1627" t="s">
        <v>1712</v>
      </c>
      <c r="AA109" s="1601" t="s">
        <v>1712</v>
      </c>
      <c r="AB109" s="1628" t="s">
        <v>1712</v>
      </c>
      <c r="AC109" s="178">
        <f t="shared" si="20"/>
        <v>0.21880187522603761</v>
      </c>
      <c r="AD109" s="179">
        <f t="shared" si="21"/>
        <v>0.65611848410957474</v>
      </c>
      <c r="AE109" s="179">
        <f t="shared" si="22"/>
        <v>0.18933750604654964</v>
      </c>
      <c r="AF109" s="180">
        <f t="shared" si="23"/>
        <v>1.0642578653821619</v>
      </c>
      <c r="AG109" s="1622">
        <f t="shared" si="24"/>
        <v>0.21880187522603761</v>
      </c>
      <c r="AH109" s="1623">
        <f t="shared" si="25"/>
        <v>0.65611848410957474</v>
      </c>
      <c r="AI109" s="1624">
        <f t="shared" si="26"/>
        <v>0.8749203593356123</v>
      </c>
      <c r="AV109" s="593"/>
      <c r="AW109" s="593">
        <f t="shared" si="18"/>
        <v>0</v>
      </c>
      <c r="AX109" s="593">
        <f t="shared" si="19"/>
        <v>0</v>
      </c>
    </row>
    <row r="110" spans="1:50" ht="22.5" customHeight="1" thickBot="1" x14ac:dyDescent="0.3">
      <c r="A110" s="156"/>
      <c r="B110" s="157"/>
      <c r="C110" s="158"/>
      <c r="D110" s="159"/>
      <c r="E110" s="159"/>
      <c r="F110" s="159"/>
      <c r="G110" s="159"/>
      <c r="H110" s="159"/>
      <c r="I110" s="159"/>
      <c r="J110" s="159"/>
      <c r="K110" s="159"/>
      <c r="L110" s="159"/>
      <c r="M110" s="159"/>
      <c r="N110" s="159"/>
      <c r="O110" s="160" t="s">
        <v>3817</v>
      </c>
      <c r="P110" s="161" t="s">
        <v>3818</v>
      </c>
      <c r="Q110" s="162" t="s">
        <v>3818</v>
      </c>
      <c r="R110" s="163" t="s">
        <v>3818</v>
      </c>
      <c r="S110" s="161" t="s">
        <v>2152</v>
      </c>
      <c r="T110" s="137" t="s">
        <v>2152</v>
      </c>
      <c r="U110" s="137" t="s">
        <v>2152</v>
      </c>
      <c r="V110" s="139" t="s">
        <v>2152</v>
      </c>
      <c r="W110" s="161" t="s">
        <v>2159</v>
      </c>
      <c r="X110" s="139" t="s">
        <v>2159</v>
      </c>
      <c r="Y110" s="164" t="s">
        <v>345</v>
      </c>
      <c r="Z110" s="161" t="s">
        <v>2167</v>
      </c>
      <c r="AA110" s="137" t="s">
        <v>2167</v>
      </c>
      <c r="AB110" s="139" t="s">
        <v>2167</v>
      </c>
      <c r="AC110" s="161" t="s">
        <v>3818</v>
      </c>
      <c r="AD110" s="162" t="s">
        <v>3818</v>
      </c>
      <c r="AE110" s="162" t="s">
        <v>3818</v>
      </c>
      <c r="AF110" s="163" t="s">
        <v>3818</v>
      </c>
      <c r="AG110" s="162" t="s">
        <v>345</v>
      </c>
      <c r="AH110" s="137" t="s">
        <v>345</v>
      </c>
      <c r="AI110" s="139" t="s">
        <v>345</v>
      </c>
      <c r="AV110" s="592"/>
      <c r="AW110" s="592" t="str">
        <f>$AW$19</f>
        <v>LWN</v>
      </c>
      <c r="AX110" s="592" t="str">
        <f>$AW$19</f>
        <v>LWN</v>
      </c>
    </row>
    <row r="111" spans="1:50" ht="13.2" thickBot="1" x14ac:dyDescent="0.3">
      <c r="A111" s="197"/>
      <c r="B111" s="198" t="s">
        <v>3820</v>
      </c>
      <c r="C111" s="199"/>
      <c r="D111" s="200" t="s">
        <v>3821</v>
      </c>
      <c r="E111" s="198" t="s">
        <v>3822</v>
      </c>
      <c r="F111" s="198" t="s">
        <v>3823</v>
      </c>
      <c r="G111" s="198" t="s">
        <v>3824</v>
      </c>
      <c r="H111" s="198" t="s">
        <v>2417</v>
      </c>
      <c r="I111" s="1877" t="s">
        <v>3825</v>
      </c>
      <c r="J111" s="1878"/>
      <c r="K111" s="1879"/>
      <c r="L111" s="198" t="s">
        <v>3826</v>
      </c>
      <c r="M111" s="198" t="s">
        <v>3827</v>
      </c>
      <c r="N111" s="201" t="s">
        <v>3828</v>
      </c>
      <c r="O111" s="202" t="s">
        <v>184</v>
      </c>
      <c r="P111" s="203" t="s">
        <v>12</v>
      </c>
      <c r="Q111" s="198" t="s">
        <v>3829</v>
      </c>
      <c r="R111" s="204" t="s">
        <v>184</v>
      </c>
      <c r="S111" s="203" t="s">
        <v>3830</v>
      </c>
      <c r="T111" s="198" t="s">
        <v>3831</v>
      </c>
      <c r="U111" s="198" t="s">
        <v>3676</v>
      </c>
      <c r="V111" s="204" t="s">
        <v>184</v>
      </c>
      <c r="W111" s="203" t="s">
        <v>3832</v>
      </c>
      <c r="X111" s="204" t="s">
        <v>184</v>
      </c>
      <c r="Y111" s="205" t="s">
        <v>184</v>
      </c>
      <c r="Z111" s="203" t="s">
        <v>3833</v>
      </c>
      <c r="AA111" s="198" t="s">
        <v>2414</v>
      </c>
      <c r="AB111" s="204" t="s">
        <v>184</v>
      </c>
      <c r="AC111" s="1350" t="s">
        <v>3834</v>
      </c>
      <c r="AD111" s="1593" t="s">
        <v>3835</v>
      </c>
      <c r="AE111" s="1593" t="s">
        <v>3836</v>
      </c>
      <c r="AF111" s="1598" t="s">
        <v>336</v>
      </c>
      <c r="AG111" s="1595" t="s">
        <v>3834</v>
      </c>
      <c r="AH111" s="1593" t="s">
        <v>3835</v>
      </c>
      <c r="AI111" s="1598" t="s">
        <v>336</v>
      </c>
      <c r="AV111" s="596"/>
      <c r="AW111" s="596" t="s">
        <v>184</v>
      </c>
      <c r="AX111" s="1598" t="str">
        <f>$AX$20</f>
        <v>Unit Surface</v>
      </c>
    </row>
    <row r="112" spans="1:50" ht="13.2" thickBot="1" x14ac:dyDescent="0.3">
      <c r="A112" s="190"/>
      <c r="B112" s="137" t="s">
        <v>59</v>
      </c>
      <c r="C112" s="191" t="s">
        <v>1685</v>
      </c>
      <c r="D112" s="162" t="s">
        <v>93</v>
      </c>
      <c r="E112" s="137" t="s">
        <v>93</v>
      </c>
      <c r="F112" s="137" t="s">
        <v>93</v>
      </c>
      <c r="G112" s="137" t="s">
        <v>93</v>
      </c>
      <c r="H112" s="137" t="s">
        <v>93</v>
      </c>
      <c r="I112" s="137" t="s">
        <v>3837</v>
      </c>
      <c r="J112" s="137" t="s">
        <v>3838</v>
      </c>
      <c r="K112" s="137" t="s">
        <v>3839</v>
      </c>
      <c r="L112" s="137" t="s">
        <v>93</v>
      </c>
      <c r="M112" s="137" t="s">
        <v>93</v>
      </c>
      <c r="N112" s="192" t="s">
        <v>93</v>
      </c>
      <c r="O112" s="160" t="s">
        <v>222</v>
      </c>
      <c r="P112" s="161" t="s">
        <v>93</v>
      </c>
      <c r="Q112" s="137" t="s">
        <v>93</v>
      </c>
      <c r="R112" s="139" t="s">
        <v>222</v>
      </c>
      <c r="S112" s="161" t="s">
        <v>93</v>
      </c>
      <c r="T112" s="137" t="s">
        <v>93</v>
      </c>
      <c r="U112" s="137" t="s">
        <v>93</v>
      </c>
      <c r="V112" s="139" t="s">
        <v>222</v>
      </c>
      <c r="W112" s="161" t="s">
        <v>93</v>
      </c>
      <c r="X112" s="139" t="s">
        <v>222</v>
      </c>
      <c r="Y112" s="164" t="s">
        <v>222</v>
      </c>
      <c r="Z112" s="161" t="s">
        <v>93</v>
      </c>
      <c r="AA112" s="137" t="s">
        <v>93</v>
      </c>
      <c r="AB112" s="139" t="s">
        <v>222</v>
      </c>
      <c r="AC112" s="168" t="s">
        <v>228</v>
      </c>
      <c r="AD112" s="166" t="s">
        <v>228</v>
      </c>
      <c r="AE112" s="166" t="s">
        <v>228</v>
      </c>
      <c r="AF112" s="169" t="s">
        <v>228</v>
      </c>
      <c r="AG112" s="171" t="s">
        <v>228</v>
      </c>
      <c r="AH112" s="166" t="s">
        <v>228</v>
      </c>
      <c r="AI112" s="169" t="s">
        <v>228</v>
      </c>
      <c r="AV112" s="595"/>
      <c r="AW112" s="595" t="s">
        <v>222</v>
      </c>
      <c r="AX112" s="593" t="str">
        <f>$AX$21</f>
        <v>m2</v>
      </c>
    </row>
    <row r="113" spans="1:50" x14ac:dyDescent="0.25">
      <c r="A113" s="1349" t="s">
        <v>3904</v>
      </c>
      <c r="B113" s="1593">
        <v>0</v>
      </c>
      <c r="C113" s="1593">
        <v>0</v>
      </c>
      <c r="D113" s="1593">
        <v>0</v>
      </c>
      <c r="E113" s="1593">
        <v>0</v>
      </c>
      <c r="F113" s="1593">
        <v>0</v>
      </c>
      <c r="G113" s="1593">
        <v>0</v>
      </c>
      <c r="H113" s="1593">
        <v>0</v>
      </c>
      <c r="I113" s="1593">
        <v>0</v>
      </c>
      <c r="J113" s="1593">
        <v>0</v>
      </c>
      <c r="K113" s="1593">
        <v>0</v>
      </c>
      <c r="L113" s="1593">
        <v>0</v>
      </c>
      <c r="M113" s="1593">
        <v>0</v>
      </c>
      <c r="N113" s="1596">
        <v>0</v>
      </c>
      <c r="O113" s="165">
        <v>0</v>
      </c>
      <c r="P113" s="1350">
        <v>0</v>
      </c>
      <c r="Q113" s="1593">
        <v>0</v>
      </c>
      <c r="R113" s="1598">
        <v>0</v>
      </c>
      <c r="S113" s="1350">
        <v>0</v>
      </c>
      <c r="T113" s="1593">
        <v>0</v>
      </c>
      <c r="U113" s="1593">
        <v>0</v>
      </c>
      <c r="V113" s="1598">
        <v>0</v>
      </c>
      <c r="W113" s="1350">
        <v>0</v>
      </c>
      <c r="X113" s="1598">
        <v>0</v>
      </c>
      <c r="Y113" s="1597">
        <v>0</v>
      </c>
      <c r="Z113" s="1350">
        <v>0</v>
      </c>
      <c r="AA113" s="1593">
        <v>0</v>
      </c>
      <c r="AB113" s="1598">
        <v>0</v>
      </c>
      <c r="AC113" s="1350">
        <v>0</v>
      </c>
      <c r="AD113" s="1593">
        <v>0</v>
      </c>
      <c r="AE113" s="1593">
        <v>0</v>
      </c>
      <c r="AF113" s="1598">
        <v>0</v>
      </c>
      <c r="AG113" s="1595">
        <v>0</v>
      </c>
      <c r="AH113" s="1593">
        <v>0</v>
      </c>
      <c r="AI113" s="1598">
        <v>0</v>
      </c>
      <c r="AV113" s="1599"/>
      <c r="AW113" s="1599">
        <v>0</v>
      </c>
      <c r="AX113" s="1599">
        <v>0</v>
      </c>
    </row>
    <row r="114" spans="1:50" x14ac:dyDescent="0.25">
      <c r="A114" s="1349" t="s">
        <v>3905</v>
      </c>
      <c r="B114" s="1593">
        <v>15</v>
      </c>
      <c r="C114" s="1594">
        <v>0.5</v>
      </c>
      <c r="D114" s="1506">
        <v>95</v>
      </c>
      <c r="E114" s="1504">
        <v>14.2</v>
      </c>
      <c r="F114" s="1504">
        <v>34.9</v>
      </c>
      <c r="G114" s="1504">
        <v>50.8</v>
      </c>
      <c r="H114" s="1504">
        <v>5.56</v>
      </c>
      <c r="I114" s="1504">
        <v>4</v>
      </c>
      <c r="J114" s="1504">
        <v>66.7</v>
      </c>
      <c r="K114" s="1504">
        <v>15.8</v>
      </c>
      <c r="L114" s="1504">
        <v>22.4</v>
      </c>
      <c r="M114" s="1504">
        <v>38</v>
      </c>
      <c r="N114" s="1508">
        <v>22</v>
      </c>
      <c r="O114" s="1362">
        <v>1.3</v>
      </c>
      <c r="P114" s="1609">
        <v>21.3</v>
      </c>
      <c r="Q114" s="1504">
        <v>52</v>
      </c>
      <c r="R114" s="1610">
        <v>1.5</v>
      </c>
      <c r="S114" s="1609">
        <v>22.9</v>
      </c>
      <c r="T114" s="1504">
        <v>22</v>
      </c>
      <c r="U114" s="1504">
        <v>3</v>
      </c>
      <c r="V114" s="1610">
        <v>1.3</v>
      </c>
      <c r="W114" s="1609">
        <v>16</v>
      </c>
      <c r="X114" s="1610">
        <v>1.4</v>
      </c>
      <c r="Y114" s="1629">
        <v>1.4</v>
      </c>
      <c r="Z114" s="1609" t="s">
        <v>1712</v>
      </c>
      <c r="AA114" s="1504">
        <v>10</v>
      </c>
      <c r="AB114" s="1610">
        <v>1.3</v>
      </c>
      <c r="AC114" s="1612">
        <f>PI()*D114*E114/1000000</f>
        <v>4.2380084896926308E-3</v>
      </c>
      <c r="AD114" s="1613">
        <f>D114^2*PI()/4/1000000</f>
        <v>7.0882184246619708E-3</v>
      </c>
      <c r="AE114" s="1613">
        <f>P114*PI()*(Q114-E114)/1000000</f>
        <v>2.5294219091112863E-3</v>
      </c>
      <c r="AF114" s="1614">
        <f>AE114+AD114+AC114</f>
        <v>1.3855648823465887E-2</v>
      </c>
      <c r="AG114" s="1615">
        <f>PI()*D114*E114/1000000</f>
        <v>4.2380084896926308E-3</v>
      </c>
      <c r="AH114" s="1613">
        <f>D114^2*PI()/4/1000000</f>
        <v>7.0882184246619708E-3</v>
      </c>
      <c r="AI114" s="1614">
        <f>AH114+AG114</f>
        <v>1.1326226914354601E-2</v>
      </c>
      <c r="AV114" s="1616">
        <v>2.5</v>
      </c>
      <c r="AW114" s="1616">
        <f t="shared" ref="AW114:AW133" si="27">AV114*R114</f>
        <v>3.75</v>
      </c>
      <c r="AX114" s="1616">
        <f t="shared" ref="AX114:AX133" si="28">AV114*AF114</f>
        <v>3.463912205866472E-2</v>
      </c>
    </row>
    <row r="115" spans="1:50" x14ac:dyDescent="0.25">
      <c r="A115" s="1620" t="s">
        <v>3906</v>
      </c>
      <c r="B115" s="1504">
        <v>20</v>
      </c>
      <c r="C115" s="1505">
        <v>0.75</v>
      </c>
      <c r="D115" s="1595">
        <v>117</v>
      </c>
      <c r="E115" s="1593">
        <v>15.7</v>
      </c>
      <c r="F115" s="1593">
        <v>42.9</v>
      </c>
      <c r="G115" s="1593">
        <v>63.5</v>
      </c>
      <c r="H115" s="1593">
        <v>6.35</v>
      </c>
      <c r="I115" s="1593">
        <v>4</v>
      </c>
      <c r="J115" s="1593">
        <v>82.6</v>
      </c>
      <c r="K115" s="1593">
        <v>19</v>
      </c>
      <c r="L115" s="1593">
        <v>27.7</v>
      </c>
      <c r="M115" s="1593">
        <v>48</v>
      </c>
      <c r="N115" s="1596">
        <v>25</v>
      </c>
      <c r="O115" s="1362">
        <v>1.4</v>
      </c>
      <c r="P115" s="1609">
        <v>26.7</v>
      </c>
      <c r="Q115" s="1504">
        <v>57</v>
      </c>
      <c r="R115" s="1610">
        <v>2</v>
      </c>
      <c r="S115" s="1609">
        <v>29.2</v>
      </c>
      <c r="T115" s="1504">
        <v>25</v>
      </c>
      <c r="U115" s="1504">
        <v>3</v>
      </c>
      <c r="V115" s="1610">
        <v>1.4</v>
      </c>
      <c r="W115" s="1609">
        <v>16</v>
      </c>
      <c r="X115" s="1610">
        <v>1.6</v>
      </c>
      <c r="Y115" s="1629">
        <v>1.6</v>
      </c>
      <c r="Z115" s="1609" t="s">
        <v>1712</v>
      </c>
      <c r="AA115" s="1504">
        <v>11</v>
      </c>
      <c r="AB115" s="1610">
        <v>1.4</v>
      </c>
      <c r="AC115" s="1612">
        <f t="shared" ref="AC115:AC133" si="29">PI()*D115*E115/1000000</f>
        <v>5.7707915453790908E-3</v>
      </c>
      <c r="AD115" s="1613">
        <f t="shared" ref="AD115:AD133" si="30">D115^2*PI()/4/1000000</f>
        <v>1.0751315458747669E-2</v>
      </c>
      <c r="AE115" s="1613">
        <f t="shared" ref="AE115:AE133" si="31">P115*PI()*(Q115-E115)/1000000</f>
        <v>3.4642656350400004E-3</v>
      </c>
      <c r="AF115" s="1614">
        <f t="shared" ref="AF115:AF133" si="32">AE115+AD115+AC115</f>
        <v>1.998637263916676E-2</v>
      </c>
      <c r="AG115" s="1615">
        <f t="shared" ref="AG115:AG133" si="33">PI()*D115*E115/1000000</f>
        <v>5.7707915453790908E-3</v>
      </c>
      <c r="AH115" s="1613">
        <f t="shared" ref="AH115:AH133" si="34">D115^2*PI()/4/1000000</f>
        <v>1.0751315458747669E-2</v>
      </c>
      <c r="AI115" s="1614">
        <f t="shared" ref="AI115:AI133" si="35">AH115+AG115</f>
        <v>1.6522107004126759E-2</v>
      </c>
      <c r="AV115" s="1616">
        <v>2.5</v>
      </c>
      <c r="AW115" s="1616">
        <f t="shared" si="27"/>
        <v>5</v>
      </c>
      <c r="AX115" s="1616">
        <f t="shared" si="28"/>
        <v>4.9965931597916902E-2</v>
      </c>
    </row>
    <row r="116" spans="1:50" x14ac:dyDescent="0.25">
      <c r="A116" s="1620" t="s">
        <v>3907</v>
      </c>
      <c r="B116" s="1504">
        <v>25</v>
      </c>
      <c r="C116" s="1505">
        <v>1</v>
      </c>
      <c r="D116" s="1506">
        <v>124</v>
      </c>
      <c r="E116" s="1504">
        <v>17.5</v>
      </c>
      <c r="F116" s="1504">
        <v>50.8</v>
      </c>
      <c r="G116" s="1504">
        <v>69.900000000000006</v>
      </c>
      <c r="H116" s="1504">
        <v>6.35</v>
      </c>
      <c r="I116" s="1504">
        <v>4</v>
      </c>
      <c r="J116" s="1504">
        <v>88.9</v>
      </c>
      <c r="K116" s="1504">
        <v>19</v>
      </c>
      <c r="L116" s="1504">
        <v>34.5</v>
      </c>
      <c r="M116" s="1504">
        <v>54</v>
      </c>
      <c r="N116" s="1508">
        <v>27</v>
      </c>
      <c r="O116" s="1362">
        <v>1.8</v>
      </c>
      <c r="P116" s="1609">
        <v>33.4</v>
      </c>
      <c r="Q116" s="1504">
        <v>62</v>
      </c>
      <c r="R116" s="1610">
        <v>2.5</v>
      </c>
      <c r="S116" s="1609">
        <v>35</v>
      </c>
      <c r="T116" s="1504">
        <v>27</v>
      </c>
      <c r="U116" s="1504">
        <v>3</v>
      </c>
      <c r="V116" s="1610">
        <v>1.8</v>
      </c>
      <c r="W116" s="1609">
        <v>18</v>
      </c>
      <c r="X116" s="1610">
        <v>2.1</v>
      </c>
      <c r="Y116" s="1629">
        <v>2.1</v>
      </c>
      <c r="Z116" s="1609" t="s">
        <v>1712</v>
      </c>
      <c r="AA116" s="1504">
        <v>13</v>
      </c>
      <c r="AB116" s="1610">
        <v>1.8</v>
      </c>
      <c r="AC116" s="1612">
        <f t="shared" si="29"/>
        <v>6.8172560582898502E-3</v>
      </c>
      <c r="AD116" s="1613">
        <f t="shared" si="30"/>
        <v>1.2076282160399165E-2</v>
      </c>
      <c r="AE116" s="1613">
        <f t="shared" si="31"/>
        <v>4.669349161030509E-3</v>
      </c>
      <c r="AF116" s="1614">
        <f t="shared" si="32"/>
        <v>2.3562887379719524E-2</v>
      </c>
      <c r="AG116" s="1615">
        <f t="shared" si="33"/>
        <v>6.8172560582898502E-3</v>
      </c>
      <c r="AH116" s="1613">
        <f t="shared" si="34"/>
        <v>1.2076282160399165E-2</v>
      </c>
      <c r="AI116" s="1614">
        <f t="shared" si="35"/>
        <v>1.8893538218689016E-2</v>
      </c>
      <c r="AV116" s="1616">
        <v>2.5</v>
      </c>
      <c r="AW116" s="1616">
        <f t="shared" si="27"/>
        <v>6.25</v>
      </c>
      <c r="AX116" s="1616">
        <f t="shared" si="28"/>
        <v>5.8907218449298811E-2</v>
      </c>
    </row>
    <row r="117" spans="1:50" x14ac:dyDescent="0.25">
      <c r="A117" s="1620" t="s">
        <v>3908</v>
      </c>
      <c r="B117" s="1504">
        <v>32</v>
      </c>
      <c r="C117" s="1505">
        <v>1.25</v>
      </c>
      <c r="D117" s="1506">
        <v>133</v>
      </c>
      <c r="E117" s="1504">
        <v>20.6</v>
      </c>
      <c r="F117" s="1504">
        <v>63.5</v>
      </c>
      <c r="G117" s="1504">
        <v>79.2</v>
      </c>
      <c r="H117" s="1504">
        <v>6.35</v>
      </c>
      <c r="I117" s="1504">
        <v>4</v>
      </c>
      <c r="J117" s="1504">
        <v>98.4</v>
      </c>
      <c r="K117" s="1504">
        <v>19</v>
      </c>
      <c r="L117" s="1504">
        <v>43.2</v>
      </c>
      <c r="M117" s="1504">
        <v>64</v>
      </c>
      <c r="N117" s="1508">
        <v>29</v>
      </c>
      <c r="O117" s="1362">
        <v>2.1</v>
      </c>
      <c r="P117" s="1609">
        <v>42.2</v>
      </c>
      <c r="Q117" s="1504">
        <v>67</v>
      </c>
      <c r="R117" s="1610">
        <v>3.2</v>
      </c>
      <c r="S117" s="1609">
        <v>43.7</v>
      </c>
      <c r="T117" s="1504">
        <v>29</v>
      </c>
      <c r="U117" s="1504">
        <v>5</v>
      </c>
      <c r="V117" s="1610">
        <v>2.1</v>
      </c>
      <c r="W117" s="1609">
        <v>21</v>
      </c>
      <c r="X117" s="1610">
        <v>2.6</v>
      </c>
      <c r="Y117" s="1629">
        <v>2.6</v>
      </c>
      <c r="Z117" s="1609" t="s">
        <v>1712</v>
      </c>
      <c r="AA117" s="1504">
        <v>14</v>
      </c>
      <c r="AB117" s="1610">
        <v>2.6</v>
      </c>
      <c r="AC117" s="1612">
        <f t="shared" si="29"/>
        <v>8.6073355523053167E-3</v>
      </c>
      <c r="AD117" s="1613">
        <f t="shared" si="30"/>
        <v>1.3892908112337461E-2</v>
      </c>
      <c r="AE117" s="1613">
        <f t="shared" si="31"/>
        <v>6.1514897431411029E-3</v>
      </c>
      <c r="AF117" s="1614">
        <f t="shared" si="32"/>
        <v>2.8651733407783882E-2</v>
      </c>
      <c r="AG117" s="1615">
        <f t="shared" si="33"/>
        <v>8.6073355523053167E-3</v>
      </c>
      <c r="AH117" s="1613">
        <f t="shared" si="34"/>
        <v>1.3892908112337461E-2</v>
      </c>
      <c r="AI117" s="1614">
        <f t="shared" si="35"/>
        <v>2.2500243664642778E-2</v>
      </c>
      <c r="AV117" s="1616">
        <v>2.5</v>
      </c>
      <c r="AW117" s="1616">
        <f t="shared" si="27"/>
        <v>8</v>
      </c>
      <c r="AX117" s="1616">
        <f t="shared" si="28"/>
        <v>7.1629333519459701E-2</v>
      </c>
    </row>
    <row r="118" spans="1:50" x14ac:dyDescent="0.25">
      <c r="A118" s="1620" t="s">
        <v>3909</v>
      </c>
      <c r="B118" s="1504">
        <v>40</v>
      </c>
      <c r="C118" s="1505">
        <v>1.5</v>
      </c>
      <c r="D118" s="1506">
        <v>156</v>
      </c>
      <c r="E118" s="1504">
        <v>22.4</v>
      </c>
      <c r="F118" s="1504">
        <v>73</v>
      </c>
      <c r="G118" s="1504">
        <v>90.4</v>
      </c>
      <c r="H118" s="1504">
        <v>6.35</v>
      </c>
      <c r="I118" s="1504">
        <v>4</v>
      </c>
      <c r="J118" s="1504">
        <v>114.3</v>
      </c>
      <c r="K118" s="1504">
        <v>22.2</v>
      </c>
      <c r="L118" s="1504">
        <v>49.5</v>
      </c>
      <c r="M118" s="1504">
        <v>70</v>
      </c>
      <c r="N118" s="1508">
        <v>32</v>
      </c>
      <c r="O118" s="1362">
        <v>3.1</v>
      </c>
      <c r="P118" s="1609">
        <v>48.3</v>
      </c>
      <c r="Q118" s="1504">
        <v>70</v>
      </c>
      <c r="R118" s="1610">
        <v>4.5</v>
      </c>
      <c r="S118" s="1609">
        <v>50</v>
      </c>
      <c r="T118" s="1504">
        <v>32</v>
      </c>
      <c r="U118" s="1504">
        <v>6</v>
      </c>
      <c r="V118" s="1610">
        <v>3.1</v>
      </c>
      <c r="W118" s="1609">
        <v>22</v>
      </c>
      <c r="X118" s="1610">
        <v>3.3</v>
      </c>
      <c r="Y118" s="1629">
        <v>3.7</v>
      </c>
      <c r="Z118" s="1609" t="s">
        <v>1712</v>
      </c>
      <c r="AA118" s="1504">
        <v>16</v>
      </c>
      <c r="AB118" s="1610">
        <v>3.1</v>
      </c>
      <c r="AC118" s="1612">
        <f t="shared" si="29"/>
        <v>1.0977981368704171E-2</v>
      </c>
      <c r="AD118" s="1613">
        <f t="shared" si="30"/>
        <v>1.9113449704440299E-2</v>
      </c>
      <c r="AE118" s="1613">
        <f t="shared" si="31"/>
        <v>7.2227728380152212E-3</v>
      </c>
      <c r="AF118" s="1614">
        <f t="shared" si="32"/>
        <v>3.7314203911159693E-2</v>
      </c>
      <c r="AG118" s="1615">
        <f t="shared" si="33"/>
        <v>1.0977981368704171E-2</v>
      </c>
      <c r="AH118" s="1613">
        <f t="shared" si="34"/>
        <v>1.9113449704440299E-2</v>
      </c>
      <c r="AI118" s="1614">
        <f t="shared" si="35"/>
        <v>3.0091431073144471E-2</v>
      </c>
      <c r="AV118" s="1616">
        <v>1.925</v>
      </c>
      <c r="AW118" s="1616">
        <f t="shared" si="27"/>
        <v>8.6624999999999996</v>
      </c>
      <c r="AX118" s="1616">
        <f t="shared" si="28"/>
        <v>7.1829842528982418E-2</v>
      </c>
    </row>
    <row r="119" spans="1:50" x14ac:dyDescent="0.25">
      <c r="A119" s="1620" t="s">
        <v>3910</v>
      </c>
      <c r="B119" s="1504">
        <v>50</v>
      </c>
      <c r="C119" s="1505">
        <v>2</v>
      </c>
      <c r="D119" s="1506">
        <v>165</v>
      </c>
      <c r="E119" s="1504">
        <v>25.4</v>
      </c>
      <c r="F119" s="1504">
        <v>92.1</v>
      </c>
      <c r="G119" s="1504">
        <v>108</v>
      </c>
      <c r="H119" s="1504">
        <v>7.92</v>
      </c>
      <c r="I119" s="1504">
        <v>8</v>
      </c>
      <c r="J119" s="1504">
        <v>127</v>
      </c>
      <c r="K119" s="1504">
        <v>19</v>
      </c>
      <c r="L119" s="1504">
        <v>62</v>
      </c>
      <c r="M119" s="1504">
        <v>84</v>
      </c>
      <c r="N119" s="1508">
        <v>37</v>
      </c>
      <c r="O119" s="1362">
        <v>4</v>
      </c>
      <c r="P119" s="1609">
        <v>60.3</v>
      </c>
      <c r="Q119" s="1504">
        <v>73</v>
      </c>
      <c r="R119" s="1610">
        <v>5.5</v>
      </c>
      <c r="S119" s="1609">
        <v>62.5</v>
      </c>
      <c r="T119" s="1504">
        <v>37</v>
      </c>
      <c r="U119" s="1504">
        <v>8</v>
      </c>
      <c r="V119" s="1610">
        <v>4</v>
      </c>
      <c r="W119" s="1609">
        <v>29</v>
      </c>
      <c r="X119" s="1610">
        <v>4.4000000000000004</v>
      </c>
      <c r="Y119" s="1629">
        <v>4.5999999999999996</v>
      </c>
      <c r="Z119" s="1609" t="s">
        <v>1712</v>
      </c>
      <c r="AA119" s="1504">
        <v>17</v>
      </c>
      <c r="AB119" s="1610">
        <v>4</v>
      </c>
      <c r="AC119" s="1612">
        <f t="shared" si="29"/>
        <v>1.3166414811194821E-2</v>
      </c>
      <c r="AD119" s="1613">
        <f t="shared" si="30"/>
        <v>2.138246499849553E-2</v>
      </c>
      <c r="AE119" s="1613">
        <f t="shared" si="31"/>
        <v>9.0172505617457099E-3</v>
      </c>
      <c r="AF119" s="1614">
        <f t="shared" si="32"/>
        <v>4.3566130371436057E-2</v>
      </c>
      <c r="AG119" s="1615">
        <f t="shared" si="33"/>
        <v>1.3166414811194821E-2</v>
      </c>
      <c r="AH119" s="1613">
        <f t="shared" si="34"/>
        <v>2.138246499849553E-2</v>
      </c>
      <c r="AI119" s="1614">
        <f t="shared" si="35"/>
        <v>3.4548879809690347E-2</v>
      </c>
      <c r="AV119" s="1616">
        <v>1.9</v>
      </c>
      <c r="AW119" s="1616">
        <f t="shared" si="27"/>
        <v>10.45</v>
      </c>
      <c r="AX119" s="1616">
        <f t="shared" si="28"/>
        <v>8.2775647705728511E-2</v>
      </c>
    </row>
    <row r="120" spans="1:50" x14ac:dyDescent="0.25">
      <c r="A120" s="1620" t="s">
        <v>3911</v>
      </c>
      <c r="B120" s="1504">
        <v>65</v>
      </c>
      <c r="C120" s="1505">
        <v>2.5</v>
      </c>
      <c r="D120" s="1506">
        <v>190</v>
      </c>
      <c r="E120" s="1504">
        <v>28.4</v>
      </c>
      <c r="F120" s="1504">
        <v>104.8</v>
      </c>
      <c r="G120" s="1504">
        <v>127</v>
      </c>
      <c r="H120" s="1504">
        <v>7.92</v>
      </c>
      <c r="I120" s="1504">
        <v>8</v>
      </c>
      <c r="J120" s="1504">
        <v>149.19999999999999</v>
      </c>
      <c r="K120" s="1504">
        <v>22.2</v>
      </c>
      <c r="L120" s="1504">
        <v>74.7</v>
      </c>
      <c r="M120" s="1504">
        <v>100</v>
      </c>
      <c r="N120" s="1508">
        <v>41</v>
      </c>
      <c r="O120" s="1362">
        <v>5.4</v>
      </c>
      <c r="P120" s="1609">
        <v>73</v>
      </c>
      <c r="Q120" s="1504">
        <v>79</v>
      </c>
      <c r="R120" s="1610">
        <v>8</v>
      </c>
      <c r="S120" s="1609">
        <v>75.400000000000006</v>
      </c>
      <c r="T120" s="1504">
        <v>41</v>
      </c>
      <c r="U120" s="1504">
        <v>8</v>
      </c>
      <c r="V120" s="1610">
        <v>5.4</v>
      </c>
      <c r="W120" s="1609">
        <v>32</v>
      </c>
      <c r="X120" s="1610">
        <v>6</v>
      </c>
      <c r="Y120" s="1629">
        <v>6.8</v>
      </c>
      <c r="Z120" s="1609" t="s">
        <v>1712</v>
      </c>
      <c r="AA120" s="1504">
        <v>19</v>
      </c>
      <c r="AB120" s="1610">
        <v>5.5</v>
      </c>
      <c r="AC120" s="1612">
        <f t="shared" si="29"/>
        <v>1.6952033958770523E-2</v>
      </c>
      <c r="AD120" s="1613">
        <f t="shared" si="30"/>
        <v>2.8352873698647883E-2</v>
      </c>
      <c r="AE120" s="1613">
        <f t="shared" si="31"/>
        <v>1.1604414943829978E-2</v>
      </c>
      <c r="AF120" s="1614">
        <f t="shared" si="32"/>
        <v>5.6909322601248383E-2</v>
      </c>
      <c r="AG120" s="1615">
        <f t="shared" si="33"/>
        <v>1.6952033958770523E-2</v>
      </c>
      <c r="AH120" s="1613">
        <f t="shared" si="34"/>
        <v>2.8352873698647883E-2</v>
      </c>
      <c r="AI120" s="1614">
        <f t="shared" si="35"/>
        <v>4.5304907657418403E-2</v>
      </c>
      <c r="AV120" s="1616">
        <v>1.8857142857142857</v>
      </c>
      <c r="AW120" s="1616">
        <f t="shared" si="27"/>
        <v>15.085714285714285</v>
      </c>
      <c r="AX120" s="1616">
        <f t="shared" si="28"/>
        <v>0.10731472261949696</v>
      </c>
    </row>
    <row r="121" spans="1:50" x14ac:dyDescent="0.25">
      <c r="A121" s="1620" t="s">
        <v>3912</v>
      </c>
      <c r="B121" s="1504">
        <v>80</v>
      </c>
      <c r="C121" s="1505">
        <v>3</v>
      </c>
      <c r="D121" s="1506">
        <v>210</v>
      </c>
      <c r="E121" s="1504">
        <v>31.8</v>
      </c>
      <c r="F121" s="1504">
        <v>127</v>
      </c>
      <c r="G121" s="1504">
        <v>146.1</v>
      </c>
      <c r="H121" s="1504">
        <v>7.92</v>
      </c>
      <c r="I121" s="1504">
        <v>8</v>
      </c>
      <c r="J121" s="1504">
        <v>168.3</v>
      </c>
      <c r="K121" s="1504">
        <v>22.2</v>
      </c>
      <c r="L121" s="1504">
        <v>90.7</v>
      </c>
      <c r="M121" s="1504">
        <v>118</v>
      </c>
      <c r="N121" s="1508">
        <v>46</v>
      </c>
      <c r="O121" s="1362">
        <v>7</v>
      </c>
      <c r="P121" s="1609">
        <v>88.9</v>
      </c>
      <c r="Q121" s="1504">
        <v>83</v>
      </c>
      <c r="R121" s="1610">
        <v>10.5</v>
      </c>
      <c r="S121" s="1609">
        <v>91.4</v>
      </c>
      <c r="T121" s="1504">
        <v>46</v>
      </c>
      <c r="U121" s="1504">
        <v>10</v>
      </c>
      <c r="V121" s="1610">
        <v>7</v>
      </c>
      <c r="W121" s="1609">
        <v>35</v>
      </c>
      <c r="X121" s="1610">
        <v>7.4</v>
      </c>
      <c r="Y121" s="1629">
        <v>9.1</v>
      </c>
      <c r="Z121" s="1609" t="s">
        <v>1712</v>
      </c>
      <c r="AA121" s="1504">
        <v>21</v>
      </c>
      <c r="AB121" s="1610">
        <v>7</v>
      </c>
      <c r="AC121" s="1612">
        <f t="shared" si="29"/>
        <v>2.0979555740672642E-2</v>
      </c>
      <c r="AD121" s="1613">
        <f t="shared" si="30"/>
        <v>3.4636059005827467E-2</v>
      </c>
      <c r="AE121" s="1613">
        <f t="shared" si="31"/>
        <v>1.4299524449491591E-2</v>
      </c>
      <c r="AF121" s="1614">
        <f t="shared" si="32"/>
        <v>6.9915139195991696E-2</v>
      </c>
      <c r="AG121" s="1615">
        <f t="shared" si="33"/>
        <v>2.0979555740672642E-2</v>
      </c>
      <c r="AH121" s="1613">
        <f t="shared" si="34"/>
        <v>3.4636059005827467E-2</v>
      </c>
      <c r="AI121" s="1614">
        <f t="shared" si="35"/>
        <v>5.5615614746500106E-2</v>
      </c>
      <c r="AV121" s="1616">
        <v>1.9222222222222223</v>
      </c>
      <c r="AW121" s="1616">
        <f t="shared" si="27"/>
        <v>20.183333333333334</v>
      </c>
      <c r="AX121" s="1616">
        <f t="shared" si="28"/>
        <v>0.13439243423229516</v>
      </c>
    </row>
    <row r="122" spans="1:50" x14ac:dyDescent="0.25">
      <c r="A122" s="1620" t="s">
        <v>3913</v>
      </c>
      <c r="B122" s="1504" t="s">
        <v>1721</v>
      </c>
      <c r="C122" s="1505">
        <v>3.5</v>
      </c>
      <c r="D122" s="1506">
        <v>229</v>
      </c>
      <c r="E122" s="1504">
        <v>35</v>
      </c>
      <c r="F122" s="1504">
        <v>139.69999999999999</v>
      </c>
      <c r="G122" s="1504">
        <v>158.80000000000001</v>
      </c>
      <c r="H122" s="1504">
        <v>7.92</v>
      </c>
      <c r="I122" s="1504">
        <v>8</v>
      </c>
      <c r="J122" s="1504">
        <v>184.1</v>
      </c>
      <c r="K122" s="1504">
        <v>25.4</v>
      </c>
      <c r="L122" s="1504">
        <v>103.4</v>
      </c>
      <c r="M122" s="1504">
        <v>133</v>
      </c>
      <c r="N122" s="1508">
        <v>49</v>
      </c>
      <c r="O122" s="1362">
        <v>8.9</v>
      </c>
      <c r="P122" s="1609">
        <v>101.6</v>
      </c>
      <c r="Q122" s="1504">
        <v>86</v>
      </c>
      <c r="R122" s="1610">
        <v>15.6</v>
      </c>
      <c r="S122" s="1609">
        <v>104.1</v>
      </c>
      <c r="T122" s="1504">
        <v>49</v>
      </c>
      <c r="U122" s="1504">
        <v>10</v>
      </c>
      <c r="V122" s="1610">
        <v>8.9</v>
      </c>
      <c r="W122" s="1609">
        <v>40</v>
      </c>
      <c r="X122" s="1610">
        <v>9.5</v>
      </c>
      <c r="Y122" s="1629">
        <v>13.2</v>
      </c>
      <c r="Z122" s="1609" t="s">
        <v>1712</v>
      </c>
      <c r="AA122" s="1504" t="s">
        <v>1712</v>
      </c>
      <c r="AB122" s="1610" t="s">
        <v>1712</v>
      </c>
      <c r="AC122" s="1612">
        <f t="shared" si="29"/>
        <v>2.5179865118522191E-2</v>
      </c>
      <c r="AD122" s="1613">
        <f t="shared" si="30"/>
        <v>4.118706508672558E-2</v>
      </c>
      <c r="AE122" s="1613">
        <f t="shared" si="31"/>
        <v>1.6278476493840871E-2</v>
      </c>
      <c r="AF122" s="1614">
        <f t="shared" si="32"/>
        <v>8.2645406699088639E-2</v>
      </c>
      <c r="AG122" s="1615">
        <f t="shared" si="33"/>
        <v>2.5179865118522191E-2</v>
      </c>
      <c r="AH122" s="1613">
        <f t="shared" si="34"/>
        <v>4.118706508672558E-2</v>
      </c>
      <c r="AI122" s="1614">
        <f t="shared" si="35"/>
        <v>6.6366930205247768E-2</v>
      </c>
      <c r="AV122" s="1616">
        <v>1.9222222222222223</v>
      </c>
      <c r="AW122" s="1616">
        <f t="shared" si="27"/>
        <v>29.986666666666668</v>
      </c>
      <c r="AX122" s="1616">
        <f t="shared" si="28"/>
        <v>0.15886283732158149</v>
      </c>
    </row>
    <row r="123" spans="1:50" x14ac:dyDescent="0.25">
      <c r="A123" s="1620" t="s">
        <v>3914</v>
      </c>
      <c r="B123" s="1504">
        <v>100</v>
      </c>
      <c r="C123" s="1505">
        <v>4</v>
      </c>
      <c r="D123" s="1506">
        <v>273</v>
      </c>
      <c r="E123" s="1504">
        <v>38.1</v>
      </c>
      <c r="F123" s="1504">
        <v>157.19999999999999</v>
      </c>
      <c r="G123" s="1504">
        <v>174.8</v>
      </c>
      <c r="H123" s="1504">
        <v>7.92</v>
      </c>
      <c r="I123" s="1504">
        <v>8</v>
      </c>
      <c r="J123" s="1504">
        <v>215.9</v>
      </c>
      <c r="K123" s="1504">
        <v>25.4</v>
      </c>
      <c r="L123" s="1504">
        <v>116.1</v>
      </c>
      <c r="M123" s="1504">
        <v>152</v>
      </c>
      <c r="N123" s="1508">
        <v>54</v>
      </c>
      <c r="O123" s="1362">
        <v>16</v>
      </c>
      <c r="P123" s="1609">
        <v>114.3</v>
      </c>
      <c r="Q123" s="1504">
        <v>102</v>
      </c>
      <c r="R123" s="1610">
        <v>19</v>
      </c>
      <c r="S123" s="1609">
        <v>116.8</v>
      </c>
      <c r="T123" s="1504">
        <v>54</v>
      </c>
      <c r="U123" s="1504">
        <v>11</v>
      </c>
      <c r="V123" s="1610">
        <v>16</v>
      </c>
      <c r="W123" s="1609">
        <v>41</v>
      </c>
      <c r="X123" s="1610">
        <v>17</v>
      </c>
      <c r="Y123" s="1629">
        <v>18.7</v>
      </c>
      <c r="Z123" s="1609" t="s">
        <v>1712</v>
      </c>
      <c r="AA123" s="1504" t="s">
        <v>1712</v>
      </c>
      <c r="AB123" s="1610" t="s">
        <v>1712</v>
      </c>
      <c r="AC123" s="1612">
        <f t="shared" si="29"/>
        <v>3.2676647667783519E-2</v>
      </c>
      <c r="AD123" s="1613">
        <f t="shared" si="30"/>
        <v>5.8534939719848425E-2</v>
      </c>
      <c r="AE123" s="1613">
        <f t="shared" si="31"/>
        <v>2.2945470175509523E-2</v>
      </c>
      <c r="AF123" s="1614">
        <f t="shared" si="32"/>
        <v>0.11415705756314146</v>
      </c>
      <c r="AG123" s="1615">
        <f t="shared" si="33"/>
        <v>3.2676647667783519E-2</v>
      </c>
      <c r="AH123" s="1613">
        <f t="shared" si="34"/>
        <v>5.8534939719848425E-2</v>
      </c>
      <c r="AI123" s="1614">
        <f t="shared" si="35"/>
        <v>9.1211587387631937E-2</v>
      </c>
      <c r="AV123" s="1616">
        <v>2.0166666666666666</v>
      </c>
      <c r="AW123" s="1616">
        <f t="shared" si="27"/>
        <v>38.316666666666663</v>
      </c>
      <c r="AX123" s="1616">
        <f t="shared" si="28"/>
        <v>0.23021673275233526</v>
      </c>
    </row>
    <row r="124" spans="1:50" x14ac:dyDescent="0.25">
      <c r="A124" s="1620" t="s">
        <v>3915</v>
      </c>
      <c r="B124" s="1504">
        <v>125</v>
      </c>
      <c r="C124" s="1505">
        <v>5</v>
      </c>
      <c r="D124" s="1506">
        <v>330</v>
      </c>
      <c r="E124" s="1504">
        <v>44.5</v>
      </c>
      <c r="F124" s="1504">
        <v>185.7</v>
      </c>
      <c r="G124" s="1504">
        <v>209.6</v>
      </c>
      <c r="H124" s="1504">
        <v>7.92</v>
      </c>
      <c r="I124" s="1504">
        <v>8</v>
      </c>
      <c r="J124" s="1504">
        <v>266.7</v>
      </c>
      <c r="K124" s="1504">
        <v>28.5</v>
      </c>
      <c r="L124" s="1504">
        <v>143.80000000000001</v>
      </c>
      <c r="M124" s="1504">
        <v>189</v>
      </c>
      <c r="N124" s="1508">
        <v>60</v>
      </c>
      <c r="O124" s="1362">
        <v>25</v>
      </c>
      <c r="P124" s="1609">
        <v>141.30000000000001</v>
      </c>
      <c r="Q124" s="1504">
        <v>114</v>
      </c>
      <c r="R124" s="1610">
        <v>31</v>
      </c>
      <c r="S124" s="1609">
        <v>144.5</v>
      </c>
      <c r="T124" s="1504">
        <v>60</v>
      </c>
      <c r="U124" s="1504">
        <v>11</v>
      </c>
      <c r="V124" s="1610">
        <v>25</v>
      </c>
      <c r="W124" s="1609">
        <v>48</v>
      </c>
      <c r="X124" s="1610">
        <v>27</v>
      </c>
      <c r="Y124" s="1629">
        <v>31</v>
      </c>
      <c r="Z124" s="1609" t="s">
        <v>1712</v>
      </c>
      <c r="AA124" s="1504" t="s">
        <v>1712</v>
      </c>
      <c r="AB124" s="1610" t="s">
        <v>1712</v>
      </c>
      <c r="AC124" s="1612">
        <f t="shared" si="29"/>
        <v>4.6134288117966105E-2</v>
      </c>
      <c r="AD124" s="1613">
        <f t="shared" si="30"/>
        <v>8.5529859993982119E-2</v>
      </c>
      <c r="AE124" s="1613">
        <f t="shared" si="31"/>
        <v>3.0851539415680525E-2</v>
      </c>
      <c r="AF124" s="1614">
        <f t="shared" si="32"/>
        <v>0.16251568752762874</v>
      </c>
      <c r="AG124" s="1615">
        <f t="shared" si="33"/>
        <v>4.6134288117966105E-2</v>
      </c>
      <c r="AH124" s="1613">
        <f t="shared" si="34"/>
        <v>8.5529859993982119E-2</v>
      </c>
      <c r="AI124" s="1614">
        <f t="shared" si="35"/>
        <v>0.13166414811194821</v>
      </c>
      <c r="AV124" s="1616">
        <v>1.8741935483870968</v>
      </c>
      <c r="AW124" s="1616">
        <f t="shared" si="27"/>
        <v>58.1</v>
      </c>
      <c r="AX124" s="1616">
        <f t="shared" si="28"/>
        <v>0.30458585307597519</v>
      </c>
    </row>
    <row r="125" spans="1:50" x14ac:dyDescent="0.25">
      <c r="A125" s="1620" t="s">
        <v>3916</v>
      </c>
      <c r="B125" s="1504">
        <v>150</v>
      </c>
      <c r="C125" s="1505">
        <v>6</v>
      </c>
      <c r="D125" s="1506">
        <v>356</v>
      </c>
      <c r="E125" s="1504">
        <v>47.8</v>
      </c>
      <c r="F125" s="1504">
        <v>215.9</v>
      </c>
      <c r="G125" s="1504">
        <v>241.3</v>
      </c>
      <c r="H125" s="1504">
        <v>7.92</v>
      </c>
      <c r="I125" s="1504">
        <v>12</v>
      </c>
      <c r="J125" s="1504">
        <v>292.10000000000002</v>
      </c>
      <c r="K125" s="1504">
        <v>28.5</v>
      </c>
      <c r="L125" s="1504">
        <v>170.7</v>
      </c>
      <c r="M125" s="1504">
        <v>222</v>
      </c>
      <c r="N125" s="1508">
        <v>67</v>
      </c>
      <c r="O125" s="1362">
        <v>30</v>
      </c>
      <c r="P125" s="1609">
        <v>168.3</v>
      </c>
      <c r="Q125" s="1504">
        <v>117</v>
      </c>
      <c r="R125" s="1610">
        <v>37</v>
      </c>
      <c r="S125" s="1609">
        <v>171.4</v>
      </c>
      <c r="T125" s="1504">
        <v>67</v>
      </c>
      <c r="U125" s="1504">
        <v>13</v>
      </c>
      <c r="V125" s="1610">
        <v>30</v>
      </c>
      <c r="W125" s="1609">
        <v>51</v>
      </c>
      <c r="X125" s="1610">
        <v>32</v>
      </c>
      <c r="Y125" s="1629">
        <v>39</v>
      </c>
      <c r="Z125" s="1609" t="s">
        <v>1712</v>
      </c>
      <c r="AA125" s="1504" t="s">
        <v>1712</v>
      </c>
      <c r="AB125" s="1610" t="s">
        <v>1712</v>
      </c>
      <c r="AC125" s="1612">
        <f t="shared" si="29"/>
        <v>5.3459853867606794E-2</v>
      </c>
      <c r="AD125" s="1613">
        <f t="shared" si="30"/>
        <v>9.9538221636339005E-2</v>
      </c>
      <c r="AE125" s="1613">
        <f t="shared" si="31"/>
        <v>3.6588119017062028E-2</v>
      </c>
      <c r="AF125" s="1614">
        <f t="shared" si="32"/>
        <v>0.18958619452100783</v>
      </c>
      <c r="AG125" s="1615">
        <f t="shared" si="33"/>
        <v>5.3459853867606794E-2</v>
      </c>
      <c r="AH125" s="1613">
        <f t="shared" si="34"/>
        <v>9.9538221636339005E-2</v>
      </c>
      <c r="AI125" s="1614">
        <f t="shared" si="35"/>
        <v>0.15299807550394579</v>
      </c>
      <c r="AV125" s="1616">
        <v>1.9378378378378378</v>
      </c>
      <c r="AW125" s="1616">
        <f t="shared" si="27"/>
        <v>71.7</v>
      </c>
      <c r="AX125" s="1616">
        <f t="shared" si="28"/>
        <v>0.36738730127449354</v>
      </c>
    </row>
    <row r="126" spans="1:50" x14ac:dyDescent="0.25">
      <c r="A126" s="1620" t="s">
        <v>3917</v>
      </c>
      <c r="B126" s="1504">
        <v>200</v>
      </c>
      <c r="C126" s="1505">
        <v>8</v>
      </c>
      <c r="D126" s="1506">
        <v>419</v>
      </c>
      <c r="E126" s="1504">
        <v>55.6</v>
      </c>
      <c r="F126" s="1504">
        <v>269.89999999999998</v>
      </c>
      <c r="G126" s="1504">
        <v>301.8</v>
      </c>
      <c r="H126" s="1504">
        <v>7.92</v>
      </c>
      <c r="I126" s="1504">
        <v>12</v>
      </c>
      <c r="J126" s="1504">
        <v>349.2</v>
      </c>
      <c r="K126" s="1504">
        <v>31.8</v>
      </c>
      <c r="L126" s="1504">
        <v>221.5</v>
      </c>
      <c r="M126" s="1504">
        <v>273</v>
      </c>
      <c r="N126" s="1508">
        <v>76</v>
      </c>
      <c r="O126" s="1362">
        <v>43</v>
      </c>
      <c r="P126" s="1609">
        <v>219.1</v>
      </c>
      <c r="Q126" s="1504">
        <v>133</v>
      </c>
      <c r="R126" s="1610">
        <v>53</v>
      </c>
      <c r="S126" s="1609">
        <v>222.2</v>
      </c>
      <c r="T126" s="1504">
        <v>76</v>
      </c>
      <c r="U126" s="1504">
        <v>13</v>
      </c>
      <c r="V126" s="1610">
        <v>43</v>
      </c>
      <c r="W126" s="1609">
        <v>57</v>
      </c>
      <c r="X126" s="1610">
        <v>46</v>
      </c>
      <c r="Y126" s="1629">
        <v>64</v>
      </c>
      <c r="Z126" s="1609" t="s">
        <v>1712</v>
      </c>
      <c r="AA126" s="1504" t="s">
        <v>1712</v>
      </c>
      <c r="AB126" s="1610" t="s">
        <v>1712</v>
      </c>
      <c r="AC126" s="1612">
        <f t="shared" si="29"/>
        <v>7.3187799095089254E-2</v>
      </c>
      <c r="AD126" s="1613">
        <f t="shared" si="30"/>
        <v>0.13788528696421942</v>
      </c>
      <c r="AE126" s="1613">
        <f t="shared" si="31"/>
        <v>5.3276196361077929E-2</v>
      </c>
      <c r="AF126" s="1614">
        <f t="shared" si="32"/>
        <v>0.26434928242038663</v>
      </c>
      <c r="AG126" s="1615">
        <f t="shared" si="33"/>
        <v>7.3187799095089254E-2</v>
      </c>
      <c r="AH126" s="1613">
        <f t="shared" si="34"/>
        <v>0.13788528696421942</v>
      </c>
      <c r="AI126" s="1614">
        <f t="shared" si="35"/>
        <v>0.21107308605930869</v>
      </c>
      <c r="AV126" s="1616">
        <v>1.712280701754386</v>
      </c>
      <c r="AW126" s="1616">
        <f t="shared" si="27"/>
        <v>90.750877192982458</v>
      </c>
      <c r="AX126" s="1616">
        <f t="shared" si="28"/>
        <v>0.45264017481104801</v>
      </c>
    </row>
    <row r="127" spans="1:50" x14ac:dyDescent="0.25">
      <c r="A127" s="1620" t="s">
        <v>3918</v>
      </c>
      <c r="B127" s="1504">
        <v>250</v>
      </c>
      <c r="C127" s="1505">
        <v>10</v>
      </c>
      <c r="D127" s="1506">
        <v>508</v>
      </c>
      <c r="E127" s="1504">
        <v>63.5</v>
      </c>
      <c r="F127" s="1504">
        <v>323.8</v>
      </c>
      <c r="G127" s="1504">
        <v>355.6</v>
      </c>
      <c r="H127" s="1504">
        <v>7.92</v>
      </c>
      <c r="I127" s="1504">
        <v>16</v>
      </c>
      <c r="J127" s="1504">
        <v>431.8</v>
      </c>
      <c r="K127" s="1504">
        <v>35</v>
      </c>
      <c r="L127" s="1504">
        <v>276.39999999999998</v>
      </c>
      <c r="M127" s="1504">
        <v>343</v>
      </c>
      <c r="N127" s="1508">
        <v>86</v>
      </c>
      <c r="O127" s="1362">
        <v>70</v>
      </c>
      <c r="P127" s="1609">
        <v>273</v>
      </c>
      <c r="Q127" s="1504">
        <v>152</v>
      </c>
      <c r="R127" s="1610">
        <v>86</v>
      </c>
      <c r="S127" s="1609">
        <v>277.39999999999998</v>
      </c>
      <c r="T127" s="1504">
        <v>111</v>
      </c>
      <c r="U127" s="1504">
        <v>13</v>
      </c>
      <c r="V127" s="1610">
        <v>89</v>
      </c>
      <c r="W127" s="1609">
        <v>65</v>
      </c>
      <c r="X127" s="1610">
        <v>74</v>
      </c>
      <c r="Y127" s="1629">
        <v>105</v>
      </c>
      <c r="Z127" s="1609" t="s">
        <v>1712</v>
      </c>
      <c r="AA127" s="1504" t="s">
        <v>1712</v>
      </c>
      <c r="AB127" s="1610" t="s">
        <v>1712</v>
      </c>
      <c r="AC127" s="1612">
        <f t="shared" si="29"/>
        <v>0.10134149581949956</v>
      </c>
      <c r="AD127" s="1613">
        <f t="shared" si="30"/>
        <v>0.20268299163899908</v>
      </c>
      <c r="AE127" s="1613">
        <f t="shared" si="31"/>
        <v>7.5902449307056197E-2</v>
      </c>
      <c r="AF127" s="1614">
        <f t="shared" si="32"/>
        <v>0.37992693676555489</v>
      </c>
      <c r="AG127" s="1615">
        <f t="shared" si="33"/>
        <v>0.10134149581949956</v>
      </c>
      <c r="AH127" s="1613">
        <f t="shared" si="34"/>
        <v>0.20268299163899908</v>
      </c>
      <c r="AI127" s="1614">
        <f t="shared" si="35"/>
        <v>0.30402448745849864</v>
      </c>
      <c r="AV127" s="1616">
        <v>1.6153846153846154</v>
      </c>
      <c r="AW127" s="1616">
        <f t="shared" si="27"/>
        <v>138.92307692307693</v>
      </c>
      <c r="AX127" s="1616">
        <f t="shared" si="28"/>
        <v>0.61372812862128101</v>
      </c>
    </row>
    <row r="128" spans="1:50" x14ac:dyDescent="0.25">
      <c r="A128" s="1620" t="s">
        <v>3919</v>
      </c>
      <c r="B128" s="1504">
        <v>300</v>
      </c>
      <c r="C128" s="1505">
        <v>12</v>
      </c>
      <c r="D128" s="1506">
        <v>559</v>
      </c>
      <c r="E128" s="1504">
        <v>66.5</v>
      </c>
      <c r="F128" s="1504">
        <v>381</v>
      </c>
      <c r="G128" s="1504">
        <v>412.8</v>
      </c>
      <c r="H128" s="1504">
        <v>7.92</v>
      </c>
      <c r="I128" s="1504">
        <v>20</v>
      </c>
      <c r="J128" s="1504">
        <v>489</v>
      </c>
      <c r="K128" s="1504">
        <v>35</v>
      </c>
      <c r="L128" s="1504">
        <v>327.2</v>
      </c>
      <c r="M128" s="1504">
        <v>400</v>
      </c>
      <c r="N128" s="1508">
        <v>92</v>
      </c>
      <c r="O128" s="1362">
        <v>86</v>
      </c>
      <c r="P128" s="1609">
        <v>323.89999999999998</v>
      </c>
      <c r="Q128" s="1504">
        <v>156</v>
      </c>
      <c r="R128" s="1610">
        <v>102</v>
      </c>
      <c r="S128" s="1609">
        <v>328.2</v>
      </c>
      <c r="T128" s="1504">
        <v>117</v>
      </c>
      <c r="U128" s="1504">
        <v>13</v>
      </c>
      <c r="V128" s="1610">
        <v>109</v>
      </c>
      <c r="W128" s="1609">
        <v>70</v>
      </c>
      <c r="X128" s="1610">
        <v>90</v>
      </c>
      <c r="Y128" s="1629">
        <v>134</v>
      </c>
      <c r="Z128" s="1609" t="s">
        <v>1712</v>
      </c>
      <c r="AA128" s="1504" t="s">
        <v>1712</v>
      </c>
      <c r="AB128" s="1610" t="s">
        <v>1712</v>
      </c>
      <c r="AC128" s="1612">
        <f t="shared" si="29"/>
        <v>0.11678399450822018</v>
      </c>
      <c r="AD128" s="1613">
        <f t="shared" si="30"/>
        <v>0.24542200349659804</v>
      </c>
      <c r="AE128" s="1613">
        <f t="shared" si="31"/>
        <v>9.1071786514547184E-2</v>
      </c>
      <c r="AF128" s="1614">
        <f t="shared" si="32"/>
        <v>0.4532777845193654</v>
      </c>
      <c r="AG128" s="1615">
        <f t="shared" si="33"/>
        <v>0.11678399450822018</v>
      </c>
      <c r="AH128" s="1613">
        <f t="shared" si="34"/>
        <v>0.24542200349659804</v>
      </c>
      <c r="AI128" s="1614">
        <f t="shared" si="35"/>
        <v>0.36220599800481823</v>
      </c>
      <c r="AV128" s="1616">
        <v>1.8</v>
      </c>
      <c r="AW128" s="1616">
        <f t="shared" si="27"/>
        <v>183.6</v>
      </c>
      <c r="AX128" s="1616">
        <f t="shared" si="28"/>
        <v>0.81590001213485774</v>
      </c>
    </row>
    <row r="129" spans="1:50" x14ac:dyDescent="0.25">
      <c r="A129" s="1620" t="s">
        <v>3920</v>
      </c>
      <c r="B129" s="1504">
        <v>350</v>
      </c>
      <c r="C129" s="1505">
        <v>14</v>
      </c>
      <c r="D129" s="1506">
        <v>603</v>
      </c>
      <c r="E129" s="1504">
        <v>69.900000000000006</v>
      </c>
      <c r="F129" s="1504">
        <v>412.8</v>
      </c>
      <c r="G129" s="1504">
        <v>457.2</v>
      </c>
      <c r="H129" s="1504">
        <v>7.92</v>
      </c>
      <c r="I129" s="1504">
        <v>20</v>
      </c>
      <c r="J129" s="1504">
        <v>527</v>
      </c>
      <c r="K129" s="1504">
        <v>38.1</v>
      </c>
      <c r="L129" s="1504">
        <v>359.2</v>
      </c>
      <c r="M129" s="1504">
        <v>432</v>
      </c>
      <c r="N129" s="1508">
        <v>94</v>
      </c>
      <c r="O129" s="1362">
        <v>100</v>
      </c>
      <c r="P129" s="1609">
        <v>355.6</v>
      </c>
      <c r="Q129" s="1504">
        <v>165</v>
      </c>
      <c r="R129" s="1610">
        <v>150</v>
      </c>
      <c r="S129" s="1609">
        <v>360.2</v>
      </c>
      <c r="T129" s="1504">
        <v>127</v>
      </c>
      <c r="U129" s="1504">
        <v>13</v>
      </c>
      <c r="V129" s="1610">
        <v>132</v>
      </c>
      <c r="W129" s="1609">
        <v>73</v>
      </c>
      <c r="X129" s="1610">
        <v>108</v>
      </c>
      <c r="Y129" s="1629">
        <v>161</v>
      </c>
      <c r="Z129" s="1609" t="s">
        <v>1712</v>
      </c>
      <c r="AA129" s="1504" t="s">
        <v>1712</v>
      </c>
      <c r="AB129" s="1610" t="s">
        <v>1712</v>
      </c>
      <c r="AC129" s="1612">
        <f t="shared" si="29"/>
        <v>0.1324171878710137</v>
      </c>
      <c r="AD129" s="1613">
        <f t="shared" si="30"/>
        <v>0.28557784079478277</v>
      </c>
      <c r="AE129" s="1613">
        <f t="shared" si="31"/>
        <v>0.10624099805833204</v>
      </c>
      <c r="AF129" s="1614">
        <f t="shared" si="32"/>
        <v>0.5242360267241285</v>
      </c>
      <c r="AG129" s="1615">
        <f t="shared" si="33"/>
        <v>0.1324171878710137</v>
      </c>
      <c r="AH129" s="1613">
        <f t="shared" si="34"/>
        <v>0.28557784079478277</v>
      </c>
      <c r="AI129" s="1614">
        <f t="shared" si="35"/>
        <v>0.41799502866579646</v>
      </c>
      <c r="AV129" s="1616">
        <v>1.8160000000000001</v>
      </c>
      <c r="AW129" s="1616">
        <f t="shared" si="27"/>
        <v>272.40000000000003</v>
      </c>
      <c r="AX129" s="1616">
        <f t="shared" si="28"/>
        <v>0.95201262453101743</v>
      </c>
    </row>
    <row r="130" spans="1:50" x14ac:dyDescent="0.25">
      <c r="A130" s="1620" t="s">
        <v>3921</v>
      </c>
      <c r="B130" s="1504">
        <v>400</v>
      </c>
      <c r="C130" s="1505">
        <v>16</v>
      </c>
      <c r="D130" s="1506">
        <v>686</v>
      </c>
      <c r="E130" s="1504">
        <v>76.2</v>
      </c>
      <c r="F130" s="1504">
        <v>469.9</v>
      </c>
      <c r="G130" s="1504">
        <v>508</v>
      </c>
      <c r="H130" s="1504">
        <v>7.92</v>
      </c>
      <c r="I130" s="1504">
        <v>20</v>
      </c>
      <c r="J130" s="1504">
        <v>603.20000000000005</v>
      </c>
      <c r="K130" s="1504">
        <v>41.1</v>
      </c>
      <c r="L130" s="1504">
        <v>410.5</v>
      </c>
      <c r="M130" s="1504">
        <v>495</v>
      </c>
      <c r="N130" s="1508">
        <v>106</v>
      </c>
      <c r="O130" s="1362">
        <v>142</v>
      </c>
      <c r="P130" s="1609">
        <v>406.4</v>
      </c>
      <c r="Q130" s="1504">
        <v>178</v>
      </c>
      <c r="R130" s="1610">
        <v>190</v>
      </c>
      <c r="S130" s="1609">
        <v>411.2</v>
      </c>
      <c r="T130" s="1504">
        <v>140</v>
      </c>
      <c r="U130" s="1504">
        <v>13</v>
      </c>
      <c r="V130" s="1610">
        <v>182</v>
      </c>
      <c r="W130" s="1609">
        <v>78</v>
      </c>
      <c r="X130" s="1610">
        <v>150</v>
      </c>
      <c r="Y130" s="1629">
        <v>225</v>
      </c>
      <c r="Z130" s="1609" t="s">
        <v>1712</v>
      </c>
      <c r="AA130" s="1504" t="s">
        <v>1712</v>
      </c>
      <c r="AB130" s="1610" t="s">
        <v>1712</v>
      </c>
      <c r="AC130" s="1612">
        <f t="shared" si="29"/>
        <v>0.16422110109963001</v>
      </c>
      <c r="AD130" s="1613">
        <f t="shared" si="30"/>
        <v>0.3696052341021856</v>
      </c>
      <c r="AE130" s="1613">
        <f t="shared" si="31"/>
        <v>0.12997246329984319</v>
      </c>
      <c r="AF130" s="1614">
        <f t="shared" si="32"/>
        <v>0.66379879850165879</v>
      </c>
      <c r="AG130" s="1615">
        <f t="shared" si="33"/>
        <v>0.16422110109963001</v>
      </c>
      <c r="AH130" s="1613">
        <f t="shared" si="34"/>
        <v>0.3696052341021856</v>
      </c>
      <c r="AI130" s="1614">
        <f t="shared" si="35"/>
        <v>0.53382633520181555</v>
      </c>
      <c r="AV130" s="1616">
        <v>1.4382022471910112</v>
      </c>
      <c r="AW130" s="1616">
        <f t="shared" si="27"/>
        <v>273.25842696629212</v>
      </c>
      <c r="AX130" s="1616">
        <f t="shared" si="28"/>
        <v>0.9546769236877789</v>
      </c>
    </row>
    <row r="131" spans="1:50" x14ac:dyDescent="0.25">
      <c r="A131" s="1620" t="s">
        <v>3922</v>
      </c>
      <c r="B131" s="1504">
        <v>450</v>
      </c>
      <c r="C131" s="1505">
        <v>18</v>
      </c>
      <c r="D131" s="1506">
        <v>743</v>
      </c>
      <c r="E131" s="1504">
        <v>82.6</v>
      </c>
      <c r="F131" s="1504">
        <v>533.4</v>
      </c>
      <c r="G131" s="1504">
        <v>574.5</v>
      </c>
      <c r="H131" s="1504">
        <v>7.92</v>
      </c>
      <c r="I131" s="1504">
        <v>20</v>
      </c>
      <c r="J131" s="1504">
        <v>654</v>
      </c>
      <c r="K131" s="1504">
        <v>44.5</v>
      </c>
      <c r="L131" s="1504">
        <v>461.8</v>
      </c>
      <c r="M131" s="1504">
        <v>546</v>
      </c>
      <c r="N131" s="1508">
        <v>117</v>
      </c>
      <c r="O131" s="1362">
        <v>175</v>
      </c>
      <c r="P131" s="1609">
        <v>457</v>
      </c>
      <c r="Q131" s="1504">
        <v>184</v>
      </c>
      <c r="R131" s="1610">
        <v>240</v>
      </c>
      <c r="S131" s="1609">
        <v>462.3</v>
      </c>
      <c r="T131" s="1504">
        <v>152</v>
      </c>
      <c r="U131" s="1504">
        <v>13</v>
      </c>
      <c r="V131" s="1610">
        <v>213</v>
      </c>
      <c r="W131" s="1609">
        <v>79</v>
      </c>
      <c r="X131" s="1610">
        <v>188</v>
      </c>
      <c r="Y131" s="1629">
        <v>286</v>
      </c>
      <c r="Z131" s="1609" t="s">
        <v>1712</v>
      </c>
      <c r="AA131" s="1504" t="s">
        <v>1712</v>
      </c>
      <c r="AB131" s="1610" t="s">
        <v>1712</v>
      </c>
      <c r="AC131" s="1612">
        <f t="shared" si="29"/>
        <v>0.19280519601758206</v>
      </c>
      <c r="AD131" s="1613">
        <f t="shared" si="30"/>
        <v>0.43357827070539795</v>
      </c>
      <c r="AE131" s="1613">
        <f t="shared" si="31"/>
        <v>0.14558077524882032</v>
      </c>
      <c r="AF131" s="1614">
        <f t="shared" si="32"/>
        <v>0.77196424197180036</v>
      </c>
      <c r="AG131" s="1615">
        <f t="shared" si="33"/>
        <v>0.19280519601758206</v>
      </c>
      <c r="AH131" s="1613">
        <f t="shared" si="34"/>
        <v>0.43357827070539795</v>
      </c>
      <c r="AI131" s="1614">
        <f t="shared" si="35"/>
        <v>0.62638346672297995</v>
      </c>
      <c r="AV131" s="1616">
        <v>1.375</v>
      </c>
      <c r="AW131" s="1616">
        <f t="shared" si="27"/>
        <v>330</v>
      </c>
      <c r="AX131" s="1616">
        <f t="shared" si="28"/>
        <v>1.0614508327112255</v>
      </c>
    </row>
    <row r="132" spans="1:50" x14ac:dyDescent="0.25">
      <c r="A132" s="1620" t="s">
        <v>3923</v>
      </c>
      <c r="B132" s="1504">
        <v>500</v>
      </c>
      <c r="C132" s="1505">
        <v>20</v>
      </c>
      <c r="D132" s="1506">
        <v>813</v>
      </c>
      <c r="E132" s="1504">
        <v>88.9</v>
      </c>
      <c r="F132" s="1504">
        <v>584.20000000000005</v>
      </c>
      <c r="G132" s="1504">
        <v>635</v>
      </c>
      <c r="H132" s="1504">
        <v>9.52</v>
      </c>
      <c r="I132" s="1504">
        <v>24</v>
      </c>
      <c r="J132" s="1504">
        <v>723.9</v>
      </c>
      <c r="K132" s="1504">
        <v>44.5</v>
      </c>
      <c r="L132" s="1504">
        <v>513.1</v>
      </c>
      <c r="M132" s="1504">
        <v>610</v>
      </c>
      <c r="N132" s="1508">
        <v>127</v>
      </c>
      <c r="O132" s="1362">
        <v>221</v>
      </c>
      <c r="P132" s="1609">
        <v>508</v>
      </c>
      <c r="Q132" s="1504">
        <v>190</v>
      </c>
      <c r="R132" s="1610">
        <v>295</v>
      </c>
      <c r="S132" s="1609">
        <v>514.4</v>
      </c>
      <c r="T132" s="1504">
        <v>165</v>
      </c>
      <c r="U132" s="1504">
        <v>13</v>
      </c>
      <c r="V132" s="1610">
        <v>274</v>
      </c>
      <c r="W132" s="1609">
        <v>82</v>
      </c>
      <c r="X132" s="1610">
        <v>230</v>
      </c>
      <c r="Y132" s="1629">
        <v>368</v>
      </c>
      <c r="Z132" s="1609" t="s">
        <v>1712</v>
      </c>
      <c r="AA132" s="1504" t="s">
        <v>1712</v>
      </c>
      <c r="AB132" s="1610" t="s">
        <v>1712</v>
      </c>
      <c r="AC132" s="1612">
        <f t="shared" si="29"/>
        <v>0.22706080815305979</v>
      </c>
      <c r="AD132" s="1613">
        <f t="shared" si="30"/>
        <v>0.519123838662648</v>
      </c>
      <c r="AE132" s="1613">
        <f t="shared" si="31"/>
        <v>0.16134842877718744</v>
      </c>
      <c r="AF132" s="1614">
        <f t="shared" si="32"/>
        <v>0.9075330755928952</v>
      </c>
      <c r="AG132" s="1615">
        <f t="shared" si="33"/>
        <v>0.22706080815305979</v>
      </c>
      <c r="AH132" s="1613">
        <f t="shared" si="34"/>
        <v>0.519123838662648</v>
      </c>
      <c r="AI132" s="1614">
        <f t="shared" si="35"/>
        <v>0.74618464681570784</v>
      </c>
      <c r="AV132" s="1616">
        <v>1.4216417910447761</v>
      </c>
      <c r="AW132" s="1616">
        <f t="shared" si="27"/>
        <v>419.38432835820896</v>
      </c>
      <c r="AX132" s="1616">
        <f t="shared" si="28"/>
        <v>1.2901869470182576</v>
      </c>
    </row>
    <row r="133" spans="1:50" ht="13.2" thickBot="1" x14ac:dyDescent="0.3">
      <c r="A133" s="1600" t="s">
        <v>3924</v>
      </c>
      <c r="B133" s="1601">
        <v>600</v>
      </c>
      <c r="C133" s="1602">
        <v>24</v>
      </c>
      <c r="D133" s="1603">
        <v>940</v>
      </c>
      <c r="E133" s="1601">
        <v>101.6</v>
      </c>
      <c r="F133" s="1601">
        <v>692.2</v>
      </c>
      <c r="G133" s="1601">
        <v>749.3</v>
      </c>
      <c r="H133" s="1601">
        <v>11.13</v>
      </c>
      <c r="I133" s="1601">
        <v>24</v>
      </c>
      <c r="J133" s="1601">
        <v>838.2</v>
      </c>
      <c r="K133" s="1601">
        <v>50.8</v>
      </c>
      <c r="L133" s="1601">
        <v>616</v>
      </c>
      <c r="M133" s="1601">
        <v>718</v>
      </c>
      <c r="N133" s="1604">
        <v>140</v>
      </c>
      <c r="O133" s="1621">
        <v>315</v>
      </c>
      <c r="P133" s="168">
        <v>610</v>
      </c>
      <c r="Q133" s="166">
        <v>203</v>
      </c>
      <c r="R133" s="169">
        <v>365</v>
      </c>
      <c r="S133" s="168">
        <v>616</v>
      </c>
      <c r="T133" s="166">
        <v>184</v>
      </c>
      <c r="U133" s="166">
        <v>13</v>
      </c>
      <c r="V133" s="169">
        <v>393</v>
      </c>
      <c r="W133" s="168">
        <v>92</v>
      </c>
      <c r="X133" s="169">
        <v>325</v>
      </c>
      <c r="Y133" s="1630">
        <v>568</v>
      </c>
      <c r="Z133" s="1627" t="s">
        <v>1712</v>
      </c>
      <c r="AA133" s="1601" t="s">
        <v>1712</v>
      </c>
      <c r="AB133" s="1628" t="s">
        <v>1712</v>
      </c>
      <c r="AC133" s="178">
        <f t="shared" si="29"/>
        <v>0.3000346647884396</v>
      </c>
      <c r="AD133" s="179">
        <f t="shared" si="30"/>
        <v>0.69397781717798535</v>
      </c>
      <c r="AE133" s="179">
        <f t="shared" si="31"/>
        <v>0.19432007199514309</v>
      </c>
      <c r="AF133" s="180">
        <f t="shared" si="32"/>
        <v>1.1883325539615681</v>
      </c>
      <c r="AG133" s="1622">
        <f t="shared" si="33"/>
        <v>0.3000346647884396</v>
      </c>
      <c r="AH133" s="1623">
        <f t="shared" si="34"/>
        <v>0.69397781717798535</v>
      </c>
      <c r="AI133" s="1624">
        <f t="shared" si="35"/>
        <v>0.99401248196642489</v>
      </c>
      <c r="AV133" s="593">
        <v>1.3131578947368421</v>
      </c>
      <c r="AW133" s="593">
        <f t="shared" si="27"/>
        <v>479.30263157894734</v>
      </c>
      <c r="AX133" s="593">
        <f t="shared" si="28"/>
        <v>1.5604682748074277</v>
      </c>
    </row>
    <row r="134" spans="1:50" ht="22.5" customHeight="1" thickBot="1" x14ac:dyDescent="0.3">
      <c r="A134" s="156"/>
      <c r="B134" s="157"/>
      <c r="C134" s="158"/>
      <c r="D134" s="159"/>
      <c r="E134" s="159"/>
      <c r="F134" s="159"/>
      <c r="G134" s="159"/>
      <c r="H134" s="159"/>
      <c r="I134" s="159"/>
      <c r="J134" s="159"/>
      <c r="K134" s="159"/>
      <c r="L134" s="159"/>
      <c r="M134" s="159"/>
      <c r="N134" s="159"/>
      <c r="O134" s="160" t="s">
        <v>3817</v>
      </c>
      <c r="P134" s="161" t="s">
        <v>3818</v>
      </c>
      <c r="Q134" s="162" t="s">
        <v>3818</v>
      </c>
      <c r="R134" s="163" t="s">
        <v>3818</v>
      </c>
      <c r="S134" s="161" t="s">
        <v>2152</v>
      </c>
      <c r="T134" s="137" t="s">
        <v>2152</v>
      </c>
      <c r="U134" s="137" t="s">
        <v>2152</v>
      </c>
      <c r="V134" s="139" t="s">
        <v>2152</v>
      </c>
      <c r="W134" s="161" t="s">
        <v>2159</v>
      </c>
      <c r="X134" s="139" t="s">
        <v>2159</v>
      </c>
      <c r="Y134" s="164" t="s">
        <v>345</v>
      </c>
      <c r="Z134" s="161" t="s">
        <v>2167</v>
      </c>
      <c r="AA134" s="137" t="s">
        <v>2167</v>
      </c>
      <c r="AB134" s="139" t="s">
        <v>2167</v>
      </c>
      <c r="AC134" s="161" t="s">
        <v>3818</v>
      </c>
      <c r="AD134" s="162" t="s">
        <v>3818</v>
      </c>
      <c r="AE134" s="162" t="s">
        <v>3818</v>
      </c>
      <c r="AF134" s="163" t="s">
        <v>3818</v>
      </c>
      <c r="AG134" s="162" t="s">
        <v>345</v>
      </c>
      <c r="AH134" s="137" t="s">
        <v>345</v>
      </c>
      <c r="AI134" s="139" t="s">
        <v>345</v>
      </c>
      <c r="AV134" s="592"/>
      <c r="AW134" s="592" t="str">
        <f>$AW$19</f>
        <v>LWN</v>
      </c>
      <c r="AX134" s="592" t="str">
        <f>$AW$19</f>
        <v>LWN</v>
      </c>
    </row>
    <row r="135" spans="1:50" x14ac:dyDescent="0.25">
      <c r="A135" s="1349"/>
      <c r="B135" s="1593" t="s">
        <v>3820</v>
      </c>
      <c r="C135" s="1594"/>
      <c r="D135" s="1595" t="s">
        <v>3821</v>
      </c>
      <c r="E135" s="1593" t="s">
        <v>3822</v>
      </c>
      <c r="F135" s="1593" t="s">
        <v>3823</v>
      </c>
      <c r="G135" s="1593" t="s">
        <v>3824</v>
      </c>
      <c r="H135" s="1593" t="s">
        <v>2417</v>
      </c>
      <c r="I135" s="1874" t="s">
        <v>3825</v>
      </c>
      <c r="J135" s="1875"/>
      <c r="K135" s="1876"/>
      <c r="L135" s="1593" t="s">
        <v>3826</v>
      </c>
      <c r="M135" s="1593" t="s">
        <v>3827</v>
      </c>
      <c r="N135" s="1596" t="s">
        <v>3828</v>
      </c>
      <c r="O135" s="165" t="s">
        <v>184</v>
      </c>
      <c r="P135" s="1350" t="s">
        <v>12</v>
      </c>
      <c r="Q135" s="1593" t="s">
        <v>3829</v>
      </c>
      <c r="R135" s="1598" t="s">
        <v>184</v>
      </c>
      <c r="S135" s="1350" t="s">
        <v>3830</v>
      </c>
      <c r="T135" s="1593" t="s">
        <v>3831</v>
      </c>
      <c r="U135" s="1593" t="s">
        <v>3676</v>
      </c>
      <c r="V135" s="1598" t="s">
        <v>184</v>
      </c>
      <c r="W135" s="1350" t="s">
        <v>3832</v>
      </c>
      <c r="X135" s="1598" t="s">
        <v>184</v>
      </c>
      <c r="Y135" s="1597" t="s">
        <v>184</v>
      </c>
      <c r="Z135" s="1350" t="s">
        <v>3833</v>
      </c>
      <c r="AA135" s="1593" t="s">
        <v>2414</v>
      </c>
      <c r="AB135" s="1598" t="s">
        <v>184</v>
      </c>
      <c r="AC135" s="1350" t="s">
        <v>3834</v>
      </c>
      <c r="AD135" s="1593" t="s">
        <v>3835</v>
      </c>
      <c r="AE135" s="1593" t="s">
        <v>3836</v>
      </c>
      <c r="AF135" s="1598" t="s">
        <v>336</v>
      </c>
      <c r="AG135" s="1595" t="s">
        <v>3834</v>
      </c>
      <c r="AH135" s="1593" t="s">
        <v>3835</v>
      </c>
      <c r="AI135" s="1598" t="s">
        <v>336</v>
      </c>
      <c r="AV135" s="1599"/>
      <c r="AW135" s="1599" t="s">
        <v>184</v>
      </c>
      <c r="AX135" s="1598" t="str">
        <f>$AX$20</f>
        <v>Unit Surface</v>
      </c>
    </row>
    <row r="136" spans="1:50" ht="13.2" thickBot="1" x14ac:dyDescent="0.3">
      <c r="A136" s="186"/>
      <c r="B136" s="166" t="s">
        <v>59</v>
      </c>
      <c r="C136" s="187" t="s">
        <v>1685</v>
      </c>
      <c r="D136" s="171" t="s">
        <v>93</v>
      </c>
      <c r="E136" s="166" t="s">
        <v>93</v>
      </c>
      <c r="F136" s="166" t="s">
        <v>93</v>
      </c>
      <c r="G136" s="166" t="s">
        <v>93</v>
      </c>
      <c r="H136" s="166" t="s">
        <v>93</v>
      </c>
      <c r="I136" s="166" t="s">
        <v>3837</v>
      </c>
      <c r="J136" s="166" t="s">
        <v>3838</v>
      </c>
      <c r="K136" s="166" t="s">
        <v>3839</v>
      </c>
      <c r="L136" s="166" t="s">
        <v>93</v>
      </c>
      <c r="M136" s="166" t="s">
        <v>93</v>
      </c>
      <c r="N136" s="188" t="s">
        <v>93</v>
      </c>
      <c r="O136" s="167" t="s">
        <v>222</v>
      </c>
      <c r="P136" s="168" t="s">
        <v>93</v>
      </c>
      <c r="Q136" s="166" t="s">
        <v>93</v>
      </c>
      <c r="R136" s="169" t="s">
        <v>222</v>
      </c>
      <c r="S136" s="168" t="s">
        <v>93</v>
      </c>
      <c r="T136" s="166" t="s">
        <v>93</v>
      </c>
      <c r="U136" s="166" t="s">
        <v>93</v>
      </c>
      <c r="V136" s="169" t="s">
        <v>222</v>
      </c>
      <c r="W136" s="168" t="s">
        <v>93</v>
      </c>
      <c r="X136" s="169" t="s">
        <v>222</v>
      </c>
      <c r="Y136" s="189" t="s">
        <v>222</v>
      </c>
      <c r="Z136" s="168" t="s">
        <v>93</v>
      </c>
      <c r="AA136" s="166" t="s">
        <v>93</v>
      </c>
      <c r="AB136" s="169" t="s">
        <v>222</v>
      </c>
      <c r="AC136" s="168" t="s">
        <v>228</v>
      </c>
      <c r="AD136" s="166" t="s">
        <v>228</v>
      </c>
      <c r="AE136" s="166" t="s">
        <v>228</v>
      </c>
      <c r="AF136" s="169" t="s">
        <v>228</v>
      </c>
      <c r="AG136" s="171" t="s">
        <v>228</v>
      </c>
      <c r="AH136" s="166" t="s">
        <v>228</v>
      </c>
      <c r="AI136" s="169" t="s">
        <v>228</v>
      </c>
      <c r="AV136" s="593"/>
      <c r="AW136" s="593" t="s">
        <v>222</v>
      </c>
      <c r="AX136" s="593" t="str">
        <f>$AX$21</f>
        <v>m2</v>
      </c>
    </row>
    <row r="137" spans="1:50" ht="13.2" thickBot="1" x14ac:dyDescent="0.3">
      <c r="A137" s="1349" t="s">
        <v>3925</v>
      </c>
      <c r="B137" s="1593">
        <v>0</v>
      </c>
      <c r="C137" s="1593">
        <v>0</v>
      </c>
      <c r="D137" s="1593">
        <v>0</v>
      </c>
      <c r="E137" s="1596">
        <v>0</v>
      </c>
      <c r="F137" s="161">
        <v>0</v>
      </c>
      <c r="G137" s="137">
        <v>0</v>
      </c>
      <c r="H137" s="137">
        <v>0</v>
      </c>
      <c r="I137" s="137">
        <v>0</v>
      </c>
      <c r="J137" s="137">
        <v>0</v>
      </c>
      <c r="K137" s="137">
        <v>0</v>
      </c>
      <c r="L137" s="137">
        <v>0</v>
      </c>
      <c r="M137" s="137">
        <v>0</v>
      </c>
      <c r="N137" s="192">
        <v>0</v>
      </c>
      <c r="O137" s="160">
        <v>0</v>
      </c>
      <c r="P137" s="161">
        <v>0</v>
      </c>
      <c r="Q137" s="137">
        <v>0</v>
      </c>
      <c r="R137" s="139">
        <v>0</v>
      </c>
      <c r="S137" s="161">
        <v>0</v>
      </c>
      <c r="T137" s="137">
        <v>0</v>
      </c>
      <c r="U137" s="137">
        <v>0</v>
      </c>
      <c r="V137" s="139">
        <v>0</v>
      </c>
      <c r="W137" s="161">
        <v>0</v>
      </c>
      <c r="X137" s="139">
        <v>0</v>
      </c>
      <c r="Y137" s="164">
        <v>0</v>
      </c>
      <c r="Z137" s="161">
        <v>0</v>
      </c>
      <c r="AA137" s="137">
        <v>0</v>
      </c>
      <c r="AB137" s="139">
        <v>0</v>
      </c>
      <c r="AC137" s="161">
        <v>0</v>
      </c>
      <c r="AD137" s="137">
        <v>0</v>
      </c>
      <c r="AE137" s="137">
        <v>0</v>
      </c>
      <c r="AF137" s="139">
        <v>0</v>
      </c>
      <c r="AG137" s="162">
        <v>0</v>
      </c>
      <c r="AH137" s="137">
        <v>0</v>
      </c>
      <c r="AI137" s="139">
        <v>0</v>
      </c>
      <c r="AV137" s="595"/>
      <c r="AW137" s="595">
        <v>0</v>
      </c>
      <c r="AX137" s="595">
        <v>0</v>
      </c>
    </row>
    <row r="138" spans="1:50" x14ac:dyDescent="0.25">
      <c r="A138" s="1349" t="s">
        <v>3926</v>
      </c>
      <c r="B138" s="1593">
        <v>15</v>
      </c>
      <c r="C138" s="1594">
        <v>0.5</v>
      </c>
      <c r="D138" s="1506">
        <v>121</v>
      </c>
      <c r="E138" s="1504">
        <v>22.4</v>
      </c>
      <c r="F138" s="1593">
        <v>34.9</v>
      </c>
      <c r="G138" s="1593">
        <v>60.5</v>
      </c>
      <c r="H138" s="1593">
        <v>6.35</v>
      </c>
      <c r="I138" s="1593">
        <v>4</v>
      </c>
      <c r="J138" s="1593">
        <v>82.6</v>
      </c>
      <c r="K138" s="1593">
        <v>22.2</v>
      </c>
      <c r="L138" s="1593">
        <v>22.4</v>
      </c>
      <c r="M138" s="1593">
        <v>38</v>
      </c>
      <c r="N138" s="1596">
        <v>32</v>
      </c>
      <c r="O138" s="165">
        <v>1.8</v>
      </c>
      <c r="P138" s="1350">
        <v>21.3</v>
      </c>
      <c r="Q138" s="1593">
        <v>60</v>
      </c>
      <c r="R138" s="1598">
        <v>2</v>
      </c>
      <c r="S138" s="1350">
        <v>22.9</v>
      </c>
      <c r="T138" s="1593">
        <v>32</v>
      </c>
      <c r="U138" s="1593">
        <v>3</v>
      </c>
      <c r="V138" s="1598">
        <v>1.7</v>
      </c>
      <c r="W138" s="1350">
        <v>22</v>
      </c>
      <c r="X138" s="1598">
        <v>1.8</v>
      </c>
      <c r="Y138" s="1597">
        <v>1.8</v>
      </c>
      <c r="Z138" s="1350" t="s">
        <v>1712</v>
      </c>
      <c r="AA138" s="1593">
        <v>10</v>
      </c>
      <c r="AB138" s="1598">
        <v>1.7</v>
      </c>
      <c r="AC138" s="1352">
        <f>PI()*D138*E138/1000000</f>
        <v>8.5149727282897748E-3</v>
      </c>
      <c r="AD138" s="1617">
        <f>D138^2*PI()/4/1000000</f>
        <v>1.149901451030204E-2</v>
      </c>
      <c r="AE138" s="1617">
        <f>P138*PI()*(Q138-E138)/1000000</f>
        <v>2.516038724406994E-3</v>
      </c>
      <c r="AF138" s="1618">
        <f>AE138+AD138+AC138</f>
        <v>2.2530025962998808E-2</v>
      </c>
      <c r="AG138" s="1619">
        <f>PI()*D138*E138/1000000</f>
        <v>8.5149727282897748E-3</v>
      </c>
      <c r="AH138" s="1617">
        <f>D138^2*PI()/4/1000000</f>
        <v>1.149901451030204E-2</v>
      </c>
      <c r="AI138" s="1618">
        <f>AH138+AG138</f>
        <v>2.0013987238591817E-2</v>
      </c>
      <c r="AV138" s="1599">
        <v>1.6585365853658538</v>
      </c>
      <c r="AW138" s="1599">
        <f t="shared" ref="AW138:AW156" si="36">AV138*R138</f>
        <v>3.3170731707317076</v>
      </c>
      <c r="AX138" s="1599">
        <f t="shared" ref="AX138:AX156" si="37">AV138*AF138</f>
        <v>3.7366872328876075E-2</v>
      </c>
    </row>
    <row r="139" spans="1:50" x14ac:dyDescent="0.25">
      <c r="A139" s="1620" t="s">
        <v>3927</v>
      </c>
      <c r="B139" s="1504">
        <v>20</v>
      </c>
      <c r="C139" s="1505">
        <v>0.75</v>
      </c>
      <c r="D139" s="1595">
        <v>130</v>
      </c>
      <c r="E139" s="1593">
        <v>25.4</v>
      </c>
      <c r="F139" s="1593">
        <v>42.9</v>
      </c>
      <c r="G139" s="1593">
        <v>66.5</v>
      </c>
      <c r="H139" s="1593">
        <v>6.35</v>
      </c>
      <c r="I139" s="1593">
        <v>4</v>
      </c>
      <c r="J139" s="1593">
        <v>88.9</v>
      </c>
      <c r="K139" s="1593">
        <v>22.2</v>
      </c>
      <c r="L139" s="1593">
        <v>27.7</v>
      </c>
      <c r="M139" s="1593">
        <v>44</v>
      </c>
      <c r="N139" s="1596">
        <v>35</v>
      </c>
      <c r="O139" s="1362">
        <v>2.4</v>
      </c>
      <c r="P139" s="1609">
        <v>26.7</v>
      </c>
      <c r="Q139" s="1504">
        <v>70</v>
      </c>
      <c r="R139" s="1610">
        <v>3</v>
      </c>
      <c r="S139" s="1609">
        <v>29.2</v>
      </c>
      <c r="T139" s="1504">
        <v>35</v>
      </c>
      <c r="U139" s="1504">
        <v>3</v>
      </c>
      <c r="V139" s="1610">
        <v>2.2999999999999998</v>
      </c>
      <c r="W139" s="1609">
        <v>25</v>
      </c>
      <c r="X139" s="1610">
        <v>2.4</v>
      </c>
      <c r="Y139" s="1625">
        <v>2.7</v>
      </c>
      <c r="Z139" s="1609" t="s">
        <v>1712</v>
      </c>
      <c r="AA139" s="1504">
        <v>11</v>
      </c>
      <c r="AB139" s="1610">
        <v>2.2999999999999998</v>
      </c>
      <c r="AC139" s="1612">
        <f t="shared" ref="AC139:AC156" si="38">PI()*D139*E139/1000000</f>
        <v>1.0373538942153496E-2</v>
      </c>
      <c r="AD139" s="1613">
        <f t="shared" ref="AD139:AD156" si="39">D139^2*PI()/4/1000000</f>
        <v>1.3273228961416876E-2</v>
      </c>
      <c r="AE139" s="1613">
        <f t="shared" ref="AE139:AE156" si="40">P139*PI()*(Q139-E139)/1000000</f>
        <v>3.741071363747797E-3</v>
      </c>
      <c r="AF139" s="1614">
        <f t="shared" ref="AF139:AF156" si="41">AE139+AD139+AC139</f>
        <v>2.7387839267318168E-2</v>
      </c>
      <c r="AG139" s="1615">
        <f t="shared" ref="AG139:AG156" si="42">PI()*D139*E139/1000000</f>
        <v>1.0373538942153496E-2</v>
      </c>
      <c r="AH139" s="1613">
        <f t="shared" ref="AH139:AH156" si="43">D139^2*PI()/4/1000000</f>
        <v>1.3273228961416876E-2</v>
      </c>
      <c r="AI139" s="1614">
        <f t="shared" ref="AI139:AI156" si="44">AH139+AG139</f>
        <v>2.364676790357037E-2</v>
      </c>
      <c r="AV139" s="1616">
        <v>1.6585365853658538</v>
      </c>
      <c r="AW139" s="1616">
        <f t="shared" si="36"/>
        <v>4.9756097560975618</v>
      </c>
      <c r="AX139" s="1616">
        <f t="shared" si="37"/>
        <v>4.5423733418966723E-2</v>
      </c>
    </row>
    <row r="140" spans="1:50" x14ac:dyDescent="0.25">
      <c r="A140" s="1620" t="s">
        <v>3928</v>
      </c>
      <c r="B140" s="1504">
        <v>25</v>
      </c>
      <c r="C140" s="1505">
        <v>1</v>
      </c>
      <c r="D140" s="1506">
        <v>149</v>
      </c>
      <c r="E140" s="1504">
        <v>28.4</v>
      </c>
      <c r="F140" s="1504">
        <v>50.8</v>
      </c>
      <c r="G140" s="1504">
        <v>71.400000000000006</v>
      </c>
      <c r="H140" s="1504">
        <v>6.35</v>
      </c>
      <c r="I140" s="1504">
        <v>4</v>
      </c>
      <c r="J140" s="1504">
        <v>101.6</v>
      </c>
      <c r="K140" s="1504">
        <v>25.4</v>
      </c>
      <c r="L140" s="1504">
        <v>34.5</v>
      </c>
      <c r="M140" s="1504">
        <v>52</v>
      </c>
      <c r="N140" s="1508">
        <v>41</v>
      </c>
      <c r="O140" s="1362">
        <v>3.5</v>
      </c>
      <c r="P140" s="1609">
        <v>33.4</v>
      </c>
      <c r="Q140" s="1504">
        <v>73</v>
      </c>
      <c r="R140" s="1610">
        <v>4</v>
      </c>
      <c r="S140" s="1609">
        <v>35</v>
      </c>
      <c r="T140" s="1504">
        <v>41</v>
      </c>
      <c r="U140" s="1504">
        <v>3</v>
      </c>
      <c r="V140" s="1610">
        <v>3.4</v>
      </c>
      <c r="W140" s="1609">
        <v>29</v>
      </c>
      <c r="X140" s="1610">
        <v>3.5</v>
      </c>
      <c r="Y140" s="1625">
        <v>4</v>
      </c>
      <c r="Z140" s="1609" t="s">
        <v>1712</v>
      </c>
      <c r="AA140" s="1504">
        <v>13</v>
      </c>
      <c r="AB140" s="1610">
        <v>3.4</v>
      </c>
      <c r="AC140" s="1612">
        <f t="shared" si="38"/>
        <v>1.3293963472930567E-2</v>
      </c>
      <c r="AD140" s="1613">
        <f t="shared" si="39"/>
        <v>1.7436624625586747E-2</v>
      </c>
      <c r="AE140" s="1613">
        <f t="shared" si="40"/>
        <v>4.679842080493499E-3</v>
      </c>
      <c r="AF140" s="1614">
        <f t="shared" si="41"/>
        <v>3.5410430179010813E-2</v>
      </c>
      <c r="AG140" s="1615">
        <f t="shared" si="42"/>
        <v>1.3293963472930567E-2</v>
      </c>
      <c r="AH140" s="1613">
        <f t="shared" si="43"/>
        <v>1.7436624625586747E-2</v>
      </c>
      <c r="AI140" s="1614">
        <f t="shared" si="44"/>
        <v>3.0730588098517315E-2</v>
      </c>
      <c r="AV140" s="1616">
        <v>1.6585365853658538</v>
      </c>
      <c r="AW140" s="1616">
        <f t="shared" si="36"/>
        <v>6.6341463414634152</v>
      </c>
      <c r="AX140" s="1616">
        <f t="shared" si="37"/>
        <v>5.8729493955432574E-2</v>
      </c>
    </row>
    <row r="141" spans="1:50" x14ac:dyDescent="0.25">
      <c r="A141" s="1620" t="s">
        <v>3929</v>
      </c>
      <c r="B141" s="1504">
        <v>32</v>
      </c>
      <c r="C141" s="1505">
        <v>1.25</v>
      </c>
      <c r="D141" s="1506">
        <v>159</v>
      </c>
      <c r="E141" s="1504">
        <v>28.4</v>
      </c>
      <c r="F141" s="1504">
        <v>63.5</v>
      </c>
      <c r="G141" s="1504">
        <v>81</v>
      </c>
      <c r="H141" s="1504">
        <v>6.35</v>
      </c>
      <c r="I141" s="1504">
        <v>4</v>
      </c>
      <c r="J141" s="1504">
        <v>111.1</v>
      </c>
      <c r="K141" s="1504">
        <v>25.4</v>
      </c>
      <c r="L141" s="1504">
        <v>43.2</v>
      </c>
      <c r="M141" s="1504">
        <v>63</v>
      </c>
      <c r="N141" s="1508">
        <v>41</v>
      </c>
      <c r="O141" s="1362">
        <v>4</v>
      </c>
      <c r="P141" s="1609">
        <v>42.2</v>
      </c>
      <c r="Q141" s="1504">
        <v>73</v>
      </c>
      <c r="R141" s="1610">
        <v>4.5999999999999996</v>
      </c>
      <c r="S141" s="1609">
        <v>43.7</v>
      </c>
      <c r="T141" s="1504">
        <v>41</v>
      </c>
      <c r="U141" s="1504">
        <v>5</v>
      </c>
      <c r="V141" s="1610">
        <v>3.9</v>
      </c>
      <c r="W141" s="1609">
        <v>30</v>
      </c>
      <c r="X141" s="1610">
        <v>4</v>
      </c>
      <c r="Y141" s="1625">
        <v>5.8</v>
      </c>
      <c r="Z141" s="1609" t="s">
        <v>1712</v>
      </c>
      <c r="AA141" s="1504">
        <v>14</v>
      </c>
      <c r="AB141" s="1610">
        <v>3.9</v>
      </c>
      <c r="AC141" s="1612">
        <f t="shared" si="38"/>
        <v>1.4186175786550069E-2</v>
      </c>
      <c r="AD141" s="1613">
        <f t="shared" si="39"/>
        <v>1.9855650968850887E-2</v>
      </c>
      <c r="AE141" s="1613">
        <f t="shared" si="40"/>
        <v>5.9128543651744223E-3</v>
      </c>
      <c r="AF141" s="1614">
        <f t="shared" si="41"/>
        <v>3.9954681120575382E-2</v>
      </c>
      <c r="AG141" s="1615">
        <f t="shared" si="42"/>
        <v>1.4186175786550069E-2</v>
      </c>
      <c r="AH141" s="1613">
        <f t="shared" si="43"/>
        <v>1.9855650968850887E-2</v>
      </c>
      <c r="AI141" s="1614">
        <f t="shared" si="44"/>
        <v>3.4041826755400954E-2</v>
      </c>
      <c r="AV141" s="1616">
        <v>1.6585365853658538</v>
      </c>
      <c r="AW141" s="1616">
        <f t="shared" si="36"/>
        <v>7.6292682926829265</v>
      </c>
      <c r="AX141" s="1616">
        <f t="shared" si="37"/>
        <v>6.6266300395100633E-2</v>
      </c>
    </row>
    <row r="142" spans="1:50" x14ac:dyDescent="0.25">
      <c r="A142" s="1620" t="s">
        <v>3930</v>
      </c>
      <c r="B142" s="1504">
        <v>40</v>
      </c>
      <c r="C142" s="1505">
        <v>1.5</v>
      </c>
      <c r="D142" s="1506">
        <v>178</v>
      </c>
      <c r="E142" s="1504">
        <v>31.8</v>
      </c>
      <c r="F142" s="1504">
        <v>73</v>
      </c>
      <c r="G142" s="1504">
        <v>91.9</v>
      </c>
      <c r="H142" s="1504">
        <v>6.35</v>
      </c>
      <c r="I142" s="1504">
        <v>4</v>
      </c>
      <c r="J142" s="1504">
        <v>123.8</v>
      </c>
      <c r="K142" s="1504">
        <v>28.5</v>
      </c>
      <c r="L142" s="1504">
        <v>49.5</v>
      </c>
      <c r="M142" s="1504">
        <v>70</v>
      </c>
      <c r="N142" s="1508">
        <v>44</v>
      </c>
      <c r="O142" s="1362">
        <v>5.5</v>
      </c>
      <c r="P142" s="1609">
        <v>48.3</v>
      </c>
      <c r="Q142" s="1504">
        <v>83</v>
      </c>
      <c r="R142" s="1610">
        <v>6.5</v>
      </c>
      <c r="S142" s="1609">
        <v>50</v>
      </c>
      <c r="T142" s="1504">
        <v>44</v>
      </c>
      <c r="U142" s="1504">
        <v>6</v>
      </c>
      <c r="V142" s="1610">
        <v>5.4</v>
      </c>
      <c r="W142" s="1609">
        <v>32</v>
      </c>
      <c r="X142" s="1610">
        <v>5.5</v>
      </c>
      <c r="Y142" s="1625">
        <v>6.5</v>
      </c>
      <c r="Z142" s="1609" t="s">
        <v>1712</v>
      </c>
      <c r="AA142" s="1504">
        <v>16</v>
      </c>
      <c r="AB142" s="1610">
        <v>5.4</v>
      </c>
      <c r="AC142" s="1612">
        <f t="shared" si="38"/>
        <v>1.7782671056379665E-2</v>
      </c>
      <c r="AD142" s="1613">
        <f t="shared" si="39"/>
        <v>2.4884555409084751E-2</v>
      </c>
      <c r="AE142" s="1613">
        <f t="shared" si="40"/>
        <v>7.7690329686214143E-3</v>
      </c>
      <c r="AF142" s="1614">
        <f t="shared" si="41"/>
        <v>5.0436259434085834E-2</v>
      </c>
      <c r="AG142" s="1615">
        <f t="shared" si="42"/>
        <v>1.7782671056379665E-2</v>
      </c>
      <c r="AH142" s="1613">
        <f t="shared" si="43"/>
        <v>2.4884555409084751E-2</v>
      </c>
      <c r="AI142" s="1614">
        <f t="shared" si="44"/>
        <v>4.266722646546442E-2</v>
      </c>
      <c r="AV142" s="1616">
        <v>1.625</v>
      </c>
      <c r="AW142" s="1616">
        <f t="shared" si="36"/>
        <v>10.5625</v>
      </c>
      <c r="AX142" s="1616">
        <f t="shared" si="37"/>
        <v>8.1958921580389477E-2</v>
      </c>
    </row>
    <row r="143" spans="1:50" x14ac:dyDescent="0.25">
      <c r="A143" s="1620" t="s">
        <v>3931</v>
      </c>
      <c r="B143" s="1504">
        <v>50</v>
      </c>
      <c r="C143" s="1505">
        <v>2</v>
      </c>
      <c r="D143" s="1506">
        <v>216</v>
      </c>
      <c r="E143" s="1504">
        <v>38.1</v>
      </c>
      <c r="F143" s="1504">
        <v>92.1</v>
      </c>
      <c r="G143" s="1504">
        <v>123.9</v>
      </c>
      <c r="H143" s="1504">
        <v>7.92</v>
      </c>
      <c r="I143" s="1504">
        <v>8</v>
      </c>
      <c r="J143" s="1504">
        <v>165.1</v>
      </c>
      <c r="K143" s="1504">
        <v>25.4</v>
      </c>
      <c r="L143" s="1504">
        <v>62</v>
      </c>
      <c r="M143" s="1504">
        <v>105</v>
      </c>
      <c r="N143" s="1508">
        <v>57</v>
      </c>
      <c r="O143" s="1362">
        <v>10</v>
      </c>
      <c r="P143" s="1609">
        <v>60.3</v>
      </c>
      <c r="Q143" s="1504">
        <v>102</v>
      </c>
      <c r="R143" s="1610">
        <v>11.5</v>
      </c>
      <c r="S143" s="1609">
        <v>62.5</v>
      </c>
      <c r="T143" s="1504">
        <v>57</v>
      </c>
      <c r="U143" s="1504">
        <v>8</v>
      </c>
      <c r="V143" s="1610">
        <v>11.3</v>
      </c>
      <c r="W143" s="1609">
        <v>38</v>
      </c>
      <c r="X143" s="1610">
        <v>10</v>
      </c>
      <c r="Y143" s="1625">
        <v>11.5</v>
      </c>
      <c r="Z143" s="1609" t="s">
        <v>1712</v>
      </c>
      <c r="AA143" s="1504">
        <v>17</v>
      </c>
      <c r="AB143" s="1610">
        <v>9.8000000000000007</v>
      </c>
      <c r="AC143" s="1612">
        <f t="shared" si="38"/>
        <v>2.5854050901982562E-2</v>
      </c>
      <c r="AD143" s="1613">
        <f t="shared" si="39"/>
        <v>3.6643536711471345E-2</v>
      </c>
      <c r="AE143" s="1613">
        <f t="shared" si="40"/>
        <v>1.2105090565032582E-2</v>
      </c>
      <c r="AF143" s="1614">
        <f t="shared" si="41"/>
        <v>7.4602678178486481E-2</v>
      </c>
      <c r="AG143" s="1615">
        <f t="shared" si="42"/>
        <v>2.5854050901982562E-2</v>
      </c>
      <c r="AH143" s="1613">
        <f t="shared" si="43"/>
        <v>3.6643536711471345E-2</v>
      </c>
      <c r="AI143" s="1614">
        <f t="shared" si="44"/>
        <v>6.2497587613453906E-2</v>
      </c>
      <c r="AV143" s="1616">
        <v>1.7699115044247786</v>
      </c>
      <c r="AW143" s="1616">
        <f t="shared" si="36"/>
        <v>20.353982300884955</v>
      </c>
      <c r="AX143" s="1616">
        <f t="shared" si="37"/>
        <v>0.13204013836900261</v>
      </c>
    </row>
    <row r="144" spans="1:50" x14ac:dyDescent="0.25">
      <c r="A144" s="1620" t="s">
        <v>3932</v>
      </c>
      <c r="B144" s="1504">
        <v>65</v>
      </c>
      <c r="C144" s="1505">
        <v>2.5</v>
      </c>
      <c r="D144" s="1506">
        <v>244</v>
      </c>
      <c r="E144" s="1504">
        <v>41.1</v>
      </c>
      <c r="F144" s="1504">
        <v>104.8</v>
      </c>
      <c r="G144" s="1504">
        <v>136.69999999999999</v>
      </c>
      <c r="H144" s="1504">
        <v>7.92</v>
      </c>
      <c r="I144" s="1504">
        <v>8</v>
      </c>
      <c r="J144" s="1504">
        <v>190.5</v>
      </c>
      <c r="K144" s="1504">
        <v>28.5</v>
      </c>
      <c r="L144" s="1504">
        <v>74.7</v>
      </c>
      <c r="M144" s="1504">
        <v>124</v>
      </c>
      <c r="N144" s="1508">
        <v>63</v>
      </c>
      <c r="O144" s="1362">
        <v>13.9</v>
      </c>
      <c r="P144" s="1609">
        <v>73</v>
      </c>
      <c r="Q144" s="1504">
        <v>105</v>
      </c>
      <c r="R144" s="1610">
        <v>15.8</v>
      </c>
      <c r="S144" s="1609">
        <v>75.400000000000006</v>
      </c>
      <c r="T144" s="1504">
        <v>63</v>
      </c>
      <c r="U144" s="1504">
        <v>8</v>
      </c>
      <c r="V144" s="1610">
        <v>15.9</v>
      </c>
      <c r="W144" s="1609">
        <v>48</v>
      </c>
      <c r="X144" s="1610">
        <v>13.9</v>
      </c>
      <c r="Y144" s="1625">
        <v>15.5</v>
      </c>
      <c r="Z144" s="1609" t="s">
        <v>1712</v>
      </c>
      <c r="AA144" s="1504">
        <v>19</v>
      </c>
      <c r="AB144" s="1610">
        <v>13.7</v>
      </c>
      <c r="AC144" s="1612">
        <f t="shared" si="38"/>
        <v>3.1505147767259878E-2</v>
      </c>
      <c r="AD144" s="1613">
        <f t="shared" si="39"/>
        <v>4.6759465056030479E-2</v>
      </c>
      <c r="AE144" s="1613">
        <f t="shared" si="40"/>
        <v>1.4654587251200306E-2</v>
      </c>
      <c r="AF144" s="1614">
        <f t="shared" si="41"/>
        <v>9.2919200074490671E-2</v>
      </c>
      <c r="AG144" s="1615">
        <f t="shared" si="42"/>
        <v>3.1505147767259878E-2</v>
      </c>
      <c r="AH144" s="1613">
        <f t="shared" si="43"/>
        <v>4.6759465056030479E-2</v>
      </c>
      <c r="AI144" s="1614">
        <f t="shared" si="44"/>
        <v>7.8264612823290364E-2</v>
      </c>
      <c r="AV144" s="1616">
        <v>2.0061349693251533</v>
      </c>
      <c r="AW144" s="1616">
        <f t="shared" si="36"/>
        <v>31.696932515337423</v>
      </c>
      <c r="AX144" s="1616">
        <f t="shared" si="37"/>
        <v>0.18640845659115612</v>
      </c>
    </row>
    <row r="145" spans="1:50" x14ac:dyDescent="0.25">
      <c r="A145" s="1620" t="s">
        <v>3933</v>
      </c>
      <c r="B145" s="1504">
        <v>80</v>
      </c>
      <c r="C145" s="1505">
        <v>3</v>
      </c>
      <c r="D145" s="1506">
        <v>241</v>
      </c>
      <c r="E145" s="1504">
        <v>38.1</v>
      </c>
      <c r="F145" s="1504">
        <v>127</v>
      </c>
      <c r="G145" s="1504">
        <v>155.4</v>
      </c>
      <c r="H145" s="1504">
        <v>7.92</v>
      </c>
      <c r="I145" s="1504">
        <v>8</v>
      </c>
      <c r="J145" s="1504">
        <v>190.5</v>
      </c>
      <c r="K145" s="1504">
        <v>25.4</v>
      </c>
      <c r="L145" s="1504">
        <v>90.7</v>
      </c>
      <c r="M145" s="1504">
        <v>127</v>
      </c>
      <c r="N145" s="1508">
        <v>54</v>
      </c>
      <c r="O145" s="1362">
        <v>11.6</v>
      </c>
      <c r="P145" s="1609">
        <v>88.9</v>
      </c>
      <c r="Q145" s="1504">
        <v>102</v>
      </c>
      <c r="R145" s="1610">
        <v>14.5</v>
      </c>
      <c r="S145" s="1609">
        <v>91.4</v>
      </c>
      <c r="T145" s="1504">
        <v>54</v>
      </c>
      <c r="U145" s="1504">
        <v>10</v>
      </c>
      <c r="V145" s="1610">
        <v>11.6</v>
      </c>
      <c r="W145" s="1609">
        <v>41</v>
      </c>
      <c r="X145" s="1610">
        <v>11.9</v>
      </c>
      <c r="Y145" s="1625">
        <v>14.5</v>
      </c>
      <c r="Z145" s="1609" t="s">
        <v>1712</v>
      </c>
      <c r="AA145" s="1504" t="s">
        <v>1712</v>
      </c>
      <c r="AB145" s="1610" t="s">
        <v>1712</v>
      </c>
      <c r="AC145" s="1612">
        <f t="shared" si="38"/>
        <v>2.8846417904526842E-2</v>
      </c>
      <c r="AD145" s="1613">
        <f t="shared" si="39"/>
        <v>4.5616710728287192E-2</v>
      </c>
      <c r="AE145" s="1613">
        <f t="shared" si="40"/>
        <v>1.7846476803174076E-2</v>
      </c>
      <c r="AF145" s="1614">
        <f t="shared" si="41"/>
        <v>9.230960543598811E-2</v>
      </c>
      <c r="AG145" s="1615">
        <f t="shared" si="42"/>
        <v>2.8846417904526842E-2</v>
      </c>
      <c r="AH145" s="1613">
        <f t="shared" si="43"/>
        <v>4.5616710728287192E-2</v>
      </c>
      <c r="AI145" s="1614">
        <f t="shared" si="44"/>
        <v>7.4463128632814041E-2</v>
      </c>
      <c r="AV145" s="1616">
        <v>2.0344827586206895</v>
      </c>
      <c r="AW145" s="1616">
        <f t="shared" si="36"/>
        <v>29.499999999999996</v>
      </c>
      <c r="AX145" s="1616">
        <f t="shared" si="37"/>
        <v>0.1878023007145965</v>
      </c>
    </row>
    <row r="146" spans="1:50" x14ac:dyDescent="0.25">
      <c r="A146" s="1620" t="s">
        <v>3934</v>
      </c>
      <c r="B146" s="1504">
        <v>100</v>
      </c>
      <c r="C146" s="1505">
        <v>4</v>
      </c>
      <c r="D146" s="1506">
        <v>292</v>
      </c>
      <c r="E146" s="1504">
        <v>44.5</v>
      </c>
      <c r="F146" s="1504">
        <v>157.19999999999999</v>
      </c>
      <c r="G146" s="1504">
        <v>180.8</v>
      </c>
      <c r="H146" s="1504">
        <v>7.92</v>
      </c>
      <c r="I146" s="1504">
        <v>8</v>
      </c>
      <c r="J146" s="1504">
        <v>235</v>
      </c>
      <c r="K146" s="1504">
        <v>31.8</v>
      </c>
      <c r="L146" s="1504">
        <v>116.1</v>
      </c>
      <c r="M146" s="1504">
        <v>159</v>
      </c>
      <c r="N146" s="1508">
        <v>70</v>
      </c>
      <c r="O146" s="1362">
        <v>19.8</v>
      </c>
      <c r="P146" s="1609">
        <v>114.3</v>
      </c>
      <c r="Q146" s="1504">
        <v>114</v>
      </c>
      <c r="R146" s="1610">
        <v>23</v>
      </c>
      <c r="S146" s="1609">
        <v>116.8</v>
      </c>
      <c r="T146" s="1504">
        <v>70</v>
      </c>
      <c r="U146" s="1504">
        <v>11</v>
      </c>
      <c r="V146" s="1610">
        <v>19.8</v>
      </c>
      <c r="W146" s="1609">
        <v>48</v>
      </c>
      <c r="X146" s="1610">
        <v>20</v>
      </c>
      <c r="Y146" s="1625">
        <v>24</v>
      </c>
      <c r="Z146" s="1609" t="s">
        <v>1712</v>
      </c>
      <c r="AA146" s="1504" t="s">
        <v>1712</v>
      </c>
      <c r="AB146" s="1610" t="s">
        <v>1712</v>
      </c>
      <c r="AC146" s="1612">
        <f t="shared" si="38"/>
        <v>4.0821854940745771E-2</v>
      </c>
      <c r="AD146" s="1613">
        <f t="shared" si="39"/>
        <v>6.696618900392004E-2</v>
      </c>
      <c r="AE146" s="1613">
        <f t="shared" si="40"/>
        <v>2.4956340801219279E-2</v>
      </c>
      <c r="AF146" s="1614">
        <f t="shared" si="41"/>
        <v>0.1327443847458851</v>
      </c>
      <c r="AG146" s="1615">
        <f t="shared" si="42"/>
        <v>4.0821854940745771E-2</v>
      </c>
      <c r="AH146" s="1613">
        <f t="shared" si="43"/>
        <v>6.696618900392004E-2</v>
      </c>
      <c r="AI146" s="1614">
        <f t="shared" si="44"/>
        <v>0.10778804394466582</v>
      </c>
      <c r="AV146" s="1616">
        <v>1.9181034482758621</v>
      </c>
      <c r="AW146" s="1616">
        <f t="shared" si="36"/>
        <v>44.116379310344826</v>
      </c>
      <c r="AX146" s="1616">
        <f t="shared" si="37"/>
        <v>0.25461746212033998</v>
      </c>
    </row>
    <row r="147" spans="1:50" x14ac:dyDescent="0.25">
      <c r="A147" s="1620" t="s">
        <v>3935</v>
      </c>
      <c r="B147" s="1504">
        <v>125</v>
      </c>
      <c r="C147" s="1505">
        <v>5</v>
      </c>
      <c r="D147" s="1506">
        <v>349</v>
      </c>
      <c r="E147" s="1504">
        <v>50.8</v>
      </c>
      <c r="F147" s="1504">
        <v>185.7</v>
      </c>
      <c r="G147" s="1504">
        <v>215.9</v>
      </c>
      <c r="H147" s="1504">
        <v>7.92</v>
      </c>
      <c r="I147" s="1504">
        <v>8</v>
      </c>
      <c r="J147" s="1504">
        <v>279.39999999999998</v>
      </c>
      <c r="K147" s="1504">
        <v>35</v>
      </c>
      <c r="L147" s="1504">
        <v>143.80000000000001</v>
      </c>
      <c r="M147" s="1504">
        <v>190</v>
      </c>
      <c r="N147" s="1508">
        <v>79</v>
      </c>
      <c r="O147" s="1362">
        <v>32</v>
      </c>
      <c r="P147" s="1609">
        <v>141.30000000000001</v>
      </c>
      <c r="Q147" s="1504">
        <v>127</v>
      </c>
      <c r="R147" s="1610">
        <v>37</v>
      </c>
      <c r="S147" s="1609">
        <v>144.5</v>
      </c>
      <c r="T147" s="1504">
        <v>79</v>
      </c>
      <c r="U147" s="1504">
        <v>11</v>
      </c>
      <c r="V147" s="1610">
        <v>32</v>
      </c>
      <c r="W147" s="1609">
        <v>54</v>
      </c>
      <c r="X147" s="1610">
        <v>33</v>
      </c>
      <c r="Y147" s="1625">
        <v>39</v>
      </c>
      <c r="Z147" s="1609" t="s">
        <v>1712</v>
      </c>
      <c r="AA147" s="1504" t="s">
        <v>1712</v>
      </c>
      <c r="AB147" s="1610" t="s">
        <v>1712</v>
      </c>
      <c r="AC147" s="1612">
        <f t="shared" si="38"/>
        <v>5.5697924474024156E-2</v>
      </c>
      <c r="AD147" s="1613">
        <f t="shared" si="39"/>
        <v>9.5662281699972596E-2</v>
      </c>
      <c r="AE147" s="1613">
        <f t="shared" si="40"/>
        <v>3.3825716596760522E-2</v>
      </c>
      <c r="AF147" s="1614">
        <f t="shared" si="41"/>
        <v>0.18518592277075729</v>
      </c>
      <c r="AG147" s="1615">
        <f t="shared" si="42"/>
        <v>5.5697924474024156E-2</v>
      </c>
      <c r="AH147" s="1613">
        <f t="shared" si="43"/>
        <v>9.5662281699972596E-2</v>
      </c>
      <c r="AI147" s="1614">
        <f t="shared" si="44"/>
        <v>0.15136020617399676</v>
      </c>
      <c r="AV147" s="1616">
        <v>1.6641025641025642</v>
      </c>
      <c r="AW147" s="1616">
        <f t="shared" si="36"/>
        <v>61.571794871794872</v>
      </c>
      <c r="AX147" s="1616">
        <f t="shared" si="37"/>
        <v>0.30816836891851662</v>
      </c>
    </row>
    <row r="148" spans="1:50" x14ac:dyDescent="0.25">
      <c r="A148" s="1620" t="s">
        <v>3936</v>
      </c>
      <c r="B148" s="1504">
        <v>150</v>
      </c>
      <c r="C148" s="1505">
        <v>6</v>
      </c>
      <c r="D148" s="1506">
        <v>381</v>
      </c>
      <c r="E148" s="1504">
        <v>55.6</v>
      </c>
      <c r="F148" s="1504">
        <v>215.9</v>
      </c>
      <c r="G148" s="1504">
        <v>241.3</v>
      </c>
      <c r="H148" s="1504">
        <v>7.92</v>
      </c>
      <c r="I148" s="1504">
        <v>12</v>
      </c>
      <c r="J148" s="1504">
        <v>317.5</v>
      </c>
      <c r="K148" s="1504">
        <v>31.8</v>
      </c>
      <c r="L148" s="1504">
        <v>170.7</v>
      </c>
      <c r="M148" s="1504">
        <v>235</v>
      </c>
      <c r="N148" s="1508">
        <v>86</v>
      </c>
      <c r="O148" s="1362">
        <v>41</v>
      </c>
      <c r="P148" s="1609">
        <v>168.3</v>
      </c>
      <c r="Q148" s="1504">
        <v>140</v>
      </c>
      <c r="R148" s="1610">
        <v>50</v>
      </c>
      <c r="S148" s="1609">
        <v>171.4</v>
      </c>
      <c r="T148" s="1504">
        <v>86</v>
      </c>
      <c r="U148" s="1504">
        <v>13</v>
      </c>
      <c r="V148" s="1610">
        <v>41</v>
      </c>
      <c r="W148" s="1609">
        <v>57</v>
      </c>
      <c r="X148" s="1610">
        <v>42</v>
      </c>
      <c r="Y148" s="1625">
        <v>51</v>
      </c>
      <c r="Z148" s="1609" t="s">
        <v>1712</v>
      </c>
      <c r="AA148" s="1504" t="s">
        <v>1712</v>
      </c>
      <c r="AB148" s="1610" t="s">
        <v>1712</v>
      </c>
      <c r="AC148" s="1612">
        <f t="shared" si="38"/>
        <v>6.6550242136584739E-2</v>
      </c>
      <c r="AD148" s="1613">
        <f t="shared" si="39"/>
        <v>0.11400918279693699</v>
      </c>
      <c r="AE148" s="1613">
        <f t="shared" si="40"/>
        <v>4.4624815679769295E-2</v>
      </c>
      <c r="AF148" s="1614">
        <f t="shared" si="41"/>
        <v>0.22518424061329101</v>
      </c>
      <c r="AG148" s="1615">
        <f t="shared" si="42"/>
        <v>6.6550242136584739E-2</v>
      </c>
      <c r="AH148" s="1613">
        <f t="shared" si="43"/>
        <v>0.11400918279693699</v>
      </c>
      <c r="AI148" s="1614">
        <f t="shared" si="44"/>
        <v>0.18055942493352173</v>
      </c>
      <c r="AV148" s="1616">
        <v>1.8080000000000001</v>
      </c>
      <c r="AW148" s="1616">
        <f t="shared" si="36"/>
        <v>90.4</v>
      </c>
      <c r="AX148" s="1616">
        <f t="shared" si="37"/>
        <v>0.40713310702883015</v>
      </c>
    </row>
    <row r="149" spans="1:50" x14ac:dyDescent="0.25">
      <c r="A149" s="1620" t="s">
        <v>3937</v>
      </c>
      <c r="B149" s="1504">
        <v>200</v>
      </c>
      <c r="C149" s="1505">
        <v>8</v>
      </c>
      <c r="D149" s="1506">
        <v>470</v>
      </c>
      <c r="E149" s="1504">
        <v>63.5</v>
      </c>
      <c r="F149" s="1504">
        <v>269.89999999999998</v>
      </c>
      <c r="G149" s="1504">
        <v>307.8</v>
      </c>
      <c r="H149" s="1504">
        <v>7.92</v>
      </c>
      <c r="I149" s="1504">
        <v>12</v>
      </c>
      <c r="J149" s="1504">
        <v>393.7</v>
      </c>
      <c r="K149" s="1504">
        <v>38.1</v>
      </c>
      <c r="L149" s="1504">
        <v>221.5</v>
      </c>
      <c r="M149" s="1504">
        <v>298</v>
      </c>
      <c r="N149" s="1508">
        <v>102</v>
      </c>
      <c r="O149" s="1362">
        <v>71</v>
      </c>
      <c r="P149" s="1609">
        <v>219.1</v>
      </c>
      <c r="Q149" s="1504">
        <v>162</v>
      </c>
      <c r="R149" s="1610">
        <v>85</v>
      </c>
      <c r="S149" s="1609">
        <v>222.2</v>
      </c>
      <c r="T149" s="1504">
        <v>114</v>
      </c>
      <c r="U149" s="1504">
        <v>13</v>
      </c>
      <c r="V149" s="1610">
        <v>85</v>
      </c>
      <c r="W149" s="1609">
        <v>64</v>
      </c>
      <c r="X149" s="1610">
        <v>72</v>
      </c>
      <c r="Y149" s="1625">
        <v>89</v>
      </c>
      <c r="Z149" s="1609" t="s">
        <v>1712</v>
      </c>
      <c r="AA149" s="1504" t="s">
        <v>1712</v>
      </c>
      <c r="AB149" s="1610" t="s">
        <v>1712</v>
      </c>
      <c r="AC149" s="1612">
        <f t="shared" si="38"/>
        <v>9.3760832746387371E-2</v>
      </c>
      <c r="AD149" s="1613">
        <f t="shared" si="39"/>
        <v>0.17349445429449634</v>
      </c>
      <c r="AE149" s="1613">
        <f t="shared" si="40"/>
        <v>6.779981061455008E-2</v>
      </c>
      <c r="AF149" s="1614">
        <f t="shared" si="41"/>
        <v>0.33505509765543379</v>
      </c>
      <c r="AG149" s="1615">
        <f t="shared" si="42"/>
        <v>9.3760832746387371E-2</v>
      </c>
      <c r="AH149" s="1613">
        <f t="shared" si="43"/>
        <v>0.17349445429449634</v>
      </c>
      <c r="AI149" s="1614">
        <f t="shared" si="44"/>
        <v>0.26725528704088369</v>
      </c>
      <c r="AV149" s="1616">
        <v>1.6588235294117648</v>
      </c>
      <c r="AW149" s="1616">
        <f t="shared" si="36"/>
        <v>141</v>
      </c>
      <c r="AX149" s="1616">
        <f t="shared" si="37"/>
        <v>0.55579727964019021</v>
      </c>
    </row>
    <row r="150" spans="1:50" x14ac:dyDescent="0.25">
      <c r="A150" s="1620" t="s">
        <v>3938</v>
      </c>
      <c r="B150" s="1504">
        <v>250</v>
      </c>
      <c r="C150" s="1505">
        <v>10</v>
      </c>
      <c r="D150" s="1506">
        <v>546</v>
      </c>
      <c r="E150" s="1504">
        <v>69.900000000000006</v>
      </c>
      <c r="F150" s="1504">
        <v>323.8</v>
      </c>
      <c r="G150" s="1504">
        <v>362</v>
      </c>
      <c r="H150" s="1504">
        <v>7.92</v>
      </c>
      <c r="I150" s="1504">
        <v>16</v>
      </c>
      <c r="J150" s="1504">
        <v>469.9</v>
      </c>
      <c r="K150" s="1504">
        <v>38.1</v>
      </c>
      <c r="L150" s="1504">
        <v>276.39999999999998</v>
      </c>
      <c r="M150" s="1504">
        <v>368</v>
      </c>
      <c r="N150" s="1508">
        <v>108</v>
      </c>
      <c r="O150" s="1362">
        <v>100</v>
      </c>
      <c r="P150" s="1609">
        <v>273</v>
      </c>
      <c r="Q150" s="1504">
        <v>184</v>
      </c>
      <c r="R150" s="1610">
        <v>118</v>
      </c>
      <c r="S150" s="1609">
        <v>277.39999999999998</v>
      </c>
      <c r="T150" s="1504">
        <v>127</v>
      </c>
      <c r="U150" s="1504">
        <v>13</v>
      </c>
      <c r="V150" s="1610">
        <v>126</v>
      </c>
      <c r="W150" s="1609">
        <v>71</v>
      </c>
      <c r="X150" s="1610">
        <v>101</v>
      </c>
      <c r="Y150" s="1625">
        <v>130</v>
      </c>
      <c r="Z150" s="1609" t="s">
        <v>1712</v>
      </c>
      <c r="AA150" s="1504" t="s">
        <v>1712</v>
      </c>
      <c r="AB150" s="1610" t="s">
        <v>1712</v>
      </c>
      <c r="AC150" s="1612">
        <f t="shared" si="38"/>
        <v>0.1199001402613159</v>
      </c>
      <c r="AD150" s="1613">
        <f t="shared" si="39"/>
        <v>0.2341397588793937</v>
      </c>
      <c r="AE150" s="1613">
        <f t="shared" si="40"/>
        <v>9.7858412044464535E-2</v>
      </c>
      <c r="AF150" s="1614">
        <f t="shared" si="41"/>
        <v>0.45189831118517415</v>
      </c>
      <c r="AG150" s="1615">
        <f t="shared" si="42"/>
        <v>0.1199001402613159</v>
      </c>
      <c r="AH150" s="1613">
        <f t="shared" si="43"/>
        <v>0.2341397588793937</v>
      </c>
      <c r="AI150" s="1614">
        <f t="shared" si="44"/>
        <v>0.3540398991407096</v>
      </c>
      <c r="AV150" s="1616">
        <v>1.4344262295081966</v>
      </c>
      <c r="AW150" s="1616">
        <f t="shared" si="36"/>
        <v>169.26229508196721</v>
      </c>
      <c r="AX150" s="1616">
        <f t="shared" si="37"/>
        <v>0.64821479063447107</v>
      </c>
    </row>
    <row r="151" spans="1:50" x14ac:dyDescent="0.25">
      <c r="A151" s="1620" t="s">
        <v>3939</v>
      </c>
      <c r="B151" s="1504">
        <v>300</v>
      </c>
      <c r="C151" s="1505">
        <v>12</v>
      </c>
      <c r="D151" s="1506">
        <v>610</v>
      </c>
      <c r="E151" s="1504">
        <v>79.2</v>
      </c>
      <c r="F151" s="1504">
        <v>381</v>
      </c>
      <c r="G151" s="1504">
        <v>419.1</v>
      </c>
      <c r="H151" s="1504">
        <v>7.92</v>
      </c>
      <c r="I151" s="1504">
        <v>20</v>
      </c>
      <c r="J151" s="1504">
        <v>533.4</v>
      </c>
      <c r="K151" s="1504">
        <v>38.1</v>
      </c>
      <c r="L151" s="1504">
        <v>327.2</v>
      </c>
      <c r="M151" s="1504">
        <v>419</v>
      </c>
      <c r="N151" s="1508">
        <v>117</v>
      </c>
      <c r="O151" s="1362">
        <v>133</v>
      </c>
      <c r="P151" s="1609">
        <v>323.89999999999998</v>
      </c>
      <c r="Q151" s="1504">
        <v>200</v>
      </c>
      <c r="R151" s="1610">
        <v>163</v>
      </c>
      <c r="S151" s="1609">
        <v>328.2</v>
      </c>
      <c r="T151" s="1504">
        <v>143</v>
      </c>
      <c r="U151" s="1504">
        <v>13</v>
      </c>
      <c r="V151" s="1610">
        <v>168</v>
      </c>
      <c r="W151" s="1609">
        <v>76</v>
      </c>
      <c r="X151" s="1610">
        <v>134</v>
      </c>
      <c r="Y151" s="1625">
        <v>175</v>
      </c>
      <c r="Z151" s="1609" t="s">
        <v>1712</v>
      </c>
      <c r="AA151" s="1504" t="s">
        <v>1712</v>
      </c>
      <c r="AB151" s="1610" t="s">
        <v>1712</v>
      </c>
      <c r="AC151" s="1612">
        <f t="shared" si="38"/>
        <v>0.15177662428023009</v>
      </c>
      <c r="AD151" s="1613">
        <f t="shared" si="39"/>
        <v>0.2922466566001905</v>
      </c>
      <c r="AE151" s="1613">
        <f t="shared" si="40"/>
        <v>0.12292147274812626</v>
      </c>
      <c r="AF151" s="1614">
        <f t="shared" si="41"/>
        <v>0.56694475362854679</v>
      </c>
      <c r="AG151" s="1615">
        <f t="shared" si="42"/>
        <v>0.15177662428023009</v>
      </c>
      <c r="AH151" s="1613">
        <f t="shared" si="43"/>
        <v>0.2922466566001905</v>
      </c>
      <c r="AI151" s="1614">
        <f t="shared" si="44"/>
        <v>0.44402328088042059</v>
      </c>
      <c r="AV151" s="1616">
        <v>1.4970414201183433</v>
      </c>
      <c r="AW151" s="1616">
        <f t="shared" si="36"/>
        <v>244.01775147928996</v>
      </c>
      <c r="AX151" s="1616">
        <f t="shared" si="37"/>
        <v>0.84873977910072396</v>
      </c>
    </row>
    <row r="152" spans="1:50" x14ac:dyDescent="0.25">
      <c r="A152" s="1620" t="s">
        <v>3940</v>
      </c>
      <c r="B152" s="1504">
        <v>350</v>
      </c>
      <c r="C152" s="1505">
        <v>14</v>
      </c>
      <c r="D152" s="1506">
        <v>641</v>
      </c>
      <c r="E152" s="1504">
        <v>85.9</v>
      </c>
      <c r="F152" s="1504">
        <v>412.8</v>
      </c>
      <c r="G152" s="1504">
        <v>466.9</v>
      </c>
      <c r="H152" s="1504">
        <v>11.13</v>
      </c>
      <c r="I152" s="1504">
        <v>20</v>
      </c>
      <c r="J152" s="1504">
        <v>558.79999999999995</v>
      </c>
      <c r="K152" s="1504">
        <v>41.1</v>
      </c>
      <c r="L152" s="1504">
        <v>359.2</v>
      </c>
      <c r="M152" s="1504">
        <v>451</v>
      </c>
      <c r="N152" s="1508">
        <v>130</v>
      </c>
      <c r="O152" s="1362">
        <v>152</v>
      </c>
      <c r="P152" s="1609">
        <v>355.6</v>
      </c>
      <c r="Q152" s="1504">
        <v>213</v>
      </c>
      <c r="R152" s="1610">
        <v>186</v>
      </c>
      <c r="S152" s="1609">
        <v>360.2</v>
      </c>
      <c r="T152" s="1504">
        <v>155</v>
      </c>
      <c r="U152" s="1504">
        <v>13</v>
      </c>
      <c r="V152" s="1610">
        <v>180</v>
      </c>
      <c r="W152" s="1609">
        <v>83</v>
      </c>
      <c r="X152" s="1610">
        <v>154</v>
      </c>
      <c r="Y152" s="1625">
        <v>206</v>
      </c>
      <c r="Z152" s="1609" t="s">
        <v>1712</v>
      </c>
      <c r="AA152" s="1504" t="s">
        <v>1712</v>
      </c>
      <c r="AB152" s="1610" t="s">
        <v>1712</v>
      </c>
      <c r="AC152" s="1612">
        <f t="shared" si="38"/>
        <v>0.17298206053269585</v>
      </c>
      <c r="AD152" s="1613">
        <f t="shared" si="39"/>
        <v>0.3227051827749069</v>
      </c>
      <c r="AE152" s="1613">
        <f t="shared" si="40"/>
        <v>0.14198980918206103</v>
      </c>
      <c r="AF152" s="1614">
        <f t="shared" si="41"/>
        <v>0.63767705248966378</v>
      </c>
      <c r="AG152" s="1615">
        <f t="shared" si="42"/>
        <v>0.17298206053269585</v>
      </c>
      <c r="AH152" s="1613">
        <f t="shared" si="43"/>
        <v>0.3227051827749069</v>
      </c>
      <c r="AI152" s="1614">
        <f t="shared" si="44"/>
        <v>0.49568724330760272</v>
      </c>
      <c r="AV152" s="1616">
        <v>1.4970414201183433</v>
      </c>
      <c r="AW152" s="1616">
        <f t="shared" si="36"/>
        <v>278.44970414201185</v>
      </c>
      <c r="AX152" s="1616">
        <f t="shared" si="37"/>
        <v>0.95462896023600563</v>
      </c>
    </row>
    <row r="153" spans="1:50" x14ac:dyDescent="0.25">
      <c r="A153" s="1620" t="s">
        <v>3941</v>
      </c>
      <c r="B153" s="1504">
        <v>400</v>
      </c>
      <c r="C153" s="1505">
        <v>16</v>
      </c>
      <c r="D153" s="1506">
        <v>705</v>
      </c>
      <c r="E153" s="1504">
        <v>88.9</v>
      </c>
      <c r="F153" s="1504">
        <v>469.9</v>
      </c>
      <c r="G153" s="1504">
        <v>523.70000000000005</v>
      </c>
      <c r="H153" s="1504">
        <v>11.13</v>
      </c>
      <c r="I153" s="1504">
        <v>20</v>
      </c>
      <c r="J153" s="1504">
        <v>616</v>
      </c>
      <c r="K153" s="1504">
        <v>44.5</v>
      </c>
      <c r="L153" s="1504">
        <v>410.5</v>
      </c>
      <c r="M153" s="1504">
        <v>508</v>
      </c>
      <c r="N153" s="1508">
        <v>133</v>
      </c>
      <c r="O153" s="1362">
        <v>184</v>
      </c>
      <c r="P153" s="1609">
        <v>406.4</v>
      </c>
      <c r="Q153" s="1504">
        <v>216</v>
      </c>
      <c r="R153" s="1610">
        <v>224</v>
      </c>
      <c r="S153" s="1609">
        <v>411.2</v>
      </c>
      <c r="T153" s="1504">
        <v>165</v>
      </c>
      <c r="U153" s="1504">
        <v>13</v>
      </c>
      <c r="V153" s="1610">
        <v>222</v>
      </c>
      <c r="W153" s="1609">
        <v>86</v>
      </c>
      <c r="X153" s="1610">
        <v>186</v>
      </c>
      <c r="Y153" s="1625">
        <v>259</v>
      </c>
      <c r="Z153" s="1609" t="s">
        <v>1712</v>
      </c>
      <c r="AA153" s="1504" t="s">
        <v>1712</v>
      </c>
      <c r="AB153" s="1610" t="s">
        <v>1712</v>
      </c>
      <c r="AC153" s="1612">
        <f t="shared" si="38"/>
        <v>0.19689774876741353</v>
      </c>
      <c r="AD153" s="1613">
        <f t="shared" si="39"/>
        <v>0.39036252216261674</v>
      </c>
      <c r="AE153" s="1613">
        <f t="shared" si="40"/>
        <v>0.16227406763664115</v>
      </c>
      <c r="AF153" s="1614">
        <f t="shared" si="41"/>
        <v>0.7495343385666714</v>
      </c>
      <c r="AG153" s="1615">
        <f t="shared" si="42"/>
        <v>0.19689774876741353</v>
      </c>
      <c r="AH153" s="1613">
        <f t="shared" si="43"/>
        <v>0.39036252216261674</v>
      </c>
      <c r="AI153" s="1614">
        <f t="shared" si="44"/>
        <v>0.5872602709300303</v>
      </c>
      <c r="AV153" s="1616">
        <v>1.4970414201183433</v>
      </c>
      <c r="AW153" s="1616">
        <f t="shared" si="36"/>
        <v>335.3372781065089</v>
      </c>
      <c r="AX153" s="1616">
        <f t="shared" si="37"/>
        <v>1.1220839506353129</v>
      </c>
    </row>
    <row r="154" spans="1:50" x14ac:dyDescent="0.25">
      <c r="A154" s="1620" t="s">
        <v>3942</v>
      </c>
      <c r="B154" s="1504">
        <v>450</v>
      </c>
      <c r="C154" s="1505">
        <v>18</v>
      </c>
      <c r="D154" s="1506">
        <v>787</v>
      </c>
      <c r="E154" s="1504">
        <v>101.6</v>
      </c>
      <c r="F154" s="1504">
        <v>533.4</v>
      </c>
      <c r="G154" s="1504">
        <v>593.9</v>
      </c>
      <c r="H154" s="1504">
        <v>12.7</v>
      </c>
      <c r="I154" s="1504">
        <v>20</v>
      </c>
      <c r="J154" s="1504">
        <v>685.8</v>
      </c>
      <c r="K154" s="1504">
        <v>50.8</v>
      </c>
      <c r="L154" s="1504">
        <v>461.8</v>
      </c>
      <c r="M154" s="1504">
        <v>565</v>
      </c>
      <c r="N154" s="1508">
        <v>152</v>
      </c>
      <c r="O154" s="1362">
        <v>258</v>
      </c>
      <c r="P154" s="1609">
        <v>457</v>
      </c>
      <c r="Q154" s="1504">
        <v>229</v>
      </c>
      <c r="R154" s="1610">
        <v>300</v>
      </c>
      <c r="S154" s="1609">
        <v>462.3</v>
      </c>
      <c r="T154" s="1504">
        <v>190</v>
      </c>
      <c r="U154" s="1504">
        <v>13</v>
      </c>
      <c r="V154" s="1610">
        <v>304</v>
      </c>
      <c r="W154" s="1609">
        <v>89</v>
      </c>
      <c r="X154" s="1610">
        <v>260</v>
      </c>
      <c r="Y154" s="1625">
        <v>367</v>
      </c>
      <c r="Z154" s="1609" t="s">
        <v>1712</v>
      </c>
      <c r="AA154" s="1504" t="s">
        <v>1712</v>
      </c>
      <c r="AB154" s="1610" t="s">
        <v>1712</v>
      </c>
      <c r="AC154" s="1612">
        <f t="shared" si="38"/>
        <v>0.25119923530691696</v>
      </c>
      <c r="AD154" s="1613">
        <f t="shared" si="39"/>
        <v>0.48645127506531416</v>
      </c>
      <c r="AE154" s="1613">
        <f t="shared" si="40"/>
        <v>0.18290917915877422</v>
      </c>
      <c r="AF154" s="1614">
        <f t="shared" si="41"/>
        <v>0.92055968953100531</v>
      </c>
      <c r="AG154" s="1615">
        <f t="shared" si="42"/>
        <v>0.25119923530691696</v>
      </c>
      <c r="AH154" s="1613">
        <f t="shared" si="43"/>
        <v>0.48645127506531416</v>
      </c>
      <c r="AI154" s="1614">
        <f t="shared" si="44"/>
        <v>0.73765051037223106</v>
      </c>
      <c r="AV154" s="1616">
        <v>1.4970414201183433</v>
      </c>
      <c r="AW154" s="1616">
        <f t="shared" si="36"/>
        <v>449.11242603550301</v>
      </c>
      <c r="AX154" s="1616">
        <f t="shared" si="37"/>
        <v>1.3781159849191973</v>
      </c>
    </row>
    <row r="155" spans="1:50" x14ac:dyDescent="0.25">
      <c r="A155" s="1620" t="s">
        <v>3943</v>
      </c>
      <c r="B155" s="1504">
        <v>500</v>
      </c>
      <c r="C155" s="1505">
        <v>20</v>
      </c>
      <c r="D155" s="1506">
        <v>857</v>
      </c>
      <c r="E155" s="1504">
        <v>108</v>
      </c>
      <c r="F155" s="1504">
        <v>584.20000000000005</v>
      </c>
      <c r="G155" s="1504">
        <v>647.70000000000005</v>
      </c>
      <c r="H155" s="1504">
        <v>12.7</v>
      </c>
      <c r="I155" s="1504">
        <v>20</v>
      </c>
      <c r="J155" s="1504">
        <v>749.3</v>
      </c>
      <c r="K155" s="1504">
        <v>53.8</v>
      </c>
      <c r="L155" s="1504">
        <v>513.1</v>
      </c>
      <c r="M155" s="1504">
        <v>622</v>
      </c>
      <c r="N155" s="1508">
        <v>159</v>
      </c>
      <c r="O155" s="1362">
        <v>317</v>
      </c>
      <c r="P155" s="1609">
        <v>508</v>
      </c>
      <c r="Q155" s="1504">
        <v>248</v>
      </c>
      <c r="R155" s="1610">
        <v>373</v>
      </c>
      <c r="S155" s="1609">
        <v>514.4</v>
      </c>
      <c r="T155" s="1504">
        <v>210</v>
      </c>
      <c r="U155" s="1504">
        <v>13</v>
      </c>
      <c r="V155" s="1610">
        <v>394</v>
      </c>
      <c r="W155" s="1609">
        <v>92</v>
      </c>
      <c r="X155" s="1610">
        <v>320</v>
      </c>
      <c r="Y155" s="1625">
        <v>463</v>
      </c>
      <c r="Z155" s="1609" t="s">
        <v>1712</v>
      </c>
      <c r="AA155" s="1504" t="s">
        <v>1712</v>
      </c>
      <c r="AB155" s="1610" t="s">
        <v>1712</v>
      </c>
      <c r="AC155" s="1612">
        <f t="shared" si="38"/>
        <v>0.29077324964565687</v>
      </c>
      <c r="AD155" s="1613">
        <f t="shared" si="39"/>
        <v>0.57683489570909252</v>
      </c>
      <c r="AE155" s="1613">
        <f t="shared" si="40"/>
        <v>0.2234300695233061</v>
      </c>
      <c r="AF155" s="1614">
        <f t="shared" si="41"/>
        <v>1.0910382148780555</v>
      </c>
      <c r="AG155" s="1615">
        <f t="shared" si="42"/>
        <v>0.29077324964565687</v>
      </c>
      <c r="AH155" s="1613">
        <f t="shared" si="43"/>
        <v>0.57683489570909252</v>
      </c>
      <c r="AI155" s="1614">
        <f t="shared" si="44"/>
        <v>0.86760814535474939</v>
      </c>
      <c r="AV155" s="1616">
        <v>1.4970414201183433</v>
      </c>
      <c r="AW155" s="1616">
        <f t="shared" si="36"/>
        <v>558.39644970414201</v>
      </c>
      <c r="AX155" s="1616">
        <f t="shared" si="37"/>
        <v>1.6333293986044264</v>
      </c>
    </row>
    <row r="156" spans="1:50" ht="13.2" thickBot="1" x14ac:dyDescent="0.3">
      <c r="A156" s="1600" t="s">
        <v>3944</v>
      </c>
      <c r="B156" s="1601">
        <v>600</v>
      </c>
      <c r="C156" s="1602">
        <v>24</v>
      </c>
      <c r="D156" s="1603">
        <v>1041</v>
      </c>
      <c r="E156" s="1601">
        <v>139.69999999999999</v>
      </c>
      <c r="F156" s="1601">
        <v>692.2</v>
      </c>
      <c r="G156" s="1601">
        <v>771.7</v>
      </c>
      <c r="H156" s="1601">
        <v>15.88</v>
      </c>
      <c r="I156" s="1601">
        <v>20</v>
      </c>
      <c r="J156" s="1601">
        <v>901.7</v>
      </c>
      <c r="K156" s="1601">
        <v>66.5</v>
      </c>
      <c r="L156" s="1601">
        <v>616</v>
      </c>
      <c r="M156" s="1601">
        <v>749</v>
      </c>
      <c r="N156" s="1604">
        <v>203</v>
      </c>
      <c r="O156" s="1621">
        <v>608</v>
      </c>
      <c r="P156" s="168">
        <v>610</v>
      </c>
      <c r="Q156" s="166">
        <v>292</v>
      </c>
      <c r="R156" s="169">
        <v>680</v>
      </c>
      <c r="S156" s="168">
        <v>616</v>
      </c>
      <c r="T156" s="166">
        <v>267</v>
      </c>
      <c r="U156" s="166">
        <v>13</v>
      </c>
      <c r="V156" s="169">
        <v>753</v>
      </c>
      <c r="W156" s="168">
        <v>102</v>
      </c>
      <c r="X156" s="169">
        <v>611</v>
      </c>
      <c r="Y156" s="1626">
        <v>875</v>
      </c>
      <c r="Z156" s="1627" t="s">
        <v>1712</v>
      </c>
      <c r="AA156" s="1601" t="s">
        <v>1712</v>
      </c>
      <c r="AB156" s="1628" t="s">
        <v>1712</v>
      </c>
      <c r="AC156" s="178">
        <f t="shared" si="38"/>
        <v>0.45687459394846036</v>
      </c>
      <c r="AD156" s="179">
        <f t="shared" si="39"/>
        <v>0.85112106710871016</v>
      </c>
      <c r="AE156" s="179">
        <f t="shared" si="40"/>
        <v>0.29186338229645259</v>
      </c>
      <c r="AF156" s="180">
        <f t="shared" si="41"/>
        <v>1.5998590433536231</v>
      </c>
      <c r="AG156" s="1622">
        <f t="shared" si="42"/>
        <v>0.45687459394846036</v>
      </c>
      <c r="AH156" s="1623">
        <f t="shared" si="43"/>
        <v>0.85112106710871016</v>
      </c>
      <c r="AI156" s="1624">
        <f t="shared" si="44"/>
        <v>1.3079956610571706</v>
      </c>
      <c r="AV156" s="593">
        <v>1.4970414201183433</v>
      </c>
      <c r="AW156" s="593">
        <f t="shared" si="36"/>
        <v>1017.9881656804735</v>
      </c>
      <c r="AX156" s="593">
        <f t="shared" si="37"/>
        <v>2.395055254251282</v>
      </c>
    </row>
    <row r="157" spans="1:50" ht="22.5" customHeight="1" thickBot="1" x14ac:dyDescent="0.3">
      <c r="A157" s="156"/>
      <c r="B157" s="157"/>
      <c r="C157" s="158"/>
      <c r="D157" s="159"/>
      <c r="E157" s="159"/>
      <c r="F157" s="159"/>
      <c r="G157" s="159"/>
      <c r="H157" s="159"/>
      <c r="I157" s="159"/>
      <c r="J157" s="159"/>
      <c r="K157" s="159"/>
      <c r="L157" s="159"/>
      <c r="M157" s="159"/>
      <c r="N157" s="159"/>
      <c r="O157" s="160" t="s">
        <v>3817</v>
      </c>
      <c r="P157" s="161" t="s">
        <v>3818</v>
      </c>
      <c r="Q157" s="162" t="s">
        <v>3818</v>
      </c>
      <c r="R157" s="163" t="s">
        <v>3818</v>
      </c>
      <c r="S157" s="161" t="s">
        <v>2152</v>
      </c>
      <c r="T157" s="137" t="s">
        <v>2152</v>
      </c>
      <c r="U157" s="137" t="s">
        <v>2152</v>
      </c>
      <c r="V157" s="139" t="s">
        <v>2152</v>
      </c>
      <c r="W157" s="161" t="s">
        <v>2159</v>
      </c>
      <c r="X157" s="139" t="s">
        <v>2159</v>
      </c>
      <c r="Y157" s="164" t="s">
        <v>345</v>
      </c>
      <c r="Z157" s="161" t="s">
        <v>2167</v>
      </c>
      <c r="AA157" s="137" t="s">
        <v>2167</v>
      </c>
      <c r="AB157" s="139" t="s">
        <v>2167</v>
      </c>
      <c r="AC157" s="161" t="s">
        <v>3818</v>
      </c>
      <c r="AD157" s="162" t="s">
        <v>3818</v>
      </c>
      <c r="AE157" s="162" t="s">
        <v>3818</v>
      </c>
      <c r="AF157" s="163" t="s">
        <v>3818</v>
      </c>
      <c r="AG157" s="162" t="s">
        <v>345</v>
      </c>
      <c r="AH157" s="137" t="s">
        <v>345</v>
      </c>
      <c r="AI157" s="139" t="s">
        <v>345</v>
      </c>
      <c r="AV157" s="592"/>
      <c r="AW157" s="592" t="str">
        <f>$AW$19</f>
        <v>LWN</v>
      </c>
      <c r="AX157" s="592" t="str">
        <f>$AW$19</f>
        <v>LWN</v>
      </c>
    </row>
    <row r="158" spans="1:50" x14ac:dyDescent="0.25">
      <c r="A158" s="1349"/>
      <c r="B158" s="1593" t="s">
        <v>3820</v>
      </c>
      <c r="C158" s="1594"/>
      <c r="D158" s="1595" t="s">
        <v>3821</v>
      </c>
      <c r="E158" s="1593" t="s">
        <v>3822</v>
      </c>
      <c r="F158" s="1593" t="s">
        <v>3823</v>
      </c>
      <c r="G158" s="1593" t="s">
        <v>3824</v>
      </c>
      <c r="H158" s="1593" t="s">
        <v>2417</v>
      </c>
      <c r="I158" s="1874" t="s">
        <v>3825</v>
      </c>
      <c r="J158" s="1875"/>
      <c r="K158" s="1876"/>
      <c r="L158" s="1593" t="s">
        <v>3826</v>
      </c>
      <c r="M158" s="1593" t="s">
        <v>3827</v>
      </c>
      <c r="N158" s="1596" t="s">
        <v>3828</v>
      </c>
      <c r="O158" s="165" t="s">
        <v>184</v>
      </c>
      <c r="P158" s="1350" t="s">
        <v>12</v>
      </c>
      <c r="Q158" s="1593" t="s">
        <v>3829</v>
      </c>
      <c r="R158" s="1598" t="s">
        <v>184</v>
      </c>
      <c r="S158" s="1350" t="s">
        <v>3830</v>
      </c>
      <c r="T158" s="1593" t="s">
        <v>3831</v>
      </c>
      <c r="U158" s="1593" t="s">
        <v>3676</v>
      </c>
      <c r="V158" s="1598" t="s">
        <v>184</v>
      </c>
      <c r="W158" s="1350" t="s">
        <v>3832</v>
      </c>
      <c r="X158" s="1598" t="s">
        <v>184</v>
      </c>
      <c r="Y158" s="1597" t="s">
        <v>184</v>
      </c>
      <c r="Z158" s="1350" t="s">
        <v>3833</v>
      </c>
      <c r="AA158" s="1593" t="s">
        <v>2414</v>
      </c>
      <c r="AB158" s="1598" t="s">
        <v>184</v>
      </c>
      <c r="AC158" s="1350" t="s">
        <v>3834</v>
      </c>
      <c r="AD158" s="1593" t="s">
        <v>3835</v>
      </c>
      <c r="AE158" s="1593" t="s">
        <v>3836</v>
      </c>
      <c r="AF158" s="1598" t="s">
        <v>336</v>
      </c>
      <c r="AG158" s="1595" t="s">
        <v>3834</v>
      </c>
      <c r="AH158" s="1593" t="s">
        <v>3835</v>
      </c>
      <c r="AI158" s="1598" t="s">
        <v>336</v>
      </c>
      <c r="AV158" s="1599"/>
      <c r="AW158" s="1599" t="s">
        <v>184</v>
      </c>
      <c r="AX158" s="1598" t="str">
        <f>$AX$20</f>
        <v>Unit Surface</v>
      </c>
    </row>
    <row r="159" spans="1:50" ht="13.2" thickBot="1" x14ac:dyDescent="0.3">
      <c r="A159" s="186"/>
      <c r="B159" s="166" t="s">
        <v>59</v>
      </c>
      <c r="C159" s="187" t="s">
        <v>1685</v>
      </c>
      <c r="D159" s="171" t="s">
        <v>93</v>
      </c>
      <c r="E159" s="166" t="s">
        <v>93</v>
      </c>
      <c r="F159" s="166" t="s">
        <v>93</v>
      </c>
      <c r="G159" s="166" t="s">
        <v>93</v>
      </c>
      <c r="H159" s="166" t="s">
        <v>93</v>
      </c>
      <c r="I159" s="166" t="s">
        <v>3837</v>
      </c>
      <c r="J159" s="166" t="s">
        <v>3838</v>
      </c>
      <c r="K159" s="166" t="s">
        <v>3839</v>
      </c>
      <c r="L159" s="166" t="s">
        <v>93</v>
      </c>
      <c r="M159" s="166" t="s">
        <v>93</v>
      </c>
      <c r="N159" s="188" t="s">
        <v>93</v>
      </c>
      <c r="O159" s="167" t="s">
        <v>222</v>
      </c>
      <c r="P159" s="168" t="s">
        <v>93</v>
      </c>
      <c r="Q159" s="166" t="s">
        <v>93</v>
      </c>
      <c r="R159" s="169" t="s">
        <v>222</v>
      </c>
      <c r="S159" s="168" t="s">
        <v>93</v>
      </c>
      <c r="T159" s="166" t="s">
        <v>93</v>
      </c>
      <c r="U159" s="166" t="s">
        <v>93</v>
      </c>
      <c r="V159" s="169" t="s">
        <v>222</v>
      </c>
      <c r="W159" s="168" t="s">
        <v>93</v>
      </c>
      <c r="X159" s="169" t="s">
        <v>222</v>
      </c>
      <c r="Y159" s="189" t="s">
        <v>222</v>
      </c>
      <c r="Z159" s="168" t="s">
        <v>93</v>
      </c>
      <c r="AA159" s="166" t="s">
        <v>93</v>
      </c>
      <c r="AB159" s="169" t="s">
        <v>222</v>
      </c>
      <c r="AC159" s="168" t="s">
        <v>228</v>
      </c>
      <c r="AD159" s="166" t="s">
        <v>228</v>
      </c>
      <c r="AE159" s="166" t="s">
        <v>228</v>
      </c>
      <c r="AF159" s="169" t="s">
        <v>228</v>
      </c>
      <c r="AG159" s="171" t="s">
        <v>228</v>
      </c>
      <c r="AH159" s="166" t="s">
        <v>228</v>
      </c>
      <c r="AI159" s="169" t="s">
        <v>228</v>
      </c>
      <c r="AV159" s="593"/>
      <c r="AW159" s="593" t="s">
        <v>222</v>
      </c>
      <c r="AX159" s="593" t="str">
        <f>$AX$21</f>
        <v>m2</v>
      </c>
    </row>
    <row r="160" spans="1:50" ht="13.2" thickBot="1" x14ac:dyDescent="0.3">
      <c r="A160" s="190" t="s">
        <v>3945</v>
      </c>
      <c r="B160" s="137">
        <v>0</v>
      </c>
      <c r="C160" s="137">
        <v>0</v>
      </c>
      <c r="D160" s="137">
        <v>0</v>
      </c>
      <c r="E160" s="137">
        <v>0</v>
      </c>
      <c r="F160" s="137">
        <v>0</v>
      </c>
      <c r="G160" s="137">
        <v>0</v>
      </c>
      <c r="H160" s="137">
        <v>0</v>
      </c>
      <c r="I160" s="137">
        <v>0</v>
      </c>
      <c r="J160" s="137">
        <v>0</v>
      </c>
      <c r="K160" s="137">
        <v>0</v>
      </c>
      <c r="L160" s="137">
        <v>0</v>
      </c>
      <c r="M160" s="137">
        <v>0</v>
      </c>
      <c r="N160" s="192">
        <v>0</v>
      </c>
      <c r="O160" s="160">
        <v>0</v>
      </c>
      <c r="P160" s="161">
        <v>0</v>
      </c>
      <c r="Q160" s="137">
        <v>0</v>
      </c>
      <c r="R160" s="139">
        <v>0</v>
      </c>
      <c r="S160" s="161">
        <v>0</v>
      </c>
      <c r="T160" s="137">
        <v>0</v>
      </c>
      <c r="U160" s="137">
        <v>0</v>
      </c>
      <c r="V160" s="139">
        <v>0</v>
      </c>
      <c r="W160" s="161">
        <v>0</v>
      </c>
      <c r="X160" s="139">
        <v>0</v>
      </c>
      <c r="Y160" s="164">
        <v>0</v>
      </c>
      <c r="Z160" s="161">
        <v>0</v>
      </c>
      <c r="AA160" s="137">
        <v>0</v>
      </c>
      <c r="AB160" s="139">
        <v>0</v>
      </c>
      <c r="AC160" s="161">
        <v>0</v>
      </c>
      <c r="AD160" s="137">
        <v>0</v>
      </c>
      <c r="AE160" s="137">
        <v>0</v>
      </c>
      <c r="AF160" s="139">
        <v>0</v>
      </c>
      <c r="AG160" s="162">
        <v>0</v>
      </c>
      <c r="AH160" s="137">
        <v>0</v>
      </c>
      <c r="AI160" s="139">
        <v>0</v>
      </c>
      <c r="AV160" s="595"/>
      <c r="AW160" s="595">
        <v>0</v>
      </c>
      <c r="AX160" s="595">
        <v>0</v>
      </c>
    </row>
    <row r="161" spans="1:50" x14ac:dyDescent="0.25">
      <c r="A161" s="1349" t="s">
        <v>3946</v>
      </c>
      <c r="B161" s="1593">
        <v>15</v>
      </c>
      <c r="C161" s="1594">
        <v>0.5</v>
      </c>
      <c r="D161" s="1595">
        <v>121</v>
      </c>
      <c r="E161" s="1593">
        <v>22.4</v>
      </c>
      <c r="F161" s="1593">
        <v>34.9</v>
      </c>
      <c r="G161" s="1593">
        <v>60.5</v>
      </c>
      <c r="H161" s="1593">
        <v>6.35</v>
      </c>
      <c r="I161" s="1593">
        <v>4</v>
      </c>
      <c r="J161" s="1593">
        <v>82.6</v>
      </c>
      <c r="K161" s="1593">
        <v>22.2</v>
      </c>
      <c r="L161" s="1593">
        <v>22.4</v>
      </c>
      <c r="M161" s="1593">
        <v>38</v>
      </c>
      <c r="N161" s="1596">
        <v>32</v>
      </c>
      <c r="O161" s="165">
        <v>1.8</v>
      </c>
      <c r="P161" s="1350">
        <v>21.3</v>
      </c>
      <c r="Q161" s="1593">
        <v>60</v>
      </c>
      <c r="R161" s="1598">
        <v>2</v>
      </c>
      <c r="S161" s="1350">
        <v>22.9</v>
      </c>
      <c r="T161" s="1593">
        <v>32</v>
      </c>
      <c r="U161" s="1593">
        <v>3</v>
      </c>
      <c r="V161" s="1598">
        <v>1.7</v>
      </c>
      <c r="W161" s="1350">
        <v>22</v>
      </c>
      <c r="X161" s="1598">
        <v>1.8</v>
      </c>
      <c r="Y161" s="1597">
        <v>1.8</v>
      </c>
      <c r="Z161" s="1350" t="s">
        <v>1712</v>
      </c>
      <c r="AA161" s="1593">
        <v>10</v>
      </c>
      <c r="AB161" s="1598">
        <v>1.7</v>
      </c>
      <c r="AC161" s="1352">
        <f>PI()*D161*E161/1000000</f>
        <v>8.5149727282897748E-3</v>
      </c>
      <c r="AD161" s="1617">
        <f>D161^2*PI()/4/1000000</f>
        <v>1.149901451030204E-2</v>
      </c>
      <c r="AE161" s="1617">
        <f>P161*PI()*(Q161-E161)/1000000</f>
        <v>2.516038724406994E-3</v>
      </c>
      <c r="AF161" s="1618">
        <f>AE161+AD161+AC161</f>
        <v>2.2530025962998808E-2</v>
      </c>
      <c r="AG161" s="1619">
        <f>PI()*D161*E161/1000000</f>
        <v>8.5149727282897748E-3</v>
      </c>
      <c r="AH161" s="1617">
        <f>D161^2*PI()/4/1000000</f>
        <v>1.149901451030204E-2</v>
      </c>
      <c r="AI161" s="1618">
        <f>AH161+AG161</f>
        <v>2.0013987238591817E-2</v>
      </c>
      <c r="AV161" s="1599">
        <v>1.6585365853658538</v>
      </c>
      <c r="AW161" s="1599">
        <f t="shared" ref="AW161:AW179" si="45">AV161*R161</f>
        <v>3.3170731707317076</v>
      </c>
      <c r="AX161" s="1599">
        <f t="shared" ref="AX161:AX179" si="46">AV161*AF161</f>
        <v>3.7366872328876075E-2</v>
      </c>
    </row>
    <row r="162" spans="1:50" x14ac:dyDescent="0.25">
      <c r="A162" s="1620" t="s">
        <v>3947</v>
      </c>
      <c r="B162" s="1504">
        <v>20</v>
      </c>
      <c r="C162" s="1505">
        <v>0.75</v>
      </c>
      <c r="D162" s="1595">
        <v>130</v>
      </c>
      <c r="E162" s="1593">
        <v>25.4</v>
      </c>
      <c r="F162" s="1593">
        <v>42.9</v>
      </c>
      <c r="G162" s="1593">
        <v>66.5</v>
      </c>
      <c r="H162" s="1593">
        <v>6.35</v>
      </c>
      <c r="I162" s="1593">
        <v>4</v>
      </c>
      <c r="J162" s="1593">
        <v>88.9</v>
      </c>
      <c r="K162" s="1593">
        <v>22.2</v>
      </c>
      <c r="L162" s="1593">
        <v>27.7</v>
      </c>
      <c r="M162" s="1593">
        <v>44</v>
      </c>
      <c r="N162" s="1596">
        <v>35</v>
      </c>
      <c r="O162" s="1362">
        <v>2.4</v>
      </c>
      <c r="P162" s="1609">
        <v>26.7</v>
      </c>
      <c r="Q162" s="1504">
        <v>70</v>
      </c>
      <c r="R162" s="1610">
        <v>3</v>
      </c>
      <c r="S162" s="1609">
        <v>29.2</v>
      </c>
      <c r="T162" s="1504">
        <v>35</v>
      </c>
      <c r="U162" s="1504">
        <v>3</v>
      </c>
      <c r="V162" s="1610">
        <v>2.2999999999999998</v>
      </c>
      <c r="W162" s="1609">
        <v>25</v>
      </c>
      <c r="X162" s="1610">
        <v>2.4</v>
      </c>
      <c r="Y162" s="1625">
        <v>2.7</v>
      </c>
      <c r="Z162" s="1609" t="s">
        <v>1712</v>
      </c>
      <c r="AA162" s="1504">
        <v>11</v>
      </c>
      <c r="AB162" s="1610">
        <v>2.2999999999999998</v>
      </c>
      <c r="AC162" s="1612">
        <f t="shared" ref="AC162:AC179" si="47">PI()*D162*E162/1000000</f>
        <v>1.0373538942153496E-2</v>
      </c>
      <c r="AD162" s="1613">
        <f t="shared" ref="AD162:AD179" si="48">D162^2*PI()/4/1000000</f>
        <v>1.3273228961416876E-2</v>
      </c>
      <c r="AE162" s="1613">
        <f t="shared" ref="AE162:AE179" si="49">P162*PI()*(Q162-E162)/1000000</f>
        <v>3.741071363747797E-3</v>
      </c>
      <c r="AF162" s="1614">
        <f t="shared" ref="AF162:AF179" si="50">AE162+AD162+AC162</f>
        <v>2.7387839267318168E-2</v>
      </c>
      <c r="AG162" s="1615">
        <f t="shared" ref="AG162:AG179" si="51">PI()*D162*E162/1000000</f>
        <v>1.0373538942153496E-2</v>
      </c>
      <c r="AH162" s="1613">
        <f t="shared" ref="AH162:AH179" si="52">D162^2*PI()/4/1000000</f>
        <v>1.3273228961416876E-2</v>
      </c>
      <c r="AI162" s="1614">
        <f t="shared" ref="AI162:AI179" si="53">AH162+AG162</f>
        <v>2.364676790357037E-2</v>
      </c>
      <c r="AV162" s="1616">
        <v>1.6585365853658538</v>
      </c>
      <c r="AW162" s="1616">
        <f t="shared" si="45"/>
        <v>4.9756097560975618</v>
      </c>
      <c r="AX162" s="1616">
        <f t="shared" si="46"/>
        <v>4.5423733418966723E-2</v>
      </c>
    </row>
    <row r="163" spans="1:50" x14ac:dyDescent="0.25">
      <c r="A163" s="1620" t="s">
        <v>3948</v>
      </c>
      <c r="B163" s="1504">
        <v>25</v>
      </c>
      <c r="C163" s="1505">
        <v>1</v>
      </c>
      <c r="D163" s="1506">
        <v>149</v>
      </c>
      <c r="E163" s="1504">
        <v>28.4</v>
      </c>
      <c r="F163" s="1504">
        <v>50.8</v>
      </c>
      <c r="G163" s="1504">
        <v>71.400000000000006</v>
      </c>
      <c r="H163" s="1504">
        <v>6.35</v>
      </c>
      <c r="I163" s="1504">
        <v>4</v>
      </c>
      <c r="J163" s="1504">
        <v>101.6</v>
      </c>
      <c r="K163" s="1504">
        <v>25.4</v>
      </c>
      <c r="L163" s="1504">
        <v>34.5</v>
      </c>
      <c r="M163" s="1504">
        <v>52</v>
      </c>
      <c r="N163" s="1508">
        <v>41</v>
      </c>
      <c r="O163" s="1362">
        <v>3.5</v>
      </c>
      <c r="P163" s="1609">
        <v>33.4</v>
      </c>
      <c r="Q163" s="1504">
        <v>73</v>
      </c>
      <c r="R163" s="1610">
        <v>4</v>
      </c>
      <c r="S163" s="1609">
        <v>35</v>
      </c>
      <c r="T163" s="1504">
        <v>41</v>
      </c>
      <c r="U163" s="1504">
        <v>3</v>
      </c>
      <c r="V163" s="1610">
        <v>3.4</v>
      </c>
      <c r="W163" s="1609">
        <v>29</v>
      </c>
      <c r="X163" s="1610">
        <v>3.5</v>
      </c>
      <c r="Y163" s="1625">
        <v>4</v>
      </c>
      <c r="Z163" s="1609" t="s">
        <v>1712</v>
      </c>
      <c r="AA163" s="1504">
        <v>13</v>
      </c>
      <c r="AB163" s="1610">
        <v>3.4</v>
      </c>
      <c r="AC163" s="1612">
        <f t="shared" si="47"/>
        <v>1.3293963472930567E-2</v>
      </c>
      <c r="AD163" s="1613">
        <f t="shared" si="48"/>
        <v>1.7436624625586747E-2</v>
      </c>
      <c r="AE163" s="1613">
        <f t="shared" si="49"/>
        <v>4.679842080493499E-3</v>
      </c>
      <c r="AF163" s="1614">
        <f t="shared" si="50"/>
        <v>3.5410430179010813E-2</v>
      </c>
      <c r="AG163" s="1615">
        <f t="shared" si="51"/>
        <v>1.3293963472930567E-2</v>
      </c>
      <c r="AH163" s="1613">
        <f t="shared" si="52"/>
        <v>1.7436624625586747E-2</v>
      </c>
      <c r="AI163" s="1614">
        <f t="shared" si="53"/>
        <v>3.0730588098517315E-2</v>
      </c>
      <c r="AV163" s="1616">
        <v>1.6585365853658538</v>
      </c>
      <c r="AW163" s="1616">
        <f t="shared" si="45"/>
        <v>6.6341463414634152</v>
      </c>
      <c r="AX163" s="1616">
        <f t="shared" si="46"/>
        <v>5.8729493955432574E-2</v>
      </c>
    </row>
    <row r="164" spans="1:50" x14ac:dyDescent="0.25">
      <c r="A164" s="1620" t="s">
        <v>3949</v>
      </c>
      <c r="B164" s="1504">
        <v>32</v>
      </c>
      <c r="C164" s="1505">
        <v>1.25</v>
      </c>
      <c r="D164" s="1506">
        <v>159</v>
      </c>
      <c r="E164" s="1504">
        <v>28.4</v>
      </c>
      <c r="F164" s="1504">
        <v>63.5</v>
      </c>
      <c r="G164" s="1504">
        <v>81</v>
      </c>
      <c r="H164" s="1504">
        <v>6.35</v>
      </c>
      <c r="I164" s="1504">
        <v>4</v>
      </c>
      <c r="J164" s="1504">
        <v>111.1</v>
      </c>
      <c r="K164" s="1504">
        <v>25.4</v>
      </c>
      <c r="L164" s="1504">
        <v>43.2</v>
      </c>
      <c r="M164" s="1504">
        <v>63</v>
      </c>
      <c r="N164" s="1508">
        <v>41</v>
      </c>
      <c r="O164" s="1362">
        <v>4</v>
      </c>
      <c r="P164" s="1609">
        <v>42.2</v>
      </c>
      <c r="Q164" s="1504">
        <v>73</v>
      </c>
      <c r="R164" s="1610">
        <v>4.5999999999999996</v>
      </c>
      <c r="S164" s="1609">
        <v>43.7</v>
      </c>
      <c r="T164" s="1504">
        <v>41</v>
      </c>
      <c r="U164" s="1504">
        <v>5</v>
      </c>
      <c r="V164" s="1610">
        <v>3.9</v>
      </c>
      <c r="W164" s="1609">
        <v>30</v>
      </c>
      <c r="X164" s="1610">
        <v>4</v>
      </c>
      <c r="Y164" s="1625">
        <v>5.8</v>
      </c>
      <c r="Z164" s="1609" t="s">
        <v>1712</v>
      </c>
      <c r="AA164" s="1504">
        <v>14</v>
      </c>
      <c r="AB164" s="1610">
        <v>3.9</v>
      </c>
      <c r="AC164" s="1612">
        <f t="shared" si="47"/>
        <v>1.4186175786550069E-2</v>
      </c>
      <c r="AD164" s="1613">
        <f t="shared" si="48"/>
        <v>1.9855650968850887E-2</v>
      </c>
      <c r="AE164" s="1613">
        <f t="shared" si="49"/>
        <v>5.9128543651744223E-3</v>
      </c>
      <c r="AF164" s="1614">
        <f t="shared" si="50"/>
        <v>3.9954681120575382E-2</v>
      </c>
      <c r="AG164" s="1615">
        <f t="shared" si="51"/>
        <v>1.4186175786550069E-2</v>
      </c>
      <c r="AH164" s="1613">
        <f t="shared" si="52"/>
        <v>1.9855650968850887E-2</v>
      </c>
      <c r="AI164" s="1614">
        <f t="shared" si="53"/>
        <v>3.4041826755400954E-2</v>
      </c>
      <c r="AV164" s="1616">
        <v>1.6585365853658538</v>
      </c>
      <c r="AW164" s="1616">
        <f t="shared" si="45"/>
        <v>7.6292682926829265</v>
      </c>
      <c r="AX164" s="1616">
        <f t="shared" si="46"/>
        <v>6.6266300395100633E-2</v>
      </c>
    </row>
    <row r="165" spans="1:50" x14ac:dyDescent="0.25">
      <c r="A165" s="1620" t="s">
        <v>3950</v>
      </c>
      <c r="B165" s="1504">
        <v>40</v>
      </c>
      <c r="C165" s="1505">
        <v>1.5</v>
      </c>
      <c r="D165" s="1506">
        <v>178</v>
      </c>
      <c r="E165" s="1504">
        <v>31.8</v>
      </c>
      <c r="F165" s="1504">
        <v>73</v>
      </c>
      <c r="G165" s="1504">
        <v>91.9</v>
      </c>
      <c r="H165" s="1504">
        <v>6.35</v>
      </c>
      <c r="I165" s="1504">
        <v>4</v>
      </c>
      <c r="J165" s="1504">
        <v>123.8</v>
      </c>
      <c r="K165" s="1504">
        <v>28.5</v>
      </c>
      <c r="L165" s="1504">
        <v>49.5</v>
      </c>
      <c r="M165" s="1504">
        <v>70</v>
      </c>
      <c r="N165" s="1508">
        <v>44</v>
      </c>
      <c r="O165" s="1362">
        <v>5.5</v>
      </c>
      <c r="P165" s="1609">
        <v>48.3</v>
      </c>
      <c r="Q165" s="1504">
        <v>83</v>
      </c>
      <c r="R165" s="1610">
        <v>6.5</v>
      </c>
      <c r="S165" s="1609">
        <v>50</v>
      </c>
      <c r="T165" s="1504">
        <v>44</v>
      </c>
      <c r="U165" s="1504">
        <v>6</v>
      </c>
      <c r="V165" s="1610">
        <v>5.4</v>
      </c>
      <c r="W165" s="1609">
        <v>32</v>
      </c>
      <c r="X165" s="1610">
        <v>5.5</v>
      </c>
      <c r="Y165" s="1625">
        <v>6.5</v>
      </c>
      <c r="Z165" s="1609" t="s">
        <v>1712</v>
      </c>
      <c r="AA165" s="1504">
        <v>16</v>
      </c>
      <c r="AB165" s="1610">
        <v>5.4</v>
      </c>
      <c r="AC165" s="1612">
        <f t="shared" si="47"/>
        <v>1.7782671056379665E-2</v>
      </c>
      <c r="AD165" s="1613">
        <f t="shared" si="48"/>
        <v>2.4884555409084751E-2</v>
      </c>
      <c r="AE165" s="1613">
        <f t="shared" si="49"/>
        <v>7.7690329686214143E-3</v>
      </c>
      <c r="AF165" s="1614">
        <f t="shared" si="50"/>
        <v>5.0436259434085834E-2</v>
      </c>
      <c r="AG165" s="1615">
        <f t="shared" si="51"/>
        <v>1.7782671056379665E-2</v>
      </c>
      <c r="AH165" s="1613">
        <f t="shared" si="52"/>
        <v>2.4884555409084751E-2</v>
      </c>
      <c r="AI165" s="1614">
        <f t="shared" si="53"/>
        <v>4.266722646546442E-2</v>
      </c>
      <c r="AV165" s="1616">
        <v>1.625</v>
      </c>
      <c r="AW165" s="1616">
        <f t="shared" si="45"/>
        <v>10.5625</v>
      </c>
      <c r="AX165" s="1616">
        <f t="shared" si="46"/>
        <v>8.1958921580389477E-2</v>
      </c>
    </row>
    <row r="166" spans="1:50" x14ac:dyDescent="0.25">
      <c r="A166" s="1620" t="s">
        <v>3951</v>
      </c>
      <c r="B166" s="1504">
        <v>50</v>
      </c>
      <c r="C166" s="1505">
        <v>2</v>
      </c>
      <c r="D166" s="1506">
        <v>216</v>
      </c>
      <c r="E166" s="1504">
        <v>38.1</v>
      </c>
      <c r="F166" s="1504">
        <v>92.1</v>
      </c>
      <c r="G166" s="1504">
        <v>123.9</v>
      </c>
      <c r="H166" s="1504">
        <v>7.92</v>
      </c>
      <c r="I166" s="1504">
        <v>8</v>
      </c>
      <c r="J166" s="1504">
        <v>165.1</v>
      </c>
      <c r="K166" s="1504">
        <v>25.4</v>
      </c>
      <c r="L166" s="1504">
        <v>62</v>
      </c>
      <c r="M166" s="1504">
        <v>105</v>
      </c>
      <c r="N166" s="1508">
        <v>57</v>
      </c>
      <c r="O166" s="1362">
        <v>10</v>
      </c>
      <c r="P166" s="1609">
        <v>60.3</v>
      </c>
      <c r="Q166" s="1504">
        <v>102</v>
      </c>
      <c r="R166" s="1610">
        <v>11.5</v>
      </c>
      <c r="S166" s="1609">
        <v>62.5</v>
      </c>
      <c r="T166" s="1504">
        <v>57</v>
      </c>
      <c r="U166" s="1504">
        <v>8</v>
      </c>
      <c r="V166" s="1610">
        <v>11.3</v>
      </c>
      <c r="W166" s="1609">
        <v>38</v>
      </c>
      <c r="X166" s="1610">
        <v>10</v>
      </c>
      <c r="Y166" s="1625">
        <v>11.5</v>
      </c>
      <c r="Z166" s="1609" t="s">
        <v>1712</v>
      </c>
      <c r="AA166" s="1504">
        <v>17</v>
      </c>
      <c r="AB166" s="1610">
        <v>9.8000000000000007</v>
      </c>
      <c r="AC166" s="1612">
        <f t="shared" si="47"/>
        <v>2.5854050901982562E-2</v>
      </c>
      <c r="AD166" s="1613">
        <f t="shared" si="48"/>
        <v>3.6643536711471345E-2</v>
      </c>
      <c r="AE166" s="1613">
        <f t="shared" si="49"/>
        <v>1.2105090565032582E-2</v>
      </c>
      <c r="AF166" s="1614">
        <f t="shared" si="50"/>
        <v>7.4602678178486481E-2</v>
      </c>
      <c r="AG166" s="1615">
        <f t="shared" si="51"/>
        <v>2.5854050901982562E-2</v>
      </c>
      <c r="AH166" s="1613">
        <f t="shared" si="52"/>
        <v>3.6643536711471345E-2</v>
      </c>
      <c r="AI166" s="1614">
        <f t="shared" si="53"/>
        <v>6.2497587613453906E-2</v>
      </c>
      <c r="AV166" s="1616">
        <v>1.7699115044247786</v>
      </c>
      <c r="AW166" s="1616">
        <f t="shared" si="45"/>
        <v>20.353982300884955</v>
      </c>
      <c r="AX166" s="1616">
        <f t="shared" si="46"/>
        <v>0.13204013836900261</v>
      </c>
    </row>
    <row r="167" spans="1:50" x14ac:dyDescent="0.25">
      <c r="A167" s="1620" t="s">
        <v>3952</v>
      </c>
      <c r="B167" s="1504">
        <v>65</v>
      </c>
      <c r="C167" s="1505">
        <v>2.5</v>
      </c>
      <c r="D167" s="1506">
        <v>244</v>
      </c>
      <c r="E167" s="1504">
        <v>41.1</v>
      </c>
      <c r="F167" s="1504">
        <v>104.8</v>
      </c>
      <c r="G167" s="1504">
        <v>136.69999999999999</v>
      </c>
      <c r="H167" s="1504">
        <v>7.92</v>
      </c>
      <c r="I167" s="1504">
        <v>8</v>
      </c>
      <c r="J167" s="1504">
        <v>190.5</v>
      </c>
      <c r="K167" s="1504">
        <v>28.5</v>
      </c>
      <c r="L167" s="1504">
        <v>74.7</v>
      </c>
      <c r="M167" s="1504">
        <v>124</v>
      </c>
      <c r="N167" s="1508">
        <v>63</v>
      </c>
      <c r="O167" s="1362">
        <v>13.9</v>
      </c>
      <c r="P167" s="1609">
        <v>73</v>
      </c>
      <c r="Q167" s="1504">
        <v>105</v>
      </c>
      <c r="R167" s="1610">
        <v>15.8</v>
      </c>
      <c r="S167" s="1609">
        <v>75.400000000000006</v>
      </c>
      <c r="T167" s="1504">
        <v>63</v>
      </c>
      <c r="U167" s="1504">
        <v>8</v>
      </c>
      <c r="V167" s="1610">
        <v>15.9</v>
      </c>
      <c r="W167" s="1609">
        <v>48</v>
      </c>
      <c r="X167" s="1610">
        <v>13.9</v>
      </c>
      <c r="Y167" s="1625">
        <v>15.5</v>
      </c>
      <c r="Z167" s="1609" t="s">
        <v>1712</v>
      </c>
      <c r="AA167" s="1504">
        <v>19</v>
      </c>
      <c r="AB167" s="1610">
        <v>13.7</v>
      </c>
      <c r="AC167" s="1612">
        <f t="shared" si="47"/>
        <v>3.1505147767259878E-2</v>
      </c>
      <c r="AD167" s="1613">
        <f t="shared" si="48"/>
        <v>4.6759465056030479E-2</v>
      </c>
      <c r="AE167" s="1613">
        <f t="shared" si="49"/>
        <v>1.4654587251200306E-2</v>
      </c>
      <c r="AF167" s="1614">
        <f t="shared" si="50"/>
        <v>9.2919200074490671E-2</v>
      </c>
      <c r="AG167" s="1615">
        <f t="shared" si="51"/>
        <v>3.1505147767259878E-2</v>
      </c>
      <c r="AH167" s="1613">
        <f t="shared" si="52"/>
        <v>4.6759465056030479E-2</v>
      </c>
      <c r="AI167" s="1614">
        <f t="shared" si="53"/>
        <v>7.8264612823290364E-2</v>
      </c>
      <c r="AV167" s="1616">
        <v>2.0061349693251533</v>
      </c>
      <c r="AW167" s="1616">
        <f t="shared" si="45"/>
        <v>31.696932515337423</v>
      </c>
      <c r="AX167" s="1616">
        <f t="shared" si="46"/>
        <v>0.18640845659115612</v>
      </c>
    </row>
    <row r="168" spans="1:50" x14ac:dyDescent="0.25">
      <c r="A168" s="1620" t="s">
        <v>3953</v>
      </c>
      <c r="B168" s="1504">
        <v>80</v>
      </c>
      <c r="C168" s="1505">
        <v>3</v>
      </c>
      <c r="D168" s="1506">
        <v>267</v>
      </c>
      <c r="E168" s="1504">
        <v>47.8</v>
      </c>
      <c r="F168" s="1504">
        <v>127</v>
      </c>
      <c r="G168" s="1504">
        <v>168.1</v>
      </c>
      <c r="H168" s="1504">
        <v>7.92</v>
      </c>
      <c r="I168" s="1504">
        <v>8</v>
      </c>
      <c r="J168" s="1504">
        <v>203.2</v>
      </c>
      <c r="K168" s="1504">
        <v>31.8</v>
      </c>
      <c r="L168" s="1504" t="s">
        <v>1712</v>
      </c>
      <c r="M168" s="1504">
        <v>133</v>
      </c>
      <c r="N168" s="1508" t="s">
        <v>1712</v>
      </c>
      <c r="O168" s="1362" t="s">
        <v>1712</v>
      </c>
      <c r="P168" s="1609">
        <v>88.9</v>
      </c>
      <c r="Q168" s="1504">
        <v>118</v>
      </c>
      <c r="R168" s="1610">
        <v>22</v>
      </c>
      <c r="S168" s="1609">
        <v>91.4</v>
      </c>
      <c r="T168" s="1504">
        <v>73</v>
      </c>
      <c r="U168" s="1504">
        <v>10</v>
      </c>
      <c r="V168" s="1610">
        <v>21.3</v>
      </c>
      <c r="W168" s="1609" t="s">
        <v>1712</v>
      </c>
      <c r="X168" s="1610" t="s">
        <v>1712</v>
      </c>
      <c r="Y168" s="1625">
        <v>22</v>
      </c>
      <c r="Z168" s="1609" t="s">
        <v>1712</v>
      </c>
      <c r="AA168" s="1504" t="s">
        <v>1712</v>
      </c>
      <c r="AB168" s="1610" t="s">
        <v>1712</v>
      </c>
      <c r="AC168" s="1612">
        <f t="shared" si="47"/>
        <v>4.0094890400705088E-2</v>
      </c>
      <c r="AD168" s="1613">
        <f t="shared" si="48"/>
        <v>5.5990249670440688E-2</v>
      </c>
      <c r="AE168" s="1613">
        <f t="shared" si="49"/>
        <v>1.9605988600670112E-2</v>
      </c>
      <c r="AF168" s="1614">
        <f t="shared" si="50"/>
        <v>0.11569112867181588</v>
      </c>
      <c r="AG168" s="1615">
        <f t="shared" si="51"/>
        <v>4.0094890400705088E-2</v>
      </c>
      <c r="AH168" s="1613">
        <f t="shared" si="52"/>
        <v>5.5990249670440688E-2</v>
      </c>
      <c r="AI168" s="1614">
        <f t="shared" si="53"/>
        <v>9.6085140071145769E-2</v>
      </c>
      <c r="AV168" s="1616">
        <v>1.7477064220183487</v>
      </c>
      <c r="AW168" s="1616">
        <f t="shared" si="45"/>
        <v>38.449541284403672</v>
      </c>
      <c r="AX168" s="1616">
        <f t="shared" si="46"/>
        <v>0.20219412855028374</v>
      </c>
    </row>
    <row r="169" spans="1:50" x14ac:dyDescent="0.25">
      <c r="A169" s="1620" t="s">
        <v>3954</v>
      </c>
      <c r="B169" s="1504">
        <v>100</v>
      </c>
      <c r="C169" s="1505">
        <v>4</v>
      </c>
      <c r="D169" s="1506">
        <v>311</v>
      </c>
      <c r="E169" s="1504">
        <v>53.8</v>
      </c>
      <c r="F169" s="1504">
        <v>157.19999999999999</v>
      </c>
      <c r="G169" s="1504">
        <v>193.5</v>
      </c>
      <c r="H169" s="1504">
        <v>7.92</v>
      </c>
      <c r="I169" s="1504">
        <v>8</v>
      </c>
      <c r="J169" s="1504">
        <v>241.3</v>
      </c>
      <c r="K169" s="1504">
        <v>35</v>
      </c>
      <c r="L169" s="1504" t="s">
        <v>1712</v>
      </c>
      <c r="M169" s="1504">
        <v>162</v>
      </c>
      <c r="N169" s="1508" t="s">
        <v>1712</v>
      </c>
      <c r="O169" s="1362" t="s">
        <v>1712</v>
      </c>
      <c r="P169" s="1609">
        <v>114.3</v>
      </c>
      <c r="Q169" s="1504">
        <v>124</v>
      </c>
      <c r="R169" s="1610">
        <v>30</v>
      </c>
      <c r="S169" s="1609">
        <v>116.8</v>
      </c>
      <c r="T169" s="1504">
        <v>90</v>
      </c>
      <c r="U169" s="1504">
        <v>11</v>
      </c>
      <c r="V169" s="1610">
        <v>34</v>
      </c>
      <c r="W169" s="1609" t="s">
        <v>1712</v>
      </c>
      <c r="X169" s="1610" t="s">
        <v>1712</v>
      </c>
      <c r="Y169" s="1625">
        <v>33</v>
      </c>
      <c r="Z169" s="1609" t="s">
        <v>1712</v>
      </c>
      <c r="AA169" s="1504" t="s">
        <v>1712</v>
      </c>
      <c r="AB169" s="1610" t="s">
        <v>1712</v>
      </c>
      <c r="AC169" s="1612">
        <f t="shared" si="47"/>
        <v>5.2564499961333701E-2</v>
      </c>
      <c r="AD169" s="1613">
        <f t="shared" si="48"/>
        <v>7.5964495761964596E-2</v>
      </c>
      <c r="AE169" s="1613">
        <f t="shared" si="49"/>
        <v>2.5207699629432999E-2</v>
      </c>
      <c r="AF169" s="1614">
        <f t="shared" si="50"/>
        <v>0.1537366953527313</v>
      </c>
      <c r="AG169" s="1615">
        <f t="shared" si="51"/>
        <v>5.2564499961333701E-2</v>
      </c>
      <c r="AH169" s="1613">
        <f t="shared" si="52"/>
        <v>7.5964495761964596E-2</v>
      </c>
      <c r="AI169" s="1614">
        <f t="shared" si="53"/>
        <v>0.12852899572329829</v>
      </c>
      <c r="AV169" s="1616">
        <v>1.6242424242424243</v>
      </c>
      <c r="AW169" s="1616">
        <f t="shared" si="45"/>
        <v>48.727272727272727</v>
      </c>
      <c r="AX169" s="1616">
        <f t="shared" si="46"/>
        <v>0.24970566275473932</v>
      </c>
    </row>
    <row r="170" spans="1:50" x14ac:dyDescent="0.25">
      <c r="A170" s="1620" t="s">
        <v>3955</v>
      </c>
      <c r="B170" s="1504">
        <v>125</v>
      </c>
      <c r="C170" s="1505">
        <v>5</v>
      </c>
      <c r="D170" s="1506">
        <v>375</v>
      </c>
      <c r="E170" s="1504">
        <v>73.2</v>
      </c>
      <c r="F170" s="1504">
        <v>185.7</v>
      </c>
      <c r="G170" s="1504">
        <v>228.6</v>
      </c>
      <c r="H170" s="1504">
        <v>7.92</v>
      </c>
      <c r="I170" s="1504">
        <v>8</v>
      </c>
      <c r="J170" s="1504">
        <v>292.10000000000002</v>
      </c>
      <c r="K170" s="1504">
        <v>41.1</v>
      </c>
      <c r="L170" s="1504" t="s">
        <v>1712</v>
      </c>
      <c r="M170" s="1504">
        <v>197</v>
      </c>
      <c r="N170" s="1508" t="s">
        <v>1712</v>
      </c>
      <c r="O170" s="1362" t="s">
        <v>1712</v>
      </c>
      <c r="P170" s="1609">
        <v>141.30000000000001</v>
      </c>
      <c r="Q170" s="1504">
        <v>155</v>
      </c>
      <c r="R170" s="1610">
        <v>58</v>
      </c>
      <c r="S170" s="1609">
        <v>144.5</v>
      </c>
      <c r="T170" s="1504">
        <v>105</v>
      </c>
      <c r="U170" s="1504">
        <v>11</v>
      </c>
      <c r="V170" s="1610">
        <v>63</v>
      </c>
      <c r="W170" s="1609" t="s">
        <v>1712</v>
      </c>
      <c r="X170" s="1610" t="s">
        <v>1712</v>
      </c>
      <c r="Y170" s="1625">
        <v>60</v>
      </c>
      <c r="Z170" s="1609" t="s">
        <v>1712</v>
      </c>
      <c r="AA170" s="1504" t="s">
        <v>1712</v>
      </c>
      <c r="AB170" s="1610" t="s">
        <v>1712</v>
      </c>
      <c r="AC170" s="1612">
        <f t="shared" si="47"/>
        <v>8.6236718341039825E-2</v>
      </c>
      <c r="AD170" s="1613">
        <f t="shared" si="48"/>
        <v>0.11044661672776616</v>
      </c>
      <c r="AE170" s="1613">
        <f t="shared" si="49"/>
        <v>3.6311596031693052E-2</v>
      </c>
      <c r="AF170" s="1614">
        <f t="shared" si="50"/>
        <v>0.23299493110049904</v>
      </c>
      <c r="AG170" s="1615">
        <f t="shared" si="51"/>
        <v>8.6236718341039825E-2</v>
      </c>
      <c r="AH170" s="1613">
        <f t="shared" si="52"/>
        <v>0.11044661672776616</v>
      </c>
      <c r="AI170" s="1614">
        <f t="shared" si="53"/>
        <v>0.19668333506880598</v>
      </c>
      <c r="AV170" s="1616">
        <v>1.4750000000000001</v>
      </c>
      <c r="AW170" s="1616">
        <f t="shared" si="45"/>
        <v>85.550000000000011</v>
      </c>
      <c r="AX170" s="1616">
        <f t="shared" si="46"/>
        <v>0.34366752337323608</v>
      </c>
    </row>
    <row r="171" spans="1:50" x14ac:dyDescent="0.25">
      <c r="A171" s="1620" t="s">
        <v>3956</v>
      </c>
      <c r="B171" s="1504">
        <v>150</v>
      </c>
      <c r="C171" s="1505">
        <v>6</v>
      </c>
      <c r="D171" s="1506">
        <v>394</v>
      </c>
      <c r="E171" s="1504">
        <v>82.6</v>
      </c>
      <c r="F171" s="1504">
        <v>215.9</v>
      </c>
      <c r="G171" s="1504">
        <v>248</v>
      </c>
      <c r="H171" s="1504">
        <v>9.52</v>
      </c>
      <c r="I171" s="1504">
        <v>12</v>
      </c>
      <c r="J171" s="1504">
        <v>317.5</v>
      </c>
      <c r="K171" s="1504">
        <v>38.1</v>
      </c>
      <c r="L171" s="1504" t="s">
        <v>1712</v>
      </c>
      <c r="M171" s="1504">
        <v>229</v>
      </c>
      <c r="N171" s="1508" t="s">
        <v>1712</v>
      </c>
      <c r="O171" s="1362" t="s">
        <v>1712</v>
      </c>
      <c r="P171" s="1609">
        <v>168.3</v>
      </c>
      <c r="Q171" s="1504">
        <v>171</v>
      </c>
      <c r="R171" s="1610">
        <v>70</v>
      </c>
      <c r="S171" s="1609">
        <v>171.4</v>
      </c>
      <c r="T171" s="1504">
        <v>119</v>
      </c>
      <c r="U171" s="1504">
        <v>13</v>
      </c>
      <c r="V171" s="1610">
        <v>77</v>
      </c>
      <c r="W171" s="1609" t="s">
        <v>1712</v>
      </c>
      <c r="X171" s="1610" t="s">
        <v>1712</v>
      </c>
      <c r="Y171" s="1625">
        <v>72</v>
      </c>
      <c r="Z171" s="1609" t="s">
        <v>1712</v>
      </c>
      <c r="AA171" s="1504" t="s">
        <v>1712</v>
      </c>
      <c r="AB171" s="1610" t="s">
        <v>1712</v>
      </c>
      <c r="AC171" s="1612">
        <f t="shared" si="47"/>
        <v>0.10224124795548765</v>
      </c>
      <c r="AD171" s="1613">
        <f t="shared" si="48"/>
        <v>0.12192206929316628</v>
      </c>
      <c r="AE171" s="1613">
        <f t="shared" si="49"/>
        <v>4.6739735854165944E-2</v>
      </c>
      <c r="AF171" s="1614">
        <f t="shared" si="50"/>
        <v>0.27090305310281987</v>
      </c>
      <c r="AG171" s="1615">
        <f t="shared" si="51"/>
        <v>0.10224124795548765</v>
      </c>
      <c r="AH171" s="1613">
        <f t="shared" si="52"/>
        <v>0.12192206929316628</v>
      </c>
      <c r="AI171" s="1614">
        <f t="shared" si="53"/>
        <v>0.22416331724865393</v>
      </c>
      <c r="AV171" s="1616">
        <v>1.4459459459459461</v>
      </c>
      <c r="AW171" s="1616">
        <f t="shared" si="45"/>
        <v>101.21621621621622</v>
      </c>
      <c r="AX171" s="1616">
        <f t="shared" si="46"/>
        <v>0.39171117137840172</v>
      </c>
    </row>
    <row r="172" spans="1:50" x14ac:dyDescent="0.25">
      <c r="A172" s="1620" t="s">
        <v>3957</v>
      </c>
      <c r="B172" s="1504">
        <v>200</v>
      </c>
      <c r="C172" s="1505">
        <v>8</v>
      </c>
      <c r="D172" s="1506">
        <v>483</v>
      </c>
      <c r="E172" s="1504">
        <v>91.9</v>
      </c>
      <c r="F172" s="1504">
        <v>269.7</v>
      </c>
      <c r="G172" s="1504">
        <v>318</v>
      </c>
      <c r="H172" s="1504">
        <v>11.13</v>
      </c>
      <c r="I172" s="1504">
        <v>12</v>
      </c>
      <c r="J172" s="1504">
        <v>393.7</v>
      </c>
      <c r="K172" s="1504">
        <v>44.5</v>
      </c>
      <c r="L172" s="1504" t="s">
        <v>1712</v>
      </c>
      <c r="M172" s="1504">
        <v>292</v>
      </c>
      <c r="N172" s="1508" t="s">
        <v>1712</v>
      </c>
      <c r="O172" s="1362" t="s">
        <v>1712</v>
      </c>
      <c r="P172" s="1609">
        <v>219.1</v>
      </c>
      <c r="Q172" s="1504">
        <v>213</v>
      </c>
      <c r="R172" s="1610">
        <v>119</v>
      </c>
      <c r="S172" s="1609">
        <v>222.2</v>
      </c>
      <c r="T172" s="1504">
        <v>143</v>
      </c>
      <c r="U172" s="1504">
        <v>13</v>
      </c>
      <c r="V172" s="1610">
        <v>129</v>
      </c>
      <c r="W172" s="1609" t="s">
        <v>1712</v>
      </c>
      <c r="X172" s="1610" t="s">
        <v>1712</v>
      </c>
      <c r="Y172" s="1625">
        <v>122</v>
      </c>
      <c r="Z172" s="1609" t="s">
        <v>1712</v>
      </c>
      <c r="AA172" s="1504" t="s">
        <v>1712</v>
      </c>
      <c r="AB172" s="1610" t="s">
        <v>1712</v>
      </c>
      <c r="AC172" s="1612">
        <f t="shared" si="47"/>
        <v>0.13944807222974767</v>
      </c>
      <c r="AD172" s="1613">
        <f t="shared" si="48"/>
        <v>0.18322475214082731</v>
      </c>
      <c r="AE172" s="1613">
        <f t="shared" si="49"/>
        <v>8.3355909293624506E-2</v>
      </c>
      <c r="AF172" s="1614">
        <f t="shared" si="50"/>
        <v>0.40602873366419945</v>
      </c>
      <c r="AG172" s="1615">
        <f t="shared" si="51"/>
        <v>0.13944807222974767</v>
      </c>
      <c r="AH172" s="1613">
        <f t="shared" si="52"/>
        <v>0.18322475214082731</v>
      </c>
      <c r="AI172" s="1614">
        <f t="shared" si="53"/>
        <v>0.32267282437057498</v>
      </c>
      <c r="AV172" s="1616">
        <v>1.3387096774193548</v>
      </c>
      <c r="AW172" s="1616">
        <f t="shared" si="45"/>
        <v>159.3064516129032</v>
      </c>
      <c r="AX172" s="1616">
        <f t="shared" si="46"/>
        <v>0.54355459506658954</v>
      </c>
    </row>
    <row r="173" spans="1:50" x14ac:dyDescent="0.25">
      <c r="A173" s="1620" t="s">
        <v>3958</v>
      </c>
      <c r="B173" s="1504">
        <v>250</v>
      </c>
      <c r="C173" s="1505">
        <v>10</v>
      </c>
      <c r="D173" s="1506">
        <v>584</v>
      </c>
      <c r="E173" s="1504">
        <v>108</v>
      </c>
      <c r="F173" s="1504">
        <v>323.8</v>
      </c>
      <c r="G173" s="1504">
        <v>371</v>
      </c>
      <c r="H173" s="1504">
        <v>11.13</v>
      </c>
      <c r="I173" s="1504">
        <v>12</v>
      </c>
      <c r="J173" s="1504">
        <v>482.6</v>
      </c>
      <c r="K173" s="1504">
        <v>50.8</v>
      </c>
      <c r="L173" s="1504" t="s">
        <v>1712</v>
      </c>
      <c r="M173" s="1504">
        <v>368</v>
      </c>
      <c r="N173" s="1508" t="s">
        <v>1712</v>
      </c>
      <c r="O173" s="1362" t="s">
        <v>1712</v>
      </c>
      <c r="P173" s="1609">
        <v>273</v>
      </c>
      <c r="Q173" s="1504">
        <v>254</v>
      </c>
      <c r="R173" s="1610">
        <v>204</v>
      </c>
      <c r="S173" s="1609">
        <v>277.39999999999998</v>
      </c>
      <c r="T173" s="1504">
        <v>178</v>
      </c>
      <c r="U173" s="1504">
        <v>13</v>
      </c>
      <c r="V173" s="1610">
        <v>219</v>
      </c>
      <c r="W173" s="1609" t="s">
        <v>1712</v>
      </c>
      <c r="X173" s="1610" t="s">
        <v>1712</v>
      </c>
      <c r="Y173" s="1625">
        <v>210</v>
      </c>
      <c r="Z173" s="1609" t="s">
        <v>1712</v>
      </c>
      <c r="AA173" s="1504" t="s">
        <v>1712</v>
      </c>
      <c r="AB173" s="1610" t="s">
        <v>1712</v>
      </c>
      <c r="AC173" s="1612">
        <f t="shared" si="47"/>
        <v>0.19814653184721542</v>
      </c>
      <c r="AD173" s="1613">
        <f t="shared" si="48"/>
        <v>0.26786475601568016</v>
      </c>
      <c r="AE173" s="1613">
        <f t="shared" si="49"/>
        <v>0.12521759998678197</v>
      </c>
      <c r="AF173" s="1614">
        <f t="shared" si="50"/>
        <v>0.59122888784967753</v>
      </c>
      <c r="AG173" s="1615">
        <f t="shared" si="51"/>
        <v>0.19814653184721542</v>
      </c>
      <c r="AH173" s="1613">
        <f t="shared" si="52"/>
        <v>0.26786475601568016</v>
      </c>
      <c r="AI173" s="1614">
        <f t="shared" si="53"/>
        <v>0.46601128786289558</v>
      </c>
      <c r="AV173" s="1616">
        <v>1.3446601941747574</v>
      </c>
      <c r="AW173" s="1616">
        <f t="shared" si="45"/>
        <v>274.31067961165047</v>
      </c>
      <c r="AX173" s="1616">
        <f t="shared" si="46"/>
        <v>0.79500195113767325</v>
      </c>
    </row>
    <row r="174" spans="1:50" x14ac:dyDescent="0.25">
      <c r="A174" s="1620" t="s">
        <v>3959</v>
      </c>
      <c r="B174" s="1504">
        <v>300</v>
      </c>
      <c r="C174" s="1505">
        <v>12</v>
      </c>
      <c r="D174" s="1506">
        <v>673</v>
      </c>
      <c r="E174" s="1504">
        <v>124</v>
      </c>
      <c r="F174" s="1504">
        <v>381</v>
      </c>
      <c r="G174" s="1504">
        <v>438</v>
      </c>
      <c r="H174" s="1504">
        <v>14.27</v>
      </c>
      <c r="I174" s="1504">
        <v>16</v>
      </c>
      <c r="J174" s="1504">
        <v>571.5</v>
      </c>
      <c r="K174" s="1504">
        <v>53.8</v>
      </c>
      <c r="L174" s="1504" t="s">
        <v>1712</v>
      </c>
      <c r="M174" s="1504">
        <v>451</v>
      </c>
      <c r="N174" s="1508" t="s">
        <v>1712</v>
      </c>
      <c r="O174" s="1362" t="s">
        <v>1712</v>
      </c>
      <c r="P174" s="1609">
        <v>323.89999999999998</v>
      </c>
      <c r="Q174" s="1504">
        <v>283</v>
      </c>
      <c r="R174" s="1610">
        <v>303</v>
      </c>
      <c r="S174" s="1609">
        <v>328.2</v>
      </c>
      <c r="T174" s="1504">
        <v>219</v>
      </c>
      <c r="U174" s="1504">
        <v>13</v>
      </c>
      <c r="V174" s="1610">
        <v>285</v>
      </c>
      <c r="W174" s="1609" t="s">
        <v>1712</v>
      </c>
      <c r="X174" s="1610" t="s">
        <v>1712</v>
      </c>
      <c r="Y174" s="1625">
        <v>315</v>
      </c>
      <c r="Z174" s="1609" t="s">
        <v>1712</v>
      </c>
      <c r="AA174" s="1504" t="s">
        <v>1712</v>
      </c>
      <c r="AB174" s="1610" t="s">
        <v>1712</v>
      </c>
      <c r="AC174" s="1612">
        <f t="shared" si="47"/>
        <v>0.26217219012737542</v>
      </c>
      <c r="AD174" s="1613">
        <f t="shared" si="48"/>
        <v>0.35572960474944282</v>
      </c>
      <c r="AE174" s="1613">
        <f t="shared" si="49"/>
        <v>0.16179233581913971</v>
      </c>
      <c r="AF174" s="1614">
        <f t="shared" si="50"/>
        <v>0.77969413069595794</v>
      </c>
      <c r="AG174" s="1615">
        <f t="shared" si="51"/>
        <v>0.26217219012737542</v>
      </c>
      <c r="AH174" s="1613">
        <f t="shared" si="52"/>
        <v>0.35572960474944282</v>
      </c>
      <c r="AI174" s="1614">
        <f t="shared" si="53"/>
        <v>0.61790179487681818</v>
      </c>
      <c r="AV174" s="1616">
        <v>1.4920127795527156</v>
      </c>
      <c r="AW174" s="1616">
        <f t="shared" si="45"/>
        <v>452.07987220447285</v>
      </c>
      <c r="AX174" s="1616">
        <f t="shared" si="46"/>
        <v>1.1633136071406145</v>
      </c>
    </row>
    <row r="175" spans="1:50" x14ac:dyDescent="0.25">
      <c r="A175" s="1620" t="s">
        <v>3960</v>
      </c>
      <c r="B175" s="1504">
        <v>350</v>
      </c>
      <c r="C175" s="1505">
        <v>14</v>
      </c>
      <c r="D175" s="1506">
        <v>749</v>
      </c>
      <c r="E175" s="1504">
        <v>133.4</v>
      </c>
      <c r="F175" s="1504">
        <v>412.8</v>
      </c>
      <c r="G175" s="1504">
        <v>489</v>
      </c>
      <c r="H175" s="1504">
        <v>15.88</v>
      </c>
      <c r="I175" s="1504">
        <v>16</v>
      </c>
      <c r="J175" s="1504">
        <v>635</v>
      </c>
      <c r="K175" s="1504">
        <v>60.5</v>
      </c>
      <c r="L175" s="1504" t="s">
        <v>1712</v>
      </c>
      <c r="M175" s="1504">
        <v>495</v>
      </c>
      <c r="N175" s="1508" t="s">
        <v>1712</v>
      </c>
      <c r="O175" s="1362" t="s">
        <v>1712</v>
      </c>
      <c r="P175" s="1609">
        <v>355.6</v>
      </c>
      <c r="Q175" s="1504">
        <v>298</v>
      </c>
      <c r="R175" s="1610">
        <v>426</v>
      </c>
      <c r="S175" s="1609">
        <v>360.2</v>
      </c>
      <c r="T175" s="1504">
        <v>241</v>
      </c>
      <c r="U175" s="1504">
        <v>13</v>
      </c>
      <c r="V175" s="1610">
        <v>360</v>
      </c>
      <c r="W175" s="1609" t="s">
        <v>1712</v>
      </c>
      <c r="X175" s="1610" t="s">
        <v>1712</v>
      </c>
      <c r="Y175" s="1625">
        <v>460</v>
      </c>
      <c r="Z175" s="1609" t="s">
        <v>1712</v>
      </c>
      <c r="AA175" s="1504" t="s">
        <v>1712</v>
      </c>
      <c r="AB175" s="1610" t="s">
        <v>1712</v>
      </c>
      <c r="AC175" s="1612">
        <f t="shared" si="47"/>
        <v>0.31389725653166994</v>
      </c>
      <c r="AD175" s="1613">
        <f t="shared" si="48"/>
        <v>0.4406091550641319</v>
      </c>
      <c r="AE175" s="1613">
        <f t="shared" si="49"/>
        <v>0.18388294721768092</v>
      </c>
      <c r="AF175" s="1614">
        <f t="shared" si="50"/>
        <v>0.93838935881348284</v>
      </c>
      <c r="AG175" s="1615">
        <f t="shared" si="51"/>
        <v>0.31389725653166994</v>
      </c>
      <c r="AH175" s="1613">
        <f t="shared" si="52"/>
        <v>0.4406091550641319</v>
      </c>
      <c r="AI175" s="1614">
        <f t="shared" si="53"/>
        <v>0.75450641159580178</v>
      </c>
      <c r="AV175" s="1616">
        <v>1.4920127795527156</v>
      </c>
      <c r="AW175" s="1616">
        <f t="shared" si="45"/>
        <v>635.59744408945687</v>
      </c>
      <c r="AX175" s="1616">
        <f t="shared" si="46"/>
        <v>1.400088915545995</v>
      </c>
    </row>
    <row r="176" spans="1:50" x14ac:dyDescent="0.25">
      <c r="A176" s="1620" t="s">
        <v>3961</v>
      </c>
      <c r="B176" s="1504">
        <v>400</v>
      </c>
      <c r="C176" s="1505">
        <v>16</v>
      </c>
      <c r="D176" s="1506">
        <v>826</v>
      </c>
      <c r="E176" s="1504">
        <v>146</v>
      </c>
      <c r="F176" s="1504">
        <v>469.9</v>
      </c>
      <c r="G176" s="1504">
        <v>546</v>
      </c>
      <c r="H176" s="1504">
        <v>17.48</v>
      </c>
      <c r="I176" s="1504">
        <v>16</v>
      </c>
      <c r="J176" s="1504">
        <v>704.8</v>
      </c>
      <c r="K176" s="1504">
        <v>66.5</v>
      </c>
      <c r="L176" s="1504" t="s">
        <v>1712</v>
      </c>
      <c r="M176" s="1504">
        <v>552</v>
      </c>
      <c r="N176" s="1508" t="s">
        <v>1712</v>
      </c>
      <c r="O176" s="1362" t="s">
        <v>1712</v>
      </c>
      <c r="P176" s="1609">
        <v>406.4</v>
      </c>
      <c r="Q176" s="1504">
        <v>311</v>
      </c>
      <c r="R176" s="1610">
        <v>567</v>
      </c>
      <c r="S176" s="1609">
        <v>411.2</v>
      </c>
      <c r="T176" s="1504">
        <v>260</v>
      </c>
      <c r="U176" s="1504">
        <v>13</v>
      </c>
      <c r="V176" s="1610">
        <v>460</v>
      </c>
      <c r="W176" s="1609" t="s">
        <v>1712</v>
      </c>
      <c r="X176" s="1610" t="s">
        <v>1712</v>
      </c>
      <c r="Y176" s="1625">
        <v>610</v>
      </c>
      <c r="Z176" s="1609" t="s">
        <v>1712</v>
      </c>
      <c r="AA176" s="1504" t="s">
        <v>1712</v>
      </c>
      <c r="AB176" s="1610" t="s">
        <v>1712</v>
      </c>
      <c r="AC176" s="1612">
        <f t="shared" si="47"/>
        <v>0.37886350765231475</v>
      </c>
      <c r="AD176" s="1613">
        <f t="shared" si="48"/>
        <v>0.53585831733015743</v>
      </c>
      <c r="AE176" s="1613">
        <f t="shared" si="49"/>
        <v>0.21066263697911713</v>
      </c>
      <c r="AF176" s="1614">
        <f t="shared" si="50"/>
        <v>1.1253844619615894</v>
      </c>
      <c r="AG176" s="1615">
        <f t="shared" si="51"/>
        <v>0.37886350765231475</v>
      </c>
      <c r="AH176" s="1613">
        <f t="shared" si="52"/>
        <v>0.53585831733015743</v>
      </c>
      <c r="AI176" s="1614">
        <f t="shared" si="53"/>
        <v>0.91472182498247223</v>
      </c>
      <c r="AV176" s="1616">
        <v>1.4920127795527156</v>
      </c>
      <c r="AW176" s="1616">
        <f t="shared" si="45"/>
        <v>845.97124600638972</v>
      </c>
      <c r="AX176" s="1616">
        <f t="shared" si="46"/>
        <v>1.6790879991567482</v>
      </c>
    </row>
    <row r="177" spans="1:50" x14ac:dyDescent="0.25">
      <c r="A177" s="1620" t="s">
        <v>3962</v>
      </c>
      <c r="B177" s="1504">
        <v>450</v>
      </c>
      <c r="C177" s="1505">
        <v>18</v>
      </c>
      <c r="D177" s="1506">
        <v>914</v>
      </c>
      <c r="E177" s="1504">
        <v>162</v>
      </c>
      <c r="F177" s="1504">
        <v>533.4</v>
      </c>
      <c r="G177" s="1504">
        <v>613</v>
      </c>
      <c r="H177" s="1504">
        <v>17.48</v>
      </c>
      <c r="I177" s="1504">
        <v>16</v>
      </c>
      <c r="J177" s="1504">
        <v>774.7</v>
      </c>
      <c r="K177" s="1504">
        <v>73.2</v>
      </c>
      <c r="L177" s="1504" t="s">
        <v>1712</v>
      </c>
      <c r="M177" s="1504">
        <v>597</v>
      </c>
      <c r="N177" s="1508" t="s">
        <v>1712</v>
      </c>
      <c r="O177" s="1362" t="s">
        <v>1712</v>
      </c>
      <c r="P177" s="1609">
        <v>457</v>
      </c>
      <c r="Q177" s="1504">
        <v>327</v>
      </c>
      <c r="R177" s="1610">
        <v>737</v>
      </c>
      <c r="S177" s="1609">
        <v>462.3</v>
      </c>
      <c r="T177" s="1504">
        <v>276</v>
      </c>
      <c r="U177" s="1504">
        <v>13</v>
      </c>
      <c r="V177" s="1610">
        <v>621</v>
      </c>
      <c r="W177" s="1609" t="s">
        <v>1712</v>
      </c>
      <c r="X177" s="1610" t="s">
        <v>1712</v>
      </c>
      <c r="Y177" s="1625">
        <v>835</v>
      </c>
      <c r="Z177" s="1609" t="s">
        <v>1712</v>
      </c>
      <c r="AA177" s="1504" t="s">
        <v>1712</v>
      </c>
      <c r="AB177" s="1610" t="s">
        <v>1712</v>
      </c>
      <c r="AC177" s="1612">
        <f t="shared" si="47"/>
        <v>0.46516934103173352</v>
      </c>
      <c r="AD177" s="1613">
        <f t="shared" si="48"/>
        <v>0.65611848410957474</v>
      </c>
      <c r="AE177" s="1613">
        <f t="shared" si="49"/>
        <v>0.23689179404393834</v>
      </c>
      <c r="AF177" s="1614">
        <f t="shared" si="50"/>
        <v>1.3581796191852467</v>
      </c>
      <c r="AG177" s="1615">
        <f t="shared" si="51"/>
        <v>0.46516934103173352</v>
      </c>
      <c r="AH177" s="1613">
        <f t="shared" si="52"/>
        <v>0.65611848410957474</v>
      </c>
      <c r="AI177" s="1614">
        <f t="shared" si="53"/>
        <v>1.1212878251413083</v>
      </c>
      <c r="AV177" s="1616">
        <v>1.4920127795527156</v>
      </c>
      <c r="AW177" s="1616">
        <f t="shared" si="45"/>
        <v>1099.6134185303515</v>
      </c>
      <c r="AX177" s="1616">
        <f t="shared" si="46"/>
        <v>2.0264213487524287</v>
      </c>
    </row>
    <row r="178" spans="1:50" x14ac:dyDescent="0.25">
      <c r="A178" s="1620" t="s">
        <v>3963</v>
      </c>
      <c r="B178" s="1504">
        <v>500</v>
      </c>
      <c r="C178" s="1505">
        <v>20</v>
      </c>
      <c r="D178" s="1506">
        <v>984</v>
      </c>
      <c r="E178" s="1504">
        <v>177.8</v>
      </c>
      <c r="F178" s="1504">
        <v>584.20000000000005</v>
      </c>
      <c r="G178" s="1504">
        <v>673</v>
      </c>
      <c r="H178" s="1504">
        <v>17.48</v>
      </c>
      <c r="I178" s="1504">
        <v>16</v>
      </c>
      <c r="J178" s="1504">
        <v>831.8</v>
      </c>
      <c r="K178" s="1504">
        <v>79.2</v>
      </c>
      <c r="L178" s="1504" t="s">
        <v>1712</v>
      </c>
      <c r="M178" s="1504">
        <v>641</v>
      </c>
      <c r="N178" s="1508" t="s">
        <v>1712</v>
      </c>
      <c r="O178" s="1362" t="s">
        <v>1712</v>
      </c>
      <c r="P178" s="1609">
        <v>508</v>
      </c>
      <c r="Q178" s="1504">
        <v>356</v>
      </c>
      <c r="R178" s="1610">
        <v>930</v>
      </c>
      <c r="S178" s="1609">
        <v>514.4</v>
      </c>
      <c r="T178" s="1504">
        <v>292</v>
      </c>
      <c r="U178" s="1504">
        <v>13</v>
      </c>
      <c r="V178" s="1610">
        <v>772</v>
      </c>
      <c r="W178" s="1609" t="s">
        <v>1712</v>
      </c>
      <c r="X178" s="1610" t="s">
        <v>1712</v>
      </c>
      <c r="Y178" s="1625">
        <v>1062</v>
      </c>
      <c r="Z178" s="1609" t="s">
        <v>1712</v>
      </c>
      <c r="AA178" s="1504" t="s">
        <v>1712</v>
      </c>
      <c r="AB178" s="1610" t="s">
        <v>1712</v>
      </c>
      <c r="AC178" s="1612">
        <f t="shared" si="47"/>
        <v>0.54963797102733303</v>
      </c>
      <c r="AD178" s="1613">
        <f t="shared" si="48"/>
        <v>0.76046648409855966</v>
      </c>
      <c r="AE178" s="1613">
        <f t="shared" si="49"/>
        <v>0.28439455992180818</v>
      </c>
      <c r="AF178" s="1614">
        <f t="shared" si="50"/>
        <v>1.5944990150477008</v>
      </c>
      <c r="AG178" s="1615">
        <f t="shared" si="51"/>
        <v>0.54963797102733303</v>
      </c>
      <c r="AH178" s="1613">
        <f t="shared" si="52"/>
        <v>0.76046648409855966</v>
      </c>
      <c r="AI178" s="1614">
        <f t="shared" si="53"/>
        <v>1.3101044551258927</v>
      </c>
      <c r="AV178" s="1616">
        <v>1.4920127795527156</v>
      </c>
      <c r="AW178" s="1616">
        <f t="shared" si="45"/>
        <v>1387.5718849840255</v>
      </c>
      <c r="AX178" s="1616">
        <f t="shared" si="46"/>
        <v>2.3790129074353872</v>
      </c>
    </row>
    <row r="179" spans="1:50" ht="13.2" thickBot="1" x14ac:dyDescent="0.3">
      <c r="A179" s="1600" t="s">
        <v>3964</v>
      </c>
      <c r="B179" s="1601">
        <v>600</v>
      </c>
      <c r="C179" s="1602">
        <v>24</v>
      </c>
      <c r="D179" s="1603">
        <v>1168</v>
      </c>
      <c r="E179" s="1601">
        <v>203.2</v>
      </c>
      <c r="F179" s="1601">
        <v>692.2</v>
      </c>
      <c r="G179" s="1601">
        <v>794</v>
      </c>
      <c r="H179" s="1601">
        <v>20.62</v>
      </c>
      <c r="I179" s="1601">
        <v>16</v>
      </c>
      <c r="J179" s="1601">
        <v>990.6</v>
      </c>
      <c r="K179" s="1601">
        <v>91.9</v>
      </c>
      <c r="L179" s="1601" t="s">
        <v>1712</v>
      </c>
      <c r="M179" s="1601">
        <v>762</v>
      </c>
      <c r="N179" s="1604" t="s">
        <v>1712</v>
      </c>
      <c r="O179" s="1621" t="s">
        <v>1712</v>
      </c>
      <c r="P179" s="1627">
        <v>610</v>
      </c>
      <c r="Q179" s="1601">
        <v>406</v>
      </c>
      <c r="R179" s="1628">
        <v>1510</v>
      </c>
      <c r="S179" s="1627">
        <v>616</v>
      </c>
      <c r="T179" s="1601">
        <v>330</v>
      </c>
      <c r="U179" s="1601">
        <v>13</v>
      </c>
      <c r="V179" s="1628">
        <v>1236</v>
      </c>
      <c r="W179" s="1627" t="s">
        <v>1712</v>
      </c>
      <c r="X179" s="1628" t="s">
        <v>1712</v>
      </c>
      <c r="Y179" s="1626">
        <v>1712</v>
      </c>
      <c r="Z179" s="1627" t="s">
        <v>1712</v>
      </c>
      <c r="AA179" s="1601" t="s">
        <v>1712</v>
      </c>
      <c r="AB179" s="1628" t="s">
        <v>1712</v>
      </c>
      <c r="AC179" s="1631">
        <f t="shared" si="47"/>
        <v>0.74561806058063274</v>
      </c>
      <c r="AD179" s="1623">
        <f t="shared" si="48"/>
        <v>1.0714590240627206</v>
      </c>
      <c r="AE179" s="1623">
        <f t="shared" si="49"/>
        <v>0.38864014399028618</v>
      </c>
      <c r="AF179" s="1624">
        <f t="shared" si="50"/>
        <v>2.2057172286336395</v>
      </c>
      <c r="AG179" s="1622">
        <f t="shared" si="51"/>
        <v>0.74561806058063274</v>
      </c>
      <c r="AH179" s="1623">
        <f t="shared" si="52"/>
        <v>1.0714590240627206</v>
      </c>
      <c r="AI179" s="1624">
        <f t="shared" si="53"/>
        <v>1.8170770846433535</v>
      </c>
      <c r="AV179" s="1632">
        <v>1.4920127795527156</v>
      </c>
      <c r="AW179" s="1632">
        <f t="shared" si="45"/>
        <v>2252.9392971246007</v>
      </c>
      <c r="AX179" s="1632">
        <f t="shared" si="46"/>
        <v>3.2909582932009891</v>
      </c>
    </row>
    <row r="180" spans="1:50" ht="13.2" hidden="1" outlineLevel="1" thickBot="1" x14ac:dyDescent="0.3">
      <c r="A180" s="182"/>
      <c r="B180" s="183"/>
      <c r="C180" s="184"/>
      <c r="D180" s="183"/>
      <c r="E180" s="183"/>
      <c r="F180" s="183"/>
      <c r="G180" s="183"/>
      <c r="H180" s="183"/>
      <c r="I180" s="183"/>
      <c r="J180" s="183"/>
      <c r="K180" s="183"/>
      <c r="L180" s="183"/>
      <c r="M180" s="183"/>
      <c r="N180" s="183"/>
      <c r="O180" s="183"/>
      <c r="P180" s="183"/>
      <c r="Q180" s="183"/>
      <c r="R180" s="183"/>
      <c r="S180" s="183"/>
      <c r="T180" s="183"/>
      <c r="U180" s="183"/>
      <c r="V180" s="183"/>
      <c r="W180" s="183"/>
      <c r="X180" s="183"/>
      <c r="Y180" s="183"/>
      <c r="Z180" s="183"/>
      <c r="AA180" s="183"/>
      <c r="AB180" s="183"/>
      <c r="AC180" s="183"/>
      <c r="AD180" s="183"/>
      <c r="AE180" s="183"/>
      <c r="AF180" s="183"/>
      <c r="AG180" s="183"/>
      <c r="AH180" s="183"/>
      <c r="AI180" s="185"/>
      <c r="AV180" s="594" t="e">
        <v>#N/A</v>
      </c>
      <c r="AW180" s="594"/>
      <c r="AX180" s="594"/>
    </row>
    <row r="181" spans="1:50" ht="13.2" hidden="1" outlineLevel="1" thickBot="1" x14ac:dyDescent="0.3">
      <c r="A181" s="141"/>
      <c r="B181" s="142"/>
      <c r="C181" s="143"/>
      <c r="D181" s="142"/>
      <c r="E181" s="142"/>
      <c r="F181" s="142"/>
      <c r="G181" s="142"/>
      <c r="H181" s="142"/>
      <c r="I181" s="142"/>
      <c r="J181" s="142"/>
      <c r="K181" s="142"/>
      <c r="L181" s="142"/>
      <c r="M181" s="142"/>
      <c r="N181" s="142"/>
      <c r="O181" s="142"/>
      <c r="P181" s="142"/>
      <c r="Q181" s="142"/>
      <c r="R181" s="142"/>
      <c r="S181" s="142"/>
      <c r="T181" s="142"/>
      <c r="U181" s="142"/>
      <c r="V181" s="142"/>
      <c r="W181" s="142"/>
      <c r="X181" s="142"/>
      <c r="Y181" s="142"/>
      <c r="Z181" s="142"/>
      <c r="AA181" s="142"/>
      <c r="AB181" s="142"/>
      <c r="AC181" s="142"/>
      <c r="AD181" s="142"/>
      <c r="AE181" s="142"/>
      <c r="AF181" s="142"/>
      <c r="AG181" s="142"/>
      <c r="AH181" s="142"/>
      <c r="AI181" s="144"/>
      <c r="AV181" s="589" t="e">
        <v>#N/A</v>
      </c>
      <c r="AW181" s="589"/>
      <c r="AX181" s="589"/>
    </row>
    <row r="182" spans="1:50" ht="13.2" hidden="1" outlineLevel="1" thickBot="1" x14ac:dyDescent="0.3">
      <c r="A182" s="141"/>
      <c r="B182" s="142"/>
      <c r="C182" s="143"/>
      <c r="D182" s="142"/>
      <c r="E182" s="142"/>
      <c r="F182" s="142"/>
      <c r="G182" s="142"/>
      <c r="H182" s="142"/>
      <c r="I182" s="142"/>
      <c r="J182" s="142"/>
      <c r="K182" s="142"/>
      <c r="L182" s="142"/>
      <c r="M182" s="142"/>
      <c r="N182" s="142"/>
      <c r="O182" s="142"/>
      <c r="P182" s="142"/>
      <c r="Q182" s="142"/>
      <c r="R182" s="142"/>
      <c r="S182" s="142"/>
      <c r="T182" s="142"/>
      <c r="U182" s="142"/>
      <c r="V182" s="142"/>
      <c r="W182" s="142"/>
      <c r="X182" s="142"/>
      <c r="Y182" s="142"/>
      <c r="Z182" s="142"/>
      <c r="AA182" s="142"/>
      <c r="AB182" s="142"/>
      <c r="AC182" s="142"/>
      <c r="AD182" s="142"/>
      <c r="AE182" s="142"/>
      <c r="AF182" s="142"/>
      <c r="AG182" s="142"/>
      <c r="AH182" s="142"/>
      <c r="AI182" s="144"/>
      <c r="AV182" s="589" t="e">
        <v>#N/A</v>
      </c>
      <c r="AW182" s="589"/>
      <c r="AX182" s="589"/>
    </row>
    <row r="183" spans="1:50" ht="13.2" hidden="1" outlineLevel="1" thickBot="1" x14ac:dyDescent="0.3">
      <c r="A183" s="141"/>
      <c r="B183" s="142"/>
      <c r="C183" s="143"/>
      <c r="D183" s="142"/>
      <c r="E183" s="142"/>
      <c r="F183" s="142"/>
      <c r="G183" s="142"/>
      <c r="H183" s="142"/>
      <c r="I183" s="142"/>
      <c r="J183" s="142"/>
      <c r="K183" s="142"/>
      <c r="L183" s="142"/>
      <c r="M183" s="142"/>
      <c r="N183" s="142"/>
      <c r="O183" s="142"/>
      <c r="P183" s="142"/>
      <c r="Q183" s="142"/>
      <c r="R183" s="142"/>
      <c r="S183" s="142"/>
      <c r="T183" s="142"/>
      <c r="U183" s="142"/>
      <c r="V183" s="142"/>
      <c r="W183" s="142"/>
      <c r="X183" s="142"/>
      <c r="Y183" s="142"/>
      <c r="Z183" s="142"/>
      <c r="AA183" s="142"/>
      <c r="AB183" s="142"/>
      <c r="AC183" s="142"/>
      <c r="AD183" s="142"/>
      <c r="AE183" s="142"/>
      <c r="AF183" s="142"/>
      <c r="AG183" s="142"/>
      <c r="AH183" s="142"/>
      <c r="AI183" s="144"/>
      <c r="AV183" s="589" t="e">
        <v>#N/A</v>
      </c>
      <c r="AW183" s="589"/>
      <c r="AX183" s="589"/>
    </row>
    <row r="184" spans="1:50" ht="13.2" hidden="1" outlineLevel="1" thickBot="1" x14ac:dyDescent="0.3">
      <c r="A184" s="141"/>
      <c r="B184" s="142"/>
      <c r="C184" s="143"/>
      <c r="D184" s="142"/>
      <c r="E184" s="142"/>
      <c r="F184" s="142"/>
      <c r="G184" s="142"/>
      <c r="H184" s="142"/>
      <c r="I184" s="142"/>
      <c r="J184" s="142"/>
      <c r="K184" s="142"/>
      <c r="L184" s="142"/>
      <c r="M184" s="142"/>
      <c r="N184" s="142"/>
      <c r="O184" s="142"/>
      <c r="P184" s="142"/>
      <c r="Q184" s="142"/>
      <c r="R184" s="142"/>
      <c r="S184" s="142"/>
      <c r="T184" s="142"/>
      <c r="U184" s="142"/>
      <c r="V184" s="142"/>
      <c r="W184" s="142"/>
      <c r="X184" s="142"/>
      <c r="Y184" s="142"/>
      <c r="Z184" s="142"/>
      <c r="AA184" s="142"/>
      <c r="AB184" s="142"/>
      <c r="AC184" s="142"/>
      <c r="AD184" s="142"/>
      <c r="AE184" s="142"/>
      <c r="AF184" s="142"/>
      <c r="AG184" s="142"/>
      <c r="AH184" s="142"/>
      <c r="AI184" s="144"/>
      <c r="AV184" s="589" t="e">
        <v>#N/A</v>
      </c>
      <c r="AW184" s="589"/>
      <c r="AX184" s="589"/>
    </row>
    <row r="185" spans="1:50" ht="13.2" hidden="1" outlineLevel="1" thickBot="1" x14ac:dyDescent="0.3">
      <c r="A185" s="141"/>
      <c r="B185" s="142"/>
      <c r="C185" s="143"/>
      <c r="D185" s="142"/>
      <c r="E185" s="142"/>
      <c r="F185" s="142"/>
      <c r="G185" s="142"/>
      <c r="H185" s="142"/>
      <c r="I185" s="142"/>
      <c r="J185" s="142"/>
      <c r="K185" s="142"/>
      <c r="L185" s="142"/>
      <c r="M185" s="142"/>
      <c r="N185" s="142"/>
      <c r="O185" s="142"/>
      <c r="P185" s="142"/>
      <c r="Q185" s="142"/>
      <c r="R185" s="142"/>
      <c r="S185" s="142"/>
      <c r="T185" s="142"/>
      <c r="U185" s="142"/>
      <c r="V185" s="142"/>
      <c r="W185" s="142"/>
      <c r="X185" s="142"/>
      <c r="Y185" s="142"/>
      <c r="Z185" s="142"/>
      <c r="AA185" s="142"/>
      <c r="AB185" s="142"/>
      <c r="AC185" s="142"/>
      <c r="AD185" s="142"/>
      <c r="AE185" s="142"/>
      <c r="AF185" s="142"/>
      <c r="AG185" s="142"/>
      <c r="AH185" s="142"/>
      <c r="AI185" s="144"/>
      <c r="AV185" s="589" t="e">
        <v>#N/A</v>
      </c>
      <c r="AW185" s="589"/>
      <c r="AX185" s="589"/>
    </row>
    <row r="186" spans="1:50" ht="13.2" hidden="1" outlineLevel="1" thickBot="1" x14ac:dyDescent="0.3">
      <c r="A186" s="141"/>
      <c r="B186" s="142"/>
      <c r="C186" s="143"/>
      <c r="D186" s="142"/>
      <c r="E186" s="142"/>
      <c r="F186" s="142"/>
      <c r="G186" s="142"/>
      <c r="H186" s="142"/>
      <c r="I186" s="142"/>
      <c r="J186" s="142"/>
      <c r="K186" s="142"/>
      <c r="L186" s="142"/>
      <c r="M186" s="142"/>
      <c r="N186" s="142"/>
      <c r="O186" s="142"/>
      <c r="P186" s="142"/>
      <c r="Q186" s="142"/>
      <c r="R186" s="142"/>
      <c r="S186" s="142"/>
      <c r="T186" s="142"/>
      <c r="U186" s="142"/>
      <c r="V186" s="142"/>
      <c r="W186" s="142"/>
      <c r="X186" s="142"/>
      <c r="Y186" s="142"/>
      <c r="Z186" s="142"/>
      <c r="AA186" s="142"/>
      <c r="AB186" s="142"/>
      <c r="AC186" s="142"/>
      <c r="AD186" s="142"/>
      <c r="AE186" s="142"/>
      <c r="AF186" s="142"/>
      <c r="AG186" s="142"/>
      <c r="AH186" s="142"/>
      <c r="AI186" s="144"/>
      <c r="AV186" s="589" t="e">
        <v>#N/A</v>
      </c>
      <c r="AW186" s="589"/>
      <c r="AX186" s="589"/>
    </row>
    <row r="187" spans="1:50" ht="13.2" hidden="1" outlineLevel="1" thickBot="1" x14ac:dyDescent="0.3">
      <c r="A187" s="141"/>
      <c r="B187" s="142"/>
      <c r="C187" s="143"/>
      <c r="D187" s="142"/>
      <c r="E187" s="142"/>
      <c r="F187" s="142"/>
      <c r="G187" s="142"/>
      <c r="H187" s="142"/>
      <c r="I187" s="142"/>
      <c r="J187" s="142"/>
      <c r="K187" s="142"/>
      <c r="L187" s="142"/>
      <c r="M187" s="142"/>
      <c r="N187" s="142"/>
      <c r="O187" s="142"/>
      <c r="P187" s="142"/>
      <c r="Q187" s="142"/>
      <c r="R187" s="142"/>
      <c r="S187" s="142"/>
      <c r="T187" s="142"/>
      <c r="U187" s="142"/>
      <c r="V187" s="142"/>
      <c r="W187" s="142"/>
      <c r="X187" s="142"/>
      <c r="Y187" s="142"/>
      <c r="Z187" s="142"/>
      <c r="AA187" s="142"/>
      <c r="AB187" s="142"/>
      <c r="AC187" s="142"/>
      <c r="AD187" s="142"/>
      <c r="AE187" s="142"/>
      <c r="AF187" s="142"/>
      <c r="AG187" s="142"/>
      <c r="AH187" s="142"/>
      <c r="AI187" s="144"/>
      <c r="AV187" s="589" t="e">
        <v>#N/A</v>
      </c>
      <c r="AW187" s="589"/>
      <c r="AX187" s="589"/>
    </row>
    <row r="188" spans="1:50" ht="13.2" hidden="1" outlineLevel="1" thickBot="1" x14ac:dyDescent="0.3">
      <c r="A188" s="141"/>
      <c r="B188" s="142"/>
      <c r="C188" s="143"/>
      <c r="D188" s="142"/>
      <c r="E188" s="142"/>
      <c r="F188" s="142"/>
      <c r="G188" s="142"/>
      <c r="H188" s="142"/>
      <c r="I188" s="142"/>
      <c r="J188" s="142"/>
      <c r="K188" s="142"/>
      <c r="L188" s="142"/>
      <c r="M188" s="142"/>
      <c r="N188" s="142"/>
      <c r="O188" s="142"/>
      <c r="P188" s="142"/>
      <c r="Q188" s="142"/>
      <c r="R188" s="142"/>
      <c r="S188" s="142"/>
      <c r="T188" s="142"/>
      <c r="U188" s="142"/>
      <c r="V188" s="142"/>
      <c r="W188" s="142"/>
      <c r="X188" s="142"/>
      <c r="Y188" s="142"/>
      <c r="Z188" s="142"/>
      <c r="AA188" s="142"/>
      <c r="AB188" s="142"/>
      <c r="AC188" s="142"/>
      <c r="AD188" s="142"/>
      <c r="AE188" s="142"/>
      <c r="AF188" s="142"/>
      <c r="AG188" s="142"/>
      <c r="AH188" s="142"/>
      <c r="AI188" s="144"/>
      <c r="AV188" s="589" t="e">
        <v>#N/A</v>
      </c>
      <c r="AW188" s="589"/>
      <c r="AX188" s="589"/>
    </row>
    <row r="189" spans="1:50" ht="13.2" hidden="1" outlineLevel="1" thickBot="1" x14ac:dyDescent="0.3">
      <c r="A189" s="141"/>
      <c r="B189" s="142"/>
      <c r="C189" s="143"/>
      <c r="D189" s="142"/>
      <c r="E189" s="142"/>
      <c r="F189" s="142"/>
      <c r="G189" s="142"/>
      <c r="H189" s="142"/>
      <c r="I189" s="142"/>
      <c r="J189" s="142"/>
      <c r="K189" s="142"/>
      <c r="L189" s="142"/>
      <c r="M189" s="142"/>
      <c r="N189" s="142"/>
      <c r="O189" s="142"/>
      <c r="P189" s="142"/>
      <c r="Q189" s="142"/>
      <c r="R189" s="142"/>
      <c r="S189" s="142"/>
      <c r="T189" s="142"/>
      <c r="U189" s="142"/>
      <c r="V189" s="142"/>
      <c r="W189" s="142"/>
      <c r="X189" s="142"/>
      <c r="Y189" s="142"/>
      <c r="Z189" s="142"/>
      <c r="AA189" s="142"/>
      <c r="AB189" s="142"/>
      <c r="AC189" s="142"/>
      <c r="AD189" s="142"/>
      <c r="AE189" s="142"/>
      <c r="AF189" s="142"/>
      <c r="AG189" s="142"/>
      <c r="AH189" s="142"/>
      <c r="AI189" s="144"/>
      <c r="AV189" s="589" t="e">
        <v>#N/A</v>
      </c>
      <c r="AW189" s="589"/>
      <c r="AX189" s="589"/>
    </row>
    <row r="190" spans="1:50" ht="13.2" hidden="1" outlineLevel="1" thickBot="1" x14ac:dyDescent="0.3">
      <c r="A190" s="141"/>
      <c r="B190" s="142"/>
      <c r="C190" s="143"/>
      <c r="D190" s="142"/>
      <c r="E190" s="142"/>
      <c r="F190" s="142"/>
      <c r="G190" s="142"/>
      <c r="H190" s="142"/>
      <c r="I190" s="142"/>
      <c r="J190" s="142"/>
      <c r="K190" s="142"/>
      <c r="L190" s="142"/>
      <c r="M190" s="142"/>
      <c r="N190" s="142"/>
      <c r="O190" s="142"/>
      <c r="P190" s="142"/>
      <c r="Q190" s="142"/>
      <c r="R190" s="142"/>
      <c r="S190" s="142"/>
      <c r="T190" s="142"/>
      <c r="U190" s="142"/>
      <c r="V190" s="142"/>
      <c r="W190" s="142"/>
      <c r="X190" s="142"/>
      <c r="Y190" s="142"/>
      <c r="Z190" s="142"/>
      <c r="AA190" s="142"/>
      <c r="AB190" s="142"/>
      <c r="AC190" s="142"/>
      <c r="AD190" s="142"/>
      <c r="AE190" s="142"/>
      <c r="AF190" s="142"/>
      <c r="AG190" s="142"/>
      <c r="AH190" s="142"/>
      <c r="AI190" s="144"/>
      <c r="AV190" s="589" t="e">
        <v>#N/A</v>
      </c>
      <c r="AW190" s="589"/>
      <c r="AX190" s="589"/>
    </row>
    <row r="191" spans="1:50" ht="13.2" hidden="1" outlineLevel="1" thickBot="1" x14ac:dyDescent="0.3">
      <c r="A191" s="141"/>
      <c r="B191" s="142"/>
      <c r="C191" s="143"/>
      <c r="D191" s="142"/>
      <c r="E191" s="142"/>
      <c r="F191" s="142"/>
      <c r="G191" s="142"/>
      <c r="H191" s="142"/>
      <c r="I191" s="142"/>
      <c r="J191" s="142"/>
      <c r="K191" s="142"/>
      <c r="L191" s="142"/>
      <c r="M191" s="142"/>
      <c r="N191" s="142"/>
      <c r="O191" s="142"/>
      <c r="P191" s="142"/>
      <c r="Q191" s="142"/>
      <c r="R191" s="142"/>
      <c r="S191" s="142"/>
      <c r="T191" s="142"/>
      <c r="U191" s="142"/>
      <c r="V191" s="142"/>
      <c r="W191" s="142"/>
      <c r="X191" s="142"/>
      <c r="Y191" s="142"/>
      <c r="Z191" s="142"/>
      <c r="AA191" s="142"/>
      <c r="AB191" s="142"/>
      <c r="AC191" s="142"/>
      <c r="AD191" s="142"/>
      <c r="AE191" s="142"/>
      <c r="AF191" s="142"/>
      <c r="AG191" s="142"/>
      <c r="AH191" s="142"/>
      <c r="AI191" s="144"/>
      <c r="AV191" s="589" t="e">
        <v>#N/A</v>
      </c>
      <c r="AW191" s="589"/>
      <c r="AX191" s="589"/>
    </row>
    <row r="192" spans="1:50" ht="13.2" hidden="1" outlineLevel="1" thickBot="1" x14ac:dyDescent="0.3">
      <c r="A192" s="141"/>
      <c r="B192" s="142"/>
      <c r="C192" s="143"/>
      <c r="D192" s="142"/>
      <c r="E192" s="142"/>
      <c r="F192" s="142"/>
      <c r="G192" s="142"/>
      <c r="H192" s="142"/>
      <c r="I192" s="142"/>
      <c r="J192" s="142"/>
      <c r="K192" s="142"/>
      <c r="L192" s="142"/>
      <c r="M192" s="142"/>
      <c r="N192" s="142"/>
      <c r="O192" s="142"/>
      <c r="P192" s="142"/>
      <c r="Q192" s="142"/>
      <c r="R192" s="142"/>
      <c r="S192" s="142"/>
      <c r="T192" s="142"/>
      <c r="U192" s="142"/>
      <c r="V192" s="142"/>
      <c r="W192" s="142"/>
      <c r="X192" s="142"/>
      <c r="Y192" s="142"/>
      <c r="Z192" s="142"/>
      <c r="AA192" s="142"/>
      <c r="AB192" s="142"/>
      <c r="AC192" s="142"/>
      <c r="AD192" s="142"/>
      <c r="AE192" s="142"/>
      <c r="AF192" s="142"/>
      <c r="AG192" s="142"/>
      <c r="AH192" s="142"/>
      <c r="AI192" s="144"/>
      <c r="AV192" s="589" t="e">
        <v>#N/A</v>
      </c>
      <c r="AW192" s="589"/>
      <c r="AX192" s="589"/>
    </row>
    <row r="193" spans="1:50" ht="13.2" hidden="1" outlineLevel="1" thickBot="1" x14ac:dyDescent="0.3">
      <c r="A193" s="141"/>
      <c r="B193" s="142"/>
      <c r="C193" s="143"/>
      <c r="D193" s="142"/>
      <c r="E193" s="142"/>
      <c r="F193" s="142"/>
      <c r="G193" s="142"/>
      <c r="H193" s="142"/>
      <c r="I193" s="142"/>
      <c r="J193" s="142"/>
      <c r="K193" s="142"/>
      <c r="L193" s="142"/>
      <c r="M193" s="142"/>
      <c r="N193" s="142"/>
      <c r="O193" s="142"/>
      <c r="P193" s="142"/>
      <c r="Q193" s="142"/>
      <c r="R193" s="142"/>
      <c r="S193" s="142"/>
      <c r="T193" s="142"/>
      <c r="U193" s="142"/>
      <c r="V193" s="142"/>
      <c r="W193" s="142"/>
      <c r="X193" s="142"/>
      <c r="Y193" s="142"/>
      <c r="Z193" s="142"/>
      <c r="AA193" s="142"/>
      <c r="AB193" s="142"/>
      <c r="AC193" s="142"/>
      <c r="AD193" s="142"/>
      <c r="AE193" s="142"/>
      <c r="AF193" s="142"/>
      <c r="AG193" s="142"/>
      <c r="AH193" s="142"/>
      <c r="AI193" s="144"/>
      <c r="AV193" s="589" t="e">
        <v>#N/A</v>
      </c>
      <c r="AW193" s="589"/>
      <c r="AX193" s="589"/>
    </row>
    <row r="194" spans="1:50" ht="13.2" hidden="1" outlineLevel="1" thickBot="1" x14ac:dyDescent="0.3">
      <c r="A194" s="141"/>
      <c r="B194" s="142"/>
      <c r="C194" s="143"/>
      <c r="D194" s="142"/>
      <c r="E194" s="142"/>
      <c r="F194" s="142"/>
      <c r="G194" s="142"/>
      <c r="H194" s="142"/>
      <c r="I194" s="142"/>
      <c r="J194" s="142"/>
      <c r="K194" s="142"/>
      <c r="L194" s="142"/>
      <c r="M194" s="142"/>
      <c r="N194" s="142"/>
      <c r="O194" s="142"/>
      <c r="P194" s="142"/>
      <c r="Q194" s="142"/>
      <c r="R194" s="142"/>
      <c r="S194" s="142"/>
      <c r="T194" s="142"/>
      <c r="U194" s="142"/>
      <c r="V194" s="142"/>
      <c r="W194" s="142"/>
      <c r="X194" s="142"/>
      <c r="Y194" s="142"/>
      <c r="Z194" s="142"/>
      <c r="AA194" s="142"/>
      <c r="AB194" s="142"/>
      <c r="AC194" s="142"/>
      <c r="AD194" s="142"/>
      <c r="AE194" s="142"/>
      <c r="AF194" s="142"/>
      <c r="AG194" s="142"/>
      <c r="AH194" s="142"/>
      <c r="AI194" s="144"/>
      <c r="AV194" s="589" t="e">
        <v>#N/A</v>
      </c>
      <c r="AW194" s="589"/>
      <c r="AX194" s="589"/>
    </row>
    <row r="195" spans="1:50" ht="13.2" hidden="1" outlineLevel="1" thickBot="1" x14ac:dyDescent="0.3">
      <c r="A195" s="141"/>
      <c r="B195" s="142"/>
      <c r="C195" s="143"/>
      <c r="D195" s="142"/>
      <c r="E195" s="142"/>
      <c r="F195" s="142"/>
      <c r="G195" s="142"/>
      <c r="H195" s="142"/>
      <c r="I195" s="142"/>
      <c r="J195" s="142"/>
      <c r="K195" s="142"/>
      <c r="L195" s="142"/>
      <c r="M195" s="142"/>
      <c r="N195" s="142"/>
      <c r="O195" s="142"/>
      <c r="P195" s="142"/>
      <c r="Q195" s="142"/>
      <c r="R195" s="142"/>
      <c r="S195" s="142"/>
      <c r="T195" s="142"/>
      <c r="U195" s="142"/>
      <c r="V195" s="142"/>
      <c r="W195" s="142"/>
      <c r="X195" s="142"/>
      <c r="Y195" s="142"/>
      <c r="Z195" s="142"/>
      <c r="AA195" s="142"/>
      <c r="AB195" s="142"/>
      <c r="AC195" s="142"/>
      <c r="AD195" s="142"/>
      <c r="AE195" s="142"/>
      <c r="AF195" s="142"/>
      <c r="AG195" s="142"/>
      <c r="AH195" s="142"/>
      <c r="AI195" s="144"/>
      <c r="AV195" s="589" t="e">
        <v>#N/A</v>
      </c>
      <c r="AW195" s="589"/>
      <c r="AX195" s="589"/>
    </row>
    <row r="196" spans="1:50" ht="13.2" hidden="1" outlineLevel="1" thickBot="1" x14ac:dyDescent="0.3">
      <c r="A196" s="145"/>
      <c r="B196" s="146"/>
      <c r="C196" s="147"/>
      <c r="D196" s="146"/>
      <c r="E196" s="146"/>
      <c r="F196" s="146"/>
      <c r="G196" s="146"/>
      <c r="H196" s="146"/>
      <c r="I196" s="146"/>
      <c r="J196" s="146"/>
      <c r="K196" s="146"/>
      <c r="L196" s="146"/>
      <c r="M196" s="146"/>
      <c r="N196" s="146"/>
      <c r="O196" s="146"/>
      <c r="P196" s="146"/>
      <c r="Q196" s="146"/>
      <c r="R196" s="146"/>
      <c r="S196" s="146"/>
      <c r="T196" s="146"/>
      <c r="U196" s="146"/>
      <c r="V196" s="146"/>
      <c r="W196" s="146"/>
      <c r="X196" s="146"/>
      <c r="Y196" s="146"/>
      <c r="Z196" s="146"/>
      <c r="AA196" s="146"/>
      <c r="AB196" s="146"/>
      <c r="AC196" s="146"/>
      <c r="AD196" s="146"/>
      <c r="AE196" s="146"/>
      <c r="AF196" s="146"/>
      <c r="AG196" s="146"/>
      <c r="AH196" s="146"/>
      <c r="AI196" s="148"/>
      <c r="AV196" s="590" t="e">
        <v>#N/A</v>
      </c>
      <c r="AW196" s="590"/>
      <c r="AX196" s="590"/>
    </row>
    <row r="197" spans="1:50" ht="22.5" customHeight="1" collapsed="1" thickBot="1" x14ac:dyDescent="0.3">
      <c r="A197" s="156"/>
      <c r="B197" s="157"/>
      <c r="C197" s="158"/>
      <c r="D197" s="159"/>
      <c r="E197" s="159"/>
      <c r="F197" s="159"/>
      <c r="G197" s="159"/>
      <c r="H197" s="159"/>
      <c r="I197" s="159"/>
      <c r="J197" s="159"/>
      <c r="K197" s="159"/>
      <c r="L197" s="159"/>
      <c r="M197" s="159"/>
      <c r="N197" s="159"/>
      <c r="O197" s="160" t="s">
        <v>3817</v>
      </c>
      <c r="P197" s="161" t="s">
        <v>3818</v>
      </c>
      <c r="Q197" s="162" t="s">
        <v>3818</v>
      </c>
      <c r="R197" s="163" t="s">
        <v>3818</v>
      </c>
      <c r="S197" s="161" t="s">
        <v>2152</v>
      </c>
      <c r="T197" s="137" t="s">
        <v>2152</v>
      </c>
      <c r="U197" s="137" t="s">
        <v>2152</v>
      </c>
      <c r="V197" s="139" t="s">
        <v>2152</v>
      </c>
      <c r="W197" s="161" t="s">
        <v>2159</v>
      </c>
      <c r="X197" s="139" t="s">
        <v>2159</v>
      </c>
      <c r="Y197" s="164" t="s">
        <v>345</v>
      </c>
      <c r="Z197" s="161" t="s">
        <v>2167</v>
      </c>
      <c r="AA197" s="137" t="s">
        <v>2167</v>
      </c>
      <c r="AB197" s="139" t="s">
        <v>2167</v>
      </c>
      <c r="AC197" s="161" t="s">
        <v>3818</v>
      </c>
      <c r="AD197" s="162" t="s">
        <v>3818</v>
      </c>
      <c r="AE197" s="162" t="s">
        <v>3818</v>
      </c>
      <c r="AF197" s="163" t="s">
        <v>3818</v>
      </c>
      <c r="AG197" s="162" t="s">
        <v>345</v>
      </c>
      <c r="AH197" s="137" t="s">
        <v>345</v>
      </c>
      <c r="AI197" s="139" t="s">
        <v>345</v>
      </c>
      <c r="AV197" s="592"/>
      <c r="AW197" s="592" t="str">
        <f>$AW$19</f>
        <v>LWN</v>
      </c>
      <c r="AX197" s="592" t="str">
        <f>$AW$19</f>
        <v>LWN</v>
      </c>
    </row>
    <row r="198" spans="1:50" x14ac:dyDescent="0.25">
      <c r="A198" s="1349"/>
      <c r="B198" s="1593" t="s">
        <v>3820</v>
      </c>
      <c r="C198" s="1594"/>
      <c r="D198" s="1595" t="s">
        <v>3821</v>
      </c>
      <c r="E198" s="1593" t="s">
        <v>3822</v>
      </c>
      <c r="F198" s="1593" t="s">
        <v>3823</v>
      </c>
      <c r="G198" s="1593" t="s">
        <v>3824</v>
      </c>
      <c r="H198" s="1593" t="s">
        <v>2417</v>
      </c>
      <c r="I198" s="1874" t="s">
        <v>3825</v>
      </c>
      <c r="J198" s="1875"/>
      <c r="K198" s="1876"/>
      <c r="L198" s="1593"/>
      <c r="M198" s="1593" t="s">
        <v>3827</v>
      </c>
      <c r="N198" s="1596"/>
      <c r="O198" s="165" t="s">
        <v>184</v>
      </c>
      <c r="P198" s="1350" t="s">
        <v>12</v>
      </c>
      <c r="Q198" s="1593" t="s">
        <v>3829</v>
      </c>
      <c r="R198" s="1598" t="s">
        <v>184</v>
      </c>
      <c r="S198" s="1350" t="s">
        <v>3830</v>
      </c>
      <c r="T198" s="1593" t="s">
        <v>3831</v>
      </c>
      <c r="U198" s="1593" t="s">
        <v>3676</v>
      </c>
      <c r="V198" s="1598" t="s">
        <v>184</v>
      </c>
      <c r="W198" s="1350" t="s">
        <v>3832</v>
      </c>
      <c r="X198" s="1598" t="s">
        <v>184</v>
      </c>
      <c r="Y198" s="1597" t="s">
        <v>184</v>
      </c>
      <c r="Z198" s="1350" t="s">
        <v>3833</v>
      </c>
      <c r="AA198" s="1593" t="s">
        <v>2414</v>
      </c>
      <c r="AB198" s="1598" t="s">
        <v>184</v>
      </c>
      <c r="AC198" s="1350" t="s">
        <v>3834</v>
      </c>
      <c r="AD198" s="1593" t="s">
        <v>3835</v>
      </c>
      <c r="AE198" s="1593" t="s">
        <v>3836</v>
      </c>
      <c r="AF198" s="1598" t="s">
        <v>336</v>
      </c>
      <c r="AG198" s="1595" t="s">
        <v>3834</v>
      </c>
      <c r="AH198" s="1593" t="s">
        <v>3835</v>
      </c>
      <c r="AI198" s="1598" t="s">
        <v>336</v>
      </c>
      <c r="AV198" s="1599"/>
      <c r="AW198" s="1599" t="s">
        <v>184</v>
      </c>
      <c r="AX198" s="1598" t="str">
        <f>$AX$20</f>
        <v>Unit Surface</v>
      </c>
    </row>
    <row r="199" spans="1:50" ht="13.2" thickBot="1" x14ac:dyDescent="0.3">
      <c r="A199" s="186"/>
      <c r="B199" s="166" t="s">
        <v>59</v>
      </c>
      <c r="C199" s="187" t="s">
        <v>1685</v>
      </c>
      <c r="D199" s="171" t="s">
        <v>93</v>
      </c>
      <c r="E199" s="166" t="s">
        <v>93</v>
      </c>
      <c r="F199" s="166" t="s">
        <v>93</v>
      </c>
      <c r="G199" s="166" t="s">
        <v>93</v>
      </c>
      <c r="H199" s="166" t="s">
        <v>93</v>
      </c>
      <c r="I199" s="166" t="s">
        <v>3837</v>
      </c>
      <c r="J199" s="166" t="s">
        <v>3838</v>
      </c>
      <c r="K199" s="166" t="s">
        <v>3839</v>
      </c>
      <c r="L199" s="166"/>
      <c r="M199" s="166" t="s">
        <v>93</v>
      </c>
      <c r="N199" s="188"/>
      <c r="O199" s="167" t="s">
        <v>222</v>
      </c>
      <c r="P199" s="168" t="s">
        <v>93</v>
      </c>
      <c r="Q199" s="166" t="s">
        <v>93</v>
      </c>
      <c r="R199" s="169" t="s">
        <v>222</v>
      </c>
      <c r="S199" s="168" t="s">
        <v>93</v>
      </c>
      <c r="T199" s="166" t="s">
        <v>93</v>
      </c>
      <c r="U199" s="166" t="s">
        <v>93</v>
      </c>
      <c r="V199" s="169" t="s">
        <v>222</v>
      </c>
      <c r="W199" s="168" t="s">
        <v>93</v>
      </c>
      <c r="X199" s="169" t="s">
        <v>222</v>
      </c>
      <c r="Y199" s="189" t="s">
        <v>222</v>
      </c>
      <c r="Z199" s="168" t="s">
        <v>93</v>
      </c>
      <c r="AA199" s="166" t="s">
        <v>93</v>
      </c>
      <c r="AB199" s="169" t="s">
        <v>222</v>
      </c>
      <c r="AC199" s="168" t="s">
        <v>228</v>
      </c>
      <c r="AD199" s="166" t="s">
        <v>228</v>
      </c>
      <c r="AE199" s="166" t="s">
        <v>228</v>
      </c>
      <c r="AF199" s="169" t="s">
        <v>228</v>
      </c>
      <c r="AG199" s="171" t="s">
        <v>228</v>
      </c>
      <c r="AH199" s="166" t="s">
        <v>228</v>
      </c>
      <c r="AI199" s="169" t="s">
        <v>228</v>
      </c>
      <c r="AV199" s="593"/>
      <c r="AW199" s="593" t="s">
        <v>222</v>
      </c>
      <c r="AX199" s="593" t="str">
        <f>$AX$21</f>
        <v>m2</v>
      </c>
    </row>
    <row r="200" spans="1:50" ht="13.2" thickBot="1" x14ac:dyDescent="0.3">
      <c r="A200" s="190" t="s">
        <v>3965</v>
      </c>
      <c r="B200" s="137">
        <v>0</v>
      </c>
      <c r="C200" s="137">
        <v>0</v>
      </c>
      <c r="D200" s="137">
        <v>0</v>
      </c>
      <c r="E200" s="137">
        <v>0</v>
      </c>
      <c r="F200" s="137">
        <v>0</v>
      </c>
      <c r="G200" s="137">
        <v>0</v>
      </c>
      <c r="H200" s="137">
        <v>0</v>
      </c>
      <c r="I200" s="137">
        <v>0</v>
      </c>
      <c r="J200" s="137">
        <v>0</v>
      </c>
      <c r="K200" s="137">
        <v>0</v>
      </c>
      <c r="L200" s="137">
        <v>0</v>
      </c>
      <c r="M200" s="137">
        <v>0</v>
      </c>
      <c r="N200" s="192">
        <v>0</v>
      </c>
      <c r="O200" s="160">
        <v>0</v>
      </c>
      <c r="P200" s="161">
        <v>0</v>
      </c>
      <c r="Q200" s="137">
        <v>0</v>
      </c>
      <c r="R200" s="139">
        <v>0</v>
      </c>
      <c r="S200" s="161">
        <v>0</v>
      </c>
      <c r="T200" s="137">
        <v>0</v>
      </c>
      <c r="U200" s="137">
        <v>0</v>
      </c>
      <c r="V200" s="139">
        <v>0</v>
      </c>
      <c r="W200" s="161">
        <v>0</v>
      </c>
      <c r="X200" s="139">
        <v>0</v>
      </c>
      <c r="Y200" s="164">
        <v>0</v>
      </c>
      <c r="Z200" s="161">
        <v>0</v>
      </c>
      <c r="AA200" s="137">
        <v>0</v>
      </c>
      <c r="AB200" s="139">
        <v>0</v>
      </c>
      <c r="AC200" s="161">
        <v>0</v>
      </c>
      <c r="AD200" s="137">
        <v>0</v>
      </c>
      <c r="AE200" s="137">
        <v>0</v>
      </c>
      <c r="AF200" s="139">
        <v>0</v>
      </c>
      <c r="AG200" s="162">
        <v>0</v>
      </c>
      <c r="AH200" s="137">
        <v>0</v>
      </c>
      <c r="AI200" s="139">
        <v>0</v>
      </c>
      <c r="AV200" s="595"/>
      <c r="AW200" s="595">
        <v>0</v>
      </c>
      <c r="AX200" s="595">
        <v>0</v>
      </c>
    </row>
    <row r="201" spans="1:50" x14ac:dyDescent="0.25">
      <c r="A201" s="1349" t="s">
        <v>3966</v>
      </c>
      <c r="B201" s="1593">
        <v>15</v>
      </c>
      <c r="C201" s="1594">
        <v>0.5</v>
      </c>
      <c r="D201" s="1595">
        <v>133</v>
      </c>
      <c r="E201" s="1593">
        <v>30.2</v>
      </c>
      <c r="F201" s="1593">
        <v>34.9</v>
      </c>
      <c r="G201" s="1593">
        <v>65</v>
      </c>
      <c r="H201" s="1593">
        <v>6.35</v>
      </c>
      <c r="I201" s="1593">
        <v>4</v>
      </c>
      <c r="J201" s="1593">
        <v>88.9</v>
      </c>
      <c r="K201" s="1593">
        <v>22.2</v>
      </c>
      <c r="L201" s="1593"/>
      <c r="M201" s="1593">
        <v>43</v>
      </c>
      <c r="N201" s="1596"/>
      <c r="O201" s="165"/>
      <c r="P201" s="1350">
        <v>21.3</v>
      </c>
      <c r="Q201" s="1593">
        <v>73</v>
      </c>
      <c r="R201" s="1598">
        <v>3.6</v>
      </c>
      <c r="S201" s="1350">
        <v>22.9</v>
      </c>
      <c r="T201" s="1593">
        <v>40</v>
      </c>
      <c r="U201" s="1593">
        <v>3</v>
      </c>
      <c r="V201" s="1598">
        <v>3</v>
      </c>
      <c r="W201" s="1350">
        <v>29</v>
      </c>
      <c r="X201" s="1598">
        <v>3</v>
      </c>
      <c r="Y201" s="1597">
        <v>3.3</v>
      </c>
      <c r="Z201" s="1350" t="s">
        <v>1712</v>
      </c>
      <c r="AA201" s="1593" t="s">
        <v>1712</v>
      </c>
      <c r="AB201" s="1598" t="s">
        <v>1712</v>
      </c>
      <c r="AC201" s="1352">
        <f>PI()*D201*E201/1000000</f>
        <v>1.2618521052408764E-2</v>
      </c>
      <c r="AD201" s="1617">
        <f>D201^2*PI()/4/1000000</f>
        <v>1.3892908112337461E-2</v>
      </c>
      <c r="AE201" s="1617">
        <f>P201*PI()*(Q201-E201)/1000000</f>
        <v>2.864001526718599E-3</v>
      </c>
      <c r="AF201" s="1618">
        <f>AE201+AD201+AC201</f>
        <v>2.9375430691464824E-2</v>
      </c>
      <c r="AG201" s="1619">
        <f>PI()*D201*E201/1000000</f>
        <v>1.2618521052408764E-2</v>
      </c>
      <c r="AH201" s="1617">
        <f>D201^2*PI()/4/1000000</f>
        <v>1.3892908112337461E-2</v>
      </c>
      <c r="AI201" s="1618">
        <f>AH201+AG201</f>
        <v>2.6511429164746227E-2</v>
      </c>
      <c r="AV201" s="1599"/>
      <c r="AW201" s="1599"/>
      <c r="AX201" s="1599"/>
    </row>
    <row r="202" spans="1:50" x14ac:dyDescent="0.25">
      <c r="A202" s="1620" t="s">
        <v>3967</v>
      </c>
      <c r="B202" s="1504">
        <v>20</v>
      </c>
      <c r="C202" s="1505">
        <v>0.75</v>
      </c>
      <c r="D202" s="1595">
        <v>140</v>
      </c>
      <c r="E202" s="1593">
        <v>31.8</v>
      </c>
      <c r="F202" s="1593">
        <v>42.9</v>
      </c>
      <c r="G202" s="1593">
        <v>73.2</v>
      </c>
      <c r="H202" s="1593">
        <v>6.35</v>
      </c>
      <c r="I202" s="1593">
        <v>4</v>
      </c>
      <c r="J202" s="1593">
        <v>95.3</v>
      </c>
      <c r="K202" s="1593">
        <v>22.2</v>
      </c>
      <c r="L202" s="1593"/>
      <c r="M202" s="1593">
        <v>51</v>
      </c>
      <c r="N202" s="1596"/>
      <c r="O202" s="1362"/>
      <c r="P202" s="1609">
        <v>26.7</v>
      </c>
      <c r="Q202" s="1504">
        <v>79</v>
      </c>
      <c r="R202" s="1610">
        <v>4</v>
      </c>
      <c r="S202" s="1609">
        <v>28.2</v>
      </c>
      <c r="T202" s="1504">
        <v>43</v>
      </c>
      <c r="U202" s="1504">
        <v>3</v>
      </c>
      <c r="V202" s="1610">
        <v>4</v>
      </c>
      <c r="W202" s="1609">
        <v>32</v>
      </c>
      <c r="X202" s="1610">
        <v>4</v>
      </c>
      <c r="Y202" s="1625">
        <v>3.9</v>
      </c>
      <c r="Z202" s="1609" t="s">
        <v>1712</v>
      </c>
      <c r="AA202" s="1504" t="s">
        <v>1712</v>
      </c>
      <c r="AB202" s="1610" t="s">
        <v>1712</v>
      </c>
      <c r="AC202" s="1612">
        <f t="shared" ref="AC202:AC214" si="54">PI()*D202*E202/1000000</f>
        <v>1.3986370493781758E-2</v>
      </c>
      <c r="AD202" s="1613">
        <f t="shared" ref="AD202:AD214" si="55">D202^2*PI()/4/1000000</f>
        <v>1.5393804002589986E-2</v>
      </c>
      <c r="AE202" s="1613">
        <f t="shared" ref="AE202:AE214" si="56">P202*PI()*(Q202-E202)/1000000</f>
        <v>3.9591607257600005E-3</v>
      </c>
      <c r="AF202" s="1614">
        <f t="shared" ref="AF202:AF214" si="57">AE202+AD202+AC202</f>
        <v>3.3339335222131741E-2</v>
      </c>
      <c r="AG202" s="1615">
        <f t="shared" ref="AG202:AG214" si="58">PI()*D202*E202/1000000</f>
        <v>1.3986370493781758E-2</v>
      </c>
      <c r="AH202" s="1613">
        <f t="shared" ref="AH202:AH214" si="59">D202^2*PI()/4/1000000</f>
        <v>1.5393804002589986E-2</v>
      </c>
      <c r="AI202" s="1614">
        <f t="shared" ref="AI202:AI214" si="60">AH202+AG202</f>
        <v>2.9380174496371744E-2</v>
      </c>
      <c r="AV202" s="1616"/>
      <c r="AW202" s="1616"/>
      <c r="AX202" s="1616"/>
    </row>
    <row r="203" spans="1:50" x14ac:dyDescent="0.25">
      <c r="A203" s="1620" t="s">
        <v>3968</v>
      </c>
      <c r="B203" s="1504">
        <v>25</v>
      </c>
      <c r="C203" s="1505">
        <v>1</v>
      </c>
      <c r="D203" s="1506">
        <v>159</v>
      </c>
      <c r="E203" s="1504">
        <v>35</v>
      </c>
      <c r="F203" s="1504">
        <v>50.8</v>
      </c>
      <c r="G203" s="1504">
        <v>82.6</v>
      </c>
      <c r="H203" s="1504">
        <v>6.35</v>
      </c>
      <c r="I203" s="1504">
        <v>4</v>
      </c>
      <c r="J203" s="1504">
        <v>108</v>
      </c>
      <c r="K203" s="1504">
        <v>25.4</v>
      </c>
      <c r="L203" s="1504"/>
      <c r="M203" s="1504">
        <v>57</v>
      </c>
      <c r="N203" s="1508"/>
      <c r="O203" s="1362"/>
      <c r="P203" s="1609">
        <v>33.4</v>
      </c>
      <c r="Q203" s="1504">
        <v>89</v>
      </c>
      <c r="R203" s="1610">
        <v>6</v>
      </c>
      <c r="S203" s="1609">
        <v>35</v>
      </c>
      <c r="T203" s="1504">
        <v>48</v>
      </c>
      <c r="U203" s="1504">
        <v>3</v>
      </c>
      <c r="V203" s="1610">
        <v>5</v>
      </c>
      <c r="W203" s="1609">
        <v>35</v>
      </c>
      <c r="X203" s="1610">
        <v>5</v>
      </c>
      <c r="Y203" s="1625">
        <v>5</v>
      </c>
      <c r="Z203" s="1609" t="s">
        <v>1712</v>
      </c>
      <c r="AA203" s="1504" t="s">
        <v>1712</v>
      </c>
      <c r="AB203" s="1610" t="s">
        <v>1712</v>
      </c>
      <c r="AC203" s="1612">
        <f t="shared" si="54"/>
        <v>1.7482963117227197E-2</v>
      </c>
      <c r="AD203" s="1613">
        <f t="shared" si="55"/>
        <v>1.9855650968850887E-2</v>
      </c>
      <c r="AE203" s="1613">
        <f t="shared" si="56"/>
        <v>5.6661765100145508E-3</v>
      </c>
      <c r="AF203" s="1614">
        <f t="shared" si="57"/>
        <v>4.3004790596092635E-2</v>
      </c>
      <c r="AG203" s="1615">
        <f t="shared" si="58"/>
        <v>1.7482963117227197E-2</v>
      </c>
      <c r="AH203" s="1613">
        <f t="shared" si="59"/>
        <v>1.9855650968850887E-2</v>
      </c>
      <c r="AI203" s="1614">
        <f t="shared" si="60"/>
        <v>3.7338614086078081E-2</v>
      </c>
      <c r="AV203" s="1616"/>
      <c r="AW203" s="1616"/>
      <c r="AX203" s="1616"/>
    </row>
    <row r="204" spans="1:50" x14ac:dyDescent="0.25">
      <c r="A204" s="1620" t="s">
        <v>3969</v>
      </c>
      <c r="B204" s="1504">
        <v>32</v>
      </c>
      <c r="C204" s="1505">
        <v>1.25</v>
      </c>
      <c r="D204" s="1506">
        <v>184</v>
      </c>
      <c r="E204" s="1504">
        <v>38.1</v>
      </c>
      <c r="F204" s="1504">
        <v>63.5</v>
      </c>
      <c r="G204" s="1504">
        <v>101.6</v>
      </c>
      <c r="H204" s="1504">
        <v>7.92</v>
      </c>
      <c r="I204" s="1504">
        <v>4</v>
      </c>
      <c r="J204" s="1504">
        <v>130</v>
      </c>
      <c r="K204" s="1504">
        <v>28.5</v>
      </c>
      <c r="L204" s="1504"/>
      <c r="M204" s="1504">
        <v>73</v>
      </c>
      <c r="N204" s="1508"/>
      <c r="O204" s="1362"/>
      <c r="P204" s="1609">
        <v>42.2</v>
      </c>
      <c r="Q204" s="1504">
        <v>95</v>
      </c>
      <c r="R204" s="1610">
        <v>9</v>
      </c>
      <c r="S204" s="1609">
        <v>43.7</v>
      </c>
      <c r="T204" s="1504">
        <v>52</v>
      </c>
      <c r="U204" s="1504">
        <v>5</v>
      </c>
      <c r="V204" s="1610">
        <v>8</v>
      </c>
      <c r="W204" s="1609">
        <v>38</v>
      </c>
      <c r="X204" s="1610">
        <v>8</v>
      </c>
      <c r="Y204" s="1625">
        <v>8.1</v>
      </c>
      <c r="Z204" s="1609" t="s">
        <v>1712</v>
      </c>
      <c r="AA204" s="1504" t="s">
        <v>1712</v>
      </c>
      <c r="AB204" s="1610" t="s">
        <v>1712</v>
      </c>
      <c r="AC204" s="1612">
        <f t="shared" si="54"/>
        <v>2.2023821138725884E-2</v>
      </c>
      <c r="AD204" s="1613">
        <f t="shared" si="55"/>
        <v>2.6590440219984007E-2</v>
      </c>
      <c r="AE204" s="1613">
        <f t="shared" si="56"/>
        <v>7.5435294479467398E-3</v>
      </c>
      <c r="AF204" s="1614">
        <f t="shared" si="57"/>
        <v>5.6157790806656629E-2</v>
      </c>
      <c r="AG204" s="1615">
        <f t="shared" si="58"/>
        <v>2.2023821138725884E-2</v>
      </c>
      <c r="AH204" s="1613">
        <f t="shared" si="59"/>
        <v>2.6590440219984007E-2</v>
      </c>
      <c r="AI204" s="1614">
        <f t="shared" si="60"/>
        <v>4.8614261358709887E-2</v>
      </c>
      <c r="AV204" s="1616"/>
      <c r="AW204" s="1616"/>
      <c r="AX204" s="1616"/>
    </row>
    <row r="205" spans="1:50" x14ac:dyDescent="0.25">
      <c r="A205" s="1620" t="s">
        <v>3970</v>
      </c>
      <c r="B205" s="1504">
        <v>40</v>
      </c>
      <c r="C205" s="1505">
        <v>1.5</v>
      </c>
      <c r="D205" s="1506">
        <v>203</v>
      </c>
      <c r="E205" s="1504">
        <v>44.5</v>
      </c>
      <c r="F205" s="1504">
        <v>73</v>
      </c>
      <c r="G205" s="1504">
        <v>114.3</v>
      </c>
      <c r="H205" s="1504">
        <v>7.92</v>
      </c>
      <c r="I205" s="1504">
        <v>4</v>
      </c>
      <c r="J205" s="1504">
        <v>146</v>
      </c>
      <c r="K205" s="1504">
        <v>31.8</v>
      </c>
      <c r="L205" s="1504"/>
      <c r="M205" s="1504">
        <v>79</v>
      </c>
      <c r="N205" s="1508"/>
      <c r="O205" s="1362"/>
      <c r="P205" s="1609">
        <v>48.3</v>
      </c>
      <c r="Q205" s="1504">
        <v>111</v>
      </c>
      <c r="R205" s="1610">
        <v>13</v>
      </c>
      <c r="S205" s="1609">
        <v>50</v>
      </c>
      <c r="T205" s="1504">
        <v>60</v>
      </c>
      <c r="U205" s="1504">
        <v>6</v>
      </c>
      <c r="V205" s="1610">
        <v>11</v>
      </c>
      <c r="W205" s="1609">
        <v>44</v>
      </c>
      <c r="X205" s="1610">
        <v>11</v>
      </c>
      <c r="Y205" s="1625">
        <v>11.5</v>
      </c>
      <c r="Z205" s="1609" t="s">
        <v>1712</v>
      </c>
      <c r="AA205" s="1504" t="s">
        <v>1712</v>
      </c>
      <c r="AB205" s="1610" t="s">
        <v>1712</v>
      </c>
      <c r="AC205" s="1612">
        <f t="shared" si="54"/>
        <v>2.8379577236203397E-2</v>
      </c>
      <c r="AD205" s="1613">
        <f t="shared" si="55"/>
        <v>3.2365472915445448E-2</v>
      </c>
      <c r="AE205" s="1613">
        <f t="shared" si="56"/>
        <v>1.0090638523697735E-2</v>
      </c>
      <c r="AF205" s="1614">
        <f t="shared" si="57"/>
        <v>7.0835688675346578E-2</v>
      </c>
      <c r="AG205" s="1615">
        <f t="shared" si="58"/>
        <v>2.8379577236203397E-2</v>
      </c>
      <c r="AH205" s="1613">
        <f t="shared" si="59"/>
        <v>3.2365472915445448E-2</v>
      </c>
      <c r="AI205" s="1614">
        <f t="shared" si="60"/>
        <v>6.0745050151648841E-2</v>
      </c>
      <c r="AV205" s="1616"/>
      <c r="AW205" s="1616"/>
      <c r="AX205" s="1616"/>
    </row>
    <row r="206" spans="1:50" x14ac:dyDescent="0.25">
      <c r="A206" s="1620" t="s">
        <v>3971</v>
      </c>
      <c r="B206" s="1504">
        <v>50</v>
      </c>
      <c r="C206" s="1505">
        <v>2</v>
      </c>
      <c r="D206" s="1506">
        <v>235</v>
      </c>
      <c r="E206" s="1504">
        <v>50.8</v>
      </c>
      <c r="F206" s="1504">
        <v>92.1</v>
      </c>
      <c r="G206" s="1504">
        <v>133.4</v>
      </c>
      <c r="H206" s="1504">
        <v>7.92</v>
      </c>
      <c r="I206" s="1504">
        <v>8</v>
      </c>
      <c r="J206" s="1504">
        <v>171.5</v>
      </c>
      <c r="K206" s="1504">
        <v>28.5</v>
      </c>
      <c r="L206" s="1504"/>
      <c r="M206" s="1504">
        <v>95</v>
      </c>
      <c r="N206" s="1508"/>
      <c r="O206" s="1362"/>
      <c r="P206" s="1609">
        <v>60.3</v>
      </c>
      <c r="Q206" s="1504">
        <v>127</v>
      </c>
      <c r="R206" s="1610">
        <v>19</v>
      </c>
      <c r="S206" s="1609">
        <v>62.5</v>
      </c>
      <c r="T206" s="1504">
        <v>70</v>
      </c>
      <c r="U206" s="1504">
        <v>8</v>
      </c>
      <c r="V206" s="1610">
        <v>17</v>
      </c>
      <c r="W206" s="1609">
        <v>51</v>
      </c>
      <c r="X206" s="1610">
        <v>17</v>
      </c>
      <c r="Y206" s="1625">
        <v>17.600000000000001</v>
      </c>
      <c r="Z206" s="1609" t="s">
        <v>1712</v>
      </c>
      <c r="AA206" s="1504" t="s">
        <v>1712</v>
      </c>
      <c r="AB206" s="1610" t="s">
        <v>1712</v>
      </c>
      <c r="AC206" s="1612">
        <f t="shared" si="54"/>
        <v>3.750433309855495E-2</v>
      </c>
      <c r="AD206" s="1613">
        <f t="shared" si="55"/>
        <v>4.3373613573624084E-2</v>
      </c>
      <c r="AE206" s="1613">
        <f t="shared" si="56"/>
        <v>1.4435178420273595E-2</v>
      </c>
      <c r="AF206" s="1614">
        <f t="shared" si="57"/>
        <v>9.5313125092452627E-2</v>
      </c>
      <c r="AG206" s="1615">
        <f t="shared" si="58"/>
        <v>3.750433309855495E-2</v>
      </c>
      <c r="AH206" s="1613">
        <f t="shared" si="59"/>
        <v>4.3373613573624084E-2</v>
      </c>
      <c r="AI206" s="1614">
        <f t="shared" si="60"/>
        <v>8.0877946672179041E-2</v>
      </c>
      <c r="AV206" s="1616"/>
      <c r="AW206" s="1616"/>
      <c r="AX206" s="1616"/>
    </row>
    <row r="207" spans="1:50" x14ac:dyDescent="0.25">
      <c r="A207" s="1620" t="s">
        <v>3972</v>
      </c>
      <c r="B207" s="1504">
        <v>65</v>
      </c>
      <c r="C207" s="1505">
        <v>2.5</v>
      </c>
      <c r="D207" s="1506">
        <v>267</v>
      </c>
      <c r="E207" s="1504">
        <v>57.2</v>
      </c>
      <c r="F207" s="1504">
        <v>104.8</v>
      </c>
      <c r="G207" s="1504">
        <v>149.4</v>
      </c>
      <c r="H207" s="1504">
        <v>9.52</v>
      </c>
      <c r="I207" s="1504">
        <v>8</v>
      </c>
      <c r="J207" s="1504">
        <v>196.9</v>
      </c>
      <c r="K207" s="1504">
        <v>31.8</v>
      </c>
      <c r="L207" s="1504"/>
      <c r="M207" s="1504">
        <v>114</v>
      </c>
      <c r="N207" s="1508"/>
      <c r="O207" s="1362"/>
      <c r="P207" s="1609">
        <v>73</v>
      </c>
      <c r="Q207" s="1504">
        <v>143</v>
      </c>
      <c r="R207" s="1610">
        <v>24</v>
      </c>
      <c r="S207" s="1609">
        <v>75.400000000000006</v>
      </c>
      <c r="T207" s="1504">
        <v>79</v>
      </c>
      <c r="U207" s="1504">
        <v>8</v>
      </c>
      <c r="V207" s="1610">
        <v>24</v>
      </c>
      <c r="W207" s="1609">
        <v>57</v>
      </c>
      <c r="X207" s="1610">
        <v>25</v>
      </c>
      <c r="Y207" s="1625">
        <v>26</v>
      </c>
      <c r="Z207" s="1609" t="s">
        <v>1712</v>
      </c>
      <c r="AA207" s="1504" t="s">
        <v>1712</v>
      </c>
      <c r="AB207" s="1610" t="s">
        <v>1712</v>
      </c>
      <c r="AC207" s="1612">
        <f t="shared" si="54"/>
        <v>4.797965964268476E-2</v>
      </c>
      <c r="AD207" s="1613">
        <f t="shared" si="55"/>
        <v>5.5990249670440688E-2</v>
      </c>
      <c r="AE207" s="1613">
        <f t="shared" si="56"/>
        <v>1.967705142649431E-2</v>
      </c>
      <c r="AF207" s="1614">
        <f t="shared" si="57"/>
        <v>0.12364696073961975</v>
      </c>
      <c r="AG207" s="1615">
        <f t="shared" si="58"/>
        <v>4.797965964268476E-2</v>
      </c>
      <c r="AH207" s="1613">
        <f t="shared" si="59"/>
        <v>5.5990249670440688E-2</v>
      </c>
      <c r="AI207" s="1614">
        <f t="shared" si="60"/>
        <v>0.10396990931312544</v>
      </c>
      <c r="AV207" s="1616"/>
      <c r="AW207" s="1616"/>
      <c r="AX207" s="1616"/>
    </row>
    <row r="208" spans="1:50" x14ac:dyDescent="0.25">
      <c r="A208" s="1620" t="s">
        <v>3973</v>
      </c>
      <c r="B208" s="1504">
        <v>80</v>
      </c>
      <c r="C208" s="1505">
        <v>3</v>
      </c>
      <c r="D208" s="1506">
        <v>305</v>
      </c>
      <c r="E208" s="1504">
        <v>66.5</v>
      </c>
      <c r="F208" s="1504">
        <v>127</v>
      </c>
      <c r="G208" s="1504">
        <v>168.1</v>
      </c>
      <c r="H208" s="1504">
        <v>9.52</v>
      </c>
      <c r="I208" s="1504">
        <v>8</v>
      </c>
      <c r="J208" s="1504">
        <v>228.6</v>
      </c>
      <c r="K208" s="1504">
        <v>35</v>
      </c>
      <c r="L208" s="1504"/>
      <c r="M208" s="1504">
        <v>133</v>
      </c>
      <c r="N208" s="1508"/>
      <c r="O208" s="1362"/>
      <c r="P208" s="1609">
        <v>88.9</v>
      </c>
      <c r="Q208" s="1504">
        <v>168</v>
      </c>
      <c r="R208" s="1610">
        <v>43</v>
      </c>
      <c r="S208" s="1609">
        <v>91.4</v>
      </c>
      <c r="T208" s="1504">
        <v>92</v>
      </c>
      <c r="U208" s="1504">
        <v>10</v>
      </c>
      <c r="V208" s="1610">
        <v>36</v>
      </c>
      <c r="W208" s="1609" t="s">
        <v>1712</v>
      </c>
      <c r="X208" s="1610" t="s">
        <v>1712</v>
      </c>
      <c r="Y208" s="1625">
        <v>39</v>
      </c>
      <c r="Z208" s="1609" t="s">
        <v>1712</v>
      </c>
      <c r="AA208" s="1504" t="s">
        <v>1712</v>
      </c>
      <c r="AB208" s="1610" t="s">
        <v>1712</v>
      </c>
      <c r="AC208" s="1612">
        <f t="shared" si="54"/>
        <v>6.3719352996434983E-2</v>
      </c>
      <c r="AD208" s="1613">
        <f t="shared" si="55"/>
        <v>7.3061664150047625E-2</v>
      </c>
      <c r="AE208" s="1613">
        <f t="shared" si="56"/>
        <v>2.8347690070769462E-2</v>
      </c>
      <c r="AF208" s="1614">
        <f t="shared" si="57"/>
        <v>0.16512870721725209</v>
      </c>
      <c r="AG208" s="1615">
        <f t="shared" si="58"/>
        <v>6.3719352996434983E-2</v>
      </c>
      <c r="AH208" s="1613">
        <f t="shared" si="59"/>
        <v>7.3061664150047625E-2</v>
      </c>
      <c r="AI208" s="1614">
        <f t="shared" si="60"/>
        <v>0.13678101714648261</v>
      </c>
      <c r="AV208" s="1616"/>
      <c r="AW208" s="1616"/>
      <c r="AX208" s="1616"/>
    </row>
    <row r="209" spans="1:50" x14ac:dyDescent="0.25">
      <c r="A209" s="1620" t="s">
        <v>3974</v>
      </c>
      <c r="B209" s="1504">
        <v>100</v>
      </c>
      <c r="C209" s="1505">
        <v>4</v>
      </c>
      <c r="D209" s="1506">
        <v>356</v>
      </c>
      <c r="E209" s="1504">
        <v>76.2</v>
      </c>
      <c r="F209" s="1504">
        <v>157.19999999999999</v>
      </c>
      <c r="G209" s="1504">
        <v>203.2</v>
      </c>
      <c r="H209" s="1504">
        <v>11.13</v>
      </c>
      <c r="I209" s="1504">
        <v>8</v>
      </c>
      <c r="J209" s="1504">
        <v>273</v>
      </c>
      <c r="K209" s="1504">
        <v>41.1</v>
      </c>
      <c r="L209" s="1504"/>
      <c r="M209" s="1504">
        <v>165</v>
      </c>
      <c r="N209" s="1508"/>
      <c r="O209" s="1362"/>
      <c r="P209" s="1609">
        <v>114.3</v>
      </c>
      <c r="Q209" s="1504">
        <v>190</v>
      </c>
      <c r="R209" s="1610">
        <v>66</v>
      </c>
      <c r="S209" s="1609">
        <v>116.8</v>
      </c>
      <c r="T209" s="1504">
        <v>108</v>
      </c>
      <c r="U209" s="1504">
        <v>11</v>
      </c>
      <c r="V209" s="1610">
        <v>55</v>
      </c>
      <c r="W209" s="1609" t="s">
        <v>1712</v>
      </c>
      <c r="X209" s="1610" t="s">
        <v>1712</v>
      </c>
      <c r="Y209" s="1625">
        <v>60</v>
      </c>
      <c r="Z209" s="1609" t="s">
        <v>1712</v>
      </c>
      <c r="AA209" s="1504" t="s">
        <v>1712</v>
      </c>
      <c r="AB209" s="1610" t="s">
        <v>1712</v>
      </c>
      <c r="AC209" s="1612">
        <f t="shared" si="54"/>
        <v>8.5222612232461054E-2</v>
      </c>
      <c r="AD209" s="1613">
        <f t="shared" si="55"/>
        <v>9.9538221636339005E-2</v>
      </c>
      <c r="AE209" s="1613">
        <f t="shared" si="56"/>
        <v>4.086376378674466E-2</v>
      </c>
      <c r="AF209" s="1614">
        <f t="shared" si="57"/>
        <v>0.22562459765554471</v>
      </c>
      <c r="AG209" s="1615">
        <f t="shared" si="58"/>
        <v>8.5222612232461054E-2</v>
      </c>
      <c r="AH209" s="1613">
        <f t="shared" si="59"/>
        <v>9.9538221636339005E-2</v>
      </c>
      <c r="AI209" s="1614">
        <f t="shared" si="60"/>
        <v>0.18476083386880005</v>
      </c>
      <c r="AV209" s="1616"/>
      <c r="AW209" s="1616"/>
      <c r="AX209" s="1616"/>
    </row>
    <row r="210" spans="1:50" x14ac:dyDescent="0.25">
      <c r="A210" s="1620" t="s">
        <v>3975</v>
      </c>
      <c r="B210" s="1504">
        <v>125</v>
      </c>
      <c r="C210" s="1505">
        <v>5</v>
      </c>
      <c r="D210" s="1506">
        <v>419</v>
      </c>
      <c r="E210" s="1504">
        <v>91.9</v>
      </c>
      <c r="F210" s="1504">
        <v>185.7</v>
      </c>
      <c r="G210" s="1504">
        <v>241.3</v>
      </c>
      <c r="H210" s="1504">
        <v>12.7</v>
      </c>
      <c r="I210" s="1504">
        <v>8</v>
      </c>
      <c r="J210" s="1504">
        <v>323.89999999999998</v>
      </c>
      <c r="K210" s="1504">
        <v>47.8</v>
      </c>
      <c r="L210" s="1504"/>
      <c r="M210" s="1504">
        <v>203</v>
      </c>
      <c r="N210" s="1508"/>
      <c r="O210" s="1362"/>
      <c r="P210" s="1609">
        <v>141.30000000000001</v>
      </c>
      <c r="Q210" s="1504">
        <v>229</v>
      </c>
      <c r="R210" s="1610">
        <v>111</v>
      </c>
      <c r="S210" s="1609">
        <v>144.5</v>
      </c>
      <c r="T210" s="1504">
        <v>130</v>
      </c>
      <c r="U210" s="1504">
        <v>11</v>
      </c>
      <c r="V210" s="1610">
        <v>93</v>
      </c>
      <c r="W210" s="1609" t="s">
        <v>1712</v>
      </c>
      <c r="X210" s="1610" t="s">
        <v>1712</v>
      </c>
      <c r="Y210" s="1625">
        <v>100</v>
      </c>
      <c r="Z210" s="1609" t="s">
        <v>1712</v>
      </c>
      <c r="AA210" s="1504" t="s">
        <v>1712</v>
      </c>
      <c r="AB210" s="1610" t="s">
        <v>1712</v>
      </c>
      <c r="AC210" s="1612">
        <f t="shared" si="54"/>
        <v>0.12097048087839393</v>
      </c>
      <c r="AD210" s="1613">
        <f t="shared" si="55"/>
        <v>0.13788528696421942</v>
      </c>
      <c r="AE210" s="1613">
        <f t="shared" si="56"/>
        <v>6.0859655451651798E-2</v>
      </c>
      <c r="AF210" s="1614">
        <f t="shared" si="57"/>
        <v>0.31971542329426517</v>
      </c>
      <c r="AG210" s="1615">
        <f t="shared" si="58"/>
        <v>0.12097048087839393</v>
      </c>
      <c r="AH210" s="1613">
        <f t="shared" si="59"/>
        <v>0.13788528696421942</v>
      </c>
      <c r="AI210" s="1614">
        <f t="shared" si="60"/>
        <v>0.25885576784261333</v>
      </c>
      <c r="AV210" s="1616"/>
      <c r="AW210" s="1616"/>
      <c r="AX210" s="1616"/>
    </row>
    <row r="211" spans="1:50" x14ac:dyDescent="0.25">
      <c r="A211" s="1620" t="s">
        <v>3976</v>
      </c>
      <c r="B211" s="1504">
        <v>150</v>
      </c>
      <c r="C211" s="1505">
        <v>6</v>
      </c>
      <c r="D211" s="1506">
        <v>483</v>
      </c>
      <c r="E211" s="1504">
        <v>108</v>
      </c>
      <c r="F211" s="1504">
        <v>215.9</v>
      </c>
      <c r="G211" s="1504">
        <v>279.39999999999998</v>
      </c>
      <c r="H211" s="1504">
        <v>12.7</v>
      </c>
      <c r="I211" s="1504">
        <v>8</v>
      </c>
      <c r="J211" s="1504">
        <v>368.3</v>
      </c>
      <c r="K211" s="1504">
        <v>53.8</v>
      </c>
      <c r="L211" s="1504"/>
      <c r="M211" s="1504">
        <v>235</v>
      </c>
      <c r="N211" s="1508"/>
      <c r="O211" s="1362"/>
      <c r="P211" s="1609">
        <v>168.3</v>
      </c>
      <c r="Q211" s="1504">
        <v>273</v>
      </c>
      <c r="R211" s="1610">
        <v>172</v>
      </c>
      <c r="S211" s="1609">
        <v>171.4</v>
      </c>
      <c r="T211" s="1504">
        <v>152</v>
      </c>
      <c r="U211" s="1504">
        <v>13</v>
      </c>
      <c r="V211" s="1610">
        <v>142</v>
      </c>
      <c r="W211" s="1609" t="s">
        <v>1712</v>
      </c>
      <c r="X211" s="1610" t="s">
        <v>1712</v>
      </c>
      <c r="Y211" s="1625">
        <v>140</v>
      </c>
      <c r="Z211" s="1609" t="s">
        <v>1712</v>
      </c>
      <c r="AA211" s="1504" t="s">
        <v>1712</v>
      </c>
      <c r="AB211" s="1610" t="s">
        <v>1712</v>
      </c>
      <c r="AC211" s="1612">
        <f t="shared" si="54"/>
        <v>0.16387803918185795</v>
      </c>
      <c r="AD211" s="1613">
        <f t="shared" si="55"/>
        <v>0.18322475214082731</v>
      </c>
      <c r="AE211" s="1613">
        <f t="shared" si="56"/>
        <v>8.7240457193861753E-2</v>
      </c>
      <c r="AF211" s="1614">
        <f t="shared" si="57"/>
        <v>0.43434324851654704</v>
      </c>
      <c r="AG211" s="1615">
        <f t="shared" si="58"/>
        <v>0.16387803918185795</v>
      </c>
      <c r="AH211" s="1613">
        <f t="shared" si="59"/>
        <v>0.18322475214082731</v>
      </c>
      <c r="AI211" s="1614">
        <f t="shared" si="60"/>
        <v>0.34710279132268529</v>
      </c>
      <c r="AV211" s="1616"/>
      <c r="AW211" s="1616"/>
      <c r="AX211" s="1616"/>
    </row>
    <row r="212" spans="1:50" x14ac:dyDescent="0.25">
      <c r="A212" s="1620" t="s">
        <v>3977</v>
      </c>
      <c r="B212" s="1504">
        <v>200</v>
      </c>
      <c r="C212" s="1505">
        <v>8</v>
      </c>
      <c r="D212" s="1506">
        <v>552</v>
      </c>
      <c r="E212" s="1504">
        <v>127</v>
      </c>
      <c r="F212" s="1504">
        <v>269.89999999999998</v>
      </c>
      <c r="G212" s="1504">
        <v>339.9</v>
      </c>
      <c r="H212" s="1504">
        <v>14.27</v>
      </c>
      <c r="I212" s="1504">
        <v>12</v>
      </c>
      <c r="J212" s="1504">
        <v>438.2</v>
      </c>
      <c r="K212" s="1504">
        <v>53.8</v>
      </c>
      <c r="L212" s="1504"/>
      <c r="M212" s="1504">
        <v>305</v>
      </c>
      <c r="N212" s="1508"/>
      <c r="O212" s="1362"/>
      <c r="P212" s="1609">
        <v>219.1</v>
      </c>
      <c r="Q212" s="1504">
        <v>317</v>
      </c>
      <c r="R212" s="1610">
        <v>261</v>
      </c>
      <c r="S212" s="1609">
        <v>222.2</v>
      </c>
      <c r="T212" s="1504">
        <v>178</v>
      </c>
      <c r="U212" s="1504">
        <v>13</v>
      </c>
      <c r="V212" s="1610">
        <v>214</v>
      </c>
      <c r="W212" s="1609" t="s">
        <v>1712</v>
      </c>
      <c r="X212" s="1610" t="s">
        <v>1712</v>
      </c>
      <c r="Y212" s="1625">
        <v>236</v>
      </c>
      <c r="Z212" s="1609" t="s">
        <v>1712</v>
      </c>
      <c r="AA212" s="1504" t="s">
        <v>1712</v>
      </c>
      <c r="AB212" s="1610" t="s">
        <v>1712</v>
      </c>
      <c r="AC212" s="1612">
        <f t="shared" si="54"/>
        <v>0.22023821138725885</v>
      </c>
      <c r="AD212" s="1613">
        <f t="shared" si="55"/>
        <v>0.23931396197985608</v>
      </c>
      <c r="AE212" s="1613">
        <f t="shared" si="56"/>
        <v>0.1307813605762895</v>
      </c>
      <c r="AF212" s="1614">
        <f t="shared" si="57"/>
        <v>0.59033353394340438</v>
      </c>
      <c r="AG212" s="1615">
        <f t="shared" si="58"/>
        <v>0.22023821138725885</v>
      </c>
      <c r="AH212" s="1613">
        <f t="shared" si="59"/>
        <v>0.23931396197985608</v>
      </c>
      <c r="AI212" s="1614">
        <f t="shared" si="60"/>
        <v>0.45955217336711496</v>
      </c>
      <c r="AV212" s="1616"/>
      <c r="AW212" s="1616"/>
      <c r="AX212" s="1616"/>
    </row>
    <row r="213" spans="1:50" x14ac:dyDescent="0.25">
      <c r="A213" s="1620" t="s">
        <v>3978</v>
      </c>
      <c r="B213" s="1504">
        <v>250</v>
      </c>
      <c r="C213" s="1505">
        <v>10</v>
      </c>
      <c r="D213" s="1506">
        <v>673</v>
      </c>
      <c r="E213" s="1504">
        <v>165.1</v>
      </c>
      <c r="F213" s="1504">
        <v>323.8</v>
      </c>
      <c r="G213" s="1504">
        <v>425.5</v>
      </c>
      <c r="H213" s="1504">
        <v>17.48</v>
      </c>
      <c r="I213" s="1504">
        <v>12</v>
      </c>
      <c r="J213" s="1504">
        <v>539.79999999999995</v>
      </c>
      <c r="K213" s="1504">
        <v>66.5</v>
      </c>
      <c r="L213" s="1504"/>
      <c r="M213" s="1504">
        <v>375</v>
      </c>
      <c r="N213" s="1508"/>
      <c r="O213" s="1362"/>
      <c r="P213" s="1609">
        <v>273</v>
      </c>
      <c r="Q213" s="1504">
        <v>419</v>
      </c>
      <c r="R213" s="1610">
        <v>485</v>
      </c>
      <c r="S213" s="1609">
        <v>277.39999999999998</v>
      </c>
      <c r="T213" s="1504">
        <v>229</v>
      </c>
      <c r="U213" s="1504">
        <v>13</v>
      </c>
      <c r="V213" s="1610">
        <v>407</v>
      </c>
      <c r="W213" s="1609" t="s">
        <v>1712</v>
      </c>
      <c r="X213" s="1610" t="s">
        <v>1712</v>
      </c>
      <c r="Y213" s="1625">
        <v>450</v>
      </c>
      <c r="Z213" s="1609" t="s">
        <v>1712</v>
      </c>
      <c r="AA213" s="1504" t="s">
        <v>1712</v>
      </c>
      <c r="AB213" s="1610" t="s">
        <v>1712</v>
      </c>
      <c r="AC213" s="1612">
        <f t="shared" si="54"/>
        <v>0.34906958540346517</v>
      </c>
      <c r="AD213" s="1613">
        <f t="shared" si="55"/>
        <v>0.35572960474944282</v>
      </c>
      <c r="AE213" s="1613">
        <f t="shared" si="56"/>
        <v>0.21775855230578045</v>
      </c>
      <c r="AF213" s="1614">
        <f t="shared" si="57"/>
        <v>0.92255774245868838</v>
      </c>
      <c r="AG213" s="1615">
        <f t="shared" si="58"/>
        <v>0.34906958540346517</v>
      </c>
      <c r="AH213" s="1613">
        <f t="shared" si="59"/>
        <v>0.35572960474944282</v>
      </c>
      <c r="AI213" s="1614">
        <f t="shared" si="60"/>
        <v>0.70479919015290804</v>
      </c>
      <c r="AV213" s="1616"/>
      <c r="AW213" s="1616"/>
      <c r="AX213" s="1616"/>
    </row>
    <row r="214" spans="1:50" ht="13.2" thickBot="1" x14ac:dyDescent="0.3">
      <c r="A214" s="186" t="s">
        <v>3979</v>
      </c>
      <c r="B214" s="166">
        <v>300</v>
      </c>
      <c r="C214" s="187">
        <v>12</v>
      </c>
      <c r="D214" s="171">
        <v>762</v>
      </c>
      <c r="E214" s="166">
        <v>184.2</v>
      </c>
      <c r="F214" s="166">
        <v>381</v>
      </c>
      <c r="G214" s="166">
        <v>495.3</v>
      </c>
      <c r="H214" s="166">
        <v>17.48</v>
      </c>
      <c r="I214" s="166">
        <v>12</v>
      </c>
      <c r="J214" s="166">
        <v>619.29999999999995</v>
      </c>
      <c r="K214" s="166">
        <v>73.2</v>
      </c>
      <c r="L214" s="166"/>
      <c r="M214" s="166">
        <v>441</v>
      </c>
      <c r="N214" s="188"/>
      <c r="O214" s="167"/>
      <c r="P214" s="168">
        <v>323.89999999999998</v>
      </c>
      <c r="Q214" s="166">
        <v>464</v>
      </c>
      <c r="R214" s="169">
        <v>730</v>
      </c>
      <c r="S214" s="168">
        <v>328.2</v>
      </c>
      <c r="T214" s="166">
        <v>254</v>
      </c>
      <c r="U214" s="166">
        <v>13</v>
      </c>
      <c r="V214" s="169">
        <v>573</v>
      </c>
      <c r="W214" s="168" t="s">
        <v>1712</v>
      </c>
      <c r="X214" s="169" t="s">
        <v>1712</v>
      </c>
      <c r="Y214" s="189">
        <v>650</v>
      </c>
      <c r="Z214" s="168" t="s">
        <v>1712</v>
      </c>
      <c r="AA214" s="166" t="s">
        <v>1712</v>
      </c>
      <c r="AB214" s="169" t="s">
        <v>1712</v>
      </c>
      <c r="AC214" s="178">
        <f t="shared" si="54"/>
        <v>0.44095520149492473</v>
      </c>
      <c r="AD214" s="179">
        <f t="shared" si="55"/>
        <v>0.45603673118774796</v>
      </c>
      <c r="AE214" s="179">
        <f t="shared" si="56"/>
        <v>0.28471380856726597</v>
      </c>
      <c r="AF214" s="180">
        <f t="shared" si="57"/>
        <v>1.1817057412499388</v>
      </c>
      <c r="AG214" s="181">
        <f t="shared" si="58"/>
        <v>0.44095520149492473</v>
      </c>
      <c r="AH214" s="179">
        <f t="shared" si="59"/>
        <v>0.45603673118774796</v>
      </c>
      <c r="AI214" s="180">
        <f t="shared" si="60"/>
        <v>0.89699193268267274</v>
      </c>
      <c r="AV214" s="593"/>
      <c r="AW214" s="593"/>
      <c r="AX214" s="593"/>
    </row>
    <row r="215" spans="1:50" hidden="1" outlineLevel="1" x14ac:dyDescent="0.25">
      <c r="A215" s="182"/>
      <c r="B215" s="183"/>
      <c r="C215" s="184"/>
      <c r="D215" s="183"/>
      <c r="E215" s="183"/>
      <c r="F215" s="183"/>
      <c r="G215" s="183"/>
      <c r="H215" s="183"/>
      <c r="I215" s="183"/>
      <c r="J215" s="183"/>
      <c r="K215" s="183"/>
      <c r="L215" s="183"/>
      <c r="M215" s="183"/>
      <c r="N215" s="183"/>
      <c r="O215" s="142"/>
      <c r="P215" s="142"/>
      <c r="Q215" s="142"/>
      <c r="R215" s="142"/>
      <c r="S215" s="142"/>
      <c r="T215" s="142"/>
      <c r="U215" s="142"/>
      <c r="V215" s="142"/>
      <c r="W215" s="142"/>
      <c r="X215" s="142"/>
      <c r="Y215" s="142"/>
      <c r="Z215" s="142"/>
      <c r="AA215" s="142"/>
      <c r="AB215" s="142"/>
      <c r="AC215" s="142"/>
      <c r="AD215" s="142"/>
      <c r="AE215" s="142"/>
      <c r="AF215" s="142"/>
      <c r="AG215" s="142"/>
      <c r="AH215" s="142"/>
      <c r="AI215" s="144"/>
      <c r="AV215" s="589"/>
      <c r="AW215" s="589"/>
      <c r="AX215" s="589"/>
    </row>
    <row r="216" spans="1:50" hidden="1" outlineLevel="1" x14ac:dyDescent="0.25">
      <c r="A216" s="141"/>
      <c r="B216" s="142"/>
      <c r="C216" s="143"/>
      <c r="D216" s="142"/>
      <c r="E216" s="142"/>
      <c r="F216" s="142"/>
      <c r="G216" s="142"/>
      <c r="H216" s="142"/>
      <c r="I216" s="142"/>
      <c r="J216" s="142"/>
      <c r="K216" s="142"/>
      <c r="L216" s="142"/>
      <c r="M216" s="142"/>
      <c r="N216" s="142"/>
      <c r="O216" s="142"/>
      <c r="P216" s="142"/>
      <c r="Q216" s="142"/>
      <c r="R216" s="142"/>
      <c r="S216" s="142"/>
      <c r="T216" s="142"/>
      <c r="U216" s="142"/>
      <c r="V216" s="142"/>
      <c r="W216" s="142"/>
      <c r="X216" s="142"/>
      <c r="Y216" s="142"/>
      <c r="Z216" s="142"/>
      <c r="AA216" s="142"/>
      <c r="AB216" s="142"/>
      <c r="AC216" s="142"/>
      <c r="AD216" s="142"/>
      <c r="AE216" s="142"/>
      <c r="AF216" s="142"/>
      <c r="AG216" s="142"/>
      <c r="AH216" s="142"/>
      <c r="AI216" s="144"/>
      <c r="AV216" s="589"/>
      <c r="AW216" s="589"/>
      <c r="AX216" s="589"/>
    </row>
    <row r="217" spans="1:50" hidden="1" outlineLevel="1" x14ac:dyDescent="0.25">
      <c r="A217" s="141"/>
      <c r="B217" s="142"/>
      <c r="C217" s="143"/>
      <c r="D217" s="142"/>
      <c r="E217" s="142"/>
      <c r="F217" s="142"/>
      <c r="G217" s="142"/>
      <c r="H217" s="142"/>
      <c r="I217" s="142"/>
      <c r="J217" s="142"/>
      <c r="K217" s="142"/>
      <c r="L217" s="142"/>
      <c r="M217" s="142"/>
      <c r="N217" s="142"/>
      <c r="O217" s="142"/>
      <c r="P217" s="142"/>
      <c r="Q217" s="142"/>
      <c r="R217" s="142"/>
      <c r="S217" s="142"/>
      <c r="T217" s="142"/>
      <c r="U217" s="142"/>
      <c r="V217" s="142"/>
      <c r="W217" s="142"/>
      <c r="X217" s="142"/>
      <c r="Y217" s="142"/>
      <c r="Z217" s="142"/>
      <c r="AA217" s="142"/>
      <c r="AB217" s="142"/>
      <c r="AC217" s="142"/>
      <c r="AD217" s="142"/>
      <c r="AE217" s="142"/>
      <c r="AF217" s="142"/>
      <c r="AG217" s="142"/>
      <c r="AH217" s="142"/>
      <c r="AI217" s="144"/>
      <c r="AV217" s="589"/>
      <c r="AW217" s="589"/>
      <c r="AX217" s="589"/>
    </row>
    <row r="218" spans="1:50" hidden="1" outlineLevel="1" x14ac:dyDescent="0.25">
      <c r="A218" s="141"/>
      <c r="B218" s="142"/>
      <c r="C218" s="143"/>
      <c r="D218" s="142"/>
      <c r="E218" s="142"/>
      <c r="F218" s="142"/>
      <c r="G218" s="142"/>
      <c r="H218" s="142"/>
      <c r="I218" s="142"/>
      <c r="J218" s="142"/>
      <c r="K218" s="142"/>
      <c r="L218" s="142"/>
      <c r="M218" s="142"/>
      <c r="N218" s="142"/>
      <c r="O218" s="142"/>
      <c r="P218" s="142"/>
      <c r="Q218" s="142"/>
      <c r="R218" s="142"/>
      <c r="S218" s="142"/>
      <c r="T218" s="142"/>
      <c r="U218" s="142"/>
      <c r="V218" s="142"/>
      <c r="W218" s="142"/>
      <c r="X218" s="142"/>
      <c r="Y218" s="142"/>
      <c r="Z218" s="142"/>
      <c r="AA218" s="142"/>
      <c r="AB218" s="142"/>
      <c r="AC218" s="142"/>
      <c r="AD218" s="142"/>
      <c r="AE218" s="142"/>
      <c r="AF218" s="142"/>
      <c r="AG218" s="142"/>
      <c r="AH218" s="142"/>
      <c r="AI218" s="144"/>
      <c r="AV218" s="589"/>
      <c r="AW218" s="589"/>
      <c r="AX218" s="589"/>
    </row>
    <row r="219" spans="1:50" hidden="1" outlineLevel="1" x14ac:dyDescent="0.25">
      <c r="A219" s="141"/>
      <c r="B219" s="142"/>
      <c r="C219" s="143"/>
      <c r="D219" s="142"/>
      <c r="E219" s="142"/>
      <c r="F219" s="142"/>
      <c r="G219" s="142"/>
      <c r="H219" s="142"/>
      <c r="I219" s="142"/>
      <c r="J219" s="142"/>
      <c r="K219" s="142"/>
      <c r="L219" s="142"/>
      <c r="M219" s="142"/>
      <c r="N219" s="142"/>
      <c r="O219" s="142"/>
      <c r="P219" s="142"/>
      <c r="Q219" s="142"/>
      <c r="R219" s="142"/>
      <c r="S219" s="142"/>
      <c r="T219" s="142"/>
      <c r="U219" s="142"/>
      <c r="V219" s="142"/>
      <c r="W219" s="142"/>
      <c r="X219" s="142"/>
      <c r="Y219" s="142"/>
      <c r="Z219" s="142"/>
      <c r="AA219" s="142"/>
      <c r="AB219" s="142"/>
      <c r="AC219" s="142"/>
      <c r="AD219" s="142"/>
      <c r="AE219" s="142"/>
      <c r="AF219" s="142"/>
      <c r="AG219" s="142"/>
      <c r="AH219" s="142"/>
      <c r="AI219" s="144"/>
      <c r="AV219" s="589"/>
      <c r="AW219" s="589"/>
      <c r="AX219" s="589"/>
    </row>
    <row r="220" spans="1:50" hidden="1" outlineLevel="1" x14ac:dyDescent="0.25">
      <c r="A220" s="141"/>
      <c r="B220" s="142"/>
      <c r="C220" s="143"/>
      <c r="D220" s="142"/>
      <c r="E220" s="142"/>
      <c r="F220" s="142"/>
      <c r="G220" s="142"/>
      <c r="H220" s="142"/>
      <c r="I220" s="142"/>
      <c r="J220" s="142"/>
      <c r="K220" s="142"/>
      <c r="L220" s="142"/>
      <c r="M220" s="142"/>
      <c r="N220" s="142"/>
      <c r="O220" s="142"/>
      <c r="P220" s="142"/>
      <c r="Q220" s="142"/>
      <c r="R220" s="142"/>
      <c r="S220" s="142"/>
      <c r="T220" s="142"/>
      <c r="U220" s="142"/>
      <c r="V220" s="142"/>
      <c r="W220" s="142"/>
      <c r="X220" s="142"/>
      <c r="Y220" s="142"/>
      <c r="Z220" s="142"/>
      <c r="AA220" s="142"/>
      <c r="AB220" s="142"/>
      <c r="AC220" s="142"/>
      <c r="AD220" s="142"/>
      <c r="AE220" s="142"/>
      <c r="AF220" s="142"/>
      <c r="AG220" s="142"/>
      <c r="AH220" s="142"/>
      <c r="AI220" s="144"/>
      <c r="AV220" s="589"/>
      <c r="AW220" s="589"/>
      <c r="AX220" s="589"/>
    </row>
    <row r="221" spans="1:50" hidden="1" outlineLevel="1" x14ac:dyDescent="0.25">
      <c r="A221" s="141"/>
      <c r="B221" s="142"/>
      <c r="C221" s="143"/>
      <c r="D221" s="142"/>
      <c r="E221" s="142"/>
      <c r="F221" s="142"/>
      <c r="G221" s="142"/>
      <c r="H221" s="142"/>
      <c r="I221" s="142"/>
      <c r="J221" s="142"/>
      <c r="K221" s="142"/>
      <c r="L221" s="142"/>
      <c r="M221" s="142"/>
      <c r="N221" s="142"/>
      <c r="O221" s="142"/>
      <c r="P221" s="142"/>
      <c r="Q221" s="142"/>
      <c r="R221" s="142"/>
      <c r="S221" s="142"/>
      <c r="T221" s="142"/>
      <c r="U221" s="142"/>
      <c r="V221" s="142"/>
      <c r="W221" s="142"/>
      <c r="X221" s="142"/>
      <c r="Y221" s="142"/>
      <c r="Z221" s="142"/>
      <c r="AA221" s="142"/>
      <c r="AB221" s="142"/>
      <c r="AC221" s="142"/>
      <c r="AD221" s="142"/>
      <c r="AE221" s="142"/>
      <c r="AF221" s="142"/>
      <c r="AG221" s="142"/>
      <c r="AH221" s="142"/>
      <c r="AI221" s="144"/>
      <c r="AV221" s="589"/>
      <c r="AW221" s="589"/>
      <c r="AX221" s="589"/>
    </row>
    <row r="222" spans="1:50" hidden="1" outlineLevel="1" x14ac:dyDescent="0.25">
      <c r="A222" s="141"/>
      <c r="B222" s="142"/>
      <c r="C222" s="143"/>
      <c r="D222" s="142"/>
      <c r="E222" s="142"/>
      <c r="F222" s="142"/>
      <c r="G222" s="142"/>
      <c r="H222" s="142"/>
      <c r="I222" s="142"/>
      <c r="J222" s="142"/>
      <c r="K222" s="142"/>
      <c r="L222" s="142"/>
      <c r="M222" s="142"/>
      <c r="N222" s="142"/>
      <c r="O222" s="142"/>
      <c r="P222" s="142"/>
      <c r="Q222" s="142"/>
      <c r="R222" s="142"/>
      <c r="S222" s="142"/>
      <c r="T222" s="142"/>
      <c r="U222" s="142"/>
      <c r="V222" s="142"/>
      <c r="W222" s="142"/>
      <c r="X222" s="142"/>
      <c r="Y222" s="142"/>
      <c r="Z222" s="142"/>
      <c r="AA222" s="142"/>
      <c r="AB222" s="142"/>
      <c r="AC222" s="142"/>
      <c r="AD222" s="142"/>
      <c r="AE222" s="142"/>
      <c r="AF222" s="142"/>
      <c r="AG222" s="142"/>
      <c r="AH222" s="142"/>
      <c r="AI222" s="144"/>
      <c r="AV222" s="589"/>
      <c r="AW222" s="589"/>
      <c r="AX222" s="589"/>
    </row>
    <row r="223" spans="1:50" hidden="1" outlineLevel="1" x14ac:dyDescent="0.25">
      <c r="A223" s="141"/>
      <c r="B223" s="142"/>
      <c r="C223" s="143"/>
      <c r="D223" s="142"/>
      <c r="E223" s="142"/>
      <c r="F223" s="142"/>
      <c r="G223" s="142"/>
      <c r="H223" s="142"/>
      <c r="I223" s="142"/>
      <c r="J223" s="142"/>
      <c r="K223" s="142"/>
      <c r="L223" s="142"/>
      <c r="M223" s="142"/>
      <c r="N223" s="142"/>
      <c r="O223" s="142"/>
      <c r="P223" s="142"/>
      <c r="Q223" s="142"/>
      <c r="R223" s="142"/>
      <c r="S223" s="142"/>
      <c r="T223" s="142"/>
      <c r="U223" s="142"/>
      <c r="V223" s="142"/>
      <c r="W223" s="142"/>
      <c r="X223" s="142"/>
      <c r="Y223" s="142"/>
      <c r="Z223" s="142"/>
      <c r="AA223" s="142"/>
      <c r="AB223" s="142"/>
      <c r="AC223" s="142"/>
      <c r="AD223" s="142"/>
      <c r="AE223" s="142"/>
      <c r="AF223" s="142"/>
      <c r="AG223" s="142"/>
      <c r="AH223" s="142"/>
      <c r="AI223" s="144"/>
      <c r="AV223" s="589"/>
      <c r="AW223" s="589"/>
      <c r="AX223" s="589"/>
    </row>
    <row r="224" spans="1:50" hidden="1" outlineLevel="1" x14ac:dyDescent="0.25">
      <c r="A224" s="141"/>
      <c r="B224" s="142"/>
      <c r="C224" s="143"/>
      <c r="D224" s="142"/>
      <c r="E224" s="142"/>
      <c r="F224" s="142"/>
      <c r="G224" s="142"/>
      <c r="H224" s="142"/>
      <c r="I224" s="142"/>
      <c r="J224" s="142"/>
      <c r="K224" s="142"/>
      <c r="L224" s="142"/>
      <c r="M224" s="142"/>
      <c r="N224" s="142"/>
      <c r="O224" s="142"/>
      <c r="P224" s="142"/>
      <c r="Q224" s="142"/>
      <c r="R224" s="142"/>
      <c r="S224" s="142"/>
      <c r="T224" s="142"/>
      <c r="U224" s="142"/>
      <c r="V224" s="142"/>
      <c r="W224" s="142"/>
      <c r="X224" s="142"/>
      <c r="Y224" s="142"/>
      <c r="Z224" s="142"/>
      <c r="AA224" s="142"/>
      <c r="AB224" s="142"/>
      <c r="AC224" s="142"/>
      <c r="AD224" s="142"/>
      <c r="AE224" s="142"/>
      <c r="AF224" s="142"/>
      <c r="AG224" s="142"/>
      <c r="AH224" s="142"/>
      <c r="AI224" s="144"/>
      <c r="AV224" s="589"/>
      <c r="AW224" s="589"/>
      <c r="AX224" s="589"/>
    </row>
    <row r="225" spans="1:50" hidden="1" outlineLevel="1" x14ac:dyDescent="0.25">
      <c r="A225" s="141"/>
      <c r="B225" s="142"/>
      <c r="C225" s="143"/>
      <c r="D225" s="142"/>
      <c r="E225" s="142"/>
      <c r="F225" s="142"/>
      <c r="G225" s="142"/>
      <c r="H225" s="142"/>
      <c r="I225" s="142"/>
      <c r="J225" s="142"/>
      <c r="K225" s="142"/>
      <c r="L225" s="142"/>
      <c r="M225" s="142"/>
      <c r="N225" s="142"/>
      <c r="O225" s="142"/>
      <c r="P225" s="142"/>
      <c r="Q225" s="142"/>
      <c r="R225" s="142"/>
      <c r="S225" s="142"/>
      <c r="T225" s="142"/>
      <c r="U225" s="142"/>
      <c r="V225" s="142"/>
      <c r="W225" s="142"/>
      <c r="X225" s="142"/>
      <c r="Y225" s="142"/>
      <c r="Z225" s="142"/>
      <c r="AA225" s="142"/>
      <c r="AB225" s="142"/>
      <c r="AC225" s="142"/>
      <c r="AD225" s="142"/>
      <c r="AE225" s="142"/>
      <c r="AF225" s="142"/>
      <c r="AG225" s="142"/>
      <c r="AH225" s="142"/>
      <c r="AI225" s="144"/>
      <c r="AV225" s="589"/>
      <c r="AW225" s="589"/>
      <c r="AX225" s="589"/>
    </row>
    <row r="226" spans="1:50" hidden="1" outlineLevel="1" x14ac:dyDescent="0.25">
      <c r="A226" s="141"/>
      <c r="B226" s="142"/>
      <c r="C226" s="143"/>
      <c r="D226" s="142"/>
      <c r="E226" s="142"/>
      <c r="F226" s="142"/>
      <c r="G226" s="142"/>
      <c r="H226" s="142"/>
      <c r="I226" s="142"/>
      <c r="J226" s="142"/>
      <c r="K226" s="142"/>
      <c r="L226" s="142"/>
      <c r="M226" s="142"/>
      <c r="N226" s="142"/>
      <c r="O226" s="142"/>
      <c r="P226" s="142"/>
      <c r="Q226" s="142"/>
      <c r="R226" s="142"/>
      <c r="S226" s="142"/>
      <c r="T226" s="142"/>
      <c r="U226" s="142"/>
      <c r="V226" s="142"/>
      <c r="W226" s="142"/>
      <c r="X226" s="142"/>
      <c r="Y226" s="142"/>
      <c r="Z226" s="142"/>
      <c r="AA226" s="142"/>
      <c r="AB226" s="142"/>
      <c r="AC226" s="142"/>
      <c r="AD226" s="142"/>
      <c r="AE226" s="142"/>
      <c r="AF226" s="142"/>
      <c r="AG226" s="142"/>
      <c r="AH226" s="142"/>
      <c r="AI226" s="144"/>
      <c r="AV226" s="589"/>
      <c r="AW226" s="589"/>
      <c r="AX226" s="589"/>
    </row>
    <row r="227" spans="1:50" hidden="1" outlineLevel="1" x14ac:dyDescent="0.25">
      <c r="A227" s="141"/>
      <c r="B227" s="142"/>
      <c r="C227" s="143"/>
      <c r="D227" s="142"/>
      <c r="E227" s="142"/>
      <c r="F227" s="142"/>
      <c r="G227" s="142"/>
      <c r="H227" s="142"/>
      <c r="I227" s="142"/>
      <c r="J227" s="142"/>
      <c r="K227" s="142"/>
      <c r="L227" s="142"/>
      <c r="M227" s="142"/>
      <c r="N227" s="142"/>
      <c r="O227" s="142"/>
      <c r="P227" s="142"/>
      <c r="Q227" s="142"/>
      <c r="R227" s="142"/>
      <c r="S227" s="142"/>
      <c r="T227" s="142"/>
      <c r="U227" s="142"/>
      <c r="V227" s="142"/>
      <c r="W227" s="142"/>
      <c r="X227" s="142"/>
      <c r="Y227" s="142"/>
      <c r="Z227" s="142"/>
      <c r="AA227" s="142"/>
      <c r="AB227" s="142"/>
      <c r="AC227" s="142"/>
      <c r="AD227" s="142"/>
      <c r="AE227" s="142"/>
      <c r="AF227" s="142"/>
      <c r="AG227" s="142"/>
      <c r="AH227" s="142"/>
      <c r="AI227" s="144"/>
      <c r="AV227" s="589"/>
      <c r="AW227" s="589"/>
      <c r="AX227" s="589"/>
    </row>
    <row r="228" spans="1:50" hidden="1" outlineLevel="1" x14ac:dyDescent="0.25">
      <c r="A228" s="141"/>
      <c r="B228" s="142"/>
      <c r="C228" s="143"/>
      <c r="D228" s="142"/>
      <c r="E228" s="142"/>
      <c r="F228" s="142"/>
      <c r="G228" s="142"/>
      <c r="H228" s="142"/>
      <c r="I228" s="142"/>
      <c r="J228" s="142"/>
      <c r="K228" s="142"/>
      <c r="L228" s="142"/>
      <c r="M228" s="142"/>
      <c r="N228" s="142"/>
      <c r="O228" s="142"/>
      <c r="P228" s="142"/>
      <c r="Q228" s="142"/>
      <c r="R228" s="142"/>
      <c r="S228" s="142"/>
      <c r="T228" s="142"/>
      <c r="U228" s="142"/>
      <c r="V228" s="142"/>
      <c r="W228" s="142"/>
      <c r="X228" s="142"/>
      <c r="Y228" s="142"/>
      <c r="Z228" s="142"/>
      <c r="AA228" s="142"/>
      <c r="AB228" s="142"/>
      <c r="AC228" s="142"/>
      <c r="AD228" s="142"/>
      <c r="AE228" s="142"/>
      <c r="AF228" s="142"/>
      <c r="AG228" s="142"/>
      <c r="AH228" s="142"/>
      <c r="AI228" s="144"/>
      <c r="AV228" s="589"/>
      <c r="AW228" s="589"/>
      <c r="AX228" s="589"/>
    </row>
    <row r="229" spans="1:50" ht="13.2" hidden="1" outlineLevel="1" thickBot="1" x14ac:dyDescent="0.3">
      <c r="A229" s="145"/>
      <c r="B229" s="146"/>
      <c r="C229" s="147"/>
      <c r="D229" s="146"/>
      <c r="E229" s="146"/>
      <c r="F229" s="146"/>
      <c r="G229" s="146"/>
      <c r="H229" s="146"/>
      <c r="I229" s="146"/>
      <c r="J229" s="146"/>
      <c r="K229" s="146"/>
      <c r="L229" s="146"/>
      <c r="M229" s="146"/>
      <c r="N229" s="146"/>
      <c r="O229" s="146"/>
      <c r="P229" s="146"/>
      <c r="Q229" s="146"/>
      <c r="R229" s="146"/>
      <c r="S229" s="146"/>
      <c r="T229" s="146"/>
      <c r="U229" s="146"/>
      <c r="V229" s="146"/>
      <c r="W229" s="146"/>
      <c r="X229" s="146"/>
      <c r="Y229" s="146"/>
      <c r="Z229" s="146"/>
      <c r="AA229" s="146"/>
      <c r="AB229" s="146"/>
      <c r="AC229" s="146"/>
      <c r="AD229" s="146"/>
      <c r="AE229" s="146"/>
      <c r="AF229" s="146"/>
      <c r="AG229" s="146"/>
      <c r="AH229" s="146"/>
      <c r="AI229" s="148"/>
      <c r="AV229" s="590"/>
      <c r="AW229" s="590"/>
      <c r="AX229" s="590"/>
    </row>
    <row r="230" spans="1:50" s="155" customFormat="1" ht="18.600000000000001" collapsed="1" thickBot="1" x14ac:dyDescent="0.4">
      <c r="A230" s="206" t="s">
        <v>3980</v>
      </c>
      <c r="B230" s="207"/>
      <c r="C230" s="208"/>
      <c r="D230" s="207"/>
      <c r="E230" s="207"/>
      <c r="F230" s="207"/>
      <c r="G230" s="207"/>
      <c r="H230" s="207"/>
      <c r="I230" s="207"/>
      <c r="J230" s="207"/>
      <c r="K230" s="207"/>
      <c r="L230" s="207"/>
      <c r="M230" s="207"/>
      <c r="N230" s="207"/>
      <c r="O230" s="207"/>
      <c r="P230" s="207"/>
      <c r="Q230" s="207"/>
      <c r="R230" s="207"/>
      <c r="S230" s="207"/>
      <c r="T230" s="207"/>
      <c r="U230" s="207"/>
      <c r="V230" s="207"/>
      <c r="W230" s="207"/>
      <c r="X230" s="207"/>
      <c r="Y230" s="207"/>
      <c r="Z230" s="209"/>
      <c r="AA230" s="207"/>
      <c r="AB230" s="207"/>
      <c r="AC230" s="207"/>
      <c r="AD230" s="207"/>
      <c r="AE230" s="207"/>
      <c r="AF230" s="207"/>
      <c r="AG230" s="207"/>
      <c r="AH230" s="207"/>
      <c r="AI230" s="210"/>
      <c r="AV230" s="597"/>
      <c r="AW230" s="597"/>
      <c r="AX230" s="597"/>
    </row>
    <row r="231" spans="1:50" ht="12.75" customHeight="1" thickBot="1" x14ac:dyDescent="0.3">
      <c r="A231" s="211"/>
      <c r="B231" s="212"/>
      <c r="C231" s="213"/>
      <c r="D231" s="212"/>
      <c r="E231" s="1867" t="s">
        <v>3981</v>
      </c>
      <c r="F231" s="1868"/>
      <c r="G231" s="1868"/>
      <c r="H231" s="1868"/>
      <c r="I231" s="1868"/>
      <c r="J231" s="1868"/>
      <c r="K231" s="1868"/>
      <c r="L231" s="1868"/>
      <c r="M231" s="1868"/>
      <c r="N231" s="1868"/>
      <c r="O231" s="1868"/>
      <c r="P231" s="1868"/>
      <c r="Q231" s="1868"/>
      <c r="R231" s="1868"/>
      <c r="S231" s="1868"/>
      <c r="T231" s="1868"/>
      <c r="U231" s="1868"/>
      <c r="V231" s="1868"/>
      <c r="W231" s="1868"/>
      <c r="X231" s="1869"/>
      <c r="Y231" s="1869"/>
      <c r="Z231" s="1868"/>
      <c r="AA231" s="1868"/>
      <c r="AB231" s="1870"/>
      <c r="AC231" s="1871" t="s">
        <v>3982</v>
      </c>
      <c r="AD231" s="1872"/>
      <c r="AE231" s="1872"/>
      <c r="AF231" s="1872"/>
      <c r="AG231" s="1872"/>
      <c r="AH231" s="1872"/>
      <c r="AI231" s="1873"/>
      <c r="AJ231" s="1868" t="s">
        <v>3982</v>
      </c>
      <c r="AK231" s="1868"/>
      <c r="AL231" s="1868"/>
      <c r="AM231" s="1868"/>
      <c r="AN231" s="1868"/>
      <c r="AO231" s="1868"/>
      <c r="AP231" s="1868"/>
      <c r="AQ231" s="1868"/>
      <c r="AR231" s="1868"/>
      <c r="AS231" s="1868"/>
      <c r="AT231" s="1868"/>
      <c r="AU231" s="1870"/>
      <c r="AV231" s="598"/>
      <c r="AW231" s="598"/>
      <c r="AX231" s="598"/>
    </row>
    <row r="232" spans="1:50" ht="13.2" thickBot="1" x14ac:dyDescent="0.3">
      <c r="A232" s="214"/>
      <c r="B232" s="215"/>
      <c r="C232" s="216"/>
      <c r="D232" s="217"/>
      <c r="E232" s="218"/>
      <c r="F232" s="218"/>
      <c r="G232" s="218"/>
      <c r="H232" s="218"/>
      <c r="I232" s="218"/>
      <c r="J232" s="218"/>
      <c r="K232" s="218"/>
      <c r="L232" s="218"/>
      <c r="M232" s="218"/>
      <c r="N232" s="218"/>
      <c r="O232" s="219" t="s">
        <v>3818</v>
      </c>
      <c r="P232" s="220" t="s">
        <v>3818</v>
      </c>
      <c r="Q232" s="220" t="s">
        <v>3818</v>
      </c>
      <c r="R232" s="221" t="s">
        <v>3818</v>
      </c>
      <c r="S232" s="218"/>
      <c r="T232" s="218"/>
      <c r="U232" s="218"/>
      <c r="V232" s="218"/>
      <c r="W232" s="218"/>
      <c r="X232" s="161" t="s">
        <v>345</v>
      </c>
      <c r="Y232" s="139" t="s">
        <v>345</v>
      </c>
      <c r="Z232" s="218"/>
      <c r="AA232" s="218"/>
      <c r="AB232" s="218"/>
      <c r="AC232" s="161" t="s">
        <v>3818</v>
      </c>
      <c r="AD232" s="162" t="s">
        <v>3818</v>
      </c>
      <c r="AE232" s="162" t="s">
        <v>3818</v>
      </c>
      <c r="AF232" s="163" t="s">
        <v>3818</v>
      </c>
      <c r="AG232" s="162" t="s">
        <v>345</v>
      </c>
      <c r="AH232" s="137" t="s">
        <v>345</v>
      </c>
      <c r="AI232" s="139" t="s">
        <v>345</v>
      </c>
      <c r="AJ232" s="222"/>
      <c r="AK232" s="223"/>
      <c r="AL232" s="137"/>
      <c r="AM232" s="137"/>
      <c r="AN232" s="137" t="s">
        <v>3817</v>
      </c>
      <c r="AO232" s="137" t="s">
        <v>3817</v>
      </c>
      <c r="AP232" s="137" t="s">
        <v>3817</v>
      </c>
      <c r="AQ232" s="137" t="s">
        <v>3817</v>
      </c>
      <c r="AR232" s="139" t="s">
        <v>3817</v>
      </c>
      <c r="AS232" s="224" t="s">
        <v>3818</v>
      </c>
      <c r="AT232" s="225" t="s">
        <v>3818</v>
      </c>
      <c r="AU232" s="226" t="s">
        <v>3818</v>
      </c>
      <c r="AV232" s="592"/>
      <c r="AW232" s="592" t="str">
        <f>$AW$19</f>
        <v>LWN</v>
      </c>
      <c r="AX232" s="592" t="str">
        <f>$AW$19</f>
        <v>LWN</v>
      </c>
    </row>
    <row r="233" spans="1:50" x14ac:dyDescent="0.25">
      <c r="A233" s="1349"/>
      <c r="B233" s="1633" t="s">
        <v>3820</v>
      </c>
      <c r="C233" s="1634"/>
      <c r="D233" s="1635" t="s">
        <v>3821</v>
      </c>
      <c r="E233" s="1453" t="s">
        <v>2348</v>
      </c>
      <c r="F233" s="1453" t="s">
        <v>3823</v>
      </c>
      <c r="G233" s="1454"/>
      <c r="H233" s="1454"/>
      <c r="I233" s="1880" t="s">
        <v>3825</v>
      </c>
      <c r="J233" s="1880"/>
      <c r="K233" s="1880"/>
      <c r="L233" s="1454"/>
      <c r="M233" s="1454"/>
      <c r="N233" s="1455"/>
      <c r="O233" s="1456" t="s">
        <v>3828</v>
      </c>
      <c r="P233" s="1453" t="s">
        <v>3983</v>
      </c>
      <c r="Q233" s="1453" t="s">
        <v>3827</v>
      </c>
      <c r="R233" s="1636" t="s">
        <v>184</v>
      </c>
      <c r="S233" s="1457"/>
      <c r="T233" s="1454"/>
      <c r="U233" s="1454"/>
      <c r="V233" s="1454"/>
      <c r="W233" s="1455"/>
      <c r="X233" s="1353" t="s">
        <v>2348</v>
      </c>
      <c r="Y233" s="1637" t="s">
        <v>184</v>
      </c>
      <c r="Z233" s="1457"/>
      <c r="AA233" s="1455"/>
      <c r="AB233" s="227"/>
      <c r="AC233" s="1350" t="s">
        <v>3834</v>
      </c>
      <c r="AD233" s="1593" t="s">
        <v>3835</v>
      </c>
      <c r="AE233" s="1593" t="s">
        <v>3836</v>
      </c>
      <c r="AF233" s="1598" t="s">
        <v>336</v>
      </c>
      <c r="AG233" s="1595" t="s">
        <v>3834</v>
      </c>
      <c r="AH233" s="1593" t="s">
        <v>3835</v>
      </c>
      <c r="AI233" s="1598" t="s">
        <v>336</v>
      </c>
      <c r="AJ233" s="1635" t="s">
        <v>3824</v>
      </c>
      <c r="AK233" s="1638" t="s">
        <v>2417</v>
      </c>
      <c r="AL233" s="1633" t="s">
        <v>3822</v>
      </c>
      <c r="AM233" s="1633" t="s">
        <v>3823</v>
      </c>
      <c r="AN233" s="1633" t="s">
        <v>3827</v>
      </c>
      <c r="AO233" s="1633" t="s">
        <v>3983</v>
      </c>
      <c r="AP233" s="1633" t="s">
        <v>3828</v>
      </c>
      <c r="AQ233" s="1633" t="s">
        <v>3826</v>
      </c>
      <c r="AR233" s="1637" t="s">
        <v>184</v>
      </c>
      <c r="AS233" s="1354" t="s">
        <v>3828</v>
      </c>
      <c r="AT233" s="1633" t="s">
        <v>12</v>
      </c>
      <c r="AU233" s="1637" t="s">
        <v>184</v>
      </c>
      <c r="AV233" s="1639"/>
      <c r="AW233" s="1639" t="s">
        <v>184</v>
      </c>
      <c r="AX233" s="1598" t="str">
        <f>$AX$20</f>
        <v>Unit Surface</v>
      </c>
    </row>
    <row r="234" spans="1:50" ht="13.2" thickBot="1" x14ac:dyDescent="0.3">
      <c r="A234" s="1600"/>
      <c r="B234" s="1640" t="s">
        <v>59</v>
      </c>
      <c r="C234" s="1641" t="s">
        <v>1685</v>
      </c>
      <c r="D234" s="1642" t="s">
        <v>93</v>
      </c>
      <c r="E234" s="1640" t="s">
        <v>93</v>
      </c>
      <c r="F234" s="1640" t="s">
        <v>93</v>
      </c>
      <c r="G234" s="1643"/>
      <c r="H234" s="1643"/>
      <c r="I234" s="1640" t="s">
        <v>3837</v>
      </c>
      <c r="J234" s="1640" t="s">
        <v>3838</v>
      </c>
      <c r="K234" s="1640" t="s">
        <v>3839</v>
      </c>
      <c r="L234" s="1643"/>
      <c r="M234" s="1643"/>
      <c r="N234" s="1644"/>
      <c r="O234" s="1645" t="s">
        <v>93</v>
      </c>
      <c r="P234" s="1640" t="s">
        <v>93</v>
      </c>
      <c r="Q234" s="1640" t="s">
        <v>93</v>
      </c>
      <c r="R234" s="1646" t="s">
        <v>222</v>
      </c>
      <c r="S234" s="1647"/>
      <c r="T234" s="1643"/>
      <c r="U234" s="1643"/>
      <c r="V234" s="1643"/>
      <c r="W234" s="1644"/>
      <c r="X234" s="1645" t="s">
        <v>93</v>
      </c>
      <c r="Y234" s="1646" t="s">
        <v>222</v>
      </c>
      <c r="Z234" s="1647"/>
      <c r="AA234" s="1644"/>
      <c r="AB234" s="1648"/>
      <c r="AC234" s="1627" t="s">
        <v>228</v>
      </c>
      <c r="AD234" s="1601" t="s">
        <v>228</v>
      </c>
      <c r="AE234" s="1601" t="s">
        <v>228</v>
      </c>
      <c r="AF234" s="1628" t="s">
        <v>228</v>
      </c>
      <c r="AG234" s="1603" t="s">
        <v>228</v>
      </c>
      <c r="AH234" s="1601" t="s">
        <v>228</v>
      </c>
      <c r="AI234" s="1628" t="s">
        <v>228</v>
      </c>
      <c r="AJ234" s="1642" t="s">
        <v>93</v>
      </c>
      <c r="AK234" s="1640" t="s">
        <v>93</v>
      </c>
      <c r="AL234" s="1640" t="s">
        <v>93</v>
      </c>
      <c r="AM234" s="1640" t="s">
        <v>93</v>
      </c>
      <c r="AN234" s="1640" t="s">
        <v>93</v>
      </c>
      <c r="AO234" s="1640" t="s">
        <v>93</v>
      </c>
      <c r="AP234" s="1640" t="s">
        <v>93</v>
      </c>
      <c r="AQ234" s="1640" t="s">
        <v>93</v>
      </c>
      <c r="AR234" s="1646" t="s">
        <v>222</v>
      </c>
      <c r="AS234" s="1649" t="s">
        <v>93</v>
      </c>
      <c r="AT234" s="1640" t="s">
        <v>93</v>
      </c>
      <c r="AU234" s="1646" t="s">
        <v>222</v>
      </c>
      <c r="AV234" s="1650"/>
      <c r="AW234" s="1650" t="s">
        <v>222</v>
      </c>
      <c r="AX234" s="593" t="str">
        <f>$AX$21</f>
        <v>m2</v>
      </c>
    </row>
    <row r="235" spans="1:50" ht="13.2" thickBot="1" x14ac:dyDescent="0.3">
      <c r="A235" s="228" t="s">
        <v>3840</v>
      </c>
      <c r="B235" s="229">
        <v>0</v>
      </c>
      <c r="C235" s="229">
        <v>0</v>
      </c>
      <c r="D235" s="229">
        <v>0</v>
      </c>
      <c r="E235" s="137">
        <v>0</v>
      </c>
      <c r="F235" s="137">
        <v>0</v>
      </c>
      <c r="G235" s="230"/>
      <c r="H235" s="230"/>
      <c r="I235" s="137">
        <v>0</v>
      </c>
      <c r="J235" s="137">
        <v>0</v>
      </c>
      <c r="K235" s="137">
        <v>0</v>
      </c>
      <c r="L235" s="230"/>
      <c r="M235" s="230"/>
      <c r="N235" s="231"/>
      <c r="O235" s="161">
        <v>0</v>
      </c>
      <c r="P235" s="137">
        <v>0</v>
      </c>
      <c r="Q235" s="137">
        <v>0</v>
      </c>
      <c r="R235" s="139">
        <v>0</v>
      </c>
      <c r="S235" s="232"/>
      <c r="T235" s="230"/>
      <c r="U235" s="230"/>
      <c r="V235" s="230"/>
      <c r="W235" s="231"/>
      <c r="X235" s="161">
        <v>0</v>
      </c>
      <c r="Y235" s="139">
        <v>0</v>
      </c>
      <c r="Z235" s="232"/>
      <c r="AA235" s="231"/>
      <c r="AB235" s="160"/>
      <c r="AC235" s="161">
        <v>0</v>
      </c>
      <c r="AD235" s="137">
        <v>0</v>
      </c>
      <c r="AE235" s="137">
        <v>0</v>
      </c>
      <c r="AF235" s="139">
        <v>0</v>
      </c>
      <c r="AG235" s="162">
        <v>0</v>
      </c>
      <c r="AH235" s="137">
        <v>0</v>
      </c>
      <c r="AI235" s="139">
        <v>0</v>
      </c>
      <c r="AJ235" s="162">
        <v>0</v>
      </c>
      <c r="AK235" s="137">
        <v>0</v>
      </c>
      <c r="AL235" s="137">
        <v>0</v>
      </c>
      <c r="AM235" s="137">
        <v>0</v>
      </c>
      <c r="AN235" s="137">
        <v>0</v>
      </c>
      <c r="AO235" s="137">
        <v>0</v>
      </c>
      <c r="AP235" s="137">
        <v>0</v>
      </c>
      <c r="AQ235" s="137">
        <v>0</v>
      </c>
      <c r="AR235" s="139">
        <v>0</v>
      </c>
      <c r="AS235" s="161">
        <v>0</v>
      </c>
      <c r="AT235" s="137">
        <v>0</v>
      </c>
      <c r="AU235" s="139">
        <v>0</v>
      </c>
      <c r="AV235" s="595"/>
      <c r="AW235" s="595">
        <v>0</v>
      </c>
      <c r="AX235" s="595">
        <v>0</v>
      </c>
    </row>
    <row r="236" spans="1:50" x14ac:dyDescent="0.25">
      <c r="A236" s="1444" t="s">
        <v>3984</v>
      </c>
      <c r="B236" s="1350">
        <v>650</v>
      </c>
      <c r="C236" s="1651">
        <v>26</v>
      </c>
      <c r="D236" s="1593">
        <v>869.9</v>
      </c>
      <c r="E236" s="1593">
        <v>68.3</v>
      </c>
      <c r="F236" s="1593">
        <v>749.3</v>
      </c>
      <c r="G236" s="1652"/>
      <c r="H236" s="1652"/>
      <c r="I236" s="1593">
        <v>24</v>
      </c>
      <c r="J236" s="1593">
        <v>806.4</v>
      </c>
      <c r="K236" s="1593">
        <v>34.9</v>
      </c>
      <c r="L236" s="1652"/>
      <c r="M236" s="1652"/>
      <c r="N236" s="1653"/>
      <c r="O236" s="1350">
        <v>120.6</v>
      </c>
      <c r="P236" s="1593">
        <v>9.6</v>
      </c>
      <c r="Q236" s="1593">
        <v>676.2</v>
      </c>
      <c r="R236" s="1598">
        <v>143</v>
      </c>
      <c r="S236" s="1654"/>
      <c r="T236" s="1652"/>
      <c r="U236" s="1652"/>
      <c r="V236" s="1652"/>
      <c r="W236" s="1653"/>
      <c r="X236" s="1350"/>
      <c r="Y236" s="1598">
        <v>323</v>
      </c>
      <c r="Z236" s="1654"/>
      <c r="AA236" s="1655"/>
      <c r="AB236" s="1656"/>
      <c r="AC236" s="1619">
        <f t="shared" ref="AC236:AC247" si="61">PI()*D236*AL236/1000000</f>
        <v>0.13882986962737426</v>
      </c>
      <c r="AD236" s="1617">
        <f>D236^2*PI()/4/1000000</f>
        <v>0.5943312184490791</v>
      </c>
      <c r="AE236" s="1617">
        <f t="shared" ref="AE236:AE247" si="62">AT236*PI()*(AS236-AL236)/1000000</f>
        <v>0.15809273347841929</v>
      </c>
      <c r="AF236" s="1618">
        <f>AE236+AD236+AC236</f>
        <v>0.89125382155487265</v>
      </c>
      <c r="AG236" s="1619">
        <f t="shared" ref="AG236:AG247" si="63">PI()*D236*AL236/1000000</f>
        <v>0.13882986962737426</v>
      </c>
      <c r="AH236" s="1617">
        <f>D236^2*PI()/4/1000000</f>
        <v>0.5943312184490791</v>
      </c>
      <c r="AI236" s="1618">
        <f>AH236+AG236</f>
        <v>0.73316108807645342</v>
      </c>
      <c r="AJ236" s="1447" t="s">
        <v>1712</v>
      </c>
      <c r="AK236" s="1445" t="s">
        <v>1712</v>
      </c>
      <c r="AL236" s="1445">
        <v>50.8</v>
      </c>
      <c r="AM236" s="1445">
        <v>742.9</v>
      </c>
      <c r="AN236" s="1445">
        <v>723.9</v>
      </c>
      <c r="AO236" s="1445">
        <v>6.4</v>
      </c>
      <c r="AP236" s="1445">
        <v>85.7</v>
      </c>
      <c r="AQ236" s="1445">
        <v>666.7</v>
      </c>
      <c r="AR236" s="1605">
        <v>106</v>
      </c>
      <c r="AS236" s="1449">
        <v>127</v>
      </c>
      <c r="AT236" s="1445">
        <v>660.4</v>
      </c>
      <c r="AU236" s="1605">
        <v>136</v>
      </c>
      <c r="AV236" s="1599"/>
      <c r="AW236" s="1599"/>
      <c r="AX236" s="1599"/>
    </row>
    <row r="237" spans="1:50" x14ac:dyDescent="0.25">
      <c r="A237" s="1620" t="s">
        <v>3985</v>
      </c>
      <c r="B237" s="1609">
        <v>700</v>
      </c>
      <c r="C237" s="1507">
        <v>28</v>
      </c>
      <c r="D237" s="1504">
        <v>927.1</v>
      </c>
      <c r="E237" s="1504">
        <v>71.400000000000006</v>
      </c>
      <c r="F237" s="1504">
        <v>800.1</v>
      </c>
      <c r="G237" s="1657"/>
      <c r="H237" s="1657"/>
      <c r="I237" s="1504">
        <v>28</v>
      </c>
      <c r="J237" s="1504">
        <v>863.6</v>
      </c>
      <c r="K237" s="1504">
        <v>34.9</v>
      </c>
      <c r="L237" s="1657"/>
      <c r="M237" s="1657"/>
      <c r="N237" s="1658"/>
      <c r="O237" s="1609">
        <v>125.5</v>
      </c>
      <c r="P237" s="1504">
        <v>11.2</v>
      </c>
      <c r="Q237" s="1504">
        <v>726.9</v>
      </c>
      <c r="R237" s="1610">
        <v>185</v>
      </c>
      <c r="S237" s="1659"/>
      <c r="T237" s="1657"/>
      <c r="U237" s="1657"/>
      <c r="V237" s="1657"/>
      <c r="W237" s="1658"/>
      <c r="X237" s="1609"/>
      <c r="Y237" s="1610">
        <v>382</v>
      </c>
      <c r="Z237" s="1659"/>
      <c r="AA237" s="1660"/>
      <c r="AB237" s="1661"/>
      <c r="AC237" s="1615">
        <f t="shared" si="61"/>
        <v>0.15261869677509829</v>
      </c>
      <c r="AD237" s="1613">
        <f t="shared" ref="AD237:AD247" si="64">D237^2*PI()/4/1000000</f>
        <v>0.67506103902764136</v>
      </c>
      <c r="AE237" s="1613">
        <f t="shared" si="62"/>
        <v>0.17025371297675923</v>
      </c>
      <c r="AF237" s="1614">
        <f t="shared" ref="AF237:AF247" si="65">AE237+AD237+AC237</f>
        <v>0.99793344877949897</v>
      </c>
      <c r="AG237" s="1615">
        <f t="shared" si="63"/>
        <v>0.15261869677509829</v>
      </c>
      <c r="AH237" s="1613">
        <f t="shared" ref="AH237:AH247" si="66">D237^2*PI()/4/1000000</f>
        <v>0.67506103902764136</v>
      </c>
      <c r="AI237" s="1614">
        <f t="shared" ref="AI237:AI247" si="67">AH237+AG237</f>
        <v>0.82767973580273968</v>
      </c>
      <c r="AJ237" s="1506" t="s">
        <v>1712</v>
      </c>
      <c r="AK237" s="1504" t="s">
        <v>1712</v>
      </c>
      <c r="AL237" s="1504">
        <v>52.4</v>
      </c>
      <c r="AM237" s="1504">
        <v>793.7</v>
      </c>
      <c r="AN237" s="1504">
        <v>781</v>
      </c>
      <c r="AO237" s="1504">
        <v>6.4</v>
      </c>
      <c r="AP237" s="1504">
        <v>87.3</v>
      </c>
      <c r="AQ237" s="1504">
        <v>717.5</v>
      </c>
      <c r="AR237" s="1610">
        <v>126</v>
      </c>
      <c r="AS237" s="1609">
        <v>128.6</v>
      </c>
      <c r="AT237" s="1504">
        <v>711.2</v>
      </c>
      <c r="AU237" s="1610">
        <v>143</v>
      </c>
      <c r="AV237" s="1616"/>
      <c r="AW237" s="1616"/>
      <c r="AX237" s="1616"/>
    </row>
    <row r="238" spans="1:50" x14ac:dyDescent="0.25">
      <c r="A238" s="1620" t="s">
        <v>3986</v>
      </c>
      <c r="B238" s="1609">
        <v>750</v>
      </c>
      <c r="C238" s="1507">
        <v>30</v>
      </c>
      <c r="D238" s="1504">
        <v>984.2</v>
      </c>
      <c r="E238" s="1504">
        <v>74.7</v>
      </c>
      <c r="F238" s="1504">
        <v>857.2</v>
      </c>
      <c r="G238" s="1657"/>
      <c r="H238" s="1657"/>
      <c r="I238" s="1504">
        <v>28</v>
      </c>
      <c r="J238" s="1504">
        <v>914.4</v>
      </c>
      <c r="K238" s="1504">
        <v>34.9</v>
      </c>
      <c r="L238" s="1657"/>
      <c r="M238" s="1657"/>
      <c r="N238" s="1658"/>
      <c r="O238" s="1609">
        <v>136.6</v>
      </c>
      <c r="P238" s="1504">
        <v>11.2</v>
      </c>
      <c r="Q238" s="1504">
        <v>781</v>
      </c>
      <c r="R238" s="1610">
        <v>199</v>
      </c>
      <c r="S238" s="1659"/>
      <c r="T238" s="1657"/>
      <c r="U238" s="1657"/>
      <c r="V238" s="1657"/>
      <c r="W238" s="1658"/>
      <c r="X238" s="1609"/>
      <c r="Y238" s="1610">
        <v>450</v>
      </c>
      <c r="Z238" s="1659"/>
      <c r="AA238" s="1660"/>
      <c r="AB238" s="1661"/>
      <c r="AC238" s="1615">
        <f t="shared" si="61"/>
        <v>0.166965596441806</v>
      </c>
      <c r="AD238" s="1613">
        <f t="shared" si="64"/>
        <v>0.7607756482315996</v>
      </c>
      <c r="AE238" s="1613">
        <f t="shared" si="62"/>
        <v>0.18241469247509914</v>
      </c>
      <c r="AF238" s="1614">
        <f t="shared" si="65"/>
        <v>1.1101559371485048</v>
      </c>
      <c r="AG238" s="1615">
        <f t="shared" si="63"/>
        <v>0.166965596441806</v>
      </c>
      <c r="AH238" s="1613">
        <f t="shared" si="66"/>
        <v>0.7607756482315996</v>
      </c>
      <c r="AI238" s="1614">
        <f t="shared" si="67"/>
        <v>0.92774124467340557</v>
      </c>
      <c r="AJ238" s="1506" t="s">
        <v>1712</v>
      </c>
      <c r="AK238" s="1504" t="s">
        <v>1712</v>
      </c>
      <c r="AL238" s="1504">
        <v>54</v>
      </c>
      <c r="AM238" s="1504">
        <v>857</v>
      </c>
      <c r="AN238" s="1504">
        <v>831.8</v>
      </c>
      <c r="AO238" s="1504">
        <v>6.4</v>
      </c>
      <c r="AP238" s="1504">
        <v>88.9</v>
      </c>
      <c r="AQ238" s="1504">
        <v>768.3</v>
      </c>
      <c r="AR238" s="1610">
        <v>140</v>
      </c>
      <c r="AS238" s="1609">
        <v>130.19999999999999</v>
      </c>
      <c r="AT238" s="1504">
        <v>762</v>
      </c>
      <c r="AU238" s="1610">
        <v>163</v>
      </c>
      <c r="AV238" s="1616"/>
      <c r="AW238" s="1616"/>
      <c r="AX238" s="1616"/>
    </row>
    <row r="239" spans="1:50" x14ac:dyDescent="0.25">
      <c r="A239" s="1620" t="s">
        <v>3987</v>
      </c>
      <c r="B239" s="1609">
        <v>800</v>
      </c>
      <c r="C239" s="1507">
        <v>32</v>
      </c>
      <c r="D239" s="1504">
        <v>1060.4000000000001</v>
      </c>
      <c r="E239" s="1504">
        <v>80.8</v>
      </c>
      <c r="F239" s="1504">
        <v>914.4</v>
      </c>
      <c r="G239" s="1657"/>
      <c r="H239" s="1657"/>
      <c r="I239" s="1504">
        <v>28</v>
      </c>
      <c r="J239" s="1504">
        <v>977.9</v>
      </c>
      <c r="K239" s="1504">
        <v>41.3</v>
      </c>
      <c r="L239" s="1657"/>
      <c r="M239" s="1657"/>
      <c r="N239" s="1658"/>
      <c r="O239" s="1609">
        <v>144.5</v>
      </c>
      <c r="P239" s="1504">
        <v>11.2</v>
      </c>
      <c r="Q239" s="1504">
        <v>831.8</v>
      </c>
      <c r="R239" s="1610">
        <v>255</v>
      </c>
      <c r="S239" s="1659"/>
      <c r="T239" s="1657"/>
      <c r="U239" s="1657"/>
      <c r="V239" s="1657"/>
      <c r="W239" s="1658"/>
      <c r="X239" s="1609"/>
      <c r="Y239" s="1610">
        <v>560</v>
      </c>
      <c r="Z239" s="1659"/>
      <c r="AA239" s="1660"/>
      <c r="AB239" s="1661"/>
      <c r="AC239" s="1615">
        <f t="shared" si="61"/>
        <v>0.19021979092738384</v>
      </c>
      <c r="AD239" s="1613">
        <f t="shared" si="64"/>
        <v>0.88313951969964022</v>
      </c>
      <c r="AE239" s="1613">
        <f t="shared" si="62"/>
        <v>0.19457567197343917</v>
      </c>
      <c r="AF239" s="1614">
        <f t="shared" si="65"/>
        <v>1.2679349826004631</v>
      </c>
      <c r="AG239" s="1615">
        <f t="shared" si="63"/>
        <v>0.19021979092738384</v>
      </c>
      <c r="AH239" s="1613">
        <f t="shared" si="66"/>
        <v>0.88313951969964022</v>
      </c>
      <c r="AI239" s="1614">
        <f t="shared" si="67"/>
        <v>1.0733593106270241</v>
      </c>
      <c r="AJ239" s="1506" t="s">
        <v>1712</v>
      </c>
      <c r="AK239" s="1504" t="s">
        <v>1712</v>
      </c>
      <c r="AL239" s="1504">
        <v>57.1</v>
      </c>
      <c r="AM239" s="1504">
        <v>908</v>
      </c>
      <c r="AN239" s="1504">
        <v>889</v>
      </c>
      <c r="AO239" s="1504">
        <v>8</v>
      </c>
      <c r="AP239" s="1504">
        <v>92.1</v>
      </c>
      <c r="AQ239" s="1504">
        <v>819.1</v>
      </c>
      <c r="AR239" s="1610">
        <v>168</v>
      </c>
      <c r="AS239" s="1609">
        <v>133.30000000000001</v>
      </c>
      <c r="AT239" s="1504">
        <v>812.8</v>
      </c>
      <c r="AU239" s="1610">
        <v>197</v>
      </c>
      <c r="AV239" s="1616"/>
      <c r="AW239" s="1616"/>
      <c r="AX239" s="1616"/>
    </row>
    <row r="240" spans="1:50" x14ac:dyDescent="0.25">
      <c r="A240" s="1620" t="s">
        <v>3988</v>
      </c>
      <c r="B240" s="1609">
        <v>850</v>
      </c>
      <c r="C240" s="1507">
        <v>34</v>
      </c>
      <c r="D240" s="1504">
        <v>1111.2</v>
      </c>
      <c r="E240" s="1504">
        <v>82.6</v>
      </c>
      <c r="F240" s="1504">
        <v>965.2</v>
      </c>
      <c r="G240" s="1657"/>
      <c r="H240" s="1657"/>
      <c r="I240" s="1504">
        <v>32</v>
      </c>
      <c r="J240" s="1504">
        <v>1028.7</v>
      </c>
      <c r="K240" s="1504">
        <v>41.3</v>
      </c>
      <c r="L240" s="1657"/>
      <c r="M240" s="1657"/>
      <c r="N240" s="1658"/>
      <c r="O240" s="1609">
        <v>149.4</v>
      </c>
      <c r="P240" s="1504">
        <v>12.7</v>
      </c>
      <c r="Q240" s="1504">
        <v>882.6</v>
      </c>
      <c r="R240" s="1610">
        <v>275</v>
      </c>
      <c r="S240" s="1659"/>
      <c r="T240" s="1657"/>
      <c r="U240" s="1657"/>
      <c r="V240" s="1657"/>
      <c r="W240" s="1658"/>
      <c r="X240" s="1609"/>
      <c r="Y240" s="1610">
        <v>630</v>
      </c>
      <c r="Z240" s="1659"/>
      <c r="AA240" s="1660"/>
      <c r="AB240" s="1661"/>
      <c r="AC240" s="1615">
        <f t="shared" si="61"/>
        <v>0.20491804631646904</v>
      </c>
      <c r="AD240" s="1613">
        <f t="shared" si="64"/>
        <v>0.96978250880264227</v>
      </c>
      <c r="AE240" s="1613">
        <f t="shared" si="62"/>
        <v>0.20673665147177908</v>
      </c>
      <c r="AF240" s="1614">
        <f t="shared" si="65"/>
        <v>1.3814372065908904</v>
      </c>
      <c r="AG240" s="1615">
        <f t="shared" si="63"/>
        <v>0.20491804631646904</v>
      </c>
      <c r="AH240" s="1613">
        <f t="shared" si="66"/>
        <v>0.96978250880264227</v>
      </c>
      <c r="AI240" s="1614">
        <f t="shared" si="67"/>
        <v>1.1747005551191112</v>
      </c>
      <c r="AJ240" s="1506" t="s">
        <v>1712</v>
      </c>
      <c r="AK240" s="1504" t="s">
        <v>1712</v>
      </c>
      <c r="AL240" s="1504">
        <v>58.7</v>
      </c>
      <c r="AM240" s="1504">
        <v>958.8</v>
      </c>
      <c r="AN240" s="1504">
        <v>939.8</v>
      </c>
      <c r="AO240" s="1504">
        <v>8</v>
      </c>
      <c r="AP240" s="1504">
        <v>93.7</v>
      </c>
      <c r="AQ240" s="1504">
        <v>869.9</v>
      </c>
      <c r="AR240" s="1610">
        <v>179</v>
      </c>
      <c r="AS240" s="1609">
        <v>134.9</v>
      </c>
      <c r="AT240" s="1504">
        <v>863.6</v>
      </c>
      <c r="AU240" s="1610">
        <v>211</v>
      </c>
      <c r="AV240" s="1616"/>
      <c r="AW240" s="1616"/>
      <c r="AX240" s="1616"/>
    </row>
    <row r="241" spans="1:50" x14ac:dyDescent="0.25">
      <c r="A241" s="1620" t="s">
        <v>3989</v>
      </c>
      <c r="B241" s="1609">
        <v>900</v>
      </c>
      <c r="C241" s="1507">
        <v>36</v>
      </c>
      <c r="D241" s="1504">
        <v>1168.4000000000001</v>
      </c>
      <c r="E241" s="1504">
        <v>90.4</v>
      </c>
      <c r="F241" s="1504">
        <v>1022.3</v>
      </c>
      <c r="G241" s="1657"/>
      <c r="H241" s="1657"/>
      <c r="I241" s="1504">
        <v>32</v>
      </c>
      <c r="J241" s="1504">
        <v>1085.8</v>
      </c>
      <c r="K241" s="1504">
        <v>41.3</v>
      </c>
      <c r="L241" s="1657"/>
      <c r="M241" s="1657"/>
      <c r="N241" s="1658"/>
      <c r="O241" s="1609">
        <v>157.19999999999999</v>
      </c>
      <c r="P241" s="1504">
        <v>12.7</v>
      </c>
      <c r="Q241" s="1504">
        <v>933.4</v>
      </c>
      <c r="R241" s="1610">
        <v>367</v>
      </c>
      <c r="S241" s="1659"/>
      <c r="T241" s="1657"/>
      <c r="U241" s="1657"/>
      <c r="V241" s="1657"/>
      <c r="W241" s="1658"/>
      <c r="X241" s="1609"/>
      <c r="Y241" s="1610">
        <v>765</v>
      </c>
      <c r="Z241" s="1659"/>
      <c r="AA241" s="1660"/>
      <c r="AB241" s="1661"/>
      <c r="AC241" s="1615">
        <f t="shared" si="61"/>
        <v>0.22133940244419514</v>
      </c>
      <c r="AD241" s="1613">
        <f t="shared" si="64"/>
        <v>1.0721930257703054</v>
      </c>
      <c r="AE241" s="1613">
        <f t="shared" si="62"/>
        <v>0.21889763097011902</v>
      </c>
      <c r="AF241" s="1614">
        <f t="shared" si="65"/>
        <v>1.5124300591846196</v>
      </c>
      <c r="AG241" s="1615">
        <f t="shared" si="63"/>
        <v>0.22133940244419514</v>
      </c>
      <c r="AH241" s="1613">
        <f t="shared" si="66"/>
        <v>1.0721930257703054</v>
      </c>
      <c r="AI241" s="1614">
        <f t="shared" si="67"/>
        <v>1.2935324282145007</v>
      </c>
      <c r="AJ241" s="1506" t="s">
        <v>1712</v>
      </c>
      <c r="AK241" s="1504" t="s">
        <v>1712</v>
      </c>
      <c r="AL241" s="1504">
        <v>60.3</v>
      </c>
      <c r="AM241" s="1504">
        <v>1022.3</v>
      </c>
      <c r="AN241" s="1504">
        <v>996.9</v>
      </c>
      <c r="AO241" s="1504">
        <v>8</v>
      </c>
      <c r="AP241" s="1504">
        <v>95.2</v>
      </c>
      <c r="AQ241" s="1504">
        <v>920.7</v>
      </c>
      <c r="AR241" s="1610">
        <v>205</v>
      </c>
      <c r="AS241" s="1609">
        <v>136.5</v>
      </c>
      <c r="AT241" s="1504">
        <v>914.4</v>
      </c>
      <c r="AU241" s="1610">
        <v>236</v>
      </c>
      <c r="AV241" s="1616"/>
      <c r="AW241" s="1616"/>
      <c r="AX241" s="1616"/>
    </row>
    <row r="242" spans="1:50" x14ac:dyDescent="0.25">
      <c r="A242" s="1620" t="s">
        <v>3990</v>
      </c>
      <c r="B242" s="1609">
        <v>950</v>
      </c>
      <c r="C242" s="1507">
        <v>38</v>
      </c>
      <c r="D242" s="1504">
        <v>1238.2</v>
      </c>
      <c r="E242" s="1504">
        <v>87.4</v>
      </c>
      <c r="F242" s="1504">
        <v>1073.0999999999999</v>
      </c>
      <c r="G242" s="1657"/>
      <c r="H242" s="1657"/>
      <c r="I242" s="1504">
        <v>32</v>
      </c>
      <c r="J242" s="1504">
        <v>1149.3</v>
      </c>
      <c r="K242" s="1504">
        <v>41.3</v>
      </c>
      <c r="L242" s="1657"/>
      <c r="M242" s="1657"/>
      <c r="N242" s="1658"/>
      <c r="O242" s="1609">
        <v>157.19999999999999</v>
      </c>
      <c r="P242" s="1504">
        <v>12.7</v>
      </c>
      <c r="Q242" s="1504">
        <v>990.6</v>
      </c>
      <c r="R242" s="1610">
        <v>381</v>
      </c>
      <c r="S242" s="1659"/>
      <c r="T242" s="1657"/>
      <c r="U242" s="1657"/>
      <c r="V242" s="1657"/>
      <c r="W242" s="1658"/>
      <c r="X242" s="1609"/>
      <c r="Y242" s="1610">
        <v>850</v>
      </c>
      <c r="Z242" s="1659"/>
      <c r="AA242" s="1660"/>
      <c r="AB242" s="1661"/>
      <c r="AC242" s="1615">
        <f t="shared" si="61"/>
        <v>0.23456217742759536</v>
      </c>
      <c r="AD242" s="1613">
        <f t="shared" si="64"/>
        <v>1.20412474332856</v>
      </c>
      <c r="AE242" s="1613">
        <f t="shared" si="62"/>
        <v>0.23105861046845896</v>
      </c>
      <c r="AF242" s="1614">
        <f t="shared" si="65"/>
        <v>1.6697455312246143</v>
      </c>
      <c r="AG242" s="1615">
        <f t="shared" si="63"/>
        <v>0.23456217742759536</v>
      </c>
      <c r="AH242" s="1613">
        <f t="shared" si="66"/>
        <v>1.20412474332856</v>
      </c>
      <c r="AI242" s="1614">
        <f t="shared" si="67"/>
        <v>1.4386869207561555</v>
      </c>
      <c r="AJ242" s="1506" t="s">
        <v>1712</v>
      </c>
      <c r="AK242" s="1504" t="s">
        <v>1712</v>
      </c>
      <c r="AL242" s="1504">
        <v>60.3</v>
      </c>
      <c r="AM242" s="1504">
        <v>1073.0999999999999</v>
      </c>
      <c r="AN242" s="1504">
        <v>1060.4000000000001</v>
      </c>
      <c r="AO242" s="1504">
        <v>9.5</v>
      </c>
      <c r="AP242" s="1504">
        <v>95.2</v>
      </c>
      <c r="AQ242" s="1504">
        <v>971.5</v>
      </c>
      <c r="AR242" s="1610">
        <v>230</v>
      </c>
      <c r="AS242" s="1609">
        <v>136.5</v>
      </c>
      <c r="AT242" s="1504">
        <v>965.2</v>
      </c>
      <c r="AU242" s="1610">
        <v>270</v>
      </c>
      <c r="AV242" s="1616"/>
      <c r="AW242" s="1616"/>
      <c r="AX242" s="1616"/>
    </row>
    <row r="243" spans="1:50" x14ac:dyDescent="0.25">
      <c r="A243" s="1620" t="s">
        <v>3991</v>
      </c>
      <c r="B243" s="1609">
        <v>1000</v>
      </c>
      <c r="C243" s="1507">
        <v>40</v>
      </c>
      <c r="D243" s="1504">
        <v>1289</v>
      </c>
      <c r="E243" s="1504">
        <v>90.4</v>
      </c>
      <c r="F243" s="1504">
        <v>1123.9000000000001</v>
      </c>
      <c r="G243" s="1657"/>
      <c r="H243" s="1657"/>
      <c r="I243" s="1504">
        <v>36</v>
      </c>
      <c r="J243" s="1504">
        <v>1200.0999999999999</v>
      </c>
      <c r="K243" s="1504">
        <v>41.3</v>
      </c>
      <c r="L243" s="1657"/>
      <c r="M243" s="1657"/>
      <c r="N243" s="1658"/>
      <c r="O243" s="1609">
        <v>163.6</v>
      </c>
      <c r="P243" s="1504">
        <v>12.7</v>
      </c>
      <c r="Q243" s="1504">
        <v>1041.4000000000001</v>
      </c>
      <c r="R243" s="1610">
        <v>393</v>
      </c>
      <c r="S243" s="1659"/>
      <c r="T243" s="1657"/>
      <c r="U243" s="1657"/>
      <c r="V243" s="1657"/>
      <c r="W243" s="1658"/>
      <c r="X243" s="1609"/>
      <c r="Y243" s="1610">
        <v>955</v>
      </c>
      <c r="Z243" s="1659"/>
      <c r="AA243" s="1660"/>
      <c r="AB243" s="1661"/>
      <c r="AC243" s="1615">
        <f t="shared" si="61"/>
        <v>0.2571440710853049</v>
      </c>
      <c r="AD243" s="1613">
        <f t="shared" si="64"/>
        <v>1.3049555418462917</v>
      </c>
      <c r="AE243" s="1613">
        <f t="shared" si="62"/>
        <v>0.24321958996679888</v>
      </c>
      <c r="AF243" s="1614">
        <f t="shared" si="65"/>
        <v>1.8053192028983953</v>
      </c>
      <c r="AG243" s="1615">
        <f t="shared" si="63"/>
        <v>0.2571440710853049</v>
      </c>
      <c r="AH243" s="1613">
        <f t="shared" si="66"/>
        <v>1.3049555418462917</v>
      </c>
      <c r="AI243" s="1614">
        <f t="shared" si="67"/>
        <v>1.5620996129315965</v>
      </c>
      <c r="AJ243" s="1506" t="s">
        <v>1712</v>
      </c>
      <c r="AK243" s="1504" t="s">
        <v>1712</v>
      </c>
      <c r="AL243" s="1504">
        <v>63.5</v>
      </c>
      <c r="AM243" s="1504">
        <v>1123.9000000000001</v>
      </c>
      <c r="AN243" s="1504">
        <v>1111.2</v>
      </c>
      <c r="AO243" s="1504">
        <v>9.5</v>
      </c>
      <c r="AP243" s="1504">
        <v>98.4</v>
      </c>
      <c r="AQ243" s="1504">
        <v>1022.3</v>
      </c>
      <c r="AR243" s="1610">
        <v>270</v>
      </c>
      <c r="AS243" s="1609">
        <v>139.69999999999999</v>
      </c>
      <c r="AT243" s="1504">
        <v>1016</v>
      </c>
      <c r="AU243" s="1610">
        <v>310</v>
      </c>
      <c r="AV243" s="1616"/>
      <c r="AW243" s="1616"/>
      <c r="AX243" s="1616"/>
    </row>
    <row r="244" spans="1:50" x14ac:dyDescent="0.25">
      <c r="A244" s="1620" t="s">
        <v>3992</v>
      </c>
      <c r="B244" s="1609">
        <v>1050</v>
      </c>
      <c r="C244" s="1507">
        <v>42</v>
      </c>
      <c r="D244" s="1504">
        <v>1346.2</v>
      </c>
      <c r="E244" s="1504">
        <v>96.8</v>
      </c>
      <c r="F244" s="1504">
        <v>1193.8</v>
      </c>
      <c r="G244" s="1657"/>
      <c r="H244" s="1657"/>
      <c r="I244" s="1504">
        <v>36</v>
      </c>
      <c r="J244" s="1504">
        <v>1257.3</v>
      </c>
      <c r="K244" s="1504">
        <v>41.3</v>
      </c>
      <c r="L244" s="1657"/>
      <c r="M244" s="1657"/>
      <c r="N244" s="1658"/>
      <c r="O244" s="1609">
        <v>171.4</v>
      </c>
      <c r="P244" s="1504">
        <v>12.7</v>
      </c>
      <c r="Q244" s="1504">
        <v>1092.2</v>
      </c>
      <c r="R244" s="1610">
        <v>455</v>
      </c>
      <c r="S244" s="1659"/>
      <c r="T244" s="1657"/>
      <c r="U244" s="1657"/>
      <c r="V244" s="1657"/>
      <c r="W244" s="1658"/>
      <c r="X244" s="1609"/>
      <c r="Y244" s="1610">
        <v>1075</v>
      </c>
      <c r="Z244" s="1659"/>
      <c r="AA244" s="1660"/>
      <c r="AB244" s="1661"/>
      <c r="AC244" s="1615">
        <f t="shared" si="61"/>
        <v>0.28208844241851411</v>
      </c>
      <c r="AD244" s="1613">
        <f t="shared" si="64"/>
        <v>1.4233413087848714</v>
      </c>
      <c r="AE244" s="1613">
        <f t="shared" si="62"/>
        <v>0.25538056946513882</v>
      </c>
      <c r="AF244" s="1614">
        <f t="shared" si="65"/>
        <v>1.9608103206685243</v>
      </c>
      <c r="AG244" s="1615">
        <f t="shared" si="63"/>
        <v>0.28208844241851411</v>
      </c>
      <c r="AH244" s="1613">
        <f t="shared" si="66"/>
        <v>1.4233413087848714</v>
      </c>
      <c r="AI244" s="1614">
        <f t="shared" si="67"/>
        <v>1.7054297512033856</v>
      </c>
      <c r="AJ244" s="1506" t="s">
        <v>1712</v>
      </c>
      <c r="AK244" s="1504" t="s">
        <v>1712</v>
      </c>
      <c r="AL244" s="1504">
        <v>66.7</v>
      </c>
      <c r="AM244" s="1504">
        <v>1193.8</v>
      </c>
      <c r="AN244" s="1504">
        <v>1168.4000000000001</v>
      </c>
      <c r="AO244" s="1504">
        <v>9.5</v>
      </c>
      <c r="AP244" s="1504">
        <v>101.6</v>
      </c>
      <c r="AQ244" s="1504">
        <v>1073.0999999999999</v>
      </c>
      <c r="AR244" s="1610">
        <v>310</v>
      </c>
      <c r="AS244" s="1609">
        <v>142.9</v>
      </c>
      <c r="AT244" s="1504">
        <v>1066.8</v>
      </c>
      <c r="AU244" s="1610">
        <v>340</v>
      </c>
      <c r="AV244" s="1616"/>
      <c r="AW244" s="1616"/>
      <c r="AX244" s="1616"/>
    </row>
    <row r="245" spans="1:50" x14ac:dyDescent="0.25">
      <c r="A245" s="1620" t="s">
        <v>3993</v>
      </c>
      <c r="B245" s="1609">
        <v>1100</v>
      </c>
      <c r="C245" s="1507">
        <v>44</v>
      </c>
      <c r="D245" s="1504">
        <v>1403.3</v>
      </c>
      <c r="E245" s="1504">
        <v>101.6</v>
      </c>
      <c r="F245" s="1504">
        <v>1244.5999999999999</v>
      </c>
      <c r="G245" s="1657"/>
      <c r="H245" s="1657"/>
      <c r="I245" s="1504">
        <v>40</v>
      </c>
      <c r="J245" s="1504">
        <v>1314.4</v>
      </c>
      <c r="K245" s="1504">
        <v>41.3</v>
      </c>
      <c r="L245" s="1657"/>
      <c r="M245" s="1657"/>
      <c r="N245" s="1658"/>
      <c r="O245" s="1609">
        <v>177.8</v>
      </c>
      <c r="P245" s="1504">
        <v>12.7</v>
      </c>
      <c r="Q245" s="1504">
        <v>1143</v>
      </c>
      <c r="R245" s="1610">
        <v>503</v>
      </c>
      <c r="S245" s="1659"/>
      <c r="T245" s="1657"/>
      <c r="U245" s="1657"/>
      <c r="V245" s="1657"/>
      <c r="W245" s="1658"/>
      <c r="X245" s="1609"/>
      <c r="Y245" s="1610">
        <v>1200</v>
      </c>
      <c r="Z245" s="1659"/>
      <c r="AA245" s="1660"/>
      <c r="AB245" s="1661"/>
      <c r="AC245" s="1615">
        <f t="shared" si="61"/>
        <v>0.29405341795119649</v>
      </c>
      <c r="AD245" s="1613">
        <f t="shared" si="64"/>
        <v>1.5466460322747904</v>
      </c>
      <c r="AE245" s="1613">
        <f t="shared" si="62"/>
        <v>0.26749367109143812</v>
      </c>
      <c r="AF245" s="1614">
        <f t="shared" si="65"/>
        <v>2.108193121317425</v>
      </c>
      <c r="AG245" s="1615">
        <f t="shared" si="63"/>
        <v>0.29405341795119649</v>
      </c>
      <c r="AH245" s="1613">
        <f t="shared" si="66"/>
        <v>1.5466460322747904</v>
      </c>
      <c r="AI245" s="1614">
        <f t="shared" si="67"/>
        <v>1.8406994502259868</v>
      </c>
      <c r="AJ245" s="1506" t="s">
        <v>1712</v>
      </c>
      <c r="AK245" s="1504" t="s">
        <v>1712</v>
      </c>
      <c r="AL245" s="1504">
        <v>66.7</v>
      </c>
      <c r="AM245" s="1504">
        <v>1244.5999999999999</v>
      </c>
      <c r="AN245" s="1504">
        <v>1219.2</v>
      </c>
      <c r="AO245" s="1504">
        <v>11.1</v>
      </c>
      <c r="AP245" s="1504">
        <v>101.6</v>
      </c>
      <c r="AQ245" s="1504">
        <v>1123.9000000000001</v>
      </c>
      <c r="AR245" s="1610">
        <v>340</v>
      </c>
      <c r="AS245" s="1609">
        <v>142.9</v>
      </c>
      <c r="AT245" s="1504">
        <v>1117.4000000000001</v>
      </c>
      <c r="AU245" s="1610">
        <v>395</v>
      </c>
      <c r="AV245" s="1616"/>
      <c r="AW245" s="1616"/>
      <c r="AX245" s="1616"/>
    </row>
    <row r="246" spans="1:50" x14ac:dyDescent="0.25">
      <c r="A246" s="1620" t="s">
        <v>3994</v>
      </c>
      <c r="B246" s="1609">
        <v>1150</v>
      </c>
      <c r="C246" s="1507">
        <v>46</v>
      </c>
      <c r="D246" s="1504">
        <v>1454.1</v>
      </c>
      <c r="E246" s="1504">
        <v>103.1</v>
      </c>
      <c r="F246" s="1504">
        <v>1295.4000000000001</v>
      </c>
      <c r="G246" s="1657"/>
      <c r="H246" s="1657"/>
      <c r="I246" s="1504">
        <v>40</v>
      </c>
      <c r="J246" s="1504">
        <v>1365.2</v>
      </c>
      <c r="K246" s="1504">
        <v>41.3</v>
      </c>
      <c r="L246" s="1657"/>
      <c r="M246" s="1657"/>
      <c r="N246" s="1658"/>
      <c r="O246" s="1609">
        <v>185.7</v>
      </c>
      <c r="P246" s="1504">
        <v>12.7</v>
      </c>
      <c r="Q246" s="1504">
        <v>1196.8</v>
      </c>
      <c r="R246" s="1610">
        <v>529</v>
      </c>
      <c r="S246" s="1659"/>
      <c r="T246" s="1657"/>
      <c r="U246" s="1657"/>
      <c r="V246" s="1657"/>
      <c r="W246" s="1658"/>
      <c r="X246" s="1609"/>
      <c r="Y246" s="1610">
        <v>1380</v>
      </c>
      <c r="Z246" s="1659"/>
      <c r="AA246" s="1660"/>
      <c r="AB246" s="1661"/>
      <c r="AC246" s="1615">
        <f t="shared" si="61"/>
        <v>0.31200736863904988</v>
      </c>
      <c r="AD246" s="1613">
        <f t="shared" si="64"/>
        <v>1.6606512252490571</v>
      </c>
      <c r="AE246" s="1613">
        <f t="shared" si="62"/>
        <v>0.27970252846181876</v>
      </c>
      <c r="AF246" s="1614">
        <f t="shared" si="65"/>
        <v>2.2523611223499258</v>
      </c>
      <c r="AG246" s="1615">
        <f t="shared" si="63"/>
        <v>0.31200736863904988</v>
      </c>
      <c r="AH246" s="1613">
        <f t="shared" si="66"/>
        <v>1.6606512252490571</v>
      </c>
      <c r="AI246" s="1614">
        <f t="shared" si="67"/>
        <v>1.9726585938881069</v>
      </c>
      <c r="AJ246" s="1506" t="s">
        <v>1712</v>
      </c>
      <c r="AK246" s="1504" t="s">
        <v>1712</v>
      </c>
      <c r="AL246" s="1504">
        <v>68.3</v>
      </c>
      <c r="AM246" s="1504">
        <v>1295.4000000000001</v>
      </c>
      <c r="AN246" s="1504">
        <v>1270</v>
      </c>
      <c r="AO246" s="1504">
        <v>11.1</v>
      </c>
      <c r="AP246" s="1504">
        <v>103.2</v>
      </c>
      <c r="AQ246" s="1504">
        <v>1174.7</v>
      </c>
      <c r="AR246" s="1610">
        <v>375</v>
      </c>
      <c r="AS246" s="1609">
        <v>144.5</v>
      </c>
      <c r="AT246" s="1504">
        <v>1168.4000000000001</v>
      </c>
      <c r="AU246" s="1610">
        <v>470</v>
      </c>
      <c r="AV246" s="1616"/>
      <c r="AW246" s="1616"/>
      <c r="AX246" s="1616"/>
    </row>
    <row r="247" spans="1:50" x14ac:dyDescent="0.25">
      <c r="A247" s="1620" t="s">
        <v>3995</v>
      </c>
      <c r="B247" s="1609">
        <v>1200</v>
      </c>
      <c r="C247" s="1507">
        <v>48</v>
      </c>
      <c r="D247" s="1504">
        <v>1511.3</v>
      </c>
      <c r="E247" s="1504">
        <v>108</v>
      </c>
      <c r="F247" s="1504">
        <v>1358.9</v>
      </c>
      <c r="G247" s="1657"/>
      <c r="H247" s="1657"/>
      <c r="I247" s="1504">
        <v>44</v>
      </c>
      <c r="J247" s="1504">
        <v>1422.4</v>
      </c>
      <c r="K247" s="1504">
        <v>41.3</v>
      </c>
      <c r="L247" s="1657"/>
      <c r="M247" s="1657"/>
      <c r="N247" s="1658"/>
      <c r="O247" s="1609">
        <v>192</v>
      </c>
      <c r="P247" s="1504">
        <v>12.7</v>
      </c>
      <c r="Q247" s="1504">
        <v>1247.5999999999999</v>
      </c>
      <c r="R247" s="1610">
        <v>609</v>
      </c>
      <c r="S247" s="1659"/>
      <c r="T247" s="1657"/>
      <c r="U247" s="1657"/>
      <c r="V247" s="1657"/>
      <c r="W247" s="1658"/>
      <c r="X247" s="1609"/>
      <c r="Y247" s="1610">
        <v>1590</v>
      </c>
      <c r="Z247" s="1659"/>
      <c r="AA247" s="1660"/>
      <c r="AB247" s="1661"/>
      <c r="AC247" s="1615">
        <f t="shared" si="61"/>
        <v>0.33140265062044366</v>
      </c>
      <c r="AD247" s="1613">
        <f t="shared" si="64"/>
        <v>1.7938711528749163</v>
      </c>
      <c r="AE247" s="1613">
        <f t="shared" si="62"/>
        <v>0.29186350796015875</v>
      </c>
      <c r="AF247" s="1614">
        <f t="shared" si="65"/>
        <v>2.4171373114555186</v>
      </c>
      <c r="AG247" s="1615">
        <f t="shared" si="63"/>
        <v>0.33140265062044366</v>
      </c>
      <c r="AH247" s="1613">
        <f t="shared" si="66"/>
        <v>1.7938711528749163</v>
      </c>
      <c r="AI247" s="1614">
        <f t="shared" si="67"/>
        <v>2.12527380349536</v>
      </c>
      <c r="AJ247" s="1506" t="s">
        <v>1712</v>
      </c>
      <c r="AK247" s="1504" t="s">
        <v>1712</v>
      </c>
      <c r="AL247" s="1504">
        <v>69.8</v>
      </c>
      <c r="AM247" s="1504">
        <v>1358.9</v>
      </c>
      <c r="AN247" s="1504">
        <v>1327.1</v>
      </c>
      <c r="AO247" s="1504">
        <v>11.1</v>
      </c>
      <c r="AP247" s="1504">
        <v>104.8</v>
      </c>
      <c r="AQ247" s="1504">
        <v>1225.5</v>
      </c>
      <c r="AR247" s="1610">
        <v>426</v>
      </c>
      <c r="AS247" s="1609">
        <v>146</v>
      </c>
      <c r="AT247" s="1504">
        <v>1219.2</v>
      </c>
      <c r="AU247" s="1610">
        <v>563</v>
      </c>
      <c r="AV247" s="1616"/>
      <c r="AW247" s="1616"/>
      <c r="AX247" s="1616"/>
    </row>
    <row r="248" spans="1:50" x14ac:dyDescent="0.25">
      <c r="A248" s="1620" t="s">
        <v>3996</v>
      </c>
      <c r="B248" s="1609">
        <v>1250</v>
      </c>
      <c r="C248" s="1507">
        <v>50</v>
      </c>
      <c r="D248" s="1504">
        <v>1568.5</v>
      </c>
      <c r="E248" s="1504">
        <v>111.3</v>
      </c>
      <c r="F248" s="1504">
        <v>1409.7</v>
      </c>
      <c r="G248" s="1657"/>
      <c r="H248" s="1657"/>
      <c r="I248" s="1504">
        <v>44</v>
      </c>
      <c r="J248" s="1504">
        <v>1479.5</v>
      </c>
      <c r="K248" s="1504">
        <v>47.7</v>
      </c>
      <c r="L248" s="1657"/>
      <c r="M248" s="1657"/>
      <c r="N248" s="1658"/>
      <c r="O248" s="1609">
        <v>203.2</v>
      </c>
      <c r="P248" s="1504">
        <v>12.7</v>
      </c>
      <c r="Q248" s="1504">
        <v>1301.7</v>
      </c>
      <c r="R248" s="1610">
        <v>663</v>
      </c>
      <c r="S248" s="1659"/>
      <c r="T248" s="1657"/>
      <c r="U248" s="1657"/>
      <c r="V248" s="1657"/>
      <c r="W248" s="1658"/>
      <c r="X248" s="1609"/>
      <c r="Y248" s="1610" t="s">
        <v>1712</v>
      </c>
      <c r="Z248" s="1659"/>
      <c r="AA248" s="1660"/>
      <c r="AB248" s="1661"/>
      <c r="AC248" s="1506"/>
      <c r="AD248" s="1504"/>
      <c r="AE248" s="1657"/>
      <c r="AF248" s="1660"/>
      <c r="AG248" s="1659"/>
      <c r="AH248" s="1657"/>
      <c r="AI248" s="1660"/>
      <c r="AJ248" s="1506" t="s">
        <v>1712</v>
      </c>
      <c r="AK248" s="1504" t="s">
        <v>1712</v>
      </c>
      <c r="AL248" s="1504" t="s">
        <v>1712</v>
      </c>
      <c r="AM248" s="1504" t="s">
        <v>1712</v>
      </c>
      <c r="AN248" s="1504" t="s">
        <v>1712</v>
      </c>
      <c r="AO248" s="1504" t="s">
        <v>1712</v>
      </c>
      <c r="AP248" s="1504" t="s">
        <v>1712</v>
      </c>
      <c r="AQ248" s="1504" t="s">
        <v>1712</v>
      </c>
      <c r="AR248" s="1610" t="s">
        <v>1712</v>
      </c>
      <c r="AS248" s="1609" t="s">
        <v>1712</v>
      </c>
      <c r="AT248" s="1504" t="s">
        <v>1712</v>
      </c>
      <c r="AU248" s="1610" t="s">
        <v>1712</v>
      </c>
      <c r="AV248" s="1616"/>
      <c r="AW248" s="1616"/>
      <c r="AX248" s="1616"/>
    </row>
    <row r="249" spans="1:50" x14ac:dyDescent="0.25">
      <c r="A249" s="1620" t="s">
        <v>3997</v>
      </c>
      <c r="B249" s="1609">
        <v>1300</v>
      </c>
      <c r="C249" s="1507">
        <v>52</v>
      </c>
      <c r="D249" s="1504">
        <v>1625.6</v>
      </c>
      <c r="E249" s="1504">
        <v>115.8</v>
      </c>
      <c r="F249" s="1504">
        <v>1460.5</v>
      </c>
      <c r="G249" s="1657"/>
      <c r="H249" s="1657"/>
      <c r="I249" s="1504">
        <v>44</v>
      </c>
      <c r="J249" s="1504">
        <v>1536.7</v>
      </c>
      <c r="K249" s="1504">
        <v>47.7</v>
      </c>
      <c r="L249" s="1657"/>
      <c r="M249" s="1657"/>
      <c r="N249" s="1658"/>
      <c r="O249" s="1609">
        <v>209.6</v>
      </c>
      <c r="P249" s="1504">
        <v>12.7</v>
      </c>
      <c r="Q249" s="1504">
        <v>1382.5</v>
      </c>
      <c r="R249" s="1610">
        <v>741</v>
      </c>
      <c r="S249" s="1659"/>
      <c r="T249" s="1657"/>
      <c r="U249" s="1657"/>
      <c r="V249" s="1657"/>
      <c r="W249" s="1658"/>
      <c r="X249" s="1609"/>
      <c r="Y249" s="1610" t="s">
        <v>1712</v>
      </c>
      <c r="Z249" s="1659"/>
      <c r="AA249" s="1660"/>
      <c r="AB249" s="1661"/>
      <c r="AC249" s="1506"/>
      <c r="AD249" s="1504"/>
      <c r="AE249" s="1657"/>
      <c r="AF249" s="1660"/>
      <c r="AG249" s="1659"/>
      <c r="AH249" s="1657"/>
      <c r="AI249" s="1660"/>
      <c r="AJ249" s="1506" t="s">
        <v>1712</v>
      </c>
      <c r="AK249" s="1504" t="s">
        <v>1712</v>
      </c>
      <c r="AL249" s="1504" t="s">
        <v>1712</v>
      </c>
      <c r="AM249" s="1504" t="s">
        <v>1712</v>
      </c>
      <c r="AN249" s="1504" t="s">
        <v>1712</v>
      </c>
      <c r="AO249" s="1504" t="s">
        <v>1712</v>
      </c>
      <c r="AP249" s="1504" t="s">
        <v>1712</v>
      </c>
      <c r="AQ249" s="1504" t="s">
        <v>1712</v>
      </c>
      <c r="AR249" s="1610" t="s">
        <v>1712</v>
      </c>
      <c r="AS249" s="1609" t="s">
        <v>1712</v>
      </c>
      <c r="AT249" s="1504" t="s">
        <v>1712</v>
      </c>
      <c r="AU249" s="1610" t="s">
        <v>1712</v>
      </c>
      <c r="AV249" s="1616"/>
      <c r="AW249" s="1616"/>
      <c r="AX249" s="1616"/>
    </row>
    <row r="250" spans="1:50" x14ac:dyDescent="0.25">
      <c r="A250" s="1620" t="s">
        <v>3998</v>
      </c>
      <c r="B250" s="1609">
        <v>1350</v>
      </c>
      <c r="C250" s="1507">
        <v>54</v>
      </c>
      <c r="D250" s="1504">
        <v>1682.8</v>
      </c>
      <c r="E250" s="1504">
        <v>120.7</v>
      </c>
      <c r="F250" s="1504">
        <v>1511.3</v>
      </c>
      <c r="G250" s="1657"/>
      <c r="H250" s="1657"/>
      <c r="I250" s="1504">
        <v>44</v>
      </c>
      <c r="J250" s="1504">
        <v>1593.8</v>
      </c>
      <c r="K250" s="1504">
        <v>47.7</v>
      </c>
      <c r="L250" s="1657"/>
      <c r="M250" s="1657"/>
      <c r="N250" s="1658"/>
      <c r="O250" s="1609">
        <v>215.9</v>
      </c>
      <c r="P250" s="1504">
        <v>12.7</v>
      </c>
      <c r="Q250" s="1504">
        <v>1403.3</v>
      </c>
      <c r="R250" s="1610">
        <v>791</v>
      </c>
      <c r="S250" s="1659"/>
      <c r="T250" s="1657"/>
      <c r="U250" s="1657"/>
      <c r="V250" s="1657"/>
      <c r="W250" s="1658"/>
      <c r="X250" s="1609"/>
      <c r="Y250" s="1610" t="s">
        <v>1712</v>
      </c>
      <c r="Z250" s="1659"/>
      <c r="AA250" s="1660"/>
      <c r="AB250" s="1661"/>
      <c r="AC250" s="1506"/>
      <c r="AD250" s="1504"/>
      <c r="AE250" s="1657"/>
      <c r="AF250" s="1660"/>
      <c r="AG250" s="1659"/>
      <c r="AH250" s="1657"/>
      <c r="AI250" s="1660"/>
      <c r="AJ250" s="1506" t="s">
        <v>1712</v>
      </c>
      <c r="AK250" s="1504" t="s">
        <v>1712</v>
      </c>
      <c r="AL250" s="1504" t="s">
        <v>1712</v>
      </c>
      <c r="AM250" s="1504" t="s">
        <v>1712</v>
      </c>
      <c r="AN250" s="1504" t="s">
        <v>1712</v>
      </c>
      <c r="AO250" s="1504" t="s">
        <v>1712</v>
      </c>
      <c r="AP250" s="1504" t="s">
        <v>1712</v>
      </c>
      <c r="AQ250" s="1504" t="s">
        <v>1712</v>
      </c>
      <c r="AR250" s="1610" t="s">
        <v>1712</v>
      </c>
      <c r="AS250" s="1609" t="s">
        <v>1712</v>
      </c>
      <c r="AT250" s="1504" t="s">
        <v>1712</v>
      </c>
      <c r="AU250" s="1610" t="s">
        <v>1712</v>
      </c>
      <c r="AV250" s="1616"/>
      <c r="AW250" s="1616"/>
      <c r="AX250" s="1616"/>
    </row>
    <row r="251" spans="1:50" x14ac:dyDescent="0.25">
      <c r="A251" s="1620" t="s">
        <v>3999</v>
      </c>
      <c r="B251" s="1609">
        <v>1400</v>
      </c>
      <c r="C251" s="1507">
        <v>56</v>
      </c>
      <c r="D251" s="1504">
        <v>1746.3</v>
      </c>
      <c r="E251" s="1504">
        <v>124</v>
      </c>
      <c r="F251" s="1504">
        <v>1574.8</v>
      </c>
      <c r="G251" s="1657"/>
      <c r="H251" s="1657"/>
      <c r="I251" s="1504">
        <v>48</v>
      </c>
      <c r="J251" s="1504">
        <v>1651</v>
      </c>
      <c r="K251" s="1504">
        <v>47.7</v>
      </c>
      <c r="L251" s="1657"/>
      <c r="M251" s="1657"/>
      <c r="N251" s="1658"/>
      <c r="O251" s="1609">
        <v>228.6</v>
      </c>
      <c r="P251" s="1504">
        <v>12.7</v>
      </c>
      <c r="Q251" s="1504">
        <v>1457.5</v>
      </c>
      <c r="R251" s="1610">
        <v>898</v>
      </c>
      <c r="S251" s="1659"/>
      <c r="T251" s="1657"/>
      <c r="U251" s="1657"/>
      <c r="V251" s="1657"/>
      <c r="W251" s="1658"/>
      <c r="X251" s="1609"/>
      <c r="Y251" s="1610" t="s">
        <v>1712</v>
      </c>
      <c r="Z251" s="1659"/>
      <c r="AA251" s="1660"/>
      <c r="AB251" s="1661"/>
      <c r="AC251" s="1506"/>
      <c r="AD251" s="1504"/>
      <c r="AE251" s="1657"/>
      <c r="AF251" s="1660"/>
      <c r="AG251" s="1659"/>
      <c r="AH251" s="1657"/>
      <c r="AI251" s="1660"/>
      <c r="AJ251" s="1506" t="s">
        <v>1712</v>
      </c>
      <c r="AK251" s="1504" t="s">
        <v>1712</v>
      </c>
      <c r="AL251" s="1504" t="s">
        <v>1712</v>
      </c>
      <c r="AM251" s="1504" t="s">
        <v>1712</v>
      </c>
      <c r="AN251" s="1504" t="s">
        <v>1712</v>
      </c>
      <c r="AO251" s="1504" t="s">
        <v>1712</v>
      </c>
      <c r="AP251" s="1504" t="s">
        <v>1712</v>
      </c>
      <c r="AQ251" s="1504" t="s">
        <v>1712</v>
      </c>
      <c r="AR251" s="1610" t="s">
        <v>1712</v>
      </c>
      <c r="AS251" s="1609" t="s">
        <v>1712</v>
      </c>
      <c r="AT251" s="1504" t="s">
        <v>1712</v>
      </c>
      <c r="AU251" s="1610" t="s">
        <v>1712</v>
      </c>
      <c r="AV251" s="1616"/>
      <c r="AW251" s="1616"/>
      <c r="AX251" s="1616"/>
    </row>
    <row r="252" spans="1:50" x14ac:dyDescent="0.25">
      <c r="A252" s="1620" t="s">
        <v>4000</v>
      </c>
      <c r="B252" s="1609">
        <v>1450</v>
      </c>
      <c r="C252" s="1507">
        <v>58</v>
      </c>
      <c r="D252" s="1504">
        <v>1803.4</v>
      </c>
      <c r="E252" s="1504">
        <v>128.5</v>
      </c>
      <c r="F252" s="1504">
        <v>1625.6</v>
      </c>
      <c r="G252" s="1657"/>
      <c r="H252" s="1657"/>
      <c r="I252" s="1504">
        <v>48</v>
      </c>
      <c r="J252" s="1504">
        <v>1708.1</v>
      </c>
      <c r="K252" s="1504">
        <v>47.7</v>
      </c>
      <c r="L252" s="1657"/>
      <c r="M252" s="1657"/>
      <c r="N252" s="1658"/>
      <c r="O252" s="1609">
        <v>235</v>
      </c>
      <c r="P252" s="1504">
        <v>12.7</v>
      </c>
      <c r="Q252" s="1504">
        <v>1508.3</v>
      </c>
      <c r="R252" s="1610">
        <v>967</v>
      </c>
      <c r="S252" s="1659"/>
      <c r="T252" s="1657"/>
      <c r="U252" s="1657"/>
      <c r="V252" s="1657"/>
      <c r="W252" s="1658"/>
      <c r="X252" s="1609"/>
      <c r="Y252" s="1610" t="s">
        <v>1712</v>
      </c>
      <c r="Z252" s="1659"/>
      <c r="AA252" s="1660"/>
      <c r="AB252" s="1661"/>
      <c r="AC252" s="1506"/>
      <c r="AD252" s="1504"/>
      <c r="AE252" s="1657"/>
      <c r="AF252" s="1660"/>
      <c r="AG252" s="1659"/>
      <c r="AH252" s="1657"/>
      <c r="AI252" s="1660"/>
      <c r="AJ252" s="1506" t="s">
        <v>1712</v>
      </c>
      <c r="AK252" s="1504" t="s">
        <v>1712</v>
      </c>
      <c r="AL252" s="1504" t="s">
        <v>1712</v>
      </c>
      <c r="AM252" s="1504" t="s">
        <v>1712</v>
      </c>
      <c r="AN252" s="1504" t="s">
        <v>1712</v>
      </c>
      <c r="AO252" s="1504" t="s">
        <v>1712</v>
      </c>
      <c r="AP252" s="1504" t="s">
        <v>1712</v>
      </c>
      <c r="AQ252" s="1504" t="s">
        <v>1712</v>
      </c>
      <c r="AR252" s="1610" t="s">
        <v>1712</v>
      </c>
      <c r="AS252" s="1609" t="s">
        <v>1712</v>
      </c>
      <c r="AT252" s="1504" t="s">
        <v>1712</v>
      </c>
      <c r="AU252" s="1610" t="s">
        <v>1712</v>
      </c>
      <c r="AV252" s="1616"/>
      <c r="AW252" s="1616"/>
      <c r="AX252" s="1616"/>
    </row>
    <row r="253" spans="1:50" ht="13.2" thickBot="1" x14ac:dyDescent="0.3">
      <c r="A253" s="1600" t="s">
        <v>4001</v>
      </c>
      <c r="B253" s="168">
        <v>1500</v>
      </c>
      <c r="C253" s="233">
        <v>60</v>
      </c>
      <c r="D253" s="166">
        <v>1854.2</v>
      </c>
      <c r="E253" s="166">
        <v>131.80000000000001</v>
      </c>
      <c r="F253" s="166">
        <v>1676.4</v>
      </c>
      <c r="G253" s="234"/>
      <c r="H253" s="234"/>
      <c r="I253" s="166">
        <v>52</v>
      </c>
      <c r="J253" s="166">
        <v>1758.9</v>
      </c>
      <c r="K253" s="166">
        <v>47.7</v>
      </c>
      <c r="L253" s="234"/>
      <c r="M253" s="234"/>
      <c r="N253" s="235"/>
      <c r="O253" s="168">
        <v>239.8</v>
      </c>
      <c r="P253" s="166">
        <v>12.7</v>
      </c>
      <c r="Q253" s="166">
        <v>1559.1</v>
      </c>
      <c r="R253" s="169">
        <v>1047</v>
      </c>
      <c r="S253" s="236"/>
      <c r="T253" s="234"/>
      <c r="U253" s="234"/>
      <c r="V253" s="234"/>
      <c r="W253" s="235"/>
      <c r="X253" s="168"/>
      <c r="Y253" s="169" t="s">
        <v>1712</v>
      </c>
      <c r="Z253" s="236"/>
      <c r="AA253" s="237"/>
      <c r="AB253" s="238"/>
      <c r="AC253" s="171"/>
      <c r="AD253" s="166"/>
      <c r="AE253" s="234"/>
      <c r="AF253" s="237"/>
      <c r="AG253" s="236"/>
      <c r="AH253" s="234"/>
      <c r="AI253" s="237"/>
      <c r="AJ253" s="171" t="s">
        <v>1712</v>
      </c>
      <c r="AK253" s="166" t="s">
        <v>1712</v>
      </c>
      <c r="AL253" s="166" t="s">
        <v>1712</v>
      </c>
      <c r="AM253" s="166" t="s">
        <v>1712</v>
      </c>
      <c r="AN253" s="166" t="s">
        <v>1712</v>
      </c>
      <c r="AO253" s="166" t="s">
        <v>1712</v>
      </c>
      <c r="AP253" s="166" t="s">
        <v>1712</v>
      </c>
      <c r="AQ253" s="166" t="s">
        <v>1712</v>
      </c>
      <c r="AR253" s="169" t="s">
        <v>1712</v>
      </c>
      <c r="AS253" s="168" t="s">
        <v>1712</v>
      </c>
      <c r="AT253" s="166" t="s">
        <v>1712</v>
      </c>
      <c r="AU253" s="169" t="s">
        <v>1712</v>
      </c>
      <c r="AV253" s="593"/>
      <c r="AW253" s="593"/>
      <c r="AX253" s="593"/>
    </row>
    <row r="254" spans="1:50" ht="12.75" customHeight="1" thickBot="1" x14ac:dyDescent="0.3">
      <c r="A254" s="211"/>
      <c r="B254" s="212"/>
      <c r="C254" s="213"/>
      <c r="D254" s="212"/>
      <c r="E254" s="1867" t="s">
        <v>3981</v>
      </c>
      <c r="F254" s="1868"/>
      <c r="G254" s="1868"/>
      <c r="H254" s="1868"/>
      <c r="I254" s="1868"/>
      <c r="J254" s="1868"/>
      <c r="K254" s="1868"/>
      <c r="L254" s="1868"/>
      <c r="M254" s="1868"/>
      <c r="N254" s="1868"/>
      <c r="O254" s="1868"/>
      <c r="P254" s="1868"/>
      <c r="Q254" s="1868"/>
      <c r="R254" s="1868"/>
      <c r="S254" s="1868"/>
      <c r="T254" s="1868"/>
      <c r="U254" s="1868"/>
      <c r="V254" s="1868"/>
      <c r="W254" s="1868"/>
      <c r="X254" s="1869"/>
      <c r="Y254" s="1869"/>
      <c r="Z254" s="1868"/>
      <c r="AA254" s="1868"/>
      <c r="AB254" s="1870"/>
      <c r="AC254" s="1871" t="s">
        <v>3982</v>
      </c>
      <c r="AD254" s="1872"/>
      <c r="AE254" s="1872"/>
      <c r="AF254" s="1872"/>
      <c r="AG254" s="1872"/>
      <c r="AH254" s="1872"/>
      <c r="AI254" s="1873"/>
      <c r="AJ254" s="1868" t="s">
        <v>3982</v>
      </c>
      <c r="AK254" s="1868"/>
      <c r="AL254" s="1868"/>
      <c r="AM254" s="1868"/>
      <c r="AN254" s="1868"/>
      <c r="AO254" s="1868"/>
      <c r="AP254" s="1868"/>
      <c r="AQ254" s="1868"/>
      <c r="AR254" s="1868"/>
      <c r="AS254" s="1868"/>
      <c r="AT254" s="1868"/>
      <c r="AU254" s="1870"/>
      <c r="AV254" s="598"/>
      <c r="AW254" s="598"/>
      <c r="AX254" s="598"/>
    </row>
    <row r="255" spans="1:50" ht="13.2" thickBot="1" x14ac:dyDescent="0.3">
      <c r="A255" s="214"/>
      <c r="B255" s="215"/>
      <c r="C255" s="216"/>
      <c r="D255" s="217"/>
      <c r="E255" s="218"/>
      <c r="F255" s="218"/>
      <c r="G255" s="218"/>
      <c r="H255" s="218"/>
      <c r="I255" s="218"/>
      <c r="J255" s="218"/>
      <c r="K255" s="218"/>
      <c r="L255" s="218"/>
      <c r="M255" s="218"/>
      <c r="N255" s="218"/>
      <c r="O255" s="219" t="s">
        <v>3818</v>
      </c>
      <c r="P255" s="220" t="s">
        <v>3818</v>
      </c>
      <c r="Q255" s="220" t="s">
        <v>3818</v>
      </c>
      <c r="R255" s="221" t="s">
        <v>3818</v>
      </c>
      <c r="S255" s="218"/>
      <c r="T255" s="218"/>
      <c r="U255" s="218"/>
      <c r="V255" s="218"/>
      <c r="W255" s="218"/>
      <c r="X255" s="161" t="s">
        <v>345</v>
      </c>
      <c r="Y255" s="139" t="s">
        <v>345</v>
      </c>
      <c r="Z255" s="218"/>
      <c r="AA255" s="218"/>
      <c r="AB255" s="218"/>
      <c r="AC255" s="161" t="s">
        <v>3818</v>
      </c>
      <c r="AD255" s="162" t="s">
        <v>3818</v>
      </c>
      <c r="AE255" s="162" t="s">
        <v>3818</v>
      </c>
      <c r="AF255" s="163" t="s">
        <v>3818</v>
      </c>
      <c r="AG255" s="162" t="s">
        <v>345</v>
      </c>
      <c r="AH255" s="137" t="s">
        <v>345</v>
      </c>
      <c r="AI255" s="139" t="s">
        <v>345</v>
      </c>
      <c r="AJ255" s="222"/>
      <c r="AK255" s="223"/>
      <c r="AL255" s="137"/>
      <c r="AM255" s="137"/>
      <c r="AN255" s="137" t="s">
        <v>3817</v>
      </c>
      <c r="AO255" s="137" t="s">
        <v>3817</v>
      </c>
      <c r="AP255" s="137" t="s">
        <v>3817</v>
      </c>
      <c r="AQ255" s="137" t="s">
        <v>3817</v>
      </c>
      <c r="AR255" s="139" t="s">
        <v>3817</v>
      </c>
      <c r="AS255" s="224" t="s">
        <v>3818</v>
      </c>
      <c r="AT255" s="225" t="s">
        <v>3818</v>
      </c>
      <c r="AU255" s="226" t="s">
        <v>3818</v>
      </c>
      <c r="AV255" s="592"/>
      <c r="AW255" s="592" t="str">
        <f>$AW$19</f>
        <v>LWN</v>
      </c>
      <c r="AX255" s="592" t="str">
        <f>$AW$19</f>
        <v>LWN</v>
      </c>
    </row>
    <row r="256" spans="1:50" x14ac:dyDescent="0.25">
      <c r="A256" s="1349"/>
      <c r="B256" s="1633" t="s">
        <v>3820</v>
      </c>
      <c r="C256" s="1634"/>
      <c r="D256" s="1635" t="s">
        <v>3821</v>
      </c>
      <c r="E256" s="1453" t="s">
        <v>2348</v>
      </c>
      <c r="F256" s="1453" t="s">
        <v>3823</v>
      </c>
      <c r="G256" s="1454"/>
      <c r="H256" s="1454"/>
      <c r="I256" s="1880" t="s">
        <v>3825</v>
      </c>
      <c r="J256" s="1880"/>
      <c r="K256" s="1880"/>
      <c r="L256" s="1454"/>
      <c r="M256" s="1454"/>
      <c r="N256" s="1455"/>
      <c r="O256" s="1456" t="s">
        <v>3828</v>
      </c>
      <c r="P256" s="1453" t="s">
        <v>3983</v>
      </c>
      <c r="Q256" s="1453" t="s">
        <v>3827</v>
      </c>
      <c r="R256" s="1636" t="s">
        <v>184</v>
      </c>
      <c r="S256" s="1457"/>
      <c r="T256" s="1454"/>
      <c r="U256" s="1454"/>
      <c r="V256" s="1454"/>
      <c r="W256" s="1455"/>
      <c r="X256" s="1353" t="s">
        <v>2348</v>
      </c>
      <c r="Y256" s="1637" t="s">
        <v>184</v>
      </c>
      <c r="Z256" s="1457"/>
      <c r="AA256" s="1455"/>
      <c r="AB256" s="227"/>
      <c r="AC256" s="1350" t="s">
        <v>3834</v>
      </c>
      <c r="AD256" s="1593" t="s">
        <v>3835</v>
      </c>
      <c r="AE256" s="1593" t="s">
        <v>3836</v>
      </c>
      <c r="AF256" s="1598" t="s">
        <v>336</v>
      </c>
      <c r="AG256" s="1595" t="s">
        <v>3834</v>
      </c>
      <c r="AH256" s="1593" t="s">
        <v>3835</v>
      </c>
      <c r="AI256" s="1598" t="s">
        <v>336</v>
      </c>
      <c r="AJ256" s="1635" t="s">
        <v>3824</v>
      </c>
      <c r="AK256" s="1638" t="s">
        <v>2417</v>
      </c>
      <c r="AL256" s="1633" t="s">
        <v>3822</v>
      </c>
      <c r="AM256" s="1633" t="s">
        <v>3823</v>
      </c>
      <c r="AN256" s="1633" t="s">
        <v>3827</v>
      </c>
      <c r="AO256" s="1633" t="s">
        <v>3983</v>
      </c>
      <c r="AP256" s="1633" t="s">
        <v>3828</v>
      </c>
      <c r="AQ256" s="1633" t="s">
        <v>3826</v>
      </c>
      <c r="AR256" s="1637" t="s">
        <v>184</v>
      </c>
      <c r="AS256" s="1354" t="s">
        <v>3828</v>
      </c>
      <c r="AT256" s="1633" t="s">
        <v>12</v>
      </c>
      <c r="AU256" s="1637" t="s">
        <v>184</v>
      </c>
      <c r="AV256" s="1639"/>
      <c r="AW256" s="1639" t="s">
        <v>184</v>
      </c>
      <c r="AX256" s="1598" t="str">
        <f>$AX$20</f>
        <v>Unit Surface</v>
      </c>
    </row>
    <row r="257" spans="1:50" ht="13.2" thickBot="1" x14ac:dyDescent="0.3">
      <c r="A257" s="1600"/>
      <c r="B257" s="1640" t="s">
        <v>59</v>
      </c>
      <c r="C257" s="1641" t="s">
        <v>1685</v>
      </c>
      <c r="D257" s="1642" t="s">
        <v>93</v>
      </c>
      <c r="E257" s="1640" t="s">
        <v>93</v>
      </c>
      <c r="F257" s="1640" t="s">
        <v>93</v>
      </c>
      <c r="G257" s="1643"/>
      <c r="H257" s="1643"/>
      <c r="I257" s="1640" t="s">
        <v>3837</v>
      </c>
      <c r="J257" s="1640" t="s">
        <v>3838</v>
      </c>
      <c r="K257" s="1640" t="s">
        <v>3839</v>
      </c>
      <c r="L257" s="1643"/>
      <c r="M257" s="1643"/>
      <c r="N257" s="1644"/>
      <c r="O257" s="1645" t="s">
        <v>93</v>
      </c>
      <c r="P257" s="1640" t="s">
        <v>93</v>
      </c>
      <c r="Q257" s="1640" t="s">
        <v>93</v>
      </c>
      <c r="R257" s="1646" t="s">
        <v>222</v>
      </c>
      <c r="S257" s="1647"/>
      <c r="T257" s="1643"/>
      <c r="U257" s="1643"/>
      <c r="V257" s="1643"/>
      <c r="W257" s="1644"/>
      <c r="X257" s="1645" t="s">
        <v>93</v>
      </c>
      <c r="Y257" s="1646" t="s">
        <v>222</v>
      </c>
      <c r="Z257" s="1647"/>
      <c r="AA257" s="1644"/>
      <c r="AB257" s="1648"/>
      <c r="AC257" s="1627" t="s">
        <v>228</v>
      </c>
      <c r="AD257" s="1601" t="s">
        <v>228</v>
      </c>
      <c r="AE257" s="1601" t="s">
        <v>228</v>
      </c>
      <c r="AF257" s="1628" t="s">
        <v>228</v>
      </c>
      <c r="AG257" s="1603" t="s">
        <v>228</v>
      </c>
      <c r="AH257" s="1601" t="s">
        <v>228</v>
      </c>
      <c r="AI257" s="1628" t="s">
        <v>228</v>
      </c>
      <c r="AJ257" s="1642" t="s">
        <v>93</v>
      </c>
      <c r="AK257" s="1640" t="s">
        <v>93</v>
      </c>
      <c r="AL257" s="1640" t="s">
        <v>93</v>
      </c>
      <c r="AM257" s="1640" t="s">
        <v>93</v>
      </c>
      <c r="AN257" s="1640" t="s">
        <v>93</v>
      </c>
      <c r="AO257" s="1640" t="s">
        <v>93</v>
      </c>
      <c r="AP257" s="1640" t="s">
        <v>93</v>
      </c>
      <c r="AQ257" s="1640" t="s">
        <v>93</v>
      </c>
      <c r="AR257" s="1646" t="s">
        <v>222</v>
      </c>
      <c r="AS257" s="1649" t="s">
        <v>93</v>
      </c>
      <c r="AT257" s="1640" t="s">
        <v>93</v>
      </c>
      <c r="AU257" s="1646" t="s">
        <v>222</v>
      </c>
      <c r="AV257" s="1650"/>
      <c r="AW257" s="1650" t="s">
        <v>222</v>
      </c>
      <c r="AX257" s="593" t="str">
        <f>$AX$21</f>
        <v>m2</v>
      </c>
    </row>
    <row r="258" spans="1:50" ht="13.2" thickBot="1" x14ac:dyDescent="0.3">
      <c r="A258" s="190" t="s">
        <v>3862</v>
      </c>
      <c r="B258" s="137">
        <v>0</v>
      </c>
      <c r="C258" s="137">
        <v>0</v>
      </c>
      <c r="D258" s="137">
        <v>0</v>
      </c>
      <c r="E258" s="137">
        <v>0</v>
      </c>
      <c r="F258" s="137">
        <v>0</v>
      </c>
      <c r="G258" s="230"/>
      <c r="H258" s="230"/>
      <c r="I258" s="137">
        <v>0</v>
      </c>
      <c r="J258" s="137">
        <v>0</v>
      </c>
      <c r="K258" s="137">
        <v>0</v>
      </c>
      <c r="L258" s="230"/>
      <c r="M258" s="230"/>
      <c r="N258" s="231"/>
      <c r="O258" s="161">
        <v>0</v>
      </c>
      <c r="P258" s="137">
        <v>0</v>
      </c>
      <c r="Q258" s="137">
        <v>0</v>
      </c>
      <c r="R258" s="139">
        <v>0</v>
      </c>
      <c r="S258" s="232"/>
      <c r="T258" s="230"/>
      <c r="U258" s="230"/>
      <c r="V258" s="230"/>
      <c r="W258" s="231"/>
      <c r="X258" s="161">
        <v>0</v>
      </c>
      <c r="Y258" s="139">
        <v>0</v>
      </c>
      <c r="Z258" s="232"/>
      <c r="AA258" s="231"/>
      <c r="AB258" s="160"/>
      <c r="AC258" s="161">
        <v>0</v>
      </c>
      <c r="AD258" s="137">
        <v>0</v>
      </c>
      <c r="AE258" s="137">
        <v>0</v>
      </c>
      <c r="AF258" s="139">
        <v>0</v>
      </c>
      <c r="AG258" s="162">
        <v>0</v>
      </c>
      <c r="AH258" s="137">
        <v>0</v>
      </c>
      <c r="AI258" s="139">
        <v>0</v>
      </c>
      <c r="AJ258" s="162">
        <v>0</v>
      </c>
      <c r="AK258" s="137">
        <v>0</v>
      </c>
      <c r="AL258" s="137">
        <v>0</v>
      </c>
      <c r="AM258" s="137">
        <v>0</v>
      </c>
      <c r="AN258" s="137">
        <v>0</v>
      </c>
      <c r="AO258" s="137">
        <v>0</v>
      </c>
      <c r="AP258" s="137">
        <v>0</v>
      </c>
      <c r="AQ258" s="137">
        <v>0</v>
      </c>
      <c r="AR258" s="139">
        <v>0</v>
      </c>
      <c r="AS258" s="161">
        <v>0</v>
      </c>
      <c r="AT258" s="137">
        <v>0</v>
      </c>
      <c r="AU258" s="139">
        <v>0</v>
      </c>
      <c r="AV258" s="595"/>
      <c r="AW258" s="595">
        <v>0</v>
      </c>
      <c r="AX258" s="595">
        <v>0</v>
      </c>
    </row>
    <row r="259" spans="1:50" x14ac:dyDescent="0.25">
      <c r="A259" s="1349" t="s">
        <v>4002</v>
      </c>
      <c r="B259" s="1350">
        <v>650</v>
      </c>
      <c r="C259" s="1651">
        <v>26</v>
      </c>
      <c r="D259" s="1593">
        <v>971.5</v>
      </c>
      <c r="E259" s="1593">
        <v>79.2</v>
      </c>
      <c r="F259" s="1593">
        <v>749.3</v>
      </c>
      <c r="G259" s="1652"/>
      <c r="H259" s="1652"/>
      <c r="I259" s="1593">
        <v>28</v>
      </c>
      <c r="J259" s="1593">
        <v>876.3</v>
      </c>
      <c r="K259" s="1593">
        <v>44.4</v>
      </c>
      <c r="L259" s="1652"/>
      <c r="M259" s="1652"/>
      <c r="N259" s="1653"/>
      <c r="O259" s="1350">
        <v>184.1</v>
      </c>
      <c r="P259" s="1593">
        <v>9.6</v>
      </c>
      <c r="Q259" s="1593">
        <v>720.9</v>
      </c>
      <c r="R259" s="1598">
        <v>288</v>
      </c>
      <c r="S259" s="1654"/>
      <c r="T259" s="1652"/>
      <c r="U259" s="1652"/>
      <c r="V259" s="1652"/>
      <c r="W259" s="1653"/>
      <c r="X259" s="1350">
        <v>84.1</v>
      </c>
      <c r="Y259" s="1598">
        <v>505</v>
      </c>
      <c r="Z259" s="1654"/>
      <c r="AA259" s="1655"/>
      <c r="AB259" s="1656"/>
      <c r="AC259" s="1619">
        <f t="shared" ref="AC259:AC264" si="68">PI()*D259*AL259/1000000</f>
        <v>0.24233334667922127</v>
      </c>
      <c r="AD259" s="1617">
        <f t="shared" ref="AD259:AD264" si="69">D259^2*PI()/4/1000000</f>
        <v>0.7412684077420133</v>
      </c>
      <c r="AE259" s="1617">
        <f t="shared" ref="AE259:AE264" si="70">AT259*PI()*(AS259-AL259)/1000000</f>
        <v>0.21929413137892859</v>
      </c>
      <c r="AF259" s="1618">
        <f t="shared" ref="AF259:AF264" si="71">AE259+AD259+AC259</f>
        <v>1.2028958858001633</v>
      </c>
      <c r="AG259" s="1352">
        <f t="shared" ref="AG259:AG264" si="72">PI()*D259*AL259/1000000</f>
        <v>0.24233334667922127</v>
      </c>
      <c r="AH259" s="1617">
        <f t="shared" ref="AH259:AH264" si="73">D259^2*PI()/4/1000000</f>
        <v>0.7412684077420133</v>
      </c>
      <c r="AI259" s="1618">
        <f t="shared" ref="AI259:AI264" si="74">AH259+AG259</f>
        <v>0.98360175442123454</v>
      </c>
      <c r="AJ259" s="1447">
        <v>809.8</v>
      </c>
      <c r="AK259" s="1445">
        <v>12.7</v>
      </c>
      <c r="AL259" s="1445">
        <v>79.400000000000006</v>
      </c>
      <c r="AM259" s="1445">
        <v>749.3</v>
      </c>
      <c r="AN259" s="1445">
        <v>720.7</v>
      </c>
      <c r="AO259" s="1445">
        <v>9.5</v>
      </c>
      <c r="AP259" s="1445">
        <v>184.1</v>
      </c>
      <c r="AQ259" s="1445">
        <v>666.7</v>
      </c>
      <c r="AR259" s="1605">
        <v>255</v>
      </c>
      <c r="AS259" s="1449">
        <v>184.1</v>
      </c>
      <c r="AT259" s="1445">
        <v>666.7</v>
      </c>
      <c r="AU259" s="1605">
        <v>304</v>
      </c>
      <c r="AV259" s="1599"/>
      <c r="AW259" s="1599"/>
      <c r="AX259" s="1599"/>
    </row>
    <row r="260" spans="1:50" x14ac:dyDescent="0.25">
      <c r="A260" s="1620" t="s">
        <v>4003</v>
      </c>
      <c r="B260" s="1609">
        <v>700</v>
      </c>
      <c r="C260" s="1507">
        <v>28</v>
      </c>
      <c r="D260" s="1504">
        <v>1035</v>
      </c>
      <c r="E260" s="1504">
        <v>85.9</v>
      </c>
      <c r="F260" s="1504">
        <v>800.1</v>
      </c>
      <c r="G260" s="1657"/>
      <c r="H260" s="1657"/>
      <c r="I260" s="1504">
        <v>28</v>
      </c>
      <c r="J260" s="1504">
        <v>939.8</v>
      </c>
      <c r="K260" s="1504">
        <v>44.4</v>
      </c>
      <c r="L260" s="1657"/>
      <c r="M260" s="1657"/>
      <c r="N260" s="1658"/>
      <c r="O260" s="1609">
        <v>196.8</v>
      </c>
      <c r="P260" s="1504">
        <v>11.2</v>
      </c>
      <c r="Q260" s="1504">
        <v>774.7</v>
      </c>
      <c r="R260" s="1610">
        <v>340</v>
      </c>
      <c r="S260" s="1659"/>
      <c r="T260" s="1657"/>
      <c r="U260" s="1657"/>
      <c r="V260" s="1657"/>
      <c r="W260" s="1658"/>
      <c r="X260" s="1609">
        <v>90.4</v>
      </c>
      <c r="Y260" s="1610">
        <v>615</v>
      </c>
      <c r="Z260" s="1659"/>
      <c r="AA260" s="1660"/>
      <c r="AB260" s="1661"/>
      <c r="AC260" s="1615">
        <f t="shared" si="68"/>
        <v>0.27865769757708786</v>
      </c>
      <c r="AD260" s="1613">
        <f t="shared" si="69"/>
        <v>0.84133814758543157</v>
      </c>
      <c r="AE260" s="1613">
        <f t="shared" si="70"/>
        <v>0.25042970218642019</v>
      </c>
      <c r="AF260" s="1614">
        <f t="shared" si="71"/>
        <v>1.3704255473489395</v>
      </c>
      <c r="AG260" s="1612">
        <f t="shared" si="72"/>
        <v>0.27865769757708786</v>
      </c>
      <c r="AH260" s="1613">
        <f t="shared" si="73"/>
        <v>0.84133814758543157</v>
      </c>
      <c r="AI260" s="1614">
        <f t="shared" si="74"/>
        <v>1.1199958451625194</v>
      </c>
      <c r="AJ260" s="1506">
        <v>860.5</v>
      </c>
      <c r="AK260" s="1504">
        <v>12.7</v>
      </c>
      <c r="AL260" s="1504">
        <v>85.7</v>
      </c>
      <c r="AM260" s="1504">
        <v>800.1</v>
      </c>
      <c r="AN260" s="1504">
        <v>774.7</v>
      </c>
      <c r="AO260" s="1504">
        <v>11.1</v>
      </c>
      <c r="AP260" s="1504">
        <v>196.8</v>
      </c>
      <c r="AQ260" s="1504">
        <v>717.5</v>
      </c>
      <c r="AR260" s="1610">
        <v>321</v>
      </c>
      <c r="AS260" s="1609">
        <v>196.8</v>
      </c>
      <c r="AT260" s="1504">
        <v>717.5</v>
      </c>
      <c r="AU260" s="1610">
        <v>367</v>
      </c>
      <c r="AV260" s="1616"/>
      <c r="AW260" s="1616"/>
      <c r="AX260" s="1616"/>
    </row>
    <row r="261" spans="1:50" x14ac:dyDescent="0.25">
      <c r="A261" s="1620" t="s">
        <v>4004</v>
      </c>
      <c r="B261" s="1609">
        <v>750</v>
      </c>
      <c r="C261" s="1507">
        <v>30</v>
      </c>
      <c r="D261" s="1504">
        <v>1092.2</v>
      </c>
      <c r="E261" s="1504">
        <v>91.9</v>
      </c>
      <c r="F261" s="1504">
        <v>857.2</v>
      </c>
      <c r="G261" s="1657"/>
      <c r="H261" s="1657"/>
      <c r="I261" s="1504">
        <v>28</v>
      </c>
      <c r="J261" s="1504">
        <v>996.9</v>
      </c>
      <c r="K261" s="1504">
        <v>47.8</v>
      </c>
      <c r="L261" s="1657"/>
      <c r="M261" s="1657"/>
      <c r="N261" s="1658"/>
      <c r="O261" s="1609">
        <v>209.5</v>
      </c>
      <c r="P261" s="1504">
        <v>11.2</v>
      </c>
      <c r="Q261" s="1504">
        <v>827</v>
      </c>
      <c r="R261" s="1610">
        <v>406</v>
      </c>
      <c r="S261" s="1659"/>
      <c r="T261" s="1657"/>
      <c r="U261" s="1657"/>
      <c r="V261" s="1657"/>
      <c r="W261" s="1658"/>
      <c r="X261" s="1609">
        <v>95.2</v>
      </c>
      <c r="Y261" s="1610">
        <v>705</v>
      </c>
      <c r="Z261" s="1659"/>
      <c r="AA261" s="1660"/>
      <c r="AB261" s="1661"/>
      <c r="AC261" s="1615">
        <f t="shared" si="68"/>
        <v>0.31601789440469613</v>
      </c>
      <c r="AD261" s="1613">
        <f t="shared" si="69"/>
        <v>0.93690212885127333</v>
      </c>
      <c r="AE261" s="1613">
        <f t="shared" si="70"/>
        <v>0.28336669363740663</v>
      </c>
      <c r="AF261" s="1614">
        <f t="shared" si="71"/>
        <v>1.536286716893376</v>
      </c>
      <c r="AG261" s="1612">
        <f t="shared" si="72"/>
        <v>0.31601789440469613</v>
      </c>
      <c r="AH261" s="1613">
        <f t="shared" si="73"/>
        <v>0.93690212885127333</v>
      </c>
      <c r="AI261" s="1614">
        <f t="shared" si="74"/>
        <v>1.2529200232559694</v>
      </c>
      <c r="AJ261" s="1506">
        <v>917.4</v>
      </c>
      <c r="AK261" s="1504">
        <v>12.7</v>
      </c>
      <c r="AL261" s="1504">
        <v>92.1</v>
      </c>
      <c r="AM261" s="1504">
        <v>857.2</v>
      </c>
      <c r="AN261" s="1504">
        <v>827.1</v>
      </c>
      <c r="AO261" s="1504">
        <v>11.1</v>
      </c>
      <c r="AP261" s="1504">
        <v>209.5</v>
      </c>
      <c r="AQ261" s="1504">
        <v>768.3</v>
      </c>
      <c r="AR261" s="1610">
        <v>362</v>
      </c>
      <c r="AS261" s="1609">
        <v>209.5</v>
      </c>
      <c r="AT261" s="1504">
        <v>768.3</v>
      </c>
      <c r="AU261" s="1610">
        <v>422</v>
      </c>
      <c r="AV261" s="1616"/>
      <c r="AW261" s="1616"/>
      <c r="AX261" s="1616"/>
    </row>
    <row r="262" spans="1:50" x14ac:dyDescent="0.25">
      <c r="A262" s="1620" t="s">
        <v>4005</v>
      </c>
      <c r="B262" s="1609">
        <v>800</v>
      </c>
      <c r="C262" s="1507">
        <v>32</v>
      </c>
      <c r="D262" s="1504">
        <v>1149.3</v>
      </c>
      <c r="E262" s="1504">
        <v>98.6</v>
      </c>
      <c r="F262" s="1504">
        <v>914.4</v>
      </c>
      <c r="G262" s="1657"/>
      <c r="H262" s="1657"/>
      <c r="I262" s="1504">
        <v>28</v>
      </c>
      <c r="J262" s="1504">
        <v>1054.0999999999999</v>
      </c>
      <c r="K262" s="1504">
        <v>50.8</v>
      </c>
      <c r="L262" s="1657"/>
      <c r="M262" s="1657"/>
      <c r="N262" s="1658"/>
      <c r="O262" s="1609">
        <v>222.2</v>
      </c>
      <c r="P262" s="1504">
        <v>11.2</v>
      </c>
      <c r="Q262" s="1504">
        <v>881.1</v>
      </c>
      <c r="R262" s="1610">
        <v>468</v>
      </c>
      <c r="S262" s="1659"/>
      <c r="T262" s="1657"/>
      <c r="U262" s="1657"/>
      <c r="V262" s="1657"/>
      <c r="W262" s="1658"/>
      <c r="X262" s="1609">
        <v>100.1</v>
      </c>
      <c r="Y262" s="1610">
        <v>820</v>
      </c>
      <c r="Z262" s="1659"/>
      <c r="AA262" s="1660"/>
      <c r="AB262" s="1661"/>
      <c r="AC262" s="1615">
        <f t="shared" si="68"/>
        <v>0.3552862317782417</v>
      </c>
      <c r="AD262" s="1613">
        <f t="shared" si="69"/>
        <v>1.0374249648951555</v>
      </c>
      <c r="AE262" s="1613">
        <f t="shared" si="70"/>
        <v>0.31857188356835842</v>
      </c>
      <c r="AF262" s="1614">
        <f t="shared" si="71"/>
        <v>1.7112830802417556</v>
      </c>
      <c r="AG262" s="1612">
        <f t="shared" si="72"/>
        <v>0.3552862317782417</v>
      </c>
      <c r="AH262" s="1613">
        <f t="shared" si="73"/>
        <v>1.0374249648951555</v>
      </c>
      <c r="AI262" s="1614">
        <f t="shared" si="74"/>
        <v>1.3927111966733972</v>
      </c>
      <c r="AJ262" s="1506">
        <v>984.3</v>
      </c>
      <c r="AK262" s="1504">
        <v>14.27</v>
      </c>
      <c r="AL262" s="1504">
        <v>98.4</v>
      </c>
      <c r="AM262" s="1504">
        <v>914.4</v>
      </c>
      <c r="AN262" s="1504">
        <v>881.1</v>
      </c>
      <c r="AO262" s="1504">
        <v>11.1</v>
      </c>
      <c r="AP262" s="1504">
        <v>222.2</v>
      </c>
      <c r="AQ262" s="1504">
        <v>819.1</v>
      </c>
      <c r="AR262" s="1610">
        <v>398</v>
      </c>
      <c r="AS262" s="1609">
        <v>222.2</v>
      </c>
      <c r="AT262" s="1504">
        <v>819.1</v>
      </c>
      <c r="AU262" s="1610">
        <v>465</v>
      </c>
      <c r="AV262" s="1616"/>
      <c r="AW262" s="1616"/>
      <c r="AX262" s="1616"/>
    </row>
    <row r="263" spans="1:50" x14ac:dyDescent="0.25">
      <c r="A263" s="1620" t="s">
        <v>4006</v>
      </c>
      <c r="B263" s="1609">
        <v>850</v>
      </c>
      <c r="C263" s="1507">
        <v>34</v>
      </c>
      <c r="D263" s="1504">
        <v>1206.5</v>
      </c>
      <c r="E263" s="1504">
        <v>101.6</v>
      </c>
      <c r="F263" s="1504">
        <v>965.2</v>
      </c>
      <c r="G263" s="1657"/>
      <c r="H263" s="1657"/>
      <c r="I263" s="1504">
        <v>28</v>
      </c>
      <c r="J263" s="1504">
        <v>1104.9000000000001</v>
      </c>
      <c r="K263" s="1504">
        <v>50.8</v>
      </c>
      <c r="L263" s="1657"/>
      <c r="M263" s="1657"/>
      <c r="N263" s="1658"/>
      <c r="O263" s="1609">
        <v>231.6</v>
      </c>
      <c r="P263" s="1504">
        <v>12.7</v>
      </c>
      <c r="Q263" s="1504">
        <v>936.8</v>
      </c>
      <c r="R263" s="1610">
        <v>524</v>
      </c>
      <c r="S263" s="1659"/>
      <c r="T263" s="1657"/>
      <c r="U263" s="1657"/>
      <c r="V263" s="1657"/>
      <c r="W263" s="1658"/>
      <c r="X263" s="1609">
        <v>104.6</v>
      </c>
      <c r="Y263" s="1610">
        <v>950</v>
      </c>
      <c r="Z263" s="1659"/>
      <c r="AA263" s="1660"/>
      <c r="AB263" s="1661"/>
      <c r="AC263" s="1615">
        <f t="shared" si="68"/>
        <v>0.38509768411409828</v>
      </c>
      <c r="AD263" s="1613">
        <f t="shared" si="69"/>
        <v>1.1432587497137294</v>
      </c>
      <c r="AE263" s="1613">
        <f t="shared" si="70"/>
        <v>0.35651522282432607</v>
      </c>
      <c r="AF263" s="1614">
        <f t="shared" si="71"/>
        <v>1.8848716566521537</v>
      </c>
      <c r="AG263" s="1612">
        <f t="shared" si="72"/>
        <v>0.38509768411409828</v>
      </c>
      <c r="AH263" s="1613">
        <f t="shared" si="73"/>
        <v>1.1432587497137294</v>
      </c>
      <c r="AI263" s="1614">
        <f t="shared" si="74"/>
        <v>1.5283564338278277</v>
      </c>
      <c r="AJ263" s="1506">
        <v>1035</v>
      </c>
      <c r="AK263" s="1504">
        <v>14.27</v>
      </c>
      <c r="AL263" s="1504">
        <v>101.6</v>
      </c>
      <c r="AM263" s="1504">
        <v>965.2</v>
      </c>
      <c r="AN263" s="1504">
        <v>936.6</v>
      </c>
      <c r="AO263" s="1504">
        <v>12.7</v>
      </c>
      <c r="AP263" s="1504">
        <v>231.8</v>
      </c>
      <c r="AQ263" s="1504">
        <v>869.9</v>
      </c>
      <c r="AR263" s="1610">
        <v>480</v>
      </c>
      <c r="AS263" s="1609">
        <v>231.8</v>
      </c>
      <c r="AT263" s="1504">
        <v>871.6</v>
      </c>
      <c r="AU263" s="1610">
        <v>545</v>
      </c>
      <c r="AV263" s="1616"/>
      <c r="AW263" s="1616"/>
      <c r="AX263" s="1616"/>
    </row>
    <row r="264" spans="1:50" x14ac:dyDescent="0.25">
      <c r="A264" s="1620" t="s">
        <v>4007</v>
      </c>
      <c r="B264" s="1609">
        <v>900</v>
      </c>
      <c r="C264" s="1507">
        <v>36</v>
      </c>
      <c r="D264" s="1504">
        <v>1270</v>
      </c>
      <c r="E264" s="1504">
        <v>104.6</v>
      </c>
      <c r="F264" s="1504">
        <v>1022.3</v>
      </c>
      <c r="G264" s="1657"/>
      <c r="H264" s="1657"/>
      <c r="I264" s="1504">
        <v>32</v>
      </c>
      <c r="J264" s="1504">
        <v>1168.4000000000001</v>
      </c>
      <c r="K264" s="1504">
        <v>53.8</v>
      </c>
      <c r="L264" s="1657"/>
      <c r="M264" s="1657"/>
      <c r="N264" s="1658"/>
      <c r="O264" s="1609">
        <v>241.3</v>
      </c>
      <c r="P264" s="1504">
        <v>12.7</v>
      </c>
      <c r="Q264" s="1504">
        <v>990.6</v>
      </c>
      <c r="R264" s="1610">
        <v>606</v>
      </c>
      <c r="S264" s="1659"/>
      <c r="T264" s="1657"/>
      <c r="U264" s="1657"/>
      <c r="V264" s="1657"/>
      <c r="W264" s="1658"/>
      <c r="X264" s="1609">
        <v>111.3</v>
      </c>
      <c r="Y264" s="1610">
        <v>1085</v>
      </c>
      <c r="Z264" s="1659"/>
      <c r="AA264" s="1660"/>
      <c r="AB264" s="1661"/>
      <c r="AC264" s="1615">
        <f t="shared" si="68"/>
        <v>0.4181334158221871</v>
      </c>
      <c r="AD264" s="1613">
        <f t="shared" si="69"/>
        <v>1.2667686977437445</v>
      </c>
      <c r="AE264" s="1613">
        <f t="shared" si="70"/>
        <v>0.39555039119112223</v>
      </c>
      <c r="AF264" s="1614">
        <f t="shared" si="71"/>
        <v>2.0804525047570537</v>
      </c>
      <c r="AG264" s="1612">
        <f t="shared" si="72"/>
        <v>0.4181334158221871</v>
      </c>
      <c r="AH264" s="1613">
        <f t="shared" si="73"/>
        <v>1.2667686977437445</v>
      </c>
      <c r="AI264" s="1614">
        <f t="shared" si="74"/>
        <v>1.6849021135659314</v>
      </c>
      <c r="AJ264" s="1506">
        <v>1092.2</v>
      </c>
      <c r="AK264" s="1504">
        <v>14.27</v>
      </c>
      <c r="AL264" s="1504">
        <v>104.8</v>
      </c>
      <c r="AM264" s="1504">
        <v>1022.3</v>
      </c>
      <c r="AN264" s="1504">
        <v>990.6</v>
      </c>
      <c r="AO264" s="1504">
        <v>12.7</v>
      </c>
      <c r="AP264" s="1504">
        <v>241.3</v>
      </c>
      <c r="AQ264" s="1504">
        <v>920.7</v>
      </c>
      <c r="AR264" s="1610">
        <v>540</v>
      </c>
      <c r="AS264" s="1609">
        <v>241.3</v>
      </c>
      <c r="AT264" s="1504">
        <v>922.4</v>
      </c>
      <c r="AU264" s="1610">
        <v>590</v>
      </c>
      <c r="AV264" s="1616"/>
      <c r="AW264" s="1616"/>
      <c r="AX264" s="1616"/>
    </row>
    <row r="265" spans="1:50" x14ac:dyDescent="0.25">
      <c r="A265" s="1620" t="s">
        <v>4008</v>
      </c>
      <c r="B265" s="1609">
        <v>950</v>
      </c>
      <c r="C265" s="1507">
        <v>38</v>
      </c>
      <c r="D265" s="1504">
        <v>1168.4000000000001</v>
      </c>
      <c r="E265" s="1504">
        <v>107.9</v>
      </c>
      <c r="F265" s="1504">
        <v>1028.7</v>
      </c>
      <c r="G265" s="1657"/>
      <c r="H265" s="1657"/>
      <c r="I265" s="1504">
        <v>32</v>
      </c>
      <c r="J265" s="1504">
        <v>1092.2</v>
      </c>
      <c r="K265" s="1504">
        <v>41.1</v>
      </c>
      <c r="L265" s="1657"/>
      <c r="M265" s="1657"/>
      <c r="N265" s="1658"/>
      <c r="O265" s="1609">
        <v>180.8</v>
      </c>
      <c r="P265" s="1504">
        <v>12.7</v>
      </c>
      <c r="Q265" s="1504">
        <v>993.6</v>
      </c>
      <c r="R265" s="1610">
        <v>333</v>
      </c>
      <c r="S265" s="1659"/>
      <c r="T265" s="1657"/>
      <c r="U265" s="1657"/>
      <c r="V265" s="1657"/>
      <c r="W265" s="1658"/>
      <c r="X265" s="1609">
        <v>107.9</v>
      </c>
      <c r="Y265" s="1610">
        <v>908</v>
      </c>
      <c r="Z265" s="1659"/>
      <c r="AA265" s="1660"/>
      <c r="AB265" s="1661"/>
      <c r="AC265" s="1506"/>
      <c r="AD265" s="1504"/>
      <c r="AE265" s="1657"/>
      <c r="AF265" s="1660"/>
      <c r="AG265" s="1662"/>
      <c r="AH265" s="1657"/>
      <c r="AI265" s="1660"/>
      <c r="AJ265" s="1506" t="s">
        <v>1712</v>
      </c>
      <c r="AK265" s="1504" t="s">
        <v>1712</v>
      </c>
      <c r="AL265" s="1504" t="s">
        <v>1712</v>
      </c>
      <c r="AM265" s="1504" t="s">
        <v>1712</v>
      </c>
      <c r="AN265" s="1504" t="s">
        <v>1712</v>
      </c>
      <c r="AO265" s="1504" t="s">
        <v>1712</v>
      </c>
      <c r="AP265" s="1504" t="s">
        <v>1712</v>
      </c>
      <c r="AQ265" s="1504" t="s">
        <v>1712</v>
      </c>
      <c r="AR265" s="1610" t="s">
        <v>1712</v>
      </c>
      <c r="AS265" s="1609" t="s">
        <v>1712</v>
      </c>
      <c r="AT265" s="1504" t="s">
        <v>1712</v>
      </c>
      <c r="AU265" s="1610" t="s">
        <v>1712</v>
      </c>
      <c r="AV265" s="1616"/>
      <c r="AW265" s="1616"/>
      <c r="AX265" s="1616"/>
    </row>
    <row r="266" spans="1:50" x14ac:dyDescent="0.25">
      <c r="A266" s="1620" t="s">
        <v>4009</v>
      </c>
      <c r="B266" s="1609">
        <v>1000</v>
      </c>
      <c r="C266" s="1507">
        <v>40</v>
      </c>
      <c r="D266" s="1504">
        <v>1238.2</v>
      </c>
      <c r="E266" s="1504">
        <v>114.3</v>
      </c>
      <c r="F266" s="1504">
        <v>1085.8</v>
      </c>
      <c r="G266" s="1657"/>
      <c r="H266" s="1657"/>
      <c r="I266" s="1504">
        <v>32</v>
      </c>
      <c r="J266" s="1504">
        <v>1155.7</v>
      </c>
      <c r="K266" s="1504">
        <v>44.4</v>
      </c>
      <c r="L266" s="1657"/>
      <c r="M266" s="1657"/>
      <c r="N266" s="1658"/>
      <c r="O266" s="1609">
        <v>193.5</v>
      </c>
      <c r="P266" s="1504">
        <v>12.7</v>
      </c>
      <c r="Q266" s="1504">
        <v>1047.7</v>
      </c>
      <c r="R266" s="1610">
        <v>399</v>
      </c>
      <c r="S266" s="1659"/>
      <c r="T266" s="1657"/>
      <c r="U266" s="1657"/>
      <c r="V266" s="1657"/>
      <c r="W266" s="1658"/>
      <c r="X266" s="1609">
        <v>114.3</v>
      </c>
      <c r="Y266" s="1610">
        <v>1077</v>
      </c>
      <c r="Z266" s="1659"/>
      <c r="AA266" s="1660"/>
      <c r="AB266" s="1661"/>
      <c r="AC266" s="1506"/>
      <c r="AD266" s="1504"/>
      <c r="AE266" s="1657"/>
      <c r="AF266" s="1660"/>
      <c r="AG266" s="1662"/>
      <c r="AH266" s="1657"/>
      <c r="AI266" s="1660"/>
      <c r="AJ266" s="1506" t="s">
        <v>1712</v>
      </c>
      <c r="AK266" s="1504" t="s">
        <v>1712</v>
      </c>
      <c r="AL266" s="1504" t="s">
        <v>1712</v>
      </c>
      <c r="AM266" s="1504" t="s">
        <v>1712</v>
      </c>
      <c r="AN266" s="1504" t="s">
        <v>1712</v>
      </c>
      <c r="AO266" s="1504" t="s">
        <v>1712</v>
      </c>
      <c r="AP266" s="1504" t="s">
        <v>1712</v>
      </c>
      <c r="AQ266" s="1504" t="s">
        <v>1712</v>
      </c>
      <c r="AR266" s="1610" t="s">
        <v>1712</v>
      </c>
      <c r="AS266" s="1609" t="s">
        <v>1712</v>
      </c>
      <c r="AT266" s="1504" t="s">
        <v>1712</v>
      </c>
      <c r="AU266" s="1610" t="s">
        <v>1712</v>
      </c>
      <c r="AV266" s="1616"/>
      <c r="AW266" s="1616"/>
      <c r="AX266" s="1616"/>
    </row>
    <row r="267" spans="1:50" x14ac:dyDescent="0.25">
      <c r="A267" s="1620" t="s">
        <v>4010</v>
      </c>
      <c r="B267" s="1609">
        <v>1050</v>
      </c>
      <c r="C267" s="1507">
        <v>42</v>
      </c>
      <c r="D267" s="1504">
        <v>1289</v>
      </c>
      <c r="E267" s="1504">
        <v>119.1</v>
      </c>
      <c r="F267" s="1504">
        <v>1136.5999999999999</v>
      </c>
      <c r="G267" s="1657"/>
      <c r="H267" s="1657"/>
      <c r="I267" s="1504">
        <v>32</v>
      </c>
      <c r="J267" s="1504">
        <v>1206.5</v>
      </c>
      <c r="K267" s="1504">
        <v>44.4</v>
      </c>
      <c r="L267" s="1657"/>
      <c r="M267" s="1657"/>
      <c r="N267" s="1658"/>
      <c r="O267" s="1609">
        <v>200.1</v>
      </c>
      <c r="P267" s="1504">
        <v>12.7</v>
      </c>
      <c r="Q267" s="1504">
        <v>1098.5</v>
      </c>
      <c r="R267" s="1610">
        <v>444</v>
      </c>
      <c r="S267" s="1659"/>
      <c r="T267" s="1657"/>
      <c r="U267" s="1657"/>
      <c r="V267" s="1657"/>
      <c r="W267" s="1658"/>
      <c r="X267" s="1609">
        <v>119.1</v>
      </c>
      <c r="Y267" s="1610">
        <v>1219</v>
      </c>
      <c r="Z267" s="1659"/>
      <c r="AA267" s="1660"/>
      <c r="AB267" s="1661"/>
      <c r="AC267" s="1506"/>
      <c r="AD267" s="1504"/>
      <c r="AE267" s="1657"/>
      <c r="AF267" s="1660"/>
      <c r="AG267" s="1662"/>
      <c r="AH267" s="1657"/>
      <c r="AI267" s="1660"/>
      <c r="AJ267" s="1506" t="s">
        <v>1712</v>
      </c>
      <c r="AK267" s="1504" t="s">
        <v>1712</v>
      </c>
      <c r="AL267" s="1504" t="s">
        <v>1712</v>
      </c>
      <c r="AM267" s="1504" t="s">
        <v>1712</v>
      </c>
      <c r="AN267" s="1504" t="s">
        <v>1712</v>
      </c>
      <c r="AO267" s="1504" t="s">
        <v>1712</v>
      </c>
      <c r="AP267" s="1504" t="s">
        <v>1712</v>
      </c>
      <c r="AQ267" s="1504" t="s">
        <v>1712</v>
      </c>
      <c r="AR267" s="1610" t="s">
        <v>1712</v>
      </c>
      <c r="AS267" s="1609" t="s">
        <v>1712</v>
      </c>
      <c r="AT267" s="1504" t="s">
        <v>1712</v>
      </c>
      <c r="AU267" s="1610" t="s">
        <v>1712</v>
      </c>
      <c r="AV267" s="1616"/>
      <c r="AW267" s="1616"/>
      <c r="AX267" s="1616"/>
    </row>
    <row r="268" spans="1:50" x14ac:dyDescent="0.25">
      <c r="A268" s="1620" t="s">
        <v>4011</v>
      </c>
      <c r="B268" s="1609">
        <v>1100</v>
      </c>
      <c r="C268" s="1507">
        <v>44</v>
      </c>
      <c r="D268" s="1504">
        <v>1352.5</v>
      </c>
      <c r="E268" s="1504">
        <v>124</v>
      </c>
      <c r="F268" s="1504">
        <v>1193.8</v>
      </c>
      <c r="G268" s="1657"/>
      <c r="H268" s="1657"/>
      <c r="I268" s="1504">
        <v>32</v>
      </c>
      <c r="J268" s="1504">
        <v>1263.5999999999999</v>
      </c>
      <c r="K268" s="1504">
        <v>47.8</v>
      </c>
      <c r="L268" s="1657"/>
      <c r="M268" s="1657"/>
      <c r="N268" s="1658"/>
      <c r="O268" s="1609">
        <v>206.2</v>
      </c>
      <c r="P268" s="1504">
        <v>12.7</v>
      </c>
      <c r="Q268" s="1504">
        <v>1149.3</v>
      </c>
      <c r="R268" s="1610">
        <v>508</v>
      </c>
      <c r="S268" s="1659"/>
      <c r="T268" s="1657"/>
      <c r="U268" s="1657"/>
      <c r="V268" s="1657"/>
      <c r="W268" s="1658"/>
      <c r="X268" s="1609">
        <v>124</v>
      </c>
      <c r="Y268" s="1610">
        <v>1396</v>
      </c>
      <c r="Z268" s="1659"/>
      <c r="AA268" s="1660"/>
      <c r="AB268" s="1661"/>
      <c r="AC268" s="1506"/>
      <c r="AD268" s="1504"/>
      <c r="AE268" s="1657"/>
      <c r="AF268" s="1660"/>
      <c r="AG268" s="1662"/>
      <c r="AH268" s="1657"/>
      <c r="AI268" s="1660"/>
      <c r="AJ268" s="1506" t="s">
        <v>1712</v>
      </c>
      <c r="AK268" s="1504" t="s">
        <v>1712</v>
      </c>
      <c r="AL268" s="1504" t="s">
        <v>1712</v>
      </c>
      <c r="AM268" s="1504" t="s">
        <v>1712</v>
      </c>
      <c r="AN268" s="1504" t="s">
        <v>1712</v>
      </c>
      <c r="AO268" s="1504" t="s">
        <v>1712</v>
      </c>
      <c r="AP268" s="1504" t="s">
        <v>1712</v>
      </c>
      <c r="AQ268" s="1504" t="s">
        <v>1712</v>
      </c>
      <c r="AR268" s="1610" t="s">
        <v>1712</v>
      </c>
      <c r="AS268" s="1609" t="s">
        <v>1712</v>
      </c>
      <c r="AT268" s="1504" t="s">
        <v>1712</v>
      </c>
      <c r="AU268" s="1610" t="s">
        <v>1712</v>
      </c>
      <c r="AV268" s="1616"/>
      <c r="AW268" s="1616"/>
      <c r="AX268" s="1616"/>
    </row>
    <row r="269" spans="1:50" x14ac:dyDescent="0.25">
      <c r="A269" s="1620" t="s">
        <v>4012</v>
      </c>
      <c r="B269" s="1609">
        <v>1150</v>
      </c>
      <c r="C269" s="1507">
        <v>46</v>
      </c>
      <c r="D269" s="1504">
        <v>1416</v>
      </c>
      <c r="E269" s="1504">
        <v>128.5</v>
      </c>
      <c r="F269" s="1504">
        <v>1244.5999999999999</v>
      </c>
      <c r="G269" s="1657"/>
      <c r="H269" s="1657"/>
      <c r="I269" s="1504">
        <v>28</v>
      </c>
      <c r="J269" s="1504">
        <v>1320.8</v>
      </c>
      <c r="K269" s="1504">
        <v>50.8</v>
      </c>
      <c r="L269" s="1657"/>
      <c r="M269" s="1657"/>
      <c r="N269" s="1658"/>
      <c r="O269" s="1609">
        <v>215.9</v>
      </c>
      <c r="P269" s="1504">
        <v>12.7</v>
      </c>
      <c r="Q269" s="1504">
        <v>1203.4000000000001</v>
      </c>
      <c r="R269" s="1610">
        <v>581</v>
      </c>
      <c r="S269" s="1659"/>
      <c r="T269" s="1657"/>
      <c r="U269" s="1657"/>
      <c r="V269" s="1657"/>
      <c r="W269" s="1658"/>
      <c r="X269" s="1609">
        <v>128.5</v>
      </c>
      <c r="Y269" s="1610">
        <v>1581</v>
      </c>
      <c r="Z269" s="1659"/>
      <c r="AA269" s="1660"/>
      <c r="AB269" s="1661"/>
      <c r="AC269" s="1506"/>
      <c r="AD269" s="1504"/>
      <c r="AE269" s="1657"/>
      <c r="AF269" s="1660"/>
      <c r="AG269" s="1662"/>
      <c r="AH269" s="1657"/>
      <c r="AI269" s="1660"/>
      <c r="AJ269" s="1506" t="s">
        <v>1712</v>
      </c>
      <c r="AK269" s="1504" t="s">
        <v>1712</v>
      </c>
      <c r="AL269" s="1504" t="s">
        <v>1712</v>
      </c>
      <c r="AM269" s="1504" t="s">
        <v>1712</v>
      </c>
      <c r="AN269" s="1504" t="s">
        <v>1712</v>
      </c>
      <c r="AO269" s="1504" t="s">
        <v>1712</v>
      </c>
      <c r="AP269" s="1504" t="s">
        <v>1712</v>
      </c>
      <c r="AQ269" s="1504" t="s">
        <v>1712</v>
      </c>
      <c r="AR269" s="1610" t="s">
        <v>1712</v>
      </c>
      <c r="AS269" s="1609" t="s">
        <v>1712</v>
      </c>
      <c r="AT269" s="1504" t="s">
        <v>1712</v>
      </c>
      <c r="AU269" s="1610" t="s">
        <v>1712</v>
      </c>
      <c r="AV269" s="1616"/>
      <c r="AW269" s="1616"/>
      <c r="AX269" s="1616"/>
    </row>
    <row r="270" spans="1:50" x14ac:dyDescent="0.25">
      <c r="A270" s="1620" t="s">
        <v>4013</v>
      </c>
      <c r="B270" s="1609">
        <v>1200</v>
      </c>
      <c r="C270" s="1507">
        <v>48</v>
      </c>
      <c r="D270" s="1504">
        <v>1466.8</v>
      </c>
      <c r="E270" s="1504">
        <v>133.30000000000001</v>
      </c>
      <c r="F270" s="1504">
        <v>1301.7</v>
      </c>
      <c r="G270" s="1657"/>
      <c r="H270" s="1657"/>
      <c r="I270" s="1504">
        <v>32</v>
      </c>
      <c r="J270" s="1504">
        <v>1371.6</v>
      </c>
      <c r="K270" s="1504">
        <v>50.8</v>
      </c>
      <c r="L270" s="1657"/>
      <c r="M270" s="1657"/>
      <c r="N270" s="1658"/>
      <c r="O270" s="1609">
        <v>223.8</v>
      </c>
      <c r="P270" s="1504">
        <v>12.7</v>
      </c>
      <c r="Q270" s="1504">
        <v>1254.3</v>
      </c>
      <c r="R270" s="1610">
        <v>620</v>
      </c>
      <c r="S270" s="1659"/>
      <c r="T270" s="1657"/>
      <c r="U270" s="1657"/>
      <c r="V270" s="1657"/>
      <c r="W270" s="1658"/>
      <c r="X270" s="1609">
        <v>133.30000000000001</v>
      </c>
      <c r="Y270" s="1610">
        <v>1760</v>
      </c>
      <c r="Z270" s="1659"/>
      <c r="AA270" s="1660"/>
      <c r="AB270" s="1661"/>
      <c r="AC270" s="1506"/>
      <c r="AD270" s="1504"/>
      <c r="AE270" s="1657"/>
      <c r="AF270" s="1660"/>
      <c r="AG270" s="1662"/>
      <c r="AH270" s="1657"/>
      <c r="AI270" s="1660"/>
      <c r="AJ270" s="1506" t="s">
        <v>1712</v>
      </c>
      <c r="AK270" s="1504" t="s">
        <v>1712</v>
      </c>
      <c r="AL270" s="1504" t="s">
        <v>1712</v>
      </c>
      <c r="AM270" s="1504" t="s">
        <v>1712</v>
      </c>
      <c r="AN270" s="1504" t="s">
        <v>1712</v>
      </c>
      <c r="AO270" s="1504" t="s">
        <v>1712</v>
      </c>
      <c r="AP270" s="1504" t="s">
        <v>1712</v>
      </c>
      <c r="AQ270" s="1504" t="s">
        <v>1712</v>
      </c>
      <c r="AR270" s="1610" t="s">
        <v>1712</v>
      </c>
      <c r="AS270" s="1609" t="s">
        <v>1712</v>
      </c>
      <c r="AT270" s="1504" t="s">
        <v>1712</v>
      </c>
      <c r="AU270" s="1610" t="s">
        <v>1712</v>
      </c>
      <c r="AV270" s="1616"/>
      <c r="AW270" s="1616"/>
      <c r="AX270" s="1616"/>
    </row>
    <row r="271" spans="1:50" x14ac:dyDescent="0.25">
      <c r="A271" s="1620" t="s">
        <v>4014</v>
      </c>
      <c r="B271" s="1609">
        <v>1250</v>
      </c>
      <c r="C271" s="1507">
        <v>50</v>
      </c>
      <c r="D271" s="1504">
        <v>1530.3</v>
      </c>
      <c r="E271" s="1504">
        <v>139.69999999999999</v>
      </c>
      <c r="F271" s="1504">
        <v>1358.9</v>
      </c>
      <c r="G271" s="1657"/>
      <c r="H271" s="1657"/>
      <c r="I271" s="1504">
        <v>32</v>
      </c>
      <c r="J271" s="1504">
        <v>1428.8</v>
      </c>
      <c r="K271" s="1504">
        <v>53.8</v>
      </c>
      <c r="L271" s="1657"/>
      <c r="M271" s="1657"/>
      <c r="N271" s="1658"/>
      <c r="O271" s="1609">
        <v>231.6</v>
      </c>
      <c r="P271" s="1504">
        <v>12.7</v>
      </c>
      <c r="Q271" s="1504">
        <v>1305.0999999999999</v>
      </c>
      <c r="R271" s="1610">
        <v>733</v>
      </c>
      <c r="S271" s="1659"/>
      <c r="T271" s="1657"/>
      <c r="U271" s="1657"/>
      <c r="V271" s="1657"/>
      <c r="W271" s="1658"/>
      <c r="X271" s="1609">
        <v>139.69999999999999</v>
      </c>
      <c r="Y271" s="1610">
        <v>2005</v>
      </c>
      <c r="Z271" s="1659"/>
      <c r="AA271" s="1660"/>
      <c r="AB271" s="1661"/>
      <c r="AC271" s="1506"/>
      <c r="AD271" s="1504"/>
      <c r="AE271" s="1657"/>
      <c r="AF271" s="1660"/>
      <c r="AG271" s="1662"/>
      <c r="AH271" s="1657"/>
      <c r="AI271" s="1660"/>
      <c r="AJ271" s="1506" t="s">
        <v>1712</v>
      </c>
      <c r="AK271" s="1504" t="s">
        <v>1712</v>
      </c>
      <c r="AL271" s="1504" t="s">
        <v>1712</v>
      </c>
      <c r="AM271" s="1504" t="s">
        <v>1712</v>
      </c>
      <c r="AN271" s="1504" t="s">
        <v>1712</v>
      </c>
      <c r="AO271" s="1504" t="s">
        <v>1712</v>
      </c>
      <c r="AP271" s="1504" t="s">
        <v>1712</v>
      </c>
      <c r="AQ271" s="1504" t="s">
        <v>1712</v>
      </c>
      <c r="AR271" s="1610" t="s">
        <v>1712</v>
      </c>
      <c r="AS271" s="1609" t="s">
        <v>1712</v>
      </c>
      <c r="AT271" s="1504" t="s">
        <v>1712</v>
      </c>
      <c r="AU271" s="1610" t="s">
        <v>1712</v>
      </c>
      <c r="AV271" s="1616"/>
      <c r="AW271" s="1616"/>
      <c r="AX271" s="1616"/>
    </row>
    <row r="272" spans="1:50" x14ac:dyDescent="0.25">
      <c r="A272" s="1620" t="s">
        <v>4015</v>
      </c>
      <c r="B272" s="1609">
        <v>1300</v>
      </c>
      <c r="C272" s="1507">
        <v>52</v>
      </c>
      <c r="D272" s="1504">
        <v>1581.1</v>
      </c>
      <c r="E272" s="1504">
        <v>144.5</v>
      </c>
      <c r="F272" s="1504">
        <v>1409.7</v>
      </c>
      <c r="G272" s="1657"/>
      <c r="H272" s="1657"/>
      <c r="I272" s="1504">
        <v>32</v>
      </c>
      <c r="J272" s="1504">
        <v>1479.6</v>
      </c>
      <c r="K272" s="1504">
        <v>53.8</v>
      </c>
      <c r="L272" s="1657"/>
      <c r="M272" s="1657"/>
      <c r="N272" s="1658"/>
      <c r="O272" s="1609">
        <v>238.3</v>
      </c>
      <c r="P272" s="1504">
        <v>12.7</v>
      </c>
      <c r="Q272" s="1504">
        <v>1355.9</v>
      </c>
      <c r="R272" s="1610">
        <v>773</v>
      </c>
      <c r="S272" s="1659"/>
      <c r="T272" s="1657"/>
      <c r="U272" s="1657"/>
      <c r="V272" s="1657"/>
      <c r="W272" s="1658"/>
      <c r="X272" s="1609">
        <v>144.5</v>
      </c>
      <c r="Y272" s="1610">
        <v>2215</v>
      </c>
      <c r="Z272" s="1659"/>
      <c r="AA272" s="1660"/>
      <c r="AB272" s="1661"/>
      <c r="AC272" s="1506"/>
      <c r="AD272" s="1504"/>
      <c r="AE272" s="1657"/>
      <c r="AF272" s="1660"/>
      <c r="AG272" s="1662"/>
      <c r="AH272" s="1657"/>
      <c r="AI272" s="1660"/>
      <c r="AJ272" s="1506" t="s">
        <v>1712</v>
      </c>
      <c r="AK272" s="1504" t="s">
        <v>1712</v>
      </c>
      <c r="AL272" s="1504" t="s">
        <v>1712</v>
      </c>
      <c r="AM272" s="1504" t="s">
        <v>1712</v>
      </c>
      <c r="AN272" s="1504" t="s">
        <v>1712</v>
      </c>
      <c r="AO272" s="1504" t="s">
        <v>1712</v>
      </c>
      <c r="AP272" s="1504" t="s">
        <v>1712</v>
      </c>
      <c r="AQ272" s="1504" t="s">
        <v>1712</v>
      </c>
      <c r="AR272" s="1610" t="s">
        <v>1712</v>
      </c>
      <c r="AS272" s="1609" t="s">
        <v>1712</v>
      </c>
      <c r="AT272" s="1504" t="s">
        <v>1712</v>
      </c>
      <c r="AU272" s="1610" t="s">
        <v>1712</v>
      </c>
      <c r="AV272" s="1616"/>
      <c r="AW272" s="1616"/>
      <c r="AX272" s="1616"/>
    </row>
    <row r="273" spans="1:50" x14ac:dyDescent="0.25">
      <c r="A273" s="1620" t="s">
        <v>4016</v>
      </c>
      <c r="B273" s="1609">
        <v>1350</v>
      </c>
      <c r="C273" s="1507">
        <v>54</v>
      </c>
      <c r="D273" s="1504">
        <v>1657.3</v>
      </c>
      <c r="E273" s="1504">
        <v>152.4</v>
      </c>
      <c r="F273" s="1504">
        <v>1466.8</v>
      </c>
      <c r="G273" s="1657"/>
      <c r="H273" s="1657"/>
      <c r="I273" s="1504">
        <v>28</v>
      </c>
      <c r="J273" s="1504">
        <v>1549.4</v>
      </c>
      <c r="K273" s="1504">
        <v>60.4</v>
      </c>
      <c r="L273" s="1657"/>
      <c r="M273" s="1657"/>
      <c r="N273" s="1658"/>
      <c r="O273" s="1609">
        <v>252.5</v>
      </c>
      <c r="P273" s="1504">
        <v>12.7</v>
      </c>
      <c r="Q273" s="1504">
        <v>1409.7</v>
      </c>
      <c r="R273" s="1610">
        <v>928</v>
      </c>
      <c r="S273" s="1659"/>
      <c r="T273" s="1657"/>
      <c r="U273" s="1657"/>
      <c r="V273" s="1657"/>
      <c r="W273" s="1658"/>
      <c r="X273" s="1609">
        <v>152.4</v>
      </c>
      <c r="Y273" s="1610">
        <v>2568</v>
      </c>
      <c r="Z273" s="1659"/>
      <c r="AA273" s="1660"/>
      <c r="AB273" s="1661"/>
      <c r="AC273" s="1506"/>
      <c r="AD273" s="1504"/>
      <c r="AE273" s="1657"/>
      <c r="AF273" s="1660"/>
      <c r="AG273" s="1662"/>
      <c r="AH273" s="1657"/>
      <c r="AI273" s="1660"/>
      <c r="AJ273" s="1506" t="s">
        <v>1712</v>
      </c>
      <c r="AK273" s="1504" t="s">
        <v>1712</v>
      </c>
      <c r="AL273" s="1504" t="s">
        <v>1712</v>
      </c>
      <c r="AM273" s="1504" t="s">
        <v>1712</v>
      </c>
      <c r="AN273" s="1504" t="s">
        <v>1712</v>
      </c>
      <c r="AO273" s="1504" t="s">
        <v>1712</v>
      </c>
      <c r="AP273" s="1504" t="s">
        <v>1712</v>
      </c>
      <c r="AQ273" s="1504" t="s">
        <v>1712</v>
      </c>
      <c r="AR273" s="1610" t="s">
        <v>1712</v>
      </c>
      <c r="AS273" s="1609" t="s">
        <v>1712</v>
      </c>
      <c r="AT273" s="1504" t="s">
        <v>1712</v>
      </c>
      <c r="AU273" s="1610" t="s">
        <v>1712</v>
      </c>
      <c r="AV273" s="1616"/>
      <c r="AW273" s="1616"/>
      <c r="AX273" s="1616"/>
    </row>
    <row r="274" spans="1:50" x14ac:dyDescent="0.25">
      <c r="A274" s="1620" t="s">
        <v>4017</v>
      </c>
      <c r="B274" s="1609">
        <v>1400</v>
      </c>
      <c r="C274" s="1507">
        <v>56</v>
      </c>
      <c r="D274" s="1504">
        <v>1708.1</v>
      </c>
      <c r="E274" s="1504">
        <v>153.9</v>
      </c>
      <c r="F274" s="1504">
        <v>1517.6</v>
      </c>
      <c r="G274" s="1657"/>
      <c r="H274" s="1657"/>
      <c r="I274" s="1504">
        <v>28</v>
      </c>
      <c r="J274" s="1504">
        <v>1600.2</v>
      </c>
      <c r="K274" s="1504">
        <v>60.4</v>
      </c>
      <c r="L274" s="1657"/>
      <c r="M274" s="1657"/>
      <c r="N274" s="1658"/>
      <c r="O274" s="1609">
        <v>260.3</v>
      </c>
      <c r="P274" s="1504">
        <v>12.7</v>
      </c>
      <c r="Q274" s="1504">
        <v>1463.5</v>
      </c>
      <c r="R274" s="1610">
        <v>986</v>
      </c>
      <c r="S274" s="1659"/>
      <c r="T274" s="1657"/>
      <c r="U274" s="1657"/>
      <c r="V274" s="1657"/>
      <c r="W274" s="1658"/>
      <c r="X274" s="1609">
        <v>153.9</v>
      </c>
      <c r="Y274" s="1610">
        <v>2932</v>
      </c>
      <c r="Z274" s="1659"/>
      <c r="AA274" s="1660"/>
      <c r="AB274" s="1661"/>
      <c r="AC274" s="1506"/>
      <c r="AD274" s="1504"/>
      <c r="AE274" s="1657"/>
      <c r="AF274" s="1660"/>
      <c r="AG274" s="1662"/>
      <c r="AH274" s="1657"/>
      <c r="AI274" s="1660"/>
      <c r="AJ274" s="1506" t="s">
        <v>1712</v>
      </c>
      <c r="AK274" s="1504" t="s">
        <v>1712</v>
      </c>
      <c r="AL274" s="1504" t="s">
        <v>1712</v>
      </c>
      <c r="AM274" s="1504" t="s">
        <v>1712</v>
      </c>
      <c r="AN274" s="1504" t="s">
        <v>1712</v>
      </c>
      <c r="AO274" s="1504" t="s">
        <v>1712</v>
      </c>
      <c r="AP274" s="1504" t="s">
        <v>1712</v>
      </c>
      <c r="AQ274" s="1504" t="s">
        <v>1712</v>
      </c>
      <c r="AR274" s="1610" t="s">
        <v>1712</v>
      </c>
      <c r="AS274" s="1609" t="s">
        <v>1712</v>
      </c>
      <c r="AT274" s="1504" t="s">
        <v>1712</v>
      </c>
      <c r="AU274" s="1610" t="s">
        <v>1712</v>
      </c>
      <c r="AV274" s="1616"/>
      <c r="AW274" s="1616"/>
      <c r="AX274" s="1616"/>
    </row>
    <row r="275" spans="1:50" x14ac:dyDescent="0.25">
      <c r="A275" s="1620" t="s">
        <v>4018</v>
      </c>
      <c r="B275" s="1609">
        <v>1450</v>
      </c>
      <c r="C275" s="1507">
        <v>58</v>
      </c>
      <c r="D275" s="1504">
        <v>1758.9</v>
      </c>
      <c r="E275" s="1504">
        <v>158.69999999999999</v>
      </c>
      <c r="F275" s="1504">
        <v>1574.8</v>
      </c>
      <c r="G275" s="1657"/>
      <c r="H275" s="1657"/>
      <c r="I275" s="1504">
        <v>32</v>
      </c>
      <c r="J275" s="1504">
        <v>1651</v>
      </c>
      <c r="K275" s="1504">
        <v>60.4</v>
      </c>
      <c r="L275" s="1657"/>
      <c r="M275" s="1657"/>
      <c r="N275" s="1658"/>
      <c r="O275" s="1609">
        <v>266.7</v>
      </c>
      <c r="P275" s="1504">
        <v>12.7</v>
      </c>
      <c r="Q275" s="1504">
        <v>1514.3</v>
      </c>
      <c r="R275" s="1610">
        <v>1048</v>
      </c>
      <c r="S275" s="1659"/>
      <c r="T275" s="1657"/>
      <c r="U275" s="1657"/>
      <c r="V275" s="1657"/>
      <c r="W275" s="1658"/>
      <c r="X275" s="1609">
        <v>158.80000000000001</v>
      </c>
      <c r="Y275" s="1610">
        <v>3009</v>
      </c>
      <c r="Z275" s="1659"/>
      <c r="AA275" s="1660"/>
      <c r="AB275" s="1661"/>
      <c r="AC275" s="1506"/>
      <c r="AD275" s="1504"/>
      <c r="AE275" s="1657"/>
      <c r="AF275" s="1660"/>
      <c r="AG275" s="1662"/>
      <c r="AH275" s="1657"/>
      <c r="AI275" s="1660"/>
      <c r="AJ275" s="1506" t="s">
        <v>1712</v>
      </c>
      <c r="AK275" s="1504" t="s">
        <v>1712</v>
      </c>
      <c r="AL275" s="1504" t="s">
        <v>1712</v>
      </c>
      <c r="AM275" s="1504" t="s">
        <v>1712</v>
      </c>
      <c r="AN275" s="1504" t="s">
        <v>1712</v>
      </c>
      <c r="AO275" s="1504" t="s">
        <v>1712</v>
      </c>
      <c r="AP275" s="1504" t="s">
        <v>1712</v>
      </c>
      <c r="AQ275" s="1504" t="s">
        <v>1712</v>
      </c>
      <c r="AR275" s="1610" t="s">
        <v>1712</v>
      </c>
      <c r="AS275" s="1609" t="s">
        <v>1712</v>
      </c>
      <c r="AT275" s="1504" t="s">
        <v>1712</v>
      </c>
      <c r="AU275" s="1610" t="s">
        <v>1712</v>
      </c>
      <c r="AV275" s="1616"/>
      <c r="AW275" s="1616"/>
      <c r="AX275" s="1616"/>
    </row>
    <row r="276" spans="1:50" ht="13.2" thickBot="1" x14ac:dyDescent="0.3">
      <c r="A276" s="1620" t="s">
        <v>4019</v>
      </c>
      <c r="B276" s="168">
        <v>1500</v>
      </c>
      <c r="C276" s="233">
        <v>60</v>
      </c>
      <c r="D276" s="166">
        <v>1809.7</v>
      </c>
      <c r="E276" s="166">
        <v>163.6</v>
      </c>
      <c r="F276" s="166">
        <v>1625.6</v>
      </c>
      <c r="G276" s="234"/>
      <c r="H276" s="234"/>
      <c r="I276" s="166">
        <v>32</v>
      </c>
      <c r="J276" s="166">
        <v>1701.8</v>
      </c>
      <c r="K276" s="166">
        <v>60.4</v>
      </c>
      <c r="L276" s="234"/>
      <c r="M276" s="234"/>
      <c r="N276" s="235"/>
      <c r="O276" s="168">
        <v>273</v>
      </c>
      <c r="P276" s="166">
        <v>12.7</v>
      </c>
      <c r="Q276" s="166">
        <v>1565.1</v>
      </c>
      <c r="R276" s="169">
        <v>1120</v>
      </c>
      <c r="S276" s="236"/>
      <c r="T276" s="234"/>
      <c r="U276" s="234"/>
      <c r="V276" s="234"/>
      <c r="W276" s="235"/>
      <c r="X276" s="168">
        <v>163.6</v>
      </c>
      <c r="Y276" s="169">
        <v>3283</v>
      </c>
      <c r="Z276" s="236"/>
      <c r="AA276" s="237"/>
      <c r="AB276" s="238"/>
      <c r="AC276" s="171"/>
      <c r="AD276" s="166"/>
      <c r="AE276" s="234"/>
      <c r="AF276" s="237"/>
      <c r="AG276" s="239"/>
      <c r="AH276" s="234"/>
      <c r="AI276" s="237"/>
      <c r="AJ276" s="171" t="s">
        <v>1712</v>
      </c>
      <c r="AK276" s="166" t="s">
        <v>1712</v>
      </c>
      <c r="AL276" s="166" t="s">
        <v>1712</v>
      </c>
      <c r="AM276" s="166" t="s">
        <v>1712</v>
      </c>
      <c r="AN276" s="166" t="s">
        <v>1712</v>
      </c>
      <c r="AO276" s="166" t="s">
        <v>1712</v>
      </c>
      <c r="AP276" s="166" t="s">
        <v>1712</v>
      </c>
      <c r="AQ276" s="166" t="s">
        <v>1712</v>
      </c>
      <c r="AR276" s="169" t="s">
        <v>1712</v>
      </c>
      <c r="AS276" s="168" t="s">
        <v>1712</v>
      </c>
      <c r="AT276" s="166" t="s">
        <v>1712</v>
      </c>
      <c r="AU276" s="169" t="s">
        <v>1712</v>
      </c>
      <c r="AV276" s="593"/>
      <c r="AW276" s="593"/>
      <c r="AX276" s="593"/>
    </row>
    <row r="277" spans="1:50" ht="12.75" customHeight="1" thickBot="1" x14ac:dyDescent="0.3">
      <c r="A277" s="211"/>
      <c r="B277" s="212"/>
      <c r="C277" s="213"/>
      <c r="D277" s="212"/>
      <c r="E277" s="1867" t="s">
        <v>3981</v>
      </c>
      <c r="F277" s="1868"/>
      <c r="G277" s="1868"/>
      <c r="H277" s="1868"/>
      <c r="I277" s="1868"/>
      <c r="J277" s="1868"/>
      <c r="K277" s="1868"/>
      <c r="L277" s="1868"/>
      <c r="M277" s="1868"/>
      <c r="N277" s="1868"/>
      <c r="O277" s="1868"/>
      <c r="P277" s="1868"/>
      <c r="Q277" s="1868"/>
      <c r="R277" s="1868"/>
      <c r="S277" s="1868"/>
      <c r="T277" s="1868"/>
      <c r="U277" s="1868"/>
      <c r="V277" s="1868"/>
      <c r="W277" s="1868"/>
      <c r="X277" s="1869"/>
      <c r="Y277" s="1869"/>
      <c r="Z277" s="1868"/>
      <c r="AA277" s="1868"/>
      <c r="AB277" s="1870"/>
      <c r="AC277" s="1884" t="s">
        <v>3982</v>
      </c>
      <c r="AD277" s="1885"/>
      <c r="AE277" s="1885"/>
      <c r="AF277" s="1885"/>
      <c r="AG277" s="1885"/>
      <c r="AH277" s="1885"/>
      <c r="AI277" s="1886"/>
      <c r="AJ277" s="1868" t="s">
        <v>3982</v>
      </c>
      <c r="AK277" s="1868"/>
      <c r="AL277" s="1868"/>
      <c r="AM277" s="1868"/>
      <c r="AN277" s="1868"/>
      <c r="AO277" s="1868"/>
      <c r="AP277" s="1868"/>
      <c r="AQ277" s="1868"/>
      <c r="AR277" s="1868"/>
      <c r="AS277" s="1868"/>
      <c r="AT277" s="1868"/>
      <c r="AU277" s="1870"/>
      <c r="AV277" s="598"/>
      <c r="AW277" s="598"/>
      <c r="AX277" s="598"/>
    </row>
    <row r="278" spans="1:50" ht="13.2" thickBot="1" x14ac:dyDescent="0.3">
      <c r="A278" s="240"/>
      <c r="B278" s="241"/>
      <c r="C278" s="242"/>
      <c r="D278" s="218"/>
      <c r="E278" s="218"/>
      <c r="F278" s="218"/>
      <c r="G278" s="218"/>
      <c r="H278" s="218"/>
      <c r="I278" s="218"/>
      <c r="J278" s="218"/>
      <c r="K278" s="218"/>
      <c r="L278" s="218"/>
      <c r="M278" s="218"/>
      <c r="N278" s="218"/>
      <c r="O278" s="219" t="s">
        <v>3818</v>
      </c>
      <c r="P278" s="220" t="s">
        <v>3818</v>
      </c>
      <c r="Q278" s="220" t="s">
        <v>3818</v>
      </c>
      <c r="R278" s="221" t="s">
        <v>3818</v>
      </c>
      <c r="S278" s="218"/>
      <c r="T278" s="218"/>
      <c r="U278" s="218"/>
      <c r="V278" s="218"/>
      <c r="W278" s="218"/>
      <c r="X278" s="161" t="s">
        <v>345</v>
      </c>
      <c r="Y278" s="139" t="s">
        <v>345</v>
      </c>
      <c r="Z278" s="218"/>
      <c r="AA278" s="218"/>
      <c r="AB278" s="218"/>
      <c r="AC278" s="161" t="s">
        <v>3818</v>
      </c>
      <c r="AD278" s="162" t="s">
        <v>3818</v>
      </c>
      <c r="AE278" s="162" t="s">
        <v>3818</v>
      </c>
      <c r="AF278" s="163" t="s">
        <v>3818</v>
      </c>
      <c r="AG278" s="162" t="s">
        <v>345</v>
      </c>
      <c r="AH278" s="137" t="s">
        <v>345</v>
      </c>
      <c r="AI278" s="139" t="s">
        <v>345</v>
      </c>
      <c r="AJ278" s="222"/>
      <c r="AK278" s="223"/>
      <c r="AL278" s="137"/>
      <c r="AM278" s="137"/>
      <c r="AN278" s="137" t="s">
        <v>3817</v>
      </c>
      <c r="AO278" s="137" t="s">
        <v>3817</v>
      </c>
      <c r="AP278" s="137" t="s">
        <v>3817</v>
      </c>
      <c r="AQ278" s="137" t="s">
        <v>3817</v>
      </c>
      <c r="AR278" s="139" t="s">
        <v>3817</v>
      </c>
      <c r="AS278" s="224" t="s">
        <v>3818</v>
      </c>
      <c r="AT278" s="225" t="s">
        <v>3818</v>
      </c>
      <c r="AU278" s="226" t="s">
        <v>3818</v>
      </c>
      <c r="AV278" s="592"/>
      <c r="AW278" s="592" t="str">
        <f>$AW$19</f>
        <v>LWN</v>
      </c>
      <c r="AX278" s="592" t="str">
        <f>$AW$19</f>
        <v>LWN</v>
      </c>
    </row>
    <row r="279" spans="1:50" x14ac:dyDescent="0.25">
      <c r="A279" s="1444"/>
      <c r="B279" s="1453" t="s">
        <v>3820</v>
      </c>
      <c r="C279" s="1458"/>
      <c r="D279" s="1459" t="s">
        <v>3821</v>
      </c>
      <c r="E279" s="1453" t="s">
        <v>2348</v>
      </c>
      <c r="F279" s="1453" t="s">
        <v>3823</v>
      </c>
      <c r="G279" s="1454"/>
      <c r="H279" s="1454"/>
      <c r="I279" s="1880" t="s">
        <v>3825</v>
      </c>
      <c r="J279" s="1880"/>
      <c r="K279" s="1880"/>
      <c r="L279" s="1454"/>
      <c r="M279" s="1454"/>
      <c r="N279" s="1455"/>
      <c r="O279" s="1456" t="s">
        <v>3828</v>
      </c>
      <c r="P279" s="1453" t="s">
        <v>3983</v>
      </c>
      <c r="Q279" s="1453" t="s">
        <v>3827</v>
      </c>
      <c r="R279" s="1636" t="s">
        <v>184</v>
      </c>
      <c r="S279" s="1457"/>
      <c r="T279" s="1454"/>
      <c r="U279" s="1454"/>
      <c r="V279" s="1454"/>
      <c r="W279" s="1455"/>
      <c r="X279" s="1353" t="s">
        <v>2348</v>
      </c>
      <c r="Y279" s="1637" t="s">
        <v>184</v>
      </c>
      <c r="Z279" s="1457"/>
      <c r="AA279" s="1455"/>
      <c r="AB279" s="227"/>
      <c r="AC279" s="1350" t="s">
        <v>3834</v>
      </c>
      <c r="AD279" s="1593" t="s">
        <v>3835</v>
      </c>
      <c r="AE279" s="1593" t="s">
        <v>3836</v>
      </c>
      <c r="AF279" s="1598" t="s">
        <v>336</v>
      </c>
      <c r="AG279" s="1595" t="s">
        <v>3834</v>
      </c>
      <c r="AH279" s="1593" t="s">
        <v>3835</v>
      </c>
      <c r="AI279" s="1598" t="s">
        <v>336</v>
      </c>
      <c r="AJ279" s="1635" t="s">
        <v>3824</v>
      </c>
      <c r="AK279" s="1638" t="s">
        <v>2417</v>
      </c>
      <c r="AL279" s="1633" t="s">
        <v>3822</v>
      </c>
      <c r="AM279" s="1633" t="s">
        <v>3823</v>
      </c>
      <c r="AN279" s="1633" t="s">
        <v>3827</v>
      </c>
      <c r="AO279" s="1633" t="s">
        <v>3983</v>
      </c>
      <c r="AP279" s="1633" t="s">
        <v>3828</v>
      </c>
      <c r="AQ279" s="1633" t="s">
        <v>3826</v>
      </c>
      <c r="AR279" s="1637" t="s">
        <v>184</v>
      </c>
      <c r="AS279" s="1354" t="s">
        <v>3828</v>
      </c>
      <c r="AT279" s="1633" t="s">
        <v>12</v>
      </c>
      <c r="AU279" s="1637" t="s">
        <v>184</v>
      </c>
      <c r="AV279" s="1639"/>
      <c r="AW279" s="1639" t="s">
        <v>184</v>
      </c>
      <c r="AX279" s="1598" t="str">
        <f>$AX$20</f>
        <v>Unit Surface</v>
      </c>
    </row>
    <row r="280" spans="1:50" ht="13.2" thickBot="1" x14ac:dyDescent="0.3">
      <c r="A280" s="186"/>
      <c r="B280" s="243" t="s">
        <v>59</v>
      </c>
      <c r="C280" s="244" t="s">
        <v>1685</v>
      </c>
      <c r="D280" s="245" t="s">
        <v>93</v>
      </c>
      <c r="E280" s="1640" t="s">
        <v>93</v>
      </c>
      <c r="F280" s="1640" t="s">
        <v>93</v>
      </c>
      <c r="G280" s="1643"/>
      <c r="H280" s="1643"/>
      <c r="I280" s="1640" t="s">
        <v>3837</v>
      </c>
      <c r="J280" s="1640" t="s">
        <v>3838</v>
      </c>
      <c r="K280" s="1640" t="s">
        <v>3839</v>
      </c>
      <c r="L280" s="1643"/>
      <c r="M280" s="1643"/>
      <c r="N280" s="1644"/>
      <c r="O280" s="1645" t="s">
        <v>93</v>
      </c>
      <c r="P280" s="1640" t="s">
        <v>93</v>
      </c>
      <c r="Q280" s="1640" t="s">
        <v>93</v>
      </c>
      <c r="R280" s="1646" t="s">
        <v>222</v>
      </c>
      <c r="S280" s="1647"/>
      <c r="T280" s="1643"/>
      <c r="U280" s="1643"/>
      <c r="V280" s="1643"/>
      <c r="W280" s="1644"/>
      <c r="X280" s="1645" t="s">
        <v>93</v>
      </c>
      <c r="Y280" s="1646" t="s">
        <v>222</v>
      </c>
      <c r="Z280" s="1647"/>
      <c r="AA280" s="1644"/>
      <c r="AB280" s="1648"/>
      <c r="AC280" s="168" t="s">
        <v>228</v>
      </c>
      <c r="AD280" s="166" t="s">
        <v>228</v>
      </c>
      <c r="AE280" s="166" t="s">
        <v>228</v>
      </c>
      <c r="AF280" s="169" t="s">
        <v>228</v>
      </c>
      <c r="AG280" s="171" t="s">
        <v>228</v>
      </c>
      <c r="AH280" s="166" t="s">
        <v>228</v>
      </c>
      <c r="AI280" s="169" t="s">
        <v>228</v>
      </c>
      <c r="AJ280" s="1642" t="s">
        <v>93</v>
      </c>
      <c r="AK280" s="1640" t="s">
        <v>93</v>
      </c>
      <c r="AL280" s="1640" t="s">
        <v>93</v>
      </c>
      <c r="AM280" s="1640" t="s">
        <v>93</v>
      </c>
      <c r="AN280" s="1640" t="s">
        <v>93</v>
      </c>
      <c r="AO280" s="1640" t="s">
        <v>93</v>
      </c>
      <c r="AP280" s="1640" t="s">
        <v>93</v>
      </c>
      <c r="AQ280" s="1640" t="s">
        <v>93</v>
      </c>
      <c r="AR280" s="1646" t="s">
        <v>222</v>
      </c>
      <c r="AS280" s="1649" t="s">
        <v>93</v>
      </c>
      <c r="AT280" s="1640" t="s">
        <v>93</v>
      </c>
      <c r="AU280" s="1646" t="s">
        <v>222</v>
      </c>
      <c r="AV280" s="1650"/>
      <c r="AW280" s="1650" t="s">
        <v>222</v>
      </c>
      <c r="AX280" s="593" t="str">
        <f>$AX$21</f>
        <v>m2</v>
      </c>
    </row>
    <row r="281" spans="1:50" ht="13.2" thickBot="1" x14ac:dyDescent="0.3">
      <c r="A281" s="190" t="s">
        <v>3883</v>
      </c>
      <c r="B281" s="137">
        <v>0</v>
      </c>
      <c r="C281" s="137">
        <v>0</v>
      </c>
      <c r="D281" s="137">
        <v>0</v>
      </c>
      <c r="E281" s="137">
        <v>0</v>
      </c>
      <c r="F281" s="137">
        <v>0</v>
      </c>
      <c r="G281" s="230"/>
      <c r="H281" s="230"/>
      <c r="I281" s="137">
        <v>0</v>
      </c>
      <c r="J281" s="137">
        <v>0</v>
      </c>
      <c r="K281" s="137">
        <v>0</v>
      </c>
      <c r="L281" s="230"/>
      <c r="M281" s="230"/>
      <c r="N281" s="231"/>
      <c r="O281" s="161">
        <v>0</v>
      </c>
      <c r="P281" s="137">
        <v>0</v>
      </c>
      <c r="Q281" s="137">
        <v>0</v>
      </c>
      <c r="R281" s="139">
        <v>0</v>
      </c>
      <c r="S281" s="232"/>
      <c r="T281" s="230"/>
      <c r="U281" s="230"/>
      <c r="V281" s="230"/>
      <c r="W281" s="231"/>
      <c r="X281" s="161">
        <v>0</v>
      </c>
      <c r="Y281" s="139">
        <v>0</v>
      </c>
      <c r="Z281" s="232"/>
      <c r="AA281" s="231"/>
      <c r="AB281" s="160"/>
      <c r="AC281" s="246">
        <v>0</v>
      </c>
      <c r="AD281" s="229">
        <v>0</v>
      </c>
      <c r="AE281" s="229">
        <v>0</v>
      </c>
      <c r="AF281" s="247">
        <v>0</v>
      </c>
      <c r="AG281" s="248">
        <v>0</v>
      </c>
      <c r="AH281" s="229">
        <v>0</v>
      </c>
      <c r="AI281" s="247">
        <v>0</v>
      </c>
      <c r="AJ281" s="162">
        <v>0</v>
      </c>
      <c r="AK281" s="137">
        <v>0</v>
      </c>
      <c r="AL281" s="137">
        <v>0</v>
      </c>
      <c r="AM281" s="137">
        <v>0</v>
      </c>
      <c r="AN281" s="137">
        <v>0</v>
      </c>
      <c r="AO281" s="137">
        <v>0</v>
      </c>
      <c r="AP281" s="137">
        <v>0</v>
      </c>
      <c r="AQ281" s="137">
        <v>0</v>
      </c>
      <c r="AR281" s="139">
        <v>0</v>
      </c>
      <c r="AS281" s="161">
        <v>0</v>
      </c>
      <c r="AT281" s="137">
        <v>0</v>
      </c>
      <c r="AU281" s="139">
        <v>0</v>
      </c>
      <c r="AV281" s="595"/>
      <c r="AW281" s="595">
        <v>0</v>
      </c>
      <c r="AX281" s="595">
        <v>0</v>
      </c>
    </row>
    <row r="282" spans="1:50" x14ac:dyDescent="0.25">
      <c r="A282" s="1349" t="s">
        <v>4020</v>
      </c>
      <c r="B282" s="1350">
        <v>650</v>
      </c>
      <c r="C282" s="1651">
        <v>26</v>
      </c>
      <c r="D282" s="1593">
        <v>971.5</v>
      </c>
      <c r="E282" s="1593">
        <v>88.9</v>
      </c>
      <c r="F282" s="1593">
        <v>749.3</v>
      </c>
      <c r="G282" s="1652"/>
      <c r="H282" s="1652"/>
      <c r="I282" s="1593">
        <v>28</v>
      </c>
      <c r="J282" s="1593">
        <v>876.3</v>
      </c>
      <c r="K282" s="1593">
        <v>44.4</v>
      </c>
      <c r="L282" s="1652"/>
      <c r="M282" s="1652"/>
      <c r="N282" s="1653"/>
      <c r="O282" s="1350">
        <v>193.5</v>
      </c>
      <c r="P282" s="1593">
        <v>11.2</v>
      </c>
      <c r="Q282" s="1593">
        <v>726.9</v>
      </c>
      <c r="R282" s="1598">
        <v>341</v>
      </c>
      <c r="S282" s="1654"/>
      <c r="T282" s="1652"/>
      <c r="U282" s="1652"/>
      <c r="V282" s="1652"/>
      <c r="W282" s="1653"/>
      <c r="X282" s="1350">
        <v>98.6</v>
      </c>
      <c r="Y282" s="1598">
        <v>565</v>
      </c>
      <c r="Z282" s="1654"/>
      <c r="AA282" s="1655"/>
      <c r="AB282" s="1656"/>
      <c r="AC282" s="1450">
        <f t="shared" ref="AC282:AC287" si="75">PI()*D282*AL282/1000000</f>
        <v>0.27132789067736485</v>
      </c>
      <c r="AD282" s="1451">
        <f t="shared" ref="AD282:AD287" si="76">D282^2*PI()/4/1000000</f>
        <v>0.7412684077420133</v>
      </c>
      <c r="AE282" s="1451">
        <f t="shared" ref="AE282:AE287" si="77">AT282*PI()*(O282-AL282)/1000000</f>
        <v>0.21964331940237508</v>
      </c>
      <c r="AF282" s="1607">
        <f t="shared" ref="AF282:AF287" si="78">AE282+AD282+AC282</f>
        <v>1.2322396178217532</v>
      </c>
      <c r="AG282" s="1450">
        <f t="shared" ref="AG282:AG287" si="79">PI()*D282*AL282/1000000</f>
        <v>0.27132789067736485</v>
      </c>
      <c r="AH282" s="1451">
        <f t="shared" ref="AH282:AH287" si="80">D282^2*PI()/4/1000000</f>
        <v>0.7412684077420133</v>
      </c>
      <c r="AI282" s="1607">
        <f t="shared" ref="AI282:AI287" si="81">AH282+AG282</f>
        <v>1.0125962984193781</v>
      </c>
      <c r="AJ282" s="1447">
        <v>809.8</v>
      </c>
      <c r="AK282" s="1445">
        <v>12.7</v>
      </c>
      <c r="AL282" s="1445">
        <v>88.9</v>
      </c>
      <c r="AM282" s="1445">
        <v>749.3</v>
      </c>
      <c r="AN282" s="1445">
        <v>727.1</v>
      </c>
      <c r="AO282" s="1445">
        <v>11.1</v>
      </c>
      <c r="AP282" s="1445">
        <v>193.7</v>
      </c>
      <c r="AQ282" s="1445">
        <v>666.7</v>
      </c>
      <c r="AR282" s="1605">
        <v>295</v>
      </c>
      <c r="AS282" s="1449" t="s">
        <v>1712</v>
      </c>
      <c r="AT282" s="1445">
        <v>668.4</v>
      </c>
      <c r="AU282" s="1605">
        <v>340</v>
      </c>
      <c r="AV282" s="1599"/>
      <c r="AW282" s="1599"/>
      <c r="AX282" s="1599"/>
    </row>
    <row r="283" spans="1:50" x14ac:dyDescent="0.25">
      <c r="A283" s="1620" t="s">
        <v>4021</v>
      </c>
      <c r="B283" s="1609">
        <v>700</v>
      </c>
      <c r="C283" s="1507">
        <v>28</v>
      </c>
      <c r="D283" s="1504">
        <v>1035</v>
      </c>
      <c r="E283" s="1504">
        <v>95.2</v>
      </c>
      <c r="F283" s="1504">
        <v>800.1</v>
      </c>
      <c r="G283" s="1657"/>
      <c r="H283" s="1657"/>
      <c r="I283" s="1504">
        <v>28</v>
      </c>
      <c r="J283" s="1504">
        <v>939.8</v>
      </c>
      <c r="K283" s="1504">
        <v>44.4</v>
      </c>
      <c r="L283" s="1657"/>
      <c r="M283" s="1657"/>
      <c r="N283" s="1658"/>
      <c r="O283" s="1609">
        <v>206.2</v>
      </c>
      <c r="P283" s="1504">
        <v>12.7</v>
      </c>
      <c r="Q283" s="1504">
        <v>782.6</v>
      </c>
      <c r="R283" s="1610">
        <v>404</v>
      </c>
      <c r="S283" s="1659"/>
      <c r="T283" s="1657"/>
      <c r="U283" s="1657"/>
      <c r="V283" s="1657"/>
      <c r="W283" s="1658"/>
      <c r="X283" s="1609">
        <v>104.6</v>
      </c>
      <c r="Y283" s="1610">
        <v>715</v>
      </c>
      <c r="Z283" s="1659"/>
      <c r="AA283" s="1660"/>
      <c r="AB283" s="1661"/>
      <c r="AC283" s="1612">
        <f t="shared" si="75"/>
        <v>0.3095474073435095</v>
      </c>
      <c r="AD283" s="1613">
        <f t="shared" si="76"/>
        <v>0.84133814758543157</v>
      </c>
      <c r="AE283" s="1613">
        <f t="shared" si="77"/>
        <v>0.25079711144725747</v>
      </c>
      <c r="AF283" s="1614">
        <f t="shared" si="78"/>
        <v>1.4016826663761983</v>
      </c>
      <c r="AG283" s="1612">
        <f t="shared" si="79"/>
        <v>0.3095474073435095</v>
      </c>
      <c r="AH283" s="1613">
        <f t="shared" si="80"/>
        <v>0.84133814758543157</v>
      </c>
      <c r="AI283" s="1614">
        <f t="shared" si="81"/>
        <v>1.1508855549289412</v>
      </c>
      <c r="AJ283" s="1506">
        <v>860.5</v>
      </c>
      <c r="AK283" s="1504">
        <v>12.7</v>
      </c>
      <c r="AL283" s="1504">
        <v>95.2</v>
      </c>
      <c r="AM283" s="1504">
        <v>800.1</v>
      </c>
      <c r="AN283" s="1504">
        <v>782.6</v>
      </c>
      <c r="AO283" s="1504">
        <v>12.7</v>
      </c>
      <c r="AP283" s="1504">
        <v>206.4</v>
      </c>
      <c r="AQ283" s="1504">
        <v>717.5</v>
      </c>
      <c r="AR283" s="1610">
        <v>354</v>
      </c>
      <c r="AS283" s="1609" t="s">
        <v>1712</v>
      </c>
      <c r="AT283" s="1504">
        <v>719.2</v>
      </c>
      <c r="AU283" s="1610">
        <v>400</v>
      </c>
      <c r="AV283" s="1616"/>
      <c r="AW283" s="1616"/>
      <c r="AX283" s="1616"/>
    </row>
    <row r="284" spans="1:50" x14ac:dyDescent="0.25">
      <c r="A284" s="1620" t="s">
        <v>4022</v>
      </c>
      <c r="B284" s="1609">
        <v>750</v>
      </c>
      <c r="C284" s="1507">
        <v>30</v>
      </c>
      <c r="D284" s="1504">
        <v>1092.2</v>
      </c>
      <c r="E284" s="1504">
        <v>101.6</v>
      </c>
      <c r="F284" s="1504">
        <v>857.2</v>
      </c>
      <c r="G284" s="1657"/>
      <c r="H284" s="1657"/>
      <c r="I284" s="1504">
        <v>28</v>
      </c>
      <c r="J284" s="1504">
        <v>996.9</v>
      </c>
      <c r="K284" s="1504">
        <v>47.8</v>
      </c>
      <c r="L284" s="1657"/>
      <c r="M284" s="1657"/>
      <c r="N284" s="1658"/>
      <c r="O284" s="1609">
        <v>218.9</v>
      </c>
      <c r="P284" s="1504">
        <v>12.7</v>
      </c>
      <c r="Q284" s="1504">
        <v>836.7</v>
      </c>
      <c r="R284" s="1610">
        <v>474</v>
      </c>
      <c r="S284" s="1659"/>
      <c r="T284" s="1657"/>
      <c r="U284" s="1657"/>
      <c r="V284" s="1657"/>
      <c r="W284" s="1658"/>
      <c r="X284" s="1609">
        <v>111.3</v>
      </c>
      <c r="Y284" s="1610">
        <v>830</v>
      </c>
      <c r="Z284" s="1659"/>
      <c r="AA284" s="1660"/>
      <c r="AB284" s="1661"/>
      <c r="AC284" s="1612">
        <f t="shared" si="75"/>
        <v>0.34861474561907846</v>
      </c>
      <c r="AD284" s="1613">
        <f t="shared" si="76"/>
        <v>0.93690212885127333</v>
      </c>
      <c r="AE284" s="1613">
        <f t="shared" si="77"/>
        <v>0.28375179006488377</v>
      </c>
      <c r="AF284" s="1614">
        <f t="shared" si="78"/>
        <v>1.5692686645352356</v>
      </c>
      <c r="AG284" s="1612">
        <f t="shared" si="79"/>
        <v>0.34861474561907846</v>
      </c>
      <c r="AH284" s="1613">
        <f t="shared" si="80"/>
        <v>0.93690212885127333</v>
      </c>
      <c r="AI284" s="1614">
        <f t="shared" si="81"/>
        <v>1.2855168744703518</v>
      </c>
      <c r="AJ284" s="1506">
        <v>917.4</v>
      </c>
      <c r="AK284" s="1504">
        <v>12.7</v>
      </c>
      <c r="AL284" s="1504">
        <v>101.6</v>
      </c>
      <c r="AM284" s="1504">
        <v>857.2</v>
      </c>
      <c r="AN284" s="1504">
        <v>836.6</v>
      </c>
      <c r="AO284" s="1504">
        <v>12.7</v>
      </c>
      <c r="AP284" s="1504">
        <v>219.4</v>
      </c>
      <c r="AQ284" s="1504">
        <v>768.3</v>
      </c>
      <c r="AR284" s="1610">
        <v>408</v>
      </c>
      <c r="AS284" s="1609" t="s">
        <v>1712</v>
      </c>
      <c r="AT284" s="1504">
        <v>770</v>
      </c>
      <c r="AU284" s="1610">
        <v>454</v>
      </c>
      <c r="AV284" s="1616"/>
      <c r="AW284" s="1616"/>
      <c r="AX284" s="1616"/>
    </row>
    <row r="285" spans="1:50" x14ac:dyDescent="0.25">
      <c r="A285" s="1620" t="s">
        <v>4023</v>
      </c>
      <c r="B285" s="1609">
        <v>800</v>
      </c>
      <c r="C285" s="1507">
        <v>32</v>
      </c>
      <c r="D285" s="1504">
        <v>1149.3</v>
      </c>
      <c r="E285" s="1504">
        <v>107.9</v>
      </c>
      <c r="F285" s="1504">
        <v>914.4</v>
      </c>
      <c r="G285" s="1657"/>
      <c r="H285" s="1657"/>
      <c r="I285" s="1504">
        <v>28</v>
      </c>
      <c r="J285" s="1504">
        <v>1054.0999999999999</v>
      </c>
      <c r="K285" s="1504">
        <v>50.8</v>
      </c>
      <c r="L285" s="1657"/>
      <c r="M285" s="1657"/>
      <c r="N285" s="1658"/>
      <c r="O285" s="1609">
        <v>231.6</v>
      </c>
      <c r="P285" s="1504">
        <v>12.7</v>
      </c>
      <c r="Q285" s="1504">
        <v>889</v>
      </c>
      <c r="R285" s="1610">
        <v>540</v>
      </c>
      <c r="S285" s="1659"/>
      <c r="T285" s="1657"/>
      <c r="U285" s="1657"/>
      <c r="V285" s="1657"/>
      <c r="W285" s="1658"/>
      <c r="X285" s="1609">
        <v>115.8</v>
      </c>
      <c r="Y285" s="1610">
        <v>955</v>
      </c>
      <c r="Z285" s="1659"/>
      <c r="AA285" s="1660"/>
      <c r="AB285" s="1661"/>
      <c r="AC285" s="1612">
        <f t="shared" si="75"/>
        <v>0.38994830317124091</v>
      </c>
      <c r="AD285" s="1613">
        <f t="shared" si="76"/>
        <v>1.0374249648951555</v>
      </c>
      <c r="AE285" s="1613">
        <f t="shared" si="77"/>
        <v>0.31929979058619518</v>
      </c>
      <c r="AF285" s="1614">
        <f t="shared" si="78"/>
        <v>1.7466730586525916</v>
      </c>
      <c r="AG285" s="1612">
        <f t="shared" si="79"/>
        <v>0.38994830317124091</v>
      </c>
      <c r="AH285" s="1613">
        <f t="shared" si="80"/>
        <v>1.0374249648951555</v>
      </c>
      <c r="AI285" s="1614">
        <f t="shared" si="81"/>
        <v>1.4273732680663964</v>
      </c>
      <c r="AJ285" s="1506">
        <v>984.3</v>
      </c>
      <c r="AK285" s="1504">
        <v>14.27</v>
      </c>
      <c r="AL285" s="1504">
        <v>108</v>
      </c>
      <c r="AM285" s="1504">
        <v>914.4</v>
      </c>
      <c r="AN285" s="1504">
        <v>889</v>
      </c>
      <c r="AO285" s="1504">
        <v>12.7</v>
      </c>
      <c r="AP285" s="1504">
        <v>231.8</v>
      </c>
      <c r="AQ285" s="1504">
        <v>819.1</v>
      </c>
      <c r="AR285" s="1610">
        <v>465</v>
      </c>
      <c r="AS285" s="1609" t="s">
        <v>1712</v>
      </c>
      <c r="AT285" s="1504">
        <v>822.3</v>
      </c>
      <c r="AU285" s="1610">
        <v>522</v>
      </c>
      <c r="AV285" s="1616"/>
      <c r="AW285" s="1616"/>
      <c r="AX285" s="1616"/>
    </row>
    <row r="286" spans="1:50" x14ac:dyDescent="0.25">
      <c r="A286" s="1620" t="s">
        <v>4024</v>
      </c>
      <c r="B286" s="1609">
        <v>850</v>
      </c>
      <c r="C286" s="1507">
        <v>34</v>
      </c>
      <c r="D286" s="1504">
        <v>1206.5</v>
      </c>
      <c r="E286" s="1504">
        <v>111.3</v>
      </c>
      <c r="F286" s="1504">
        <v>965.2</v>
      </c>
      <c r="G286" s="1657"/>
      <c r="H286" s="1657"/>
      <c r="I286" s="1504">
        <v>28</v>
      </c>
      <c r="J286" s="1504">
        <v>1104.9000000000001</v>
      </c>
      <c r="K286" s="1504">
        <v>50.8</v>
      </c>
      <c r="L286" s="1657"/>
      <c r="M286" s="1657"/>
      <c r="N286" s="1658"/>
      <c r="O286" s="1609">
        <v>241.3</v>
      </c>
      <c r="P286" s="1504">
        <v>14.2</v>
      </c>
      <c r="Q286" s="1504">
        <v>944.6</v>
      </c>
      <c r="R286" s="1610">
        <v>599</v>
      </c>
      <c r="S286" s="1659"/>
      <c r="T286" s="1657"/>
      <c r="U286" s="1657"/>
      <c r="V286" s="1657"/>
      <c r="W286" s="1658"/>
      <c r="X286" s="1609">
        <v>122.2</v>
      </c>
      <c r="Y286" s="1610">
        <v>1120</v>
      </c>
      <c r="Z286" s="1659"/>
      <c r="AA286" s="1660"/>
      <c r="AB286" s="1661"/>
      <c r="AC286" s="1612">
        <f t="shared" si="75"/>
        <v>0.42110583371138105</v>
      </c>
      <c r="AD286" s="1613">
        <f t="shared" si="76"/>
        <v>1.1432587497137294</v>
      </c>
      <c r="AE286" s="1613">
        <f t="shared" si="77"/>
        <v>0.3571287758695722</v>
      </c>
      <c r="AF286" s="1614">
        <f t="shared" si="78"/>
        <v>1.9214933592946828</v>
      </c>
      <c r="AG286" s="1612">
        <f t="shared" si="79"/>
        <v>0.42110583371138105</v>
      </c>
      <c r="AH286" s="1613">
        <f t="shared" si="80"/>
        <v>1.1432587497137294</v>
      </c>
      <c r="AI286" s="1614">
        <f t="shared" si="81"/>
        <v>1.5643645834251105</v>
      </c>
      <c r="AJ286" s="1506">
        <v>1035</v>
      </c>
      <c r="AK286" s="1504">
        <v>14.27</v>
      </c>
      <c r="AL286" s="1504">
        <v>111.1</v>
      </c>
      <c r="AM286" s="1504">
        <v>965.2</v>
      </c>
      <c r="AN286" s="1504">
        <v>944.6</v>
      </c>
      <c r="AO286" s="1504">
        <v>14.3</v>
      </c>
      <c r="AP286" s="1504">
        <v>241.3</v>
      </c>
      <c r="AQ286" s="1504">
        <v>869.9</v>
      </c>
      <c r="AR286" s="1610">
        <v>522</v>
      </c>
      <c r="AS286" s="1609" t="s">
        <v>1712</v>
      </c>
      <c r="AT286" s="1504">
        <v>873.1</v>
      </c>
      <c r="AU286" s="1610">
        <v>590</v>
      </c>
      <c r="AV286" s="1616"/>
      <c r="AW286" s="1616"/>
      <c r="AX286" s="1616"/>
    </row>
    <row r="287" spans="1:50" x14ac:dyDescent="0.25">
      <c r="A287" s="1620" t="s">
        <v>4025</v>
      </c>
      <c r="B287" s="1609">
        <v>900</v>
      </c>
      <c r="C287" s="1507">
        <v>36</v>
      </c>
      <c r="D287" s="1504">
        <v>1270</v>
      </c>
      <c r="E287" s="1504">
        <v>114.3</v>
      </c>
      <c r="F287" s="1504">
        <v>1022.3</v>
      </c>
      <c r="G287" s="1657"/>
      <c r="H287" s="1657"/>
      <c r="I287" s="1504">
        <v>32</v>
      </c>
      <c r="J287" s="1504">
        <v>1168.4000000000001</v>
      </c>
      <c r="K287" s="1504">
        <v>53.8</v>
      </c>
      <c r="L287" s="1657"/>
      <c r="M287" s="1657"/>
      <c r="N287" s="1658"/>
      <c r="O287" s="1609">
        <v>251</v>
      </c>
      <c r="P287" s="1504">
        <v>14.2</v>
      </c>
      <c r="Q287" s="1504">
        <v>1000.3</v>
      </c>
      <c r="R287" s="1610">
        <v>683</v>
      </c>
      <c r="S287" s="1659"/>
      <c r="T287" s="1657"/>
      <c r="U287" s="1657"/>
      <c r="V287" s="1657"/>
      <c r="W287" s="1658"/>
      <c r="X287" s="1609">
        <v>128.5</v>
      </c>
      <c r="Y287" s="1610">
        <v>1290</v>
      </c>
      <c r="Z287" s="1659"/>
      <c r="AA287" s="1660"/>
      <c r="AB287" s="1661"/>
      <c r="AC287" s="1612">
        <f t="shared" si="75"/>
        <v>0.4560367311877479</v>
      </c>
      <c r="AD287" s="1613">
        <f t="shared" si="76"/>
        <v>1.2667686977437445</v>
      </c>
      <c r="AE287" s="1613">
        <f t="shared" si="77"/>
        <v>0.35451569334809568</v>
      </c>
      <c r="AF287" s="1614">
        <f t="shared" si="78"/>
        <v>2.0773211222795882</v>
      </c>
      <c r="AG287" s="1612">
        <f t="shared" si="79"/>
        <v>0.4560367311877479</v>
      </c>
      <c r="AH287" s="1613">
        <f t="shared" si="80"/>
        <v>1.2667686977437445</v>
      </c>
      <c r="AI287" s="1614">
        <f t="shared" si="81"/>
        <v>1.7228054289314922</v>
      </c>
      <c r="AJ287" s="1506">
        <v>1092.2</v>
      </c>
      <c r="AK287" s="1504">
        <v>14.27</v>
      </c>
      <c r="AL287" s="1504">
        <v>114.3</v>
      </c>
      <c r="AM287" s="1504">
        <v>1022.3</v>
      </c>
      <c r="AN287" s="1504">
        <v>1000.2</v>
      </c>
      <c r="AO287" s="1504">
        <v>14.3</v>
      </c>
      <c r="AP287" s="1504">
        <v>250.8</v>
      </c>
      <c r="AQ287" s="1504">
        <v>920.7</v>
      </c>
      <c r="AR287" s="1610">
        <v>601</v>
      </c>
      <c r="AS287" s="1609" t="s">
        <v>1712</v>
      </c>
      <c r="AT287" s="1504">
        <v>825.5</v>
      </c>
      <c r="AU287" s="1610">
        <v>670</v>
      </c>
      <c r="AV287" s="1616"/>
      <c r="AW287" s="1616"/>
      <c r="AX287" s="1616"/>
    </row>
    <row r="288" spans="1:50" x14ac:dyDescent="0.25">
      <c r="A288" s="1620" t="s">
        <v>4026</v>
      </c>
      <c r="B288" s="1609">
        <v>950</v>
      </c>
      <c r="C288" s="1507">
        <v>38</v>
      </c>
      <c r="D288" s="1504">
        <v>1168.4000000000001</v>
      </c>
      <c r="E288" s="1504">
        <v>124</v>
      </c>
      <c r="F288" s="1504">
        <v>1035</v>
      </c>
      <c r="G288" s="1657"/>
      <c r="H288" s="1657"/>
      <c r="I288" s="1504">
        <v>32</v>
      </c>
      <c r="J288" s="1504">
        <v>1092.2</v>
      </c>
      <c r="K288" s="1504">
        <v>41.1</v>
      </c>
      <c r="L288" s="1657"/>
      <c r="M288" s="1657"/>
      <c r="N288" s="1658"/>
      <c r="O288" s="1609">
        <v>206.2</v>
      </c>
      <c r="P288" s="1504">
        <v>14.2</v>
      </c>
      <c r="Q288" s="1504">
        <v>1003.3</v>
      </c>
      <c r="R288" s="1610">
        <v>530</v>
      </c>
      <c r="S288" s="1659"/>
      <c r="T288" s="1657"/>
      <c r="U288" s="1657"/>
      <c r="V288" s="1657"/>
      <c r="W288" s="1658"/>
      <c r="X288" s="1609">
        <v>124</v>
      </c>
      <c r="Y288" s="1610">
        <v>1165</v>
      </c>
      <c r="Z288" s="1659"/>
      <c r="AA288" s="1660"/>
      <c r="AB288" s="1661"/>
      <c r="AC288" s="1609"/>
      <c r="AD288" s="1504"/>
      <c r="AE288" s="1657"/>
      <c r="AF288" s="1660"/>
      <c r="AG288" s="1662"/>
      <c r="AH288" s="1657"/>
      <c r="AI288" s="1660"/>
      <c r="AJ288" s="1506" t="s">
        <v>1712</v>
      </c>
      <c r="AK288" s="1504" t="s">
        <v>1712</v>
      </c>
      <c r="AL288" s="1504" t="s">
        <v>1712</v>
      </c>
      <c r="AM288" s="1504" t="s">
        <v>1712</v>
      </c>
      <c r="AN288" s="1504" t="s">
        <v>1712</v>
      </c>
      <c r="AO288" s="1504" t="s">
        <v>1712</v>
      </c>
      <c r="AP288" s="1504" t="s">
        <v>1712</v>
      </c>
      <c r="AQ288" s="1504" t="s">
        <v>1712</v>
      </c>
      <c r="AR288" s="1610" t="s">
        <v>1712</v>
      </c>
      <c r="AS288" s="1609" t="s">
        <v>1712</v>
      </c>
      <c r="AT288" s="1504" t="s">
        <v>1712</v>
      </c>
      <c r="AU288" s="1610" t="s">
        <v>1712</v>
      </c>
      <c r="AV288" s="1616"/>
      <c r="AW288" s="1616"/>
      <c r="AX288" s="1616"/>
    </row>
    <row r="289" spans="1:50" x14ac:dyDescent="0.25">
      <c r="A289" s="1620" t="s">
        <v>4027</v>
      </c>
      <c r="B289" s="1609">
        <v>1000</v>
      </c>
      <c r="C289" s="1507">
        <v>40</v>
      </c>
      <c r="D289" s="1504">
        <v>1238.2</v>
      </c>
      <c r="E289" s="1504">
        <v>130</v>
      </c>
      <c r="F289" s="1504">
        <v>1092.2</v>
      </c>
      <c r="G289" s="1657"/>
      <c r="H289" s="1657"/>
      <c r="I289" s="1504">
        <v>32</v>
      </c>
      <c r="J289" s="1504">
        <v>1155.7</v>
      </c>
      <c r="K289" s="1504">
        <v>44.4</v>
      </c>
      <c r="L289" s="1657"/>
      <c r="M289" s="1657"/>
      <c r="N289" s="1658"/>
      <c r="O289" s="1609">
        <v>215.9</v>
      </c>
      <c r="P289" s="1504">
        <v>14.2</v>
      </c>
      <c r="Q289" s="1504">
        <v>1054.0999999999999</v>
      </c>
      <c r="R289" s="1610">
        <v>549</v>
      </c>
      <c r="S289" s="1659"/>
      <c r="T289" s="1657"/>
      <c r="U289" s="1657"/>
      <c r="V289" s="1657"/>
      <c r="W289" s="1658"/>
      <c r="X289" s="1609">
        <v>130</v>
      </c>
      <c r="Y289" s="1610">
        <v>1350</v>
      </c>
      <c r="Z289" s="1659"/>
      <c r="AA289" s="1660"/>
      <c r="AB289" s="1661"/>
      <c r="AC289" s="1609"/>
      <c r="AD289" s="1504"/>
      <c r="AE289" s="1657"/>
      <c r="AF289" s="1660"/>
      <c r="AG289" s="1662"/>
      <c r="AH289" s="1657"/>
      <c r="AI289" s="1660"/>
      <c r="AJ289" s="1506" t="s">
        <v>1712</v>
      </c>
      <c r="AK289" s="1504" t="s">
        <v>1712</v>
      </c>
      <c r="AL289" s="1504" t="s">
        <v>1712</v>
      </c>
      <c r="AM289" s="1504" t="s">
        <v>1712</v>
      </c>
      <c r="AN289" s="1504" t="s">
        <v>1712</v>
      </c>
      <c r="AO289" s="1504" t="s">
        <v>1712</v>
      </c>
      <c r="AP289" s="1504" t="s">
        <v>1712</v>
      </c>
      <c r="AQ289" s="1504" t="s">
        <v>1712</v>
      </c>
      <c r="AR289" s="1610" t="s">
        <v>1712</v>
      </c>
      <c r="AS289" s="1609" t="s">
        <v>1712</v>
      </c>
      <c r="AT289" s="1504" t="s">
        <v>1712</v>
      </c>
      <c r="AU289" s="1610" t="s">
        <v>1712</v>
      </c>
      <c r="AV289" s="1616"/>
      <c r="AW289" s="1616"/>
      <c r="AX289" s="1616"/>
    </row>
    <row r="290" spans="1:50" x14ac:dyDescent="0.25">
      <c r="A290" s="1620" t="s">
        <v>4028</v>
      </c>
      <c r="B290" s="1609">
        <v>1050</v>
      </c>
      <c r="C290" s="1507">
        <v>42</v>
      </c>
      <c r="D290" s="1504">
        <v>1289</v>
      </c>
      <c r="E290" s="1504">
        <v>133.30000000000001</v>
      </c>
      <c r="F290" s="1504">
        <v>1143</v>
      </c>
      <c r="G290" s="1657"/>
      <c r="H290" s="1657"/>
      <c r="I290" s="1504">
        <v>32</v>
      </c>
      <c r="J290" s="1504">
        <v>1206.5</v>
      </c>
      <c r="K290" s="1504">
        <v>44.4</v>
      </c>
      <c r="L290" s="1657"/>
      <c r="M290" s="1657"/>
      <c r="N290" s="1658"/>
      <c r="O290" s="1609">
        <v>223.8</v>
      </c>
      <c r="P290" s="1504">
        <v>14.2</v>
      </c>
      <c r="Q290" s="1504">
        <v>1107.9000000000001</v>
      </c>
      <c r="R290" s="1610">
        <v>595</v>
      </c>
      <c r="S290" s="1659"/>
      <c r="T290" s="1657"/>
      <c r="U290" s="1657"/>
      <c r="V290" s="1657"/>
      <c r="W290" s="1658"/>
      <c r="X290" s="1609">
        <v>133.30000000000001</v>
      </c>
      <c r="Y290" s="1610">
        <v>1503</v>
      </c>
      <c r="Z290" s="1659"/>
      <c r="AA290" s="1660"/>
      <c r="AB290" s="1661"/>
      <c r="AC290" s="1609"/>
      <c r="AD290" s="1504"/>
      <c r="AE290" s="1657"/>
      <c r="AF290" s="1660"/>
      <c r="AG290" s="1662"/>
      <c r="AH290" s="1657"/>
      <c r="AI290" s="1660"/>
      <c r="AJ290" s="1506" t="s">
        <v>1712</v>
      </c>
      <c r="AK290" s="1504" t="s">
        <v>1712</v>
      </c>
      <c r="AL290" s="1504" t="s">
        <v>1712</v>
      </c>
      <c r="AM290" s="1504" t="s">
        <v>1712</v>
      </c>
      <c r="AN290" s="1504" t="s">
        <v>1712</v>
      </c>
      <c r="AO290" s="1504" t="s">
        <v>1712</v>
      </c>
      <c r="AP290" s="1504" t="s">
        <v>1712</v>
      </c>
      <c r="AQ290" s="1504" t="s">
        <v>1712</v>
      </c>
      <c r="AR290" s="1610" t="s">
        <v>1712</v>
      </c>
      <c r="AS290" s="1609" t="s">
        <v>1712</v>
      </c>
      <c r="AT290" s="1504" t="s">
        <v>1712</v>
      </c>
      <c r="AU290" s="1610" t="s">
        <v>1712</v>
      </c>
      <c r="AV290" s="1616"/>
      <c r="AW290" s="1616"/>
      <c r="AX290" s="1616"/>
    </row>
    <row r="291" spans="1:50" x14ac:dyDescent="0.25">
      <c r="A291" s="1620" t="s">
        <v>4029</v>
      </c>
      <c r="B291" s="1609">
        <v>1100</v>
      </c>
      <c r="C291" s="1507">
        <v>44</v>
      </c>
      <c r="D291" s="1504">
        <v>1352.5</v>
      </c>
      <c r="E291" s="1504">
        <v>139.69999999999999</v>
      </c>
      <c r="F291" s="1504">
        <v>1200.0999999999999</v>
      </c>
      <c r="G291" s="1657"/>
      <c r="H291" s="1657"/>
      <c r="I291" s="1504">
        <v>32</v>
      </c>
      <c r="J291" s="1504">
        <v>1263.5999999999999</v>
      </c>
      <c r="K291" s="1504">
        <v>47.8</v>
      </c>
      <c r="L291" s="1657"/>
      <c r="M291" s="1657"/>
      <c r="N291" s="1658"/>
      <c r="O291" s="1609">
        <v>233.4</v>
      </c>
      <c r="P291" s="1504">
        <v>14.2</v>
      </c>
      <c r="Q291" s="1504">
        <v>1158.7</v>
      </c>
      <c r="R291" s="1610">
        <v>683</v>
      </c>
      <c r="S291" s="1659"/>
      <c r="T291" s="1657"/>
      <c r="U291" s="1657"/>
      <c r="V291" s="1657"/>
      <c r="W291" s="1658"/>
      <c r="X291" s="1609">
        <v>139.69999999999999</v>
      </c>
      <c r="Y291" s="1610">
        <v>1723</v>
      </c>
      <c r="Z291" s="1659"/>
      <c r="AA291" s="1660"/>
      <c r="AB291" s="1661"/>
      <c r="AC291" s="1609"/>
      <c r="AD291" s="1504"/>
      <c r="AE291" s="1657"/>
      <c r="AF291" s="1660"/>
      <c r="AG291" s="1662"/>
      <c r="AH291" s="1657"/>
      <c r="AI291" s="1660"/>
      <c r="AJ291" s="1506" t="s">
        <v>1712</v>
      </c>
      <c r="AK291" s="1504" t="s">
        <v>1712</v>
      </c>
      <c r="AL291" s="1504" t="s">
        <v>1712</v>
      </c>
      <c r="AM291" s="1504" t="s">
        <v>1712</v>
      </c>
      <c r="AN291" s="1504" t="s">
        <v>1712</v>
      </c>
      <c r="AO291" s="1504" t="s">
        <v>1712</v>
      </c>
      <c r="AP291" s="1504" t="s">
        <v>1712</v>
      </c>
      <c r="AQ291" s="1504" t="s">
        <v>1712</v>
      </c>
      <c r="AR291" s="1610" t="s">
        <v>1712</v>
      </c>
      <c r="AS291" s="1609" t="s">
        <v>1712</v>
      </c>
      <c r="AT291" s="1504" t="s">
        <v>1712</v>
      </c>
      <c r="AU291" s="1610" t="s">
        <v>1712</v>
      </c>
      <c r="AV291" s="1616"/>
      <c r="AW291" s="1616"/>
      <c r="AX291" s="1616"/>
    </row>
    <row r="292" spans="1:50" x14ac:dyDescent="0.25">
      <c r="A292" s="1620" t="s">
        <v>4030</v>
      </c>
      <c r="B292" s="1609">
        <v>1150</v>
      </c>
      <c r="C292" s="1507">
        <v>46</v>
      </c>
      <c r="D292" s="1504">
        <v>1416</v>
      </c>
      <c r="E292" s="1504">
        <v>146</v>
      </c>
      <c r="F292" s="1504">
        <v>1257.3</v>
      </c>
      <c r="G292" s="1657"/>
      <c r="H292" s="1657"/>
      <c r="I292" s="1504">
        <v>28</v>
      </c>
      <c r="J292" s="1504">
        <v>1320.8</v>
      </c>
      <c r="K292" s="1504">
        <v>50.8</v>
      </c>
      <c r="L292" s="1657"/>
      <c r="M292" s="1657"/>
      <c r="N292" s="1658"/>
      <c r="O292" s="1609">
        <v>244.3</v>
      </c>
      <c r="P292" s="1504">
        <v>14.2</v>
      </c>
      <c r="Q292" s="1504">
        <v>1212.8</v>
      </c>
      <c r="R292" s="1610">
        <v>759</v>
      </c>
      <c r="S292" s="1659"/>
      <c r="T292" s="1657"/>
      <c r="U292" s="1657"/>
      <c r="V292" s="1657"/>
      <c r="W292" s="1658"/>
      <c r="X292" s="1609">
        <v>146</v>
      </c>
      <c r="Y292" s="1610">
        <v>1942</v>
      </c>
      <c r="Z292" s="1659"/>
      <c r="AA292" s="1660"/>
      <c r="AB292" s="1661"/>
      <c r="AC292" s="1609"/>
      <c r="AD292" s="1504"/>
      <c r="AE292" s="1657"/>
      <c r="AF292" s="1660"/>
      <c r="AG292" s="1662"/>
      <c r="AH292" s="1657"/>
      <c r="AI292" s="1660"/>
      <c r="AJ292" s="1506" t="s">
        <v>1712</v>
      </c>
      <c r="AK292" s="1504" t="s">
        <v>1712</v>
      </c>
      <c r="AL292" s="1504" t="s">
        <v>1712</v>
      </c>
      <c r="AM292" s="1504" t="s">
        <v>1712</v>
      </c>
      <c r="AN292" s="1504" t="s">
        <v>1712</v>
      </c>
      <c r="AO292" s="1504" t="s">
        <v>1712</v>
      </c>
      <c r="AP292" s="1504" t="s">
        <v>1712</v>
      </c>
      <c r="AQ292" s="1504" t="s">
        <v>1712</v>
      </c>
      <c r="AR292" s="1610" t="s">
        <v>1712</v>
      </c>
      <c r="AS292" s="1609" t="s">
        <v>1712</v>
      </c>
      <c r="AT292" s="1504" t="s">
        <v>1712</v>
      </c>
      <c r="AU292" s="1610" t="s">
        <v>1712</v>
      </c>
      <c r="AV292" s="1616"/>
      <c r="AW292" s="1616"/>
      <c r="AX292" s="1616"/>
    </row>
    <row r="293" spans="1:50" x14ac:dyDescent="0.25">
      <c r="A293" s="1620" t="s">
        <v>4031</v>
      </c>
      <c r="B293" s="1609">
        <v>1200</v>
      </c>
      <c r="C293" s="1507">
        <v>48</v>
      </c>
      <c r="D293" s="1504">
        <v>1466.8</v>
      </c>
      <c r="E293" s="1504">
        <v>152.4</v>
      </c>
      <c r="F293" s="1504">
        <v>1308.0999999999999</v>
      </c>
      <c r="G293" s="1657"/>
      <c r="H293" s="1657"/>
      <c r="I293" s="1504">
        <v>32</v>
      </c>
      <c r="J293" s="1504">
        <v>1371.6</v>
      </c>
      <c r="K293" s="1504">
        <v>50.8</v>
      </c>
      <c r="L293" s="1657"/>
      <c r="M293" s="1657"/>
      <c r="N293" s="1658"/>
      <c r="O293" s="1609">
        <v>257</v>
      </c>
      <c r="P293" s="1504">
        <v>14.2</v>
      </c>
      <c r="Q293" s="1504">
        <v>1267</v>
      </c>
      <c r="R293" s="1610">
        <v>890</v>
      </c>
      <c r="S293" s="1659"/>
      <c r="T293" s="1657"/>
      <c r="U293" s="1657"/>
      <c r="V293" s="1657"/>
      <c r="W293" s="1658"/>
      <c r="X293" s="1609">
        <v>152.4</v>
      </c>
      <c r="Y293" s="1610">
        <v>2234</v>
      </c>
      <c r="Z293" s="1659"/>
      <c r="AA293" s="1660"/>
      <c r="AB293" s="1661"/>
      <c r="AC293" s="1609"/>
      <c r="AD293" s="1504"/>
      <c r="AE293" s="1657"/>
      <c r="AF293" s="1660"/>
      <c r="AG293" s="1662"/>
      <c r="AH293" s="1657"/>
      <c r="AI293" s="1660"/>
      <c r="AJ293" s="1506" t="s">
        <v>1712</v>
      </c>
      <c r="AK293" s="1504" t="s">
        <v>1712</v>
      </c>
      <c r="AL293" s="1504" t="s">
        <v>1712</v>
      </c>
      <c r="AM293" s="1504" t="s">
        <v>1712</v>
      </c>
      <c r="AN293" s="1504" t="s">
        <v>1712</v>
      </c>
      <c r="AO293" s="1504" t="s">
        <v>1712</v>
      </c>
      <c r="AP293" s="1504" t="s">
        <v>1712</v>
      </c>
      <c r="AQ293" s="1504" t="s">
        <v>1712</v>
      </c>
      <c r="AR293" s="1610" t="s">
        <v>1712</v>
      </c>
      <c r="AS293" s="1609" t="s">
        <v>1712</v>
      </c>
      <c r="AT293" s="1504" t="s">
        <v>1712</v>
      </c>
      <c r="AU293" s="1610" t="s">
        <v>1712</v>
      </c>
      <c r="AV293" s="1616"/>
      <c r="AW293" s="1616"/>
      <c r="AX293" s="1616"/>
    </row>
    <row r="294" spans="1:50" x14ac:dyDescent="0.25">
      <c r="A294" s="1620" t="s">
        <v>4032</v>
      </c>
      <c r="B294" s="1609">
        <v>1250</v>
      </c>
      <c r="C294" s="1507">
        <v>50</v>
      </c>
      <c r="D294" s="1504">
        <v>1530.3</v>
      </c>
      <c r="E294" s="1504">
        <v>157.19999999999999</v>
      </c>
      <c r="F294" s="1504">
        <v>1361.9</v>
      </c>
      <c r="G294" s="1657"/>
      <c r="H294" s="1657"/>
      <c r="I294" s="1504">
        <v>32</v>
      </c>
      <c r="J294" s="1504">
        <v>1428.8</v>
      </c>
      <c r="K294" s="1504">
        <v>53.8</v>
      </c>
      <c r="L294" s="1657"/>
      <c r="M294" s="1657"/>
      <c r="N294" s="1658"/>
      <c r="O294" s="1609">
        <v>268.2</v>
      </c>
      <c r="P294" s="1504">
        <v>14.2</v>
      </c>
      <c r="Q294" s="1504">
        <v>1320.8</v>
      </c>
      <c r="R294" s="1610">
        <v>977</v>
      </c>
      <c r="S294" s="1659"/>
      <c r="T294" s="1657"/>
      <c r="U294" s="1657"/>
      <c r="V294" s="1657"/>
      <c r="W294" s="1658"/>
      <c r="X294" s="1609">
        <v>158.80000000000001</v>
      </c>
      <c r="Y294" s="1610">
        <v>2499</v>
      </c>
      <c r="Z294" s="1659"/>
      <c r="AA294" s="1660"/>
      <c r="AB294" s="1661"/>
      <c r="AC294" s="1609"/>
      <c r="AD294" s="1504"/>
      <c r="AE294" s="1657"/>
      <c r="AF294" s="1660"/>
      <c r="AG294" s="1662"/>
      <c r="AH294" s="1657"/>
      <c r="AI294" s="1660"/>
      <c r="AJ294" s="1506" t="s">
        <v>1712</v>
      </c>
      <c r="AK294" s="1504" t="s">
        <v>1712</v>
      </c>
      <c r="AL294" s="1504" t="s">
        <v>1712</v>
      </c>
      <c r="AM294" s="1504" t="s">
        <v>1712</v>
      </c>
      <c r="AN294" s="1504" t="s">
        <v>1712</v>
      </c>
      <c r="AO294" s="1504" t="s">
        <v>1712</v>
      </c>
      <c r="AP294" s="1504" t="s">
        <v>1712</v>
      </c>
      <c r="AQ294" s="1504" t="s">
        <v>1712</v>
      </c>
      <c r="AR294" s="1610" t="s">
        <v>1712</v>
      </c>
      <c r="AS294" s="1609" t="s">
        <v>1712</v>
      </c>
      <c r="AT294" s="1504" t="s">
        <v>1712</v>
      </c>
      <c r="AU294" s="1610" t="s">
        <v>1712</v>
      </c>
      <c r="AV294" s="1616"/>
      <c r="AW294" s="1616"/>
      <c r="AX294" s="1616"/>
    </row>
    <row r="295" spans="1:50" x14ac:dyDescent="0.25">
      <c r="A295" s="1620" t="s">
        <v>4033</v>
      </c>
      <c r="B295" s="1609">
        <v>1300</v>
      </c>
      <c r="C295" s="1507">
        <v>52</v>
      </c>
      <c r="D295" s="1504">
        <v>1581.1</v>
      </c>
      <c r="E295" s="1504">
        <v>162.1</v>
      </c>
      <c r="F295" s="1504">
        <v>1412.7</v>
      </c>
      <c r="G295" s="1657"/>
      <c r="H295" s="1657"/>
      <c r="I295" s="1504">
        <v>32</v>
      </c>
      <c r="J295" s="1504">
        <v>1479.6</v>
      </c>
      <c r="K295" s="1504">
        <v>53.8</v>
      </c>
      <c r="L295" s="1657"/>
      <c r="M295" s="1657"/>
      <c r="N295" s="1658"/>
      <c r="O295" s="1609">
        <v>276.39999999999998</v>
      </c>
      <c r="P295" s="1504">
        <v>14.2</v>
      </c>
      <c r="Q295" s="1504">
        <v>1371.6</v>
      </c>
      <c r="R295" s="1610">
        <v>1034</v>
      </c>
      <c r="S295" s="1659"/>
      <c r="T295" s="1657"/>
      <c r="U295" s="1657"/>
      <c r="V295" s="1657"/>
      <c r="W295" s="1658"/>
      <c r="X295" s="1609">
        <v>163.6</v>
      </c>
      <c r="Y295" s="1610">
        <v>2733</v>
      </c>
      <c r="Z295" s="1659"/>
      <c r="AA295" s="1660"/>
      <c r="AB295" s="1661"/>
      <c r="AC295" s="1609"/>
      <c r="AD295" s="1504"/>
      <c r="AE295" s="1657"/>
      <c r="AF295" s="1660"/>
      <c r="AG295" s="1662"/>
      <c r="AH295" s="1657"/>
      <c r="AI295" s="1660"/>
      <c r="AJ295" s="1506" t="s">
        <v>1712</v>
      </c>
      <c r="AK295" s="1504" t="s">
        <v>1712</v>
      </c>
      <c r="AL295" s="1504" t="s">
        <v>1712</v>
      </c>
      <c r="AM295" s="1504" t="s">
        <v>1712</v>
      </c>
      <c r="AN295" s="1504" t="s">
        <v>1712</v>
      </c>
      <c r="AO295" s="1504" t="s">
        <v>1712</v>
      </c>
      <c r="AP295" s="1504" t="s">
        <v>1712</v>
      </c>
      <c r="AQ295" s="1504" t="s">
        <v>1712</v>
      </c>
      <c r="AR295" s="1610" t="s">
        <v>1712</v>
      </c>
      <c r="AS295" s="1609" t="s">
        <v>1712</v>
      </c>
      <c r="AT295" s="1504" t="s">
        <v>1712</v>
      </c>
      <c r="AU295" s="1610" t="s">
        <v>1712</v>
      </c>
      <c r="AV295" s="1616"/>
      <c r="AW295" s="1616"/>
      <c r="AX295" s="1616"/>
    </row>
    <row r="296" spans="1:50" x14ac:dyDescent="0.25">
      <c r="A296" s="1620" t="s">
        <v>4034</v>
      </c>
      <c r="B296" s="1609">
        <v>1350</v>
      </c>
      <c r="C296" s="1507">
        <v>54</v>
      </c>
      <c r="D296" s="1504">
        <v>1657.3</v>
      </c>
      <c r="E296" s="1504">
        <v>169.9</v>
      </c>
      <c r="F296" s="1504">
        <v>1470.2</v>
      </c>
      <c r="G296" s="1657"/>
      <c r="H296" s="1657"/>
      <c r="I296" s="1504">
        <v>28</v>
      </c>
      <c r="J296" s="1504">
        <v>1549.4</v>
      </c>
      <c r="K296" s="1504">
        <v>60.4</v>
      </c>
      <c r="L296" s="1657"/>
      <c r="M296" s="1657"/>
      <c r="N296" s="1658"/>
      <c r="O296" s="1609">
        <v>289.10000000000002</v>
      </c>
      <c r="P296" s="1504">
        <v>14.2</v>
      </c>
      <c r="Q296" s="1504">
        <v>1425.4</v>
      </c>
      <c r="R296" s="1610">
        <v>1262</v>
      </c>
      <c r="S296" s="1659"/>
      <c r="T296" s="1657"/>
      <c r="U296" s="1657"/>
      <c r="V296" s="1657"/>
      <c r="W296" s="1658"/>
      <c r="X296" s="1609">
        <v>171.5</v>
      </c>
      <c r="Y296" s="1610">
        <v>3152</v>
      </c>
      <c r="Z296" s="1659"/>
      <c r="AA296" s="1660"/>
      <c r="AB296" s="1661"/>
      <c r="AC296" s="1609"/>
      <c r="AD296" s="1504"/>
      <c r="AE296" s="1657"/>
      <c r="AF296" s="1660"/>
      <c r="AG296" s="1662"/>
      <c r="AH296" s="1657"/>
      <c r="AI296" s="1660"/>
      <c r="AJ296" s="1506" t="s">
        <v>1712</v>
      </c>
      <c r="AK296" s="1504" t="s">
        <v>1712</v>
      </c>
      <c r="AL296" s="1504" t="s">
        <v>1712</v>
      </c>
      <c r="AM296" s="1504" t="s">
        <v>1712</v>
      </c>
      <c r="AN296" s="1504" t="s">
        <v>1712</v>
      </c>
      <c r="AO296" s="1504" t="s">
        <v>1712</v>
      </c>
      <c r="AP296" s="1504" t="s">
        <v>1712</v>
      </c>
      <c r="AQ296" s="1504" t="s">
        <v>1712</v>
      </c>
      <c r="AR296" s="1610" t="s">
        <v>1712</v>
      </c>
      <c r="AS296" s="1609" t="s">
        <v>1712</v>
      </c>
      <c r="AT296" s="1504" t="s">
        <v>1712</v>
      </c>
      <c r="AU296" s="1610" t="s">
        <v>1712</v>
      </c>
      <c r="AV296" s="1616"/>
      <c r="AW296" s="1616"/>
      <c r="AX296" s="1616"/>
    </row>
    <row r="297" spans="1:50" x14ac:dyDescent="0.25">
      <c r="A297" s="1620" t="s">
        <v>4035</v>
      </c>
      <c r="B297" s="1609">
        <v>1400</v>
      </c>
      <c r="C297" s="1507">
        <v>56</v>
      </c>
      <c r="D297" s="1504">
        <v>1708.1</v>
      </c>
      <c r="E297" s="1504">
        <v>174.8</v>
      </c>
      <c r="F297" s="1504">
        <v>1527</v>
      </c>
      <c r="G297" s="1657"/>
      <c r="H297" s="1657"/>
      <c r="I297" s="1504">
        <v>28</v>
      </c>
      <c r="J297" s="1504">
        <v>1600.2</v>
      </c>
      <c r="K297" s="1504">
        <v>60.4</v>
      </c>
      <c r="L297" s="1657"/>
      <c r="M297" s="1657"/>
      <c r="N297" s="1658"/>
      <c r="O297" s="1609">
        <v>298.39999999999998</v>
      </c>
      <c r="P297" s="1504">
        <v>14.2</v>
      </c>
      <c r="Q297" s="1504">
        <v>1479.6</v>
      </c>
      <c r="R297" s="1610">
        <v>1332</v>
      </c>
      <c r="S297" s="1659"/>
      <c r="T297" s="1657"/>
      <c r="U297" s="1657"/>
      <c r="V297" s="1657"/>
      <c r="W297" s="1658"/>
      <c r="X297" s="1609">
        <v>176.3</v>
      </c>
      <c r="Y297" s="1610">
        <v>3460</v>
      </c>
      <c r="Z297" s="1659"/>
      <c r="AA297" s="1660"/>
      <c r="AB297" s="1661"/>
      <c r="AC297" s="1609"/>
      <c r="AD297" s="1504"/>
      <c r="AE297" s="1657"/>
      <c r="AF297" s="1660"/>
      <c r="AG297" s="1662"/>
      <c r="AH297" s="1657"/>
      <c r="AI297" s="1660"/>
      <c r="AJ297" s="1506" t="s">
        <v>1712</v>
      </c>
      <c r="AK297" s="1504" t="s">
        <v>1712</v>
      </c>
      <c r="AL297" s="1504" t="s">
        <v>1712</v>
      </c>
      <c r="AM297" s="1504" t="s">
        <v>1712</v>
      </c>
      <c r="AN297" s="1504" t="s">
        <v>1712</v>
      </c>
      <c r="AO297" s="1504" t="s">
        <v>1712</v>
      </c>
      <c r="AP297" s="1504" t="s">
        <v>1712</v>
      </c>
      <c r="AQ297" s="1504" t="s">
        <v>1712</v>
      </c>
      <c r="AR297" s="1610" t="s">
        <v>1712</v>
      </c>
      <c r="AS297" s="1609" t="s">
        <v>1712</v>
      </c>
      <c r="AT297" s="1504" t="s">
        <v>1712</v>
      </c>
      <c r="AU297" s="1610" t="s">
        <v>1712</v>
      </c>
      <c r="AV297" s="1616"/>
      <c r="AW297" s="1616"/>
      <c r="AX297" s="1616"/>
    </row>
    <row r="298" spans="1:50" x14ac:dyDescent="0.25">
      <c r="A298" s="1620" t="s">
        <v>4036</v>
      </c>
      <c r="B298" s="1609">
        <v>1450</v>
      </c>
      <c r="C298" s="1507">
        <v>58</v>
      </c>
      <c r="D298" s="1504">
        <v>1758.9</v>
      </c>
      <c r="E298" s="1504">
        <v>177.8</v>
      </c>
      <c r="F298" s="1504">
        <v>1577.8</v>
      </c>
      <c r="G298" s="1657"/>
      <c r="H298" s="1657"/>
      <c r="I298" s="1504">
        <v>32</v>
      </c>
      <c r="J298" s="1504">
        <v>1651</v>
      </c>
      <c r="K298" s="1504">
        <v>60.4</v>
      </c>
      <c r="L298" s="1657"/>
      <c r="M298" s="1657"/>
      <c r="N298" s="1658"/>
      <c r="O298" s="1609">
        <v>306.3</v>
      </c>
      <c r="P298" s="1504">
        <v>14.2</v>
      </c>
      <c r="Q298" s="1504">
        <v>1530.3</v>
      </c>
      <c r="R298" s="1610">
        <v>1427</v>
      </c>
      <c r="S298" s="1659"/>
      <c r="T298" s="1657"/>
      <c r="U298" s="1657"/>
      <c r="V298" s="1657"/>
      <c r="W298" s="1658"/>
      <c r="X298" s="1609">
        <v>180.8</v>
      </c>
      <c r="Y298" s="1610">
        <v>3740</v>
      </c>
      <c r="Z298" s="1659"/>
      <c r="AA298" s="1660"/>
      <c r="AB298" s="1661"/>
      <c r="AC298" s="1609"/>
      <c r="AD298" s="1504"/>
      <c r="AE298" s="1657"/>
      <c r="AF298" s="1660"/>
      <c r="AG298" s="1662"/>
      <c r="AH298" s="1657"/>
      <c r="AI298" s="1660"/>
      <c r="AJ298" s="1506" t="s">
        <v>1712</v>
      </c>
      <c r="AK298" s="1504" t="s">
        <v>1712</v>
      </c>
      <c r="AL298" s="1504" t="s">
        <v>1712</v>
      </c>
      <c r="AM298" s="1504" t="s">
        <v>1712</v>
      </c>
      <c r="AN298" s="1504" t="s">
        <v>1712</v>
      </c>
      <c r="AO298" s="1504" t="s">
        <v>1712</v>
      </c>
      <c r="AP298" s="1504" t="s">
        <v>1712</v>
      </c>
      <c r="AQ298" s="1504" t="s">
        <v>1712</v>
      </c>
      <c r="AR298" s="1610" t="s">
        <v>1712</v>
      </c>
      <c r="AS298" s="1609" t="s">
        <v>1712</v>
      </c>
      <c r="AT298" s="1504" t="s">
        <v>1712</v>
      </c>
      <c r="AU298" s="1610" t="s">
        <v>1712</v>
      </c>
      <c r="AV298" s="1616"/>
      <c r="AW298" s="1616"/>
      <c r="AX298" s="1616"/>
    </row>
    <row r="299" spans="1:50" ht="13.2" thickBot="1" x14ac:dyDescent="0.3">
      <c r="A299" s="1620" t="s">
        <v>4037</v>
      </c>
      <c r="B299" s="168">
        <v>1500</v>
      </c>
      <c r="C299" s="233">
        <v>60</v>
      </c>
      <c r="D299" s="166">
        <v>1809.7</v>
      </c>
      <c r="E299" s="166">
        <v>185.7</v>
      </c>
      <c r="F299" s="166">
        <v>1635.2</v>
      </c>
      <c r="G299" s="234"/>
      <c r="H299" s="234"/>
      <c r="I299" s="166">
        <v>32</v>
      </c>
      <c r="J299" s="166">
        <v>1701.8</v>
      </c>
      <c r="K299" s="166">
        <v>60.4</v>
      </c>
      <c r="L299" s="234"/>
      <c r="M299" s="234"/>
      <c r="N299" s="235"/>
      <c r="O299" s="168">
        <v>319</v>
      </c>
      <c r="P299" s="166">
        <v>14.2</v>
      </c>
      <c r="Q299" s="166">
        <v>1584.4</v>
      </c>
      <c r="R299" s="169">
        <v>1680</v>
      </c>
      <c r="S299" s="236"/>
      <c r="T299" s="234"/>
      <c r="U299" s="234"/>
      <c r="V299" s="234"/>
      <c r="W299" s="235"/>
      <c r="X299" s="168">
        <v>189</v>
      </c>
      <c r="Y299" s="169">
        <v>4274</v>
      </c>
      <c r="Z299" s="236"/>
      <c r="AA299" s="237"/>
      <c r="AB299" s="238"/>
      <c r="AC299" s="168"/>
      <c r="AD299" s="166"/>
      <c r="AE299" s="234"/>
      <c r="AF299" s="237"/>
      <c r="AG299" s="239"/>
      <c r="AH299" s="234"/>
      <c r="AI299" s="237"/>
      <c r="AJ299" s="171" t="s">
        <v>1712</v>
      </c>
      <c r="AK299" s="166" t="s">
        <v>1712</v>
      </c>
      <c r="AL299" s="166" t="s">
        <v>1712</v>
      </c>
      <c r="AM299" s="166" t="s">
        <v>1712</v>
      </c>
      <c r="AN299" s="166" t="s">
        <v>1712</v>
      </c>
      <c r="AO299" s="166" t="s">
        <v>1712</v>
      </c>
      <c r="AP299" s="166" t="s">
        <v>1712</v>
      </c>
      <c r="AQ299" s="166" t="s">
        <v>1712</v>
      </c>
      <c r="AR299" s="169" t="s">
        <v>1712</v>
      </c>
      <c r="AS299" s="168" t="s">
        <v>1712</v>
      </c>
      <c r="AT299" s="166" t="s">
        <v>1712</v>
      </c>
      <c r="AU299" s="169" t="s">
        <v>1712</v>
      </c>
      <c r="AV299" s="593"/>
      <c r="AW299" s="593"/>
      <c r="AX299" s="593"/>
    </row>
    <row r="300" spans="1:50" ht="12.75" customHeight="1" thickBot="1" x14ac:dyDescent="0.3">
      <c r="A300" s="211"/>
      <c r="B300" s="212"/>
      <c r="C300" s="213"/>
      <c r="D300" s="212"/>
      <c r="E300" s="1867" t="s">
        <v>3981</v>
      </c>
      <c r="F300" s="1868"/>
      <c r="G300" s="1868"/>
      <c r="H300" s="1868"/>
      <c r="I300" s="1868"/>
      <c r="J300" s="1868"/>
      <c r="K300" s="1868"/>
      <c r="L300" s="1868"/>
      <c r="M300" s="1868"/>
      <c r="N300" s="1868"/>
      <c r="O300" s="1868"/>
      <c r="P300" s="1868"/>
      <c r="Q300" s="1868"/>
      <c r="R300" s="1868"/>
      <c r="S300" s="1868"/>
      <c r="T300" s="1868"/>
      <c r="U300" s="1868"/>
      <c r="V300" s="1868"/>
      <c r="W300" s="1868"/>
      <c r="X300" s="1869"/>
      <c r="Y300" s="1869"/>
      <c r="Z300" s="1868"/>
      <c r="AA300" s="1868"/>
      <c r="AB300" s="1870"/>
      <c r="AC300" s="1884" t="s">
        <v>3982</v>
      </c>
      <c r="AD300" s="1885"/>
      <c r="AE300" s="1885"/>
      <c r="AF300" s="1885"/>
      <c r="AG300" s="1885"/>
      <c r="AH300" s="1885"/>
      <c r="AI300" s="1886"/>
      <c r="AJ300" s="1868" t="s">
        <v>3982</v>
      </c>
      <c r="AK300" s="1868"/>
      <c r="AL300" s="1868"/>
      <c r="AM300" s="1868"/>
      <c r="AN300" s="1868"/>
      <c r="AO300" s="1868"/>
      <c r="AP300" s="1868"/>
      <c r="AQ300" s="1868"/>
      <c r="AR300" s="1868"/>
      <c r="AS300" s="1868"/>
      <c r="AT300" s="1868"/>
      <c r="AU300" s="1870"/>
      <c r="AV300" s="598"/>
      <c r="AW300" s="598"/>
      <c r="AX300" s="598"/>
    </row>
    <row r="301" spans="1:50" ht="13.2" thickBot="1" x14ac:dyDescent="0.3">
      <c r="A301" s="240"/>
      <c r="B301" s="241"/>
      <c r="C301" s="242"/>
      <c r="D301" s="218"/>
      <c r="E301" s="218"/>
      <c r="F301" s="218"/>
      <c r="G301" s="218"/>
      <c r="H301" s="218"/>
      <c r="I301" s="218"/>
      <c r="J301" s="218"/>
      <c r="K301" s="218"/>
      <c r="L301" s="218"/>
      <c r="M301" s="218"/>
      <c r="N301" s="218"/>
      <c r="O301" s="219" t="s">
        <v>3818</v>
      </c>
      <c r="P301" s="220" t="s">
        <v>3818</v>
      </c>
      <c r="Q301" s="220" t="s">
        <v>3818</v>
      </c>
      <c r="R301" s="221" t="s">
        <v>3818</v>
      </c>
      <c r="S301" s="218"/>
      <c r="T301" s="218"/>
      <c r="U301" s="218"/>
      <c r="V301" s="218"/>
      <c r="W301" s="218"/>
      <c r="X301" s="161" t="s">
        <v>345</v>
      </c>
      <c r="Y301" s="139" t="s">
        <v>345</v>
      </c>
      <c r="Z301" s="218"/>
      <c r="AA301" s="218"/>
      <c r="AB301" s="218"/>
      <c r="AC301" s="161" t="s">
        <v>3818</v>
      </c>
      <c r="AD301" s="162" t="s">
        <v>3818</v>
      </c>
      <c r="AE301" s="162" t="s">
        <v>3818</v>
      </c>
      <c r="AF301" s="163" t="s">
        <v>3818</v>
      </c>
      <c r="AG301" s="162" t="s">
        <v>345</v>
      </c>
      <c r="AH301" s="137" t="s">
        <v>345</v>
      </c>
      <c r="AI301" s="139" t="s">
        <v>345</v>
      </c>
      <c r="AJ301" s="222"/>
      <c r="AK301" s="223"/>
      <c r="AL301" s="137"/>
      <c r="AM301" s="137"/>
      <c r="AN301" s="137" t="s">
        <v>3817</v>
      </c>
      <c r="AO301" s="137" t="s">
        <v>3817</v>
      </c>
      <c r="AP301" s="137" t="s">
        <v>3817</v>
      </c>
      <c r="AQ301" s="137" t="s">
        <v>3817</v>
      </c>
      <c r="AR301" s="139" t="s">
        <v>3817</v>
      </c>
      <c r="AS301" s="224" t="s">
        <v>3818</v>
      </c>
      <c r="AT301" s="225" t="s">
        <v>3818</v>
      </c>
      <c r="AU301" s="226" t="s">
        <v>3818</v>
      </c>
      <c r="AV301" s="592"/>
      <c r="AW301" s="592" t="str">
        <f>$AW$19</f>
        <v>LWN</v>
      </c>
      <c r="AX301" s="592" t="str">
        <f>$AW$19</f>
        <v>LWN</v>
      </c>
    </row>
    <row r="302" spans="1:50" x14ac:dyDescent="0.25">
      <c r="A302" s="1663"/>
      <c r="B302" s="1456" t="s">
        <v>3820</v>
      </c>
      <c r="C302" s="1460"/>
      <c r="D302" s="1453" t="s">
        <v>3821</v>
      </c>
      <c r="E302" s="1453" t="s">
        <v>2348</v>
      </c>
      <c r="F302" s="1453" t="s">
        <v>3823</v>
      </c>
      <c r="G302" s="1454"/>
      <c r="H302" s="1454"/>
      <c r="I302" s="1880" t="s">
        <v>3825</v>
      </c>
      <c r="J302" s="1880"/>
      <c r="K302" s="1880"/>
      <c r="L302" s="1454"/>
      <c r="M302" s="1454"/>
      <c r="N302" s="1455"/>
      <c r="O302" s="1456" t="s">
        <v>3828</v>
      </c>
      <c r="P302" s="1453" t="s">
        <v>3983</v>
      </c>
      <c r="Q302" s="1453" t="s">
        <v>3827</v>
      </c>
      <c r="R302" s="1636" t="s">
        <v>184</v>
      </c>
      <c r="S302" s="1457"/>
      <c r="T302" s="1454"/>
      <c r="U302" s="1454"/>
      <c r="V302" s="1454"/>
      <c r="W302" s="1455"/>
      <c r="X302" s="1353" t="s">
        <v>2348</v>
      </c>
      <c r="Y302" s="1637" t="s">
        <v>184</v>
      </c>
      <c r="Z302" s="1457"/>
      <c r="AA302" s="1455"/>
      <c r="AB302" s="227"/>
      <c r="AC302" s="1595" t="s">
        <v>3834</v>
      </c>
      <c r="AD302" s="1593" t="s">
        <v>3835</v>
      </c>
      <c r="AE302" s="1593" t="s">
        <v>3836</v>
      </c>
      <c r="AF302" s="1598" t="s">
        <v>336</v>
      </c>
      <c r="AG302" s="1595" t="s">
        <v>3834</v>
      </c>
      <c r="AH302" s="1593" t="s">
        <v>3835</v>
      </c>
      <c r="AI302" s="1598" t="s">
        <v>336</v>
      </c>
      <c r="AJ302" s="1635" t="s">
        <v>3824</v>
      </c>
      <c r="AK302" s="1638" t="s">
        <v>2417</v>
      </c>
      <c r="AL302" s="1633" t="s">
        <v>3822</v>
      </c>
      <c r="AM302" s="1633" t="s">
        <v>3823</v>
      </c>
      <c r="AN302" s="1633" t="s">
        <v>3827</v>
      </c>
      <c r="AO302" s="1633" t="s">
        <v>3983</v>
      </c>
      <c r="AP302" s="1633" t="s">
        <v>3828</v>
      </c>
      <c r="AQ302" s="1633" t="s">
        <v>3826</v>
      </c>
      <c r="AR302" s="1637" t="s">
        <v>184</v>
      </c>
      <c r="AS302" s="1354" t="s">
        <v>3828</v>
      </c>
      <c r="AT302" s="1633" t="s">
        <v>12</v>
      </c>
      <c r="AU302" s="1637" t="s">
        <v>184</v>
      </c>
      <c r="AV302" s="1639"/>
      <c r="AW302" s="1639" t="s">
        <v>184</v>
      </c>
      <c r="AX302" s="1598" t="str">
        <f>$AX$20</f>
        <v>Unit Surface</v>
      </c>
    </row>
    <row r="303" spans="1:50" ht="13.2" thickBot="1" x14ac:dyDescent="0.3">
      <c r="A303" s="249"/>
      <c r="B303" s="1645" t="s">
        <v>59</v>
      </c>
      <c r="C303" s="1664" t="s">
        <v>1685</v>
      </c>
      <c r="D303" s="1640" t="s">
        <v>93</v>
      </c>
      <c r="E303" s="1640" t="s">
        <v>93</v>
      </c>
      <c r="F303" s="1640" t="s">
        <v>93</v>
      </c>
      <c r="G303" s="1643"/>
      <c r="H303" s="1643"/>
      <c r="I303" s="1640" t="s">
        <v>3837</v>
      </c>
      <c r="J303" s="1640" t="s">
        <v>3838</v>
      </c>
      <c r="K303" s="1640" t="s">
        <v>3839</v>
      </c>
      <c r="L303" s="1643"/>
      <c r="M303" s="1643"/>
      <c r="N303" s="1644"/>
      <c r="O303" s="1645" t="s">
        <v>93</v>
      </c>
      <c r="P303" s="1640" t="s">
        <v>93</v>
      </c>
      <c r="Q303" s="1640" t="s">
        <v>93</v>
      </c>
      <c r="R303" s="1646" t="s">
        <v>222</v>
      </c>
      <c r="S303" s="1647"/>
      <c r="T303" s="1643"/>
      <c r="U303" s="1643"/>
      <c r="V303" s="1643"/>
      <c r="W303" s="1644"/>
      <c r="X303" s="1645" t="s">
        <v>93</v>
      </c>
      <c r="Y303" s="1646" t="s">
        <v>222</v>
      </c>
      <c r="Z303" s="1647"/>
      <c r="AA303" s="1644"/>
      <c r="AB303" s="1648"/>
      <c r="AC303" s="171" t="s">
        <v>228</v>
      </c>
      <c r="AD303" s="166" t="s">
        <v>228</v>
      </c>
      <c r="AE303" s="166" t="s">
        <v>228</v>
      </c>
      <c r="AF303" s="169" t="s">
        <v>228</v>
      </c>
      <c r="AG303" s="171" t="s">
        <v>228</v>
      </c>
      <c r="AH303" s="166" t="s">
        <v>228</v>
      </c>
      <c r="AI303" s="169" t="s">
        <v>228</v>
      </c>
      <c r="AJ303" s="1642" t="s">
        <v>93</v>
      </c>
      <c r="AK303" s="1640" t="s">
        <v>93</v>
      </c>
      <c r="AL303" s="1640" t="s">
        <v>93</v>
      </c>
      <c r="AM303" s="1640" t="s">
        <v>93</v>
      </c>
      <c r="AN303" s="1640" t="s">
        <v>93</v>
      </c>
      <c r="AO303" s="1640" t="s">
        <v>93</v>
      </c>
      <c r="AP303" s="1640" t="s">
        <v>93</v>
      </c>
      <c r="AQ303" s="1640" t="s">
        <v>93</v>
      </c>
      <c r="AR303" s="1646" t="s">
        <v>222</v>
      </c>
      <c r="AS303" s="1649" t="s">
        <v>93</v>
      </c>
      <c r="AT303" s="1640" t="s">
        <v>93</v>
      </c>
      <c r="AU303" s="1646" t="s">
        <v>222</v>
      </c>
      <c r="AV303" s="1650"/>
      <c r="AW303" s="1650" t="s">
        <v>222</v>
      </c>
      <c r="AX303" s="593" t="str">
        <f>$AX$21</f>
        <v>m2</v>
      </c>
    </row>
    <row r="304" spans="1:50" ht="13.2" thickBot="1" x14ac:dyDescent="0.3">
      <c r="A304" s="250" t="s">
        <v>3904</v>
      </c>
      <c r="B304" s="161">
        <v>0</v>
      </c>
      <c r="C304" s="137">
        <v>0</v>
      </c>
      <c r="D304" s="137">
        <v>0</v>
      </c>
      <c r="E304" s="137">
        <v>0</v>
      </c>
      <c r="F304" s="137">
        <v>0</v>
      </c>
      <c r="G304" s="230"/>
      <c r="H304" s="230"/>
      <c r="I304" s="137">
        <v>0</v>
      </c>
      <c r="J304" s="137">
        <v>0</v>
      </c>
      <c r="K304" s="137">
        <v>0</v>
      </c>
      <c r="L304" s="230"/>
      <c r="M304" s="230"/>
      <c r="N304" s="231"/>
      <c r="O304" s="161">
        <v>0</v>
      </c>
      <c r="P304" s="137">
        <v>0</v>
      </c>
      <c r="Q304" s="137">
        <v>0</v>
      </c>
      <c r="R304" s="139">
        <v>0</v>
      </c>
      <c r="S304" s="232"/>
      <c r="T304" s="230"/>
      <c r="U304" s="230"/>
      <c r="V304" s="230"/>
      <c r="W304" s="231"/>
      <c r="X304" s="161">
        <v>0</v>
      </c>
      <c r="Y304" s="139">
        <v>0</v>
      </c>
      <c r="Z304" s="232"/>
      <c r="AA304" s="231"/>
      <c r="AB304" s="160"/>
      <c r="AC304" s="248">
        <v>0</v>
      </c>
      <c r="AD304" s="229">
        <v>0</v>
      </c>
      <c r="AE304" s="229">
        <v>0</v>
      </c>
      <c r="AF304" s="247">
        <v>0</v>
      </c>
      <c r="AG304" s="248">
        <v>0</v>
      </c>
      <c r="AH304" s="229">
        <v>0</v>
      </c>
      <c r="AI304" s="247">
        <v>0</v>
      </c>
      <c r="AJ304" s="162">
        <v>0</v>
      </c>
      <c r="AK304" s="137">
        <v>0</v>
      </c>
      <c r="AL304" s="137">
        <v>0</v>
      </c>
      <c r="AM304" s="137">
        <v>0</v>
      </c>
      <c r="AN304" s="137">
        <v>0</v>
      </c>
      <c r="AO304" s="137">
        <v>0</v>
      </c>
      <c r="AP304" s="137">
        <v>0</v>
      </c>
      <c r="AQ304" s="137">
        <v>0</v>
      </c>
      <c r="AR304" s="139">
        <v>0</v>
      </c>
      <c r="AS304" s="161">
        <v>0</v>
      </c>
      <c r="AT304" s="137">
        <v>0</v>
      </c>
      <c r="AU304" s="139">
        <v>0</v>
      </c>
      <c r="AV304" s="595"/>
      <c r="AW304" s="595">
        <v>0</v>
      </c>
      <c r="AX304" s="595">
        <v>0</v>
      </c>
    </row>
    <row r="305" spans="1:50" x14ac:dyDescent="0.25">
      <c r="A305" s="1355" t="s">
        <v>4038</v>
      </c>
      <c r="B305" s="1350">
        <v>650</v>
      </c>
      <c r="C305" s="1651">
        <v>26</v>
      </c>
      <c r="D305" s="1593">
        <v>1016</v>
      </c>
      <c r="E305" s="1593">
        <v>107.9</v>
      </c>
      <c r="F305" s="1593">
        <v>749.3</v>
      </c>
      <c r="G305" s="1652"/>
      <c r="H305" s="1652"/>
      <c r="I305" s="1593">
        <v>28</v>
      </c>
      <c r="J305" s="1593">
        <v>914.4</v>
      </c>
      <c r="K305" s="1593">
        <v>50.8</v>
      </c>
      <c r="L305" s="1652"/>
      <c r="M305" s="1652"/>
      <c r="N305" s="1653"/>
      <c r="O305" s="1350">
        <v>222.2</v>
      </c>
      <c r="P305" s="1593">
        <v>12.7</v>
      </c>
      <c r="Q305" s="1593">
        <v>747.8</v>
      </c>
      <c r="R305" s="1598">
        <v>479</v>
      </c>
      <c r="S305" s="1654"/>
      <c r="T305" s="1652"/>
      <c r="U305" s="1652"/>
      <c r="V305" s="1652"/>
      <c r="W305" s="1653"/>
      <c r="X305" s="1350">
        <v>125.5</v>
      </c>
      <c r="Y305" s="1598">
        <v>800</v>
      </c>
      <c r="Z305" s="1654"/>
      <c r="AA305" s="1655"/>
      <c r="AB305" s="1656"/>
      <c r="AC305" s="1450">
        <f t="shared" ref="AC305:AC310" si="82">PI()*D305*AL305/1000000</f>
        <v>0.3447206786931008</v>
      </c>
      <c r="AD305" s="1451">
        <f t="shared" ref="AD305:AD310" si="83">D305^2*PI()/4/1000000</f>
        <v>0.81073196655599633</v>
      </c>
      <c r="AE305" s="1451">
        <f t="shared" ref="AE305:AE310" si="84">AT305*PI()*(O305-AL305)/1000000</f>
        <v>0.24091397511832935</v>
      </c>
      <c r="AF305" s="1607">
        <f t="shared" ref="AF305:AF310" si="85">AE305+AD305+AC305</f>
        <v>1.3963666203674265</v>
      </c>
      <c r="AG305" s="1452">
        <f t="shared" ref="AG305:AG310" si="86">PI()*D305*AL305/1000000</f>
        <v>0.3447206786931008</v>
      </c>
      <c r="AH305" s="1451">
        <f t="shared" ref="AH305:AH310" si="87">D305^2*PI()/4/1000000</f>
        <v>0.81073196655599633</v>
      </c>
      <c r="AI305" s="1607">
        <f t="shared" ref="AI305:AI310" si="88">AH305+AG305</f>
        <v>1.1554526452490972</v>
      </c>
      <c r="AJ305" s="1447">
        <v>809.8</v>
      </c>
      <c r="AK305" s="1445">
        <v>12.7</v>
      </c>
      <c r="AL305" s="1445">
        <v>108</v>
      </c>
      <c r="AM305" s="1445">
        <v>749.3</v>
      </c>
      <c r="AN305" s="1445">
        <v>747.7</v>
      </c>
      <c r="AO305" s="1445">
        <v>14.3</v>
      </c>
      <c r="AP305" s="1445">
        <v>222.2</v>
      </c>
      <c r="AQ305" s="1445">
        <v>666.7</v>
      </c>
      <c r="AR305" s="1605">
        <v>444</v>
      </c>
      <c r="AS305" s="1449" t="s">
        <v>1712</v>
      </c>
      <c r="AT305" s="1445">
        <v>671.5</v>
      </c>
      <c r="AU305" s="1605">
        <v>444</v>
      </c>
      <c r="AV305" s="1599"/>
      <c r="AW305" s="1599"/>
      <c r="AX305" s="1599"/>
    </row>
    <row r="306" spans="1:50" x14ac:dyDescent="0.25">
      <c r="A306" s="1665" t="s">
        <v>4039</v>
      </c>
      <c r="B306" s="1609">
        <v>700</v>
      </c>
      <c r="C306" s="1507">
        <v>28</v>
      </c>
      <c r="D306" s="1504">
        <v>1073.0999999999999</v>
      </c>
      <c r="E306" s="1504">
        <v>111.3</v>
      </c>
      <c r="F306" s="1504">
        <v>800.1</v>
      </c>
      <c r="G306" s="1657"/>
      <c r="H306" s="1657"/>
      <c r="I306" s="1504">
        <v>28</v>
      </c>
      <c r="J306" s="1504">
        <v>965.2</v>
      </c>
      <c r="K306" s="1504">
        <v>53.8</v>
      </c>
      <c r="L306" s="1657"/>
      <c r="M306" s="1657"/>
      <c r="N306" s="1658"/>
      <c r="O306" s="1609">
        <v>234.9</v>
      </c>
      <c r="P306" s="1504">
        <v>12.7</v>
      </c>
      <c r="Q306" s="1504">
        <v>803.1</v>
      </c>
      <c r="R306" s="1610">
        <v>538</v>
      </c>
      <c r="S306" s="1659"/>
      <c r="T306" s="1657"/>
      <c r="U306" s="1657"/>
      <c r="V306" s="1657"/>
      <c r="W306" s="1658"/>
      <c r="X306" s="1609">
        <v>131.80000000000001</v>
      </c>
      <c r="Y306" s="1610">
        <v>945</v>
      </c>
      <c r="Z306" s="1659"/>
      <c r="AA306" s="1660"/>
      <c r="AB306" s="1661"/>
      <c r="AC306" s="1612">
        <f t="shared" si="82"/>
        <v>0.37454510580661665</v>
      </c>
      <c r="AD306" s="1613">
        <f t="shared" si="83"/>
        <v>0.90442023636606728</v>
      </c>
      <c r="AE306" s="1613">
        <f t="shared" si="84"/>
        <v>0.28154582653538601</v>
      </c>
      <c r="AF306" s="1614">
        <f t="shared" si="85"/>
        <v>1.5605111687080699</v>
      </c>
      <c r="AG306" s="1615">
        <f t="shared" si="86"/>
        <v>0.37454510580661665</v>
      </c>
      <c r="AH306" s="1613">
        <f t="shared" si="87"/>
        <v>0.90442023636606728</v>
      </c>
      <c r="AI306" s="1614">
        <f t="shared" si="88"/>
        <v>1.2789653421726839</v>
      </c>
      <c r="AJ306" s="1506">
        <v>860.5</v>
      </c>
      <c r="AK306" s="1504">
        <v>12.7</v>
      </c>
      <c r="AL306" s="1504">
        <v>111.1</v>
      </c>
      <c r="AM306" s="1504">
        <v>800.1</v>
      </c>
      <c r="AN306" s="1504">
        <v>803.3</v>
      </c>
      <c r="AO306" s="1504">
        <v>15.9</v>
      </c>
      <c r="AP306" s="1504">
        <v>234.9</v>
      </c>
      <c r="AQ306" s="1504">
        <v>717.5</v>
      </c>
      <c r="AR306" s="1610">
        <v>480</v>
      </c>
      <c r="AS306" s="1609" t="s">
        <v>1712</v>
      </c>
      <c r="AT306" s="1504">
        <v>723.9</v>
      </c>
      <c r="AU306" s="1610">
        <v>480</v>
      </c>
      <c r="AV306" s="1616"/>
      <c r="AW306" s="1616"/>
      <c r="AX306" s="1616"/>
    </row>
    <row r="307" spans="1:50" x14ac:dyDescent="0.25">
      <c r="A307" s="1665" t="s">
        <v>4040</v>
      </c>
      <c r="B307" s="1609">
        <v>750</v>
      </c>
      <c r="C307" s="1507">
        <v>30</v>
      </c>
      <c r="D307" s="1504">
        <v>1130.3</v>
      </c>
      <c r="E307" s="1504">
        <v>114.3</v>
      </c>
      <c r="F307" s="1504">
        <v>857.2</v>
      </c>
      <c r="G307" s="1657"/>
      <c r="H307" s="1657"/>
      <c r="I307" s="1504">
        <v>28</v>
      </c>
      <c r="J307" s="1504">
        <v>1022.3</v>
      </c>
      <c r="K307" s="1504">
        <v>53.8</v>
      </c>
      <c r="L307" s="1657"/>
      <c r="M307" s="1657"/>
      <c r="N307" s="1658"/>
      <c r="O307" s="1609">
        <v>247.6</v>
      </c>
      <c r="P307" s="1504">
        <v>12.7</v>
      </c>
      <c r="Q307" s="1504">
        <v>862.1</v>
      </c>
      <c r="R307" s="1610">
        <v>608</v>
      </c>
      <c r="S307" s="1659"/>
      <c r="T307" s="1657"/>
      <c r="U307" s="1657"/>
      <c r="V307" s="1657"/>
      <c r="W307" s="1658"/>
      <c r="X307" s="1609">
        <v>139.69999999999999</v>
      </c>
      <c r="Y307" s="1610">
        <v>1115</v>
      </c>
      <c r="Z307" s="1659"/>
      <c r="AA307" s="1660"/>
      <c r="AB307" s="1661"/>
      <c r="AC307" s="1612">
        <f t="shared" si="82"/>
        <v>0.40587269075709564</v>
      </c>
      <c r="AD307" s="1613">
        <f t="shared" si="83"/>
        <v>1.0034074854828197</v>
      </c>
      <c r="AE307" s="1613">
        <f t="shared" si="84"/>
        <v>0.32442445077051058</v>
      </c>
      <c r="AF307" s="1614">
        <f t="shared" si="85"/>
        <v>1.7337046270104257</v>
      </c>
      <c r="AG307" s="1615">
        <f t="shared" si="86"/>
        <v>0.40587269075709564</v>
      </c>
      <c r="AH307" s="1613">
        <f t="shared" si="87"/>
        <v>1.0034074854828197</v>
      </c>
      <c r="AI307" s="1614">
        <f t="shared" si="88"/>
        <v>1.4092801762399154</v>
      </c>
      <c r="AJ307" s="1506">
        <v>917.4</v>
      </c>
      <c r="AK307" s="1504">
        <v>12.7</v>
      </c>
      <c r="AL307" s="1504">
        <v>114.3</v>
      </c>
      <c r="AM307" s="1504">
        <v>857.2</v>
      </c>
      <c r="AN307" s="1504">
        <v>862</v>
      </c>
      <c r="AO307" s="1504">
        <v>17.5</v>
      </c>
      <c r="AP307" s="1504">
        <v>247.6</v>
      </c>
      <c r="AQ307" s="1504">
        <v>768.3</v>
      </c>
      <c r="AR307" s="1610">
        <v>560</v>
      </c>
      <c r="AS307" s="1609" t="s">
        <v>1712</v>
      </c>
      <c r="AT307" s="1504">
        <v>774.7</v>
      </c>
      <c r="AU307" s="1610">
        <v>560</v>
      </c>
      <c r="AV307" s="1616"/>
      <c r="AW307" s="1616"/>
      <c r="AX307" s="1616"/>
    </row>
    <row r="308" spans="1:50" x14ac:dyDescent="0.25">
      <c r="A308" s="1665" t="s">
        <v>4041</v>
      </c>
      <c r="B308" s="1609">
        <v>800</v>
      </c>
      <c r="C308" s="1507">
        <v>32</v>
      </c>
      <c r="D308" s="1504">
        <v>1193.8</v>
      </c>
      <c r="E308" s="1504">
        <v>117.3</v>
      </c>
      <c r="F308" s="1504">
        <v>914.4</v>
      </c>
      <c r="G308" s="1657"/>
      <c r="H308" s="1657"/>
      <c r="I308" s="1504">
        <v>28</v>
      </c>
      <c r="J308" s="1504">
        <v>1079.5</v>
      </c>
      <c r="K308" s="1504">
        <v>60.5</v>
      </c>
      <c r="L308" s="1657"/>
      <c r="M308" s="1657"/>
      <c r="N308" s="1658"/>
      <c r="O308" s="1609">
        <v>260.3</v>
      </c>
      <c r="P308" s="1504">
        <v>12.7</v>
      </c>
      <c r="Q308" s="1504">
        <v>917.4</v>
      </c>
      <c r="R308" s="1610">
        <v>689</v>
      </c>
      <c r="S308" s="1659"/>
      <c r="T308" s="1657"/>
      <c r="U308" s="1657"/>
      <c r="V308" s="1657"/>
      <c r="W308" s="1658"/>
      <c r="X308" s="1609">
        <v>147.6</v>
      </c>
      <c r="Y308" s="1610">
        <v>1315</v>
      </c>
      <c r="Z308" s="1659"/>
      <c r="AA308" s="1660"/>
      <c r="AB308" s="1661"/>
      <c r="AC308" s="1612">
        <f t="shared" si="82"/>
        <v>0.44067591390802063</v>
      </c>
      <c r="AD308" s="1613">
        <f t="shared" si="83"/>
        <v>1.1193168213263724</v>
      </c>
      <c r="AE308" s="1613">
        <f t="shared" si="84"/>
        <v>0.37033534023487985</v>
      </c>
      <c r="AF308" s="1614">
        <f t="shared" si="85"/>
        <v>1.9303280754692729</v>
      </c>
      <c r="AG308" s="1615">
        <f t="shared" si="86"/>
        <v>0.44067591390802063</v>
      </c>
      <c r="AH308" s="1613">
        <f t="shared" si="87"/>
        <v>1.1193168213263724</v>
      </c>
      <c r="AI308" s="1614">
        <f t="shared" si="88"/>
        <v>1.5599927352343932</v>
      </c>
      <c r="AJ308" s="1506">
        <v>984.3</v>
      </c>
      <c r="AK308" s="1504">
        <v>14.27</v>
      </c>
      <c r="AL308" s="1504">
        <v>117.5</v>
      </c>
      <c r="AM308" s="1504">
        <v>914.4</v>
      </c>
      <c r="AN308" s="1504">
        <v>917.6</v>
      </c>
      <c r="AO308" s="1504">
        <v>17.5</v>
      </c>
      <c r="AP308" s="1504">
        <v>260.3</v>
      </c>
      <c r="AQ308" s="1504">
        <v>819.1</v>
      </c>
      <c r="AR308" s="1610">
        <v>680</v>
      </c>
      <c r="AS308" s="1609" t="s">
        <v>1712</v>
      </c>
      <c r="AT308" s="1504">
        <v>825.5</v>
      </c>
      <c r="AU308" s="1610">
        <v>680</v>
      </c>
      <c r="AV308" s="1616"/>
      <c r="AW308" s="1616"/>
      <c r="AX308" s="1616"/>
    </row>
    <row r="309" spans="1:50" x14ac:dyDescent="0.25">
      <c r="A309" s="1665" t="s">
        <v>4042</v>
      </c>
      <c r="B309" s="1609">
        <v>850</v>
      </c>
      <c r="C309" s="1507">
        <v>34</v>
      </c>
      <c r="D309" s="1504">
        <v>1244.5999999999999</v>
      </c>
      <c r="E309" s="1504">
        <v>120.6</v>
      </c>
      <c r="F309" s="1504">
        <v>965.2</v>
      </c>
      <c r="G309" s="1657"/>
      <c r="H309" s="1657"/>
      <c r="I309" s="1504">
        <v>28</v>
      </c>
      <c r="J309" s="1504">
        <v>1130.3</v>
      </c>
      <c r="K309" s="1504">
        <v>60.5</v>
      </c>
      <c r="L309" s="1657"/>
      <c r="M309" s="1657"/>
      <c r="N309" s="1658"/>
      <c r="O309" s="1609">
        <v>269.7</v>
      </c>
      <c r="P309" s="1504">
        <v>14.2</v>
      </c>
      <c r="Q309" s="1504">
        <v>973.1</v>
      </c>
      <c r="R309" s="1610">
        <v>756</v>
      </c>
      <c r="S309" s="1659"/>
      <c r="T309" s="1657"/>
      <c r="U309" s="1657"/>
      <c r="V309" s="1657"/>
      <c r="W309" s="1658"/>
      <c r="X309" s="1609">
        <v>153.9</v>
      </c>
      <c r="Y309" s="1610">
        <v>1495</v>
      </c>
      <c r="Z309" s="1659"/>
      <c r="AA309" s="1660"/>
      <c r="AB309" s="1661"/>
      <c r="AC309" s="1612">
        <f t="shared" si="82"/>
        <v>0.47194016435060332</v>
      </c>
      <c r="AD309" s="1613">
        <f t="shared" si="83"/>
        <v>1.216604657313092</v>
      </c>
      <c r="AE309" s="1613">
        <f t="shared" si="84"/>
        <v>0.41094262439738538</v>
      </c>
      <c r="AF309" s="1614">
        <f t="shared" si="85"/>
        <v>2.0994874460610808</v>
      </c>
      <c r="AG309" s="1615">
        <f t="shared" si="86"/>
        <v>0.47194016435060332</v>
      </c>
      <c r="AH309" s="1613">
        <f t="shared" si="87"/>
        <v>1.216604657313092</v>
      </c>
      <c r="AI309" s="1614">
        <f t="shared" si="88"/>
        <v>1.6885448216636954</v>
      </c>
      <c r="AJ309" s="1506">
        <v>1035</v>
      </c>
      <c r="AK309" s="1504">
        <v>14.27</v>
      </c>
      <c r="AL309" s="1504">
        <v>120.7</v>
      </c>
      <c r="AM309" s="1504">
        <v>965.2</v>
      </c>
      <c r="AN309" s="1504">
        <v>973.2</v>
      </c>
      <c r="AO309" s="1504">
        <v>19</v>
      </c>
      <c r="AP309" s="1504">
        <v>269.89999999999998</v>
      </c>
      <c r="AQ309" s="1504">
        <v>869.9</v>
      </c>
      <c r="AR309" s="1610">
        <v>750</v>
      </c>
      <c r="AS309" s="1609" t="s">
        <v>1712</v>
      </c>
      <c r="AT309" s="1504">
        <v>877.9</v>
      </c>
      <c r="AU309" s="1610">
        <v>750</v>
      </c>
      <c r="AV309" s="1616"/>
      <c r="AW309" s="1616"/>
      <c r="AX309" s="1616"/>
    </row>
    <row r="310" spans="1:50" x14ac:dyDescent="0.25">
      <c r="A310" s="1665" t="s">
        <v>4043</v>
      </c>
      <c r="B310" s="1609">
        <v>900</v>
      </c>
      <c r="C310" s="1507">
        <v>36</v>
      </c>
      <c r="D310" s="1504">
        <v>1314.4</v>
      </c>
      <c r="E310" s="1504">
        <v>124</v>
      </c>
      <c r="F310" s="1504">
        <v>1022.3</v>
      </c>
      <c r="G310" s="1657"/>
      <c r="H310" s="1657"/>
      <c r="I310" s="1504">
        <v>28</v>
      </c>
      <c r="J310" s="1504">
        <v>1193.8</v>
      </c>
      <c r="K310" s="1504">
        <v>66.5</v>
      </c>
      <c r="L310" s="1657"/>
      <c r="M310" s="1657"/>
      <c r="N310" s="1658"/>
      <c r="O310" s="1609">
        <v>282.39999999999998</v>
      </c>
      <c r="P310" s="1504">
        <v>14.2</v>
      </c>
      <c r="Q310" s="1504">
        <v>1031.7</v>
      </c>
      <c r="R310" s="1610">
        <v>868</v>
      </c>
      <c r="S310" s="1659"/>
      <c r="T310" s="1657"/>
      <c r="U310" s="1657"/>
      <c r="V310" s="1657"/>
      <c r="W310" s="1658"/>
      <c r="X310" s="1609">
        <v>162.1</v>
      </c>
      <c r="Y310" s="1610">
        <v>1750</v>
      </c>
      <c r="Z310" s="1659"/>
      <c r="AA310" s="1660"/>
      <c r="AB310" s="1661"/>
      <c r="AC310" s="1612">
        <f t="shared" si="82"/>
        <v>0.51120850172414889</v>
      </c>
      <c r="AD310" s="1613">
        <f t="shared" si="83"/>
        <v>1.3568910635424503</v>
      </c>
      <c r="AE310" s="1613">
        <f t="shared" si="84"/>
        <v>0.46273089964587011</v>
      </c>
      <c r="AF310" s="1614">
        <f t="shared" si="85"/>
        <v>2.3308304649124691</v>
      </c>
      <c r="AG310" s="1615">
        <f t="shared" si="86"/>
        <v>0.51120850172414889</v>
      </c>
      <c r="AH310" s="1613">
        <f t="shared" si="87"/>
        <v>1.3568910635424503</v>
      </c>
      <c r="AI310" s="1614">
        <f t="shared" si="88"/>
        <v>1.8680995652665993</v>
      </c>
      <c r="AJ310" s="1506">
        <v>1092.2</v>
      </c>
      <c r="AK310" s="1504">
        <v>14.27</v>
      </c>
      <c r="AL310" s="1504">
        <v>123.8</v>
      </c>
      <c r="AM310" s="1504">
        <v>1022.3</v>
      </c>
      <c r="AN310" s="1504">
        <v>1031.9000000000001</v>
      </c>
      <c r="AO310" s="1504">
        <v>19</v>
      </c>
      <c r="AP310" s="1504">
        <v>282.60000000000002</v>
      </c>
      <c r="AQ310" s="1504">
        <v>920.7</v>
      </c>
      <c r="AR310" s="1610">
        <v>795</v>
      </c>
      <c r="AS310" s="1609" t="s">
        <v>1712</v>
      </c>
      <c r="AT310" s="1504">
        <v>928.7</v>
      </c>
      <c r="AU310" s="1610">
        <v>795</v>
      </c>
      <c r="AV310" s="1616"/>
      <c r="AW310" s="1616"/>
      <c r="AX310" s="1616"/>
    </row>
    <row r="311" spans="1:50" x14ac:dyDescent="0.25">
      <c r="A311" s="1665" t="s">
        <v>4044</v>
      </c>
      <c r="B311" s="1609">
        <v>950</v>
      </c>
      <c r="C311" s="1507">
        <v>38</v>
      </c>
      <c r="D311" s="1504">
        <v>1270</v>
      </c>
      <c r="E311" s="1504">
        <v>152.4</v>
      </c>
      <c r="F311" s="1504">
        <v>1054.0999999999999</v>
      </c>
      <c r="G311" s="1657"/>
      <c r="H311" s="1657"/>
      <c r="I311" s="1504">
        <v>28</v>
      </c>
      <c r="J311" s="1504">
        <v>1162</v>
      </c>
      <c r="K311" s="1504">
        <v>60.5</v>
      </c>
      <c r="L311" s="1657"/>
      <c r="M311" s="1657"/>
      <c r="N311" s="1658"/>
      <c r="O311" s="1609">
        <v>254</v>
      </c>
      <c r="P311" s="1504">
        <v>14.2</v>
      </c>
      <c r="Q311" s="1504">
        <v>1022.3</v>
      </c>
      <c r="R311" s="1610">
        <v>755</v>
      </c>
      <c r="S311" s="1659"/>
      <c r="T311" s="1657"/>
      <c r="U311" s="1657"/>
      <c r="V311" s="1657"/>
      <c r="W311" s="1658"/>
      <c r="X311" s="1609">
        <v>155.5</v>
      </c>
      <c r="Y311" s="1610"/>
      <c r="Z311" s="1659"/>
      <c r="AA311" s="1660"/>
      <c r="AB311" s="1661"/>
      <c r="AC311" s="1609"/>
      <c r="AD311" s="1504"/>
      <c r="AE311" s="1657"/>
      <c r="AF311" s="1660"/>
      <c r="AG311" s="1659"/>
      <c r="AH311" s="1657"/>
      <c r="AI311" s="1660"/>
      <c r="AJ311" s="1506" t="s">
        <v>1712</v>
      </c>
      <c r="AK311" s="1504" t="s">
        <v>1712</v>
      </c>
      <c r="AL311" s="1504" t="s">
        <v>1712</v>
      </c>
      <c r="AM311" s="1504" t="s">
        <v>1712</v>
      </c>
      <c r="AN311" s="1504" t="s">
        <v>1712</v>
      </c>
      <c r="AO311" s="1504" t="s">
        <v>1712</v>
      </c>
      <c r="AP311" s="1504" t="s">
        <v>1712</v>
      </c>
      <c r="AQ311" s="1504" t="s">
        <v>1712</v>
      </c>
      <c r="AR311" s="1610" t="s">
        <v>1712</v>
      </c>
      <c r="AS311" s="1609" t="s">
        <v>1712</v>
      </c>
      <c r="AT311" s="1504" t="s">
        <v>1712</v>
      </c>
      <c r="AU311" s="1610" t="s">
        <v>1712</v>
      </c>
      <c r="AV311" s="1616"/>
      <c r="AW311" s="1616"/>
      <c r="AX311" s="1616"/>
    </row>
    <row r="312" spans="1:50" x14ac:dyDescent="0.25">
      <c r="A312" s="1665" t="s">
        <v>4045</v>
      </c>
      <c r="B312" s="1609">
        <v>1000</v>
      </c>
      <c r="C312" s="1507">
        <v>40</v>
      </c>
      <c r="D312" s="1504">
        <v>1320.8</v>
      </c>
      <c r="E312" s="1504">
        <v>158.69999999999999</v>
      </c>
      <c r="F312" s="1504">
        <v>1111.2</v>
      </c>
      <c r="G312" s="1657"/>
      <c r="H312" s="1657"/>
      <c r="I312" s="1504">
        <v>32</v>
      </c>
      <c r="J312" s="1504">
        <v>1212.8</v>
      </c>
      <c r="K312" s="1504">
        <v>60.5</v>
      </c>
      <c r="L312" s="1657"/>
      <c r="M312" s="1657"/>
      <c r="N312" s="1658"/>
      <c r="O312" s="1609">
        <v>263.7</v>
      </c>
      <c r="P312" s="1504">
        <v>14.2</v>
      </c>
      <c r="Q312" s="1504">
        <v>1073.0999999999999</v>
      </c>
      <c r="R312" s="1610">
        <v>812</v>
      </c>
      <c r="S312" s="1659"/>
      <c r="T312" s="1657"/>
      <c r="U312" s="1657"/>
      <c r="V312" s="1657"/>
      <c r="W312" s="1658"/>
      <c r="X312" s="1609">
        <v>162.1</v>
      </c>
      <c r="Y312" s="1610"/>
      <c r="Z312" s="1659"/>
      <c r="AA312" s="1660"/>
      <c r="AB312" s="1661"/>
      <c r="AC312" s="1609"/>
      <c r="AD312" s="1504"/>
      <c r="AE312" s="1657"/>
      <c r="AF312" s="1660"/>
      <c r="AG312" s="1659"/>
      <c r="AH312" s="1657"/>
      <c r="AI312" s="1660"/>
      <c r="AJ312" s="1506" t="s">
        <v>1712</v>
      </c>
      <c r="AK312" s="1504" t="s">
        <v>1712</v>
      </c>
      <c r="AL312" s="1504" t="s">
        <v>1712</v>
      </c>
      <c r="AM312" s="1504" t="s">
        <v>1712</v>
      </c>
      <c r="AN312" s="1504" t="s">
        <v>1712</v>
      </c>
      <c r="AO312" s="1504" t="s">
        <v>1712</v>
      </c>
      <c r="AP312" s="1504" t="s">
        <v>1712</v>
      </c>
      <c r="AQ312" s="1504" t="s">
        <v>1712</v>
      </c>
      <c r="AR312" s="1610" t="s">
        <v>1712</v>
      </c>
      <c r="AS312" s="1609" t="s">
        <v>1712</v>
      </c>
      <c r="AT312" s="1504" t="s">
        <v>1712</v>
      </c>
      <c r="AU312" s="1610" t="s">
        <v>1712</v>
      </c>
      <c r="AV312" s="1616"/>
      <c r="AW312" s="1616"/>
      <c r="AX312" s="1616"/>
    </row>
    <row r="313" spans="1:50" x14ac:dyDescent="0.25">
      <c r="A313" s="1665" t="s">
        <v>4046</v>
      </c>
      <c r="B313" s="1609">
        <v>1050</v>
      </c>
      <c r="C313" s="1507">
        <v>42</v>
      </c>
      <c r="D313" s="1504">
        <v>1403.3</v>
      </c>
      <c r="E313" s="1504">
        <v>168.1</v>
      </c>
      <c r="F313" s="1504">
        <v>1168.4000000000001</v>
      </c>
      <c r="G313" s="1657"/>
      <c r="H313" s="1657"/>
      <c r="I313" s="1504">
        <v>28</v>
      </c>
      <c r="J313" s="1504">
        <v>1282.7</v>
      </c>
      <c r="K313" s="1504">
        <v>66.5</v>
      </c>
      <c r="L313" s="1657"/>
      <c r="M313" s="1657"/>
      <c r="N313" s="1658"/>
      <c r="O313" s="1609">
        <v>279.39999999999998</v>
      </c>
      <c r="P313" s="1504">
        <v>14.2</v>
      </c>
      <c r="Q313" s="1504">
        <v>1127.3</v>
      </c>
      <c r="R313" s="1610">
        <v>1000</v>
      </c>
      <c r="S313" s="1659"/>
      <c r="T313" s="1657"/>
      <c r="U313" s="1657"/>
      <c r="V313" s="1657"/>
      <c r="W313" s="1658"/>
      <c r="X313" s="1609">
        <v>171.4</v>
      </c>
      <c r="Y313" s="1610"/>
      <c r="Z313" s="1659"/>
      <c r="AA313" s="1660"/>
      <c r="AB313" s="1661"/>
      <c r="AC313" s="1609"/>
      <c r="AD313" s="1504"/>
      <c r="AE313" s="1657"/>
      <c r="AF313" s="1660"/>
      <c r="AG313" s="1659"/>
      <c r="AH313" s="1657"/>
      <c r="AI313" s="1660"/>
      <c r="AJ313" s="1506" t="s">
        <v>1712</v>
      </c>
      <c r="AK313" s="1504" t="s">
        <v>1712</v>
      </c>
      <c r="AL313" s="1504" t="s">
        <v>1712</v>
      </c>
      <c r="AM313" s="1504" t="s">
        <v>1712</v>
      </c>
      <c r="AN313" s="1504" t="s">
        <v>1712</v>
      </c>
      <c r="AO313" s="1504" t="s">
        <v>1712</v>
      </c>
      <c r="AP313" s="1504" t="s">
        <v>1712</v>
      </c>
      <c r="AQ313" s="1504" t="s">
        <v>1712</v>
      </c>
      <c r="AR313" s="1610" t="s">
        <v>1712</v>
      </c>
      <c r="AS313" s="1609" t="s">
        <v>1712</v>
      </c>
      <c r="AT313" s="1504" t="s">
        <v>1712</v>
      </c>
      <c r="AU313" s="1610" t="s">
        <v>1712</v>
      </c>
      <c r="AV313" s="1616"/>
      <c r="AW313" s="1616"/>
      <c r="AX313" s="1616"/>
    </row>
    <row r="314" spans="1:50" x14ac:dyDescent="0.25">
      <c r="A314" s="1665" t="s">
        <v>4047</v>
      </c>
      <c r="B314" s="1609">
        <v>1100</v>
      </c>
      <c r="C314" s="1507">
        <v>44</v>
      </c>
      <c r="D314" s="1504">
        <v>1454.1</v>
      </c>
      <c r="E314" s="1504">
        <v>173</v>
      </c>
      <c r="F314" s="1504">
        <v>1225.5</v>
      </c>
      <c r="G314" s="1657"/>
      <c r="H314" s="1657"/>
      <c r="I314" s="1504">
        <v>32</v>
      </c>
      <c r="J314" s="1504">
        <v>1333.5</v>
      </c>
      <c r="K314" s="1504">
        <v>66.5</v>
      </c>
      <c r="L314" s="1657"/>
      <c r="M314" s="1657"/>
      <c r="N314" s="1658"/>
      <c r="O314" s="1609">
        <v>289.10000000000002</v>
      </c>
      <c r="P314" s="1504">
        <v>14.2</v>
      </c>
      <c r="Q314" s="1504">
        <v>1181.0999999999999</v>
      </c>
      <c r="R314" s="1610">
        <v>1074</v>
      </c>
      <c r="S314" s="1659"/>
      <c r="T314" s="1657"/>
      <c r="U314" s="1657"/>
      <c r="V314" s="1657"/>
      <c r="W314" s="1658"/>
      <c r="X314" s="1609">
        <v>177.8</v>
      </c>
      <c r="Y314" s="1610"/>
      <c r="Z314" s="1659"/>
      <c r="AA314" s="1660"/>
      <c r="AB314" s="1661"/>
      <c r="AC314" s="1609"/>
      <c r="AD314" s="1504"/>
      <c r="AE314" s="1657"/>
      <c r="AF314" s="1660"/>
      <c r="AG314" s="1659"/>
      <c r="AH314" s="1657"/>
      <c r="AI314" s="1660"/>
      <c r="AJ314" s="1506" t="s">
        <v>1712</v>
      </c>
      <c r="AK314" s="1504" t="s">
        <v>1712</v>
      </c>
      <c r="AL314" s="1504" t="s">
        <v>1712</v>
      </c>
      <c r="AM314" s="1504" t="s">
        <v>1712</v>
      </c>
      <c r="AN314" s="1504" t="s">
        <v>1712</v>
      </c>
      <c r="AO314" s="1504" t="s">
        <v>1712</v>
      </c>
      <c r="AP314" s="1504" t="s">
        <v>1712</v>
      </c>
      <c r="AQ314" s="1504" t="s">
        <v>1712</v>
      </c>
      <c r="AR314" s="1610" t="s">
        <v>1712</v>
      </c>
      <c r="AS314" s="1609" t="s">
        <v>1712</v>
      </c>
      <c r="AT314" s="1504" t="s">
        <v>1712</v>
      </c>
      <c r="AU314" s="1610" t="s">
        <v>1712</v>
      </c>
      <c r="AV314" s="1616"/>
      <c r="AW314" s="1616"/>
      <c r="AX314" s="1616"/>
    </row>
    <row r="315" spans="1:50" x14ac:dyDescent="0.25">
      <c r="A315" s="1665" t="s">
        <v>4048</v>
      </c>
      <c r="B315" s="1609">
        <v>1150</v>
      </c>
      <c r="C315" s="1507">
        <v>46</v>
      </c>
      <c r="D315" s="1504">
        <v>1511.3</v>
      </c>
      <c r="E315" s="1504">
        <v>179.3</v>
      </c>
      <c r="F315" s="1504">
        <v>1276.3</v>
      </c>
      <c r="G315" s="1657"/>
      <c r="H315" s="1657"/>
      <c r="I315" s="1504">
        <v>32</v>
      </c>
      <c r="J315" s="1504">
        <v>1390.6</v>
      </c>
      <c r="K315" s="1504">
        <v>66.5</v>
      </c>
      <c r="L315" s="1657"/>
      <c r="M315" s="1657"/>
      <c r="N315" s="1658"/>
      <c r="O315" s="1609">
        <v>300</v>
      </c>
      <c r="P315" s="1504">
        <v>14.2</v>
      </c>
      <c r="Q315" s="1504">
        <v>1234.9000000000001</v>
      </c>
      <c r="R315" s="1610">
        <v>1186</v>
      </c>
      <c r="S315" s="1659"/>
      <c r="T315" s="1657"/>
      <c r="U315" s="1657"/>
      <c r="V315" s="1657"/>
      <c r="W315" s="1658"/>
      <c r="X315" s="1609">
        <v>185.7</v>
      </c>
      <c r="Y315" s="1610"/>
      <c r="Z315" s="1659"/>
      <c r="AA315" s="1660"/>
      <c r="AB315" s="1661"/>
      <c r="AC315" s="1609"/>
      <c r="AD315" s="1504"/>
      <c r="AE315" s="1657"/>
      <c r="AF315" s="1660"/>
      <c r="AG315" s="1659"/>
      <c r="AH315" s="1657"/>
      <c r="AI315" s="1660"/>
      <c r="AJ315" s="1506" t="s">
        <v>1712</v>
      </c>
      <c r="AK315" s="1504" t="s">
        <v>1712</v>
      </c>
      <c r="AL315" s="1504" t="s">
        <v>1712</v>
      </c>
      <c r="AM315" s="1504" t="s">
        <v>1712</v>
      </c>
      <c r="AN315" s="1504" t="s">
        <v>1712</v>
      </c>
      <c r="AO315" s="1504" t="s">
        <v>1712</v>
      </c>
      <c r="AP315" s="1504" t="s">
        <v>1712</v>
      </c>
      <c r="AQ315" s="1504" t="s">
        <v>1712</v>
      </c>
      <c r="AR315" s="1610" t="s">
        <v>1712</v>
      </c>
      <c r="AS315" s="1609" t="s">
        <v>1712</v>
      </c>
      <c r="AT315" s="1504" t="s">
        <v>1712</v>
      </c>
      <c r="AU315" s="1610" t="s">
        <v>1712</v>
      </c>
      <c r="AV315" s="1616"/>
      <c r="AW315" s="1616"/>
      <c r="AX315" s="1616"/>
    </row>
    <row r="316" spans="1:50" x14ac:dyDescent="0.25">
      <c r="A316" s="1665" t="s">
        <v>4049</v>
      </c>
      <c r="B316" s="1609">
        <v>1200</v>
      </c>
      <c r="C316" s="1507">
        <v>48</v>
      </c>
      <c r="D316" s="1504">
        <v>1593.8</v>
      </c>
      <c r="E316" s="1504">
        <v>189</v>
      </c>
      <c r="F316" s="1504">
        <v>1333.5</v>
      </c>
      <c r="G316" s="1657"/>
      <c r="H316" s="1657"/>
      <c r="I316" s="1504">
        <v>32</v>
      </c>
      <c r="J316" s="1504">
        <v>1460.5</v>
      </c>
      <c r="K316" s="1504">
        <v>73.2</v>
      </c>
      <c r="L316" s="1657"/>
      <c r="M316" s="1657"/>
      <c r="N316" s="1658"/>
      <c r="O316" s="1609">
        <v>316</v>
      </c>
      <c r="P316" s="1504">
        <v>14.2</v>
      </c>
      <c r="Q316" s="1504">
        <v>1289</v>
      </c>
      <c r="R316" s="1610">
        <v>1417</v>
      </c>
      <c r="S316" s="1659"/>
      <c r="T316" s="1657"/>
      <c r="U316" s="1657"/>
      <c r="V316" s="1657"/>
      <c r="W316" s="1658"/>
      <c r="X316" s="1609">
        <v>195.3</v>
      </c>
      <c r="Y316" s="1610"/>
      <c r="Z316" s="1659"/>
      <c r="AA316" s="1660"/>
      <c r="AB316" s="1661"/>
      <c r="AC316" s="1609"/>
      <c r="AD316" s="1504"/>
      <c r="AE316" s="1657"/>
      <c r="AF316" s="1660"/>
      <c r="AG316" s="1659"/>
      <c r="AH316" s="1657"/>
      <c r="AI316" s="1660"/>
      <c r="AJ316" s="1506" t="s">
        <v>1712</v>
      </c>
      <c r="AK316" s="1504" t="s">
        <v>1712</v>
      </c>
      <c r="AL316" s="1504" t="s">
        <v>1712</v>
      </c>
      <c r="AM316" s="1504" t="s">
        <v>1712</v>
      </c>
      <c r="AN316" s="1504" t="s">
        <v>1712</v>
      </c>
      <c r="AO316" s="1504" t="s">
        <v>1712</v>
      </c>
      <c r="AP316" s="1504" t="s">
        <v>1712</v>
      </c>
      <c r="AQ316" s="1504" t="s">
        <v>1712</v>
      </c>
      <c r="AR316" s="1610" t="s">
        <v>1712</v>
      </c>
      <c r="AS316" s="1609" t="s">
        <v>1712</v>
      </c>
      <c r="AT316" s="1504" t="s">
        <v>1712</v>
      </c>
      <c r="AU316" s="1610" t="s">
        <v>1712</v>
      </c>
      <c r="AV316" s="1616"/>
      <c r="AW316" s="1616"/>
      <c r="AX316" s="1616"/>
    </row>
    <row r="317" spans="1:50" x14ac:dyDescent="0.25">
      <c r="A317" s="1665" t="s">
        <v>4050</v>
      </c>
      <c r="B317" s="1609">
        <v>1250</v>
      </c>
      <c r="C317" s="1507">
        <v>50</v>
      </c>
      <c r="D317" s="1504">
        <v>1670</v>
      </c>
      <c r="E317" s="1504">
        <v>196.8</v>
      </c>
      <c r="F317" s="1504">
        <v>1384.3</v>
      </c>
      <c r="G317" s="1657"/>
      <c r="H317" s="1657"/>
      <c r="I317" s="1504">
        <v>28</v>
      </c>
      <c r="J317" s="1504">
        <v>1524</v>
      </c>
      <c r="K317" s="1504">
        <v>79.2</v>
      </c>
      <c r="L317" s="1657"/>
      <c r="M317" s="1657"/>
      <c r="N317" s="1658"/>
      <c r="O317" s="1609">
        <v>328.7</v>
      </c>
      <c r="P317" s="1504">
        <v>14.2</v>
      </c>
      <c r="Q317" s="1504">
        <v>1343.2</v>
      </c>
      <c r="R317" s="1610">
        <v>1596</v>
      </c>
      <c r="S317" s="1659"/>
      <c r="T317" s="1657"/>
      <c r="U317" s="1657"/>
      <c r="V317" s="1657"/>
      <c r="W317" s="1658"/>
      <c r="X317" s="1609">
        <v>203.2</v>
      </c>
      <c r="Y317" s="1610"/>
      <c r="Z317" s="1659"/>
      <c r="AA317" s="1660"/>
      <c r="AB317" s="1661"/>
      <c r="AC317" s="1609"/>
      <c r="AD317" s="1504"/>
      <c r="AE317" s="1657"/>
      <c r="AF317" s="1660"/>
      <c r="AG317" s="1659"/>
      <c r="AH317" s="1657"/>
      <c r="AI317" s="1660"/>
      <c r="AJ317" s="1506" t="s">
        <v>1712</v>
      </c>
      <c r="AK317" s="1504" t="s">
        <v>1712</v>
      </c>
      <c r="AL317" s="1504" t="s">
        <v>1712</v>
      </c>
      <c r="AM317" s="1504" t="s">
        <v>1712</v>
      </c>
      <c r="AN317" s="1504" t="s">
        <v>1712</v>
      </c>
      <c r="AO317" s="1504" t="s">
        <v>1712</v>
      </c>
      <c r="AP317" s="1504" t="s">
        <v>1712</v>
      </c>
      <c r="AQ317" s="1504" t="s">
        <v>1712</v>
      </c>
      <c r="AR317" s="1610" t="s">
        <v>1712</v>
      </c>
      <c r="AS317" s="1609" t="s">
        <v>1712</v>
      </c>
      <c r="AT317" s="1504" t="s">
        <v>1712</v>
      </c>
      <c r="AU317" s="1610" t="s">
        <v>1712</v>
      </c>
      <c r="AV317" s="1616"/>
      <c r="AW317" s="1616"/>
      <c r="AX317" s="1616"/>
    </row>
    <row r="318" spans="1:50" x14ac:dyDescent="0.25">
      <c r="A318" s="1665" t="s">
        <v>4051</v>
      </c>
      <c r="B318" s="1609">
        <v>1300</v>
      </c>
      <c r="C318" s="1507">
        <v>52</v>
      </c>
      <c r="D318" s="1504">
        <v>1720.8</v>
      </c>
      <c r="E318" s="1504">
        <v>203.2</v>
      </c>
      <c r="F318" s="1504">
        <v>1435.1</v>
      </c>
      <c r="G318" s="1657"/>
      <c r="H318" s="1657"/>
      <c r="I318" s="1504">
        <v>32</v>
      </c>
      <c r="J318" s="1504">
        <v>1574.8</v>
      </c>
      <c r="K318" s="1504">
        <v>79.2</v>
      </c>
      <c r="L318" s="1657"/>
      <c r="M318" s="1657"/>
      <c r="N318" s="1658"/>
      <c r="O318" s="1609">
        <v>336.5</v>
      </c>
      <c r="P318" s="1504">
        <v>14.2</v>
      </c>
      <c r="Q318" s="1504">
        <v>1394</v>
      </c>
      <c r="R318" s="1610">
        <v>1743</v>
      </c>
      <c r="S318" s="1659"/>
      <c r="T318" s="1657"/>
      <c r="U318" s="1657"/>
      <c r="V318" s="1657"/>
      <c r="W318" s="1658"/>
      <c r="X318" s="1609">
        <v>209.6</v>
      </c>
      <c r="Y318" s="1610"/>
      <c r="Z318" s="1659"/>
      <c r="AA318" s="1660"/>
      <c r="AB318" s="1661"/>
      <c r="AC318" s="1609"/>
      <c r="AD318" s="1504"/>
      <c r="AE318" s="1657"/>
      <c r="AF318" s="1660"/>
      <c r="AG318" s="1659"/>
      <c r="AH318" s="1657"/>
      <c r="AI318" s="1660"/>
      <c r="AJ318" s="1506" t="s">
        <v>1712</v>
      </c>
      <c r="AK318" s="1504" t="s">
        <v>1712</v>
      </c>
      <c r="AL318" s="1504" t="s">
        <v>1712</v>
      </c>
      <c r="AM318" s="1504" t="s">
        <v>1712</v>
      </c>
      <c r="AN318" s="1504" t="s">
        <v>1712</v>
      </c>
      <c r="AO318" s="1504" t="s">
        <v>1712</v>
      </c>
      <c r="AP318" s="1504" t="s">
        <v>1712</v>
      </c>
      <c r="AQ318" s="1504" t="s">
        <v>1712</v>
      </c>
      <c r="AR318" s="1610" t="s">
        <v>1712</v>
      </c>
      <c r="AS318" s="1609" t="s">
        <v>1712</v>
      </c>
      <c r="AT318" s="1504" t="s">
        <v>1712</v>
      </c>
      <c r="AU318" s="1610" t="s">
        <v>1712</v>
      </c>
      <c r="AV318" s="1616"/>
      <c r="AW318" s="1616"/>
      <c r="AX318" s="1616"/>
    </row>
    <row r="319" spans="1:50" x14ac:dyDescent="0.25">
      <c r="A319" s="1665" t="s">
        <v>4052</v>
      </c>
      <c r="B319" s="1609">
        <v>1350</v>
      </c>
      <c r="C319" s="1507">
        <v>54</v>
      </c>
      <c r="D319" s="1504">
        <v>1778</v>
      </c>
      <c r="E319" s="1504">
        <v>209.5</v>
      </c>
      <c r="F319" s="1504">
        <v>1492.2</v>
      </c>
      <c r="G319" s="1657"/>
      <c r="H319" s="1657"/>
      <c r="I319" s="1504">
        <v>32</v>
      </c>
      <c r="J319" s="1504">
        <v>1634.9</v>
      </c>
      <c r="K319" s="1504">
        <v>79.2</v>
      </c>
      <c r="L319" s="1657"/>
      <c r="M319" s="1657"/>
      <c r="N319" s="1658"/>
      <c r="O319" s="1609">
        <v>349.2</v>
      </c>
      <c r="P319" s="1504">
        <v>14.2</v>
      </c>
      <c r="Q319" s="1504">
        <v>1447.8</v>
      </c>
      <c r="R319" s="1610">
        <v>1936</v>
      </c>
      <c r="S319" s="1659"/>
      <c r="T319" s="1657"/>
      <c r="U319" s="1657"/>
      <c r="V319" s="1657"/>
      <c r="W319" s="1658"/>
      <c r="X319" s="1609">
        <v>217.4</v>
      </c>
      <c r="Y319" s="1610"/>
      <c r="Z319" s="1659"/>
      <c r="AA319" s="1660"/>
      <c r="AB319" s="1661"/>
      <c r="AC319" s="1609"/>
      <c r="AD319" s="1504"/>
      <c r="AE319" s="1657"/>
      <c r="AF319" s="1660"/>
      <c r="AG319" s="1659"/>
      <c r="AH319" s="1657"/>
      <c r="AI319" s="1660"/>
      <c r="AJ319" s="1506" t="s">
        <v>1712</v>
      </c>
      <c r="AK319" s="1504" t="s">
        <v>1712</v>
      </c>
      <c r="AL319" s="1504" t="s">
        <v>1712</v>
      </c>
      <c r="AM319" s="1504" t="s">
        <v>1712</v>
      </c>
      <c r="AN319" s="1504" t="s">
        <v>1712</v>
      </c>
      <c r="AO319" s="1504" t="s">
        <v>1712</v>
      </c>
      <c r="AP319" s="1504" t="s">
        <v>1712</v>
      </c>
      <c r="AQ319" s="1504" t="s">
        <v>1712</v>
      </c>
      <c r="AR319" s="1610" t="s">
        <v>1712</v>
      </c>
      <c r="AS319" s="1609" t="s">
        <v>1712</v>
      </c>
      <c r="AT319" s="1504" t="s">
        <v>1712</v>
      </c>
      <c r="AU319" s="1610" t="s">
        <v>1712</v>
      </c>
      <c r="AV319" s="1616"/>
      <c r="AW319" s="1616"/>
      <c r="AX319" s="1616"/>
    </row>
    <row r="320" spans="1:50" x14ac:dyDescent="0.25">
      <c r="A320" s="1665" t="s">
        <v>4053</v>
      </c>
      <c r="B320" s="1609">
        <v>1400</v>
      </c>
      <c r="C320" s="1507">
        <v>56</v>
      </c>
      <c r="D320" s="1504">
        <v>1854.2</v>
      </c>
      <c r="E320" s="1504">
        <v>217.4</v>
      </c>
      <c r="F320" s="1504">
        <v>1543</v>
      </c>
      <c r="G320" s="1657"/>
      <c r="H320" s="1657"/>
      <c r="I320" s="1504">
        <v>32</v>
      </c>
      <c r="J320" s="1504">
        <v>1695.4</v>
      </c>
      <c r="K320" s="1504">
        <v>85.9</v>
      </c>
      <c r="L320" s="1657"/>
      <c r="M320" s="1657"/>
      <c r="N320" s="1658"/>
      <c r="O320" s="1609">
        <v>361.9</v>
      </c>
      <c r="P320" s="1504">
        <v>15.7</v>
      </c>
      <c r="Q320" s="1504">
        <v>1501.6</v>
      </c>
      <c r="R320" s="1610">
        <v>2188</v>
      </c>
      <c r="S320" s="1659"/>
      <c r="T320" s="1657"/>
      <c r="U320" s="1657"/>
      <c r="V320" s="1657"/>
      <c r="W320" s="1658"/>
      <c r="X320" s="1609">
        <v>225.6</v>
      </c>
      <c r="Y320" s="1610"/>
      <c r="Z320" s="1659"/>
      <c r="AA320" s="1660"/>
      <c r="AB320" s="1661"/>
      <c r="AC320" s="1609"/>
      <c r="AD320" s="1504"/>
      <c r="AE320" s="1657"/>
      <c r="AF320" s="1660"/>
      <c r="AG320" s="1659"/>
      <c r="AH320" s="1657"/>
      <c r="AI320" s="1660"/>
      <c r="AJ320" s="1506" t="s">
        <v>1712</v>
      </c>
      <c r="AK320" s="1504" t="s">
        <v>1712</v>
      </c>
      <c r="AL320" s="1504" t="s">
        <v>1712</v>
      </c>
      <c r="AM320" s="1504" t="s">
        <v>1712</v>
      </c>
      <c r="AN320" s="1504" t="s">
        <v>1712</v>
      </c>
      <c r="AO320" s="1504" t="s">
        <v>1712</v>
      </c>
      <c r="AP320" s="1504" t="s">
        <v>1712</v>
      </c>
      <c r="AQ320" s="1504" t="s">
        <v>1712</v>
      </c>
      <c r="AR320" s="1610" t="s">
        <v>1712</v>
      </c>
      <c r="AS320" s="1609" t="s">
        <v>1712</v>
      </c>
      <c r="AT320" s="1504" t="s">
        <v>1712</v>
      </c>
      <c r="AU320" s="1610" t="s">
        <v>1712</v>
      </c>
      <c r="AV320" s="1616"/>
      <c r="AW320" s="1616"/>
      <c r="AX320" s="1616"/>
    </row>
    <row r="321" spans="1:50" x14ac:dyDescent="0.25">
      <c r="A321" s="1665" t="s">
        <v>4054</v>
      </c>
      <c r="B321" s="1609">
        <v>1450</v>
      </c>
      <c r="C321" s="1507">
        <v>58</v>
      </c>
      <c r="D321" s="1504">
        <v>1905</v>
      </c>
      <c r="E321" s="1504">
        <v>222.2</v>
      </c>
      <c r="F321" s="1504">
        <v>1600.2</v>
      </c>
      <c r="G321" s="1657"/>
      <c r="H321" s="1657"/>
      <c r="I321" s="1504">
        <v>32</v>
      </c>
      <c r="J321" s="1504">
        <v>1746.2</v>
      </c>
      <c r="K321" s="1504">
        <v>85.9</v>
      </c>
      <c r="L321" s="1657"/>
      <c r="M321" s="1657"/>
      <c r="N321" s="1658"/>
      <c r="O321" s="1609">
        <v>369.8</v>
      </c>
      <c r="P321" s="1504">
        <v>15.7</v>
      </c>
      <c r="Q321" s="1504">
        <v>1552.4</v>
      </c>
      <c r="R321" s="1610">
        <v>2306</v>
      </c>
      <c r="S321" s="1659"/>
      <c r="T321" s="1657"/>
      <c r="U321" s="1657"/>
      <c r="V321" s="1657"/>
      <c r="W321" s="1658"/>
      <c r="X321" s="1609">
        <v>231.6</v>
      </c>
      <c r="Y321" s="1610"/>
      <c r="Z321" s="1659"/>
      <c r="AA321" s="1660"/>
      <c r="AB321" s="1661"/>
      <c r="AC321" s="1609"/>
      <c r="AD321" s="1504"/>
      <c r="AE321" s="1657"/>
      <c r="AF321" s="1660"/>
      <c r="AG321" s="1659"/>
      <c r="AH321" s="1657"/>
      <c r="AI321" s="1660"/>
      <c r="AJ321" s="1506" t="s">
        <v>1712</v>
      </c>
      <c r="AK321" s="1504" t="s">
        <v>1712</v>
      </c>
      <c r="AL321" s="1504" t="s">
        <v>1712</v>
      </c>
      <c r="AM321" s="1504" t="s">
        <v>1712</v>
      </c>
      <c r="AN321" s="1504" t="s">
        <v>1712</v>
      </c>
      <c r="AO321" s="1504" t="s">
        <v>1712</v>
      </c>
      <c r="AP321" s="1504" t="s">
        <v>1712</v>
      </c>
      <c r="AQ321" s="1504" t="s">
        <v>1712</v>
      </c>
      <c r="AR321" s="1610" t="s">
        <v>1712</v>
      </c>
      <c r="AS321" s="1609" t="s">
        <v>1712</v>
      </c>
      <c r="AT321" s="1504" t="s">
        <v>1712</v>
      </c>
      <c r="AU321" s="1610" t="s">
        <v>1712</v>
      </c>
      <c r="AV321" s="1616"/>
      <c r="AW321" s="1616"/>
      <c r="AX321" s="1616"/>
    </row>
    <row r="322" spans="1:50" ht="13.2" thickBot="1" x14ac:dyDescent="0.3">
      <c r="A322" s="1666" t="s">
        <v>4055</v>
      </c>
      <c r="B322" s="168">
        <v>1500</v>
      </c>
      <c r="C322" s="233">
        <v>60</v>
      </c>
      <c r="D322" s="166">
        <v>1993.9</v>
      </c>
      <c r="E322" s="166">
        <v>233.4</v>
      </c>
      <c r="F322" s="166">
        <v>1657.3</v>
      </c>
      <c r="G322" s="234"/>
      <c r="H322" s="234"/>
      <c r="I322" s="166">
        <v>28</v>
      </c>
      <c r="J322" s="166">
        <v>1822.4</v>
      </c>
      <c r="K322" s="166">
        <v>91.9</v>
      </c>
      <c r="L322" s="234"/>
      <c r="M322" s="234"/>
      <c r="N322" s="235"/>
      <c r="O322" s="168">
        <v>388.9</v>
      </c>
      <c r="P322" s="166">
        <v>17.5</v>
      </c>
      <c r="Q322" s="166">
        <v>1609.9</v>
      </c>
      <c r="R322" s="169">
        <v>2746</v>
      </c>
      <c r="S322" s="236"/>
      <c r="T322" s="234"/>
      <c r="U322" s="234"/>
      <c r="V322" s="234"/>
      <c r="W322" s="235"/>
      <c r="X322" s="168">
        <v>242.8</v>
      </c>
      <c r="Y322" s="169"/>
      <c r="Z322" s="236"/>
      <c r="AA322" s="237"/>
      <c r="AB322" s="238"/>
      <c r="AC322" s="168"/>
      <c r="AD322" s="166"/>
      <c r="AE322" s="234"/>
      <c r="AF322" s="237"/>
      <c r="AG322" s="236"/>
      <c r="AH322" s="234"/>
      <c r="AI322" s="237"/>
      <c r="AJ322" s="171" t="s">
        <v>1712</v>
      </c>
      <c r="AK322" s="166" t="s">
        <v>1712</v>
      </c>
      <c r="AL322" s="166" t="s">
        <v>1712</v>
      </c>
      <c r="AM322" s="166" t="s">
        <v>1712</v>
      </c>
      <c r="AN322" s="166" t="s">
        <v>1712</v>
      </c>
      <c r="AO322" s="166" t="s">
        <v>1712</v>
      </c>
      <c r="AP322" s="166" t="s">
        <v>1712</v>
      </c>
      <c r="AQ322" s="166" t="s">
        <v>1712</v>
      </c>
      <c r="AR322" s="169" t="s">
        <v>1712</v>
      </c>
      <c r="AS322" s="168" t="s">
        <v>1712</v>
      </c>
      <c r="AT322" s="166" t="s">
        <v>1712</v>
      </c>
      <c r="AU322" s="169" t="s">
        <v>1712</v>
      </c>
      <c r="AV322" s="593"/>
      <c r="AW322" s="593"/>
      <c r="AX322" s="593"/>
    </row>
    <row r="323" spans="1:50" ht="13.2" hidden="1" outlineLevel="1" thickBot="1" x14ac:dyDescent="0.3">
      <c r="A323" s="182"/>
      <c r="B323" s="142"/>
      <c r="C323" s="143"/>
      <c r="D323" s="142"/>
      <c r="E323" s="142"/>
      <c r="F323" s="142"/>
      <c r="G323" s="142"/>
      <c r="H323" s="142"/>
      <c r="I323" s="142"/>
      <c r="J323" s="142"/>
      <c r="K323" s="142"/>
      <c r="L323" s="142"/>
      <c r="M323" s="142"/>
      <c r="N323" s="142"/>
      <c r="O323" s="142"/>
      <c r="P323" s="142"/>
      <c r="Q323" s="142"/>
      <c r="R323" s="142"/>
      <c r="S323" s="142"/>
      <c r="T323" s="142"/>
      <c r="U323" s="142"/>
      <c r="V323" s="142"/>
      <c r="W323" s="142"/>
      <c r="X323" s="142"/>
      <c r="Y323" s="142"/>
      <c r="Z323" s="142"/>
      <c r="AA323" s="142"/>
      <c r="AB323" s="183"/>
      <c r="AC323" s="142"/>
      <c r="AD323" s="142"/>
      <c r="AE323" s="142"/>
      <c r="AF323" s="142"/>
      <c r="AG323" s="142"/>
      <c r="AH323" s="142"/>
      <c r="AI323" s="144"/>
      <c r="AV323" s="589"/>
      <c r="AW323" s="589"/>
      <c r="AX323" s="589"/>
    </row>
    <row r="324" spans="1:50" ht="13.2" hidden="1" outlineLevel="1" thickBot="1" x14ac:dyDescent="0.3">
      <c r="A324" s="141"/>
      <c r="B324" s="142"/>
      <c r="C324" s="143"/>
      <c r="D324" s="142"/>
      <c r="E324" s="142"/>
      <c r="F324" s="142"/>
      <c r="G324" s="142"/>
      <c r="H324" s="142"/>
      <c r="I324" s="142"/>
      <c r="J324" s="142"/>
      <c r="K324" s="142"/>
      <c r="L324" s="142"/>
      <c r="M324" s="142"/>
      <c r="N324" s="142"/>
      <c r="O324" s="142"/>
      <c r="P324" s="142"/>
      <c r="Q324" s="142"/>
      <c r="R324" s="142"/>
      <c r="S324" s="142"/>
      <c r="T324" s="142"/>
      <c r="U324" s="142"/>
      <c r="V324" s="142"/>
      <c r="W324" s="142"/>
      <c r="X324" s="142"/>
      <c r="Y324" s="142"/>
      <c r="Z324" s="142"/>
      <c r="AA324" s="142"/>
      <c r="AB324" s="142"/>
      <c r="AC324" s="142"/>
      <c r="AD324" s="142"/>
      <c r="AE324" s="142"/>
      <c r="AF324" s="142"/>
      <c r="AG324" s="142"/>
      <c r="AH324" s="142"/>
      <c r="AI324" s="144"/>
      <c r="AV324" s="589"/>
      <c r="AW324" s="589"/>
      <c r="AX324" s="589"/>
    </row>
    <row r="325" spans="1:50" ht="13.2" hidden="1" outlineLevel="1" thickBot="1" x14ac:dyDescent="0.3">
      <c r="A325" s="141"/>
      <c r="B325" s="142"/>
      <c r="C325" s="143"/>
      <c r="D325" s="142"/>
      <c r="E325" s="142"/>
      <c r="F325" s="142"/>
      <c r="G325" s="142"/>
      <c r="H325" s="142"/>
      <c r="I325" s="142"/>
      <c r="J325" s="142"/>
      <c r="K325" s="142"/>
      <c r="L325" s="142"/>
      <c r="M325" s="142"/>
      <c r="N325" s="142"/>
      <c r="O325" s="142"/>
      <c r="P325" s="142"/>
      <c r="Q325" s="142"/>
      <c r="R325" s="142"/>
      <c r="S325" s="142"/>
      <c r="T325" s="142"/>
      <c r="U325" s="142"/>
      <c r="V325" s="142"/>
      <c r="W325" s="142"/>
      <c r="X325" s="142"/>
      <c r="Y325" s="142"/>
      <c r="Z325" s="142"/>
      <c r="AA325" s="142"/>
      <c r="AB325" s="142"/>
      <c r="AC325" s="142"/>
      <c r="AD325" s="142"/>
      <c r="AE325" s="142"/>
      <c r="AF325" s="142"/>
      <c r="AG325" s="142"/>
      <c r="AH325" s="142"/>
      <c r="AI325" s="144"/>
      <c r="AV325" s="589"/>
      <c r="AW325" s="589"/>
      <c r="AX325" s="589"/>
    </row>
    <row r="326" spans="1:50" ht="13.2" hidden="1" outlineLevel="1" thickBot="1" x14ac:dyDescent="0.3">
      <c r="A326" s="141"/>
      <c r="B326" s="142"/>
      <c r="C326" s="143"/>
      <c r="D326" s="142"/>
      <c r="E326" s="142"/>
      <c r="F326" s="142"/>
      <c r="G326" s="142"/>
      <c r="H326" s="142"/>
      <c r="I326" s="142"/>
      <c r="J326" s="142"/>
      <c r="K326" s="142"/>
      <c r="L326" s="142"/>
      <c r="M326" s="142"/>
      <c r="N326" s="142"/>
      <c r="O326" s="142"/>
      <c r="P326" s="142"/>
      <c r="Q326" s="142"/>
      <c r="R326" s="142"/>
      <c r="S326" s="142"/>
      <c r="T326" s="142"/>
      <c r="U326" s="142"/>
      <c r="V326" s="142"/>
      <c r="W326" s="142"/>
      <c r="X326" s="142"/>
      <c r="Y326" s="142"/>
      <c r="Z326" s="142"/>
      <c r="AA326" s="142"/>
      <c r="AB326" s="142"/>
      <c r="AC326" s="142"/>
      <c r="AD326" s="142"/>
      <c r="AE326" s="142"/>
      <c r="AF326" s="142"/>
      <c r="AG326" s="142"/>
      <c r="AH326" s="142"/>
      <c r="AI326" s="144"/>
      <c r="AV326" s="589"/>
      <c r="AW326" s="589"/>
      <c r="AX326" s="589"/>
    </row>
    <row r="327" spans="1:50" ht="13.2" hidden="1" outlineLevel="1" thickBot="1" x14ac:dyDescent="0.3">
      <c r="A327" s="141"/>
      <c r="B327" s="142"/>
      <c r="C327" s="143"/>
      <c r="D327" s="142"/>
      <c r="E327" s="142"/>
      <c r="F327" s="142"/>
      <c r="G327" s="142"/>
      <c r="H327" s="142"/>
      <c r="I327" s="142"/>
      <c r="J327" s="142"/>
      <c r="K327" s="142"/>
      <c r="L327" s="142"/>
      <c r="M327" s="142"/>
      <c r="N327" s="142"/>
      <c r="O327" s="142"/>
      <c r="P327" s="142"/>
      <c r="Q327" s="142"/>
      <c r="R327" s="142"/>
      <c r="S327" s="142"/>
      <c r="T327" s="142"/>
      <c r="U327" s="142"/>
      <c r="V327" s="142"/>
      <c r="W327" s="142"/>
      <c r="X327" s="142"/>
      <c r="Y327" s="142"/>
      <c r="Z327" s="142"/>
      <c r="AA327" s="142"/>
      <c r="AB327" s="142"/>
      <c r="AC327" s="142"/>
      <c r="AD327" s="142"/>
      <c r="AE327" s="142"/>
      <c r="AF327" s="142"/>
      <c r="AG327" s="142"/>
      <c r="AH327" s="142"/>
      <c r="AI327" s="144"/>
      <c r="AV327" s="589"/>
      <c r="AW327" s="589"/>
      <c r="AX327" s="589"/>
    </row>
    <row r="328" spans="1:50" ht="13.2" hidden="1" outlineLevel="1" thickBot="1" x14ac:dyDescent="0.3">
      <c r="A328" s="141"/>
      <c r="B328" s="142"/>
      <c r="C328" s="143"/>
      <c r="D328" s="142"/>
      <c r="E328" s="142"/>
      <c r="F328" s="142"/>
      <c r="G328" s="142"/>
      <c r="H328" s="142"/>
      <c r="I328" s="142"/>
      <c r="J328" s="142"/>
      <c r="K328" s="142"/>
      <c r="L328" s="142"/>
      <c r="M328" s="142"/>
      <c r="N328" s="142"/>
      <c r="O328" s="142"/>
      <c r="P328" s="142"/>
      <c r="Q328" s="142"/>
      <c r="R328" s="142"/>
      <c r="S328" s="142"/>
      <c r="T328" s="142"/>
      <c r="U328" s="142"/>
      <c r="V328" s="142"/>
      <c r="W328" s="142"/>
      <c r="X328" s="142"/>
      <c r="Y328" s="142"/>
      <c r="Z328" s="142"/>
      <c r="AA328" s="142"/>
      <c r="AB328" s="142"/>
      <c r="AC328" s="142"/>
      <c r="AD328" s="142"/>
      <c r="AE328" s="142"/>
      <c r="AF328" s="142"/>
      <c r="AG328" s="142"/>
      <c r="AH328" s="142"/>
      <c r="AI328" s="144"/>
      <c r="AV328" s="589"/>
      <c r="AW328" s="589"/>
      <c r="AX328" s="589"/>
    </row>
    <row r="329" spans="1:50" ht="13.2" hidden="1" outlineLevel="1" thickBot="1" x14ac:dyDescent="0.3">
      <c r="A329" s="141"/>
      <c r="B329" s="142"/>
      <c r="C329" s="143"/>
      <c r="D329" s="142"/>
      <c r="E329" s="142"/>
      <c r="F329" s="142"/>
      <c r="G329" s="142"/>
      <c r="H329" s="142"/>
      <c r="I329" s="142"/>
      <c r="J329" s="142"/>
      <c r="K329" s="142"/>
      <c r="L329" s="142"/>
      <c r="M329" s="142"/>
      <c r="N329" s="142"/>
      <c r="O329" s="142"/>
      <c r="P329" s="142"/>
      <c r="Q329" s="142"/>
      <c r="R329" s="142"/>
      <c r="S329" s="142"/>
      <c r="T329" s="142"/>
      <c r="U329" s="142"/>
      <c r="V329" s="142"/>
      <c r="W329" s="142"/>
      <c r="X329" s="142"/>
      <c r="Y329" s="142"/>
      <c r="Z329" s="142"/>
      <c r="AA329" s="142"/>
      <c r="AB329" s="142"/>
      <c r="AC329" s="142"/>
      <c r="AD329" s="142"/>
      <c r="AE329" s="142"/>
      <c r="AF329" s="142"/>
      <c r="AG329" s="142"/>
      <c r="AH329" s="142"/>
      <c r="AI329" s="144"/>
      <c r="AV329" s="589"/>
      <c r="AW329" s="589"/>
      <c r="AX329" s="589"/>
    </row>
    <row r="330" spans="1:50" ht="13.2" hidden="1" outlineLevel="1" thickBot="1" x14ac:dyDescent="0.3">
      <c r="A330" s="141"/>
      <c r="B330" s="142"/>
      <c r="C330" s="143"/>
      <c r="D330" s="142"/>
      <c r="E330" s="142"/>
      <c r="F330" s="142"/>
      <c r="G330" s="142"/>
      <c r="H330" s="142"/>
      <c r="I330" s="142"/>
      <c r="J330" s="142"/>
      <c r="K330" s="142"/>
      <c r="L330" s="142"/>
      <c r="M330" s="142"/>
      <c r="N330" s="142"/>
      <c r="O330" s="142"/>
      <c r="P330" s="142"/>
      <c r="Q330" s="142"/>
      <c r="R330" s="142"/>
      <c r="S330" s="142"/>
      <c r="T330" s="142"/>
      <c r="U330" s="142"/>
      <c r="V330" s="142"/>
      <c r="W330" s="142"/>
      <c r="X330" s="142"/>
      <c r="Y330" s="142"/>
      <c r="Z330" s="142"/>
      <c r="AA330" s="142"/>
      <c r="AB330" s="142"/>
      <c r="AC330" s="142"/>
      <c r="AD330" s="142"/>
      <c r="AE330" s="142"/>
      <c r="AF330" s="142"/>
      <c r="AG330" s="142"/>
      <c r="AH330" s="142"/>
      <c r="AI330" s="144"/>
      <c r="AV330" s="589"/>
      <c r="AW330" s="589"/>
      <c r="AX330" s="589"/>
    </row>
    <row r="331" spans="1:50" ht="13.2" hidden="1" outlineLevel="1" thickBot="1" x14ac:dyDescent="0.3">
      <c r="A331" s="141"/>
      <c r="B331" s="142"/>
      <c r="C331" s="143"/>
      <c r="D331" s="142"/>
      <c r="E331" s="142"/>
      <c r="F331" s="142"/>
      <c r="G331" s="142"/>
      <c r="H331" s="142"/>
      <c r="I331" s="142"/>
      <c r="J331" s="142"/>
      <c r="K331" s="142"/>
      <c r="L331" s="142"/>
      <c r="M331" s="142"/>
      <c r="N331" s="142"/>
      <c r="O331" s="142"/>
      <c r="P331" s="142"/>
      <c r="Q331" s="142"/>
      <c r="R331" s="142"/>
      <c r="S331" s="142"/>
      <c r="T331" s="142"/>
      <c r="U331" s="142"/>
      <c r="V331" s="142"/>
      <c r="W331" s="142"/>
      <c r="X331" s="142"/>
      <c r="Y331" s="142"/>
      <c r="Z331" s="142"/>
      <c r="AA331" s="142"/>
      <c r="AB331" s="142"/>
      <c r="AC331" s="142"/>
      <c r="AD331" s="142"/>
      <c r="AE331" s="142"/>
      <c r="AF331" s="142"/>
      <c r="AG331" s="142"/>
      <c r="AH331" s="142"/>
      <c r="AI331" s="144"/>
      <c r="AV331" s="589"/>
      <c r="AW331" s="589"/>
      <c r="AX331" s="589"/>
    </row>
    <row r="332" spans="1:50" ht="13.2" hidden="1" outlineLevel="1" thickBot="1" x14ac:dyDescent="0.3">
      <c r="A332" s="141"/>
      <c r="B332" s="142"/>
      <c r="C332" s="143"/>
      <c r="D332" s="142"/>
      <c r="E332" s="142"/>
      <c r="F332" s="142"/>
      <c r="G332" s="142"/>
      <c r="H332" s="142"/>
      <c r="I332" s="142"/>
      <c r="J332" s="142"/>
      <c r="K332" s="142"/>
      <c r="L332" s="142"/>
      <c r="M332" s="142"/>
      <c r="N332" s="142"/>
      <c r="O332" s="142"/>
      <c r="P332" s="142"/>
      <c r="Q332" s="142"/>
      <c r="R332" s="142"/>
      <c r="S332" s="142"/>
      <c r="T332" s="142"/>
      <c r="U332" s="142"/>
      <c r="V332" s="142"/>
      <c r="W332" s="142"/>
      <c r="X332" s="142"/>
      <c r="Y332" s="142"/>
      <c r="Z332" s="142"/>
      <c r="AA332" s="142"/>
      <c r="AB332" s="142"/>
      <c r="AC332" s="142"/>
      <c r="AD332" s="142"/>
      <c r="AE332" s="142"/>
      <c r="AF332" s="142"/>
      <c r="AG332" s="142"/>
      <c r="AH332" s="142"/>
      <c r="AI332" s="144"/>
      <c r="AV332" s="589"/>
      <c r="AW332" s="589"/>
      <c r="AX332" s="589"/>
    </row>
    <row r="333" spans="1:50" ht="13.2" hidden="1" outlineLevel="1" thickBot="1" x14ac:dyDescent="0.3">
      <c r="A333" s="141"/>
      <c r="B333" s="142"/>
      <c r="C333" s="143"/>
      <c r="D333" s="142"/>
      <c r="E333" s="142"/>
      <c r="F333" s="142"/>
      <c r="G333" s="142"/>
      <c r="H333" s="142"/>
      <c r="I333" s="142"/>
      <c r="J333" s="142"/>
      <c r="K333" s="142"/>
      <c r="L333" s="142"/>
      <c r="M333" s="142"/>
      <c r="N333" s="142"/>
      <c r="O333" s="142"/>
      <c r="P333" s="142"/>
      <c r="Q333" s="142"/>
      <c r="R333" s="142"/>
      <c r="S333" s="142"/>
      <c r="T333" s="142"/>
      <c r="U333" s="142"/>
      <c r="V333" s="142"/>
      <c r="W333" s="142"/>
      <c r="X333" s="142"/>
      <c r="Y333" s="142"/>
      <c r="Z333" s="142"/>
      <c r="AA333" s="142"/>
      <c r="AB333" s="142"/>
      <c r="AC333" s="142"/>
      <c r="AD333" s="142"/>
      <c r="AE333" s="142"/>
      <c r="AF333" s="142"/>
      <c r="AG333" s="142"/>
      <c r="AH333" s="142"/>
      <c r="AI333" s="144"/>
      <c r="AV333" s="589"/>
      <c r="AW333" s="589"/>
      <c r="AX333" s="589"/>
    </row>
    <row r="334" spans="1:50" ht="13.2" hidden="1" outlineLevel="1" thickBot="1" x14ac:dyDescent="0.3">
      <c r="A334" s="141"/>
      <c r="B334" s="142"/>
      <c r="C334" s="143"/>
      <c r="D334" s="142"/>
      <c r="E334" s="142"/>
      <c r="F334" s="142"/>
      <c r="G334" s="142"/>
      <c r="H334" s="142"/>
      <c r="I334" s="142"/>
      <c r="J334" s="142"/>
      <c r="K334" s="142"/>
      <c r="L334" s="142"/>
      <c r="M334" s="142"/>
      <c r="N334" s="142"/>
      <c r="O334" s="142"/>
      <c r="P334" s="142"/>
      <c r="Q334" s="142"/>
      <c r="R334" s="142"/>
      <c r="S334" s="142"/>
      <c r="T334" s="142"/>
      <c r="U334" s="142"/>
      <c r="V334" s="142"/>
      <c r="W334" s="142"/>
      <c r="X334" s="142"/>
      <c r="Y334" s="142"/>
      <c r="Z334" s="142"/>
      <c r="AA334" s="142"/>
      <c r="AB334" s="142"/>
      <c r="AC334" s="142"/>
      <c r="AD334" s="142"/>
      <c r="AE334" s="142"/>
      <c r="AF334" s="142"/>
      <c r="AG334" s="142"/>
      <c r="AH334" s="142"/>
      <c r="AI334" s="144"/>
      <c r="AV334" s="589"/>
      <c r="AW334" s="589"/>
      <c r="AX334" s="589"/>
    </row>
    <row r="335" spans="1:50" ht="13.2" hidden="1" outlineLevel="1" thickBot="1" x14ac:dyDescent="0.3">
      <c r="A335" s="141"/>
      <c r="B335" s="142"/>
      <c r="C335" s="143"/>
      <c r="D335" s="142"/>
      <c r="E335" s="142"/>
      <c r="F335" s="142"/>
      <c r="G335" s="142"/>
      <c r="H335" s="142"/>
      <c r="I335" s="142"/>
      <c r="J335" s="142"/>
      <c r="K335" s="142"/>
      <c r="L335" s="142"/>
      <c r="M335" s="142"/>
      <c r="N335" s="142"/>
      <c r="O335" s="142"/>
      <c r="P335" s="142"/>
      <c r="Q335" s="142"/>
      <c r="R335" s="142"/>
      <c r="S335" s="142"/>
      <c r="T335" s="142"/>
      <c r="U335" s="142"/>
      <c r="V335" s="142"/>
      <c r="W335" s="142"/>
      <c r="X335" s="142"/>
      <c r="Y335" s="142"/>
      <c r="Z335" s="142"/>
      <c r="AA335" s="142"/>
      <c r="AB335" s="142"/>
      <c r="AC335" s="142"/>
      <c r="AD335" s="142"/>
      <c r="AE335" s="142"/>
      <c r="AF335" s="142"/>
      <c r="AG335" s="142"/>
      <c r="AH335" s="142"/>
      <c r="AI335" s="144"/>
      <c r="AV335" s="589"/>
      <c r="AW335" s="589"/>
      <c r="AX335" s="589"/>
    </row>
    <row r="336" spans="1:50" ht="13.2" hidden="1" outlineLevel="1" thickBot="1" x14ac:dyDescent="0.3">
      <c r="A336" s="145"/>
      <c r="B336" s="146"/>
      <c r="C336" s="147"/>
      <c r="D336" s="146"/>
      <c r="E336" s="146"/>
      <c r="F336" s="146"/>
      <c r="G336" s="146"/>
      <c r="H336" s="146"/>
      <c r="I336" s="146"/>
      <c r="J336" s="146"/>
      <c r="K336" s="146"/>
      <c r="L336" s="146"/>
      <c r="M336" s="146"/>
      <c r="N336" s="146"/>
      <c r="O336" s="146"/>
      <c r="P336" s="146"/>
      <c r="Q336" s="146"/>
      <c r="R336" s="146"/>
      <c r="S336" s="146"/>
      <c r="T336" s="146"/>
      <c r="U336" s="146"/>
      <c r="V336" s="146"/>
      <c r="W336" s="146"/>
      <c r="X336" s="146"/>
      <c r="Y336" s="146"/>
      <c r="Z336" s="146"/>
      <c r="AA336" s="146"/>
      <c r="AB336" s="146"/>
      <c r="AC336" s="146"/>
      <c r="AD336" s="146"/>
      <c r="AE336" s="146"/>
      <c r="AF336" s="146"/>
      <c r="AG336" s="146"/>
      <c r="AH336" s="146"/>
      <c r="AI336" s="148"/>
      <c r="AV336" s="590"/>
      <c r="AW336" s="590"/>
      <c r="AX336" s="590"/>
    </row>
    <row r="337" spans="1:50" ht="13.5" customHeight="1" collapsed="1" thickBot="1" x14ac:dyDescent="0.3">
      <c r="A337" s="211"/>
      <c r="B337" s="212"/>
      <c r="C337" s="213"/>
      <c r="D337" s="212"/>
      <c r="E337" s="1867" t="s">
        <v>3981</v>
      </c>
      <c r="F337" s="1868"/>
      <c r="G337" s="1868"/>
      <c r="H337" s="1868"/>
      <c r="I337" s="1868"/>
      <c r="J337" s="1868"/>
      <c r="K337" s="1868"/>
      <c r="L337" s="1868"/>
      <c r="M337" s="1868"/>
      <c r="N337" s="1868"/>
      <c r="O337" s="1868"/>
      <c r="P337" s="1868"/>
      <c r="Q337" s="1868"/>
      <c r="R337" s="1868"/>
      <c r="S337" s="1868"/>
      <c r="T337" s="1868"/>
      <c r="U337" s="1868"/>
      <c r="V337" s="1868"/>
      <c r="W337" s="1868"/>
      <c r="X337" s="1869"/>
      <c r="Y337" s="1869"/>
      <c r="Z337" s="1868"/>
      <c r="AA337" s="1868"/>
      <c r="AB337" s="1870"/>
      <c r="AC337" s="1884" t="s">
        <v>3982</v>
      </c>
      <c r="AD337" s="1885"/>
      <c r="AE337" s="1885"/>
      <c r="AF337" s="1885"/>
      <c r="AG337" s="1885"/>
      <c r="AH337" s="1885"/>
      <c r="AI337" s="1886"/>
      <c r="AJ337" s="1868" t="s">
        <v>3982</v>
      </c>
      <c r="AK337" s="1868"/>
      <c r="AL337" s="1868"/>
      <c r="AM337" s="1868"/>
      <c r="AN337" s="1868"/>
      <c r="AO337" s="1868"/>
      <c r="AP337" s="1868"/>
      <c r="AQ337" s="1868"/>
      <c r="AR337" s="1868"/>
      <c r="AS337" s="1868"/>
      <c r="AT337" s="1868"/>
      <c r="AU337" s="1870"/>
      <c r="AV337" s="598"/>
      <c r="AW337" s="598"/>
      <c r="AX337" s="598"/>
    </row>
    <row r="338" spans="1:50" ht="13.2" thickBot="1" x14ac:dyDescent="0.3">
      <c r="A338" s="240"/>
      <c r="B338" s="241"/>
      <c r="C338" s="242"/>
      <c r="D338" s="218"/>
      <c r="E338" s="218"/>
      <c r="F338" s="218"/>
      <c r="G338" s="218"/>
      <c r="H338" s="218"/>
      <c r="I338" s="218"/>
      <c r="J338" s="218"/>
      <c r="K338" s="218"/>
      <c r="L338" s="218"/>
      <c r="M338" s="218"/>
      <c r="N338" s="218"/>
      <c r="O338" s="219" t="s">
        <v>3818</v>
      </c>
      <c r="P338" s="220" t="s">
        <v>3818</v>
      </c>
      <c r="Q338" s="220" t="s">
        <v>3818</v>
      </c>
      <c r="R338" s="221" t="s">
        <v>3818</v>
      </c>
      <c r="S338" s="218"/>
      <c r="T338" s="218"/>
      <c r="U338" s="218"/>
      <c r="V338" s="218"/>
      <c r="W338" s="218"/>
      <c r="X338" s="161" t="s">
        <v>345</v>
      </c>
      <c r="Y338" s="139" t="s">
        <v>345</v>
      </c>
      <c r="Z338" s="218"/>
      <c r="AA338" s="218"/>
      <c r="AB338" s="218"/>
      <c r="AC338" s="161" t="s">
        <v>3818</v>
      </c>
      <c r="AD338" s="162" t="s">
        <v>3818</v>
      </c>
      <c r="AE338" s="162" t="s">
        <v>3818</v>
      </c>
      <c r="AF338" s="163" t="s">
        <v>3818</v>
      </c>
      <c r="AG338" s="162" t="s">
        <v>345</v>
      </c>
      <c r="AH338" s="137" t="s">
        <v>345</v>
      </c>
      <c r="AI338" s="139" t="s">
        <v>345</v>
      </c>
      <c r="AJ338" s="222"/>
      <c r="AK338" s="223"/>
      <c r="AL338" s="137"/>
      <c r="AM338" s="137"/>
      <c r="AN338" s="137" t="s">
        <v>3817</v>
      </c>
      <c r="AO338" s="137" t="s">
        <v>3817</v>
      </c>
      <c r="AP338" s="137" t="s">
        <v>3817</v>
      </c>
      <c r="AQ338" s="137" t="s">
        <v>3817</v>
      </c>
      <c r="AR338" s="139" t="s">
        <v>3817</v>
      </c>
      <c r="AS338" s="224" t="s">
        <v>3818</v>
      </c>
      <c r="AT338" s="225" t="s">
        <v>3818</v>
      </c>
      <c r="AU338" s="226" t="s">
        <v>3818</v>
      </c>
      <c r="AV338" s="592"/>
      <c r="AW338" s="592" t="str">
        <f>$AW$19</f>
        <v>LWN</v>
      </c>
      <c r="AX338" s="592" t="str">
        <f>$AW$19</f>
        <v>LWN</v>
      </c>
    </row>
    <row r="339" spans="1:50" x14ac:dyDescent="0.25">
      <c r="A339" s="1444"/>
      <c r="B339" s="1453" t="s">
        <v>3820</v>
      </c>
      <c r="C339" s="1458"/>
      <c r="D339" s="1459" t="s">
        <v>3821</v>
      </c>
      <c r="E339" s="1453" t="s">
        <v>2348</v>
      </c>
      <c r="F339" s="1453" t="s">
        <v>3823</v>
      </c>
      <c r="G339" s="1454"/>
      <c r="H339" s="1454"/>
      <c r="I339" s="1880" t="s">
        <v>3825</v>
      </c>
      <c r="J339" s="1880"/>
      <c r="K339" s="1880"/>
      <c r="L339" s="1454"/>
      <c r="M339" s="1454"/>
      <c r="N339" s="1455"/>
      <c r="O339" s="1456" t="s">
        <v>3828</v>
      </c>
      <c r="P339" s="1453" t="s">
        <v>3983</v>
      </c>
      <c r="Q339" s="1453" t="s">
        <v>3827</v>
      </c>
      <c r="R339" s="1636" t="s">
        <v>184</v>
      </c>
      <c r="S339" s="1457"/>
      <c r="T339" s="1454"/>
      <c r="U339" s="1454"/>
      <c r="V339" s="1454"/>
      <c r="W339" s="1455"/>
      <c r="X339" s="1353" t="s">
        <v>2348</v>
      </c>
      <c r="Y339" s="1637" t="s">
        <v>184</v>
      </c>
      <c r="Z339" s="1457"/>
      <c r="AA339" s="1455"/>
      <c r="AB339" s="227"/>
      <c r="AC339" s="1350" t="s">
        <v>3834</v>
      </c>
      <c r="AD339" s="1593" t="s">
        <v>3835</v>
      </c>
      <c r="AE339" s="1593" t="s">
        <v>3836</v>
      </c>
      <c r="AF339" s="1598" t="s">
        <v>336</v>
      </c>
      <c r="AG339" s="1595" t="s">
        <v>3834</v>
      </c>
      <c r="AH339" s="1593" t="s">
        <v>3835</v>
      </c>
      <c r="AI339" s="1598" t="s">
        <v>336</v>
      </c>
      <c r="AJ339" s="1635" t="s">
        <v>3824</v>
      </c>
      <c r="AK339" s="1638" t="s">
        <v>2417</v>
      </c>
      <c r="AL339" s="1633" t="s">
        <v>3822</v>
      </c>
      <c r="AM339" s="1633" t="s">
        <v>3823</v>
      </c>
      <c r="AN339" s="1633" t="s">
        <v>3827</v>
      </c>
      <c r="AO339" s="1633" t="s">
        <v>3983</v>
      </c>
      <c r="AP339" s="1633" t="s">
        <v>3828</v>
      </c>
      <c r="AQ339" s="1633" t="s">
        <v>3826</v>
      </c>
      <c r="AR339" s="1637" t="s">
        <v>184</v>
      </c>
      <c r="AS339" s="1354" t="s">
        <v>3828</v>
      </c>
      <c r="AT339" s="1633" t="s">
        <v>12</v>
      </c>
      <c r="AU339" s="1637" t="s">
        <v>184</v>
      </c>
      <c r="AV339" s="1639"/>
      <c r="AW339" s="1639" t="s">
        <v>184</v>
      </c>
      <c r="AX339" s="1598" t="str">
        <f>$AX$20</f>
        <v>Unit Surface</v>
      </c>
    </row>
    <row r="340" spans="1:50" ht="13.2" thickBot="1" x14ac:dyDescent="0.3">
      <c r="A340" s="186"/>
      <c r="B340" s="243" t="s">
        <v>59</v>
      </c>
      <c r="C340" s="244" t="s">
        <v>1685</v>
      </c>
      <c r="D340" s="245" t="s">
        <v>93</v>
      </c>
      <c r="E340" s="1640" t="s">
        <v>93</v>
      </c>
      <c r="F340" s="1640" t="s">
        <v>93</v>
      </c>
      <c r="G340" s="1643"/>
      <c r="H340" s="1643"/>
      <c r="I340" s="1640" t="s">
        <v>3837</v>
      </c>
      <c r="J340" s="1640" t="s">
        <v>3838</v>
      </c>
      <c r="K340" s="1640" t="s">
        <v>3839</v>
      </c>
      <c r="L340" s="1643"/>
      <c r="M340" s="1643"/>
      <c r="N340" s="1644"/>
      <c r="O340" s="1645" t="s">
        <v>93</v>
      </c>
      <c r="P340" s="1640" t="s">
        <v>93</v>
      </c>
      <c r="Q340" s="1640" t="s">
        <v>93</v>
      </c>
      <c r="R340" s="1646" t="s">
        <v>222</v>
      </c>
      <c r="S340" s="1647"/>
      <c r="T340" s="1643"/>
      <c r="U340" s="1643"/>
      <c r="V340" s="1643"/>
      <c r="W340" s="1644"/>
      <c r="X340" s="1645" t="s">
        <v>93</v>
      </c>
      <c r="Y340" s="1646" t="s">
        <v>222</v>
      </c>
      <c r="Z340" s="1647"/>
      <c r="AA340" s="1644"/>
      <c r="AB340" s="1648"/>
      <c r="AC340" s="168" t="s">
        <v>228</v>
      </c>
      <c r="AD340" s="166" t="s">
        <v>228</v>
      </c>
      <c r="AE340" s="166" t="s">
        <v>228</v>
      </c>
      <c r="AF340" s="169" t="s">
        <v>228</v>
      </c>
      <c r="AG340" s="171" t="s">
        <v>228</v>
      </c>
      <c r="AH340" s="166" t="s">
        <v>228</v>
      </c>
      <c r="AI340" s="169" t="s">
        <v>228</v>
      </c>
      <c r="AJ340" s="1642" t="s">
        <v>93</v>
      </c>
      <c r="AK340" s="1640" t="s">
        <v>93</v>
      </c>
      <c r="AL340" s="1640" t="s">
        <v>93</v>
      </c>
      <c r="AM340" s="1640" t="s">
        <v>93</v>
      </c>
      <c r="AN340" s="1640" t="s">
        <v>93</v>
      </c>
      <c r="AO340" s="1640" t="s">
        <v>93</v>
      </c>
      <c r="AP340" s="1640" t="s">
        <v>93</v>
      </c>
      <c r="AQ340" s="1640" t="s">
        <v>93</v>
      </c>
      <c r="AR340" s="1646" t="s">
        <v>222</v>
      </c>
      <c r="AS340" s="1649" t="s">
        <v>93</v>
      </c>
      <c r="AT340" s="1640" t="s">
        <v>93</v>
      </c>
      <c r="AU340" s="1646" t="s">
        <v>222</v>
      </c>
      <c r="AV340" s="1650"/>
      <c r="AW340" s="1650" t="s">
        <v>222</v>
      </c>
      <c r="AX340" s="593" t="str">
        <f>$AX$21</f>
        <v>m2</v>
      </c>
    </row>
    <row r="341" spans="1:50" ht="13.2" thickBot="1" x14ac:dyDescent="0.3">
      <c r="A341" s="190" t="s">
        <v>3925</v>
      </c>
      <c r="B341" s="137">
        <v>0</v>
      </c>
      <c r="C341" s="137">
        <v>0</v>
      </c>
      <c r="D341" s="137">
        <v>0</v>
      </c>
      <c r="E341" s="137">
        <v>0</v>
      </c>
      <c r="F341" s="137">
        <v>0</v>
      </c>
      <c r="G341" s="230"/>
      <c r="H341" s="230"/>
      <c r="I341" s="137">
        <v>0</v>
      </c>
      <c r="J341" s="137">
        <v>0</v>
      </c>
      <c r="K341" s="137">
        <v>0</v>
      </c>
      <c r="L341" s="230"/>
      <c r="M341" s="230"/>
      <c r="N341" s="231"/>
      <c r="O341" s="161">
        <v>0</v>
      </c>
      <c r="P341" s="137">
        <v>0</v>
      </c>
      <c r="Q341" s="137">
        <v>0</v>
      </c>
      <c r="R341" s="139">
        <v>0</v>
      </c>
      <c r="S341" s="232"/>
      <c r="T341" s="230"/>
      <c r="U341" s="230"/>
      <c r="V341" s="230"/>
      <c r="W341" s="231"/>
      <c r="X341" s="161">
        <v>0</v>
      </c>
      <c r="Y341" s="139">
        <v>0</v>
      </c>
      <c r="Z341" s="232"/>
      <c r="AA341" s="231"/>
      <c r="AB341" s="160"/>
      <c r="AC341" s="246">
        <v>0</v>
      </c>
      <c r="AD341" s="229">
        <v>0</v>
      </c>
      <c r="AE341" s="229">
        <v>0</v>
      </c>
      <c r="AF341" s="247">
        <v>0</v>
      </c>
      <c r="AG341" s="248">
        <v>0</v>
      </c>
      <c r="AH341" s="229">
        <v>0</v>
      </c>
      <c r="AI341" s="247">
        <v>0</v>
      </c>
      <c r="AJ341" s="162">
        <v>0</v>
      </c>
      <c r="AK341" s="137">
        <v>0</v>
      </c>
      <c r="AL341" s="137">
        <v>0</v>
      </c>
      <c r="AM341" s="137">
        <v>0</v>
      </c>
      <c r="AN341" s="137">
        <v>0</v>
      </c>
      <c r="AO341" s="137">
        <v>0</v>
      </c>
      <c r="AP341" s="137">
        <v>0</v>
      </c>
      <c r="AQ341" s="137">
        <v>0</v>
      </c>
      <c r="AR341" s="139">
        <v>0</v>
      </c>
      <c r="AS341" s="161">
        <v>0</v>
      </c>
      <c r="AT341" s="137">
        <v>0</v>
      </c>
      <c r="AU341" s="139">
        <v>0</v>
      </c>
      <c r="AV341" s="595"/>
      <c r="AW341" s="595">
        <v>0</v>
      </c>
      <c r="AX341" s="595">
        <v>0</v>
      </c>
    </row>
    <row r="342" spans="1:50" x14ac:dyDescent="0.25">
      <c r="A342" s="1444" t="s">
        <v>4056</v>
      </c>
      <c r="B342" s="1445">
        <v>650</v>
      </c>
      <c r="C342" s="1461">
        <v>26</v>
      </c>
      <c r="D342" s="1445">
        <v>1085.8</v>
      </c>
      <c r="E342" s="1454"/>
      <c r="F342" s="1454"/>
      <c r="G342" s="1454"/>
      <c r="H342" s="1454"/>
      <c r="I342" s="1445">
        <v>20</v>
      </c>
      <c r="J342" s="1445">
        <v>952.5</v>
      </c>
      <c r="K342" s="1445">
        <v>73.2</v>
      </c>
      <c r="L342" s="1454"/>
      <c r="M342" s="1454"/>
      <c r="N342" s="1455"/>
      <c r="O342" s="1449">
        <v>285.7</v>
      </c>
      <c r="P342" s="1445">
        <v>11.2</v>
      </c>
      <c r="Q342" s="1445"/>
      <c r="R342" s="1605">
        <v>761</v>
      </c>
      <c r="S342" s="1457"/>
      <c r="T342" s="1445"/>
      <c r="U342" s="1445"/>
      <c r="V342" s="1454"/>
      <c r="W342" s="1455"/>
      <c r="X342" s="1449">
        <v>160.30000000000001</v>
      </c>
      <c r="Y342" s="1605">
        <v>1140</v>
      </c>
      <c r="Z342" s="1457"/>
      <c r="AA342" s="1455"/>
      <c r="AB342" s="172"/>
      <c r="AC342" s="1450">
        <f t="shared" ref="AC342:AC347" si="89">PI()*D342*AL342/1000000</f>
        <v>0.4765364400665113</v>
      </c>
      <c r="AD342" s="1451">
        <f t="shared" ref="AD342:AD347" si="90">D342^2*PI()/4/1000000</f>
        <v>0.92595430677204349</v>
      </c>
      <c r="AE342" s="1451">
        <f t="shared" ref="AE342:AE347" si="91">AT342*PI()*(O342-AL342)/1000000</f>
        <v>0.30799860216528974</v>
      </c>
      <c r="AF342" s="1607">
        <f t="shared" ref="AF342:AF347" si="92">AE342+AD342+AC342</f>
        <v>1.7104893490038446</v>
      </c>
      <c r="AG342" s="1452">
        <f t="shared" ref="AG342:AG347" si="93">PI()*D342*X342/1000000</f>
        <v>0.546805950913828</v>
      </c>
      <c r="AH342" s="1451">
        <f t="shared" ref="AH342:AH347" si="94">D342^2*PI()/4/1000000</f>
        <v>0.92595430677204349</v>
      </c>
      <c r="AI342" s="1607">
        <f t="shared" ref="AI342:AI347" si="95">AH342+AG342</f>
        <v>1.4727602576858714</v>
      </c>
      <c r="AJ342" s="1447">
        <v>831.9</v>
      </c>
      <c r="AK342" s="1445">
        <v>17.48</v>
      </c>
      <c r="AL342" s="1445">
        <v>139.69999999999999</v>
      </c>
      <c r="AM342" s="1445">
        <v>749.3</v>
      </c>
      <c r="AN342" s="1445">
        <v>774.7</v>
      </c>
      <c r="AO342" s="1445" t="s">
        <v>1712</v>
      </c>
      <c r="AP342" s="1445" t="s">
        <v>1712</v>
      </c>
      <c r="AQ342" s="1445" t="s">
        <v>1712</v>
      </c>
      <c r="AR342" s="1605" t="s">
        <v>1712</v>
      </c>
      <c r="AS342" s="1506" t="s">
        <v>1712</v>
      </c>
      <c r="AT342" s="1445">
        <v>671.5</v>
      </c>
      <c r="AU342" s="1661" t="s">
        <v>1712</v>
      </c>
      <c r="AV342" s="1608"/>
      <c r="AW342" s="1608"/>
      <c r="AX342" s="1608"/>
    </row>
    <row r="343" spans="1:50" x14ac:dyDescent="0.25">
      <c r="A343" s="1620" t="s">
        <v>4057</v>
      </c>
      <c r="B343" s="1504">
        <v>700</v>
      </c>
      <c r="C343" s="1507">
        <v>28</v>
      </c>
      <c r="D343" s="1504">
        <v>1168.4000000000001</v>
      </c>
      <c r="E343" s="1657"/>
      <c r="F343" s="1657"/>
      <c r="G343" s="1657"/>
      <c r="H343" s="1657"/>
      <c r="I343" s="1504">
        <v>20</v>
      </c>
      <c r="J343" s="1504">
        <v>1022.3</v>
      </c>
      <c r="K343" s="1504">
        <v>79.2</v>
      </c>
      <c r="L343" s="1657"/>
      <c r="M343" s="1657"/>
      <c r="N343" s="1658"/>
      <c r="O343" s="1609">
        <v>298.39999999999998</v>
      </c>
      <c r="P343" s="1504">
        <v>12.7</v>
      </c>
      <c r="Q343" s="1504"/>
      <c r="R343" s="1610">
        <v>903</v>
      </c>
      <c r="S343" s="1659"/>
      <c r="T343" s="1504"/>
      <c r="U343" s="1504"/>
      <c r="V343" s="1657"/>
      <c r="W343" s="1658"/>
      <c r="X343" s="1609">
        <v>171.4</v>
      </c>
      <c r="Y343" s="1610">
        <v>1400</v>
      </c>
      <c r="Z343" s="1659"/>
      <c r="AA343" s="1658"/>
      <c r="AB343" s="1362"/>
      <c r="AC343" s="1612">
        <f t="shared" si="89"/>
        <v>0.52379987941603068</v>
      </c>
      <c r="AD343" s="1613">
        <f t="shared" si="90"/>
        <v>1.0721930257703054</v>
      </c>
      <c r="AE343" s="1613">
        <f t="shared" si="91"/>
        <v>0.35409277214506946</v>
      </c>
      <c r="AF343" s="1614">
        <f t="shared" si="92"/>
        <v>1.9500856773314057</v>
      </c>
      <c r="AG343" s="1615">
        <f t="shared" si="93"/>
        <v>0.62914715719626946</v>
      </c>
      <c r="AH343" s="1613">
        <f t="shared" si="94"/>
        <v>1.0721930257703054</v>
      </c>
      <c r="AI343" s="1614">
        <f t="shared" si="95"/>
        <v>1.7013401829665749</v>
      </c>
      <c r="AJ343" s="1506">
        <v>889</v>
      </c>
      <c r="AK343" s="1504">
        <v>17.48</v>
      </c>
      <c r="AL343" s="1504">
        <v>142.69999999999999</v>
      </c>
      <c r="AM343" s="1504">
        <v>800.1</v>
      </c>
      <c r="AN343" s="1504">
        <v>831.8</v>
      </c>
      <c r="AO343" s="1504" t="s">
        <v>1712</v>
      </c>
      <c r="AP343" s="1504" t="s">
        <v>1712</v>
      </c>
      <c r="AQ343" s="1504" t="s">
        <v>1712</v>
      </c>
      <c r="AR343" s="1610" t="s">
        <v>1712</v>
      </c>
      <c r="AS343" s="1506" t="s">
        <v>1712</v>
      </c>
      <c r="AT343" s="1504">
        <v>723.9</v>
      </c>
      <c r="AU343" s="1661" t="s">
        <v>1712</v>
      </c>
      <c r="AV343" s="1616"/>
      <c r="AW343" s="1616"/>
      <c r="AX343" s="1616"/>
    </row>
    <row r="344" spans="1:50" x14ac:dyDescent="0.25">
      <c r="A344" s="1620" t="s">
        <v>4058</v>
      </c>
      <c r="B344" s="1504">
        <v>750</v>
      </c>
      <c r="C344" s="1507">
        <v>30</v>
      </c>
      <c r="D344" s="1504">
        <v>1231.9000000000001</v>
      </c>
      <c r="E344" s="1657"/>
      <c r="F344" s="1657"/>
      <c r="G344" s="1657"/>
      <c r="H344" s="1657"/>
      <c r="I344" s="1504">
        <v>20</v>
      </c>
      <c r="J344" s="1504">
        <v>1085.8</v>
      </c>
      <c r="K344" s="1504">
        <v>79.2</v>
      </c>
      <c r="L344" s="1657"/>
      <c r="M344" s="1657"/>
      <c r="N344" s="1658"/>
      <c r="O344" s="1609">
        <v>311.10000000000002</v>
      </c>
      <c r="P344" s="1504">
        <v>12.7</v>
      </c>
      <c r="Q344" s="1504"/>
      <c r="R344" s="1610">
        <v>1030</v>
      </c>
      <c r="S344" s="1659"/>
      <c r="T344" s="1504"/>
      <c r="U344" s="1504"/>
      <c r="V344" s="1657"/>
      <c r="W344" s="1658"/>
      <c r="X344" s="1609">
        <v>182.4</v>
      </c>
      <c r="Y344" s="1610">
        <v>1690</v>
      </c>
      <c r="Z344" s="1659"/>
      <c r="AA344" s="1658"/>
      <c r="AB344" s="1362"/>
      <c r="AC344" s="1612">
        <f t="shared" si="89"/>
        <v>0.57819712169961557</v>
      </c>
      <c r="AD344" s="1613">
        <f t="shared" si="90"/>
        <v>1.1919026677070894</v>
      </c>
      <c r="AE344" s="1613">
        <f t="shared" si="91"/>
        <v>0.39354413870661331</v>
      </c>
      <c r="AF344" s="1614">
        <f t="shared" si="92"/>
        <v>2.1636439281133182</v>
      </c>
      <c r="AG344" s="1615">
        <f t="shared" si="93"/>
        <v>0.70591134536820543</v>
      </c>
      <c r="AH344" s="1613">
        <f t="shared" si="94"/>
        <v>1.1919026677070894</v>
      </c>
      <c r="AI344" s="1614">
        <f t="shared" si="95"/>
        <v>1.897814013075295</v>
      </c>
      <c r="AJ344" s="1506">
        <v>946.2</v>
      </c>
      <c r="AK344" s="1504">
        <v>17.48</v>
      </c>
      <c r="AL344" s="1504">
        <v>149.4</v>
      </c>
      <c r="AM344" s="1504">
        <v>857.2</v>
      </c>
      <c r="AN344" s="1504">
        <v>889</v>
      </c>
      <c r="AO344" s="1504" t="s">
        <v>1712</v>
      </c>
      <c r="AP344" s="1504" t="s">
        <v>1712</v>
      </c>
      <c r="AQ344" s="1504" t="s">
        <v>1712</v>
      </c>
      <c r="AR344" s="1610" t="s">
        <v>1712</v>
      </c>
      <c r="AS344" s="1506" t="s">
        <v>1712</v>
      </c>
      <c r="AT344" s="1504">
        <v>774.7</v>
      </c>
      <c r="AU344" s="1661" t="s">
        <v>1712</v>
      </c>
      <c r="AV344" s="1616"/>
      <c r="AW344" s="1616"/>
      <c r="AX344" s="1616"/>
    </row>
    <row r="345" spans="1:50" x14ac:dyDescent="0.25">
      <c r="A345" s="1620" t="s">
        <v>4059</v>
      </c>
      <c r="B345" s="1504">
        <v>800</v>
      </c>
      <c r="C345" s="1507">
        <v>32</v>
      </c>
      <c r="D345" s="1504">
        <v>1314.4</v>
      </c>
      <c r="E345" s="1657"/>
      <c r="F345" s="1657"/>
      <c r="G345" s="1657"/>
      <c r="H345" s="1657"/>
      <c r="I345" s="1504">
        <v>20</v>
      </c>
      <c r="J345" s="1504">
        <v>1155.7</v>
      </c>
      <c r="K345" s="1504">
        <v>85.9</v>
      </c>
      <c r="L345" s="1657"/>
      <c r="M345" s="1657"/>
      <c r="N345" s="1658"/>
      <c r="O345" s="1609">
        <v>330.2</v>
      </c>
      <c r="P345" s="1504">
        <v>12.7</v>
      </c>
      <c r="Q345" s="1504"/>
      <c r="R345" s="1610">
        <v>1244</v>
      </c>
      <c r="S345" s="1659"/>
      <c r="T345" s="1504"/>
      <c r="U345" s="1504"/>
      <c r="V345" s="1657"/>
      <c r="W345" s="1658"/>
      <c r="X345" s="1609">
        <v>193.5</v>
      </c>
      <c r="Y345" s="1610">
        <v>2025</v>
      </c>
      <c r="Z345" s="1659"/>
      <c r="AA345" s="1658"/>
      <c r="AB345" s="1362"/>
      <c r="AC345" s="1612">
        <f t="shared" si="89"/>
        <v>0.6553213992215059</v>
      </c>
      <c r="AD345" s="1613">
        <f t="shared" si="90"/>
        <v>1.3568910635424503</v>
      </c>
      <c r="AE345" s="1613">
        <f t="shared" si="91"/>
        <v>0.44476548214483114</v>
      </c>
      <c r="AF345" s="1614">
        <f t="shared" si="92"/>
        <v>2.4569779449087874</v>
      </c>
      <c r="AG345" s="1615">
        <f t="shared" si="93"/>
        <v>0.79902136578047511</v>
      </c>
      <c r="AH345" s="1613">
        <f t="shared" si="94"/>
        <v>1.3568910635424503</v>
      </c>
      <c r="AI345" s="1614">
        <f t="shared" si="95"/>
        <v>2.1559124293229255</v>
      </c>
      <c r="AJ345" s="1506">
        <v>1003.3</v>
      </c>
      <c r="AK345" s="1504">
        <v>17.48</v>
      </c>
      <c r="AL345" s="1504">
        <v>158.69999999999999</v>
      </c>
      <c r="AM345" s="1504">
        <v>914.4</v>
      </c>
      <c r="AN345" s="1504">
        <v>946.1</v>
      </c>
      <c r="AO345" s="1504" t="s">
        <v>1712</v>
      </c>
      <c r="AP345" s="1504" t="s">
        <v>1712</v>
      </c>
      <c r="AQ345" s="1504" t="s">
        <v>1712</v>
      </c>
      <c r="AR345" s="1610" t="s">
        <v>1712</v>
      </c>
      <c r="AS345" s="1506" t="s">
        <v>1712</v>
      </c>
      <c r="AT345" s="1504">
        <v>825.5</v>
      </c>
      <c r="AU345" s="1661" t="s">
        <v>1712</v>
      </c>
      <c r="AV345" s="1616"/>
      <c r="AW345" s="1616"/>
      <c r="AX345" s="1616"/>
    </row>
    <row r="346" spans="1:50" x14ac:dyDescent="0.25">
      <c r="A346" s="1620" t="s">
        <v>4060</v>
      </c>
      <c r="B346" s="1504">
        <v>850</v>
      </c>
      <c r="C346" s="1507">
        <v>34</v>
      </c>
      <c r="D346" s="1504">
        <v>1397</v>
      </c>
      <c r="E346" s="1657"/>
      <c r="F346" s="1657"/>
      <c r="G346" s="1657"/>
      <c r="H346" s="1657"/>
      <c r="I346" s="1504">
        <v>20</v>
      </c>
      <c r="J346" s="1504">
        <v>1225.5</v>
      </c>
      <c r="K346" s="1504">
        <v>91.9</v>
      </c>
      <c r="L346" s="1657"/>
      <c r="M346" s="1657"/>
      <c r="N346" s="1658"/>
      <c r="O346" s="1609">
        <v>349.2</v>
      </c>
      <c r="P346" s="1504">
        <v>14.2</v>
      </c>
      <c r="Q346" s="1504"/>
      <c r="R346" s="1610">
        <v>1460</v>
      </c>
      <c r="S346" s="1659"/>
      <c r="T346" s="1504"/>
      <c r="U346" s="1504"/>
      <c r="V346" s="1657"/>
      <c r="W346" s="1658"/>
      <c r="X346" s="1609">
        <v>204.7</v>
      </c>
      <c r="Y346" s="1610">
        <v>2410</v>
      </c>
      <c r="Z346" s="1659"/>
      <c r="AA346" s="1658"/>
      <c r="AB346" s="1362"/>
      <c r="AC346" s="1612">
        <f t="shared" si="89"/>
        <v>0.72459169510942167</v>
      </c>
      <c r="AD346" s="1613">
        <f t="shared" si="90"/>
        <v>1.5327901242699307</v>
      </c>
      <c r="AE346" s="1613">
        <f t="shared" si="91"/>
        <v>0.50774857148697083</v>
      </c>
      <c r="AF346" s="1614">
        <f t="shared" si="92"/>
        <v>2.7651303908663234</v>
      </c>
      <c r="AG346" s="1615">
        <f t="shared" si="93"/>
        <v>0.89838837061719323</v>
      </c>
      <c r="AH346" s="1613">
        <f t="shared" si="94"/>
        <v>1.5327901242699307</v>
      </c>
      <c r="AI346" s="1614">
        <f t="shared" si="95"/>
        <v>2.4311784948871238</v>
      </c>
      <c r="AJ346" s="1506">
        <v>1066.8</v>
      </c>
      <c r="AK346" s="1504">
        <v>20.62</v>
      </c>
      <c r="AL346" s="1504">
        <v>165.1</v>
      </c>
      <c r="AM346" s="1504">
        <v>965.2</v>
      </c>
      <c r="AN346" s="1504">
        <v>1006.3</v>
      </c>
      <c r="AO346" s="1504" t="s">
        <v>1712</v>
      </c>
      <c r="AP346" s="1504" t="s">
        <v>1712</v>
      </c>
      <c r="AQ346" s="1504" t="s">
        <v>1712</v>
      </c>
      <c r="AR346" s="1610" t="s">
        <v>1712</v>
      </c>
      <c r="AS346" s="1506" t="s">
        <v>1712</v>
      </c>
      <c r="AT346" s="1504">
        <v>877.9</v>
      </c>
      <c r="AU346" s="1661" t="s">
        <v>1712</v>
      </c>
      <c r="AV346" s="1616"/>
      <c r="AW346" s="1616"/>
      <c r="AX346" s="1616"/>
    </row>
    <row r="347" spans="1:50" x14ac:dyDescent="0.25">
      <c r="A347" s="1620" t="s">
        <v>4061</v>
      </c>
      <c r="B347" s="1504">
        <v>900</v>
      </c>
      <c r="C347" s="1507">
        <v>36</v>
      </c>
      <c r="D347" s="1504">
        <v>1460.5</v>
      </c>
      <c r="E347" s="1657"/>
      <c r="F347" s="1657"/>
      <c r="G347" s="1657"/>
      <c r="H347" s="1657"/>
      <c r="I347" s="1504">
        <v>20</v>
      </c>
      <c r="J347" s="1504">
        <v>1289</v>
      </c>
      <c r="K347" s="1504">
        <v>91.9</v>
      </c>
      <c r="L347" s="1657"/>
      <c r="M347" s="1657"/>
      <c r="N347" s="1658"/>
      <c r="O347" s="1609">
        <v>361.9</v>
      </c>
      <c r="P347" s="1504">
        <v>14.2</v>
      </c>
      <c r="Q347" s="1504"/>
      <c r="R347" s="1610">
        <v>1646</v>
      </c>
      <c r="S347" s="1659"/>
      <c r="T347" s="1504"/>
      <c r="U347" s="1504"/>
      <c r="V347" s="1657"/>
      <c r="W347" s="1658"/>
      <c r="X347" s="1609">
        <v>214.4</v>
      </c>
      <c r="Y347" s="1610">
        <v>2785</v>
      </c>
      <c r="Z347" s="1659"/>
      <c r="AA347" s="1658"/>
      <c r="AB347" s="1362"/>
      <c r="AC347" s="1612">
        <f t="shared" si="89"/>
        <v>0.78643394649533682</v>
      </c>
      <c r="AD347" s="1613">
        <f t="shared" si="90"/>
        <v>1.6753016027661018</v>
      </c>
      <c r="AE347" s="1613">
        <f t="shared" si="91"/>
        <v>0.55580224705257419</v>
      </c>
      <c r="AF347" s="1614">
        <f t="shared" si="92"/>
        <v>3.0175377963140129</v>
      </c>
      <c r="AG347" s="1615">
        <f t="shared" si="93"/>
        <v>0.98373067752975618</v>
      </c>
      <c r="AH347" s="1613">
        <f t="shared" si="94"/>
        <v>1.6753016027661018</v>
      </c>
      <c r="AI347" s="1614">
        <f t="shared" si="95"/>
        <v>2.6590322802958579</v>
      </c>
      <c r="AJ347" s="1506">
        <v>1124</v>
      </c>
      <c r="AK347" s="1504">
        <v>20.62</v>
      </c>
      <c r="AL347" s="1504">
        <v>171.4</v>
      </c>
      <c r="AM347" s="1504">
        <v>1022.3</v>
      </c>
      <c r="AN347" s="1504">
        <v>1063.8</v>
      </c>
      <c r="AO347" s="1504" t="s">
        <v>1712</v>
      </c>
      <c r="AP347" s="1504" t="s">
        <v>1712</v>
      </c>
      <c r="AQ347" s="1504" t="s">
        <v>1712</v>
      </c>
      <c r="AR347" s="1610" t="s">
        <v>1712</v>
      </c>
      <c r="AS347" s="1506" t="s">
        <v>1712</v>
      </c>
      <c r="AT347" s="1504">
        <v>928.7</v>
      </c>
      <c r="AU347" s="1661" t="s">
        <v>1712</v>
      </c>
      <c r="AV347" s="1616"/>
      <c r="AW347" s="1616"/>
      <c r="AX347" s="1616"/>
    </row>
    <row r="348" spans="1:50" x14ac:dyDescent="0.25">
      <c r="A348" s="1620" t="s">
        <v>4062</v>
      </c>
      <c r="B348" s="1504">
        <v>950</v>
      </c>
      <c r="C348" s="1507">
        <v>38</v>
      </c>
      <c r="D348" s="1504">
        <v>1460.5</v>
      </c>
      <c r="E348" s="1657"/>
      <c r="F348" s="1657"/>
      <c r="G348" s="1657"/>
      <c r="H348" s="1657"/>
      <c r="I348" s="1504">
        <v>20</v>
      </c>
      <c r="J348" s="1504">
        <v>1289</v>
      </c>
      <c r="K348" s="1504">
        <v>91.9</v>
      </c>
      <c r="L348" s="1657"/>
      <c r="M348" s="1657"/>
      <c r="N348" s="1658"/>
      <c r="O348" s="1609">
        <v>352.6</v>
      </c>
      <c r="P348" s="1504">
        <v>19</v>
      </c>
      <c r="Q348" s="1504"/>
      <c r="R348" s="1610">
        <v>1626</v>
      </c>
      <c r="S348" s="1659"/>
      <c r="T348" s="1504"/>
      <c r="U348" s="1504"/>
      <c r="V348" s="1657"/>
      <c r="W348" s="1658"/>
      <c r="X348" s="1609">
        <v>215.9</v>
      </c>
      <c r="Y348" s="1610" t="s">
        <v>1712</v>
      </c>
      <c r="Z348" s="1659"/>
      <c r="AA348" s="1658"/>
      <c r="AB348" s="1362"/>
      <c r="AC348" s="1609"/>
      <c r="AD348" s="1504"/>
      <c r="AE348" s="1657"/>
      <c r="AF348" s="1660"/>
      <c r="AG348" s="1659"/>
      <c r="AH348" s="1657"/>
      <c r="AI348" s="1660"/>
      <c r="AJ348" s="1506" t="s">
        <v>1712</v>
      </c>
      <c r="AK348" s="1504" t="s">
        <v>1712</v>
      </c>
      <c r="AL348" s="1504">
        <v>190.5</v>
      </c>
      <c r="AM348" s="1504">
        <v>1098.5</v>
      </c>
      <c r="AN348" s="1504">
        <v>1073.0999999999999</v>
      </c>
      <c r="AO348" s="1504" t="s">
        <v>1712</v>
      </c>
      <c r="AP348" s="1504" t="s">
        <v>1712</v>
      </c>
      <c r="AQ348" s="1504" t="s">
        <v>1712</v>
      </c>
      <c r="AR348" s="1610" t="s">
        <v>1712</v>
      </c>
      <c r="AS348" s="1506" t="s">
        <v>1712</v>
      </c>
      <c r="AT348" s="1504" t="s">
        <v>1712</v>
      </c>
      <c r="AU348" s="1661" t="s">
        <v>1712</v>
      </c>
      <c r="AV348" s="1616"/>
      <c r="AW348" s="1616"/>
      <c r="AX348" s="1616"/>
    </row>
    <row r="349" spans="1:50" x14ac:dyDescent="0.25">
      <c r="A349" s="1620" t="s">
        <v>4063</v>
      </c>
      <c r="B349" s="1504">
        <v>1000</v>
      </c>
      <c r="C349" s="1507">
        <v>40</v>
      </c>
      <c r="D349" s="1504">
        <v>1511.3</v>
      </c>
      <c r="E349" s="1657"/>
      <c r="F349" s="1657"/>
      <c r="G349" s="1657"/>
      <c r="H349" s="1657"/>
      <c r="I349" s="1504">
        <v>24</v>
      </c>
      <c r="J349" s="1504">
        <v>1339.8</v>
      </c>
      <c r="K349" s="1504">
        <v>91.9</v>
      </c>
      <c r="L349" s="1657"/>
      <c r="M349" s="1657"/>
      <c r="N349" s="1658"/>
      <c r="O349" s="1609">
        <v>363.5</v>
      </c>
      <c r="P349" s="1504">
        <v>20.6</v>
      </c>
      <c r="Q349" s="1504"/>
      <c r="R349" s="1610">
        <v>1754</v>
      </c>
      <c r="S349" s="1659"/>
      <c r="T349" s="1504"/>
      <c r="U349" s="1504"/>
      <c r="V349" s="1657"/>
      <c r="W349" s="1658"/>
      <c r="X349" s="1609">
        <v>223.8</v>
      </c>
      <c r="Y349" s="1610" t="s">
        <v>1712</v>
      </c>
      <c r="Z349" s="1659"/>
      <c r="AA349" s="1658"/>
      <c r="AB349" s="1362"/>
      <c r="AC349" s="1609"/>
      <c r="AD349" s="1504"/>
      <c r="AE349" s="1657"/>
      <c r="AF349" s="1660"/>
      <c r="AG349" s="1659"/>
      <c r="AH349" s="1657"/>
      <c r="AI349" s="1660"/>
      <c r="AJ349" s="1506" t="s">
        <v>1712</v>
      </c>
      <c r="AK349" s="1504" t="s">
        <v>1712</v>
      </c>
      <c r="AL349" s="1504">
        <v>196.8</v>
      </c>
      <c r="AM349" s="1504">
        <v>1162</v>
      </c>
      <c r="AN349" s="1504">
        <v>1127.3</v>
      </c>
      <c r="AO349" s="1504" t="s">
        <v>1712</v>
      </c>
      <c r="AP349" s="1504" t="s">
        <v>1712</v>
      </c>
      <c r="AQ349" s="1504" t="s">
        <v>1712</v>
      </c>
      <c r="AR349" s="1610" t="s">
        <v>1712</v>
      </c>
      <c r="AS349" s="1506" t="s">
        <v>1712</v>
      </c>
      <c r="AT349" s="1504" t="s">
        <v>1712</v>
      </c>
      <c r="AU349" s="1661" t="s">
        <v>1712</v>
      </c>
      <c r="AV349" s="1616"/>
      <c r="AW349" s="1616"/>
      <c r="AX349" s="1616"/>
    </row>
    <row r="350" spans="1:50" x14ac:dyDescent="0.25">
      <c r="A350" s="1620" t="s">
        <v>4064</v>
      </c>
      <c r="B350" s="1504">
        <v>1050</v>
      </c>
      <c r="C350" s="1507">
        <v>42</v>
      </c>
      <c r="D350" s="1504">
        <v>1562.1</v>
      </c>
      <c r="E350" s="1657"/>
      <c r="F350" s="1657"/>
      <c r="G350" s="1657"/>
      <c r="H350" s="1657"/>
      <c r="I350" s="1504">
        <v>24</v>
      </c>
      <c r="J350" s="1504">
        <v>1390.6</v>
      </c>
      <c r="K350" s="1504">
        <v>91.9</v>
      </c>
      <c r="L350" s="1657"/>
      <c r="M350" s="1657"/>
      <c r="N350" s="1658"/>
      <c r="O350" s="1609">
        <v>371.3</v>
      </c>
      <c r="P350" s="1504">
        <v>20.6</v>
      </c>
      <c r="Q350" s="1504"/>
      <c r="R350" s="1610">
        <v>1896</v>
      </c>
      <c r="S350" s="1659"/>
      <c r="T350" s="1504"/>
      <c r="U350" s="1504"/>
      <c r="V350" s="1657"/>
      <c r="W350" s="1658"/>
      <c r="X350" s="1609">
        <v>231.6</v>
      </c>
      <c r="Y350" s="1610" t="s">
        <v>1712</v>
      </c>
      <c r="Z350" s="1659"/>
      <c r="AA350" s="1658"/>
      <c r="AB350" s="1362"/>
      <c r="AC350" s="1609"/>
      <c r="AD350" s="1504"/>
      <c r="AE350" s="1657"/>
      <c r="AF350" s="1660"/>
      <c r="AG350" s="1659"/>
      <c r="AH350" s="1657"/>
      <c r="AI350" s="1660"/>
      <c r="AJ350" s="1506" t="s">
        <v>1712</v>
      </c>
      <c r="AK350" s="1504" t="s">
        <v>1712</v>
      </c>
      <c r="AL350" s="1504">
        <v>206.2</v>
      </c>
      <c r="AM350" s="1504">
        <v>1212.8</v>
      </c>
      <c r="AN350" s="1504">
        <v>1176.3</v>
      </c>
      <c r="AO350" s="1504" t="s">
        <v>1712</v>
      </c>
      <c r="AP350" s="1504" t="s">
        <v>1712</v>
      </c>
      <c r="AQ350" s="1504" t="s">
        <v>1712</v>
      </c>
      <c r="AR350" s="1610" t="s">
        <v>1712</v>
      </c>
      <c r="AS350" s="1506" t="s">
        <v>1712</v>
      </c>
      <c r="AT350" s="1504" t="s">
        <v>1712</v>
      </c>
      <c r="AU350" s="1661" t="s">
        <v>1712</v>
      </c>
      <c r="AV350" s="1616"/>
      <c r="AW350" s="1616"/>
      <c r="AX350" s="1616"/>
    </row>
    <row r="351" spans="1:50" x14ac:dyDescent="0.25">
      <c r="A351" s="1620" t="s">
        <v>4065</v>
      </c>
      <c r="B351" s="1504">
        <v>1100</v>
      </c>
      <c r="C351" s="1507">
        <v>44</v>
      </c>
      <c r="D351" s="1504">
        <v>1647.9</v>
      </c>
      <c r="E351" s="1657"/>
      <c r="F351" s="1657"/>
      <c r="G351" s="1657"/>
      <c r="H351" s="1657"/>
      <c r="I351" s="1504">
        <v>24</v>
      </c>
      <c r="J351" s="1504">
        <v>1463.5</v>
      </c>
      <c r="K351" s="1504">
        <v>98.6</v>
      </c>
      <c r="L351" s="1657"/>
      <c r="M351" s="1657"/>
      <c r="N351" s="1658"/>
      <c r="O351" s="1609">
        <v>390.7</v>
      </c>
      <c r="P351" s="1504">
        <v>22.4</v>
      </c>
      <c r="Q351" s="1504"/>
      <c r="R351" s="1610">
        <v>2229</v>
      </c>
      <c r="S351" s="1659"/>
      <c r="T351" s="1504"/>
      <c r="U351" s="1504"/>
      <c r="V351" s="1657"/>
      <c r="W351" s="1658"/>
      <c r="X351" s="1609">
        <v>242.8</v>
      </c>
      <c r="Y351" s="1610" t="s">
        <v>1712</v>
      </c>
      <c r="Z351" s="1659"/>
      <c r="AA351" s="1658"/>
      <c r="AB351" s="1362"/>
      <c r="AC351" s="1609"/>
      <c r="AD351" s="1504"/>
      <c r="AE351" s="1657"/>
      <c r="AF351" s="1660"/>
      <c r="AG351" s="1659"/>
      <c r="AH351" s="1657"/>
      <c r="AI351" s="1660"/>
      <c r="AJ351" s="1506" t="s">
        <v>1712</v>
      </c>
      <c r="AK351" s="1504" t="s">
        <v>1712</v>
      </c>
      <c r="AL351" s="1504">
        <v>214.4</v>
      </c>
      <c r="AM351" s="1504">
        <v>1270</v>
      </c>
      <c r="AN351" s="1504">
        <v>1234.9000000000001</v>
      </c>
      <c r="AO351" s="1504" t="s">
        <v>1712</v>
      </c>
      <c r="AP351" s="1504" t="s">
        <v>1712</v>
      </c>
      <c r="AQ351" s="1504" t="s">
        <v>1712</v>
      </c>
      <c r="AR351" s="1610" t="s">
        <v>1712</v>
      </c>
      <c r="AS351" s="1506" t="s">
        <v>1712</v>
      </c>
      <c r="AT351" s="1504" t="s">
        <v>1712</v>
      </c>
      <c r="AU351" s="1661" t="s">
        <v>1712</v>
      </c>
      <c r="AV351" s="1616"/>
      <c r="AW351" s="1616"/>
      <c r="AX351" s="1616"/>
    </row>
    <row r="352" spans="1:50" x14ac:dyDescent="0.25">
      <c r="A352" s="1620" t="s">
        <v>4066</v>
      </c>
      <c r="B352" s="1504">
        <v>1150</v>
      </c>
      <c r="C352" s="1507">
        <v>46</v>
      </c>
      <c r="D352" s="1504">
        <v>1733.5</v>
      </c>
      <c r="E352" s="1657"/>
      <c r="F352" s="1657"/>
      <c r="G352" s="1657"/>
      <c r="H352" s="1657"/>
      <c r="I352" s="1504">
        <v>24</v>
      </c>
      <c r="J352" s="1504">
        <v>1536.7</v>
      </c>
      <c r="K352" s="1504">
        <v>104.6</v>
      </c>
      <c r="L352" s="1657"/>
      <c r="M352" s="1657"/>
      <c r="N352" s="1658"/>
      <c r="O352" s="1609">
        <v>411</v>
      </c>
      <c r="P352" s="1504">
        <v>22.4</v>
      </c>
      <c r="Q352" s="1504"/>
      <c r="R352" s="1610">
        <v>2596</v>
      </c>
      <c r="S352" s="1659"/>
      <c r="T352" s="1504"/>
      <c r="U352" s="1504"/>
      <c r="V352" s="1657"/>
      <c r="W352" s="1658"/>
      <c r="X352" s="1609">
        <v>255.5</v>
      </c>
      <c r="Y352" s="1610" t="s">
        <v>1712</v>
      </c>
      <c r="Z352" s="1659"/>
      <c r="AA352" s="1658"/>
      <c r="AB352" s="1362"/>
      <c r="AC352" s="1609"/>
      <c r="AD352" s="1504"/>
      <c r="AE352" s="1657"/>
      <c r="AF352" s="1660"/>
      <c r="AG352" s="1659"/>
      <c r="AH352" s="1657"/>
      <c r="AI352" s="1660"/>
      <c r="AJ352" s="1506" t="s">
        <v>1712</v>
      </c>
      <c r="AK352" s="1504" t="s">
        <v>1712</v>
      </c>
      <c r="AL352" s="1504">
        <v>225.6</v>
      </c>
      <c r="AM352" s="1504">
        <v>1333.5</v>
      </c>
      <c r="AN352" s="1504">
        <v>1292.4000000000001</v>
      </c>
      <c r="AO352" s="1504" t="s">
        <v>1712</v>
      </c>
      <c r="AP352" s="1504" t="s">
        <v>1712</v>
      </c>
      <c r="AQ352" s="1504" t="s">
        <v>1712</v>
      </c>
      <c r="AR352" s="1610" t="s">
        <v>1712</v>
      </c>
      <c r="AS352" s="1506" t="s">
        <v>1712</v>
      </c>
      <c r="AT352" s="1504" t="s">
        <v>1712</v>
      </c>
      <c r="AU352" s="1661" t="s">
        <v>1712</v>
      </c>
      <c r="AV352" s="1616"/>
      <c r="AW352" s="1616"/>
      <c r="AX352" s="1616"/>
    </row>
    <row r="353" spans="1:50" ht="13.2" thickBot="1" x14ac:dyDescent="0.3">
      <c r="A353" s="186" t="s">
        <v>4067</v>
      </c>
      <c r="B353" s="166">
        <v>1200</v>
      </c>
      <c r="C353" s="233">
        <v>48</v>
      </c>
      <c r="D353" s="166">
        <v>1784.3</v>
      </c>
      <c r="E353" s="234"/>
      <c r="F353" s="234"/>
      <c r="G353" s="234"/>
      <c r="H353" s="234"/>
      <c r="I353" s="166">
        <v>24</v>
      </c>
      <c r="J353" s="166">
        <v>1587.5</v>
      </c>
      <c r="K353" s="166">
        <v>104.6</v>
      </c>
      <c r="L353" s="234"/>
      <c r="M353" s="234"/>
      <c r="N353" s="235"/>
      <c r="O353" s="168">
        <v>419.1</v>
      </c>
      <c r="P353" s="166">
        <v>23.9</v>
      </c>
      <c r="Q353" s="166"/>
      <c r="R353" s="169">
        <v>2804</v>
      </c>
      <c r="S353" s="236"/>
      <c r="T353" s="166"/>
      <c r="U353" s="166"/>
      <c r="V353" s="234"/>
      <c r="W353" s="235"/>
      <c r="X353" s="168">
        <v>263.7</v>
      </c>
      <c r="Y353" s="169" t="s">
        <v>1712</v>
      </c>
      <c r="Z353" s="236"/>
      <c r="AA353" s="235"/>
      <c r="AB353" s="167"/>
      <c r="AC353" s="168"/>
      <c r="AD353" s="166"/>
      <c r="AE353" s="234"/>
      <c r="AF353" s="237"/>
      <c r="AG353" s="236"/>
      <c r="AH353" s="234"/>
      <c r="AI353" s="237"/>
      <c r="AJ353" s="171" t="s">
        <v>1712</v>
      </c>
      <c r="AK353" s="166" t="s">
        <v>1712</v>
      </c>
      <c r="AL353" s="166">
        <v>233.4</v>
      </c>
      <c r="AM353" s="166">
        <v>1384.3</v>
      </c>
      <c r="AN353" s="166">
        <v>1343.2</v>
      </c>
      <c r="AO353" s="166" t="s">
        <v>1712</v>
      </c>
      <c r="AP353" s="166" t="s">
        <v>1712</v>
      </c>
      <c r="AQ353" s="166" t="s">
        <v>1712</v>
      </c>
      <c r="AR353" s="169" t="s">
        <v>1712</v>
      </c>
      <c r="AS353" s="171" t="s">
        <v>1712</v>
      </c>
      <c r="AT353" s="166" t="s">
        <v>1712</v>
      </c>
      <c r="AU353" s="238" t="s">
        <v>1712</v>
      </c>
      <c r="AV353" s="593"/>
      <c r="AW353" s="593"/>
      <c r="AX353" s="593"/>
    </row>
    <row r="354" spans="1:50" ht="13.2" hidden="1" outlineLevel="1" thickBot="1" x14ac:dyDescent="0.3">
      <c r="A354" s="141"/>
      <c r="B354" s="142"/>
      <c r="C354" s="143"/>
      <c r="D354" s="142"/>
      <c r="E354" s="142"/>
      <c r="F354" s="142"/>
      <c r="G354" s="142"/>
      <c r="H354" s="142"/>
      <c r="I354" s="142"/>
      <c r="J354" s="142"/>
      <c r="K354" s="142"/>
      <c r="L354" s="142"/>
      <c r="M354" s="142"/>
      <c r="N354" s="142"/>
      <c r="O354" s="142"/>
      <c r="P354" s="142"/>
      <c r="Q354" s="142"/>
      <c r="R354" s="142"/>
      <c r="S354" s="142"/>
      <c r="T354" s="142"/>
      <c r="U354" s="142"/>
      <c r="V354" s="142"/>
      <c r="W354" s="142"/>
      <c r="X354" s="142"/>
      <c r="Y354" s="142"/>
      <c r="Z354" s="142"/>
      <c r="AA354" s="142"/>
      <c r="AB354" s="142"/>
      <c r="AC354" s="142"/>
      <c r="AD354" s="142"/>
      <c r="AE354" s="142"/>
      <c r="AF354" s="142"/>
      <c r="AG354" s="142"/>
      <c r="AH354" s="142"/>
      <c r="AI354" s="144"/>
      <c r="AV354" s="589"/>
      <c r="AW354" s="589"/>
      <c r="AX354" s="589"/>
    </row>
    <row r="355" spans="1:50" ht="13.2" hidden="1" outlineLevel="1" thickBot="1" x14ac:dyDescent="0.3">
      <c r="A355" s="141"/>
      <c r="B355" s="142"/>
      <c r="C355" s="143"/>
      <c r="D355" s="142"/>
      <c r="E355" s="142"/>
      <c r="F355" s="142"/>
      <c r="G355" s="142"/>
      <c r="H355" s="142"/>
      <c r="I355" s="142"/>
      <c r="J355" s="142"/>
      <c r="K355" s="142"/>
      <c r="L355" s="142"/>
      <c r="M355" s="142"/>
      <c r="N355" s="142"/>
      <c r="O355" s="142"/>
      <c r="P355" s="142"/>
      <c r="Q355" s="142"/>
      <c r="R355" s="142"/>
      <c r="S355" s="142"/>
      <c r="T355" s="142"/>
      <c r="U355" s="142"/>
      <c r="V355" s="142"/>
      <c r="W355" s="142"/>
      <c r="X355" s="142"/>
      <c r="Y355" s="142"/>
      <c r="Z355" s="142"/>
      <c r="AA355" s="142"/>
      <c r="AB355" s="142"/>
      <c r="AC355" s="142"/>
      <c r="AD355" s="142"/>
      <c r="AE355" s="142"/>
      <c r="AF355" s="142"/>
      <c r="AG355" s="142"/>
      <c r="AH355" s="142"/>
      <c r="AI355" s="144"/>
      <c r="AV355" s="589"/>
      <c r="AW355" s="589"/>
      <c r="AX355" s="589"/>
    </row>
    <row r="356" spans="1:50" ht="13.2" hidden="1" outlineLevel="1" thickBot="1" x14ac:dyDescent="0.3">
      <c r="A356" s="141"/>
      <c r="B356" s="142"/>
      <c r="C356" s="143"/>
      <c r="D356" s="142"/>
      <c r="E356" s="142"/>
      <c r="F356" s="142"/>
      <c r="G356" s="142"/>
      <c r="H356" s="142"/>
      <c r="I356" s="142"/>
      <c r="J356" s="142"/>
      <c r="K356" s="142"/>
      <c r="L356" s="142"/>
      <c r="M356" s="142"/>
      <c r="N356" s="142"/>
      <c r="O356" s="142"/>
      <c r="P356" s="142"/>
      <c r="Q356" s="142"/>
      <c r="R356" s="142"/>
      <c r="S356" s="142"/>
      <c r="T356" s="142"/>
      <c r="U356" s="142"/>
      <c r="V356" s="142"/>
      <c r="W356" s="142"/>
      <c r="X356" s="142"/>
      <c r="Y356" s="142"/>
      <c r="Z356" s="142"/>
      <c r="AA356" s="142"/>
      <c r="AB356" s="142"/>
      <c r="AC356" s="142"/>
      <c r="AD356" s="142"/>
      <c r="AE356" s="142"/>
      <c r="AF356" s="142"/>
      <c r="AG356" s="142"/>
      <c r="AH356" s="142"/>
      <c r="AI356" s="144"/>
      <c r="AV356" s="589"/>
      <c r="AW356" s="589"/>
      <c r="AX356" s="589"/>
    </row>
    <row r="357" spans="1:50" ht="13.2" hidden="1" outlineLevel="1" thickBot="1" x14ac:dyDescent="0.3">
      <c r="A357" s="141"/>
      <c r="B357" s="142"/>
      <c r="C357" s="143"/>
      <c r="D357" s="142"/>
      <c r="E357" s="142"/>
      <c r="F357" s="142"/>
      <c r="G357" s="142"/>
      <c r="H357" s="142"/>
      <c r="I357" s="142"/>
      <c r="J357" s="142"/>
      <c r="K357" s="142"/>
      <c r="L357" s="142"/>
      <c r="M357" s="142"/>
      <c r="N357" s="142"/>
      <c r="O357" s="142"/>
      <c r="P357" s="142"/>
      <c r="Q357" s="142"/>
      <c r="R357" s="142"/>
      <c r="S357" s="142"/>
      <c r="T357" s="142"/>
      <c r="U357" s="142"/>
      <c r="V357" s="142"/>
      <c r="W357" s="142"/>
      <c r="X357" s="142"/>
      <c r="Y357" s="142"/>
      <c r="Z357" s="142"/>
      <c r="AA357" s="142"/>
      <c r="AB357" s="142"/>
      <c r="AC357" s="142"/>
      <c r="AD357" s="142"/>
      <c r="AE357" s="142"/>
      <c r="AF357" s="142"/>
      <c r="AG357" s="142"/>
      <c r="AH357" s="142"/>
      <c r="AI357" s="144"/>
      <c r="AV357" s="589"/>
      <c r="AW357" s="589"/>
      <c r="AX357" s="589"/>
    </row>
    <row r="358" spans="1:50" ht="13.2" hidden="1" outlineLevel="1" thickBot="1" x14ac:dyDescent="0.3">
      <c r="A358" s="141"/>
      <c r="B358" s="142"/>
      <c r="C358" s="143"/>
      <c r="D358" s="142"/>
      <c r="E358" s="142"/>
      <c r="F358" s="142"/>
      <c r="G358" s="142"/>
      <c r="H358" s="142"/>
      <c r="I358" s="142"/>
      <c r="J358" s="142"/>
      <c r="K358" s="142"/>
      <c r="L358" s="142"/>
      <c r="M358" s="142"/>
      <c r="N358" s="142"/>
      <c r="O358" s="142"/>
      <c r="P358" s="142"/>
      <c r="Q358" s="142"/>
      <c r="R358" s="142"/>
      <c r="S358" s="142"/>
      <c r="T358" s="142"/>
      <c r="U358" s="142"/>
      <c r="V358" s="142"/>
      <c r="W358" s="142"/>
      <c r="X358" s="142"/>
      <c r="Y358" s="142"/>
      <c r="Z358" s="142"/>
      <c r="AA358" s="142"/>
      <c r="AB358" s="142"/>
      <c r="AC358" s="142"/>
      <c r="AD358" s="142"/>
      <c r="AE358" s="142"/>
      <c r="AF358" s="142"/>
      <c r="AG358" s="142"/>
      <c r="AH358" s="142"/>
      <c r="AI358" s="144"/>
      <c r="AV358" s="589"/>
      <c r="AW358" s="589"/>
      <c r="AX358" s="589"/>
    </row>
    <row r="359" spans="1:50" ht="13.2" hidden="1" outlineLevel="1" thickBot="1" x14ac:dyDescent="0.3">
      <c r="A359" s="141"/>
      <c r="B359" s="142"/>
      <c r="C359" s="143"/>
      <c r="D359" s="142"/>
      <c r="E359" s="142"/>
      <c r="F359" s="142"/>
      <c r="G359" s="142"/>
      <c r="H359" s="142"/>
      <c r="I359" s="142"/>
      <c r="J359" s="142"/>
      <c r="K359" s="142"/>
      <c r="L359" s="142"/>
      <c r="M359" s="142"/>
      <c r="N359" s="142"/>
      <c r="O359" s="142"/>
      <c r="P359" s="142"/>
      <c r="Q359" s="142"/>
      <c r="R359" s="142"/>
      <c r="S359" s="142"/>
      <c r="T359" s="142"/>
      <c r="U359" s="142"/>
      <c r="V359" s="142"/>
      <c r="W359" s="142"/>
      <c r="X359" s="142"/>
      <c r="Y359" s="142"/>
      <c r="Z359" s="142"/>
      <c r="AA359" s="142"/>
      <c r="AB359" s="142"/>
      <c r="AC359" s="142"/>
      <c r="AD359" s="142"/>
      <c r="AE359" s="142"/>
      <c r="AF359" s="142"/>
      <c r="AG359" s="142"/>
      <c r="AH359" s="142"/>
      <c r="AI359" s="144"/>
      <c r="AV359" s="589"/>
      <c r="AW359" s="589"/>
      <c r="AX359" s="589"/>
    </row>
    <row r="360" spans="1:50" ht="13.2" hidden="1" outlineLevel="1" thickBot="1" x14ac:dyDescent="0.3">
      <c r="A360" s="141"/>
      <c r="B360" s="142"/>
      <c r="C360" s="143"/>
      <c r="D360" s="142"/>
      <c r="E360" s="142"/>
      <c r="F360" s="142"/>
      <c r="G360" s="142"/>
      <c r="H360" s="142"/>
      <c r="I360" s="142"/>
      <c r="J360" s="142"/>
      <c r="K360" s="142"/>
      <c r="L360" s="142"/>
      <c r="M360" s="142"/>
      <c r="N360" s="142"/>
      <c r="O360" s="142"/>
      <c r="P360" s="142"/>
      <c r="Q360" s="142"/>
      <c r="R360" s="142"/>
      <c r="S360" s="142"/>
      <c r="T360" s="142"/>
      <c r="U360" s="142"/>
      <c r="V360" s="142"/>
      <c r="W360" s="142"/>
      <c r="X360" s="142"/>
      <c r="Y360" s="142"/>
      <c r="Z360" s="142"/>
      <c r="AA360" s="142"/>
      <c r="AB360" s="142"/>
      <c r="AC360" s="142"/>
      <c r="AD360" s="142"/>
      <c r="AE360" s="142"/>
      <c r="AF360" s="142"/>
      <c r="AG360" s="142"/>
      <c r="AH360" s="142"/>
      <c r="AI360" s="144"/>
      <c r="AV360" s="589"/>
      <c r="AW360" s="589"/>
      <c r="AX360" s="589"/>
    </row>
    <row r="361" spans="1:50" ht="13.2" hidden="1" outlineLevel="1" thickBot="1" x14ac:dyDescent="0.3">
      <c r="A361" s="141"/>
      <c r="B361" s="142"/>
      <c r="C361" s="143"/>
      <c r="D361" s="142"/>
      <c r="E361" s="142"/>
      <c r="F361" s="142"/>
      <c r="G361" s="142"/>
      <c r="H361" s="142"/>
      <c r="I361" s="142"/>
      <c r="J361" s="142"/>
      <c r="K361" s="142"/>
      <c r="L361" s="142"/>
      <c r="M361" s="142"/>
      <c r="N361" s="142"/>
      <c r="O361" s="142"/>
      <c r="P361" s="142"/>
      <c r="Q361" s="142"/>
      <c r="R361" s="142"/>
      <c r="S361" s="142"/>
      <c r="T361" s="142"/>
      <c r="U361" s="142"/>
      <c r="V361" s="142"/>
      <c r="W361" s="142"/>
      <c r="X361" s="142"/>
      <c r="Y361" s="142"/>
      <c r="Z361" s="142"/>
      <c r="AA361" s="142"/>
      <c r="AB361" s="142"/>
      <c r="AC361" s="142"/>
      <c r="AD361" s="142"/>
      <c r="AE361" s="142"/>
      <c r="AF361" s="142"/>
      <c r="AG361" s="142"/>
      <c r="AH361" s="142"/>
      <c r="AI361" s="144"/>
      <c r="AV361" s="589"/>
      <c r="AW361" s="589"/>
      <c r="AX361" s="589"/>
    </row>
    <row r="362" spans="1:50" ht="13.2" hidden="1" outlineLevel="1" thickBot="1" x14ac:dyDescent="0.3">
      <c r="A362" s="141"/>
      <c r="B362" s="142"/>
      <c r="C362" s="143"/>
      <c r="D362" s="142"/>
      <c r="E362" s="142"/>
      <c r="F362" s="142"/>
      <c r="G362" s="142"/>
      <c r="H362" s="142"/>
      <c r="I362" s="142"/>
      <c r="J362" s="142"/>
      <c r="K362" s="142"/>
      <c r="L362" s="142"/>
      <c r="M362" s="142"/>
      <c r="N362" s="142"/>
      <c r="O362" s="142"/>
      <c r="P362" s="142"/>
      <c r="Q362" s="142"/>
      <c r="R362" s="142"/>
      <c r="S362" s="142"/>
      <c r="T362" s="142"/>
      <c r="U362" s="142"/>
      <c r="V362" s="142"/>
      <c r="W362" s="142"/>
      <c r="X362" s="142"/>
      <c r="Y362" s="142"/>
      <c r="Z362" s="142"/>
      <c r="AA362" s="142"/>
      <c r="AB362" s="142"/>
      <c r="AC362" s="142"/>
      <c r="AD362" s="142"/>
      <c r="AE362" s="142"/>
      <c r="AF362" s="142"/>
      <c r="AG362" s="142"/>
      <c r="AH362" s="142"/>
      <c r="AI362" s="144"/>
      <c r="AV362" s="589"/>
      <c r="AW362" s="589"/>
      <c r="AX362" s="589"/>
    </row>
    <row r="363" spans="1:50" ht="13.2" hidden="1" outlineLevel="1" thickBot="1" x14ac:dyDescent="0.3">
      <c r="A363" s="141"/>
      <c r="B363" s="142"/>
      <c r="C363" s="143"/>
      <c r="D363" s="142"/>
      <c r="E363" s="142"/>
      <c r="F363" s="142"/>
      <c r="G363" s="142"/>
      <c r="H363" s="142"/>
      <c r="I363" s="142"/>
      <c r="J363" s="142"/>
      <c r="K363" s="142"/>
      <c r="L363" s="142"/>
      <c r="M363" s="142"/>
      <c r="N363" s="142"/>
      <c r="O363" s="142"/>
      <c r="P363" s="142"/>
      <c r="Q363" s="142"/>
      <c r="R363" s="142"/>
      <c r="S363" s="142"/>
      <c r="T363" s="142"/>
      <c r="U363" s="142"/>
      <c r="V363" s="142"/>
      <c r="W363" s="142"/>
      <c r="X363" s="142"/>
      <c r="Y363" s="142"/>
      <c r="Z363" s="142"/>
      <c r="AA363" s="142"/>
      <c r="AB363" s="142"/>
      <c r="AC363" s="142"/>
      <c r="AD363" s="142"/>
      <c r="AE363" s="142"/>
      <c r="AF363" s="142"/>
      <c r="AG363" s="142"/>
      <c r="AH363" s="142"/>
      <c r="AI363" s="144"/>
      <c r="AV363" s="589"/>
      <c r="AW363" s="589"/>
      <c r="AX363" s="589"/>
    </row>
    <row r="364" spans="1:50" ht="13.2" hidden="1" outlineLevel="1" thickBot="1" x14ac:dyDescent="0.3">
      <c r="A364" s="141"/>
      <c r="B364" s="142"/>
      <c r="C364" s="143"/>
      <c r="D364" s="142"/>
      <c r="E364" s="142"/>
      <c r="F364" s="142"/>
      <c r="G364" s="142"/>
      <c r="H364" s="142"/>
      <c r="I364" s="142"/>
      <c r="J364" s="142"/>
      <c r="K364" s="142"/>
      <c r="L364" s="142"/>
      <c r="M364" s="142"/>
      <c r="N364" s="142"/>
      <c r="O364" s="142"/>
      <c r="P364" s="142"/>
      <c r="Q364" s="142"/>
      <c r="R364" s="142"/>
      <c r="S364" s="142"/>
      <c r="T364" s="142"/>
      <c r="U364" s="142"/>
      <c r="V364" s="142"/>
      <c r="W364" s="142"/>
      <c r="X364" s="142"/>
      <c r="Y364" s="142"/>
      <c r="Z364" s="142"/>
      <c r="AA364" s="142"/>
      <c r="AB364" s="142"/>
      <c r="AC364" s="142"/>
      <c r="AD364" s="142"/>
      <c r="AE364" s="142"/>
      <c r="AF364" s="142"/>
      <c r="AG364" s="142"/>
      <c r="AH364" s="142"/>
      <c r="AI364" s="144"/>
      <c r="AV364" s="589"/>
      <c r="AW364" s="589"/>
      <c r="AX364" s="589"/>
    </row>
    <row r="365" spans="1:50" ht="13.2" hidden="1" outlineLevel="1" thickBot="1" x14ac:dyDescent="0.3">
      <c r="A365" s="141"/>
      <c r="B365" s="142"/>
      <c r="C365" s="143"/>
      <c r="D365" s="142"/>
      <c r="E365" s="142"/>
      <c r="F365" s="142"/>
      <c r="G365" s="142"/>
      <c r="H365" s="142"/>
      <c r="I365" s="142"/>
      <c r="J365" s="142"/>
      <c r="K365" s="142"/>
      <c r="L365" s="142"/>
      <c r="M365" s="142"/>
      <c r="N365" s="142"/>
      <c r="O365" s="142"/>
      <c r="P365" s="142"/>
      <c r="Q365" s="142"/>
      <c r="R365" s="142"/>
      <c r="S365" s="142"/>
      <c r="T365" s="142"/>
      <c r="U365" s="142"/>
      <c r="V365" s="142"/>
      <c r="W365" s="142"/>
      <c r="X365" s="142"/>
      <c r="Y365" s="142"/>
      <c r="Z365" s="142"/>
      <c r="AA365" s="142"/>
      <c r="AB365" s="142"/>
      <c r="AC365" s="142"/>
      <c r="AD365" s="142"/>
      <c r="AE365" s="142"/>
      <c r="AF365" s="142"/>
      <c r="AG365" s="142"/>
      <c r="AH365" s="142"/>
      <c r="AI365" s="144"/>
      <c r="AV365" s="589"/>
      <c r="AW365" s="589"/>
      <c r="AX365" s="589"/>
    </row>
    <row r="366" spans="1:50" ht="13.2" hidden="1" outlineLevel="1" thickBot="1" x14ac:dyDescent="0.3">
      <c r="A366" s="141"/>
      <c r="B366" s="142"/>
      <c r="C366" s="143"/>
      <c r="D366" s="142"/>
      <c r="E366" s="142"/>
      <c r="F366" s="142"/>
      <c r="G366" s="142"/>
      <c r="H366" s="142"/>
      <c r="I366" s="142"/>
      <c r="J366" s="142"/>
      <c r="K366" s="142"/>
      <c r="L366" s="142"/>
      <c r="M366" s="142"/>
      <c r="N366" s="142"/>
      <c r="O366" s="142"/>
      <c r="P366" s="142"/>
      <c r="Q366" s="142"/>
      <c r="R366" s="142"/>
      <c r="S366" s="142"/>
      <c r="T366" s="142"/>
      <c r="U366" s="142"/>
      <c r="V366" s="142"/>
      <c r="W366" s="142"/>
      <c r="X366" s="142"/>
      <c r="Y366" s="142"/>
      <c r="Z366" s="142"/>
      <c r="AA366" s="142"/>
      <c r="AB366" s="142"/>
      <c r="AC366" s="142"/>
      <c r="AD366" s="142"/>
      <c r="AE366" s="142"/>
      <c r="AF366" s="142"/>
      <c r="AG366" s="142"/>
      <c r="AH366" s="142"/>
      <c r="AI366" s="144"/>
      <c r="AV366" s="589"/>
      <c r="AW366" s="589"/>
      <c r="AX366" s="589"/>
    </row>
    <row r="367" spans="1:50" ht="13.2" hidden="1" outlineLevel="1" thickBot="1" x14ac:dyDescent="0.3">
      <c r="A367" s="141"/>
      <c r="B367" s="142"/>
      <c r="C367" s="143"/>
      <c r="D367" s="142"/>
      <c r="E367" s="142"/>
      <c r="F367" s="142"/>
      <c r="G367" s="142"/>
      <c r="H367" s="142"/>
      <c r="I367" s="142"/>
      <c r="J367" s="142"/>
      <c r="K367" s="142"/>
      <c r="L367" s="142"/>
      <c r="M367" s="142"/>
      <c r="N367" s="142"/>
      <c r="O367" s="142"/>
      <c r="P367" s="142"/>
      <c r="Q367" s="142"/>
      <c r="R367" s="142"/>
      <c r="S367" s="142"/>
      <c r="T367" s="142"/>
      <c r="U367" s="142"/>
      <c r="V367" s="142"/>
      <c r="W367" s="142"/>
      <c r="X367" s="142"/>
      <c r="Y367" s="142"/>
      <c r="Z367" s="142"/>
      <c r="AA367" s="142"/>
      <c r="AB367" s="142"/>
      <c r="AC367" s="142"/>
      <c r="AD367" s="142"/>
      <c r="AE367" s="142"/>
      <c r="AF367" s="142"/>
      <c r="AG367" s="142"/>
      <c r="AH367" s="142"/>
      <c r="AI367" s="144"/>
      <c r="AV367" s="589"/>
      <c r="AW367" s="589"/>
      <c r="AX367" s="589"/>
    </row>
    <row r="368" spans="1:50" ht="13.2" hidden="1" outlineLevel="1" thickBot="1" x14ac:dyDescent="0.3">
      <c r="A368" s="141"/>
      <c r="B368" s="142"/>
      <c r="C368" s="143"/>
      <c r="D368" s="142"/>
      <c r="E368" s="142"/>
      <c r="F368" s="142"/>
      <c r="G368" s="142"/>
      <c r="H368" s="142"/>
      <c r="I368" s="142"/>
      <c r="J368" s="142"/>
      <c r="K368" s="142"/>
      <c r="L368" s="142"/>
      <c r="M368" s="142"/>
      <c r="N368" s="142"/>
      <c r="O368" s="142"/>
      <c r="P368" s="142"/>
      <c r="Q368" s="142"/>
      <c r="R368" s="142"/>
      <c r="S368" s="142"/>
      <c r="T368" s="142"/>
      <c r="U368" s="142"/>
      <c r="V368" s="142"/>
      <c r="W368" s="142"/>
      <c r="X368" s="142"/>
      <c r="Y368" s="142"/>
      <c r="Z368" s="142"/>
      <c r="AA368" s="142"/>
      <c r="AB368" s="142"/>
      <c r="AC368" s="142"/>
      <c r="AD368" s="142"/>
      <c r="AE368" s="142"/>
      <c r="AF368" s="142"/>
      <c r="AG368" s="142"/>
      <c r="AH368" s="142"/>
      <c r="AI368" s="144"/>
      <c r="AV368" s="589"/>
      <c r="AW368" s="589"/>
      <c r="AX368" s="589"/>
    </row>
    <row r="369" spans="1:50" ht="13.2" hidden="1" outlineLevel="1" thickBot="1" x14ac:dyDescent="0.3">
      <c r="A369" s="141"/>
      <c r="B369" s="142"/>
      <c r="C369" s="143"/>
      <c r="D369" s="142"/>
      <c r="E369" s="142"/>
      <c r="F369" s="142"/>
      <c r="G369" s="142"/>
      <c r="H369" s="142"/>
      <c r="I369" s="142"/>
      <c r="J369" s="142"/>
      <c r="K369" s="142"/>
      <c r="L369" s="142"/>
      <c r="M369" s="142"/>
      <c r="N369" s="142"/>
      <c r="O369" s="142"/>
      <c r="P369" s="142"/>
      <c r="Q369" s="142"/>
      <c r="R369" s="142"/>
      <c r="S369" s="142"/>
      <c r="T369" s="142"/>
      <c r="U369" s="142"/>
      <c r="V369" s="142"/>
      <c r="W369" s="142"/>
      <c r="X369" s="142"/>
      <c r="Y369" s="142"/>
      <c r="Z369" s="142"/>
      <c r="AA369" s="142"/>
      <c r="AB369" s="142"/>
      <c r="AC369" s="142"/>
      <c r="AD369" s="142"/>
      <c r="AE369" s="142"/>
      <c r="AF369" s="142"/>
      <c r="AG369" s="142"/>
      <c r="AH369" s="142"/>
      <c r="AI369" s="144"/>
      <c r="AV369" s="589"/>
      <c r="AW369" s="589"/>
      <c r="AX369" s="589"/>
    </row>
    <row r="370" spans="1:50" ht="13.2" hidden="1" outlineLevel="1" thickBot="1" x14ac:dyDescent="0.3">
      <c r="A370" s="145"/>
      <c r="B370" s="146"/>
      <c r="C370" s="147"/>
      <c r="D370" s="146"/>
      <c r="E370" s="146"/>
      <c r="F370" s="146"/>
      <c r="G370" s="146"/>
      <c r="H370" s="146"/>
      <c r="I370" s="146"/>
      <c r="J370" s="146"/>
      <c r="K370" s="146"/>
      <c r="L370" s="146"/>
      <c r="M370" s="146"/>
      <c r="N370" s="146"/>
      <c r="O370" s="146"/>
      <c r="P370" s="146"/>
      <c r="Q370" s="146"/>
      <c r="R370" s="146"/>
      <c r="S370" s="146"/>
      <c r="T370" s="146"/>
      <c r="U370" s="146"/>
      <c r="V370" s="146"/>
      <c r="W370" s="146"/>
      <c r="X370" s="146"/>
      <c r="Y370" s="146"/>
      <c r="Z370" s="146"/>
      <c r="AA370" s="146"/>
      <c r="AB370" s="146"/>
      <c r="AC370" s="146"/>
      <c r="AD370" s="146"/>
      <c r="AE370" s="146"/>
      <c r="AF370" s="146"/>
      <c r="AG370" s="146"/>
      <c r="AH370" s="146"/>
      <c r="AI370" s="148"/>
      <c r="AV370" s="590"/>
      <c r="AW370" s="590"/>
      <c r="AX370" s="590"/>
    </row>
    <row r="371" spans="1:50" ht="18" collapsed="1" thickBot="1" x14ac:dyDescent="0.35">
      <c r="A371" s="251" t="s">
        <v>4068</v>
      </c>
      <c r="B371" s="252"/>
      <c r="C371" s="253"/>
      <c r="D371" s="252"/>
      <c r="E371" s="252"/>
      <c r="F371" s="252"/>
      <c r="G371" s="252"/>
      <c r="H371" s="252"/>
      <c r="I371" s="252"/>
      <c r="J371" s="252"/>
      <c r="K371" s="252"/>
      <c r="L371" s="252"/>
      <c r="M371" s="252"/>
      <c r="N371" s="252"/>
      <c r="O371" s="252"/>
      <c r="P371" s="252"/>
      <c r="Q371" s="252"/>
      <c r="R371" s="252"/>
      <c r="S371" s="252"/>
      <c r="T371" s="252"/>
      <c r="U371" s="252"/>
      <c r="V371" s="252"/>
      <c r="W371" s="252"/>
      <c r="X371" s="252"/>
      <c r="Y371" s="252"/>
      <c r="Z371" s="254"/>
      <c r="AA371" s="252"/>
      <c r="AB371" s="252"/>
      <c r="AC371" s="252"/>
      <c r="AD371" s="252"/>
      <c r="AE371" s="252"/>
      <c r="AF371" s="252"/>
      <c r="AG371" s="252"/>
      <c r="AH371" s="252"/>
      <c r="AI371" s="255"/>
      <c r="AV371" s="599"/>
      <c r="AW371" s="599"/>
      <c r="AX371" s="599"/>
    </row>
    <row r="372" spans="1:50" ht="13.2" thickBot="1" x14ac:dyDescent="0.3">
      <c r="A372" s="256"/>
      <c r="B372" s="257"/>
      <c r="C372" s="258"/>
      <c r="D372" s="259"/>
      <c r="E372" s="260"/>
      <c r="F372" s="260"/>
      <c r="G372" s="260"/>
      <c r="H372" s="259"/>
      <c r="I372" s="260"/>
      <c r="J372" s="260"/>
      <c r="K372" s="260"/>
      <c r="L372" s="259"/>
      <c r="M372" s="260"/>
      <c r="N372" s="260"/>
      <c r="O372" s="260"/>
      <c r="P372" s="260"/>
      <c r="Q372" s="260"/>
      <c r="R372" s="261" t="s">
        <v>3818</v>
      </c>
      <c r="S372" s="260"/>
      <c r="T372" s="260"/>
      <c r="U372" s="260"/>
      <c r="V372" s="260"/>
      <c r="W372" s="260"/>
      <c r="X372" s="260"/>
      <c r="Y372" s="160" t="s">
        <v>345</v>
      </c>
      <c r="Z372" s="260"/>
      <c r="AA372" s="260"/>
      <c r="AB372" s="260"/>
      <c r="AC372" s="262" t="s">
        <v>3818</v>
      </c>
      <c r="AD372" s="263" t="s">
        <v>3818</v>
      </c>
      <c r="AE372" s="263" t="s">
        <v>3818</v>
      </c>
      <c r="AF372" s="263" t="s">
        <v>3818</v>
      </c>
      <c r="AG372" s="263" t="s">
        <v>345</v>
      </c>
      <c r="AH372" s="263" t="s">
        <v>345</v>
      </c>
      <c r="AI372" s="226" t="s">
        <v>345</v>
      </c>
      <c r="AV372" s="592"/>
      <c r="AW372" s="592" t="str">
        <f>$AW$19</f>
        <v>LWN</v>
      </c>
      <c r="AX372" s="592" t="str">
        <f>$AW$19</f>
        <v>LWN</v>
      </c>
    </row>
    <row r="373" spans="1:50" x14ac:dyDescent="0.25">
      <c r="A373" s="1444"/>
      <c r="B373" s="1453" t="s">
        <v>3820</v>
      </c>
      <c r="C373" s="1458"/>
      <c r="D373" s="1459" t="s">
        <v>3821</v>
      </c>
      <c r="E373" s="1453" t="s">
        <v>4069</v>
      </c>
      <c r="F373" s="1453" t="s">
        <v>2350</v>
      </c>
      <c r="G373" s="1453" t="s">
        <v>3823</v>
      </c>
      <c r="H373" s="1453" t="s">
        <v>3828</v>
      </c>
      <c r="I373" s="1881" t="s">
        <v>3825</v>
      </c>
      <c r="J373" s="1882"/>
      <c r="K373" s="1883"/>
      <c r="L373" s="1453" t="s">
        <v>3983</v>
      </c>
      <c r="M373" s="1453" t="s">
        <v>3827</v>
      </c>
      <c r="N373" s="1453" t="s">
        <v>12</v>
      </c>
      <c r="O373" s="1454"/>
      <c r="P373" s="1454"/>
      <c r="Q373" s="1455"/>
      <c r="R373" s="227" t="s">
        <v>184</v>
      </c>
      <c r="S373" s="1457"/>
      <c r="T373" s="1454"/>
      <c r="U373" s="1454"/>
      <c r="V373" s="1454"/>
      <c r="W373" s="1454"/>
      <c r="X373" s="1455"/>
      <c r="Y373" s="227" t="s">
        <v>184</v>
      </c>
      <c r="Z373" s="1459"/>
      <c r="AA373" s="1454"/>
      <c r="AB373" s="1455"/>
      <c r="AC373" s="1449" t="s">
        <v>3834</v>
      </c>
      <c r="AD373" s="1445" t="s">
        <v>3835</v>
      </c>
      <c r="AE373" s="1445" t="s">
        <v>3836</v>
      </c>
      <c r="AF373" s="1445" t="s">
        <v>1866</v>
      </c>
      <c r="AG373" s="1445" t="s">
        <v>3834</v>
      </c>
      <c r="AH373" s="1445" t="s">
        <v>3835</v>
      </c>
      <c r="AI373" s="1605" t="s">
        <v>1866</v>
      </c>
      <c r="AV373" s="600"/>
      <c r="AW373" s="600" t="s">
        <v>184</v>
      </c>
      <c r="AX373" s="1598" t="str">
        <f>$AX$20</f>
        <v>Unit Surface</v>
      </c>
    </row>
    <row r="374" spans="1:50" ht="13.2" thickBot="1" x14ac:dyDescent="0.3">
      <c r="A374" s="186"/>
      <c r="B374" s="243" t="s">
        <v>59</v>
      </c>
      <c r="C374" s="244" t="s">
        <v>1685</v>
      </c>
      <c r="D374" s="245" t="s">
        <v>93</v>
      </c>
      <c r="E374" s="243"/>
      <c r="F374" s="243"/>
      <c r="G374" s="243"/>
      <c r="H374" s="243"/>
      <c r="I374" s="243" t="s">
        <v>3837</v>
      </c>
      <c r="J374" s="243" t="s">
        <v>3839</v>
      </c>
      <c r="K374" s="243" t="s">
        <v>3838</v>
      </c>
      <c r="L374" s="243" t="s">
        <v>93</v>
      </c>
      <c r="M374" s="243" t="s">
        <v>93</v>
      </c>
      <c r="N374" s="243" t="s">
        <v>93</v>
      </c>
      <c r="O374" s="234"/>
      <c r="P374" s="234"/>
      <c r="Q374" s="235"/>
      <c r="R374" s="264" t="s">
        <v>222</v>
      </c>
      <c r="S374" s="236"/>
      <c r="T374" s="234"/>
      <c r="U374" s="234"/>
      <c r="V374" s="234"/>
      <c r="W374" s="234"/>
      <c r="X374" s="235"/>
      <c r="Y374" s="264" t="s">
        <v>222</v>
      </c>
      <c r="Z374" s="245"/>
      <c r="AA374" s="234"/>
      <c r="AB374" s="235"/>
      <c r="AC374" s="168" t="s">
        <v>228</v>
      </c>
      <c r="AD374" s="166" t="s">
        <v>228</v>
      </c>
      <c r="AE374" s="166" t="s">
        <v>228</v>
      </c>
      <c r="AF374" s="166" t="s">
        <v>228</v>
      </c>
      <c r="AG374" s="166" t="s">
        <v>228</v>
      </c>
      <c r="AH374" s="166" t="s">
        <v>228</v>
      </c>
      <c r="AI374" s="169" t="s">
        <v>228</v>
      </c>
      <c r="AV374" s="601"/>
      <c r="AW374" s="601" t="s">
        <v>222</v>
      </c>
      <c r="AX374" s="593" t="str">
        <f>$AX$21</f>
        <v>m2</v>
      </c>
    </row>
    <row r="375" spans="1:50" ht="13.2" thickBot="1" x14ac:dyDescent="0.3">
      <c r="A375" s="190" t="s">
        <v>4070</v>
      </c>
      <c r="B375" s="137">
        <v>0</v>
      </c>
      <c r="C375" s="137">
        <v>0</v>
      </c>
      <c r="D375" s="137">
        <v>0</v>
      </c>
      <c r="E375" s="137">
        <v>0</v>
      </c>
      <c r="F375" s="137">
        <v>0</v>
      </c>
      <c r="G375" s="137">
        <v>0</v>
      </c>
      <c r="H375" s="137">
        <v>0</v>
      </c>
      <c r="I375" s="137">
        <v>0</v>
      </c>
      <c r="J375" s="137">
        <v>0</v>
      </c>
      <c r="K375" s="137">
        <v>0</v>
      </c>
      <c r="L375" s="137">
        <v>0</v>
      </c>
      <c r="M375" s="137">
        <v>0</v>
      </c>
      <c r="N375" s="137">
        <v>0</v>
      </c>
      <c r="O375" s="137">
        <v>0</v>
      </c>
      <c r="P375" s="137">
        <v>0</v>
      </c>
      <c r="Q375" s="192">
        <v>0</v>
      </c>
      <c r="R375" s="160">
        <v>0</v>
      </c>
      <c r="S375" s="232">
        <v>0</v>
      </c>
      <c r="T375" s="230">
        <v>0</v>
      </c>
      <c r="U375" s="230">
        <v>0</v>
      </c>
      <c r="V375" s="230">
        <v>0</v>
      </c>
      <c r="W375" s="230">
        <v>0</v>
      </c>
      <c r="X375" s="231">
        <v>0</v>
      </c>
      <c r="Y375" s="160">
        <v>0</v>
      </c>
      <c r="Z375" s="162">
        <v>0</v>
      </c>
      <c r="AA375" s="230">
        <v>0</v>
      </c>
      <c r="AB375" s="192">
        <v>0</v>
      </c>
      <c r="AC375" s="161">
        <v>0</v>
      </c>
      <c r="AD375" s="137">
        <v>0</v>
      </c>
      <c r="AE375" s="137">
        <v>0</v>
      </c>
      <c r="AF375" s="137">
        <v>0</v>
      </c>
      <c r="AG375" s="137">
        <v>0</v>
      </c>
      <c r="AH375" s="137">
        <v>0</v>
      </c>
      <c r="AI375" s="139">
        <v>0</v>
      </c>
      <c r="AV375" s="602"/>
      <c r="AW375" s="602">
        <v>0</v>
      </c>
      <c r="AX375" s="602">
        <v>0</v>
      </c>
    </row>
    <row r="376" spans="1:50" x14ac:dyDescent="0.25">
      <c r="A376" s="1349" t="s">
        <v>4071</v>
      </c>
      <c r="B376" s="1593">
        <v>650</v>
      </c>
      <c r="C376" s="1594">
        <v>26</v>
      </c>
      <c r="D376" s="1595">
        <v>786</v>
      </c>
      <c r="E376" s="1593">
        <v>41.1</v>
      </c>
      <c r="F376" s="1593">
        <v>44.5</v>
      </c>
      <c r="G376" s="1593">
        <v>711.2</v>
      </c>
      <c r="H376" s="1593">
        <v>88.9</v>
      </c>
      <c r="I376" s="1593">
        <v>36</v>
      </c>
      <c r="J376" s="1593">
        <v>744.5</v>
      </c>
      <c r="K376" s="1593">
        <v>22.2</v>
      </c>
      <c r="L376" s="1593">
        <v>9.6</v>
      </c>
      <c r="M376" s="1593">
        <v>684.2</v>
      </c>
      <c r="N376" s="1593">
        <v>662</v>
      </c>
      <c r="O376" s="1445"/>
      <c r="P376" s="1445"/>
      <c r="Q376" s="1448"/>
      <c r="R376" s="172">
        <v>143</v>
      </c>
      <c r="S376" s="1457"/>
      <c r="T376" s="1454"/>
      <c r="U376" s="1454"/>
      <c r="V376" s="1454"/>
      <c r="W376" s="1454"/>
      <c r="X376" s="1455"/>
      <c r="Y376" s="172">
        <v>323</v>
      </c>
      <c r="Z376" s="1447"/>
      <c r="AA376" s="1454"/>
      <c r="AB376" s="1455"/>
      <c r="AC376" s="1352">
        <f>PI()*D376*E376/1000000</f>
        <v>0.10148789403715683</v>
      </c>
      <c r="AD376" s="1617">
        <f>D376^2*PI()/4/1000000</f>
        <v>0.48521584375428994</v>
      </c>
      <c r="AE376" s="1617">
        <f>N376*PI()*(H376-E376)/1000000</f>
        <v>9.9411301293133997E-2</v>
      </c>
      <c r="AF376" s="1617">
        <f>AE376+AD376+AC376</f>
        <v>0.68611503908458082</v>
      </c>
      <c r="AG376" s="1617">
        <f>PI()*D376*F376/1000000</f>
        <v>0.1098834862446102</v>
      </c>
      <c r="AH376" s="1617">
        <f>D376^2*PI()/4/1000000</f>
        <v>0.48521584375428994</v>
      </c>
      <c r="AI376" s="1618">
        <f>AH376+AG376</f>
        <v>0.59509932999890014</v>
      </c>
      <c r="AV376" s="603"/>
      <c r="AW376" s="603"/>
      <c r="AX376" s="603"/>
    </row>
    <row r="377" spans="1:50" x14ac:dyDescent="0.25">
      <c r="A377" s="1620" t="s">
        <v>4072</v>
      </c>
      <c r="B377" s="1504">
        <v>700</v>
      </c>
      <c r="C377" s="1505">
        <v>28</v>
      </c>
      <c r="D377" s="1506">
        <v>837</v>
      </c>
      <c r="E377" s="1504">
        <v>44.4</v>
      </c>
      <c r="F377" s="1504">
        <v>47.8</v>
      </c>
      <c r="G377" s="1504">
        <v>762</v>
      </c>
      <c r="H377" s="1504">
        <v>95.2</v>
      </c>
      <c r="I377" s="1504">
        <v>40</v>
      </c>
      <c r="J377" s="1504">
        <v>795.3</v>
      </c>
      <c r="K377" s="1504">
        <v>22.2</v>
      </c>
      <c r="L377" s="1504">
        <v>9.6</v>
      </c>
      <c r="M377" s="1504">
        <v>735</v>
      </c>
      <c r="N377" s="1504">
        <v>712.8</v>
      </c>
      <c r="O377" s="1504"/>
      <c r="P377" s="1504"/>
      <c r="Q377" s="1508"/>
      <c r="R377" s="1362">
        <v>185</v>
      </c>
      <c r="S377" s="1659"/>
      <c r="T377" s="1657"/>
      <c r="U377" s="1657"/>
      <c r="V377" s="1657"/>
      <c r="W377" s="1657"/>
      <c r="X377" s="1658"/>
      <c r="Y377" s="1362">
        <v>382</v>
      </c>
      <c r="Z377" s="1506"/>
      <c r="AA377" s="1657"/>
      <c r="AB377" s="1658"/>
      <c r="AC377" s="1612">
        <f t="shared" ref="AC377:AC393" si="96">PI()*D377*E377/1000000</f>
        <v>0.11675037946682676</v>
      </c>
      <c r="AD377" s="1613">
        <f t="shared" ref="AD377:AD393" si="97">D377^2*PI()/4/1000000</f>
        <v>0.55022560593318692</v>
      </c>
      <c r="AE377" s="1613">
        <f t="shared" ref="AE377:AE393" si="98">N377*PI()*(H377-E377)/1000000</f>
        <v>0.11375782396872329</v>
      </c>
      <c r="AF377" s="1613">
        <f t="shared" ref="AF377:AF393" si="99">AE377+AD377+AC377</f>
        <v>0.78073380936873693</v>
      </c>
      <c r="AG377" s="1613">
        <f t="shared" ref="AG377:AG393" si="100">PI()*D377*F377/1000000</f>
        <v>0.1256907238404126</v>
      </c>
      <c r="AH377" s="1613">
        <f t="shared" ref="AH377:AH393" si="101">D377^2*PI()/4/1000000</f>
        <v>0.55022560593318692</v>
      </c>
      <c r="AI377" s="1614">
        <f t="shared" ref="AI377:AI393" si="102">AH377+AG377</f>
        <v>0.6759163297735995</v>
      </c>
      <c r="AV377" s="1363"/>
      <c r="AW377" s="1363"/>
      <c r="AX377" s="1363"/>
    </row>
    <row r="378" spans="1:50" x14ac:dyDescent="0.25">
      <c r="A378" s="1620" t="s">
        <v>4073</v>
      </c>
      <c r="B378" s="1504">
        <v>750</v>
      </c>
      <c r="C378" s="1505">
        <v>30</v>
      </c>
      <c r="D378" s="1506">
        <v>887</v>
      </c>
      <c r="E378" s="1504">
        <v>44.4</v>
      </c>
      <c r="F378" s="1504">
        <v>50.8</v>
      </c>
      <c r="G378" s="1504">
        <v>812.8</v>
      </c>
      <c r="H378" s="1504">
        <v>100</v>
      </c>
      <c r="I378" s="1504">
        <v>44</v>
      </c>
      <c r="J378" s="1504">
        <v>846.1</v>
      </c>
      <c r="K378" s="1504">
        <v>22.2</v>
      </c>
      <c r="L378" s="1504">
        <v>9.6</v>
      </c>
      <c r="M378" s="1504">
        <v>787.4</v>
      </c>
      <c r="N378" s="1504">
        <v>763.6</v>
      </c>
      <c r="O378" s="1504"/>
      <c r="P378" s="1504"/>
      <c r="Q378" s="1508"/>
      <c r="R378" s="1362">
        <v>199</v>
      </c>
      <c r="S378" s="1659"/>
      <c r="T378" s="1657"/>
      <c r="U378" s="1657"/>
      <c r="V378" s="1657"/>
      <c r="W378" s="1657"/>
      <c r="X378" s="1658"/>
      <c r="Y378" s="1362">
        <v>450</v>
      </c>
      <c r="Z378" s="1506"/>
      <c r="AA378" s="1657"/>
      <c r="AB378" s="1658"/>
      <c r="AC378" s="1612">
        <f t="shared" si="96"/>
        <v>0.12372471515779611</v>
      </c>
      <c r="AD378" s="1613">
        <f t="shared" si="97"/>
        <v>0.61792692761804702</v>
      </c>
      <c r="AE378" s="1613">
        <f t="shared" si="98"/>
        <v>0.13337996035563285</v>
      </c>
      <c r="AF378" s="1613">
        <f t="shared" si="99"/>
        <v>0.87503160313147599</v>
      </c>
      <c r="AG378" s="1613">
        <f t="shared" si="100"/>
        <v>0.14155890833369464</v>
      </c>
      <c r="AH378" s="1613">
        <f t="shared" si="101"/>
        <v>0.61792692761804702</v>
      </c>
      <c r="AI378" s="1614">
        <f t="shared" si="102"/>
        <v>0.75948583595174168</v>
      </c>
      <c r="AV378" s="1363"/>
      <c r="AW378" s="1363"/>
      <c r="AX378" s="1363"/>
    </row>
    <row r="379" spans="1:50" x14ac:dyDescent="0.25">
      <c r="A379" s="1620" t="s">
        <v>4074</v>
      </c>
      <c r="B379" s="1504">
        <v>800</v>
      </c>
      <c r="C379" s="1505">
        <v>32</v>
      </c>
      <c r="D379" s="1506">
        <v>941</v>
      </c>
      <c r="E379" s="1504">
        <v>46</v>
      </c>
      <c r="F379" s="1504">
        <v>53.8</v>
      </c>
      <c r="G379" s="1504">
        <v>863.6</v>
      </c>
      <c r="H379" s="1504">
        <v>108</v>
      </c>
      <c r="I379" s="1504">
        <v>48</v>
      </c>
      <c r="J379" s="1504">
        <v>900.1</v>
      </c>
      <c r="K379" s="1504">
        <v>22.2</v>
      </c>
      <c r="L379" s="1504">
        <v>9.6</v>
      </c>
      <c r="M379" s="1504">
        <v>839.8</v>
      </c>
      <c r="N379" s="1504">
        <v>814.4</v>
      </c>
      <c r="O379" s="1504"/>
      <c r="P379" s="1504"/>
      <c r="Q379" s="1508"/>
      <c r="R379" s="1362">
        <v>255</v>
      </c>
      <c r="S379" s="1659"/>
      <c r="T379" s="1657"/>
      <c r="U379" s="1657"/>
      <c r="V379" s="1657"/>
      <c r="W379" s="1657"/>
      <c r="X379" s="1658"/>
      <c r="Y379" s="1362">
        <v>560</v>
      </c>
      <c r="Z379" s="1506"/>
      <c r="AA379" s="1657"/>
      <c r="AB379" s="1658"/>
      <c r="AC379" s="1612">
        <f t="shared" si="96"/>
        <v>0.13598697960328776</v>
      </c>
      <c r="AD379" s="1613">
        <f t="shared" si="97"/>
        <v>0.69545515112333589</v>
      </c>
      <c r="AE379" s="1613">
        <f t="shared" si="98"/>
        <v>0.15862780953917871</v>
      </c>
      <c r="AF379" s="1613">
        <f t="shared" si="99"/>
        <v>0.99006994026580242</v>
      </c>
      <c r="AG379" s="1613">
        <f t="shared" si="100"/>
        <v>0.15904564136210614</v>
      </c>
      <c r="AH379" s="1613">
        <f t="shared" si="101"/>
        <v>0.69545515112333589</v>
      </c>
      <c r="AI379" s="1614">
        <f t="shared" si="102"/>
        <v>0.85450079248544197</v>
      </c>
      <c r="AV379" s="1363"/>
      <c r="AW379" s="1363"/>
      <c r="AX379" s="1363"/>
    </row>
    <row r="380" spans="1:50" x14ac:dyDescent="0.25">
      <c r="A380" s="1620" t="s">
        <v>4075</v>
      </c>
      <c r="B380" s="1504">
        <v>850</v>
      </c>
      <c r="C380" s="1505">
        <v>34</v>
      </c>
      <c r="D380" s="1506">
        <v>1005</v>
      </c>
      <c r="E380" s="1504">
        <v>49.3</v>
      </c>
      <c r="F380" s="1504">
        <v>57.2</v>
      </c>
      <c r="G380" s="1504">
        <v>920.8</v>
      </c>
      <c r="H380" s="1504">
        <v>110.2</v>
      </c>
      <c r="I380" s="1504">
        <v>40</v>
      </c>
      <c r="J380" s="1504">
        <v>957.3</v>
      </c>
      <c r="K380" s="1504">
        <v>25.4</v>
      </c>
      <c r="L380" s="1504">
        <v>9.6</v>
      </c>
      <c r="M380" s="1504">
        <v>892</v>
      </c>
      <c r="N380" s="1504">
        <v>865.2</v>
      </c>
      <c r="O380" s="1504"/>
      <c r="P380" s="1504"/>
      <c r="Q380" s="1508"/>
      <c r="R380" s="1362">
        <v>275</v>
      </c>
      <c r="S380" s="1659"/>
      <c r="T380" s="1657"/>
      <c r="U380" s="1657"/>
      <c r="V380" s="1657"/>
      <c r="W380" s="1657"/>
      <c r="X380" s="1658"/>
      <c r="Y380" s="1362">
        <v>630</v>
      </c>
      <c r="Z380" s="1506"/>
      <c r="AA380" s="1657"/>
      <c r="AB380" s="1658"/>
      <c r="AC380" s="1612">
        <f t="shared" si="96"/>
        <v>0.15565492041108667</v>
      </c>
      <c r="AD380" s="1613">
        <f t="shared" si="97"/>
        <v>0.79327177998550769</v>
      </c>
      <c r="AE380" s="1613">
        <f t="shared" si="98"/>
        <v>0.16553265320065066</v>
      </c>
      <c r="AF380" s="1613">
        <f t="shared" si="99"/>
        <v>1.1144593535972451</v>
      </c>
      <c r="AG380" s="1613">
        <f t="shared" si="100"/>
        <v>0.18059759528426284</v>
      </c>
      <c r="AH380" s="1613">
        <f t="shared" si="101"/>
        <v>0.79327177998550769</v>
      </c>
      <c r="AI380" s="1614">
        <f t="shared" si="102"/>
        <v>0.97386937526977047</v>
      </c>
      <c r="AV380" s="1363"/>
      <c r="AW380" s="1363"/>
      <c r="AX380" s="1363"/>
    </row>
    <row r="381" spans="1:50" x14ac:dyDescent="0.25">
      <c r="A381" s="1620" t="s">
        <v>4076</v>
      </c>
      <c r="B381" s="1504">
        <v>900</v>
      </c>
      <c r="C381" s="1505">
        <v>36</v>
      </c>
      <c r="D381" s="1506">
        <v>1057</v>
      </c>
      <c r="E381" s="1504">
        <v>52.3</v>
      </c>
      <c r="F381" s="1504">
        <v>58.7</v>
      </c>
      <c r="G381" s="1504">
        <v>971.6</v>
      </c>
      <c r="H381" s="1504">
        <v>117.3</v>
      </c>
      <c r="I381" s="1504">
        <v>44</v>
      </c>
      <c r="J381" s="1504">
        <v>1009.6</v>
      </c>
      <c r="K381" s="1504">
        <v>25.4</v>
      </c>
      <c r="L381" s="1504">
        <v>9.6</v>
      </c>
      <c r="M381" s="1504">
        <v>944.6</v>
      </c>
      <c r="N381" s="1504">
        <v>916</v>
      </c>
      <c r="O381" s="1504"/>
      <c r="P381" s="1504"/>
      <c r="Q381" s="1508"/>
      <c r="R381" s="1362">
        <v>367</v>
      </c>
      <c r="S381" s="1659"/>
      <c r="T381" s="1657"/>
      <c r="U381" s="1657"/>
      <c r="V381" s="1657"/>
      <c r="W381" s="1657"/>
      <c r="X381" s="1658"/>
      <c r="Y381" s="1362">
        <v>765</v>
      </c>
      <c r="Z381" s="1506"/>
      <c r="AA381" s="1657"/>
      <c r="AB381" s="1658"/>
      <c r="AC381" s="1612">
        <f t="shared" si="96"/>
        <v>0.1736706976423627</v>
      </c>
      <c r="AD381" s="1613">
        <f t="shared" si="97"/>
        <v>0.87748531265763563</v>
      </c>
      <c r="AE381" s="1613">
        <f t="shared" si="98"/>
        <v>0.18705042659473625</v>
      </c>
      <c r="AF381" s="1613">
        <f t="shared" si="99"/>
        <v>1.2382064368947348</v>
      </c>
      <c r="AG381" s="1613">
        <f t="shared" si="100"/>
        <v>0.19492294362536697</v>
      </c>
      <c r="AH381" s="1613">
        <f t="shared" si="101"/>
        <v>0.87748531265763563</v>
      </c>
      <c r="AI381" s="1614">
        <f t="shared" si="102"/>
        <v>1.0724082562830026</v>
      </c>
      <c r="AV381" s="1363"/>
      <c r="AW381" s="1363"/>
      <c r="AX381" s="1363"/>
    </row>
    <row r="382" spans="1:50" x14ac:dyDescent="0.25">
      <c r="A382" s="1620" t="s">
        <v>4077</v>
      </c>
      <c r="B382" s="1504">
        <v>950</v>
      </c>
      <c r="C382" s="1505">
        <v>38</v>
      </c>
      <c r="D382" s="1506">
        <v>1124</v>
      </c>
      <c r="E382" s="1504">
        <v>53.8</v>
      </c>
      <c r="F382" s="1504">
        <v>63.5</v>
      </c>
      <c r="G382" s="1504">
        <v>1022.4</v>
      </c>
      <c r="H382" s="1504">
        <v>124</v>
      </c>
      <c r="I382" s="1504">
        <v>40</v>
      </c>
      <c r="J382" s="1504">
        <v>1070</v>
      </c>
      <c r="K382" s="1504">
        <v>28.5</v>
      </c>
      <c r="L382" s="1504">
        <v>9.6</v>
      </c>
      <c r="M382" s="1504">
        <v>997</v>
      </c>
      <c r="N382" s="1504">
        <v>968.2</v>
      </c>
      <c r="O382" s="1504"/>
      <c r="P382" s="1504"/>
      <c r="Q382" s="1508"/>
      <c r="R382" s="1362">
        <v>381</v>
      </c>
      <c r="S382" s="1659"/>
      <c r="T382" s="1657"/>
      <c r="U382" s="1657"/>
      <c r="V382" s="1657"/>
      <c r="W382" s="1657"/>
      <c r="X382" s="1658"/>
      <c r="Y382" s="1362">
        <v>850</v>
      </c>
      <c r="Z382" s="1506"/>
      <c r="AA382" s="1657"/>
      <c r="AB382" s="1658"/>
      <c r="AC382" s="1612">
        <f t="shared" si="96"/>
        <v>0.18997587767375906</v>
      </c>
      <c r="AD382" s="1613">
        <f t="shared" si="97"/>
        <v>0.99225319008041468</v>
      </c>
      <c r="AE382" s="1613">
        <f t="shared" si="98"/>
        <v>0.21352663850583578</v>
      </c>
      <c r="AF382" s="1613">
        <f t="shared" si="99"/>
        <v>1.3957557062600094</v>
      </c>
      <c r="AG382" s="1613">
        <f t="shared" si="100"/>
        <v>0.22422803405731789</v>
      </c>
      <c r="AH382" s="1613">
        <f t="shared" si="101"/>
        <v>0.99225319008041468</v>
      </c>
      <c r="AI382" s="1614">
        <f t="shared" si="102"/>
        <v>1.2164812241377325</v>
      </c>
      <c r="AV382" s="1363"/>
      <c r="AW382" s="1363"/>
      <c r="AX382" s="1363"/>
    </row>
    <row r="383" spans="1:50" x14ac:dyDescent="0.25">
      <c r="A383" s="1620" t="s">
        <v>4078</v>
      </c>
      <c r="B383" s="1504">
        <v>1000</v>
      </c>
      <c r="C383" s="1505">
        <v>40</v>
      </c>
      <c r="D383" s="1506">
        <v>1175</v>
      </c>
      <c r="E383" s="1504">
        <v>55.6</v>
      </c>
      <c r="F383" s="1504">
        <v>66.5</v>
      </c>
      <c r="G383" s="1504">
        <v>1079.5</v>
      </c>
      <c r="H383" s="1504">
        <v>128.5</v>
      </c>
      <c r="I383" s="1504">
        <v>44</v>
      </c>
      <c r="J383" s="1504">
        <v>1120.5999999999999</v>
      </c>
      <c r="K383" s="1504">
        <v>28.5</v>
      </c>
      <c r="L383" s="1504">
        <v>9.6</v>
      </c>
      <c r="M383" s="1504">
        <v>1049.3</v>
      </c>
      <c r="N383" s="1504">
        <v>1019</v>
      </c>
      <c r="O383" s="1504"/>
      <c r="P383" s="1504"/>
      <c r="Q383" s="1508"/>
      <c r="R383" s="1362">
        <v>393</v>
      </c>
      <c r="S383" s="1659"/>
      <c r="T383" s="1657"/>
      <c r="U383" s="1657"/>
      <c r="V383" s="1657"/>
      <c r="W383" s="1657"/>
      <c r="X383" s="1658"/>
      <c r="Y383" s="1362">
        <v>955</v>
      </c>
      <c r="Z383" s="1506"/>
      <c r="AA383" s="1657"/>
      <c r="AB383" s="1658"/>
      <c r="AC383" s="1612">
        <f t="shared" si="96"/>
        <v>0.20524024805902119</v>
      </c>
      <c r="AD383" s="1613">
        <f t="shared" si="97"/>
        <v>1.0843403393406021</v>
      </c>
      <c r="AE383" s="1613">
        <f t="shared" si="98"/>
        <v>0.23337352443118317</v>
      </c>
      <c r="AF383" s="1613">
        <f t="shared" si="99"/>
        <v>1.5229541118308065</v>
      </c>
      <c r="AG383" s="1613">
        <f t="shared" si="100"/>
        <v>0.24547619596987244</v>
      </c>
      <c r="AH383" s="1613">
        <f t="shared" si="101"/>
        <v>1.0843403393406021</v>
      </c>
      <c r="AI383" s="1614">
        <f t="shared" si="102"/>
        <v>1.3298165353104745</v>
      </c>
      <c r="AV383" s="1363"/>
      <c r="AW383" s="1363"/>
      <c r="AX383" s="1363"/>
    </row>
    <row r="384" spans="1:50" x14ac:dyDescent="0.25">
      <c r="A384" s="1620" t="s">
        <v>4079</v>
      </c>
      <c r="B384" s="1504">
        <v>1050</v>
      </c>
      <c r="C384" s="1505">
        <v>42</v>
      </c>
      <c r="D384" s="1506">
        <v>1226</v>
      </c>
      <c r="E384" s="1504">
        <v>58.7</v>
      </c>
      <c r="F384" s="1504">
        <v>68.3</v>
      </c>
      <c r="G384" s="1504">
        <v>1130.3</v>
      </c>
      <c r="H384" s="1504">
        <v>133.4</v>
      </c>
      <c r="I384" s="1504">
        <v>48</v>
      </c>
      <c r="J384" s="1504">
        <v>1171.4000000000001</v>
      </c>
      <c r="K384" s="1504">
        <v>28.5</v>
      </c>
      <c r="L384" s="1504">
        <v>11.2</v>
      </c>
      <c r="M384" s="1504">
        <v>1101.9000000000001</v>
      </c>
      <c r="N384" s="1504">
        <v>1069.8</v>
      </c>
      <c r="O384" s="1504"/>
      <c r="P384" s="1504"/>
      <c r="Q384" s="1508"/>
      <c r="R384" s="1362">
        <v>455</v>
      </c>
      <c r="S384" s="1659"/>
      <c r="T384" s="1657"/>
      <c r="U384" s="1657"/>
      <c r="V384" s="1657"/>
      <c r="W384" s="1657"/>
      <c r="X384" s="1658"/>
      <c r="Y384" s="1362">
        <v>1075</v>
      </c>
      <c r="Z384" s="1506"/>
      <c r="AA384" s="1657"/>
      <c r="AB384" s="1658"/>
      <c r="AC384" s="1612">
        <f t="shared" si="96"/>
        <v>0.22608848522677377</v>
      </c>
      <c r="AD384" s="1613">
        <f t="shared" si="97"/>
        <v>1.1805131298467828</v>
      </c>
      <c r="AE384" s="1613">
        <f t="shared" si="98"/>
        <v>0.25105742381453394</v>
      </c>
      <c r="AF384" s="1613">
        <f t="shared" si="99"/>
        <v>1.6576590388880905</v>
      </c>
      <c r="AG384" s="1613">
        <f t="shared" si="100"/>
        <v>0.26306377412246418</v>
      </c>
      <c r="AH384" s="1613">
        <f t="shared" si="101"/>
        <v>1.1805131298467828</v>
      </c>
      <c r="AI384" s="1614">
        <f t="shared" si="102"/>
        <v>1.443576903969247</v>
      </c>
      <c r="AV384" s="1363"/>
      <c r="AW384" s="1363"/>
      <c r="AX384" s="1363"/>
    </row>
    <row r="385" spans="1:50" x14ac:dyDescent="0.25">
      <c r="A385" s="1620" t="s">
        <v>4080</v>
      </c>
      <c r="B385" s="1504">
        <v>1100</v>
      </c>
      <c r="C385" s="1505">
        <v>44</v>
      </c>
      <c r="D385" s="1506">
        <v>1276</v>
      </c>
      <c r="E385" s="1504">
        <v>60.5</v>
      </c>
      <c r="F385" s="1504">
        <v>71.400000000000006</v>
      </c>
      <c r="G385" s="1504">
        <v>1181.0999999999999</v>
      </c>
      <c r="H385" s="1504">
        <v>136.69999999999999</v>
      </c>
      <c r="I385" s="1504">
        <v>52</v>
      </c>
      <c r="J385" s="1504">
        <v>1222.2</v>
      </c>
      <c r="K385" s="1504">
        <v>28.5</v>
      </c>
      <c r="L385" s="1504">
        <v>11.2</v>
      </c>
      <c r="M385" s="1504">
        <v>1152.7</v>
      </c>
      <c r="N385" s="1504">
        <v>1120.5999999999999</v>
      </c>
      <c r="O385" s="1504"/>
      <c r="P385" s="1504"/>
      <c r="Q385" s="1508"/>
      <c r="R385" s="1362">
        <v>503</v>
      </c>
      <c r="S385" s="1659"/>
      <c r="T385" s="1657"/>
      <c r="U385" s="1657"/>
      <c r="V385" s="1657"/>
      <c r="W385" s="1657"/>
      <c r="X385" s="1658"/>
      <c r="Y385" s="1362">
        <v>1200</v>
      </c>
      <c r="Z385" s="1506"/>
      <c r="AA385" s="1657"/>
      <c r="AB385" s="1658"/>
      <c r="AC385" s="1612">
        <f t="shared" si="96"/>
        <v>0.24252466967182484</v>
      </c>
      <c r="AD385" s="1613">
        <f t="shared" si="97"/>
        <v>1.2787664400878036</v>
      </c>
      <c r="AE385" s="1613">
        <f t="shared" si="98"/>
        <v>0.26825971704408941</v>
      </c>
      <c r="AF385" s="1613">
        <f t="shared" si="99"/>
        <v>1.7895508268037179</v>
      </c>
      <c r="AG385" s="1613">
        <f t="shared" si="100"/>
        <v>0.28621919693501319</v>
      </c>
      <c r="AH385" s="1613">
        <f t="shared" si="101"/>
        <v>1.2787664400878036</v>
      </c>
      <c r="AI385" s="1614">
        <f t="shared" si="102"/>
        <v>1.5649856370228168</v>
      </c>
      <c r="AV385" s="1363"/>
      <c r="AW385" s="1363"/>
      <c r="AX385" s="1363"/>
    </row>
    <row r="386" spans="1:50" x14ac:dyDescent="0.25">
      <c r="A386" s="1620" t="s">
        <v>4081</v>
      </c>
      <c r="B386" s="1504">
        <v>1150</v>
      </c>
      <c r="C386" s="1505">
        <v>46</v>
      </c>
      <c r="D386" s="1506">
        <v>1341</v>
      </c>
      <c r="E386" s="1504">
        <v>61.9</v>
      </c>
      <c r="F386" s="1504">
        <v>74.7</v>
      </c>
      <c r="G386" s="1504">
        <v>1235</v>
      </c>
      <c r="H386" s="1504">
        <v>144.5</v>
      </c>
      <c r="I386" s="1504">
        <v>40</v>
      </c>
      <c r="J386" s="1504">
        <v>1284.3</v>
      </c>
      <c r="K386" s="1504">
        <v>31.8</v>
      </c>
      <c r="L386" s="1504">
        <v>11.2</v>
      </c>
      <c r="M386" s="1504">
        <v>1204.9000000000001</v>
      </c>
      <c r="N386" s="1504">
        <v>1171.4000000000001</v>
      </c>
      <c r="O386" s="1504"/>
      <c r="P386" s="1504"/>
      <c r="Q386" s="1508"/>
      <c r="R386" s="1362">
        <v>529</v>
      </c>
      <c r="S386" s="1659"/>
      <c r="T386" s="1657"/>
      <c r="U386" s="1657"/>
      <c r="V386" s="1657"/>
      <c r="W386" s="1657"/>
      <c r="X386" s="1658"/>
      <c r="Y386" s="1362">
        <v>1380</v>
      </c>
      <c r="Z386" s="1506"/>
      <c r="AA386" s="1657"/>
      <c r="AB386" s="1658"/>
      <c r="AC386" s="1612">
        <f t="shared" si="96"/>
        <v>0.26077700882991617</v>
      </c>
      <c r="AD386" s="1613">
        <f t="shared" si="97"/>
        <v>1.4123665946725268</v>
      </c>
      <c r="AE386" s="1613">
        <f t="shared" si="98"/>
        <v>0.30397309100268588</v>
      </c>
      <c r="AF386" s="1613">
        <f t="shared" si="99"/>
        <v>1.9771166945051288</v>
      </c>
      <c r="AG386" s="1613">
        <f t="shared" si="100"/>
        <v>0.3147018184102543</v>
      </c>
      <c r="AH386" s="1613">
        <f t="shared" si="101"/>
        <v>1.4123665946725268</v>
      </c>
      <c r="AI386" s="1614">
        <f t="shared" si="102"/>
        <v>1.7270684130827811</v>
      </c>
      <c r="AV386" s="1363"/>
      <c r="AW386" s="1363"/>
      <c r="AX386" s="1363"/>
    </row>
    <row r="387" spans="1:50" x14ac:dyDescent="0.25">
      <c r="A387" s="1620" t="s">
        <v>4082</v>
      </c>
      <c r="B387" s="1504">
        <v>1200</v>
      </c>
      <c r="C387" s="1505">
        <v>48</v>
      </c>
      <c r="D387" s="1506">
        <v>1392</v>
      </c>
      <c r="E387" s="1504">
        <v>65</v>
      </c>
      <c r="F387" s="1504">
        <v>77.7</v>
      </c>
      <c r="G387" s="1504">
        <v>1289</v>
      </c>
      <c r="H387" s="1504">
        <v>149.4</v>
      </c>
      <c r="I387" s="1504">
        <v>44</v>
      </c>
      <c r="J387" s="1504">
        <v>1335.1</v>
      </c>
      <c r="K387" s="1504">
        <v>31.8</v>
      </c>
      <c r="L387" s="1504">
        <v>11.2</v>
      </c>
      <c r="M387" s="1504">
        <v>1257.3</v>
      </c>
      <c r="N387" s="1504">
        <v>1222.2</v>
      </c>
      <c r="O387" s="1504"/>
      <c r="P387" s="1504"/>
      <c r="Q387" s="1508"/>
      <c r="R387" s="1362">
        <v>609</v>
      </c>
      <c r="S387" s="1659"/>
      <c r="T387" s="1657"/>
      <c r="U387" s="1657"/>
      <c r="V387" s="1657"/>
      <c r="W387" s="1657"/>
      <c r="X387" s="1658"/>
      <c r="Y387" s="1362">
        <v>1590</v>
      </c>
      <c r="Z387" s="1506"/>
      <c r="AA387" s="1657"/>
      <c r="AB387" s="1658"/>
      <c r="AC387" s="1612">
        <f t="shared" si="96"/>
        <v>0.28425130329680448</v>
      </c>
      <c r="AD387" s="1613">
        <f t="shared" si="97"/>
        <v>1.5218377468813531</v>
      </c>
      <c r="AE387" s="1613">
        <f t="shared" si="98"/>
        <v>0.3240668432787524</v>
      </c>
      <c r="AF387" s="1613">
        <f t="shared" si="99"/>
        <v>2.13015589345691</v>
      </c>
      <c r="AG387" s="1613">
        <f t="shared" si="100"/>
        <v>0.33978963486402625</v>
      </c>
      <c r="AH387" s="1613">
        <f t="shared" si="101"/>
        <v>1.5218377468813531</v>
      </c>
      <c r="AI387" s="1614">
        <f t="shared" si="102"/>
        <v>1.8616273817453792</v>
      </c>
      <c r="AV387" s="1363"/>
      <c r="AW387" s="1363"/>
      <c r="AX387" s="1363"/>
    </row>
    <row r="388" spans="1:50" x14ac:dyDescent="0.25">
      <c r="A388" s="1620" t="s">
        <v>4083</v>
      </c>
      <c r="B388" s="1504">
        <v>1250</v>
      </c>
      <c r="C388" s="1505">
        <v>50</v>
      </c>
      <c r="D388" s="1506">
        <v>1443</v>
      </c>
      <c r="E388" s="1504">
        <v>68.3</v>
      </c>
      <c r="F388" s="1504">
        <v>80.8</v>
      </c>
      <c r="G388" s="1504">
        <v>1339.9</v>
      </c>
      <c r="H388" s="1504">
        <v>153.9</v>
      </c>
      <c r="I388" s="1504">
        <v>48</v>
      </c>
      <c r="J388" s="1504">
        <v>1385.8</v>
      </c>
      <c r="K388" s="1504">
        <v>31.8</v>
      </c>
      <c r="L388" s="1504">
        <v>11.2</v>
      </c>
      <c r="M388" s="1504">
        <v>1308.0999999999999</v>
      </c>
      <c r="N388" s="1504">
        <v>1273</v>
      </c>
      <c r="O388" s="1504"/>
      <c r="P388" s="1504"/>
      <c r="Q388" s="1508"/>
      <c r="R388" s="1362">
        <v>663</v>
      </c>
      <c r="S388" s="1659"/>
      <c r="T388" s="1657"/>
      <c r="U388" s="1657"/>
      <c r="V388" s="1657"/>
      <c r="W388" s="1657"/>
      <c r="X388" s="1658"/>
      <c r="Y388" s="1362" t="s">
        <v>1712</v>
      </c>
      <c r="Z388" s="1506"/>
      <c r="AA388" s="1657"/>
      <c r="AB388" s="1658"/>
      <c r="AC388" s="1612">
        <f t="shared" si="96"/>
        <v>0.30962563300058388</v>
      </c>
      <c r="AD388" s="1613">
        <f t="shared" si="97"/>
        <v>1.6353945403361732</v>
      </c>
      <c r="AE388" s="1613">
        <f t="shared" si="98"/>
        <v>0.34233558155049548</v>
      </c>
      <c r="AF388" s="1613">
        <f t="shared" si="99"/>
        <v>2.2873557548872525</v>
      </c>
      <c r="AG388" s="1613">
        <f t="shared" si="100"/>
        <v>0.36629211048970978</v>
      </c>
      <c r="AH388" s="1613">
        <f t="shared" si="101"/>
        <v>1.6353945403361732</v>
      </c>
      <c r="AI388" s="1614">
        <f t="shared" si="102"/>
        <v>2.0016866508258828</v>
      </c>
      <c r="AV388" s="1363"/>
      <c r="AW388" s="1363"/>
      <c r="AX388" s="1363"/>
    </row>
    <row r="389" spans="1:50" x14ac:dyDescent="0.25">
      <c r="A389" s="1620" t="s">
        <v>4084</v>
      </c>
      <c r="B389" s="1504">
        <v>1300</v>
      </c>
      <c r="C389" s="1505">
        <v>52</v>
      </c>
      <c r="D389" s="1506">
        <v>1494</v>
      </c>
      <c r="E389" s="1504">
        <v>69.8</v>
      </c>
      <c r="F389" s="1504">
        <v>84.1</v>
      </c>
      <c r="G389" s="1504">
        <v>1390.7</v>
      </c>
      <c r="H389" s="1504">
        <v>157.19999999999999</v>
      </c>
      <c r="I389" s="1504">
        <v>52</v>
      </c>
      <c r="J389" s="1504">
        <v>1436.6</v>
      </c>
      <c r="K389" s="1504">
        <v>31.8</v>
      </c>
      <c r="L389" s="1504">
        <v>11.2</v>
      </c>
      <c r="M389" s="1504">
        <v>1360.4</v>
      </c>
      <c r="N389" s="1504">
        <v>1323.8</v>
      </c>
      <c r="O389" s="1504"/>
      <c r="P389" s="1504"/>
      <c r="Q389" s="1508"/>
      <c r="R389" s="1362">
        <v>741</v>
      </c>
      <c r="S389" s="1659"/>
      <c r="T389" s="1657"/>
      <c r="U389" s="1657"/>
      <c r="V389" s="1657"/>
      <c r="W389" s="1657"/>
      <c r="X389" s="1658"/>
      <c r="Y389" s="1362" t="s">
        <v>1712</v>
      </c>
      <c r="Z389" s="1506"/>
      <c r="AA389" s="1657"/>
      <c r="AB389" s="1658"/>
      <c r="AC389" s="1612">
        <f t="shared" si="96"/>
        <v>0.32760905182752792</v>
      </c>
      <c r="AD389" s="1613">
        <f t="shared" si="97"/>
        <v>1.753036975036987</v>
      </c>
      <c r="AE389" s="1613">
        <f t="shared" si="98"/>
        <v>0.36348264701145744</v>
      </c>
      <c r="AF389" s="1613">
        <f t="shared" si="99"/>
        <v>2.4441286738759724</v>
      </c>
      <c r="AG389" s="1613">
        <f t="shared" si="100"/>
        <v>0.39472666559735092</v>
      </c>
      <c r="AH389" s="1613">
        <f t="shared" si="101"/>
        <v>1.753036975036987</v>
      </c>
      <c r="AI389" s="1614">
        <f t="shared" si="102"/>
        <v>2.1477636406343379</v>
      </c>
      <c r="AV389" s="1363"/>
      <c r="AW389" s="1363"/>
      <c r="AX389" s="1363"/>
    </row>
    <row r="390" spans="1:50" x14ac:dyDescent="0.25">
      <c r="A390" s="1620" t="s">
        <v>4085</v>
      </c>
      <c r="B390" s="1504">
        <v>1350</v>
      </c>
      <c r="C390" s="1505">
        <v>54</v>
      </c>
      <c r="D390" s="1506">
        <v>1549</v>
      </c>
      <c r="E390" s="1504">
        <v>71.400000000000006</v>
      </c>
      <c r="F390" s="1504">
        <v>87.4</v>
      </c>
      <c r="G390" s="1504">
        <v>1441.5</v>
      </c>
      <c r="H390" s="1504">
        <v>162.1</v>
      </c>
      <c r="I390" s="1504">
        <v>56</v>
      </c>
      <c r="J390" s="1504">
        <v>1492.3</v>
      </c>
      <c r="K390" s="1504">
        <v>31.8</v>
      </c>
      <c r="L390" s="1504">
        <v>11.2</v>
      </c>
      <c r="M390" s="1504">
        <v>1412.7</v>
      </c>
      <c r="N390" s="1504">
        <v>1374.6</v>
      </c>
      <c r="O390" s="1504"/>
      <c r="P390" s="1504"/>
      <c r="Q390" s="1508"/>
      <c r="R390" s="1362">
        <v>791</v>
      </c>
      <c r="S390" s="1659"/>
      <c r="T390" s="1657"/>
      <c r="U390" s="1657"/>
      <c r="V390" s="1657"/>
      <c r="W390" s="1657"/>
      <c r="X390" s="1658"/>
      <c r="Y390" s="1362" t="s">
        <v>1712</v>
      </c>
      <c r="Z390" s="1506"/>
      <c r="AA390" s="1657"/>
      <c r="AB390" s="1658"/>
      <c r="AC390" s="1612">
        <f t="shared" si="96"/>
        <v>0.34745574925731609</v>
      </c>
      <c r="AD390" s="1613">
        <f t="shared" si="97"/>
        <v>1.8844851386540009</v>
      </c>
      <c r="AE390" s="1613">
        <f t="shared" si="98"/>
        <v>0.39168189682934473</v>
      </c>
      <c r="AF390" s="1613">
        <f t="shared" si="99"/>
        <v>2.6236227847406619</v>
      </c>
      <c r="AG390" s="1613">
        <f t="shared" si="100"/>
        <v>0.42531698158388553</v>
      </c>
      <c r="AH390" s="1613">
        <f t="shared" si="101"/>
        <v>1.8844851386540009</v>
      </c>
      <c r="AI390" s="1614">
        <f t="shared" si="102"/>
        <v>2.3098021202378867</v>
      </c>
      <c r="AV390" s="1363"/>
      <c r="AW390" s="1363"/>
      <c r="AX390" s="1363"/>
    </row>
    <row r="391" spans="1:50" x14ac:dyDescent="0.25">
      <c r="A391" s="1620" t="s">
        <v>4086</v>
      </c>
      <c r="B391" s="1504">
        <v>1400</v>
      </c>
      <c r="C391" s="1505">
        <v>56</v>
      </c>
      <c r="D391" s="1506">
        <v>1600</v>
      </c>
      <c r="E391" s="1504">
        <v>73.2</v>
      </c>
      <c r="F391" s="1504">
        <v>90.4</v>
      </c>
      <c r="G391" s="1504">
        <v>1492.3</v>
      </c>
      <c r="H391" s="1504">
        <v>166.6</v>
      </c>
      <c r="I391" s="1504">
        <v>60</v>
      </c>
      <c r="J391" s="1504">
        <v>1543.1</v>
      </c>
      <c r="K391" s="1504">
        <v>31.8</v>
      </c>
      <c r="L391" s="1504">
        <v>14.2</v>
      </c>
      <c r="M391" s="1504">
        <v>1465.3</v>
      </c>
      <c r="N391" s="1504">
        <v>1425.4</v>
      </c>
      <c r="O391" s="1504"/>
      <c r="P391" s="1504"/>
      <c r="Q391" s="1508"/>
      <c r="R391" s="1362">
        <v>898</v>
      </c>
      <c r="S391" s="1659"/>
      <c r="T391" s="1657"/>
      <c r="U391" s="1657"/>
      <c r="V391" s="1657"/>
      <c r="W391" s="1657"/>
      <c r="X391" s="1658"/>
      <c r="Y391" s="1362" t="s">
        <v>1712</v>
      </c>
      <c r="Z391" s="1506"/>
      <c r="AA391" s="1657"/>
      <c r="AB391" s="1658"/>
      <c r="AC391" s="1612">
        <f t="shared" si="96"/>
        <v>0.36794333158843662</v>
      </c>
      <c r="AD391" s="1613">
        <f t="shared" si="97"/>
        <v>2.0106192982974678</v>
      </c>
      <c r="AE391" s="1613">
        <f t="shared" si="98"/>
        <v>0.41824764413107163</v>
      </c>
      <c r="AF391" s="1613">
        <f t="shared" si="99"/>
        <v>2.796810274016976</v>
      </c>
      <c r="AG391" s="1613">
        <f t="shared" si="100"/>
        <v>0.45439996141522776</v>
      </c>
      <c r="AH391" s="1613">
        <f t="shared" si="101"/>
        <v>2.0106192982974678</v>
      </c>
      <c r="AI391" s="1614">
        <f t="shared" si="102"/>
        <v>2.4650192597126956</v>
      </c>
      <c r="AV391" s="1363"/>
      <c r="AW391" s="1363"/>
      <c r="AX391" s="1363"/>
    </row>
    <row r="392" spans="1:50" x14ac:dyDescent="0.25">
      <c r="A392" s="1620" t="s">
        <v>4087</v>
      </c>
      <c r="B392" s="1504">
        <v>1450</v>
      </c>
      <c r="C392" s="1505">
        <v>58</v>
      </c>
      <c r="D392" s="1506">
        <v>1675</v>
      </c>
      <c r="E392" s="1504">
        <v>74.7</v>
      </c>
      <c r="F392" s="1504">
        <v>93.5</v>
      </c>
      <c r="G392" s="1504">
        <v>1543</v>
      </c>
      <c r="H392" s="1504">
        <v>174.8</v>
      </c>
      <c r="I392" s="1504">
        <v>48</v>
      </c>
      <c r="J392" s="1504">
        <v>1611.4</v>
      </c>
      <c r="K392" s="1504">
        <v>35</v>
      </c>
      <c r="L392" s="1504">
        <v>14.2</v>
      </c>
      <c r="M392" s="1504">
        <v>1516.1</v>
      </c>
      <c r="N392" s="1504">
        <v>1476.2</v>
      </c>
      <c r="O392" s="1504"/>
      <c r="P392" s="1504"/>
      <c r="Q392" s="1508"/>
      <c r="R392" s="1362">
        <v>967</v>
      </c>
      <c r="S392" s="1659"/>
      <c r="T392" s="1657"/>
      <c r="U392" s="1657"/>
      <c r="V392" s="1657"/>
      <c r="W392" s="1657"/>
      <c r="X392" s="1658"/>
      <c r="Y392" s="1362" t="s">
        <v>1712</v>
      </c>
      <c r="Z392" s="1506"/>
      <c r="AA392" s="1657"/>
      <c r="AB392" s="1658"/>
      <c r="AC392" s="1612">
        <f t="shared" si="96"/>
        <v>0.39308392679878895</v>
      </c>
      <c r="AD392" s="1613">
        <f t="shared" si="97"/>
        <v>2.2035327221819654</v>
      </c>
      <c r="AE392" s="1613">
        <f t="shared" si="98"/>
        <v>0.46422566943044818</v>
      </c>
      <c r="AF392" s="1613">
        <f t="shared" si="99"/>
        <v>3.0608423184112028</v>
      </c>
      <c r="AG392" s="1613">
        <f t="shared" si="100"/>
        <v>0.4920126794603315</v>
      </c>
      <c r="AH392" s="1613">
        <f t="shared" si="101"/>
        <v>2.2035327221819654</v>
      </c>
      <c r="AI392" s="1614">
        <f t="shared" si="102"/>
        <v>2.6955454016422968</v>
      </c>
      <c r="AV392" s="1363"/>
      <c r="AW392" s="1363"/>
      <c r="AX392" s="1363"/>
    </row>
    <row r="393" spans="1:50" ht="13.2" thickBot="1" x14ac:dyDescent="0.3">
      <c r="A393" s="1620" t="s">
        <v>4088</v>
      </c>
      <c r="B393" s="1504">
        <v>1500</v>
      </c>
      <c r="C393" s="1505">
        <v>60</v>
      </c>
      <c r="D393" s="1506">
        <v>1726</v>
      </c>
      <c r="E393" s="1504">
        <v>76.2</v>
      </c>
      <c r="F393" s="1504">
        <v>96.8</v>
      </c>
      <c r="G393" s="1504">
        <v>1600.2</v>
      </c>
      <c r="H393" s="1504">
        <v>179.3</v>
      </c>
      <c r="I393" s="1504">
        <v>52</v>
      </c>
      <c r="J393" s="1504">
        <v>1662.2</v>
      </c>
      <c r="K393" s="1504">
        <v>35</v>
      </c>
      <c r="L393" s="1504">
        <v>14.2</v>
      </c>
      <c r="M393" s="1504">
        <v>1570</v>
      </c>
      <c r="N393" s="1504">
        <v>1527</v>
      </c>
      <c r="O393" s="1601"/>
      <c r="P393" s="1601"/>
      <c r="Q393" s="1604"/>
      <c r="R393" s="167">
        <v>1047</v>
      </c>
      <c r="S393" s="1647"/>
      <c r="T393" s="1643"/>
      <c r="U393" s="1643"/>
      <c r="V393" s="1643"/>
      <c r="W393" s="1643"/>
      <c r="X393" s="1644"/>
      <c r="Y393" s="167" t="s">
        <v>1712</v>
      </c>
      <c r="Z393" s="1506"/>
      <c r="AA393" s="1643"/>
      <c r="AB393" s="1644"/>
      <c r="AC393" s="178">
        <f t="shared" si="96"/>
        <v>0.4131860357113139</v>
      </c>
      <c r="AD393" s="179">
        <f t="shared" si="97"/>
        <v>2.339760819021417</v>
      </c>
      <c r="AE393" s="179">
        <f t="shared" si="98"/>
        <v>0.49459255534745944</v>
      </c>
      <c r="AF393" s="179">
        <f t="shared" si="99"/>
        <v>3.2475394100801904</v>
      </c>
      <c r="AG393" s="179">
        <f t="shared" si="100"/>
        <v>0.52488724746529114</v>
      </c>
      <c r="AH393" s="179">
        <f t="shared" si="101"/>
        <v>2.339760819021417</v>
      </c>
      <c r="AI393" s="180">
        <f t="shared" si="102"/>
        <v>2.864648066486708</v>
      </c>
      <c r="AV393" s="604"/>
      <c r="AW393" s="604"/>
      <c r="AX393" s="604"/>
    </row>
    <row r="394" spans="1:50" ht="13.2" thickBot="1" x14ac:dyDescent="0.3">
      <c r="A394" s="265"/>
      <c r="B394" s="257"/>
      <c r="C394" s="258"/>
      <c r="D394" s="259"/>
      <c r="E394" s="260"/>
      <c r="F394" s="260"/>
      <c r="G394" s="260"/>
      <c r="H394" s="259"/>
      <c r="I394" s="260" t="s">
        <v>3825</v>
      </c>
      <c r="J394" s="260"/>
      <c r="K394" s="260"/>
      <c r="L394" s="259"/>
      <c r="M394" s="260"/>
      <c r="N394" s="260"/>
      <c r="O394" s="260"/>
      <c r="P394" s="260"/>
      <c r="Q394" s="260"/>
      <c r="R394" s="261" t="s">
        <v>3818</v>
      </c>
      <c r="S394" s="260"/>
      <c r="T394" s="260"/>
      <c r="U394" s="260"/>
      <c r="V394" s="260"/>
      <c r="W394" s="260"/>
      <c r="X394" s="260"/>
      <c r="Y394" s="160" t="s">
        <v>345</v>
      </c>
      <c r="Z394" s="260"/>
      <c r="AA394" s="260"/>
      <c r="AB394" s="260"/>
      <c r="AC394" s="262" t="s">
        <v>3818</v>
      </c>
      <c r="AD394" s="263"/>
      <c r="AE394" s="263"/>
      <c r="AF394" s="263"/>
      <c r="AG394" s="263" t="s">
        <v>345</v>
      </c>
      <c r="AH394" s="263"/>
      <c r="AI394" s="226"/>
      <c r="AV394" s="592"/>
      <c r="AW394" s="592" t="str">
        <f>$AW$19</f>
        <v>LWN</v>
      </c>
      <c r="AX394" s="592" t="str">
        <f>$AW$19</f>
        <v>LWN</v>
      </c>
    </row>
    <row r="395" spans="1:50" x14ac:dyDescent="0.25">
      <c r="A395" s="1349"/>
      <c r="B395" s="1453" t="s">
        <v>3820</v>
      </c>
      <c r="C395" s="1458"/>
      <c r="D395" s="1459" t="s">
        <v>3821</v>
      </c>
      <c r="E395" s="1453" t="s">
        <v>4069</v>
      </c>
      <c r="F395" s="1453" t="s">
        <v>2350</v>
      </c>
      <c r="G395" s="1453" t="s">
        <v>3823</v>
      </c>
      <c r="H395" s="1453" t="s">
        <v>3828</v>
      </c>
      <c r="I395" s="1462" t="s">
        <v>3825</v>
      </c>
      <c r="J395" s="1462"/>
      <c r="K395" s="1462"/>
      <c r="L395" s="1453" t="s">
        <v>3983</v>
      </c>
      <c r="M395" s="1453" t="s">
        <v>3827</v>
      </c>
      <c r="N395" s="1453" t="s">
        <v>12</v>
      </c>
      <c r="O395" s="1454"/>
      <c r="P395" s="1454"/>
      <c r="Q395" s="1455"/>
      <c r="R395" s="227" t="s">
        <v>184</v>
      </c>
      <c r="S395" s="1457"/>
      <c r="T395" s="1454"/>
      <c r="U395" s="1454"/>
      <c r="V395" s="1454"/>
      <c r="W395" s="1454"/>
      <c r="X395" s="1455"/>
      <c r="Y395" s="227" t="s">
        <v>184</v>
      </c>
      <c r="Z395" s="1459"/>
      <c r="AA395" s="1454"/>
      <c r="AB395" s="1455"/>
      <c r="AC395" s="1449" t="s">
        <v>3834</v>
      </c>
      <c r="AD395" s="1445" t="s">
        <v>3835</v>
      </c>
      <c r="AE395" s="1445" t="s">
        <v>3836</v>
      </c>
      <c r="AF395" s="1445" t="s">
        <v>1866</v>
      </c>
      <c r="AG395" s="1445" t="s">
        <v>3834</v>
      </c>
      <c r="AH395" s="1445" t="s">
        <v>3835</v>
      </c>
      <c r="AI395" s="1605" t="s">
        <v>1866</v>
      </c>
      <c r="AV395" s="600"/>
      <c r="AW395" s="600" t="s">
        <v>184</v>
      </c>
      <c r="AX395" s="1598" t="str">
        <f>$AX$20</f>
        <v>Unit Surface</v>
      </c>
    </row>
    <row r="396" spans="1:50" ht="13.2" thickBot="1" x14ac:dyDescent="0.3">
      <c r="A396" s="1620"/>
      <c r="B396" s="243" t="s">
        <v>59</v>
      </c>
      <c r="C396" s="244" t="s">
        <v>1685</v>
      </c>
      <c r="D396" s="245" t="s">
        <v>93</v>
      </c>
      <c r="E396" s="243" t="s">
        <v>93</v>
      </c>
      <c r="F396" s="243" t="s">
        <v>93</v>
      </c>
      <c r="G396" s="243" t="s">
        <v>93</v>
      </c>
      <c r="H396" s="243" t="s">
        <v>93</v>
      </c>
      <c r="I396" s="243" t="s">
        <v>3837</v>
      </c>
      <c r="J396" s="243" t="s">
        <v>3839</v>
      </c>
      <c r="K396" s="243" t="s">
        <v>3838</v>
      </c>
      <c r="L396" s="243" t="s">
        <v>93</v>
      </c>
      <c r="M396" s="243" t="s">
        <v>93</v>
      </c>
      <c r="N396" s="243" t="s">
        <v>93</v>
      </c>
      <c r="O396" s="234"/>
      <c r="P396" s="234"/>
      <c r="Q396" s="235"/>
      <c r="R396" s="264" t="s">
        <v>222</v>
      </c>
      <c r="S396" s="236"/>
      <c r="T396" s="234"/>
      <c r="U396" s="234"/>
      <c r="V396" s="234"/>
      <c r="W396" s="234"/>
      <c r="X396" s="235"/>
      <c r="Y396" s="264" t="s">
        <v>222</v>
      </c>
      <c r="Z396" s="245"/>
      <c r="AA396" s="234"/>
      <c r="AB396" s="235"/>
      <c r="AC396" s="168" t="s">
        <v>228</v>
      </c>
      <c r="AD396" s="166" t="s">
        <v>228</v>
      </c>
      <c r="AE396" s="166" t="s">
        <v>228</v>
      </c>
      <c r="AF396" s="166" t="s">
        <v>228</v>
      </c>
      <c r="AG396" s="166" t="s">
        <v>228</v>
      </c>
      <c r="AH396" s="166" t="s">
        <v>228</v>
      </c>
      <c r="AI396" s="169" t="s">
        <v>228</v>
      </c>
      <c r="AV396" s="601"/>
      <c r="AW396" s="601" t="s">
        <v>222</v>
      </c>
      <c r="AX396" s="593" t="str">
        <f>$AX$21</f>
        <v>m2</v>
      </c>
    </row>
    <row r="397" spans="1:50" ht="13.2" thickBot="1" x14ac:dyDescent="0.3">
      <c r="A397" s="1620" t="s">
        <v>4089</v>
      </c>
      <c r="B397" s="137">
        <v>0</v>
      </c>
      <c r="C397" s="137">
        <v>0</v>
      </c>
      <c r="D397" s="137">
        <v>0</v>
      </c>
      <c r="E397" s="137">
        <v>0</v>
      </c>
      <c r="F397" s="137">
        <v>0</v>
      </c>
      <c r="G397" s="137">
        <v>0</v>
      </c>
      <c r="H397" s="137">
        <v>0</v>
      </c>
      <c r="I397" s="137">
        <v>0</v>
      </c>
      <c r="J397" s="137">
        <v>0</v>
      </c>
      <c r="K397" s="137">
        <v>0</v>
      </c>
      <c r="L397" s="137">
        <v>0</v>
      </c>
      <c r="M397" s="137">
        <v>0</v>
      </c>
      <c r="N397" s="137">
        <v>0</v>
      </c>
      <c r="O397" s="137"/>
      <c r="P397" s="137">
        <v>0</v>
      </c>
      <c r="Q397" s="192">
        <v>0</v>
      </c>
      <c r="R397" s="160">
        <v>0</v>
      </c>
      <c r="S397" s="232"/>
      <c r="T397" s="230">
        <v>0</v>
      </c>
      <c r="U397" s="230">
        <v>0</v>
      </c>
      <c r="V397" s="230">
        <v>0</v>
      </c>
      <c r="W397" s="230">
        <v>0</v>
      </c>
      <c r="X397" s="231">
        <v>0</v>
      </c>
      <c r="Y397" s="160">
        <v>0</v>
      </c>
      <c r="Z397" s="162">
        <v>0</v>
      </c>
      <c r="AA397" s="230"/>
      <c r="AB397" s="192">
        <v>0</v>
      </c>
      <c r="AC397" s="161">
        <v>0</v>
      </c>
      <c r="AD397" s="137">
        <v>0</v>
      </c>
      <c r="AE397" s="137">
        <v>0</v>
      </c>
      <c r="AF397" s="137">
        <v>0</v>
      </c>
      <c r="AG397" s="137">
        <v>0</v>
      </c>
      <c r="AH397" s="137">
        <v>0</v>
      </c>
      <c r="AI397" s="139">
        <v>0</v>
      </c>
      <c r="AV397" s="602"/>
      <c r="AW397" s="602">
        <v>0</v>
      </c>
      <c r="AX397" s="602">
        <v>0</v>
      </c>
    </row>
    <row r="398" spans="1:50" x14ac:dyDescent="0.25">
      <c r="A398" s="1620" t="s">
        <v>4090</v>
      </c>
      <c r="B398" s="1593">
        <v>650</v>
      </c>
      <c r="C398" s="1594">
        <v>26</v>
      </c>
      <c r="D398" s="1595">
        <v>867</v>
      </c>
      <c r="E398" s="1593">
        <v>88.9</v>
      </c>
      <c r="F398" s="1593">
        <v>88.9</v>
      </c>
      <c r="G398" s="1593">
        <v>736.6</v>
      </c>
      <c r="H398" s="1593">
        <v>144.5</v>
      </c>
      <c r="I398" s="1593">
        <v>32</v>
      </c>
      <c r="J398" s="1593">
        <v>803.1</v>
      </c>
      <c r="K398" s="1593">
        <v>35</v>
      </c>
      <c r="L398" s="1593">
        <v>14.2</v>
      </c>
      <c r="M398" s="1593">
        <v>701.5</v>
      </c>
      <c r="N398" s="1593">
        <v>665.2</v>
      </c>
      <c r="O398" s="1445"/>
      <c r="P398" s="1445"/>
      <c r="Q398" s="1448"/>
      <c r="R398" s="172">
        <v>288</v>
      </c>
      <c r="S398" s="1457"/>
      <c r="T398" s="1454"/>
      <c r="U398" s="1454"/>
      <c r="V398" s="1454"/>
      <c r="W398" s="1454"/>
      <c r="X398" s="1455"/>
      <c r="Y398" s="172">
        <v>505</v>
      </c>
      <c r="Z398" s="1447"/>
      <c r="AA398" s="1454"/>
      <c r="AB398" s="1455"/>
      <c r="AC398" s="1352">
        <f>PI()*D398*E398/1000000</f>
        <v>0.24214233784588299</v>
      </c>
      <c r="AD398" s="1617">
        <f>D398^2*PI()/4/1000000</f>
        <v>0.5903751600460645</v>
      </c>
      <c r="AE398" s="1617">
        <f>N398*PI()*(H398-E398)/1000000</f>
        <v>0.11619218128413693</v>
      </c>
      <c r="AF398" s="1617">
        <f>AE398+AD398+AC398</f>
        <v>0.9487096791760844</v>
      </c>
      <c r="AG398" s="1617">
        <f>PI()*D398*F398/1000000</f>
        <v>0.24214233784588299</v>
      </c>
      <c r="AH398" s="1617">
        <f>D398^2*PI()/4/1000000</f>
        <v>0.5903751600460645</v>
      </c>
      <c r="AI398" s="1618">
        <f>AH398+AG398</f>
        <v>0.83251749789194751</v>
      </c>
      <c r="AV398" s="603"/>
      <c r="AW398" s="603"/>
      <c r="AX398" s="603"/>
    </row>
    <row r="399" spans="1:50" x14ac:dyDescent="0.25">
      <c r="A399" s="1620" t="s">
        <v>4091</v>
      </c>
      <c r="B399" s="1504">
        <v>700</v>
      </c>
      <c r="C399" s="1505">
        <v>28</v>
      </c>
      <c r="D399" s="1506">
        <v>921</v>
      </c>
      <c r="E399" s="1504">
        <v>88.9</v>
      </c>
      <c r="F399" s="1504">
        <v>88.9</v>
      </c>
      <c r="G399" s="1504">
        <v>787.4</v>
      </c>
      <c r="H399" s="1504">
        <v>149.4</v>
      </c>
      <c r="I399" s="1504">
        <v>36</v>
      </c>
      <c r="J399" s="1504">
        <v>857.2</v>
      </c>
      <c r="K399" s="1504">
        <v>35</v>
      </c>
      <c r="L399" s="1504">
        <v>14.2</v>
      </c>
      <c r="M399" s="1504">
        <v>755.6</v>
      </c>
      <c r="N399" s="1504">
        <v>716</v>
      </c>
      <c r="O399" s="1504"/>
      <c r="P399" s="1504"/>
      <c r="Q399" s="1508"/>
      <c r="R399" s="1362">
        <v>340</v>
      </c>
      <c r="S399" s="1659"/>
      <c r="T399" s="1657"/>
      <c r="U399" s="1657"/>
      <c r="V399" s="1657"/>
      <c r="W399" s="1657"/>
      <c r="X399" s="1658"/>
      <c r="Y399" s="1362">
        <v>615</v>
      </c>
      <c r="Z399" s="1506"/>
      <c r="AA399" s="1657"/>
      <c r="AB399" s="1658"/>
      <c r="AC399" s="1612">
        <f t="shared" ref="AC399:AC415" si="103">PI()*D399*E399/1000000</f>
        <v>0.25722386753870619</v>
      </c>
      <c r="AD399" s="1613">
        <f t="shared" ref="AD399:AD415" si="104">D399^2*PI()/4/1000000</f>
        <v>0.66620692351841493</v>
      </c>
      <c r="AE399" s="1613">
        <f t="shared" ref="AE399:AE415" si="105">N399*PI()*(H399-E399)/1000000</f>
        <v>0.13608751056820267</v>
      </c>
      <c r="AF399" s="1613">
        <f t="shared" ref="AF399:AF415" si="106">AE399+AD399+AC399</f>
        <v>1.0595183016253238</v>
      </c>
      <c r="AG399" s="1613">
        <f t="shared" ref="AG399:AG415" si="107">PI()*D399*F399/1000000</f>
        <v>0.25722386753870619</v>
      </c>
      <c r="AH399" s="1613">
        <f t="shared" ref="AH399:AH415" si="108">D399^2*PI()/4/1000000</f>
        <v>0.66620692351841493</v>
      </c>
      <c r="AI399" s="1614">
        <f t="shared" ref="AI399:AI415" si="109">AH399+AG399</f>
        <v>0.92343079105712111</v>
      </c>
      <c r="AV399" s="1363"/>
      <c r="AW399" s="1363"/>
      <c r="AX399" s="1363"/>
    </row>
    <row r="400" spans="1:50" x14ac:dyDescent="0.25">
      <c r="A400" s="1620" t="s">
        <v>4092</v>
      </c>
      <c r="B400" s="1504">
        <v>750</v>
      </c>
      <c r="C400" s="1505">
        <v>30</v>
      </c>
      <c r="D400" s="1506">
        <v>991</v>
      </c>
      <c r="E400" s="1504">
        <v>93.7</v>
      </c>
      <c r="F400" s="1504">
        <v>93.7</v>
      </c>
      <c r="G400" s="1504">
        <v>844.6</v>
      </c>
      <c r="H400" s="1504">
        <v>158</v>
      </c>
      <c r="I400" s="1504">
        <v>36</v>
      </c>
      <c r="J400" s="1504">
        <v>920.8</v>
      </c>
      <c r="K400" s="1504">
        <v>38.1</v>
      </c>
      <c r="L400" s="1504">
        <v>14.2</v>
      </c>
      <c r="M400" s="1504">
        <v>812.8</v>
      </c>
      <c r="N400" s="1504">
        <v>768.4</v>
      </c>
      <c r="O400" s="1504"/>
      <c r="P400" s="1504"/>
      <c r="Q400" s="1508"/>
      <c r="R400" s="1362">
        <v>406</v>
      </c>
      <c r="S400" s="1659"/>
      <c r="T400" s="1657"/>
      <c r="U400" s="1657"/>
      <c r="V400" s="1657"/>
      <c r="W400" s="1657"/>
      <c r="X400" s="1658"/>
      <c r="Y400" s="1362">
        <v>705</v>
      </c>
      <c r="Z400" s="1506"/>
      <c r="AA400" s="1657"/>
      <c r="AB400" s="1658"/>
      <c r="AC400" s="1612">
        <f t="shared" si="103"/>
        <v>0.29171792655659134</v>
      </c>
      <c r="AD400" s="1613">
        <f t="shared" si="104"/>
        <v>0.77132461370752936</v>
      </c>
      <c r="AE400" s="1613">
        <f t="shared" si="105"/>
        <v>0.15522018681968291</v>
      </c>
      <c r="AF400" s="1613">
        <f t="shared" si="106"/>
        <v>1.2182627270838036</v>
      </c>
      <c r="AG400" s="1613">
        <f t="shared" si="107"/>
        <v>0.29171792655659134</v>
      </c>
      <c r="AH400" s="1613">
        <f t="shared" si="108"/>
        <v>0.77132461370752936</v>
      </c>
      <c r="AI400" s="1614">
        <f t="shared" si="109"/>
        <v>1.0630425402641208</v>
      </c>
      <c r="AV400" s="1363"/>
      <c r="AW400" s="1363"/>
      <c r="AX400" s="1363"/>
    </row>
    <row r="401" spans="1:50" x14ac:dyDescent="0.25">
      <c r="A401" s="1620" t="s">
        <v>4093</v>
      </c>
      <c r="B401" s="1504">
        <v>800</v>
      </c>
      <c r="C401" s="1505">
        <v>32</v>
      </c>
      <c r="D401" s="1506">
        <v>1054</v>
      </c>
      <c r="E401" s="1504">
        <v>103.2</v>
      </c>
      <c r="F401" s="1504">
        <v>103.1</v>
      </c>
      <c r="G401" s="1504">
        <v>901.7</v>
      </c>
      <c r="H401" s="1504">
        <v>168.1</v>
      </c>
      <c r="I401" s="1504">
        <v>32</v>
      </c>
      <c r="J401" s="1504">
        <v>977.9</v>
      </c>
      <c r="K401" s="1504">
        <v>41.1</v>
      </c>
      <c r="L401" s="1504">
        <v>15.7</v>
      </c>
      <c r="M401" s="1504">
        <v>863.6</v>
      </c>
      <c r="N401" s="1504">
        <v>819.2</v>
      </c>
      <c r="O401" s="1504"/>
      <c r="P401" s="1504"/>
      <c r="Q401" s="1508"/>
      <c r="R401" s="1362">
        <v>468</v>
      </c>
      <c r="S401" s="1659"/>
      <c r="T401" s="1657"/>
      <c r="U401" s="1657"/>
      <c r="V401" s="1657"/>
      <c r="W401" s="1657"/>
      <c r="X401" s="1658"/>
      <c r="Y401" s="1362">
        <v>820</v>
      </c>
      <c r="Z401" s="1506"/>
      <c r="AA401" s="1657"/>
      <c r="AB401" s="1658"/>
      <c r="AC401" s="1612">
        <f t="shared" si="103"/>
        <v>0.3417198293903918</v>
      </c>
      <c r="AD401" s="1613">
        <f t="shared" si="104"/>
        <v>0.8725113860888396</v>
      </c>
      <c r="AE401" s="1613">
        <f t="shared" si="105"/>
        <v>0.16702616634816719</v>
      </c>
      <c r="AF401" s="1613">
        <f t="shared" si="106"/>
        <v>1.3812573818273985</v>
      </c>
      <c r="AG401" s="1613">
        <f t="shared" si="107"/>
        <v>0.34138870552470341</v>
      </c>
      <c r="AH401" s="1613">
        <f t="shared" si="108"/>
        <v>0.8725113860888396</v>
      </c>
      <c r="AI401" s="1614">
        <f t="shared" si="109"/>
        <v>1.213900091613543</v>
      </c>
      <c r="AV401" s="1363"/>
      <c r="AW401" s="1363"/>
      <c r="AX401" s="1363"/>
    </row>
    <row r="402" spans="1:50" x14ac:dyDescent="0.25">
      <c r="A402" s="1620" t="s">
        <v>4094</v>
      </c>
      <c r="B402" s="1504">
        <v>850</v>
      </c>
      <c r="C402" s="1505">
        <v>34</v>
      </c>
      <c r="D402" s="1506">
        <v>1108</v>
      </c>
      <c r="E402" s="1504">
        <v>103.2</v>
      </c>
      <c r="F402" s="1504">
        <v>103.1</v>
      </c>
      <c r="G402" s="1504">
        <v>952.5</v>
      </c>
      <c r="H402" s="1504">
        <v>173</v>
      </c>
      <c r="I402" s="1504">
        <v>36</v>
      </c>
      <c r="J402" s="1504">
        <v>1031.7</v>
      </c>
      <c r="K402" s="1504">
        <v>41.1</v>
      </c>
      <c r="L402" s="1504">
        <v>15.7</v>
      </c>
      <c r="M402" s="1504">
        <v>917.4</v>
      </c>
      <c r="N402" s="1504">
        <v>870</v>
      </c>
      <c r="O402" s="1504"/>
      <c r="P402" s="1504"/>
      <c r="Q402" s="1508"/>
      <c r="R402" s="1362">
        <v>524</v>
      </c>
      <c r="S402" s="1659"/>
      <c r="T402" s="1657"/>
      <c r="U402" s="1657"/>
      <c r="V402" s="1657"/>
      <c r="W402" s="1657"/>
      <c r="X402" s="1658"/>
      <c r="Y402" s="1362">
        <v>950</v>
      </c>
      <c r="Z402" s="1506"/>
      <c r="AA402" s="1657"/>
      <c r="AB402" s="1658"/>
      <c r="AC402" s="1612">
        <f t="shared" si="103"/>
        <v>0.35922729693031707</v>
      </c>
      <c r="AD402" s="1613">
        <f t="shared" si="104"/>
        <v>0.96420505086916497</v>
      </c>
      <c r="AE402" s="1613">
        <f t="shared" si="105"/>
        <v>0.19077635548189378</v>
      </c>
      <c r="AF402" s="1613">
        <f t="shared" si="106"/>
        <v>1.5142087032813758</v>
      </c>
      <c r="AG402" s="1613">
        <f t="shared" si="107"/>
        <v>0.35887920846429927</v>
      </c>
      <c r="AH402" s="1613">
        <f t="shared" si="108"/>
        <v>0.96420505086916497</v>
      </c>
      <c r="AI402" s="1614">
        <f t="shared" si="109"/>
        <v>1.3230842593334642</v>
      </c>
      <c r="AV402" s="1363"/>
      <c r="AW402" s="1363"/>
      <c r="AX402" s="1363"/>
    </row>
    <row r="403" spans="1:50" x14ac:dyDescent="0.25">
      <c r="A403" s="1620" t="s">
        <v>4095</v>
      </c>
      <c r="B403" s="1504">
        <v>900</v>
      </c>
      <c r="C403" s="1505">
        <v>36</v>
      </c>
      <c r="D403" s="1506">
        <v>1172</v>
      </c>
      <c r="E403" s="1504">
        <v>103.2</v>
      </c>
      <c r="F403" s="1504">
        <v>103.1</v>
      </c>
      <c r="G403" s="1504">
        <v>1009.6</v>
      </c>
      <c r="H403" s="1504">
        <v>180.8</v>
      </c>
      <c r="I403" s="1504">
        <v>32</v>
      </c>
      <c r="J403" s="1504">
        <v>1089.2</v>
      </c>
      <c r="K403" s="1504">
        <v>44.4</v>
      </c>
      <c r="L403" s="1504">
        <v>15.7</v>
      </c>
      <c r="M403" s="1504">
        <v>965.2</v>
      </c>
      <c r="N403" s="1504">
        <v>920.8</v>
      </c>
      <c r="O403" s="1504"/>
      <c r="P403" s="1504"/>
      <c r="Q403" s="1508"/>
      <c r="R403" s="1362">
        <v>606</v>
      </c>
      <c r="S403" s="1659"/>
      <c r="T403" s="1657"/>
      <c r="U403" s="1657"/>
      <c r="V403" s="1657"/>
      <c r="W403" s="1657"/>
      <c r="X403" s="1658"/>
      <c r="Y403" s="1362">
        <v>1085</v>
      </c>
      <c r="Z403" s="1506"/>
      <c r="AA403" s="1657"/>
      <c r="AB403" s="1658"/>
      <c r="AC403" s="1612">
        <f t="shared" si="103"/>
        <v>0.37997688808874691</v>
      </c>
      <c r="AD403" s="1613">
        <f t="shared" si="104"/>
        <v>1.0788103508721205</v>
      </c>
      <c r="AE403" s="1613">
        <f t="shared" si="105"/>
        <v>0.22447961279701736</v>
      </c>
      <c r="AF403" s="1613">
        <f t="shared" si="106"/>
        <v>1.6832668517578848</v>
      </c>
      <c r="AG403" s="1613">
        <f t="shared" si="107"/>
        <v>0.37960869342974612</v>
      </c>
      <c r="AH403" s="1613">
        <f t="shared" si="108"/>
        <v>1.0788103508721205</v>
      </c>
      <c r="AI403" s="1614">
        <f t="shared" si="109"/>
        <v>1.4584190443018668</v>
      </c>
      <c r="AV403" s="1363"/>
      <c r="AW403" s="1363"/>
      <c r="AX403" s="1363"/>
    </row>
    <row r="404" spans="1:50" x14ac:dyDescent="0.25">
      <c r="A404" s="1620" t="s">
        <v>4096</v>
      </c>
      <c r="B404" s="1504">
        <v>950</v>
      </c>
      <c r="C404" s="1505">
        <v>38</v>
      </c>
      <c r="D404" s="1506">
        <v>1222</v>
      </c>
      <c r="E404" s="1504">
        <v>111.3</v>
      </c>
      <c r="F404" s="1504">
        <v>111.3</v>
      </c>
      <c r="G404" s="1504">
        <v>1060.4000000000001</v>
      </c>
      <c r="H404" s="1504">
        <v>192</v>
      </c>
      <c r="I404" s="1504">
        <v>36</v>
      </c>
      <c r="J404" s="1504">
        <v>1139.9000000000001</v>
      </c>
      <c r="K404" s="1504">
        <v>44.4</v>
      </c>
      <c r="L404" s="1504">
        <v>15.7</v>
      </c>
      <c r="M404" s="1504">
        <v>1016</v>
      </c>
      <c r="N404" s="1504">
        <v>971.6</v>
      </c>
      <c r="O404" s="1504"/>
      <c r="P404" s="1504"/>
      <c r="Q404" s="1508"/>
      <c r="R404" s="1362">
        <v>333</v>
      </c>
      <c r="S404" s="1659"/>
      <c r="T404" s="1657"/>
      <c r="U404" s="1657"/>
      <c r="V404" s="1657"/>
      <c r="W404" s="1657"/>
      <c r="X404" s="1658"/>
      <c r="Y404" s="1362">
        <v>908</v>
      </c>
      <c r="Z404" s="1506"/>
      <c r="AA404" s="1657"/>
      <c r="AB404" s="1658"/>
      <c r="AC404" s="1612">
        <f t="shared" si="103"/>
        <v>0.42728361858503272</v>
      </c>
      <c r="AD404" s="1613">
        <f t="shared" si="104"/>
        <v>1.172822511030795</v>
      </c>
      <c r="AE404" s="1613">
        <f t="shared" si="105"/>
        <v>0.24632637377378694</v>
      </c>
      <c r="AF404" s="1613">
        <f t="shared" si="106"/>
        <v>1.8464325033896145</v>
      </c>
      <c r="AG404" s="1613">
        <f t="shared" si="107"/>
        <v>0.42728361858503272</v>
      </c>
      <c r="AH404" s="1613">
        <f t="shared" si="108"/>
        <v>1.172822511030795</v>
      </c>
      <c r="AI404" s="1614">
        <f t="shared" si="109"/>
        <v>1.6001061296158277</v>
      </c>
      <c r="AV404" s="1363"/>
      <c r="AW404" s="1363"/>
      <c r="AX404" s="1363"/>
    </row>
    <row r="405" spans="1:50" x14ac:dyDescent="0.25">
      <c r="A405" s="1620" t="s">
        <v>4097</v>
      </c>
      <c r="B405" s="1504">
        <v>1000</v>
      </c>
      <c r="C405" s="1505">
        <v>40</v>
      </c>
      <c r="D405" s="1506">
        <v>1273</v>
      </c>
      <c r="E405" s="1504">
        <v>115.9</v>
      </c>
      <c r="F405" s="1504">
        <v>115.8</v>
      </c>
      <c r="G405" s="1504">
        <v>1114.5999999999999</v>
      </c>
      <c r="H405" s="1504">
        <v>198.4</v>
      </c>
      <c r="I405" s="1504">
        <v>40</v>
      </c>
      <c r="J405" s="1504">
        <v>1190.8</v>
      </c>
      <c r="K405" s="1504">
        <v>44.4</v>
      </c>
      <c r="L405" s="1504">
        <v>15.7</v>
      </c>
      <c r="M405" s="1504">
        <v>1066.8</v>
      </c>
      <c r="N405" s="1504">
        <v>1022.4</v>
      </c>
      <c r="O405" s="1504"/>
      <c r="P405" s="1504"/>
      <c r="Q405" s="1508"/>
      <c r="R405" s="1362">
        <v>399</v>
      </c>
      <c r="S405" s="1659"/>
      <c r="T405" s="1657"/>
      <c r="U405" s="1657"/>
      <c r="V405" s="1657"/>
      <c r="W405" s="1657"/>
      <c r="X405" s="1658"/>
      <c r="Y405" s="1362">
        <v>1077</v>
      </c>
      <c r="Z405" s="1506"/>
      <c r="AA405" s="1657"/>
      <c r="AB405" s="1658"/>
      <c r="AC405" s="1612">
        <f t="shared" si="103"/>
        <v>0.46351277922549561</v>
      </c>
      <c r="AD405" s="1613">
        <f t="shared" si="104"/>
        <v>1.2727605003323035</v>
      </c>
      <c r="AE405" s="1613">
        <f t="shared" si="105"/>
        <v>0.26498705714499182</v>
      </c>
      <c r="AF405" s="1613">
        <f t="shared" si="106"/>
        <v>2.0012603367027912</v>
      </c>
      <c r="AG405" s="1613">
        <f t="shared" si="107"/>
        <v>0.46311285448069356</v>
      </c>
      <c r="AH405" s="1613">
        <f t="shared" si="108"/>
        <v>1.2727605003323035</v>
      </c>
      <c r="AI405" s="1614">
        <f t="shared" si="109"/>
        <v>1.735873354812997</v>
      </c>
      <c r="AV405" s="1363"/>
      <c r="AW405" s="1363"/>
      <c r="AX405" s="1363"/>
    </row>
    <row r="406" spans="1:50" x14ac:dyDescent="0.25">
      <c r="A406" s="1620" t="s">
        <v>4098</v>
      </c>
      <c r="B406" s="1504">
        <v>1050</v>
      </c>
      <c r="C406" s="1505">
        <v>42</v>
      </c>
      <c r="D406" s="1506">
        <v>1334</v>
      </c>
      <c r="E406" s="1504">
        <v>119.1</v>
      </c>
      <c r="F406" s="1504">
        <v>119.1</v>
      </c>
      <c r="G406" s="1504">
        <v>1168.4000000000001</v>
      </c>
      <c r="H406" s="1504">
        <v>204.7</v>
      </c>
      <c r="I406" s="1504">
        <v>36</v>
      </c>
      <c r="J406" s="1504">
        <v>1244.5999999999999</v>
      </c>
      <c r="K406" s="1504">
        <v>47.8</v>
      </c>
      <c r="L406" s="1504">
        <v>15.7</v>
      </c>
      <c r="M406" s="1504">
        <v>1117.5999999999999</v>
      </c>
      <c r="N406" s="1504">
        <v>1074.7</v>
      </c>
      <c r="O406" s="1504"/>
      <c r="P406" s="1504"/>
      <c r="Q406" s="1508"/>
      <c r="R406" s="1362">
        <v>444</v>
      </c>
      <c r="S406" s="1659"/>
      <c r="T406" s="1657"/>
      <c r="U406" s="1657"/>
      <c r="V406" s="1657"/>
      <c r="W406" s="1657"/>
      <c r="X406" s="1658"/>
      <c r="Y406" s="1362">
        <v>1219</v>
      </c>
      <c r="Z406" s="1506"/>
      <c r="AA406" s="1657"/>
      <c r="AB406" s="1658"/>
      <c r="AC406" s="1612">
        <f t="shared" si="103"/>
        <v>0.49913435584675409</v>
      </c>
      <c r="AD406" s="1613">
        <f t="shared" si="104"/>
        <v>1.3976600140629094</v>
      </c>
      <c r="AE406" s="1613">
        <f t="shared" si="105"/>
        <v>0.2890086798839886</v>
      </c>
      <c r="AF406" s="1613">
        <f t="shared" si="106"/>
        <v>2.1858030497936523</v>
      </c>
      <c r="AG406" s="1613">
        <f t="shared" si="107"/>
        <v>0.49913435584675409</v>
      </c>
      <c r="AH406" s="1613">
        <f t="shared" si="108"/>
        <v>1.3976600140629094</v>
      </c>
      <c r="AI406" s="1614">
        <f t="shared" si="109"/>
        <v>1.8967943699096634</v>
      </c>
      <c r="AV406" s="1363"/>
      <c r="AW406" s="1363"/>
      <c r="AX406" s="1363"/>
    </row>
    <row r="407" spans="1:50" x14ac:dyDescent="0.25">
      <c r="A407" s="1620" t="s">
        <v>4099</v>
      </c>
      <c r="B407" s="1504">
        <v>1100</v>
      </c>
      <c r="C407" s="1505">
        <v>44</v>
      </c>
      <c r="D407" s="1506">
        <v>1384</v>
      </c>
      <c r="E407" s="1504">
        <v>127</v>
      </c>
      <c r="F407" s="1504">
        <v>127</v>
      </c>
      <c r="G407" s="1504">
        <v>1219.2</v>
      </c>
      <c r="H407" s="1504">
        <v>214.4</v>
      </c>
      <c r="I407" s="1504">
        <v>40</v>
      </c>
      <c r="J407" s="1504">
        <v>1295.4000000000001</v>
      </c>
      <c r="K407" s="1504">
        <v>47.8</v>
      </c>
      <c r="L407" s="1504">
        <v>15.7</v>
      </c>
      <c r="M407" s="1504">
        <v>1173.2</v>
      </c>
      <c r="N407" s="1504">
        <v>1125.5</v>
      </c>
      <c r="O407" s="1504"/>
      <c r="P407" s="1504"/>
      <c r="Q407" s="1508"/>
      <c r="R407" s="1362">
        <v>508</v>
      </c>
      <c r="S407" s="1659"/>
      <c r="T407" s="1657"/>
      <c r="U407" s="1657"/>
      <c r="V407" s="1657"/>
      <c r="W407" s="1657"/>
      <c r="X407" s="1658"/>
      <c r="Y407" s="1362">
        <v>1396</v>
      </c>
      <c r="Z407" s="1506"/>
      <c r="AA407" s="1657"/>
      <c r="AB407" s="1658"/>
      <c r="AC407" s="1612">
        <f t="shared" si="103"/>
        <v>0.55219145753617072</v>
      </c>
      <c r="AD407" s="1613">
        <f t="shared" si="104"/>
        <v>1.5043956244686227</v>
      </c>
      <c r="AE407" s="1613">
        <f t="shared" si="105"/>
        <v>0.30903438526317828</v>
      </c>
      <c r="AF407" s="1613">
        <f t="shared" si="106"/>
        <v>2.3656214672679718</v>
      </c>
      <c r="AG407" s="1613">
        <f t="shared" si="107"/>
        <v>0.55219145753617072</v>
      </c>
      <c r="AH407" s="1613">
        <f t="shared" si="108"/>
        <v>1.5043956244686227</v>
      </c>
      <c r="AI407" s="1614">
        <f t="shared" si="109"/>
        <v>2.0565870820047936</v>
      </c>
      <c r="AV407" s="1363"/>
      <c r="AW407" s="1363"/>
      <c r="AX407" s="1363"/>
    </row>
    <row r="408" spans="1:50" x14ac:dyDescent="0.25">
      <c r="A408" s="1620" t="s">
        <v>4100</v>
      </c>
      <c r="B408" s="1504">
        <v>1150</v>
      </c>
      <c r="C408" s="1505">
        <v>46</v>
      </c>
      <c r="D408" s="1506">
        <v>1460</v>
      </c>
      <c r="E408" s="1504">
        <v>128.5</v>
      </c>
      <c r="F408" s="1504">
        <v>130</v>
      </c>
      <c r="G408" s="1504">
        <v>1270</v>
      </c>
      <c r="H408" s="1504">
        <v>222.2</v>
      </c>
      <c r="I408" s="1504">
        <v>36</v>
      </c>
      <c r="J408" s="1504">
        <v>1365.2</v>
      </c>
      <c r="K408" s="1504">
        <v>50.8</v>
      </c>
      <c r="L408" s="1504">
        <v>15.7</v>
      </c>
      <c r="M408" s="1504">
        <v>1228.9000000000001</v>
      </c>
      <c r="N408" s="1504">
        <v>1176.3</v>
      </c>
      <c r="O408" s="1504"/>
      <c r="P408" s="1504"/>
      <c r="Q408" s="1508"/>
      <c r="R408" s="1362">
        <v>581</v>
      </c>
      <c r="S408" s="1659"/>
      <c r="T408" s="1657"/>
      <c r="U408" s="1657"/>
      <c r="V408" s="1657"/>
      <c r="W408" s="1657"/>
      <c r="X408" s="1658"/>
      <c r="Y408" s="1362">
        <v>1581</v>
      </c>
      <c r="Z408" s="1506"/>
      <c r="AA408" s="1657"/>
      <c r="AB408" s="1658"/>
      <c r="AC408" s="1612">
        <f t="shared" si="103"/>
        <v>0.58939419773998114</v>
      </c>
      <c r="AD408" s="1613">
        <f t="shared" si="104"/>
        <v>1.6741547250980009</v>
      </c>
      <c r="AE408" s="1613">
        <f t="shared" si="105"/>
        <v>0.34626417457973596</v>
      </c>
      <c r="AF408" s="1613">
        <f t="shared" si="106"/>
        <v>2.6098130974177183</v>
      </c>
      <c r="AG408" s="1613">
        <f t="shared" si="107"/>
        <v>0.59627428565134277</v>
      </c>
      <c r="AH408" s="1613">
        <f t="shared" si="108"/>
        <v>1.6741547250980009</v>
      </c>
      <c r="AI408" s="1614">
        <f t="shared" si="109"/>
        <v>2.2704290107493437</v>
      </c>
      <c r="AV408" s="1363"/>
      <c r="AW408" s="1363"/>
      <c r="AX408" s="1363"/>
    </row>
    <row r="409" spans="1:50" x14ac:dyDescent="0.25">
      <c r="A409" s="1620" t="s">
        <v>4101</v>
      </c>
      <c r="B409" s="1504">
        <v>1200</v>
      </c>
      <c r="C409" s="1505">
        <v>48</v>
      </c>
      <c r="D409" s="1506">
        <v>1511</v>
      </c>
      <c r="E409" s="1504">
        <v>128.5</v>
      </c>
      <c r="F409" s="1504">
        <v>134.9</v>
      </c>
      <c r="G409" s="1504">
        <v>1327.2</v>
      </c>
      <c r="H409" s="1504">
        <v>223.8</v>
      </c>
      <c r="I409" s="1504">
        <v>40</v>
      </c>
      <c r="J409" s="1504">
        <v>1416</v>
      </c>
      <c r="K409" s="1504">
        <v>50.8</v>
      </c>
      <c r="L409" s="1504">
        <v>15.7</v>
      </c>
      <c r="M409" s="1504">
        <v>1277.9000000000001</v>
      </c>
      <c r="N409" s="1504">
        <v>1227.0999999999999</v>
      </c>
      <c r="O409" s="1504"/>
      <c r="P409" s="1504"/>
      <c r="Q409" s="1508"/>
      <c r="R409" s="1362">
        <v>620</v>
      </c>
      <c r="S409" s="1659"/>
      <c r="T409" s="1657"/>
      <c r="U409" s="1657"/>
      <c r="V409" s="1657"/>
      <c r="W409" s="1657"/>
      <c r="X409" s="1658"/>
      <c r="Y409" s="1362">
        <v>1760</v>
      </c>
      <c r="Z409" s="1506"/>
      <c r="AA409" s="1657"/>
      <c r="AB409" s="1658"/>
      <c r="AC409" s="1612">
        <f t="shared" si="103"/>
        <v>0.60998262519528179</v>
      </c>
      <c r="AD409" s="1613">
        <f t="shared" si="104"/>
        <v>1.7931590402141455</v>
      </c>
      <c r="AE409" s="1613">
        <f t="shared" si="105"/>
        <v>0.36738610729946936</v>
      </c>
      <c r="AF409" s="1613">
        <f t="shared" si="106"/>
        <v>2.7705277727088968</v>
      </c>
      <c r="AG409" s="1613">
        <f t="shared" si="107"/>
        <v>0.64036308279255649</v>
      </c>
      <c r="AH409" s="1613">
        <f t="shared" si="108"/>
        <v>1.7931590402141455</v>
      </c>
      <c r="AI409" s="1614">
        <f t="shared" si="109"/>
        <v>2.4335221230067021</v>
      </c>
      <c r="AV409" s="1363"/>
      <c r="AW409" s="1363"/>
      <c r="AX409" s="1363"/>
    </row>
    <row r="410" spans="1:50" x14ac:dyDescent="0.25">
      <c r="A410" s="1620" t="s">
        <v>4102</v>
      </c>
      <c r="B410" s="1504">
        <v>1250</v>
      </c>
      <c r="C410" s="1505">
        <v>50</v>
      </c>
      <c r="D410" s="1506">
        <v>1562</v>
      </c>
      <c r="E410" s="1504">
        <v>138.19999999999999</v>
      </c>
      <c r="F410" s="1504">
        <v>139.69999999999999</v>
      </c>
      <c r="G410" s="1504">
        <v>1378</v>
      </c>
      <c r="H410" s="1504">
        <v>235</v>
      </c>
      <c r="I410" s="1504">
        <v>44</v>
      </c>
      <c r="J410" s="1504">
        <v>1466.9</v>
      </c>
      <c r="K410" s="1504">
        <v>50.8</v>
      </c>
      <c r="L410" s="1504">
        <v>15.7</v>
      </c>
      <c r="M410" s="1504">
        <v>1330.5</v>
      </c>
      <c r="N410" s="1504">
        <v>1277.9000000000001</v>
      </c>
      <c r="O410" s="1504"/>
      <c r="P410" s="1504"/>
      <c r="Q410" s="1508"/>
      <c r="R410" s="1362">
        <v>733</v>
      </c>
      <c r="S410" s="1659"/>
      <c r="T410" s="1657"/>
      <c r="U410" s="1657"/>
      <c r="V410" s="1657"/>
      <c r="W410" s="1657"/>
      <c r="X410" s="1658"/>
      <c r="Y410" s="1362">
        <v>2005</v>
      </c>
      <c r="Z410" s="1506"/>
      <c r="AA410" s="1657"/>
      <c r="AB410" s="1658"/>
      <c r="AC410" s="1612">
        <f t="shared" si="103"/>
        <v>0.67817057958218296</v>
      </c>
      <c r="AD410" s="1613">
        <f t="shared" si="104"/>
        <v>1.9162489965762839</v>
      </c>
      <c r="AE410" s="1613">
        <f t="shared" si="105"/>
        <v>0.38861727319576805</v>
      </c>
      <c r="AF410" s="1613">
        <f t="shared" si="106"/>
        <v>2.9830368493542347</v>
      </c>
      <c r="AG410" s="1613">
        <f t="shared" si="107"/>
        <v>0.68553133116954379</v>
      </c>
      <c r="AH410" s="1613">
        <f t="shared" si="108"/>
        <v>1.9162489965762839</v>
      </c>
      <c r="AI410" s="1614">
        <f t="shared" si="109"/>
        <v>2.6017803277458276</v>
      </c>
      <c r="AV410" s="1363"/>
      <c r="AW410" s="1363"/>
      <c r="AX410" s="1363"/>
    </row>
    <row r="411" spans="1:50" x14ac:dyDescent="0.25">
      <c r="A411" s="1620" t="s">
        <v>4103</v>
      </c>
      <c r="B411" s="1504">
        <v>1300</v>
      </c>
      <c r="C411" s="1505">
        <v>52</v>
      </c>
      <c r="D411" s="1506">
        <v>1613</v>
      </c>
      <c r="E411" s="1504">
        <v>142.69999999999999</v>
      </c>
      <c r="F411" s="1504">
        <v>144.30000000000001</v>
      </c>
      <c r="G411" s="1504">
        <v>1428.8</v>
      </c>
      <c r="H411" s="1504">
        <v>242.8</v>
      </c>
      <c r="I411" s="1504">
        <v>48</v>
      </c>
      <c r="J411" s="1504">
        <v>1517.8</v>
      </c>
      <c r="K411" s="1504">
        <v>50.8</v>
      </c>
      <c r="L411" s="1504">
        <v>15.7</v>
      </c>
      <c r="M411" s="1504">
        <v>1382.8</v>
      </c>
      <c r="N411" s="1504">
        <v>1328.7</v>
      </c>
      <c r="O411" s="1504"/>
      <c r="P411" s="1504"/>
      <c r="Q411" s="1508"/>
      <c r="R411" s="1362">
        <v>773</v>
      </c>
      <c r="S411" s="1659"/>
      <c r="T411" s="1657"/>
      <c r="U411" s="1657"/>
      <c r="V411" s="1657"/>
      <c r="W411" s="1657"/>
      <c r="X411" s="1658"/>
      <c r="Y411" s="1362">
        <v>2215</v>
      </c>
      <c r="Z411" s="1506"/>
      <c r="AA411" s="1657"/>
      <c r="AB411" s="1658"/>
      <c r="AC411" s="1612">
        <f t="shared" si="103"/>
        <v>0.72311640319929593</v>
      </c>
      <c r="AD411" s="1613">
        <f t="shared" si="104"/>
        <v>2.0434245941844158</v>
      </c>
      <c r="AE411" s="1613">
        <f t="shared" si="105"/>
        <v>0.41784083929835836</v>
      </c>
      <c r="AF411" s="1613">
        <f t="shared" si="106"/>
        <v>3.18438183668207</v>
      </c>
      <c r="AG411" s="1613">
        <f t="shared" si="107"/>
        <v>0.73122422551968058</v>
      </c>
      <c r="AH411" s="1613">
        <f t="shared" si="108"/>
        <v>2.0434245941844158</v>
      </c>
      <c r="AI411" s="1614">
        <f t="shared" si="109"/>
        <v>2.7746488197040966</v>
      </c>
      <c r="AV411" s="1363"/>
      <c r="AW411" s="1363"/>
      <c r="AX411" s="1363"/>
    </row>
    <row r="412" spans="1:50" x14ac:dyDescent="0.25">
      <c r="A412" s="1620" t="s">
        <v>4104</v>
      </c>
      <c r="B412" s="1504">
        <v>1350</v>
      </c>
      <c r="C412" s="1505">
        <v>54</v>
      </c>
      <c r="D412" s="1506">
        <v>1673</v>
      </c>
      <c r="E412" s="1504">
        <v>136.69999999999999</v>
      </c>
      <c r="F412" s="1504">
        <v>149.4</v>
      </c>
      <c r="G412" s="1504">
        <v>1479.6</v>
      </c>
      <c r="H412" s="1504">
        <v>239.8</v>
      </c>
      <c r="I412" s="1504">
        <v>48</v>
      </c>
      <c r="J412" s="1504">
        <v>1577.8</v>
      </c>
      <c r="K412" s="1504">
        <v>50.8</v>
      </c>
      <c r="L412" s="1504">
        <v>15.7</v>
      </c>
      <c r="M412" s="1504">
        <v>1435.1</v>
      </c>
      <c r="N412" s="1504">
        <v>1379.5</v>
      </c>
      <c r="O412" s="1504"/>
      <c r="P412" s="1504"/>
      <c r="Q412" s="1508"/>
      <c r="R412" s="1362">
        <v>928</v>
      </c>
      <c r="S412" s="1659"/>
      <c r="T412" s="1657"/>
      <c r="U412" s="1657"/>
      <c r="V412" s="1657"/>
      <c r="W412" s="1657"/>
      <c r="X412" s="1658"/>
      <c r="Y412" s="1362">
        <v>2568</v>
      </c>
      <c r="Z412" s="1506"/>
      <c r="AA412" s="1657"/>
      <c r="AB412" s="1658"/>
      <c r="AC412" s="1612">
        <f t="shared" si="103"/>
        <v>0.71847941244259728</v>
      </c>
      <c r="AD412" s="1613">
        <f t="shared" si="104"/>
        <v>2.1982736960798568</v>
      </c>
      <c r="AE412" s="1613">
        <f t="shared" si="105"/>
        <v>0.44681757046615611</v>
      </c>
      <c r="AF412" s="1613">
        <f t="shared" si="106"/>
        <v>3.36357067898861</v>
      </c>
      <c r="AG412" s="1613">
        <f t="shared" si="107"/>
        <v>0.78522914571268521</v>
      </c>
      <c r="AH412" s="1613">
        <f t="shared" si="108"/>
        <v>2.1982736960798568</v>
      </c>
      <c r="AI412" s="1614">
        <f t="shared" si="109"/>
        <v>2.983502841792542</v>
      </c>
      <c r="AV412" s="1363"/>
      <c r="AW412" s="1363"/>
      <c r="AX412" s="1363"/>
    </row>
    <row r="413" spans="1:50" x14ac:dyDescent="0.25">
      <c r="A413" s="1620" t="s">
        <v>4105</v>
      </c>
      <c r="B413" s="1504">
        <v>1400</v>
      </c>
      <c r="C413" s="1505">
        <v>56</v>
      </c>
      <c r="D413" s="1506">
        <v>1765</v>
      </c>
      <c r="E413" s="1504">
        <v>153.9</v>
      </c>
      <c r="F413" s="1504">
        <v>157</v>
      </c>
      <c r="G413" s="1504">
        <v>1536.7</v>
      </c>
      <c r="H413" s="1504">
        <v>268.2</v>
      </c>
      <c r="I413" s="1504">
        <v>36</v>
      </c>
      <c r="J413" s="1504">
        <v>1651</v>
      </c>
      <c r="K413" s="1504">
        <v>60.5</v>
      </c>
      <c r="L413" s="1504">
        <v>17.5</v>
      </c>
      <c r="M413" s="1504">
        <v>1493.8</v>
      </c>
      <c r="N413" s="1504">
        <v>1430.3</v>
      </c>
      <c r="O413" s="1504"/>
      <c r="P413" s="1504"/>
      <c r="Q413" s="1508"/>
      <c r="R413" s="1362">
        <v>986</v>
      </c>
      <c r="S413" s="1659"/>
      <c r="T413" s="1657"/>
      <c r="U413" s="1657"/>
      <c r="V413" s="1657"/>
      <c r="W413" s="1657"/>
      <c r="X413" s="1658"/>
      <c r="Y413" s="1362">
        <v>2932</v>
      </c>
      <c r="Z413" s="1506"/>
      <c r="AA413" s="1657"/>
      <c r="AB413" s="1658"/>
      <c r="AC413" s="1612">
        <f t="shared" si="103"/>
        <v>0.85336180806888318</v>
      </c>
      <c r="AD413" s="1613">
        <f t="shared" si="104"/>
        <v>2.4466919935698161</v>
      </c>
      <c r="AE413" s="1613">
        <f t="shared" si="105"/>
        <v>0.51359790284868967</v>
      </c>
      <c r="AF413" s="1613">
        <f t="shared" si="106"/>
        <v>3.8136517044873894</v>
      </c>
      <c r="AG413" s="1613">
        <f t="shared" si="107"/>
        <v>0.87055103227299968</v>
      </c>
      <c r="AH413" s="1613">
        <f t="shared" si="108"/>
        <v>2.4466919935698161</v>
      </c>
      <c r="AI413" s="1614">
        <f t="shared" si="109"/>
        <v>3.3172430258428158</v>
      </c>
      <c r="AV413" s="1363"/>
      <c r="AW413" s="1363"/>
      <c r="AX413" s="1363"/>
    </row>
    <row r="414" spans="1:50" x14ac:dyDescent="0.25">
      <c r="A414" s="1620" t="s">
        <v>4106</v>
      </c>
      <c r="B414" s="1504">
        <v>1450</v>
      </c>
      <c r="C414" s="1505">
        <v>58</v>
      </c>
      <c r="D414" s="1506">
        <v>1827</v>
      </c>
      <c r="E414" s="1504">
        <v>153.9</v>
      </c>
      <c r="F414" s="1504">
        <v>162.1</v>
      </c>
      <c r="G414" s="1504">
        <v>1593.9</v>
      </c>
      <c r="H414" s="1504">
        <v>274.60000000000002</v>
      </c>
      <c r="I414" s="1504">
        <v>40</v>
      </c>
      <c r="J414" s="1504">
        <v>1713</v>
      </c>
      <c r="K414" s="1504">
        <v>60.5</v>
      </c>
      <c r="L414" s="1504">
        <v>17.5</v>
      </c>
      <c r="M414" s="1504">
        <v>1547.9</v>
      </c>
      <c r="N414" s="1504">
        <v>1481.1</v>
      </c>
      <c r="O414" s="1504"/>
      <c r="P414" s="1504"/>
      <c r="Q414" s="1508"/>
      <c r="R414" s="1362">
        <v>1048</v>
      </c>
      <c r="S414" s="1659"/>
      <c r="T414" s="1657"/>
      <c r="U414" s="1657"/>
      <c r="V414" s="1657"/>
      <c r="W414" s="1657"/>
      <c r="X414" s="1658"/>
      <c r="Y414" s="1362">
        <v>3009</v>
      </c>
      <c r="Z414" s="1506"/>
      <c r="AA414" s="1657"/>
      <c r="AB414" s="1658"/>
      <c r="AC414" s="1612">
        <f t="shared" si="103"/>
        <v>0.88333825685090617</v>
      </c>
      <c r="AD414" s="1613">
        <f t="shared" si="104"/>
        <v>2.6216033061510813</v>
      </c>
      <c r="AE414" s="1613">
        <f t="shared" si="105"/>
        <v>0.56161865452328341</v>
      </c>
      <c r="AF414" s="1613">
        <f t="shared" si="106"/>
        <v>4.0665602175252706</v>
      </c>
      <c r="AG414" s="1613">
        <f t="shared" si="107"/>
        <v>0.93040371303139613</v>
      </c>
      <c r="AH414" s="1613">
        <f t="shared" si="108"/>
        <v>2.6216033061510813</v>
      </c>
      <c r="AI414" s="1614">
        <f t="shared" si="109"/>
        <v>3.5520070191824775</v>
      </c>
      <c r="AV414" s="1363"/>
      <c r="AW414" s="1363"/>
      <c r="AX414" s="1363"/>
    </row>
    <row r="415" spans="1:50" ht="13.2" thickBot="1" x14ac:dyDescent="0.3">
      <c r="A415" s="1620" t="s">
        <v>4107</v>
      </c>
      <c r="B415" s="1504">
        <v>1500</v>
      </c>
      <c r="C415" s="1505">
        <v>60</v>
      </c>
      <c r="D415" s="1506">
        <v>1878</v>
      </c>
      <c r="E415" s="1504">
        <v>150.9</v>
      </c>
      <c r="F415" s="1504">
        <v>166.6</v>
      </c>
      <c r="G415" s="1504">
        <v>1651</v>
      </c>
      <c r="H415" s="1504">
        <v>271.60000000000002</v>
      </c>
      <c r="I415" s="1504">
        <v>40</v>
      </c>
      <c r="J415" s="1504">
        <v>1763.8</v>
      </c>
      <c r="K415" s="1504">
        <v>60.5</v>
      </c>
      <c r="L415" s="1504">
        <v>17.5</v>
      </c>
      <c r="M415" s="1504">
        <v>1598.7</v>
      </c>
      <c r="N415" s="1504">
        <v>1531.9</v>
      </c>
      <c r="O415" s="1601"/>
      <c r="P415" s="1601"/>
      <c r="Q415" s="1604"/>
      <c r="R415" s="167">
        <v>1120</v>
      </c>
      <c r="S415" s="1647"/>
      <c r="T415" s="1643"/>
      <c r="U415" s="1643"/>
      <c r="V415" s="1643"/>
      <c r="W415" s="1643"/>
      <c r="X415" s="1644"/>
      <c r="Y415" s="167">
        <v>3283</v>
      </c>
      <c r="Z415" s="1506"/>
      <c r="AA415" s="1643"/>
      <c r="AB415" s="1644"/>
      <c r="AC415" s="178">
        <f t="shared" si="103"/>
        <v>0.89029657041934229</v>
      </c>
      <c r="AD415" s="179">
        <f t="shared" si="104"/>
        <v>2.7700082161158459</v>
      </c>
      <c r="AE415" s="179">
        <f t="shared" si="105"/>
        <v>0.58088151837432855</v>
      </c>
      <c r="AF415" s="179">
        <f t="shared" si="106"/>
        <v>4.2411863049095171</v>
      </c>
      <c r="AG415" s="179">
        <f t="shared" si="107"/>
        <v>0.9829251731733758</v>
      </c>
      <c r="AH415" s="179">
        <f t="shared" si="108"/>
        <v>2.7700082161158459</v>
      </c>
      <c r="AI415" s="180">
        <f t="shared" si="109"/>
        <v>3.7529333892892218</v>
      </c>
      <c r="AV415" s="604"/>
      <c r="AW415" s="604"/>
      <c r="AX415" s="604"/>
    </row>
    <row r="416" spans="1:50" ht="13.2" thickBot="1" x14ac:dyDescent="0.3">
      <c r="A416" s="265"/>
      <c r="B416" s="257"/>
      <c r="C416" s="258"/>
      <c r="D416" s="259"/>
      <c r="E416" s="260"/>
      <c r="F416" s="260"/>
      <c r="G416" s="260"/>
      <c r="H416" s="259"/>
      <c r="I416" s="260"/>
      <c r="J416" s="260"/>
      <c r="K416" s="260"/>
      <c r="L416" s="259"/>
      <c r="M416" s="260"/>
      <c r="N416" s="260"/>
      <c r="O416" s="260"/>
      <c r="P416" s="260"/>
      <c r="Q416" s="260"/>
      <c r="R416" s="261" t="s">
        <v>3818</v>
      </c>
      <c r="S416" s="260"/>
      <c r="T416" s="260"/>
      <c r="U416" s="260"/>
      <c r="V416" s="260"/>
      <c r="W416" s="260"/>
      <c r="X416" s="260"/>
      <c r="Y416" s="160" t="s">
        <v>345</v>
      </c>
      <c r="Z416" s="260"/>
      <c r="AA416" s="260"/>
      <c r="AB416" s="260"/>
      <c r="AC416" s="262" t="s">
        <v>3818</v>
      </c>
      <c r="AD416" s="263"/>
      <c r="AE416" s="263"/>
      <c r="AF416" s="263"/>
      <c r="AG416" s="263" t="s">
        <v>345</v>
      </c>
      <c r="AH416" s="263"/>
      <c r="AI416" s="226"/>
      <c r="AV416" s="592"/>
      <c r="AW416" s="592" t="str">
        <f>$AW$19</f>
        <v>LWN</v>
      </c>
      <c r="AX416" s="592" t="str">
        <f>$AW$19</f>
        <v>LWN</v>
      </c>
    </row>
    <row r="417" spans="1:50" x14ac:dyDescent="0.25">
      <c r="A417" s="1349"/>
      <c r="B417" s="1453" t="s">
        <v>3820</v>
      </c>
      <c r="C417" s="1458"/>
      <c r="D417" s="1459" t="s">
        <v>3821</v>
      </c>
      <c r="E417" s="1453" t="s">
        <v>4069</v>
      </c>
      <c r="F417" s="1453" t="s">
        <v>2350</v>
      </c>
      <c r="G417" s="1453" t="s">
        <v>3823</v>
      </c>
      <c r="H417" s="1453" t="s">
        <v>3828</v>
      </c>
      <c r="I417" s="1462" t="s">
        <v>3825</v>
      </c>
      <c r="J417" s="1462"/>
      <c r="K417" s="1462"/>
      <c r="L417" s="1453" t="s">
        <v>3983</v>
      </c>
      <c r="M417" s="1453" t="s">
        <v>3827</v>
      </c>
      <c r="N417" s="1453" t="s">
        <v>12</v>
      </c>
      <c r="O417" s="1454"/>
      <c r="P417" s="1454"/>
      <c r="Q417" s="1455"/>
      <c r="R417" s="227" t="s">
        <v>184</v>
      </c>
      <c r="S417" s="1457"/>
      <c r="T417" s="1454"/>
      <c r="U417" s="1454"/>
      <c r="V417" s="1454"/>
      <c r="W417" s="1454"/>
      <c r="X417" s="1455"/>
      <c r="Y417" s="227" t="s">
        <v>184</v>
      </c>
      <c r="Z417" s="1459"/>
      <c r="AA417" s="1454"/>
      <c r="AB417" s="1455"/>
      <c r="AC417" s="1449" t="s">
        <v>3834</v>
      </c>
      <c r="AD417" s="1445" t="s">
        <v>3835</v>
      </c>
      <c r="AE417" s="1445" t="s">
        <v>3836</v>
      </c>
      <c r="AF417" s="1445" t="s">
        <v>1866</v>
      </c>
      <c r="AG417" s="1445" t="s">
        <v>3834</v>
      </c>
      <c r="AH417" s="1445" t="s">
        <v>3835</v>
      </c>
      <c r="AI417" s="1605" t="s">
        <v>1866</v>
      </c>
      <c r="AV417" s="600"/>
      <c r="AW417" s="600" t="s">
        <v>184</v>
      </c>
      <c r="AX417" s="1598" t="str">
        <f>$AX$20</f>
        <v>Unit Surface</v>
      </c>
    </row>
    <row r="418" spans="1:50" ht="13.2" thickBot="1" x14ac:dyDescent="0.3">
      <c r="A418" s="1620"/>
      <c r="B418" s="243" t="s">
        <v>59</v>
      </c>
      <c r="C418" s="244" t="s">
        <v>1685</v>
      </c>
      <c r="D418" s="245" t="s">
        <v>93</v>
      </c>
      <c r="E418" s="243" t="s">
        <v>93</v>
      </c>
      <c r="F418" s="243" t="s">
        <v>93</v>
      </c>
      <c r="G418" s="243" t="s">
        <v>93</v>
      </c>
      <c r="H418" s="243" t="s">
        <v>93</v>
      </c>
      <c r="I418" s="243" t="s">
        <v>3837</v>
      </c>
      <c r="J418" s="243" t="s">
        <v>3839</v>
      </c>
      <c r="K418" s="243" t="s">
        <v>3838</v>
      </c>
      <c r="L418" s="243" t="s">
        <v>93</v>
      </c>
      <c r="M418" s="243" t="s">
        <v>93</v>
      </c>
      <c r="N418" s="243" t="s">
        <v>93</v>
      </c>
      <c r="O418" s="234"/>
      <c r="P418" s="234"/>
      <c r="Q418" s="235"/>
      <c r="R418" s="264" t="s">
        <v>222</v>
      </c>
      <c r="S418" s="236"/>
      <c r="T418" s="234"/>
      <c r="U418" s="234"/>
      <c r="V418" s="234"/>
      <c r="W418" s="234"/>
      <c r="X418" s="235"/>
      <c r="Y418" s="264" t="s">
        <v>222</v>
      </c>
      <c r="Z418" s="245"/>
      <c r="AA418" s="234"/>
      <c r="AB418" s="235"/>
      <c r="AC418" s="168" t="s">
        <v>228</v>
      </c>
      <c r="AD418" s="166" t="s">
        <v>228</v>
      </c>
      <c r="AE418" s="166" t="s">
        <v>228</v>
      </c>
      <c r="AF418" s="166" t="s">
        <v>228</v>
      </c>
      <c r="AG418" s="166" t="s">
        <v>228</v>
      </c>
      <c r="AH418" s="166" t="s">
        <v>228</v>
      </c>
      <c r="AI418" s="169" t="s">
        <v>228</v>
      </c>
      <c r="AV418" s="601"/>
      <c r="AW418" s="601" t="s">
        <v>222</v>
      </c>
      <c r="AX418" s="593" t="str">
        <f>$AX$21</f>
        <v>m2</v>
      </c>
    </row>
    <row r="419" spans="1:50" ht="13.2" thickBot="1" x14ac:dyDescent="0.3">
      <c r="A419" s="1620" t="s">
        <v>4108</v>
      </c>
      <c r="B419" s="137">
        <v>0</v>
      </c>
      <c r="C419" s="137">
        <v>0</v>
      </c>
      <c r="D419" s="137">
        <v>0</v>
      </c>
      <c r="E419" s="137">
        <v>0</v>
      </c>
      <c r="F419" s="137">
        <v>0</v>
      </c>
      <c r="G419" s="137">
        <v>0</v>
      </c>
      <c r="H419" s="137">
        <v>0</v>
      </c>
      <c r="I419" s="137">
        <v>0</v>
      </c>
      <c r="J419" s="137">
        <v>0</v>
      </c>
      <c r="K419" s="137">
        <v>0</v>
      </c>
      <c r="L419" s="137">
        <v>0</v>
      </c>
      <c r="M419" s="137">
        <v>0</v>
      </c>
      <c r="N419" s="137">
        <v>0</v>
      </c>
      <c r="O419" s="137"/>
      <c r="P419" s="137">
        <v>0</v>
      </c>
      <c r="Q419" s="192">
        <v>0</v>
      </c>
      <c r="R419" s="160">
        <v>0</v>
      </c>
      <c r="S419" s="232"/>
      <c r="T419" s="230">
        <v>0</v>
      </c>
      <c r="U419" s="230">
        <v>0</v>
      </c>
      <c r="V419" s="230">
        <v>0</v>
      </c>
      <c r="W419" s="230">
        <v>0</v>
      </c>
      <c r="X419" s="231">
        <v>0</v>
      </c>
      <c r="Y419" s="160">
        <v>0</v>
      </c>
      <c r="Z419" s="162">
        <v>0</v>
      </c>
      <c r="AA419" s="230"/>
      <c r="AB419" s="192">
        <v>0</v>
      </c>
      <c r="AC419" s="161">
        <v>0</v>
      </c>
      <c r="AD419" s="137">
        <v>0</v>
      </c>
      <c r="AE419" s="137">
        <v>0</v>
      </c>
      <c r="AF419" s="137">
        <v>0</v>
      </c>
      <c r="AG419" s="137">
        <v>0</v>
      </c>
      <c r="AH419" s="137">
        <v>0</v>
      </c>
      <c r="AI419" s="139">
        <v>0</v>
      </c>
      <c r="AV419" s="602"/>
      <c r="AW419" s="602">
        <v>0</v>
      </c>
      <c r="AX419" s="602">
        <v>0</v>
      </c>
    </row>
    <row r="420" spans="1:50" x14ac:dyDescent="0.25">
      <c r="A420" s="1620" t="s">
        <v>4109</v>
      </c>
      <c r="B420" s="1593">
        <v>650</v>
      </c>
      <c r="C420" s="1594">
        <v>26</v>
      </c>
      <c r="D420" s="1595">
        <v>851</v>
      </c>
      <c r="E420" s="1593">
        <v>88.9</v>
      </c>
      <c r="F420" s="1593">
        <v>88.9</v>
      </c>
      <c r="G420" s="1593">
        <v>711.2</v>
      </c>
      <c r="H420" s="1593">
        <v>149.4</v>
      </c>
      <c r="I420" s="1593">
        <v>28</v>
      </c>
      <c r="J420" s="1593">
        <v>781</v>
      </c>
      <c r="K420" s="1593">
        <v>38.1</v>
      </c>
      <c r="L420" s="1593">
        <v>11.2</v>
      </c>
      <c r="M420" s="1593">
        <v>689</v>
      </c>
      <c r="N420" s="1593">
        <v>660.4</v>
      </c>
      <c r="O420" s="1445"/>
      <c r="P420" s="1445"/>
      <c r="Q420" s="1448"/>
      <c r="R420" s="172">
        <v>341</v>
      </c>
      <c r="S420" s="1457"/>
      <c r="T420" s="1454"/>
      <c r="U420" s="1454"/>
      <c r="V420" s="1454"/>
      <c r="W420" s="1454"/>
      <c r="X420" s="1455"/>
      <c r="Y420" s="172">
        <v>565</v>
      </c>
      <c r="Z420" s="1447"/>
      <c r="AA420" s="1454"/>
      <c r="AB420" s="1455"/>
      <c r="AC420" s="1352">
        <f t="shared" ref="AC420:AC425" si="110">PI()*D420*E420/1000000</f>
        <v>0.2376737364554169</v>
      </c>
      <c r="AD420" s="1617">
        <f t="shared" ref="AD420:AD425" si="111">D420^2*PI()/4/1000000</f>
        <v>0.56878613533059541</v>
      </c>
      <c r="AE420" s="1617">
        <f t="shared" ref="AE420:AE425" si="112">N420*PI()*(H420-E420)/1000000</f>
        <v>0.12551982120005731</v>
      </c>
      <c r="AF420" s="1617">
        <f t="shared" ref="AF420:AF425" si="113">AE420+AD420+AC420</f>
        <v>0.93197969298606964</v>
      </c>
      <c r="AG420" s="1617">
        <f t="shared" ref="AG420:AG425" si="114">PI()*D420*F420/1000000</f>
        <v>0.2376737364554169</v>
      </c>
      <c r="AH420" s="1617">
        <f t="shared" ref="AH420:AH425" si="115">D420^2*PI()/4/1000000</f>
        <v>0.56878613533059541</v>
      </c>
      <c r="AI420" s="1618">
        <f t="shared" ref="AI420:AI425" si="116">AH420+AG420</f>
        <v>0.80645987178601231</v>
      </c>
      <c r="AV420" s="603"/>
      <c r="AW420" s="603"/>
      <c r="AX420" s="603"/>
    </row>
    <row r="421" spans="1:50" x14ac:dyDescent="0.25">
      <c r="A421" s="1620" t="s">
        <v>4110</v>
      </c>
      <c r="B421" s="1504">
        <v>700</v>
      </c>
      <c r="C421" s="1505">
        <v>28</v>
      </c>
      <c r="D421" s="1506">
        <v>914</v>
      </c>
      <c r="E421" s="1504">
        <v>95.2</v>
      </c>
      <c r="F421" s="1504">
        <v>95.2</v>
      </c>
      <c r="G421" s="1504">
        <v>762</v>
      </c>
      <c r="H421" s="1504">
        <v>158.80000000000001</v>
      </c>
      <c r="I421" s="1504">
        <v>24</v>
      </c>
      <c r="J421" s="1504">
        <v>838.2</v>
      </c>
      <c r="K421" s="1504">
        <v>41.1</v>
      </c>
      <c r="L421" s="1504">
        <v>12.7</v>
      </c>
      <c r="M421" s="1504">
        <v>739.6</v>
      </c>
      <c r="N421" s="1504">
        <v>711.2</v>
      </c>
      <c r="O421" s="1504"/>
      <c r="P421" s="1504"/>
      <c r="Q421" s="1508"/>
      <c r="R421" s="1362">
        <v>404</v>
      </c>
      <c r="S421" s="1659"/>
      <c r="T421" s="1657"/>
      <c r="U421" s="1657"/>
      <c r="V421" s="1657"/>
      <c r="W421" s="1657"/>
      <c r="X421" s="1658"/>
      <c r="Y421" s="1362">
        <v>715</v>
      </c>
      <c r="Z421" s="1506"/>
      <c r="AA421" s="1657"/>
      <c r="AB421" s="1658"/>
      <c r="AC421" s="1612">
        <f t="shared" si="110"/>
        <v>0.27335877324827795</v>
      </c>
      <c r="AD421" s="1613">
        <f t="shared" si="111"/>
        <v>0.65611848410957474</v>
      </c>
      <c r="AE421" s="1613">
        <f t="shared" si="112"/>
        <v>0.14210152421682271</v>
      </c>
      <c r="AF421" s="1613">
        <f t="shared" si="113"/>
        <v>1.0715787815746753</v>
      </c>
      <c r="AG421" s="1613">
        <f t="shared" si="114"/>
        <v>0.27335877324827795</v>
      </c>
      <c r="AH421" s="1613">
        <f t="shared" si="115"/>
        <v>0.65611848410957474</v>
      </c>
      <c r="AI421" s="1614">
        <f t="shared" si="116"/>
        <v>0.92947725735785269</v>
      </c>
      <c r="AV421" s="1363"/>
      <c r="AW421" s="1363"/>
      <c r="AX421" s="1363"/>
    </row>
    <row r="422" spans="1:50" x14ac:dyDescent="0.25">
      <c r="A422" s="1620" t="s">
        <v>4111</v>
      </c>
      <c r="B422" s="1504">
        <v>750</v>
      </c>
      <c r="C422" s="1505">
        <v>30</v>
      </c>
      <c r="D422" s="1506">
        <v>972</v>
      </c>
      <c r="E422" s="1504">
        <v>101.6</v>
      </c>
      <c r="F422" s="1504">
        <v>101.6</v>
      </c>
      <c r="G422" s="1504">
        <v>819.2</v>
      </c>
      <c r="H422" s="1504">
        <v>169.9</v>
      </c>
      <c r="I422" s="1504">
        <v>28</v>
      </c>
      <c r="J422" s="1504">
        <v>895.4</v>
      </c>
      <c r="K422" s="1504">
        <v>41.1</v>
      </c>
      <c r="L422" s="1504">
        <v>12.7</v>
      </c>
      <c r="M422" s="1504">
        <v>793.8</v>
      </c>
      <c r="N422" s="1504">
        <v>762</v>
      </c>
      <c r="O422" s="1504"/>
      <c r="P422" s="1504"/>
      <c r="Q422" s="1508"/>
      <c r="R422" s="1362">
        <v>474</v>
      </c>
      <c r="S422" s="1659"/>
      <c r="T422" s="1657"/>
      <c r="U422" s="1657"/>
      <c r="V422" s="1657"/>
      <c r="W422" s="1657"/>
      <c r="X422" s="1658"/>
      <c r="Y422" s="1362">
        <v>830</v>
      </c>
      <c r="Z422" s="1506"/>
      <c r="AA422" s="1657"/>
      <c r="AB422" s="1658"/>
      <c r="AC422" s="1612">
        <f t="shared" si="110"/>
        <v>0.31024861082379074</v>
      </c>
      <c r="AD422" s="1613">
        <f t="shared" si="111"/>
        <v>0.7420316184072947</v>
      </c>
      <c r="AE422" s="1613">
        <f t="shared" si="112"/>
        <v>0.16350293301901936</v>
      </c>
      <c r="AF422" s="1613">
        <f t="shared" si="113"/>
        <v>1.2157831622501047</v>
      </c>
      <c r="AG422" s="1613">
        <f t="shared" si="114"/>
        <v>0.31024861082379074</v>
      </c>
      <c r="AH422" s="1613">
        <f t="shared" si="115"/>
        <v>0.7420316184072947</v>
      </c>
      <c r="AI422" s="1614">
        <f t="shared" si="116"/>
        <v>1.0522802292310853</v>
      </c>
      <c r="AV422" s="1363"/>
      <c r="AW422" s="1363"/>
      <c r="AX422" s="1363"/>
    </row>
    <row r="423" spans="1:50" x14ac:dyDescent="0.25">
      <c r="A423" s="1620" t="s">
        <v>4112</v>
      </c>
      <c r="B423" s="1504">
        <v>800</v>
      </c>
      <c r="C423" s="1505">
        <v>32</v>
      </c>
      <c r="D423" s="1506">
        <v>1035</v>
      </c>
      <c r="E423" s="1504">
        <v>108</v>
      </c>
      <c r="F423" s="1504">
        <v>108</v>
      </c>
      <c r="G423" s="1504">
        <v>873.3</v>
      </c>
      <c r="H423" s="1504">
        <v>179.4</v>
      </c>
      <c r="I423" s="1504">
        <v>28</v>
      </c>
      <c r="J423" s="1504">
        <v>952.5</v>
      </c>
      <c r="K423" s="1504">
        <v>44.4</v>
      </c>
      <c r="L423" s="1504">
        <v>12.7</v>
      </c>
      <c r="M423" s="1504">
        <v>844.6</v>
      </c>
      <c r="N423" s="1504">
        <v>812.8</v>
      </c>
      <c r="O423" s="1504"/>
      <c r="P423" s="1504"/>
      <c r="Q423" s="1508"/>
      <c r="R423" s="1362">
        <v>540</v>
      </c>
      <c r="S423" s="1659"/>
      <c r="T423" s="1657"/>
      <c r="U423" s="1657"/>
      <c r="V423" s="1657"/>
      <c r="W423" s="1657"/>
      <c r="X423" s="1658"/>
      <c r="Y423" s="1362">
        <v>955</v>
      </c>
      <c r="Z423" s="1506"/>
      <c r="AA423" s="1657"/>
      <c r="AB423" s="1658"/>
      <c r="AC423" s="1612">
        <f t="shared" si="110"/>
        <v>0.35116722681826706</v>
      </c>
      <c r="AD423" s="1613">
        <f t="shared" si="111"/>
        <v>0.84133814758543157</v>
      </c>
      <c r="AE423" s="1613">
        <f t="shared" si="112"/>
        <v>0.18231893673101779</v>
      </c>
      <c r="AF423" s="1613">
        <f t="shared" si="113"/>
        <v>1.3748243111347165</v>
      </c>
      <c r="AG423" s="1613">
        <f t="shared" si="114"/>
        <v>0.35116722681826706</v>
      </c>
      <c r="AH423" s="1613">
        <f t="shared" si="115"/>
        <v>0.84133814758543157</v>
      </c>
      <c r="AI423" s="1614">
        <f t="shared" si="116"/>
        <v>1.1925053744036986</v>
      </c>
      <c r="AV423" s="1363"/>
      <c r="AW423" s="1363"/>
      <c r="AX423" s="1363"/>
    </row>
    <row r="424" spans="1:50" x14ac:dyDescent="0.25">
      <c r="A424" s="1620" t="s">
        <v>4113</v>
      </c>
      <c r="B424" s="1504">
        <v>850</v>
      </c>
      <c r="C424" s="1505">
        <v>34</v>
      </c>
      <c r="D424" s="1506">
        <v>1086</v>
      </c>
      <c r="E424" s="1504">
        <v>111.3</v>
      </c>
      <c r="F424" s="1504">
        <v>111.3</v>
      </c>
      <c r="G424" s="1504">
        <v>927.1</v>
      </c>
      <c r="H424" s="1504">
        <v>187.5</v>
      </c>
      <c r="I424" s="1504">
        <v>32</v>
      </c>
      <c r="J424" s="1504">
        <v>1003.3</v>
      </c>
      <c r="K424" s="1504">
        <v>44.4</v>
      </c>
      <c r="L424" s="1504">
        <v>14.2</v>
      </c>
      <c r="M424" s="1504">
        <v>898.7</v>
      </c>
      <c r="N424" s="1504">
        <v>863.6</v>
      </c>
      <c r="O424" s="1504"/>
      <c r="P424" s="1504"/>
      <c r="Q424" s="1508"/>
      <c r="R424" s="1362">
        <v>599</v>
      </c>
      <c r="S424" s="1659"/>
      <c r="T424" s="1657"/>
      <c r="U424" s="1657"/>
      <c r="V424" s="1657"/>
      <c r="W424" s="1657"/>
      <c r="X424" s="1658"/>
      <c r="Y424" s="1362">
        <v>1120</v>
      </c>
      <c r="Z424" s="1506"/>
      <c r="AA424" s="1657"/>
      <c r="AB424" s="1658"/>
      <c r="AC424" s="1612">
        <f t="shared" si="110"/>
        <v>0.37972995890617478</v>
      </c>
      <c r="AD424" s="1613">
        <f t="shared" si="111"/>
        <v>0.92629545231829691</v>
      </c>
      <c r="AE424" s="1613">
        <f t="shared" si="112"/>
        <v>0.20673665147177908</v>
      </c>
      <c r="AF424" s="1613">
        <f t="shared" si="113"/>
        <v>1.5127620626962508</v>
      </c>
      <c r="AG424" s="1613">
        <f t="shared" si="114"/>
        <v>0.37972995890617478</v>
      </c>
      <c r="AH424" s="1613">
        <f t="shared" si="115"/>
        <v>0.92629545231829691</v>
      </c>
      <c r="AI424" s="1614">
        <f t="shared" si="116"/>
        <v>1.3060254112244718</v>
      </c>
      <c r="AV424" s="1363"/>
      <c r="AW424" s="1363"/>
      <c r="AX424" s="1363"/>
    </row>
    <row r="425" spans="1:50" ht="13.2" thickBot="1" x14ac:dyDescent="0.3">
      <c r="A425" s="1620" t="s">
        <v>4114</v>
      </c>
      <c r="B425" s="1504">
        <v>900</v>
      </c>
      <c r="C425" s="1505">
        <v>36</v>
      </c>
      <c r="D425" s="1506">
        <v>1156</v>
      </c>
      <c r="E425" s="1504">
        <v>119.1</v>
      </c>
      <c r="F425" s="1504">
        <v>119.1</v>
      </c>
      <c r="G425" s="1504">
        <v>981</v>
      </c>
      <c r="H425" s="1504">
        <v>200.2</v>
      </c>
      <c r="I425" s="1504">
        <v>28</v>
      </c>
      <c r="J425" s="1504">
        <v>1066.8</v>
      </c>
      <c r="K425" s="1504">
        <v>47.8</v>
      </c>
      <c r="L425" s="1504">
        <v>14.2</v>
      </c>
      <c r="M425" s="1504">
        <v>952.5</v>
      </c>
      <c r="N425" s="1504">
        <v>914.4</v>
      </c>
      <c r="O425" s="1504"/>
      <c r="P425" s="1504"/>
      <c r="Q425" s="1508"/>
      <c r="R425" s="1362">
        <v>683</v>
      </c>
      <c r="S425" s="1659"/>
      <c r="T425" s="1657"/>
      <c r="U425" s="1657"/>
      <c r="V425" s="1657"/>
      <c r="W425" s="1657"/>
      <c r="X425" s="1658"/>
      <c r="Y425" s="1362">
        <v>1290</v>
      </c>
      <c r="Z425" s="1506"/>
      <c r="AA425" s="1657"/>
      <c r="AB425" s="1658"/>
      <c r="AC425" s="1612">
        <f t="shared" si="110"/>
        <v>0.43253321990918125</v>
      </c>
      <c r="AD425" s="1613">
        <f t="shared" si="111"/>
        <v>1.0495558400818925</v>
      </c>
      <c r="AE425" s="1613">
        <f t="shared" si="112"/>
        <v>0.23297372535008729</v>
      </c>
      <c r="AF425" s="1613">
        <f t="shared" si="113"/>
        <v>1.7150627853411611</v>
      </c>
      <c r="AG425" s="1613">
        <f t="shared" si="114"/>
        <v>0.43253321990918125</v>
      </c>
      <c r="AH425" s="1613">
        <f t="shared" si="115"/>
        <v>1.0495558400818925</v>
      </c>
      <c r="AI425" s="1614">
        <f t="shared" si="116"/>
        <v>1.4820890599910737</v>
      </c>
      <c r="AV425" s="1363"/>
      <c r="AW425" s="1363"/>
      <c r="AX425" s="1363"/>
    </row>
    <row r="426" spans="1:50" ht="13.2" thickBot="1" x14ac:dyDescent="0.3">
      <c r="A426" s="265"/>
      <c r="B426" s="257"/>
      <c r="C426" s="258"/>
      <c r="D426" s="259"/>
      <c r="E426" s="260"/>
      <c r="F426" s="260"/>
      <c r="G426" s="260"/>
      <c r="H426" s="259"/>
      <c r="I426" s="260"/>
      <c r="J426" s="260"/>
      <c r="K426" s="260"/>
      <c r="L426" s="259"/>
      <c r="M426" s="260"/>
      <c r="N426" s="260"/>
      <c r="O426" s="260"/>
      <c r="P426" s="260"/>
      <c r="Q426" s="260"/>
      <c r="R426" s="261" t="s">
        <v>3818</v>
      </c>
      <c r="S426" s="260"/>
      <c r="T426" s="260"/>
      <c r="U426" s="260"/>
      <c r="V426" s="260"/>
      <c r="W426" s="260"/>
      <c r="X426" s="260"/>
      <c r="Y426" s="160" t="s">
        <v>345</v>
      </c>
      <c r="Z426" s="260"/>
      <c r="AA426" s="260"/>
      <c r="AB426" s="260"/>
      <c r="AC426" s="262" t="s">
        <v>3818</v>
      </c>
      <c r="AD426" s="263"/>
      <c r="AE426" s="263"/>
      <c r="AF426" s="263"/>
      <c r="AG426" s="263" t="s">
        <v>345</v>
      </c>
      <c r="AH426" s="263"/>
      <c r="AI426" s="226"/>
      <c r="AV426" s="592"/>
      <c r="AW426" s="592" t="str">
        <f>$AW$19</f>
        <v>LWN</v>
      </c>
      <c r="AX426" s="592" t="str">
        <f>$AW$19</f>
        <v>LWN</v>
      </c>
    </row>
    <row r="427" spans="1:50" x14ac:dyDescent="0.25">
      <c r="A427" s="1349"/>
      <c r="B427" s="1453" t="s">
        <v>3820</v>
      </c>
      <c r="C427" s="1458"/>
      <c r="D427" s="1459" t="s">
        <v>3821</v>
      </c>
      <c r="E427" s="1453" t="s">
        <v>4069</v>
      </c>
      <c r="F427" s="1453" t="s">
        <v>2350</v>
      </c>
      <c r="G427" s="1453" t="s">
        <v>3823</v>
      </c>
      <c r="H427" s="1453" t="s">
        <v>3828</v>
      </c>
      <c r="I427" s="1462" t="s">
        <v>3825</v>
      </c>
      <c r="J427" s="1462"/>
      <c r="K427" s="1462"/>
      <c r="L427" s="1453" t="s">
        <v>3983</v>
      </c>
      <c r="M427" s="1453" t="s">
        <v>3827</v>
      </c>
      <c r="N427" s="1453" t="s">
        <v>12</v>
      </c>
      <c r="O427" s="1454"/>
      <c r="P427" s="1454"/>
      <c r="Q427" s="1455"/>
      <c r="R427" s="227" t="s">
        <v>184</v>
      </c>
      <c r="S427" s="1457"/>
      <c r="T427" s="1454"/>
      <c r="U427" s="1454"/>
      <c r="V427" s="1454"/>
      <c r="W427" s="1454"/>
      <c r="X427" s="1455"/>
      <c r="Y427" s="227" t="s">
        <v>184</v>
      </c>
      <c r="Z427" s="1459"/>
      <c r="AA427" s="1454"/>
      <c r="AB427" s="1455"/>
      <c r="AC427" s="1449" t="s">
        <v>3834</v>
      </c>
      <c r="AD427" s="1445" t="s">
        <v>3835</v>
      </c>
      <c r="AE427" s="1445" t="s">
        <v>3836</v>
      </c>
      <c r="AF427" s="1445" t="s">
        <v>1866</v>
      </c>
      <c r="AG427" s="1445" t="s">
        <v>3834</v>
      </c>
      <c r="AH427" s="1445" t="s">
        <v>3835</v>
      </c>
      <c r="AI427" s="1605" t="s">
        <v>1866</v>
      </c>
      <c r="AV427" s="600"/>
      <c r="AW427" s="600" t="s">
        <v>184</v>
      </c>
      <c r="AX427" s="1598" t="str">
        <f>$AX$20</f>
        <v>Unit Surface</v>
      </c>
    </row>
    <row r="428" spans="1:50" ht="13.2" thickBot="1" x14ac:dyDescent="0.3">
      <c r="A428" s="1620"/>
      <c r="B428" s="243" t="s">
        <v>59</v>
      </c>
      <c r="C428" s="244" t="s">
        <v>1685</v>
      </c>
      <c r="D428" s="245" t="s">
        <v>93</v>
      </c>
      <c r="E428" s="243" t="s">
        <v>93</v>
      </c>
      <c r="F428" s="243" t="s">
        <v>93</v>
      </c>
      <c r="G428" s="243" t="s">
        <v>93</v>
      </c>
      <c r="H428" s="243" t="s">
        <v>93</v>
      </c>
      <c r="I428" s="243" t="s">
        <v>3837</v>
      </c>
      <c r="J428" s="243" t="s">
        <v>3839</v>
      </c>
      <c r="K428" s="243" t="s">
        <v>3838</v>
      </c>
      <c r="L428" s="243" t="s">
        <v>93</v>
      </c>
      <c r="M428" s="243" t="s">
        <v>93</v>
      </c>
      <c r="N428" s="243" t="s">
        <v>93</v>
      </c>
      <c r="O428" s="234"/>
      <c r="P428" s="234"/>
      <c r="Q428" s="235"/>
      <c r="R428" s="264" t="s">
        <v>222</v>
      </c>
      <c r="S428" s="236"/>
      <c r="T428" s="234"/>
      <c r="U428" s="234"/>
      <c r="V428" s="234"/>
      <c r="W428" s="234"/>
      <c r="X428" s="235"/>
      <c r="Y428" s="264" t="s">
        <v>222</v>
      </c>
      <c r="Z428" s="245"/>
      <c r="AA428" s="234"/>
      <c r="AB428" s="235"/>
      <c r="AC428" s="168" t="s">
        <v>228</v>
      </c>
      <c r="AD428" s="166" t="s">
        <v>228</v>
      </c>
      <c r="AE428" s="166" t="s">
        <v>228</v>
      </c>
      <c r="AF428" s="166" t="s">
        <v>228</v>
      </c>
      <c r="AG428" s="166" t="s">
        <v>228</v>
      </c>
      <c r="AH428" s="166" t="s">
        <v>228</v>
      </c>
      <c r="AI428" s="169" t="s">
        <v>228</v>
      </c>
      <c r="AV428" s="601"/>
      <c r="AW428" s="601" t="s">
        <v>222</v>
      </c>
      <c r="AX428" s="593" t="str">
        <f>$AX$21</f>
        <v>m2</v>
      </c>
    </row>
    <row r="429" spans="1:50" ht="13.2" thickBot="1" x14ac:dyDescent="0.3">
      <c r="A429" s="1620" t="s">
        <v>4115</v>
      </c>
      <c r="B429" s="137">
        <v>0</v>
      </c>
      <c r="C429" s="137">
        <v>0</v>
      </c>
      <c r="D429" s="137">
        <v>0</v>
      </c>
      <c r="E429" s="137">
        <v>0</v>
      </c>
      <c r="F429" s="137">
        <v>0</v>
      </c>
      <c r="G429" s="137">
        <v>0</v>
      </c>
      <c r="H429" s="137">
        <v>0</v>
      </c>
      <c r="I429" s="137">
        <v>0</v>
      </c>
      <c r="J429" s="137">
        <v>0</v>
      </c>
      <c r="K429" s="137">
        <v>0</v>
      </c>
      <c r="L429" s="137">
        <v>0</v>
      </c>
      <c r="M429" s="137">
        <v>0</v>
      </c>
      <c r="N429" s="137">
        <v>0</v>
      </c>
      <c r="O429" s="137"/>
      <c r="P429" s="137">
        <v>0</v>
      </c>
      <c r="Q429" s="192">
        <v>0</v>
      </c>
      <c r="R429" s="160">
        <v>0</v>
      </c>
      <c r="S429" s="232"/>
      <c r="T429" s="230">
        <v>0</v>
      </c>
      <c r="U429" s="230">
        <v>0</v>
      </c>
      <c r="V429" s="230">
        <v>0</v>
      </c>
      <c r="W429" s="230">
        <v>0</v>
      </c>
      <c r="X429" s="231">
        <v>0</v>
      </c>
      <c r="Y429" s="160">
        <v>0</v>
      </c>
      <c r="Z429" s="162">
        <v>0</v>
      </c>
      <c r="AA429" s="230"/>
      <c r="AB429" s="192">
        <v>0</v>
      </c>
      <c r="AC429" s="161">
        <v>0</v>
      </c>
      <c r="AD429" s="137">
        <v>0</v>
      </c>
      <c r="AE429" s="137">
        <v>0</v>
      </c>
      <c r="AF429" s="137">
        <v>0</v>
      </c>
      <c r="AG429" s="137">
        <v>0</v>
      </c>
      <c r="AH429" s="137">
        <v>0</v>
      </c>
      <c r="AI429" s="139">
        <v>0</v>
      </c>
      <c r="AV429" s="602"/>
      <c r="AW429" s="602">
        <v>0</v>
      </c>
      <c r="AX429" s="602">
        <v>0</v>
      </c>
    </row>
    <row r="430" spans="1:50" x14ac:dyDescent="0.25">
      <c r="A430" s="1620" t="s">
        <v>4116</v>
      </c>
      <c r="B430" s="1593">
        <v>650</v>
      </c>
      <c r="C430" s="1594">
        <v>26</v>
      </c>
      <c r="D430" s="1595">
        <v>889</v>
      </c>
      <c r="E430" s="1593">
        <v>111.3</v>
      </c>
      <c r="F430" s="1593">
        <v>111.3</v>
      </c>
      <c r="G430" s="1593">
        <v>726.9</v>
      </c>
      <c r="H430" s="1593">
        <v>181</v>
      </c>
      <c r="I430" s="1593">
        <v>28</v>
      </c>
      <c r="J430" s="1593">
        <v>806.4</v>
      </c>
      <c r="K430" s="1593">
        <v>44.4</v>
      </c>
      <c r="L430" s="1593">
        <v>12.7</v>
      </c>
      <c r="M430" s="1593">
        <v>698.5</v>
      </c>
      <c r="N430" s="1593">
        <v>660.4</v>
      </c>
      <c r="O430" s="1445"/>
      <c r="P430" s="1445"/>
      <c r="Q430" s="1448"/>
      <c r="R430" s="172">
        <v>479</v>
      </c>
      <c r="S430" s="1457"/>
      <c r="T430" s="1454"/>
      <c r="U430" s="1454"/>
      <c r="V430" s="1454"/>
      <c r="W430" s="1454"/>
      <c r="X430" s="1455"/>
      <c r="Y430" s="172">
        <v>800</v>
      </c>
      <c r="Z430" s="1447"/>
      <c r="AA430" s="1454"/>
      <c r="AB430" s="1455"/>
      <c r="AC430" s="1352">
        <f t="shared" ref="AC430:AC435" si="117">PI()*D430*E430/1000000</f>
        <v>0.31084708422429957</v>
      </c>
      <c r="AD430" s="1617">
        <f t="shared" ref="AD430:AD435" si="118">D430^2*PI()/4/1000000</f>
        <v>0.62071666189443475</v>
      </c>
      <c r="AE430" s="1617">
        <f t="shared" ref="AE430:AE435" si="119">N430*PI()*(H430-E430)/1000000</f>
        <v>0.14460713285361973</v>
      </c>
      <c r="AF430" s="1617">
        <f t="shared" ref="AF430:AF435" si="120">AE430+AD430+AC430</f>
        <v>1.0761708789723541</v>
      </c>
      <c r="AG430" s="1617">
        <f t="shared" ref="AG430:AG435" si="121">PI()*D430*F430/1000000</f>
        <v>0.31084708422429957</v>
      </c>
      <c r="AH430" s="1617">
        <f t="shared" ref="AH430:AH435" si="122">D430^2*PI()/4/1000000</f>
        <v>0.62071666189443475</v>
      </c>
      <c r="AI430" s="1618">
        <f t="shared" ref="AI430:AI435" si="123">AH430+AG430</f>
        <v>0.93156374611873427</v>
      </c>
      <c r="AV430" s="603"/>
      <c r="AW430" s="603"/>
      <c r="AX430" s="603"/>
    </row>
    <row r="431" spans="1:50" x14ac:dyDescent="0.25">
      <c r="A431" s="1620" t="s">
        <v>4117</v>
      </c>
      <c r="B431" s="1504">
        <v>700</v>
      </c>
      <c r="C431" s="1505">
        <v>28</v>
      </c>
      <c r="D431" s="1506">
        <v>952</v>
      </c>
      <c r="E431" s="1504">
        <v>115.8</v>
      </c>
      <c r="F431" s="1504">
        <v>115.8</v>
      </c>
      <c r="G431" s="1504">
        <v>784.4</v>
      </c>
      <c r="H431" s="1504">
        <v>190.5</v>
      </c>
      <c r="I431" s="1504">
        <v>28</v>
      </c>
      <c r="J431" s="1504">
        <v>863.6</v>
      </c>
      <c r="K431" s="1504">
        <v>47.8</v>
      </c>
      <c r="L431" s="1504">
        <v>12.7</v>
      </c>
      <c r="M431" s="1504">
        <v>752.3</v>
      </c>
      <c r="N431" s="1504">
        <v>711.2</v>
      </c>
      <c r="O431" s="1504"/>
      <c r="P431" s="1504"/>
      <c r="Q431" s="1508"/>
      <c r="R431" s="1362">
        <v>538</v>
      </c>
      <c r="S431" s="1659"/>
      <c r="T431" s="1657"/>
      <c r="U431" s="1657"/>
      <c r="V431" s="1657"/>
      <c r="W431" s="1657"/>
      <c r="X431" s="1658"/>
      <c r="Y431" s="1362">
        <v>945</v>
      </c>
      <c r="Z431" s="1506"/>
      <c r="AA431" s="1657"/>
      <c r="AB431" s="1658"/>
      <c r="AC431" s="1612">
        <f t="shared" si="117"/>
        <v>0.34633420067998455</v>
      </c>
      <c r="AD431" s="1613">
        <f t="shared" si="118"/>
        <v>0.71180949707976104</v>
      </c>
      <c r="AE431" s="1613">
        <f t="shared" si="119"/>
        <v>0.16690226193390967</v>
      </c>
      <c r="AF431" s="1613">
        <f t="shared" si="120"/>
        <v>1.2250459596936554</v>
      </c>
      <c r="AG431" s="1613">
        <f t="shared" si="121"/>
        <v>0.34633420067998455</v>
      </c>
      <c r="AH431" s="1613">
        <f t="shared" si="122"/>
        <v>0.71180949707976104</v>
      </c>
      <c r="AI431" s="1614">
        <f t="shared" si="123"/>
        <v>1.0581436977597456</v>
      </c>
      <c r="AV431" s="1363"/>
      <c r="AW431" s="1363"/>
      <c r="AX431" s="1363"/>
    </row>
    <row r="432" spans="1:50" x14ac:dyDescent="0.25">
      <c r="A432" s="1620" t="s">
        <v>4118</v>
      </c>
      <c r="B432" s="1504">
        <v>750</v>
      </c>
      <c r="C432" s="1505">
        <v>30</v>
      </c>
      <c r="D432" s="1506">
        <v>1022</v>
      </c>
      <c r="E432" s="1504">
        <v>125.5</v>
      </c>
      <c r="F432" s="1504">
        <v>127</v>
      </c>
      <c r="G432" s="1504">
        <v>841.2</v>
      </c>
      <c r="H432" s="1504">
        <v>204.7</v>
      </c>
      <c r="I432" s="1504">
        <v>28</v>
      </c>
      <c r="J432" s="1504">
        <v>927.1</v>
      </c>
      <c r="K432" s="1504">
        <v>50.8</v>
      </c>
      <c r="L432" s="1504">
        <v>12.7</v>
      </c>
      <c r="M432" s="1504">
        <v>806.4</v>
      </c>
      <c r="N432" s="1504">
        <v>762</v>
      </c>
      <c r="O432" s="1504"/>
      <c r="P432" s="1504"/>
      <c r="Q432" s="1508"/>
      <c r="R432" s="1362">
        <v>608</v>
      </c>
      <c r="S432" s="1659"/>
      <c r="T432" s="1657"/>
      <c r="U432" s="1657"/>
      <c r="V432" s="1657"/>
      <c r="W432" s="1657"/>
      <c r="X432" s="1658"/>
      <c r="Y432" s="1362">
        <v>1115</v>
      </c>
      <c r="Z432" s="1506"/>
      <c r="AA432" s="1657"/>
      <c r="AB432" s="1658"/>
      <c r="AC432" s="1612">
        <f t="shared" si="117"/>
        <v>0.4029438153420804</v>
      </c>
      <c r="AD432" s="1613">
        <f t="shared" si="118"/>
        <v>0.82033581529802035</v>
      </c>
      <c r="AE432" s="1613">
        <f t="shared" si="119"/>
        <v>0.18959637328120543</v>
      </c>
      <c r="AF432" s="1613">
        <f t="shared" si="120"/>
        <v>1.4128760039213062</v>
      </c>
      <c r="AG432" s="1613">
        <f t="shared" si="121"/>
        <v>0.40775987688003357</v>
      </c>
      <c r="AH432" s="1613">
        <f t="shared" si="122"/>
        <v>0.82033581529802035</v>
      </c>
      <c r="AI432" s="1614">
        <f t="shared" si="123"/>
        <v>1.2280956921780539</v>
      </c>
      <c r="AV432" s="1363"/>
      <c r="AW432" s="1363"/>
      <c r="AX432" s="1363"/>
    </row>
    <row r="433" spans="1:50" x14ac:dyDescent="0.25">
      <c r="A433" s="1620" t="s">
        <v>4119</v>
      </c>
      <c r="B433" s="1504">
        <v>800</v>
      </c>
      <c r="C433" s="1505">
        <v>32</v>
      </c>
      <c r="D433" s="1506">
        <v>1086</v>
      </c>
      <c r="E433" s="1504">
        <v>130</v>
      </c>
      <c r="F433" s="1504">
        <v>134.9</v>
      </c>
      <c r="G433" s="1504">
        <v>895.4</v>
      </c>
      <c r="H433" s="1504">
        <v>215.9</v>
      </c>
      <c r="I433" s="1504">
        <v>28</v>
      </c>
      <c r="J433" s="1504">
        <v>984.2</v>
      </c>
      <c r="K433" s="1504">
        <v>53.8</v>
      </c>
      <c r="L433" s="1504">
        <v>12.7</v>
      </c>
      <c r="M433" s="1504">
        <v>860.6</v>
      </c>
      <c r="N433" s="1504">
        <v>812.8</v>
      </c>
      <c r="O433" s="1504"/>
      <c r="P433" s="1504"/>
      <c r="Q433" s="1508"/>
      <c r="R433" s="1362">
        <v>689</v>
      </c>
      <c r="S433" s="1659"/>
      <c r="T433" s="1657"/>
      <c r="U433" s="1657"/>
      <c r="V433" s="1657"/>
      <c r="W433" s="1657"/>
      <c r="X433" s="1658"/>
      <c r="Y433" s="1362">
        <v>1315</v>
      </c>
      <c r="Z433" s="1506"/>
      <c r="AA433" s="1657"/>
      <c r="AB433" s="1658"/>
      <c r="AC433" s="1612">
        <f t="shared" si="117"/>
        <v>0.44353005083380698</v>
      </c>
      <c r="AD433" s="1613">
        <f t="shared" si="118"/>
        <v>0.92629545231829691</v>
      </c>
      <c r="AE433" s="1613">
        <f t="shared" si="119"/>
        <v>0.21934449110916562</v>
      </c>
      <c r="AF433" s="1613">
        <f t="shared" si="120"/>
        <v>1.5891699942612694</v>
      </c>
      <c r="AG433" s="1613">
        <f t="shared" si="121"/>
        <v>0.46024772198061975</v>
      </c>
      <c r="AH433" s="1613">
        <f t="shared" si="122"/>
        <v>0.92629545231829691</v>
      </c>
      <c r="AI433" s="1614">
        <f t="shared" si="123"/>
        <v>1.3865431742989167</v>
      </c>
      <c r="AV433" s="1363"/>
      <c r="AW433" s="1363"/>
      <c r="AX433" s="1363"/>
    </row>
    <row r="434" spans="1:50" x14ac:dyDescent="0.25">
      <c r="A434" s="1620" t="s">
        <v>4120</v>
      </c>
      <c r="B434" s="1504">
        <v>850</v>
      </c>
      <c r="C434" s="1505">
        <v>34</v>
      </c>
      <c r="D434" s="1506">
        <v>1162</v>
      </c>
      <c r="E434" s="1504">
        <v>141.19999999999999</v>
      </c>
      <c r="F434" s="1504">
        <v>144.30000000000001</v>
      </c>
      <c r="G434" s="1504">
        <v>952.5</v>
      </c>
      <c r="H434" s="1504">
        <v>233.4</v>
      </c>
      <c r="I434" s="1504">
        <v>24</v>
      </c>
      <c r="J434" s="1504">
        <v>1054.0999999999999</v>
      </c>
      <c r="K434" s="1504">
        <v>60.5</v>
      </c>
      <c r="L434" s="1504">
        <v>14.2</v>
      </c>
      <c r="M434" s="1504">
        <v>914.4</v>
      </c>
      <c r="N434" s="1504">
        <v>863.6</v>
      </c>
      <c r="O434" s="1504"/>
      <c r="P434" s="1504"/>
      <c r="Q434" s="1508"/>
      <c r="R434" s="1362">
        <v>756</v>
      </c>
      <c r="S434" s="1659"/>
      <c r="T434" s="1657"/>
      <c r="U434" s="1657"/>
      <c r="V434" s="1657"/>
      <c r="W434" s="1657"/>
      <c r="X434" s="1658"/>
      <c r="Y434" s="1362">
        <v>1495</v>
      </c>
      <c r="Z434" s="1506"/>
      <c r="AA434" s="1657"/>
      <c r="AB434" s="1658"/>
      <c r="AC434" s="1612">
        <f t="shared" si="117"/>
        <v>0.51545492968215312</v>
      </c>
      <c r="AD434" s="1613">
        <f t="shared" si="118"/>
        <v>1.060479157738424</v>
      </c>
      <c r="AE434" s="1613">
        <f t="shared" si="119"/>
        <v>0.25014592212202141</v>
      </c>
      <c r="AF434" s="1613">
        <f t="shared" si="120"/>
        <v>1.8260800095425986</v>
      </c>
      <c r="AG434" s="1613">
        <f t="shared" si="121"/>
        <v>0.52677157473891434</v>
      </c>
      <c r="AH434" s="1613">
        <f t="shared" si="122"/>
        <v>1.060479157738424</v>
      </c>
      <c r="AI434" s="1614">
        <f t="shared" si="123"/>
        <v>1.5872507324773384</v>
      </c>
      <c r="AV434" s="1363"/>
      <c r="AW434" s="1363"/>
      <c r="AX434" s="1363"/>
    </row>
    <row r="435" spans="1:50" ht="13.2" thickBot="1" x14ac:dyDescent="0.3">
      <c r="A435" s="1620" t="s">
        <v>4121</v>
      </c>
      <c r="B435" s="1504">
        <v>900</v>
      </c>
      <c r="C435" s="1505">
        <v>36</v>
      </c>
      <c r="D435" s="1506">
        <v>1213</v>
      </c>
      <c r="E435" s="1504">
        <v>146</v>
      </c>
      <c r="F435" s="1504">
        <v>150.9</v>
      </c>
      <c r="G435" s="1504">
        <v>1009.6</v>
      </c>
      <c r="H435" s="1504">
        <v>242.8</v>
      </c>
      <c r="I435" s="1504">
        <v>28</v>
      </c>
      <c r="J435" s="1504">
        <v>1104.9000000000001</v>
      </c>
      <c r="K435" s="1504">
        <v>60.5</v>
      </c>
      <c r="L435" s="1504">
        <v>14.2</v>
      </c>
      <c r="M435" s="1504">
        <v>968.2</v>
      </c>
      <c r="N435" s="1504">
        <v>914.4</v>
      </c>
      <c r="O435" s="1504"/>
      <c r="P435" s="1504"/>
      <c r="Q435" s="1508"/>
      <c r="R435" s="1362">
        <v>868</v>
      </c>
      <c r="S435" s="1659"/>
      <c r="T435" s="1657"/>
      <c r="U435" s="1657"/>
      <c r="V435" s="1657"/>
      <c r="W435" s="1657"/>
      <c r="X435" s="1658"/>
      <c r="Y435" s="1362">
        <v>1750</v>
      </c>
      <c r="Z435" s="1506"/>
      <c r="AA435" s="1657"/>
      <c r="AB435" s="1658"/>
      <c r="AC435" s="1612">
        <f t="shared" si="117"/>
        <v>0.55636977576544522</v>
      </c>
      <c r="AD435" s="1613">
        <f t="shared" si="118"/>
        <v>1.1556105102799399</v>
      </c>
      <c r="AE435" s="1613">
        <f t="shared" si="119"/>
        <v>0.27807468081243469</v>
      </c>
      <c r="AF435" s="1613">
        <f t="shared" si="120"/>
        <v>1.9900549668578198</v>
      </c>
      <c r="AG435" s="1613">
        <f t="shared" si="121"/>
        <v>0.5750424600205869</v>
      </c>
      <c r="AH435" s="1613">
        <f t="shared" si="122"/>
        <v>1.1556105102799399</v>
      </c>
      <c r="AI435" s="1614">
        <f t="shared" si="123"/>
        <v>1.7306529703005267</v>
      </c>
      <c r="AV435" s="1363"/>
      <c r="AW435" s="1363"/>
      <c r="AX435" s="1363"/>
    </row>
    <row r="436" spans="1:50" ht="13.2" thickBot="1" x14ac:dyDescent="0.3">
      <c r="A436" s="265"/>
      <c r="B436" s="257"/>
      <c r="C436" s="258"/>
      <c r="D436" s="259"/>
      <c r="E436" s="260"/>
      <c r="F436" s="260"/>
      <c r="G436" s="260"/>
      <c r="H436" s="259"/>
      <c r="I436" s="260"/>
      <c r="J436" s="260"/>
      <c r="K436" s="260"/>
      <c r="L436" s="259"/>
      <c r="M436" s="260"/>
      <c r="N436" s="260"/>
      <c r="O436" s="260"/>
      <c r="P436" s="260"/>
      <c r="Q436" s="260"/>
      <c r="R436" s="261" t="s">
        <v>3818</v>
      </c>
      <c r="S436" s="260"/>
      <c r="T436" s="260"/>
      <c r="U436" s="260"/>
      <c r="V436" s="260"/>
      <c r="W436" s="260"/>
      <c r="X436" s="260"/>
      <c r="Y436" s="160" t="s">
        <v>345</v>
      </c>
      <c r="Z436" s="260"/>
      <c r="AA436" s="260"/>
      <c r="AB436" s="260"/>
      <c r="AC436" s="262" t="s">
        <v>3818</v>
      </c>
      <c r="AD436" s="263"/>
      <c r="AE436" s="263"/>
      <c r="AF436" s="263"/>
      <c r="AG436" s="263" t="s">
        <v>345</v>
      </c>
      <c r="AH436" s="263"/>
      <c r="AI436" s="226"/>
      <c r="AV436" s="592"/>
      <c r="AW436" s="592" t="str">
        <f>$AW$19</f>
        <v>LWN</v>
      </c>
      <c r="AX436" s="592" t="str">
        <f>$AW$19</f>
        <v>LWN</v>
      </c>
    </row>
    <row r="437" spans="1:50" x14ac:dyDescent="0.25">
      <c r="A437" s="1349"/>
      <c r="B437" s="1453" t="s">
        <v>3820</v>
      </c>
      <c r="C437" s="1458"/>
      <c r="D437" s="1459" t="s">
        <v>3821</v>
      </c>
      <c r="E437" s="1453" t="s">
        <v>4069</v>
      </c>
      <c r="F437" s="1453" t="s">
        <v>2350</v>
      </c>
      <c r="G437" s="1453" t="s">
        <v>3823</v>
      </c>
      <c r="H437" s="1453" t="s">
        <v>3828</v>
      </c>
      <c r="I437" s="1462" t="s">
        <v>3825</v>
      </c>
      <c r="J437" s="1462"/>
      <c r="K437" s="1462"/>
      <c r="L437" s="1453" t="s">
        <v>3983</v>
      </c>
      <c r="M437" s="1453" t="s">
        <v>3827</v>
      </c>
      <c r="N437" s="1453" t="s">
        <v>12</v>
      </c>
      <c r="O437" s="1454"/>
      <c r="P437" s="1454"/>
      <c r="Q437" s="1455"/>
      <c r="R437" s="227" t="s">
        <v>184</v>
      </c>
      <c r="S437" s="1457"/>
      <c r="T437" s="1454"/>
      <c r="U437" s="1454"/>
      <c r="V437" s="1454"/>
      <c r="W437" s="1454"/>
      <c r="X437" s="1455"/>
      <c r="Y437" s="227" t="s">
        <v>184</v>
      </c>
      <c r="Z437" s="1459"/>
      <c r="AA437" s="1454"/>
      <c r="AB437" s="1455"/>
      <c r="AC437" s="1449" t="s">
        <v>3834</v>
      </c>
      <c r="AD437" s="1445" t="s">
        <v>3835</v>
      </c>
      <c r="AE437" s="1445" t="s">
        <v>3836</v>
      </c>
      <c r="AF437" s="1445" t="s">
        <v>1866</v>
      </c>
      <c r="AG437" s="1445" t="s">
        <v>3834</v>
      </c>
      <c r="AH437" s="1445" t="s">
        <v>3835</v>
      </c>
      <c r="AI437" s="1605" t="s">
        <v>1866</v>
      </c>
      <c r="AV437" s="600"/>
      <c r="AW437" s="600" t="s">
        <v>184</v>
      </c>
      <c r="AX437" s="1598" t="str">
        <f>$AX$20</f>
        <v>Unit Surface</v>
      </c>
    </row>
    <row r="438" spans="1:50" ht="13.2" thickBot="1" x14ac:dyDescent="0.3">
      <c r="A438" s="1620"/>
      <c r="B438" s="243" t="s">
        <v>59</v>
      </c>
      <c r="C438" s="244" t="s">
        <v>1685</v>
      </c>
      <c r="D438" s="245" t="s">
        <v>93</v>
      </c>
      <c r="E438" s="243" t="s">
        <v>93</v>
      </c>
      <c r="F438" s="243" t="s">
        <v>93</v>
      </c>
      <c r="G438" s="243" t="s">
        <v>93</v>
      </c>
      <c r="H438" s="243" t="s">
        <v>93</v>
      </c>
      <c r="I438" s="243" t="s">
        <v>3837</v>
      </c>
      <c r="J438" s="243" t="s">
        <v>3839</v>
      </c>
      <c r="K438" s="243" t="s">
        <v>3838</v>
      </c>
      <c r="L438" s="243" t="s">
        <v>93</v>
      </c>
      <c r="M438" s="243" t="s">
        <v>93</v>
      </c>
      <c r="N438" s="243" t="s">
        <v>93</v>
      </c>
      <c r="O438" s="234"/>
      <c r="P438" s="234"/>
      <c r="Q438" s="235"/>
      <c r="R438" s="264" t="s">
        <v>222</v>
      </c>
      <c r="S438" s="236"/>
      <c r="T438" s="234"/>
      <c r="U438" s="234"/>
      <c r="V438" s="234"/>
      <c r="W438" s="234"/>
      <c r="X438" s="235"/>
      <c r="Y438" s="264" t="s">
        <v>222</v>
      </c>
      <c r="Z438" s="245"/>
      <c r="AA438" s="234"/>
      <c r="AB438" s="235"/>
      <c r="AC438" s="168" t="s">
        <v>228</v>
      </c>
      <c r="AD438" s="166" t="s">
        <v>228</v>
      </c>
      <c r="AE438" s="166" t="s">
        <v>228</v>
      </c>
      <c r="AF438" s="166" t="s">
        <v>228</v>
      </c>
      <c r="AG438" s="166" t="s">
        <v>228</v>
      </c>
      <c r="AH438" s="166" t="s">
        <v>228</v>
      </c>
      <c r="AI438" s="169" t="s">
        <v>228</v>
      </c>
      <c r="AV438" s="601"/>
      <c r="AW438" s="601" t="s">
        <v>222</v>
      </c>
      <c r="AX438" s="593" t="str">
        <f>$AX$21</f>
        <v>m2</v>
      </c>
    </row>
    <row r="439" spans="1:50" ht="13.2" thickBot="1" x14ac:dyDescent="0.3">
      <c r="A439" s="1620" t="s">
        <v>4122</v>
      </c>
      <c r="B439" s="137">
        <v>0</v>
      </c>
      <c r="C439" s="137">
        <v>0</v>
      </c>
      <c r="D439" s="137">
        <v>0</v>
      </c>
      <c r="E439" s="137">
        <v>0</v>
      </c>
      <c r="F439" s="137">
        <v>0</v>
      </c>
      <c r="G439" s="137">
        <v>0</v>
      </c>
      <c r="H439" s="137">
        <v>0</v>
      </c>
      <c r="I439" s="137">
        <v>0</v>
      </c>
      <c r="J439" s="137">
        <v>0</v>
      </c>
      <c r="K439" s="137">
        <v>0</v>
      </c>
      <c r="L439" s="137">
        <v>0</v>
      </c>
      <c r="M439" s="137">
        <v>0</v>
      </c>
      <c r="N439" s="137">
        <v>0</v>
      </c>
      <c r="O439" s="137"/>
      <c r="P439" s="137">
        <v>0</v>
      </c>
      <c r="Q439" s="192">
        <v>0</v>
      </c>
      <c r="R439" s="160">
        <v>0</v>
      </c>
      <c r="S439" s="232"/>
      <c r="T439" s="230">
        <v>0</v>
      </c>
      <c r="U439" s="230">
        <v>0</v>
      </c>
      <c r="V439" s="230">
        <v>0</v>
      </c>
      <c r="W439" s="230">
        <v>0</v>
      </c>
      <c r="X439" s="231">
        <v>0</v>
      </c>
      <c r="Y439" s="160">
        <v>0</v>
      </c>
      <c r="Z439" s="162">
        <v>0</v>
      </c>
      <c r="AA439" s="230"/>
      <c r="AB439" s="192">
        <v>0</v>
      </c>
      <c r="AC439" s="161">
        <v>0</v>
      </c>
      <c r="AD439" s="137">
        <v>0</v>
      </c>
      <c r="AE439" s="137">
        <v>0</v>
      </c>
      <c r="AF439" s="137">
        <v>0</v>
      </c>
      <c r="AG439" s="137">
        <v>0</v>
      </c>
      <c r="AH439" s="137">
        <v>0</v>
      </c>
      <c r="AI439" s="139">
        <v>0</v>
      </c>
      <c r="AV439" s="602"/>
      <c r="AW439" s="602">
        <v>0</v>
      </c>
      <c r="AX439" s="602">
        <v>0</v>
      </c>
    </row>
    <row r="440" spans="1:50" x14ac:dyDescent="0.25">
      <c r="A440" s="1620" t="s">
        <v>4123</v>
      </c>
      <c r="B440" s="1593">
        <v>650</v>
      </c>
      <c r="C440" s="1594">
        <v>26</v>
      </c>
      <c r="D440" s="1595">
        <v>1022</v>
      </c>
      <c r="E440" s="1593">
        <v>134.9</v>
      </c>
      <c r="F440" s="1593">
        <v>153.9</v>
      </c>
      <c r="G440" s="1593">
        <v>762</v>
      </c>
      <c r="H440" s="1593">
        <v>258.8</v>
      </c>
      <c r="I440" s="1593">
        <v>20</v>
      </c>
      <c r="J440" s="1593">
        <v>901.7</v>
      </c>
      <c r="K440" s="1593">
        <v>66.400000000000006</v>
      </c>
      <c r="L440" s="1593">
        <v>11.2</v>
      </c>
      <c r="M440" s="1593">
        <v>743</v>
      </c>
      <c r="N440" s="1593">
        <v>660.4</v>
      </c>
      <c r="O440" s="1445"/>
      <c r="P440" s="1445"/>
      <c r="Q440" s="1448"/>
      <c r="R440" s="172">
        <v>761</v>
      </c>
      <c r="S440" s="1457"/>
      <c r="T440" s="1454"/>
      <c r="U440" s="1454"/>
      <c r="V440" s="1454"/>
      <c r="W440" s="1454"/>
      <c r="X440" s="1455"/>
      <c r="Y440" s="172">
        <v>1140</v>
      </c>
      <c r="Z440" s="1447"/>
      <c r="AA440" s="1454"/>
      <c r="AB440" s="1455"/>
      <c r="AC440" s="1352">
        <f t="shared" ref="AC440:AC445" si="124">PI()*D440*E440/1000000</f>
        <v>0.43312446764658691</v>
      </c>
      <c r="AD440" s="1617">
        <f t="shared" ref="AD440:AD445" si="125">D440^2*PI()/4/1000000</f>
        <v>0.82033581529802035</v>
      </c>
      <c r="AE440" s="1617">
        <f t="shared" ref="AE440:AE445" si="126">N440*PI()*(H440-E440)/1000000</f>
        <v>0.25705629498656363</v>
      </c>
      <c r="AF440" s="1617">
        <f t="shared" ref="AF440:AF445" si="127">AE440+AD440+AC440</f>
        <v>1.5105165779311709</v>
      </c>
      <c r="AG440" s="1617">
        <f t="shared" ref="AG440:AG445" si="128">PI()*D440*F440/1000000</f>
        <v>0.49412791379399346</v>
      </c>
      <c r="AH440" s="1617">
        <f t="shared" ref="AH440:AH445" si="129">D440^2*PI()/4/1000000</f>
        <v>0.82033581529802035</v>
      </c>
      <c r="AI440" s="1618">
        <f t="shared" ref="AI440:AI445" si="130">AH440+AG440</f>
        <v>1.3144637290920138</v>
      </c>
      <c r="AV440" s="603"/>
      <c r="AW440" s="603"/>
      <c r="AX440" s="603"/>
    </row>
    <row r="441" spans="1:50" x14ac:dyDescent="0.25">
      <c r="A441" s="1620" t="s">
        <v>4124</v>
      </c>
      <c r="B441" s="1504">
        <v>700</v>
      </c>
      <c r="C441" s="1505">
        <v>28</v>
      </c>
      <c r="D441" s="1506">
        <v>1105</v>
      </c>
      <c r="E441" s="1504">
        <v>147.6</v>
      </c>
      <c r="F441" s="1504">
        <v>166.6</v>
      </c>
      <c r="G441" s="1504">
        <v>819.2</v>
      </c>
      <c r="H441" s="1504">
        <v>276.39999999999998</v>
      </c>
      <c r="I441" s="1504">
        <v>20</v>
      </c>
      <c r="J441" s="1504">
        <v>971.6</v>
      </c>
      <c r="K441" s="1504">
        <v>73.2</v>
      </c>
      <c r="L441" s="1504">
        <v>12.7</v>
      </c>
      <c r="M441" s="1504">
        <v>797.1</v>
      </c>
      <c r="N441" s="1504">
        <v>711.2</v>
      </c>
      <c r="O441" s="1504"/>
      <c r="P441" s="1504"/>
      <c r="Q441" s="1508"/>
      <c r="R441" s="1362">
        <v>903</v>
      </c>
      <c r="S441" s="1659"/>
      <c r="T441" s="1657"/>
      <c r="U441" s="1657"/>
      <c r="V441" s="1657"/>
      <c r="W441" s="1657"/>
      <c r="X441" s="1658"/>
      <c r="Y441" s="1362">
        <v>1400</v>
      </c>
      <c r="Z441" s="1506"/>
      <c r="AA441" s="1657"/>
      <c r="AB441" s="1658"/>
      <c r="AC441" s="1612">
        <f t="shared" si="124"/>
        <v>0.51238747861518807</v>
      </c>
      <c r="AD441" s="1613">
        <f t="shared" si="125"/>
        <v>0.95899079246236929</v>
      </c>
      <c r="AE441" s="1613">
        <f t="shared" si="126"/>
        <v>0.28777792954601827</v>
      </c>
      <c r="AF441" s="1613">
        <f t="shared" si="127"/>
        <v>1.7591562006235757</v>
      </c>
      <c r="AG441" s="1613">
        <f t="shared" si="128"/>
        <v>0.57834521637730585</v>
      </c>
      <c r="AH441" s="1613">
        <f t="shared" si="129"/>
        <v>0.95899079246236929</v>
      </c>
      <c r="AI441" s="1614">
        <f t="shared" si="130"/>
        <v>1.537336008839675</v>
      </c>
      <c r="AV441" s="1363"/>
      <c r="AW441" s="1363"/>
      <c r="AX441" s="1363"/>
    </row>
    <row r="442" spans="1:50" x14ac:dyDescent="0.25">
      <c r="A442" s="1620" t="s">
        <v>4125</v>
      </c>
      <c r="B442" s="1504">
        <v>750</v>
      </c>
      <c r="C442" s="1505">
        <v>30</v>
      </c>
      <c r="D442" s="1506">
        <v>1181</v>
      </c>
      <c r="E442" s="1504">
        <v>155.4</v>
      </c>
      <c r="F442" s="1504">
        <v>176</v>
      </c>
      <c r="G442" s="1504">
        <v>876.3</v>
      </c>
      <c r="H442" s="1504">
        <v>289.10000000000002</v>
      </c>
      <c r="I442" s="1504">
        <v>20</v>
      </c>
      <c r="J442" s="1504">
        <v>1035</v>
      </c>
      <c r="K442" s="1504">
        <v>79.2</v>
      </c>
      <c r="L442" s="1504">
        <v>12.7</v>
      </c>
      <c r="M442" s="1504">
        <v>850.9</v>
      </c>
      <c r="N442" s="1504">
        <v>762</v>
      </c>
      <c r="O442" s="1504"/>
      <c r="P442" s="1504"/>
      <c r="Q442" s="1508"/>
      <c r="R442" s="1362">
        <v>1030</v>
      </c>
      <c r="S442" s="1659"/>
      <c r="T442" s="1657"/>
      <c r="U442" s="1657"/>
      <c r="V442" s="1657"/>
      <c r="W442" s="1657"/>
      <c r="X442" s="1658"/>
      <c r="Y442" s="1362">
        <v>1690</v>
      </c>
      <c r="Z442" s="1506"/>
      <c r="AA442" s="1657"/>
      <c r="AB442" s="1658"/>
      <c r="AC442" s="1612">
        <f t="shared" si="124"/>
        <v>0.57656833157243548</v>
      </c>
      <c r="AD442" s="1613">
        <f t="shared" si="125"/>
        <v>1.0954427277783885</v>
      </c>
      <c r="AE442" s="1613">
        <f t="shared" si="126"/>
        <v>0.32006357459213597</v>
      </c>
      <c r="AF442" s="1613">
        <f t="shared" si="127"/>
        <v>1.9920746339429598</v>
      </c>
      <c r="AG442" s="1613">
        <f t="shared" si="128"/>
        <v>0.65299888260455996</v>
      </c>
      <c r="AH442" s="1613">
        <f t="shared" si="129"/>
        <v>1.0954427277783885</v>
      </c>
      <c r="AI442" s="1614">
        <f t="shared" si="130"/>
        <v>1.7484416103829483</v>
      </c>
      <c r="AV442" s="1363"/>
      <c r="AW442" s="1363"/>
      <c r="AX442" s="1363"/>
    </row>
    <row r="443" spans="1:50" x14ac:dyDescent="0.25">
      <c r="A443" s="1620" t="s">
        <v>4126</v>
      </c>
      <c r="B443" s="1504">
        <v>800</v>
      </c>
      <c r="C443" s="1505">
        <v>32</v>
      </c>
      <c r="D443" s="1506">
        <v>1238</v>
      </c>
      <c r="E443" s="1504">
        <v>160.30000000000001</v>
      </c>
      <c r="F443" s="1504">
        <v>185.7</v>
      </c>
      <c r="G443" s="1504">
        <v>927.1</v>
      </c>
      <c r="H443" s="1504">
        <v>303.3</v>
      </c>
      <c r="I443" s="1504">
        <v>20</v>
      </c>
      <c r="J443" s="1504">
        <v>1092.2</v>
      </c>
      <c r="K443" s="1504">
        <v>79.2</v>
      </c>
      <c r="L443" s="1504">
        <v>12.7</v>
      </c>
      <c r="M443" s="1504">
        <v>908</v>
      </c>
      <c r="N443" s="1504">
        <v>812.8</v>
      </c>
      <c r="O443" s="1504"/>
      <c r="P443" s="1504"/>
      <c r="Q443" s="1508"/>
      <c r="R443" s="1362">
        <v>1244</v>
      </c>
      <c r="S443" s="1659"/>
      <c r="T443" s="1657"/>
      <c r="U443" s="1657"/>
      <c r="V443" s="1657"/>
      <c r="W443" s="1657"/>
      <c r="X443" s="1658"/>
      <c r="Y443" s="1362">
        <v>2025</v>
      </c>
      <c r="Z443" s="1506"/>
      <c r="AA443" s="1657"/>
      <c r="AB443" s="1658"/>
      <c r="AC443" s="1612">
        <f t="shared" si="124"/>
        <v>0.62345346033460947</v>
      </c>
      <c r="AD443" s="1613">
        <f t="shared" si="125"/>
        <v>1.2037357827421187</v>
      </c>
      <c r="AE443" s="1613">
        <f t="shared" si="126"/>
        <v>0.36514857076380308</v>
      </c>
      <c r="AF443" s="1613">
        <f t="shared" si="127"/>
        <v>2.1923378138405312</v>
      </c>
      <c r="AG443" s="1613">
        <f t="shared" si="128"/>
        <v>0.72224146964527114</v>
      </c>
      <c r="AH443" s="1613">
        <f t="shared" si="129"/>
        <v>1.2037357827421187</v>
      </c>
      <c r="AI443" s="1614">
        <f t="shared" si="130"/>
        <v>1.9259772523873897</v>
      </c>
      <c r="AV443" s="1363"/>
      <c r="AW443" s="1363"/>
      <c r="AX443" s="1363"/>
    </row>
    <row r="444" spans="1:50" x14ac:dyDescent="0.25">
      <c r="A444" s="1620" t="s">
        <v>4127</v>
      </c>
      <c r="B444" s="1504">
        <v>850</v>
      </c>
      <c r="C444" s="1505">
        <v>34</v>
      </c>
      <c r="D444" s="1506">
        <v>1314</v>
      </c>
      <c r="E444" s="1504">
        <v>171.4</v>
      </c>
      <c r="F444" s="1504">
        <v>195.1</v>
      </c>
      <c r="G444" s="1504">
        <v>990.6</v>
      </c>
      <c r="H444" s="1504">
        <v>319</v>
      </c>
      <c r="I444" s="1504">
        <v>20</v>
      </c>
      <c r="J444" s="1504">
        <v>1155.7</v>
      </c>
      <c r="K444" s="1504">
        <v>85.9</v>
      </c>
      <c r="L444" s="1504">
        <v>14.2</v>
      </c>
      <c r="M444" s="1504">
        <v>962.2</v>
      </c>
      <c r="N444" s="1504">
        <v>863.6</v>
      </c>
      <c r="O444" s="1504"/>
      <c r="P444" s="1504"/>
      <c r="Q444" s="1508"/>
      <c r="R444" s="1362">
        <v>1460</v>
      </c>
      <c r="S444" s="1659"/>
      <c r="T444" s="1657"/>
      <c r="U444" s="1657"/>
      <c r="V444" s="1657"/>
      <c r="W444" s="1657"/>
      <c r="X444" s="1658"/>
      <c r="Y444" s="1362">
        <v>2410</v>
      </c>
      <c r="Z444" s="1506"/>
      <c r="AA444" s="1657"/>
      <c r="AB444" s="1658"/>
      <c r="AC444" s="1612">
        <f t="shared" si="124"/>
        <v>0.70754824080443179</v>
      </c>
      <c r="AD444" s="1613">
        <f t="shared" si="125"/>
        <v>1.3560653273293806</v>
      </c>
      <c r="AE444" s="1613">
        <f t="shared" si="126"/>
        <v>0.40045052174848544</v>
      </c>
      <c r="AF444" s="1613">
        <f t="shared" si="127"/>
        <v>2.4640640898822976</v>
      </c>
      <c r="AG444" s="1613">
        <f t="shared" si="128"/>
        <v>0.8053830909039944</v>
      </c>
      <c r="AH444" s="1613">
        <f t="shared" si="129"/>
        <v>1.3560653273293806</v>
      </c>
      <c r="AI444" s="1614">
        <f t="shared" si="130"/>
        <v>2.1614484182333751</v>
      </c>
      <c r="AV444" s="1363"/>
      <c r="AW444" s="1363"/>
      <c r="AX444" s="1363"/>
    </row>
    <row r="445" spans="1:50" ht="13.2" thickBot="1" x14ac:dyDescent="0.3">
      <c r="A445" s="186" t="s">
        <v>4128</v>
      </c>
      <c r="B445" s="166">
        <v>900</v>
      </c>
      <c r="C445" s="187">
        <v>36</v>
      </c>
      <c r="D445" s="171">
        <v>1346</v>
      </c>
      <c r="E445" s="166">
        <v>173</v>
      </c>
      <c r="F445" s="166">
        <v>201.7</v>
      </c>
      <c r="G445" s="166">
        <v>1028.7</v>
      </c>
      <c r="H445" s="166">
        <v>325.39999999999998</v>
      </c>
      <c r="I445" s="166">
        <v>24</v>
      </c>
      <c r="J445" s="166">
        <v>1200.2</v>
      </c>
      <c r="K445" s="166">
        <v>85.9</v>
      </c>
      <c r="L445" s="166">
        <v>14.2</v>
      </c>
      <c r="M445" s="166">
        <v>1016</v>
      </c>
      <c r="N445" s="166">
        <v>914.4</v>
      </c>
      <c r="O445" s="166"/>
      <c r="P445" s="166"/>
      <c r="Q445" s="188"/>
      <c r="R445" s="167">
        <v>1646</v>
      </c>
      <c r="S445" s="236"/>
      <c r="T445" s="234"/>
      <c r="U445" s="234"/>
      <c r="V445" s="234"/>
      <c r="W445" s="234"/>
      <c r="X445" s="235"/>
      <c r="Y445" s="167">
        <v>2785</v>
      </c>
      <c r="Z445" s="171"/>
      <c r="AA445" s="234"/>
      <c r="AB445" s="235"/>
      <c r="AC445" s="178">
        <f t="shared" si="124"/>
        <v>0.73154498212961205</v>
      </c>
      <c r="AD445" s="179">
        <f t="shared" si="125"/>
        <v>1.4229184189977713</v>
      </c>
      <c r="AE445" s="179">
        <f t="shared" si="126"/>
        <v>0.43779526194023793</v>
      </c>
      <c r="AF445" s="179">
        <f t="shared" si="127"/>
        <v>2.5922586630676214</v>
      </c>
      <c r="AG445" s="179">
        <f t="shared" si="128"/>
        <v>0.85290533465631646</v>
      </c>
      <c r="AH445" s="179">
        <f t="shared" si="129"/>
        <v>1.4229184189977713</v>
      </c>
      <c r="AI445" s="180">
        <f t="shared" si="130"/>
        <v>2.2758237536540875</v>
      </c>
      <c r="AV445" s="604"/>
      <c r="AW445" s="604"/>
      <c r="AX445" s="604"/>
    </row>
  </sheetData>
  <mergeCells count="28">
    <mergeCell ref="I373:K373"/>
    <mergeCell ref="I256:K256"/>
    <mergeCell ref="E277:AB277"/>
    <mergeCell ref="AC277:AI277"/>
    <mergeCell ref="AJ277:AU277"/>
    <mergeCell ref="I279:K279"/>
    <mergeCell ref="E300:AB300"/>
    <mergeCell ref="AC300:AI300"/>
    <mergeCell ref="AJ300:AU300"/>
    <mergeCell ref="I302:K302"/>
    <mergeCell ref="E337:AB337"/>
    <mergeCell ref="AC337:AI337"/>
    <mergeCell ref="AJ337:AU337"/>
    <mergeCell ref="I339:K339"/>
    <mergeCell ref="E254:AB254"/>
    <mergeCell ref="AC254:AI254"/>
    <mergeCell ref="AJ254:AU254"/>
    <mergeCell ref="I20:K20"/>
    <mergeCell ref="I63:K63"/>
    <mergeCell ref="I87:K87"/>
    <mergeCell ref="I111:K111"/>
    <mergeCell ref="I135:K135"/>
    <mergeCell ref="I158:K158"/>
    <mergeCell ref="I198:K198"/>
    <mergeCell ref="E231:AB231"/>
    <mergeCell ref="AC231:AI231"/>
    <mergeCell ref="AJ231:AU231"/>
    <mergeCell ref="I233:K233"/>
  </mergeCells>
  <pageMargins left="0.7" right="0.7" top="0.75" bottom="0.75" header="0.3" footer="0.3"/>
  <pageSetup paperSize="9" scale="15" orientation="portrait" r:id="rId1"/>
  <headerFooter>
    <oddHeader>&amp;R&amp;"Calibri"&amp;8 Document classified as: 2 - Company Confidential&amp;1#</oddHead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Foglio24">
    <tabColor rgb="FFFF0000"/>
    <pageSetUpPr fitToPage="1"/>
  </sheetPr>
  <dimension ref="A1:K559"/>
  <sheetViews>
    <sheetView topLeftCell="A443" workbookViewId="0">
      <selection activeCell="J471" sqref="J471"/>
    </sheetView>
  </sheetViews>
  <sheetFormatPr defaultRowHeight="14.4" x14ac:dyDescent="0.3"/>
  <cols>
    <col min="1" max="1" width="9.44140625" bestFit="1" customWidth="1"/>
    <col min="2" max="2" width="6.21875" style="89" customWidth="1"/>
    <col min="3" max="4" width="6.21875" customWidth="1"/>
    <col min="5" max="10" width="12" style="6" bestFit="1" customWidth="1"/>
    <col min="11" max="11" width="12.44140625" style="6" bestFit="1" customWidth="1"/>
  </cols>
  <sheetData>
    <row r="1" spans="1:11" ht="30" customHeight="1" thickBot="1" x14ac:dyDescent="0.35">
      <c r="A1" s="655" t="s">
        <v>4129</v>
      </c>
      <c r="B1" s="656" t="s">
        <v>1685</v>
      </c>
      <c r="C1" s="657" t="s">
        <v>1145</v>
      </c>
      <c r="D1" s="657" t="s">
        <v>4130</v>
      </c>
      <c r="E1" s="658" t="s">
        <v>2136</v>
      </c>
      <c r="F1" s="658" t="s">
        <v>2148</v>
      </c>
      <c r="G1" s="658" t="s">
        <v>1908</v>
      </c>
      <c r="H1" s="658" t="s">
        <v>2160</v>
      </c>
      <c r="I1" s="658" t="s">
        <v>318</v>
      </c>
      <c r="J1" s="658" t="s">
        <v>1909</v>
      </c>
      <c r="K1" s="659" t="s">
        <v>2170</v>
      </c>
    </row>
    <row r="2" spans="1:11" x14ac:dyDescent="0.3">
      <c r="A2" s="123" t="s">
        <v>4131</v>
      </c>
      <c r="B2" s="629">
        <v>0.125</v>
      </c>
      <c r="C2" s="326">
        <v>10</v>
      </c>
      <c r="D2" s="326">
        <f>VLOOKUP(B2,'Thickness Tab'!$1:$1048576,MATCH(C2,'Thickness Tab'!$1:$1,0),0)</f>
        <v>1.24</v>
      </c>
      <c r="E2" s="649">
        <v>0</v>
      </c>
      <c r="F2" s="649">
        <v>0</v>
      </c>
      <c r="G2" s="649">
        <v>0</v>
      </c>
      <c r="H2" s="649">
        <v>0</v>
      </c>
      <c r="I2" s="649">
        <v>0</v>
      </c>
      <c r="J2" s="649">
        <v>0</v>
      </c>
      <c r="K2" s="650">
        <v>0</v>
      </c>
    </row>
    <row r="3" spans="1:11" x14ac:dyDescent="0.3">
      <c r="A3" s="91" t="s">
        <v>4132</v>
      </c>
      <c r="B3" s="121">
        <v>0.125</v>
      </c>
      <c r="C3" s="21">
        <v>20</v>
      </c>
      <c r="D3" s="635">
        <f>VLOOKUP(B3,'Thickness Tab'!$1:$1048576,MATCH(C3,'Thickness Tab'!$1:$1,0),0)</f>
        <v>0</v>
      </c>
      <c r="E3" s="636">
        <v>0</v>
      </c>
      <c r="F3" s="636">
        <v>0</v>
      </c>
      <c r="G3" s="636">
        <v>0</v>
      </c>
      <c r="H3" s="636">
        <v>0</v>
      </c>
      <c r="I3" s="636">
        <v>0</v>
      </c>
      <c r="J3" s="636">
        <v>0</v>
      </c>
      <c r="K3" s="637">
        <v>0</v>
      </c>
    </row>
    <row r="4" spans="1:11" x14ac:dyDescent="0.3">
      <c r="A4" s="91" t="s">
        <v>4133</v>
      </c>
      <c r="B4" s="121">
        <v>0.125</v>
      </c>
      <c r="C4" s="21">
        <v>30</v>
      </c>
      <c r="D4" s="21">
        <f>VLOOKUP(B4,'Thickness Tab'!$1:$1048576,MATCH(C4,'Thickness Tab'!$1:$1,0),0)</f>
        <v>1.45</v>
      </c>
      <c r="E4" s="651">
        <v>0</v>
      </c>
      <c r="F4" s="651">
        <v>0</v>
      </c>
      <c r="G4" s="651">
        <v>0</v>
      </c>
      <c r="H4" s="651">
        <v>0</v>
      </c>
      <c r="I4" s="651">
        <v>0</v>
      </c>
      <c r="J4" s="651">
        <v>0</v>
      </c>
      <c r="K4" s="652">
        <v>0</v>
      </c>
    </row>
    <row r="5" spans="1:11" x14ac:dyDescent="0.3">
      <c r="A5" s="91" t="s">
        <v>4134</v>
      </c>
      <c r="B5" s="121">
        <v>0.125</v>
      </c>
      <c r="C5" s="21" t="s">
        <v>65</v>
      </c>
      <c r="D5" s="21">
        <f>VLOOKUP(B5,'Thickness Tab'!$1:$1048576,MATCH(C5,'Thickness Tab'!$1:$1,0),0)</f>
        <v>1.73</v>
      </c>
      <c r="E5" s="651">
        <v>0</v>
      </c>
      <c r="F5" s="651">
        <v>0</v>
      </c>
      <c r="G5" s="651">
        <v>0</v>
      </c>
      <c r="H5" s="651">
        <v>0</v>
      </c>
      <c r="I5" s="651">
        <v>0</v>
      </c>
      <c r="J5" s="651">
        <v>0</v>
      </c>
      <c r="K5" s="652">
        <v>0</v>
      </c>
    </row>
    <row r="6" spans="1:11" x14ac:dyDescent="0.3">
      <c r="A6" s="91" t="s">
        <v>4135</v>
      </c>
      <c r="B6" s="121">
        <v>0.125</v>
      </c>
      <c r="C6" s="21">
        <v>40</v>
      </c>
      <c r="D6" s="21">
        <f>VLOOKUP(B6,'Thickness Tab'!$1:$1048576,MATCH(C6,'Thickness Tab'!$1:$1,0),0)</f>
        <v>1.73</v>
      </c>
      <c r="E6" s="651">
        <v>0</v>
      </c>
      <c r="F6" s="651">
        <v>0</v>
      </c>
      <c r="G6" s="651">
        <v>0</v>
      </c>
      <c r="H6" s="651">
        <v>0</v>
      </c>
      <c r="I6" s="651">
        <v>0</v>
      </c>
      <c r="J6" s="651">
        <v>0</v>
      </c>
      <c r="K6" s="652">
        <v>0</v>
      </c>
    </row>
    <row r="7" spans="1:11" x14ac:dyDescent="0.3">
      <c r="A7" s="91" t="s">
        <v>4136</v>
      </c>
      <c r="B7" s="121">
        <v>0.125</v>
      </c>
      <c r="C7" s="21">
        <v>60</v>
      </c>
      <c r="D7" s="635">
        <f>VLOOKUP(B7,'Thickness Tab'!$1:$1048576,MATCH(C7,'Thickness Tab'!$1:$1,0),0)</f>
        <v>0</v>
      </c>
      <c r="E7" s="636">
        <v>0</v>
      </c>
      <c r="F7" s="636">
        <v>0</v>
      </c>
      <c r="G7" s="636">
        <v>0</v>
      </c>
      <c r="H7" s="636">
        <v>0</v>
      </c>
      <c r="I7" s="636">
        <v>0</v>
      </c>
      <c r="J7" s="636">
        <v>0</v>
      </c>
      <c r="K7" s="637">
        <v>0</v>
      </c>
    </row>
    <row r="8" spans="1:11" x14ac:dyDescent="0.3">
      <c r="A8" s="91" t="s">
        <v>4137</v>
      </c>
      <c r="B8" s="121">
        <v>0.125</v>
      </c>
      <c r="C8" s="21" t="s">
        <v>66</v>
      </c>
      <c r="D8" s="21">
        <f>VLOOKUP(B8,'Thickness Tab'!$1:$1048576,MATCH(C8,'Thickness Tab'!$1:$1,0),0)</f>
        <v>2.41</v>
      </c>
      <c r="E8" s="651">
        <v>0</v>
      </c>
      <c r="F8" s="651">
        <v>0</v>
      </c>
      <c r="G8" s="651">
        <v>0</v>
      </c>
      <c r="H8" s="651">
        <v>0</v>
      </c>
      <c r="I8" s="651">
        <v>0</v>
      </c>
      <c r="J8" s="651">
        <v>0</v>
      </c>
      <c r="K8" s="652">
        <v>0</v>
      </c>
    </row>
    <row r="9" spans="1:11" x14ac:dyDescent="0.3">
      <c r="A9" s="91" t="s">
        <v>4138</v>
      </c>
      <c r="B9" s="121">
        <v>0.125</v>
      </c>
      <c r="C9" s="21">
        <v>80</v>
      </c>
      <c r="D9" s="21">
        <f>VLOOKUP(B9,'Thickness Tab'!$1:$1048576,MATCH(C9,'Thickness Tab'!$1:$1,0),0)</f>
        <v>2.41</v>
      </c>
      <c r="E9" s="651">
        <v>0</v>
      </c>
      <c r="F9" s="651">
        <v>0</v>
      </c>
      <c r="G9" s="651">
        <v>0</v>
      </c>
      <c r="H9" s="651">
        <v>0</v>
      </c>
      <c r="I9" s="651">
        <v>0</v>
      </c>
      <c r="J9" s="651">
        <v>0</v>
      </c>
      <c r="K9" s="652">
        <v>0</v>
      </c>
    </row>
    <row r="10" spans="1:11" x14ac:dyDescent="0.3">
      <c r="A10" s="91" t="s">
        <v>4139</v>
      </c>
      <c r="B10" s="121">
        <v>0.125</v>
      </c>
      <c r="C10" s="21">
        <v>100</v>
      </c>
      <c r="D10" s="635">
        <f>VLOOKUP(B10,'Thickness Tab'!$1:$1048576,MATCH(C10,'Thickness Tab'!$1:$1,0),0)</f>
        <v>0</v>
      </c>
      <c r="E10" s="636">
        <v>0</v>
      </c>
      <c r="F10" s="636">
        <v>0</v>
      </c>
      <c r="G10" s="636">
        <v>0</v>
      </c>
      <c r="H10" s="636">
        <v>0</v>
      </c>
      <c r="I10" s="636">
        <v>0</v>
      </c>
      <c r="J10" s="636">
        <v>0</v>
      </c>
      <c r="K10" s="637">
        <v>0</v>
      </c>
    </row>
    <row r="11" spans="1:11" x14ac:dyDescent="0.3">
      <c r="A11" s="91" t="s">
        <v>4140</v>
      </c>
      <c r="B11" s="121">
        <v>0.125</v>
      </c>
      <c r="C11" s="21">
        <v>120</v>
      </c>
      <c r="D11" s="635">
        <f>VLOOKUP(B11,'Thickness Tab'!$1:$1048576,MATCH(C11,'Thickness Tab'!$1:$1,0),0)</f>
        <v>0</v>
      </c>
      <c r="E11" s="636">
        <v>0</v>
      </c>
      <c r="F11" s="636">
        <v>0</v>
      </c>
      <c r="G11" s="636">
        <v>0</v>
      </c>
      <c r="H11" s="636">
        <v>0</v>
      </c>
      <c r="I11" s="636">
        <v>0</v>
      </c>
      <c r="J11" s="636">
        <v>0</v>
      </c>
      <c r="K11" s="637">
        <v>0</v>
      </c>
    </row>
    <row r="12" spans="1:11" x14ac:dyDescent="0.3">
      <c r="A12" s="91" t="s">
        <v>4141</v>
      </c>
      <c r="B12" s="121">
        <v>0.125</v>
      </c>
      <c r="C12" s="21">
        <v>140</v>
      </c>
      <c r="D12" s="635">
        <f>VLOOKUP(B12,'Thickness Tab'!$1:$1048576,MATCH(C12,'Thickness Tab'!$1:$1,0),0)</f>
        <v>0</v>
      </c>
      <c r="E12" s="636">
        <v>0</v>
      </c>
      <c r="F12" s="636">
        <v>0</v>
      </c>
      <c r="G12" s="636">
        <v>0</v>
      </c>
      <c r="H12" s="636">
        <v>0</v>
      </c>
      <c r="I12" s="636">
        <v>0</v>
      </c>
      <c r="J12" s="636">
        <v>0</v>
      </c>
      <c r="K12" s="637">
        <v>0</v>
      </c>
    </row>
    <row r="13" spans="1:11" x14ac:dyDescent="0.3">
      <c r="A13" s="91" t="s">
        <v>4142</v>
      </c>
      <c r="B13" s="121">
        <v>0.125</v>
      </c>
      <c r="C13" s="21">
        <v>160</v>
      </c>
      <c r="D13" s="635">
        <f>VLOOKUP(B13,'Thickness Tab'!$1:$1048576,MATCH(C13,'Thickness Tab'!$1:$1,0),0)</f>
        <v>0</v>
      </c>
      <c r="E13" s="636">
        <v>0</v>
      </c>
      <c r="F13" s="636">
        <v>0</v>
      </c>
      <c r="G13" s="636">
        <v>0</v>
      </c>
      <c r="H13" s="636">
        <v>0</v>
      </c>
      <c r="I13" s="636">
        <v>0</v>
      </c>
      <c r="J13" s="636">
        <v>0</v>
      </c>
      <c r="K13" s="637">
        <v>0</v>
      </c>
    </row>
    <row r="14" spans="1:11" ht="15" thickBot="1" x14ac:dyDescent="0.35">
      <c r="A14" s="94" t="s">
        <v>4143</v>
      </c>
      <c r="B14" s="122">
        <v>0.125</v>
      </c>
      <c r="C14" s="23" t="s">
        <v>4144</v>
      </c>
      <c r="D14" s="638">
        <f>VLOOKUP(B14,'Thickness Tab'!$1:$1048576,MATCH(C14,'Thickness Tab'!$1:$1,0),0)</f>
        <v>0</v>
      </c>
      <c r="E14" s="639">
        <v>0</v>
      </c>
      <c r="F14" s="639">
        <v>0</v>
      </c>
      <c r="G14" s="639">
        <v>0</v>
      </c>
      <c r="H14" s="639">
        <v>0</v>
      </c>
      <c r="I14" s="639">
        <v>0</v>
      </c>
      <c r="J14" s="639">
        <v>0</v>
      </c>
      <c r="K14" s="640">
        <v>0</v>
      </c>
    </row>
    <row r="15" spans="1:11" x14ac:dyDescent="0.3">
      <c r="A15" s="123" t="s">
        <v>4145</v>
      </c>
      <c r="B15" s="629">
        <v>0.25</v>
      </c>
      <c r="C15" s="326">
        <v>10</v>
      </c>
      <c r="D15" s="326">
        <f>VLOOKUP(B15,'Thickness Tab'!$1:$1048576,MATCH(C15,'Thickness Tab'!$1:$1,0),0)</f>
        <v>1.65</v>
      </c>
      <c r="E15" s="649">
        <v>0</v>
      </c>
      <c r="F15" s="649">
        <v>0</v>
      </c>
      <c r="G15" s="649">
        <v>0</v>
      </c>
      <c r="H15" s="649">
        <v>0</v>
      </c>
      <c r="I15" s="649">
        <v>0</v>
      </c>
      <c r="J15" s="649">
        <v>0</v>
      </c>
      <c r="K15" s="650">
        <v>0</v>
      </c>
    </row>
    <row r="16" spans="1:11" x14ac:dyDescent="0.3">
      <c r="A16" s="91" t="s">
        <v>4146</v>
      </c>
      <c r="B16" s="121">
        <v>0.25</v>
      </c>
      <c r="C16" s="21">
        <v>20</v>
      </c>
      <c r="D16" s="635">
        <f>VLOOKUP(B16,'Thickness Tab'!$1:$1048576,MATCH(C16,'Thickness Tab'!$1:$1,0),0)</f>
        <v>0</v>
      </c>
      <c r="E16" s="636">
        <v>0</v>
      </c>
      <c r="F16" s="636">
        <v>0</v>
      </c>
      <c r="G16" s="636">
        <v>0</v>
      </c>
      <c r="H16" s="636">
        <v>0</v>
      </c>
      <c r="I16" s="636">
        <v>0</v>
      </c>
      <c r="J16" s="636">
        <v>0</v>
      </c>
      <c r="K16" s="637">
        <v>0</v>
      </c>
    </row>
    <row r="17" spans="1:11" x14ac:dyDescent="0.3">
      <c r="A17" s="91" t="s">
        <v>4147</v>
      </c>
      <c r="B17" s="121">
        <v>0.25</v>
      </c>
      <c r="C17" s="21">
        <v>30</v>
      </c>
      <c r="D17" s="21">
        <f>VLOOKUP(B17,'Thickness Tab'!$1:$1048576,MATCH(C17,'Thickness Tab'!$1:$1,0),0)</f>
        <v>1.85</v>
      </c>
      <c r="E17" s="651">
        <v>0</v>
      </c>
      <c r="F17" s="651">
        <v>0</v>
      </c>
      <c r="G17" s="651">
        <v>0</v>
      </c>
      <c r="H17" s="651">
        <v>0</v>
      </c>
      <c r="I17" s="651">
        <v>0</v>
      </c>
      <c r="J17" s="651">
        <v>0</v>
      </c>
      <c r="K17" s="652">
        <v>0</v>
      </c>
    </row>
    <row r="18" spans="1:11" x14ac:dyDescent="0.3">
      <c r="A18" s="91" t="s">
        <v>4148</v>
      </c>
      <c r="B18" s="121">
        <v>0.25</v>
      </c>
      <c r="C18" s="21" t="s">
        <v>65</v>
      </c>
      <c r="D18" s="21">
        <f>VLOOKUP(B18,'Thickness Tab'!$1:$1048576,MATCH(C18,'Thickness Tab'!$1:$1,0),0)</f>
        <v>2.2400000000000002</v>
      </c>
      <c r="E18" s="651">
        <v>0</v>
      </c>
      <c r="F18" s="651">
        <v>0</v>
      </c>
      <c r="G18" s="651">
        <v>0</v>
      </c>
      <c r="H18" s="651">
        <v>0</v>
      </c>
      <c r="I18" s="651">
        <v>0</v>
      </c>
      <c r="J18" s="651">
        <v>0</v>
      </c>
      <c r="K18" s="652">
        <v>0</v>
      </c>
    </row>
    <row r="19" spans="1:11" x14ac:dyDescent="0.3">
      <c r="A19" s="91" t="s">
        <v>4149</v>
      </c>
      <c r="B19" s="121">
        <v>0.25</v>
      </c>
      <c r="C19" s="21">
        <v>40</v>
      </c>
      <c r="D19" s="21">
        <f>VLOOKUP(B19,'Thickness Tab'!$1:$1048576,MATCH(C19,'Thickness Tab'!$1:$1,0),0)</f>
        <v>2.2400000000000002</v>
      </c>
      <c r="E19" s="651">
        <v>0</v>
      </c>
      <c r="F19" s="651">
        <v>0</v>
      </c>
      <c r="G19" s="651">
        <v>0</v>
      </c>
      <c r="H19" s="651">
        <v>0</v>
      </c>
      <c r="I19" s="651">
        <v>0</v>
      </c>
      <c r="J19" s="651">
        <v>0</v>
      </c>
      <c r="K19" s="652">
        <v>0</v>
      </c>
    </row>
    <row r="20" spans="1:11" x14ac:dyDescent="0.3">
      <c r="A20" s="91" t="s">
        <v>4150</v>
      </c>
      <c r="B20" s="121">
        <v>0.25</v>
      </c>
      <c r="C20" s="21">
        <v>60</v>
      </c>
      <c r="D20" s="635">
        <f>VLOOKUP(B20,'Thickness Tab'!$1:$1048576,MATCH(C20,'Thickness Tab'!$1:$1,0),0)</f>
        <v>0</v>
      </c>
      <c r="E20" s="636">
        <v>0</v>
      </c>
      <c r="F20" s="636">
        <v>0</v>
      </c>
      <c r="G20" s="636">
        <v>0</v>
      </c>
      <c r="H20" s="636">
        <v>0</v>
      </c>
      <c r="I20" s="636">
        <v>0</v>
      </c>
      <c r="J20" s="636">
        <v>0</v>
      </c>
      <c r="K20" s="637">
        <v>0</v>
      </c>
    </row>
    <row r="21" spans="1:11" x14ac:dyDescent="0.3">
      <c r="A21" s="91" t="s">
        <v>4151</v>
      </c>
      <c r="B21" s="121">
        <v>0.25</v>
      </c>
      <c r="C21" s="21" t="s">
        <v>66</v>
      </c>
      <c r="D21" s="21">
        <f>VLOOKUP(B21,'Thickness Tab'!$1:$1048576,MATCH(C21,'Thickness Tab'!$1:$1,0),0)</f>
        <v>3.02</v>
      </c>
      <c r="E21" s="651">
        <v>0</v>
      </c>
      <c r="F21" s="651">
        <v>0</v>
      </c>
      <c r="G21" s="651">
        <v>0</v>
      </c>
      <c r="H21" s="651">
        <v>0</v>
      </c>
      <c r="I21" s="651">
        <v>0</v>
      </c>
      <c r="J21" s="651">
        <v>0</v>
      </c>
      <c r="K21" s="652">
        <v>0</v>
      </c>
    </row>
    <row r="22" spans="1:11" x14ac:dyDescent="0.3">
      <c r="A22" s="91" t="s">
        <v>4152</v>
      </c>
      <c r="B22" s="121">
        <v>0.25</v>
      </c>
      <c r="C22" s="21">
        <v>80</v>
      </c>
      <c r="D22" s="21">
        <f>VLOOKUP(B22,'Thickness Tab'!$1:$1048576,MATCH(C22,'Thickness Tab'!$1:$1,0),0)</f>
        <v>3.02</v>
      </c>
      <c r="E22" s="651">
        <v>0</v>
      </c>
      <c r="F22" s="651">
        <v>0</v>
      </c>
      <c r="G22" s="651">
        <v>0</v>
      </c>
      <c r="H22" s="651">
        <v>0</v>
      </c>
      <c r="I22" s="651">
        <v>0</v>
      </c>
      <c r="J22" s="651">
        <v>0</v>
      </c>
      <c r="K22" s="652">
        <v>0</v>
      </c>
    </row>
    <row r="23" spans="1:11" x14ac:dyDescent="0.3">
      <c r="A23" s="91" t="s">
        <v>4153</v>
      </c>
      <c r="B23" s="121">
        <v>0.25</v>
      </c>
      <c r="C23" s="21">
        <v>100</v>
      </c>
      <c r="D23" s="635">
        <f>VLOOKUP(B23,'Thickness Tab'!$1:$1048576,MATCH(C23,'Thickness Tab'!$1:$1,0),0)</f>
        <v>0</v>
      </c>
      <c r="E23" s="636">
        <v>0</v>
      </c>
      <c r="F23" s="636">
        <v>0</v>
      </c>
      <c r="G23" s="636">
        <v>0</v>
      </c>
      <c r="H23" s="636">
        <v>0</v>
      </c>
      <c r="I23" s="636">
        <v>0</v>
      </c>
      <c r="J23" s="636">
        <v>0</v>
      </c>
      <c r="K23" s="637">
        <v>0</v>
      </c>
    </row>
    <row r="24" spans="1:11" x14ac:dyDescent="0.3">
      <c r="A24" s="91" t="s">
        <v>4154</v>
      </c>
      <c r="B24" s="121">
        <v>0.25</v>
      </c>
      <c r="C24" s="21">
        <v>120</v>
      </c>
      <c r="D24" s="635">
        <f>VLOOKUP(B24,'Thickness Tab'!$1:$1048576,MATCH(C24,'Thickness Tab'!$1:$1,0),0)</f>
        <v>0</v>
      </c>
      <c r="E24" s="636">
        <v>0</v>
      </c>
      <c r="F24" s="636">
        <v>0</v>
      </c>
      <c r="G24" s="636">
        <v>0</v>
      </c>
      <c r="H24" s="636">
        <v>0</v>
      </c>
      <c r="I24" s="636">
        <v>0</v>
      </c>
      <c r="J24" s="636">
        <v>0</v>
      </c>
      <c r="K24" s="637">
        <v>0</v>
      </c>
    </row>
    <row r="25" spans="1:11" x14ac:dyDescent="0.3">
      <c r="A25" s="91" t="s">
        <v>4155</v>
      </c>
      <c r="B25" s="121">
        <v>0.25</v>
      </c>
      <c r="C25" s="21">
        <v>140</v>
      </c>
      <c r="D25" s="635">
        <f>VLOOKUP(B25,'Thickness Tab'!$1:$1048576,MATCH(C25,'Thickness Tab'!$1:$1,0),0)</f>
        <v>0</v>
      </c>
      <c r="E25" s="636">
        <v>0</v>
      </c>
      <c r="F25" s="636">
        <v>0</v>
      </c>
      <c r="G25" s="636">
        <v>0</v>
      </c>
      <c r="H25" s="636">
        <v>0</v>
      </c>
      <c r="I25" s="636">
        <v>0</v>
      </c>
      <c r="J25" s="636">
        <v>0</v>
      </c>
      <c r="K25" s="637">
        <v>0</v>
      </c>
    </row>
    <row r="26" spans="1:11" x14ac:dyDescent="0.3">
      <c r="A26" s="91" t="s">
        <v>4156</v>
      </c>
      <c r="B26" s="121">
        <v>0.25</v>
      </c>
      <c r="C26" s="21">
        <v>160</v>
      </c>
      <c r="D26" s="635">
        <f>VLOOKUP(B26,'Thickness Tab'!$1:$1048576,MATCH(C26,'Thickness Tab'!$1:$1,0),0)</f>
        <v>0</v>
      </c>
      <c r="E26" s="636">
        <v>0</v>
      </c>
      <c r="F26" s="636">
        <v>0</v>
      </c>
      <c r="G26" s="636">
        <v>0</v>
      </c>
      <c r="H26" s="636">
        <v>0</v>
      </c>
      <c r="I26" s="636">
        <v>0</v>
      </c>
      <c r="J26" s="636">
        <v>0</v>
      </c>
      <c r="K26" s="637">
        <v>0</v>
      </c>
    </row>
    <row r="27" spans="1:11" ht="15" thickBot="1" x14ac:dyDescent="0.35">
      <c r="A27" s="94" t="s">
        <v>4157</v>
      </c>
      <c r="B27" s="122">
        <v>0.25</v>
      </c>
      <c r="C27" s="23" t="s">
        <v>4144</v>
      </c>
      <c r="D27" s="638">
        <f>VLOOKUP(B27,'Thickness Tab'!$1:$1048576,MATCH(C27,'Thickness Tab'!$1:$1,0),0)</f>
        <v>0</v>
      </c>
      <c r="E27" s="639">
        <v>0</v>
      </c>
      <c r="F27" s="639">
        <v>0</v>
      </c>
      <c r="G27" s="639">
        <v>0</v>
      </c>
      <c r="H27" s="639">
        <v>0</v>
      </c>
      <c r="I27" s="639">
        <v>0</v>
      </c>
      <c r="J27" s="639">
        <v>0</v>
      </c>
      <c r="K27" s="640">
        <v>0</v>
      </c>
    </row>
    <row r="28" spans="1:11" x14ac:dyDescent="0.3">
      <c r="A28" s="123" t="s">
        <v>4158</v>
      </c>
      <c r="B28" s="629">
        <v>0.5</v>
      </c>
      <c r="C28" s="326">
        <v>10</v>
      </c>
      <c r="D28" s="326">
        <f>VLOOKUP(B28,'Thickness Tab'!$1:$1048576,MATCH(C28,'Thickness Tab'!$1:$1,0),0)</f>
        <v>2.11</v>
      </c>
      <c r="E28" s="649">
        <v>0</v>
      </c>
      <c r="F28" s="649">
        <v>0</v>
      </c>
      <c r="G28" s="649">
        <v>0</v>
      </c>
      <c r="H28" s="649">
        <v>0</v>
      </c>
      <c r="I28" s="649">
        <v>0</v>
      </c>
      <c r="J28" s="649">
        <v>0</v>
      </c>
      <c r="K28" s="650">
        <v>0</v>
      </c>
    </row>
    <row r="29" spans="1:11" x14ac:dyDescent="0.3">
      <c r="A29" s="91" t="s">
        <v>4159</v>
      </c>
      <c r="B29" s="121">
        <v>0.5</v>
      </c>
      <c r="C29" s="21">
        <v>20</v>
      </c>
      <c r="D29" s="635">
        <f>VLOOKUP(B29,'Thickness Tab'!$1:$1048576,MATCH(C29,'Thickness Tab'!$1:$1,0),0)</f>
        <v>0</v>
      </c>
      <c r="E29" s="636">
        <v>0</v>
      </c>
      <c r="F29" s="636">
        <v>0</v>
      </c>
      <c r="G29" s="636">
        <v>0</v>
      </c>
      <c r="H29" s="636">
        <v>0</v>
      </c>
      <c r="I29" s="636">
        <v>0</v>
      </c>
      <c r="J29" s="636">
        <v>0</v>
      </c>
      <c r="K29" s="637">
        <v>0</v>
      </c>
    </row>
    <row r="30" spans="1:11" x14ac:dyDescent="0.3">
      <c r="A30" s="91" t="s">
        <v>4160</v>
      </c>
      <c r="B30" s="121">
        <v>0.5</v>
      </c>
      <c r="C30" s="21">
        <v>30</v>
      </c>
      <c r="D30" s="21">
        <f>VLOOKUP(B30,'Thickness Tab'!$1:$1048576,MATCH(C30,'Thickness Tab'!$1:$1,0),0)</f>
        <v>2.41</v>
      </c>
      <c r="E30" s="651">
        <v>0</v>
      </c>
      <c r="F30" s="651">
        <v>0</v>
      </c>
      <c r="G30" s="651">
        <v>0</v>
      </c>
      <c r="H30" s="651">
        <v>0</v>
      </c>
      <c r="I30" s="651">
        <v>0</v>
      </c>
      <c r="J30" s="651">
        <v>0</v>
      </c>
      <c r="K30" s="652">
        <v>0</v>
      </c>
    </row>
    <row r="31" spans="1:11" x14ac:dyDescent="0.3">
      <c r="A31" s="91" t="s">
        <v>4161</v>
      </c>
      <c r="B31" s="121">
        <v>0.5</v>
      </c>
      <c r="C31" s="21" t="s">
        <v>65</v>
      </c>
      <c r="D31" s="21">
        <f>VLOOKUP(B31,'Thickness Tab'!$1:$1048576,MATCH(C31,'Thickness Tab'!$1:$1,0),0)</f>
        <v>2.77</v>
      </c>
      <c r="E31" s="55">
        <v>3.1751465900000005E-2</v>
      </c>
      <c r="F31" s="55">
        <v>4.0823313300000004E-2</v>
      </c>
      <c r="G31" s="55">
        <v>7.7110702900000008E-2</v>
      </c>
      <c r="H31" s="55">
        <v>5.8967008100000003E-2</v>
      </c>
      <c r="I31" s="651">
        <v>0</v>
      </c>
      <c r="J31" s="55">
        <v>0.10432624510000001</v>
      </c>
      <c r="K31" s="124">
        <v>0.10432624510000001</v>
      </c>
    </row>
    <row r="32" spans="1:11" x14ac:dyDescent="0.3">
      <c r="A32" s="91" t="s">
        <v>4162</v>
      </c>
      <c r="B32" s="121">
        <v>0.5</v>
      </c>
      <c r="C32" s="21">
        <v>40</v>
      </c>
      <c r="D32" s="21">
        <f>VLOOKUP(B32,'Thickness Tab'!$1:$1048576,MATCH(C32,'Thickness Tab'!$1:$1,0),0)</f>
        <v>2.77</v>
      </c>
      <c r="E32" s="55">
        <v>3.1751465900000005E-2</v>
      </c>
      <c r="F32" s="55">
        <v>4.0823313300000004E-2</v>
      </c>
      <c r="G32" s="55">
        <v>7.7110702900000008E-2</v>
      </c>
      <c r="H32" s="55">
        <v>5.8967008100000003E-2</v>
      </c>
      <c r="I32" s="651">
        <v>0</v>
      </c>
      <c r="J32" s="55">
        <v>0.10432624510000001</v>
      </c>
      <c r="K32" s="124">
        <v>0.10432624510000001</v>
      </c>
    </row>
    <row r="33" spans="1:11" x14ac:dyDescent="0.3">
      <c r="A33" s="91" t="s">
        <v>4163</v>
      </c>
      <c r="B33" s="121">
        <v>0.5</v>
      </c>
      <c r="C33" s="21">
        <v>60</v>
      </c>
      <c r="D33" s="635">
        <f>VLOOKUP(B33,'Thickness Tab'!$1:$1048576,MATCH(C33,'Thickness Tab'!$1:$1,0),0)</f>
        <v>0</v>
      </c>
      <c r="E33" s="636">
        <v>0</v>
      </c>
      <c r="F33" s="636">
        <v>0</v>
      </c>
      <c r="G33" s="636">
        <v>0</v>
      </c>
      <c r="H33" s="636">
        <v>0</v>
      </c>
      <c r="I33" s="636">
        <v>0</v>
      </c>
      <c r="J33" s="636">
        <v>0</v>
      </c>
      <c r="K33" s="637">
        <v>0</v>
      </c>
    </row>
    <row r="34" spans="1:11" x14ac:dyDescent="0.3">
      <c r="A34" s="91" t="s">
        <v>4164</v>
      </c>
      <c r="B34" s="121">
        <v>0.5</v>
      </c>
      <c r="C34" s="21" t="s">
        <v>66</v>
      </c>
      <c r="D34" s="21">
        <f>VLOOKUP(B34,'Thickness Tab'!$1:$1048576,MATCH(C34,'Thickness Tab'!$1:$1,0),0)</f>
        <v>3.73</v>
      </c>
      <c r="E34" s="55">
        <v>4.5359237000000004E-2</v>
      </c>
      <c r="F34" s="55">
        <v>4.9895160700000003E-2</v>
      </c>
      <c r="G34" s="55">
        <v>9.9790321400000007E-2</v>
      </c>
      <c r="H34" s="55">
        <v>0.13607771099999999</v>
      </c>
      <c r="I34" s="651">
        <v>0</v>
      </c>
      <c r="J34" s="55">
        <v>0.12700586360000002</v>
      </c>
      <c r="K34" s="124">
        <v>0.12700586360000002</v>
      </c>
    </row>
    <row r="35" spans="1:11" x14ac:dyDescent="0.3">
      <c r="A35" s="91" t="s">
        <v>4165</v>
      </c>
      <c r="B35" s="121">
        <v>0.5</v>
      </c>
      <c r="C35" s="21">
        <v>80</v>
      </c>
      <c r="D35" s="21">
        <f>VLOOKUP(B35,'Thickness Tab'!$1:$1048576,MATCH(C35,'Thickness Tab'!$1:$1,0),0)</f>
        <v>3.73</v>
      </c>
      <c r="E35" s="55">
        <v>4.5359237000000004E-2</v>
      </c>
      <c r="F35" s="55">
        <v>4.9895160700000003E-2</v>
      </c>
      <c r="G35" s="55">
        <v>9.9790321400000007E-2</v>
      </c>
      <c r="H35" s="55">
        <v>0.13607771099999999</v>
      </c>
      <c r="I35" s="651">
        <v>0</v>
      </c>
      <c r="J35" s="55">
        <v>0.12700586360000002</v>
      </c>
      <c r="K35" s="124">
        <v>0.12700586360000002</v>
      </c>
    </row>
    <row r="36" spans="1:11" x14ac:dyDescent="0.3">
      <c r="A36" s="91" t="s">
        <v>4166</v>
      </c>
      <c r="B36" s="121">
        <v>0.5</v>
      </c>
      <c r="C36" s="21">
        <v>100</v>
      </c>
      <c r="D36" s="635">
        <f>VLOOKUP(B36,'Thickness Tab'!$1:$1048576,MATCH(C36,'Thickness Tab'!$1:$1,0),0)</f>
        <v>0</v>
      </c>
      <c r="E36" s="636">
        <v>0</v>
      </c>
      <c r="F36" s="636">
        <v>0</v>
      </c>
      <c r="G36" s="636">
        <v>0</v>
      </c>
      <c r="H36" s="636">
        <v>0</v>
      </c>
      <c r="I36" s="636">
        <v>0</v>
      </c>
      <c r="J36" s="636">
        <v>0</v>
      </c>
      <c r="K36" s="637">
        <v>0</v>
      </c>
    </row>
    <row r="37" spans="1:11" x14ac:dyDescent="0.3">
      <c r="A37" s="91" t="s">
        <v>4167</v>
      </c>
      <c r="B37" s="121">
        <v>0.5</v>
      </c>
      <c r="C37" s="21">
        <v>120</v>
      </c>
      <c r="D37" s="635">
        <f>VLOOKUP(B37,'Thickness Tab'!$1:$1048576,MATCH(C37,'Thickness Tab'!$1:$1,0),0)</f>
        <v>0</v>
      </c>
      <c r="E37" s="636">
        <v>0</v>
      </c>
      <c r="F37" s="636">
        <v>0</v>
      </c>
      <c r="G37" s="636">
        <v>0</v>
      </c>
      <c r="H37" s="636">
        <v>0</v>
      </c>
      <c r="I37" s="636">
        <v>0</v>
      </c>
      <c r="J37" s="636">
        <v>0</v>
      </c>
      <c r="K37" s="637">
        <v>0</v>
      </c>
    </row>
    <row r="38" spans="1:11" x14ac:dyDescent="0.3">
      <c r="A38" s="91" t="s">
        <v>4168</v>
      </c>
      <c r="B38" s="121">
        <v>0.5</v>
      </c>
      <c r="C38" s="21">
        <v>140</v>
      </c>
      <c r="D38" s="635">
        <f>VLOOKUP(B38,'Thickness Tab'!$1:$1048576,MATCH(C38,'Thickness Tab'!$1:$1,0),0)</f>
        <v>0</v>
      </c>
      <c r="E38" s="636">
        <v>0</v>
      </c>
      <c r="F38" s="636">
        <v>0</v>
      </c>
      <c r="G38" s="636">
        <v>0</v>
      </c>
      <c r="H38" s="636">
        <v>0</v>
      </c>
      <c r="I38" s="636">
        <v>0</v>
      </c>
      <c r="J38" s="636">
        <v>0</v>
      </c>
      <c r="K38" s="637">
        <v>0</v>
      </c>
    </row>
    <row r="39" spans="1:11" x14ac:dyDescent="0.3">
      <c r="A39" s="91" t="s">
        <v>4169</v>
      </c>
      <c r="B39" s="121">
        <v>0.5</v>
      </c>
      <c r="C39" s="21">
        <v>160</v>
      </c>
      <c r="D39" s="21">
        <f>VLOOKUP(B39,'Thickness Tab'!$1:$1048576,MATCH(C39,'Thickness Tab'!$1:$1,0),0)</f>
        <v>4.7699999999999996</v>
      </c>
      <c r="E39" s="651">
        <v>0</v>
      </c>
      <c r="F39" s="651">
        <v>0</v>
      </c>
      <c r="G39" s="651">
        <v>0</v>
      </c>
      <c r="H39" s="651">
        <v>0</v>
      </c>
      <c r="I39" s="651">
        <v>0</v>
      </c>
      <c r="J39" s="651">
        <v>0</v>
      </c>
      <c r="K39" s="652">
        <v>0</v>
      </c>
    </row>
    <row r="40" spans="1:11" ht="15" thickBot="1" x14ac:dyDescent="0.35">
      <c r="A40" s="94" t="s">
        <v>4170</v>
      </c>
      <c r="B40" s="122">
        <v>0.5</v>
      </c>
      <c r="C40" s="23" t="s">
        <v>4144</v>
      </c>
      <c r="D40" s="23">
        <f>VLOOKUP(B40,'Thickness Tab'!$1:$1048576,MATCH(C40,'Thickness Tab'!$1:$1,0),0)</f>
        <v>7.47</v>
      </c>
      <c r="E40" s="653">
        <v>0</v>
      </c>
      <c r="F40" s="653">
        <v>0</v>
      </c>
      <c r="G40" s="653">
        <v>0</v>
      </c>
      <c r="H40" s="653">
        <v>0</v>
      </c>
      <c r="I40" s="653">
        <v>0</v>
      </c>
      <c r="J40" s="653">
        <v>0</v>
      </c>
      <c r="K40" s="654">
        <v>0</v>
      </c>
    </row>
    <row r="41" spans="1:11" x14ac:dyDescent="0.3">
      <c r="A41" s="123" t="s">
        <v>4171</v>
      </c>
      <c r="B41" s="629">
        <v>0.75</v>
      </c>
      <c r="C41" s="326">
        <v>10</v>
      </c>
      <c r="D41" s="326">
        <f>VLOOKUP(B41,'Thickness Tab'!$1:$1048576,MATCH(C41,'Thickness Tab'!$1:$1,0),0)</f>
        <v>2.11</v>
      </c>
      <c r="E41" s="630">
        <v>0</v>
      </c>
      <c r="F41" s="630">
        <v>3.1751465900000005E-2</v>
      </c>
      <c r="G41" s="630">
        <v>5.8967008100000003E-2</v>
      </c>
      <c r="H41" s="649">
        <v>0</v>
      </c>
      <c r="I41" s="649">
        <v>0</v>
      </c>
      <c r="J41" s="630">
        <v>0.10886216880000001</v>
      </c>
      <c r="K41" s="631">
        <v>0.10886216880000001</v>
      </c>
    </row>
    <row r="42" spans="1:11" x14ac:dyDescent="0.3">
      <c r="A42" s="91" t="s">
        <v>4172</v>
      </c>
      <c r="B42" s="121">
        <v>0.75</v>
      </c>
      <c r="C42" s="21">
        <v>20</v>
      </c>
      <c r="D42" s="635">
        <f>VLOOKUP(B42,'Thickness Tab'!$1:$1048576,MATCH(C42,'Thickness Tab'!$1:$1,0),0)</f>
        <v>0</v>
      </c>
      <c r="E42" s="636">
        <v>0</v>
      </c>
      <c r="F42" s="636">
        <v>0</v>
      </c>
      <c r="G42" s="636">
        <v>0</v>
      </c>
      <c r="H42" s="636">
        <v>0</v>
      </c>
      <c r="I42" s="636">
        <v>0</v>
      </c>
      <c r="J42" s="636">
        <v>0</v>
      </c>
      <c r="K42" s="637">
        <v>0</v>
      </c>
    </row>
    <row r="43" spans="1:11" x14ac:dyDescent="0.3">
      <c r="A43" s="91" t="s">
        <v>4173</v>
      </c>
      <c r="B43" s="121">
        <v>0.75</v>
      </c>
      <c r="C43" s="21">
        <v>30</v>
      </c>
      <c r="D43" s="21">
        <f>VLOOKUP(B43,'Thickness Tab'!$1:$1048576,MATCH(C43,'Thickness Tab'!$1:$1,0),0)</f>
        <v>2.41</v>
      </c>
      <c r="E43" s="651">
        <v>0</v>
      </c>
      <c r="F43" s="651">
        <v>0</v>
      </c>
      <c r="G43" s="651">
        <v>0</v>
      </c>
      <c r="H43" s="651">
        <v>0</v>
      </c>
      <c r="I43" s="651">
        <v>0</v>
      </c>
      <c r="J43" s="651">
        <v>0</v>
      </c>
      <c r="K43" s="652">
        <v>0</v>
      </c>
    </row>
    <row r="44" spans="1:11" x14ac:dyDescent="0.3">
      <c r="A44" s="91" t="s">
        <v>4174</v>
      </c>
      <c r="B44" s="121">
        <v>0.75</v>
      </c>
      <c r="C44" s="21" t="s">
        <v>65</v>
      </c>
      <c r="D44" s="21">
        <f>VLOOKUP(B44,'Thickness Tab'!$1:$1048576,MATCH(C44,'Thickness Tab'!$1:$1,0),0)</f>
        <v>2.87</v>
      </c>
      <c r="E44" s="55">
        <v>5.8967008100000003E-2</v>
      </c>
      <c r="F44" s="55">
        <v>4.0823313300000004E-2</v>
      </c>
      <c r="G44" s="55">
        <v>7.7110702900000008E-2</v>
      </c>
      <c r="H44" s="651">
        <v>0</v>
      </c>
      <c r="I44" s="55">
        <v>6.8038855499999995E-2</v>
      </c>
      <c r="J44" s="55">
        <v>0.20411656650000001</v>
      </c>
      <c r="K44" s="124">
        <v>0.20411656650000001</v>
      </c>
    </row>
    <row r="45" spans="1:11" x14ac:dyDescent="0.3">
      <c r="A45" s="91" t="s">
        <v>4175</v>
      </c>
      <c r="B45" s="121">
        <v>0.75</v>
      </c>
      <c r="C45" s="21">
        <v>40</v>
      </c>
      <c r="D45" s="21">
        <f>VLOOKUP(B45,'Thickness Tab'!$1:$1048576,MATCH(C45,'Thickness Tab'!$1:$1,0),0)</f>
        <v>2.87</v>
      </c>
      <c r="E45" s="55">
        <v>5.8967008100000003E-2</v>
      </c>
      <c r="F45" s="55">
        <v>4.0823313300000004E-2</v>
      </c>
      <c r="G45" s="55">
        <v>7.7110702900000008E-2</v>
      </c>
      <c r="H45" s="651">
        <v>0</v>
      </c>
      <c r="I45" s="55">
        <v>6.8038855499999995E-2</v>
      </c>
      <c r="J45" s="55">
        <v>0.20411656650000001</v>
      </c>
      <c r="K45" s="124">
        <v>0.20411656650000001</v>
      </c>
    </row>
    <row r="46" spans="1:11" x14ac:dyDescent="0.3">
      <c r="A46" s="91" t="s">
        <v>4176</v>
      </c>
      <c r="B46" s="121">
        <v>0.75</v>
      </c>
      <c r="C46" s="21">
        <v>60</v>
      </c>
      <c r="D46" s="635">
        <f>VLOOKUP(B46,'Thickness Tab'!$1:$1048576,MATCH(C46,'Thickness Tab'!$1:$1,0),0)</f>
        <v>0</v>
      </c>
      <c r="E46" s="636">
        <v>0</v>
      </c>
      <c r="F46" s="636">
        <v>0</v>
      </c>
      <c r="G46" s="636">
        <v>0</v>
      </c>
      <c r="H46" s="636">
        <v>0</v>
      </c>
      <c r="I46" s="636">
        <v>0</v>
      </c>
      <c r="J46" s="636">
        <v>0</v>
      </c>
      <c r="K46" s="637">
        <v>0</v>
      </c>
    </row>
    <row r="47" spans="1:11" x14ac:dyDescent="0.3">
      <c r="A47" s="91" t="s">
        <v>4177</v>
      </c>
      <c r="B47" s="121">
        <v>0.75</v>
      </c>
      <c r="C47" s="21" t="s">
        <v>66</v>
      </c>
      <c r="D47" s="21">
        <f>VLOOKUP(B47,'Thickness Tab'!$1:$1048576,MATCH(C47,'Thickness Tab'!$1:$1,0),0)</f>
        <v>3.91</v>
      </c>
      <c r="E47" s="55">
        <v>8.6182550300000008E-2</v>
      </c>
      <c r="F47" s="55">
        <v>4.9895160700000003E-2</v>
      </c>
      <c r="G47" s="55">
        <v>0.10432624510000001</v>
      </c>
      <c r="H47" s="651">
        <v>0</v>
      </c>
      <c r="I47" s="55">
        <v>9.9790321400000007E-2</v>
      </c>
      <c r="J47" s="55">
        <v>0.27215542199999998</v>
      </c>
      <c r="K47" s="124">
        <v>0.27215542199999998</v>
      </c>
    </row>
    <row r="48" spans="1:11" x14ac:dyDescent="0.3">
      <c r="A48" s="91" t="s">
        <v>4178</v>
      </c>
      <c r="B48" s="121">
        <v>0.75</v>
      </c>
      <c r="C48" s="21">
        <v>80</v>
      </c>
      <c r="D48" s="21">
        <f>VLOOKUP(B48,'Thickness Tab'!$1:$1048576,MATCH(C48,'Thickness Tab'!$1:$1,0),0)</f>
        <v>3.91</v>
      </c>
      <c r="E48" s="55">
        <v>8.6182550300000008E-2</v>
      </c>
      <c r="F48" s="55">
        <v>4.9895160700000003E-2</v>
      </c>
      <c r="G48" s="55">
        <v>0.10432624510000001</v>
      </c>
      <c r="H48" s="651">
        <v>0</v>
      </c>
      <c r="I48" s="55">
        <v>9.9790321400000007E-2</v>
      </c>
      <c r="J48" s="55">
        <v>0.27215542199999998</v>
      </c>
      <c r="K48" s="124">
        <v>0.27215542199999998</v>
      </c>
    </row>
    <row r="49" spans="1:11" x14ac:dyDescent="0.3">
      <c r="A49" s="91" t="s">
        <v>4179</v>
      </c>
      <c r="B49" s="121">
        <v>0.75</v>
      </c>
      <c r="C49" s="21">
        <v>100</v>
      </c>
      <c r="D49" s="635">
        <f>VLOOKUP(B49,'Thickness Tab'!$1:$1048576,MATCH(C49,'Thickness Tab'!$1:$1,0),0)</f>
        <v>0</v>
      </c>
      <c r="E49" s="636">
        <v>0</v>
      </c>
      <c r="F49" s="636">
        <v>0</v>
      </c>
      <c r="G49" s="636">
        <v>0</v>
      </c>
      <c r="H49" s="636">
        <v>0</v>
      </c>
      <c r="I49" s="636">
        <v>0</v>
      </c>
      <c r="J49" s="636">
        <v>0</v>
      </c>
      <c r="K49" s="637">
        <v>0</v>
      </c>
    </row>
    <row r="50" spans="1:11" x14ac:dyDescent="0.3">
      <c r="A50" s="91" t="s">
        <v>4180</v>
      </c>
      <c r="B50" s="121">
        <v>0.75</v>
      </c>
      <c r="C50" s="21">
        <v>120</v>
      </c>
      <c r="D50" s="635">
        <f>VLOOKUP(B50,'Thickness Tab'!$1:$1048576,MATCH(C50,'Thickness Tab'!$1:$1,0),0)</f>
        <v>0</v>
      </c>
      <c r="E50" s="636">
        <v>0</v>
      </c>
      <c r="F50" s="636">
        <v>0</v>
      </c>
      <c r="G50" s="636">
        <v>0</v>
      </c>
      <c r="H50" s="636">
        <v>0</v>
      </c>
      <c r="I50" s="636">
        <v>0</v>
      </c>
      <c r="J50" s="636">
        <v>0</v>
      </c>
      <c r="K50" s="637">
        <v>0</v>
      </c>
    </row>
    <row r="51" spans="1:11" x14ac:dyDescent="0.3">
      <c r="A51" s="91" t="s">
        <v>4181</v>
      </c>
      <c r="B51" s="121">
        <v>0.75</v>
      </c>
      <c r="C51" s="21">
        <v>140</v>
      </c>
      <c r="D51" s="635">
        <f>VLOOKUP(B51,'Thickness Tab'!$1:$1048576,MATCH(C51,'Thickness Tab'!$1:$1,0),0)</f>
        <v>0</v>
      </c>
      <c r="E51" s="636">
        <v>0</v>
      </c>
      <c r="F51" s="636">
        <v>0</v>
      </c>
      <c r="G51" s="636">
        <v>0</v>
      </c>
      <c r="H51" s="636">
        <v>0</v>
      </c>
      <c r="I51" s="636">
        <v>0</v>
      </c>
      <c r="J51" s="636">
        <v>0</v>
      </c>
      <c r="K51" s="637">
        <v>0</v>
      </c>
    </row>
    <row r="52" spans="1:11" x14ac:dyDescent="0.3">
      <c r="A52" s="91" t="s">
        <v>4182</v>
      </c>
      <c r="B52" s="121">
        <v>0.75</v>
      </c>
      <c r="C52" s="21">
        <v>160</v>
      </c>
      <c r="D52" s="21">
        <f>VLOOKUP(B52,'Thickness Tab'!$1:$1048576,MATCH(C52,'Thickness Tab'!$1:$1,0),0)</f>
        <v>5.56</v>
      </c>
      <c r="E52" s="651">
        <v>0</v>
      </c>
      <c r="F52" s="651">
        <v>0</v>
      </c>
      <c r="G52" s="651">
        <v>0</v>
      </c>
      <c r="H52" s="651">
        <v>0</v>
      </c>
      <c r="I52" s="55">
        <v>0.14514955840000002</v>
      </c>
      <c r="J52" s="55">
        <v>0.23133210870000001</v>
      </c>
      <c r="K52" s="124">
        <v>0.23133210870000001</v>
      </c>
    </row>
    <row r="53" spans="1:11" ht="15" thickBot="1" x14ac:dyDescent="0.35">
      <c r="A53" s="94" t="s">
        <v>4183</v>
      </c>
      <c r="B53" s="122">
        <v>0.75</v>
      </c>
      <c r="C53" s="23" t="s">
        <v>4144</v>
      </c>
      <c r="D53" s="23">
        <f>VLOOKUP(B53,'Thickness Tab'!$1:$1048576,MATCH(C53,'Thickness Tab'!$1:$1,0),0)</f>
        <v>7.82</v>
      </c>
      <c r="E53" s="653">
        <v>0</v>
      </c>
      <c r="F53" s="653">
        <v>0</v>
      </c>
      <c r="G53" s="56">
        <v>0.31751465899999998</v>
      </c>
      <c r="H53" s="653">
        <v>0</v>
      </c>
      <c r="I53" s="56">
        <v>0.18597287169999999</v>
      </c>
      <c r="J53" s="56">
        <v>0.28576319310000003</v>
      </c>
      <c r="K53" s="125">
        <v>0.28576319310000003</v>
      </c>
    </row>
    <row r="54" spans="1:11" x14ac:dyDescent="0.3">
      <c r="A54" s="123" t="s">
        <v>4184</v>
      </c>
      <c r="B54" s="629">
        <v>1</v>
      </c>
      <c r="C54" s="326">
        <v>10</v>
      </c>
      <c r="D54" s="326">
        <f>VLOOKUP(B54,'Thickness Tab'!$1:$1048576,MATCH(C54,'Thickness Tab'!$1:$1,0),0)</f>
        <v>2.77</v>
      </c>
      <c r="E54" s="649">
        <v>0</v>
      </c>
      <c r="F54" s="630">
        <v>6.3502931800000009E-2</v>
      </c>
      <c r="G54" s="630">
        <v>0.13154178729999999</v>
      </c>
      <c r="H54" s="649">
        <v>0</v>
      </c>
      <c r="I54" s="649">
        <v>0</v>
      </c>
      <c r="J54" s="630">
        <v>0.27215542199999998</v>
      </c>
      <c r="K54" s="631">
        <v>0.27215542199999998</v>
      </c>
    </row>
    <row r="55" spans="1:11" x14ac:dyDescent="0.3">
      <c r="A55" s="91" t="s">
        <v>4185</v>
      </c>
      <c r="B55" s="121">
        <v>1</v>
      </c>
      <c r="C55" s="21">
        <v>20</v>
      </c>
      <c r="D55" s="635">
        <f>VLOOKUP(B55,'Thickness Tab'!$1:$1048576,MATCH(C55,'Thickness Tab'!$1:$1,0),0)</f>
        <v>0</v>
      </c>
      <c r="E55" s="636">
        <v>0</v>
      </c>
      <c r="F55" s="636">
        <v>0</v>
      </c>
      <c r="G55" s="636">
        <v>0</v>
      </c>
      <c r="H55" s="636">
        <v>0</v>
      </c>
      <c r="I55" s="636">
        <v>0</v>
      </c>
      <c r="J55" s="636">
        <v>0</v>
      </c>
      <c r="K55" s="637">
        <v>0</v>
      </c>
    </row>
    <row r="56" spans="1:11" x14ac:dyDescent="0.3">
      <c r="A56" s="91" t="s">
        <v>4186</v>
      </c>
      <c r="B56" s="121">
        <v>1</v>
      </c>
      <c r="C56" s="21">
        <v>30</v>
      </c>
      <c r="D56" s="21">
        <f>VLOOKUP(B56,'Thickness Tab'!$1:$1048576,MATCH(C56,'Thickness Tab'!$1:$1,0),0)</f>
        <v>2.9</v>
      </c>
      <c r="E56" s="651">
        <v>0</v>
      </c>
      <c r="F56" s="651">
        <v>0</v>
      </c>
      <c r="G56" s="651">
        <v>0</v>
      </c>
      <c r="H56" s="651">
        <v>0</v>
      </c>
      <c r="I56" s="651">
        <v>0</v>
      </c>
      <c r="J56" s="651">
        <v>0</v>
      </c>
      <c r="K56" s="652">
        <v>0</v>
      </c>
    </row>
    <row r="57" spans="1:11" x14ac:dyDescent="0.3">
      <c r="A57" s="91" t="s">
        <v>4187</v>
      </c>
      <c r="B57" s="121">
        <v>1</v>
      </c>
      <c r="C57" s="21" t="s">
        <v>65</v>
      </c>
      <c r="D57" s="21">
        <f>VLOOKUP(B57,'Thickness Tab'!$1:$1048576,MATCH(C57,'Thickness Tab'!$1:$1,0),0)</f>
        <v>3.38</v>
      </c>
      <c r="E57" s="55">
        <v>9.9790321400000007E-2</v>
      </c>
      <c r="F57" s="55">
        <v>7.7110702900000008E-2</v>
      </c>
      <c r="G57" s="55">
        <v>0.15422140580000002</v>
      </c>
      <c r="H57" s="55">
        <v>0.10432624510000001</v>
      </c>
      <c r="I57" s="55">
        <v>0.12700586360000002</v>
      </c>
      <c r="J57" s="55">
        <v>0.28576319310000003</v>
      </c>
      <c r="K57" s="124">
        <v>0.28576319310000003</v>
      </c>
    </row>
    <row r="58" spans="1:11" x14ac:dyDescent="0.3">
      <c r="A58" s="91" t="s">
        <v>4188</v>
      </c>
      <c r="B58" s="121">
        <v>1</v>
      </c>
      <c r="C58" s="21">
        <v>40</v>
      </c>
      <c r="D58" s="21">
        <f>VLOOKUP(B58,'Thickness Tab'!$1:$1048576,MATCH(C58,'Thickness Tab'!$1:$1,0),0)</f>
        <v>3.38</v>
      </c>
      <c r="E58" s="55">
        <v>9.9790321400000007E-2</v>
      </c>
      <c r="F58" s="55">
        <v>7.7110702900000008E-2</v>
      </c>
      <c r="G58" s="55">
        <v>0.15422140580000002</v>
      </c>
      <c r="H58" s="55">
        <v>0.10432624510000001</v>
      </c>
      <c r="I58" s="55">
        <v>0.12700586360000002</v>
      </c>
      <c r="J58" s="55">
        <v>0.28576319310000003</v>
      </c>
      <c r="K58" s="124">
        <v>0.28576319310000003</v>
      </c>
    </row>
    <row r="59" spans="1:11" x14ac:dyDescent="0.3">
      <c r="A59" s="91" t="s">
        <v>4189</v>
      </c>
      <c r="B59" s="121">
        <v>1</v>
      </c>
      <c r="C59" s="21">
        <v>60</v>
      </c>
      <c r="D59" s="635">
        <f>VLOOKUP(B59,'Thickness Tab'!$1:$1048576,MATCH(C59,'Thickness Tab'!$1:$1,0),0)</f>
        <v>0</v>
      </c>
      <c r="E59" s="636">
        <v>0</v>
      </c>
      <c r="F59" s="636">
        <v>0</v>
      </c>
      <c r="G59" s="636">
        <v>0</v>
      </c>
      <c r="H59" s="636">
        <v>0</v>
      </c>
      <c r="I59" s="636">
        <v>0</v>
      </c>
      <c r="J59" s="636">
        <v>0</v>
      </c>
      <c r="K59" s="637">
        <v>0</v>
      </c>
    </row>
    <row r="60" spans="1:11" x14ac:dyDescent="0.3">
      <c r="A60" s="91" t="s">
        <v>4190</v>
      </c>
      <c r="B60" s="121">
        <v>1</v>
      </c>
      <c r="C60" s="21" t="s">
        <v>66</v>
      </c>
      <c r="D60" s="21">
        <f>VLOOKUP(B60,'Thickness Tab'!$1:$1048576,MATCH(C60,'Thickness Tab'!$1:$1,0),0)</f>
        <v>4.55</v>
      </c>
      <c r="E60" s="55">
        <v>0.12700586360000002</v>
      </c>
      <c r="F60" s="55">
        <v>9.9790321400000007E-2</v>
      </c>
      <c r="G60" s="55">
        <v>0.20411656650000001</v>
      </c>
      <c r="H60" s="651">
        <v>0</v>
      </c>
      <c r="I60" s="55">
        <v>0.16329325320000002</v>
      </c>
      <c r="J60" s="55">
        <v>0.35380204860000003</v>
      </c>
      <c r="K60" s="124">
        <v>0.35380204860000003</v>
      </c>
    </row>
    <row r="61" spans="1:11" x14ac:dyDescent="0.3">
      <c r="A61" s="91" t="s">
        <v>4191</v>
      </c>
      <c r="B61" s="121">
        <v>1</v>
      </c>
      <c r="C61" s="21">
        <v>80</v>
      </c>
      <c r="D61" s="21">
        <f>VLOOKUP(B61,'Thickness Tab'!$1:$1048576,MATCH(C61,'Thickness Tab'!$1:$1,0),0)</f>
        <v>4.55</v>
      </c>
      <c r="E61" s="55">
        <v>0.12700586360000002</v>
      </c>
      <c r="F61" s="55">
        <v>9.9790321400000007E-2</v>
      </c>
      <c r="G61" s="55">
        <v>0.20411656650000001</v>
      </c>
      <c r="H61" s="651">
        <v>0</v>
      </c>
      <c r="I61" s="55">
        <v>0.16329325320000002</v>
      </c>
      <c r="J61" s="55">
        <v>0.35380204860000003</v>
      </c>
      <c r="K61" s="124">
        <v>0.35380204860000003</v>
      </c>
    </row>
    <row r="62" spans="1:11" x14ac:dyDescent="0.3">
      <c r="A62" s="91" t="s">
        <v>4192</v>
      </c>
      <c r="B62" s="121">
        <v>1</v>
      </c>
      <c r="C62" s="21">
        <v>100</v>
      </c>
      <c r="D62" s="635">
        <f>VLOOKUP(B62,'Thickness Tab'!$1:$1048576,MATCH(C62,'Thickness Tab'!$1:$1,0),0)</f>
        <v>0</v>
      </c>
      <c r="E62" s="636">
        <v>0</v>
      </c>
      <c r="F62" s="636">
        <v>0</v>
      </c>
      <c r="G62" s="636">
        <v>0</v>
      </c>
      <c r="H62" s="636">
        <v>0</v>
      </c>
      <c r="I62" s="636">
        <v>0</v>
      </c>
      <c r="J62" s="636">
        <v>0</v>
      </c>
      <c r="K62" s="637">
        <v>0</v>
      </c>
    </row>
    <row r="63" spans="1:11" x14ac:dyDescent="0.3">
      <c r="A63" s="91" t="s">
        <v>4193</v>
      </c>
      <c r="B63" s="121">
        <v>1</v>
      </c>
      <c r="C63" s="21">
        <v>120</v>
      </c>
      <c r="D63" s="635">
        <f>VLOOKUP(B63,'Thickness Tab'!$1:$1048576,MATCH(C63,'Thickness Tab'!$1:$1,0),0)</f>
        <v>0</v>
      </c>
      <c r="E63" s="636">
        <v>0</v>
      </c>
      <c r="F63" s="636">
        <v>0</v>
      </c>
      <c r="G63" s="636">
        <v>0</v>
      </c>
      <c r="H63" s="636">
        <v>0</v>
      </c>
      <c r="I63" s="636">
        <v>0</v>
      </c>
      <c r="J63" s="636">
        <v>0</v>
      </c>
      <c r="K63" s="637">
        <v>0</v>
      </c>
    </row>
    <row r="64" spans="1:11" x14ac:dyDescent="0.3">
      <c r="A64" s="91" t="s">
        <v>4194</v>
      </c>
      <c r="B64" s="121">
        <v>1</v>
      </c>
      <c r="C64" s="21">
        <v>140</v>
      </c>
      <c r="D64" s="635">
        <f>VLOOKUP(B64,'Thickness Tab'!$1:$1048576,MATCH(C64,'Thickness Tab'!$1:$1,0),0)</f>
        <v>0</v>
      </c>
      <c r="E64" s="636">
        <v>0</v>
      </c>
      <c r="F64" s="636">
        <v>0</v>
      </c>
      <c r="G64" s="636">
        <v>0</v>
      </c>
      <c r="H64" s="636">
        <v>0</v>
      </c>
      <c r="I64" s="636">
        <v>0</v>
      </c>
      <c r="J64" s="636">
        <v>0</v>
      </c>
      <c r="K64" s="637">
        <v>0</v>
      </c>
    </row>
    <row r="65" spans="1:11" x14ac:dyDescent="0.3">
      <c r="A65" s="91" t="s">
        <v>4195</v>
      </c>
      <c r="B65" s="121">
        <v>1</v>
      </c>
      <c r="C65" s="21">
        <v>160</v>
      </c>
      <c r="D65" s="21">
        <f>VLOOKUP(B65,'Thickness Tab'!$1:$1048576,MATCH(C65,'Thickness Tab'!$1:$1,0),0)</f>
        <v>6.35</v>
      </c>
      <c r="E65" s="55">
        <v>0.15875732949999999</v>
      </c>
      <c r="F65" s="55">
        <v>0.13154178729999999</v>
      </c>
      <c r="G65" s="55">
        <v>0.26761949829999998</v>
      </c>
      <c r="H65" s="55">
        <v>0.15422140580000002</v>
      </c>
      <c r="I65" s="55">
        <v>0.21318841390000001</v>
      </c>
      <c r="J65" s="55">
        <v>0.45359237000000002</v>
      </c>
      <c r="K65" s="124">
        <v>0.45359237000000002</v>
      </c>
    </row>
    <row r="66" spans="1:11" ht="15" thickBot="1" x14ac:dyDescent="0.35">
      <c r="A66" s="94" t="s">
        <v>4196</v>
      </c>
      <c r="B66" s="122">
        <v>1</v>
      </c>
      <c r="C66" s="23" t="s">
        <v>4144</v>
      </c>
      <c r="D66" s="23">
        <f>VLOOKUP(B66,'Thickness Tab'!$1:$1048576,MATCH(C66,'Thickness Tab'!$1:$1,0),0)</f>
        <v>9.09</v>
      </c>
      <c r="E66" s="56">
        <v>0.20411656650000001</v>
      </c>
      <c r="F66" s="56">
        <v>0.17236510060000002</v>
      </c>
      <c r="G66" s="56">
        <v>0.34019427750000003</v>
      </c>
      <c r="H66" s="56">
        <v>0.21318841390000001</v>
      </c>
      <c r="I66" s="56">
        <v>0.27669134570000004</v>
      </c>
      <c r="J66" s="56">
        <v>0.58967008100000007</v>
      </c>
      <c r="K66" s="125">
        <v>0.58967008100000007</v>
      </c>
    </row>
    <row r="67" spans="1:11" x14ac:dyDescent="0.3">
      <c r="A67" s="123" t="s">
        <v>4197</v>
      </c>
      <c r="B67" s="629">
        <v>1.25</v>
      </c>
      <c r="C67" s="326">
        <v>10</v>
      </c>
      <c r="D67" s="326">
        <f>VLOOKUP(B67,'Thickness Tab'!$1:$1048576,MATCH(C67,'Thickness Tab'!$1:$1,0),0)</f>
        <v>2.77</v>
      </c>
      <c r="E67" s="649">
        <v>0</v>
      </c>
      <c r="F67" s="630">
        <v>0.10432624510000001</v>
      </c>
      <c r="G67" s="630">
        <v>0.21318841390000001</v>
      </c>
      <c r="H67" s="649">
        <v>0</v>
      </c>
      <c r="I67" s="649">
        <v>0</v>
      </c>
      <c r="J67" s="649">
        <v>0</v>
      </c>
      <c r="K67" s="650">
        <v>0</v>
      </c>
    </row>
    <row r="68" spans="1:11" x14ac:dyDescent="0.3">
      <c r="A68" s="91" t="s">
        <v>4198</v>
      </c>
      <c r="B68" s="121">
        <v>1.25</v>
      </c>
      <c r="C68" s="21">
        <v>20</v>
      </c>
      <c r="D68" s="635">
        <f>VLOOKUP(B68,'Thickness Tab'!$1:$1048576,MATCH(C68,'Thickness Tab'!$1:$1,0),0)</f>
        <v>0</v>
      </c>
      <c r="E68" s="636">
        <v>0</v>
      </c>
      <c r="F68" s="636">
        <v>0</v>
      </c>
      <c r="G68" s="636">
        <v>0</v>
      </c>
      <c r="H68" s="636">
        <v>0</v>
      </c>
      <c r="I68" s="636">
        <v>0</v>
      </c>
      <c r="J68" s="636">
        <v>0</v>
      </c>
      <c r="K68" s="637">
        <v>0</v>
      </c>
    </row>
    <row r="69" spans="1:11" x14ac:dyDescent="0.3">
      <c r="A69" s="91" t="s">
        <v>4199</v>
      </c>
      <c r="B69" s="121">
        <v>1.25</v>
      </c>
      <c r="C69" s="21">
        <v>30</v>
      </c>
      <c r="D69" s="21">
        <f>VLOOKUP(B69,'Thickness Tab'!$1:$1048576,MATCH(C69,'Thickness Tab'!$1:$1,0),0)</f>
        <v>2.97</v>
      </c>
      <c r="E69" s="651">
        <v>0</v>
      </c>
      <c r="F69" s="651">
        <v>0</v>
      </c>
      <c r="G69" s="651">
        <v>0</v>
      </c>
      <c r="H69" s="651">
        <v>0</v>
      </c>
      <c r="I69" s="651">
        <v>0</v>
      </c>
      <c r="J69" s="651">
        <v>0</v>
      </c>
      <c r="K69" s="652">
        <v>0</v>
      </c>
    </row>
    <row r="70" spans="1:11" x14ac:dyDescent="0.3">
      <c r="A70" s="91" t="s">
        <v>4200</v>
      </c>
      <c r="B70" s="121">
        <v>1.25</v>
      </c>
      <c r="C70" s="21" t="s">
        <v>65</v>
      </c>
      <c r="D70" s="21">
        <f>VLOOKUP(B70,'Thickness Tab'!$1:$1048576,MATCH(C70,'Thickness Tab'!$1:$1,0),0)</f>
        <v>3.56</v>
      </c>
      <c r="E70" s="55">
        <v>0.14061363470000002</v>
      </c>
      <c r="F70" s="55">
        <v>0.13154178729999999</v>
      </c>
      <c r="G70" s="55">
        <v>0.26308357459999998</v>
      </c>
      <c r="H70" s="55">
        <v>0.17690102430000001</v>
      </c>
      <c r="I70" s="55">
        <v>0.17236510060000002</v>
      </c>
      <c r="J70" s="651">
        <v>0</v>
      </c>
      <c r="K70" s="652">
        <v>0</v>
      </c>
    </row>
    <row r="71" spans="1:11" x14ac:dyDescent="0.3">
      <c r="A71" s="91" t="s">
        <v>4201</v>
      </c>
      <c r="B71" s="121">
        <v>1.25</v>
      </c>
      <c r="C71" s="21">
        <v>40</v>
      </c>
      <c r="D71" s="21">
        <f>VLOOKUP(B71,'Thickness Tab'!$1:$1048576,MATCH(C71,'Thickness Tab'!$1:$1,0),0)</f>
        <v>3.56</v>
      </c>
      <c r="E71" s="55">
        <v>0.14061363470000002</v>
      </c>
      <c r="F71" s="55">
        <v>0.13154178729999999</v>
      </c>
      <c r="G71" s="55">
        <v>0.26308357459999998</v>
      </c>
      <c r="H71" s="55">
        <v>0.17690102430000001</v>
      </c>
      <c r="I71" s="55">
        <v>0.17236510060000002</v>
      </c>
      <c r="J71" s="651">
        <v>0</v>
      </c>
      <c r="K71" s="652">
        <v>0</v>
      </c>
    </row>
    <row r="72" spans="1:11" x14ac:dyDescent="0.3">
      <c r="A72" s="91" t="s">
        <v>4202</v>
      </c>
      <c r="B72" s="121">
        <v>1.25</v>
      </c>
      <c r="C72" s="21">
        <v>60</v>
      </c>
      <c r="D72" s="635">
        <f>VLOOKUP(B72,'Thickness Tab'!$1:$1048576,MATCH(C72,'Thickness Tab'!$1:$1,0),0)</f>
        <v>0</v>
      </c>
      <c r="E72" s="636">
        <v>0</v>
      </c>
      <c r="F72" s="636">
        <v>0</v>
      </c>
      <c r="G72" s="636">
        <v>0</v>
      </c>
      <c r="H72" s="636">
        <v>0</v>
      </c>
      <c r="I72" s="636">
        <v>0</v>
      </c>
      <c r="J72" s="636">
        <v>0</v>
      </c>
      <c r="K72" s="637">
        <v>0</v>
      </c>
    </row>
    <row r="73" spans="1:11" x14ac:dyDescent="0.3">
      <c r="A73" s="91" t="s">
        <v>4203</v>
      </c>
      <c r="B73" s="121">
        <v>1.25</v>
      </c>
      <c r="C73" s="21" t="s">
        <v>66</v>
      </c>
      <c r="D73" s="21">
        <f>VLOOKUP(B73,'Thickness Tab'!$1:$1048576,MATCH(C73,'Thickness Tab'!$1:$1,0),0)</f>
        <v>4.8499999999999996</v>
      </c>
      <c r="E73" s="55">
        <v>0.18143694800000001</v>
      </c>
      <c r="F73" s="55">
        <v>0.17690102430000001</v>
      </c>
      <c r="G73" s="55">
        <v>0.34926612490000003</v>
      </c>
      <c r="H73" s="651">
        <v>0</v>
      </c>
      <c r="I73" s="55">
        <v>0.22679618500000001</v>
      </c>
      <c r="J73" s="651">
        <v>0</v>
      </c>
      <c r="K73" s="652">
        <v>0</v>
      </c>
    </row>
    <row r="74" spans="1:11" x14ac:dyDescent="0.3">
      <c r="A74" s="91" t="s">
        <v>4204</v>
      </c>
      <c r="B74" s="121">
        <v>1.25</v>
      </c>
      <c r="C74" s="21">
        <v>80</v>
      </c>
      <c r="D74" s="21">
        <f>VLOOKUP(B74,'Thickness Tab'!$1:$1048576,MATCH(C74,'Thickness Tab'!$1:$1,0),0)</f>
        <v>4.8499999999999996</v>
      </c>
      <c r="E74" s="55">
        <v>0.18143694800000001</v>
      </c>
      <c r="F74" s="55">
        <v>0.17690102430000001</v>
      </c>
      <c r="G74" s="55">
        <v>0.34926612490000003</v>
      </c>
      <c r="H74" s="651">
        <v>0</v>
      </c>
      <c r="I74" s="55">
        <v>0.22679618500000001</v>
      </c>
      <c r="J74" s="651">
        <v>0</v>
      </c>
      <c r="K74" s="652">
        <v>0</v>
      </c>
    </row>
    <row r="75" spans="1:11" x14ac:dyDescent="0.3">
      <c r="A75" s="91" t="s">
        <v>4205</v>
      </c>
      <c r="B75" s="121">
        <v>1.25</v>
      </c>
      <c r="C75" s="21">
        <v>100</v>
      </c>
      <c r="D75" s="635">
        <f>VLOOKUP(B75,'Thickness Tab'!$1:$1048576,MATCH(C75,'Thickness Tab'!$1:$1,0),0)</f>
        <v>0</v>
      </c>
      <c r="E75" s="636">
        <v>0</v>
      </c>
      <c r="F75" s="636">
        <v>0</v>
      </c>
      <c r="G75" s="636">
        <v>0</v>
      </c>
      <c r="H75" s="636">
        <v>0</v>
      </c>
      <c r="I75" s="636">
        <v>0</v>
      </c>
      <c r="J75" s="636">
        <v>0</v>
      </c>
      <c r="K75" s="637">
        <v>0</v>
      </c>
    </row>
    <row r="76" spans="1:11" x14ac:dyDescent="0.3">
      <c r="A76" s="91" t="s">
        <v>4206</v>
      </c>
      <c r="B76" s="121">
        <v>1.25</v>
      </c>
      <c r="C76" s="21">
        <v>120</v>
      </c>
      <c r="D76" s="635">
        <f>VLOOKUP(B76,'Thickness Tab'!$1:$1048576,MATCH(C76,'Thickness Tab'!$1:$1,0),0)</f>
        <v>0</v>
      </c>
      <c r="E76" s="636">
        <v>0</v>
      </c>
      <c r="F76" s="636">
        <v>0</v>
      </c>
      <c r="G76" s="636">
        <v>0</v>
      </c>
      <c r="H76" s="636">
        <v>0</v>
      </c>
      <c r="I76" s="636">
        <v>0</v>
      </c>
      <c r="J76" s="636">
        <v>0</v>
      </c>
      <c r="K76" s="637">
        <v>0</v>
      </c>
    </row>
    <row r="77" spans="1:11" x14ac:dyDescent="0.3">
      <c r="A77" s="91" t="s">
        <v>4207</v>
      </c>
      <c r="B77" s="121">
        <v>1.25</v>
      </c>
      <c r="C77" s="21">
        <v>140</v>
      </c>
      <c r="D77" s="635">
        <f>VLOOKUP(B77,'Thickness Tab'!$1:$1048576,MATCH(C77,'Thickness Tab'!$1:$1,0),0)</f>
        <v>0</v>
      </c>
      <c r="E77" s="636">
        <v>0</v>
      </c>
      <c r="F77" s="636">
        <v>0</v>
      </c>
      <c r="G77" s="636">
        <v>0</v>
      </c>
      <c r="H77" s="636">
        <v>0</v>
      </c>
      <c r="I77" s="636">
        <v>0</v>
      </c>
      <c r="J77" s="636">
        <v>0</v>
      </c>
      <c r="K77" s="637">
        <v>0</v>
      </c>
    </row>
    <row r="78" spans="1:11" x14ac:dyDescent="0.3">
      <c r="A78" s="91" t="s">
        <v>4208</v>
      </c>
      <c r="B78" s="121">
        <v>1.25</v>
      </c>
      <c r="C78" s="21">
        <v>160</v>
      </c>
      <c r="D78" s="21">
        <f>VLOOKUP(B78,'Thickness Tab'!$1:$1048576,MATCH(C78,'Thickness Tab'!$1:$1,0),0)</f>
        <v>6.35</v>
      </c>
      <c r="E78" s="55">
        <v>0.22226026130000001</v>
      </c>
      <c r="F78" s="55">
        <v>0.22226026130000001</v>
      </c>
      <c r="G78" s="55">
        <v>0.43998459890000002</v>
      </c>
      <c r="H78" s="55">
        <v>0.31297873529999998</v>
      </c>
      <c r="I78" s="55">
        <v>0.28576319310000003</v>
      </c>
      <c r="J78" s="651">
        <v>0</v>
      </c>
      <c r="K78" s="652">
        <v>0</v>
      </c>
    </row>
    <row r="79" spans="1:11" ht="15" thickBot="1" x14ac:dyDescent="0.35">
      <c r="A79" s="94" t="s">
        <v>4209</v>
      </c>
      <c r="B79" s="122">
        <v>1.25</v>
      </c>
      <c r="C79" s="23" t="s">
        <v>4144</v>
      </c>
      <c r="D79" s="23">
        <f>VLOOKUP(B79,'Thickness Tab'!$1:$1048576,MATCH(C79,'Thickness Tab'!$1:$1,0),0)</f>
        <v>9.6999999999999993</v>
      </c>
      <c r="E79" s="56">
        <v>0.29029911680000003</v>
      </c>
      <c r="F79" s="56">
        <v>0.30390688790000003</v>
      </c>
      <c r="G79" s="56">
        <v>0.58967008100000007</v>
      </c>
      <c r="H79" s="56">
        <v>0.41276905670000003</v>
      </c>
      <c r="I79" s="56">
        <v>0.39462536190000003</v>
      </c>
      <c r="J79" s="653">
        <v>0</v>
      </c>
      <c r="K79" s="654">
        <v>0</v>
      </c>
    </row>
    <row r="80" spans="1:11" x14ac:dyDescent="0.3">
      <c r="A80" s="123" t="s">
        <v>4210</v>
      </c>
      <c r="B80" s="629">
        <v>1.5</v>
      </c>
      <c r="C80" s="326">
        <v>10</v>
      </c>
      <c r="D80" s="326">
        <f>VLOOKUP(B80,'Thickness Tab'!$1:$1048576,MATCH(C80,'Thickness Tab'!$1:$1,0),0)</f>
        <v>2.77</v>
      </c>
      <c r="E80" s="649">
        <v>0</v>
      </c>
      <c r="F80" s="630">
        <v>0.14514955840000002</v>
      </c>
      <c r="G80" s="630">
        <v>0.29029911680000003</v>
      </c>
      <c r="H80" s="649">
        <v>0</v>
      </c>
      <c r="I80" s="649">
        <v>0</v>
      </c>
      <c r="J80" s="630">
        <v>0.63502931799999995</v>
      </c>
      <c r="K80" s="631">
        <v>0.63502931799999995</v>
      </c>
    </row>
    <row r="81" spans="1:11" x14ac:dyDescent="0.3">
      <c r="A81" s="91" t="s">
        <v>4211</v>
      </c>
      <c r="B81" s="121">
        <v>1.5</v>
      </c>
      <c r="C81" s="21">
        <v>20</v>
      </c>
      <c r="D81" s="635">
        <f>VLOOKUP(B81,'Thickness Tab'!$1:$1048576,MATCH(C81,'Thickness Tab'!$1:$1,0),0)</f>
        <v>0</v>
      </c>
      <c r="E81" s="636">
        <v>0</v>
      </c>
      <c r="F81" s="636">
        <v>0</v>
      </c>
      <c r="G81" s="636">
        <v>0</v>
      </c>
      <c r="H81" s="636">
        <v>0</v>
      </c>
      <c r="I81" s="636">
        <v>0</v>
      </c>
      <c r="J81" s="636">
        <v>0</v>
      </c>
      <c r="K81" s="637">
        <v>0</v>
      </c>
    </row>
    <row r="82" spans="1:11" x14ac:dyDescent="0.3">
      <c r="A82" s="91" t="s">
        <v>4212</v>
      </c>
      <c r="B82" s="121">
        <v>1.5</v>
      </c>
      <c r="C82" s="21">
        <v>30</v>
      </c>
      <c r="D82" s="21">
        <f>VLOOKUP(B82,'Thickness Tab'!$1:$1048576,MATCH(C82,'Thickness Tab'!$1:$1,0),0)</f>
        <v>3.18</v>
      </c>
      <c r="E82" s="651">
        <v>0</v>
      </c>
      <c r="F82" s="651">
        <v>0</v>
      </c>
      <c r="G82" s="651">
        <v>0</v>
      </c>
      <c r="H82" s="651">
        <v>0</v>
      </c>
      <c r="I82" s="651">
        <v>0</v>
      </c>
      <c r="J82" s="651">
        <v>0</v>
      </c>
      <c r="K82" s="652">
        <v>0</v>
      </c>
    </row>
    <row r="83" spans="1:11" x14ac:dyDescent="0.3">
      <c r="A83" s="91" t="s">
        <v>4213</v>
      </c>
      <c r="B83" s="121">
        <v>1.5</v>
      </c>
      <c r="C83" s="21" t="s">
        <v>65</v>
      </c>
      <c r="D83" s="21">
        <f>VLOOKUP(B83,'Thickness Tab'!$1:$1048576,MATCH(C83,'Thickness Tab'!$1:$1,0),0)</f>
        <v>3.68</v>
      </c>
      <c r="E83" s="55">
        <v>0.16782917690000002</v>
      </c>
      <c r="F83" s="55">
        <v>0.19050879540000001</v>
      </c>
      <c r="G83" s="55">
        <v>0.38101759080000003</v>
      </c>
      <c r="H83" s="55">
        <v>0.25401172720000004</v>
      </c>
      <c r="I83" s="55">
        <v>0.25854765089999998</v>
      </c>
      <c r="J83" s="55">
        <v>0.77110702900000005</v>
      </c>
      <c r="K83" s="124">
        <v>0.77110702900000005</v>
      </c>
    </row>
    <row r="84" spans="1:11" x14ac:dyDescent="0.3">
      <c r="A84" s="91" t="s">
        <v>4214</v>
      </c>
      <c r="B84" s="121">
        <v>1.5</v>
      </c>
      <c r="C84" s="21">
        <v>40</v>
      </c>
      <c r="D84" s="21">
        <f>VLOOKUP(B84,'Thickness Tab'!$1:$1048576,MATCH(C84,'Thickness Tab'!$1:$1,0),0)</f>
        <v>3.68</v>
      </c>
      <c r="E84" s="55">
        <v>0.16782917690000002</v>
      </c>
      <c r="F84" s="55">
        <v>0.19050879540000001</v>
      </c>
      <c r="G84" s="55">
        <v>0.38101759080000003</v>
      </c>
      <c r="H84" s="55">
        <v>0.25401172720000004</v>
      </c>
      <c r="I84" s="55">
        <v>0.25854765089999998</v>
      </c>
      <c r="J84" s="55">
        <v>0.77110702900000005</v>
      </c>
      <c r="K84" s="124">
        <v>0.77110702900000005</v>
      </c>
    </row>
    <row r="85" spans="1:11" x14ac:dyDescent="0.3">
      <c r="A85" s="91" t="s">
        <v>4215</v>
      </c>
      <c r="B85" s="121">
        <v>1.5</v>
      </c>
      <c r="C85" s="21">
        <v>60</v>
      </c>
      <c r="D85" s="635">
        <f>VLOOKUP(B85,'Thickness Tab'!$1:$1048576,MATCH(C85,'Thickness Tab'!$1:$1,0),0)</f>
        <v>0</v>
      </c>
      <c r="E85" s="636">
        <v>0</v>
      </c>
      <c r="F85" s="636">
        <v>0</v>
      </c>
      <c r="G85" s="636">
        <v>0</v>
      </c>
      <c r="H85" s="636">
        <v>0</v>
      </c>
      <c r="I85" s="636">
        <v>0</v>
      </c>
      <c r="J85" s="636">
        <v>0</v>
      </c>
      <c r="K85" s="637">
        <v>0</v>
      </c>
    </row>
    <row r="86" spans="1:11" x14ac:dyDescent="0.3">
      <c r="A86" s="91" t="s">
        <v>4216</v>
      </c>
      <c r="B86" s="121">
        <v>1.5</v>
      </c>
      <c r="C86" s="21" t="s">
        <v>66</v>
      </c>
      <c r="D86" s="21">
        <f>VLOOKUP(B86,'Thickness Tab'!$1:$1048576,MATCH(C86,'Thickness Tab'!$1:$1,0),0)</f>
        <v>5.08</v>
      </c>
      <c r="E86" s="55">
        <v>0.22226026130000001</v>
      </c>
      <c r="F86" s="55">
        <v>0.25401172720000004</v>
      </c>
      <c r="G86" s="55">
        <v>0.49895160700000007</v>
      </c>
      <c r="H86" s="55">
        <v>0.34019427750000003</v>
      </c>
      <c r="I86" s="55">
        <v>0.34473020120000003</v>
      </c>
      <c r="J86" s="55">
        <v>0.95254397700000004</v>
      </c>
      <c r="K86" s="124">
        <v>0.95254397700000004</v>
      </c>
    </row>
    <row r="87" spans="1:11" x14ac:dyDescent="0.3">
      <c r="A87" s="91" t="s">
        <v>4217</v>
      </c>
      <c r="B87" s="121">
        <v>1.5</v>
      </c>
      <c r="C87" s="21">
        <v>80</v>
      </c>
      <c r="D87" s="21">
        <f>VLOOKUP(B87,'Thickness Tab'!$1:$1048576,MATCH(C87,'Thickness Tab'!$1:$1,0),0)</f>
        <v>5.08</v>
      </c>
      <c r="E87" s="55">
        <v>0.22226026130000001</v>
      </c>
      <c r="F87" s="55">
        <v>0.25401172720000004</v>
      </c>
      <c r="G87" s="55">
        <v>0.49895160700000007</v>
      </c>
      <c r="H87" s="55">
        <v>0.34019427750000003</v>
      </c>
      <c r="I87" s="55">
        <v>0.34473020120000003</v>
      </c>
      <c r="J87" s="55">
        <v>0.95254397700000004</v>
      </c>
      <c r="K87" s="124">
        <v>0.95254397700000004</v>
      </c>
    </row>
    <row r="88" spans="1:11" x14ac:dyDescent="0.3">
      <c r="A88" s="91" t="s">
        <v>4218</v>
      </c>
      <c r="B88" s="121">
        <v>1.5</v>
      </c>
      <c r="C88" s="21">
        <v>100</v>
      </c>
      <c r="D88" s="635">
        <f>VLOOKUP(B88,'Thickness Tab'!$1:$1048576,MATCH(C88,'Thickness Tab'!$1:$1,0),0)</f>
        <v>0</v>
      </c>
      <c r="E88" s="636">
        <v>0</v>
      </c>
      <c r="F88" s="636">
        <v>0</v>
      </c>
      <c r="G88" s="636">
        <v>0</v>
      </c>
      <c r="H88" s="636">
        <v>0</v>
      </c>
      <c r="I88" s="636">
        <v>0</v>
      </c>
      <c r="J88" s="636">
        <v>0</v>
      </c>
      <c r="K88" s="637">
        <v>0</v>
      </c>
    </row>
    <row r="89" spans="1:11" x14ac:dyDescent="0.3">
      <c r="A89" s="91" t="s">
        <v>4219</v>
      </c>
      <c r="B89" s="121">
        <v>1.5</v>
      </c>
      <c r="C89" s="21">
        <v>120</v>
      </c>
      <c r="D89" s="635">
        <f>VLOOKUP(B89,'Thickness Tab'!$1:$1048576,MATCH(C89,'Thickness Tab'!$1:$1,0),0)</f>
        <v>0</v>
      </c>
      <c r="E89" s="636">
        <v>0</v>
      </c>
      <c r="F89" s="636">
        <v>0</v>
      </c>
      <c r="G89" s="636">
        <v>0</v>
      </c>
      <c r="H89" s="636">
        <v>0</v>
      </c>
      <c r="I89" s="636">
        <v>0</v>
      </c>
      <c r="J89" s="636">
        <v>0</v>
      </c>
      <c r="K89" s="637">
        <v>0</v>
      </c>
    </row>
    <row r="90" spans="1:11" x14ac:dyDescent="0.3">
      <c r="A90" s="91" t="s">
        <v>4220</v>
      </c>
      <c r="B90" s="121">
        <v>1.5</v>
      </c>
      <c r="C90" s="21">
        <v>140</v>
      </c>
      <c r="D90" s="635">
        <f>VLOOKUP(B90,'Thickness Tab'!$1:$1048576,MATCH(C90,'Thickness Tab'!$1:$1,0),0)</f>
        <v>0</v>
      </c>
      <c r="E90" s="636">
        <v>0</v>
      </c>
      <c r="F90" s="636">
        <v>0</v>
      </c>
      <c r="G90" s="636">
        <v>0</v>
      </c>
      <c r="H90" s="636">
        <v>0</v>
      </c>
      <c r="I90" s="636">
        <v>0</v>
      </c>
      <c r="J90" s="636">
        <v>0</v>
      </c>
      <c r="K90" s="637">
        <v>0</v>
      </c>
    </row>
    <row r="91" spans="1:11" x14ac:dyDescent="0.3">
      <c r="A91" s="91" t="s">
        <v>4221</v>
      </c>
      <c r="B91" s="121">
        <v>1.5</v>
      </c>
      <c r="C91" s="21">
        <v>160</v>
      </c>
      <c r="D91" s="21">
        <f>VLOOKUP(B91,'Thickness Tab'!$1:$1048576,MATCH(C91,'Thickness Tab'!$1:$1,0),0)</f>
        <v>7.14</v>
      </c>
      <c r="E91" s="55">
        <v>0.28576319310000003</v>
      </c>
      <c r="F91" s="55">
        <v>0.34019427750000003</v>
      </c>
      <c r="G91" s="55">
        <v>0.68038855500000006</v>
      </c>
      <c r="H91" s="55">
        <v>0.44452052260000002</v>
      </c>
      <c r="I91" s="55">
        <v>0.45359237000000002</v>
      </c>
      <c r="J91" s="55">
        <v>1.2246993990000001</v>
      </c>
      <c r="K91" s="124">
        <v>1.2246993990000001</v>
      </c>
    </row>
    <row r="92" spans="1:11" ht="15" thickBot="1" x14ac:dyDescent="0.35">
      <c r="A92" s="94" t="s">
        <v>4222</v>
      </c>
      <c r="B92" s="122">
        <v>1.5</v>
      </c>
      <c r="C92" s="23" t="s">
        <v>4144</v>
      </c>
      <c r="D92" s="23">
        <f>VLOOKUP(B92,'Thickness Tab'!$1:$1048576,MATCH(C92,'Thickness Tab'!$1:$1,0),0)</f>
        <v>10.16</v>
      </c>
      <c r="E92" s="56">
        <v>0.36287389600000003</v>
      </c>
      <c r="F92" s="56">
        <v>0.44905644630000002</v>
      </c>
      <c r="G92" s="56">
        <v>0.90718474000000004</v>
      </c>
      <c r="H92" s="56">
        <v>0.63502931799999995</v>
      </c>
      <c r="I92" s="56">
        <v>0.58967008100000007</v>
      </c>
      <c r="J92" s="56">
        <v>1.5422140580000001</v>
      </c>
      <c r="K92" s="125">
        <v>1.5422140580000001</v>
      </c>
    </row>
    <row r="93" spans="1:11" x14ac:dyDescent="0.3">
      <c r="A93" s="123" t="s">
        <v>4223</v>
      </c>
      <c r="B93" s="629">
        <v>2</v>
      </c>
      <c r="C93" s="326">
        <v>10</v>
      </c>
      <c r="D93" s="326">
        <f>VLOOKUP(B93,'Thickness Tab'!$1:$1048576,MATCH(C93,'Thickness Tab'!$1:$1,0),0)</f>
        <v>2.77</v>
      </c>
      <c r="E93" s="649">
        <v>0</v>
      </c>
      <c r="F93" s="630">
        <v>0.24493987980000004</v>
      </c>
      <c r="G93" s="630">
        <v>0.49895160700000007</v>
      </c>
      <c r="H93" s="649">
        <v>0</v>
      </c>
      <c r="I93" s="649">
        <v>0</v>
      </c>
      <c r="J93" s="630">
        <v>1.6782917690000001</v>
      </c>
      <c r="K93" s="631">
        <v>1.6782917690000001</v>
      </c>
    </row>
    <row r="94" spans="1:11" x14ac:dyDescent="0.3">
      <c r="A94" s="91" t="s">
        <v>4224</v>
      </c>
      <c r="B94" s="121">
        <v>2</v>
      </c>
      <c r="C94" s="21">
        <v>20</v>
      </c>
      <c r="D94" s="635">
        <f>VLOOKUP(B94,'Thickness Tab'!$1:$1048576,MATCH(C94,'Thickness Tab'!$1:$1,0),0)</f>
        <v>0</v>
      </c>
      <c r="E94" s="636">
        <v>0</v>
      </c>
      <c r="F94" s="636">
        <v>0</v>
      </c>
      <c r="G94" s="636">
        <v>0</v>
      </c>
      <c r="H94" s="636">
        <v>0</v>
      </c>
      <c r="I94" s="636">
        <v>0</v>
      </c>
      <c r="J94" s="636">
        <v>0</v>
      </c>
      <c r="K94" s="637">
        <v>0</v>
      </c>
    </row>
    <row r="95" spans="1:11" x14ac:dyDescent="0.3">
      <c r="A95" s="91" t="s">
        <v>4225</v>
      </c>
      <c r="B95" s="121">
        <v>2</v>
      </c>
      <c r="C95" s="21">
        <v>30</v>
      </c>
      <c r="D95" s="21">
        <f>VLOOKUP(B95,'Thickness Tab'!$1:$1048576,MATCH(C95,'Thickness Tab'!$1:$1,0),0)</f>
        <v>3.18</v>
      </c>
      <c r="E95" s="651">
        <v>0</v>
      </c>
      <c r="F95" s="651">
        <v>0</v>
      </c>
      <c r="G95" s="651">
        <v>0</v>
      </c>
      <c r="H95" s="651">
        <v>0</v>
      </c>
      <c r="I95" s="651">
        <v>0</v>
      </c>
      <c r="J95" s="651">
        <v>0</v>
      </c>
      <c r="K95" s="652">
        <v>0</v>
      </c>
    </row>
    <row r="96" spans="1:11" x14ac:dyDescent="0.3">
      <c r="A96" s="91" t="s">
        <v>4226</v>
      </c>
      <c r="B96" s="121">
        <v>2</v>
      </c>
      <c r="C96" s="21" t="s">
        <v>65</v>
      </c>
      <c r="D96" s="21">
        <f>VLOOKUP(B96,'Thickness Tab'!$1:$1048576,MATCH(C96,'Thickness Tab'!$1:$1,0),0)</f>
        <v>3.91</v>
      </c>
      <c r="E96" s="55">
        <v>0.23133210870000001</v>
      </c>
      <c r="F96" s="55">
        <v>0.34019427750000003</v>
      </c>
      <c r="G96" s="55">
        <v>0.68038855500000006</v>
      </c>
      <c r="H96" s="55">
        <v>0.45359237000000002</v>
      </c>
      <c r="I96" s="55">
        <v>0.40823313300000003</v>
      </c>
      <c r="J96" s="55">
        <v>1.9050879540000001</v>
      </c>
      <c r="K96" s="124">
        <v>1.9050879540000001</v>
      </c>
    </row>
    <row r="97" spans="1:11" x14ac:dyDescent="0.3">
      <c r="A97" s="91" t="s">
        <v>4227</v>
      </c>
      <c r="B97" s="121">
        <v>2</v>
      </c>
      <c r="C97" s="21">
        <v>40</v>
      </c>
      <c r="D97" s="21">
        <f>VLOOKUP(B97,'Thickness Tab'!$1:$1048576,MATCH(C97,'Thickness Tab'!$1:$1,0),0)</f>
        <v>3.91</v>
      </c>
      <c r="E97" s="55">
        <v>0.23133210870000001</v>
      </c>
      <c r="F97" s="55">
        <v>0.34019427750000003</v>
      </c>
      <c r="G97" s="55">
        <v>0.68038855500000006</v>
      </c>
      <c r="H97" s="55">
        <v>0.45359237000000002</v>
      </c>
      <c r="I97" s="55">
        <v>0.40823313300000003</v>
      </c>
      <c r="J97" s="55">
        <v>1.9050879540000001</v>
      </c>
      <c r="K97" s="124">
        <v>1.9050879540000001</v>
      </c>
    </row>
    <row r="98" spans="1:11" x14ac:dyDescent="0.3">
      <c r="A98" s="91" t="s">
        <v>4228</v>
      </c>
      <c r="B98" s="121">
        <v>2</v>
      </c>
      <c r="C98" s="21">
        <v>60</v>
      </c>
      <c r="D98" s="635">
        <f>VLOOKUP(B98,'Thickness Tab'!$1:$1048576,MATCH(C98,'Thickness Tab'!$1:$1,0),0)</f>
        <v>0</v>
      </c>
      <c r="E98" s="636">
        <v>0</v>
      </c>
      <c r="F98" s="636">
        <v>0</v>
      </c>
      <c r="G98" s="636">
        <v>0</v>
      </c>
      <c r="H98" s="636">
        <v>0</v>
      </c>
      <c r="I98" s="636">
        <v>0</v>
      </c>
      <c r="J98" s="636">
        <v>0</v>
      </c>
      <c r="K98" s="637">
        <v>0</v>
      </c>
    </row>
    <row r="99" spans="1:11" x14ac:dyDescent="0.3">
      <c r="A99" s="91" t="s">
        <v>4229</v>
      </c>
      <c r="B99" s="121">
        <v>2</v>
      </c>
      <c r="C99" s="21" t="s">
        <v>66</v>
      </c>
      <c r="D99" s="21">
        <f>VLOOKUP(B99,'Thickness Tab'!$1:$1048576,MATCH(C99,'Thickness Tab'!$1:$1,0),0)</f>
        <v>5.54</v>
      </c>
      <c r="E99" s="55">
        <v>0.31297873529999998</v>
      </c>
      <c r="F99" s="55">
        <v>0.45359237000000002</v>
      </c>
      <c r="G99" s="55">
        <v>0.95254397700000004</v>
      </c>
      <c r="H99" s="55">
        <v>0.63502931799999995</v>
      </c>
      <c r="I99" s="55">
        <v>0.54431084399999996</v>
      </c>
      <c r="J99" s="55">
        <v>1.8597287169999999</v>
      </c>
      <c r="K99" s="124">
        <v>1.8597287169999999</v>
      </c>
    </row>
    <row r="100" spans="1:11" x14ac:dyDescent="0.3">
      <c r="A100" s="91" t="s">
        <v>4230</v>
      </c>
      <c r="B100" s="121">
        <v>2</v>
      </c>
      <c r="C100" s="21">
        <v>80</v>
      </c>
      <c r="D100" s="21">
        <f>VLOOKUP(B100,'Thickness Tab'!$1:$1048576,MATCH(C100,'Thickness Tab'!$1:$1,0),0)</f>
        <v>5.54</v>
      </c>
      <c r="E100" s="55">
        <v>0.31297873529999998</v>
      </c>
      <c r="F100" s="55">
        <v>0.45359237000000002</v>
      </c>
      <c r="G100" s="55">
        <v>0.95254397700000004</v>
      </c>
      <c r="H100" s="55">
        <v>0.63502931799999995</v>
      </c>
      <c r="I100" s="55">
        <v>0.54431084399999996</v>
      </c>
      <c r="J100" s="55">
        <v>1.8597287169999999</v>
      </c>
      <c r="K100" s="124">
        <v>1.8597287169999999</v>
      </c>
    </row>
    <row r="101" spans="1:11" x14ac:dyDescent="0.3">
      <c r="A101" s="91" t="s">
        <v>4231</v>
      </c>
      <c r="B101" s="121">
        <v>2</v>
      </c>
      <c r="C101" s="21">
        <v>100</v>
      </c>
      <c r="D101" s="635">
        <f>VLOOKUP(B101,'Thickness Tab'!$1:$1048576,MATCH(C101,'Thickness Tab'!$1:$1,0),0)</f>
        <v>0</v>
      </c>
      <c r="E101" s="636">
        <v>0</v>
      </c>
      <c r="F101" s="636">
        <v>0</v>
      </c>
      <c r="G101" s="636">
        <v>0</v>
      </c>
      <c r="H101" s="636">
        <v>0</v>
      </c>
      <c r="I101" s="636">
        <v>0</v>
      </c>
      <c r="J101" s="636">
        <v>0</v>
      </c>
      <c r="K101" s="637">
        <v>0</v>
      </c>
    </row>
    <row r="102" spans="1:11" x14ac:dyDescent="0.3">
      <c r="A102" s="91" t="s">
        <v>4232</v>
      </c>
      <c r="B102" s="121">
        <v>2</v>
      </c>
      <c r="C102" s="21">
        <v>120</v>
      </c>
      <c r="D102" s="635">
        <f>VLOOKUP(B102,'Thickness Tab'!$1:$1048576,MATCH(C102,'Thickness Tab'!$1:$1,0),0)</f>
        <v>0</v>
      </c>
      <c r="E102" s="636">
        <v>0</v>
      </c>
      <c r="F102" s="636">
        <v>0</v>
      </c>
      <c r="G102" s="636">
        <v>0</v>
      </c>
      <c r="H102" s="636">
        <v>0</v>
      </c>
      <c r="I102" s="636">
        <v>0</v>
      </c>
      <c r="J102" s="636">
        <v>0</v>
      </c>
      <c r="K102" s="637">
        <v>0</v>
      </c>
    </row>
    <row r="103" spans="1:11" x14ac:dyDescent="0.3">
      <c r="A103" s="91" t="s">
        <v>4233</v>
      </c>
      <c r="B103" s="121">
        <v>2</v>
      </c>
      <c r="C103" s="21">
        <v>140</v>
      </c>
      <c r="D103" s="635">
        <f>VLOOKUP(B103,'Thickness Tab'!$1:$1048576,MATCH(C103,'Thickness Tab'!$1:$1,0),0)</f>
        <v>0</v>
      </c>
      <c r="E103" s="636">
        <v>0</v>
      </c>
      <c r="F103" s="636">
        <v>0</v>
      </c>
      <c r="G103" s="636">
        <v>0</v>
      </c>
      <c r="H103" s="636">
        <v>0</v>
      </c>
      <c r="I103" s="636">
        <v>0</v>
      </c>
      <c r="J103" s="636">
        <v>0</v>
      </c>
      <c r="K103" s="637">
        <v>0</v>
      </c>
    </row>
    <row r="104" spans="1:11" x14ac:dyDescent="0.3">
      <c r="A104" s="91" t="s">
        <v>4234</v>
      </c>
      <c r="B104" s="121">
        <v>2</v>
      </c>
      <c r="C104" s="21">
        <v>160</v>
      </c>
      <c r="D104" s="21">
        <f>VLOOKUP(B104,'Thickness Tab'!$1:$1048576,MATCH(C104,'Thickness Tab'!$1:$1,0),0)</f>
        <v>8.74</v>
      </c>
      <c r="E104" s="55">
        <v>0.49895160700000007</v>
      </c>
      <c r="F104" s="55">
        <v>0.68038855500000006</v>
      </c>
      <c r="G104" s="55">
        <v>1.3607771100000001</v>
      </c>
      <c r="H104" s="55">
        <v>0.86182550300000005</v>
      </c>
      <c r="I104" s="55">
        <v>0.86182550300000005</v>
      </c>
      <c r="J104" s="55">
        <v>2.2679618500000003</v>
      </c>
      <c r="K104" s="124">
        <v>2.2679618500000003</v>
      </c>
    </row>
    <row r="105" spans="1:11" ht="15" thickBot="1" x14ac:dyDescent="0.35">
      <c r="A105" s="94" t="s">
        <v>4235</v>
      </c>
      <c r="B105" s="122">
        <v>2</v>
      </c>
      <c r="C105" s="23" t="s">
        <v>4144</v>
      </c>
      <c r="D105" s="23">
        <f>VLOOKUP(B105,'Thickness Tab'!$1:$1048576,MATCH(C105,'Thickness Tab'!$1:$1,0),0)</f>
        <v>11.07</v>
      </c>
      <c r="E105" s="56">
        <v>0.58967008100000007</v>
      </c>
      <c r="F105" s="56">
        <v>0.86182550300000005</v>
      </c>
      <c r="G105" s="56">
        <v>1.6782917690000001</v>
      </c>
      <c r="H105" s="56">
        <v>1.1793401620000001</v>
      </c>
      <c r="I105" s="56">
        <v>1.0432624509999999</v>
      </c>
      <c r="J105" s="56">
        <v>2.6761949830000002</v>
      </c>
      <c r="K105" s="125">
        <v>2.6761949830000002</v>
      </c>
    </row>
    <row r="106" spans="1:11" x14ac:dyDescent="0.3">
      <c r="A106" s="123" t="s">
        <v>4236</v>
      </c>
      <c r="B106" s="629">
        <v>2.5</v>
      </c>
      <c r="C106" s="326">
        <v>10</v>
      </c>
      <c r="D106" s="326">
        <f>VLOOKUP(B106,'Thickness Tab'!$1:$1048576,MATCH(C106,'Thickness Tab'!$1:$1,0),0)</f>
        <v>3.05</v>
      </c>
      <c r="E106" s="649">
        <v>0</v>
      </c>
      <c r="F106" s="630">
        <v>0.41276905670000003</v>
      </c>
      <c r="G106" s="630">
        <v>0.81646626600000005</v>
      </c>
      <c r="H106" s="649">
        <v>0</v>
      </c>
      <c r="I106" s="649">
        <v>0</v>
      </c>
      <c r="J106" s="630">
        <v>2.1772433759999998</v>
      </c>
      <c r="K106" s="631">
        <v>2.1772433759999998</v>
      </c>
    </row>
    <row r="107" spans="1:11" x14ac:dyDescent="0.3">
      <c r="A107" s="91" t="s">
        <v>4237</v>
      </c>
      <c r="B107" s="121">
        <v>2.5</v>
      </c>
      <c r="C107" s="21">
        <v>20</v>
      </c>
      <c r="D107" s="635">
        <f>VLOOKUP(B107,'Thickness Tab'!$1:$1048576,MATCH(C107,'Thickness Tab'!$1:$1,0),0)</f>
        <v>0</v>
      </c>
      <c r="E107" s="636">
        <v>0</v>
      </c>
      <c r="F107" s="636">
        <v>0</v>
      </c>
      <c r="G107" s="636">
        <v>0</v>
      </c>
      <c r="H107" s="636">
        <v>0</v>
      </c>
      <c r="I107" s="636">
        <v>0</v>
      </c>
      <c r="J107" s="636">
        <v>0</v>
      </c>
      <c r="K107" s="637">
        <v>0</v>
      </c>
    </row>
    <row r="108" spans="1:11" x14ac:dyDescent="0.3">
      <c r="A108" s="91" t="s">
        <v>4238</v>
      </c>
      <c r="B108" s="121">
        <v>2.5</v>
      </c>
      <c r="C108" s="21">
        <v>30</v>
      </c>
      <c r="D108" s="21">
        <f>VLOOKUP(B108,'Thickness Tab'!$1:$1048576,MATCH(C108,'Thickness Tab'!$1:$1,0),0)</f>
        <v>4.78</v>
      </c>
      <c r="E108" s="651">
        <v>0</v>
      </c>
      <c r="F108" s="651">
        <v>0</v>
      </c>
      <c r="G108" s="651">
        <v>0</v>
      </c>
      <c r="H108" s="651">
        <v>0</v>
      </c>
      <c r="I108" s="651">
        <v>0</v>
      </c>
      <c r="J108" s="651">
        <v>0</v>
      </c>
      <c r="K108" s="652">
        <v>0</v>
      </c>
    </row>
    <row r="109" spans="1:11" x14ac:dyDescent="0.3">
      <c r="A109" s="91" t="s">
        <v>4239</v>
      </c>
      <c r="B109" s="121">
        <v>2.5</v>
      </c>
      <c r="C109" s="21" t="s">
        <v>65</v>
      </c>
      <c r="D109" s="21">
        <f>VLOOKUP(B109,'Thickness Tab'!$1:$1048576,MATCH(C109,'Thickness Tab'!$1:$1,0),0)</f>
        <v>5.16</v>
      </c>
      <c r="E109" s="55">
        <v>0.36740981970000003</v>
      </c>
      <c r="F109" s="55">
        <v>0.68038855500000006</v>
      </c>
      <c r="G109" s="55">
        <v>1.3607771100000001</v>
      </c>
      <c r="H109" s="55">
        <v>0.90718474000000004</v>
      </c>
      <c r="I109" s="55">
        <v>0.77110702900000005</v>
      </c>
      <c r="J109" s="55">
        <v>2.6761949830000002</v>
      </c>
      <c r="K109" s="124">
        <v>2.6761949830000002</v>
      </c>
    </row>
    <row r="110" spans="1:11" x14ac:dyDescent="0.3">
      <c r="A110" s="91" t="s">
        <v>4240</v>
      </c>
      <c r="B110" s="121">
        <v>2.5</v>
      </c>
      <c r="C110" s="21">
        <v>40</v>
      </c>
      <c r="D110" s="21">
        <f>VLOOKUP(B110,'Thickness Tab'!$1:$1048576,MATCH(C110,'Thickness Tab'!$1:$1,0),0)</f>
        <v>5.16</v>
      </c>
      <c r="E110" s="55">
        <v>0.36740981970000003</v>
      </c>
      <c r="F110" s="55">
        <v>0.68038855500000006</v>
      </c>
      <c r="G110" s="55">
        <v>1.3607771100000001</v>
      </c>
      <c r="H110" s="55">
        <v>0.90718474000000004</v>
      </c>
      <c r="I110" s="55">
        <v>0.77110702900000005</v>
      </c>
      <c r="J110" s="55">
        <v>2.6761949830000002</v>
      </c>
      <c r="K110" s="124">
        <v>2.6761949830000002</v>
      </c>
    </row>
    <row r="111" spans="1:11" x14ac:dyDescent="0.3">
      <c r="A111" s="91" t="s">
        <v>4241</v>
      </c>
      <c r="B111" s="121">
        <v>2.5</v>
      </c>
      <c r="C111" s="21">
        <v>60</v>
      </c>
      <c r="D111" s="635">
        <f>VLOOKUP(B111,'Thickness Tab'!$1:$1048576,MATCH(C111,'Thickness Tab'!$1:$1,0),0)</f>
        <v>0</v>
      </c>
      <c r="E111" s="636">
        <v>0</v>
      </c>
      <c r="F111" s="636">
        <v>0</v>
      </c>
      <c r="G111" s="636">
        <v>0</v>
      </c>
      <c r="H111" s="636">
        <v>0</v>
      </c>
      <c r="I111" s="636">
        <v>0</v>
      </c>
      <c r="J111" s="636">
        <v>0</v>
      </c>
      <c r="K111" s="637">
        <v>0</v>
      </c>
    </row>
    <row r="112" spans="1:11" x14ac:dyDescent="0.3">
      <c r="A112" s="91" t="s">
        <v>4242</v>
      </c>
      <c r="B112" s="121">
        <v>2.5</v>
      </c>
      <c r="C112" s="21" t="s">
        <v>66</v>
      </c>
      <c r="D112" s="21">
        <f>VLOOKUP(B112,'Thickness Tab'!$1:$1048576,MATCH(C112,'Thickness Tab'!$1:$1,0),0)</f>
        <v>7.01</v>
      </c>
      <c r="E112" s="55">
        <v>0.45359237000000002</v>
      </c>
      <c r="F112" s="55">
        <v>0.90718474000000004</v>
      </c>
      <c r="G112" s="55">
        <v>1.8143694800000001</v>
      </c>
      <c r="H112" s="55">
        <v>1.1793401620000001</v>
      </c>
      <c r="I112" s="55">
        <v>0.99790321400000015</v>
      </c>
      <c r="J112" s="55">
        <v>3.0844281160000002</v>
      </c>
      <c r="K112" s="124">
        <v>3.0844281160000002</v>
      </c>
    </row>
    <row r="113" spans="1:11" x14ac:dyDescent="0.3">
      <c r="A113" s="91" t="s">
        <v>4243</v>
      </c>
      <c r="B113" s="121">
        <v>2.5</v>
      </c>
      <c r="C113" s="21">
        <v>80</v>
      </c>
      <c r="D113" s="21">
        <f>VLOOKUP(B113,'Thickness Tab'!$1:$1048576,MATCH(C113,'Thickness Tab'!$1:$1,0),0)</f>
        <v>7.01</v>
      </c>
      <c r="E113" s="55">
        <v>0.45359237000000002</v>
      </c>
      <c r="F113" s="55">
        <v>0.90718474000000004</v>
      </c>
      <c r="G113" s="55">
        <v>1.8143694800000001</v>
      </c>
      <c r="H113" s="55">
        <v>1.1793401620000001</v>
      </c>
      <c r="I113" s="55">
        <v>0.99790321400000015</v>
      </c>
      <c r="J113" s="55">
        <v>3.0844281160000002</v>
      </c>
      <c r="K113" s="124">
        <v>3.0844281160000002</v>
      </c>
    </row>
    <row r="114" spans="1:11" x14ac:dyDescent="0.3">
      <c r="A114" s="91" t="s">
        <v>4244</v>
      </c>
      <c r="B114" s="121">
        <v>2.5</v>
      </c>
      <c r="C114" s="21">
        <v>100</v>
      </c>
      <c r="D114" s="635">
        <f>VLOOKUP(B114,'Thickness Tab'!$1:$1048576,MATCH(C114,'Thickness Tab'!$1:$1,0),0)</f>
        <v>0</v>
      </c>
      <c r="E114" s="636">
        <v>0</v>
      </c>
      <c r="F114" s="636">
        <v>0</v>
      </c>
      <c r="G114" s="636">
        <v>0</v>
      </c>
      <c r="H114" s="636">
        <v>0</v>
      </c>
      <c r="I114" s="636">
        <v>0</v>
      </c>
      <c r="J114" s="636">
        <v>0</v>
      </c>
      <c r="K114" s="637">
        <v>0</v>
      </c>
    </row>
    <row r="115" spans="1:11" x14ac:dyDescent="0.3">
      <c r="A115" s="91" t="s">
        <v>4245</v>
      </c>
      <c r="B115" s="121">
        <v>2.5</v>
      </c>
      <c r="C115" s="21">
        <v>120</v>
      </c>
      <c r="D115" s="635">
        <f>VLOOKUP(B115,'Thickness Tab'!$1:$1048576,MATCH(C115,'Thickness Tab'!$1:$1,0),0)</f>
        <v>0</v>
      </c>
      <c r="E115" s="636">
        <v>0</v>
      </c>
      <c r="F115" s="636">
        <v>0</v>
      </c>
      <c r="G115" s="636">
        <v>0</v>
      </c>
      <c r="H115" s="636">
        <v>0</v>
      </c>
      <c r="I115" s="636">
        <v>0</v>
      </c>
      <c r="J115" s="636">
        <v>0</v>
      </c>
      <c r="K115" s="637">
        <v>0</v>
      </c>
    </row>
    <row r="116" spans="1:11" x14ac:dyDescent="0.3">
      <c r="A116" s="91" t="s">
        <v>4246</v>
      </c>
      <c r="B116" s="121">
        <v>2.5</v>
      </c>
      <c r="C116" s="21">
        <v>140</v>
      </c>
      <c r="D116" s="635">
        <f>VLOOKUP(B116,'Thickness Tab'!$1:$1048576,MATCH(C116,'Thickness Tab'!$1:$1,0),0)</f>
        <v>0</v>
      </c>
      <c r="E116" s="636">
        <v>0</v>
      </c>
      <c r="F116" s="636">
        <v>0</v>
      </c>
      <c r="G116" s="636">
        <v>0</v>
      </c>
      <c r="H116" s="636">
        <v>0</v>
      </c>
      <c r="I116" s="636">
        <v>0</v>
      </c>
      <c r="J116" s="636">
        <v>0</v>
      </c>
      <c r="K116" s="637">
        <v>0</v>
      </c>
    </row>
    <row r="117" spans="1:11" x14ac:dyDescent="0.3">
      <c r="A117" s="91" t="s">
        <v>4247</v>
      </c>
      <c r="B117" s="121">
        <v>2.5</v>
      </c>
      <c r="C117" s="21">
        <v>160</v>
      </c>
      <c r="D117" s="21">
        <f>VLOOKUP(B117,'Thickness Tab'!$1:$1048576,MATCH(C117,'Thickness Tab'!$1:$1,0),0)</f>
        <v>9.52</v>
      </c>
      <c r="E117" s="55">
        <v>0.81646626600000005</v>
      </c>
      <c r="F117" s="55">
        <v>1.1339809250000001</v>
      </c>
      <c r="G117" s="55">
        <v>2.3586803240000003</v>
      </c>
      <c r="H117" s="55">
        <v>1.4514955840000001</v>
      </c>
      <c r="I117" s="55">
        <v>1.3154178730000001</v>
      </c>
      <c r="J117" s="55">
        <v>3.4473020120000002</v>
      </c>
      <c r="K117" s="124">
        <v>3.4473020120000002</v>
      </c>
    </row>
    <row r="118" spans="1:11" ht="15" thickBot="1" x14ac:dyDescent="0.35">
      <c r="A118" s="94" t="s">
        <v>4248</v>
      </c>
      <c r="B118" s="122">
        <v>2.5</v>
      </c>
      <c r="C118" s="23" t="s">
        <v>4144</v>
      </c>
      <c r="D118" s="23">
        <f>VLOOKUP(B118,'Thickness Tab'!$1:$1048576,MATCH(C118,'Thickness Tab'!$1:$1,0),0)</f>
        <v>14.02</v>
      </c>
      <c r="E118" s="56">
        <v>0.99790321400000015</v>
      </c>
      <c r="F118" s="56">
        <v>1.5875732950000001</v>
      </c>
      <c r="G118" s="56">
        <v>3.2205058270000002</v>
      </c>
      <c r="H118" s="56">
        <v>2.2226026130000003</v>
      </c>
      <c r="I118" s="56">
        <v>1.8143694800000001</v>
      </c>
      <c r="J118" s="56">
        <v>4.5359237000000006</v>
      </c>
      <c r="K118" s="125">
        <v>4.5359237000000006</v>
      </c>
    </row>
    <row r="119" spans="1:11" x14ac:dyDescent="0.3">
      <c r="A119" s="123" t="s">
        <v>4249</v>
      </c>
      <c r="B119" s="629">
        <v>3</v>
      </c>
      <c r="C119" s="326">
        <v>10</v>
      </c>
      <c r="D119" s="326">
        <f>VLOOKUP(B119,'Thickness Tab'!$1:$1048576,MATCH(C119,'Thickness Tab'!$1:$1,0),0)</f>
        <v>3.05</v>
      </c>
      <c r="E119" s="649">
        <v>0</v>
      </c>
      <c r="F119" s="630">
        <v>0.58967008100000007</v>
      </c>
      <c r="G119" s="630">
        <v>1.2246993990000001</v>
      </c>
      <c r="H119" s="649">
        <v>0</v>
      </c>
      <c r="I119" s="649">
        <v>0</v>
      </c>
      <c r="J119" s="630">
        <v>2.9937096419999998</v>
      </c>
      <c r="K119" s="631">
        <v>2.9937096419999998</v>
      </c>
    </row>
    <row r="120" spans="1:11" x14ac:dyDescent="0.3">
      <c r="A120" s="91" t="s">
        <v>4250</v>
      </c>
      <c r="B120" s="121">
        <v>3</v>
      </c>
      <c r="C120" s="21">
        <v>20</v>
      </c>
      <c r="D120" s="635">
        <f>VLOOKUP(B120,'Thickness Tab'!$1:$1048576,MATCH(C120,'Thickness Tab'!$1:$1,0),0)</f>
        <v>0</v>
      </c>
      <c r="E120" s="636">
        <v>0</v>
      </c>
      <c r="F120" s="636">
        <v>0</v>
      </c>
      <c r="G120" s="636">
        <v>0</v>
      </c>
      <c r="H120" s="636">
        <v>0</v>
      </c>
      <c r="I120" s="636">
        <v>0</v>
      </c>
      <c r="J120" s="636">
        <v>0</v>
      </c>
      <c r="K120" s="637">
        <v>0</v>
      </c>
    </row>
    <row r="121" spans="1:11" x14ac:dyDescent="0.3">
      <c r="A121" s="91" t="s">
        <v>4251</v>
      </c>
      <c r="B121" s="121">
        <v>3</v>
      </c>
      <c r="C121" s="21">
        <v>30</v>
      </c>
      <c r="D121" s="21">
        <f>VLOOKUP(B121,'Thickness Tab'!$1:$1048576,MATCH(C121,'Thickness Tab'!$1:$1,0),0)</f>
        <v>4.78</v>
      </c>
      <c r="E121" s="651">
        <v>0</v>
      </c>
      <c r="F121" s="651">
        <v>0</v>
      </c>
      <c r="G121" s="651">
        <v>0</v>
      </c>
      <c r="H121" s="651">
        <v>0</v>
      </c>
      <c r="I121" s="651">
        <v>0</v>
      </c>
      <c r="J121" s="651">
        <v>0</v>
      </c>
      <c r="K121" s="652">
        <v>0</v>
      </c>
    </row>
    <row r="122" spans="1:11" x14ac:dyDescent="0.3">
      <c r="A122" s="91" t="s">
        <v>4252</v>
      </c>
      <c r="B122" s="121">
        <v>3</v>
      </c>
      <c r="C122" s="21" t="s">
        <v>65</v>
      </c>
      <c r="D122" s="21">
        <f>VLOOKUP(B122,'Thickness Tab'!$1:$1048576,MATCH(C122,'Thickness Tab'!$1:$1,0),0)</f>
        <v>5.49</v>
      </c>
      <c r="E122" s="55">
        <v>0.63502931799999995</v>
      </c>
      <c r="F122" s="55">
        <v>1.0432624509999999</v>
      </c>
      <c r="G122" s="55">
        <v>2.1318841390000003</v>
      </c>
      <c r="H122" s="55">
        <v>1.4061363470000001</v>
      </c>
      <c r="I122" s="55">
        <v>0.99790321400000015</v>
      </c>
      <c r="J122" s="55">
        <v>3.8101759080000002</v>
      </c>
      <c r="K122" s="124">
        <v>3.8101759080000002</v>
      </c>
    </row>
    <row r="123" spans="1:11" x14ac:dyDescent="0.3">
      <c r="A123" s="91" t="s">
        <v>4253</v>
      </c>
      <c r="B123" s="121">
        <v>3</v>
      </c>
      <c r="C123" s="21">
        <v>40</v>
      </c>
      <c r="D123" s="21">
        <f>VLOOKUP(B123,'Thickness Tab'!$1:$1048576,MATCH(C123,'Thickness Tab'!$1:$1,0),0)</f>
        <v>5.49</v>
      </c>
      <c r="E123" s="55">
        <v>0.63502931799999995</v>
      </c>
      <c r="F123" s="55">
        <v>1.0432624509999999</v>
      </c>
      <c r="G123" s="55">
        <v>2.1318841390000003</v>
      </c>
      <c r="H123" s="55">
        <v>1.4061363470000001</v>
      </c>
      <c r="I123" s="55">
        <v>0.99790321400000015</v>
      </c>
      <c r="J123" s="55">
        <v>3.8101759080000002</v>
      </c>
      <c r="K123" s="124">
        <v>3.8101759080000002</v>
      </c>
    </row>
    <row r="124" spans="1:11" x14ac:dyDescent="0.3">
      <c r="A124" s="91" t="s">
        <v>4254</v>
      </c>
      <c r="B124" s="121">
        <v>3</v>
      </c>
      <c r="C124" s="21">
        <v>60</v>
      </c>
      <c r="D124" s="635">
        <f>VLOOKUP(B124,'Thickness Tab'!$1:$1048576,MATCH(C124,'Thickness Tab'!$1:$1,0),0)</f>
        <v>0</v>
      </c>
      <c r="E124" s="636">
        <v>0</v>
      </c>
      <c r="F124" s="636">
        <v>0</v>
      </c>
      <c r="G124" s="636">
        <v>0</v>
      </c>
      <c r="H124" s="636">
        <v>0</v>
      </c>
      <c r="I124" s="636">
        <v>0</v>
      </c>
      <c r="J124" s="636">
        <v>0</v>
      </c>
      <c r="K124" s="637">
        <v>0</v>
      </c>
    </row>
    <row r="125" spans="1:11" x14ac:dyDescent="0.3">
      <c r="A125" s="91" t="s">
        <v>4255</v>
      </c>
      <c r="B125" s="121">
        <v>3</v>
      </c>
      <c r="C125" s="21" t="s">
        <v>66</v>
      </c>
      <c r="D125" s="21">
        <f>VLOOKUP(B125,'Thickness Tab'!$1:$1048576,MATCH(C125,'Thickness Tab'!$1:$1,0),0)</f>
        <v>7.62</v>
      </c>
      <c r="E125" s="55">
        <v>0.86182550300000005</v>
      </c>
      <c r="F125" s="55">
        <v>1.4514955840000001</v>
      </c>
      <c r="G125" s="55">
        <v>2.8576319310000002</v>
      </c>
      <c r="H125" s="55">
        <v>1.9050879540000001</v>
      </c>
      <c r="I125" s="55">
        <v>1.3607771100000001</v>
      </c>
      <c r="J125" s="55">
        <v>4.5359237000000006</v>
      </c>
      <c r="K125" s="124">
        <v>4.5359237000000006</v>
      </c>
    </row>
    <row r="126" spans="1:11" x14ac:dyDescent="0.3">
      <c r="A126" s="91" t="s">
        <v>4256</v>
      </c>
      <c r="B126" s="121">
        <v>3</v>
      </c>
      <c r="C126" s="21">
        <v>80</v>
      </c>
      <c r="D126" s="21">
        <f>VLOOKUP(B126,'Thickness Tab'!$1:$1048576,MATCH(C126,'Thickness Tab'!$1:$1,0),0)</f>
        <v>7.62</v>
      </c>
      <c r="E126" s="55">
        <v>0.86182550300000005</v>
      </c>
      <c r="F126" s="55">
        <v>1.4514955840000001</v>
      </c>
      <c r="G126" s="55">
        <v>2.8576319310000002</v>
      </c>
      <c r="H126" s="55">
        <v>1.9050879540000001</v>
      </c>
      <c r="I126" s="55">
        <v>1.3607771100000001</v>
      </c>
      <c r="J126" s="55">
        <v>4.5359237000000006</v>
      </c>
      <c r="K126" s="124">
        <v>4.5359237000000006</v>
      </c>
    </row>
    <row r="127" spans="1:11" x14ac:dyDescent="0.3">
      <c r="A127" s="91" t="s">
        <v>4257</v>
      </c>
      <c r="B127" s="121">
        <v>3</v>
      </c>
      <c r="C127" s="21">
        <v>100</v>
      </c>
      <c r="D127" s="635">
        <f>VLOOKUP(B127,'Thickness Tab'!$1:$1048576,MATCH(C127,'Thickness Tab'!$1:$1,0),0)</f>
        <v>0</v>
      </c>
      <c r="E127" s="636">
        <v>0</v>
      </c>
      <c r="F127" s="636">
        <v>0</v>
      </c>
      <c r="G127" s="636">
        <v>0</v>
      </c>
      <c r="H127" s="636">
        <v>0</v>
      </c>
      <c r="I127" s="636">
        <v>0</v>
      </c>
      <c r="J127" s="636">
        <v>0</v>
      </c>
      <c r="K127" s="637">
        <v>0</v>
      </c>
    </row>
    <row r="128" spans="1:11" x14ac:dyDescent="0.3">
      <c r="A128" s="91" t="s">
        <v>4258</v>
      </c>
      <c r="B128" s="121">
        <v>3</v>
      </c>
      <c r="C128" s="21">
        <v>120</v>
      </c>
      <c r="D128" s="635">
        <f>VLOOKUP(B128,'Thickness Tab'!$1:$1048576,MATCH(C128,'Thickness Tab'!$1:$1,0),0)</f>
        <v>0</v>
      </c>
      <c r="E128" s="636">
        <v>0</v>
      </c>
      <c r="F128" s="636">
        <v>0</v>
      </c>
      <c r="G128" s="636">
        <v>0</v>
      </c>
      <c r="H128" s="636">
        <v>0</v>
      </c>
      <c r="I128" s="636">
        <v>0</v>
      </c>
      <c r="J128" s="636">
        <v>0</v>
      </c>
      <c r="K128" s="637">
        <v>0</v>
      </c>
    </row>
    <row r="129" spans="1:11" x14ac:dyDescent="0.3">
      <c r="A129" s="91" t="s">
        <v>4259</v>
      </c>
      <c r="B129" s="121">
        <v>3</v>
      </c>
      <c r="C129" s="21">
        <v>140</v>
      </c>
      <c r="D129" s="635">
        <f>VLOOKUP(B129,'Thickness Tab'!$1:$1048576,MATCH(C129,'Thickness Tab'!$1:$1,0),0)</f>
        <v>0</v>
      </c>
      <c r="E129" s="636">
        <v>0</v>
      </c>
      <c r="F129" s="636">
        <v>0</v>
      </c>
      <c r="G129" s="636">
        <v>0</v>
      </c>
      <c r="H129" s="636">
        <v>0</v>
      </c>
      <c r="I129" s="636">
        <v>0</v>
      </c>
      <c r="J129" s="636">
        <v>0</v>
      </c>
      <c r="K129" s="637">
        <v>0</v>
      </c>
    </row>
    <row r="130" spans="1:11" x14ac:dyDescent="0.3">
      <c r="A130" s="91" t="s">
        <v>4260</v>
      </c>
      <c r="B130" s="121">
        <v>3</v>
      </c>
      <c r="C130" s="21">
        <v>160</v>
      </c>
      <c r="D130" s="21">
        <f>VLOOKUP(B130,'Thickness Tab'!$1:$1048576,MATCH(C130,'Thickness Tab'!$1:$1,0),0)</f>
        <v>11.12</v>
      </c>
      <c r="E130" s="55">
        <v>1.4061363470000001</v>
      </c>
      <c r="F130" s="55">
        <v>1.9958064280000003</v>
      </c>
      <c r="G130" s="55">
        <v>3.9916128560000006</v>
      </c>
      <c r="H130" s="55">
        <v>2.5401172719999998</v>
      </c>
      <c r="I130" s="55">
        <v>1.9050879540000001</v>
      </c>
      <c r="J130" s="55">
        <v>6.3502931800000004</v>
      </c>
      <c r="K130" s="124">
        <v>6.3502931800000004</v>
      </c>
    </row>
    <row r="131" spans="1:11" ht="15" thickBot="1" x14ac:dyDescent="0.35">
      <c r="A131" s="94" t="s">
        <v>4261</v>
      </c>
      <c r="B131" s="122">
        <v>3</v>
      </c>
      <c r="C131" s="23" t="s">
        <v>4144</v>
      </c>
      <c r="D131" s="23">
        <f>VLOOKUP(B131,'Thickness Tab'!$1:$1048576,MATCH(C131,'Thickness Tab'!$1:$1,0),0)</f>
        <v>15.24</v>
      </c>
      <c r="E131" s="56">
        <v>1.7690102430000001</v>
      </c>
      <c r="F131" s="56">
        <v>2.5854765090000003</v>
      </c>
      <c r="G131" s="56">
        <v>4.9895160700000005</v>
      </c>
      <c r="H131" s="56">
        <v>3.4926612490000002</v>
      </c>
      <c r="I131" s="56">
        <v>2.4493987980000003</v>
      </c>
      <c r="J131" s="56">
        <v>7.7110702900000003</v>
      </c>
      <c r="K131" s="125">
        <v>7.7110702900000003</v>
      </c>
    </row>
    <row r="132" spans="1:11" x14ac:dyDescent="0.3">
      <c r="A132" s="123" t="s">
        <v>4262</v>
      </c>
      <c r="B132" s="629">
        <v>3.5</v>
      </c>
      <c r="C132" s="326">
        <v>10</v>
      </c>
      <c r="D132" s="326">
        <f>VLOOKUP(B132,'Thickness Tab'!$1:$1048576,MATCH(C132,'Thickness Tab'!$1:$1,0),0)</f>
        <v>3.05</v>
      </c>
      <c r="E132" s="649">
        <v>0</v>
      </c>
      <c r="F132" s="630">
        <v>0.81646626600000005</v>
      </c>
      <c r="G132" s="630">
        <v>1.6329325320000001</v>
      </c>
      <c r="H132" s="649">
        <v>0</v>
      </c>
      <c r="I132" s="649">
        <v>0</v>
      </c>
      <c r="J132" s="630">
        <v>4.4452052260000006</v>
      </c>
      <c r="K132" s="631">
        <v>4.4452052260000006</v>
      </c>
    </row>
    <row r="133" spans="1:11" x14ac:dyDescent="0.3">
      <c r="A133" s="91" t="s">
        <v>4263</v>
      </c>
      <c r="B133" s="121">
        <v>3.5</v>
      </c>
      <c r="C133" s="21">
        <v>20</v>
      </c>
      <c r="D133" s="635">
        <f>VLOOKUP(B133,'Thickness Tab'!$1:$1048576,MATCH(C133,'Thickness Tab'!$1:$1,0),0)</f>
        <v>0</v>
      </c>
      <c r="E133" s="636">
        <v>0</v>
      </c>
      <c r="F133" s="636">
        <v>0</v>
      </c>
      <c r="G133" s="636">
        <v>0</v>
      </c>
      <c r="H133" s="636">
        <v>0</v>
      </c>
      <c r="I133" s="636">
        <v>0</v>
      </c>
      <c r="J133" s="636">
        <v>0</v>
      </c>
      <c r="K133" s="637">
        <v>0</v>
      </c>
    </row>
    <row r="134" spans="1:11" x14ac:dyDescent="0.3">
      <c r="A134" s="91" t="s">
        <v>4264</v>
      </c>
      <c r="B134" s="121">
        <v>3.5</v>
      </c>
      <c r="C134" s="21">
        <v>30</v>
      </c>
      <c r="D134" s="21">
        <f>VLOOKUP(B134,'Thickness Tab'!$1:$1048576,MATCH(C134,'Thickness Tab'!$1:$1,0),0)</f>
        <v>4.78</v>
      </c>
      <c r="E134" s="651">
        <v>0</v>
      </c>
      <c r="F134" s="651">
        <v>0</v>
      </c>
      <c r="G134" s="651">
        <v>0</v>
      </c>
      <c r="H134" s="651">
        <v>0</v>
      </c>
      <c r="I134" s="651">
        <v>0</v>
      </c>
      <c r="J134" s="651">
        <v>0</v>
      </c>
      <c r="K134" s="652">
        <v>0</v>
      </c>
    </row>
    <row r="135" spans="1:11" x14ac:dyDescent="0.3">
      <c r="A135" s="91" t="s">
        <v>4265</v>
      </c>
      <c r="B135" s="121">
        <v>3.5</v>
      </c>
      <c r="C135" s="21" t="s">
        <v>65</v>
      </c>
      <c r="D135" s="21">
        <f>VLOOKUP(B135,'Thickness Tab'!$1:$1048576,MATCH(C135,'Thickness Tab'!$1:$1,0),0)</f>
        <v>5.74</v>
      </c>
      <c r="E135" s="55">
        <v>0.95254397700000004</v>
      </c>
      <c r="F135" s="55">
        <v>1.4968548209999999</v>
      </c>
      <c r="G135" s="55">
        <v>2.9937096419999998</v>
      </c>
      <c r="H135" s="55">
        <v>1.9958064280000003</v>
      </c>
      <c r="I135" s="55">
        <v>1.3607771100000001</v>
      </c>
      <c r="J135" s="55">
        <v>4.9895160700000005</v>
      </c>
      <c r="K135" s="124">
        <v>4.9895160700000005</v>
      </c>
    </row>
    <row r="136" spans="1:11" x14ac:dyDescent="0.3">
      <c r="A136" s="91" t="s">
        <v>4266</v>
      </c>
      <c r="B136" s="121">
        <v>3.5</v>
      </c>
      <c r="C136" s="21">
        <v>40</v>
      </c>
      <c r="D136" s="21">
        <f>VLOOKUP(B136,'Thickness Tab'!$1:$1048576,MATCH(C136,'Thickness Tab'!$1:$1,0),0)</f>
        <v>5.74</v>
      </c>
      <c r="E136" s="55">
        <v>0.95254397700000004</v>
      </c>
      <c r="F136" s="55">
        <v>1.4968548209999999</v>
      </c>
      <c r="G136" s="55">
        <v>2.9937096419999998</v>
      </c>
      <c r="H136" s="55">
        <v>1.9958064280000003</v>
      </c>
      <c r="I136" s="55">
        <v>1.3607771100000001</v>
      </c>
      <c r="J136" s="55">
        <v>4.9895160700000005</v>
      </c>
      <c r="K136" s="124">
        <v>4.9895160700000005</v>
      </c>
    </row>
    <row r="137" spans="1:11" x14ac:dyDescent="0.3">
      <c r="A137" s="91" t="s">
        <v>4267</v>
      </c>
      <c r="B137" s="121">
        <v>3.5</v>
      </c>
      <c r="C137" s="21">
        <v>60</v>
      </c>
      <c r="D137" s="635">
        <f>VLOOKUP(B137,'Thickness Tab'!$1:$1048576,MATCH(C137,'Thickness Tab'!$1:$1,0),0)</f>
        <v>0</v>
      </c>
      <c r="E137" s="636">
        <v>0</v>
      </c>
      <c r="F137" s="636">
        <v>0</v>
      </c>
      <c r="G137" s="636">
        <v>0</v>
      </c>
      <c r="H137" s="636">
        <v>0</v>
      </c>
      <c r="I137" s="636">
        <v>0</v>
      </c>
      <c r="J137" s="636">
        <v>0</v>
      </c>
      <c r="K137" s="637">
        <v>0</v>
      </c>
    </row>
    <row r="138" spans="1:11" x14ac:dyDescent="0.3">
      <c r="A138" s="91" t="s">
        <v>4268</v>
      </c>
      <c r="B138" s="121">
        <v>3.5</v>
      </c>
      <c r="C138" s="21" t="s">
        <v>66</v>
      </c>
      <c r="D138" s="21">
        <f>VLOOKUP(B138,'Thickness Tab'!$1:$1048576,MATCH(C138,'Thickness Tab'!$1:$1,0),0)</f>
        <v>8.08</v>
      </c>
      <c r="E138" s="55">
        <v>1.3154178730000001</v>
      </c>
      <c r="F138" s="55">
        <v>2.0411656650000003</v>
      </c>
      <c r="G138" s="55">
        <v>4.0823313300000006</v>
      </c>
      <c r="H138" s="55">
        <v>2.7215542200000002</v>
      </c>
      <c r="I138" s="55">
        <v>1.9050879540000001</v>
      </c>
      <c r="J138" s="55">
        <v>6.3502931800000004</v>
      </c>
      <c r="K138" s="124">
        <v>6.3502931800000004</v>
      </c>
    </row>
    <row r="139" spans="1:11" x14ac:dyDescent="0.3">
      <c r="A139" s="91" t="s">
        <v>4269</v>
      </c>
      <c r="B139" s="121">
        <v>3.5</v>
      </c>
      <c r="C139" s="21">
        <v>80</v>
      </c>
      <c r="D139" s="21">
        <f>VLOOKUP(B139,'Thickness Tab'!$1:$1048576,MATCH(C139,'Thickness Tab'!$1:$1,0),0)</f>
        <v>8.08</v>
      </c>
      <c r="E139" s="55">
        <v>1.3154178730000001</v>
      </c>
      <c r="F139" s="55">
        <v>2.0411656650000003</v>
      </c>
      <c r="G139" s="55">
        <v>4.0823313300000006</v>
      </c>
      <c r="H139" s="55">
        <v>2.7215542200000002</v>
      </c>
      <c r="I139" s="55">
        <v>1.9050879540000001</v>
      </c>
      <c r="J139" s="55">
        <v>6.3502931800000004</v>
      </c>
      <c r="K139" s="124">
        <v>6.3502931800000004</v>
      </c>
    </row>
    <row r="140" spans="1:11" x14ac:dyDescent="0.3">
      <c r="A140" s="91" t="s">
        <v>4270</v>
      </c>
      <c r="B140" s="121">
        <v>3.5</v>
      </c>
      <c r="C140" s="21">
        <v>100</v>
      </c>
      <c r="D140" s="635">
        <f>VLOOKUP(B140,'Thickness Tab'!$1:$1048576,MATCH(C140,'Thickness Tab'!$1:$1,0),0)</f>
        <v>0</v>
      </c>
      <c r="E140" s="636">
        <v>0</v>
      </c>
      <c r="F140" s="636">
        <v>0</v>
      </c>
      <c r="G140" s="636">
        <v>0</v>
      </c>
      <c r="H140" s="636">
        <v>0</v>
      </c>
      <c r="I140" s="636">
        <v>0</v>
      </c>
      <c r="J140" s="636">
        <v>0</v>
      </c>
      <c r="K140" s="637">
        <v>0</v>
      </c>
    </row>
    <row r="141" spans="1:11" x14ac:dyDescent="0.3">
      <c r="A141" s="91" t="s">
        <v>4271</v>
      </c>
      <c r="B141" s="121">
        <v>3.5</v>
      </c>
      <c r="C141" s="21">
        <v>120</v>
      </c>
      <c r="D141" s="635">
        <f>VLOOKUP(B141,'Thickness Tab'!$1:$1048576,MATCH(C141,'Thickness Tab'!$1:$1,0),0)</f>
        <v>0</v>
      </c>
      <c r="E141" s="636">
        <v>0</v>
      </c>
      <c r="F141" s="636">
        <v>0</v>
      </c>
      <c r="G141" s="636">
        <v>0</v>
      </c>
      <c r="H141" s="636">
        <v>0</v>
      </c>
      <c r="I141" s="636">
        <v>0</v>
      </c>
      <c r="J141" s="636">
        <v>0</v>
      </c>
      <c r="K141" s="637">
        <v>0</v>
      </c>
    </row>
    <row r="142" spans="1:11" x14ac:dyDescent="0.3">
      <c r="A142" s="91" t="s">
        <v>4272</v>
      </c>
      <c r="B142" s="121">
        <v>3.5</v>
      </c>
      <c r="C142" s="21">
        <v>140</v>
      </c>
      <c r="D142" s="635">
        <f>VLOOKUP(B142,'Thickness Tab'!$1:$1048576,MATCH(C142,'Thickness Tab'!$1:$1,0),0)</f>
        <v>0</v>
      </c>
      <c r="E142" s="636">
        <v>0</v>
      </c>
      <c r="F142" s="636">
        <v>0</v>
      </c>
      <c r="G142" s="636">
        <v>0</v>
      </c>
      <c r="H142" s="636">
        <v>0</v>
      </c>
      <c r="I142" s="636">
        <v>0</v>
      </c>
      <c r="J142" s="636">
        <v>0</v>
      </c>
      <c r="K142" s="637">
        <v>0</v>
      </c>
    </row>
    <row r="143" spans="1:11" x14ac:dyDescent="0.3">
      <c r="A143" s="91" t="s">
        <v>4273</v>
      </c>
      <c r="B143" s="121">
        <v>3.5</v>
      </c>
      <c r="C143" s="21">
        <v>160</v>
      </c>
      <c r="D143" s="635">
        <f>VLOOKUP(B143,'Thickness Tab'!$1:$1048576,MATCH(C143,'Thickness Tab'!$1:$1,0),0)</f>
        <v>0</v>
      </c>
      <c r="E143" s="636">
        <v>0</v>
      </c>
      <c r="F143" s="636">
        <v>0</v>
      </c>
      <c r="G143" s="636">
        <v>0</v>
      </c>
      <c r="H143" s="636">
        <v>0</v>
      </c>
      <c r="I143" s="636">
        <v>0</v>
      </c>
      <c r="J143" s="636">
        <v>0</v>
      </c>
      <c r="K143" s="637">
        <v>0</v>
      </c>
    </row>
    <row r="144" spans="1:11" ht="15" thickBot="1" x14ac:dyDescent="0.35">
      <c r="A144" s="94" t="s">
        <v>4274</v>
      </c>
      <c r="B144" s="122">
        <v>3.5</v>
      </c>
      <c r="C144" s="23" t="s">
        <v>4144</v>
      </c>
      <c r="D144" s="23">
        <f>VLOOKUP(B144,'Thickness Tab'!$1:$1048576,MATCH(C144,'Thickness Tab'!$1:$1,0),0)</f>
        <v>16.149999999999999</v>
      </c>
      <c r="E144" s="56">
        <v>2.6308357460000003</v>
      </c>
      <c r="F144" s="56">
        <v>3.7194574339999997</v>
      </c>
      <c r="G144" s="56">
        <v>7.2574779200000004</v>
      </c>
      <c r="H144" s="56">
        <v>4.9895160700000005</v>
      </c>
      <c r="I144" s="56">
        <v>3.4473020120000002</v>
      </c>
      <c r="J144" s="56">
        <v>9.5254397700000002</v>
      </c>
      <c r="K144" s="125">
        <v>9.5254397700000002</v>
      </c>
    </row>
    <row r="145" spans="1:11" x14ac:dyDescent="0.3">
      <c r="A145" s="123" t="s">
        <v>4275</v>
      </c>
      <c r="B145" s="629">
        <v>4</v>
      </c>
      <c r="C145" s="326">
        <v>10</v>
      </c>
      <c r="D145" s="326">
        <f>VLOOKUP(B145,'Thickness Tab'!$1:$1048576,MATCH(C145,'Thickness Tab'!$1:$1,0),0)</f>
        <v>3.05</v>
      </c>
      <c r="E145" s="649">
        <v>0</v>
      </c>
      <c r="F145" s="630">
        <v>1.0432624509999999</v>
      </c>
      <c r="G145" s="630">
        <v>2.0865249019999998</v>
      </c>
      <c r="H145" s="649">
        <v>0</v>
      </c>
      <c r="I145" s="649">
        <v>0</v>
      </c>
      <c r="J145" s="630">
        <v>4.5359237000000006</v>
      </c>
      <c r="K145" s="631">
        <v>4.5359237000000006</v>
      </c>
    </row>
    <row r="146" spans="1:11" x14ac:dyDescent="0.3">
      <c r="A146" s="91" t="s">
        <v>4276</v>
      </c>
      <c r="B146" s="121">
        <v>4</v>
      </c>
      <c r="C146" s="21">
        <v>20</v>
      </c>
      <c r="D146" s="635">
        <f>VLOOKUP(B146,'Thickness Tab'!$1:$1048576,MATCH(C146,'Thickness Tab'!$1:$1,0),0)</f>
        <v>0</v>
      </c>
      <c r="E146" s="636">
        <v>0</v>
      </c>
      <c r="F146" s="636">
        <v>0</v>
      </c>
      <c r="G146" s="636">
        <v>0</v>
      </c>
      <c r="H146" s="636">
        <v>0</v>
      </c>
      <c r="I146" s="636">
        <v>0</v>
      </c>
      <c r="J146" s="636">
        <v>0</v>
      </c>
      <c r="K146" s="637">
        <v>0</v>
      </c>
    </row>
    <row r="147" spans="1:11" x14ac:dyDescent="0.3">
      <c r="A147" s="91" t="s">
        <v>4277</v>
      </c>
      <c r="B147" s="121">
        <v>4</v>
      </c>
      <c r="C147" s="21">
        <v>30</v>
      </c>
      <c r="D147" s="21">
        <f>VLOOKUP(B147,'Thickness Tab'!$1:$1048576,MATCH(C147,'Thickness Tab'!$1:$1,0),0)</f>
        <v>4.78</v>
      </c>
      <c r="E147" s="651">
        <v>0</v>
      </c>
      <c r="F147" s="651">
        <v>0</v>
      </c>
      <c r="G147" s="651">
        <v>0</v>
      </c>
      <c r="H147" s="651">
        <v>0</v>
      </c>
      <c r="I147" s="651">
        <v>0</v>
      </c>
      <c r="J147" s="651">
        <v>0</v>
      </c>
      <c r="K147" s="652">
        <v>0</v>
      </c>
    </row>
    <row r="148" spans="1:11" x14ac:dyDescent="0.3">
      <c r="A148" s="91" t="s">
        <v>4278</v>
      </c>
      <c r="B148" s="121">
        <v>4</v>
      </c>
      <c r="C148" s="21" t="s">
        <v>65</v>
      </c>
      <c r="D148" s="21">
        <f>VLOOKUP(B148,'Thickness Tab'!$1:$1048576,MATCH(C148,'Thickness Tab'!$1:$1,0),0)</f>
        <v>6.02</v>
      </c>
      <c r="E148" s="55">
        <v>1.1339809250000001</v>
      </c>
      <c r="F148" s="55">
        <v>1.9958064280000003</v>
      </c>
      <c r="G148" s="55">
        <v>4.0823313300000006</v>
      </c>
      <c r="H148" s="55">
        <v>2.7215542200000002</v>
      </c>
      <c r="I148" s="55">
        <v>1.6329325320000001</v>
      </c>
      <c r="J148" s="55">
        <v>5.8967008100000005</v>
      </c>
      <c r="K148" s="124">
        <v>5.8967008100000005</v>
      </c>
    </row>
    <row r="149" spans="1:11" x14ac:dyDescent="0.3">
      <c r="A149" s="91" t="s">
        <v>4279</v>
      </c>
      <c r="B149" s="121">
        <v>4</v>
      </c>
      <c r="C149" s="21">
        <v>40</v>
      </c>
      <c r="D149" s="21">
        <f>VLOOKUP(B149,'Thickness Tab'!$1:$1048576,MATCH(C149,'Thickness Tab'!$1:$1,0),0)</f>
        <v>6.02</v>
      </c>
      <c r="E149" s="55">
        <v>1.1339809250000001</v>
      </c>
      <c r="F149" s="55">
        <v>1.9958064280000003</v>
      </c>
      <c r="G149" s="55">
        <v>4.0823313300000006</v>
      </c>
      <c r="H149" s="55">
        <v>2.7215542200000002</v>
      </c>
      <c r="I149" s="55">
        <v>1.6329325320000001</v>
      </c>
      <c r="J149" s="55">
        <v>5.8967008100000005</v>
      </c>
      <c r="K149" s="124">
        <v>5.8967008100000005</v>
      </c>
    </row>
    <row r="150" spans="1:11" x14ac:dyDescent="0.3">
      <c r="A150" s="91" t="s">
        <v>4280</v>
      </c>
      <c r="B150" s="121">
        <v>4</v>
      </c>
      <c r="C150" s="21">
        <v>60</v>
      </c>
      <c r="D150" s="635">
        <f>VLOOKUP(B150,'Thickness Tab'!$1:$1048576,MATCH(C150,'Thickness Tab'!$1:$1,0),0)</f>
        <v>0</v>
      </c>
      <c r="E150" s="636">
        <v>0</v>
      </c>
      <c r="F150" s="636">
        <v>0</v>
      </c>
      <c r="G150" s="636">
        <v>0</v>
      </c>
      <c r="H150" s="636">
        <v>0</v>
      </c>
      <c r="I150" s="636">
        <v>0</v>
      </c>
      <c r="J150" s="636">
        <v>0</v>
      </c>
      <c r="K150" s="637">
        <v>0</v>
      </c>
    </row>
    <row r="151" spans="1:11" x14ac:dyDescent="0.3">
      <c r="A151" s="91" t="s">
        <v>4281</v>
      </c>
      <c r="B151" s="121">
        <v>4</v>
      </c>
      <c r="C151" s="21" t="s">
        <v>66</v>
      </c>
      <c r="D151" s="21">
        <f>VLOOKUP(B151,'Thickness Tab'!$1:$1048576,MATCH(C151,'Thickness Tab'!$1:$1,0),0)</f>
        <v>8.56</v>
      </c>
      <c r="E151" s="55">
        <v>1.5875732950000001</v>
      </c>
      <c r="F151" s="55">
        <v>2.8122726940000002</v>
      </c>
      <c r="G151" s="55">
        <v>5.7152638620000005</v>
      </c>
      <c r="H151" s="55">
        <v>3.7194574339999997</v>
      </c>
      <c r="I151" s="55">
        <v>2.2679618500000003</v>
      </c>
      <c r="J151" s="55">
        <v>8.6182550300000003</v>
      </c>
      <c r="K151" s="124">
        <v>8.6182550300000003</v>
      </c>
    </row>
    <row r="152" spans="1:11" x14ac:dyDescent="0.3">
      <c r="A152" s="91" t="s">
        <v>4282</v>
      </c>
      <c r="B152" s="121">
        <v>4</v>
      </c>
      <c r="C152" s="21">
        <v>80</v>
      </c>
      <c r="D152" s="21">
        <f>VLOOKUP(B152,'Thickness Tab'!$1:$1048576,MATCH(C152,'Thickness Tab'!$1:$1,0),0)</f>
        <v>8.56</v>
      </c>
      <c r="E152" s="55">
        <v>1.5875732950000001</v>
      </c>
      <c r="F152" s="55">
        <v>2.8122726940000002</v>
      </c>
      <c r="G152" s="55">
        <v>5.7152638620000005</v>
      </c>
      <c r="H152" s="55">
        <v>3.7194574339999997</v>
      </c>
      <c r="I152" s="55">
        <v>2.2679618500000003</v>
      </c>
      <c r="J152" s="55">
        <v>8.6182550300000003</v>
      </c>
      <c r="K152" s="124">
        <v>8.6182550300000003</v>
      </c>
    </row>
    <row r="153" spans="1:11" x14ac:dyDescent="0.3">
      <c r="A153" s="91" t="s">
        <v>4283</v>
      </c>
      <c r="B153" s="121">
        <v>4</v>
      </c>
      <c r="C153" s="21">
        <v>100</v>
      </c>
      <c r="D153" s="635">
        <f>VLOOKUP(B153,'Thickness Tab'!$1:$1048576,MATCH(C153,'Thickness Tab'!$1:$1,0),0)</f>
        <v>0</v>
      </c>
      <c r="E153" s="636">
        <v>0</v>
      </c>
      <c r="F153" s="636">
        <v>0</v>
      </c>
      <c r="G153" s="636">
        <v>0</v>
      </c>
      <c r="H153" s="636">
        <v>0</v>
      </c>
      <c r="I153" s="636">
        <v>0</v>
      </c>
      <c r="J153" s="636">
        <v>0</v>
      </c>
      <c r="K153" s="637">
        <v>0</v>
      </c>
    </row>
    <row r="154" spans="1:11" x14ac:dyDescent="0.3">
      <c r="A154" s="91" t="s">
        <v>4284</v>
      </c>
      <c r="B154" s="121">
        <v>4</v>
      </c>
      <c r="C154" s="21">
        <v>120</v>
      </c>
      <c r="D154" s="21">
        <f>VLOOKUP(B154,'Thickness Tab'!$1:$1048576,MATCH(C154,'Thickness Tab'!$1:$1,0),0)</f>
        <v>11.12</v>
      </c>
      <c r="E154" s="55">
        <v>2.3133210869999998</v>
      </c>
      <c r="F154" s="55">
        <v>3.5380204860000002</v>
      </c>
      <c r="G154" s="55">
        <v>7.2574779200000004</v>
      </c>
      <c r="H154" s="55">
        <v>4.5359237000000006</v>
      </c>
      <c r="I154" s="55">
        <v>2.8576319310000002</v>
      </c>
      <c r="J154" s="55">
        <v>10.43262451</v>
      </c>
      <c r="K154" s="124">
        <v>10.43262451</v>
      </c>
    </row>
    <row r="155" spans="1:11" x14ac:dyDescent="0.3">
      <c r="A155" s="91" t="s">
        <v>4285</v>
      </c>
      <c r="B155" s="121">
        <v>4</v>
      </c>
      <c r="C155" s="21">
        <v>140</v>
      </c>
      <c r="D155" s="635">
        <f>VLOOKUP(B155,'Thickness Tab'!$1:$1048576,MATCH(C155,'Thickness Tab'!$1:$1,0),0)</f>
        <v>0</v>
      </c>
      <c r="E155" s="636">
        <v>0</v>
      </c>
      <c r="F155" s="636">
        <v>0</v>
      </c>
      <c r="G155" s="636">
        <v>0</v>
      </c>
      <c r="H155" s="636">
        <v>0</v>
      </c>
      <c r="I155" s="636">
        <v>0</v>
      </c>
      <c r="J155" s="636">
        <v>0</v>
      </c>
      <c r="K155" s="637">
        <v>0</v>
      </c>
    </row>
    <row r="156" spans="1:11" x14ac:dyDescent="0.3">
      <c r="A156" s="91" t="s">
        <v>4286</v>
      </c>
      <c r="B156" s="121">
        <v>4</v>
      </c>
      <c r="C156" s="21">
        <v>160</v>
      </c>
      <c r="D156" s="21">
        <f>VLOOKUP(B156,'Thickness Tab'!$1:$1048576,MATCH(C156,'Thickness Tab'!$1:$1,0),0)</f>
        <v>13.49</v>
      </c>
      <c r="E156" s="55">
        <v>2.7215542200000002</v>
      </c>
      <c r="F156" s="55">
        <v>4.2184090410000001</v>
      </c>
      <c r="G156" s="55">
        <v>8.6182550300000003</v>
      </c>
      <c r="H156" s="55">
        <v>5.4431084400000005</v>
      </c>
      <c r="I156" s="55">
        <v>3.4019427750000002</v>
      </c>
      <c r="J156" s="55">
        <v>15.422140580000001</v>
      </c>
      <c r="K156" s="124">
        <v>15.422140580000001</v>
      </c>
    </row>
    <row r="157" spans="1:11" ht="15" thickBot="1" x14ac:dyDescent="0.35">
      <c r="A157" s="94" t="s">
        <v>4287</v>
      </c>
      <c r="B157" s="122">
        <v>4</v>
      </c>
      <c r="C157" s="23" t="s">
        <v>4144</v>
      </c>
      <c r="D157" s="23">
        <f>VLOOKUP(B157,'Thickness Tab'!$1:$1048576,MATCH(C157,'Thickness Tab'!$1:$1,0),0)</f>
        <v>17.12</v>
      </c>
      <c r="E157" s="56">
        <v>3.1751465900000002</v>
      </c>
      <c r="F157" s="56">
        <v>4.9895160700000005</v>
      </c>
      <c r="G157" s="56">
        <v>10.43262451</v>
      </c>
      <c r="H157" s="56">
        <v>6.3502931800000004</v>
      </c>
      <c r="I157" s="56">
        <v>4.1730498039999997</v>
      </c>
      <c r="J157" s="56">
        <v>15.422140580000001</v>
      </c>
      <c r="K157" s="125">
        <v>15.422140580000001</v>
      </c>
    </row>
    <row r="158" spans="1:11" x14ac:dyDescent="0.3">
      <c r="A158" s="123" t="s">
        <v>4288</v>
      </c>
      <c r="B158" s="629">
        <v>5</v>
      </c>
      <c r="C158" s="326">
        <v>10</v>
      </c>
      <c r="D158" s="326">
        <f>VLOOKUP(B158,'Thickness Tab'!$1:$1048576,MATCH(C158,'Thickness Tab'!$1:$1,0),0)</f>
        <v>3.4</v>
      </c>
      <c r="E158" s="649">
        <v>0</v>
      </c>
      <c r="F158" s="630">
        <v>1.8143694800000001</v>
      </c>
      <c r="G158" s="630">
        <v>3.6287389600000002</v>
      </c>
      <c r="H158" s="649">
        <v>0</v>
      </c>
      <c r="I158" s="649">
        <v>0</v>
      </c>
      <c r="J158" s="630">
        <v>7.2574779200000004</v>
      </c>
      <c r="K158" s="631">
        <v>7.2574779200000004</v>
      </c>
    </row>
    <row r="159" spans="1:11" x14ac:dyDescent="0.3">
      <c r="A159" s="91" t="s">
        <v>4289</v>
      </c>
      <c r="B159" s="121">
        <v>5</v>
      </c>
      <c r="C159" s="21">
        <v>20</v>
      </c>
      <c r="D159" s="635">
        <f>VLOOKUP(B159,'Thickness Tab'!$1:$1048576,MATCH(C159,'Thickness Tab'!$1:$1,0),0)</f>
        <v>0</v>
      </c>
      <c r="E159" s="636">
        <v>0</v>
      </c>
      <c r="F159" s="636">
        <v>0</v>
      </c>
      <c r="G159" s="636">
        <v>0</v>
      </c>
      <c r="H159" s="636">
        <v>0</v>
      </c>
      <c r="I159" s="636">
        <v>0</v>
      </c>
      <c r="J159" s="636">
        <v>0</v>
      </c>
      <c r="K159" s="637">
        <v>0</v>
      </c>
    </row>
    <row r="160" spans="1:11" x14ac:dyDescent="0.3">
      <c r="A160" s="91" t="s">
        <v>4290</v>
      </c>
      <c r="B160" s="121">
        <v>5</v>
      </c>
      <c r="C160" s="21">
        <v>30</v>
      </c>
      <c r="D160" s="635">
        <f>VLOOKUP(B160,'Thickness Tab'!$1:$1048576,MATCH(C160,'Thickness Tab'!$1:$1,0),0)</f>
        <v>0</v>
      </c>
      <c r="E160" s="636">
        <v>0</v>
      </c>
      <c r="F160" s="636">
        <v>0</v>
      </c>
      <c r="G160" s="636">
        <v>0</v>
      </c>
      <c r="H160" s="636">
        <v>0</v>
      </c>
      <c r="I160" s="636">
        <v>0</v>
      </c>
      <c r="J160" s="636">
        <v>0</v>
      </c>
      <c r="K160" s="637">
        <v>0</v>
      </c>
    </row>
    <row r="161" spans="1:11" x14ac:dyDescent="0.3">
      <c r="A161" s="91" t="s">
        <v>4291</v>
      </c>
      <c r="B161" s="121">
        <v>5</v>
      </c>
      <c r="C161" s="21" t="s">
        <v>65</v>
      </c>
      <c r="D161" s="21">
        <f>VLOOKUP(B161,'Thickness Tab'!$1:$1048576,MATCH(C161,'Thickness Tab'!$1:$1,0),0)</f>
        <v>6.55</v>
      </c>
      <c r="E161" s="55">
        <v>1.9050879540000001</v>
      </c>
      <c r="F161" s="55">
        <v>3.4019427750000002</v>
      </c>
      <c r="G161" s="55">
        <v>6.8038855500000004</v>
      </c>
      <c r="H161" s="55">
        <v>4.5359237000000006</v>
      </c>
      <c r="I161" s="55">
        <v>2.7669134569999998</v>
      </c>
      <c r="J161" s="55">
        <v>9.979032140000001</v>
      </c>
      <c r="K161" s="124">
        <v>9.979032140000001</v>
      </c>
    </row>
    <row r="162" spans="1:11" x14ac:dyDescent="0.3">
      <c r="A162" s="91" t="s">
        <v>4292</v>
      </c>
      <c r="B162" s="121">
        <v>5</v>
      </c>
      <c r="C162" s="21">
        <v>40</v>
      </c>
      <c r="D162" s="21">
        <f>VLOOKUP(B162,'Thickness Tab'!$1:$1048576,MATCH(C162,'Thickness Tab'!$1:$1,0),0)</f>
        <v>6.55</v>
      </c>
      <c r="E162" s="55">
        <v>1.9050879540000001</v>
      </c>
      <c r="F162" s="55">
        <v>3.4019427750000002</v>
      </c>
      <c r="G162" s="55">
        <v>6.8038855500000004</v>
      </c>
      <c r="H162" s="55">
        <v>4.5359237000000006</v>
      </c>
      <c r="I162" s="55">
        <v>2.7669134569999998</v>
      </c>
      <c r="J162" s="55">
        <v>9.979032140000001</v>
      </c>
      <c r="K162" s="124">
        <v>9.979032140000001</v>
      </c>
    </row>
    <row r="163" spans="1:11" x14ac:dyDescent="0.3">
      <c r="A163" s="91" t="s">
        <v>4293</v>
      </c>
      <c r="B163" s="121">
        <v>5</v>
      </c>
      <c r="C163" s="21">
        <v>60</v>
      </c>
      <c r="D163" s="635">
        <f>VLOOKUP(B163,'Thickness Tab'!$1:$1048576,MATCH(C163,'Thickness Tab'!$1:$1,0),0)</f>
        <v>0</v>
      </c>
      <c r="E163" s="636">
        <v>0</v>
      </c>
      <c r="F163" s="636">
        <v>0</v>
      </c>
      <c r="G163" s="636">
        <v>0</v>
      </c>
      <c r="H163" s="636">
        <v>0</v>
      </c>
      <c r="I163" s="636">
        <v>0</v>
      </c>
      <c r="J163" s="636">
        <v>0</v>
      </c>
      <c r="K163" s="637">
        <v>0</v>
      </c>
    </row>
    <row r="164" spans="1:11" x14ac:dyDescent="0.3">
      <c r="A164" s="91" t="s">
        <v>4294</v>
      </c>
      <c r="B164" s="121">
        <v>5</v>
      </c>
      <c r="C164" s="21" t="s">
        <v>66</v>
      </c>
      <c r="D164" s="21">
        <f>VLOOKUP(B164,'Thickness Tab'!$1:$1048576,MATCH(C164,'Thickness Tab'!$1:$1,0),0)</f>
        <v>9.52</v>
      </c>
      <c r="E164" s="55">
        <v>2.6308357460000003</v>
      </c>
      <c r="F164" s="55">
        <v>4.9895160700000005</v>
      </c>
      <c r="G164" s="55">
        <v>9.979032140000001</v>
      </c>
      <c r="H164" s="55">
        <v>6.3502931800000004</v>
      </c>
      <c r="I164" s="55">
        <v>3.9008943820000002</v>
      </c>
      <c r="J164" s="55">
        <v>12.700586360000001</v>
      </c>
      <c r="K164" s="124">
        <v>12.700586360000001</v>
      </c>
    </row>
    <row r="165" spans="1:11" x14ac:dyDescent="0.3">
      <c r="A165" s="91" t="s">
        <v>4295</v>
      </c>
      <c r="B165" s="121">
        <v>5</v>
      </c>
      <c r="C165" s="21">
        <v>80</v>
      </c>
      <c r="D165" s="21">
        <f>VLOOKUP(B165,'Thickness Tab'!$1:$1048576,MATCH(C165,'Thickness Tab'!$1:$1,0),0)</f>
        <v>9.52</v>
      </c>
      <c r="E165" s="55">
        <v>2.6308357460000003</v>
      </c>
      <c r="F165" s="55">
        <v>4.9895160700000005</v>
      </c>
      <c r="G165" s="55">
        <v>9.979032140000001</v>
      </c>
      <c r="H165" s="55">
        <v>6.3502931800000004</v>
      </c>
      <c r="I165" s="55">
        <v>3.9008943820000002</v>
      </c>
      <c r="J165" s="55">
        <v>12.700586360000001</v>
      </c>
      <c r="K165" s="124">
        <v>12.700586360000001</v>
      </c>
    </row>
    <row r="166" spans="1:11" x14ac:dyDescent="0.3">
      <c r="A166" s="91" t="s">
        <v>4296</v>
      </c>
      <c r="B166" s="121">
        <v>5</v>
      </c>
      <c r="C166" s="21">
        <v>100</v>
      </c>
      <c r="D166" s="635">
        <f>VLOOKUP(B166,'Thickness Tab'!$1:$1048576,MATCH(C166,'Thickness Tab'!$1:$1,0),0)</f>
        <v>0</v>
      </c>
      <c r="E166" s="636">
        <v>0</v>
      </c>
      <c r="F166" s="636">
        <v>0</v>
      </c>
      <c r="G166" s="636">
        <v>0</v>
      </c>
      <c r="H166" s="636">
        <v>0</v>
      </c>
      <c r="I166" s="636">
        <v>0</v>
      </c>
      <c r="J166" s="636">
        <v>0</v>
      </c>
      <c r="K166" s="637">
        <v>0</v>
      </c>
    </row>
    <row r="167" spans="1:11" x14ac:dyDescent="0.3">
      <c r="A167" s="91" t="s">
        <v>4297</v>
      </c>
      <c r="B167" s="121">
        <v>5</v>
      </c>
      <c r="C167" s="21">
        <v>120</v>
      </c>
      <c r="D167" s="21">
        <f>VLOOKUP(B167,'Thickness Tab'!$1:$1048576,MATCH(C167,'Thickness Tab'!$1:$1,0),0)</f>
        <v>12.7</v>
      </c>
      <c r="E167" s="55">
        <v>3.9008943820000002</v>
      </c>
      <c r="F167" s="55">
        <v>6.3502931800000004</v>
      </c>
      <c r="G167" s="55">
        <v>12.700586360000001</v>
      </c>
      <c r="H167" s="55">
        <v>8.6182550300000003</v>
      </c>
      <c r="I167" s="55">
        <v>5.4431084400000005</v>
      </c>
      <c r="J167" s="55">
        <v>19.958064280000002</v>
      </c>
      <c r="K167" s="124">
        <v>19.958064280000002</v>
      </c>
    </row>
    <row r="168" spans="1:11" x14ac:dyDescent="0.3">
      <c r="A168" s="91" t="s">
        <v>4298</v>
      </c>
      <c r="B168" s="121">
        <v>5</v>
      </c>
      <c r="C168" s="21">
        <v>140</v>
      </c>
      <c r="D168" s="635">
        <f>VLOOKUP(B168,'Thickness Tab'!$1:$1048576,MATCH(C168,'Thickness Tab'!$1:$1,0),0)</f>
        <v>0</v>
      </c>
      <c r="E168" s="636">
        <v>0</v>
      </c>
      <c r="F168" s="636">
        <v>0</v>
      </c>
      <c r="G168" s="636">
        <v>0</v>
      </c>
      <c r="H168" s="636">
        <v>0</v>
      </c>
      <c r="I168" s="636">
        <v>0</v>
      </c>
      <c r="J168" s="636">
        <v>0</v>
      </c>
      <c r="K168" s="637">
        <v>0</v>
      </c>
    </row>
    <row r="169" spans="1:11" x14ac:dyDescent="0.3">
      <c r="A169" s="91" t="s">
        <v>4299</v>
      </c>
      <c r="B169" s="121">
        <v>5</v>
      </c>
      <c r="C169" s="21">
        <v>160</v>
      </c>
      <c r="D169" s="21">
        <f>VLOOKUP(B169,'Thickness Tab'!$1:$1048576,MATCH(C169,'Thickness Tab'!$1:$1,0),0)</f>
        <v>15.87</v>
      </c>
      <c r="E169" s="55">
        <v>4.5359237000000006</v>
      </c>
      <c r="F169" s="55">
        <v>7.7110702900000003</v>
      </c>
      <c r="G169" s="55">
        <v>15.422140580000001</v>
      </c>
      <c r="H169" s="55">
        <v>9.5254397700000002</v>
      </c>
      <c r="I169" s="55">
        <v>6.3502931800000004</v>
      </c>
      <c r="J169" s="55">
        <v>24.040395610000001</v>
      </c>
      <c r="K169" s="124">
        <v>24.040395610000001</v>
      </c>
    </row>
    <row r="170" spans="1:11" ht="15" thickBot="1" x14ac:dyDescent="0.35">
      <c r="A170" s="94" t="s">
        <v>4300</v>
      </c>
      <c r="B170" s="122">
        <v>5</v>
      </c>
      <c r="C170" s="23" t="s">
        <v>4144</v>
      </c>
      <c r="D170" s="23">
        <f>VLOOKUP(B170,'Thickness Tab'!$1:$1048576,MATCH(C170,'Thickness Tab'!$1:$1,0),0)</f>
        <v>19.05</v>
      </c>
      <c r="E170" s="56">
        <v>5.4431084400000005</v>
      </c>
      <c r="F170" s="56">
        <v>9.0718474000000011</v>
      </c>
      <c r="G170" s="56">
        <v>18.143694800000002</v>
      </c>
      <c r="H170" s="56">
        <v>11.33980925</v>
      </c>
      <c r="I170" s="56">
        <v>7.2574779200000004</v>
      </c>
      <c r="J170" s="56">
        <v>24.040395610000001</v>
      </c>
      <c r="K170" s="125">
        <v>24.040395610000001</v>
      </c>
    </row>
    <row r="171" spans="1:11" x14ac:dyDescent="0.3">
      <c r="A171" s="123" t="s">
        <v>4301</v>
      </c>
      <c r="B171" s="629">
        <v>6</v>
      </c>
      <c r="C171" s="326">
        <v>10</v>
      </c>
      <c r="D171" s="326">
        <f>VLOOKUP(B171,'Thickness Tab'!$1:$1048576,MATCH(C171,'Thickness Tab'!$1:$1,0),0)</f>
        <v>3.4</v>
      </c>
      <c r="E171" s="649">
        <v>0</v>
      </c>
      <c r="F171" s="630">
        <v>2.5854765090000003</v>
      </c>
      <c r="G171" s="630">
        <v>4.9895160700000005</v>
      </c>
      <c r="H171" s="649">
        <v>0</v>
      </c>
      <c r="I171" s="649">
        <v>0</v>
      </c>
      <c r="J171" s="630">
        <v>12.24699399</v>
      </c>
      <c r="K171" s="631">
        <v>12.24699399</v>
      </c>
    </row>
    <row r="172" spans="1:11" x14ac:dyDescent="0.3">
      <c r="A172" s="91" t="s">
        <v>4302</v>
      </c>
      <c r="B172" s="121">
        <v>6</v>
      </c>
      <c r="C172" s="21">
        <v>20</v>
      </c>
      <c r="D172" s="635">
        <f>VLOOKUP(B172,'Thickness Tab'!$1:$1048576,MATCH(C172,'Thickness Tab'!$1:$1,0),0)</f>
        <v>0</v>
      </c>
      <c r="E172" s="636">
        <v>0</v>
      </c>
      <c r="F172" s="636">
        <v>0</v>
      </c>
      <c r="G172" s="636">
        <v>0</v>
      </c>
      <c r="H172" s="636">
        <v>0</v>
      </c>
      <c r="I172" s="636">
        <v>0</v>
      </c>
      <c r="J172" s="636">
        <v>0</v>
      </c>
      <c r="K172" s="637">
        <v>0</v>
      </c>
    </row>
    <row r="173" spans="1:11" x14ac:dyDescent="0.3">
      <c r="A173" s="91" t="s">
        <v>4303</v>
      </c>
      <c r="B173" s="121">
        <v>6</v>
      </c>
      <c r="C173" s="21">
        <v>30</v>
      </c>
      <c r="D173" s="635">
        <f>VLOOKUP(B173,'Thickness Tab'!$1:$1048576,MATCH(C173,'Thickness Tab'!$1:$1,0),0)</f>
        <v>0</v>
      </c>
      <c r="E173" s="636">
        <v>0</v>
      </c>
      <c r="F173" s="636">
        <v>0</v>
      </c>
      <c r="G173" s="636">
        <v>0</v>
      </c>
      <c r="H173" s="636">
        <v>0</v>
      </c>
      <c r="I173" s="636">
        <v>0</v>
      </c>
      <c r="J173" s="636">
        <v>0</v>
      </c>
      <c r="K173" s="637">
        <v>0</v>
      </c>
    </row>
    <row r="174" spans="1:11" x14ac:dyDescent="0.3">
      <c r="A174" s="91" t="s">
        <v>4304</v>
      </c>
      <c r="B174" s="121">
        <v>6</v>
      </c>
      <c r="C174" s="21" t="s">
        <v>65</v>
      </c>
      <c r="D174" s="21">
        <f>VLOOKUP(B174,'Thickness Tab'!$1:$1048576,MATCH(C174,'Thickness Tab'!$1:$1,0),0)</f>
        <v>7.11</v>
      </c>
      <c r="E174" s="55">
        <v>2.9029911680000002</v>
      </c>
      <c r="F174" s="55">
        <v>5.4431084400000005</v>
      </c>
      <c r="G174" s="55">
        <v>10.886216880000001</v>
      </c>
      <c r="H174" s="55">
        <v>7.2574779200000004</v>
      </c>
      <c r="I174" s="55">
        <v>3.9462536189999997</v>
      </c>
      <c r="J174" s="55">
        <v>16.329325320000002</v>
      </c>
      <c r="K174" s="124">
        <v>16.329325320000002</v>
      </c>
    </row>
    <row r="175" spans="1:11" x14ac:dyDescent="0.3">
      <c r="A175" s="91" t="s">
        <v>4305</v>
      </c>
      <c r="B175" s="121">
        <v>6</v>
      </c>
      <c r="C175" s="21">
        <v>40</v>
      </c>
      <c r="D175" s="21">
        <f>VLOOKUP(B175,'Thickness Tab'!$1:$1048576,MATCH(C175,'Thickness Tab'!$1:$1,0),0)</f>
        <v>7.11</v>
      </c>
      <c r="E175" s="55">
        <v>2.9029911680000002</v>
      </c>
      <c r="F175" s="55">
        <v>5.4431084400000005</v>
      </c>
      <c r="G175" s="55">
        <v>10.886216880000001</v>
      </c>
      <c r="H175" s="55">
        <v>7.2574779200000004</v>
      </c>
      <c r="I175" s="55">
        <v>3.9462536189999997</v>
      </c>
      <c r="J175" s="55">
        <v>16.329325320000002</v>
      </c>
      <c r="K175" s="124">
        <v>16.329325320000002</v>
      </c>
    </row>
    <row r="176" spans="1:11" x14ac:dyDescent="0.3">
      <c r="A176" s="91" t="s">
        <v>4306</v>
      </c>
      <c r="B176" s="121">
        <v>6</v>
      </c>
      <c r="C176" s="21">
        <v>60</v>
      </c>
      <c r="D176" s="635">
        <f>VLOOKUP(B176,'Thickness Tab'!$1:$1048576,MATCH(C176,'Thickness Tab'!$1:$1,0),0)</f>
        <v>0</v>
      </c>
      <c r="E176" s="636">
        <v>0</v>
      </c>
      <c r="F176" s="636">
        <v>0</v>
      </c>
      <c r="G176" s="636">
        <v>0</v>
      </c>
      <c r="H176" s="636">
        <v>0</v>
      </c>
      <c r="I176" s="636">
        <v>0</v>
      </c>
      <c r="J176" s="636">
        <v>0</v>
      </c>
      <c r="K176" s="637">
        <v>0</v>
      </c>
    </row>
    <row r="177" spans="1:11" x14ac:dyDescent="0.3">
      <c r="A177" s="91" t="s">
        <v>4307</v>
      </c>
      <c r="B177" s="121">
        <v>6</v>
      </c>
      <c r="C177" s="21" t="s">
        <v>66</v>
      </c>
      <c r="D177" s="21">
        <f>VLOOKUP(B177,'Thickness Tab'!$1:$1048576,MATCH(C177,'Thickness Tab'!$1:$1,0),0)</f>
        <v>10.97</v>
      </c>
      <c r="E177" s="55">
        <v>4.2637682780000006</v>
      </c>
      <c r="F177" s="55">
        <v>8.1646626600000012</v>
      </c>
      <c r="G177" s="55">
        <v>16.329325320000002</v>
      </c>
      <c r="H177" s="55">
        <v>10.43262451</v>
      </c>
      <c r="I177" s="55">
        <v>5.8967008100000005</v>
      </c>
      <c r="J177" s="55">
        <v>19.05087954</v>
      </c>
      <c r="K177" s="124">
        <v>19.05087954</v>
      </c>
    </row>
    <row r="178" spans="1:11" x14ac:dyDescent="0.3">
      <c r="A178" s="91" t="s">
        <v>4308</v>
      </c>
      <c r="B178" s="121">
        <v>6</v>
      </c>
      <c r="C178" s="21">
        <v>80</v>
      </c>
      <c r="D178" s="21">
        <f>VLOOKUP(B178,'Thickness Tab'!$1:$1048576,MATCH(C178,'Thickness Tab'!$1:$1,0),0)</f>
        <v>10.97</v>
      </c>
      <c r="E178" s="55">
        <v>4.2637682780000006</v>
      </c>
      <c r="F178" s="55">
        <v>8.1646626600000012</v>
      </c>
      <c r="G178" s="55">
        <v>16.329325320000002</v>
      </c>
      <c r="H178" s="55">
        <v>10.43262451</v>
      </c>
      <c r="I178" s="55">
        <v>5.8967008100000005</v>
      </c>
      <c r="J178" s="55">
        <v>19.05087954</v>
      </c>
      <c r="K178" s="124">
        <v>19.05087954</v>
      </c>
    </row>
    <row r="179" spans="1:11" x14ac:dyDescent="0.3">
      <c r="A179" s="91" t="s">
        <v>4309</v>
      </c>
      <c r="B179" s="121">
        <v>6</v>
      </c>
      <c r="C179" s="21">
        <v>100</v>
      </c>
      <c r="D179" s="635">
        <f>VLOOKUP(B179,'Thickness Tab'!$1:$1048576,MATCH(C179,'Thickness Tab'!$1:$1,0),0)</f>
        <v>0</v>
      </c>
      <c r="E179" s="636">
        <v>0</v>
      </c>
      <c r="F179" s="636">
        <v>0</v>
      </c>
      <c r="G179" s="636">
        <v>0</v>
      </c>
      <c r="H179" s="636">
        <v>0</v>
      </c>
      <c r="I179" s="636">
        <v>0</v>
      </c>
      <c r="J179" s="636">
        <v>0</v>
      </c>
      <c r="K179" s="637">
        <v>0</v>
      </c>
    </row>
    <row r="180" spans="1:11" x14ac:dyDescent="0.3">
      <c r="A180" s="91" t="s">
        <v>4310</v>
      </c>
      <c r="B180" s="121">
        <v>6</v>
      </c>
      <c r="C180" s="21">
        <v>120</v>
      </c>
      <c r="D180" s="21">
        <f>VLOOKUP(B180,'Thickness Tab'!$1:$1048576,MATCH(C180,'Thickness Tab'!$1:$1,0),0)</f>
        <v>14.27</v>
      </c>
      <c r="E180" s="55">
        <v>5.8967008100000005</v>
      </c>
      <c r="F180" s="55">
        <v>9.979032140000001</v>
      </c>
      <c r="G180" s="55">
        <v>20.411656650000001</v>
      </c>
      <c r="H180" s="55">
        <v>13.607771100000001</v>
      </c>
      <c r="I180" s="55">
        <v>7.7110702900000003</v>
      </c>
      <c r="J180" s="55">
        <v>29.029911680000001</v>
      </c>
      <c r="K180" s="124">
        <v>29.029911680000001</v>
      </c>
    </row>
    <row r="181" spans="1:11" x14ac:dyDescent="0.3">
      <c r="A181" s="91" t="s">
        <v>4311</v>
      </c>
      <c r="B181" s="121">
        <v>6</v>
      </c>
      <c r="C181" s="21">
        <v>140</v>
      </c>
      <c r="D181" s="635">
        <f>VLOOKUP(B181,'Thickness Tab'!$1:$1048576,MATCH(C181,'Thickness Tab'!$1:$1,0),0)</f>
        <v>0</v>
      </c>
      <c r="E181" s="636">
        <v>0</v>
      </c>
      <c r="F181" s="636">
        <v>0</v>
      </c>
      <c r="G181" s="636">
        <v>0</v>
      </c>
      <c r="H181" s="636">
        <v>0</v>
      </c>
      <c r="I181" s="636">
        <v>0</v>
      </c>
      <c r="J181" s="636">
        <v>0</v>
      </c>
      <c r="K181" s="637">
        <v>0</v>
      </c>
    </row>
    <row r="182" spans="1:11" x14ac:dyDescent="0.3">
      <c r="A182" s="91" t="s">
        <v>4312</v>
      </c>
      <c r="B182" s="121">
        <v>6</v>
      </c>
      <c r="C182" s="21">
        <v>160</v>
      </c>
      <c r="D182" s="21">
        <f>VLOOKUP(B182,'Thickness Tab'!$1:$1048576,MATCH(C182,'Thickness Tab'!$1:$1,0),0)</f>
        <v>18.260000000000002</v>
      </c>
      <c r="E182" s="55">
        <v>7.2574779200000004</v>
      </c>
      <c r="F182" s="55">
        <v>12.700586360000001</v>
      </c>
      <c r="G182" s="55">
        <v>25.401172720000002</v>
      </c>
      <c r="H182" s="55">
        <v>15.875732950000002</v>
      </c>
      <c r="I182" s="55">
        <v>9.5254397700000002</v>
      </c>
      <c r="J182" s="55">
        <v>38.555351450000003</v>
      </c>
      <c r="K182" s="124">
        <v>38.555351450000003</v>
      </c>
    </row>
    <row r="183" spans="1:11" ht="15" thickBot="1" x14ac:dyDescent="0.35">
      <c r="A183" s="94" t="s">
        <v>4313</v>
      </c>
      <c r="B183" s="122">
        <v>6</v>
      </c>
      <c r="C183" s="23" t="s">
        <v>4144</v>
      </c>
      <c r="D183" s="23">
        <f>VLOOKUP(B183,'Thickness Tab'!$1:$1048576,MATCH(C183,'Thickness Tab'!$1:$1,0),0)</f>
        <v>21.95</v>
      </c>
      <c r="E183" s="56">
        <v>8.6182550300000003</v>
      </c>
      <c r="F183" s="56">
        <v>14.968548210000002</v>
      </c>
      <c r="G183" s="56">
        <v>29.937096420000003</v>
      </c>
      <c r="H183" s="56">
        <v>19.958064280000002</v>
      </c>
      <c r="I183" s="56">
        <v>10.886216880000001</v>
      </c>
      <c r="J183" s="56">
        <v>38.555351450000003</v>
      </c>
      <c r="K183" s="125">
        <v>38.555351450000003</v>
      </c>
    </row>
    <row r="184" spans="1:11" x14ac:dyDescent="0.3">
      <c r="A184" s="123" t="s">
        <v>4314</v>
      </c>
      <c r="B184" s="629">
        <v>8</v>
      </c>
      <c r="C184" s="326">
        <v>10</v>
      </c>
      <c r="D184" s="326">
        <f>VLOOKUP(B184,'Thickness Tab'!$1:$1048576,MATCH(C184,'Thickness Tab'!$1:$1,0),0)</f>
        <v>3.76</v>
      </c>
      <c r="E184" s="649">
        <v>0</v>
      </c>
      <c r="F184" s="630">
        <v>4.9895160700000005</v>
      </c>
      <c r="G184" s="630">
        <v>9.979032140000001</v>
      </c>
      <c r="H184" s="649">
        <v>0</v>
      </c>
      <c r="I184" s="649">
        <v>0</v>
      </c>
      <c r="J184" s="630">
        <v>19.958064280000002</v>
      </c>
      <c r="K184" s="631">
        <v>19.958064280000002</v>
      </c>
    </row>
    <row r="185" spans="1:11" x14ac:dyDescent="0.3">
      <c r="A185" s="91" t="s">
        <v>4315</v>
      </c>
      <c r="B185" s="121">
        <v>8</v>
      </c>
      <c r="C185" s="21">
        <v>20</v>
      </c>
      <c r="D185" s="21">
        <f>VLOOKUP(B185,'Thickness Tab'!$1:$1048576,MATCH(C185,'Thickness Tab'!$1:$1,0),0)</f>
        <v>6.35</v>
      </c>
      <c r="E185" s="55">
        <v>3.9462536189999997</v>
      </c>
      <c r="F185" s="55">
        <v>8.1646626600000012</v>
      </c>
      <c r="G185" s="55">
        <v>16.329325320000002</v>
      </c>
      <c r="H185" s="55">
        <v>10.886216880000001</v>
      </c>
      <c r="I185" s="55">
        <v>4.9895160700000005</v>
      </c>
      <c r="J185" s="55">
        <v>24.49398798</v>
      </c>
      <c r="K185" s="124">
        <v>24.49398798</v>
      </c>
    </row>
    <row r="186" spans="1:11" x14ac:dyDescent="0.3">
      <c r="A186" s="91" t="s">
        <v>4316</v>
      </c>
      <c r="B186" s="121">
        <v>8</v>
      </c>
      <c r="C186" s="21">
        <v>30</v>
      </c>
      <c r="D186" s="21">
        <f>VLOOKUP(B186,'Thickness Tab'!$1:$1048576,MATCH(C186,'Thickness Tab'!$1:$1,0),0)</f>
        <v>7.04</v>
      </c>
      <c r="E186" s="55">
        <v>4.3544867519999997</v>
      </c>
      <c r="F186" s="55">
        <v>9.0718474000000011</v>
      </c>
      <c r="G186" s="55">
        <v>18.597287170000001</v>
      </c>
      <c r="H186" s="55">
        <v>12.24699399</v>
      </c>
      <c r="I186" s="55">
        <v>5.4431084400000005</v>
      </c>
      <c r="J186" s="55">
        <v>25.854765090000001</v>
      </c>
      <c r="K186" s="124">
        <v>25.854765090000001</v>
      </c>
    </row>
    <row r="187" spans="1:11" x14ac:dyDescent="0.3">
      <c r="A187" s="91" t="s">
        <v>4317</v>
      </c>
      <c r="B187" s="121">
        <v>8</v>
      </c>
      <c r="C187" s="21" t="s">
        <v>65</v>
      </c>
      <c r="D187" s="21">
        <f>VLOOKUP(B187,'Thickness Tab'!$1:$1048576,MATCH(C187,'Thickness Tab'!$1:$1,0),0)</f>
        <v>8.18</v>
      </c>
      <c r="E187" s="55">
        <v>4.9895160700000005</v>
      </c>
      <c r="F187" s="55">
        <v>10.886216880000001</v>
      </c>
      <c r="G187" s="55">
        <v>21.772433760000002</v>
      </c>
      <c r="H187" s="55">
        <v>14.06136347</v>
      </c>
      <c r="I187" s="55">
        <v>6.3502931800000004</v>
      </c>
      <c r="J187" s="55">
        <v>27.669134570000001</v>
      </c>
      <c r="K187" s="124">
        <v>27.669134570000001</v>
      </c>
    </row>
    <row r="188" spans="1:11" x14ac:dyDescent="0.3">
      <c r="A188" s="91" t="s">
        <v>4318</v>
      </c>
      <c r="B188" s="121">
        <v>8</v>
      </c>
      <c r="C188" s="21">
        <v>40</v>
      </c>
      <c r="D188" s="21">
        <f>VLOOKUP(B188,'Thickness Tab'!$1:$1048576,MATCH(C188,'Thickness Tab'!$1:$1,0),0)</f>
        <v>8.18</v>
      </c>
      <c r="E188" s="55">
        <v>4.9895160700000005</v>
      </c>
      <c r="F188" s="55">
        <v>10.886216880000001</v>
      </c>
      <c r="G188" s="55">
        <v>21.772433760000002</v>
      </c>
      <c r="H188" s="55">
        <v>14.06136347</v>
      </c>
      <c r="I188" s="55">
        <v>6.3502931800000004</v>
      </c>
      <c r="J188" s="55">
        <v>27.669134570000001</v>
      </c>
      <c r="K188" s="124">
        <v>27.669134570000001</v>
      </c>
    </row>
    <row r="189" spans="1:11" x14ac:dyDescent="0.3">
      <c r="A189" s="91" t="s">
        <v>4319</v>
      </c>
      <c r="B189" s="121">
        <v>8</v>
      </c>
      <c r="C189" s="21">
        <v>60</v>
      </c>
      <c r="D189" s="21">
        <f>VLOOKUP(B189,'Thickness Tab'!$1:$1048576,MATCH(C189,'Thickness Tab'!$1:$1,0),0)</f>
        <v>10.31</v>
      </c>
      <c r="E189" s="55">
        <v>6.3502931800000004</v>
      </c>
      <c r="F189" s="55">
        <v>13.15417873</v>
      </c>
      <c r="G189" s="55">
        <v>26.30835746</v>
      </c>
      <c r="H189" s="55">
        <v>17.69010243</v>
      </c>
      <c r="I189" s="55">
        <v>8.1646626600000012</v>
      </c>
      <c r="J189" s="55">
        <v>34.473020120000001</v>
      </c>
      <c r="K189" s="124">
        <v>34.473020120000001</v>
      </c>
    </row>
    <row r="190" spans="1:11" x14ac:dyDescent="0.3">
      <c r="A190" s="91" t="s">
        <v>4320</v>
      </c>
      <c r="B190" s="121">
        <v>8</v>
      </c>
      <c r="C190" s="21" t="s">
        <v>66</v>
      </c>
      <c r="D190" s="21">
        <f>VLOOKUP(B190,'Thickness Tab'!$1:$1048576,MATCH(C190,'Thickness Tab'!$1:$1,0),0)</f>
        <v>12.7</v>
      </c>
      <c r="E190" s="55">
        <v>7.7110702900000003</v>
      </c>
      <c r="F190" s="55">
        <v>16.329325320000002</v>
      </c>
      <c r="G190" s="55">
        <v>33.11224301</v>
      </c>
      <c r="H190" s="55">
        <v>21.772433760000002</v>
      </c>
      <c r="I190" s="55">
        <v>9.979032140000001</v>
      </c>
      <c r="J190" s="55">
        <v>34.473020120000001</v>
      </c>
      <c r="K190" s="124">
        <v>34.473020120000001</v>
      </c>
    </row>
    <row r="191" spans="1:11" x14ac:dyDescent="0.3">
      <c r="A191" s="91" t="s">
        <v>4321</v>
      </c>
      <c r="B191" s="121">
        <v>8</v>
      </c>
      <c r="C191" s="21">
        <v>80</v>
      </c>
      <c r="D191" s="21">
        <f>VLOOKUP(B191,'Thickness Tab'!$1:$1048576,MATCH(C191,'Thickness Tab'!$1:$1,0),0)</f>
        <v>12.7</v>
      </c>
      <c r="E191" s="55">
        <v>7.7110702900000003</v>
      </c>
      <c r="F191" s="55">
        <v>16.329325320000002</v>
      </c>
      <c r="G191" s="55">
        <v>33.11224301</v>
      </c>
      <c r="H191" s="55">
        <v>21.772433760000002</v>
      </c>
      <c r="I191" s="55">
        <v>9.979032140000001</v>
      </c>
      <c r="J191" s="55">
        <v>34.473020120000001</v>
      </c>
      <c r="K191" s="124">
        <v>34.473020120000001</v>
      </c>
    </row>
    <row r="192" spans="1:11" x14ac:dyDescent="0.3">
      <c r="A192" s="91" t="s">
        <v>4322</v>
      </c>
      <c r="B192" s="121">
        <v>8</v>
      </c>
      <c r="C192" s="21">
        <v>100</v>
      </c>
      <c r="D192" s="21">
        <f>VLOOKUP(B192,'Thickness Tab'!$1:$1048576,MATCH(C192,'Thickness Tab'!$1:$1,0),0)</f>
        <v>15.08</v>
      </c>
      <c r="E192" s="55">
        <v>10.886216880000001</v>
      </c>
      <c r="F192" s="55">
        <v>19.05087954</v>
      </c>
      <c r="G192" s="55">
        <v>38.101759080000001</v>
      </c>
      <c r="H192" s="55">
        <v>25.401172720000002</v>
      </c>
      <c r="I192" s="55">
        <v>11.33980925</v>
      </c>
      <c r="J192" s="55">
        <v>43.998459889999999</v>
      </c>
      <c r="K192" s="124">
        <v>43.998459889999999</v>
      </c>
    </row>
    <row r="193" spans="1:11" x14ac:dyDescent="0.3">
      <c r="A193" s="91" t="s">
        <v>4323</v>
      </c>
      <c r="B193" s="121">
        <v>8</v>
      </c>
      <c r="C193" s="21">
        <v>120</v>
      </c>
      <c r="D193" s="21">
        <f>VLOOKUP(B193,'Thickness Tab'!$1:$1048576,MATCH(C193,'Thickness Tab'!$1:$1,0),0)</f>
        <v>18.260000000000002</v>
      </c>
      <c r="E193" s="55">
        <v>12.700586360000001</v>
      </c>
      <c r="F193" s="55">
        <v>22.6796185</v>
      </c>
      <c r="G193" s="55">
        <v>45.359237</v>
      </c>
      <c r="H193" s="55">
        <v>29.937096420000003</v>
      </c>
      <c r="I193" s="55">
        <v>13.607771100000001</v>
      </c>
      <c r="J193" s="55">
        <v>52.163122550000004</v>
      </c>
      <c r="K193" s="124">
        <v>52.163122550000004</v>
      </c>
    </row>
    <row r="194" spans="1:11" x14ac:dyDescent="0.3">
      <c r="A194" s="91" t="s">
        <v>4324</v>
      </c>
      <c r="B194" s="121">
        <v>8</v>
      </c>
      <c r="C194" s="21">
        <v>140</v>
      </c>
      <c r="D194" s="21">
        <f>VLOOKUP(B194,'Thickness Tab'!$1:$1048576,MATCH(C194,'Thickness Tab'!$1:$1,0),0)</f>
        <v>20.63</v>
      </c>
      <c r="E194" s="55">
        <v>14.06136347</v>
      </c>
      <c r="F194" s="55">
        <v>24.947580350000003</v>
      </c>
      <c r="G194" s="55">
        <v>50.348753070000001</v>
      </c>
      <c r="H194" s="55">
        <v>33.565835380000003</v>
      </c>
      <c r="I194" s="55">
        <v>15.422140580000001</v>
      </c>
      <c r="J194" s="55">
        <v>60.327785210000002</v>
      </c>
      <c r="K194" s="124">
        <v>60.327785210000002</v>
      </c>
    </row>
    <row r="195" spans="1:11" x14ac:dyDescent="0.3">
      <c r="A195" s="91" t="s">
        <v>4325</v>
      </c>
      <c r="B195" s="121">
        <v>8</v>
      </c>
      <c r="C195" s="21">
        <v>160</v>
      </c>
      <c r="D195" s="21">
        <f>VLOOKUP(B195,'Thickness Tab'!$1:$1048576,MATCH(C195,'Thickness Tab'!$1:$1,0),0)</f>
        <v>23.01</v>
      </c>
      <c r="E195" s="55">
        <v>15.422140580000001</v>
      </c>
      <c r="F195" s="55">
        <v>27.669134570000001</v>
      </c>
      <c r="G195" s="55">
        <v>55.791861510000004</v>
      </c>
      <c r="H195" s="55">
        <v>35.833797230000002</v>
      </c>
      <c r="I195" s="55">
        <v>16.782917690000001</v>
      </c>
      <c r="J195" s="55">
        <v>68.946040240000002</v>
      </c>
      <c r="K195" s="124">
        <v>68.946040240000002</v>
      </c>
    </row>
    <row r="196" spans="1:11" ht="15" thickBot="1" x14ac:dyDescent="0.35">
      <c r="A196" s="94" t="s">
        <v>4326</v>
      </c>
      <c r="B196" s="122">
        <v>8</v>
      </c>
      <c r="C196" s="23" t="s">
        <v>4144</v>
      </c>
      <c r="D196" s="23">
        <f>VLOOKUP(B196,'Thickness Tab'!$1:$1048576,MATCH(C196,'Thickness Tab'!$1:$1,0),0)</f>
        <v>22.22</v>
      </c>
      <c r="E196" s="56">
        <v>14.968548210000002</v>
      </c>
      <c r="F196" s="56">
        <v>27.215542200000002</v>
      </c>
      <c r="G196" s="56">
        <v>54.431084400000003</v>
      </c>
      <c r="H196" s="56">
        <v>34.926612490000004</v>
      </c>
      <c r="I196" s="56">
        <v>16.329325320000002</v>
      </c>
      <c r="J196" s="56">
        <v>68.946040240000002</v>
      </c>
      <c r="K196" s="125">
        <v>68.946040240000002</v>
      </c>
    </row>
    <row r="197" spans="1:11" x14ac:dyDescent="0.3">
      <c r="A197" s="123" t="s">
        <v>4327</v>
      </c>
      <c r="B197" s="629">
        <v>10</v>
      </c>
      <c r="C197" s="326">
        <v>10</v>
      </c>
      <c r="D197" s="326">
        <f>VLOOKUP(B197,'Thickness Tab'!$1:$1048576,MATCH(C197,'Thickness Tab'!$1:$1,0),0)</f>
        <v>4.1900000000000004</v>
      </c>
      <c r="E197" s="649">
        <v>0</v>
      </c>
      <c r="F197" s="630">
        <v>8.6182550300000003</v>
      </c>
      <c r="G197" s="630">
        <v>17.69010243</v>
      </c>
      <c r="H197" s="649">
        <v>0</v>
      </c>
      <c r="I197" s="649">
        <v>0</v>
      </c>
      <c r="J197" s="630">
        <v>27.215542200000002</v>
      </c>
      <c r="K197" s="631">
        <v>27.215542200000002</v>
      </c>
    </row>
    <row r="198" spans="1:11" x14ac:dyDescent="0.3">
      <c r="A198" s="91" t="s">
        <v>4328</v>
      </c>
      <c r="B198" s="121">
        <v>10</v>
      </c>
      <c r="C198" s="21">
        <v>20</v>
      </c>
      <c r="D198" s="21">
        <f>VLOOKUP(B198,'Thickness Tab'!$1:$1048576,MATCH(C198,'Thickness Tab'!$1:$1,0),0)</f>
        <v>6.35</v>
      </c>
      <c r="E198" s="55">
        <v>6.3502931800000004</v>
      </c>
      <c r="F198" s="55">
        <v>12.700586360000001</v>
      </c>
      <c r="G198" s="55">
        <v>25.854765090000001</v>
      </c>
      <c r="H198" s="55">
        <v>17.236510060000001</v>
      </c>
      <c r="I198" s="55">
        <v>7.2574779200000004</v>
      </c>
      <c r="J198" s="55">
        <v>33.11224301</v>
      </c>
      <c r="K198" s="124">
        <v>33.11224301</v>
      </c>
    </row>
    <row r="199" spans="1:11" x14ac:dyDescent="0.3">
      <c r="A199" s="91" t="s">
        <v>4329</v>
      </c>
      <c r="B199" s="121">
        <v>10</v>
      </c>
      <c r="C199" s="21">
        <v>30</v>
      </c>
      <c r="D199" s="21">
        <f>VLOOKUP(B199,'Thickness Tab'!$1:$1048576,MATCH(C199,'Thickness Tab'!$1:$1,0),0)</f>
        <v>7.8</v>
      </c>
      <c r="E199" s="55">
        <v>7.7110702900000003</v>
      </c>
      <c r="F199" s="55">
        <v>15.875732950000002</v>
      </c>
      <c r="G199" s="55">
        <v>31.751465900000003</v>
      </c>
      <c r="H199" s="55">
        <v>21.318841389999999</v>
      </c>
      <c r="I199" s="55">
        <v>9.0718474000000011</v>
      </c>
      <c r="J199" s="55">
        <v>36.74098197</v>
      </c>
      <c r="K199" s="124">
        <v>36.74098197</v>
      </c>
    </row>
    <row r="200" spans="1:11" x14ac:dyDescent="0.3">
      <c r="A200" s="91" t="s">
        <v>4330</v>
      </c>
      <c r="B200" s="121">
        <v>10</v>
      </c>
      <c r="C200" s="21" t="s">
        <v>65</v>
      </c>
      <c r="D200" s="21">
        <f>VLOOKUP(B200,'Thickness Tab'!$1:$1048576,MATCH(C200,'Thickness Tab'!$1:$1,0),0)</f>
        <v>9.27</v>
      </c>
      <c r="E200" s="55">
        <v>9.0718474000000011</v>
      </c>
      <c r="F200" s="55">
        <v>19.05087954</v>
      </c>
      <c r="G200" s="55">
        <v>38.555351450000003</v>
      </c>
      <c r="H200" s="55">
        <v>25.401172720000002</v>
      </c>
      <c r="I200" s="55">
        <v>10.886216880000001</v>
      </c>
      <c r="J200" s="55">
        <v>41.276905670000005</v>
      </c>
      <c r="K200" s="124">
        <v>41.276905670000005</v>
      </c>
    </row>
    <row r="201" spans="1:11" x14ac:dyDescent="0.3">
      <c r="A201" s="91" t="s">
        <v>4331</v>
      </c>
      <c r="B201" s="121">
        <v>10</v>
      </c>
      <c r="C201" s="21">
        <v>40</v>
      </c>
      <c r="D201" s="21">
        <f>VLOOKUP(B201,'Thickness Tab'!$1:$1048576,MATCH(C201,'Thickness Tab'!$1:$1,0),0)</f>
        <v>9.27</v>
      </c>
      <c r="E201" s="55">
        <v>9.0718474000000011</v>
      </c>
      <c r="F201" s="55">
        <v>19.05087954</v>
      </c>
      <c r="G201" s="55">
        <v>38.555351450000003</v>
      </c>
      <c r="H201" s="55">
        <v>25.401172720000002</v>
      </c>
      <c r="I201" s="55">
        <v>10.886216880000001</v>
      </c>
      <c r="J201" s="55">
        <v>41.276905670000005</v>
      </c>
      <c r="K201" s="124">
        <v>41.276905670000005</v>
      </c>
    </row>
    <row r="202" spans="1:11" x14ac:dyDescent="0.3">
      <c r="A202" s="91" t="s">
        <v>4332</v>
      </c>
      <c r="B202" s="121">
        <v>10</v>
      </c>
      <c r="C202" s="21">
        <v>60</v>
      </c>
      <c r="D202" s="21">
        <f>VLOOKUP(B202,'Thickness Tab'!$1:$1048576,MATCH(C202,'Thickness Tab'!$1:$1,0),0)</f>
        <v>12.7</v>
      </c>
      <c r="E202" s="55">
        <v>11.793401620000001</v>
      </c>
      <c r="F202" s="55">
        <v>25.401172720000002</v>
      </c>
      <c r="G202" s="55">
        <v>50.802345440000003</v>
      </c>
      <c r="H202" s="55">
        <v>34.019427749999998</v>
      </c>
      <c r="I202" s="55">
        <v>14.514955840000001</v>
      </c>
      <c r="J202" s="55">
        <v>58.513415730000006</v>
      </c>
      <c r="K202" s="124">
        <v>58.513415730000006</v>
      </c>
    </row>
    <row r="203" spans="1:11" x14ac:dyDescent="0.3">
      <c r="A203" s="91" t="s">
        <v>4333</v>
      </c>
      <c r="B203" s="121">
        <v>10</v>
      </c>
      <c r="C203" s="21" t="s">
        <v>66</v>
      </c>
      <c r="D203" s="21">
        <f>VLOOKUP(B203,'Thickness Tab'!$1:$1048576,MATCH(C203,'Thickness Tab'!$1:$1,0),0)</f>
        <v>12.7</v>
      </c>
      <c r="E203" s="55">
        <v>11.793401620000001</v>
      </c>
      <c r="F203" s="55">
        <v>26.30835746</v>
      </c>
      <c r="G203" s="55">
        <v>52.163122550000004</v>
      </c>
      <c r="H203" s="55">
        <v>34.019427749999998</v>
      </c>
      <c r="I203" s="55">
        <v>14.514955840000001</v>
      </c>
      <c r="J203" s="55">
        <v>58.513415730000006</v>
      </c>
      <c r="K203" s="124">
        <v>58.513415730000006</v>
      </c>
    </row>
    <row r="204" spans="1:11" x14ac:dyDescent="0.3">
      <c r="A204" s="91" t="s">
        <v>4334</v>
      </c>
      <c r="B204" s="121">
        <v>10</v>
      </c>
      <c r="C204" s="21">
        <v>80</v>
      </c>
      <c r="D204" s="21">
        <f>VLOOKUP(B204,'Thickness Tab'!$1:$1048576,MATCH(C204,'Thickness Tab'!$1:$1,0),0)</f>
        <v>15.08</v>
      </c>
      <c r="E204" s="55">
        <v>16.329325320000002</v>
      </c>
      <c r="F204" s="55">
        <v>31.751465900000003</v>
      </c>
      <c r="G204" s="55">
        <v>61.23496995</v>
      </c>
      <c r="H204" s="55">
        <v>39.916128560000004</v>
      </c>
      <c r="I204" s="55">
        <v>17.236510060000001</v>
      </c>
      <c r="J204" s="55">
        <v>73.028371570000004</v>
      </c>
      <c r="K204" s="124">
        <v>73.028371570000004</v>
      </c>
    </row>
    <row r="205" spans="1:11" x14ac:dyDescent="0.3">
      <c r="A205" s="91" t="s">
        <v>4335</v>
      </c>
      <c r="B205" s="121">
        <v>10</v>
      </c>
      <c r="C205" s="21">
        <v>100</v>
      </c>
      <c r="D205" s="21">
        <f>VLOOKUP(B205,'Thickness Tab'!$1:$1048576,MATCH(C205,'Thickness Tab'!$1:$1,0),0)</f>
        <v>18.260000000000002</v>
      </c>
      <c r="E205" s="55">
        <v>19.958064280000002</v>
      </c>
      <c r="F205" s="55">
        <v>35.833797230000002</v>
      </c>
      <c r="G205" s="55">
        <v>72.121186829999999</v>
      </c>
      <c r="H205" s="55">
        <v>48.080791220000002</v>
      </c>
      <c r="I205" s="55">
        <v>20.411656650000001</v>
      </c>
      <c r="J205" s="55">
        <v>81.646626600000005</v>
      </c>
      <c r="K205" s="124">
        <v>81.646626600000005</v>
      </c>
    </row>
    <row r="206" spans="1:11" x14ac:dyDescent="0.3">
      <c r="A206" s="91" t="s">
        <v>4336</v>
      </c>
      <c r="B206" s="121">
        <v>10</v>
      </c>
      <c r="C206" s="21">
        <v>120</v>
      </c>
      <c r="D206" s="21">
        <f>VLOOKUP(B206,'Thickness Tab'!$1:$1048576,MATCH(C206,'Thickness Tab'!$1:$1,0),0)</f>
        <v>21.44</v>
      </c>
      <c r="E206" s="55">
        <v>22.226026130000001</v>
      </c>
      <c r="F206" s="55">
        <v>41.730498040000001</v>
      </c>
      <c r="G206" s="55">
        <v>83.460996080000001</v>
      </c>
      <c r="H206" s="55">
        <v>55.791861510000004</v>
      </c>
      <c r="I206" s="55">
        <v>23.586803240000002</v>
      </c>
      <c r="J206" s="55">
        <v>97.522359550000004</v>
      </c>
      <c r="K206" s="124">
        <v>97.522359550000004</v>
      </c>
    </row>
    <row r="207" spans="1:11" x14ac:dyDescent="0.3">
      <c r="A207" s="91" t="s">
        <v>4337</v>
      </c>
      <c r="B207" s="121">
        <v>10</v>
      </c>
      <c r="C207" s="21">
        <v>140</v>
      </c>
      <c r="D207" s="21">
        <f>VLOOKUP(B207,'Thickness Tab'!$1:$1048576,MATCH(C207,'Thickness Tab'!$1:$1,0),0)</f>
        <v>25.4</v>
      </c>
      <c r="E207" s="55">
        <v>25.854765090000001</v>
      </c>
      <c r="F207" s="55">
        <v>48.534383590000004</v>
      </c>
      <c r="G207" s="55">
        <v>97.068767180000009</v>
      </c>
      <c r="H207" s="55">
        <v>64.86370891</v>
      </c>
      <c r="I207" s="55">
        <v>27.669134570000001</v>
      </c>
      <c r="J207" s="55">
        <v>109.31576117</v>
      </c>
      <c r="K207" s="124">
        <v>109.31576117</v>
      </c>
    </row>
    <row r="208" spans="1:11" x14ac:dyDescent="0.3">
      <c r="A208" s="91" t="s">
        <v>4338</v>
      </c>
      <c r="B208" s="121">
        <v>10</v>
      </c>
      <c r="C208" s="21">
        <v>160</v>
      </c>
      <c r="D208" s="21">
        <f>VLOOKUP(B208,'Thickness Tab'!$1:$1048576,MATCH(C208,'Thickness Tab'!$1:$1,0),0)</f>
        <v>28.57</v>
      </c>
      <c r="E208" s="55">
        <v>28.576319310000002</v>
      </c>
      <c r="F208" s="55">
        <v>53.977492030000001</v>
      </c>
      <c r="G208" s="55">
        <v>107.95498406</v>
      </c>
      <c r="H208" s="55">
        <v>68.492447870000007</v>
      </c>
      <c r="I208" s="55">
        <v>30.390688790000002</v>
      </c>
      <c r="J208" s="55">
        <v>127.00586360000001</v>
      </c>
      <c r="K208" s="124">
        <v>127.00586360000001</v>
      </c>
    </row>
    <row r="209" spans="1:11" ht="15" thickBot="1" x14ac:dyDescent="0.35">
      <c r="A209" s="94" t="s">
        <v>4339</v>
      </c>
      <c r="B209" s="122">
        <v>10</v>
      </c>
      <c r="C209" s="23" t="s">
        <v>4144</v>
      </c>
      <c r="D209" s="23">
        <f>VLOOKUP(B209,'Thickness Tab'!$1:$1048576,MATCH(C209,'Thickness Tab'!$1:$1,0),0)</f>
        <v>25.4</v>
      </c>
      <c r="E209" s="56">
        <v>25.854765090000001</v>
      </c>
      <c r="F209" s="56">
        <v>52.163122550000004</v>
      </c>
      <c r="G209" s="56">
        <v>104.32624510000001</v>
      </c>
      <c r="H209" s="56">
        <v>64.86370891</v>
      </c>
      <c r="I209" s="56">
        <v>27.669134570000001</v>
      </c>
      <c r="J209" s="56">
        <v>109.31576117</v>
      </c>
      <c r="K209" s="125">
        <v>109.31576117</v>
      </c>
    </row>
    <row r="210" spans="1:11" x14ac:dyDescent="0.3">
      <c r="A210" s="123" t="s">
        <v>4340</v>
      </c>
      <c r="B210" s="629">
        <v>12</v>
      </c>
      <c r="C210" s="326">
        <v>10</v>
      </c>
      <c r="D210" s="326">
        <f>VLOOKUP(B210,'Thickness Tab'!$1:$1048576,MATCH(C210,'Thickness Tab'!$1:$1,0),0)</f>
        <v>4.57</v>
      </c>
      <c r="E210" s="649">
        <v>0</v>
      </c>
      <c r="F210" s="630">
        <v>13.607771100000001</v>
      </c>
      <c r="G210" s="630">
        <v>26.761949830000002</v>
      </c>
      <c r="H210" s="649">
        <v>0</v>
      </c>
      <c r="I210" s="649">
        <v>0</v>
      </c>
      <c r="J210" s="630">
        <v>47.627198849999999</v>
      </c>
      <c r="K210" s="631">
        <v>47.627198849999999</v>
      </c>
    </row>
    <row r="211" spans="1:11" x14ac:dyDescent="0.3">
      <c r="A211" s="91" t="s">
        <v>4341</v>
      </c>
      <c r="B211" s="121">
        <v>12</v>
      </c>
      <c r="C211" s="21">
        <v>20</v>
      </c>
      <c r="D211" s="21">
        <f>VLOOKUP(B211,'Thickness Tab'!$1:$1048576,MATCH(C211,'Thickness Tab'!$1:$1,0),0)</f>
        <v>6.35</v>
      </c>
      <c r="E211" s="55">
        <v>9.0718474000000011</v>
      </c>
      <c r="F211" s="55">
        <v>18.597287170000001</v>
      </c>
      <c r="G211" s="55">
        <v>37.194574340000003</v>
      </c>
      <c r="H211" s="55">
        <v>24.947580350000003</v>
      </c>
      <c r="I211" s="55">
        <v>9.979032140000001</v>
      </c>
      <c r="J211" s="55">
        <v>54.431084400000003</v>
      </c>
      <c r="K211" s="124">
        <v>54.431084400000003</v>
      </c>
    </row>
    <row r="212" spans="1:11" x14ac:dyDescent="0.3">
      <c r="A212" s="91" t="s">
        <v>4342</v>
      </c>
      <c r="B212" s="121">
        <v>12</v>
      </c>
      <c r="C212" s="21">
        <v>30</v>
      </c>
      <c r="D212" s="21">
        <f>VLOOKUP(B212,'Thickness Tab'!$1:$1048576,MATCH(C212,'Thickness Tab'!$1:$1,0),0)</f>
        <v>8.3800000000000008</v>
      </c>
      <c r="E212" s="55">
        <v>11.793401620000001</v>
      </c>
      <c r="F212" s="55">
        <v>24.49398798</v>
      </c>
      <c r="G212" s="55">
        <v>48.98797596</v>
      </c>
      <c r="H212" s="55">
        <v>32.658650640000005</v>
      </c>
      <c r="I212" s="55">
        <v>13.15417873</v>
      </c>
      <c r="J212" s="55">
        <v>61.688562320000003</v>
      </c>
      <c r="K212" s="124">
        <v>61.688562320000003</v>
      </c>
    </row>
    <row r="213" spans="1:11" x14ac:dyDescent="0.3">
      <c r="A213" s="91" t="s">
        <v>4343</v>
      </c>
      <c r="B213" s="121">
        <v>12</v>
      </c>
      <c r="C213" s="21" t="s">
        <v>65</v>
      </c>
      <c r="D213" s="21">
        <f>VLOOKUP(B213,'Thickness Tab'!$1:$1048576,MATCH(C213,'Thickness Tab'!$1:$1,0),0)</f>
        <v>9.52</v>
      </c>
      <c r="E213" s="55">
        <v>13.15417873</v>
      </c>
      <c r="F213" s="55">
        <v>28.12272694</v>
      </c>
      <c r="G213" s="55">
        <v>56.699046250000002</v>
      </c>
      <c r="H213" s="55">
        <v>37.194574340000003</v>
      </c>
      <c r="I213" s="55">
        <v>14.968548210000002</v>
      </c>
      <c r="J213" s="55">
        <v>66.67807839000001</v>
      </c>
      <c r="K213" s="124">
        <v>66.67807839000001</v>
      </c>
    </row>
    <row r="214" spans="1:11" x14ac:dyDescent="0.3">
      <c r="A214" s="91" t="s">
        <v>4344</v>
      </c>
      <c r="B214" s="121">
        <v>12</v>
      </c>
      <c r="C214" s="21">
        <v>40</v>
      </c>
      <c r="D214" s="21">
        <f>VLOOKUP(B214,'Thickness Tab'!$1:$1048576,MATCH(C214,'Thickness Tab'!$1:$1,0),0)</f>
        <v>10.31</v>
      </c>
      <c r="E214" s="55">
        <v>14.514955840000001</v>
      </c>
      <c r="F214" s="55">
        <v>30.844281160000001</v>
      </c>
      <c r="G214" s="55">
        <v>61.23496995</v>
      </c>
      <c r="H214" s="55">
        <v>39.916128560000004</v>
      </c>
      <c r="I214" s="55">
        <v>16.329325320000002</v>
      </c>
      <c r="J214" s="55">
        <v>71.667594460000004</v>
      </c>
      <c r="K214" s="124">
        <v>71.667594460000004</v>
      </c>
    </row>
    <row r="215" spans="1:11" x14ac:dyDescent="0.3">
      <c r="A215" s="91" t="s">
        <v>4345</v>
      </c>
      <c r="B215" s="121">
        <v>12</v>
      </c>
      <c r="C215" s="21">
        <v>60</v>
      </c>
      <c r="D215" s="21">
        <f>VLOOKUP(B215,'Thickness Tab'!$1:$1048576,MATCH(C215,'Thickness Tab'!$1:$1,0),0)</f>
        <v>14.27</v>
      </c>
      <c r="E215" s="55">
        <v>22.226026130000001</v>
      </c>
      <c r="F215" s="55">
        <v>41.276905670000005</v>
      </c>
      <c r="G215" s="55">
        <v>82.55381134000001</v>
      </c>
      <c r="H215" s="55">
        <v>54.884676770000006</v>
      </c>
      <c r="I215" s="55">
        <v>22.226026130000001</v>
      </c>
      <c r="J215" s="55">
        <v>102.51187562000001</v>
      </c>
      <c r="K215" s="124">
        <v>102.51187562000001</v>
      </c>
    </row>
    <row r="216" spans="1:11" x14ac:dyDescent="0.3">
      <c r="A216" s="91" t="s">
        <v>4346</v>
      </c>
      <c r="B216" s="121">
        <v>12</v>
      </c>
      <c r="C216" s="21" t="s">
        <v>66</v>
      </c>
      <c r="D216" s="21">
        <f>VLOOKUP(B216,'Thickness Tab'!$1:$1048576,MATCH(C216,'Thickness Tab'!$1:$1,0),0)</f>
        <v>12.7</v>
      </c>
      <c r="E216" s="55">
        <v>17.236510060000001</v>
      </c>
      <c r="F216" s="55">
        <v>37.648166710000005</v>
      </c>
      <c r="G216" s="55">
        <v>75.296333420000011</v>
      </c>
      <c r="H216" s="55">
        <v>48.98797596</v>
      </c>
      <c r="I216" s="55">
        <v>19.958064280000002</v>
      </c>
      <c r="J216" s="55">
        <v>84.821773190000002</v>
      </c>
      <c r="K216" s="124">
        <v>84.821773190000002</v>
      </c>
    </row>
    <row r="217" spans="1:11" x14ac:dyDescent="0.3">
      <c r="A217" s="91" t="s">
        <v>4347</v>
      </c>
      <c r="B217" s="121">
        <v>12</v>
      </c>
      <c r="C217" s="21">
        <v>80</v>
      </c>
      <c r="D217" s="21">
        <f>VLOOKUP(B217,'Thickness Tab'!$1:$1048576,MATCH(C217,'Thickness Tab'!$1:$1,0),0)</f>
        <v>17.47</v>
      </c>
      <c r="E217" s="55">
        <v>26.761949830000002</v>
      </c>
      <c r="F217" s="55">
        <v>52.163122550000004</v>
      </c>
      <c r="G217" s="55">
        <v>102.05828325</v>
      </c>
      <c r="H217" s="55">
        <v>66.224486020000001</v>
      </c>
      <c r="I217" s="55">
        <v>26.761949830000002</v>
      </c>
      <c r="J217" s="55">
        <v>111.13013065000001</v>
      </c>
      <c r="K217" s="124">
        <v>111.13013065000001</v>
      </c>
    </row>
    <row r="218" spans="1:11" x14ac:dyDescent="0.3">
      <c r="A218" s="91" t="s">
        <v>4348</v>
      </c>
      <c r="B218" s="121">
        <v>12</v>
      </c>
      <c r="C218" s="21">
        <v>100</v>
      </c>
      <c r="D218" s="21">
        <f>VLOOKUP(B218,'Thickness Tab'!$1:$1048576,MATCH(C218,'Thickness Tab'!$1:$1,0),0)</f>
        <v>21.44</v>
      </c>
      <c r="E218" s="55">
        <v>32.205058270000002</v>
      </c>
      <c r="F218" s="55">
        <v>60.327785210000002</v>
      </c>
      <c r="G218" s="55">
        <v>120.65557042</v>
      </c>
      <c r="H218" s="55">
        <v>80.285849490000004</v>
      </c>
      <c r="I218" s="55">
        <v>32.205058270000002</v>
      </c>
      <c r="J218" s="55">
        <v>137.89208048</v>
      </c>
      <c r="K218" s="124">
        <v>137.89208048</v>
      </c>
    </row>
    <row r="219" spans="1:11" x14ac:dyDescent="0.3">
      <c r="A219" s="91" t="s">
        <v>4349</v>
      </c>
      <c r="B219" s="121">
        <v>12</v>
      </c>
      <c r="C219" s="21">
        <v>120</v>
      </c>
      <c r="D219" s="21">
        <f>VLOOKUP(B219,'Thickness Tab'!$1:$1048576,MATCH(C219,'Thickness Tab'!$1:$1,0),0)</f>
        <v>25.4</v>
      </c>
      <c r="E219" s="55">
        <v>36.74098197</v>
      </c>
      <c r="F219" s="55">
        <v>70.760409719999998</v>
      </c>
      <c r="G219" s="55">
        <v>141.06722707</v>
      </c>
      <c r="H219" s="55">
        <v>93.893620589999998</v>
      </c>
      <c r="I219" s="55">
        <v>38.101759080000001</v>
      </c>
      <c r="J219" s="55">
        <v>160.11810661000001</v>
      </c>
      <c r="K219" s="124">
        <v>160.11810661000001</v>
      </c>
    </row>
    <row r="220" spans="1:11" x14ac:dyDescent="0.3">
      <c r="A220" s="91" t="s">
        <v>4350</v>
      </c>
      <c r="B220" s="121">
        <v>12</v>
      </c>
      <c r="C220" s="21">
        <v>140</v>
      </c>
      <c r="D220" s="21">
        <f>VLOOKUP(B220,'Thickness Tab'!$1:$1048576,MATCH(C220,'Thickness Tab'!$1:$1,0),0)</f>
        <v>28.57</v>
      </c>
      <c r="E220" s="55">
        <v>40.823313300000002</v>
      </c>
      <c r="F220" s="55">
        <v>78.925072380000003</v>
      </c>
      <c r="G220" s="55">
        <v>157.39655239000001</v>
      </c>
      <c r="H220" s="55">
        <v>104.77983747</v>
      </c>
      <c r="I220" s="55">
        <v>42.184090410000003</v>
      </c>
      <c r="J220" s="55">
        <v>183.25131748000001</v>
      </c>
      <c r="K220" s="124">
        <v>183.25131748000001</v>
      </c>
    </row>
    <row r="221" spans="1:11" x14ac:dyDescent="0.3">
      <c r="A221" s="91" t="s">
        <v>4351</v>
      </c>
      <c r="B221" s="121">
        <v>12</v>
      </c>
      <c r="C221" s="21">
        <v>160</v>
      </c>
      <c r="D221" s="21">
        <f>VLOOKUP(B221,'Thickness Tab'!$1:$1048576,MATCH(C221,'Thickness Tab'!$1:$1,0),0)</f>
        <v>33.32</v>
      </c>
      <c r="E221" s="55">
        <v>45.359237</v>
      </c>
      <c r="F221" s="55">
        <v>90.264881630000005</v>
      </c>
      <c r="G221" s="55">
        <v>180.07617089000001</v>
      </c>
      <c r="H221" s="55">
        <v>114.75886961</v>
      </c>
      <c r="I221" s="55">
        <v>48.534383590000004</v>
      </c>
      <c r="J221" s="55">
        <v>194.59112673000001</v>
      </c>
      <c r="K221" s="124">
        <v>194.59112673000001</v>
      </c>
    </row>
    <row r="222" spans="1:11" ht="15" thickBot="1" x14ac:dyDescent="0.35">
      <c r="A222" s="94" t="s">
        <v>4352</v>
      </c>
      <c r="B222" s="122">
        <v>12</v>
      </c>
      <c r="C222" s="23" t="s">
        <v>4144</v>
      </c>
      <c r="D222" s="23">
        <f>VLOOKUP(B222,'Thickness Tab'!$1:$1048576,MATCH(C222,'Thickness Tab'!$1:$1,0),0)</f>
        <v>25.4</v>
      </c>
      <c r="E222" s="56">
        <v>36.74098197</v>
      </c>
      <c r="F222" s="56">
        <v>73.028371570000004</v>
      </c>
      <c r="G222" s="56">
        <v>147.41752025</v>
      </c>
      <c r="H222" s="56">
        <v>93.893620589999998</v>
      </c>
      <c r="I222" s="56">
        <v>38.101759080000001</v>
      </c>
      <c r="J222" s="56">
        <v>160.11810661000001</v>
      </c>
      <c r="K222" s="125">
        <v>160.11810661000001</v>
      </c>
    </row>
    <row r="223" spans="1:11" x14ac:dyDescent="0.3">
      <c r="A223" s="123" t="s">
        <v>4353</v>
      </c>
      <c r="B223" s="629">
        <v>14</v>
      </c>
      <c r="C223" s="326">
        <v>10</v>
      </c>
      <c r="D223" s="326">
        <f>VLOOKUP(B223,'Thickness Tab'!$1:$1048576,MATCH(C223,'Thickness Tab'!$1:$1,0),0)</f>
        <v>6.35</v>
      </c>
      <c r="E223" s="649">
        <v>0</v>
      </c>
      <c r="F223" s="630">
        <v>24.040395610000001</v>
      </c>
      <c r="G223" s="630">
        <v>48.080791220000002</v>
      </c>
      <c r="H223" s="649">
        <v>0</v>
      </c>
      <c r="I223" s="649">
        <v>0</v>
      </c>
      <c r="J223" s="630">
        <v>87.543327410000003</v>
      </c>
      <c r="K223" s="631">
        <v>87.543327410000003</v>
      </c>
    </row>
    <row r="224" spans="1:11" x14ac:dyDescent="0.3">
      <c r="A224" s="91" t="s">
        <v>4354</v>
      </c>
      <c r="B224" s="121">
        <v>14</v>
      </c>
      <c r="C224" s="21">
        <v>20</v>
      </c>
      <c r="D224" s="21">
        <f>VLOOKUP(B224,'Thickness Tab'!$1:$1048576,MATCH(C224,'Thickness Tab'!$1:$1,0),0)</f>
        <v>7.92</v>
      </c>
      <c r="E224" s="55">
        <v>13.15417873</v>
      </c>
      <c r="F224" s="55">
        <v>29.937096420000003</v>
      </c>
      <c r="G224" s="55">
        <v>59.874192840000006</v>
      </c>
      <c r="H224" s="55">
        <v>39.462536190000002</v>
      </c>
      <c r="I224" s="55">
        <v>22.226026130000001</v>
      </c>
      <c r="J224" s="55">
        <v>95.254397699999998</v>
      </c>
      <c r="K224" s="124">
        <v>95.254397699999998</v>
      </c>
    </row>
    <row r="225" spans="1:11" x14ac:dyDescent="0.3">
      <c r="A225" s="91" t="s">
        <v>4355</v>
      </c>
      <c r="B225" s="121">
        <v>14</v>
      </c>
      <c r="C225" s="21">
        <v>30</v>
      </c>
      <c r="D225" s="21">
        <f>VLOOKUP(B225,'Thickness Tab'!$1:$1048576,MATCH(C225,'Thickness Tab'!$1:$1,0),0)</f>
        <v>9.5299999999999994</v>
      </c>
      <c r="E225" s="55">
        <v>15.875732950000002</v>
      </c>
      <c r="F225" s="55">
        <v>35.833797230000002</v>
      </c>
      <c r="G225" s="55">
        <v>71.667594460000004</v>
      </c>
      <c r="H225" s="55">
        <v>47.627198849999999</v>
      </c>
      <c r="I225" s="55">
        <v>26.761949830000002</v>
      </c>
      <c r="J225" s="55">
        <v>102.51187562000001</v>
      </c>
      <c r="K225" s="124">
        <v>102.51187562000001</v>
      </c>
    </row>
    <row r="226" spans="1:11" x14ac:dyDescent="0.3">
      <c r="A226" s="91" t="s">
        <v>4356</v>
      </c>
      <c r="B226" s="121">
        <v>14</v>
      </c>
      <c r="C226" s="21" t="s">
        <v>65</v>
      </c>
      <c r="D226" s="21">
        <f>VLOOKUP(B226,'Thickness Tab'!$1:$1048576,MATCH(C226,'Thickness Tab'!$1:$1,0),0)</f>
        <v>9.52</v>
      </c>
      <c r="E226" s="55">
        <v>15.875732950000002</v>
      </c>
      <c r="F226" s="55">
        <v>37.194574340000003</v>
      </c>
      <c r="G226" s="55">
        <v>73.48196394</v>
      </c>
      <c r="H226" s="55">
        <v>47.627198849999999</v>
      </c>
      <c r="I226" s="55">
        <v>26.761949830000002</v>
      </c>
      <c r="J226" s="55">
        <v>102.51187562000001</v>
      </c>
      <c r="K226" s="124">
        <v>102.51187562000001</v>
      </c>
    </row>
    <row r="227" spans="1:11" x14ac:dyDescent="0.3">
      <c r="A227" s="91" t="s">
        <v>4357</v>
      </c>
      <c r="B227" s="121">
        <v>14</v>
      </c>
      <c r="C227" s="21">
        <v>40</v>
      </c>
      <c r="D227" s="21">
        <f>VLOOKUP(B227,'Thickness Tab'!$1:$1048576,MATCH(C227,'Thickness Tab'!$1:$1,0),0)</f>
        <v>11.12</v>
      </c>
      <c r="E227" s="55">
        <v>18.597287170000001</v>
      </c>
      <c r="F227" s="55">
        <v>43.091275150000001</v>
      </c>
      <c r="G227" s="55">
        <v>83.914588450000011</v>
      </c>
      <c r="H227" s="55">
        <v>55.338269140000001</v>
      </c>
      <c r="I227" s="55">
        <v>31.29787353</v>
      </c>
      <c r="J227" s="55">
        <v>114.30527724000001</v>
      </c>
      <c r="K227" s="124">
        <v>114.30527724000001</v>
      </c>
    </row>
    <row r="228" spans="1:11" x14ac:dyDescent="0.3">
      <c r="A228" s="91" t="s">
        <v>4358</v>
      </c>
      <c r="B228" s="121">
        <v>14</v>
      </c>
      <c r="C228" s="21">
        <v>60</v>
      </c>
      <c r="D228" s="21">
        <f>VLOOKUP(B228,'Thickness Tab'!$1:$1048576,MATCH(C228,'Thickness Tab'!$1:$1,0),0)</f>
        <v>15.09</v>
      </c>
      <c r="E228" s="55">
        <v>27.669134570000001</v>
      </c>
      <c r="F228" s="55">
        <v>55.791861510000004</v>
      </c>
      <c r="G228" s="55">
        <v>111.13013065000001</v>
      </c>
      <c r="H228" s="55">
        <v>73.93555631000001</v>
      </c>
      <c r="I228" s="55">
        <v>41.730498040000001</v>
      </c>
      <c r="J228" s="55">
        <v>141.06722707</v>
      </c>
      <c r="K228" s="124">
        <v>141.06722707</v>
      </c>
    </row>
    <row r="229" spans="1:11" x14ac:dyDescent="0.3">
      <c r="A229" s="91" t="s">
        <v>4359</v>
      </c>
      <c r="B229" s="121">
        <v>14</v>
      </c>
      <c r="C229" s="21" t="s">
        <v>66</v>
      </c>
      <c r="D229" s="21">
        <f>VLOOKUP(B229,'Thickness Tab'!$1:$1048576,MATCH(C229,'Thickness Tab'!$1:$1,0),0)</f>
        <v>12.7</v>
      </c>
      <c r="E229" s="55">
        <v>20.411656650000001</v>
      </c>
      <c r="F229" s="55">
        <v>47.173606480000004</v>
      </c>
      <c r="G229" s="55">
        <v>96.615174809999999</v>
      </c>
      <c r="H229" s="55">
        <v>63.049339430000003</v>
      </c>
      <c r="I229" s="55">
        <v>35.380204859999999</v>
      </c>
      <c r="J229" s="55">
        <v>127.00586360000001</v>
      </c>
      <c r="K229" s="124">
        <v>127.00586360000001</v>
      </c>
    </row>
    <row r="230" spans="1:11" x14ac:dyDescent="0.3">
      <c r="A230" s="91" t="s">
        <v>4360</v>
      </c>
      <c r="B230" s="121">
        <v>14</v>
      </c>
      <c r="C230" s="21">
        <v>80</v>
      </c>
      <c r="D230" s="21">
        <f>VLOOKUP(B230,'Thickness Tab'!$1:$1048576,MATCH(C230,'Thickness Tab'!$1:$1,0),0)</f>
        <v>19.05</v>
      </c>
      <c r="E230" s="55">
        <v>34.473020120000001</v>
      </c>
      <c r="F230" s="55">
        <v>69.853224980000007</v>
      </c>
      <c r="G230" s="55">
        <v>142.88159655000001</v>
      </c>
      <c r="H230" s="55">
        <v>92.986435850000007</v>
      </c>
      <c r="I230" s="55">
        <v>52.163122550000004</v>
      </c>
      <c r="J230" s="55">
        <v>167.37558453</v>
      </c>
      <c r="K230" s="124">
        <v>167.37558453</v>
      </c>
    </row>
    <row r="231" spans="1:11" x14ac:dyDescent="0.3">
      <c r="A231" s="91" t="s">
        <v>4361</v>
      </c>
      <c r="B231" s="121">
        <v>14</v>
      </c>
      <c r="C231" s="21">
        <v>100</v>
      </c>
      <c r="D231" s="21">
        <f>VLOOKUP(B231,'Thickness Tab'!$1:$1048576,MATCH(C231,'Thickness Tab'!$1:$1,0),0)</f>
        <v>23.82</v>
      </c>
      <c r="E231" s="55">
        <v>38.555351450000003</v>
      </c>
      <c r="F231" s="55">
        <v>83.914588450000011</v>
      </c>
      <c r="G231" s="55">
        <v>170.09713875</v>
      </c>
      <c r="H231" s="55">
        <v>109.76935354000001</v>
      </c>
      <c r="I231" s="55">
        <v>64.410116540000004</v>
      </c>
      <c r="J231" s="55">
        <v>217.72433760000001</v>
      </c>
      <c r="K231" s="124">
        <v>217.72433760000001</v>
      </c>
    </row>
    <row r="232" spans="1:11" x14ac:dyDescent="0.3">
      <c r="A232" s="91" t="s">
        <v>4362</v>
      </c>
      <c r="B232" s="121">
        <v>14</v>
      </c>
      <c r="C232" s="21">
        <v>120</v>
      </c>
      <c r="D232" s="21">
        <f>VLOOKUP(B232,'Thickness Tab'!$1:$1048576,MATCH(C232,'Thickness Tab'!$1:$1,0),0)</f>
        <v>27.79</v>
      </c>
      <c r="E232" s="55">
        <v>49.895160700000005</v>
      </c>
      <c r="F232" s="55">
        <v>93.893620589999998</v>
      </c>
      <c r="G232" s="55">
        <v>190.5087954</v>
      </c>
      <c r="H232" s="55">
        <v>125.64508649000001</v>
      </c>
      <c r="I232" s="55">
        <v>74.389148680000005</v>
      </c>
      <c r="J232" s="55">
        <v>239.49677136000003</v>
      </c>
      <c r="K232" s="124">
        <v>239.49677136000003</v>
      </c>
    </row>
    <row r="233" spans="1:11" x14ac:dyDescent="0.3">
      <c r="A233" s="91" t="s">
        <v>4363</v>
      </c>
      <c r="B233" s="121">
        <v>14</v>
      </c>
      <c r="C233" s="21">
        <v>140</v>
      </c>
      <c r="D233" s="21">
        <f>VLOOKUP(B233,'Thickness Tab'!$1:$1048576,MATCH(C233,'Thickness Tab'!$1:$1,0),0)</f>
        <v>31.75</v>
      </c>
      <c r="E233" s="55">
        <v>54.431084400000003</v>
      </c>
      <c r="F233" s="55">
        <v>109.31576117</v>
      </c>
      <c r="G233" s="55">
        <v>221.80666893</v>
      </c>
      <c r="H233" s="55">
        <v>141.97441181000002</v>
      </c>
      <c r="I233" s="55">
        <v>83.914588450000011</v>
      </c>
      <c r="J233" s="55">
        <v>283.04163887999999</v>
      </c>
      <c r="K233" s="124">
        <v>283.04163887999999</v>
      </c>
    </row>
    <row r="234" spans="1:11" x14ac:dyDescent="0.3">
      <c r="A234" s="91" t="s">
        <v>4364</v>
      </c>
      <c r="B234" s="121">
        <v>14</v>
      </c>
      <c r="C234" s="21">
        <v>160</v>
      </c>
      <c r="D234" s="21">
        <f>VLOOKUP(B234,'Thickness Tab'!$1:$1048576,MATCH(C234,'Thickness Tab'!$1:$1,0),0)</f>
        <v>35.71</v>
      </c>
      <c r="E234" s="55">
        <v>58.967008100000001</v>
      </c>
      <c r="F234" s="55">
        <v>123.83071701</v>
      </c>
      <c r="G234" s="55">
        <v>247.66143402</v>
      </c>
      <c r="H234" s="55">
        <v>156.48936765000002</v>
      </c>
      <c r="I234" s="55">
        <v>94.347212960000007</v>
      </c>
      <c r="J234" s="55">
        <v>326.58650640000002</v>
      </c>
      <c r="K234" s="124">
        <v>326.58650640000002</v>
      </c>
    </row>
    <row r="235" spans="1:11" ht="15" thickBot="1" x14ac:dyDescent="0.35">
      <c r="A235" s="94" t="s">
        <v>4365</v>
      </c>
      <c r="B235" s="122">
        <v>14</v>
      </c>
      <c r="C235" s="23" t="s">
        <v>4144</v>
      </c>
      <c r="D235" s="638">
        <f>VLOOKUP(B235,'Thickness Tab'!$1:$1048576,MATCH(C235,'Thickness Tab'!$1:$1,0),0)</f>
        <v>0</v>
      </c>
      <c r="E235" s="639">
        <v>0</v>
      </c>
      <c r="F235" s="639">
        <v>0</v>
      </c>
      <c r="G235" s="639">
        <v>0</v>
      </c>
      <c r="H235" s="639">
        <v>0</v>
      </c>
      <c r="I235" s="639">
        <v>0</v>
      </c>
      <c r="J235" s="639">
        <v>0</v>
      </c>
      <c r="K235" s="640">
        <v>0</v>
      </c>
    </row>
    <row r="236" spans="1:11" x14ac:dyDescent="0.3">
      <c r="A236" s="123" t="s">
        <v>4366</v>
      </c>
      <c r="B236" s="629">
        <v>16</v>
      </c>
      <c r="C236" s="326">
        <v>10</v>
      </c>
      <c r="D236" s="326">
        <f>VLOOKUP(B236,'Thickness Tab'!$1:$1048576,MATCH(C236,'Thickness Tab'!$1:$1,0),0)</f>
        <v>6.35</v>
      </c>
      <c r="E236" s="649">
        <v>0</v>
      </c>
      <c r="F236" s="630">
        <v>31.29787353</v>
      </c>
      <c r="G236" s="630">
        <v>63.049339430000003</v>
      </c>
      <c r="H236" s="649">
        <v>0</v>
      </c>
      <c r="I236" s="649">
        <v>0</v>
      </c>
      <c r="J236" s="630">
        <v>91.17206637000001</v>
      </c>
      <c r="K236" s="631">
        <v>91.17206637000001</v>
      </c>
    </row>
    <row r="237" spans="1:11" x14ac:dyDescent="0.3">
      <c r="A237" s="91" t="s">
        <v>4367</v>
      </c>
      <c r="B237" s="121">
        <v>16</v>
      </c>
      <c r="C237" s="21">
        <v>20</v>
      </c>
      <c r="D237" s="21">
        <f>VLOOKUP(B237,'Thickness Tab'!$1:$1048576,MATCH(C237,'Thickness Tab'!$1:$1,0),0)</f>
        <v>7.92</v>
      </c>
      <c r="E237" s="55">
        <v>16.782917690000001</v>
      </c>
      <c r="F237" s="55">
        <v>39.008943819999999</v>
      </c>
      <c r="G237" s="55">
        <v>78.017887639999998</v>
      </c>
      <c r="H237" s="55">
        <v>52.163122550000004</v>
      </c>
      <c r="I237" s="55">
        <v>27.669134570000001</v>
      </c>
      <c r="J237" s="55">
        <v>100.69750614</v>
      </c>
      <c r="K237" s="124">
        <v>100.69750614</v>
      </c>
    </row>
    <row r="238" spans="1:11" x14ac:dyDescent="0.3">
      <c r="A238" s="91" t="s">
        <v>4368</v>
      </c>
      <c r="B238" s="121">
        <v>16</v>
      </c>
      <c r="C238" s="21">
        <v>30</v>
      </c>
      <c r="D238" s="21">
        <f>VLOOKUP(B238,'Thickness Tab'!$1:$1048576,MATCH(C238,'Thickness Tab'!$1:$1,0),0)</f>
        <v>9.5299999999999994</v>
      </c>
      <c r="E238" s="55">
        <v>20.411656650000001</v>
      </c>
      <c r="F238" s="55">
        <v>47.173606480000004</v>
      </c>
      <c r="G238" s="55">
        <v>93.893620589999998</v>
      </c>
      <c r="H238" s="55">
        <v>62.595747060000001</v>
      </c>
      <c r="I238" s="55">
        <v>33.11224301</v>
      </c>
      <c r="J238" s="55">
        <v>109.76935354000001</v>
      </c>
      <c r="K238" s="124">
        <v>109.76935354000001</v>
      </c>
    </row>
    <row r="239" spans="1:11" x14ac:dyDescent="0.3">
      <c r="A239" s="91" t="s">
        <v>4369</v>
      </c>
      <c r="B239" s="121">
        <v>16</v>
      </c>
      <c r="C239" s="21" t="s">
        <v>65</v>
      </c>
      <c r="D239" s="21">
        <f>VLOOKUP(B239,'Thickness Tab'!$1:$1048576,MATCH(C239,'Thickness Tab'!$1:$1,0),0)</f>
        <v>9.52</v>
      </c>
      <c r="E239" s="55">
        <v>20.411656650000001</v>
      </c>
      <c r="F239" s="55">
        <v>49.895160700000005</v>
      </c>
      <c r="G239" s="55">
        <v>97.522359550000004</v>
      </c>
      <c r="H239" s="55">
        <v>62.595747060000001</v>
      </c>
      <c r="I239" s="55">
        <v>33.11224301</v>
      </c>
      <c r="J239" s="55">
        <v>109.76935354000001</v>
      </c>
      <c r="K239" s="124">
        <v>109.76935354000001</v>
      </c>
    </row>
    <row r="240" spans="1:11" x14ac:dyDescent="0.3">
      <c r="A240" s="91" t="s">
        <v>4370</v>
      </c>
      <c r="B240" s="121">
        <v>16</v>
      </c>
      <c r="C240" s="21">
        <v>40</v>
      </c>
      <c r="D240" s="21">
        <f>VLOOKUP(B240,'Thickness Tab'!$1:$1048576,MATCH(C240,'Thickness Tab'!$1:$1,0),0)</f>
        <v>12.7</v>
      </c>
      <c r="E240" s="55">
        <v>26.30835746</v>
      </c>
      <c r="F240" s="55">
        <v>63.502931800000006</v>
      </c>
      <c r="G240" s="55">
        <v>127.00586360000001</v>
      </c>
      <c r="H240" s="55">
        <v>82.55381134000001</v>
      </c>
      <c r="I240" s="55">
        <v>43.544867520000004</v>
      </c>
      <c r="J240" s="55">
        <v>167.82917690000002</v>
      </c>
      <c r="K240" s="124">
        <v>167.82917690000002</v>
      </c>
    </row>
    <row r="241" spans="1:11" x14ac:dyDescent="0.3">
      <c r="A241" s="91" t="s">
        <v>4371</v>
      </c>
      <c r="B241" s="121">
        <v>16</v>
      </c>
      <c r="C241" s="21">
        <v>60</v>
      </c>
      <c r="D241" s="21">
        <f>VLOOKUP(B241,'Thickness Tab'!$1:$1048576,MATCH(C241,'Thickness Tab'!$1:$1,0),0)</f>
        <v>16.66</v>
      </c>
      <c r="E241" s="55">
        <v>38.101759080000001</v>
      </c>
      <c r="F241" s="55">
        <v>80.739441859999999</v>
      </c>
      <c r="G241" s="55">
        <v>161.02529135</v>
      </c>
      <c r="H241" s="55">
        <v>107.04779932000001</v>
      </c>
      <c r="I241" s="55">
        <v>56.699046250000002</v>
      </c>
      <c r="J241" s="55">
        <v>207.74530546</v>
      </c>
      <c r="K241" s="124">
        <v>207.74530546</v>
      </c>
    </row>
    <row r="242" spans="1:11" x14ac:dyDescent="0.3">
      <c r="A242" s="91" t="s">
        <v>4372</v>
      </c>
      <c r="B242" s="121">
        <v>16</v>
      </c>
      <c r="C242" s="21" t="s">
        <v>66</v>
      </c>
      <c r="D242" s="21">
        <f>VLOOKUP(B242,'Thickness Tab'!$1:$1048576,MATCH(C242,'Thickness Tab'!$1:$1,0),0)</f>
        <v>12.7</v>
      </c>
      <c r="E242" s="55">
        <v>26.30835746</v>
      </c>
      <c r="F242" s="55">
        <v>62.142154690000005</v>
      </c>
      <c r="G242" s="55">
        <v>127.00586360000001</v>
      </c>
      <c r="H242" s="55">
        <v>82.55381134000001</v>
      </c>
      <c r="I242" s="55">
        <v>43.998459889999999</v>
      </c>
      <c r="J242" s="55">
        <v>167.37558453</v>
      </c>
      <c r="K242" s="124">
        <v>167.37558453</v>
      </c>
    </row>
    <row r="243" spans="1:11" x14ac:dyDescent="0.3">
      <c r="A243" s="91" t="s">
        <v>4373</v>
      </c>
      <c r="B243" s="121">
        <v>16</v>
      </c>
      <c r="C243" s="21">
        <v>80</v>
      </c>
      <c r="D243" s="21">
        <f>VLOOKUP(B243,'Thickness Tab'!$1:$1048576,MATCH(C243,'Thickness Tab'!$1:$1,0),0)</f>
        <v>21.44</v>
      </c>
      <c r="E243" s="55">
        <v>47.627198849999999</v>
      </c>
      <c r="F243" s="55">
        <v>104.32624510000001</v>
      </c>
      <c r="G243" s="55">
        <v>208.65249020000002</v>
      </c>
      <c r="H243" s="55">
        <v>136.07771099999999</v>
      </c>
      <c r="I243" s="55">
        <v>72.121186829999999</v>
      </c>
      <c r="J243" s="55">
        <v>248.56861876000002</v>
      </c>
      <c r="K243" s="124">
        <v>248.56861876000002</v>
      </c>
    </row>
    <row r="244" spans="1:11" x14ac:dyDescent="0.3">
      <c r="A244" s="91" t="s">
        <v>4374</v>
      </c>
      <c r="B244" s="121">
        <v>16</v>
      </c>
      <c r="C244" s="21">
        <v>100</v>
      </c>
      <c r="D244" s="21">
        <f>VLOOKUP(B244,'Thickness Tab'!$1:$1048576,MATCH(C244,'Thickness Tab'!$1:$1,0),0)</f>
        <v>26.19</v>
      </c>
      <c r="E244" s="55">
        <v>54.431084400000003</v>
      </c>
      <c r="F244" s="55">
        <v>122.4699399</v>
      </c>
      <c r="G244" s="55">
        <v>244.48628743</v>
      </c>
      <c r="H244" s="55">
        <v>155.58218291</v>
      </c>
      <c r="I244" s="55">
        <v>87.996919779999999</v>
      </c>
      <c r="J244" s="55">
        <v>353.80204860000003</v>
      </c>
      <c r="K244" s="124">
        <v>353.80204860000003</v>
      </c>
    </row>
    <row r="245" spans="1:11" x14ac:dyDescent="0.3">
      <c r="A245" s="91" t="s">
        <v>4375</v>
      </c>
      <c r="B245" s="121">
        <v>16</v>
      </c>
      <c r="C245" s="21">
        <v>120</v>
      </c>
      <c r="D245" s="21">
        <f>VLOOKUP(B245,'Thickness Tab'!$1:$1048576,MATCH(C245,'Thickness Tab'!$1:$1,0),0)</f>
        <v>30.96</v>
      </c>
      <c r="E245" s="55">
        <v>63.502931800000006</v>
      </c>
      <c r="F245" s="55">
        <v>143.33518892000001</v>
      </c>
      <c r="G245" s="55">
        <v>286.21678546999999</v>
      </c>
      <c r="H245" s="55">
        <v>181.436948</v>
      </c>
      <c r="I245" s="55">
        <v>101.60469088000001</v>
      </c>
      <c r="J245" s="55">
        <v>374.66729762</v>
      </c>
      <c r="K245" s="124">
        <v>374.66729762</v>
      </c>
    </row>
    <row r="246" spans="1:11" x14ac:dyDescent="0.3">
      <c r="A246" s="91" t="s">
        <v>4376</v>
      </c>
      <c r="B246" s="121">
        <v>16</v>
      </c>
      <c r="C246" s="21">
        <v>140</v>
      </c>
      <c r="D246" s="21">
        <f>VLOOKUP(B246,'Thickness Tab'!$1:$1048576,MATCH(C246,'Thickness Tab'!$1:$1,0),0)</f>
        <v>36.520000000000003</v>
      </c>
      <c r="E246" s="55">
        <v>74.842741050000001</v>
      </c>
      <c r="F246" s="55">
        <v>169.18995401000001</v>
      </c>
      <c r="G246" s="55">
        <v>335.65835380000004</v>
      </c>
      <c r="H246" s="55">
        <v>211.82763679000001</v>
      </c>
      <c r="I246" s="55">
        <v>118.84120094000001</v>
      </c>
      <c r="J246" s="55">
        <v>436.35585994000002</v>
      </c>
      <c r="K246" s="124">
        <v>436.35585994000002</v>
      </c>
    </row>
    <row r="247" spans="1:11" x14ac:dyDescent="0.3">
      <c r="A247" s="91" t="s">
        <v>4377</v>
      </c>
      <c r="B247" s="121">
        <v>16</v>
      </c>
      <c r="C247" s="21">
        <v>160</v>
      </c>
      <c r="D247" s="21">
        <f>VLOOKUP(B247,'Thickness Tab'!$1:$1048576,MATCH(C247,'Thickness Tab'!$1:$1,0),0)</f>
        <v>40.49</v>
      </c>
      <c r="E247" s="55">
        <v>81.646626600000005</v>
      </c>
      <c r="F247" s="55">
        <v>183.70490985000001</v>
      </c>
      <c r="G247" s="55">
        <v>366.95622732999999</v>
      </c>
      <c r="H247" s="55">
        <v>232.23929344000001</v>
      </c>
      <c r="I247" s="55">
        <v>129.72741782</v>
      </c>
      <c r="J247" s="55">
        <v>483.52946642000001</v>
      </c>
      <c r="K247" s="124">
        <v>483.52946642000001</v>
      </c>
    </row>
    <row r="248" spans="1:11" ht="15" thickBot="1" x14ac:dyDescent="0.35">
      <c r="A248" s="94" t="s">
        <v>4378</v>
      </c>
      <c r="B248" s="122">
        <v>16</v>
      </c>
      <c r="C248" s="23" t="s">
        <v>4144</v>
      </c>
      <c r="D248" s="638">
        <f>VLOOKUP(B248,'Thickness Tab'!$1:$1048576,MATCH(C248,'Thickness Tab'!$1:$1,0),0)</f>
        <v>0</v>
      </c>
      <c r="E248" s="639">
        <v>0</v>
      </c>
      <c r="F248" s="639">
        <v>0</v>
      </c>
      <c r="G248" s="639">
        <v>0</v>
      </c>
      <c r="H248" s="639">
        <v>0</v>
      </c>
      <c r="I248" s="639">
        <v>0</v>
      </c>
      <c r="J248" s="639">
        <v>0</v>
      </c>
      <c r="K248" s="640">
        <v>0</v>
      </c>
    </row>
    <row r="249" spans="1:11" x14ac:dyDescent="0.3">
      <c r="A249" s="123" t="s">
        <v>4379</v>
      </c>
      <c r="B249" s="629">
        <v>18</v>
      </c>
      <c r="C249" s="326">
        <v>10</v>
      </c>
      <c r="D249" s="326">
        <f>VLOOKUP(B249,'Thickness Tab'!$1:$1048576,MATCH(C249,'Thickness Tab'!$1:$1,0),0)</f>
        <v>6.35</v>
      </c>
      <c r="E249" s="649">
        <v>0</v>
      </c>
      <c r="F249" s="630">
        <v>39.916128560000004</v>
      </c>
      <c r="G249" s="630">
        <v>79.832257120000008</v>
      </c>
      <c r="H249" s="649">
        <v>0</v>
      </c>
      <c r="I249" s="649">
        <v>0</v>
      </c>
      <c r="J249" s="630">
        <v>127.45945597000001</v>
      </c>
      <c r="K249" s="631">
        <v>127.45945597000001</v>
      </c>
    </row>
    <row r="250" spans="1:11" x14ac:dyDescent="0.3">
      <c r="A250" s="91" t="s">
        <v>4380</v>
      </c>
      <c r="B250" s="121">
        <v>18</v>
      </c>
      <c r="C250" s="21">
        <v>20</v>
      </c>
      <c r="D250" s="21">
        <f>VLOOKUP(B250,'Thickness Tab'!$1:$1048576,MATCH(C250,'Thickness Tab'!$1:$1,0),0)</f>
        <v>7.92</v>
      </c>
      <c r="E250" s="55">
        <v>21.772433760000002</v>
      </c>
      <c r="F250" s="55">
        <v>49.895160700000005</v>
      </c>
      <c r="G250" s="55">
        <v>99.336729030000001</v>
      </c>
      <c r="H250" s="55">
        <v>66.224486020000001</v>
      </c>
      <c r="I250" s="55">
        <v>33.11224301</v>
      </c>
      <c r="J250" s="55">
        <v>139.25285759000002</v>
      </c>
      <c r="K250" s="124">
        <v>139.25285759000002</v>
      </c>
    </row>
    <row r="251" spans="1:11" x14ac:dyDescent="0.3">
      <c r="A251" s="91" t="s">
        <v>4381</v>
      </c>
      <c r="B251" s="121">
        <v>18</v>
      </c>
      <c r="C251" s="21">
        <v>30</v>
      </c>
      <c r="D251" s="21">
        <f>VLOOKUP(B251,'Thickness Tab'!$1:$1048576,MATCH(C251,'Thickness Tab'!$1:$1,0),0)</f>
        <v>11.13</v>
      </c>
      <c r="E251" s="55">
        <v>30.390688790000002</v>
      </c>
      <c r="F251" s="55">
        <v>69.853224980000007</v>
      </c>
      <c r="G251" s="55">
        <v>139.70644996000001</v>
      </c>
      <c r="H251" s="55">
        <v>92.986435850000007</v>
      </c>
      <c r="I251" s="55">
        <v>46.720014110000001</v>
      </c>
      <c r="J251" s="55">
        <v>180.98335563000001</v>
      </c>
      <c r="K251" s="124">
        <v>180.98335563000001</v>
      </c>
    </row>
    <row r="252" spans="1:11" x14ac:dyDescent="0.3">
      <c r="A252" s="91" t="s">
        <v>4382</v>
      </c>
      <c r="B252" s="121">
        <v>18</v>
      </c>
      <c r="C252" s="21" t="s">
        <v>65</v>
      </c>
      <c r="D252" s="21">
        <f>VLOOKUP(B252,'Thickness Tab'!$1:$1048576,MATCH(C252,'Thickness Tab'!$1:$1,0),0)</f>
        <v>9.52</v>
      </c>
      <c r="E252" s="55">
        <v>25.854765090000001</v>
      </c>
      <c r="F252" s="55">
        <v>63.502931800000006</v>
      </c>
      <c r="G252" s="55">
        <v>122.4699399</v>
      </c>
      <c r="H252" s="55">
        <v>79.378664749999999</v>
      </c>
      <c r="I252" s="55">
        <v>39.916128560000004</v>
      </c>
      <c r="J252" s="55">
        <v>151.04625921000002</v>
      </c>
      <c r="K252" s="124">
        <v>151.04625921000002</v>
      </c>
    </row>
    <row r="253" spans="1:11" x14ac:dyDescent="0.3">
      <c r="A253" s="91" t="s">
        <v>4383</v>
      </c>
      <c r="B253" s="121">
        <v>18</v>
      </c>
      <c r="C253" s="21">
        <v>40</v>
      </c>
      <c r="D253" s="21">
        <f>VLOOKUP(B253,'Thickness Tab'!$1:$1048576,MATCH(C253,'Thickness Tab'!$1:$1,0),0)</f>
        <v>14.27</v>
      </c>
      <c r="E253" s="55">
        <v>41.730498040000001</v>
      </c>
      <c r="F253" s="55">
        <v>90.718474000000001</v>
      </c>
      <c r="G253" s="55">
        <v>176.90102430000002</v>
      </c>
      <c r="H253" s="55">
        <v>117.48042383000001</v>
      </c>
      <c r="I253" s="55">
        <v>59.420600470000004</v>
      </c>
      <c r="J253" s="55">
        <v>238.13599425000001</v>
      </c>
      <c r="K253" s="124">
        <v>238.13599425000001</v>
      </c>
    </row>
    <row r="254" spans="1:11" x14ac:dyDescent="0.3">
      <c r="A254" s="91" t="s">
        <v>4384</v>
      </c>
      <c r="B254" s="121">
        <v>18</v>
      </c>
      <c r="C254" s="21">
        <v>60</v>
      </c>
      <c r="D254" s="21">
        <f>VLOOKUP(B254,'Thickness Tab'!$1:$1048576,MATCH(C254,'Thickness Tab'!$1:$1,0),0)</f>
        <v>19.05</v>
      </c>
      <c r="E254" s="55">
        <v>54.884676770000006</v>
      </c>
      <c r="F254" s="55">
        <v>115.66605435000001</v>
      </c>
      <c r="G254" s="55">
        <v>231.33210870000002</v>
      </c>
      <c r="H254" s="55">
        <v>154.22140580000001</v>
      </c>
      <c r="I254" s="55">
        <v>78.471480010000008</v>
      </c>
      <c r="J254" s="55">
        <v>277.59853043999999</v>
      </c>
      <c r="K254" s="124">
        <v>277.59853043999999</v>
      </c>
    </row>
    <row r="255" spans="1:11" x14ac:dyDescent="0.3">
      <c r="A255" s="91" t="s">
        <v>4385</v>
      </c>
      <c r="B255" s="121">
        <v>18</v>
      </c>
      <c r="C255" s="21" t="s">
        <v>66</v>
      </c>
      <c r="D255" s="21">
        <f>VLOOKUP(B255,'Thickness Tab'!$1:$1048576,MATCH(C255,'Thickness Tab'!$1:$1,0),0)</f>
        <v>12.7</v>
      </c>
      <c r="E255" s="55">
        <v>33.565835380000003</v>
      </c>
      <c r="F255" s="55">
        <v>81.646626600000005</v>
      </c>
      <c r="G255" s="55">
        <v>163.29325320000001</v>
      </c>
      <c r="H255" s="55">
        <v>104.77983747</v>
      </c>
      <c r="I255" s="55">
        <v>53.070307290000002</v>
      </c>
      <c r="J255" s="55">
        <v>192.77675725</v>
      </c>
      <c r="K255" s="124">
        <v>192.77675725</v>
      </c>
    </row>
    <row r="256" spans="1:11" x14ac:dyDescent="0.3">
      <c r="A256" s="91" t="s">
        <v>4386</v>
      </c>
      <c r="B256" s="121">
        <v>18</v>
      </c>
      <c r="C256" s="21">
        <v>80</v>
      </c>
      <c r="D256" s="21">
        <f>VLOOKUP(B256,'Thickness Tab'!$1:$1048576,MATCH(C256,'Thickness Tab'!$1:$1,0),0)</f>
        <v>23.82</v>
      </c>
      <c r="E256" s="55">
        <v>67.585263130000001</v>
      </c>
      <c r="F256" s="55">
        <v>145.14955840000002</v>
      </c>
      <c r="G256" s="55">
        <v>290.29911680000004</v>
      </c>
      <c r="H256" s="55">
        <v>191.41598014000002</v>
      </c>
      <c r="I256" s="55">
        <v>96.615174809999999</v>
      </c>
      <c r="J256" s="55">
        <v>322.05058270000001</v>
      </c>
      <c r="K256" s="124">
        <v>322.05058270000001</v>
      </c>
    </row>
    <row r="257" spans="1:11" x14ac:dyDescent="0.3">
      <c r="A257" s="91" t="s">
        <v>4387</v>
      </c>
      <c r="B257" s="121">
        <v>18</v>
      </c>
      <c r="C257" s="21">
        <v>100</v>
      </c>
      <c r="D257" s="21">
        <f>VLOOKUP(B257,'Thickness Tab'!$1:$1048576,MATCH(C257,'Thickness Tab'!$1:$1,0),0)</f>
        <v>29.36</v>
      </c>
      <c r="E257" s="55">
        <v>90.718474000000001</v>
      </c>
      <c r="F257" s="55">
        <v>173.72587771000002</v>
      </c>
      <c r="G257" s="55">
        <v>346.99816305000002</v>
      </c>
      <c r="H257" s="55">
        <v>223.16744604000002</v>
      </c>
      <c r="I257" s="55">
        <v>116.57323909</v>
      </c>
      <c r="J257" s="55">
        <v>513.01297047000003</v>
      </c>
      <c r="K257" s="124">
        <v>513.01297047000003</v>
      </c>
    </row>
    <row r="258" spans="1:11" x14ac:dyDescent="0.3">
      <c r="A258" s="91" t="s">
        <v>4388</v>
      </c>
      <c r="B258" s="121">
        <v>18</v>
      </c>
      <c r="C258" s="21">
        <v>120</v>
      </c>
      <c r="D258" s="21">
        <f>VLOOKUP(B258,'Thickness Tab'!$1:$1048576,MATCH(C258,'Thickness Tab'!$1:$1,0),0)</f>
        <v>34.92</v>
      </c>
      <c r="E258" s="55">
        <v>104.32624510000001</v>
      </c>
      <c r="F258" s="55">
        <v>195.49831147</v>
      </c>
      <c r="G258" s="55">
        <v>398.70769323000002</v>
      </c>
      <c r="H258" s="55">
        <v>234.50725529000002</v>
      </c>
      <c r="I258" s="55">
        <v>137.89208048</v>
      </c>
      <c r="J258" s="55">
        <v>526.16714920000004</v>
      </c>
      <c r="K258" s="124">
        <v>526.16714920000004</v>
      </c>
    </row>
    <row r="259" spans="1:11" x14ac:dyDescent="0.3">
      <c r="A259" s="91" t="s">
        <v>4389</v>
      </c>
      <c r="B259" s="121">
        <v>18</v>
      </c>
      <c r="C259" s="21">
        <v>140</v>
      </c>
      <c r="D259" s="21">
        <f>VLOOKUP(B259,'Thickness Tab'!$1:$1048576,MATCH(C259,'Thickness Tab'!$1:$1,0),0)</f>
        <v>39.67</v>
      </c>
      <c r="E259" s="55">
        <v>108.86216880000001</v>
      </c>
      <c r="F259" s="55">
        <v>225.43540789000002</v>
      </c>
      <c r="G259" s="55">
        <v>454.49955474000001</v>
      </c>
      <c r="H259" s="55">
        <v>294.83504049999999</v>
      </c>
      <c r="I259" s="55">
        <v>155.58218291</v>
      </c>
      <c r="J259" s="55">
        <v>539.32132793000005</v>
      </c>
      <c r="K259" s="124">
        <v>539.32132793000005</v>
      </c>
    </row>
    <row r="260" spans="1:11" x14ac:dyDescent="0.3">
      <c r="A260" s="91" t="s">
        <v>4390</v>
      </c>
      <c r="B260" s="121">
        <v>18</v>
      </c>
      <c r="C260" s="21">
        <v>160</v>
      </c>
      <c r="D260" s="21">
        <f>VLOOKUP(B260,'Thickness Tab'!$1:$1048576,MATCH(C260,'Thickness Tab'!$1:$1,0),0)</f>
        <v>45.24</v>
      </c>
      <c r="E260" s="55">
        <v>115.66605435000001</v>
      </c>
      <c r="F260" s="55">
        <v>249.47580350000001</v>
      </c>
      <c r="G260" s="55">
        <v>494.41568330000001</v>
      </c>
      <c r="H260" s="55">
        <v>329.76165299000002</v>
      </c>
      <c r="I260" s="55">
        <v>174.63306245000001</v>
      </c>
      <c r="J260" s="55">
        <v>631.40057904000003</v>
      </c>
      <c r="K260" s="124">
        <v>631.40057904000003</v>
      </c>
    </row>
    <row r="261" spans="1:11" ht="15" thickBot="1" x14ac:dyDescent="0.35">
      <c r="A261" s="94" t="s">
        <v>4391</v>
      </c>
      <c r="B261" s="122">
        <v>18</v>
      </c>
      <c r="C261" s="23" t="s">
        <v>4144</v>
      </c>
      <c r="D261" s="638">
        <f>VLOOKUP(B261,'Thickness Tab'!$1:$1048576,MATCH(C261,'Thickness Tab'!$1:$1,0),0)</f>
        <v>0</v>
      </c>
      <c r="E261" s="639">
        <v>0</v>
      </c>
      <c r="F261" s="639">
        <v>0</v>
      </c>
      <c r="G261" s="639">
        <v>0</v>
      </c>
      <c r="H261" s="639">
        <v>0</v>
      </c>
      <c r="I261" s="639">
        <v>0</v>
      </c>
      <c r="J261" s="639">
        <v>0</v>
      </c>
      <c r="K261" s="640">
        <v>0</v>
      </c>
    </row>
    <row r="262" spans="1:11" x14ac:dyDescent="0.3">
      <c r="A262" s="123" t="s">
        <v>4392</v>
      </c>
      <c r="B262" s="629">
        <v>20</v>
      </c>
      <c r="C262" s="326">
        <v>10</v>
      </c>
      <c r="D262" s="326">
        <f>VLOOKUP(B262,'Thickness Tab'!$1:$1048576,MATCH(C262,'Thickness Tab'!$1:$1,0),0)</f>
        <v>6.35</v>
      </c>
      <c r="E262" s="649">
        <v>0</v>
      </c>
      <c r="F262" s="630">
        <v>49.441568330000003</v>
      </c>
      <c r="G262" s="630">
        <v>98.42954429000001</v>
      </c>
      <c r="H262" s="649">
        <v>0</v>
      </c>
      <c r="I262" s="649">
        <v>0</v>
      </c>
      <c r="J262" s="630">
        <v>199.12705043</v>
      </c>
      <c r="K262" s="631">
        <v>199.12705043</v>
      </c>
    </row>
    <row r="263" spans="1:11" x14ac:dyDescent="0.3">
      <c r="A263" s="91" t="s">
        <v>4393</v>
      </c>
      <c r="B263" s="121">
        <v>20</v>
      </c>
      <c r="C263" s="21">
        <v>20</v>
      </c>
      <c r="D263" s="21">
        <f>VLOOKUP(B263,'Thickness Tab'!$1:$1048576,MATCH(C263,'Thickness Tab'!$1:$1,0),0)</f>
        <v>9.5299999999999994</v>
      </c>
      <c r="E263" s="55">
        <v>32.205058270000002</v>
      </c>
      <c r="F263" s="55">
        <v>73.48196394</v>
      </c>
      <c r="G263" s="55">
        <v>146.51033551</v>
      </c>
      <c r="H263" s="55">
        <v>97.522359550000004</v>
      </c>
      <c r="I263" s="55">
        <v>59.420600470000004</v>
      </c>
      <c r="J263" s="55">
        <v>228.61055448000002</v>
      </c>
      <c r="K263" s="124">
        <v>228.61055448000002</v>
      </c>
    </row>
    <row r="264" spans="1:11" x14ac:dyDescent="0.3">
      <c r="A264" s="91" t="s">
        <v>4394</v>
      </c>
      <c r="B264" s="121">
        <v>20</v>
      </c>
      <c r="C264" s="21">
        <v>30</v>
      </c>
      <c r="D264" s="21">
        <f>VLOOKUP(B264,'Thickness Tab'!$1:$1048576,MATCH(C264,'Thickness Tab'!$1:$1,0),0)</f>
        <v>12.7</v>
      </c>
      <c r="E264" s="55">
        <v>42.637682779999999</v>
      </c>
      <c r="F264" s="55">
        <v>97.068767180000009</v>
      </c>
      <c r="G264" s="55">
        <v>194.13753436000002</v>
      </c>
      <c r="H264" s="55">
        <v>129.72741782</v>
      </c>
      <c r="I264" s="55">
        <v>78.925072380000003</v>
      </c>
      <c r="J264" s="55">
        <v>264.44435171000003</v>
      </c>
      <c r="K264" s="124">
        <v>264.44435171000003</v>
      </c>
    </row>
    <row r="265" spans="1:11" x14ac:dyDescent="0.3">
      <c r="A265" s="91" t="s">
        <v>4395</v>
      </c>
      <c r="B265" s="121">
        <v>20</v>
      </c>
      <c r="C265" s="21" t="s">
        <v>65</v>
      </c>
      <c r="D265" s="21">
        <f>VLOOKUP(B265,'Thickness Tab'!$1:$1048576,MATCH(C265,'Thickness Tab'!$1:$1,0),0)</f>
        <v>9.52</v>
      </c>
      <c r="E265" s="55">
        <v>32.205058270000002</v>
      </c>
      <c r="F265" s="55">
        <v>79.378664749999999</v>
      </c>
      <c r="G265" s="55">
        <v>149.6854821</v>
      </c>
      <c r="H265" s="55">
        <v>97.522359550000004</v>
      </c>
      <c r="I265" s="55">
        <v>59.420600470000004</v>
      </c>
      <c r="J265" s="55">
        <v>228.61055448000002</v>
      </c>
      <c r="K265" s="124">
        <v>228.61055448000002</v>
      </c>
    </row>
    <row r="266" spans="1:11" x14ac:dyDescent="0.3">
      <c r="A266" s="91" t="s">
        <v>4396</v>
      </c>
      <c r="B266" s="121">
        <v>20</v>
      </c>
      <c r="C266" s="21">
        <v>40</v>
      </c>
      <c r="D266" s="21">
        <f>VLOOKUP(B266,'Thickness Tab'!$1:$1048576,MATCH(C266,'Thickness Tab'!$1:$1,0),0)</f>
        <v>15.08</v>
      </c>
      <c r="E266" s="55">
        <v>54.884676770000006</v>
      </c>
      <c r="F266" s="55">
        <v>122.4699399</v>
      </c>
      <c r="G266" s="55">
        <v>235.8680324</v>
      </c>
      <c r="H266" s="55">
        <v>153.31422105999999</v>
      </c>
      <c r="I266" s="55">
        <v>92.986435850000007</v>
      </c>
      <c r="J266" s="55">
        <v>320.23621322000002</v>
      </c>
      <c r="K266" s="124">
        <v>320.23621322000002</v>
      </c>
    </row>
    <row r="267" spans="1:11" x14ac:dyDescent="0.3">
      <c r="A267" s="91" t="s">
        <v>4397</v>
      </c>
      <c r="B267" s="121">
        <v>20</v>
      </c>
      <c r="C267" s="21">
        <v>60</v>
      </c>
      <c r="D267" s="21">
        <f>VLOOKUP(B267,'Thickness Tab'!$1:$1048576,MATCH(C267,'Thickness Tab'!$1:$1,0),0)</f>
        <v>20.62</v>
      </c>
      <c r="E267" s="55">
        <v>73.48196394</v>
      </c>
      <c r="F267" s="55">
        <v>155.58218291</v>
      </c>
      <c r="G267" s="55">
        <v>311.16436582</v>
      </c>
      <c r="H267" s="55">
        <v>207.29171309</v>
      </c>
      <c r="I267" s="55">
        <v>126.09867886000001</v>
      </c>
      <c r="J267" s="55">
        <v>378.29603658000002</v>
      </c>
      <c r="K267" s="124">
        <v>378.29603658000002</v>
      </c>
    </row>
    <row r="268" spans="1:11" x14ac:dyDescent="0.3">
      <c r="A268" s="91" t="s">
        <v>4398</v>
      </c>
      <c r="B268" s="121">
        <v>20</v>
      </c>
      <c r="C268" s="21" t="s">
        <v>66</v>
      </c>
      <c r="D268" s="21">
        <f>VLOOKUP(B268,'Thickness Tab'!$1:$1048576,MATCH(C268,'Thickness Tab'!$1:$1,0),0)</f>
        <v>12.7</v>
      </c>
      <c r="E268" s="55">
        <v>42.637682779999999</v>
      </c>
      <c r="F268" s="55">
        <v>102.05828325</v>
      </c>
      <c r="G268" s="55">
        <v>199.58064280000002</v>
      </c>
      <c r="H268" s="55">
        <v>129.72741782</v>
      </c>
      <c r="I268" s="55">
        <v>78.925072380000003</v>
      </c>
      <c r="J268" s="55">
        <v>264.44435171000003</v>
      </c>
      <c r="K268" s="124">
        <v>264.44435171000003</v>
      </c>
    </row>
    <row r="269" spans="1:11" x14ac:dyDescent="0.3">
      <c r="A269" s="91" t="s">
        <v>4399</v>
      </c>
      <c r="B269" s="121">
        <v>20</v>
      </c>
      <c r="C269" s="21">
        <v>80</v>
      </c>
      <c r="D269" s="21">
        <f>VLOOKUP(B269,'Thickness Tab'!$1:$1048576,MATCH(C269,'Thickness Tab'!$1:$1,0),0)</f>
        <v>26.19</v>
      </c>
      <c r="E269" s="55">
        <v>91.17206637000001</v>
      </c>
      <c r="F269" s="55">
        <v>199.58064280000002</v>
      </c>
      <c r="G269" s="55">
        <v>394.62536190000003</v>
      </c>
      <c r="H269" s="55">
        <v>259.90842801000002</v>
      </c>
      <c r="I269" s="55">
        <v>157.85014476000001</v>
      </c>
      <c r="J269" s="55">
        <v>463.11780977000001</v>
      </c>
      <c r="K269" s="124">
        <v>463.11780977000001</v>
      </c>
    </row>
    <row r="270" spans="1:11" x14ac:dyDescent="0.3">
      <c r="A270" s="91" t="s">
        <v>4400</v>
      </c>
      <c r="B270" s="121">
        <v>20</v>
      </c>
      <c r="C270" s="21">
        <v>100</v>
      </c>
      <c r="D270" s="21">
        <f>VLOOKUP(B270,'Thickness Tab'!$1:$1048576,MATCH(C270,'Thickness Tab'!$1:$1,0),0)</f>
        <v>32.54</v>
      </c>
      <c r="E270" s="55">
        <v>124.73790175000001</v>
      </c>
      <c r="F270" s="55">
        <v>233.14647818</v>
      </c>
      <c r="G270" s="55">
        <v>465.83936399000004</v>
      </c>
      <c r="H270" s="55">
        <v>307.53562686000004</v>
      </c>
      <c r="I270" s="55">
        <v>192.77675725</v>
      </c>
      <c r="J270" s="55">
        <v>609.62814528000001</v>
      </c>
      <c r="K270" s="124">
        <v>609.62814528000001</v>
      </c>
    </row>
    <row r="271" spans="1:11" x14ac:dyDescent="0.3">
      <c r="A271" s="91" t="s">
        <v>4401</v>
      </c>
      <c r="B271" s="121">
        <v>20</v>
      </c>
      <c r="C271" s="21">
        <v>120</v>
      </c>
      <c r="D271" s="21">
        <f>VLOOKUP(B271,'Thickness Tab'!$1:$1048576,MATCH(C271,'Thickness Tab'!$1:$1,0),0)</f>
        <v>38.1</v>
      </c>
      <c r="E271" s="55">
        <v>136.07771099999999</v>
      </c>
      <c r="F271" s="55">
        <v>273.96979148000003</v>
      </c>
      <c r="G271" s="55">
        <v>547.93958296000005</v>
      </c>
      <c r="H271" s="55">
        <v>351.53408675000003</v>
      </c>
      <c r="I271" s="55">
        <v>224.07463078000001</v>
      </c>
      <c r="J271" s="55">
        <v>682.20292447999998</v>
      </c>
      <c r="K271" s="124">
        <v>682.20292447999998</v>
      </c>
    </row>
    <row r="272" spans="1:11" x14ac:dyDescent="0.3">
      <c r="A272" s="91" t="s">
        <v>4402</v>
      </c>
      <c r="B272" s="121">
        <v>20</v>
      </c>
      <c r="C272" s="21">
        <v>140</v>
      </c>
      <c r="D272" s="21">
        <f>VLOOKUP(B272,'Thickness Tab'!$1:$1048576,MATCH(C272,'Thickness Tab'!$1:$1,0),0)</f>
        <v>44.45</v>
      </c>
      <c r="E272" s="55">
        <v>158.7573295</v>
      </c>
      <c r="F272" s="55">
        <v>318.42184374000004</v>
      </c>
      <c r="G272" s="55">
        <v>635.02931799999999</v>
      </c>
      <c r="H272" s="55">
        <v>403.6972093</v>
      </c>
      <c r="I272" s="55">
        <v>257.18687378999999</v>
      </c>
      <c r="J272" s="55">
        <v>769.29265952000003</v>
      </c>
      <c r="K272" s="124">
        <v>769.29265952000003</v>
      </c>
    </row>
    <row r="273" spans="1:11" x14ac:dyDescent="0.3">
      <c r="A273" s="91" t="s">
        <v>4403</v>
      </c>
      <c r="B273" s="121">
        <v>20</v>
      </c>
      <c r="C273" s="21">
        <v>160</v>
      </c>
      <c r="D273" s="21">
        <f>VLOOKUP(B273,'Thickness Tab'!$1:$1048576,MATCH(C273,'Thickness Tab'!$1:$1,0),0)</f>
        <v>50.01</v>
      </c>
      <c r="E273" s="55">
        <v>190.5087954</v>
      </c>
      <c r="F273" s="55">
        <v>349.26612490000002</v>
      </c>
      <c r="G273" s="55">
        <v>689.46040240000002</v>
      </c>
      <c r="H273" s="55">
        <v>450.41722341000002</v>
      </c>
      <c r="I273" s="55">
        <v>285.76319310000002</v>
      </c>
      <c r="J273" s="55">
        <v>812.83752704000005</v>
      </c>
      <c r="K273" s="124">
        <v>812.83752704000005</v>
      </c>
    </row>
    <row r="274" spans="1:11" ht="15" thickBot="1" x14ac:dyDescent="0.35">
      <c r="A274" s="94" t="s">
        <v>4404</v>
      </c>
      <c r="B274" s="122">
        <v>20</v>
      </c>
      <c r="C274" s="23" t="s">
        <v>4144</v>
      </c>
      <c r="D274" s="638">
        <f>VLOOKUP(B274,'Thickness Tab'!$1:$1048576,MATCH(C274,'Thickness Tab'!$1:$1,0),0)</f>
        <v>0</v>
      </c>
      <c r="E274" s="639">
        <v>0</v>
      </c>
      <c r="F274" s="639">
        <v>0</v>
      </c>
      <c r="G274" s="639">
        <v>0</v>
      </c>
      <c r="H274" s="639">
        <v>0</v>
      </c>
      <c r="I274" s="639">
        <v>0</v>
      </c>
      <c r="J274" s="639">
        <v>0</v>
      </c>
      <c r="K274" s="640">
        <v>0</v>
      </c>
    </row>
    <row r="275" spans="1:11" x14ac:dyDescent="0.3">
      <c r="A275" s="123" t="s">
        <v>4405</v>
      </c>
      <c r="B275" s="629">
        <v>22</v>
      </c>
      <c r="C275" s="326">
        <v>10</v>
      </c>
      <c r="D275" s="326">
        <f>VLOOKUP(B275,'Thickness Tab'!$1:$1048576,MATCH(C275,'Thickness Tab'!$1:$1,0),0)</f>
        <v>6.35</v>
      </c>
      <c r="E275" s="649">
        <v>0</v>
      </c>
      <c r="F275" s="630">
        <v>59.420600470000004</v>
      </c>
      <c r="G275" s="630">
        <v>118.84120094000001</v>
      </c>
      <c r="H275" s="649">
        <v>0</v>
      </c>
      <c r="I275" s="649">
        <v>0</v>
      </c>
      <c r="J275" s="630">
        <v>216.36356049</v>
      </c>
      <c r="K275" s="631">
        <v>216.36356049</v>
      </c>
    </row>
    <row r="276" spans="1:11" x14ac:dyDescent="0.3">
      <c r="A276" s="91" t="s">
        <v>4406</v>
      </c>
      <c r="B276" s="121">
        <v>22</v>
      </c>
      <c r="C276" s="21">
        <v>20</v>
      </c>
      <c r="D276" s="21">
        <f>VLOOKUP(B276,'Thickness Tab'!$1:$1048576,MATCH(C276,'Thickness Tab'!$1:$1,0),0)</f>
        <v>9.5299999999999994</v>
      </c>
      <c r="E276" s="55">
        <v>37.648166710000005</v>
      </c>
      <c r="F276" s="55">
        <v>88.904104520000004</v>
      </c>
      <c r="G276" s="55">
        <v>177.80820904000001</v>
      </c>
      <c r="H276" s="651">
        <v>0</v>
      </c>
      <c r="I276" s="55">
        <v>65.317301280000009</v>
      </c>
      <c r="J276" s="55">
        <v>251.74376535000002</v>
      </c>
      <c r="K276" s="124">
        <v>251.74376535000002</v>
      </c>
    </row>
    <row r="277" spans="1:11" x14ac:dyDescent="0.3">
      <c r="A277" s="91" t="s">
        <v>4407</v>
      </c>
      <c r="B277" s="121">
        <v>22</v>
      </c>
      <c r="C277" s="21">
        <v>30</v>
      </c>
      <c r="D277" s="21">
        <f>VLOOKUP(B277,'Thickness Tab'!$1:$1048576,MATCH(C277,'Thickness Tab'!$1:$1,0),0)</f>
        <v>12.7</v>
      </c>
      <c r="E277" s="55">
        <v>49.895160700000005</v>
      </c>
      <c r="F277" s="55">
        <v>117.9340162</v>
      </c>
      <c r="G277" s="55">
        <v>235.8680324</v>
      </c>
      <c r="H277" s="651">
        <v>0</v>
      </c>
      <c r="I277" s="55">
        <v>86.636142669999998</v>
      </c>
      <c r="J277" s="55">
        <v>367.86341207000004</v>
      </c>
      <c r="K277" s="124">
        <v>367.86341207000004</v>
      </c>
    </row>
    <row r="278" spans="1:11" x14ac:dyDescent="0.3">
      <c r="A278" s="91" t="s">
        <v>4408</v>
      </c>
      <c r="B278" s="121">
        <v>22</v>
      </c>
      <c r="C278" s="21" t="s">
        <v>65</v>
      </c>
      <c r="D278" s="21">
        <f>VLOOKUP(B278,'Thickness Tab'!$1:$1048576,MATCH(C278,'Thickness Tab'!$1:$1,0),0)</f>
        <v>9.52</v>
      </c>
      <c r="E278" s="55">
        <v>37.648166710000005</v>
      </c>
      <c r="F278" s="55">
        <v>88.904104520000004</v>
      </c>
      <c r="G278" s="55">
        <v>177.80820904000001</v>
      </c>
      <c r="H278" s="651">
        <v>0</v>
      </c>
      <c r="I278" s="55">
        <v>65.317301280000009</v>
      </c>
      <c r="J278" s="55">
        <v>251.74376535000002</v>
      </c>
      <c r="K278" s="124">
        <v>251.74376535000002</v>
      </c>
    </row>
    <row r="279" spans="1:11" x14ac:dyDescent="0.3">
      <c r="A279" s="91" t="s">
        <v>4409</v>
      </c>
      <c r="B279" s="121">
        <v>22</v>
      </c>
      <c r="C279" s="21">
        <v>40</v>
      </c>
      <c r="D279" s="21">
        <f>VLOOKUP(B279,'Thickness Tab'!$1:$1048576,MATCH(C279,'Thickness Tab'!$1:$1,0),0)</f>
        <v>15.87</v>
      </c>
      <c r="E279" s="651">
        <v>0</v>
      </c>
      <c r="F279" s="651">
        <v>0</v>
      </c>
      <c r="G279" s="651">
        <v>0</v>
      </c>
      <c r="H279" s="651">
        <v>0</v>
      </c>
      <c r="I279" s="651">
        <v>0</v>
      </c>
      <c r="J279" s="651">
        <v>0</v>
      </c>
      <c r="K279" s="652">
        <v>0</v>
      </c>
    </row>
    <row r="280" spans="1:11" x14ac:dyDescent="0.3">
      <c r="A280" s="91" t="s">
        <v>4410</v>
      </c>
      <c r="B280" s="121">
        <v>22</v>
      </c>
      <c r="C280" s="21">
        <v>60</v>
      </c>
      <c r="D280" s="21">
        <f>VLOOKUP(B280,'Thickness Tab'!$1:$1048576,MATCH(C280,'Thickness Tab'!$1:$1,0),0)</f>
        <v>22.22</v>
      </c>
      <c r="E280" s="651">
        <v>0</v>
      </c>
      <c r="F280" s="651">
        <v>0</v>
      </c>
      <c r="G280" s="651">
        <v>0</v>
      </c>
      <c r="H280" s="651">
        <v>0</v>
      </c>
      <c r="I280" s="651">
        <v>0</v>
      </c>
      <c r="J280" s="651">
        <v>0</v>
      </c>
      <c r="K280" s="652">
        <v>0</v>
      </c>
    </row>
    <row r="281" spans="1:11" x14ac:dyDescent="0.3">
      <c r="A281" s="91" t="s">
        <v>4411</v>
      </c>
      <c r="B281" s="121">
        <v>22</v>
      </c>
      <c r="C281" s="21" t="s">
        <v>66</v>
      </c>
      <c r="D281" s="21">
        <f>VLOOKUP(B281,'Thickness Tab'!$1:$1048576,MATCH(C281,'Thickness Tab'!$1:$1,0),0)</f>
        <v>12.7</v>
      </c>
      <c r="E281" s="55">
        <v>49.895160700000005</v>
      </c>
      <c r="F281" s="55">
        <v>117.9340162</v>
      </c>
      <c r="G281" s="55">
        <v>235.8680324</v>
      </c>
      <c r="H281" s="651">
        <v>0</v>
      </c>
      <c r="I281" s="55">
        <v>86.636142669999998</v>
      </c>
      <c r="J281" s="55">
        <v>367.86341207000004</v>
      </c>
      <c r="K281" s="124">
        <v>367.86341207000004</v>
      </c>
    </row>
    <row r="282" spans="1:11" x14ac:dyDescent="0.3">
      <c r="A282" s="91" t="s">
        <v>4412</v>
      </c>
      <c r="B282" s="121">
        <v>22</v>
      </c>
      <c r="C282" s="21">
        <v>80</v>
      </c>
      <c r="D282" s="21">
        <f>VLOOKUP(B282,'Thickness Tab'!$1:$1048576,MATCH(C282,'Thickness Tab'!$1:$1,0),0)</f>
        <v>28.57</v>
      </c>
      <c r="E282" s="651">
        <v>0</v>
      </c>
      <c r="F282" s="651">
        <v>0</v>
      </c>
      <c r="G282" s="651">
        <v>0</v>
      </c>
      <c r="H282" s="651">
        <v>0</v>
      </c>
      <c r="I282" s="651">
        <v>0</v>
      </c>
      <c r="J282" s="651">
        <v>0</v>
      </c>
      <c r="K282" s="652">
        <v>0</v>
      </c>
    </row>
    <row r="283" spans="1:11" x14ac:dyDescent="0.3">
      <c r="A283" s="91" t="s">
        <v>4413</v>
      </c>
      <c r="B283" s="121">
        <v>22</v>
      </c>
      <c r="C283" s="21">
        <v>100</v>
      </c>
      <c r="D283" s="21">
        <f>VLOOKUP(B283,'Thickness Tab'!$1:$1048576,MATCH(C283,'Thickness Tab'!$1:$1,0),0)</f>
        <v>34.92</v>
      </c>
      <c r="E283" s="651">
        <v>0</v>
      </c>
      <c r="F283" s="651">
        <v>0</v>
      </c>
      <c r="G283" s="651">
        <v>0</v>
      </c>
      <c r="H283" s="651">
        <v>0</v>
      </c>
      <c r="I283" s="651">
        <v>0</v>
      </c>
      <c r="J283" s="651">
        <v>0</v>
      </c>
      <c r="K283" s="652">
        <v>0</v>
      </c>
    </row>
    <row r="284" spans="1:11" x14ac:dyDescent="0.3">
      <c r="A284" s="91" t="s">
        <v>4414</v>
      </c>
      <c r="B284" s="121">
        <v>22</v>
      </c>
      <c r="C284" s="21">
        <v>120</v>
      </c>
      <c r="D284" s="21">
        <f>VLOOKUP(B284,'Thickness Tab'!$1:$1048576,MATCH(C284,'Thickness Tab'!$1:$1,0),0)</f>
        <v>41.27</v>
      </c>
      <c r="E284" s="651">
        <v>0</v>
      </c>
      <c r="F284" s="651">
        <v>0</v>
      </c>
      <c r="G284" s="651">
        <v>0</v>
      </c>
      <c r="H284" s="651">
        <v>0</v>
      </c>
      <c r="I284" s="651">
        <v>0</v>
      </c>
      <c r="J284" s="651">
        <v>0</v>
      </c>
      <c r="K284" s="652">
        <v>0</v>
      </c>
    </row>
    <row r="285" spans="1:11" x14ac:dyDescent="0.3">
      <c r="A285" s="91" t="s">
        <v>4415</v>
      </c>
      <c r="B285" s="121">
        <v>22</v>
      </c>
      <c r="C285" s="21">
        <v>140</v>
      </c>
      <c r="D285" s="21">
        <f>VLOOKUP(B285,'Thickness Tab'!$1:$1048576,MATCH(C285,'Thickness Tab'!$1:$1,0),0)</f>
        <v>47.62</v>
      </c>
      <c r="E285" s="651">
        <v>0</v>
      </c>
      <c r="F285" s="651">
        <v>0</v>
      </c>
      <c r="G285" s="651">
        <v>0</v>
      </c>
      <c r="H285" s="651">
        <v>0</v>
      </c>
      <c r="I285" s="651">
        <v>0</v>
      </c>
      <c r="J285" s="651">
        <v>0</v>
      </c>
      <c r="K285" s="652">
        <v>0</v>
      </c>
    </row>
    <row r="286" spans="1:11" x14ac:dyDescent="0.3">
      <c r="A286" s="91" t="s">
        <v>4416</v>
      </c>
      <c r="B286" s="121">
        <v>22</v>
      </c>
      <c r="C286" s="21">
        <v>160</v>
      </c>
      <c r="D286" s="21">
        <f>VLOOKUP(B286,'Thickness Tab'!$1:$1048576,MATCH(C286,'Thickness Tab'!$1:$1,0),0)</f>
        <v>53.97</v>
      </c>
      <c r="E286" s="651">
        <v>0</v>
      </c>
      <c r="F286" s="651">
        <v>0</v>
      </c>
      <c r="G286" s="651">
        <v>0</v>
      </c>
      <c r="H286" s="651">
        <v>0</v>
      </c>
      <c r="I286" s="651">
        <v>0</v>
      </c>
      <c r="J286" s="651">
        <v>0</v>
      </c>
      <c r="K286" s="652">
        <v>0</v>
      </c>
    </row>
    <row r="287" spans="1:11" ht="15" thickBot="1" x14ac:dyDescent="0.35">
      <c r="A287" s="94" t="s">
        <v>4417</v>
      </c>
      <c r="B287" s="122">
        <v>22</v>
      </c>
      <c r="C287" s="23" t="s">
        <v>4144</v>
      </c>
      <c r="D287" s="638">
        <f>VLOOKUP(B287,'Thickness Tab'!$1:$1048576,MATCH(C287,'Thickness Tab'!$1:$1,0),0)</f>
        <v>0</v>
      </c>
      <c r="E287" s="639">
        <v>0</v>
      </c>
      <c r="F287" s="639">
        <v>0</v>
      </c>
      <c r="G287" s="639">
        <v>0</v>
      </c>
      <c r="H287" s="639">
        <v>0</v>
      </c>
      <c r="I287" s="639">
        <v>0</v>
      </c>
      <c r="J287" s="639">
        <v>0</v>
      </c>
      <c r="K287" s="640">
        <v>0</v>
      </c>
    </row>
    <row r="288" spans="1:11" x14ac:dyDescent="0.3">
      <c r="A288" s="91" t="s">
        <v>4418</v>
      </c>
      <c r="B288" s="121">
        <v>24</v>
      </c>
      <c r="C288" s="21">
        <v>10</v>
      </c>
      <c r="D288" s="21">
        <f>VLOOKUP(B288,'Thickness Tab'!$1:$1048576,MATCH(C288,'Thickness Tab'!$1:$1,0),0)</f>
        <v>6.35</v>
      </c>
      <c r="E288" s="55">
        <v>0</v>
      </c>
      <c r="F288" s="55">
        <v>71.214002090000008</v>
      </c>
      <c r="G288" s="55">
        <v>142.42800418000002</v>
      </c>
      <c r="H288" s="55">
        <v>0</v>
      </c>
      <c r="I288" s="55">
        <v>0</v>
      </c>
      <c r="J288" s="55">
        <v>307.08203449000001</v>
      </c>
      <c r="K288" s="124">
        <v>307.08203449000001</v>
      </c>
    </row>
    <row r="289" spans="1:11" x14ac:dyDescent="0.3">
      <c r="A289" s="91" t="s">
        <v>4419</v>
      </c>
      <c r="B289" s="121">
        <v>24</v>
      </c>
      <c r="C289" s="21">
        <v>20</v>
      </c>
      <c r="D289" s="21">
        <f>VLOOKUP(B289,'Thickness Tab'!$1:$1048576,MATCH(C289,'Thickness Tab'!$1:$1,0),0)</f>
        <v>9.5299999999999994</v>
      </c>
      <c r="E289" s="55">
        <v>46.266421740000006</v>
      </c>
      <c r="F289" s="55">
        <v>106.14061458</v>
      </c>
      <c r="G289" s="55">
        <v>212.28122916000001</v>
      </c>
      <c r="H289" s="55">
        <v>141.97441181000002</v>
      </c>
      <c r="I289" s="55">
        <v>71.667594460000004</v>
      </c>
      <c r="J289" s="55">
        <v>346.99816305000002</v>
      </c>
      <c r="K289" s="124">
        <v>346.99816305000002</v>
      </c>
    </row>
    <row r="290" spans="1:11" x14ac:dyDescent="0.3">
      <c r="A290" s="91" t="s">
        <v>4420</v>
      </c>
      <c r="B290" s="121">
        <v>24</v>
      </c>
      <c r="C290" s="21">
        <v>30</v>
      </c>
      <c r="D290" s="21">
        <f>VLOOKUP(B290,'Thickness Tab'!$1:$1048576,MATCH(C290,'Thickness Tab'!$1:$1,0),0)</f>
        <v>12.7</v>
      </c>
      <c r="E290" s="55">
        <v>66.67807839000001</v>
      </c>
      <c r="F290" s="55">
        <v>159.21092187000002</v>
      </c>
      <c r="G290" s="55">
        <v>318.42184374000004</v>
      </c>
      <c r="H290" s="55">
        <v>213.1884139</v>
      </c>
      <c r="I290" s="55">
        <v>107.04779932000001</v>
      </c>
      <c r="J290" s="55">
        <v>443.15974549000003</v>
      </c>
      <c r="K290" s="124">
        <v>443.15974549000003</v>
      </c>
    </row>
    <row r="291" spans="1:11" x14ac:dyDescent="0.3">
      <c r="A291" s="91" t="s">
        <v>4421</v>
      </c>
      <c r="B291" s="121">
        <v>24</v>
      </c>
      <c r="C291" s="21" t="s">
        <v>65</v>
      </c>
      <c r="D291" s="21">
        <f>VLOOKUP(B291,'Thickness Tab'!$1:$1048576,MATCH(C291,'Thickness Tab'!$1:$1,0),0)</f>
        <v>9.52</v>
      </c>
      <c r="E291" s="55">
        <v>46.266421740000006</v>
      </c>
      <c r="F291" s="55">
        <v>108.86216880000001</v>
      </c>
      <c r="G291" s="55">
        <v>217.72433760000001</v>
      </c>
      <c r="H291" s="55">
        <v>141.97441181000002</v>
      </c>
      <c r="I291" s="55">
        <v>71.667594460000004</v>
      </c>
      <c r="J291" s="55">
        <v>346.99816305000002</v>
      </c>
      <c r="K291" s="124">
        <v>346.99816305000002</v>
      </c>
    </row>
    <row r="292" spans="1:11" x14ac:dyDescent="0.3">
      <c r="A292" s="91" t="s">
        <v>4422</v>
      </c>
      <c r="B292" s="121">
        <v>24</v>
      </c>
      <c r="C292" s="21">
        <v>40</v>
      </c>
      <c r="D292" s="21">
        <f>VLOOKUP(B292,'Thickness Tab'!$1:$1048576,MATCH(C292,'Thickness Tab'!$1:$1,0),0)</f>
        <v>17.47</v>
      </c>
      <c r="E292" s="55">
        <v>92.986435850000007</v>
      </c>
      <c r="F292" s="55">
        <v>195.04471910000001</v>
      </c>
      <c r="G292" s="55">
        <v>385.55351450000001</v>
      </c>
      <c r="H292" s="55">
        <v>255.82609668000001</v>
      </c>
      <c r="I292" s="55">
        <v>129.27382545</v>
      </c>
      <c r="J292" s="55">
        <v>570.16560908999998</v>
      </c>
      <c r="K292" s="124">
        <v>570.16560908999998</v>
      </c>
    </row>
    <row r="293" spans="1:11" x14ac:dyDescent="0.3">
      <c r="A293" s="91" t="s">
        <v>4423</v>
      </c>
      <c r="B293" s="121">
        <v>24</v>
      </c>
      <c r="C293" s="21">
        <v>60</v>
      </c>
      <c r="D293" s="21">
        <f>VLOOKUP(B293,'Thickness Tab'!$1:$1048576,MATCH(C293,'Thickness Tab'!$1:$1,0),0)</f>
        <v>24.61</v>
      </c>
      <c r="E293" s="55">
        <v>127.91304834</v>
      </c>
      <c r="F293" s="55">
        <v>266.71231356000004</v>
      </c>
      <c r="G293" s="55">
        <v>533.42462712000008</v>
      </c>
      <c r="H293" s="55">
        <v>355.16282570999999</v>
      </c>
      <c r="I293" s="55">
        <v>180.07617089000001</v>
      </c>
      <c r="J293" s="55">
        <v>655.89456702000007</v>
      </c>
      <c r="K293" s="124">
        <v>655.89456702000007</v>
      </c>
    </row>
    <row r="294" spans="1:11" x14ac:dyDescent="0.3">
      <c r="A294" s="91" t="s">
        <v>4424</v>
      </c>
      <c r="B294" s="121">
        <v>24</v>
      </c>
      <c r="C294" s="21" t="s">
        <v>66</v>
      </c>
      <c r="D294" s="21">
        <f>VLOOKUP(B294,'Thickness Tab'!$1:$1048576,MATCH(C294,'Thickness Tab'!$1:$1,0),0)</f>
        <v>12.7</v>
      </c>
      <c r="E294" s="55">
        <v>59.420600470000004</v>
      </c>
      <c r="F294" s="55">
        <v>141.06722707</v>
      </c>
      <c r="G294" s="55">
        <v>282.13445414</v>
      </c>
      <c r="H294" s="55">
        <v>188.24083355000002</v>
      </c>
      <c r="I294" s="55">
        <v>95.254397699999998</v>
      </c>
      <c r="J294" s="55">
        <v>423.65527358000003</v>
      </c>
      <c r="K294" s="124">
        <v>423.65527358000003</v>
      </c>
    </row>
    <row r="295" spans="1:11" x14ac:dyDescent="0.3">
      <c r="A295" s="91" t="s">
        <v>4425</v>
      </c>
      <c r="B295" s="121">
        <v>24</v>
      </c>
      <c r="C295" s="21">
        <v>80</v>
      </c>
      <c r="D295" s="21">
        <f>VLOOKUP(B295,'Thickness Tab'!$1:$1048576,MATCH(C295,'Thickness Tab'!$1:$1,0),0)</f>
        <v>30.96</v>
      </c>
      <c r="E295" s="55">
        <v>155.12859054</v>
      </c>
      <c r="F295" s="55">
        <v>333.39039195000004</v>
      </c>
      <c r="G295" s="55">
        <v>666.78078390000007</v>
      </c>
      <c r="H295" s="55">
        <v>443.15974549000003</v>
      </c>
      <c r="I295" s="55">
        <v>222.26026130000002</v>
      </c>
      <c r="J295" s="55">
        <v>758.86003501000005</v>
      </c>
      <c r="K295" s="124">
        <v>758.86003501000005</v>
      </c>
    </row>
    <row r="296" spans="1:11" x14ac:dyDescent="0.3">
      <c r="A296" s="91" t="s">
        <v>4426</v>
      </c>
      <c r="B296" s="121">
        <v>24</v>
      </c>
      <c r="C296" s="21">
        <v>100</v>
      </c>
      <c r="D296" s="21">
        <f>VLOOKUP(B296,'Thickness Tab'!$1:$1048576,MATCH(C296,'Thickness Tab'!$1:$1,0),0)</f>
        <v>38.89</v>
      </c>
      <c r="E296" s="55">
        <v>165.56121505000002</v>
      </c>
      <c r="F296" s="55">
        <v>396.89332375000004</v>
      </c>
      <c r="G296" s="55">
        <v>793.78664750000007</v>
      </c>
      <c r="H296" s="55">
        <v>521.63122550000003</v>
      </c>
      <c r="I296" s="55">
        <v>276.6913457</v>
      </c>
      <c r="J296" s="55">
        <v>1175.71142304</v>
      </c>
      <c r="K296" s="124">
        <v>1175.71142304</v>
      </c>
    </row>
    <row r="297" spans="1:11" x14ac:dyDescent="0.3">
      <c r="A297" s="91" t="s">
        <v>4427</v>
      </c>
      <c r="B297" s="121">
        <v>24</v>
      </c>
      <c r="C297" s="21">
        <v>120</v>
      </c>
      <c r="D297" s="21">
        <f>VLOOKUP(B297,'Thickness Tab'!$1:$1048576,MATCH(C297,'Thickness Tab'!$1:$1,0),0)</f>
        <v>46.02</v>
      </c>
      <c r="E297" s="55">
        <v>195.04471910000001</v>
      </c>
      <c r="F297" s="55">
        <v>451.77800052000003</v>
      </c>
      <c r="G297" s="55">
        <v>821.00218970000003</v>
      </c>
      <c r="H297" s="55">
        <v>607.81377580000003</v>
      </c>
      <c r="I297" s="55">
        <v>322.05058270000001</v>
      </c>
      <c r="J297" s="55">
        <v>1273.6873749600002</v>
      </c>
      <c r="K297" s="124">
        <v>1273.6873749600002</v>
      </c>
    </row>
    <row r="298" spans="1:11" x14ac:dyDescent="0.3">
      <c r="A298" s="91" t="s">
        <v>4428</v>
      </c>
      <c r="B298" s="121">
        <v>24</v>
      </c>
      <c r="C298" s="21">
        <v>140</v>
      </c>
      <c r="D298" s="21">
        <f>VLOOKUP(B298,'Thickness Tab'!$1:$1048576,MATCH(C298,'Thickness Tab'!$1:$1,0),0)</f>
        <v>52.37</v>
      </c>
      <c r="E298" s="55">
        <v>215.45637575000001</v>
      </c>
      <c r="F298" s="55">
        <v>519.36326365000002</v>
      </c>
      <c r="G298" s="55">
        <v>1035.5513807100001</v>
      </c>
      <c r="H298" s="55">
        <v>680.388555</v>
      </c>
      <c r="I298" s="55">
        <v>362.873896</v>
      </c>
      <c r="J298" s="55">
        <v>1338.0974915000002</v>
      </c>
      <c r="K298" s="124">
        <v>1338.0974915000002</v>
      </c>
    </row>
    <row r="299" spans="1:11" x14ac:dyDescent="0.3">
      <c r="A299" s="91" t="s">
        <v>4429</v>
      </c>
      <c r="B299" s="121">
        <v>24</v>
      </c>
      <c r="C299" s="21">
        <v>160</v>
      </c>
      <c r="D299" s="21">
        <f>VLOOKUP(B299,'Thickness Tab'!$1:$1048576,MATCH(C299,'Thickness Tab'!$1:$1,0),0)</f>
        <v>59.54</v>
      </c>
      <c r="E299" s="55">
        <v>240.40395610000002</v>
      </c>
      <c r="F299" s="55">
        <v>576.06230990000006</v>
      </c>
      <c r="G299" s="55">
        <v>1138.5168487000001</v>
      </c>
      <c r="H299" s="55">
        <v>786.98276195000005</v>
      </c>
      <c r="I299" s="55">
        <v>408.23313300000001</v>
      </c>
      <c r="J299" s="55">
        <v>1404.32197752</v>
      </c>
      <c r="K299" s="124">
        <v>1404.32197752</v>
      </c>
    </row>
    <row r="300" spans="1:11" ht="15" thickBot="1" x14ac:dyDescent="0.35">
      <c r="A300" s="91" t="s">
        <v>4430</v>
      </c>
      <c r="B300" s="121">
        <v>24</v>
      </c>
      <c r="C300" s="21" t="s">
        <v>4144</v>
      </c>
      <c r="D300" s="21">
        <f>VLOOKUP(B300,'Thickness Tab'!$1:$1048576,MATCH(C300,'Thickness Tab'!$1:$1,0),0)</f>
        <v>0</v>
      </c>
      <c r="E300" s="55">
        <f>E299*1.15</f>
        <v>276.46454951499999</v>
      </c>
      <c r="F300" s="55">
        <f t="shared" ref="F300:K300" si="0">F299*1.15</f>
        <v>662.47165638499996</v>
      </c>
      <c r="G300" s="55">
        <f t="shared" si="0"/>
        <v>1309.294376005</v>
      </c>
      <c r="H300" s="55">
        <f t="shared" si="0"/>
        <v>905.03017624250003</v>
      </c>
      <c r="I300" s="55">
        <f t="shared" si="0"/>
        <v>469.46810295</v>
      </c>
      <c r="J300" s="55">
        <f t="shared" si="0"/>
        <v>1614.9702741479998</v>
      </c>
      <c r="K300" s="124">
        <f t="shared" si="0"/>
        <v>1614.9702741479998</v>
      </c>
    </row>
    <row r="301" spans="1:11" x14ac:dyDescent="0.3">
      <c r="A301" s="1219" t="s">
        <v>4431</v>
      </c>
      <c r="B301" s="629">
        <v>26</v>
      </c>
      <c r="C301" s="326">
        <v>10</v>
      </c>
      <c r="D301" s="326">
        <f>VLOOKUP(B301,'Thickness Tab'!$1:$1048576,MATCH(C301,'Thickness Tab'!$1:$1,0),0)</f>
        <v>7.92</v>
      </c>
      <c r="E301" s="649">
        <v>0</v>
      </c>
      <c r="F301" s="649">
        <v>0</v>
      </c>
      <c r="G301" s="649">
        <v>0</v>
      </c>
      <c r="H301" s="649">
        <v>0</v>
      </c>
      <c r="I301" s="649">
        <v>0</v>
      </c>
      <c r="J301" s="649">
        <v>0</v>
      </c>
      <c r="K301" s="650">
        <v>0</v>
      </c>
    </row>
    <row r="302" spans="1:11" x14ac:dyDescent="0.3">
      <c r="A302" s="1220" t="s">
        <v>4432</v>
      </c>
      <c r="B302" s="121">
        <v>26</v>
      </c>
      <c r="C302" s="21">
        <v>20</v>
      </c>
      <c r="D302" s="21">
        <f>VLOOKUP(B302,'Thickness Tab'!$1:$1048576,MATCH(C302,'Thickness Tab'!$1:$1,0),0)</f>
        <v>12.7</v>
      </c>
      <c r="E302" s="651">
        <v>0</v>
      </c>
      <c r="F302" s="651">
        <v>0</v>
      </c>
      <c r="G302" s="651">
        <v>0</v>
      </c>
      <c r="H302" s="651">
        <v>0</v>
      </c>
      <c r="I302" s="651">
        <v>0</v>
      </c>
      <c r="J302" s="651">
        <v>0</v>
      </c>
      <c r="K302" s="652">
        <v>0</v>
      </c>
    </row>
    <row r="303" spans="1:11" x14ac:dyDescent="0.3">
      <c r="A303" s="1220" t="s">
        <v>4433</v>
      </c>
      <c r="B303" s="121">
        <v>26</v>
      </c>
      <c r="C303" s="21">
        <v>30</v>
      </c>
      <c r="D303" s="635">
        <f>VLOOKUP(B303,'Thickness Tab'!$1:$1048576,MATCH(C303,'Thickness Tab'!$1:$1,0),0)</f>
        <v>0</v>
      </c>
      <c r="E303" s="636">
        <v>0</v>
      </c>
      <c r="F303" s="636">
        <v>0</v>
      </c>
      <c r="G303" s="636">
        <v>0</v>
      </c>
      <c r="H303" s="636">
        <v>0</v>
      </c>
      <c r="I303" s="636">
        <v>0</v>
      </c>
      <c r="J303" s="636">
        <v>0</v>
      </c>
      <c r="K303" s="637">
        <v>0</v>
      </c>
    </row>
    <row r="304" spans="1:11" x14ac:dyDescent="0.3">
      <c r="A304" s="1220" t="s">
        <v>4434</v>
      </c>
      <c r="B304" s="121">
        <v>26</v>
      </c>
      <c r="C304" s="21" t="s">
        <v>65</v>
      </c>
      <c r="D304" s="21">
        <f>VLOOKUP(B304,'Thickness Tab'!$1:$1048576,MATCH(C304,'Thickness Tab'!$1:$1,0),0)</f>
        <v>9.52</v>
      </c>
      <c r="E304" s="651">
        <v>0</v>
      </c>
      <c r="F304" s="651">
        <v>0</v>
      </c>
      <c r="G304" s="651">
        <v>0</v>
      </c>
      <c r="H304" s="651">
        <v>0</v>
      </c>
      <c r="I304" s="651">
        <v>0</v>
      </c>
      <c r="J304" s="651">
        <v>0</v>
      </c>
      <c r="K304" s="652">
        <v>0</v>
      </c>
    </row>
    <row r="305" spans="1:11" x14ac:dyDescent="0.3">
      <c r="A305" s="1220" t="s">
        <v>4435</v>
      </c>
      <c r="B305" s="121">
        <v>26</v>
      </c>
      <c r="C305" s="21">
        <v>40</v>
      </c>
      <c r="D305" s="635">
        <f>VLOOKUP(B305,'Thickness Tab'!$1:$1048576,MATCH(C305,'Thickness Tab'!$1:$1,0),0)</f>
        <v>0</v>
      </c>
      <c r="E305" s="636">
        <v>0</v>
      </c>
      <c r="F305" s="636">
        <v>0</v>
      </c>
      <c r="G305" s="636">
        <v>0</v>
      </c>
      <c r="H305" s="636">
        <v>0</v>
      </c>
      <c r="I305" s="636">
        <v>0</v>
      </c>
      <c r="J305" s="636">
        <v>0</v>
      </c>
      <c r="K305" s="637">
        <v>0</v>
      </c>
    </row>
    <row r="306" spans="1:11" x14ac:dyDescent="0.3">
      <c r="A306" s="1220" t="s">
        <v>4436</v>
      </c>
      <c r="B306" s="121">
        <v>26</v>
      </c>
      <c r="C306" s="21">
        <v>60</v>
      </c>
      <c r="D306" s="635">
        <f>VLOOKUP(B306,'Thickness Tab'!$1:$1048576,MATCH(C306,'Thickness Tab'!$1:$1,0),0)</f>
        <v>0</v>
      </c>
      <c r="E306" s="636">
        <v>0</v>
      </c>
      <c r="F306" s="636">
        <v>0</v>
      </c>
      <c r="G306" s="636">
        <v>0</v>
      </c>
      <c r="H306" s="636">
        <v>0</v>
      </c>
      <c r="I306" s="636">
        <v>0</v>
      </c>
      <c r="J306" s="636">
        <v>0</v>
      </c>
      <c r="K306" s="637">
        <v>0</v>
      </c>
    </row>
    <row r="307" spans="1:11" x14ac:dyDescent="0.3">
      <c r="A307" s="1220" t="s">
        <v>4437</v>
      </c>
      <c r="B307" s="121">
        <v>26</v>
      </c>
      <c r="C307" s="21" t="s">
        <v>66</v>
      </c>
      <c r="D307" s="21">
        <f>VLOOKUP(B307,'Thickness Tab'!$1:$1048576,MATCH(C307,'Thickness Tab'!$1:$1,0),0)</f>
        <v>12.7</v>
      </c>
      <c r="E307" s="651">
        <v>0</v>
      </c>
      <c r="F307" s="651">
        <v>0</v>
      </c>
      <c r="G307" s="651">
        <v>0</v>
      </c>
      <c r="H307" s="651">
        <v>0</v>
      </c>
      <c r="I307" s="651">
        <v>0</v>
      </c>
      <c r="J307" s="651">
        <v>0</v>
      </c>
      <c r="K307" s="652">
        <v>0</v>
      </c>
    </row>
    <row r="308" spans="1:11" x14ac:dyDescent="0.3">
      <c r="A308" s="1220" t="s">
        <v>4438</v>
      </c>
      <c r="B308" s="121">
        <v>26</v>
      </c>
      <c r="C308" s="21">
        <v>80</v>
      </c>
      <c r="D308" s="635">
        <f>VLOOKUP(B308,'Thickness Tab'!$1:$1048576,MATCH(C308,'Thickness Tab'!$1:$1,0),0)</f>
        <v>0</v>
      </c>
      <c r="E308" s="636">
        <v>0</v>
      </c>
      <c r="F308" s="636">
        <v>0</v>
      </c>
      <c r="G308" s="636">
        <v>0</v>
      </c>
      <c r="H308" s="636">
        <v>0</v>
      </c>
      <c r="I308" s="636">
        <v>0</v>
      </c>
      <c r="J308" s="636">
        <v>0</v>
      </c>
      <c r="K308" s="637">
        <v>0</v>
      </c>
    </row>
    <row r="309" spans="1:11" x14ac:dyDescent="0.3">
      <c r="A309" s="1220" t="s">
        <v>4439</v>
      </c>
      <c r="B309" s="121">
        <v>26</v>
      </c>
      <c r="C309" s="21">
        <v>100</v>
      </c>
      <c r="D309" s="635">
        <f>VLOOKUP(B309,'Thickness Tab'!$1:$1048576,MATCH(C309,'Thickness Tab'!$1:$1,0),0)</f>
        <v>0</v>
      </c>
      <c r="E309" s="636">
        <v>0</v>
      </c>
      <c r="F309" s="636">
        <v>0</v>
      </c>
      <c r="G309" s="636">
        <v>0</v>
      </c>
      <c r="H309" s="636">
        <v>0</v>
      </c>
      <c r="I309" s="636">
        <v>0</v>
      </c>
      <c r="J309" s="636">
        <v>0</v>
      </c>
      <c r="K309" s="637">
        <v>0</v>
      </c>
    </row>
    <row r="310" spans="1:11" x14ac:dyDescent="0.3">
      <c r="A310" s="1220" t="s">
        <v>4440</v>
      </c>
      <c r="B310" s="121">
        <v>26</v>
      </c>
      <c r="C310" s="21">
        <v>120</v>
      </c>
      <c r="D310" s="635">
        <f>VLOOKUP(B310,'Thickness Tab'!$1:$1048576,MATCH(C310,'Thickness Tab'!$1:$1,0),0)</f>
        <v>0</v>
      </c>
      <c r="E310" s="636">
        <v>0</v>
      </c>
      <c r="F310" s="636">
        <v>0</v>
      </c>
      <c r="G310" s="636">
        <v>0</v>
      </c>
      <c r="H310" s="636">
        <v>0</v>
      </c>
      <c r="I310" s="636">
        <v>0</v>
      </c>
      <c r="J310" s="636">
        <v>0</v>
      </c>
      <c r="K310" s="637">
        <v>0</v>
      </c>
    </row>
    <row r="311" spans="1:11" x14ac:dyDescent="0.3">
      <c r="A311" s="1220" t="s">
        <v>4441</v>
      </c>
      <c r="B311" s="121">
        <v>26</v>
      </c>
      <c r="C311" s="21">
        <v>140</v>
      </c>
      <c r="D311" s="635">
        <f>VLOOKUP(B311,'Thickness Tab'!$1:$1048576,MATCH(C311,'Thickness Tab'!$1:$1,0),0)</f>
        <v>0</v>
      </c>
      <c r="E311" s="636">
        <v>0</v>
      </c>
      <c r="F311" s="636">
        <v>0</v>
      </c>
      <c r="G311" s="636">
        <v>0</v>
      </c>
      <c r="H311" s="636">
        <v>0</v>
      </c>
      <c r="I311" s="636">
        <v>0</v>
      </c>
      <c r="J311" s="636">
        <v>0</v>
      </c>
      <c r="K311" s="637">
        <v>0</v>
      </c>
    </row>
    <row r="312" spans="1:11" x14ac:dyDescent="0.3">
      <c r="A312" s="1220" t="s">
        <v>4442</v>
      </c>
      <c r="B312" s="121">
        <v>26</v>
      </c>
      <c r="C312" s="21">
        <v>160</v>
      </c>
      <c r="D312" s="635">
        <f>VLOOKUP(B312,'Thickness Tab'!$1:$1048576,MATCH(C312,'Thickness Tab'!$1:$1,0),0)</f>
        <v>0</v>
      </c>
      <c r="E312" s="636">
        <v>0</v>
      </c>
      <c r="F312" s="636">
        <v>0</v>
      </c>
      <c r="G312" s="636">
        <v>0</v>
      </c>
      <c r="H312" s="636">
        <v>0</v>
      </c>
      <c r="I312" s="636">
        <v>0</v>
      </c>
      <c r="J312" s="636">
        <v>0</v>
      </c>
      <c r="K312" s="637">
        <v>0</v>
      </c>
    </row>
    <row r="313" spans="1:11" ht="15" thickBot="1" x14ac:dyDescent="0.35">
      <c r="A313" s="1221" t="s">
        <v>4443</v>
      </c>
      <c r="B313" s="122">
        <v>26</v>
      </c>
      <c r="C313" s="23" t="s">
        <v>4144</v>
      </c>
      <c r="D313" s="638">
        <f>VLOOKUP(B313,'Thickness Tab'!$1:$1048576,MATCH(C313,'Thickness Tab'!$1:$1,0),0)</f>
        <v>0</v>
      </c>
      <c r="E313" s="639">
        <v>0</v>
      </c>
      <c r="F313" s="639">
        <v>0</v>
      </c>
      <c r="G313" s="639">
        <v>0</v>
      </c>
      <c r="H313" s="639">
        <v>0</v>
      </c>
      <c r="I313" s="639">
        <v>0</v>
      </c>
      <c r="J313" s="639">
        <v>0</v>
      </c>
      <c r="K313" s="640">
        <v>0</v>
      </c>
    </row>
    <row r="314" spans="1:11" x14ac:dyDescent="0.3">
      <c r="A314" s="1220" t="s">
        <v>4444</v>
      </c>
      <c r="B314" s="121">
        <v>28</v>
      </c>
      <c r="C314" s="21">
        <v>10</v>
      </c>
      <c r="D314" s="21">
        <f>VLOOKUP(B314,'Thickness Tab'!$1:$1048576,MATCH(C314,'Thickness Tab'!$1:$1,0),0)</f>
        <v>7.92</v>
      </c>
      <c r="E314" s="55">
        <f>+E288*1.15</f>
        <v>0</v>
      </c>
      <c r="F314" s="55">
        <f t="shared" ref="F314:K314" si="1">+F288*1.15</f>
        <v>81.896102403500009</v>
      </c>
      <c r="G314" s="55">
        <f t="shared" si="1"/>
        <v>163.79220480700002</v>
      </c>
      <c r="H314" s="55">
        <f t="shared" si="1"/>
        <v>0</v>
      </c>
      <c r="I314" s="55">
        <f t="shared" si="1"/>
        <v>0</v>
      </c>
      <c r="J314" s="55">
        <f t="shared" si="1"/>
        <v>353.14433966349998</v>
      </c>
      <c r="K314" s="124">
        <f t="shared" si="1"/>
        <v>353.14433966349998</v>
      </c>
    </row>
    <row r="315" spans="1:11" x14ac:dyDescent="0.3">
      <c r="A315" s="1220" t="s">
        <v>4445</v>
      </c>
      <c r="B315" s="121">
        <v>28</v>
      </c>
      <c r="C315" s="21">
        <v>20</v>
      </c>
      <c r="D315" s="21">
        <f>VLOOKUP(B315,'Thickness Tab'!$1:$1048576,MATCH(C315,'Thickness Tab'!$1:$1,0),0)</f>
        <v>12.7</v>
      </c>
      <c r="E315" s="55">
        <f t="shared" ref="E315:K326" si="2">+E289*1.15</f>
        <v>53.206385001000001</v>
      </c>
      <c r="F315" s="55">
        <f t="shared" si="2"/>
        <v>122.06170676699999</v>
      </c>
      <c r="G315" s="55">
        <f t="shared" si="2"/>
        <v>244.12341353399998</v>
      </c>
      <c r="H315" s="55">
        <f t="shared" si="2"/>
        <v>163.2705735815</v>
      </c>
      <c r="I315" s="55">
        <f t="shared" si="2"/>
        <v>82.417733628999997</v>
      </c>
      <c r="J315" s="55">
        <f t="shared" si="2"/>
        <v>399.04788750749998</v>
      </c>
      <c r="K315" s="124">
        <f t="shared" si="2"/>
        <v>399.04788750749998</v>
      </c>
    </row>
    <row r="316" spans="1:11" x14ac:dyDescent="0.3">
      <c r="A316" s="1220" t="s">
        <v>4446</v>
      </c>
      <c r="B316" s="121">
        <v>28</v>
      </c>
      <c r="C316" s="21">
        <v>30</v>
      </c>
      <c r="D316" s="21">
        <f>VLOOKUP(B316,'Thickness Tab'!$1:$1048576,MATCH(C316,'Thickness Tab'!$1:$1,0),0)</f>
        <v>15.88</v>
      </c>
      <c r="E316" s="55">
        <f t="shared" si="2"/>
        <v>76.679790148500004</v>
      </c>
      <c r="F316" s="55">
        <f t="shared" si="2"/>
        <v>183.09256015050002</v>
      </c>
      <c r="G316" s="55">
        <f t="shared" si="2"/>
        <v>366.18512030100004</v>
      </c>
      <c r="H316" s="55">
        <f t="shared" si="2"/>
        <v>245.16667598499998</v>
      </c>
      <c r="I316" s="55">
        <f t="shared" si="2"/>
        <v>123.10496921800001</v>
      </c>
      <c r="J316" s="55">
        <f t="shared" si="2"/>
        <v>509.6337073135</v>
      </c>
      <c r="K316" s="124">
        <f t="shared" si="2"/>
        <v>509.6337073135</v>
      </c>
    </row>
    <row r="317" spans="1:11" x14ac:dyDescent="0.3">
      <c r="A317" s="1220" t="s">
        <v>4447</v>
      </c>
      <c r="B317" s="121">
        <v>28</v>
      </c>
      <c r="C317" s="21" t="s">
        <v>65</v>
      </c>
      <c r="D317" s="21">
        <f>VLOOKUP(B317,'Thickness Tab'!$1:$1048576,MATCH(C317,'Thickness Tab'!$1:$1,0),0)</f>
        <v>9.52</v>
      </c>
      <c r="E317" s="55">
        <f t="shared" si="2"/>
        <v>53.206385001000001</v>
      </c>
      <c r="F317" s="55">
        <f t="shared" si="2"/>
        <v>125.19149412</v>
      </c>
      <c r="G317" s="55">
        <f t="shared" si="2"/>
        <v>250.38298824</v>
      </c>
      <c r="H317" s="55">
        <f t="shared" si="2"/>
        <v>163.2705735815</v>
      </c>
      <c r="I317" s="55">
        <f t="shared" si="2"/>
        <v>82.417733628999997</v>
      </c>
      <c r="J317" s="55">
        <f t="shared" si="2"/>
        <v>399.04788750749998</v>
      </c>
      <c r="K317" s="124">
        <f t="shared" si="2"/>
        <v>399.04788750749998</v>
      </c>
    </row>
    <row r="318" spans="1:11" x14ac:dyDescent="0.3">
      <c r="A318" s="1220" t="s">
        <v>4448</v>
      </c>
      <c r="B318" s="121">
        <v>28</v>
      </c>
      <c r="C318" s="21">
        <v>40</v>
      </c>
      <c r="D318" s="21">
        <f>VLOOKUP(B318,'Thickness Tab'!$1:$1048576,MATCH(C318,'Thickness Tab'!$1:$1,0),0)</f>
        <v>0</v>
      </c>
      <c r="E318" s="55">
        <f t="shared" si="2"/>
        <v>106.9344012275</v>
      </c>
      <c r="F318" s="55">
        <f t="shared" si="2"/>
        <v>224.30142696499999</v>
      </c>
      <c r="G318" s="55">
        <f t="shared" si="2"/>
        <v>443.38654167499999</v>
      </c>
      <c r="H318" s="55">
        <f t="shared" si="2"/>
        <v>294.20001118199997</v>
      </c>
      <c r="I318" s="55">
        <f t="shared" si="2"/>
        <v>148.6648992675</v>
      </c>
      <c r="J318" s="55">
        <f t="shared" si="2"/>
        <v>655.69045045349992</v>
      </c>
      <c r="K318" s="124">
        <f t="shared" si="2"/>
        <v>655.69045045349992</v>
      </c>
    </row>
    <row r="319" spans="1:11" x14ac:dyDescent="0.3">
      <c r="A319" s="1220" t="s">
        <v>4449</v>
      </c>
      <c r="B319" s="121">
        <v>28</v>
      </c>
      <c r="C319" s="21">
        <v>60</v>
      </c>
      <c r="D319" s="21">
        <f>VLOOKUP(B319,'Thickness Tab'!$1:$1048576,MATCH(C319,'Thickness Tab'!$1:$1,0),0)</f>
        <v>0</v>
      </c>
      <c r="E319" s="55">
        <f t="shared" si="2"/>
        <v>147.10000559099998</v>
      </c>
      <c r="F319" s="55">
        <f t="shared" si="2"/>
        <v>306.71916059400002</v>
      </c>
      <c r="G319" s="55">
        <f t="shared" si="2"/>
        <v>613.43832118800003</v>
      </c>
      <c r="H319" s="55">
        <f t="shared" si="2"/>
        <v>408.43724956649999</v>
      </c>
      <c r="I319" s="55">
        <f t="shared" si="2"/>
        <v>207.0875965235</v>
      </c>
      <c r="J319" s="55">
        <f t="shared" si="2"/>
        <v>754.27875207299996</v>
      </c>
      <c r="K319" s="124">
        <f t="shared" si="2"/>
        <v>754.27875207299996</v>
      </c>
    </row>
    <row r="320" spans="1:11" x14ac:dyDescent="0.3">
      <c r="A320" s="1220" t="s">
        <v>4450</v>
      </c>
      <c r="B320" s="121">
        <v>28</v>
      </c>
      <c r="C320" s="21" t="s">
        <v>66</v>
      </c>
      <c r="D320" s="21">
        <f>VLOOKUP(B320,'Thickness Tab'!$1:$1048576,MATCH(C320,'Thickness Tab'!$1:$1,0),0)</f>
        <v>12.7</v>
      </c>
      <c r="E320" s="55">
        <f t="shared" si="2"/>
        <v>68.333690540500001</v>
      </c>
      <c r="F320" s="55">
        <f t="shared" si="2"/>
        <v>162.2273111305</v>
      </c>
      <c r="G320" s="55">
        <f t="shared" si="2"/>
        <v>324.454622261</v>
      </c>
      <c r="H320" s="55">
        <f t="shared" si="2"/>
        <v>216.4769585825</v>
      </c>
      <c r="I320" s="55">
        <f t="shared" si="2"/>
        <v>109.54255735499999</v>
      </c>
      <c r="J320" s="55">
        <f t="shared" si="2"/>
        <v>487.20356461699998</v>
      </c>
      <c r="K320" s="124">
        <f t="shared" si="2"/>
        <v>487.20356461699998</v>
      </c>
    </row>
    <row r="321" spans="1:11" x14ac:dyDescent="0.3">
      <c r="A321" s="1220" t="s">
        <v>4451</v>
      </c>
      <c r="B321" s="121">
        <v>28</v>
      </c>
      <c r="C321" s="21">
        <v>80</v>
      </c>
      <c r="D321" s="21">
        <f>VLOOKUP(B321,'Thickness Tab'!$1:$1048576,MATCH(C321,'Thickness Tab'!$1:$1,0),0)</f>
        <v>15.88</v>
      </c>
      <c r="E321" s="55">
        <f t="shared" si="2"/>
        <v>178.39787912099999</v>
      </c>
      <c r="F321" s="55">
        <f t="shared" si="2"/>
        <v>383.39895074250001</v>
      </c>
      <c r="G321" s="55">
        <f t="shared" si="2"/>
        <v>766.79790148500001</v>
      </c>
      <c r="H321" s="55">
        <f t="shared" si="2"/>
        <v>509.6337073135</v>
      </c>
      <c r="I321" s="55">
        <f t="shared" si="2"/>
        <v>255.59930049500002</v>
      </c>
      <c r="J321" s="55">
        <f t="shared" si="2"/>
        <v>872.68904026149994</v>
      </c>
      <c r="K321" s="124">
        <f t="shared" si="2"/>
        <v>872.68904026149994</v>
      </c>
    </row>
    <row r="322" spans="1:11" x14ac:dyDescent="0.3">
      <c r="A322" s="1220" t="s">
        <v>4452</v>
      </c>
      <c r="B322" s="121">
        <v>28</v>
      </c>
      <c r="C322" s="21">
        <v>100</v>
      </c>
      <c r="D322" s="21">
        <f>VLOOKUP(B322,'Thickness Tab'!$1:$1048576,MATCH(C322,'Thickness Tab'!$1:$1,0),0)</f>
        <v>20.6</v>
      </c>
      <c r="E322" s="55">
        <f t="shared" si="2"/>
        <v>190.39539730749999</v>
      </c>
      <c r="F322" s="55">
        <f t="shared" si="2"/>
        <v>456.4273223125</v>
      </c>
      <c r="G322" s="55">
        <f t="shared" si="2"/>
        <v>912.85464462499999</v>
      </c>
      <c r="H322" s="55">
        <f t="shared" si="2"/>
        <v>599.87590932499995</v>
      </c>
      <c r="I322" s="55">
        <f t="shared" si="2"/>
        <v>318.19504755499997</v>
      </c>
      <c r="J322" s="55">
        <f t="shared" si="2"/>
        <v>1352.0681364959999</v>
      </c>
      <c r="K322" s="124">
        <f t="shared" si="2"/>
        <v>1352.0681364959999</v>
      </c>
    </row>
    <row r="323" spans="1:11" x14ac:dyDescent="0.3">
      <c r="A323" s="1220" t="s">
        <v>4453</v>
      </c>
      <c r="B323" s="121">
        <v>28</v>
      </c>
      <c r="C323" s="21">
        <v>120</v>
      </c>
      <c r="D323" s="21">
        <f>VLOOKUP(B323,'Thickness Tab'!$1:$1048576,MATCH(C323,'Thickness Tab'!$1:$1,0),0)</f>
        <v>0</v>
      </c>
      <c r="E323" s="55">
        <f t="shared" si="2"/>
        <v>224.30142696499999</v>
      </c>
      <c r="F323" s="55">
        <f t="shared" si="2"/>
        <v>519.54470059799996</v>
      </c>
      <c r="G323" s="55">
        <f t="shared" si="2"/>
        <v>944.15251815499994</v>
      </c>
      <c r="H323" s="55">
        <f t="shared" si="2"/>
        <v>698.98584216999996</v>
      </c>
      <c r="I323" s="55">
        <f t="shared" si="2"/>
        <v>370.358170105</v>
      </c>
      <c r="J323" s="55">
        <f t="shared" si="2"/>
        <v>1464.7404812040002</v>
      </c>
      <c r="K323" s="124">
        <f t="shared" si="2"/>
        <v>1464.7404812040002</v>
      </c>
    </row>
    <row r="324" spans="1:11" x14ac:dyDescent="0.3">
      <c r="A324" s="1220" t="s">
        <v>4454</v>
      </c>
      <c r="B324" s="121">
        <v>28</v>
      </c>
      <c r="C324" s="21">
        <v>140</v>
      </c>
      <c r="D324" s="21">
        <f>VLOOKUP(B324,'Thickness Tab'!$1:$1048576,MATCH(C324,'Thickness Tab'!$1:$1,0),0)</f>
        <v>0</v>
      </c>
      <c r="E324" s="55">
        <f t="shared" si="2"/>
        <v>247.77483211249998</v>
      </c>
      <c r="F324" s="55">
        <f t="shared" si="2"/>
        <v>597.26775319749993</v>
      </c>
      <c r="G324" s="55">
        <f t="shared" si="2"/>
        <v>1190.8840878164999</v>
      </c>
      <c r="H324" s="55">
        <f t="shared" si="2"/>
        <v>782.44683824999993</v>
      </c>
      <c r="I324" s="55">
        <f t="shared" si="2"/>
        <v>417.30498039999998</v>
      </c>
      <c r="J324" s="55">
        <f t="shared" si="2"/>
        <v>1538.8121152250001</v>
      </c>
      <c r="K324" s="124">
        <f t="shared" si="2"/>
        <v>1538.8121152250001</v>
      </c>
    </row>
    <row r="325" spans="1:11" x14ac:dyDescent="0.3">
      <c r="A325" s="1220" t="s">
        <v>4455</v>
      </c>
      <c r="B325" s="121">
        <v>28</v>
      </c>
      <c r="C325" s="21">
        <v>160</v>
      </c>
      <c r="D325" s="21">
        <f>VLOOKUP(B325,'Thickness Tab'!$1:$1048576,MATCH(C325,'Thickness Tab'!$1:$1,0),0)</f>
        <v>0</v>
      </c>
      <c r="E325" s="55">
        <f t="shared" si="2"/>
        <v>276.46454951499999</v>
      </c>
      <c r="F325" s="55">
        <f t="shared" si="2"/>
        <v>662.47165638499996</v>
      </c>
      <c r="G325" s="55">
        <f t="shared" si="2"/>
        <v>1309.294376005</v>
      </c>
      <c r="H325" s="55">
        <f t="shared" si="2"/>
        <v>905.03017624250003</v>
      </c>
      <c r="I325" s="55">
        <f t="shared" si="2"/>
        <v>469.46810295</v>
      </c>
      <c r="J325" s="55">
        <f t="shared" si="2"/>
        <v>1614.9702741479998</v>
      </c>
      <c r="K325" s="124">
        <f t="shared" si="2"/>
        <v>1614.9702741479998</v>
      </c>
    </row>
    <row r="326" spans="1:11" ht="15" thickBot="1" x14ac:dyDescent="0.35">
      <c r="A326" s="1220" t="s">
        <v>4456</v>
      </c>
      <c r="B326" s="121">
        <v>28</v>
      </c>
      <c r="C326" s="21" t="s">
        <v>4144</v>
      </c>
      <c r="D326" s="21">
        <f>VLOOKUP(B326,'Thickness Tab'!$1:$1048576,MATCH(C326,'Thickness Tab'!$1:$1,0),0)</f>
        <v>0</v>
      </c>
      <c r="E326" s="55">
        <f t="shared" si="2"/>
        <v>317.93423194224994</v>
      </c>
      <c r="F326" s="55">
        <f t="shared" si="2"/>
        <v>761.84240484274994</v>
      </c>
      <c r="G326" s="55">
        <f t="shared" si="2"/>
        <v>1505.6885324057498</v>
      </c>
      <c r="H326" s="55">
        <f t="shared" si="2"/>
        <v>1040.784702678875</v>
      </c>
      <c r="I326" s="55">
        <f t="shared" si="2"/>
        <v>539.88831839249997</v>
      </c>
      <c r="J326" s="55">
        <f t="shared" si="2"/>
        <v>1857.2158152701998</v>
      </c>
      <c r="K326" s="124">
        <f t="shared" si="2"/>
        <v>1857.2158152701998</v>
      </c>
    </row>
    <row r="327" spans="1:11" x14ac:dyDescent="0.3">
      <c r="A327" s="123" t="s">
        <v>4457</v>
      </c>
      <c r="B327" s="629">
        <v>30</v>
      </c>
      <c r="C327" s="326">
        <v>10</v>
      </c>
      <c r="D327" s="326">
        <f>VLOOKUP(B327,'Thickness Tab'!$1:$1048576,MATCH(C327,'Thickness Tab'!$1:$1,0),0)</f>
        <v>7.92</v>
      </c>
      <c r="E327" s="649">
        <v>0</v>
      </c>
      <c r="F327" s="649">
        <v>0</v>
      </c>
      <c r="G327" s="649">
        <v>0</v>
      </c>
      <c r="H327" s="649">
        <v>0</v>
      </c>
      <c r="I327" s="649">
        <v>0</v>
      </c>
      <c r="J327" s="649">
        <v>0</v>
      </c>
      <c r="K327" s="650">
        <v>0</v>
      </c>
    </row>
    <row r="328" spans="1:11" x14ac:dyDescent="0.3">
      <c r="A328" s="91" t="s">
        <v>4458</v>
      </c>
      <c r="B328" s="121">
        <v>30</v>
      </c>
      <c r="C328" s="21">
        <v>20</v>
      </c>
      <c r="D328" s="21">
        <f>VLOOKUP(B328,'Thickness Tab'!$1:$1048576,MATCH(C328,'Thickness Tab'!$1:$1,0),0)</f>
        <v>12.7</v>
      </c>
      <c r="E328" s="651">
        <v>0</v>
      </c>
      <c r="F328" s="651">
        <v>0</v>
      </c>
      <c r="G328" s="651">
        <v>0</v>
      </c>
      <c r="H328" s="651">
        <v>0</v>
      </c>
      <c r="I328" s="651">
        <v>0</v>
      </c>
      <c r="J328" s="651">
        <v>0</v>
      </c>
      <c r="K328" s="652">
        <v>0</v>
      </c>
    </row>
    <row r="329" spans="1:11" x14ac:dyDescent="0.3">
      <c r="A329" s="91" t="s">
        <v>4459</v>
      </c>
      <c r="B329" s="121">
        <v>30</v>
      </c>
      <c r="C329" s="21">
        <v>30</v>
      </c>
      <c r="D329" s="21">
        <f>VLOOKUP(B329,'Thickness Tab'!$1:$1048576,MATCH(C329,'Thickness Tab'!$1:$1,0),0)</f>
        <v>15.88</v>
      </c>
      <c r="E329" s="651">
        <v>0</v>
      </c>
      <c r="F329" s="651">
        <v>0</v>
      </c>
      <c r="G329" s="651">
        <v>0</v>
      </c>
      <c r="H329" s="651">
        <v>0</v>
      </c>
      <c r="I329" s="651">
        <v>0</v>
      </c>
      <c r="J329" s="651">
        <v>0</v>
      </c>
      <c r="K329" s="652">
        <v>0</v>
      </c>
    </row>
    <row r="330" spans="1:11" x14ac:dyDescent="0.3">
      <c r="A330" s="91" t="s">
        <v>4460</v>
      </c>
      <c r="B330" s="121">
        <v>30</v>
      </c>
      <c r="C330" s="21" t="s">
        <v>65</v>
      </c>
      <c r="D330" s="21">
        <f>VLOOKUP(B330,'Thickness Tab'!$1:$1048576,MATCH(C330,'Thickness Tab'!$1:$1,0),0)</f>
        <v>9.52</v>
      </c>
      <c r="E330" s="651">
        <v>0</v>
      </c>
      <c r="F330" s="651">
        <v>0</v>
      </c>
      <c r="G330" s="651">
        <v>0</v>
      </c>
      <c r="H330" s="651">
        <v>0</v>
      </c>
      <c r="I330" s="651">
        <v>0</v>
      </c>
      <c r="J330" s="651">
        <v>0</v>
      </c>
      <c r="K330" s="652">
        <v>0</v>
      </c>
    </row>
    <row r="331" spans="1:11" x14ac:dyDescent="0.3">
      <c r="A331" s="91" t="s">
        <v>4461</v>
      </c>
      <c r="B331" s="121">
        <v>30</v>
      </c>
      <c r="C331" s="21">
        <v>40</v>
      </c>
      <c r="D331" s="635">
        <f>VLOOKUP(B331,'Thickness Tab'!$1:$1048576,MATCH(C331,'Thickness Tab'!$1:$1,0),0)</f>
        <v>0</v>
      </c>
      <c r="E331" s="636">
        <v>0</v>
      </c>
      <c r="F331" s="636">
        <v>0</v>
      </c>
      <c r="G331" s="636">
        <v>0</v>
      </c>
      <c r="H331" s="636">
        <v>0</v>
      </c>
      <c r="I331" s="636">
        <v>0</v>
      </c>
      <c r="J331" s="636">
        <v>0</v>
      </c>
      <c r="K331" s="637">
        <v>0</v>
      </c>
    </row>
    <row r="332" spans="1:11" x14ac:dyDescent="0.3">
      <c r="A332" s="91" t="s">
        <v>4462</v>
      </c>
      <c r="B332" s="121">
        <v>30</v>
      </c>
      <c r="C332" s="21">
        <v>60</v>
      </c>
      <c r="D332" s="635">
        <f>VLOOKUP(B332,'Thickness Tab'!$1:$1048576,MATCH(C332,'Thickness Tab'!$1:$1,0),0)</f>
        <v>0</v>
      </c>
      <c r="E332" s="636">
        <v>0</v>
      </c>
      <c r="F332" s="636">
        <v>0</v>
      </c>
      <c r="G332" s="636">
        <v>0</v>
      </c>
      <c r="H332" s="636">
        <v>0</v>
      </c>
      <c r="I332" s="636">
        <v>0</v>
      </c>
      <c r="J332" s="636">
        <v>0</v>
      </c>
      <c r="K332" s="637">
        <v>0</v>
      </c>
    </row>
    <row r="333" spans="1:11" x14ac:dyDescent="0.3">
      <c r="A333" s="91" t="s">
        <v>4463</v>
      </c>
      <c r="B333" s="121">
        <v>30</v>
      </c>
      <c r="C333" s="21" t="s">
        <v>66</v>
      </c>
      <c r="D333" s="21">
        <f>VLOOKUP(B333,'Thickness Tab'!$1:$1048576,MATCH(C333,'Thickness Tab'!$1:$1,0),0)</f>
        <v>12.7</v>
      </c>
      <c r="E333" s="651">
        <v>0</v>
      </c>
      <c r="F333" s="651">
        <v>0</v>
      </c>
      <c r="G333" s="651">
        <v>0</v>
      </c>
      <c r="H333" s="651">
        <v>0</v>
      </c>
      <c r="I333" s="651">
        <v>0</v>
      </c>
      <c r="J333" s="651">
        <v>0</v>
      </c>
      <c r="K333" s="652">
        <v>0</v>
      </c>
    </row>
    <row r="334" spans="1:11" x14ac:dyDescent="0.3">
      <c r="A334" s="91" t="s">
        <v>4464</v>
      </c>
      <c r="B334" s="121">
        <v>30</v>
      </c>
      <c r="C334" s="21">
        <v>80</v>
      </c>
      <c r="D334" s="635">
        <f>VLOOKUP(B334,'Thickness Tab'!$1:$1048576,MATCH(C334,'Thickness Tab'!$1:$1,0),0)</f>
        <v>0</v>
      </c>
      <c r="E334" s="636">
        <v>0</v>
      </c>
      <c r="F334" s="636">
        <v>0</v>
      </c>
      <c r="G334" s="636">
        <v>0</v>
      </c>
      <c r="H334" s="636">
        <v>0</v>
      </c>
      <c r="I334" s="636">
        <v>0</v>
      </c>
      <c r="J334" s="636">
        <v>0</v>
      </c>
      <c r="K334" s="637">
        <v>0</v>
      </c>
    </row>
    <row r="335" spans="1:11" x14ac:dyDescent="0.3">
      <c r="A335" s="91" t="s">
        <v>4465</v>
      </c>
      <c r="B335" s="121">
        <v>30</v>
      </c>
      <c r="C335" s="21">
        <v>100</v>
      </c>
      <c r="D335" s="635">
        <f>VLOOKUP(B335,'Thickness Tab'!$1:$1048576,MATCH(C335,'Thickness Tab'!$1:$1,0),0)</f>
        <v>0</v>
      </c>
      <c r="E335" s="636">
        <v>0</v>
      </c>
      <c r="F335" s="636">
        <v>0</v>
      </c>
      <c r="G335" s="636">
        <v>0</v>
      </c>
      <c r="H335" s="636">
        <v>0</v>
      </c>
      <c r="I335" s="636">
        <v>0</v>
      </c>
      <c r="J335" s="636">
        <v>0</v>
      </c>
      <c r="K335" s="637">
        <v>0</v>
      </c>
    </row>
    <row r="336" spans="1:11" x14ac:dyDescent="0.3">
      <c r="A336" s="91" t="s">
        <v>4466</v>
      </c>
      <c r="B336" s="121">
        <v>30</v>
      </c>
      <c r="C336" s="21">
        <v>120</v>
      </c>
      <c r="D336" s="635">
        <f>VLOOKUP(B336,'Thickness Tab'!$1:$1048576,MATCH(C336,'Thickness Tab'!$1:$1,0),0)</f>
        <v>0</v>
      </c>
      <c r="E336" s="636">
        <v>0</v>
      </c>
      <c r="F336" s="636">
        <v>0</v>
      </c>
      <c r="G336" s="636">
        <v>0</v>
      </c>
      <c r="H336" s="636">
        <v>0</v>
      </c>
      <c r="I336" s="636">
        <v>0</v>
      </c>
      <c r="J336" s="636">
        <v>0</v>
      </c>
      <c r="K336" s="637">
        <v>0</v>
      </c>
    </row>
    <row r="337" spans="1:11" x14ac:dyDescent="0.3">
      <c r="A337" s="91" t="s">
        <v>4467</v>
      </c>
      <c r="B337" s="121">
        <v>30</v>
      </c>
      <c r="C337" s="21">
        <v>140</v>
      </c>
      <c r="D337" s="635">
        <f>VLOOKUP(B337,'Thickness Tab'!$1:$1048576,MATCH(C337,'Thickness Tab'!$1:$1,0),0)</f>
        <v>0</v>
      </c>
      <c r="E337" s="636">
        <v>0</v>
      </c>
      <c r="F337" s="636">
        <v>0</v>
      </c>
      <c r="G337" s="636">
        <v>0</v>
      </c>
      <c r="H337" s="636">
        <v>0</v>
      </c>
      <c r="I337" s="636">
        <v>0</v>
      </c>
      <c r="J337" s="636">
        <v>0</v>
      </c>
      <c r="K337" s="637">
        <v>0</v>
      </c>
    </row>
    <row r="338" spans="1:11" x14ac:dyDescent="0.3">
      <c r="A338" s="91" t="s">
        <v>4468</v>
      </c>
      <c r="B338" s="121">
        <v>30</v>
      </c>
      <c r="C338" s="21">
        <v>160</v>
      </c>
      <c r="D338" s="635">
        <f>VLOOKUP(B338,'Thickness Tab'!$1:$1048576,MATCH(C338,'Thickness Tab'!$1:$1,0),0)</f>
        <v>0</v>
      </c>
      <c r="E338" s="636">
        <v>0</v>
      </c>
      <c r="F338" s="636">
        <v>0</v>
      </c>
      <c r="G338" s="636">
        <v>0</v>
      </c>
      <c r="H338" s="636">
        <v>0</v>
      </c>
      <c r="I338" s="636">
        <v>0</v>
      </c>
      <c r="J338" s="636">
        <v>0</v>
      </c>
      <c r="K338" s="637">
        <v>0</v>
      </c>
    </row>
    <row r="339" spans="1:11" ht="15" thickBot="1" x14ac:dyDescent="0.35">
      <c r="A339" s="94" t="s">
        <v>4469</v>
      </c>
      <c r="B339" s="122">
        <v>30</v>
      </c>
      <c r="C339" s="23" t="s">
        <v>4144</v>
      </c>
      <c r="D339" s="638">
        <f>VLOOKUP(B339,'Thickness Tab'!$1:$1048576,MATCH(C339,'Thickness Tab'!$1:$1,0),0)</f>
        <v>0</v>
      </c>
      <c r="E339" s="639">
        <v>0</v>
      </c>
      <c r="F339" s="639">
        <v>0</v>
      </c>
      <c r="G339" s="639">
        <v>0</v>
      </c>
      <c r="H339" s="639">
        <v>0</v>
      </c>
      <c r="I339" s="639">
        <v>0</v>
      </c>
      <c r="J339" s="639">
        <v>0</v>
      </c>
      <c r="K339" s="640">
        <v>0</v>
      </c>
    </row>
    <row r="340" spans="1:11" x14ac:dyDescent="0.3">
      <c r="A340" s="123" t="s">
        <v>4470</v>
      </c>
      <c r="B340" s="629">
        <v>32</v>
      </c>
      <c r="C340" s="326">
        <v>10</v>
      </c>
      <c r="D340" s="326">
        <f>VLOOKUP(B340,'Thickness Tab'!$1:$1048576,MATCH(C340,'Thickness Tab'!$1:$1,0),0)</f>
        <v>7.92</v>
      </c>
      <c r="E340" s="649">
        <v>0</v>
      </c>
      <c r="F340" s="649">
        <v>0</v>
      </c>
      <c r="G340" s="649">
        <v>0</v>
      </c>
      <c r="H340" s="649">
        <v>0</v>
      </c>
      <c r="I340" s="649">
        <v>0</v>
      </c>
      <c r="J340" s="649">
        <v>0</v>
      </c>
      <c r="K340" s="650">
        <v>0</v>
      </c>
    </row>
    <row r="341" spans="1:11" x14ac:dyDescent="0.3">
      <c r="A341" s="91" t="s">
        <v>4471</v>
      </c>
      <c r="B341" s="121">
        <v>32</v>
      </c>
      <c r="C341" s="21">
        <v>20</v>
      </c>
      <c r="D341" s="21">
        <f>VLOOKUP(B341,'Thickness Tab'!$1:$1048576,MATCH(C341,'Thickness Tab'!$1:$1,0),0)</f>
        <v>12.7</v>
      </c>
      <c r="E341" s="651">
        <v>0</v>
      </c>
      <c r="F341" s="651">
        <v>0</v>
      </c>
      <c r="G341" s="651">
        <v>0</v>
      </c>
      <c r="H341" s="651">
        <v>0</v>
      </c>
      <c r="I341" s="651">
        <v>0</v>
      </c>
      <c r="J341" s="651">
        <v>0</v>
      </c>
      <c r="K341" s="652">
        <v>0</v>
      </c>
    </row>
    <row r="342" spans="1:11" x14ac:dyDescent="0.3">
      <c r="A342" s="91" t="s">
        <v>4472</v>
      </c>
      <c r="B342" s="121">
        <v>32</v>
      </c>
      <c r="C342" s="21">
        <v>30</v>
      </c>
      <c r="D342" s="21">
        <f>VLOOKUP(B342,'Thickness Tab'!$1:$1048576,MATCH(C342,'Thickness Tab'!$1:$1,0),0)</f>
        <v>15.88</v>
      </c>
      <c r="E342" s="651">
        <v>0</v>
      </c>
      <c r="F342" s="651">
        <v>0</v>
      </c>
      <c r="G342" s="651">
        <v>0</v>
      </c>
      <c r="H342" s="651">
        <v>0</v>
      </c>
      <c r="I342" s="651">
        <v>0</v>
      </c>
      <c r="J342" s="651">
        <v>0</v>
      </c>
      <c r="K342" s="652">
        <v>0</v>
      </c>
    </row>
    <row r="343" spans="1:11" x14ac:dyDescent="0.3">
      <c r="A343" s="91" t="s">
        <v>4473</v>
      </c>
      <c r="B343" s="121">
        <v>32</v>
      </c>
      <c r="C343" s="21" t="s">
        <v>65</v>
      </c>
      <c r="D343" s="21">
        <f>VLOOKUP(B343,'Thickness Tab'!$1:$1048576,MATCH(C343,'Thickness Tab'!$1:$1,0),0)</f>
        <v>9.52</v>
      </c>
      <c r="E343" s="651">
        <v>0</v>
      </c>
      <c r="F343" s="651">
        <v>0</v>
      </c>
      <c r="G343" s="651">
        <v>0</v>
      </c>
      <c r="H343" s="651">
        <v>0</v>
      </c>
      <c r="I343" s="651">
        <v>0</v>
      </c>
      <c r="J343" s="651">
        <v>0</v>
      </c>
      <c r="K343" s="652">
        <v>0</v>
      </c>
    </row>
    <row r="344" spans="1:11" x14ac:dyDescent="0.3">
      <c r="A344" s="91" t="s">
        <v>4474</v>
      </c>
      <c r="B344" s="121">
        <v>32</v>
      </c>
      <c r="C344" s="21">
        <v>40</v>
      </c>
      <c r="D344" s="21">
        <f>VLOOKUP(B344,'Thickness Tab'!$1:$1048576,MATCH(C344,'Thickness Tab'!$1:$1,0),0)</f>
        <v>17.47</v>
      </c>
      <c r="E344" s="651">
        <v>0</v>
      </c>
      <c r="F344" s="651">
        <v>0</v>
      </c>
      <c r="G344" s="651">
        <v>0</v>
      </c>
      <c r="H344" s="651">
        <v>0</v>
      </c>
      <c r="I344" s="651">
        <v>0</v>
      </c>
      <c r="J344" s="651">
        <v>0</v>
      </c>
      <c r="K344" s="652">
        <v>0</v>
      </c>
    </row>
    <row r="345" spans="1:11" x14ac:dyDescent="0.3">
      <c r="A345" s="91" t="s">
        <v>4475</v>
      </c>
      <c r="B345" s="121">
        <v>32</v>
      </c>
      <c r="C345" s="21">
        <v>60</v>
      </c>
      <c r="D345" s="635">
        <f>VLOOKUP(B345,'Thickness Tab'!$1:$1048576,MATCH(C345,'Thickness Tab'!$1:$1,0),0)</f>
        <v>0</v>
      </c>
      <c r="E345" s="636">
        <v>0</v>
      </c>
      <c r="F345" s="636">
        <v>0</v>
      </c>
      <c r="G345" s="636">
        <v>0</v>
      </c>
      <c r="H345" s="636">
        <v>0</v>
      </c>
      <c r="I345" s="636">
        <v>0</v>
      </c>
      <c r="J345" s="636">
        <v>0</v>
      </c>
      <c r="K345" s="637">
        <v>0</v>
      </c>
    </row>
    <row r="346" spans="1:11" x14ac:dyDescent="0.3">
      <c r="A346" s="91" t="s">
        <v>4476</v>
      </c>
      <c r="B346" s="121">
        <v>32</v>
      </c>
      <c r="C346" s="21" t="s">
        <v>66</v>
      </c>
      <c r="D346" s="21">
        <f>VLOOKUP(B346,'Thickness Tab'!$1:$1048576,MATCH(C346,'Thickness Tab'!$1:$1,0),0)</f>
        <v>12.7</v>
      </c>
      <c r="E346" s="651">
        <v>0</v>
      </c>
      <c r="F346" s="651">
        <v>0</v>
      </c>
      <c r="G346" s="651">
        <v>0</v>
      </c>
      <c r="H346" s="651">
        <v>0</v>
      </c>
      <c r="I346" s="651">
        <v>0</v>
      </c>
      <c r="J346" s="651">
        <v>0</v>
      </c>
      <c r="K346" s="652">
        <v>0</v>
      </c>
    </row>
    <row r="347" spans="1:11" x14ac:dyDescent="0.3">
      <c r="A347" s="91" t="s">
        <v>4477</v>
      </c>
      <c r="B347" s="121">
        <v>32</v>
      </c>
      <c r="C347" s="21">
        <v>80</v>
      </c>
      <c r="D347" s="635">
        <f>VLOOKUP(B347,'Thickness Tab'!$1:$1048576,MATCH(C347,'Thickness Tab'!$1:$1,0),0)</f>
        <v>0</v>
      </c>
      <c r="E347" s="636">
        <v>0</v>
      </c>
      <c r="F347" s="636">
        <v>0</v>
      </c>
      <c r="G347" s="636">
        <v>0</v>
      </c>
      <c r="H347" s="636">
        <v>0</v>
      </c>
      <c r="I347" s="636">
        <v>0</v>
      </c>
      <c r="J347" s="636">
        <v>0</v>
      </c>
      <c r="K347" s="637">
        <v>0</v>
      </c>
    </row>
    <row r="348" spans="1:11" x14ac:dyDescent="0.3">
      <c r="A348" s="91" t="s">
        <v>4478</v>
      </c>
      <c r="B348" s="121">
        <v>32</v>
      </c>
      <c r="C348" s="21">
        <v>100</v>
      </c>
      <c r="D348" s="635">
        <f>VLOOKUP(B348,'Thickness Tab'!$1:$1048576,MATCH(C348,'Thickness Tab'!$1:$1,0),0)</f>
        <v>0</v>
      </c>
      <c r="E348" s="636">
        <v>0</v>
      </c>
      <c r="F348" s="636">
        <v>0</v>
      </c>
      <c r="G348" s="636">
        <v>0</v>
      </c>
      <c r="H348" s="636">
        <v>0</v>
      </c>
      <c r="I348" s="636">
        <v>0</v>
      </c>
      <c r="J348" s="636">
        <v>0</v>
      </c>
      <c r="K348" s="637">
        <v>0</v>
      </c>
    </row>
    <row r="349" spans="1:11" x14ac:dyDescent="0.3">
      <c r="A349" s="91" t="s">
        <v>4479</v>
      </c>
      <c r="B349" s="121">
        <v>32</v>
      </c>
      <c r="C349" s="21">
        <v>120</v>
      </c>
      <c r="D349" s="635">
        <f>VLOOKUP(B349,'Thickness Tab'!$1:$1048576,MATCH(C349,'Thickness Tab'!$1:$1,0),0)</f>
        <v>0</v>
      </c>
      <c r="E349" s="636">
        <v>0</v>
      </c>
      <c r="F349" s="636">
        <v>0</v>
      </c>
      <c r="G349" s="636">
        <v>0</v>
      </c>
      <c r="H349" s="636">
        <v>0</v>
      </c>
      <c r="I349" s="636">
        <v>0</v>
      </c>
      <c r="J349" s="636">
        <v>0</v>
      </c>
      <c r="K349" s="637">
        <v>0</v>
      </c>
    </row>
    <row r="350" spans="1:11" x14ac:dyDescent="0.3">
      <c r="A350" s="91" t="s">
        <v>4480</v>
      </c>
      <c r="B350" s="121">
        <v>32</v>
      </c>
      <c r="C350" s="21">
        <v>140</v>
      </c>
      <c r="D350" s="635">
        <f>VLOOKUP(B350,'Thickness Tab'!$1:$1048576,MATCH(C350,'Thickness Tab'!$1:$1,0),0)</f>
        <v>0</v>
      </c>
      <c r="E350" s="636">
        <v>0</v>
      </c>
      <c r="F350" s="636">
        <v>0</v>
      </c>
      <c r="G350" s="636">
        <v>0</v>
      </c>
      <c r="H350" s="636">
        <v>0</v>
      </c>
      <c r="I350" s="636">
        <v>0</v>
      </c>
      <c r="J350" s="636">
        <v>0</v>
      </c>
      <c r="K350" s="637">
        <v>0</v>
      </c>
    </row>
    <row r="351" spans="1:11" x14ac:dyDescent="0.3">
      <c r="A351" s="91" t="s">
        <v>4481</v>
      </c>
      <c r="B351" s="121">
        <v>32</v>
      </c>
      <c r="C351" s="21">
        <v>160</v>
      </c>
      <c r="D351" s="635">
        <f>VLOOKUP(B351,'Thickness Tab'!$1:$1048576,MATCH(C351,'Thickness Tab'!$1:$1,0),0)</f>
        <v>0</v>
      </c>
      <c r="E351" s="636">
        <v>0</v>
      </c>
      <c r="F351" s="636">
        <v>0</v>
      </c>
      <c r="G351" s="636">
        <v>0</v>
      </c>
      <c r="H351" s="636">
        <v>0</v>
      </c>
      <c r="I351" s="636">
        <v>0</v>
      </c>
      <c r="J351" s="636">
        <v>0</v>
      </c>
      <c r="K351" s="637">
        <v>0</v>
      </c>
    </row>
    <row r="352" spans="1:11" ht="15" thickBot="1" x14ac:dyDescent="0.35">
      <c r="A352" s="94" t="s">
        <v>4482</v>
      </c>
      <c r="B352" s="122">
        <v>32</v>
      </c>
      <c r="C352" s="23" t="s">
        <v>4144</v>
      </c>
      <c r="D352" s="638">
        <f>VLOOKUP(B352,'Thickness Tab'!$1:$1048576,MATCH(C352,'Thickness Tab'!$1:$1,0),0)</f>
        <v>30.18</v>
      </c>
      <c r="E352" s="639">
        <v>0</v>
      </c>
      <c r="F352" s="639">
        <v>0</v>
      </c>
      <c r="G352" s="639">
        <v>0</v>
      </c>
      <c r="H352" s="639">
        <v>0</v>
      </c>
      <c r="I352" s="639">
        <v>0</v>
      </c>
      <c r="J352" s="639">
        <v>0</v>
      </c>
      <c r="K352" s="640">
        <v>0</v>
      </c>
    </row>
    <row r="353" spans="1:11" x14ac:dyDescent="0.3">
      <c r="A353" s="123" t="s">
        <v>4483</v>
      </c>
      <c r="B353" s="629">
        <v>34</v>
      </c>
      <c r="C353" s="326">
        <v>10</v>
      </c>
      <c r="D353" s="326">
        <f>VLOOKUP(B353,'Thickness Tab'!$1:$1048576,MATCH(C353,'Thickness Tab'!$1:$1,0),0)</f>
        <v>7.92</v>
      </c>
      <c r="E353" s="649">
        <v>0</v>
      </c>
      <c r="F353" s="649">
        <v>0</v>
      </c>
      <c r="G353" s="649">
        <v>0</v>
      </c>
      <c r="H353" s="649">
        <v>0</v>
      </c>
      <c r="I353" s="649">
        <v>0</v>
      </c>
      <c r="J353" s="649">
        <v>0</v>
      </c>
      <c r="K353" s="650">
        <v>0</v>
      </c>
    </row>
    <row r="354" spans="1:11" x14ac:dyDescent="0.3">
      <c r="A354" s="91" t="s">
        <v>4484</v>
      </c>
      <c r="B354" s="121">
        <v>34</v>
      </c>
      <c r="C354" s="21">
        <v>20</v>
      </c>
      <c r="D354" s="21">
        <f>VLOOKUP(B354,'Thickness Tab'!$1:$1048576,MATCH(C354,'Thickness Tab'!$1:$1,0),0)</f>
        <v>12.7</v>
      </c>
      <c r="E354" s="651">
        <v>0</v>
      </c>
      <c r="F354" s="651">
        <v>0</v>
      </c>
      <c r="G354" s="651">
        <v>0</v>
      </c>
      <c r="H354" s="651">
        <v>0</v>
      </c>
      <c r="I354" s="651">
        <v>0</v>
      </c>
      <c r="J354" s="651">
        <v>0</v>
      </c>
      <c r="K354" s="652">
        <v>0</v>
      </c>
    </row>
    <row r="355" spans="1:11" x14ac:dyDescent="0.3">
      <c r="A355" s="91" t="s">
        <v>4485</v>
      </c>
      <c r="B355" s="121">
        <v>34</v>
      </c>
      <c r="C355" s="21">
        <v>30</v>
      </c>
      <c r="D355" s="21">
        <f>VLOOKUP(B355,'Thickness Tab'!$1:$1048576,MATCH(C355,'Thickness Tab'!$1:$1,0),0)</f>
        <v>15.88</v>
      </c>
      <c r="E355" s="651">
        <v>0</v>
      </c>
      <c r="F355" s="651">
        <v>0</v>
      </c>
      <c r="G355" s="651">
        <v>0</v>
      </c>
      <c r="H355" s="651">
        <v>0</v>
      </c>
      <c r="I355" s="651">
        <v>0</v>
      </c>
      <c r="J355" s="651">
        <v>0</v>
      </c>
      <c r="K355" s="652">
        <v>0</v>
      </c>
    </row>
    <row r="356" spans="1:11" x14ac:dyDescent="0.3">
      <c r="A356" s="91" t="s">
        <v>4486</v>
      </c>
      <c r="B356" s="121">
        <v>34</v>
      </c>
      <c r="C356" s="21" t="s">
        <v>65</v>
      </c>
      <c r="D356" s="21">
        <f>VLOOKUP(B356,'Thickness Tab'!$1:$1048576,MATCH(C356,'Thickness Tab'!$1:$1,0),0)</f>
        <v>9.52</v>
      </c>
      <c r="E356" s="651">
        <v>0</v>
      </c>
      <c r="F356" s="651">
        <v>0</v>
      </c>
      <c r="G356" s="651">
        <v>0</v>
      </c>
      <c r="H356" s="651">
        <v>0</v>
      </c>
      <c r="I356" s="651">
        <v>0</v>
      </c>
      <c r="J356" s="651">
        <v>0</v>
      </c>
      <c r="K356" s="652">
        <v>0</v>
      </c>
    </row>
    <row r="357" spans="1:11" x14ac:dyDescent="0.3">
      <c r="A357" s="91" t="s">
        <v>4487</v>
      </c>
      <c r="B357" s="121">
        <v>34</v>
      </c>
      <c r="C357" s="21">
        <v>40</v>
      </c>
      <c r="D357" s="21">
        <f>VLOOKUP(B357,'Thickness Tab'!$1:$1048576,MATCH(C357,'Thickness Tab'!$1:$1,0),0)</f>
        <v>17.47</v>
      </c>
      <c r="E357" s="651">
        <v>0</v>
      </c>
      <c r="F357" s="651">
        <v>0</v>
      </c>
      <c r="G357" s="651">
        <v>0</v>
      </c>
      <c r="H357" s="651">
        <v>0</v>
      </c>
      <c r="I357" s="651">
        <v>0</v>
      </c>
      <c r="J357" s="651">
        <v>0</v>
      </c>
      <c r="K357" s="652">
        <v>0</v>
      </c>
    </row>
    <row r="358" spans="1:11" x14ac:dyDescent="0.3">
      <c r="A358" s="91" t="s">
        <v>4488</v>
      </c>
      <c r="B358" s="121">
        <v>34</v>
      </c>
      <c r="C358" s="21">
        <v>60</v>
      </c>
      <c r="D358" s="635">
        <f>VLOOKUP(B358,'Thickness Tab'!$1:$1048576,MATCH(C358,'Thickness Tab'!$1:$1,0),0)</f>
        <v>0</v>
      </c>
      <c r="E358" s="636">
        <v>0</v>
      </c>
      <c r="F358" s="636">
        <v>0</v>
      </c>
      <c r="G358" s="636">
        <v>0</v>
      </c>
      <c r="H358" s="636">
        <v>0</v>
      </c>
      <c r="I358" s="636">
        <v>0</v>
      </c>
      <c r="J358" s="636">
        <v>0</v>
      </c>
      <c r="K358" s="637">
        <v>0</v>
      </c>
    </row>
    <row r="359" spans="1:11" x14ac:dyDescent="0.3">
      <c r="A359" s="91" t="s">
        <v>4489</v>
      </c>
      <c r="B359" s="121">
        <v>34</v>
      </c>
      <c r="C359" s="21" t="s">
        <v>66</v>
      </c>
      <c r="D359" s="21">
        <f>VLOOKUP(B359,'Thickness Tab'!$1:$1048576,MATCH(C359,'Thickness Tab'!$1:$1,0),0)</f>
        <v>12.7</v>
      </c>
      <c r="E359" s="651">
        <v>0</v>
      </c>
      <c r="F359" s="651">
        <v>0</v>
      </c>
      <c r="G359" s="651">
        <v>0</v>
      </c>
      <c r="H359" s="651">
        <v>0</v>
      </c>
      <c r="I359" s="651">
        <v>0</v>
      </c>
      <c r="J359" s="651">
        <v>0</v>
      </c>
      <c r="K359" s="652">
        <v>0</v>
      </c>
    </row>
    <row r="360" spans="1:11" x14ac:dyDescent="0.3">
      <c r="A360" s="91" t="s">
        <v>4490</v>
      </c>
      <c r="B360" s="121">
        <v>34</v>
      </c>
      <c r="C360" s="21">
        <v>80</v>
      </c>
      <c r="D360" s="635">
        <f>VLOOKUP(B360,'Thickness Tab'!$1:$1048576,MATCH(C360,'Thickness Tab'!$1:$1,0),0)</f>
        <v>0</v>
      </c>
      <c r="E360" s="636">
        <v>0</v>
      </c>
      <c r="F360" s="636">
        <v>0</v>
      </c>
      <c r="G360" s="636">
        <v>0</v>
      </c>
      <c r="H360" s="636">
        <v>0</v>
      </c>
      <c r="I360" s="636">
        <v>0</v>
      </c>
      <c r="J360" s="636">
        <v>0</v>
      </c>
      <c r="K360" s="637">
        <v>0</v>
      </c>
    </row>
    <row r="361" spans="1:11" x14ac:dyDescent="0.3">
      <c r="A361" s="91" t="s">
        <v>4491</v>
      </c>
      <c r="B361" s="121">
        <v>34</v>
      </c>
      <c r="C361" s="21">
        <v>100</v>
      </c>
      <c r="D361" s="635">
        <f>VLOOKUP(B361,'Thickness Tab'!$1:$1048576,MATCH(C361,'Thickness Tab'!$1:$1,0),0)</f>
        <v>0</v>
      </c>
      <c r="E361" s="636">
        <v>0</v>
      </c>
      <c r="F361" s="636">
        <v>0</v>
      </c>
      <c r="G361" s="636">
        <v>0</v>
      </c>
      <c r="H361" s="636">
        <v>0</v>
      </c>
      <c r="I361" s="636">
        <v>0</v>
      </c>
      <c r="J361" s="636">
        <v>0</v>
      </c>
      <c r="K361" s="637">
        <v>0</v>
      </c>
    </row>
    <row r="362" spans="1:11" x14ac:dyDescent="0.3">
      <c r="A362" s="91" t="s">
        <v>4492</v>
      </c>
      <c r="B362" s="121">
        <v>34</v>
      </c>
      <c r="C362" s="21">
        <v>120</v>
      </c>
      <c r="D362" s="635">
        <f>VLOOKUP(B362,'Thickness Tab'!$1:$1048576,MATCH(C362,'Thickness Tab'!$1:$1,0),0)</f>
        <v>0</v>
      </c>
      <c r="E362" s="636">
        <v>0</v>
      </c>
      <c r="F362" s="636">
        <v>0</v>
      </c>
      <c r="G362" s="636">
        <v>0</v>
      </c>
      <c r="H362" s="636">
        <v>0</v>
      </c>
      <c r="I362" s="636">
        <v>0</v>
      </c>
      <c r="J362" s="636">
        <v>0</v>
      </c>
      <c r="K362" s="637">
        <v>0</v>
      </c>
    </row>
    <row r="363" spans="1:11" x14ac:dyDescent="0.3">
      <c r="A363" s="91" t="s">
        <v>4493</v>
      </c>
      <c r="B363" s="121">
        <v>34</v>
      </c>
      <c r="C363" s="21">
        <v>140</v>
      </c>
      <c r="D363" s="635">
        <f>VLOOKUP(B363,'Thickness Tab'!$1:$1048576,MATCH(C363,'Thickness Tab'!$1:$1,0),0)</f>
        <v>0</v>
      </c>
      <c r="E363" s="636">
        <v>0</v>
      </c>
      <c r="F363" s="636">
        <v>0</v>
      </c>
      <c r="G363" s="636">
        <v>0</v>
      </c>
      <c r="H363" s="636">
        <v>0</v>
      </c>
      <c r="I363" s="636">
        <v>0</v>
      </c>
      <c r="J363" s="636">
        <v>0</v>
      </c>
      <c r="K363" s="637">
        <v>0</v>
      </c>
    </row>
    <row r="364" spans="1:11" x14ac:dyDescent="0.3">
      <c r="A364" s="91" t="s">
        <v>4494</v>
      </c>
      <c r="B364" s="121">
        <v>34</v>
      </c>
      <c r="C364" s="21">
        <v>160</v>
      </c>
      <c r="D364" s="635">
        <f>VLOOKUP(B364,'Thickness Tab'!$1:$1048576,MATCH(C364,'Thickness Tab'!$1:$1,0),0)</f>
        <v>0</v>
      </c>
      <c r="E364" s="636">
        <v>0</v>
      </c>
      <c r="F364" s="636">
        <v>0</v>
      </c>
      <c r="G364" s="636">
        <v>0</v>
      </c>
      <c r="H364" s="636">
        <v>0</v>
      </c>
      <c r="I364" s="636">
        <v>0</v>
      </c>
      <c r="J364" s="636">
        <v>0</v>
      </c>
      <c r="K364" s="637">
        <v>0</v>
      </c>
    </row>
    <row r="365" spans="1:11" ht="15" thickBot="1" x14ac:dyDescent="0.35">
      <c r="A365" s="94" t="s">
        <v>4495</v>
      </c>
      <c r="B365" s="122">
        <v>34</v>
      </c>
      <c r="C365" s="23" t="s">
        <v>4144</v>
      </c>
      <c r="D365" s="638">
        <f>VLOOKUP(B365,'Thickness Tab'!$1:$1048576,MATCH(C365,'Thickness Tab'!$1:$1,0),0)</f>
        <v>0</v>
      </c>
      <c r="E365" s="639">
        <v>0</v>
      </c>
      <c r="F365" s="639">
        <v>0</v>
      </c>
      <c r="G365" s="639">
        <v>0</v>
      </c>
      <c r="H365" s="639">
        <v>0</v>
      </c>
      <c r="I365" s="639">
        <v>0</v>
      </c>
      <c r="J365" s="639">
        <v>0</v>
      </c>
      <c r="K365" s="640">
        <v>0</v>
      </c>
    </row>
    <row r="366" spans="1:11" x14ac:dyDescent="0.3">
      <c r="A366" s="123" t="s">
        <v>4496</v>
      </c>
      <c r="B366" s="629">
        <v>36</v>
      </c>
      <c r="C366" s="326">
        <v>10</v>
      </c>
      <c r="D366" s="326">
        <f>VLOOKUP(B366,'Thickness Tab'!$1:$1048576,MATCH(C366,'Thickness Tab'!$1:$1,0),0)</f>
        <v>7.92</v>
      </c>
      <c r="E366" s="649">
        <v>0</v>
      </c>
      <c r="F366" s="649">
        <v>0</v>
      </c>
      <c r="G366" s="649">
        <v>0</v>
      </c>
      <c r="H366" s="649">
        <v>0</v>
      </c>
      <c r="I366" s="649">
        <v>0</v>
      </c>
      <c r="J366" s="649">
        <v>0</v>
      </c>
      <c r="K366" s="650">
        <v>0</v>
      </c>
    </row>
    <row r="367" spans="1:11" x14ac:dyDescent="0.3">
      <c r="A367" s="91" t="s">
        <v>4497</v>
      </c>
      <c r="B367" s="121">
        <v>36</v>
      </c>
      <c r="C367" s="21">
        <v>20</v>
      </c>
      <c r="D367" s="21">
        <f>VLOOKUP(B367,'Thickness Tab'!$1:$1048576,MATCH(C367,'Thickness Tab'!$1:$1,0),0)</f>
        <v>12.7</v>
      </c>
      <c r="E367" s="651">
        <v>0</v>
      </c>
      <c r="F367" s="651">
        <v>0</v>
      </c>
      <c r="G367" s="651">
        <v>0</v>
      </c>
      <c r="H367" s="651">
        <v>0</v>
      </c>
      <c r="I367" s="651">
        <v>0</v>
      </c>
      <c r="J367" s="651">
        <v>0</v>
      </c>
      <c r="K367" s="652">
        <v>0</v>
      </c>
    </row>
    <row r="368" spans="1:11" x14ac:dyDescent="0.3">
      <c r="A368" s="91" t="s">
        <v>4498</v>
      </c>
      <c r="B368" s="121">
        <v>36</v>
      </c>
      <c r="C368" s="21">
        <v>30</v>
      </c>
      <c r="D368" s="21">
        <f>VLOOKUP(B368,'Thickness Tab'!$1:$1048576,MATCH(C368,'Thickness Tab'!$1:$1,0),0)</f>
        <v>15.88</v>
      </c>
      <c r="E368" s="651">
        <v>0</v>
      </c>
      <c r="F368" s="651">
        <v>0</v>
      </c>
      <c r="G368" s="651">
        <v>0</v>
      </c>
      <c r="H368" s="651">
        <v>0</v>
      </c>
      <c r="I368" s="651">
        <v>0</v>
      </c>
      <c r="J368" s="651">
        <v>0</v>
      </c>
      <c r="K368" s="652">
        <v>0</v>
      </c>
    </row>
    <row r="369" spans="1:11" x14ac:dyDescent="0.3">
      <c r="A369" s="91" t="s">
        <v>4499</v>
      </c>
      <c r="B369" s="121">
        <v>36</v>
      </c>
      <c r="C369" s="21" t="s">
        <v>65</v>
      </c>
      <c r="D369" s="21">
        <f>VLOOKUP(B369,'Thickness Tab'!$1:$1048576,MATCH(C369,'Thickness Tab'!$1:$1,0),0)</f>
        <v>9.52</v>
      </c>
      <c r="E369" s="651">
        <v>0</v>
      </c>
      <c r="F369" s="651">
        <v>0</v>
      </c>
      <c r="G369" s="651">
        <v>0</v>
      </c>
      <c r="H369" s="651">
        <v>0</v>
      </c>
      <c r="I369" s="651">
        <v>0</v>
      </c>
      <c r="J369" s="651">
        <v>0</v>
      </c>
      <c r="K369" s="652">
        <v>0</v>
      </c>
    </row>
    <row r="370" spans="1:11" x14ac:dyDescent="0.3">
      <c r="A370" s="91" t="s">
        <v>4500</v>
      </c>
      <c r="B370" s="121">
        <v>36</v>
      </c>
      <c r="C370" s="21">
        <v>40</v>
      </c>
      <c r="D370" s="21">
        <f>VLOOKUP(B370,'Thickness Tab'!$1:$1048576,MATCH(C370,'Thickness Tab'!$1:$1,0),0)</f>
        <v>19.05</v>
      </c>
      <c r="E370" s="651">
        <v>0</v>
      </c>
      <c r="F370" s="651">
        <v>0</v>
      </c>
      <c r="G370" s="651">
        <v>0</v>
      </c>
      <c r="H370" s="651">
        <v>0</v>
      </c>
      <c r="I370" s="651">
        <v>0</v>
      </c>
      <c r="J370" s="651">
        <v>0</v>
      </c>
      <c r="K370" s="652">
        <v>0</v>
      </c>
    </row>
    <row r="371" spans="1:11" x14ac:dyDescent="0.3">
      <c r="A371" s="91" t="s">
        <v>4501</v>
      </c>
      <c r="B371" s="121">
        <v>36</v>
      </c>
      <c r="C371" s="21">
        <v>60</v>
      </c>
      <c r="D371" s="635">
        <f>VLOOKUP(B371,'Thickness Tab'!$1:$1048576,MATCH(C371,'Thickness Tab'!$1:$1,0),0)</f>
        <v>0</v>
      </c>
      <c r="E371" s="636">
        <v>0</v>
      </c>
      <c r="F371" s="636">
        <v>0</v>
      </c>
      <c r="G371" s="636">
        <v>0</v>
      </c>
      <c r="H371" s="636">
        <v>0</v>
      </c>
      <c r="I371" s="636">
        <v>0</v>
      </c>
      <c r="J371" s="636">
        <v>0</v>
      </c>
      <c r="K371" s="637">
        <v>0</v>
      </c>
    </row>
    <row r="372" spans="1:11" x14ac:dyDescent="0.3">
      <c r="A372" s="91" t="s">
        <v>4502</v>
      </c>
      <c r="B372" s="121">
        <v>36</v>
      </c>
      <c r="C372" s="21" t="s">
        <v>66</v>
      </c>
      <c r="D372" s="21">
        <f>VLOOKUP(B372,'Thickness Tab'!$1:$1048576,MATCH(C372,'Thickness Tab'!$1:$1,0),0)</f>
        <v>12.7</v>
      </c>
      <c r="E372" s="651">
        <v>0</v>
      </c>
      <c r="F372" s="651">
        <v>0</v>
      </c>
      <c r="G372" s="651">
        <v>0</v>
      </c>
      <c r="H372" s="651">
        <v>0</v>
      </c>
      <c r="I372" s="651">
        <v>0</v>
      </c>
      <c r="J372" s="651">
        <v>0</v>
      </c>
      <c r="K372" s="652">
        <v>0</v>
      </c>
    </row>
    <row r="373" spans="1:11" x14ac:dyDescent="0.3">
      <c r="A373" s="91" t="s">
        <v>4503</v>
      </c>
      <c r="B373" s="121">
        <v>36</v>
      </c>
      <c r="C373" s="21">
        <v>80</v>
      </c>
      <c r="D373" s="635">
        <f>VLOOKUP(B373,'Thickness Tab'!$1:$1048576,MATCH(C373,'Thickness Tab'!$1:$1,0),0)</f>
        <v>0</v>
      </c>
      <c r="E373" s="636">
        <v>0</v>
      </c>
      <c r="F373" s="636">
        <v>0</v>
      </c>
      <c r="G373" s="636">
        <v>0</v>
      </c>
      <c r="H373" s="636">
        <v>0</v>
      </c>
      <c r="I373" s="636">
        <v>0</v>
      </c>
      <c r="J373" s="636">
        <v>0</v>
      </c>
      <c r="K373" s="637">
        <v>0</v>
      </c>
    </row>
    <row r="374" spans="1:11" x14ac:dyDescent="0.3">
      <c r="A374" s="91" t="s">
        <v>4504</v>
      </c>
      <c r="B374" s="121">
        <v>36</v>
      </c>
      <c r="C374" s="21">
        <v>100</v>
      </c>
      <c r="D374" s="635">
        <f>VLOOKUP(B374,'Thickness Tab'!$1:$1048576,MATCH(C374,'Thickness Tab'!$1:$1,0),0)</f>
        <v>0</v>
      </c>
      <c r="E374" s="636">
        <v>0</v>
      </c>
      <c r="F374" s="636">
        <v>0</v>
      </c>
      <c r="G374" s="636">
        <v>0</v>
      </c>
      <c r="H374" s="636">
        <v>0</v>
      </c>
      <c r="I374" s="636">
        <v>0</v>
      </c>
      <c r="J374" s="636">
        <v>0</v>
      </c>
      <c r="K374" s="637">
        <v>0</v>
      </c>
    </row>
    <row r="375" spans="1:11" x14ac:dyDescent="0.3">
      <c r="A375" s="91" t="s">
        <v>4505</v>
      </c>
      <c r="B375" s="121">
        <v>36</v>
      </c>
      <c r="C375" s="21">
        <v>120</v>
      </c>
      <c r="D375" s="635">
        <f>VLOOKUP(B375,'Thickness Tab'!$1:$1048576,MATCH(C375,'Thickness Tab'!$1:$1,0),0)</f>
        <v>0</v>
      </c>
      <c r="E375" s="636">
        <v>0</v>
      </c>
      <c r="F375" s="636">
        <v>0</v>
      </c>
      <c r="G375" s="636">
        <v>0</v>
      </c>
      <c r="H375" s="636">
        <v>0</v>
      </c>
      <c r="I375" s="636">
        <v>0</v>
      </c>
      <c r="J375" s="636">
        <v>0</v>
      </c>
      <c r="K375" s="637">
        <v>0</v>
      </c>
    </row>
    <row r="376" spans="1:11" x14ac:dyDescent="0.3">
      <c r="A376" s="91" t="s">
        <v>4506</v>
      </c>
      <c r="B376" s="121">
        <v>36</v>
      </c>
      <c r="C376" s="21">
        <v>140</v>
      </c>
      <c r="D376" s="635">
        <f>VLOOKUP(B376,'Thickness Tab'!$1:$1048576,MATCH(C376,'Thickness Tab'!$1:$1,0),0)</f>
        <v>0</v>
      </c>
      <c r="E376" s="636">
        <v>0</v>
      </c>
      <c r="F376" s="636">
        <v>0</v>
      </c>
      <c r="G376" s="636">
        <v>0</v>
      </c>
      <c r="H376" s="636">
        <v>0</v>
      </c>
      <c r="I376" s="636">
        <v>0</v>
      </c>
      <c r="J376" s="636">
        <v>0</v>
      </c>
      <c r="K376" s="637">
        <v>0</v>
      </c>
    </row>
    <row r="377" spans="1:11" x14ac:dyDescent="0.3">
      <c r="A377" s="91" t="s">
        <v>4507</v>
      </c>
      <c r="B377" s="121">
        <v>36</v>
      </c>
      <c r="C377" s="21">
        <v>160</v>
      </c>
      <c r="D377" s="635">
        <f>VLOOKUP(B377,'Thickness Tab'!$1:$1048576,MATCH(C377,'Thickness Tab'!$1:$1,0),0)</f>
        <v>0</v>
      </c>
      <c r="E377" s="636">
        <v>0</v>
      </c>
      <c r="F377" s="636">
        <v>0</v>
      </c>
      <c r="G377" s="636">
        <v>0</v>
      </c>
      <c r="H377" s="636">
        <v>0</v>
      </c>
      <c r="I377" s="636">
        <v>0</v>
      </c>
      <c r="J377" s="636">
        <v>0</v>
      </c>
      <c r="K377" s="637">
        <v>0</v>
      </c>
    </row>
    <row r="378" spans="1:11" ht="15" thickBot="1" x14ac:dyDescent="0.35">
      <c r="A378" s="94" t="s">
        <v>4508</v>
      </c>
      <c r="B378" s="122">
        <v>36</v>
      </c>
      <c r="C378" s="23" t="s">
        <v>4144</v>
      </c>
      <c r="D378" s="638">
        <f>VLOOKUP(B378,'Thickness Tab'!$1:$1048576,MATCH(C378,'Thickness Tab'!$1:$1,0),0)</f>
        <v>33</v>
      </c>
      <c r="E378" s="639">
        <v>0</v>
      </c>
      <c r="F378" s="639">
        <v>0</v>
      </c>
      <c r="G378" s="639">
        <v>0</v>
      </c>
      <c r="H378" s="639">
        <v>0</v>
      </c>
      <c r="I378" s="639">
        <v>0</v>
      </c>
      <c r="J378" s="639">
        <v>0</v>
      </c>
      <c r="K378" s="640">
        <v>0</v>
      </c>
    </row>
    <row r="379" spans="1:11" x14ac:dyDescent="0.3">
      <c r="A379" s="123" t="s">
        <v>4509</v>
      </c>
      <c r="B379" s="629">
        <v>40</v>
      </c>
      <c r="C379" s="326">
        <v>10</v>
      </c>
      <c r="D379" s="641">
        <f>VLOOKUP(B379,'Thickness Tab'!$1:$1048576,MATCH(C379,'Thickness Tab'!$1:$1,0),0)</f>
        <v>0</v>
      </c>
      <c r="E379" s="642">
        <v>0</v>
      </c>
      <c r="F379" s="642">
        <v>0</v>
      </c>
      <c r="G379" s="642">
        <v>0</v>
      </c>
      <c r="H379" s="642">
        <v>0</v>
      </c>
      <c r="I379" s="642">
        <v>0</v>
      </c>
      <c r="J379" s="642">
        <v>0</v>
      </c>
      <c r="K379" s="643">
        <v>0</v>
      </c>
    </row>
    <row r="380" spans="1:11" x14ac:dyDescent="0.3">
      <c r="A380" s="91" t="s">
        <v>4510</v>
      </c>
      <c r="B380" s="121">
        <v>40</v>
      </c>
      <c r="C380" s="21">
        <v>20</v>
      </c>
      <c r="D380" s="635">
        <f>VLOOKUP(B380,'Thickness Tab'!$1:$1048576,MATCH(C380,'Thickness Tab'!$1:$1,0),0)</f>
        <v>0</v>
      </c>
      <c r="E380" s="636">
        <v>0</v>
      </c>
      <c r="F380" s="636">
        <v>0</v>
      </c>
      <c r="G380" s="636">
        <v>0</v>
      </c>
      <c r="H380" s="636">
        <v>0</v>
      </c>
      <c r="I380" s="636">
        <v>0</v>
      </c>
      <c r="J380" s="636">
        <v>0</v>
      </c>
      <c r="K380" s="637">
        <v>0</v>
      </c>
    </row>
    <row r="381" spans="1:11" x14ac:dyDescent="0.3">
      <c r="A381" s="91" t="s">
        <v>4511</v>
      </c>
      <c r="B381" s="121">
        <v>40</v>
      </c>
      <c r="C381" s="21">
        <v>30</v>
      </c>
      <c r="D381" s="635">
        <f>VLOOKUP(B381,'Thickness Tab'!$1:$1048576,MATCH(C381,'Thickness Tab'!$1:$1,0),0)</f>
        <v>0</v>
      </c>
      <c r="E381" s="636">
        <v>0</v>
      </c>
      <c r="F381" s="636">
        <v>0</v>
      </c>
      <c r="G381" s="636">
        <v>0</v>
      </c>
      <c r="H381" s="636">
        <v>0</v>
      </c>
      <c r="I381" s="636">
        <v>0</v>
      </c>
      <c r="J381" s="636">
        <v>0</v>
      </c>
      <c r="K381" s="637">
        <v>0</v>
      </c>
    </row>
    <row r="382" spans="1:11" x14ac:dyDescent="0.3">
      <c r="A382" s="91" t="s">
        <v>4512</v>
      </c>
      <c r="B382" s="121">
        <v>40</v>
      </c>
      <c r="C382" s="21" t="s">
        <v>65</v>
      </c>
      <c r="D382" s="21">
        <f>VLOOKUP(B382,'Thickness Tab'!$1:$1048576,MATCH(C382,'Thickness Tab'!$1:$1,0),0)</f>
        <v>9.5299999999999994</v>
      </c>
      <c r="E382" s="651">
        <v>0</v>
      </c>
      <c r="F382" s="651">
        <v>0</v>
      </c>
      <c r="G382" s="651">
        <v>0</v>
      </c>
      <c r="H382" s="651">
        <v>0</v>
      </c>
      <c r="I382" s="651">
        <v>0</v>
      </c>
      <c r="J382" s="651">
        <v>0</v>
      </c>
      <c r="K382" s="652">
        <v>0</v>
      </c>
    </row>
    <row r="383" spans="1:11" x14ac:dyDescent="0.3">
      <c r="A383" s="91" t="s">
        <v>4513</v>
      </c>
      <c r="B383" s="121">
        <v>40</v>
      </c>
      <c r="C383" s="21">
        <v>40</v>
      </c>
      <c r="D383" s="635">
        <f>VLOOKUP(B383,'Thickness Tab'!$1:$1048576,MATCH(C383,'Thickness Tab'!$1:$1,0),0)</f>
        <v>0</v>
      </c>
      <c r="E383" s="636">
        <v>0</v>
      </c>
      <c r="F383" s="636">
        <v>0</v>
      </c>
      <c r="G383" s="636">
        <v>0</v>
      </c>
      <c r="H383" s="636">
        <v>0</v>
      </c>
      <c r="I383" s="636">
        <v>0</v>
      </c>
      <c r="J383" s="636">
        <v>0</v>
      </c>
      <c r="K383" s="637">
        <v>0</v>
      </c>
    </row>
    <row r="384" spans="1:11" x14ac:dyDescent="0.3">
      <c r="A384" s="91" t="s">
        <v>4514</v>
      </c>
      <c r="B384" s="121">
        <v>40</v>
      </c>
      <c r="C384" s="21">
        <v>60</v>
      </c>
      <c r="D384" s="635">
        <f>VLOOKUP(B384,'Thickness Tab'!$1:$1048576,MATCH(C384,'Thickness Tab'!$1:$1,0),0)</f>
        <v>0</v>
      </c>
      <c r="E384" s="636">
        <v>0</v>
      </c>
      <c r="F384" s="636">
        <v>0</v>
      </c>
      <c r="G384" s="636">
        <v>0</v>
      </c>
      <c r="H384" s="636">
        <v>0</v>
      </c>
      <c r="I384" s="636">
        <v>0</v>
      </c>
      <c r="J384" s="636">
        <v>0</v>
      </c>
      <c r="K384" s="637">
        <v>0</v>
      </c>
    </row>
    <row r="385" spans="1:11" x14ac:dyDescent="0.3">
      <c r="A385" s="91" t="s">
        <v>4515</v>
      </c>
      <c r="B385" s="121">
        <v>40</v>
      </c>
      <c r="C385" s="21" t="s">
        <v>66</v>
      </c>
      <c r="D385" s="21">
        <f>VLOOKUP(B385,'Thickness Tab'!$1:$1048576,MATCH(C385,'Thickness Tab'!$1:$1,0),0)</f>
        <v>12.7</v>
      </c>
      <c r="E385" s="651">
        <v>0</v>
      </c>
      <c r="F385" s="651">
        <v>0</v>
      </c>
      <c r="G385" s="651">
        <v>0</v>
      </c>
      <c r="H385" s="651">
        <v>0</v>
      </c>
      <c r="I385" s="651">
        <v>0</v>
      </c>
      <c r="J385" s="651">
        <v>0</v>
      </c>
      <c r="K385" s="652">
        <v>0</v>
      </c>
    </row>
    <row r="386" spans="1:11" x14ac:dyDescent="0.3">
      <c r="A386" s="91" t="s">
        <v>4516</v>
      </c>
      <c r="B386" s="121">
        <v>40</v>
      </c>
      <c r="C386" s="21">
        <v>80</v>
      </c>
      <c r="D386" s="635">
        <f>VLOOKUP(B386,'Thickness Tab'!$1:$1048576,MATCH(C386,'Thickness Tab'!$1:$1,0),0)</f>
        <v>0</v>
      </c>
      <c r="E386" s="636">
        <v>0</v>
      </c>
      <c r="F386" s="636">
        <v>0</v>
      </c>
      <c r="G386" s="636">
        <v>0</v>
      </c>
      <c r="H386" s="636">
        <v>0</v>
      </c>
      <c r="I386" s="636">
        <v>0</v>
      </c>
      <c r="J386" s="636">
        <v>0</v>
      </c>
      <c r="K386" s="637">
        <v>0</v>
      </c>
    </row>
    <row r="387" spans="1:11" x14ac:dyDescent="0.3">
      <c r="A387" s="91" t="s">
        <v>4517</v>
      </c>
      <c r="B387" s="121">
        <v>40</v>
      </c>
      <c r="C387" s="21">
        <v>100</v>
      </c>
      <c r="D387" s="635">
        <f>VLOOKUP(B387,'Thickness Tab'!$1:$1048576,MATCH(C387,'Thickness Tab'!$1:$1,0),0)</f>
        <v>0</v>
      </c>
      <c r="E387" s="636">
        <v>0</v>
      </c>
      <c r="F387" s="636">
        <v>0</v>
      </c>
      <c r="G387" s="636">
        <v>0</v>
      </c>
      <c r="H387" s="636">
        <v>0</v>
      </c>
      <c r="I387" s="636">
        <v>0</v>
      </c>
      <c r="J387" s="636">
        <v>0</v>
      </c>
      <c r="K387" s="637">
        <v>0</v>
      </c>
    </row>
    <row r="388" spans="1:11" x14ac:dyDescent="0.3">
      <c r="A388" s="91" t="s">
        <v>4518</v>
      </c>
      <c r="B388" s="121">
        <v>40</v>
      </c>
      <c r="C388" s="21">
        <v>120</v>
      </c>
      <c r="D388" s="635">
        <f>VLOOKUP(B388,'Thickness Tab'!$1:$1048576,MATCH(C388,'Thickness Tab'!$1:$1,0),0)</f>
        <v>0</v>
      </c>
      <c r="E388" s="636">
        <v>0</v>
      </c>
      <c r="F388" s="636">
        <v>0</v>
      </c>
      <c r="G388" s="636">
        <v>0</v>
      </c>
      <c r="H388" s="636">
        <v>0</v>
      </c>
      <c r="I388" s="636">
        <v>0</v>
      </c>
      <c r="J388" s="636">
        <v>0</v>
      </c>
      <c r="K388" s="637">
        <v>0</v>
      </c>
    </row>
    <row r="389" spans="1:11" x14ac:dyDescent="0.3">
      <c r="A389" s="91" t="s">
        <v>4519</v>
      </c>
      <c r="B389" s="121">
        <v>40</v>
      </c>
      <c r="C389" s="21">
        <v>140</v>
      </c>
      <c r="D389" s="635">
        <f>VLOOKUP(B389,'Thickness Tab'!$1:$1048576,MATCH(C389,'Thickness Tab'!$1:$1,0),0)</f>
        <v>0</v>
      </c>
      <c r="E389" s="636">
        <v>0</v>
      </c>
      <c r="F389" s="636">
        <v>0</v>
      </c>
      <c r="G389" s="636">
        <v>0</v>
      </c>
      <c r="H389" s="636">
        <v>0</v>
      </c>
      <c r="I389" s="636">
        <v>0</v>
      </c>
      <c r="J389" s="636">
        <v>0</v>
      </c>
      <c r="K389" s="637">
        <v>0</v>
      </c>
    </row>
    <row r="390" spans="1:11" x14ac:dyDescent="0.3">
      <c r="A390" s="91" t="s">
        <v>4520</v>
      </c>
      <c r="B390" s="121">
        <v>40</v>
      </c>
      <c r="C390" s="21">
        <v>160</v>
      </c>
      <c r="D390" s="635">
        <f>VLOOKUP(B390,'Thickness Tab'!$1:$1048576,MATCH(C390,'Thickness Tab'!$1:$1,0),0)</f>
        <v>0</v>
      </c>
      <c r="E390" s="636">
        <v>0</v>
      </c>
      <c r="F390" s="636">
        <v>0</v>
      </c>
      <c r="G390" s="636">
        <v>0</v>
      </c>
      <c r="H390" s="636">
        <v>0</v>
      </c>
      <c r="I390" s="636">
        <v>0</v>
      </c>
      <c r="J390" s="636">
        <v>0</v>
      </c>
      <c r="K390" s="637">
        <v>0</v>
      </c>
    </row>
    <row r="391" spans="1:11" ht="15" thickBot="1" x14ac:dyDescent="0.35">
      <c r="A391" s="94" t="s">
        <v>4521</v>
      </c>
      <c r="B391" s="122">
        <v>40</v>
      </c>
      <c r="C391" s="23" t="s">
        <v>4144</v>
      </c>
      <c r="D391" s="638">
        <f>VLOOKUP(B391,'Thickness Tab'!$1:$1048576,MATCH(C391,'Thickness Tab'!$1:$1,0),0)</f>
        <v>0</v>
      </c>
      <c r="E391" s="639">
        <v>0</v>
      </c>
      <c r="F391" s="639">
        <v>0</v>
      </c>
      <c r="G391" s="639">
        <v>0</v>
      </c>
      <c r="H391" s="639">
        <v>0</v>
      </c>
      <c r="I391" s="639">
        <v>0</v>
      </c>
      <c r="J391" s="639">
        <v>0</v>
      </c>
      <c r="K391" s="640">
        <v>0</v>
      </c>
    </row>
    <row r="392" spans="1:11" x14ac:dyDescent="0.3">
      <c r="A392" s="123" t="s">
        <v>4522</v>
      </c>
      <c r="B392" s="629">
        <v>40</v>
      </c>
      <c r="C392" s="21" t="s">
        <v>65</v>
      </c>
      <c r="D392" s="641">
        <f>VLOOKUP(B392,'Thickness Tab'!$1:$1048576,MATCH(C392,'Thickness Tab'!$1:$1,0),0)</f>
        <v>9.5299999999999994</v>
      </c>
      <c r="E392" s="642">
        <v>0</v>
      </c>
      <c r="F392" s="642">
        <v>329.83881746608648</v>
      </c>
      <c r="G392" s="642">
        <v>652.00696475854306</v>
      </c>
      <c r="H392" s="642">
        <v>432.62579779272738</v>
      </c>
      <c r="I392" s="642">
        <v>218.61409994845263</v>
      </c>
      <c r="J392" s="642">
        <v>964.20324082528043</v>
      </c>
      <c r="K392" s="643">
        <v>964.20324082528043</v>
      </c>
    </row>
    <row r="393" spans="1:11" x14ac:dyDescent="0.3">
      <c r="A393" s="91" t="s">
        <v>4523</v>
      </c>
      <c r="B393" s="121">
        <v>40</v>
      </c>
      <c r="C393" s="21" t="s">
        <v>65</v>
      </c>
      <c r="D393" s="635">
        <f>VLOOKUP(B393,'Thickness Tab'!$1:$1048576,MATCH(C393,'Thickness Tab'!$1:$1,0),0)</f>
        <v>9.5299999999999994</v>
      </c>
      <c r="E393" s="636">
        <v>0</v>
      </c>
      <c r="F393" s="636">
        <v>329.83881746608648</v>
      </c>
      <c r="G393" s="636">
        <v>652.00696475854306</v>
      </c>
      <c r="H393" s="636">
        <v>432.62579779272738</v>
      </c>
      <c r="I393" s="636">
        <v>218.61409994845263</v>
      </c>
      <c r="J393" s="636">
        <v>964.20324082528043</v>
      </c>
      <c r="K393" s="637">
        <v>964.20324082528043</v>
      </c>
    </row>
    <row r="394" spans="1:11" x14ac:dyDescent="0.3">
      <c r="A394" s="91" t="s">
        <v>4524</v>
      </c>
      <c r="B394" s="121">
        <v>40</v>
      </c>
      <c r="C394" s="21" t="s">
        <v>65</v>
      </c>
      <c r="D394" s="635">
        <f>VLOOKUP(B394,'Thickness Tab'!$1:$1048576,MATCH(C394,'Thickness Tab'!$1:$1,0),0)</f>
        <v>9.5299999999999994</v>
      </c>
      <c r="E394" s="636">
        <v>0</v>
      </c>
      <c r="F394" s="636">
        <v>329.83881746608648</v>
      </c>
      <c r="G394" s="636">
        <v>652.00696475854306</v>
      </c>
      <c r="H394" s="636">
        <v>432.62579779272738</v>
      </c>
      <c r="I394" s="636">
        <v>218.61409994845263</v>
      </c>
      <c r="J394" s="636">
        <v>964.20324082528043</v>
      </c>
      <c r="K394" s="637">
        <v>964.20324082528043</v>
      </c>
    </row>
    <row r="395" spans="1:11" x14ac:dyDescent="0.3">
      <c r="A395" s="91" t="s">
        <v>4525</v>
      </c>
      <c r="B395" s="121">
        <v>40</v>
      </c>
      <c r="C395" s="21" t="s">
        <v>65</v>
      </c>
      <c r="D395" s="21">
        <f>VLOOKUP(B395,'Thickness Tab'!$1:$1048576,MATCH(C395,'Thickness Tab'!$1:$1,0),0)</f>
        <v>9.5299999999999994</v>
      </c>
      <c r="E395" s="651">
        <v>0</v>
      </c>
      <c r="F395" s="651">
        <v>329.83881746608648</v>
      </c>
      <c r="G395" s="651">
        <v>652.00696475854306</v>
      </c>
      <c r="H395" s="651">
        <v>432.62579779272738</v>
      </c>
      <c r="I395" s="651">
        <v>218.61409994845263</v>
      </c>
      <c r="J395" s="651">
        <v>964.20324082528043</v>
      </c>
      <c r="K395" s="652">
        <v>964.20324082528043</v>
      </c>
    </row>
    <row r="396" spans="1:11" x14ac:dyDescent="0.3">
      <c r="A396" s="91" t="s">
        <v>4526</v>
      </c>
      <c r="B396" s="121">
        <v>40</v>
      </c>
      <c r="C396" s="21" t="s">
        <v>66</v>
      </c>
      <c r="D396" s="635">
        <f>VLOOKUP(B396,'Thickness Tab'!$1:$1048576,MATCH(C396,'Thickness Tab'!$1:$1,0),0)</f>
        <v>12.7</v>
      </c>
      <c r="E396" s="636">
        <v>0</v>
      </c>
      <c r="F396" s="636">
        <v>329.83881746608648</v>
      </c>
      <c r="G396" s="636">
        <v>652.00696475854306</v>
      </c>
      <c r="H396" s="636">
        <v>432.62579779272738</v>
      </c>
      <c r="I396" s="636">
        <v>218.61409994845263</v>
      </c>
      <c r="J396" s="636">
        <v>964.20324082528043</v>
      </c>
      <c r="K396" s="637">
        <v>964.20324082528043</v>
      </c>
    </row>
    <row r="397" spans="1:11" x14ac:dyDescent="0.3">
      <c r="A397" s="91" t="s">
        <v>4527</v>
      </c>
      <c r="B397" s="121">
        <v>40</v>
      </c>
      <c r="C397" s="21" t="s">
        <v>66</v>
      </c>
      <c r="D397" s="635">
        <f>VLOOKUP(B397,'Thickness Tab'!$1:$1048576,MATCH(C397,'Thickness Tab'!$1:$1,0),0)</f>
        <v>12.7</v>
      </c>
      <c r="E397" s="636">
        <v>0</v>
      </c>
      <c r="F397" s="636">
        <v>329.83881746608648</v>
      </c>
      <c r="G397" s="636">
        <v>652.00696475854306</v>
      </c>
      <c r="H397" s="636">
        <v>432.62579779272738</v>
      </c>
      <c r="I397" s="636">
        <v>218.61409994845263</v>
      </c>
      <c r="J397" s="636">
        <v>964.20324082528043</v>
      </c>
      <c r="K397" s="637">
        <v>964.20324082528043</v>
      </c>
    </row>
    <row r="398" spans="1:11" x14ac:dyDescent="0.3">
      <c r="A398" s="91" t="s">
        <v>4528</v>
      </c>
      <c r="B398" s="121">
        <v>40</v>
      </c>
      <c r="C398" s="21" t="s">
        <v>66</v>
      </c>
      <c r="D398" s="21">
        <f>VLOOKUP(B398,'Thickness Tab'!$1:$1048576,MATCH(C398,'Thickness Tab'!$1:$1,0),0)</f>
        <v>12.7</v>
      </c>
      <c r="E398" s="651">
        <v>0</v>
      </c>
      <c r="F398" s="651">
        <v>329.83881746608648</v>
      </c>
      <c r="G398" s="651">
        <v>652.00696475854306</v>
      </c>
      <c r="H398" s="651">
        <v>432.62579779272738</v>
      </c>
      <c r="I398" s="651">
        <v>218.61409994845263</v>
      </c>
      <c r="J398" s="651">
        <v>964.20324082528043</v>
      </c>
      <c r="K398" s="652">
        <v>964.20324082528043</v>
      </c>
    </row>
    <row r="399" spans="1:11" x14ac:dyDescent="0.3">
      <c r="A399" s="91" t="s">
        <v>4529</v>
      </c>
      <c r="B399" s="121">
        <v>40</v>
      </c>
      <c r="C399" s="21" t="s">
        <v>66</v>
      </c>
      <c r="D399" s="635">
        <f>VLOOKUP(B399,'Thickness Tab'!$1:$1048576,MATCH(C399,'Thickness Tab'!$1:$1,0),0)</f>
        <v>12.7</v>
      </c>
      <c r="E399" s="636">
        <v>0</v>
      </c>
      <c r="F399" s="636">
        <v>329.83881746608648</v>
      </c>
      <c r="G399" s="636">
        <v>652.00696475854306</v>
      </c>
      <c r="H399" s="636">
        <v>432.62579779272738</v>
      </c>
      <c r="I399" s="636">
        <v>218.61409994845263</v>
      </c>
      <c r="J399" s="636">
        <v>964.20324082528043</v>
      </c>
      <c r="K399" s="637">
        <v>964.20324082528043</v>
      </c>
    </row>
    <row r="400" spans="1:11" x14ac:dyDescent="0.3">
      <c r="A400" s="1234">
        <v>42100</v>
      </c>
      <c r="B400" s="121">
        <v>40</v>
      </c>
      <c r="C400" s="21" t="s">
        <v>66</v>
      </c>
      <c r="D400" s="635">
        <f>VLOOKUP(B400,'Thickness Tab'!$1:$1048576,MATCH(C400,'Thickness Tab'!$1:$1,0),0)</f>
        <v>12.7</v>
      </c>
      <c r="E400" s="636">
        <v>0</v>
      </c>
      <c r="F400" s="636">
        <v>329.83881746608648</v>
      </c>
      <c r="G400" s="636">
        <v>652.00696475854306</v>
      </c>
      <c r="H400" s="636">
        <v>432.62579779272738</v>
      </c>
      <c r="I400" s="636">
        <v>218.61409994845263</v>
      </c>
      <c r="J400" s="636">
        <v>964.20324082528043</v>
      </c>
      <c r="K400" s="637">
        <v>964.20324082528043</v>
      </c>
    </row>
    <row r="401" spans="1:11" x14ac:dyDescent="0.3">
      <c r="A401" s="1234">
        <v>42120</v>
      </c>
      <c r="B401" s="121">
        <v>40</v>
      </c>
      <c r="C401" s="21" t="s">
        <v>66</v>
      </c>
      <c r="D401" s="635">
        <f>VLOOKUP(B401,'Thickness Tab'!$1:$1048576,MATCH(C401,'Thickness Tab'!$1:$1,0),0)</f>
        <v>12.7</v>
      </c>
      <c r="E401" s="636">
        <v>0</v>
      </c>
      <c r="F401" s="636">
        <v>329.83881746608648</v>
      </c>
      <c r="G401" s="636">
        <v>652.00696475854306</v>
      </c>
      <c r="H401" s="636">
        <v>432.62579779272738</v>
      </c>
      <c r="I401" s="636">
        <v>218.61409994845263</v>
      </c>
      <c r="J401" s="636">
        <v>964.20324082528043</v>
      </c>
      <c r="K401" s="637">
        <v>964.20324082528043</v>
      </c>
    </row>
    <row r="402" spans="1:11" x14ac:dyDescent="0.3">
      <c r="A402" s="1234">
        <v>42140</v>
      </c>
      <c r="B402" s="121">
        <v>40</v>
      </c>
      <c r="C402" s="21" t="s">
        <v>66</v>
      </c>
      <c r="D402" s="635">
        <f>VLOOKUP(B402,'Thickness Tab'!$1:$1048576,MATCH(C402,'Thickness Tab'!$1:$1,0),0)</f>
        <v>12.7</v>
      </c>
      <c r="E402" s="636">
        <v>0</v>
      </c>
      <c r="F402" s="636">
        <v>329.83881746608648</v>
      </c>
      <c r="G402" s="636">
        <v>652.00696475854306</v>
      </c>
      <c r="H402" s="636">
        <v>432.62579779272738</v>
      </c>
      <c r="I402" s="636">
        <v>218.61409994845263</v>
      </c>
      <c r="J402" s="636">
        <v>964.20324082528043</v>
      </c>
      <c r="K402" s="637">
        <v>964.20324082528043</v>
      </c>
    </row>
    <row r="403" spans="1:11" x14ac:dyDescent="0.3">
      <c r="A403" s="1234">
        <v>42160</v>
      </c>
      <c r="B403" s="121">
        <v>40</v>
      </c>
      <c r="C403" s="21" t="s">
        <v>66</v>
      </c>
      <c r="D403" s="635">
        <f>VLOOKUP(B403,'Thickness Tab'!$1:$1048576,MATCH(C403,'Thickness Tab'!$1:$1,0),0)</f>
        <v>12.7</v>
      </c>
      <c r="E403" s="636">
        <v>0</v>
      </c>
      <c r="F403" s="636">
        <v>329.83881746608648</v>
      </c>
      <c r="G403" s="636">
        <v>652.00696475854306</v>
      </c>
      <c r="H403" s="636">
        <v>432.62579779272738</v>
      </c>
      <c r="I403" s="636">
        <v>218.61409994845263</v>
      </c>
      <c r="J403" s="636">
        <v>964.20324082528043</v>
      </c>
      <c r="K403" s="637">
        <v>964.20324082528043</v>
      </c>
    </row>
    <row r="404" spans="1:11" ht="15" thickBot="1" x14ac:dyDescent="0.35">
      <c r="A404" s="94" t="s">
        <v>4528</v>
      </c>
      <c r="B404" s="122">
        <v>40</v>
      </c>
      <c r="C404" s="21" t="s">
        <v>66</v>
      </c>
      <c r="D404" s="638">
        <f>VLOOKUP(B404,'Thickness Tab'!$1:$1048576,MATCH(C404,'Thickness Tab'!$1:$1,0),0)</f>
        <v>12.7</v>
      </c>
      <c r="E404" s="639">
        <v>0</v>
      </c>
      <c r="F404" s="639">
        <v>329.83881746608648</v>
      </c>
      <c r="G404" s="639">
        <v>652.00696475854306</v>
      </c>
      <c r="H404" s="639">
        <v>432.62579779272738</v>
      </c>
      <c r="I404" s="639">
        <v>218.61409994845263</v>
      </c>
      <c r="J404" s="639">
        <v>964.20324082528043</v>
      </c>
      <c r="K404" s="640">
        <v>964.20324082528043</v>
      </c>
    </row>
    <row r="405" spans="1:11" x14ac:dyDescent="0.3">
      <c r="A405" s="123" t="str">
        <f>B405&amp;"."&amp;C405</f>
        <v>0,125.5S</v>
      </c>
      <c r="B405" s="629">
        <v>0.125</v>
      </c>
      <c r="C405" s="326" t="s">
        <v>4530</v>
      </c>
      <c r="D405" s="641">
        <f>VLOOKUP(B405,'Thickness Tab'!$1:$1048576,MATCH(C405,'Thickness Tab'!$1:$1,0),0)</f>
        <v>0</v>
      </c>
      <c r="E405" s="642">
        <v>0</v>
      </c>
      <c r="F405" s="642">
        <v>0</v>
      </c>
      <c r="G405" s="642">
        <v>0</v>
      </c>
      <c r="H405" s="642">
        <v>0</v>
      </c>
      <c r="I405" s="642">
        <v>0</v>
      </c>
      <c r="J405" s="642">
        <v>0</v>
      </c>
      <c r="K405" s="643">
        <v>0</v>
      </c>
    </row>
    <row r="406" spans="1:11" x14ac:dyDescent="0.3">
      <c r="A406" s="91" t="str">
        <f t="shared" ref="A406:A435" si="3">B406&amp;"."&amp;C406</f>
        <v>0,25.5S</v>
      </c>
      <c r="B406" s="121">
        <v>0.25</v>
      </c>
      <c r="C406" s="21" t="s">
        <v>4530</v>
      </c>
      <c r="D406" s="21">
        <f>VLOOKUP(B406,'Thickness Tab'!$1:$1048576,MATCH(C406,'Thickness Tab'!$1:$1,0),0)</f>
        <v>1</v>
      </c>
      <c r="E406" s="651">
        <v>0</v>
      </c>
      <c r="F406" s="651">
        <v>0</v>
      </c>
      <c r="G406" s="651">
        <v>0</v>
      </c>
      <c r="H406" s="651">
        <v>0</v>
      </c>
      <c r="I406" s="651">
        <v>0</v>
      </c>
      <c r="J406" s="651">
        <v>0</v>
      </c>
      <c r="K406" s="652">
        <v>0</v>
      </c>
    </row>
    <row r="407" spans="1:11" x14ac:dyDescent="0.3">
      <c r="A407" s="91" t="str">
        <f t="shared" si="3"/>
        <v>0,5.5S</v>
      </c>
      <c r="B407" s="121">
        <v>0.5</v>
      </c>
      <c r="C407" s="21" t="s">
        <v>4530</v>
      </c>
      <c r="D407" s="21">
        <f>VLOOKUP(B407,'Thickness Tab'!$1:$1048576,MATCH(C407,'Thickness Tab'!$1:$1,0),0)</f>
        <v>1.65</v>
      </c>
      <c r="E407" s="651">
        <v>0</v>
      </c>
      <c r="F407" s="651">
        <v>0</v>
      </c>
      <c r="G407" s="651">
        <v>0</v>
      </c>
      <c r="H407" s="651">
        <v>0</v>
      </c>
      <c r="I407" s="651">
        <v>0</v>
      </c>
      <c r="J407" s="651">
        <v>0</v>
      </c>
      <c r="K407" s="652">
        <v>0</v>
      </c>
    </row>
    <row r="408" spans="1:11" x14ac:dyDescent="0.3">
      <c r="A408" s="91" t="str">
        <f t="shared" si="3"/>
        <v>0,75.5S</v>
      </c>
      <c r="B408" s="121">
        <v>0.75</v>
      </c>
      <c r="C408" s="21" t="s">
        <v>4530</v>
      </c>
      <c r="D408" s="21">
        <f>VLOOKUP(B408,'Thickness Tab'!$1:$1048576,MATCH(C408,'Thickness Tab'!$1:$1,0),0)</f>
        <v>1.65</v>
      </c>
      <c r="E408" s="651">
        <v>0</v>
      </c>
      <c r="F408" s="55">
        <v>2.5294390114348076E-2</v>
      </c>
      <c r="G408" s="55">
        <v>4.697529592664642E-2</v>
      </c>
      <c r="H408" s="651">
        <v>0</v>
      </c>
      <c r="I408" s="651">
        <v>0</v>
      </c>
      <c r="J408" s="55">
        <v>8.6723623249193388E-2</v>
      </c>
      <c r="K408" s="124">
        <v>8.6723623249193388E-2</v>
      </c>
    </row>
    <row r="409" spans="1:11" x14ac:dyDescent="0.3">
      <c r="A409" s="91" t="str">
        <f t="shared" si="3"/>
        <v>1.5S</v>
      </c>
      <c r="B409" s="121">
        <v>1</v>
      </c>
      <c r="C409" s="21" t="s">
        <v>4530</v>
      </c>
      <c r="D409" s="21">
        <f>VLOOKUP(B409,'Thickness Tab'!$1:$1048576,MATCH(C409,'Thickness Tab'!$1:$1,0),0)</f>
        <v>1.65</v>
      </c>
      <c r="E409" s="651">
        <v>0</v>
      </c>
      <c r="F409" s="55">
        <v>3.9209805158724548E-2</v>
      </c>
      <c r="G409" s="55">
        <v>8.1220310685929401E-2</v>
      </c>
      <c r="H409" s="651">
        <v>0</v>
      </c>
      <c r="I409" s="651">
        <v>0</v>
      </c>
      <c r="J409" s="55">
        <v>0.16804202210881947</v>
      </c>
      <c r="K409" s="124">
        <v>0.16804202210881947</v>
      </c>
    </row>
    <row r="410" spans="1:11" x14ac:dyDescent="0.3">
      <c r="A410" s="91" t="str">
        <f t="shared" si="3"/>
        <v>1,25.5S</v>
      </c>
      <c r="B410" s="121">
        <v>1.25</v>
      </c>
      <c r="C410" s="21" t="s">
        <v>4530</v>
      </c>
      <c r="D410" s="21">
        <f>VLOOKUP(B410,'Thickness Tab'!$1:$1048576,MATCH(C410,'Thickness Tab'!$1:$1,0),0)</f>
        <v>1.65</v>
      </c>
      <c r="E410" s="651">
        <v>0</v>
      </c>
      <c r="F410" s="55">
        <v>6.3910764720211108E-2</v>
      </c>
      <c r="G410" s="55">
        <v>0.13060025834130096</v>
      </c>
      <c r="H410" s="651">
        <v>0</v>
      </c>
      <c r="I410" s="651">
        <v>0</v>
      </c>
      <c r="J410" s="55">
        <v>0</v>
      </c>
      <c r="K410" s="124">
        <v>0</v>
      </c>
    </row>
    <row r="411" spans="1:11" x14ac:dyDescent="0.3">
      <c r="A411" s="91" t="str">
        <f t="shared" si="3"/>
        <v>1,5.5S</v>
      </c>
      <c r="B411" s="121">
        <v>1.5</v>
      </c>
      <c r="C411" s="21" t="s">
        <v>4530</v>
      </c>
      <c r="D411" s="21">
        <f>VLOOKUP(B411,'Thickness Tab'!$1:$1048576,MATCH(C411,'Thickness Tab'!$1:$1,0),0)</f>
        <v>1.65</v>
      </c>
      <c r="E411" s="651">
        <v>0</v>
      </c>
      <c r="F411" s="55">
        <v>8.8589665147095445E-2</v>
      </c>
      <c r="G411" s="55">
        <v>0.17717933029419089</v>
      </c>
      <c r="H411" s="651">
        <v>0</v>
      </c>
      <c r="I411" s="651">
        <v>0</v>
      </c>
      <c r="J411" s="55">
        <v>0.38757978501854251</v>
      </c>
      <c r="K411" s="124">
        <v>0.38757978501854251</v>
      </c>
    </row>
    <row r="412" spans="1:11" x14ac:dyDescent="0.3">
      <c r="A412" s="91" t="str">
        <f t="shared" si="3"/>
        <v>2.5S</v>
      </c>
      <c r="B412" s="121">
        <v>2</v>
      </c>
      <c r="C412" s="21" t="s">
        <v>4530</v>
      </c>
      <c r="D412" s="21">
        <f>VLOOKUP(B412,'Thickness Tab'!$1:$1048576,MATCH(C412,'Thickness Tab'!$1:$1,0),0)</f>
        <v>1.65</v>
      </c>
      <c r="E412" s="651">
        <v>0</v>
      </c>
      <c r="F412" s="55">
        <v>0.14874228050936025</v>
      </c>
      <c r="G412" s="55">
        <v>0.30299353437091903</v>
      </c>
      <c r="H412" s="651">
        <v>0</v>
      </c>
      <c r="I412" s="651">
        <v>0</v>
      </c>
      <c r="J412" s="55">
        <v>1.0191600701567276</v>
      </c>
      <c r="K412" s="124">
        <v>1.0191600701567276</v>
      </c>
    </row>
    <row r="413" spans="1:11" x14ac:dyDescent="0.3">
      <c r="A413" s="91" t="str">
        <f t="shared" si="3"/>
        <v>2,5.5S</v>
      </c>
      <c r="B413" s="121">
        <v>2.5</v>
      </c>
      <c r="C413" s="21" t="s">
        <v>4530</v>
      </c>
      <c r="D413" s="21">
        <f>VLOOKUP(B413,'Thickness Tab'!$1:$1048576,MATCH(C413,'Thickness Tab'!$1:$1,0),0)</f>
        <v>2.11</v>
      </c>
      <c r="E413" s="651">
        <v>0</v>
      </c>
      <c r="F413" s="55">
        <v>0.28939122640550718</v>
      </c>
      <c r="G413" s="55">
        <v>0.57242220607682748</v>
      </c>
      <c r="H413" s="651">
        <v>0</v>
      </c>
      <c r="I413" s="651">
        <v>0</v>
      </c>
      <c r="J413" s="55">
        <v>1.5264592162048729</v>
      </c>
      <c r="K413" s="124">
        <v>1.5264592162048729</v>
      </c>
    </row>
    <row r="414" spans="1:11" x14ac:dyDescent="0.3">
      <c r="A414" s="91" t="str">
        <f t="shared" si="3"/>
        <v>3.5S</v>
      </c>
      <c r="B414" s="121">
        <v>3</v>
      </c>
      <c r="C414" s="21" t="s">
        <v>4530</v>
      </c>
      <c r="D414" s="21">
        <f>VLOOKUP(B414,'Thickness Tab'!$1:$1048576,MATCH(C414,'Thickness Tab'!$1:$1,0),0)</f>
        <v>2.11</v>
      </c>
      <c r="E414" s="651">
        <v>0</v>
      </c>
      <c r="F414" s="55">
        <v>0.41240231802048533</v>
      </c>
      <c r="G414" s="55">
        <v>0.85652789127331563</v>
      </c>
      <c r="H414" s="651">
        <v>0</v>
      </c>
      <c r="I414" s="651">
        <v>0</v>
      </c>
      <c r="J414" s="55">
        <v>2.0937348453347711</v>
      </c>
      <c r="K414" s="124">
        <v>2.0937348453347711</v>
      </c>
    </row>
    <row r="415" spans="1:11" x14ac:dyDescent="0.3">
      <c r="A415" s="91" t="str">
        <f t="shared" si="3"/>
        <v>3,5.5S</v>
      </c>
      <c r="B415" s="121">
        <v>3.5</v>
      </c>
      <c r="C415" s="21" t="s">
        <v>4530</v>
      </c>
      <c r="D415" s="21">
        <f>VLOOKUP(B415,'Thickness Tab'!$1:$1048576,MATCH(C415,'Thickness Tab'!$1:$1,0),0)</f>
        <v>2.11</v>
      </c>
      <c r="E415" s="651">
        <v>0</v>
      </c>
      <c r="F415" s="55">
        <v>0.57022159934511873</v>
      </c>
      <c r="G415" s="55">
        <v>1.1404431986902375</v>
      </c>
      <c r="H415" s="651">
        <v>0</v>
      </c>
      <c r="I415" s="651">
        <v>0</v>
      </c>
      <c r="J415" s="55">
        <v>3.1045398186567579</v>
      </c>
      <c r="K415" s="124">
        <v>3.1045398186567579</v>
      </c>
    </row>
    <row r="416" spans="1:11" x14ac:dyDescent="0.3">
      <c r="A416" s="91" t="str">
        <f t="shared" si="3"/>
        <v>4.5S</v>
      </c>
      <c r="B416" s="121">
        <v>4</v>
      </c>
      <c r="C416" s="21" t="s">
        <v>4530</v>
      </c>
      <c r="D416" s="21">
        <f>VLOOKUP(B416,'Thickness Tab'!$1:$1048576,MATCH(C416,'Thickness Tab'!$1:$1,0),0)</f>
        <v>2.11</v>
      </c>
      <c r="E416" s="651">
        <v>0</v>
      </c>
      <c r="F416" s="55">
        <v>0.72783061731273069</v>
      </c>
      <c r="G416" s="55">
        <v>1.4556612346254614</v>
      </c>
      <c r="H416" s="651">
        <v>0</v>
      </c>
      <c r="I416" s="651">
        <v>0</v>
      </c>
      <c r="J416" s="55">
        <v>3.1644809448379601</v>
      </c>
      <c r="K416" s="124">
        <v>3.1644809448379601</v>
      </c>
    </row>
    <row r="417" spans="1:11" x14ac:dyDescent="0.3">
      <c r="A417" s="91" t="str">
        <f t="shared" si="3"/>
        <v>5.5S</v>
      </c>
      <c r="B417" s="121">
        <v>5</v>
      </c>
      <c r="C417" s="21" t="s">
        <v>4530</v>
      </c>
      <c r="D417" s="21">
        <f>VLOOKUP(B417,'Thickness Tab'!$1:$1048576,MATCH(C417,'Thickness Tab'!$1:$1,0),0)</f>
        <v>2.77</v>
      </c>
      <c r="E417" s="651">
        <v>0</v>
      </c>
      <c r="F417" s="55">
        <v>1.4849305832410273</v>
      </c>
      <c r="G417" s="55">
        <v>2.9698611664820547</v>
      </c>
      <c r="H417" s="651">
        <v>0</v>
      </c>
      <c r="I417" s="651">
        <v>0</v>
      </c>
      <c r="J417" s="55">
        <v>5.9397223329641093</v>
      </c>
      <c r="K417" s="124">
        <v>5.9397223329641093</v>
      </c>
    </row>
    <row r="418" spans="1:11" x14ac:dyDescent="0.3">
      <c r="A418" s="91" t="str">
        <f t="shared" si="3"/>
        <v>6.5S</v>
      </c>
      <c r="B418" s="121">
        <v>6</v>
      </c>
      <c r="C418" s="21" t="s">
        <v>4530</v>
      </c>
      <c r="D418" s="21">
        <f>VLOOKUP(B418,'Thickness Tab'!$1:$1048576,MATCH(C418,'Thickness Tab'!$1:$1,0),0)</f>
        <v>2.77</v>
      </c>
      <c r="E418" s="651">
        <v>0</v>
      </c>
      <c r="F418" s="55">
        <v>2.1144504271774571</v>
      </c>
      <c r="G418" s="55">
        <v>4.0805183682371977</v>
      </c>
      <c r="H418" s="651">
        <v>0</v>
      </c>
      <c r="I418" s="651">
        <v>0</v>
      </c>
      <c r="J418" s="55">
        <v>10.015817812945848</v>
      </c>
      <c r="K418" s="124">
        <v>10.015817812945848</v>
      </c>
    </row>
    <row r="419" spans="1:11" x14ac:dyDescent="0.3">
      <c r="A419" s="91" t="str">
        <f t="shared" si="3"/>
        <v>8.5S</v>
      </c>
      <c r="B419" s="121">
        <v>8</v>
      </c>
      <c r="C419" s="21" t="s">
        <v>4530</v>
      </c>
      <c r="D419" s="21">
        <f>VLOOKUP(B419,'Thickness Tab'!$1:$1048576,MATCH(C419,'Thickness Tab'!$1:$1,0),0)</f>
        <v>2.77</v>
      </c>
      <c r="E419" s="651">
        <v>0</v>
      </c>
      <c r="F419" s="55">
        <v>3.6926860981372203</v>
      </c>
      <c r="G419" s="55">
        <v>7.3853721962744405</v>
      </c>
      <c r="H419" s="651">
        <v>0</v>
      </c>
      <c r="I419" s="651">
        <v>0</v>
      </c>
      <c r="J419" s="55">
        <v>14.770744392548881</v>
      </c>
      <c r="K419" s="124">
        <v>14.770744392548881</v>
      </c>
    </row>
    <row r="420" spans="1:11" x14ac:dyDescent="0.3">
      <c r="A420" s="91" t="str">
        <f t="shared" si="3"/>
        <v>10.5S</v>
      </c>
      <c r="B420" s="121">
        <v>10</v>
      </c>
      <c r="C420" s="21" t="s">
        <v>4530</v>
      </c>
      <c r="D420" s="21">
        <f>VLOOKUP(B420,'Thickness Tab'!$1:$1048576,MATCH(C420,'Thickness Tab'!$1:$1,0),0)</f>
        <v>3.4</v>
      </c>
      <c r="E420" s="651">
        <v>0</v>
      </c>
      <c r="F420" s="55">
        <v>7.0138859963454241</v>
      </c>
      <c r="G420" s="55">
        <v>14.396923887235344</v>
      </c>
      <c r="H420" s="651">
        <v>0</v>
      </c>
      <c r="I420" s="651">
        <v>0</v>
      </c>
      <c r="J420" s="55">
        <v>22.149113672669763</v>
      </c>
      <c r="K420" s="124">
        <v>22.149113672669763</v>
      </c>
    </row>
    <row r="421" spans="1:11" x14ac:dyDescent="0.3">
      <c r="A421" s="91" t="str">
        <f t="shared" si="3"/>
        <v>12.5S</v>
      </c>
      <c r="B421" s="121">
        <v>12</v>
      </c>
      <c r="C421" s="21" t="s">
        <v>4530</v>
      </c>
      <c r="D421" s="21">
        <f>VLOOKUP(B421,'Thickness Tab'!$1:$1048576,MATCH(C421,'Thickness Tab'!$1:$1,0),0)</f>
        <v>3.96</v>
      </c>
      <c r="E421" s="651">
        <v>0</v>
      </c>
      <c r="F421" s="55">
        <v>11.813941081581191</v>
      </c>
      <c r="G421" s="55">
        <v>23.234084127109679</v>
      </c>
      <c r="H421" s="651">
        <v>0</v>
      </c>
      <c r="I421" s="651">
        <v>0</v>
      </c>
      <c r="J421" s="55">
        <v>41.34879378553417</v>
      </c>
      <c r="K421" s="124">
        <v>41.34879378553417</v>
      </c>
    </row>
    <row r="422" spans="1:11" x14ac:dyDescent="0.3">
      <c r="A422" s="91" t="str">
        <f t="shared" si="3"/>
        <v>14.5S</v>
      </c>
      <c r="B422" s="121">
        <v>14</v>
      </c>
      <c r="C422" s="21" t="s">
        <v>4530</v>
      </c>
      <c r="D422" s="21">
        <f>VLOOKUP(B422,'Thickness Tab'!$1:$1048576,MATCH(C422,'Thickness Tab'!$1:$1,0),0)</f>
        <v>3.96</v>
      </c>
      <c r="E422" s="651">
        <v>0</v>
      </c>
      <c r="F422" s="55">
        <v>15.094715339714277</v>
      </c>
      <c r="G422" s="55">
        <v>30.189430679428554</v>
      </c>
      <c r="H422" s="651">
        <v>0</v>
      </c>
      <c r="I422" s="651">
        <v>0</v>
      </c>
      <c r="J422" s="55">
        <v>54.967548312544444</v>
      </c>
      <c r="K422" s="124">
        <v>54.967548312544444</v>
      </c>
    </row>
    <row r="423" spans="1:11" x14ac:dyDescent="0.3">
      <c r="A423" s="91" t="str">
        <f t="shared" si="3"/>
        <v>16.5S</v>
      </c>
      <c r="B423" s="121">
        <v>16</v>
      </c>
      <c r="C423" s="21" t="s">
        <v>4530</v>
      </c>
      <c r="D423" s="21">
        <f>VLOOKUP(B423,'Thickness Tab'!$1:$1048576,MATCH(C423,'Thickness Tab'!$1:$1,0),0)</f>
        <v>4.1900000000000004</v>
      </c>
      <c r="E423" s="651">
        <v>0</v>
      </c>
      <c r="F423" s="55">
        <v>20.763172798431871</v>
      </c>
      <c r="G423" s="55">
        <v>41.827261144667105</v>
      </c>
      <c r="H423" s="651">
        <v>0</v>
      </c>
      <c r="I423" s="651">
        <v>0</v>
      </c>
      <c r="J423" s="55">
        <v>60.484025108475457</v>
      </c>
      <c r="K423" s="124">
        <v>60.484025108475457</v>
      </c>
    </row>
    <row r="424" spans="1:11" x14ac:dyDescent="0.3">
      <c r="A424" s="91" t="str">
        <f t="shared" si="3"/>
        <v>18.5S</v>
      </c>
      <c r="B424" s="121">
        <v>18</v>
      </c>
      <c r="C424" s="21" t="s">
        <v>4530</v>
      </c>
      <c r="D424" s="21">
        <f>VLOOKUP(B424,'Thickness Tab'!$1:$1048576,MATCH(C424,'Thickness Tab'!$1:$1,0),0)</f>
        <v>4.1900000000000004</v>
      </c>
      <c r="E424" s="651">
        <v>0</v>
      </c>
      <c r="F424" s="55">
        <v>26.464544616657037</v>
      </c>
      <c r="G424" s="55">
        <v>52.929089233314073</v>
      </c>
      <c r="H424" s="651">
        <v>0</v>
      </c>
      <c r="I424" s="651">
        <v>0</v>
      </c>
      <c r="J424" s="55">
        <v>84.50610269637076</v>
      </c>
      <c r="K424" s="124">
        <v>84.50610269637076</v>
      </c>
    </row>
    <row r="425" spans="1:11" x14ac:dyDescent="0.3">
      <c r="A425" s="91" t="str">
        <f t="shared" si="3"/>
        <v>20.5S</v>
      </c>
      <c r="B425" s="121">
        <v>20</v>
      </c>
      <c r="C425" s="21" t="s">
        <v>4530</v>
      </c>
      <c r="D425" s="21">
        <f>VLOOKUP(B425,'Thickness Tab'!$1:$1048576,MATCH(C425,'Thickness Tab'!$1:$1,0),0)</f>
        <v>4.78</v>
      </c>
      <c r="E425" s="651">
        <v>0</v>
      </c>
      <c r="F425" s="55">
        <v>37.333910897756482</v>
      </c>
      <c r="G425" s="55">
        <v>74.325308851496843</v>
      </c>
      <c r="H425" s="651">
        <v>0</v>
      </c>
      <c r="I425" s="651">
        <v>0</v>
      </c>
      <c r="J425" s="55">
        <v>150.36318242307425</v>
      </c>
      <c r="K425" s="124">
        <v>150.36318242307425</v>
      </c>
    </row>
    <row r="426" spans="1:11" x14ac:dyDescent="0.3">
      <c r="A426" s="91" t="str">
        <f t="shared" si="3"/>
        <v>22.5S</v>
      </c>
      <c r="B426" s="121">
        <v>22</v>
      </c>
      <c r="C426" s="21" t="s">
        <v>4530</v>
      </c>
      <c r="D426" s="21">
        <f>VLOOKUP(B426,'Thickness Tab'!$1:$1048576,MATCH(C426,'Thickness Tab'!$1:$1,0),0)</f>
        <v>4.78</v>
      </c>
      <c r="E426" s="651">
        <v>0</v>
      </c>
      <c r="F426" s="55">
        <v>44.856323229029556</v>
      </c>
      <c r="G426" s="55">
        <v>89.712646458059112</v>
      </c>
      <c r="H426" s="651">
        <v>0</v>
      </c>
      <c r="I426" s="651">
        <v>0</v>
      </c>
      <c r="J426" s="55">
        <v>163.3318029026496</v>
      </c>
      <c r="K426" s="124">
        <v>163.3318029026496</v>
      </c>
    </row>
    <row r="427" spans="1:11" x14ac:dyDescent="0.3">
      <c r="A427" s="91" t="str">
        <f t="shared" si="3"/>
        <v>24.5S</v>
      </c>
      <c r="B427" s="121">
        <v>24</v>
      </c>
      <c r="C427" s="21" t="s">
        <v>4530</v>
      </c>
      <c r="D427" s="21">
        <f>VLOOKUP(B427,'Thickness Tab'!$1:$1048576,MATCH(C427,'Thickness Tab'!$1:$1,0),0)</f>
        <v>5.54</v>
      </c>
      <c r="E427" s="651">
        <v>0</v>
      </c>
      <c r="F427" s="55">
        <v>62.213434909403247</v>
      </c>
      <c r="G427" s="55">
        <v>124.42686981880649</v>
      </c>
      <c r="H427" s="651">
        <v>0</v>
      </c>
      <c r="I427" s="651">
        <v>0</v>
      </c>
      <c r="J427" s="55">
        <v>268.27067155201269</v>
      </c>
      <c r="K427" s="124">
        <v>268.27067155201269</v>
      </c>
    </row>
    <row r="428" spans="1:11" x14ac:dyDescent="0.3">
      <c r="A428" s="91" t="str">
        <f t="shared" si="3"/>
        <v>26.5S</v>
      </c>
      <c r="B428" s="121">
        <v>26</v>
      </c>
      <c r="C428" s="21" t="s">
        <v>4530</v>
      </c>
      <c r="D428" s="635">
        <f>VLOOKUP(B428,'Thickness Tab'!$1:$1048576,MATCH(C428,'Thickness Tab'!$1:$1,0),0)</f>
        <v>0</v>
      </c>
      <c r="E428" s="651">
        <f t="shared" ref="E428:E433" si="4">+E427*1.15</f>
        <v>0</v>
      </c>
      <c r="F428" s="651">
        <f t="shared" ref="F428:F433" si="5">+F427*1.15</f>
        <v>71.545450145813732</v>
      </c>
      <c r="G428" s="651">
        <f t="shared" ref="G428:G433" si="6">+G427*1.15</f>
        <v>143.09090029162746</v>
      </c>
      <c r="H428" s="651">
        <f t="shared" ref="H428:H433" si="7">+H427*1.15</f>
        <v>0</v>
      </c>
      <c r="I428" s="651">
        <f t="shared" ref="I428:I433" si="8">+I427*1.15</f>
        <v>0</v>
      </c>
      <c r="J428" s="651">
        <f t="shared" ref="J428:J433" si="9">+J427*1.15</f>
        <v>308.51127228481454</v>
      </c>
      <c r="K428" s="651">
        <f t="shared" ref="K428:K433" si="10">+K427*1.15</f>
        <v>308.51127228481454</v>
      </c>
    </row>
    <row r="429" spans="1:11" x14ac:dyDescent="0.3">
      <c r="A429" s="91" t="str">
        <f t="shared" si="3"/>
        <v>28.5S</v>
      </c>
      <c r="B429" s="121">
        <v>28</v>
      </c>
      <c r="C429" s="21" t="s">
        <v>4530</v>
      </c>
      <c r="D429" s="635">
        <f>VLOOKUP(B429,'Thickness Tab'!$1:$1048576,MATCH(C429,'Thickness Tab'!$1:$1,0),0)</f>
        <v>0</v>
      </c>
      <c r="E429" s="651">
        <f t="shared" si="4"/>
        <v>0</v>
      </c>
      <c r="F429" s="651">
        <f t="shared" si="5"/>
        <v>82.277267667685791</v>
      </c>
      <c r="G429" s="651">
        <f t="shared" si="6"/>
        <v>164.55453533537158</v>
      </c>
      <c r="H429" s="651">
        <f t="shared" si="7"/>
        <v>0</v>
      </c>
      <c r="I429" s="651">
        <f t="shared" si="8"/>
        <v>0</v>
      </c>
      <c r="J429" s="651">
        <f t="shared" si="9"/>
        <v>354.78796312753667</v>
      </c>
      <c r="K429" s="651">
        <f t="shared" si="10"/>
        <v>354.78796312753667</v>
      </c>
    </row>
    <row r="430" spans="1:11" x14ac:dyDescent="0.3">
      <c r="A430" s="91" t="str">
        <f t="shared" si="3"/>
        <v>30.5S</v>
      </c>
      <c r="B430" s="121">
        <v>30</v>
      </c>
      <c r="C430" s="21" t="s">
        <v>4530</v>
      </c>
      <c r="D430" s="21">
        <f>VLOOKUP(B430,'Thickness Tab'!$1:$1048576,MATCH(C430,'Thickness Tab'!$1:$1,0),0)</f>
        <v>6.35</v>
      </c>
      <c r="E430" s="651">
        <f t="shared" si="4"/>
        <v>0</v>
      </c>
      <c r="F430" s="651">
        <f t="shared" si="5"/>
        <v>94.618857817838659</v>
      </c>
      <c r="G430" s="651">
        <f t="shared" si="6"/>
        <v>189.23771563567732</v>
      </c>
      <c r="H430" s="651">
        <f t="shared" si="7"/>
        <v>0</v>
      </c>
      <c r="I430" s="651">
        <f t="shared" si="8"/>
        <v>0</v>
      </c>
      <c r="J430" s="651">
        <f t="shared" si="9"/>
        <v>408.00615759666715</v>
      </c>
      <c r="K430" s="651">
        <f t="shared" si="10"/>
        <v>408.00615759666715</v>
      </c>
    </row>
    <row r="431" spans="1:11" x14ac:dyDescent="0.3">
      <c r="A431" s="91" t="str">
        <f t="shared" si="3"/>
        <v>32.5S</v>
      </c>
      <c r="B431" s="121">
        <v>32</v>
      </c>
      <c r="C431" s="21" t="s">
        <v>4530</v>
      </c>
      <c r="D431" s="635">
        <f>VLOOKUP(B431,'Thickness Tab'!$1:$1048576,MATCH(C431,'Thickness Tab'!$1:$1,0),0)</f>
        <v>0</v>
      </c>
      <c r="E431" s="651">
        <f t="shared" si="4"/>
        <v>0</v>
      </c>
      <c r="F431" s="651">
        <f t="shared" si="5"/>
        <v>108.81168649051445</v>
      </c>
      <c r="G431" s="651">
        <f t="shared" si="6"/>
        <v>217.62337298102889</v>
      </c>
      <c r="H431" s="651">
        <f t="shared" si="7"/>
        <v>0</v>
      </c>
      <c r="I431" s="651">
        <f t="shared" si="8"/>
        <v>0</v>
      </c>
      <c r="J431" s="651">
        <f t="shared" si="9"/>
        <v>469.2070812361672</v>
      </c>
      <c r="K431" s="651">
        <f t="shared" si="10"/>
        <v>469.2070812361672</v>
      </c>
    </row>
    <row r="432" spans="1:11" x14ac:dyDescent="0.3">
      <c r="A432" s="91" t="str">
        <f t="shared" si="3"/>
        <v>34.5S</v>
      </c>
      <c r="B432" s="121">
        <v>34</v>
      </c>
      <c r="C432" s="21" t="s">
        <v>4530</v>
      </c>
      <c r="D432" s="635">
        <f>VLOOKUP(B432,'Thickness Tab'!$1:$1048576,MATCH(C432,'Thickness Tab'!$1:$1,0),0)</f>
        <v>0</v>
      </c>
      <c r="E432" s="651">
        <f t="shared" si="4"/>
        <v>0</v>
      </c>
      <c r="F432" s="651">
        <f t="shared" si="5"/>
        <v>125.13343946409161</v>
      </c>
      <c r="G432" s="651">
        <f t="shared" si="6"/>
        <v>250.26687892818322</v>
      </c>
      <c r="H432" s="651">
        <f t="shared" si="7"/>
        <v>0</v>
      </c>
      <c r="I432" s="651">
        <f t="shared" si="8"/>
        <v>0</v>
      </c>
      <c r="J432" s="651">
        <f t="shared" si="9"/>
        <v>539.58814342159224</v>
      </c>
      <c r="K432" s="651">
        <f t="shared" si="10"/>
        <v>539.58814342159224</v>
      </c>
    </row>
    <row r="433" spans="1:11" x14ac:dyDescent="0.3">
      <c r="A433" s="91" t="str">
        <f t="shared" si="3"/>
        <v>36.5S</v>
      </c>
      <c r="B433" s="121">
        <v>36</v>
      </c>
      <c r="C433" s="21" t="s">
        <v>4530</v>
      </c>
      <c r="D433" s="635">
        <f>VLOOKUP(B433,'Thickness Tab'!$1:$1048576,MATCH(C433,'Thickness Tab'!$1:$1,0),0)</f>
        <v>0</v>
      </c>
      <c r="E433" s="651">
        <f t="shared" si="4"/>
        <v>0</v>
      </c>
      <c r="F433" s="651">
        <f t="shared" si="5"/>
        <v>143.90345538370534</v>
      </c>
      <c r="G433" s="651">
        <f t="shared" si="6"/>
        <v>287.80691076741067</v>
      </c>
      <c r="H433" s="651">
        <f t="shared" si="7"/>
        <v>0</v>
      </c>
      <c r="I433" s="651">
        <f t="shared" si="8"/>
        <v>0</v>
      </c>
      <c r="J433" s="651">
        <f t="shared" si="9"/>
        <v>620.52636493483101</v>
      </c>
      <c r="K433" s="651">
        <f t="shared" si="10"/>
        <v>620.52636493483101</v>
      </c>
    </row>
    <row r="434" spans="1:11" x14ac:dyDescent="0.3">
      <c r="A434" s="91" t="str">
        <f>B434&amp;"."&amp;C434</f>
        <v>40.5S</v>
      </c>
      <c r="B434" s="121">
        <v>40</v>
      </c>
      <c r="C434" s="21" t="s">
        <v>4530</v>
      </c>
      <c r="D434" s="635">
        <f>VLOOKUP(B434,'Thickness Tab'!$1:$1048576,MATCH(C434,'Thickness Tab'!$1:$1,0),0)</f>
        <v>0</v>
      </c>
      <c r="E434" s="651">
        <v>0</v>
      </c>
      <c r="F434" s="651">
        <f t="shared" ref="F434:K435" si="11">F433*1.15</f>
        <v>165.48897369126112</v>
      </c>
      <c r="G434" s="651">
        <f t="shared" si="11"/>
        <v>330.97794738252225</v>
      </c>
      <c r="H434" s="651">
        <f t="shared" si="11"/>
        <v>0</v>
      </c>
      <c r="I434" s="651">
        <f t="shared" si="11"/>
        <v>0</v>
      </c>
      <c r="J434" s="651">
        <f t="shared" si="11"/>
        <v>713.60531967505563</v>
      </c>
      <c r="K434" s="651">
        <f t="shared" si="11"/>
        <v>713.60531967505563</v>
      </c>
    </row>
    <row r="435" spans="1:11" ht="15" thickBot="1" x14ac:dyDescent="0.35">
      <c r="A435" s="94" t="str">
        <f t="shared" si="3"/>
        <v>42.5S</v>
      </c>
      <c r="B435" s="122">
        <v>42</v>
      </c>
      <c r="C435" s="23" t="s">
        <v>4530</v>
      </c>
      <c r="D435" s="638">
        <f>VLOOKUP(B435,'Thickness Tab'!$1:$1048576,MATCH(C435,'Thickness Tab'!$1:$1,0),0)</f>
        <v>0</v>
      </c>
      <c r="E435" s="653">
        <v>0</v>
      </c>
      <c r="F435" s="653">
        <f t="shared" si="11"/>
        <v>190.31231974495029</v>
      </c>
      <c r="G435" s="653">
        <f t="shared" si="11"/>
        <v>380.62463948990057</v>
      </c>
      <c r="H435" s="653">
        <f t="shared" si="11"/>
        <v>0</v>
      </c>
      <c r="I435" s="653">
        <f t="shared" si="11"/>
        <v>0</v>
      </c>
      <c r="J435" s="653">
        <f t="shared" si="11"/>
        <v>820.64611762631387</v>
      </c>
      <c r="K435" s="653">
        <f t="shared" si="11"/>
        <v>820.64611762631387</v>
      </c>
    </row>
    <row r="436" spans="1:11" x14ac:dyDescent="0.3">
      <c r="A436" s="97" t="str">
        <f>B436&amp;"."&amp;C436</f>
        <v>0,125.10S</v>
      </c>
      <c r="B436" s="126">
        <v>0.125</v>
      </c>
      <c r="C436" s="19" t="s">
        <v>4531</v>
      </c>
      <c r="D436" s="644">
        <f>VLOOKUP(B436,'Thickness Tab'!$1:$1048576,MATCH(C436,'Thickness Tab'!$1:$1,0),0)</f>
        <v>0</v>
      </c>
      <c r="E436" s="645">
        <v>0</v>
      </c>
      <c r="F436" s="645">
        <v>0</v>
      </c>
      <c r="G436" s="645">
        <v>0</v>
      </c>
      <c r="H436" s="645">
        <v>0</v>
      </c>
      <c r="I436" s="645">
        <v>0</v>
      </c>
      <c r="J436" s="645">
        <v>0</v>
      </c>
      <c r="K436" s="646">
        <v>0</v>
      </c>
    </row>
    <row r="437" spans="1:11" x14ac:dyDescent="0.3">
      <c r="A437" s="91" t="str">
        <f t="shared" ref="A437:A466" si="12">B437&amp;"."&amp;C437</f>
        <v>0,25.10S</v>
      </c>
      <c r="B437" s="121">
        <v>0.25</v>
      </c>
      <c r="C437" s="21" t="s">
        <v>4531</v>
      </c>
      <c r="D437" s="21">
        <f>VLOOKUP(B437,'Thickness Tab'!$1:$1048576,MATCH(C437,'Thickness Tab'!$1:$1,0),0)</f>
        <v>1.2</v>
      </c>
      <c r="E437" s="651">
        <v>0</v>
      </c>
      <c r="F437" s="651">
        <v>0</v>
      </c>
      <c r="G437" s="651">
        <v>0</v>
      </c>
      <c r="H437" s="651">
        <v>0</v>
      </c>
      <c r="I437" s="651">
        <v>0</v>
      </c>
      <c r="J437" s="651">
        <v>0</v>
      </c>
      <c r="K437" s="652">
        <v>0</v>
      </c>
    </row>
    <row r="438" spans="1:11" x14ac:dyDescent="0.3">
      <c r="A438" s="91" t="str">
        <f t="shared" si="12"/>
        <v>0,5.10S</v>
      </c>
      <c r="B438" s="121">
        <v>0.5</v>
      </c>
      <c r="C438" s="21" t="s">
        <v>4531</v>
      </c>
      <c r="D438" s="21">
        <f>VLOOKUP(B438,'Thickness Tab'!$1:$1048576,MATCH(C438,'Thickness Tab'!$1:$1,0),0)</f>
        <v>2.11</v>
      </c>
      <c r="E438" s="651">
        <v>0</v>
      </c>
      <c r="F438" s="651">
        <v>0</v>
      </c>
      <c r="G438" s="651">
        <v>0</v>
      </c>
      <c r="H438" s="651">
        <v>0</v>
      </c>
      <c r="I438" s="651">
        <v>0</v>
      </c>
      <c r="J438" s="651">
        <v>0</v>
      </c>
      <c r="K438" s="652">
        <v>0</v>
      </c>
    </row>
    <row r="439" spans="1:11" x14ac:dyDescent="0.3">
      <c r="A439" s="91" t="str">
        <f t="shared" si="12"/>
        <v>0,75.10S</v>
      </c>
      <c r="B439" s="121">
        <v>0.75</v>
      </c>
      <c r="C439" s="21" t="s">
        <v>4531</v>
      </c>
      <c r="D439" s="21">
        <f>VLOOKUP(B439,'Thickness Tab'!$1:$1048576,MATCH(C439,'Thickness Tab'!$1:$1,0),0)</f>
        <v>2.11</v>
      </c>
      <c r="E439" s="651">
        <v>0</v>
      </c>
      <c r="F439" s="55">
        <v>3.1751465900000005E-2</v>
      </c>
      <c r="G439" s="55">
        <v>5.8967008100000003E-2</v>
      </c>
      <c r="H439" s="651">
        <v>0</v>
      </c>
      <c r="I439" s="651">
        <v>0</v>
      </c>
      <c r="J439" s="55">
        <v>0.10886216880000001</v>
      </c>
      <c r="K439" s="124">
        <v>0.10886216880000001</v>
      </c>
    </row>
    <row r="440" spans="1:11" x14ac:dyDescent="0.3">
      <c r="A440" s="91" t="str">
        <f t="shared" si="12"/>
        <v>1.10S</v>
      </c>
      <c r="B440" s="121">
        <v>1</v>
      </c>
      <c r="C440" s="21" t="s">
        <v>4531</v>
      </c>
      <c r="D440" s="21">
        <f>VLOOKUP(B440,'Thickness Tab'!$1:$1048576,MATCH(C440,'Thickness Tab'!$1:$1,0),0)</f>
        <v>2.77</v>
      </c>
      <c r="E440" s="651">
        <v>0</v>
      </c>
      <c r="F440" s="55">
        <v>6.3502931800000009E-2</v>
      </c>
      <c r="G440" s="55">
        <v>0.13154178729999999</v>
      </c>
      <c r="H440" s="651">
        <v>0</v>
      </c>
      <c r="I440" s="651">
        <v>0</v>
      </c>
      <c r="J440" s="55">
        <v>0.27215542199999998</v>
      </c>
      <c r="K440" s="124">
        <v>0.27215542199999998</v>
      </c>
    </row>
    <row r="441" spans="1:11" x14ac:dyDescent="0.3">
      <c r="A441" s="91" t="str">
        <f t="shared" si="12"/>
        <v>1,25.10S</v>
      </c>
      <c r="B441" s="121">
        <v>1.25</v>
      </c>
      <c r="C441" s="21" t="s">
        <v>4531</v>
      </c>
      <c r="D441" s="21">
        <f>VLOOKUP(B441,'Thickness Tab'!$1:$1048576,MATCH(C441,'Thickness Tab'!$1:$1,0),0)</f>
        <v>2.77</v>
      </c>
      <c r="E441" s="651">
        <v>0</v>
      </c>
      <c r="F441" s="55">
        <v>0.10432624510000001</v>
      </c>
      <c r="G441" s="55">
        <v>0.21318841390000001</v>
      </c>
      <c r="H441" s="651">
        <v>0</v>
      </c>
      <c r="I441" s="651">
        <v>0</v>
      </c>
      <c r="J441" s="651">
        <v>0</v>
      </c>
      <c r="K441" s="652">
        <v>0</v>
      </c>
    </row>
    <row r="442" spans="1:11" x14ac:dyDescent="0.3">
      <c r="A442" s="91" t="str">
        <f t="shared" si="12"/>
        <v>1,5.10S</v>
      </c>
      <c r="B442" s="121">
        <v>1.5</v>
      </c>
      <c r="C442" s="21" t="s">
        <v>4531</v>
      </c>
      <c r="D442" s="21">
        <f>VLOOKUP(B442,'Thickness Tab'!$1:$1048576,MATCH(C442,'Thickness Tab'!$1:$1,0),0)</f>
        <v>2.77</v>
      </c>
      <c r="E442" s="651">
        <v>0</v>
      </c>
      <c r="F442" s="55">
        <v>0.14514955840000002</v>
      </c>
      <c r="G442" s="55">
        <v>0.29029911680000003</v>
      </c>
      <c r="H442" s="651">
        <v>0</v>
      </c>
      <c r="I442" s="651">
        <v>0</v>
      </c>
      <c r="J442" s="55">
        <v>0.63502931799999995</v>
      </c>
      <c r="K442" s="124">
        <v>0.63502931799999995</v>
      </c>
    </row>
    <row r="443" spans="1:11" x14ac:dyDescent="0.3">
      <c r="A443" s="91" t="str">
        <f t="shared" si="12"/>
        <v>2.10S</v>
      </c>
      <c r="B443" s="121">
        <v>2</v>
      </c>
      <c r="C443" s="21" t="s">
        <v>4531</v>
      </c>
      <c r="D443" s="21">
        <f>VLOOKUP(B443,'Thickness Tab'!$1:$1048576,MATCH(C443,'Thickness Tab'!$1:$1,0),0)</f>
        <v>2.77</v>
      </c>
      <c r="E443" s="651">
        <v>0</v>
      </c>
      <c r="F443" s="55">
        <v>0.24493987980000004</v>
      </c>
      <c r="G443" s="55">
        <v>0.49895160700000007</v>
      </c>
      <c r="H443" s="651">
        <v>0</v>
      </c>
      <c r="I443" s="651">
        <v>0</v>
      </c>
      <c r="J443" s="55">
        <v>1.6782917690000001</v>
      </c>
      <c r="K443" s="124">
        <v>1.6782917690000001</v>
      </c>
    </row>
    <row r="444" spans="1:11" x14ac:dyDescent="0.3">
      <c r="A444" s="91" t="str">
        <f t="shared" si="12"/>
        <v>2,5.10S</v>
      </c>
      <c r="B444" s="121">
        <v>2.5</v>
      </c>
      <c r="C444" s="21" t="s">
        <v>4531</v>
      </c>
      <c r="D444" s="21">
        <f>VLOOKUP(B444,'Thickness Tab'!$1:$1048576,MATCH(C444,'Thickness Tab'!$1:$1,0),0)</f>
        <v>3.05</v>
      </c>
      <c r="E444" s="651">
        <v>0</v>
      </c>
      <c r="F444" s="55">
        <v>0.41276905670000003</v>
      </c>
      <c r="G444" s="55">
        <v>0.81646626600000005</v>
      </c>
      <c r="H444" s="651">
        <v>0</v>
      </c>
      <c r="I444" s="651">
        <v>0</v>
      </c>
      <c r="J444" s="55">
        <v>2.1772433759999998</v>
      </c>
      <c r="K444" s="124">
        <v>2.1772433759999998</v>
      </c>
    </row>
    <row r="445" spans="1:11" x14ac:dyDescent="0.3">
      <c r="A445" s="91" t="str">
        <f t="shared" si="12"/>
        <v>3.10S</v>
      </c>
      <c r="B445" s="121">
        <v>3</v>
      </c>
      <c r="C445" s="21" t="s">
        <v>4531</v>
      </c>
      <c r="D445" s="21">
        <f>VLOOKUP(B445,'Thickness Tab'!$1:$1048576,MATCH(C445,'Thickness Tab'!$1:$1,0),0)</f>
        <v>3.05</v>
      </c>
      <c r="E445" s="651">
        <v>0</v>
      </c>
      <c r="F445" s="55">
        <v>0.58967008100000007</v>
      </c>
      <c r="G445" s="55">
        <v>1.2246993990000001</v>
      </c>
      <c r="H445" s="651">
        <v>0</v>
      </c>
      <c r="I445" s="651">
        <v>0</v>
      </c>
      <c r="J445" s="55">
        <v>2.9937096419999998</v>
      </c>
      <c r="K445" s="124">
        <v>2.9937096419999998</v>
      </c>
    </row>
    <row r="446" spans="1:11" x14ac:dyDescent="0.3">
      <c r="A446" s="91" t="str">
        <f t="shared" si="12"/>
        <v>3,5.10S</v>
      </c>
      <c r="B446" s="121">
        <v>3.5</v>
      </c>
      <c r="C446" s="21" t="s">
        <v>4531</v>
      </c>
      <c r="D446" s="21">
        <f>VLOOKUP(B446,'Thickness Tab'!$1:$1048576,MATCH(C446,'Thickness Tab'!$1:$1,0),0)</f>
        <v>3.05</v>
      </c>
      <c r="E446" s="651">
        <v>0</v>
      </c>
      <c r="F446" s="55">
        <v>0.81646626600000005</v>
      </c>
      <c r="G446" s="55">
        <v>1.6329325320000001</v>
      </c>
      <c r="H446" s="651">
        <v>0</v>
      </c>
      <c r="I446" s="651">
        <v>0</v>
      </c>
      <c r="J446" s="55">
        <v>4.4452052260000006</v>
      </c>
      <c r="K446" s="124">
        <v>4.4452052260000006</v>
      </c>
    </row>
    <row r="447" spans="1:11" x14ac:dyDescent="0.3">
      <c r="A447" s="91" t="str">
        <f t="shared" si="12"/>
        <v>4.10S</v>
      </c>
      <c r="B447" s="121">
        <v>4</v>
      </c>
      <c r="C447" s="21" t="s">
        <v>4531</v>
      </c>
      <c r="D447" s="21">
        <f>VLOOKUP(B447,'Thickness Tab'!$1:$1048576,MATCH(C447,'Thickness Tab'!$1:$1,0),0)</f>
        <v>3.05</v>
      </c>
      <c r="E447" s="651">
        <v>0</v>
      </c>
      <c r="F447" s="55">
        <v>1.0432624509999999</v>
      </c>
      <c r="G447" s="55">
        <v>2.0865249019999998</v>
      </c>
      <c r="H447" s="651">
        <v>0</v>
      </c>
      <c r="I447" s="651">
        <v>0</v>
      </c>
      <c r="J447" s="55">
        <v>4.5359237000000006</v>
      </c>
      <c r="K447" s="124">
        <v>4.5359237000000006</v>
      </c>
    </row>
    <row r="448" spans="1:11" x14ac:dyDescent="0.3">
      <c r="A448" s="91" t="str">
        <f t="shared" si="12"/>
        <v>5.10S</v>
      </c>
      <c r="B448" s="121">
        <v>5</v>
      </c>
      <c r="C448" s="21" t="s">
        <v>4531</v>
      </c>
      <c r="D448" s="21">
        <f>VLOOKUP(B448,'Thickness Tab'!$1:$1048576,MATCH(C448,'Thickness Tab'!$1:$1,0),0)</f>
        <v>3.4</v>
      </c>
      <c r="E448" s="651">
        <v>0</v>
      </c>
      <c r="F448" s="55">
        <v>1.8143694800000001</v>
      </c>
      <c r="G448" s="55">
        <v>3.6287389600000002</v>
      </c>
      <c r="H448" s="651">
        <v>0</v>
      </c>
      <c r="I448" s="651">
        <v>0</v>
      </c>
      <c r="J448" s="55">
        <v>7.2574779200000004</v>
      </c>
      <c r="K448" s="124">
        <v>7.2574779200000004</v>
      </c>
    </row>
    <row r="449" spans="1:11" x14ac:dyDescent="0.3">
      <c r="A449" s="91" t="str">
        <f t="shared" si="12"/>
        <v>6.10S</v>
      </c>
      <c r="B449" s="121">
        <v>6</v>
      </c>
      <c r="C449" s="21" t="s">
        <v>4531</v>
      </c>
      <c r="D449" s="21">
        <f>VLOOKUP(B449,'Thickness Tab'!$1:$1048576,MATCH(C449,'Thickness Tab'!$1:$1,0),0)</f>
        <v>3.4</v>
      </c>
      <c r="E449" s="651">
        <v>0</v>
      </c>
      <c r="F449" s="55">
        <v>2.5854765090000003</v>
      </c>
      <c r="G449" s="55">
        <v>4.9895160700000005</v>
      </c>
      <c r="H449" s="651">
        <v>0</v>
      </c>
      <c r="I449" s="651">
        <v>0</v>
      </c>
      <c r="J449" s="55">
        <v>12.24699399</v>
      </c>
      <c r="K449" s="124">
        <v>12.24699399</v>
      </c>
    </row>
    <row r="450" spans="1:11" x14ac:dyDescent="0.3">
      <c r="A450" s="91" t="str">
        <f t="shared" si="12"/>
        <v>8.10S</v>
      </c>
      <c r="B450" s="121">
        <v>8</v>
      </c>
      <c r="C450" s="21" t="s">
        <v>4531</v>
      </c>
      <c r="D450" s="21">
        <f>VLOOKUP(B450,'Thickness Tab'!$1:$1048576,MATCH(C450,'Thickness Tab'!$1:$1,0),0)</f>
        <v>3.76</v>
      </c>
      <c r="E450" s="651">
        <v>0</v>
      </c>
      <c r="F450" s="55">
        <v>4.9895160700000005</v>
      </c>
      <c r="G450" s="55">
        <v>9.979032140000001</v>
      </c>
      <c r="H450" s="651">
        <v>0</v>
      </c>
      <c r="I450" s="651">
        <v>0</v>
      </c>
      <c r="J450" s="55">
        <v>19.958064280000002</v>
      </c>
      <c r="K450" s="124">
        <v>19.958064280000002</v>
      </c>
    </row>
    <row r="451" spans="1:11" x14ac:dyDescent="0.3">
      <c r="A451" s="91" t="str">
        <f t="shared" si="12"/>
        <v>10.10S</v>
      </c>
      <c r="B451" s="121">
        <v>10</v>
      </c>
      <c r="C451" s="21" t="s">
        <v>4531</v>
      </c>
      <c r="D451" s="21">
        <f>VLOOKUP(B451,'Thickness Tab'!$1:$1048576,MATCH(C451,'Thickness Tab'!$1:$1,0),0)</f>
        <v>4.1900000000000004</v>
      </c>
      <c r="E451" s="651">
        <v>0</v>
      </c>
      <c r="F451" s="55">
        <v>8.6182550300000003</v>
      </c>
      <c r="G451" s="55">
        <v>17.69010243</v>
      </c>
      <c r="H451" s="651">
        <v>0</v>
      </c>
      <c r="I451" s="651">
        <v>0</v>
      </c>
      <c r="J451" s="55">
        <v>27.215542200000002</v>
      </c>
      <c r="K451" s="124">
        <v>27.215542200000002</v>
      </c>
    </row>
    <row r="452" spans="1:11" x14ac:dyDescent="0.3">
      <c r="A452" s="91" t="str">
        <f t="shared" si="12"/>
        <v>12.10S</v>
      </c>
      <c r="B452" s="121">
        <v>12</v>
      </c>
      <c r="C452" s="21" t="s">
        <v>4531</v>
      </c>
      <c r="D452" s="21">
        <f>VLOOKUP(B452,'Thickness Tab'!$1:$1048576,MATCH(C452,'Thickness Tab'!$1:$1,0),0)</f>
        <v>4.57</v>
      </c>
      <c r="E452" s="651">
        <v>0</v>
      </c>
      <c r="F452" s="55">
        <v>13.607771100000001</v>
      </c>
      <c r="G452" s="55">
        <v>26.761949830000002</v>
      </c>
      <c r="H452" s="651">
        <v>0</v>
      </c>
      <c r="I452" s="651">
        <v>0</v>
      </c>
      <c r="J452" s="55">
        <v>47.627198849999999</v>
      </c>
      <c r="K452" s="124">
        <v>47.627198849999999</v>
      </c>
    </row>
    <row r="453" spans="1:11" x14ac:dyDescent="0.3">
      <c r="A453" s="91" t="str">
        <f t="shared" si="12"/>
        <v>14.10S</v>
      </c>
      <c r="B453" s="121">
        <v>14</v>
      </c>
      <c r="C453" s="21" t="s">
        <v>4531</v>
      </c>
      <c r="D453" s="21">
        <f>VLOOKUP(B453,'Thickness Tab'!$1:$1048576,MATCH(C453,'Thickness Tab'!$1:$1,0),0)</f>
        <v>4.78</v>
      </c>
      <c r="E453" s="651">
        <v>0</v>
      </c>
      <c r="F453" s="55">
        <v>18.177900040091743</v>
      </c>
      <c r="G453" s="55">
        <v>36.355800080183485</v>
      </c>
      <c r="H453" s="651">
        <v>0</v>
      </c>
      <c r="I453" s="651">
        <v>0</v>
      </c>
      <c r="J453" s="55">
        <v>66.194994485617102</v>
      </c>
      <c r="K453" s="124">
        <v>66.194994485617102</v>
      </c>
    </row>
    <row r="454" spans="1:11" x14ac:dyDescent="0.3">
      <c r="A454" s="91" t="str">
        <f t="shared" si="12"/>
        <v>16.10S</v>
      </c>
      <c r="B454" s="121">
        <v>16</v>
      </c>
      <c r="C454" s="21" t="s">
        <v>4531</v>
      </c>
      <c r="D454" s="21">
        <f>VLOOKUP(B454,'Thickness Tab'!$1:$1048576,MATCH(C454,'Thickness Tab'!$1:$1,0),0)</f>
        <v>4.78</v>
      </c>
      <c r="E454" s="651">
        <v>0</v>
      </c>
      <c r="F454" s="55">
        <v>23.652119234240178</v>
      </c>
      <c r="G454" s="55">
        <v>47.647022805208479</v>
      </c>
      <c r="H454" s="651">
        <v>0</v>
      </c>
      <c r="I454" s="651">
        <v>0</v>
      </c>
      <c r="J454" s="55">
        <v>68.899651682351831</v>
      </c>
      <c r="K454" s="124">
        <v>68.899651682351831</v>
      </c>
    </row>
    <row r="455" spans="1:11" x14ac:dyDescent="0.3">
      <c r="A455" s="91" t="str">
        <f t="shared" si="12"/>
        <v>18.10S</v>
      </c>
      <c r="B455" s="121">
        <v>18</v>
      </c>
      <c r="C455" s="21" t="s">
        <v>4531</v>
      </c>
      <c r="D455" s="21">
        <f>VLOOKUP(B455,'Thickness Tab'!$1:$1048576,MATCH(C455,'Thickness Tab'!$1:$1,0),0)</f>
        <v>4.78</v>
      </c>
      <c r="E455" s="651">
        <v>0</v>
      </c>
      <c r="F455" s="55">
        <v>30.151734856483916</v>
      </c>
      <c r="G455" s="55">
        <v>60.303469712967832</v>
      </c>
      <c r="H455" s="651">
        <v>0</v>
      </c>
      <c r="I455" s="651">
        <v>0</v>
      </c>
      <c r="J455" s="55">
        <v>96.279971530363412</v>
      </c>
      <c r="K455" s="124">
        <v>96.279971530363412</v>
      </c>
    </row>
    <row r="456" spans="1:11" x14ac:dyDescent="0.3">
      <c r="A456" s="91" t="str">
        <f t="shared" si="12"/>
        <v>20.10S</v>
      </c>
      <c r="B456" s="121">
        <v>20</v>
      </c>
      <c r="C456" s="21" t="s">
        <v>4531</v>
      </c>
      <c r="D456" s="21">
        <f>VLOOKUP(B456,'Thickness Tab'!$1:$1048576,MATCH(C456,'Thickness Tab'!$1:$1,0),0)</f>
        <v>5.54</v>
      </c>
      <c r="E456" s="651">
        <v>0</v>
      </c>
      <c r="F456" s="55">
        <v>43.204497204556802</v>
      </c>
      <c r="G456" s="55">
        <v>86.012622875126851</v>
      </c>
      <c r="H456" s="651">
        <v>0</v>
      </c>
      <c r="I456" s="651">
        <v>0</v>
      </c>
      <c r="J456" s="55">
        <v>174.00710342018749</v>
      </c>
      <c r="K456" s="124">
        <v>174.00710342018749</v>
      </c>
    </row>
    <row r="457" spans="1:11" x14ac:dyDescent="0.3">
      <c r="A457" s="91" t="str">
        <f t="shared" si="12"/>
        <v>22.10S</v>
      </c>
      <c r="B457" s="121">
        <v>22</v>
      </c>
      <c r="C457" s="21" t="s">
        <v>4531</v>
      </c>
      <c r="D457" s="21">
        <f>VLOOKUP(B457,'Thickness Tab'!$1:$1048576,MATCH(C457,'Thickness Tab'!$1:$1,0),0)</f>
        <v>5.54</v>
      </c>
      <c r="E457" s="651">
        <v>0</v>
      </c>
      <c r="F457" s="55">
        <v>51.916973836608577</v>
      </c>
      <c r="G457" s="55">
        <v>103.83394767321715</v>
      </c>
      <c r="H457" s="651">
        <v>0</v>
      </c>
      <c r="I457" s="651">
        <v>0</v>
      </c>
      <c r="J457" s="55">
        <v>189.04119480963581</v>
      </c>
      <c r="K457" s="124">
        <v>189.04119480963581</v>
      </c>
    </row>
    <row r="458" spans="1:11" x14ac:dyDescent="0.3">
      <c r="A458" s="91" t="str">
        <f t="shared" si="12"/>
        <v>24.10S</v>
      </c>
      <c r="B458" s="121">
        <v>24</v>
      </c>
      <c r="C458" s="21" t="s">
        <v>4531</v>
      </c>
      <c r="D458" s="21">
        <f>VLOOKUP(B458,'Thickness Tab'!$1:$1048576,MATCH(C458,'Thickness Tab'!$1:$1,0),0)</f>
        <v>6.35</v>
      </c>
      <c r="E458" s="651">
        <v>0</v>
      </c>
      <c r="F458" s="55">
        <v>71.214002090000008</v>
      </c>
      <c r="G458" s="55">
        <v>142.42800418000002</v>
      </c>
      <c r="H458" s="651">
        <v>0</v>
      </c>
      <c r="I458" s="651">
        <v>0</v>
      </c>
      <c r="J458" s="55">
        <v>307.08203449000001</v>
      </c>
      <c r="K458" s="124">
        <v>307.08203449000001</v>
      </c>
    </row>
    <row r="459" spans="1:11" x14ac:dyDescent="0.3">
      <c r="A459" s="91" t="str">
        <f t="shared" si="12"/>
        <v>26.10S</v>
      </c>
      <c r="B459" s="121">
        <v>26</v>
      </c>
      <c r="C459" s="21" t="s">
        <v>4531</v>
      </c>
      <c r="D459" s="635">
        <f>VLOOKUP(B459,'Thickness Tab'!$1:$1048576,MATCH(C459,'Thickness Tab'!$1:$1,0),0)</f>
        <v>0</v>
      </c>
      <c r="E459" s="651">
        <f t="shared" ref="E459:E464" si="13">+E458*1.15</f>
        <v>0</v>
      </c>
      <c r="F459" s="651">
        <f t="shared" ref="F459:F464" si="14">+F458*1.15</f>
        <v>81.896102403500009</v>
      </c>
      <c r="G459" s="651">
        <f t="shared" ref="G459:G464" si="15">+G458*1.15</f>
        <v>163.79220480700002</v>
      </c>
      <c r="H459" s="651">
        <f t="shared" ref="H459:H464" si="16">+H458*1.15</f>
        <v>0</v>
      </c>
      <c r="I459" s="651">
        <f t="shared" ref="I459:I464" si="17">+I458*1.15</f>
        <v>0</v>
      </c>
      <c r="J459" s="651">
        <f t="shared" ref="J459:J464" si="18">+J458*1.15</f>
        <v>353.14433966349998</v>
      </c>
      <c r="K459" s="651">
        <f t="shared" ref="K459:K464" si="19">+K458*1.15</f>
        <v>353.14433966349998</v>
      </c>
    </row>
    <row r="460" spans="1:11" x14ac:dyDescent="0.3">
      <c r="A460" s="91" t="str">
        <f t="shared" si="12"/>
        <v>28.10S</v>
      </c>
      <c r="B460" s="121">
        <v>28</v>
      </c>
      <c r="C460" s="21" t="s">
        <v>4531</v>
      </c>
      <c r="D460" s="635">
        <f>VLOOKUP(B460,'Thickness Tab'!$1:$1048576,MATCH(C460,'Thickness Tab'!$1:$1,0),0)</f>
        <v>0</v>
      </c>
      <c r="E460" s="651">
        <f t="shared" si="13"/>
        <v>0</v>
      </c>
      <c r="F460" s="651">
        <f t="shared" si="14"/>
        <v>94.180517764024998</v>
      </c>
      <c r="G460" s="651">
        <f t="shared" si="15"/>
        <v>188.36103552805</v>
      </c>
      <c r="H460" s="651">
        <f t="shared" si="16"/>
        <v>0</v>
      </c>
      <c r="I460" s="651">
        <f t="shared" si="17"/>
        <v>0</v>
      </c>
      <c r="J460" s="651">
        <f t="shared" si="18"/>
        <v>406.11599061302496</v>
      </c>
      <c r="K460" s="651">
        <f t="shared" si="19"/>
        <v>406.11599061302496</v>
      </c>
    </row>
    <row r="461" spans="1:11" x14ac:dyDescent="0.3">
      <c r="A461" s="91" t="str">
        <f t="shared" si="12"/>
        <v>30.10S</v>
      </c>
      <c r="B461" s="121">
        <v>30</v>
      </c>
      <c r="C461" s="21" t="s">
        <v>4531</v>
      </c>
      <c r="D461" s="21">
        <f>VLOOKUP(B461,'Thickness Tab'!$1:$1048576,MATCH(C461,'Thickness Tab'!$1:$1,0),0)</f>
        <v>7.92</v>
      </c>
      <c r="E461" s="651">
        <f t="shared" si="13"/>
        <v>0</v>
      </c>
      <c r="F461" s="651">
        <f t="shared" si="14"/>
        <v>108.30759542862874</v>
      </c>
      <c r="G461" s="651">
        <f t="shared" si="15"/>
        <v>216.61519085725749</v>
      </c>
      <c r="H461" s="651">
        <f t="shared" si="16"/>
        <v>0</v>
      </c>
      <c r="I461" s="651">
        <f t="shared" si="17"/>
        <v>0</v>
      </c>
      <c r="J461" s="651">
        <f t="shared" si="18"/>
        <v>467.03338920497868</v>
      </c>
      <c r="K461" s="651">
        <f t="shared" si="19"/>
        <v>467.03338920497868</v>
      </c>
    </row>
    <row r="462" spans="1:11" x14ac:dyDescent="0.3">
      <c r="A462" s="91" t="str">
        <f t="shared" si="12"/>
        <v>32.10S</v>
      </c>
      <c r="B462" s="121">
        <v>32</v>
      </c>
      <c r="C462" s="21" t="s">
        <v>4531</v>
      </c>
      <c r="D462" s="635">
        <f>VLOOKUP(B462,'Thickness Tab'!$1:$1048576,MATCH(C462,'Thickness Tab'!$1:$1,0),0)</f>
        <v>0</v>
      </c>
      <c r="E462" s="651">
        <f t="shared" si="13"/>
        <v>0</v>
      </c>
      <c r="F462" s="651">
        <f t="shared" si="14"/>
        <v>124.55373474292304</v>
      </c>
      <c r="G462" s="651">
        <f t="shared" si="15"/>
        <v>249.10746948584608</v>
      </c>
      <c r="H462" s="651">
        <f t="shared" si="16"/>
        <v>0</v>
      </c>
      <c r="I462" s="651">
        <f t="shared" si="17"/>
        <v>0</v>
      </c>
      <c r="J462" s="651">
        <f t="shared" si="18"/>
        <v>537.08839758572549</v>
      </c>
      <c r="K462" s="651">
        <f t="shared" si="19"/>
        <v>537.08839758572549</v>
      </c>
    </row>
    <row r="463" spans="1:11" x14ac:dyDescent="0.3">
      <c r="A463" s="91" t="str">
        <f t="shared" si="12"/>
        <v>34.10S</v>
      </c>
      <c r="B463" s="121">
        <v>34</v>
      </c>
      <c r="C463" s="21" t="s">
        <v>4531</v>
      </c>
      <c r="D463" s="635">
        <f>VLOOKUP(B463,'Thickness Tab'!$1:$1048576,MATCH(C463,'Thickness Tab'!$1:$1,0),0)</f>
        <v>0</v>
      </c>
      <c r="E463" s="651">
        <f t="shared" si="13"/>
        <v>0</v>
      </c>
      <c r="F463" s="651">
        <f t="shared" si="14"/>
        <v>143.2367949543615</v>
      </c>
      <c r="G463" s="651">
        <f t="shared" si="15"/>
        <v>286.473589908723</v>
      </c>
      <c r="H463" s="651">
        <f t="shared" si="16"/>
        <v>0</v>
      </c>
      <c r="I463" s="651">
        <f t="shared" si="17"/>
        <v>0</v>
      </c>
      <c r="J463" s="651">
        <f t="shared" si="18"/>
        <v>617.65165722358427</v>
      </c>
      <c r="K463" s="651">
        <f t="shared" si="19"/>
        <v>617.65165722358427</v>
      </c>
    </row>
    <row r="464" spans="1:11" x14ac:dyDescent="0.3">
      <c r="A464" s="91" t="str">
        <f t="shared" si="12"/>
        <v>36.10S</v>
      </c>
      <c r="B464" s="121">
        <v>36</v>
      </c>
      <c r="C464" s="21" t="s">
        <v>4531</v>
      </c>
      <c r="D464" s="635">
        <f>VLOOKUP(B464,'Thickness Tab'!$1:$1048576,MATCH(C464,'Thickness Tab'!$1:$1,0),0)</f>
        <v>0</v>
      </c>
      <c r="E464" s="651">
        <f t="shared" si="13"/>
        <v>0</v>
      </c>
      <c r="F464" s="651">
        <f t="shared" si="14"/>
        <v>164.72231419751571</v>
      </c>
      <c r="G464" s="651">
        <f t="shared" si="15"/>
        <v>329.44462839503143</v>
      </c>
      <c r="H464" s="651">
        <f t="shared" si="16"/>
        <v>0</v>
      </c>
      <c r="I464" s="651">
        <f t="shared" si="17"/>
        <v>0</v>
      </c>
      <c r="J464" s="651">
        <f t="shared" si="18"/>
        <v>710.29940580712184</v>
      </c>
      <c r="K464" s="651">
        <f t="shared" si="19"/>
        <v>710.29940580712184</v>
      </c>
    </row>
    <row r="465" spans="1:11" x14ac:dyDescent="0.3">
      <c r="A465" s="632" t="str">
        <f t="shared" si="12"/>
        <v>40.10S</v>
      </c>
      <c r="B465" s="633">
        <v>40</v>
      </c>
      <c r="C465" s="634" t="s">
        <v>4531</v>
      </c>
      <c r="D465" s="647">
        <f>VLOOKUP(B465,'Thickness Tab'!$1:$1048576,MATCH(C465,'Thickness Tab'!$1:$1,0),0)</f>
        <v>0</v>
      </c>
      <c r="E465" s="648">
        <v>0</v>
      </c>
      <c r="F465" s="651">
        <f t="shared" ref="F465:K466" si="20">F464*1.15</f>
        <v>189.43066132714307</v>
      </c>
      <c r="G465" s="651">
        <f t="shared" si="20"/>
        <v>378.86132265428614</v>
      </c>
      <c r="H465" s="651">
        <f t="shared" si="20"/>
        <v>0</v>
      </c>
      <c r="I465" s="651">
        <f t="shared" si="20"/>
        <v>0</v>
      </c>
      <c r="J465" s="651">
        <f t="shared" si="20"/>
        <v>816.84431667819001</v>
      </c>
      <c r="K465" s="651">
        <f t="shared" si="20"/>
        <v>816.84431667819001</v>
      </c>
    </row>
    <row r="466" spans="1:11" ht="15" thickBot="1" x14ac:dyDescent="0.35">
      <c r="A466" s="94" t="str">
        <f t="shared" si="12"/>
        <v>42.5S</v>
      </c>
      <c r="B466" s="122">
        <v>42</v>
      </c>
      <c r="C466" s="23" t="s">
        <v>4530</v>
      </c>
      <c r="D466" s="638">
        <f>VLOOKUP(B466,'Thickness Tab'!$1:$1048576,MATCH(C466,'Thickness Tab'!$1:$1,0),0)</f>
        <v>0</v>
      </c>
      <c r="E466" s="653">
        <v>0</v>
      </c>
      <c r="F466" s="653">
        <f t="shared" si="20"/>
        <v>217.8452605262145</v>
      </c>
      <c r="G466" s="653">
        <f t="shared" si="20"/>
        <v>435.69052105242901</v>
      </c>
      <c r="H466" s="653">
        <f t="shared" si="20"/>
        <v>0</v>
      </c>
      <c r="I466" s="653">
        <f t="shared" si="20"/>
        <v>0</v>
      </c>
      <c r="J466" s="653">
        <f t="shared" si="20"/>
        <v>939.37096417991847</v>
      </c>
      <c r="K466" s="653">
        <f t="shared" si="20"/>
        <v>939.37096417991847</v>
      </c>
    </row>
    <row r="467" spans="1:11" x14ac:dyDescent="0.3">
      <c r="A467" s="123" t="str">
        <f>B467&amp;"."&amp;C467</f>
        <v>0,125.20S</v>
      </c>
      <c r="B467" s="629">
        <v>0.125</v>
      </c>
      <c r="C467" s="326" t="s">
        <v>4532</v>
      </c>
      <c r="D467" s="641">
        <f>VLOOKUP(B467,'Thickness Tab'!$1:$1048576,MATCH(C467,'Thickness Tab'!$1:$1,0),0)</f>
        <v>0</v>
      </c>
      <c r="E467" s="642">
        <v>0</v>
      </c>
      <c r="F467" s="642">
        <v>0</v>
      </c>
      <c r="G467" s="642">
        <v>0</v>
      </c>
      <c r="H467" s="642">
        <v>0</v>
      </c>
      <c r="I467" s="642">
        <v>0</v>
      </c>
      <c r="J467" s="642">
        <v>0</v>
      </c>
      <c r="K467" s="643">
        <v>0</v>
      </c>
    </row>
    <row r="468" spans="1:11" x14ac:dyDescent="0.3">
      <c r="A468" s="91" t="str">
        <f t="shared" ref="A468:A497" si="21">B468&amp;"."&amp;C468</f>
        <v>0,25.20S</v>
      </c>
      <c r="B468" s="121">
        <v>0.25</v>
      </c>
      <c r="C468" s="21" t="s">
        <v>4532</v>
      </c>
      <c r="D468" s="21">
        <f>VLOOKUP(B468,'Thickness Tab'!$1:$1048576,MATCH(C468,'Thickness Tab'!$1:$1,0),0)</f>
        <v>1.5</v>
      </c>
      <c r="E468" s="651">
        <v>0</v>
      </c>
      <c r="F468" s="651">
        <v>0</v>
      </c>
      <c r="G468" s="651">
        <v>0</v>
      </c>
      <c r="H468" s="651">
        <v>0</v>
      </c>
      <c r="I468" s="651">
        <v>0</v>
      </c>
      <c r="J468" s="651">
        <v>0</v>
      </c>
      <c r="K468" s="652">
        <v>0</v>
      </c>
    </row>
    <row r="469" spans="1:11" x14ac:dyDescent="0.3">
      <c r="A469" s="91" t="str">
        <f t="shared" si="21"/>
        <v>0,5.20S</v>
      </c>
      <c r="B469" s="121">
        <v>0.5</v>
      </c>
      <c r="C469" s="21" t="s">
        <v>4532</v>
      </c>
      <c r="D469" s="21">
        <f>VLOOKUP(B469,'Thickness Tab'!$1:$1048576,MATCH(C469,'Thickness Tab'!$1:$1,0),0)</f>
        <v>2.5</v>
      </c>
      <c r="E469" s="651">
        <v>0</v>
      </c>
      <c r="F469" s="651">
        <v>0</v>
      </c>
      <c r="G469" s="651">
        <v>0</v>
      </c>
      <c r="H469" s="651">
        <v>0</v>
      </c>
      <c r="I469" s="651">
        <v>0</v>
      </c>
      <c r="J469" s="651">
        <v>0</v>
      </c>
      <c r="K469" s="652">
        <v>0</v>
      </c>
    </row>
    <row r="470" spans="1:11" x14ac:dyDescent="0.3">
      <c r="A470" s="91" t="str">
        <f t="shared" si="21"/>
        <v>0,75.20S</v>
      </c>
      <c r="B470" s="121">
        <v>0.75</v>
      </c>
      <c r="C470" s="21" t="s">
        <v>4532</v>
      </c>
      <c r="D470" s="21">
        <f>VLOOKUP(B470,'Thickness Tab'!$1:$1048576,MATCH(C470,'Thickness Tab'!$1:$1,0),0)</f>
        <v>2.5</v>
      </c>
      <c r="E470" s="651">
        <v>0</v>
      </c>
      <c r="F470" s="651">
        <v>0</v>
      </c>
      <c r="G470" s="651">
        <v>0</v>
      </c>
      <c r="H470" s="651">
        <v>0</v>
      </c>
      <c r="I470" s="651">
        <v>0</v>
      </c>
      <c r="J470" s="651">
        <v>0</v>
      </c>
      <c r="K470" s="652">
        <v>0</v>
      </c>
    </row>
    <row r="471" spans="1:11" x14ac:dyDescent="0.3">
      <c r="A471" s="91" t="str">
        <f t="shared" si="21"/>
        <v>1.20S</v>
      </c>
      <c r="B471" s="121">
        <v>1</v>
      </c>
      <c r="C471" s="21" t="s">
        <v>4532</v>
      </c>
      <c r="D471" s="21">
        <f>VLOOKUP(B471,'Thickness Tab'!$1:$1048576,MATCH(C471,'Thickness Tab'!$1:$1,0),0)</f>
        <v>3</v>
      </c>
      <c r="E471" s="651">
        <v>0</v>
      </c>
      <c r="F471" s="651">
        <v>0</v>
      </c>
      <c r="G471" s="651">
        <v>0</v>
      </c>
      <c r="H471" s="651">
        <v>0</v>
      </c>
      <c r="I471" s="651">
        <v>0</v>
      </c>
      <c r="J471" s="651">
        <v>0</v>
      </c>
      <c r="K471" s="652">
        <v>0</v>
      </c>
    </row>
    <row r="472" spans="1:11" x14ac:dyDescent="0.3">
      <c r="A472" s="91" t="str">
        <f t="shared" si="21"/>
        <v>1,25.20S</v>
      </c>
      <c r="B472" s="121">
        <v>1.25</v>
      </c>
      <c r="C472" s="21" t="s">
        <v>4532</v>
      </c>
      <c r="D472" s="21">
        <f>VLOOKUP(B472,'Thickness Tab'!$1:$1048576,MATCH(C472,'Thickness Tab'!$1:$1,0),0)</f>
        <v>3</v>
      </c>
      <c r="E472" s="651">
        <v>0</v>
      </c>
      <c r="F472" s="651">
        <v>0</v>
      </c>
      <c r="G472" s="651">
        <v>0</v>
      </c>
      <c r="H472" s="651">
        <v>0</v>
      </c>
      <c r="I472" s="651">
        <v>0</v>
      </c>
      <c r="J472" s="651">
        <v>0</v>
      </c>
      <c r="K472" s="652">
        <v>0</v>
      </c>
    </row>
    <row r="473" spans="1:11" x14ac:dyDescent="0.3">
      <c r="A473" s="91" t="str">
        <f t="shared" si="21"/>
        <v>1,5.20S</v>
      </c>
      <c r="B473" s="121">
        <v>1.5</v>
      </c>
      <c r="C473" s="21" t="s">
        <v>4532</v>
      </c>
      <c r="D473" s="21">
        <f>VLOOKUP(B473,'Thickness Tab'!$1:$1048576,MATCH(C473,'Thickness Tab'!$1:$1,0),0)</f>
        <v>3</v>
      </c>
      <c r="E473" s="651">
        <v>0</v>
      </c>
      <c r="F473" s="651">
        <v>0</v>
      </c>
      <c r="G473" s="651">
        <v>0</v>
      </c>
      <c r="H473" s="651">
        <v>0</v>
      </c>
      <c r="I473" s="651">
        <v>0</v>
      </c>
      <c r="J473" s="651">
        <v>0</v>
      </c>
      <c r="K473" s="652">
        <v>0</v>
      </c>
    </row>
    <row r="474" spans="1:11" x14ac:dyDescent="0.3">
      <c r="A474" s="91" t="str">
        <f t="shared" si="21"/>
        <v>2.20S</v>
      </c>
      <c r="B474" s="121">
        <v>2</v>
      </c>
      <c r="C474" s="21" t="s">
        <v>4532</v>
      </c>
      <c r="D474" s="21">
        <f>VLOOKUP(B474,'Thickness Tab'!$1:$1048576,MATCH(C474,'Thickness Tab'!$1:$1,0),0)</f>
        <v>3.5</v>
      </c>
      <c r="E474" s="651">
        <v>0</v>
      </c>
      <c r="F474" s="651">
        <v>0</v>
      </c>
      <c r="G474" s="651">
        <v>0</v>
      </c>
      <c r="H474" s="651">
        <v>0</v>
      </c>
      <c r="I474" s="651">
        <v>0</v>
      </c>
      <c r="J474" s="651">
        <v>0</v>
      </c>
      <c r="K474" s="652">
        <v>0</v>
      </c>
    </row>
    <row r="475" spans="1:11" x14ac:dyDescent="0.3">
      <c r="A475" s="91" t="str">
        <f t="shared" si="21"/>
        <v>2,5.20S</v>
      </c>
      <c r="B475" s="121">
        <v>2.5</v>
      </c>
      <c r="C475" s="21" t="s">
        <v>4532</v>
      </c>
      <c r="D475" s="21">
        <f>VLOOKUP(B475,'Thickness Tab'!$1:$1048576,MATCH(C475,'Thickness Tab'!$1:$1,0),0)</f>
        <v>3.5</v>
      </c>
      <c r="E475" s="651">
        <v>0</v>
      </c>
      <c r="F475" s="651">
        <v>0</v>
      </c>
      <c r="G475" s="651">
        <v>0</v>
      </c>
      <c r="H475" s="651">
        <v>0</v>
      </c>
      <c r="I475" s="651">
        <v>0</v>
      </c>
      <c r="J475" s="651">
        <v>0</v>
      </c>
      <c r="K475" s="652">
        <v>0</v>
      </c>
    </row>
    <row r="476" spans="1:11" x14ac:dyDescent="0.3">
      <c r="A476" s="91" t="str">
        <f t="shared" si="21"/>
        <v>3.20S</v>
      </c>
      <c r="B476" s="121">
        <v>3</v>
      </c>
      <c r="C476" s="21" t="s">
        <v>4532</v>
      </c>
      <c r="D476" s="21">
        <f>VLOOKUP(B476,'Thickness Tab'!$1:$1048576,MATCH(C476,'Thickness Tab'!$1:$1,0),0)</f>
        <v>4</v>
      </c>
      <c r="E476" s="651">
        <v>0</v>
      </c>
      <c r="F476" s="651">
        <v>0</v>
      </c>
      <c r="G476" s="651">
        <v>0</v>
      </c>
      <c r="H476" s="651">
        <v>0</v>
      </c>
      <c r="I476" s="651">
        <v>0</v>
      </c>
      <c r="J476" s="651">
        <v>0</v>
      </c>
      <c r="K476" s="652">
        <v>0</v>
      </c>
    </row>
    <row r="477" spans="1:11" x14ac:dyDescent="0.3">
      <c r="A477" s="91" t="str">
        <f t="shared" si="21"/>
        <v>3,5.20S</v>
      </c>
      <c r="B477" s="121">
        <v>3.5</v>
      </c>
      <c r="C477" s="21" t="s">
        <v>4532</v>
      </c>
      <c r="D477" s="21">
        <f>VLOOKUP(B477,'Thickness Tab'!$1:$1048576,MATCH(C477,'Thickness Tab'!$1:$1,0),0)</f>
        <v>4</v>
      </c>
      <c r="E477" s="651">
        <v>0</v>
      </c>
      <c r="F477" s="651">
        <v>0</v>
      </c>
      <c r="G477" s="651">
        <v>0</v>
      </c>
      <c r="H477" s="651">
        <v>0</v>
      </c>
      <c r="I477" s="651">
        <v>0</v>
      </c>
      <c r="J477" s="651">
        <v>0</v>
      </c>
      <c r="K477" s="652">
        <v>0</v>
      </c>
    </row>
    <row r="478" spans="1:11" x14ac:dyDescent="0.3">
      <c r="A478" s="91" t="str">
        <f t="shared" si="21"/>
        <v>4.20S</v>
      </c>
      <c r="B478" s="121">
        <v>4</v>
      </c>
      <c r="C478" s="21" t="s">
        <v>4532</v>
      </c>
      <c r="D478" s="21">
        <f>VLOOKUP(B478,'Thickness Tab'!$1:$1048576,MATCH(C478,'Thickness Tab'!$1:$1,0),0)</f>
        <v>4.5</v>
      </c>
      <c r="E478" s="651">
        <v>0</v>
      </c>
      <c r="F478" s="651">
        <v>0</v>
      </c>
      <c r="G478" s="651">
        <v>0</v>
      </c>
      <c r="H478" s="651">
        <v>0</v>
      </c>
      <c r="I478" s="651">
        <v>0</v>
      </c>
      <c r="J478" s="651">
        <v>0</v>
      </c>
      <c r="K478" s="652">
        <v>0</v>
      </c>
    </row>
    <row r="479" spans="1:11" x14ac:dyDescent="0.3">
      <c r="A479" s="91" t="str">
        <f t="shared" si="21"/>
        <v>5.20S</v>
      </c>
      <c r="B479" s="121">
        <v>5</v>
      </c>
      <c r="C479" s="21" t="s">
        <v>4532</v>
      </c>
      <c r="D479" s="21">
        <f>VLOOKUP(B479,'Thickness Tab'!$1:$1048576,MATCH(C479,'Thickness Tab'!$1:$1,0),0)</f>
        <v>5</v>
      </c>
      <c r="E479" s="651">
        <v>0</v>
      </c>
      <c r="F479" s="651">
        <v>0</v>
      </c>
      <c r="G479" s="651">
        <v>0</v>
      </c>
      <c r="H479" s="651">
        <v>0</v>
      </c>
      <c r="I479" s="651">
        <v>0</v>
      </c>
      <c r="J479" s="651">
        <v>0</v>
      </c>
      <c r="K479" s="652">
        <v>0</v>
      </c>
    </row>
    <row r="480" spans="1:11" x14ac:dyDescent="0.3">
      <c r="A480" s="91" t="str">
        <f t="shared" si="21"/>
        <v>6.20S</v>
      </c>
      <c r="B480" s="121">
        <v>6</v>
      </c>
      <c r="C480" s="21" t="s">
        <v>4532</v>
      </c>
      <c r="D480" s="21">
        <f>VLOOKUP(B480,'Thickness Tab'!$1:$1048576,MATCH(C480,'Thickness Tab'!$1:$1,0),0)</f>
        <v>5.5</v>
      </c>
      <c r="E480" s="651">
        <v>0</v>
      </c>
      <c r="F480" s="651">
        <v>0</v>
      </c>
      <c r="G480" s="651">
        <v>0</v>
      </c>
      <c r="H480" s="651">
        <v>0</v>
      </c>
      <c r="I480" s="651">
        <v>0</v>
      </c>
      <c r="J480" s="651">
        <v>0</v>
      </c>
      <c r="K480" s="652">
        <v>0</v>
      </c>
    </row>
    <row r="481" spans="1:11" x14ac:dyDescent="0.3">
      <c r="A481" s="91" t="str">
        <f t="shared" si="21"/>
        <v>8.20S</v>
      </c>
      <c r="B481" s="121">
        <v>8</v>
      </c>
      <c r="C481" s="21" t="s">
        <v>4532</v>
      </c>
      <c r="D481" s="21">
        <f>VLOOKUP(B481,'Thickness Tab'!$1:$1048576,MATCH(C481,'Thickness Tab'!$1:$1,0),0)</f>
        <v>6.35</v>
      </c>
      <c r="E481" s="55">
        <v>3.9462536189999997</v>
      </c>
      <c r="F481" s="55">
        <v>8.1646626600000012</v>
      </c>
      <c r="G481" s="55">
        <v>16.329325320000002</v>
      </c>
      <c r="H481" s="55">
        <v>10.886216880000001</v>
      </c>
      <c r="I481" s="55">
        <v>4.9895160700000005</v>
      </c>
      <c r="J481" s="55">
        <v>24.49398798</v>
      </c>
      <c r="K481" s="124">
        <v>24.49398798</v>
      </c>
    </row>
    <row r="482" spans="1:11" x14ac:dyDescent="0.3">
      <c r="A482" s="91" t="str">
        <f t="shared" si="21"/>
        <v>10.20S</v>
      </c>
      <c r="B482" s="121">
        <v>10</v>
      </c>
      <c r="C482" s="21" t="s">
        <v>4532</v>
      </c>
      <c r="D482" s="21">
        <f>VLOOKUP(B482,'Thickness Tab'!$1:$1048576,MATCH(C482,'Thickness Tab'!$1:$1,0),0)</f>
        <v>6.35</v>
      </c>
      <c r="E482" s="55">
        <v>6.3502931800000004</v>
      </c>
      <c r="F482" s="55">
        <v>12.700586360000001</v>
      </c>
      <c r="G482" s="55">
        <v>25.854765090000001</v>
      </c>
      <c r="H482" s="55">
        <v>17.236510060000001</v>
      </c>
      <c r="I482" s="55">
        <v>7.2574779200000004</v>
      </c>
      <c r="J482" s="55">
        <v>33.11224301</v>
      </c>
      <c r="K482" s="124">
        <v>33.11224301</v>
      </c>
    </row>
    <row r="483" spans="1:11" x14ac:dyDescent="0.3">
      <c r="A483" s="91" t="str">
        <f t="shared" si="21"/>
        <v>12.20S</v>
      </c>
      <c r="B483" s="121">
        <v>12</v>
      </c>
      <c r="C483" s="21" t="s">
        <v>4532</v>
      </c>
      <c r="D483" s="21">
        <f>VLOOKUP(B483,'Thickness Tab'!$1:$1048576,MATCH(C483,'Thickness Tab'!$1:$1,0),0)</f>
        <v>6.35</v>
      </c>
      <c r="E483" s="55">
        <v>9.0718474000000011</v>
      </c>
      <c r="F483" s="55">
        <v>18.597287170000001</v>
      </c>
      <c r="G483" s="55">
        <v>37.194574340000003</v>
      </c>
      <c r="H483" s="55">
        <v>24.947580350000003</v>
      </c>
      <c r="I483" s="55">
        <v>9.979032140000001</v>
      </c>
      <c r="J483" s="55">
        <v>54.431084400000003</v>
      </c>
      <c r="K483" s="124">
        <v>54.431084400000003</v>
      </c>
    </row>
    <row r="484" spans="1:11" x14ac:dyDescent="0.3">
      <c r="A484" s="91" t="str">
        <f t="shared" si="21"/>
        <v>14.20S</v>
      </c>
      <c r="B484" s="121">
        <v>14</v>
      </c>
      <c r="C484" s="21" t="s">
        <v>4532</v>
      </c>
      <c r="D484" s="21">
        <f>VLOOKUP(B484,'Thickness Tab'!$1:$1048576,MATCH(C484,'Thickness Tab'!$1:$1,0),0)</f>
        <v>7.92</v>
      </c>
      <c r="E484" s="55">
        <v>13.15417873</v>
      </c>
      <c r="F484" s="55">
        <v>29.937096420000003</v>
      </c>
      <c r="G484" s="55">
        <v>59.874192840000006</v>
      </c>
      <c r="H484" s="55">
        <v>39.462536190000002</v>
      </c>
      <c r="I484" s="55">
        <v>22.226026130000001</v>
      </c>
      <c r="J484" s="55">
        <v>95.254397699999998</v>
      </c>
      <c r="K484" s="124">
        <v>95.254397699999998</v>
      </c>
    </row>
    <row r="485" spans="1:11" x14ac:dyDescent="0.3">
      <c r="A485" s="91" t="str">
        <f t="shared" si="21"/>
        <v>16.20S</v>
      </c>
      <c r="B485" s="121">
        <v>16</v>
      </c>
      <c r="C485" s="21" t="s">
        <v>4532</v>
      </c>
      <c r="D485" s="21">
        <f>VLOOKUP(B485,'Thickness Tab'!$1:$1048576,MATCH(C485,'Thickness Tab'!$1:$1,0),0)</f>
        <v>7.92</v>
      </c>
      <c r="E485" s="55">
        <v>16.782917690000001</v>
      </c>
      <c r="F485" s="55">
        <v>39.008943819999999</v>
      </c>
      <c r="G485" s="55">
        <v>78.017887639999998</v>
      </c>
      <c r="H485" s="55">
        <v>52.163122550000004</v>
      </c>
      <c r="I485" s="55">
        <v>27.669134570000001</v>
      </c>
      <c r="J485" s="55">
        <v>100.69750614</v>
      </c>
      <c r="K485" s="124">
        <v>100.69750614</v>
      </c>
    </row>
    <row r="486" spans="1:11" x14ac:dyDescent="0.3">
      <c r="A486" s="91" t="str">
        <f t="shared" si="21"/>
        <v>18.20S</v>
      </c>
      <c r="B486" s="121">
        <v>18</v>
      </c>
      <c r="C486" s="21" t="s">
        <v>4532</v>
      </c>
      <c r="D486" s="21">
        <f>VLOOKUP(B486,'Thickness Tab'!$1:$1048576,MATCH(C486,'Thickness Tab'!$1:$1,0),0)</f>
        <v>7.92</v>
      </c>
      <c r="E486" s="55">
        <v>21.772433760000002</v>
      </c>
      <c r="F486" s="55">
        <v>49.895160700000005</v>
      </c>
      <c r="G486" s="55">
        <v>99.336729030000001</v>
      </c>
      <c r="H486" s="55">
        <v>66.224486020000001</v>
      </c>
      <c r="I486" s="55">
        <v>33.11224301</v>
      </c>
      <c r="J486" s="55">
        <v>139.25285759000002</v>
      </c>
      <c r="K486" s="124">
        <v>139.25285759000002</v>
      </c>
    </row>
    <row r="487" spans="1:11" x14ac:dyDescent="0.3">
      <c r="A487" s="91" t="str">
        <f t="shared" si="21"/>
        <v>20.20S</v>
      </c>
      <c r="B487" s="121">
        <v>20</v>
      </c>
      <c r="C487" s="21" t="s">
        <v>4532</v>
      </c>
      <c r="D487" s="21">
        <f>VLOOKUP(B487,'Thickness Tab'!$1:$1048576,MATCH(C487,'Thickness Tab'!$1:$1,0),0)</f>
        <v>9.5299999999999994</v>
      </c>
      <c r="E487" s="55">
        <v>32.205058270000002</v>
      </c>
      <c r="F487" s="55">
        <v>73.48196394</v>
      </c>
      <c r="G487" s="55">
        <v>146.51033551</v>
      </c>
      <c r="H487" s="55">
        <v>97.522359550000004</v>
      </c>
      <c r="I487" s="55">
        <v>59.420600470000004</v>
      </c>
      <c r="J487" s="55">
        <v>228.61055448000002</v>
      </c>
      <c r="K487" s="124">
        <v>228.61055448000002</v>
      </c>
    </row>
    <row r="488" spans="1:11" x14ac:dyDescent="0.3">
      <c r="A488" s="91" t="str">
        <f t="shared" si="21"/>
        <v>22.20S</v>
      </c>
      <c r="B488" s="121">
        <v>22</v>
      </c>
      <c r="C488" s="21" t="s">
        <v>4532</v>
      </c>
      <c r="D488" s="21">
        <f>VLOOKUP(B488,'Thickness Tab'!$1:$1048576,MATCH(C488,'Thickness Tab'!$1:$1,0),0)</f>
        <v>9.5299999999999994</v>
      </c>
      <c r="E488" s="55">
        <v>37.648166710000005</v>
      </c>
      <c r="F488" s="55">
        <v>88.904104520000004</v>
      </c>
      <c r="G488" s="55">
        <v>177.80820904000001</v>
      </c>
      <c r="H488" s="651">
        <v>0</v>
      </c>
      <c r="I488" s="55">
        <v>65.317301280000009</v>
      </c>
      <c r="J488" s="55">
        <v>251.74376535000002</v>
      </c>
      <c r="K488" s="124">
        <v>251.74376535000002</v>
      </c>
    </row>
    <row r="489" spans="1:11" x14ac:dyDescent="0.3">
      <c r="A489" s="91" t="str">
        <f t="shared" si="21"/>
        <v>24.20S</v>
      </c>
      <c r="B489" s="121">
        <v>24</v>
      </c>
      <c r="C489" s="21" t="s">
        <v>4532</v>
      </c>
      <c r="D489" s="21">
        <f>VLOOKUP(B489,'Thickness Tab'!$1:$1048576,MATCH(C489,'Thickness Tab'!$1:$1,0),0)</f>
        <v>9.5299999999999994</v>
      </c>
      <c r="E489" s="55">
        <v>46.266421740000006</v>
      </c>
      <c r="F489" s="55">
        <v>106.14061458</v>
      </c>
      <c r="G489" s="55">
        <v>212.28122916000001</v>
      </c>
      <c r="H489" s="55">
        <v>141.97441181000002</v>
      </c>
      <c r="I489" s="55">
        <v>71.667594460000004</v>
      </c>
      <c r="J489" s="55">
        <v>346.99816305000002</v>
      </c>
      <c r="K489" s="124">
        <v>346.99816305000002</v>
      </c>
    </row>
    <row r="490" spans="1:11" x14ac:dyDescent="0.3">
      <c r="A490" s="91" t="str">
        <f t="shared" si="21"/>
        <v>26.20S</v>
      </c>
      <c r="B490" s="121">
        <v>26</v>
      </c>
      <c r="C490" s="21" t="s">
        <v>4532</v>
      </c>
      <c r="D490" s="21">
        <f>VLOOKUP(B490,'Thickness Tab'!$1:$1048576,MATCH(C490,'Thickness Tab'!$1:$1,0),0)</f>
        <v>12.7</v>
      </c>
      <c r="E490" s="651">
        <f t="shared" ref="E490:E495" si="22">+E489*1.15</f>
        <v>53.206385001000001</v>
      </c>
      <c r="F490" s="651">
        <f t="shared" ref="F490:F495" si="23">+F489*1.15</f>
        <v>122.06170676699999</v>
      </c>
      <c r="G490" s="651">
        <f t="shared" ref="G490:G495" si="24">+G489*1.15</f>
        <v>244.12341353399998</v>
      </c>
      <c r="H490" s="651">
        <f t="shared" ref="H490:H495" si="25">+H489*1.15</f>
        <v>163.2705735815</v>
      </c>
      <c r="I490" s="651">
        <f t="shared" ref="I490:I495" si="26">+I489*1.15</f>
        <v>82.417733628999997</v>
      </c>
      <c r="J490" s="651">
        <f t="shared" ref="J490:J495" si="27">+J489*1.15</f>
        <v>399.04788750749998</v>
      </c>
      <c r="K490" s="651">
        <f t="shared" ref="K490:K495" si="28">+K489*1.15</f>
        <v>399.04788750749998</v>
      </c>
    </row>
    <row r="491" spans="1:11" x14ac:dyDescent="0.3">
      <c r="A491" s="91" t="str">
        <f t="shared" si="21"/>
        <v>28.20S</v>
      </c>
      <c r="B491" s="121">
        <v>28</v>
      </c>
      <c r="C491" s="21" t="s">
        <v>4532</v>
      </c>
      <c r="D491" s="21">
        <f>VLOOKUP(B491,'Thickness Tab'!$1:$1048576,MATCH(C491,'Thickness Tab'!$1:$1,0),0)</f>
        <v>12.7</v>
      </c>
      <c r="E491" s="651">
        <f t="shared" si="22"/>
        <v>61.187342751149998</v>
      </c>
      <c r="F491" s="651">
        <f t="shared" si="23"/>
        <v>140.37096278204999</v>
      </c>
      <c r="G491" s="651">
        <f t="shared" si="24"/>
        <v>280.74192556409997</v>
      </c>
      <c r="H491" s="651">
        <f t="shared" si="25"/>
        <v>187.76115961872497</v>
      </c>
      <c r="I491" s="651">
        <f t="shared" si="26"/>
        <v>94.780393673349991</v>
      </c>
      <c r="J491" s="651">
        <f t="shared" si="27"/>
        <v>458.90507063362492</v>
      </c>
      <c r="K491" s="651">
        <f t="shared" si="28"/>
        <v>458.90507063362492</v>
      </c>
    </row>
    <row r="492" spans="1:11" x14ac:dyDescent="0.3">
      <c r="A492" s="91" t="str">
        <f t="shared" si="21"/>
        <v>30.20S</v>
      </c>
      <c r="B492" s="121">
        <v>30</v>
      </c>
      <c r="C492" s="21" t="s">
        <v>4532</v>
      </c>
      <c r="D492" s="21">
        <f>VLOOKUP(B492,'Thickness Tab'!$1:$1048576,MATCH(C492,'Thickness Tab'!$1:$1,0),0)</f>
        <v>12.7</v>
      </c>
      <c r="E492" s="651">
        <f t="shared" si="22"/>
        <v>70.365444163822488</v>
      </c>
      <c r="F492" s="651">
        <f t="shared" si="23"/>
        <v>161.42660719935748</v>
      </c>
      <c r="G492" s="651">
        <f t="shared" si="24"/>
        <v>322.85321439871495</v>
      </c>
      <c r="H492" s="651">
        <f t="shared" si="25"/>
        <v>215.92533356153371</v>
      </c>
      <c r="I492" s="651">
        <f t="shared" si="26"/>
        <v>108.99745272435248</v>
      </c>
      <c r="J492" s="651">
        <f t="shared" si="27"/>
        <v>527.74083122866864</v>
      </c>
      <c r="K492" s="651">
        <f t="shared" si="28"/>
        <v>527.74083122866864</v>
      </c>
    </row>
    <row r="493" spans="1:11" x14ac:dyDescent="0.3">
      <c r="A493" s="91" t="str">
        <f t="shared" si="21"/>
        <v>32.20S</v>
      </c>
      <c r="B493" s="121">
        <v>32</v>
      </c>
      <c r="C493" s="21" t="s">
        <v>4532</v>
      </c>
      <c r="D493" s="21">
        <f>VLOOKUP(B493,'Thickness Tab'!$1:$1048576,MATCH(C493,'Thickness Tab'!$1:$1,0),0)</f>
        <v>12.7</v>
      </c>
      <c r="E493" s="651">
        <f t="shared" si="22"/>
        <v>80.920260788395851</v>
      </c>
      <c r="F493" s="651">
        <f t="shared" si="23"/>
        <v>185.64059827926107</v>
      </c>
      <c r="G493" s="651">
        <f t="shared" si="24"/>
        <v>371.28119655852214</v>
      </c>
      <c r="H493" s="651">
        <f t="shared" si="25"/>
        <v>248.31413359576374</v>
      </c>
      <c r="I493" s="651">
        <f t="shared" si="26"/>
        <v>125.34707063300534</v>
      </c>
      <c r="J493" s="651">
        <f t="shared" si="27"/>
        <v>606.9019559129689</v>
      </c>
      <c r="K493" s="651">
        <f t="shared" si="28"/>
        <v>606.9019559129689</v>
      </c>
    </row>
    <row r="494" spans="1:11" x14ac:dyDescent="0.3">
      <c r="A494" s="91" t="str">
        <f t="shared" si="21"/>
        <v>34.20S</v>
      </c>
      <c r="B494" s="121">
        <v>34</v>
      </c>
      <c r="C494" s="21" t="s">
        <v>4532</v>
      </c>
      <c r="D494" s="21">
        <f>VLOOKUP(B494,'Thickness Tab'!$1:$1048576,MATCH(C494,'Thickness Tab'!$1:$1,0),0)</f>
        <v>12.7</v>
      </c>
      <c r="E494" s="651">
        <f t="shared" si="22"/>
        <v>93.058299906655222</v>
      </c>
      <c r="F494" s="651">
        <f t="shared" si="23"/>
        <v>213.4866880211502</v>
      </c>
      <c r="G494" s="651">
        <f t="shared" si="24"/>
        <v>426.9733760423004</v>
      </c>
      <c r="H494" s="651">
        <f t="shared" si="25"/>
        <v>285.56125363512825</v>
      </c>
      <c r="I494" s="651">
        <f t="shared" si="26"/>
        <v>144.14913122795613</v>
      </c>
      <c r="J494" s="651">
        <f t="shared" si="27"/>
        <v>697.93724929991413</v>
      </c>
      <c r="K494" s="651">
        <f t="shared" si="28"/>
        <v>697.93724929991413</v>
      </c>
    </row>
    <row r="495" spans="1:11" x14ac:dyDescent="0.3">
      <c r="A495" s="91" t="str">
        <f t="shared" si="21"/>
        <v>36.20S</v>
      </c>
      <c r="B495" s="121">
        <v>36</v>
      </c>
      <c r="C495" s="21" t="s">
        <v>4532</v>
      </c>
      <c r="D495" s="21">
        <f>VLOOKUP(B495,'Thickness Tab'!$1:$1048576,MATCH(C495,'Thickness Tab'!$1:$1,0),0)</f>
        <v>12.7</v>
      </c>
      <c r="E495" s="651">
        <f t="shared" si="22"/>
        <v>107.0170448926535</v>
      </c>
      <c r="F495" s="651">
        <f t="shared" si="23"/>
        <v>245.50969122432272</v>
      </c>
      <c r="G495" s="651">
        <f t="shared" si="24"/>
        <v>491.01938244864544</v>
      </c>
      <c r="H495" s="651">
        <f t="shared" si="25"/>
        <v>328.39544168039748</v>
      </c>
      <c r="I495" s="651">
        <f t="shared" si="26"/>
        <v>165.77150091214955</v>
      </c>
      <c r="J495" s="651">
        <f t="shared" si="27"/>
        <v>802.62783669490113</v>
      </c>
      <c r="K495" s="651">
        <f t="shared" si="28"/>
        <v>802.62783669490113</v>
      </c>
    </row>
    <row r="496" spans="1:11" ht="15" thickBot="1" x14ac:dyDescent="0.35">
      <c r="A496" s="94" t="str">
        <f t="shared" si="21"/>
        <v>40.20S</v>
      </c>
      <c r="B496" s="122">
        <v>40</v>
      </c>
      <c r="C496" s="23" t="s">
        <v>4532</v>
      </c>
      <c r="D496" s="638">
        <f>VLOOKUP(B496,'Thickness Tab'!$1:$1048576,MATCH(C496,'Thickness Tab'!$1:$1,0),0)</f>
        <v>0</v>
      </c>
      <c r="E496" s="648">
        <v>0</v>
      </c>
      <c r="F496" s="651">
        <f t="shared" ref="F496:K497" si="29">F495*1.15</f>
        <v>282.33614490797112</v>
      </c>
      <c r="G496" s="651">
        <f t="shared" si="29"/>
        <v>564.67228981594224</v>
      </c>
      <c r="H496" s="651">
        <f t="shared" si="29"/>
        <v>377.65475793245707</v>
      </c>
      <c r="I496" s="651">
        <f t="shared" si="29"/>
        <v>190.63722604897197</v>
      </c>
      <c r="J496" s="651">
        <f t="shared" si="29"/>
        <v>923.02201219913627</v>
      </c>
      <c r="K496" s="651">
        <f t="shared" si="29"/>
        <v>923.02201219913627</v>
      </c>
    </row>
    <row r="497" spans="1:11" ht="15" thickBot="1" x14ac:dyDescent="0.35">
      <c r="A497" s="94" t="str">
        <f t="shared" si="21"/>
        <v>42.5S</v>
      </c>
      <c r="B497" s="122">
        <v>42</v>
      </c>
      <c r="C497" s="23" t="s">
        <v>4530</v>
      </c>
      <c r="D497" s="638">
        <f>VLOOKUP(B497,'Thickness Tab'!$1:$1048576,MATCH(C497,'Thickness Tab'!$1:$1,0),0)</f>
        <v>0</v>
      </c>
      <c r="E497" s="653">
        <v>0</v>
      </c>
      <c r="F497" s="653">
        <f t="shared" si="29"/>
        <v>324.68656664416676</v>
      </c>
      <c r="G497" s="653">
        <f t="shared" si="29"/>
        <v>649.37313328833352</v>
      </c>
      <c r="H497" s="653">
        <f t="shared" si="29"/>
        <v>434.30297162232563</v>
      </c>
      <c r="I497" s="653">
        <f t="shared" si="29"/>
        <v>219.23280995631774</v>
      </c>
      <c r="J497" s="653">
        <f t="shared" si="29"/>
        <v>1061.4753140290065</v>
      </c>
      <c r="K497" s="653">
        <f t="shared" si="29"/>
        <v>1061.4753140290065</v>
      </c>
    </row>
    <row r="498" spans="1:11" x14ac:dyDescent="0.3">
      <c r="A498" s="123" t="str">
        <f>B498&amp;"."&amp;C498</f>
        <v>0,125.40S</v>
      </c>
      <c r="B498" s="629">
        <v>0.125</v>
      </c>
      <c r="C498" s="326" t="s">
        <v>64</v>
      </c>
      <c r="D498" s="641">
        <f>VLOOKUP(B498,'Thickness Tab'!$1:$1048576,MATCH(C498,'Thickness Tab'!$1:$1,0),0)</f>
        <v>0</v>
      </c>
      <c r="E498" s="642">
        <v>0</v>
      </c>
      <c r="F498" s="642">
        <v>0</v>
      </c>
      <c r="G498" s="642">
        <v>0</v>
      </c>
      <c r="H498" s="642">
        <v>0</v>
      </c>
      <c r="I498" s="642">
        <v>0</v>
      </c>
      <c r="J498" s="642">
        <v>0</v>
      </c>
      <c r="K498" s="643">
        <v>0</v>
      </c>
    </row>
    <row r="499" spans="1:11" x14ac:dyDescent="0.3">
      <c r="A499" s="91" t="str">
        <f t="shared" ref="A499:A528" si="30">B499&amp;"."&amp;C499</f>
        <v>0,25.40S</v>
      </c>
      <c r="B499" s="121">
        <v>0.25</v>
      </c>
      <c r="C499" s="21" t="s">
        <v>64</v>
      </c>
      <c r="D499" s="21">
        <f>VLOOKUP(B499,'Thickness Tab'!$1:$1048576,MATCH(C499,'Thickness Tab'!$1:$1,0),0)</f>
        <v>1.73</v>
      </c>
      <c r="E499" s="651">
        <v>0</v>
      </c>
      <c r="F499" s="651">
        <v>0</v>
      </c>
      <c r="G499" s="651">
        <v>0</v>
      </c>
      <c r="H499" s="651">
        <v>0</v>
      </c>
      <c r="I499" s="651">
        <v>0</v>
      </c>
      <c r="J499" s="651">
        <v>0</v>
      </c>
      <c r="K499" s="652">
        <v>0</v>
      </c>
    </row>
    <row r="500" spans="1:11" x14ac:dyDescent="0.3">
      <c r="A500" s="91" t="str">
        <f t="shared" si="30"/>
        <v>0,5.40S</v>
      </c>
      <c r="B500" s="121">
        <v>0.5</v>
      </c>
      <c r="C500" s="21" t="s">
        <v>64</v>
      </c>
      <c r="D500" s="21">
        <f>VLOOKUP(B500,'Thickness Tab'!$1:$1048576,MATCH(C500,'Thickness Tab'!$1:$1,0),0)</f>
        <v>2.77</v>
      </c>
      <c r="E500" s="55">
        <v>3.1751465900000005E-2</v>
      </c>
      <c r="F500" s="55">
        <v>4.0823313300000004E-2</v>
      </c>
      <c r="G500" s="55">
        <v>7.7110702900000008E-2</v>
      </c>
      <c r="H500" s="55">
        <v>5.8967008100000003E-2</v>
      </c>
      <c r="I500" s="651">
        <v>0</v>
      </c>
      <c r="J500" s="55">
        <v>0.10432624510000001</v>
      </c>
      <c r="K500" s="124">
        <v>0.10432624510000001</v>
      </c>
    </row>
    <row r="501" spans="1:11" x14ac:dyDescent="0.3">
      <c r="A501" s="91" t="str">
        <f t="shared" si="30"/>
        <v>0,75.40S</v>
      </c>
      <c r="B501" s="121">
        <v>0.75</v>
      </c>
      <c r="C501" s="21" t="s">
        <v>64</v>
      </c>
      <c r="D501" s="21">
        <f>VLOOKUP(B501,'Thickness Tab'!$1:$1048576,MATCH(C501,'Thickness Tab'!$1:$1,0),0)</f>
        <v>2.87</v>
      </c>
      <c r="E501" s="55">
        <v>5.8967008100000003E-2</v>
      </c>
      <c r="F501" s="55">
        <v>4.0823313300000004E-2</v>
      </c>
      <c r="G501" s="55">
        <v>7.7110702900000008E-2</v>
      </c>
      <c r="H501" s="651">
        <v>0</v>
      </c>
      <c r="I501" s="55">
        <v>6.8038855499999995E-2</v>
      </c>
      <c r="J501" s="55">
        <v>0.20411656650000001</v>
      </c>
      <c r="K501" s="124">
        <v>0.20411656650000001</v>
      </c>
    </row>
    <row r="502" spans="1:11" x14ac:dyDescent="0.3">
      <c r="A502" s="91" t="str">
        <f t="shared" si="30"/>
        <v>1.40S</v>
      </c>
      <c r="B502" s="121">
        <v>1</v>
      </c>
      <c r="C502" s="21" t="s">
        <v>64</v>
      </c>
      <c r="D502" s="21">
        <f>VLOOKUP(B502,'Thickness Tab'!$1:$1048576,MATCH(C502,'Thickness Tab'!$1:$1,0),0)</f>
        <v>3.38</v>
      </c>
      <c r="E502" s="55">
        <v>9.9790321400000007E-2</v>
      </c>
      <c r="F502" s="55">
        <v>7.7110702900000008E-2</v>
      </c>
      <c r="G502" s="55">
        <v>0.15422140580000002</v>
      </c>
      <c r="H502" s="55">
        <v>0.10432624510000001</v>
      </c>
      <c r="I502" s="55">
        <v>0.12700586360000002</v>
      </c>
      <c r="J502" s="55">
        <v>0.28576319310000003</v>
      </c>
      <c r="K502" s="124">
        <v>0.28576319310000003</v>
      </c>
    </row>
    <row r="503" spans="1:11" x14ac:dyDescent="0.3">
      <c r="A503" s="91" t="str">
        <f t="shared" si="30"/>
        <v>1,25.40S</v>
      </c>
      <c r="B503" s="121">
        <v>1.25</v>
      </c>
      <c r="C503" s="21" t="s">
        <v>64</v>
      </c>
      <c r="D503" s="21">
        <f>VLOOKUP(B503,'Thickness Tab'!$1:$1048576,MATCH(C503,'Thickness Tab'!$1:$1,0),0)</f>
        <v>3.56</v>
      </c>
      <c r="E503" s="55">
        <v>0.14061363470000002</v>
      </c>
      <c r="F503" s="55">
        <v>0.13154178729999999</v>
      </c>
      <c r="G503" s="55">
        <v>0.26308357459999998</v>
      </c>
      <c r="H503" s="55">
        <v>0.17690102430000001</v>
      </c>
      <c r="I503" s="55">
        <v>0.17236510060000002</v>
      </c>
      <c r="J503" s="651">
        <v>0</v>
      </c>
      <c r="K503" s="652">
        <v>0</v>
      </c>
    </row>
    <row r="504" spans="1:11" x14ac:dyDescent="0.3">
      <c r="A504" s="91" t="str">
        <f t="shared" si="30"/>
        <v>1,5.40S</v>
      </c>
      <c r="B504" s="121">
        <v>1.5</v>
      </c>
      <c r="C504" s="21" t="s">
        <v>64</v>
      </c>
      <c r="D504" s="21">
        <f>VLOOKUP(B504,'Thickness Tab'!$1:$1048576,MATCH(C504,'Thickness Tab'!$1:$1,0),0)</f>
        <v>3.68</v>
      </c>
      <c r="E504" s="55">
        <v>0.16782917690000002</v>
      </c>
      <c r="F504" s="55">
        <v>0.19050879540000001</v>
      </c>
      <c r="G504" s="55">
        <v>0.38101759080000003</v>
      </c>
      <c r="H504" s="55">
        <v>0.25401172720000004</v>
      </c>
      <c r="I504" s="55">
        <v>0.25854765089999998</v>
      </c>
      <c r="J504" s="55">
        <v>0.77110702900000005</v>
      </c>
      <c r="K504" s="124">
        <v>0.77110702900000005</v>
      </c>
    </row>
    <row r="505" spans="1:11" x14ac:dyDescent="0.3">
      <c r="A505" s="91" t="str">
        <f t="shared" si="30"/>
        <v>2.40S</v>
      </c>
      <c r="B505" s="121">
        <v>2</v>
      </c>
      <c r="C505" s="21" t="s">
        <v>64</v>
      </c>
      <c r="D505" s="21">
        <f>VLOOKUP(B505,'Thickness Tab'!$1:$1048576,MATCH(C505,'Thickness Tab'!$1:$1,0),0)</f>
        <v>3.91</v>
      </c>
      <c r="E505" s="55">
        <v>0.23133210870000001</v>
      </c>
      <c r="F505" s="55">
        <v>0.34019427750000003</v>
      </c>
      <c r="G505" s="55">
        <v>0.68038855500000006</v>
      </c>
      <c r="H505" s="55">
        <v>0.45359237000000002</v>
      </c>
      <c r="I505" s="55">
        <v>0.40823313300000003</v>
      </c>
      <c r="J505" s="55">
        <v>1.9050879540000001</v>
      </c>
      <c r="K505" s="124">
        <v>1.9050879540000001</v>
      </c>
    </row>
    <row r="506" spans="1:11" x14ac:dyDescent="0.3">
      <c r="A506" s="91" t="str">
        <f t="shared" si="30"/>
        <v>2,5.40S</v>
      </c>
      <c r="B506" s="121">
        <v>2.5</v>
      </c>
      <c r="C506" s="21" t="s">
        <v>64</v>
      </c>
      <c r="D506" s="21">
        <f>VLOOKUP(B506,'Thickness Tab'!$1:$1048576,MATCH(C506,'Thickness Tab'!$1:$1,0),0)</f>
        <v>5.16</v>
      </c>
      <c r="E506" s="55">
        <v>0.36740981970000003</v>
      </c>
      <c r="F506" s="55">
        <v>0.68038855500000006</v>
      </c>
      <c r="G506" s="55">
        <v>1.3607771100000001</v>
      </c>
      <c r="H506" s="55">
        <v>0.90718474000000004</v>
      </c>
      <c r="I506" s="55">
        <v>0.77110702900000005</v>
      </c>
      <c r="J506" s="55">
        <v>2.6761949830000002</v>
      </c>
      <c r="K506" s="124">
        <v>2.6761949830000002</v>
      </c>
    </row>
    <row r="507" spans="1:11" x14ac:dyDescent="0.3">
      <c r="A507" s="91" t="str">
        <f t="shared" si="30"/>
        <v>3.40S</v>
      </c>
      <c r="B507" s="121">
        <v>3</v>
      </c>
      <c r="C507" s="21" t="s">
        <v>64</v>
      </c>
      <c r="D507" s="21">
        <f>VLOOKUP(B507,'Thickness Tab'!$1:$1048576,MATCH(C507,'Thickness Tab'!$1:$1,0),0)</f>
        <v>5.49</v>
      </c>
      <c r="E507" s="55">
        <v>0.63502931799999995</v>
      </c>
      <c r="F507" s="55">
        <v>1.0432624509999999</v>
      </c>
      <c r="G507" s="55">
        <v>2.1318841390000003</v>
      </c>
      <c r="H507" s="55">
        <v>1.4061363470000001</v>
      </c>
      <c r="I507" s="55">
        <v>0.99790321400000015</v>
      </c>
      <c r="J507" s="55">
        <v>3.8101759080000002</v>
      </c>
      <c r="K507" s="124">
        <v>3.8101759080000002</v>
      </c>
    </row>
    <row r="508" spans="1:11" x14ac:dyDescent="0.3">
      <c r="A508" s="91" t="str">
        <f t="shared" si="30"/>
        <v>3,5.40S</v>
      </c>
      <c r="B508" s="121">
        <v>3.5</v>
      </c>
      <c r="C508" s="21" t="s">
        <v>64</v>
      </c>
      <c r="D508" s="21">
        <f>VLOOKUP(B508,'Thickness Tab'!$1:$1048576,MATCH(C508,'Thickness Tab'!$1:$1,0),0)</f>
        <v>5.74</v>
      </c>
      <c r="E508" s="55">
        <v>0.95254397700000004</v>
      </c>
      <c r="F508" s="55">
        <v>1.4968548209999999</v>
      </c>
      <c r="G508" s="55">
        <v>2.9937096419999998</v>
      </c>
      <c r="H508" s="55">
        <v>1.9958064280000003</v>
      </c>
      <c r="I508" s="55">
        <v>1.3607771100000001</v>
      </c>
      <c r="J508" s="55">
        <v>4.9895160700000005</v>
      </c>
      <c r="K508" s="124">
        <v>4.9895160700000005</v>
      </c>
    </row>
    <row r="509" spans="1:11" x14ac:dyDescent="0.3">
      <c r="A509" s="91" t="str">
        <f t="shared" si="30"/>
        <v>4.40S</v>
      </c>
      <c r="B509" s="121">
        <v>4</v>
      </c>
      <c r="C509" s="21" t="s">
        <v>64</v>
      </c>
      <c r="D509" s="21">
        <f>VLOOKUP(B509,'Thickness Tab'!$1:$1048576,MATCH(C509,'Thickness Tab'!$1:$1,0),0)</f>
        <v>6.02</v>
      </c>
      <c r="E509" s="55">
        <v>1.1339809250000001</v>
      </c>
      <c r="F509" s="55">
        <v>1.9958064280000003</v>
      </c>
      <c r="G509" s="55">
        <v>4.0823313300000006</v>
      </c>
      <c r="H509" s="55">
        <v>2.7215542200000002</v>
      </c>
      <c r="I509" s="55">
        <v>1.6329325320000001</v>
      </c>
      <c r="J509" s="55">
        <v>5.8967008100000005</v>
      </c>
      <c r="K509" s="124">
        <v>5.8967008100000005</v>
      </c>
    </row>
    <row r="510" spans="1:11" x14ac:dyDescent="0.3">
      <c r="A510" s="91" t="str">
        <f t="shared" si="30"/>
        <v>5.40S</v>
      </c>
      <c r="B510" s="121">
        <v>5</v>
      </c>
      <c r="C510" s="21" t="s">
        <v>64</v>
      </c>
      <c r="D510" s="21">
        <f>VLOOKUP(B510,'Thickness Tab'!$1:$1048576,MATCH(C510,'Thickness Tab'!$1:$1,0),0)</f>
        <v>6.55</v>
      </c>
      <c r="E510" s="55">
        <v>1.9050879540000001</v>
      </c>
      <c r="F510" s="55">
        <v>3.4019427750000002</v>
      </c>
      <c r="G510" s="55">
        <v>6.8038855500000004</v>
      </c>
      <c r="H510" s="55">
        <v>4.5359237000000006</v>
      </c>
      <c r="I510" s="55">
        <v>2.7669134569999998</v>
      </c>
      <c r="J510" s="55">
        <v>9.979032140000001</v>
      </c>
      <c r="K510" s="124">
        <v>9.979032140000001</v>
      </c>
    </row>
    <row r="511" spans="1:11" x14ac:dyDescent="0.3">
      <c r="A511" s="91" t="str">
        <f t="shared" si="30"/>
        <v>6.40S</v>
      </c>
      <c r="B511" s="121">
        <v>6</v>
      </c>
      <c r="C511" s="21" t="s">
        <v>64</v>
      </c>
      <c r="D511" s="21">
        <f>VLOOKUP(B511,'Thickness Tab'!$1:$1048576,MATCH(C511,'Thickness Tab'!$1:$1,0),0)</f>
        <v>7.11</v>
      </c>
      <c r="E511" s="55">
        <v>2.9029911680000002</v>
      </c>
      <c r="F511" s="55">
        <v>5.4431084400000005</v>
      </c>
      <c r="G511" s="55">
        <v>10.886216880000001</v>
      </c>
      <c r="H511" s="55">
        <v>7.2574779200000004</v>
      </c>
      <c r="I511" s="55">
        <v>3.9462536189999997</v>
      </c>
      <c r="J511" s="55">
        <v>16.329325320000002</v>
      </c>
      <c r="K511" s="124">
        <v>16.329325320000002</v>
      </c>
    </row>
    <row r="512" spans="1:11" x14ac:dyDescent="0.3">
      <c r="A512" s="91" t="str">
        <f t="shared" si="30"/>
        <v>8.40S</v>
      </c>
      <c r="B512" s="121">
        <v>8</v>
      </c>
      <c r="C512" s="21" t="s">
        <v>64</v>
      </c>
      <c r="D512" s="21">
        <f>VLOOKUP(B512,'Thickness Tab'!$1:$1048576,MATCH(C512,'Thickness Tab'!$1:$1,0),0)</f>
        <v>8.18</v>
      </c>
      <c r="E512" s="55">
        <v>4.9895160700000005</v>
      </c>
      <c r="F512" s="55">
        <v>10.886216880000001</v>
      </c>
      <c r="G512" s="55">
        <v>21.772433760000002</v>
      </c>
      <c r="H512" s="55">
        <v>14.06136347</v>
      </c>
      <c r="I512" s="55">
        <v>6.3502931800000004</v>
      </c>
      <c r="J512" s="55">
        <v>27.669134570000001</v>
      </c>
      <c r="K512" s="124">
        <v>27.669134570000001</v>
      </c>
    </row>
    <row r="513" spans="1:11" x14ac:dyDescent="0.3">
      <c r="A513" s="91" t="str">
        <f t="shared" si="30"/>
        <v>10.40S</v>
      </c>
      <c r="B513" s="121">
        <v>10</v>
      </c>
      <c r="C513" s="21" t="s">
        <v>64</v>
      </c>
      <c r="D513" s="21">
        <f>VLOOKUP(B513,'Thickness Tab'!$1:$1048576,MATCH(C513,'Thickness Tab'!$1:$1,0),0)</f>
        <v>9.27</v>
      </c>
      <c r="E513" s="55">
        <v>9.0718474000000011</v>
      </c>
      <c r="F513" s="55">
        <v>19.05087954</v>
      </c>
      <c r="G513" s="55">
        <v>38.555351450000003</v>
      </c>
      <c r="H513" s="55">
        <v>25.401172720000002</v>
      </c>
      <c r="I513" s="55">
        <v>10.886216880000001</v>
      </c>
      <c r="J513" s="55">
        <v>41.276905670000005</v>
      </c>
      <c r="K513" s="124">
        <v>41.276905670000005</v>
      </c>
    </row>
    <row r="514" spans="1:11" x14ac:dyDescent="0.3">
      <c r="A514" s="91" t="str">
        <f t="shared" si="30"/>
        <v>12.40S</v>
      </c>
      <c r="B514" s="121">
        <v>12</v>
      </c>
      <c r="C514" s="21" t="s">
        <v>64</v>
      </c>
      <c r="D514" s="21">
        <f>VLOOKUP(B514,'Thickness Tab'!$1:$1048576,MATCH(C514,'Thickness Tab'!$1:$1,0),0)</f>
        <v>9.5299999999999994</v>
      </c>
      <c r="E514" s="55">
        <v>13.450203158856663</v>
      </c>
      <c r="F514" s="55">
        <v>28.581681712570408</v>
      </c>
      <c r="G514" s="55">
        <v>56.743044576426541</v>
      </c>
      <c r="H514" s="55">
        <v>36.988058686855823</v>
      </c>
      <c r="I514" s="55">
        <v>15.131478553713746</v>
      </c>
      <c r="J514" s="55">
        <v>66.410378096854771</v>
      </c>
      <c r="K514" s="124">
        <v>66.410378096854771</v>
      </c>
    </row>
    <row r="515" spans="1:11" x14ac:dyDescent="0.3">
      <c r="A515" s="91" t="str">
        <f t="shared" si="30"/>
        <v>14.40S</v>
      </c>
      <c r="B515" s="121">
        <v>14</v>
      </c>
      <c r="C515" s="21" t="s">
        <v>64</v>
      </c>
      <c r="D515" s="21">
        <f>VLOOKUP(B515,'Thickness Tab'!$1:$1048576,MATCH(C515,'Thickness Tab'!$1:$1,0),0)</f>
        <v>9.5299999999999994</v>
      </c>
      <c r="E515" s="55">
        <v>16.011707620955356</v>
      </c>
      <c r="F515" s="55">
        <v>37.100298146116074</v>
      </c>
      <c r="G515" s="55">
        <v>72.247949021383931</v>
      </c>
      <c r="H515" s="55">
        <v>47.64459340869643</v>
      </c>
      <c r="I515" s="55">
        <v>26.946532337705356</v>
      </c>
      <c r="J515" s="55">
        <v>98.413422450750005</v>
      </c>
      <c r="K515" s="124">
        <v>98.413422450750005</v>
      </c>
    </row>
    <row r="516" spans="1:11" x14ac:dyDescent="0.3">
      <c r="A516" s="91" t="str">
        <f t="shared" si="30"/>
        <v>16.40S</v>
      </c>
      <c r="B516" s="121">
        <v>16</v>
      </c>
      <c r="C516" s="21" t="s">
        <v>64</v>
      </c>
      <c r="D516" s="21">
        <f>VLOOKUP(B516,'Thickness Tab'!$1:$1048576,MATCH(C516,'Thickness Tab'!$1:$1,0),0)</f>
        <v>9.5299999999999994</v>
      </c>
      <c r="E516" s="55">
        <v>19.900581655899593</v>
      </c>
      <c r="F516" s="55">
        <v>48.035886755619714</v>
      </c>
      <c r="G516" s="55">
        <v>96.071773511239428</v>
      </c>
      <c r="H516" s="55">
        <v>62.446652782305634</v>
      </c>
      <c r="I516" s="55">
        <v>32.938893775282089</v>
      </c>
      <c r="J516" s="55">
        <v>126.9519864255664</v>
      </c>
      <c r="K516" s="124">
        <v>126.9519864255664</v>
      </c>
    </row>
    <row r="517" spans="1:11" x14ac:dyDescent="0.3">
      <c r="A517" s="91" t="str">
        <f t="shared" si="30"/>
        <v>18.40S</v>
      </c>
      <c r="B517" s="121">
        <v>18</v>
      </c>
      <c r="C517" s="21" t="s">
        <v>64</v>
      </c>
      <c r="D517" s="21">
        <f>VLOOKUP(B517,'Thickness Tab'!$1:$1048576,MATCH(C517,'Thickness Tab'!$1:$1,0),0)</f>
        <v>9.5299999999999994</v>
      </c>
      <c r="E517" s="55">
        <v>28.167311117846129</v>
      </c>
      <c r="F517" s="55">
        <v>61.233285038795934</v>
      </c>
      <c r="G517" s="55">
        <v>119.40490582565208</v>
      </c>
      <c r="H517" s="55">
        <v>79.297104125240736</v>
      </c>
      <c r="I517" s="55">
        <v>40.107801700411336</v>
      </c>
      <c r="J517" s="55">
        <v>160.73737322683931</v>
      </c>
      <c r="K517" s="124">
        <v>160.73737322683931</v>
      </c>
    </row>
    <row r="518" spans="1:11" x14ac:dyDescent="0.3">
      <c r="A518" s="91" t="str">
        <f t="shared" si="30"/>
        <v>20.40S</v>
      </c>
      <c r="B518" s="121">
        <v>20</v>
      </c>
      <c r="C518" s="21" t="s">
        <v>64</v>
      </c>
      <c r="D518" s="21">
        <f>VLOOKUP(B518,'Thickness Tab'!$1:$1048576,MATCH(C518,'Thickness Tab'!$1:$1,0),0)</f>
        <v>9.5299999999999994</v>
      </c>
      <c r="E518" s="55">
        <v>35.075611887878019</v>
      </c>
      <c r="F518" s="55">
        <v>78.267894295264995</v>
      </c>
      <c r="G518" s="55">
        <v>150.73816679088074</v>
      </c>
      <c r="H518" s="55">
        <v>97.979808414072465</v>
      </c>
      <c r="I518" s="55">
        <v>59.425623446404906</v>
      </c>
      <c r="J518" s="55">
        <v>204.65604952761885</v>
      </c>
      <c r="K518" s="124">
        <v>204.65604952761885</v>
      </c>
    </row>
    <row r="519" spans="1:11" x14ac:dyDescent="0.3">
      <c r="A519" s="91" t="str">
        <f t="shared" si="30"/>
        <v>22.40S</v>
      </c>
      <c r="B519" s="121">
        <v>22</v>
      </c>
      <c r="C519" s="21" t="s">
        <v>64</v>
      </c>
      <c r="D519" s="21">
        <f>VLOOKUP(B519,'Thickness Tab'!$1:$1048576,MATCH(C519,'Thickness Tab'!$1:$1,0),0)</f>
        <v>9.5299999999999994</v>
      </c>
      <c r="E519" s="55">
        <v>37.648166710000005</v>
      </c>
      <c r="F519" s="55">
        <v>88.904104520000004</v>
      </c>
      <c r="G519" s="55">
        <v>177.80820904000001</v>
      </c>
      <c r="H519" s="651">
        <v>0</v>
      </c>
      <c r="I519" s="55">
        <v>65.317301280000009</v>
      </c>
      <c r="J519" s="55">
        <v>251.74376535000002</v>
      </c>
      <c r="K519" s="124">
        <v>251.74376535000002</v>
      </c>
    </row>
    <row r="520" spans="1:11" x14ac:dyDescent="0.3">
      <c r="A520" s="91" t="str">
        <f t="shared" si="30"/>
        <v>24.40S</v>
      </c>
      <c r="B520" s="121">
        <v>24</v>
      </c>
      <c r="C520" s="21" t="s">
        <v>64</v>
      </c>
      <c r="D520" s="21">
        <f>VLOOKUP(B520,'Thickness Tab'!$1:$1048576,MATCH(C520,'Thickness Tab'!$1:$1,0),0)</f>
        <v>9.5299999999999994</v>
      </c>
      <c r="E520" s="55">
        <v>51.404891570144457</v>
      </c>
      <c r="F520" s="55">
        <v>107.82489451298594</v>
      </c>
      <c r="G520" s="55">
        <v>213.14223333962335</v>
      </c>
      <c r="H520" s="55">
        <v>141.42614071005596</v>
      </c>
      <c r="I520" s="55">
        <v>71.465337060932541</v>
      </c>
      <c r="J520" s="55">
        <v>315.19974977400767</v>
      </c>
      <c r="K520" s="124">
        <v>315.19974977400767</v>
      </c>
    </row>
    <row r="521" spans="1:11" x14ac:dyDescent="0.3">
      <c r="A521" s="91" t="str">
        <f t="shared" si="30"/>
        <v>26.40S</v>
      </c>
      <c r="B521" s="121">
        <v>26</v>
      </c>
      <c r="C521" s="21" t="s">
        <v>64</v>
      </c>
      <c r="D521" s="21">
        <f>VLOOKUP(B521,'Thickness Tab'!$1:$1048576,MATCH(C521,'Thickness Tab'!$1:$1,0),0)</f>
        <v>9.5299999999999994</v>
      </c>
      <c r="E521" s="651">
        <f t="shared" ref="E521:E526" si="31">+E520*1.15</f>
        <v>59.115625305666121</v>
      </c>
      <c r="F521" s="651">
        <f t="shared" ref="F521:F526" si="32">+F520*1.15</f>
        <v>123.99862868993381</v>
      </c>
      <c r="G521" s="651">
        <f t="shared" ref="G521:G526" si="33">+G520*1.15</f>
        <v>245.11356834056681</v>
      </c>
      <c r="H521" s="651">
        <f t="shared" ref="H521:H526" si="34">+H520*1.15</f>
        <v>162.64006181656436</v>
      </c>
      <c r="I521" s="651">
        <f t="shared" ref="I521:I526" si="35">+I520*1.15</f>
        <v>82.18513762007241</v>
      </c>
      <c r="J521" s="651">
        <f t="shared" ref="J521:J526" si="36">+J520*1.15</f>
        <v>362.47971224010877</v>
      </c>
      <c r="K521" s="651">
        <f t="shared" ref="K521:K526" si="37">+K520*1.15</f>
        <v>362.47971224010877</v>
      </c>
    </row>
    <row r="522" spans="1:11" x14ac:dyDescent="0.3">
      <c r="A522" s="91" t="str">
        <f t="shared" si="30"/>
        <v>28.40S</v>
      </c>
      <c r="B522" s="121">
        <v>28</v>
      </c>
      <c r="C522" s="21" t="s">
        <v>64</v>
      </c>
      <c r="D522" s="21">
        <f>VLOOKUP(B522,'Thickness Tab'!$1:$1048576,MATCH(C522,'Thickness Tab'!$1:$1,0),0)</f>
        <v>9.5299999999999994</v>
      </c>
      <c r="E522" s="651">
        <f t="shared" si="31"/>
        <v>67.982969101516034</v>
      </c>
      <c r="F522" s="651">
        <f t="shared" si="32"/>
        <v>142.59842299342387</v>
      </c>
      <c r="G522" s="651">
        <f t="shared" si="33"/>
        <v>281.88060359165183</v>
      </c>
      <c r="H522" s="651">
        <f t="shared" si="34"/>
        <v>187.03607108904899</v>
      </c>
      <c r="I522" s="651">
        <f t="shared" si="35"/>
        <v>94.512908263083261</v>
      </c>
      <c r="J522" s="651">
        <f t="shared" si="36"/>
        <v>416.85166907612506</v>
      </c>
      <c r="K522" s="651">
        <f t="shared" si="37"/>
        <v>416.85166907612506</v>
      </c>
    </row>
    <row r="523" spans="1:11" x14ac:dyDescent="0.3">
      <c r="A523" s="91" t="str">
        <f t="shared" si="30"/>
        <v>30.40S</v>
      </c>
      <c r="B523" s="121">
        <v>30</v>
      </c>
      <c r="C523" s="21" t="s">
        <v>64</v>
      </c>
      <c r="D523" s="21">
        <f>VLOOKUP(B523,'Thickness Tab'!$1:$1048576,MATCH(C523,'Thickness Tab'!$1:$1,0),0)</f>
        <v>9.5299999999999994</v>
      </c>
      <c r="E523" s="651">
        <f t="shared" si="31"/>
        <v>78.180414466743429</v>
      </c>
      <c r="F523" s="651">
        <f t="shared" si="32"/>
        <v>163.98818644243744</v>
      </c>
      <c r="G523" s="651">
        <f t="shared" si="33"/>
        <v>324.16269413039959</v>
      </c>
      <c r="H523" s="651">
        <f t="shared" si="34"/>
        <v>215.09148175240631</v>
      </c>
      <c r="I523" s="651">
        <f t="shared" si="35"/>
        <v>108.68984450254574</v>
      </c>
      <c r="J523" s="651">
        <f t="shared" si="36"/>
        <v>479.37941943754379</v>
      </c>
      <c r="K523" s="651">
        <f t="shared" si="37"/>
        <v>479.37941943754379</v>
      </c>
    </row>
    <row r="524" spans="1:11" x14ac:dyDescent="0.3">
      <c r="A524" s="91" t="str">
        <f t="shared" si="30"/>
        <v>32.40S</v>
      </c>
      <c r="B524" s="121">
        <v>32</v>
      </c>
      <c r="C524" s="21" t="s">
        <v>64</v>
      </c>
      <c r="D524" s="21">
        <f>VLOOKUP(B524,'Thickness Tab'!$1:$1048576,MATCH(C524,'Thickness Tab'!$1:$1,0),0)</f>
        <v>9.5299999999999994</v>
      </c>
      <c r="E524" s="651">
        <f t="shared" si="31"/>
        <v>89.907476636754936</v>
      </c>
      <c r="F524" s="651">
        <f t="shared" si="32"/>
        <v>188.58641440880305</v>
      </c>
      <c r="G524" s="651">
        <f t="shared" si="33"/>
        <v>372.78709824995951</v>
      </c>
      <c r="H524" s="651">
        <f t="shared" si="34"/>
        <v>247.35520401526725</v>
      </c>
      <c r="I524" s="651">
        <f t="shared" si="35"/>
        <v>124.99332117792758</v>
      </c>
      <c r="J524" s="651">
        <f t="shared" si="36"/>
        <v>551.28633235317534</v>
      </c>
      <c r="K524" s="651">
        <f t="shared" si="37"/>
        <v>551.28633235317534</v>
      </c>
    </row>
    <row r="525" spans="1:11" x14ac:dyDescent="0.3">
      <c r="A525" s="91" t="str">
        <f t="shared" si="30"/>
        <v>34.40S</v>
      </c>
      <c r="B525" s="121">
        <v>34</v>
      </c>
      <c r="C525" s="21" t="s">
        <v>64</v>
      </c>
      <c r="D525" s="21">
        <f>VLOOKUP(B525,'Thickness Tab'!$1:$1048576,MATCH(C525,'Thickness Tab'!$1:$1,0),0)</f>
        <v>9.5299999999999994</v>
      </c>
      <c r="E525" s="651">
        <f t="shared" si="31"/>
        <v>103.39359813226817</v>
      </c>
      <c r="F525" s="651">
        <f t="shared" si="32"/>
        <v>216.8743765701235</v>
      </c>
      <c r="G525" s="651">
        <f t="shared" si="33"/>
        <v>428.70516298745343</v>
      </c>
      <c r="H525" s="651">
        <f t="shared" si="34"/>
        <v>284.4584846175573</v>
      </c>
      <c r="I525" s="651">
        <f t="shared" si="35"/>
        <v>143.74231935461671</v>
      </c>
      <c r="J525" s="651">
        <f t="shared" si="36"/>
        <v>633.97928220615154</v>
      </c>
      <c r="K525" s="651">
        <f t="shared" si="37"/>
        <v>633.97928220615154</v>
      </c>
    </row>
    <row r="526" spans="1:11" x14ac:dyDescent="0.3">
      <c r="A526" s="91" t="str">
        <f t="shared" si="30"/>
        <v>36.40S</v>
      </c>
      <c r="B526" s="121">
        <v>36</v>
      </c>
      <c r="C526" s="21" t="s">
        <v>64</v>
      </c>
      <c r="D526" s="21">
        <f>VLOOKUP(B526,'Thickness Tab'!$1:$1048576,MATCH(C526,'Thickness Tab'!$1:$1,0),0)</f>
        <v>9.5299999999999994</v>
      </c>
      <c r="E526" s="651">
        <f t="shared" si="31"/>
        <v>118.90263785210838</v>
      </c>
      <c r="F526" s="651">
        <f t="shared" si="32"/>
        <v>249.405533055642</v>
      </c>
      <c r="G526" s="651">
        <f t="shared" si="33"/>
        <v>493.01093743557141</v>
      </c>
      <c r="H526" s="651">
        <f t="shared" si="34"/>
        <v>327.12725731019088</v>
      </c>
      <c r="I526" s="651">
        <f t="shared" si="35"/>
        <v>165.3036672578092</v>
      </c>
      <c r="J526" s="651">
        <f t="shared" si="36"/>
        <v>729.07617453707417</v>
      </c>
      <c r="K526" s="651">
        <f t="shared" si="37"/>
        <v>729.07617453707417</v>
      </c>
    </row>
    <row r="527" spans="1:11" ht="15" thickBot="1" x14ac:dyDescent="0.35">
      <c r="A527" s="94" t="str">
        <f t="shared" si="30"/>
        <v>40.40S</v>
      </c>
      <c r="B527" s="122">
        <v>40</v>
      </c>
      <c r="C527" s="23" t="s">
        <v>64</v>
      </c>
      <c r="D527" s="638">
        <f>VLOOKUP(B527,'Thickness Tab'!$1:$1048576,MATCH(C527,'Thickness Tab'!$1:$1,0),0)</f>
        <v>0</v>
      </c>
      <c r="E527" s="639">
        <v>0</v>
      </c>
      <c r="F527" s="651">
        <f t="shared" ref="F527:K528" si="38">F526*1.15</f>
        <v>286.81636301398828</v>
      </c>
      <c r="G527" s="651">
        <f t="shared" si="38"/>
        <v>566.96257805090704</v>
      </c>
      <c r="H527" s="651">
        <f t="shared" si="38"/>
        <v>376.1963459067195</v>
      </c>
      <c r="I527" s="651">
        <f t="shared" si="38"/>
        <v>190.09921734648057</v>
      </c>
      <c r="J527" s="651">
        <f t="shared" si="38"/>
        <v>838.43760071763518</v>
      </c>
      <c r="K527" s="651">
        <f t="shared" si="38"/>
        <v>838.43760071763518</v>
      </c>
    </row>
    <row r="528" spans="1:11" ht="15" thickBot="1" x14ac:dyDescent="0.35">
      <c r="A528" s="94" t="str">
        <f t="shared" si="30"/>
        <v>42.5S</v>
      </c>
      <c r="B528" s="122">
        <v>42</v>
      </c>
      <c r="C528" s="23" t="s">
        <v>4530</v>
      </c>
      <c r="D528" s="638">
        <f>VLOOKUP(B528,'Thickness Tab'!$1:$1048576,MATCH(C528,'Thickness Tab'!$1:$1,0),0)</f>
        <v>0</v>
      </c>
      <c r="E528" s="653">
        <v>0</v>
      </c>
      <c r="F528" s="653">
        <f t="shared" si="38"/>
        <v>329.83881746608648</v>
      </c>
      <c r="G528" s="653">
        <f t="shared" si="38"/>
        <v>652.00696475854306</v>
      </c>
      <c r="H528" s="653">
        <f t="shared" si="38"/>
        <v>432.62579779272738</v>
      </c>
      <c r="I528" s="653">
        <f t="shared" si="38"/>
        <v>218.61409994845263</v>
      </c>
      <c r="J528" s="653">
        <f t="shared" si="38"/>
        <v>964.20324082528043</v>
      </c>
      <c r="K528" s="653">
        <f t="shared" si="38"/>
        <v>964.20324082528043</v>
      </c>
    </row>
    <row r="529" spans="1:11" x14ac:dyDescent="0.3">
      <c r="A529" s="123" t="str">
        <f>B529&amp;"."&amp;C529</f>
        <v>0,125.80S</v>
      </c>
      <c r="B529" s="629">
        <v>0.125</v>
      </c>
      <c r="C529" s="326" t="s">
        <v>63</v>
      </c>
      <c r="D529" s="641">
        <f>VLOOKUP(B529,'Thickness Tab'!$1:$1048576,MATCH(C529,'Thickness Tab'!$1:$1,0),0)</f>
        <v>0</v>
      </c>
      <c r="E529" s="642">
        <v>0</v>
      </c>
      <c r="F529" s="642">
        <v>0</v>
      </c>
      <c r="G529" s="642">
        <v>0</v>
      </c>
      <c r="H529" s="642">
        <v>0</v>
      </c>
      <c r="I529" s="642">
        <v>0</v>
      </c>
      <c r="J529" s="642">
        <v>0</v>
      </c>
      <c r="K529" s="643">
        <v>0</v>
      </c>
    </row>
    <row r="530" spans="1:11" x14ac:dyDescent="0.3">
      <c r="A530" s="91" t="str">
        <f t="shared" ref="A530:A559" si="39">B530&amp;"."&amp;C530</f>
        <v>0,25.80S</v>
      </c>
      <c r="B530" s="121">
        <v>0.25</v>
      </c>
      <c r="C530" s="21" t="s">
        <v>63</v>
      </c>
      <c r="D530" s="21">
        <f>VLOOKUP(B530,'Thickness Tab'!$1:$1048576,MATCH(C530,'Thickness Tab'!$1:$1,0),0)</f>
        <v>2.41</v>
      </c>
      <c r="E530" s="651">
        <v>0</v>
      </c>
      <c r="F530" s="651">
        <v>0</v>
      </c>
      <c r="G530" s="651">
        <v>0</v>
      </c>
      <c r="H530" s="651">
        <v>0</v>
      </c>
      <c r="I530" s="651">
        <v>0</v>
      </c>
      <c r="J530" s="651">
        <v>0</v>
      </c>
      <c r="K530" s="652">
        <v>0</v>
      </c>
    </row>
    <row r="531" spans="1:11" x14ac:dyDescent="0.3">
      <c r="A531" s="91" t="str">
        <f t="shared" si="39"/>
        <v>0,5.80S</v>
      </c>
      <c r="B531" s="121">
        <v>0.5</v>
      </c>
      <c r="C531" s="21" t="s">
        <v>63</v>
      </c>
      <c r="D531" s="21">
        <f>VLOOKUP(B531,'Thickness Tab'!$1:$1048576,MATCH(C531,'Thickness Tab'!$1:$1,0),0)</f>
        <v>3.73</v>
      </c>
      <c r="E531" s="55">
        <v>4.5359237000000004E-2</v>
      </c>
      <c r="F531" s="55">
        <v>4.9895160700000003E-2</v>
      </c>
      <c r="G531" s="55">
        <v>9.9790321400000007E-2</v>
      </c>
      <c r="H531" s="55">
        <v>0.13607771099999999</v>
      </c>
      <c r="I531" s="651">
        <v>0</v>
      </c>
      <c r="J531" s="55">
        <v>0.12700586360000002</v>
      </c>
      <c r="K531" s="124">
        <v>0.12700586360000002</v>
      </c>
    </row>
    <row r="532" spans="1:11" x14ac:dyDescent="0.3">
      <c r="A532" s="91" t="str">
        <f t="shared" si="39"/>
        <v>0,75.80S</v>
      </c>
      <c r="B532" s="121">
        <v>0.75</v>
      </c>
      <c r="C532" s="21" t="s">
        <v>63</v>
      </c>
      <c r="D532" s="21">
        <f>VLOOKUP(B532,'Thickness Tab'!$1:$1048576,MATCH(C532,'Thickness Tab'!$1:$1,0),0)</f>
        <v>3.91</v>
      </c>
      <c r="E532" s="55">
        <v>8.6182550300000008E-2</v>
      </c>
      <c r="F532" s="55">
        <v>4.9895160700000003E-2</v>
      </c>
      <c r="G532" s="55">
        <v>0.10432624510000001</v>
      </c>
      <c r="H532" s="651">
        <v>0</v>
      </c>
      <c r="I532" s="55">
        <v>9.9790321400000007E-2</v>
      </c>
      <c r="J532" s="55">
        <v>0.27215542199999998</v>
      </c>
      <c r="K532" s="124">
        <v>0.27215542199999998</v>
      </c>
    </row>
    <row r="533" spans="1:11" x14ac:dyDescent="0.3">
      <c r="A533" s="91" t="str">
        <f t="shared" si="39"/>
        <v>1.80S</v>
      </c>
      <c r="B533" s="121">
        <v>1</v>
      </c>
      <c r="C533" s="21" t="s">
        <v>63</v>
      </c>
      <c r="D533" s="21">
        <f>VLOOKUP(B533,'Thickness Tab'!$1:$1048576,MATCH(C533,'Thickness Tab'!$1:$1,0),0)</f>
        <v>4.55</v>
      </c>
      <c r="E533" s="55">
        <v>0.12700586360000002</v>
      </c>
      <c r="F533" s="55">
        <v>9.9790321400000007E-2</v>
      </c>
      <c r="G533" s="55">
        <v>0.20411656650000001</v>
      </c>
      <c r="H533" s="651">
        <v>0</v>
      </c>
      <c r="I533" s="55">
        <v>0.16329325320000002</v>
      </c>
      <c r="J533" s="55">
        <v>0.35380204860000003</v>
      </c>
      <c r="K533" s="124">
        <v>0.35380204860000003</v>
      </c>
    </row>
    <row r="534" spans="1:11" x14ac:dyDescent="0.3">
      <c r="A534" s="91" t="str">
        <f t="shared" si="39"/>
        <v>1,25.80S</v>
      </c>
      <c r="B534" s="121">
        <v>1.25</v>
      </c>
      <c r="C534" s="21" t="s">
        <v>63</v>
      </c>
      <c r="D534" s="21">
        <f>VLOOKUP(B534,'Thickness Tab'!$1:$1048576,MATCH(C534,'Thickness Tab'!$1:$1,0),0)</f>
        <v>4.8499999999999996</v>
      </c>
      <c r="E534" s="55">
        <v>0.18143694800000001</v>
      </c>
      <c r="F534" s="55">
        <v>0.17690102430000001</v>
      </c>
      <c r="G534" s="55">
        <v>0.34926612490000003</v>
      </c>
      <c r="H534" s="651">
        <v>0</v>
      </c>
      <c r="I534" s="55">
        <v>0.22679618500000001</v>
      </c>
      <c r="J534" s="651">
        <v>0</v>
      </c>
      <c r="K534" s="652">
        <v>0</v>
      </c>
    </row>
    <row r="535" spans="1:11" x14ac:dyDescent="0.3">
      <c r="A535" s="91" t="str">
        <f t="shared" si="39"/>
        <v>1,5.80S</v>
      </c>
      <c r="B535" s="121">
        <v>1.5</v>
      </c>
      <c r="C535" s="21" t="s">
        <v>63</v>
      </c>
      <c r="D535" s="21">
        <f>VLOOKUP(B535,'Thickness Tab'!$1:$1048576,MATCH(C535,'Thickness Tab'!$1:$1,0),0)</f>
        <v>5.08</v>
      </c>
      <c r="E535" s="55">
        <v>0.22226026130000001</v>
      </c>
      <c r="F535" s="55">
        <v>0.25401172720000004</v>
      </c>
      <c r="G535" s="55">
        <v>0.49895160700000007</v>
      </c>
      <c r="H535" s="55">
        <v>0.34019427750000003</v>
      </c>
      <c r="I535" s="55">
        <v>0.34473020120000003</v>
      </c>
      <c r="J535" s="55">
        <v>0.95254397700000004</v>
      </c>
      <c r="K535" s="124">
        <v>0.95254397700000004</v>
      </c>
    </row>
    <row r="536" spans="1:11" x14ac:dyDescent="0.3">
      <c r="A536" s="91" t="str">
        <f t="shared" si="39"/>
        <v>2.80S</v>
      </c>
      <c r="B536" s="121">
        <v>2</v>
      </c>
      <c r="C536" s="21" t="s">
        <v>63</v>
      </c>
      <c r="D536" s="21">
        <f>VLOOKUP(B536,'Thickness Tab'!$1:$1048576,MATCH(C536,'Thickness Tab'!$1:$1,0),0)</f>
        <v>5.54</v>
      </c>
      <c r="E536" s="55">
        <v>0.31297873529999998</v>
      </c>
      <c r="F536" s="55">
        <v>0.45359237000000002</v>
      </c>
      <c r="G536" s="55">
        <v>0.95254397700000004</v>
      </c>
      <c r="H536" s="55">
        <v>0.63502931799999995</v>
      </c>
      <c r="I536" s="55">
        <v>0.54431084399999996</v>
      </c>
      <c r="J536" s="55">
        <v>1.8597287169999999</v>
      </c>
      <c r="K536" s="124">
        <v>1.8597287169999999</v>
      </c>
    </row>
    <row r="537" spans="1:11" x14ac:dyDescent="0.3">
      <c r="A537" s="91" t="str">
        <f t="shared" si="39"/>
        <v>2,5.80S</v>
      </c>
      <c r="B537" s="121">
        <v>2.5</v>
      </c>
      <c r="C537" s="21" t="s">
        <v>63</v>
      </c>
      <c r="D537" s="21">
        <f>VLOOKUP(B537,'Thickness Tab'!$1:$1048576,MATCH(C537,'Thickness Tab'!$1:$1,0),0)</f>
        <v>7.01</v>
      </c>
      <c r="E537" s="55">
        <v>0.45359237000000002</v>
      </c>
      <c r="F537" s="55">
        <v>0.90718474000000004</v>
      </c>
      <c r="G537" s="55">
        <v>1.8143694800000001</v>
      </c>
      <c r="H537" s="55">
        <v>1.1793401620000001</v>
      </c>
      <c r="I537" s="55">
        <v>0.99790321400000015</v>
      </c>
      <c r="J537" s="55">
        <v>3.0844281160000002</v>
      </c>
      <c r="K537" s="124">
        <v>3.0844281160000002</v>
      </c>
    </row>
    <row r="538" spans="1:11" x14ac:dyDescent="0.3">
      <c r="A538" s="91" t="str">
        <f t="shared" si="39"/>
        <v>3.80S</v>
      </c>
      <c r="B538" s="121">
        <v>3</v>
      </c>
      <c r="C538" s="21" t="s">
        <v>63</v>
      </c>
      <c r="D538" s="21">
        <f>VLOOKUP(B538,'Thickness Tab'!$1:$1048576,MATCH(C538,'Thickness Tab'!$1:$1,0),0)</f>
        <v>7.62</v>
      </c>
      <c r="E538" s="55">
        <v>0.86182550300000005</v>
      </c>
      <c r="F538" s="55">
        <v>1.4514955840000001</v>
      </c>
      <c r="G538" s="55">
        <v>2.8576319310000002</v>
      </c>
      <c r="H538" s="55">
        <v>1.9050879540000001</v>
      </c>
      <c r="I538" s="55">
        <v>1.3607771100000001</v>
      </c>
      <c r="J538" s="55">
        <v>4.5359237000000006</v>
      </c>
      <c r="K538" s="124">
        <v>4.5359237000000006</v>
      </c>
    </row>
    <row r="539" spans="1:11" x14ac:dyDescent="0.3">
      <c r="A539" s="91" t="str">
        <f t="shared" si="39"/>
        <v>3,5.80S</v>
      </c>
      <c r="B539" s="121">
        <v>3.5</v>
      </c>
      <c r="C539" s="21" t="s">
        <v>63</v>
      </c>
      <c r="D539" s="21">
        <f>VLOOKUP(B539,'Thickness Tab'!$1:$1048576,MATCH(C539,'Thickness Tab'!$1:$1,0),0)</f>
        <v>8.08</v>
      </c>
      <c r="E539" s="55">
        <v>1.3154178730000001</v>
      </c>
      <c r="F539" s="55">
        <v>2.0411656650000003</v>
      </c>
      <c r="G539" s="55">
        <v>4.0823313300000006</v>
      </c>
      <c r="H539" s="55">
        <v>2.7215542200000002</v>
      </c>
      <c r="I539" s="55">
        <v>1.9050879540000001</v>
      </c>
      <c r="J539" s="55">
        <v>6.3502931800000004</v>
      </c>
      <c r="K539" s="124">
        <v>6.3502931800000004</v>
      </c>
    </row>
    <row r="540" spans="1:11" x14ac:dyDescent="0.3">
      <c r="A540" s="91" t="str">
        <f t="shared" si="39"/>
        <v>4.80S</v>
      </c>
      <c r="B540" s="121">
        <v>4</v>
      </c>
      <c r="C540" s="21" t="s">
        <v>63</v>
      </c>
      <c r="D540" s="21">
        <f>VLOOKUP(B540,'Thickness Tab'!$1:$1048576,MATCH(C540,'Thickness Tab'!$1:$1,0),0)</f>
        <v>8.56</v>
      </c>
      <c r="E540" s="55">
        <v>1.5875732950000001</v>
      </c>
      <c r="F540" s="55">
        <v>2.8122726940000002</v>
      </c>
      <c r="G540" s="55">
        <v>5.7152638620000005</v>
      </c>
      <c r="H540" s="55">
        <v>3.7194574339999997</v>
      </c>
      <c r="I540" s="55">
        <v>2.2679618500000003</v>
      </c>
      <c r="J540" s="55">
        <v>8.6182550300000003</v>
      </c>
      <c r="K540" s="124">
        <v>8.6182550300000003</v>
      </c>
    </row>
    <row r="541" spans="1:11" x14ac:dyDescent="0.3">
      <c r="A541" s="91" t="str">
        <f t="shared" si="39"/>
        <v>5.80S</v>
      </c>
      <c r="B541" s="121">
        <v>5</v>
      </c>
      <c r="C541" s="21" t="s">
        <v>63</v>
      </c>
      <c r="D541" s="21">
        <f>VLOOKUP(B541,'Thickness Tab'!$1:$1048576,MATCH(C541,'Thickness Tab'!$1:$1,0),0)</f>
        <v>9.5299999999999994</v>
      </c>
      <c r="E541" s="55">
        <v>2.6333993807530818</v>
      </c>
      <c r="F541" s="55">
        <v>4.9943781359110169</v>
      </c>
      <c r="G541" s="55">
        <v>9.9887562718220337</v>
      </c>
      <c r="H541" s="55">
        <v>6.3564812638867485</v>
      </c>
      <c r="I541" s="55">
        <v>3.9046956335304315</v>
      </c>
      <c r="J541" s="55">
        <v>12.712962527773497</v>
      </c>
      <c r="K541" s="124">
        <v>12.712962527773497</v>
      </c>
    </row>
    <row r="542" spans="1:11" x14ac:dyDescent="0.3">
      <c r="A542" s="91" t="str">
        <f t="shared" si="39"/>
        <v>6.80S</v>
      </c>
      <c r="B542" s="121">
        <v>6</v>
      </c>
      <c r="C542" s="21" t="s">
        <v>63</v>
      </c>
      <c r="D542" s="21">
        <f>VLOOKUP(B542,'Thickness Tab'!$1:$1048576,MATCH(C542,'Thickness Tab'!$1:$1,0),0)</f>
        <v>10.97</v>
      </c>
      <c r="E542" s="55">
        <v>4.2637682780000006</v>
      </c>
      <c r="F542" s="55">
        <v>8.1646626600000012</v>
      </c>
      <c r="G542" s="55">
        <v>16.329325320000002</v>
      </c>
      <c r="H542" s="55">
        <v>10.43262451</v>
      </c>
      <c r="I542" s="55">
        <v>5.8967008100000005</v>
      </c>
      <c r="J542" s="55">
        <v>19.05087954</v>
      </c>
      <c r="K542" s="124">
        <v>19.05087954</v>
      </c>
    </row>
    <row r="543" spans="1:11" x14ac:dyDescent="0.3">
      <c r="A543" s="91" t="str">
        <f t="shared" si="39"/>
        <v>8.80S</v>
      </c>
      <c r="B543" s="121">
        <v>8</v>
      </c>
      <c r="C543" s="21" t="s">
        <v>63</v>
      </c>
      <c r="D543" s="21">
        <f>VLOOKUP(B543,'Thickness Tab'!$1:$1048576,MATCH(C543,'Thickness Tab'!$1:$1,0),0)</f>
        <v>12.7</v>
      </c>
      <c r="E543" s="55">
        <v>7.7110702900000003</v>
      </c>
      <c r="F543" s="55">
        <v>16.329325320000002</v>
      </c>
      <c r="G543" s="55">
        <v>33.11224301</v>
      </c>
      <c r="H543" s="55">
        <v>21.772433760000002</v>
      </c>
      <c r="I543" s="55">
        <v>9.979032140000001</v>
      </c>
      <c r="J543" s="55">
        <v>34.473020120000001</v>
      </c>
      <c r="K543" s="124">
        <v>34.473020120000001</v>
      </c>
    </row>
    <row r="544" spans="1:11" x14ac:dyDescent="0.3">
      <c r="A544" s="91" t="str">
        <f t="shared" si="39"/>
        <v>10.80S</v>
      </c>
      <c r="B544" s="121">
        <v>10</v>
      </c>
      <c r="C544" s="21" t="s">
        <v>63</v>
      </c>
      <c r="D544" s="21">
        <f>VLOOKUP(B544,'Thickness Tab'!$1:$1048576,MATCH(C544,'Thickness Tab'!$1:$1,0),0)</f>
        <v>12.7</v>
      </c>
      <c r="E544" s="55">
        <v>13.879050907594673</v>
      </c>
      <c r="F544" s="55">
        <v>26.987043431434085</v>
      </c>
      <c r="G544" s="55">
        <v>52.046440903480018</v>
      </c>
      <c r="H544" s="55">
        <v>33.926568885231418</v>
      </c>
      <c r="I544" s="55">
        <v>14.650109291349931</v>
      </c>
      <c r="J544" s="55">
        <v>62.07019989229839</v>
      </c>
      <c r="K544" s="124">
        <v>62.07019989229839</v>
      </c>
    </row>
    <row r="545" spans="1:11" x14ac:dyDescent="0.3">
      <c r="A545" s="91" t="str">
        <f t="shared" si="39"/>
        <v>12.80S</v>
      </c>
      <c r="B545" s="121">
        <v>12</v>
      </c>
      <c r="C545" s="21" t="s">
        <v>63</v>
      </c>
      <c r="D545" s="21">
        <f>VLOOKUP(B545,'Thickness Tab'!$1:$1048576,MATCH(C545,'Thickness Tab'!$1:$1,0),0)</f>
        <v>12.7</v>
      </c>
      <c r="E545" s="55">
        <v>19.757722222411576</v>
      </c>
      <c r="F545" s="55">
        <v>38.510814501310698</v>
      </c>
      <c r="G545" s="55">
        <v>75.347245763433975</v>
      </c>
      <c r="H545" s="55">
        <v>48.891990584272705</v>
      </c>
      <c r="I545" s="55">
        <v>19.757722222411576</v>
      </c>
      <c r="J545" s="55">
        <v>82.044778720183658</v>
      </c>
      <c r="K545" s="124">
        <v>82.044778720183658</v>
      </c>
    </row>
    <row r="546" spans="1:11" x14ac:dyDescent="0.3">
      <c r="A546" s="91" t="str">
        <f t="shared" si="39"/>
        <v>14.80S</v>
      </c>
      <c r="B546" s="121">
        <v>14</v>
      </c>
      <c r="C546" s="21" t="s">
        <v>63</v>
      </c>
      <c r="D546" s="21">
        <f>VLOOKUP(B546,'Thickness Tab'!$1:$1048576,MATCH(C546,'Thickness Tab'!$1:$1,0),0)</f>
        <v>12.7</v>
      </c>
      <c r="E546" s="55">
        <v>23.415636307924533</v>
      </c>
      <c r="F546" s="55">
        <v>47.447473571320764</v>
      </c>
      <c r="G546" s="55">
        <v>97.051650486792468</v>
      </c>
      <c r="H546" s="55">
        <v>63.160597935849069</v>
      </c>
      <c r="I546" s="55">
        <v>35.43155493962265</v>
      </c>
      <c r="J546" s="55">
        <v>113.68907628452831</v>
      </c>
      <c r="K546" s="124">
        <v>113.68907628452831</v>
      </c>
    </row>
    <row r="547" spans="1:11" x14ac:dyDescent="0.3">
      <c r="A547" s="91" t="str">
        <f t="shared" si="39"/>
        <v>16.80S</v>
      </c>
      <c r="B547" s="121">
        <v>16</v>
      </c>
      <c r="C547" s="21" t="s">
        <v>63</v>
      </c>
      <c r="D547" s="21">
        <f>VLOOKUP(B547,'Thickness Tab'!$1:$1048576,MATCH(C547,'Thickness Tab'!$1:$1,0),0)</f>
        <v>12.7</v>
      </c>
      <c r="E547" s="55">
        <v>28.852522521482584</v>
      </c>
      <c r="F547" s="55">
        <v>63.200763618485666</v>
      </c>
      <c r="G547" s="55">
        <v>126.40152723697133</v>
      </c>
      <c r="H547" s="55">
        <v>82.435778632807384</v>
      </c>
      <c r="I547" s="55">
        <v>43.690962675387915</v>
      </c>
      <c r="J547" s="55">
        <v>150.58268896926148</v>
      </c>
      <c r="K547" s="124">
        <v>150.58268896926148</v>
      </c>
    </row>
    <row r="548" spans="1:11" x14ac:dyDescent="0.3">
      <c r="A548" s="91" t="str">
        <f t="shared" si="39"/>
        <v>18.80S</v>
      </c>
      <c r="B548" s="121">
        <v>18</v>
      </c>
      <c r="C548" s="21" t="s">
        <v>63</v>
      </c>
      <c r="D548" s="21">
        <f>VLOOKUP(B548,'Thickness Tab'!$1:$1048576,MATCH(C548,'Thickness Tab'!$1:$1,0),0)</f>
        <v>12.7</v>
      </c>
      <c r="E548" s="55">
        <v>36.958715835089833</v>
      </c>
      <c r="F548" s="55">
        <v>79.374423269991595</v>
      </c>
      <c r="G548" s="55">
        <v>158.74884653998319</v>
      </c>
      <c r="H548" s="55">
        <v>104.67502068730141</v>
      </c>
      <c r="I548" s="55">
        <v>52.833600489088148</v>
      </c>
      <c r="J548" s="55">
        <v>176.11200163029383</v>
      </c>
      <c r="K548" s="124">
        <v>176.11200163029383</v>
      </c>
    </row>
    <row r="549" spans="1:11" x14ac:dyDescent="0.3">
      <c r="A549" s="91" t="str">
        <f t="shared" si="39"/>
        <v>20.80S</v>
      </c>
      <c r="B549" s="121">
        <v>20</v>
      </c>
      <c r="C549" s="21" t="s">
        <v>63</v>
      </c>
      <c r="D549" s="21">
        <f>VLOOKUP(B549,'Thickness Tab'!$1:$1048576,MATCH(C549,'Thickness Tab'!$1:$1,0),0)</f>
        <v>12.7</v>
      </c>
      <c r="E549" s="55">
        <v>45.448812352995297</v>
      </c>
      <c r="F549" s="55">
        <v>99.489937489143927</v>
      </c>
      <c r="G549" s="55">
        <v>196.71874003535277</v>
      </c>
      <c r="H549" s="55">
        <v>129.56303223018062</v>
      </c>
      <c r="I549" s="55">
        <v>78.687496014141104</v>
      </c>
      <c r="J549" s="55">
        <v>230.86187767367261</v>
      </c>
      <c r="K549" s="124">
        <v>230.86187767367261</v>
      </c>
    </row>
    <row r="550" spans="1:11" x14ac:dyDescent="0.3">
      <c r="A550" s="91" t="str">
        <f t="shared" si="39"/>
        <v>22.80S</v>
      </c>
      <c r="B550" s="121">
        <v>22</v>
      </c>
      <c r="C550" s="21" t="s">
        <v>63</v>
      </c>
      <c r="D550" s="21">
        <f>VLOOKUP(B550,'Thickness Tab'!$1:$1048576,MATCH(C550,'Thickness Tab'!$1:$1,0),0)</f>
        <v>12.7</v>
      </c>
      <c r="E550" s="55">
        <v>49.895160700000005</v>
      </c>
      <c r="F550" s="55">
        <v>117.9340162</v>
      </c>
      <c r="G550" s="55">
        <v>235.8680324</v>
      </c>
      <c r="H550" s="651">
        <v>0</v>
      </c>
      <c r="I550" s="55">
        <v>86.636142669999998</v>
      </c>
      <c r="J550" s="55">
        <v>367.86341207000004</v>
      </c>
      <c r="K550" s="124">
        <v>367.86341207000004</v>
      </c>
    </row>
    <row r="551" spans="1:11" x14ac:dyDescent="0.3">
      <c r="A551" s="91" t="str">
        <f t="shared" si="39"/>
        <v>24.80S</v>
      </c>
      <c r="B551" s="121">
        <v>24</v>
      </c>
      <c r="C551" s="21" t="s">
        <v>63</v>
      </c>
      <c r="D551" s="21">
        <f>VLOOKUP(B551,'Thickness Tab'!$1:$1048576,MATCH(C551,'Thickness Tab'!$1:$1,0),0)</f>
        <v>12.7</v>
      </c>
      <c r="E551" s="55">
        <v>65.642897447652814</v>
      </c>
      <c r="F551" s="55">
        <v>141.07464802346439</v>
      </c>
      <c r="G551" s="55">
        <v>282.14929604692878</v>
      </c>
      <c r="H551" s="55">
        <v>187.52371580806081</v>
      </c>
      <c r="I551" s="55">
        <v>94.049765348976251</v>
      </c>
      <c r="J551" s="55">
        <v>321.11277026293322</v>
      </c>
      <c r="K551" s="124">
        <v>321.11277026293322</v>
      </c>
    </row>
    <row r="552" spans="1:11" x14ac:dyDescent="0.3">
      <c r="A552" s="91" t="str">
        <f t="shared" si="39"/>
        <v>26.80S</v>
      </c>
      <c r="B552" s="121">
        <v>26</v>
      </c>
      <c r="C552" s="21" t="s">
        <v>63</v>
      </c>
      <c r="D552" s="21">
        <f>VLOOKUP(B552,'Thickness Tab'!$1:$1048576,MATCH(C552,'Thickness Tab'!$1:$1,0),0)</f>
        <v>650</v>
      </c>
      <c r="E552" s="651">
        <f t="shared" ref="E552:K557" si="40">+E551*1.15</f>
        <v>75.489332064800735</v>
      </c>
      <c r="F552" s="651">
        <f t="shared" si="40"/>
        <v>162.23584522698403</v>
      </c>
      <c r="G552" s="651">
        <f t="shared" si="40"/>
        <v>324.47169045396805</v>
      </c>
      <c r="H552" s="651">
        <f t="shared" si="40"/>
        <v>215.65227317926991</v>
      </c>
      <c r="I552" s="651">
        <f t="shared" si="40"/>
        <v>108.15723015132268</v>
      </c>
      <c r="J552" s="651">
        <f t="shared" si="40"/>
        <v>369.27968580237319</v>
      </c>
      <c r="K552" s="651">
        <f t="shared" si="40"/>
        <v>369.27968580237319</v>
      </c>
    </row>
    <row r="553" spans="1:11" x14ac:dyDescent="0.3">
      <c r="A553" s="91" t="str">
        <f t="shared" si="39"/>
        <v>28.80S</v>
      </c>
      <c r="B553" s="121">
        <v>28</v>
      </c>
      <c r="C553" s="21" t="s">
        <v>63</v>
      </c>
      <c r="D553" s="21">
        <f>VLOOKUP(B553,'Thickness Tab'!$1:$1048576,MATCH(C553,'Thickness Tab'!$1:$1,0),0)</f>
        <v>700</v>
      </c>
      <c r="E553" s="651">
        <f t="shared" si="40"/>
        <v>86.812731874520836</v>
      </c>
      <c r="F553" s="651">
        <f t="shared" si="40"/>
        <v>186.57122201103161</v>
      </c>
      <c r="G553" s="651">
        <f t="shared" si="40"/>
        <v>373.14244402206322</v>
      </c>
      <c r="H553" s="651">
        <f t="shared" si="40"/>
        <v>248.00011415616038</v>
      </c>
      <c r="I553" s="651">
        <f t="shared" si="40"/>
        <v>124.38081467402107</v>
      </c>
      <c r="J553" s="651">
        <f t="shared" si="40"/>
        <v>424.67163867272916</v>
      </c>
      <c r="K553" s="651">
        <f t="shared" si="40"/>
        <v>424.67163867272916</v>
      </c>
    </row>
    <row r="554" spans="1:11" x14ac:dyDescent="0.3">
      <c r="A554" s="91" t="str">
        <f t="shared" si="39"/>
        <v>30.80S</v>
      </c>
      <c r="B554" s="121">
        <v>30</v>
      </c>
      <c r="C554" s="21" t="s">
        <v>63</v>
      </c>
      <c r="D554" s="21">
        <f>VLOOKUP(B554,'Thickness Tab'!$1:$1048576,MATCH(C554,'Thickness Tab'!$1:$1,0),0)</f>
        <v>750</v>
      </c>
      <c r="E554" s="651">
        <f t="shared" si="40"/>
        <v>99.83464165569896</v>
      </c>
      <c r="F554" s="651">
        <f t="shared" si="40"/>
        <v>214.55690531268633</v>
      </c>
      <c r="G554" s="651">
        <f t="shared" si="40"/>
        <v>429.11381062537265</v>
      </c>
      <c r="H554" s="651">
        <f t="shared" si="40"/>
        <v>285.20013127958441</v>
      </c>
      <c r="I554" s="651">
        <f t="shared" si="40"/>
        <v>143.03793687512422</v>
      </c>
      <c r="J554" s="651">
        <f t="shared" si="40"/>
        <v>488.37238447363848</v>
      </c>
      <c r="K554" s="651">
        <f t="shared" si="40"/>
        <v>488.37238447363848</v>
      </c>
    </row>
    <row r="555" spans="1:11" x14ac:dyDescent="0.3">
      <c r="A555" s="91" t="str">
        <f t="shared" si="39"/>
        <v>32.80S</v>
      </c>
      <c r="B555" s="121">
        <v>32</v>
      </c>
      <c r="C555" s="21" t="s">
        <v>63</v>
      </c>
      <c r="D555" s="21">
        <f>VLOOKUP(B555,'Thickness Tab'!$1:$1048576,MATCH(C555,'Thickness Tab'!$1:$1,0),0)</f>
        <v>800</v>
      </c>
      <c r="E555" s="651">
        <f t="shared" si="40"/>
        <v>114.80983790405379</v>
      </c>
      <c r="F555" s="651">
        <f t="shared" si="40"/>
        <v>246.74044110958926</v>
      </c>
      <c r="G555" s="651">
        <f t="shared" si="40"/>
        <v>493.48088221917851</v>
      </c>
      <c r="H555" s="651">
        <f t="shared" si="40"/>
        <v>327.98015097152205</v>
      </c>
      <c r="I555" s="651">
        <f t="shared" si="40"/>
        <v>164.49362740639285</v>
      </c>
      <c r="J555" s="651">
        <f t="shared" si="40"/>
        <v>561.62824214468424</v>
      </c>
      <c r="K555" s="651">
        <f t="shared" si="40"/>
        <v>561.62824214468424</v>
      </c>
    </row>
    <row r="556" spans="1:11" x14ac:dyDescent="0.3">
      <c r="A556" s="91" t="str">
        <f t="shared" si="39"/>
        <v>34.80S</v>
      </c>
      <c r="B556" s="121">
        <v>34</v>
      </c>
      <c r="C556" s="21" t="s">
        <v>63</v>
      </c>
      <c r="D556" s="21">
        <f>VLOOKUP(B556,'Thickness Tab'!$1:$1048576,MATCH(C556,'Thickness Tab'!$1:$1,0),0)</f>
        <v>850</v>
      </c>
      <c r="E556" s="651">
        <f t="shared" si="40"/>
        <v>132.03131358966186</v>
      </c>
      <c r="F556" s="651">
        <f t="shared" si="40"/>
        <v>283.75150727602761</v>
      </c>
      <c r="G556" s="651">
        <f t="shared" si="40"/>
        <v>567.50301455205522</v>
      </c>
      <c r="H556" s="651">
        <f t="shared" si="40"/>
        <v>377.17717361725033</v>
      </c>
      <c r="I556" s="651">
        <f t="shared" si="40"/>
        <v>189.16767151735175</v>
      </c>
      <c r="J556" s="651">
        <f t="shared" si="40"/>
        <v>645.87247846638684</v>
      </c>
      <c r="K556" s="651">
        <f t="shared" si="40"/>
        <v>645.87247846638684</v>
      </c>
    </row>
    <row r="557" spans="1:11" x14ac:dyDescent="0.3">
      <c r="A557" s="91" t="str">
        <f t="shared" si="39"/>
        <v>36.80S</v>
      </c>
      <c r="B557" s="121">
        <v>36</v>
      </c>
      <c r="C557" s="21" t="s">
        <v>63</v>
      </c>
      <c r="D557" s="21">
        <f>VLOOKUP(B557,'Thickness Tab'!$1:$1048576,MATCH(C557,'Thickness Tab'!$1:$1,0),0)</f>
        <v>900</v>
      </c>
      <c r="E557" s="651">
        <f t="shared" si="40"/>
        <v>151.83601062811113</v>
      </c>
      <c r="F557" s="651">
        <f t="shared" si="40"/>
        <v>326.31423336743171</v>
      </c>
      <c r="G557" s="651">
        <f t="shared" si="40"/>
        <v>652.62846673486342</v>
      </c>
      <c r="H557" s="651">
        <f t="shared" si="40"/>
        <v>433.75374965983787</v>
      </c>
      <c r="I557" s="651">
        <f t="shared" si="40"/>
        <v>217.54282224495449</v>
      </c>
      <c r="J557" s="651">
        <f t="shared" si="40"/>
        <v>742.75335023634477</v>
      </c>
      <c r="K557" s="651">
        <f t="shared" si="40"/>
        <v>742.75335023634477</v>
      </c>
    </row>
    <row r="558" spans="1:11" ht="15" thickBot="1" x14ac:dyDescent="0.35">
      <c r="A558" s="94" t="str">
        <f t="shared" si="39"/>
        <v>40.80S</v>
      </c>
      <c r="B558" s="122">
        <v>40</v>
      </c>
      <c r="C558" s="23" t="s">
        <v>63</v>
      </c>
      <c r="D558" s="638">
        <f>VLOOKUP(B558,'Thickness Tab'!$1:$1048576,MATCH(C558,'Thickness Tab'!$1:$1,0),0)</f>
        <v>0</v>
      </c>
      <c r="E558" s="639">
        <v>0</v>
      </c>
      <c r="F558" s="651">
        <f t="shared" ref="F558:K559" si="41">F557*1.15</f>
        <v>375.26136837254643</v>
      </c>
      <c r="G558" s="651">
        <f t="shared" si="41"/>
        <v>750.52273674509286</v>
      </c>
      <c r="H558" s="651">
        <f t="shared" si="41"/>
        <v>498.81681210881351</v>
      </c>
      <c r="I558" s="651">
        <f t="shared" si="41"/>
        <v>250.17424558169765</v>
      </c>
      <c r="J558" s="651">
        <f t="shared" si="41"/>
        <v>854.16635277179637</v>
      </c>
      <c r="K558" s="651">
        <f t="shared" si="41"/>
        <v>854.16635277179637</v>
      </c>
    </row>
    <row r="559" spans="1:11" ht="15" thickBot="1" x14ac:dyDescent="0.35">
      <c r="A559" s="94" t="str">
        <f t="shared" si="39"/>
        <v>42.5S</v>
      </c>
      <c r="B559" s="122">
        <v>42</v>
      </c>
      <c r="C559" s="23" t="s">
        <v>4530</v>
      </c>
      <c r="D559" s="638">
        <f>VLOOKUP(B559,'Thickness Tab'!$1:$1048576,MATCH(C559,'Thickness Tab'!$1:$1,0),0)</f>
        <v>0</v>
      </c>
      <c r="E559" s="653">
        <v>0</v>
      </c>
      <c r="F559" s="653">
        <f t="shared" si="41"/>
        <v>431.55057362842837</v>
      </c>
      <c r="G559" s="653">
        <f t="shared" si="41"/>
        <v>863.10114725685673</v>
      </c>
      <c r="H559" s="653">
        <f t="shared" si="41"/>
        <v>573.63933392513547</v>
      </c>
      <c r="I559" s="653">
        <f t="shared" si="41"/>
        <v>287.70038241895224</v>
      </c>
      <c r="J559" s="653">
        <f t="shared" si="41"/>
        <v>982.2913056875658</v>
      </c>
      <c r="K559" s="653">
        <f t="shared" si="41"/>
        <v>982.2913056875658</v>
      </c>
    </row>
  </sheetData>
  <autoFilter ref="A1:K558" xr:uid="{00000000-0009-0000-0000-00001E000000}"/>
  <conditionalFormatting sqref="A1:K1048576">
    <cfRule type="cellIs" dxfId="0" priority="1" operator="equal">
      <formula>0</formula>
    </cfRule>
  </conditionalFormatting>
  <pageMargins left="0.7" right="0.7" top="0.75" bottom="0.75" header="0.3" footer="0.3"/>
  <pageSetup paperSize="9" scale="77" fitToHeight="0" orientation="portrait" r:id="rId1"/>
  <headerFooter>
    <oddHeader>&amp;R&amp;"Calibri"&amp;8 Document classified as: 2 - Company Confidential&amp;1#</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Foglio25">
    <tabColor rgb="FFFF0000"/>
    <pageSetUpPr fitToPage="1"/>
  </sheetPr>
  <dimension ref="A1:V34"/>
  <sheetViews>
    <sheetView workbookViewId="0">
      <selection activeCell="A35" sqref="A35"/>
    </sheetView>
  </sheetViews>
  <sheetFormatPr defaultRowHeight="14.4" x14ac:dyDescent="0.3"/>
  <cols>
    <col min="1" max="1" width="9.21875" style="2"/>
    <col min="22" max="22" width="11.5546875" bestFit="1" customWidth="1"/>
  </cols>
  <sheetData>
    <row r="1" spans="1:22" x14ac:dyDescent="0.3">
      <c r="A1" s="1463" t="s">
        <v>1685</v>
      </c>
      <c r="B1" s="1418" t="s">
        <v>4533</v>
      </c>
      <c r="C1" s="1464" t="s">
        <v>4534</v>
      </c>
      <c r="D1" s="13">
        <v>10</v>
      </c>
      <c r="E1" s="13">
        <v>20</v>
      </c>
      <c r="F1" s="13">
        <v>30</v>
      </c>
      <c r="G1" s="13" t="s">
        <v>65</v>
      </c>
      <c r="H1" s="13">
        <v>40</v>
      </c>
      <c r="I1" s="13">
        <v>60</v>
      </c>
      <c r="J1" s="13" t="s">
        <v>66</v>
      </c>
      <c r="K1" s="13">
        <v>80</v>
      </c>
      <c r="L1" s="13">
        <v>100</v>
      </c>
      <c r="M1" s="13">
        <v>120</v>
      </c>
      <c r="N1" s="13">
        <v>140</v>
      </c>
      <c r="O1" s="13">
        <v>160</v>
      </c>
      <c r="P1" s="14" t="s">
        <v>4144</v>
      </c>
      <c r="Q1" s="1550" t="s">
        <v>4530</v>
      </c>
      <c r="R1" s="1433" t="s">
        <v>4531</v>
      </c>
      <c r="S1" s="1433" t="s">
        <v>4532</v>
      </c>
      <c r="T1" s="1433" t="s">
        <v>64</v>
      </c>
      <c r="U1" s="1434" t="s">
        <v>63</v>
      </c>
      <c r="V1" s="1419" t="s">
        <v>4535</v>
      </c>
    </row>
    <row r="2" spans="1:22" x14ac:dyDescent="0.3">
      <c r="A2" s="1667" t="s">
        <v>1082</v>
      </c>
      <c r="B2" s="1546" t="s">
        <v>93</v>
      </c>
      <c r="C2" s="1668" t="s">
        <v>93</v>
      </c>
      <c r="D2" s="1364" t="s">
        <v>93</v>
      </c>
      <c r="E2" s="1364" t="s">
        <v>93</v>
      </c>
      <c r="F2" s="1364" t="s">
        <v>93</v>
      </c>
      <c r="G2" s="1364" t="s">
        <v>93</v>
      </c>
      <c r="H2" s="1364" t="s">
        <v>93</v>
      </c>
      <c r="I2" s="1364" t="s">
        <v>93</v>
      </c>
      <c r="J2" s="1364" t="s">
        <v>93</v>
      </c>
      <c r="K2" s="1364" t="s">
        <v>93</v>
      </c>
      <c r="L2" s="1364" t="s">
        <v>93</v>
      </c>
      <c r="M2" s="1364" t="s">
        <v>93</v>
      </c>
      <c r="N2" s="1364" t="s">
        <v>93</v>
      </c>
      <c r="O2" s="1364" t="s">
        <v>93</v>
      </c>
      <c r="P2" s="1365" t="s">
        <v>93</v>
      </c>
      <c r="Q2" s="1366" t="s">
        <v>93</v>
      </c>
      <c r="R2" s="1364" t="s">
        <v>93</v>
      </c>
      <c r="S2" s="1364" t="s">
        <v>93</v>
      </c>
      <c r="T2" s="1364" t="s">
        <v>93</v>
      </c>
      <c r="U2" s="1365" t="s">
        <v>93</v>
      </c>
      <c r="V2" s="1669" t="s">
        <v>214</v>
      </c>
    </row>
    <row r="3" spans="1:22" x14ac:dyDescent="0.3">
      <c r="A3" s="18">
        <v>0.125</v>
      </c>
      <c r="B3" s="19">
        <v>3</v>
      </c>
      <c r="C3" s="15">
        <v>10.3</v>
      </c>
      <c r="D3" s="11">
        <v>1.24</v>
      </c>
      <c r="E3" s="11"/>
      <c r="F3" s="11">
        <v>1.45</v>
      </c>
      <c r="G3" s="11">
        <v>1.73</v>
      </c>
      <c r="H3" s="11">
        <v>1.73</v>
      </c>
      <c r="I3" s="11"/>
      <c r="J3" s="11">
        <v>2.41</v>
      </c>
      <c r="K3" s="11">
        <v>2.41</v>
      </c>
      <c r="L3" s="11"/>
      <c r="M3" s="11"/>
      <c r="N3" s="11"/>
      <c r="O3" s="11"/>
      <c r="P3" s="12"/>
      <c r="Q3" s="623"/>
      <c r="R3" s="617"/>
      <c r="S3" s="617"/>
      <c r="T3" s="617"/>
      <c r="U3" s="624"/>
      <c r="V3" s="620">
        <f>C3*PI()/25.4</f>
        <v>1.2739529264557037</v>
      </c>
    </row>
    <row r="4" spans="1:22" x14ac:dyDescent="0.3">
      <c r="A4" s="20">
        <v>0.25</v>
      </c>
      <c r="B4" s="21">
        <v>6</v>
      </c>
      <c r="C4" s="16">
        <v>13.7</v>
      </c>
      <c r="D4" s="7">
        <v>1.65</v>
      </c>
      <c r="E4" s="7"/>
      <c r="F4" s="7">
        <v>1.85</v>
      </c>
      <c r="G4" s="7">
        <v>2.2400000000000002</v>
      </c>
      <c r="H4" s="7">
        <v>2.2400000000000002</v>
      </c>
      <c r="I4" s="7"/>
      <c r="J4" s="7">
        <v>3.02</v>
      </c>
      <c r="K4" s="7">
        <v>3.02</v>
      </c>
      <c r="L4" s="7"/>
      <c r="M4" s="7"/>
      <c r="N4" s="7"/>
      <c r="O4" s="7"/>
      <c r="P4" s="8"/>
      <c r="Q4" s="625">
        <v>1</v>
      </c>
      <c r="R4" s="618">
        <v>1.2</v>
      </c>
      <c r="S4" s="618">
        <v>1.5</v>
      </c>
      <c r="T4" s="618">
        <v>1.73</v>
      </c>
      <c r="U4" s="626">
        <v>2.41</v>
      </c>
      <c r="V4" s="621">
        <f t="shared" ref="V4:V34" si="0">C4*PI()/25.4</f>
        <v>1.6944810769362268</v>
      </c>
    </row>
    <row r="5" spans="1:22" x14ac:dyDescent="0.3">
      <c r="A5" s="20">
        <v>0.375</v>
      </c>
      <c r="B5" s="21">
        <v>10</v>
      </c>
      <c r="C5" s="16">
        <v>17.100000000000001</v>
      </c>
      <c r="D5" s="7">
        <v>1.65</v>
      </c>
      <c r="E5" s="7"/>
      <c r="F5" s="7">
        <v>1.85</v>
      </c>
      <c r="G5" s="7">
        <v>2.31</v>
      </c>
      <c r="H5" s="7">
        <v>2.31</v>
      </c>
      <c r="I5" s="7"/>
      <c r="J5" s="7">
        <v>3.2</v>
      </c>
      <c r="K5" s="7">
        <v>3.2</v>
      </c>
      <c r="L5" s="7"/>
      <c r="M5" s="7"/>
      <c r="N5" s="7"/>
      <c r="O5" s="7"/>
      <c r="P5" s="8"/>
      <c r="Q5" s="625">
        <v>1.2</v>
      </c>
      <c r="R5" s="618">
        <v>1.65</v>
      </c>
      <c r="S5" s="618">
        <v>2</v>
      </c>
      <c r="T5" s="618">
        <v>2.31</v>
      </c>
      <c r="U5" s="626">
        <v>3.2</v>
      </c>
      <c r="V5" s="621">
        <f t="shared" si="0"/>
        <v>2.1150092274167509</v>
      </c>
    </row>
    <row r="6" spans="1:22" x14ac:dyDescent="0.3">
      <c r="A6" s="20">
        <v>0.5</v>
      </c>
      <c r="B6" s="21">
        <v>15</v>
      </c>
      <c r="C6" s="16">
        <v>21.34</v>
      </c>
      <c r="D6" s="7">
        <v>2.11</v>
      </c>
      <c r="E6" s="7"/>
      <c r="F6" s="7">
        <v>2.41</v>
      </c>
      <c r="G6" s="7">
        <v>2.77</v>
      </c>
      <c r="H6" s="7">
        <v>2.77</v>
      </c>
      <c r="I6" s="7"/>
      <c r="J6" s="7">
        <v>3.73</v>
      </c>
      <c r="K6" s="7">
        <v>3.73</v>
      </c>
      <c r="L6" s="7"/>
      <c r="M6" s="7"/>
      <c r="N6" s="7"/>
      <c r="O6" s="7">
        <v>4.7699999999999996</v>
      </c>
      <c r="P6" s="8">
        <v>7.47</v>
      </c>
      <c r="Q6" s="625">
        <v>1.65</v>
      </c>
      <c r="R6" s="618">
        <v>2.11</v>
      </c>
      <c r="S6" s="618">
        <v>2.5</v>
      </c>
      <c r="T6" s="618">
        <v>2.77</v>
      </c>
      <c r="U6" s="626">
        <v>3.73</v>
      </c>
      <c r="V6" s="621">
        <f t="shared" si="0"/>
        <v>2.6394325680159918</v>
      </c>
    </row>
    <row r="7" spans="1:22" x14ac:dyDescent="0.3">
      <c r="A7" s="20">
        <v>0.75</v>
      </c>
      <c r="B7" s="21">
        <v>20</v>
      </c>
      <c r="C7" s="16">
        <v>26.67</v>
      </c>
      <c r="D7" s="7">
        <v>2.11</v>
      </c>
      <c r="E7" s="7"/>
      <c r="F7" s="7">
        <v>2.41</v>
      </c>
      <c r="G7" s="7">
        <v>2.87</v>
      </c>
      <c r="H7" s="7">
        <v>2.87</v>
      </c>
      <c r="I7" s="7"/>
      <c r="J7" s="7">
        <v>3.91</v>
      </c>
      <c r="K7" s="7">
        <v>3.91</v>
      </c>
      <c r="L7" s="7"/>
      <c r="M7" s="7"/>
      <c r="N7" s="7"/>
      <c r="O7" s="7">
        <v>5.56</v>
      </c>
      <c r="P7" s="8">
        <v>7.82</v>
      </c>
      <c r="Q7" s="625">
        <v>1.65</v>
      </c>
      <c r="R7" s="618">
        <v>2.11</v>
      </c>
      <c r="S7" s="618">
        <v>2.5</v>
      </c>
      <c r="T7" s="618">
        <v>2.87</v>
      </c>
      <c r="U7" s="626">
        <v>3.91</v>
      </c>
      <c r="V7" s="621">
        <f t="shared" si="0"/>
        <v>3.2986722862692828</v>
      </c>
    </row>
    <row r="8" spans="1:22" x14ac:dyDescent="0.3">
      <c r="A8" s="20">
        <v>1</v>
      </c>
      <c r="B8" s="21">
        <v>25</v>
      </c>
      <c r="C8" s="16">
        <v>33.4</v>
      </c>
      <c r="D8" s="7">
        <v>2.77</v>
      </c>
      <c r="E8" s="7"/>
      <c r="F8" s="7">
        <v>2.9</v>
      </c>
      <c r="G8" s="7">
        <v>3.38</v>
      </c>
      <c r="H8" s="7">
        <v>3.38</v>
      </c>
      <c r="I8" s="7"/>
      <c r="J8" s="7">
        <v>4.55</v>
      </c>
      <c r="K8" s="7">
        <v>4.55</v>
      </c>
      <c r="L8" s="7"/>
      <c r="M8" s="7"/>
      <c r="N8" s="7"/>
      <c r="O8" s="7">
        <v>6.35</v>
      </c>
      <c r="P8" s="8">
        <v>9.09</v>
      </c>
      <c r="Q8" s="625">
        <v>1.65</v>
      </c>
      <c r="R8" s="618">
        <v>2.77</v>
      </c>
      <c r="S8" s="618">
        <v>3</v>
      </c>
      <c r="T8" s="618">
        <v>3.38</v>
      </c>
      <c r="U8" s="626">
        <v>4.55</v>
      </c>
      <c r="V8" s="621">
        <f t="shared" si="0"/>
        <v>4.1310706547204363</v>
      </c>
    </row>
    <row r="9" spans="1:22" x14ac:dyDescent="0.3">
      <c r="A9" s="20">
        <v>1.25</v>
      </c>
      <c r="B9" s="21">
        <v>32</v>
      </c>
      <c r="C9" s="16">
        <v>42.16</v>
      </c>
      <c r="D9" s="7">
        <v>2.77</v>
      </c>
      <c r="E9" s="7"/>
      <c r="F9" s="7">
        <v>2.97</v>
      </c>
      <c r="G9" s="7">
        <v>3.56</v>
      </c>
      <c r="H9" s="7">
        <v>3.56</v>
      </c>
      <c r="I9" s="7"/>
      <c r="J9" s="7">
        <v>4.8499999999999996</v>
      </c>
      <c r="K9" s="7">
        <v>4.8499999999999996</v>
      </c>
      <c r="L9" s="7"/>
      <c r="M9" s="7"/>
      <c r="N9" s="7"/>
      <c r="O9" s="7">
        <v>6.35</v>
      </c>
      <c r="P9" s="8">
        <v>9.6999999999999993</v>
      </c>
      <c r="Q9" s="625">
        <v>1.65</v>
      </c>
      <c r="R9" s="618">
        <v>2.77</v>
      </c>
      <c r="S9" s="618">
        <v>3</v>
      </c>
      <c r="T9" s="618">
        <v>3.56</v>
      </c>
      <c r="U9" s="626">
        <v>4.8499999999999996</v>
      </c>
      <c r="V9" s="621">
        <f t="shared" si="0"/>
        <v>5.214549065958491</v>
      </c>
    </row>
    <row r="10" spans="1:22" x14ac:dyDescent="0.3">
      <c r="A10" s="20">
        <v>1.5</v>
      </c>
      <c r="B10" s="21">
        <v>40</v>
      </c>
      <c r="C10" s="16">
        <v>48.26</v>
      </c>
      <c r="D10" s="7">
        <v>2.77</v>
      </c>
      <c r="E10" s="7"/>
      <c r="F10" s="7">
        <v>3.18</v>
      </c>
      <c r="G10" s="7">
        <v>3.68</v>
      </c>
      <c r="H10" s="7">
        <v>3.68</v>
      </c>
      <c r="I10" s="7"/>
      <c r="J10" s="7">
        <v>5.08</v>
      </c>
      <c r="K10" s="7">
        <v>5.08</v>
      </c>
      <c r="L10" s="7"/>
      <c r="M10" s="7"/>
      <c r="N10" s="7"/>
      <c r="O10" s="7">
        <v>7.14</v>
      </c>
      <c r="P10" s="8">
        <v>10.16</v>
      </c>
      <c r="Q10" s="625">
        <v>1.65</v>
      </c>
      <c r="R10" s="618">
        <v>2.77</v>
      </c>
      <c r="S10" s="618">
        <v>3</v>
      </c>
      <c r="T10" s="618">
        <v>3.68</v>
      </c>
      <c r="U10" s="626">
        <v>5.08</v>
      </c>
      <c r="V10" s="621">
        <f t="shared" si="0"/>
        <v>5.9690260418206069</v>
      </c>
    </row>
    <row r="11" spans="1:22" x14ac:dyDescent="0.3">
      <c r="A11" s="20">
        <v>2</v>
      </c>
      <c r="B11" s="21">
        <v>50</v>
      </c>
      <c r="C11" s="16">
        <v>60.32</v>
      </c>
      <c r="D11" s="7">
        <v>2.77</v>
      </c>
      <c r="E11" s="7"/>
      <c r="F11" s="7">
        <v>3.18</v>
      </c>
      <c r="G11" s="7">
        <v>3.91</v>
      </c>
      <c r="H11" s="7">
        <v>3.91</v>
      </c>
      <c r="I11" s="7"/>
      <c r="J11" s="7">
        <v>5.54</v>
      </c>
      <c r="K11" s="7">
        <v>5.54</v>
      </c>
      <c r="L11" s="7"/>
      <c r="M11" s="7"/>
      <c r="N11" s="7"/>
      <c r="O11" s="7">
        <v>8.74</v>
      </c>
      <c r="P11" s="8">
        <v>11.07</v>
      </c>
      <c r="Q11" s="625">
        <v>1.65</v>
      </c>
      <c r="R11" s="618">
        <v>2.77</v>
      </c>
      <c r="S11" s="618">
        <v>3.5</v>
      </c>
      <c r="T11" s="618">
        <v>3.91</v>
      </c>
      <c r="U11" s="626">
        <v>5.54</v>
      </c>
      <c r="V11" s="621">
        <f t="shared" si="0"/>
        <v>7.4606641285250523</v>
      </c>
    </row>
    <row r="12" spans="1:22" x14ac:dyDescent="0.3">
      <c r="A12" s="20">
        <v>2.5</v>
      </c>
      <c r="B12" s="21">
        <v>65</v>
      </c>
      <c r="C12" s="16">
        <v>73.02</v>
      </c>
      <c r="D12" s="7">
        <v>3.05</v>
      </c>
      <c r="E12" s="7"/>
      <c r="F12" s="7">
        <v>4.78</v>
      </c>
      <c r="G12" s="7">
        <v>5.16</v>
      </c>
      <c r="H12" s="7">
        <v>5.16</v>
      </c>
      <c r="I12" s="7"/>
      <c r="J12" s="7">
        <v>7.01</v>
      </c>
      <c r="K12" s="7">
        <v>7.01</v>
      </c>
      <c r="L12" s="7"/>
      <c r="M12" s="7"/>
      <c r="N12" s="7"/>
      <c r="O12" s="7">
        <v>9.52</v>
      </c>
      <c r="P12" s="8">
        <v>14.02</v>
      </c>
      <c r="Q12" s="625">
        <v>2.11</v>
      </c>
      <c r="R12" s="618">
        <v>3.05</v>
      </c>
      <c r="S12" s="618">
        <v>3.5</v>
      </c>
      <c r="T12" s="618">
        <v>5.16</v>
      </c>
      <c r="U12" s="626">
        <v>7.01</v>
      </c>
      <c r="V12" s="621">
        <f t="shared" si="0"/>
        <v>9.031460455319948</v>
      </c>
    </row>
    <row r="13" spans="1:22" x14ac:dyDescent="0.3">
      <c r="A13" s="20">
        <v>3</v>
      </c>
      <c r="B13" s="21">
        <v>80</v>
      </c>
      <c r="C13" s="16">
        <v>88.9</v>
      </c>
      <c r="D13" s="7">
        <v>3.05</v>
      </c>
      <c r="E13" s="7"/>
      <c r="F13" s="7">
        <v>4.78</v>
      </c>
      <c r="G13" s="7">
        <v>5.49</v>
      </c>
      <c r="H13" s="7">
        <v>5.49</v>
      </c>
      <c r="I13" s="7"/>
      <c r="J13" s="7">
        <v>7.62</v>
      </c>
      <c r="K13" s="7">
        <v>7.62</v>
      </c>
      <c r="L13" s="7"/>
      <c r="M13" s="7"/>
      <c r="N13" s="7"/>
      <c r="O13" s="7">
        <v>11.12</v>
      </c>
      <c r="P13" s="8">
        <v>15.24</v>
      </c>
      <c r="Q13" s="625">
        <v>2.11</v>
      </c>
      <c r="R13" s="618">
        <v>3.05</v>
      </c>
      <c r="S13" s="618">
        <v>4</v>
      </c>
      <c r="T13" s="618">
        <v>5.49</v>
      </c>
      <c r="U13" s="626">
        <v>7.62</v>
      </c>
      <c r="V13" s="621">
        <f t="shared" si="0"/>
        <v>10.995574287564278</v>
      </c>
    </row>
    <row r="14" spans="1:22" x14ac:dyDescent="0.3">
      <c r="A14" s="20">
        <v>3.5</v>
      </c>
      <c r="B14" s="21">
        <v>90</v>
      </c>
      <c r="C14" s="16">
        <v>101.6</v>
      </c>
      <c r="D14" s="7">
        <v>3.05</v>
      </c>
      <c r="E14" s="7"/>
      <c r="F14" s="7">
        <v>4.78</v>
      </c>
      <c r="G14" s="7">
        <v>5.74</v>
      </c>
      <c r="H14" s="7">
        <v>5.74</v>
      </c>
      <c r="I14" s="7"/>
      <c r="J14" s="7">
        <v>8.08</v>
      </c>
      <c r="K14" s="7">
        <v>8.08</v>
      </c>
      <c r="L14" s="7"/>
      <c r="M14" s="7"/>
      <c r="N14" s="7"/>
      <c r="O14" s="7"/>
      <c r="P14" s="8">
        <v>16.149999999999999</v>
      </c>
      <c r="Q14" s="625">
        <v>2.11</v>
      </c>
      <c r="R14" s="618">
        <v>3.05</v>
      </c>
      <c r="S14" s="618">
        <v>4</v>
      </c>
      <c r="T14" s="618">
        <v>5.74</v>
      </c>
      <c r="U14" s="626">
        <v>8.08</v>
      </c>
      <c r="V14" s="621">
        <f t="shared" si="0"/>
        <v>12.566370614359172</v>
      </c>
    </row>
    <row r="15" spans="1:22" x14ac:dyDescent="0.3">
      <c r="A15" s="20">
        <v>4</v>
      </c>
      <c r="B15" s="21">
        <v>100</v>
      </c>
      <c r="C15" s="16">
        <v>114.3</v>
      </c>
      <c r="D15" s="7">
        <v>3.05</v>
      </c>
      <c r="E15" s="7"/>
      <c r="F15" s="7">
        <v>4.78</v>
      </c>
      <c r="G15" s="7">
        <v>6.02</v>
      </c>
      <c r="H15" s="7">
        <v>6.02</v>
      </c>
      <c r="I15" s="7"/>
      <c r="J15" s="7">
        <v>8.56</v>
      </c>
      <c r="K15" s="7">
        <v>8.56</v>
      </c>
      <c r="L15" s="7"/>
      <c r="M15" s="7">
        <v>11.12</v>
      </c>
      <c r="N15" s="7"/>
      <c r="O15" s="7">
        <v>13.49</v>
      </c>
      <c r="P15" s="8">
        <v>17.12</v>
      </c>
      <c r="Q15" s="625">
        <v>2.11</v>
      </c>
      <c r="R15" s="618">
        <v>3.05</v>
      </c>
      <c r="S15" s="618">
        <v>4.5</v>
      </c>
      <c r="T15" s="618">
        <v>6.02</v>
      </c>
      <c r="U15" s="626">
        <v>8.56</v>
      </c>
      <c r="V15" s="621">
        <f t="shared" si="0"/>
        <v>14.137166941154069</v>
      </c>
    </row>
    <row r="16" spans="1:22" x14ac:dyDescent="0.3">
      <c r="A16" s="20">
        <v>5</v>
      </c>
      <c r="B16" s="21">
        <v>125</v>
      </c>
      <c r="C16" s="16">
        <v>141.30000000000001</v>
      </c>
      <c r="D16" s="7">
        <v>3.4</v>
      </c>
      <c r="E16" s="7"/>
      <c r="F16" s="7"/>
      <c r="G16" s="7">
        <v>6.55</v>
      </c>
      <c r="H16" s="7">
        <v>6.55</v>
      </c>
      <c r="I16" s="7"/>
      <c r="J16" s="7">
        <v>9.52</v>
      </c>
      <c r="K16" s="7">
        <v>9.52</v>
      </c>
      <c r="L16" s="7"/>
      <c r="M16" s="7">
        <v>12.7</v>
      </c>
      <c r="N16" s="7"/>
      <c r="O16" s="7">
        <v>15.87</v>
      </c>
      <c r="P16" s="8">
        <v>19.05</v>
      </c>
      <c r="Q16" s="625">
        <v>2.77</v>
      </c>
      <c r="R16" s="618">
        <v>3.4</v>
      </c>
      <c r="S16" s="618">
        <v>5</v>
      </c>
      <c r="T16" s="618">
        <v>6.55</v>
      </c>
      <c r="U16" s="626">
        <v>9.5299999999999994</v>
      </c>
      <c r="V16" s="621">
        <f t="shared" si="0"/>
        <v>17.476655194969993</v>
      </c>
    </row>
    <row r="17" spans="1:22" x14ac:dyDescent="0.3">
      <c r="A17" s="20">
        <v>6</v>
      </c>
      <c r="B17" s="21">
        <v>150</v>
      </c>
      <c r="C17" s="16">
        <v>168.3</v>
      </c>
      <c r="D17" s="7">
        <v>3.4</v>
      </c>
      <c r="E17" s="7"/>
      <c r="F17" s="7"/>
      <c r="G17" s="7">
        <v>7.11</v>
      </c>
      <c r="H17" s="7">
        <v>7.11</v>
      </c>
      <c r="I17" s="7"/>
      <c r="J17" s="7">
        <v>10.97</v>
      </c>
      <c r="K17" s="7">
        <v>10.97</v>
      </c>
      <c r="L17" s="7"/>
      <c r="M17" s="7">
        <v>14.27</v>
      </c>
      <c r="N17" s="7"/>
      <c r="O17" s="7">
        <v>18.260000000000002</v>
      </c>
      <c r="P17" s="8">
        <v>21.95</v>
      </c>
      <c r="Q17" s="625">
        <v>2.77</v>
      </c>
      <c r="R17" s="618">
        <v>3.4</v>
      </c>
      <c r="S17" s="618">
        <v>5.5</v>
      </c>
      <c r="T17" s="618">
        <v>7.11</v>
      </c>
      <c r="U17" s="626">
        <v>10.97</v>
      </c>
      <c r="V17" s="621">
        <f t="shared" si="0"/>
        <v>20.816143448785912</v>
      </c>
    </row>
    <row r="18" spans="1:22" x14ac:dyDescent="0.3">
      <c r="A18" s="20">
        <v>8</v>
      </c>
      <c r="B18" s="21">
        <v>200</v>
      </c>
      <c r="C18" s="16">
        <v>219.1</v>
      </c>
      <c r="D18" s="7">
        <v>3.76</v>
      </c>
      <c r="E18" s="7">
        <v>6.35</v>
      </c>
      <c r="F18" s="7">
        <v>7.04</v>
      </c>
      <c r="G18" s="7">
        <v>8.18</v>
      </c>
      <c r="H18" s="7">
        <v>8.18</v>
      </c>
      <c r="I18" s="7">
        <v>10.31</v>
      </c>
      <c r="J18" s="7">
        <v>12.7</v>
      </c>
      <c r="K18" s="7">
        <v>12.7</v>
      </c>
      <c r="L18" s="7">
        <v>15.08</v>
      </c>
      <c r="M18" s="7">
        <v>18.260000000000002</v>
      </c>
      <c r="N18" s="7">
        <v>20.63</v>
      </c>
      <c r="O18" s="7">
        <v>23.01</v>
      </c>
      <c r="P18" s="8">
        <v>22.22</v>
      </c>
      <c r="Q18" s="625">
        <v>2.77</v>
      </c>
      <c r="R18" s="618">
        <v>3.76</v>
      </c>
      <c r="S18" s="618">
        <v>6.35</v>
      </c>
      <c r="T18" s="618">
        <v>8.18</v>
      </c>
      <c r="U18" s="626">
        <v>12.7</v>
      </c>
      <c r="V18" s="621">
        <f t="shared" si="0"/>
        <v>27.099328755965498</v>
      </c>
    </row>
    <row r="19" spans="1:22" x14ac:dyDescent="0.3">
      <c r="A19" s="20">
        <v>10</v>
      </c>
      <c r="B19" s="21">
        <v>250</v>
      </c>
      <c r="C19" s="16">
        <v>273</v>
      </c>
      <c r="D19" s="7">
        <v>4.1900000000000004</v>
      </c>
      <c r="E19" s="7">
        <v>6.35</v>
      </c>
      <c r="F19" s="7">
        <v>7.8</v>
      </c>
      <c r="G19" s="7">
        <v>9.27</v>
      </c>
      <c r="H19" s="7">
        <v>9.27</v>
      </c>
      <c r="I19" s="7">
        <v>12.7</v>
      </c>
      <c r="J19" s="7">
        <v>12.7</v>
      </c>
      <c r="K19" s="7">
        <v>15.08</v>
      </c>
      <c r="L19" s="7">
        <v>18.260000000000002</v>
      </c>
      <c r="M19" s="7">
        <v>21.44</v>
      </c>
      <c r="N19" s="7">
        <v>25.4</v>
      </c>
      <c r="O19" s="7">
        <v>28.57</v>
      </c>
      <c r="P19" s="8">
        <v>25.4</v>
      </c>
      <c r="Q19" s="625">
        <v>3.4</v>
      </c>
      <c r="R19" s="618">
        <v>4.1900000000000004</v>
      </c>
      <c r="S19" s="618">
        <v>6.35</v>
      </c>
      <c r="T19" s="618">
        <v>9.27</v>
      </c>
      <c r="U19" s="626">
        <v>12.7</v>
      </c>
      <c r="V19" s="621">
        <f t="shared" si="0"/>
        <v>33.765936788583211</v>
      </c>
    </row>
    <row r="20" spans="1:22" x14ac:dyDescent="0.3">
      <c r="A20" s="20">
        <v>12</v>
      </c>
      <c r="B20" s="21">
        <v>300</v>
      </c>
      <c r="C20" s="16">
        <v>323.89999999999998</v>
      </c>
      <c r="D20" s="7">
        <v>4.57</v>
      </c>
      <c r="E20" s="7">
        <v>6.35</v>
      </c>
      <c r="F20" s="7">
        <v>8.3800000000000008</v>
      </c>
      <c r="G20" s="7">
        <v>9.52</v>
      </c>
      <c r="H20" s="7">
        <v>10.31</v>
      </c>
      <c r="I20" s="7">
        <v>14.27</v>
      </c>
      <c r="J20" s="7">
        <v>12.7</v>
      </c>
      <c r="K20" s="7">
        <v>17.47</v>
      </c>
      <c r="L20" s="7">
        <v>21.44</v>
      </c>
      <c r="M20" s="7">
        <v>25.4</v>
      </c>
      <c r="N20" s="7">
        <v>28.57</v>
      </c>
      <c r="O20" s="7">
        <v>33.32</v>
      </c>
      <c r="P20" s="8">
        <v>25.4</v>
      </c>
      <c r="Q20" s="625">
        <v>3.96</v>
      </c>
      <c r="R20" s="618">
        <v>4.57</v>
      </c>
      <c r="S20" s="618">
        <v>6.35</v>
      </c>
      <c r="T20" s="618">
        <v>9.5299999999999994</v>
      </c>
      <c r="U20" s="626">
        <v>12.7</v>
      </c>
      <c r="V20" s="621">
        <f t="shared" si="0"/>
        <v>40.061490570776932</v>
      </c>
    </row>
    <row r="21" spans="1:22" x14ac:dyDescent="0.3">
      <c r="A21" s="20">
        <v>14</v>
      </c>
      <c r="B21" s="21">
        <v>350</v>
      </c>
      <c r="C21" s="16">
        <v>355.6</v>
      </c>
      <c r="D21" s="7">
        <v>6.35</v>
      </c>
      <c r="E21" s="7">
        <v>7.92</v>
      </c>
      <c r="F21" s="7">
        <v>9.5299999999999994</v>
      </c>
      <c r="G21" s="7">
        <v>9.52</v>
      </c>
      <c r="H21" s="7">
        <v>11.12</v>
      </c>
      <c r="I21" s="7">
        <v>15.09</v>
      </c>
      <c r="J21" s="7">
        <v>12.7</v>
      </c>
      <c r="K21" s="7">
        <v>19.05</v>
      </c>
      <c r="L21" s="7">
        <v>23.82</v>
      </c>
      <c r="M21" s="7">
        <v>27.79</v>
      </c>
      <c r="N21" s="7">
        <v>31.75</v>
      </c>
      <c r="O21" s="7">
        <v>35.71</v>
      </c>
      <c r="P21" s="8"/>
      <c r="Q21" s="625">
        <v>3.96</v>
      </c>
      <c r="R21" s="618">
        <v>4.78</v>
      </c>
      <c r="S21" s="618">
        <v>7.92</v>
      </c>
      <c r="T21" s="618">
        <v>9.5299999999999994</v>
      </c>
      <c r="U21" s="626">
        <v>12.7</v>
      </c>
      <c r="V21" s="621">
        <f t="shared" si="0"/>
        <v>43.982297150257111</v>
      </c>
    </row>
    <row r="22" spans="1:22" x14ac:dyDescent="0.3">
      <c r="A22" s="20">
        <v>16</v>
      </c>
      <c r="B22" s="21">
        <v>400</v>
      </c>
      <c r="C22" s="16">
        <v>406.4</v>
      </c>
      <c r="D22" s="7">
        <v>6.35</v>
      </c>
      <c r="E22" s="7">
        <v>7.92</v>
      </c>
      <c r="F22" s="7">
        <v>9.5299999999999994</v>
      </c>
      <c r="G22" s="7">
        <v>9.52</v>
      </c>
      <c r="H22" s="7">
        <v>12.7</v>
      </c>
      <c r="I22" s="7">
        <v>16.66</v>
      </c>
      <c r="J22" s="7">
        <v>12.7</v>
      </c>
      <c r="K22" s="7">
        <v>21.44</v>
      </c>
      <c r="L22" s="7">
        <v>26.19</v>
      </c>
      <c r="M22" s="7">
        <v>30.96</v>
      </c>
      <c r="N22" s="7">
        <v>36.520000000000003</v>
      </c>
      <c r="O22" s="7">
        <v>40.49</v>
      </c>
      <c r="P22" s="8"/>
      <c r="Q22" s="625">
        <v>4.1900000000000004</v>
      </c>
      <c r="R22" s="618">
        <v>4.78</v>
      </c>
      <c r="S22" s="618">
        <v>7.92</v>
      </c>
      <c r="T22" s="618">
        <v>9.5299999999999994</v>
      </c>
      <c r="U22" s="626">
        <v>12.7</v>
      </c>
      <c r="V22" s="621">
        <f t="shared" si="0"/>
        <v>50.26548245743669</v>
      </c>
    </row>
    <row r="23" spans="1:22" x14ac:dyDescent="0.3">
      <c r="A23" s="20">
        <v>18</v>
      </c>
      <c r="B23" s="21">
        <v>450</v>
      </c>
      <c r="C23" s="16">
        <v>457.2</v>
      </c>
      <c r="D23" s="7">
        <v>6.35</v>
      </c>
      <c r="E23" s="7">
        <v>7.92</v>
      </c>
      <c r="F23" s="7">
        <v>11.13</v>
      </c>
      <c r="G23" s="7">
        <v>9.52</v>
      </c>
      <c r="H23" s="7">
        <v>14.27</v>
      </c>
      <c r="I23" s="7">
        <v>19.05</v>
      </c>
      <c r="J23" s="7">
        <v>12.7</v>
      </c>
      <c r="K23" s="7">
        <v>23.82</v>
      </c>
      <c r="L23" s="7">
        <v>29.36</v>
      </c>
      <c r="M23" s="7">
        <v>34.92</v>
      </c>
      <c r="N23" s="7">
        <v>39.67</v>
      </c>
      <c r="O23" s="7">
        <v>45.24</v>
      </c>
      <c r="P23" s="8"/>
      <c r="Q23" s="625">
        <v>4.1900000000000004</v>
      </c>
      <c r="R23" s="618">
        <v>4.78</v>
      </c>
      <c r="S23" s="618">
        <v>7.92</v>
      </c>
      <c r="T23" s="618">
        <v>9.5299999999999994</v>
      </c>
      <c r="U23" s="626">
        <v>12.7</v>
      </c>
      <c r="V23" s="621">
        <f t="shared" si="0"/>
        <v>56.548667764616276</v>
      </c>
    </row>
    <row r="24" spans="1:22" x14ac:dyDescent="0.3">
      <c r="A24" s="20">
        <v>20</v>
      </c>
      <c r="B24" s="21">
        <v>500</v>
      </c>
      <c r="C24" s="16">
        <v>508</v>
      </c>
      <c r="D24" s="7">
        <v>6.35</v>
      </c>
      <c r="E24" s="7">
        <v>9.5299999999999994</v>
      </c>
      <c r="F24" s="7">
        <v>12.7</v>
      </c>
      <c r="G24" s="7">
        <v>9.52</v>
      </c>
      <c r="H24" s="7">
        <v>15.08</v>
      </c>
      <c r="I24" s="7">
        <v>20.62</v>
      </c>
      <c r="J24" s="7">
        <v>12.7</v>
      </c>
      <c r="K24" s="7">
        <v>26.19</v>
      </c>
      <c r="L24" s="7">
        <v>32.54</v>
      </c>
      <c r="M24" s="7">
        <v>38.1</v>
      </c>
      <c r="N24" s="7">
        <v>44.45</v>
      </c>
      <c r="O24" s="7">
        <v>50.01</v>
      </c>
      <c r="P24" s="8"/>
      <c r="Q24" s="625">
        <v>4.78</v>
      </c>
      <c r="R24" s="618">
        <v>5.54</v>
      </c>
      <c r="S24" s="618">
        <v>9.5299999999999994</v>
      </c>
      <c r="T24" s="618">
        <v>9.5299999999999994</v>
      </c>
      <c r="U24" s="626">
        <v>12.7</v>
      </c>
      <c r="V24" s="621">
        <f t="shared" si="0"/>
        <v>62.831853071795869</v>
      </c>
    </row>
    <row r="25" spans="1:22" x14ac:dyDescent="0.3">
      <c r="A25" s="20">
        <v>22</v>
      </c>
      <c r="B25" s="21">
        <v>550</v>
      </c>
      <c r="C25" s="16">
        <v>558.79999999999995</v>
      </c>
      <c r="D25" s="7">
        <v>6.35</v>
      </c>
      <c r="E25" s="7">
        <v>9.5299999999999994</v>
      </c>
      <c r="F25" s="7">
        <v>12.7</v>
      </c>
      <c r="G25" s="7">
        <v>9.52</v>
      </c>
      <c r="H25" s="7">
        <v>15.87</v>
      </c>
      <c r="I25" s="7">
        <v>22.22</v>
      </c>
      <c r="J25" s="7">
        <v>12.7</v>
      </c>
      <c r="K25" s="7">
        <v>28.57</v>
      </c>
      <c r="L25" s="7">
        <v>34.92</v>
      </c>
      <c r="M25" s="7">
        <v>41.27</v>
      </c>
      <c r="N25" s="7">
        <v>47.62</v>
      </c>
      <c r="O25" s="7">
        <v>53.97</v>
      </c>
      <c r="P25" s="8"/>
      <c r="Q25" s="625">
        <v>4.78</v>
      </c>
      <c r="R25" s="618">
        <v>5.54</v>
      </c>
      <c r="S25" s="618">
        <v>9.5299999999999994</v>
      </c>
      <c r="T25" s="618">
        <v>9.5299999999999994</v>
      </c>
      <c r="U25" s="626">
        <v>12.7</v>
      </c>
      <c r="V25" s="621">
        <f t="shared" si="0"/>
        <v>69.115038378975441</v>
      </c>
    </row>
    <row r="26" spans="1:22" x14ac:dyDescent="0.3">
      <c r="A26" s="20">
        <v>24</v>
      </c>
      <c r="B26" s="21">
        <v>600</v>
      </c>
      <c r="C26" s="16">
        <v>609.6</v>
      </c>
      <c r="D26" s="7">
        <v>6.35</v>
      </c>
      <c r="E26" s="7">
        <v>9.5299999999999994</v>
      </c>
      <c r="F26" s="7">
        <v>12.7</v>
      </c>
      <c r="G26" s="7">
        <v>9.52</v>
      </c>
      <c r="H26" s="7">
        <v>17.47</v>
      </c>
      <c r="I26" s="7">
        <v>24.61</v>
      </c>
      <c r="J26" s="7">
        <v>12.7</v>
      </c>
      <c r="K26" s="7">
        <v>30.96</v>
      </c>
      <c r="L26" s="7">
        <v>38.89</v>
      </c>
      <c r="M26" s="7">
        <v>46.02</v>
      </c>
      <c r="N26" s="7">
        <v>52.37</v>
      </c>
      <c r="O26" s="7">
        <v>59.54</v>
      </c>
      <c r="P26" s="8"/>
      <c r="Q26" s="625">
        <v>5.54</v>
      </c>
      <c r="R26" s="618">
        <v>6.35</v>
      </c>
      <c r="S26" s="618">
        <v>9.5299999999999994</v>
      </c>
      <c r="T26" s="618">
        <v>9.5299999999999994</v>
      </c>
      <c r="U26" s="626">
        <v>12.7</v>
      </c>
      <c r="V26" s="621">
        <f t="shared" si="0"/>
        <v>75.398223686155049</v>
      </c>
    </row>
    <row r="27" spans="1:22" x14ac:dyDescent="0.3">
      <c r="A27" s="20">
        <v>26</v>
      </c>
      <c r="B27" s="21">
        <v>650</v>
      </c>
      <c r="C27" s="16">
        <v>660.4</v>
      </c>
      <c r="D27" s="7">
        <v>7.92</v>
      </c>
      <c r="E27" s="7">
        <v>12.7</v>
      </c>
      <c r="F27" s="7"/>
      <c r="G27" s="7">
        <v>9.52</v>
      </c>
      <c r="H27" s="7"/>
      <c r="I27" s="7"/>
      <c r="J27" s="7">
        <v>12.7</v>
      </c>
      <c r="K27" s="7"/>
      <c r="L27" s="7"/>
      <c r="M27" s="7"/>
      <c r="N27" s="7"/>
      <c r="O27" s="7"/>
      <c r="P27" s="8"/>
      <c r="Q27" s="625"/>
      <c r="R27" s="618"/>
      <c r="S27" s="618">
        <v>12.7</v>
      </c>
      <c r="T27" s="618">
        <v>9.5299999999999994</v>
      </c>
      <c r="U27" s="626">
        <v>650</v>
      </c>
      <c r="V27" s="621">
        <f t="shared" si="0"/>
        <v>81.681408993334614</v>
      </c>
    </row>
    <row r="28" spans="1:22" x14ac:dyDescent="0.3">
      <c r="A28" s="20">
        <v>28</v>
      </c>
      <c r="B28" s="21">
        <v>700</v>
      </c>
      <c r="C28" s="16">
        <v>711.2</v>
      </c>
      <c r="D28" s="7">
        <v>7.92</v>
      </c>
      <c r="E28" s="7">
        <v>12.7</v>
      </c>
      <c r="F28" s="7">
        <v>15.88</v>
      </c>
      <c r="G28" s="7">
        <v>9.52</v>
      </c>
      <c r="H28" s="7"/>
      <c r="I28" s="7"/>
      <c r="J28" s="7">
        <v>12.7</v>
      </c>
      <c r="K28" s="7">
        <v>15.88</v>
      </c>
      <c r="L28" s="7">
        <v>20.6</v>
      </c>
      <c r="M28" s="7"/>
      <c r="N28" s="7"/>
      <c r="O28" s="7"/>
      <c r="P28" s="8"/>
      <c r="Q28" s="625"/>
      <c r="R28" s="618"/>
      <c r="S28" s="618">
        <v>12.7</v>
      </c>
      <c r="T28" s="618">
        <v>9.5299999999999994</v>
      </c>
      <c r="U28" s="626">
        <v>700</v>
      </c>
      <c r="V28" s="621">
        <f t="shared" si="0"/>
        <v>87.964594300514221</v>
      </c>
    </row>
    <row r="29" spans="1:22" x14ac:dyDescent="0.3">
      <c r="A29" s="20">
        <v>30</v>
      </c>
      <c r="B29" s="21">
        <v>750</v>
      </c>
      <c r="C29" s="16">
        <v>762</v>
      </c>
      <c r="D29" s="7">
        <v>7.92</v>
      </c>
      <c r="E29" s="7">
        <v>12.7</v>
      </c>
      <c r="F29" s="7">
        <v>15.88</v>
      </c>
      <c r="G29" s="7">
        <v>9.52</v>
      </c>
      <c r="H29" s="7"/>
      <c r="I29" s="7"/>
      <c r="J29" s="7">
        <v>12.7</v>
      </c>
      <c r="K29" s="7"/>
      <c r="L29" s="7"/>
      <c r="M29" s="7"/>
      <c r="N29" s="7"/>
      <c r="O29" s="7"/>
      <c r="P29" s="8"/>
      <c r="Q29" s="625">
        <v>6.35</v>
      </c>
      <c r="R29" s="618">
        <v>7.92</v>
      </c>
      <c r="S29" s="618">
        <v>12.7</v>
      </c>
      <c r="T29" s="618">
        <v>9.5299999999999994</v>
      </c>
      <c r="U29" s="626">
        <v>750</v>
      </c>
      <c r="V29" s="621">
        <f t="shared" si="0"/>
        <v>94.247779607693786</v>
      </c>
    </row>
    <row r="30" spans="1:22" x14ac:dyDescent="0.3">
      <c r="A30" s="20">
        <v>32</v>
      </c>
      <c r="B30" s="21">
        <v>800</v>
      </c>
      <c r="C30" s="16">
        <v>812.8</v>
      </c>
      <c r="D30" s="7">
        <v>7.92</v>
      </c>
      <c r="E30" s="7">
        <v>12.7</v>
      </c>
      <c r="F30" s="7">
        <v>15.88</v>
      </c>
      <c r="G30" s="7">
        <v>9.52</v>
      </c>
      <c r="H30" s="7">
        <v>17.47</v>
      </c>
      <c r="I30" s="7"/>
      <c r="J30" s="7">
        <v>12.7</v>
      </c>
      <c r="K30" s="7"/>
      <c r="L30" s="7"/>
      <c r="M30" s="7"/>
      <c r="N30" s="7"/>
      <c r="O30" s="7"/>
      <c r="P30" s="8">
        <v>30.18</v>
      </c>
      <c r="Q30" s="625"/>
      <c r="R30" s="618"/>
      <c r="S30" s="618">
        <v>12.7</v>
      </c>
      <c r="T30" s="618">
        <v>9.5299999999999994</v>
      </c>
      <c r="U30" s="626">
        <v>800</v>
      </c>
      <c r="V30" s="621">
        <f t="shared" si="0"/>
        <v>100.53096491487338</v>
      </c>
    </row>
    <row r="31" spans="1:22" x14ac:dyDescent="0.3">
      <c r="A31" s="20">
        <v>34</v>
      </c>
      <c r="B31" s="21">
        <v>850</v>
      </c>
      <c r="C31" s="16">
        <v>863.6</v>
      </c>
      <c r="D31" s="7">
        <v>7.92</v>
      </c>
      <c r="E31" s="7">
        <v>12.7</v>
      </c>
      <c r="F31" s="7">
        <v>15.88</v>
      </c>
      <c r="G31" s="7">
        <v>9.52</v>
      </c>
      <c r="H31" s="7">
        <v>17.47</v>
      </c>
      <c r="I31" s="7"/>
      <c r="J31" s="7">
        <v>12.7</v>
      </c>
      <c r="K31" s="7"/>
      <c r="L31" s="7"/>
      <c r="M31" s="7"/>
      <c r="N31" s="7"/>
      <c r="O31" s="7"/>
      <c r="P31" s="8"/>
      <c r="Q31" s="625"/>
      <c r="R31" s="618"/>
      <c r="S31" s="618">
        <v>12.7</v>
      </c>
      <c r="T31" s="618">
        <v>9.5299999999999994</v>
      </c>
      <c r="U31" s="626">
        <v>850</v>
      </c>
      <c r="V31" s="621">
        <f t="shared" si="0"/>
        <v>106.81415022205297</v>
      </c>
    </row>
    <row r="32" spans="1:22" x14ac:dyDescent="0.3">
      <c r="A32" s="20">
        <v>36</v>
      </c>
      <c r="B32" s="21">
        <v>900</v>
      </c>
      <c r="C32" s="16">
        <v>914.4</v>
      </c>
      <c r="D32" s="7">
        <v>7.92</v>
      </c>
      <c r="E32" s="7">
        <v>12.7</v>
      </c>
      <c r="F32" s="7">
        <v>15.88</v>
      </c>
      <c r="G32" s="7">
        <v>9.52</v>
      </c>
      <c r="H32" s="7">
        <v>19.05</v>
      </c>
      <c r="I32" s="7"/>
      <c r="J32" s="7">
        <v>12.7</v>
      </c>
      <c r="K32" s="7"/>
      <c r="L32" s="7"/>
      <c r="M32" s="7"/>
      <c r="N32" s="7"/>
      <c r="O32" s="7"/>
      <c r="P32" s="8">
        <v>33</v>
      </c>
      <c r="Q32" s="625"/>
      <c r="R32" s="618"/>
      <c r="S32" s="618">
        <v>12.7</v>
      </c>
      <c r="T32" s="618">
        <v>9.5299999999999994</v>
      </c>
      <c r="U32" s="626">
        <v>900</v>
      </c>
      <c r="V32" s="621">
        <f t="shared" si="0"/>
        <v>113.09733552923255</v>
      </c>
    </row>
    <row r="33" spans="1:22" x14ac:dyDescent="0.3">
      <c r="A33" s="1226">
        <v>40</v>
      </c>
      <c r="B33" s="634">
        <v>1000</v>
      </c>
      <c r="C33" s="1227">
        <v>1016</v>
      </c>
      <c r="D33" s="1228"/>
      <c r="E33" s="1228"/>
      <c r="F33" s="1228"/>
      <c r="G33" s="1228">
        <v>9.5299999999999994</v>
      </c>
      <c r="H33" s="1228"/>
      <c r="I33" s="1228"/>
      <c r="J33" s="1228">
        <v>12.7</v>
      </c>
      <c r="K33" s="1228"/>
      <c r="L33" s="1228"/>
      <c r="M33" s="1228"/>
      <c r="N33" s="1228"/>
      <c r="O33" s="1228"/>
      <c r="P33" s="1229"/>
      <c r="Q33" s="1230"/>
      <c r="R33" s="1231"/>
      <c r="S33" s="1231"/>
      <c r="T33" s="1231"/>
      <c r="U33" s="1232"/>
      <c r="V33" s="1233">
        <v>125.66370614359174</v>
      </c>
    </row>
    <row r="34" spans="1:22" ht="15" thickBot="1" x14ac:dyDescent="0.35">
      <c r="A34" s="22">
        <v>42</v>
      </c>
      <c r="B34" s="23">
        <v>1000</v>
      </c>
      <c r="C34" s="17">
        <v>1016</v>
      </c>
      <c r="D34" s="9"/>
      <c r="E34" s="9"/>
      <c r="F34" s="9"/>
      <c r="G34" s="9">
        <v>9.5299999999999994</v>
      </c>
      <c r="H34" s="9"/>
      <c r="I34" s="9"/>
      <c r="J34" s="9">
        <v>12.7</v>
      </c>
      <c r="K34" s="9"/>
      <c r="L34" s="9"/>
      <c r="M34" s="9"/>
      <c r="N34" s="9"/>
      <c r="O34" s="9"/>
      <c r="P34" s="10"/>
      <c r="Q34" s="627"/>
      <c r="R34" s="619"/>
      <c r="S34" s="619"/>
      <c r="T34" s="619"/>
      <c r="U34" s="628"/>
      <c r="V34" s="622">
        <f t="shared" si="0"/>
        <v>125.66370614359174</v>
      </c>
    </row>
  </sheetData>
  <pageMargins left="0.7" right="0.7" top="0.75" bottom="0.75" header="0.3" footer="0.3"/>
  <pageSetup paperSize="9" scale="44" orientation="portrait" r:id="rId1"/>
  <headerFooter>
    <oddHeader>&amp;R&amp;"Calibri"&amp;8 Document classified as: 2 - Company Confidential&amp;1#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AB1DFC99CCED549B932E83C7FE8B11A" ma:contentTypeVersion="2" ma:contentTypeDescription="Create a new document." ma:contentTypeScope="" ma:versionID="d861243d6e8f9c9a54a60ea267894f3b">
  <xsd:schema xmlns:xsd="http://www.w3.org/2001/XMLSchema" xmlns:xs="http://www.w3.org/2001/XMLSchema" xmlns:p="http://schemas.microsoft.com/office/2006/metadata/properties" xmlns:ns3="d0ca4408-b89b-443e-a7f5-57b49d219a9e" targetNamespace="http://schemas.microsoft.com/office/2006/metadata/properties" ma:root="true" ma:fieldsID="d1172860d27af5abd39c996ac32b5ef5" ns3:_="">
    <xsd:import namespace="d0ca4408-b89b-443e-a7f5-57b49d219a9e"/>
    <xsd:element name="properties">
      <xsd:complexType>
        <xsd:sequence>
          <xsd:element name="documentManagement">
            <xsd:complexType>
              <xsd:all>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ca4408-b89b-443e-a7f5-57b49d219a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63C6FA9-C2F1-4D87-87E2-CD2CD786D897}">
  <ds:schemaRefs>
    <ds:schemaRef ds:uri="http://schemas.microsoft.com/office/2006/metadata/properties"/>
    <ds:schemaRef ds:uri="http://schemas.microsoft.com/office/infopath/2007/PartnerControls"/>
    <ds:schemaRef ds:uri="http://purl.org/dc/elements/1.1/"/>
    <ds:schemaRef ds:uri="http://schemas.openxmlformats.org/package/2006/metadata/core-properties"/>
    <ds:schemaRef ds:uri="http://schemas.microsoft.com/office/2006/documentManagement/types"/>
    <ds:schemaRef ds:uri="http://www.w3.org/XML/1998/namespace"/>
    <ds:schemaRef ds:uri="http://purl.org/dc/dcmitype/"/>
    <ds:schemaRef ds:uri="d0ca4408-b89b-443e-a7f5-57b49d219a9e"/>
    <ds:schemaRef ds:uri="http://purl.org/dc/terms/"/>
  </ds:schemaRefs>
</ds:datastoreItem>
</file>

<file path=customXml/itemProps2.xml><?xml version="1.0" encoding="utf-8"?>
<ds:datastoreItem xmlns:ds="http://schemas.openxmlformats.org/officeDocument/2006/customXml" ds:itemID="{3A63D3E8-04CD-4715-B5F5-98C690D958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0ca4408-b89b-443e-a7f5-57b49d219a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99FD2B1-B7EA-4DFB-AADD-24AC8E1467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32</vt:i4>
      </vt:variant>
      <vt:variant>
        <vt:lpstr>Named Ranges</vt:lpstr>
      </vt:variant>
      <vt:variant>
        <vt:i4>113</vt:i4>
      </vt:variant>
    </vt:vector>
  </HeadingPairs>
  <TitlesOfParts>
    <vt:vector size="145" baseType="lpstr">
      <vt:lpstr>MCE info</vt:lpstr>
      <vt:lpstr>General info</vt:lpstr>
      <vt:lpstr>Notes</vt:lpstr>
      <vt:lpstr>Piping Class</vt:lpstr>
      <vt:lpstr>Valve Data</vt:lpstr>
      <vt:lpstr>Equipment Weight Calc</vt:lpstr>
      <vt:lpstr>Proposal Cost Report</vt:lpstr>
      <vt:lpstr>Cost Type</vt:lpstr>
      <vt:lpstr>Proposal Quantity Report</vt:lpstr>
      <vt:lpstr>Module Fabrication Price List</vt:lpstr>
      <vt:lpstr>Engeneering</vt:lpstr>
      <vt:lpstr>Steel Structure List</vt:lpstr>
      <vt:lpstr>Bolting Chart</vt:lpstr>
      <vt:lpstr>Flange List</vt:lpstr>
      <vt:lpstr>Piping Material List</vt:lpstr>
      <vt:lpstr>Instrument List</vt:lpstr>
      <vt:lpstr>Valve List</vt:lpstr>
      <vt:lpstr>Equip&amp;Mach List</vt:lpstr>
      <vt:lpstr>Equip Spare List</vt:lpstr>
      <vt:lpstr>Blank Sheet 1</vt:lpstr>
      <vt:lpstr>List</vt:lpstr>
      <vt:lpstr>Blank Sheet 2</vt:lpstr>
      <vt:lpstr>Blank Sheet 3</vt:lpstr>
      <vt:lpstr>ASME II Tab 1A</vt:lpstr>
      <vt:lpstr>ASME II Tab 5A</vt:lpstr>
      <vt:lpstr>Manual Valves Chart</vt:lpstr>
      <vt:lpstr>Ball Valves Chart</vt:lpstr>
      <vt:lpstr>Valve Index</vt:lpstr>
      <vt:lpstr>Steel Structure Chart</vt:lpstr>
      <vt:lpstr>Flanges Chart</vt:lpstr>
      <vt:lpstr>Fitting Chart</vt:lpstr>
      <vt:lpstr>Thickness Tab</vt:lpstr>
      <vt:lpstr>ASME_VIII_division</vt:lpstr>
      <vt:lpstr>Ball_valve</vt:lpstr>
      <vt:lpstr>BDV</vt:lpstr>
      <vt:lpstr>Bolting_Dia</vt:lpstr>
      <vt:lpstr>Bore</vt:lpstr>
      <vt:lpstr>Bundle_Type</vt:lpstr>
      <vt:lpstr>Butterfly_valve</vt:lpstr>
      <vt:lpstr>Category</vt:lpstr>
      <vt:lpstr>Check_valve</vt:lpstr>
      <vt:lpstr>Columns</vt:lpstr>
      <vt:lpstr>COST_CAT</vt:lpstr>
      <vt:lpstr>CV</vt:lpstr>
      <vt:lpstr>DBB</vt:lpstr>
      <vt:lpstr>DN</vt:lpstr>
      <vt:lpstr>DN_0.5</vt:lpstr>
      <vt:lpstr>DN_0.75</vt:lpstr>
      <vt:lpstr>DN_1</vt:lpstr>
      <vt:lpstr>DN_1.5</vt:lpstr>
      <vt:lpstr>DN_10</vt:lpstr>
      <vt:lpstr>DN_12</vt:lpstr>
      <vt:lpstr>DN_14</vt:lpstr>
      <vt:lpstr>DN_16</vt:lpstr>
      <vt:lpstr>DN_18</vt:lpstr>
      <vt:lpstr>DN_2</vt:lpstr>
      <vt:lpstr>DN_2.5</vt:lpstr>
      <vt:lpstr>DN_20</vt:lpstr>
      <vt:lpstr>DN_22</vt:lpstr>
      <vt:lpstr>DN_24</vt:lpstr>
      <vt:lpstr>DN_26</vt:lpstr>
      <vt:lpstr>DN_28</vt:lpstr>
      <vt:lpstr>DN_3</vt:lpstr>
      <vt:lpstr>DN_30</vt:lpstr>
      <vt:lpstr>DN_32</vt:lpstr>
      <vt:lpstr>DN_34</vt:lpstr>
      <vt:lpstr>DN_36</vt:lpstr>
      <vt:lpstr>DN_38</vt:lpstr>
      <vt:lpstr>DN_4</vt:lpstr>
      <vt:lpstr>DN_40</vt:lpstr>
      <vt:lpstr>DN_42</vt:lpstr>
      <vt:lpstr>DN_5</vt:lpstr>
      <vt:lpstr>DN_6</vt:lpstr>
      <vt:lpstr>DN_8</vt:lpstr>
      <vt:lpstr>Equipment_insulation</vt:lpstr>
      <vt:lpstr>ESDV</vt:lpstr>
      <vt:lpstr>FE</vt:lpstr>
      <vt:lpstr>FI</vt:lpstr>
      <vt:lpstr>Fitting</vt:lpstr>
      <vt:lpstr>Flange</vt:lpstr>
      <vt:lpstr>Flange_Face</vt:lpstr>
      <vt:lpstr>Flange_Type</vt:lpstr>
      <vt:lpstr>FT</vt:lpstr>
      <vt:lpstr>FV</vt:lpstr>
      <vt:lpstr>Gate_valve</vt:lpstr>
      <vt:lpstr>Globe_valve</vt:lpstr>
      <vt:lpstr>Instrument_type</vt:lpstr>
      <vt:lpstr>Joint_Type</vt:lpstr>
      <vt:lpstr>LI</vt:lpstr>
      <vt:lpstr>LT</vt:lpstr>
      <vt:lpstr>LV</vt:lpstr>
      <vt:lpstr>Material_Code</vt:lpstr>
      <vt:lpstr>Material_Group</vt:lpstr>
      <vt:lpstr>MOV</vt:lpstr>
      <vt:lpstr>Nozzle_DN</vt:lpstr>
      <vt:lpstr>Nozzle_Rating</vt:lpstr>
      <vt:lpstr>NPS</vt:lpstr>
      <vt:lpstr>Painting_cycle</vt:lpstr>
      <vt:lpstr>PDI</vt:lpstr>
      <vt:lpstr>PDT</vt:lpstr>
      <vt:lpstr>PI</vt:lpstr>
      <vt:lpstr>PID</vt:lpstr>
      <vt:lpstr>Piping</vt:lpstr>
      <vt:lpstr>Piping_Class</vt:lpstr>
      <vt:lpstr>Piping_insulation</vt:lpstr>
      <vt:lpstr>Piping_Type</vt:lpstr>
      <vt:lpstr>Piping_Units</vt:lpstr>
      <vt:lpstr>Pressure_Units</vt:lpstr>
      <vt:lpstr>'Bolting Chart'!Print_Area</vt:lpstr>
      <vt:lpstr>'Equip&amp;Mach List'!Print_Area</vt:lpstr>
      <vt:lpstr>'Equipment Weight Calc'!Print_Area</vt:lpstr>
      <vt:lpstr>'Fitting Chart'!Print_Area</vt:lpstr>
      <vt:lpstr>'Flange List'!Print_Area</vt:lpstr>
      <vt:lpstr>'Flanges Chart'!Print_Area</vt:lpstr>
      <vt:lpstr>'Instrument List'!Print_Area</vt:lpstr>
      <vt:lpstr>'Module Fabrication Price List'!Print_Area</vt:lpstr>
      <vt:lpstr>'Piping Material List'!Print_Area</vt:lpstr>
      <vt:lpstr>'Proposal Cost Report'!Print_Area</vt:lpstr>
      <vt:lpstr>'Proposal Quantity Report'!Print_Area</vt:lpstr>
      <vt:lpstr>'Steel Structure List'!Print_Area</vt:lpstr>
      <vt:lpstr>'Valve Data'!Print_Area</vt:lpstr>
      <vt:lpstr>'Valve List'!Print_Area</vt:lpstr>
      <vt:lpstr>'Instrument List'!Print_Titles</vt:lpstr>
      <vt:lpstr>'Module Fabrication Price List'!Print_Titles</vt:lpstr>
      <vt:lpstr>'Piping Material List'!Print_Titles</vt:lpstr>
      <vt:lpstr>'Valve List'!Print_Titles</vt:lpstr>
      <vt:lpstr>PSV</vt:lpstr>
      <vt:lpstr>PT</vt:lpstr>
      <vt:lpstr>SCH</vt:lpstr>
      <vt:lpstr>SDV</vt:lpstr>
      <vt:lpstr>Skid_section</vt:lpstr>
      <vt:lpstr>Spec._No._Gen</vt:lpstr>
      <vt:lpstr>Structural_Units</vt:lpstr>
      <vt:lpstr>Structure_Profile</vt:lpstr>
      <vt:lpstr>Supply_Type</vt:lpstr>
      <vt:lpstr>System</vt:lpstr>
      <vt:lpstr>TE</vt:lpstr>
      <vt:lpstr>Temperature_Units</vt:lpstr>
      <vt:lpstr>TI</vt:lpstr>
      <vt:lpstr>TT</vt:lpstr>
      <vt:lpstr>Type_Grade_Gen</vt:lpstr>
      <vt:lpstr>Valve_Type</vt:lpstr>
      <vt:lpstr>Vessel_Orientation</vt:lpstr>
      <vt:lpstr>Welds_Unit</vt:lpstr>
      <vt:lpstr>XV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Asco Proposal CE</dc:creator>
  <cp:keywords/>
  <dc:description/>
  <cp:lastModifiedBy>Alfredo Mensi</cp:lastModifiedBy>
  <cp:revision/>
  <dcterms:created xsi:type="dcterms:W3CDTF">2015-07-10T07:29:37Z</dcterms:created>
  <dcterms:modified xsi:type="dcterms:W3CDTF">2025-03-11T18:27:17Z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21fc814-aabb-483a-a6eb-6f7ec4a1c551_Enabled">
    <vt:lpwstr>True</vt:lpwstr>
  </property>
  <property fmtid="{D5CDD505-2E9C-101B-9397-08002B2CF9AE}" pid="3" name="MSIP_Label_e21fc814-aabb-483a-a6eb-6f7ec4a1c551_SiteId">
    <vt:lpwstr>f69ee478-893c-4e36-b84b-36ae2a370928</vt:lpwstr>
  </property>
  <property fmtid="{D5CDD505-2E9C-101B-9397-08002B2CF9AE}" pid="4" name="MSIP_Label_e21fc814-aabb-483a-a6eb-6f7ec4a1c551_Ref">
    <vt:lpwstr>https://api.informationprotection.azure.com/api/f69ee478-893c-4e36-b84b-36ae2a370928</vt:lpwstr>
  </property>
  <property fmtid="{D5CDD505-2E9C-101B-9397-08002B2CF9AE}" pid="5" name="MSIP_Label_e21fc814-aabb-483a-a6eb-6f7ec4a1c551_SetBy">
    <vt:lpwstr>angelo.noe@fiorentini.com</vt:lpwstr>
  </property>
  <property fmtid="{D5CDD505-2E9C-101B-9397-08002B2CF9AE}" pid="6" name="MSIP_Label_e21fc814-aabb-483a-a6eb-6f7ec4a1c551_SetDate">
    <vt:lpwstr>2018-09-10T15:20:19.2954617+02:00</vt:lpwstr>
  </property>
  <property fmtid="{D5CDD505-2E9C-101B-9397-08002B2CF9AE}" pid="7" name="MSIP_Label_e21fc814-aabb-483a-a6eb-6f7ec4a1c551_Name">
    <vt:lpwstr>2 - Company Confidential</vt:lpwstr>
  </property>
  <property fmtid="{D5CDD505-2E9C-101B-9397-08002B2CF9AE}" pid="8" name="MSIP_Label_e21fc814-aabb-483a-a6eb-6f7ec4a1c551_Application">
    <vt:lpwstr>Microsoft Azure Information Protection</vt:lpwstr>
  </property>
  <property fmtid="{D5CDD505-2E9C-101B-9397-08002B2CF9AE}" pid="9" name="MSIP_Label_e21fc814-aabb-483a-a6eb-6f7ec4a1c551_Extended_MSFT_Method">
    <vt:lpwstr>Automatic</vt:lpwstr>
  </property>
  <property fmtid="{D5CDD505-2E9C-101B-9397-08002B2CF9AE}" pid="10" name="Sensitivity">
    <vt:lpwstr>2 - Company Confidential</vt:lpwstr>
  </property>
  <property fmtid="{D5CDD505-2E9C-101B-9397-08002B2CF9AE}" pid="11" name="ContentTypeId">
    <vt:lpwstr>0x0101008AB1DFC99CCED549B932E83C7FE8B11A</vt:lpwstr>
  </property>
</Properties>
</file>